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c36756b7e041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Вводные" sheetId="1" r:id="R774fa9117cf74834"/>
    <x:sheet xmlns:r="http://schemas.openxmlformats.org/officeDocument/2006/relationships" name="ОТЧЕТ" sheetId="14" r:id="R1bb57a16a5bc491a"/>
    <x:sheet xmlns:r="http://schemas.openxmlformats.org/officeDocument/2006/relationships" name="Дашборд" sheetId="15" r:id="R3a549e4115214feb"/>
    <x:sheet xmlns:r="http://schemas.openxmlformats.org/officeDocument/2006/relationships" name="ТЭП" sheetId="2" r:id="R855b8c4488664b12"/>
    <x:sheet xmlns:r="http://schemas.openxmlformats.org/officeDocument/2006/relationships" name="СРОКИ" sheetId="3" r:id="R78360448fe104d42"/>
    <x:sheet xmlns:r="http://schemas.openxmlformats.org/officeDocument/2006/relationships" name="Ставки" sheetId="4" r:id="R212d7480780d4826"/>
    <x:sheet xmlns:r="http://schemas.openxmlformats.org/officeDocument/2006/relationships" name="Продажи" sheetId="5" r:id="R19ea631707af4c09"/>
    <x:sheet xmlns:r="http://schemas.openxmlformats.org/officeDocument/2006/relationships" name="ВРИ" sheetId="6" r:id="R336d2d0407134420"/>
    <x:sheet xmlns:r="http://schemas.openxmlformats.org/officeDocument/2006/relationships" name="CAPEX" sheetId="7" r:id="R76a2d21c54ad4230"/>
    <x:sheet xmlns:r="http://schemas.openxmlformats.org/officeDocument/2006/relationships" name="CF_1" sheetId="8" r:id="R0075705680cb47d8"/>
    <x:sheet xmlns:r="http://schemas.openxmlformats.org/officeDocument/2006/relationships" name="CF_2" sheetId="9" r:id="R89bbb3542ffe41b4"/>
    <x:sheet xmlns:r="http://schemas.openxmlformats.org/officeDocument/2006/relationships" name="CF_3" sheetId="10" r:id="R24ab5922949942a1"/>
    <x:sheet xmlns:r="http://schemas.openxmlformats.org/officeDocument/2006/relationships" name="CF_4" sheetId="19" r:id="RidCF4worksheet0001"/>
    <x:sheet xmlns:r="http://schemas.openxmlformats.org/officeDocument/2006/relationships" name="CF" sheetId="11" r:id="R2b6b3fe77c104813"/>
    <x:sheet xmlns:r="http://schemas.openxmlformats.org/officeDocument/2006/relationships" name="КРЕДИТЫ" sheetId="12" r:id="R8531feb057c945ef"/>
    <x:sheet xmlns:r="http://schemas.openxmlformats.org/officeDocument/2006/relationships" name="КОНСОЛИДАТОР" sheetId="13" r:id="R0876d8cdf5404039"/>
    <x:sheet xmlns:r="http://schemas.openxmlformats.org/officeDocument/2006/relationships" name="ПРОВЕРКИ" sheetId="16" r:id="R9492bc82770f42fb"/>
    <x:sheet xmlns:r="http://schemas.openxmlformats.org/officeDocument/2006/relationships" name="Источники" sheetId="17" r:id="Ree30bb7cb7d64b73"/>
    <x:sheet xmlns:r="http://schemas.openxmlformats.org/officeDocument/2006/relationships" name="ОБЪЕКТЫ" sheetId="18" r:id="Rc299bed227bc49b4"/>
  </x:sheets>
  <x:calcPr fullCalcOnLoad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200" formatCode="dd.mm.yyyy"/>
    <x:numFmt numFmtId="201" formatCode="0"/>
    <x:numFmt numFmtId="202" formatCode="0.0%;[Red](0.0%);-"/>
    <x:numFmt numFmtId="203" formatCode="#,##0;[Red](#,##0);-"/>
    <x:numFmt numFmtId="204" formatCode="0.0000"/>
    <x:numFmt numFmtId="205" formatCode="0.000x"/>
    <x:numFmt numFmtId="206" formatCode="0.00x;[Red](0.00x);-"/>
    <x:numFmt numFmtId="207" formatCode="#,##0.0;[Red](#,##0.0);-"/>
    <x:numFmt numFmtId="208" formatCode="mmm yyyy"/>
    <x:numFmt numFmtId="209" formatCode="0.00%;[Red](0.00%);-"/>
    <x:numFmt numFmtId="210" formatCode="#,##0.00;[Red](#,##0.00);-"/>
    <x:numFmt numFmtId="211" formatCode="@"/>
  </x:numFmts>
  <x:fonts count="15">
    <x:font>
      <x:sz val="11"/>
      <x:name val="Carlito"/>
    </x:font>
    <x:font>
      <x:b/>
      <x:sz val="11"/>
      <x:color rgb="FFFFFFFF"/>
      <x:name val="Carlito"/>
    </x:font>
    <x:font>
      <x:i/>
      <x:sz val="11"/>
      <x:color rgb="FF666666"/>
      <x:name val="Carlito"/>
    </x:font>
    <x:font>
      <x:b/>
      <x:sz val="11"/>
      <x:color rgb="FF0B1F33"/>
      <x:name val="Carlito"/>
    </x:font>
    <x:font>
      <x:sz val="11"/>
      <x:color rgb="FF0000FF"/>
      <x:name val="Carlito"/>
    </x:font>
    <x:font>
      <x:b/>
      <x:sz val="11"/>
      <x:color rgb="FF000000"/>
      <x:name val="Carlito"/>
    </x:font>
    <x:font>
      <x:b/>
      <x:sz val="11"/>
      <x:color rgb="FF008000"/>
      <x:name val="Carlito"/>
    </x:font>
    <x:font>
      <x:sz val="11"/>
      <x:color rgb="FF008000"/>
      <x:name val="Carlito"/>
    </x:font>
    <x:font>
      <x:sz val="11"/>
      <x:color rgb="FF0B1F33"/>
      <x:name val="Carlito"/>
    </x:font>
    <x:font>
      <x:sz val="11"/>
      <x:color rgb="FF000000"/>
      <x:name val="Carlito"/>
    </x:font>
    <x:font>
      <x:sz val="11"/>
      <x:color rgb="FFF4B183"/>
      <x:name val="Carlito"/>
    </x:font>
    <x:font>
      <x:sz val="11"/>
      <x:color rgb="FF0F6B78"/>
      <x:name val="Carlito"/>
    </x:font>
    <x:font>
      <x:sz val="11"/>
      <x:color rgb="FF006100"/>
      <x:name val="Carlito"/>
    </x:font>
    <x:font>
      <x:sz val="11"/>
      <x:color rgb="FF1F4E78"/>
      <x:name val="Carlito"/>
    </x:font>
    <x:font>
      <x:sz val="11"/>
      <x:color rgb="FFFFFFFF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0B1F33"/>
      </x:patternFill>
    </x:fill>
    <x:fill>
      <x:patternFill patternType="solid">
        <x:fgColor rgb="FFF2F2F2"/>
      </x:patternFill>
    </x:fill>
  </x:fills>
  <x:borders count="17">
    <x:border/>
    <x:border>
      <x:left style="thin">
        <x:color rgb="FFA6A6A6"/>
      </x:left>
      <x:right style="thin">
        <x:color rgb="FFA6A6A6"/>
      </x:right>
      <x:top style="thin">
        <x:color rgb="FFA6A6A6"/>
      </x:top>
    </x:border>
    <x:border>
      <x:left style="thin">
        <x:color rgb="FFA6A6A6"/>
      </x:left>
      <x:right style="thin">
        <x:color rgb="FFA6A6A6"/>
      </x:right>
    </x:border>
    <x:border>
      <x:left style="thin">
        <x:color rgb="FFA6A6A6"/>
      </x:left>
      <x:right style="thin">
        <x:color rgb="FFA6A6A6"/>
      </x:right>
      <x:bottom style="thin">
        <x:color rgb="FFA6A6A6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double">
        <x:color rgb="FF0B1F33"/>
      </x:bottom>
    </x:border>
  </x:borders>
  <x:cellStyleXfs count="1">
    <x:xf numFmtId="0" fontId="0" fillId="0" borderId="0"/>
  </x:cellStyleXfs>
  <x:cellXfs count="3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200" fontId="4" fillId="3" borderId="2" xfId="0" applyNumberFormat="1" applyFont="1" applyFill="1" applyBorder="1"/>
    <x:xf numFmtId="201" fontId="4" fillId="3" borderId="3" xfId="0" applyNumberFormat="1" applyFont="1" applyFill="1" applyBorder="1"/>
    <x:xf numFmtId="201" fontId="0" fillId="0" borderId="0" xfId="0" applyNumberFormat="1" applyFont="1" applyFill="1" applyBorder="1"/>
    <x:xf numFmtId="201" fontId="0" fillId="4" borderId="0" xfId="0" applyNumberFormat="1" applyFont="1" applyFill="1" applyBorder="1"/>
    <x:xf numFmtId="201" fontId="5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4" xfId="0" applyNumberFormat="1" applyFont="1" applyFill="1" applyBorder="1"/>
    <x:xf numFmtId="0" fontId="1" fillId="5" borderId="4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horizont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202" fontId="4" fillId="3" borderId="5" xfId="0" applyNumberFormat="1" applyFont="1" applyFill="1" applyBorder="1"/>
    <x:xf numFmtId="202" fontId="4" fillId="3" borderId="6" xfId="0" applyNumberFormat="1" applyFont="1" applyFill="1" applyBorder="1"/>
    <x:xf numFmtId="202" fontId="4" fillId="3" borderId="7" xfId="0" applyNumberFormat="1" applyFont="1" applyFill="1" applyBorder="1"/>
    <x:xf numFmtId="202" fontId="0" fillId="0" borderId="0" xfId="0" applyNumberFormat="1" applyFont="1" applyFill="1" applyBorder="1"/>
    <x:xf numFmtId="202" fontId="4" fillId="3" borderId="8" xfId="0" applyNumberFormat="1" applyFont="1" applyFill="1" applyBorder="1"/>
    <x:xf numFmtId="202" fontId="4" fillId="3" borderId="0" xfId="0" applyNumberFormat="1" applyFont="1" applyFill="1" applyBorder="1"/>
    <x:xf numFmtId="202" fontId="4" fillId="3" borderId="9" xfId="0" applyNumberFormat="1" applyFont="1" applyFill="1" applyBorder="1"/>
    <x:xf numFmtId="201" fontId="4" fillId="3" borderId="10" xfId="0" applyNumberFormat="1" applyFont="1" applyFill="1" applyBorder="1"/>
    <x:xf numFmtId="201" fontId="4" fillId="3" borderId="11" xfId="0" applyNumberFormat="1" applyFont="1" applyFill="1" applyBorder="1"/>
    <x:xf numFmtId="201" fontId="4" fillId="3" borderId="12" xfId="0" applyNumberFormat="1" applyFont="1" applyFill="1" applyBorder="1"/>
    <x:xf numFmtId="202" fontId="0" fillId="4" borderId="0" xfId="0" applyNumberFormat="1" applyFont="1" applyFill="1" applyBorder="1"/>
    <x:xf numFmtId="202" fontId="5" fillId="4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13" xfId="0" applyNumberFormat="1" applyFont="1" applyFill="1" applyBorder="1"/>
    <x:xf numFmtId="0" fontId="1" fillId="6" borderId="14" xfId="0" applyNumberFormat="1" applyFont="1" applyFill="1" applyBorder="1"/>
    <x:xf numFmtId="0" fontId="1" fillId="6" borderId="15" xfId="0" applyNumberFormat="1" applyFont="1" applyFill="1" applyBorder="1"/>
    <x:xf numFmtId="0" fontId="1" fillId="6" borderId="13" xfId="0" applyNumberFormat="1" applyFont="1" applyFill="1" applyBorder="1" applyAlignment="1">
      <x:alignment horizontal="left"/>
    </x:xf>
    <x:xf numFmtId="0" fontId="1" fillId="6" borderId="14" xfId="0" applyNumberFormat="1" applyFont="1" applyFill="1" applyBorder="1" applyAlignment="1">
      <x:alignment horizontal="left"/>
    </x:xf>
    <x:xf numFmtId="0" fontId="1" fillId="6" borderId="15" xfId="0" applyNumberFormat="1" applyFont="1" applyFill="1" applyBorder="1" applyAlignment="1">
      <x:alignment horizontal="left"/>
    </x:xf>
    <x:xf numFmtId="0" fontId="1" fillId="6" borderId="13" xfId="0" applyNumberFormat="1" applyFont="1" applyFill="1" applyBorder="1" applyAlignment="1">
      <x:alignment horizontal="left" vertical="center"/>
    </x:xf>
    <x:xf numFmtId="0" fontId="1" fillId="6" borderId="14" xfId="0" applyNumberFormat="1" applyFont="1" applyFill="1" applyBorder="1" applyAlignment="1">
      <x:alignment horizontal="left" vertical="center"/>
    </x:xf>
    <x:xf numFmtId="0" fontId="1" fillId="6" borderId="15" xfId="0" applyNumberFormat="1" applyFont="1" applyFill="1" applyBorder="1" applyAlignment="1">
      <x:alignment horizontal="left" vertical="center"/>
    </x:xf>
    <x:xf numFmtId="0" fontId="4" fillId="3" borderId="4" xfId="0" applyNumberFormat="1" applyFont="1" applyFill="1" applyBorder="1"/>
    <x:xf numFmtId="203" fontId="4" fillId="3" borderId="4" xfId="0" applyNumberFormat="1" applyFont="1" applyFill="1" applyBorder="1"/>
    <x:xf numFmtId="0" fontId="0" fillId="4" borderId="0" xfId="0" applyNumberFormat="1" applyFont="1" applyFill="1" applyBorder="1"/>
    <x:xf numFmtId="203" fontId="4" fillId="4" borderId="4" xfId="0" applyNumberFormat="1" applyFont="1" applyFill="1" applyBorder="1"/>
    <x:xf numFmtId="0" fontId="6" fillId="4" borderId="0" xfId="0" applyNumberFormat="1" applyFont="1" applyFill="1" applyBorder="1"/>
    <x:xf numFmtId="203" fontId="6" fillId="4" borderId="4" xfId="0" applyNumberFormat="1" applyFont="1" applyFill="1" applyBorder="1"/>
    <x:xf numFmtId="204" fontId="4" fillId="3" borderId="2" xfId="0" applyNumberFormat="1" applyFont="1" applyFill="1" applyBorder="1"/>
    <x:xf numFmtId="203" fontId="4" fillId="3" borderId="2" xfId="0" applyNumberFormat="1" applyFont="1" applyFill="1" applyBorder="1"/>
    <x:xf numFmtId="203" fontId="4" fillId="3" borderId="3" xfId="0" applyNumberFormat="1" applyFont="1" applyFill="1" applyBorder="1"/>
    <x:xf numFmtId="203" fontId="6" fillId="4" borderId="0" xfId="0" applyNumberFormat="1" applyFont="1" applyFill="1" applyBorder="1"/>
    <x:xf numFmtId="205" fontId="6" fillId="4" borderId="0" xfId="0" applyNumberFormat="1" applyFont="1" applyFill="1" applyBorder="1"/>
    <x:xf numFmtId="0" fontId="4" fillId="4" borderId="2" xfId="0" applyNumberFormat="1" applyFont="1" applyFill="1" applyBorder="1"/>
    <x:xf numFmtId="0" fontId="6" fillId="4" borderId="2" xfId="0" applyNumberFormat="1" applyFont="1" applyFill="1" applyBorder="1"/>
    <x:xf numFmtId="0" fontId="6" fillId="4" borderId="4" xfId="0" applyNumberFormat="1" applyFont="1" applyFill="1" applyBorder="1"/>
    <x:xf numFmtId="202" fontId="4" fillId="3" borderId="2" xfId="0" applyNumberFormat="1" applyFont="1" applyFill="1" applyBorder="1"/>
    <x:xf numFmtId="206" fontId="4" fillId="3" borderId="2" xfId="0" applyNumberFormat="1" applyFont="1" applyFill="1" applyBorder="1"/>
    <x:xf numFmtId="202" fontId="6" fillId="4" borderId="4" xfId="0" applyNumberFormat="1" applyFont="1" applyFill="1" applyBorder="1"/>
    <x:xf numFmtId="207" fontId="4" fillId="3" borderId="1" xfId="0" applyNumberFormat="1" applyFont="1" applyFill="1" applyBorder="1"/>
    <x:xf numFmtId="207" fontId="4" fillId="3" borderId="2" xfId="0" applyNumberFormat="1" applyFont="1" applyFill="1" applyBorder="1"/>
    <x:xf numFmtId="207" fontId="6" fillId="4" borderId="4" xfId="0" applyNumberFormat="1" applyFont="1" applyFill="1" applyBorder="1"/>
    <x:xf numFmtId="202" fontId="4" fillId="3" borderId="3" xfId="0" applyNumberFormat="1" applyFont="1" applyFill="1" applyBorder="1"/>
    <x:xf numFmtId="0" fontId="6" fillId="4" borderId="1" xfId="0" applyNumberFormat="1" applyFont="1" applyFill="1" applyBorder="1"/>
    <x:xf numFmtId="0" fontId="6" fillId="4" borderId="3" xfId="0" applyNumberFormat="1" applyFont="1" applyFill="1" applyBorder="1"/>
    <x:xf numFmtId="201" fontId="6" fillId="4" borderId="1" xfId="0" applyNumberFormat="1" applyFont="1" applyFill="1" applyBorder="1"/>
    <x:xf numFmtId="201" fontId="6" fillId="4" borderId="2" xfId="0" applyNumberFormat="1" applyFont="1" applyFill="1" applyBorder="1"/>
    <x:xf numFmtId="201" fontId="6" fillId="4" borderId="3" xfId="0" applyNumberFormat="1" applyFont="1" applyFill="1" applyBorder="1"/>
    <x:xf numFmtId="0" fontId="7" fillId="4" borderId="0" xfId="0" applyNumberFormat="1" applyFont="1" applyFill="1" applyBorder="1"/>
    <x:xf numFmtId="0" fontId="7" fillId="4" borderId="4" xfId="0" applyNumberFormat="1" applyFont="1" applyFill="1" applyBorder="1"/>
    <x:xf numFmtId="203" fontId="7" fillId="4" borderId="4" xfId="0" applyNumberFormat="1" applyFont="1" applyFill="1" applyBorder="1"/>
    <x:xf numFmtId="200" fontId="4" fillId="3" borderId="6" xfId="0" applyNumberFormat="1" applyFont="1" applyFill="1" applyBorder="1"/>
    <x:xf numFmtId="200" fontId="4" fillId="3" borderId="0" xfId="0" applyNumberFormat="1" applyFont="1" applyFill="1" applyBorder="1"/>
    <x:xf numFmtId="200" fontId="4" fillId="3" borderId="11" xfId="0" applyNumberFormat="1" applyFont="1" applyFill="1" applyBorder="1"/>
    <x:xf numFmtId="202" fontId="4" fillId="3" borderId="10" xfId="0" applyNumberFormat="1" applyFont="1" applyFill="1" applyBorder="1"/>
    <x:xf numFmtId="202" fontId="4" fillId="3" borderId="11" xfId="0" applyNumberFormat="1" applyFont="1" applyFill="1" applyBorder="1"/>
    <x:xf numFmtId="0" fontId="3" fillId="4" borderId="0" xfId="0" applyNumberFormat="1" applyFont="1" applyFill="1" applyBorder="1"/>
    <x:xf numFmtId="202" fontId="6" fillId="4" borderId="0" xfId="0" applyNumberFormat="1" applyFont="1" applyFill="1" applyBorder="1"/>
    <x:xf numFmtId="208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8" fontId="1" fillId="5" borderId="0" xfId="0" applyNumberFormat="1" applyFont="1" applyFill="1" applyBorder="1"/>
    <x:xf numFmtId="208" fontId="1" fillId="5" borderId="0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9" fillId="0" borderId="0" xfId="0" applyNumberFormat="1" applyFont="1" applyFill="1" applyBorder="1"/>
    <x:xf numFmtId="209" fontId="9" fillId="0" borderId="0" xfId="0" applyNumberFormat="1" applyFont="1" applyFill="1" applyBorder="1"/>
    <x:xf numFmtId="208" fontId="1" fillId="5" borderId="4" xfId="0" applyNumberFormat="1" applyFont="1" applyFill="1" applyBorder="1"/>
    <x:xf numFmtId="208" fontId="1" fillId="5" borderId="4" xfId="0" applyNumberFormat="1" applyFont="1" applyFill="1" applyBorder="1" applyAlignment="1">
      <x:alignment horizontal="center"/>
    </x:xf>
    <x:xf numFmtId="201" fontId="8" fillId="4" borderId="0" xfId="0" applyNumberFormat="1" applyFont="1" applyFill="1" applyBorder="1"/>
    <x:xf numFmtId="201" fontId="8" fillId="4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200" fontId="7" fillId="0" borderId="0" xfId="0" applyNumberFormat="1" applyFont="1" applyFill="1" applyBorder="1"/>
    <x:xf numFmtId="207" fontId="0" fillId="0" borderId="0" xfId="0" applyNumberFormat="1" applyFont="1" applyFill="1" applyBorder="1"/>
    <x:xf numFmtId="0" fontId="0" fillId="7" borderId="0" xfId="0" applyNumberFormat="1" applyFont="1" applyFill="1" applyBorder="1"/>
    <x:xf numFmtId="207" fontId="0" fillId="7" borderId="0" xfId="0" applyNumberFormat="1" applyFont="1" applyFill="1" applyBorder="1"/>
    <x:xf numFmtId="0" fontId="5" fillId="7" borderId="0" xfId="0" applyNumberFormat="1" applyFont="1" applyFill="1" applyBorder="1"/>
    <x:xf numFmtId="207" fontId="5" fillId="7" borderId="0" xfId="0" applyNumberFormat="1" applyFont="1" applyFill="1" applyBorder="1"/>
    <x:xf numFmtId="0" fontId="5" fillId="7" borderId="16" xfId="0" applyNumberFormat="1" applyFont="1" applyFill="1" applyBorder="1"/>
    <x:xf numFmtId="207" fontId="5" fillId="7" borderId="16" xfId="0" applyNumberFormat="1" applyFont="1" applyFill="1" applyBorder="1"/>
    <x:xf numFmtId="0" fontId="6" fillId="0" borderId="0" xfId="0" applyNumberFormat="1" applyFont="1" applyFill="1" applyBorder="1"/>
    <x:xf numFmtId="207" fontId="6" fillId="0" borderId="0" xfId="0" applyNumberFormat="1" applyFont="1" applyFill="1" applyBorder="1"/>
    <x:xf numFmtId="207" fontId="9" fillId="0" borderId="0" xfId="0" applyNumberFormat="1" applyFont="1" applyFill="1" applyBorder="1"/>
    <x:xf numFmtId="207" fontId="9" fillId="0" borderId="0" xfId="0" applyNumberFormat="1" applyFont="1" applyFill="1" applyBorder="1" applyAlignment="1">
      <x:alignment horizontal="right"/>
    </x:xf>
    <x:xf numFmtId="207" fontId="9" fillId="7" borderId="0" xfId="0" applyNumberFormat="1" applyFont="1" applyFill="1" applyBorder="1" applyAlignment="1">
      <x:alignment horizontal="right"/>
    </x:xf>
    <x:xf numFmtId="207" fontId="5" fillId="7" borderId="0" xfId="0" applyNumberFormat="1" applyFont="1" applyFill="1" applyBorder="1" applyAlignment="1">
      <x:alignment horizontal="right"/>
    </x:xf>
    <x:xf numFmtId="207" fontId="5" fillId="7" borderId="16" xfId="0" applyNumberFormat="1" applyFont="1" applyFill="1" applyBorder="1" applyAlignment="1">
      <x:alignment horizontal="right"/>
    </x:xf>
    <x:xf numFmtId="202" fontId="9" fillId="0" borderId="0" xfId="0" applyNumberFormat="1" applyFont="1" applyFill="1" applyBorder="1" applyAlignment="1">
      <x:alignment horizontal="right"/>
    </x:xf>
    <x:xf numFmtId="206" fontId="9" fillId="0" borderId="0" xfId="0" applyNumberFormat="1" applyFont="1" applyFill="1" applyBorder="1" applyAlignment="1">
      <x:alignment horizontal="right"/>
    </x:xf>
    <x:xf numFmtId="206" fontId="9" fillId="7" borderId="0" xfId="0" applyNumberFormat="1" applyFont="1" applyFill="1" applyBorder="1" applyAlignment="1">
      <x:alignment horizontal="right"/>
    </x:xf>
    <x:xf numFmtId="206" fontId="5" fillId="7" borderId="0" xfId="0" applyNumberFormat="1" applyFont="1" applyFill="1" applyBorder="1" applyAlignment="1">
      <x:alignment horizontal="right"/>
    </x:xf>
    <x:xf numFmtId="206" fontId="5" fillId="7" borderId="16" xfId="0" applyNumberFormat="1" applyFont="1" applyFill="1" applyBorder="1" applyAlignment="1">
      <x:alignment horizontal="right"/>
    </x:xf>
    <x:xf numFmtId="206" fontId="5" fillId="7" borderId="16" xfId="0" applyNumberFormat="1" applyFont="1" applyFill="1" applyBorder="1"/>
    <x:xf numFmtId="0" fontId="9" fillId="7" borderId="0" xfId="0" applyNumberFormat="1" applyFont="1" applyFill="1" applyBorder="1"/>
    <x:xf numFmtId="207" fontId="9" fillId="7" borderId="0" xfId="0" applyNumberFormat="1" applyFont="1" applyFill="1" applyBorder="1"/>
    <x:xf numFmtId="206" fontId="0" fillId="0" borderId="0" xfId="0" applyNumberFormat="1" applyFont="1" applyFill="1" applyBorder="1"/>
    <x:xf numFmtId="202" fontId="9" fillId="0" borderId="0" xfId="0" applyNumberFormat="1" applyFont="1" applyFill="1" applyBorder="1"/>
    <x:xf numFmtId="206" fontId="9" fillId="0" borderId="0" xfId="0" applyNumberFormat="1" applyFont="1" applyFill="1" applyBorder="1"/>
    <x:xf numFmtId="203" fontId="0" fillId="0" borderId="0" xfId="0" applyNumberFormat="1" applyFont="1" applyFill="1" applyBorder="1"/>
    <x:xf numFmtId="203" fontId="5" fillId="7" borderId="16" xfId="0" applyNumberFormat="1" applyFont="1" applyFill="1" applyBorder="1"/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horizontal="center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horizontal="center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horizontal="center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horizontal="center"/>
    </x:xf>
    <x:xf numFmtId="200" fontId="5" fillId="7" borderId="16" xfId="0" applyNumberFormat="1" applyFont="1" applyFill="1" applyBorder="1"/>
    <x:xf numFmtId="202" fontId="5" fillId="7" borderId="16" xfId="0" applyNumberFormat="1" applyFont="1" applyFill="1" applyBorder="1"/>
    <x:xf numFmtId="202" fontId="0" fillId="7" borderId="0" xfId="0" applyNumberFormat="1" applyFont="1" applyFill="1" applyBorder="1"/>
    <x:xf numFmtId="202" fontId="5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210" fontId="0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1" fillId="6" borderId="0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207" fontId="3" fillId="4" borderId="5" xfId="0" applyNumberFormat="1" applyFont="1" applyFill="1" applyBorder="1"/>
    <x:xf numFmtId="207" fontId="3" fillId="4" borderId="6" xfId="0" applyNumberFormat="1" applyFont="1" applyFill="1" applyBorder="1"/>
    <x:xf numFmtId="207" fontId="3" fillId="4" borderId="7" xfId="0" applyNumberFormat="1" applyFont="1" applyFill="1" applyBorder="1"/>
    <x:xf numFmtId="207" fontId="3" fillId="4" borderId="8" xfId="0" applyNumberFormat="1" applyFont="1" applyFill="1" applyBorder="1"/>
    <x:xf numFmtId="207" fontId="3" fillId="4" borderId="0" xfId="0" applyNumberFormat="1" applyFont="1" applyFill="1" applyBorder="1"/>
    <x:xf numFmtId="207" fontId="3" fillId="4" borderId="9" xfId="0" applyNumberFormat="1" applyFont="1" applyFill="1" applyBorder="1"/>
    <x:xf numFmtId="207" fontId="3" fillId="4" borderId="10" xfId="0" applyNumberFormat="1" applyFont="1" applyFill="1" applyBorder="1"/>
    <x:xf numFmtId="207" fontId="3" fillId="4" borderId="11" xfId="0" applyNumberFormat="1" applyFont="1" applyFill="1" applyBorder="1"/>
    <x:xf numFmtId="207" fontId="3" fillId="4" borderId="12" xfId="0" applyNumberFormat="1" applyFont="1" applyFill="1" applyBorder="1"/>
    <x:xf numFmtId="207" fontId="3" fillId="4" borderId="5" xfId="0" applyNumberFormat="1" applyFont="1" applyFill="1" applyBorder="1" applyAlignment="1">
      <x:alignment horizontal="center"/>
    </x:xf>
    <x:xf numFmtId="207" fontId="3" fillId="4" borderId="6" xfId="0" applyNumberFormat="1" applyFont="1" applyFill="1" applyBorder="1" applyAlignment="1">
      <x:alignment horizontal="center"/>
    </x:xf>
    <x:xf numFmtId="207" fontId="3" fillId="4" borderId="7" xfId="0" applyNumberFormat="1" applyFont="1" applyFill="1" applyBorder="1" applyAlignment="1">
      <x:alignment horizontal="center"/>
    </x:xf>
    <x:xf numFmtId="207" fontId="3" fillId="4" borderId="8" xfId="0" applyNumberFormat="1" applyFont="1" applyFill="1" applyBorder="1" applyAlignment="1">
      <x:alignment horizontal="center"/>
    </x:xf>
    <x:xf numFmtId="207" fontId="3" fillId="4" borderId="0" xfId="0" applyNumberFormat="1" applyFont="1" applyFill="1" applyBorder="1" applyAlignment="1">
      <x:alignment horizontal="center"/>
    </x:xf>
    <x:xf numFmtId="207" fontId="3" fillId="4" borderId="9" xfId="0" applyNumberFormat="1" applyFont="1" applyFill="1" applyBorder="1" applyAlignment="1">
      <x:alignment horizontal="center"/>
    </x:xf>
    <x:xf numFmtId="207" fontId="3" fillId="4" borderId="10" xfId="0" applyNumberFormat="1" applyFont="1" applyFill="1" applyBorder="1" applyAlignment="1">
      <x:alignment horizontal="center"/>
    </x:xf>
    <x:xf numFmtId="207" fontId="3" fillId="4" borderId="11" xfId="0" applyNumberFormat="1" applyFont="1" applyFill="1" applyBorder="1" applyAlignment="1">
      <x:alignment horizontal="center"/>
    </x:xf>
    <x:xf numFmtId="207" fontId="3" fillId="4" borderId="12" xfId="0" applyNumberFormat="1" applyFont="1" applyFill="1" applyBorder="1" applyAlignment="1">
      <x:alignment horizontal="center"/>
    </x:xf>
    <x:xf numFmtId="207" fontId="3" fillId="4" borderId="5" xfId="0" applyNumberFormat="1" applyFont="1" applyFill="1" applyBorder="1" applyAlignment="1">
      <x:alignment horizontal="center" vertical="center"/>
    </x:xf>
    <x:xf numFmtId="207" fontId="3" fillId="4" borderId="6" xfId="0" applyNumberFormat="1" applyFont="1" applyFill="1" applyBorder="1" applyAlignment="1">
      <x:alignment horizontal="center" vertical="center"/>
    </x:xf>
    <x:xf numFmtId="207" fontId="3" fillId="4" borderId="7" xfId="0" applyNumberFormat="1" applyFont="1" applyFill="1" applyBorder="1" applyAlignment="1">
      <x:alignment horizontal="center" vertical="center"/>
    </x:xf>
    <x:xf numFmtId="207" fontId="3" fillId="4" borderId="8" xfId="0" applyNumberFormat="1" applyFont="1" applyFill="1" applyBorder="1" applyAlignment="1">
      <x:alignment horizontal="center" vertical="center"/>
    </x:xf>
    <x:xf numFmtId="207" fontId="3" fillId="4" borderId="0" xfId="0" applyNumberFormat="1" applyFont="1" applyFill="1" applyBorder="1" applyAlignment="1">
      <x:alignment horizontal="center" vertical="center"/>
    </x:xf>
    <x:xf numFmtId="207" fontId="3" fillId="4" borderId="9" xfId="0" applyNumberFormat="1" applyFont="1" applyFill="1" applyBorder="1" applyAlignment="1">
      <x:alignment horizontal="center" vertical="center"/>
    </x:xf>
    <x:xf numFmtId="207" fontId="3" fillId="4" borderId="10" xfId="0" applyNumberFormat="1" applyFont="1" applyFill="1" applyBorder="1" applyAlignment="1">
      <x:alignment horizontal="center" vertical="center"/>
    </x:xf>
    <x:xf numFmtId="207" fontId="3" fillId="4" borderId="11" xfId="0" applyNumberFormat="1" applyFont="1" applyFill="1" applyBorder="1" applyAlignment="1">
      <x:alignment horizontal="center" vertical="center"/>
    </x:xf>
    <x:xf numFmtId="207" fontId="3" fillId="4" borderId="12" xfId="0" applyNumberFormat="1" applyFont="1" applyFill="1" applyBorder="1" applyAlignment="1">
      <x:alignment horizontal="center" vertical="center"/>
    </x:xf>
    <x:xf numFmtId="202" fontId="3" fillId="4" borderId="5" xfId="0" applyNumberFormat="1" applyFont="1" applyFill="1" applyBorder="1"/>
    <x:xf numFmtId="202" fontId="3" fillId="4" borderId="6" xfId="0" applyNumberFormat="1" applyFont="1" applyFill="1" applyBorder="1"/>
    <x:xf numFmtId="202" fontId="3" fillId="4" borderId="7" xfId="0" applyNumberFormat="1" applyFont="1" applyFill="1" applyBorder="1"/>
    <x:xf numFmtId="202" fontId="3" fillId="4" borderId="8" xfId="0" applyNumberFormat="1" applyFont="1" applyFill="1" applyBorder="1"/>
    <x:xf numFmtId="202" fontId="3" fillId="4" borderId="0" xfId="0" applyNumberFormat="1" applyFont="1" applyFill="1" applyBorder="1"/>
    <x:xf numFmtId="202" fontId="3" fillId="4" borderId="9" xfId="0" applyNumberFormat="1" applyFont="1" applyFill="1" applyBorder="1"/>
    <x:xf numFmtId="202" fontId="3" fillId="4" borderId="10" xfId="0" applyNumberFormat="1" applyFont="1" applyFill="1" applyBorder="1"/>
    <x:xf numFmtId="202" fontId="3" fillId="4" borderId="11" xfId="0" applyNumberFormat="1" applyFont="1" applyFill="1" applyBorder="1"/>
    <x:xf numFmtId="202" fontId="3" fillId="4" borderId="12" xfId="0" applyNumberFormat="1" applyFont="1" applyFill="1" applyBorder="1"/>
    <x:xf numFmtId="202" fontId="3" fillId="4" borderId="5" xfId="0" applyNumberFormat="1" applyFont="1" applyFill="1" applyBorder="1" applyAlignment="1">
      <x:alignment horizontal="center"/>
    </x:xf>
    <x:xf numFmtId="202" fontId="3" fillId="4" borderId="6" xfId="0" applyNumberFormat="1" applyFont="1" applyFill="1" applyBorder="1" applyAlignment="1">
      <x:alignment horizontal="center"/>
    </x:xf>
    <x:xf numFmtId="202" fontId="3" fillId="4" borderId="7" xfId="0" applyNumberFormat="1" applyFont="1" applyFill="1" applyBorder="1" applyAlignment="1">
      <x:alignment horizontal="center"/>
    </x:xf>
    <x:xf numFmtId="202" fontId="3" fillId="4" borderId="8" xfId="0" applyNumberFormat="1" applyFont="1" applyFill="1" applyBorder="1" applyAlignment="1">
      <x:alignment horizontal="center"/>
    </x:xf>
    <x:xf numFmtId="202" fontId="3" fillId="4" borderId="0" xfId="0" applyNumberFormat="1" applyFont="1" applyFill="1" applyBorder="1" applyAlignment="1">
      <x:alignment horizontal="center"/>
    </x:xf>
    <x:xf numFmtId="202" fontId="3" fillId="4" borderId="9" xfId="0" applyNumberFormat="1" applyFont="1" applyFill="1" applyBorder="1" applyAlignment="1">
      <x:alignment horizontal="center"/>
    </x:xf>
    <x:xf numFmtId="202" fontId="3" fillId="4" borderId="10" xfId="0" applyNumberFormat="1" applyFont="1" applyFill="1" applyBorder="1" applyAlignment="1">
      <x:alignment horizontal="center"/>
    </x:xf>
    <x:xf numFmtId="202" fontId="3" fillId="4" borderId="11" xfId="0" applyNumberFormat="1" applyFont="1" applyFill="1" applyBorder="1" applyAlignment="1">
      <x:alignment horizontal="center"/>
    </x:xf>
    <x:xf numFmtId="202" fontId="3" fillId="4" borderId="12" xfId="0" applyNumberFormat="1" applyFont="1" applyFill="1" applyBorder="1" applyAlignment="1">
      <x:alignment horizontal="center"/>
    </x:xf>
    <x:xf numFmtId="202" fontId="3" fillId="4" borderId="5" xfId="0" applyNumberFormat="1" applyFont="1" applyFill="1" applyBorder="1" applyAlignment="1">
      <x:alignment horizontal="center" vertical="center"/>
    </x:xf>
    <x:xf numFmtId="202" fontId="3" fillId="4" borderId="6" xfId="0" applyNumberFormat="1" applyFont="1" applyFill="1" applyBorder="1" applyAlignment="1">
      <x:alignment horizontal="center" vertical="center"/>
    </x:xf>
    <x:xf numFmtId="202" fontId="3" fillId="4" borderId="7" xfId="0" applyNumberFormat="1" applyFont="1" applyFill="1" applyBorder="1" applyAlignment="1">
      <x:alignment horizontal="center" vertical="center"/>
    </x:xf>
    <x:xf numFmtId="202" fontId="3" fillId="4" borderId="8" xfId="0" applyNumberFormat="1" applyFont="1" applyFill="1" applyBorder="1" applyAlignment="1">
      <x:alignment horizontal="center" vertical="center"/>
    </x:xf>
    <x:xf numFmtId="202" fontId="3" fillId="4" borderId="0" xfId="0" applyNumberFormat="1" applyFont="1" applyFill="1" applyBorder="1" applyAlignment="1">
      <x:alignment horizontal="center" vertical="center"/>
    </x:xf>
    <x:xf numFmtId="202" fontId="3" fillId="4" borderId="9" xfId="0" applyNumberFormat="1" applyFont="1" applyFill="1" applyBorder="1" applyAlignment="1">
      <x:alignment horizontal="center" vertical="center"/>
    </x:xf>
    <x:xf numFmtId="202" fontId="3" fillId="4" borderId="10" xfId="0" applyNumberFormat="1" applyFont="1" applyFill="1" applyBorder="1" applyAlignment="1">
      <x:alignment horizontal="center" vertical="center"/>
    </x:xf>
    <x:xf numFmtId="202" fontId="3" fillId="4" borderId="11" xfId="0" applyNumberFormat="1" applyFont="1" applyFill="1" applyBorder="1" applyAlignment="1">
      <x:alignment horizontal="center" vertical="center"/>
    </x:xf>
    <x:xf numFmtId="202" fontId="3" fillId="4" borderId="12" xfId="0" applyNumberFormat="1" applyFont="1" applyFill="1" applyBorder="1" applyAlignment="1">
      <x:alignment horizontal="center" vertical="center"/>
    </x:xf>
    <x:xf numFmtId="206" fontId="3" fillId="4" borderId="5" xfId="0" applyNumberFormat="1" applyFont="1" applyFill="1" applyBorder="1"/>
    <x:xf numFmtId="206" fontId="3" fillId="4" borderId="6" xfId="0" applyNumberFormat="1" applyFont="1" applyFill="1" applyBorder="1"/>
    <x:xf numFmtId="206" fontId="3" fillId="4" borderId="7" xfId="0" applyNumberFormat="1" applyFont="1" applyFill="1" applyBorder="1"/>
    <x:xf numFmtId="206" fontId="3" fillId="4" borderId="8" xfId="0" applyNumberFormat="1" applyFont="1" applyFill="1" applyBorder="1"/>
    <x:xf numFmtId="206" fontId="3" fillId="4" borderId="0" xfId="0" applyNumberFormat="1" applyFont="1" applyFill="1" applyBorder="1"/>
    <x:xf numFmtId="206" fontId="3" fillId="4" borderId="9" xfId="0" applyNumberFormat="1" applyFont="1" applyFill="1" applyBorder="1"/>
    <x:xf numFmtId="206" fontId="3" fillId="4" borderId="10" xfId="0" applyNumberFormat="1" applyFont="1" applyFill="1" applyBorder="1"/>
    <x:xf numFmtId="206" fontId="3" fillId="4" borderId="11" xfId="0" applyNumberFormat="1" applyFont="1" applyFill="1" applyBorder="1"/>
    <x:xf numFmtId="206" fontId="3" fillId="4" borderId="12" xfId="0" applyNumberFormat="1" applyFont="1" applyFill="1" applyBorder="1"/>
    <x:xf numFmtId="206" fontId="3" fillId="4" borderId="5" xfId="0" applyNumberFormat="1" applyFont="1" applyFill="1" applyBorder="1" applyAlignment="1">
      <x:alignment horizontal="center"/>
    </x:xf>
    <x:xf numFmtId="206" fontId="3" fillId="4" borderId="6" xfId="0" applyNumberFormat="1" applyFont="1" applyFill="1" applyBorder="1" applyAlignment="1">
      <x:alignment horizontal="center"/>
    </x:xf>
    <x:xf numFmtId="206" fontId="3" fillId="4" borderId="7" xfId="0" applyNumberFormat="1" applyFont="1" applyFill="1" applyBorder="1" applyAlignment="1">
      <x:alignment horizontal="center"/>
    </x:xf>
    <x:xf numFmtId="206" fontId="3" fillId="4" borderId="8" xfId="0" applyNumberFormat="1" applyFont="1" applyFill="1" applyBorder="1" applyAlignment="1">
      <x:alignment horizontal="center"/>
    </x:xf>
    <x:xf numFmtId="206" fontId="3" fillId="4" borderId="0" xfId="0" applyNumberFormat="1" applyFont="1" applyFill="1" applyBorder="1" applyAlignment="1">
      <x:alignment horizontal="center"/>
    </x:xf>
    <x:xf numFmtId="206" fontId="3" fillId="4" borderId="9" xfId="0" applyNumberFormat="1" applyFont="1" applyFill="1" applyBorder="1" applyAlignment="1">
      <x:alignment horizontal="center"/>
    </x:xf>
    <x:xf numFmtId="206" fontId="3" fillId="4" borderId="10" xfId="0" applyNumberFormat="1" applyFont="1" applyFill="1" applyBorder="1" applyAlignment="1">
      <x:alignment horizontal="center"/>
    </x:xf>
    <x:xf numFmtId="206" fontId="3" fillId="4" borderId="11" xfId="0" applyNumberFormat="1" applyFont="1" applyFill="1" applyBorder="1" applyAlignment="1">
      <x:alignment horizontal="center"/>
    </x:xf>
    <x:xf numFmtId="206" fontId="3" fillId="4" borderId="12" xfId="0" applyNumberFormat="1" applyFont="1" applyFill="1" applyBorder="1" applyAlignment="1">
      <x:alignment horizontal="center"/>
    </x:xf>
    <x:xf numFmtId="206" fontId="3" fillId="4" borderId="5" xfId="0" applyNumberFormat="1" applyFont="1" applyFill="1" applyBorder="1" applyAlignment="1">
      <x:alignment horizontal="center" vertical="center"/>
    </x:xf>
    <x:xf numFmtId="206" fontId="3" fillId="4" borderId="6" xfId="0" applyNumberFormat="1" applyFont="1" applyFill="1" applyBorder="1" applyAlignment="1">
      <x:alignment horizontal="center" vertical="center"/>
    </x:xf>
    <x:xf numFmtId="206" fontId="3" fillId="4" borderId="7" xfId="0" applyNumberFormat="1" applyFont="1" applyFill="1" applyBorder="1" applyAlignment="1">
      <x:alignment horizontal="center" vertical="center"/>
    </x:xf>
    <x:xf numFmtId="206" fontId="3" fillId="4" borderId="8" xfId="0" applyNumberFormat="1" applyFont="1" applyFill="1" applyBorder="1" applyAlignment="1">
      <x:alignment horizontal="center" vertical="center"/>
    </x:xf>
    <x:xf numFmtId="206" fontId="3" fillId="4" borderId="0" xfId="0" applyNumberFormat="1" applyFont="1" applyFill="1" applyBorder="1" applyAlignment="1">
      <x:alignment horizontal="center" vertical="center"/>
    </x:xf>
    <x:xf numFmtId="206" fontId="3" fillId="4" borderId="9" xfId="0" applyNumberFormat="1" applyFont="1" applyFill="1" applyBorder="1" applyAlignment="1">
      <x:alignment horizontal="center" vertical="center"/>
    </x:xf>
    <x:xf numFmtId="206" fontId="3" fillId="4" borderId="10" xfId="0" applyNumberFormat="1" applyFont="1" applyFill="1" applyBorder="1" applyAlignment="1">
      <x:alignment horizontal="center" vertical="center"/>
    </x:xf>
    <x:xf numFmtId="206" fontId="3" fillId="4" borderId="11" xfId="0" applyNumberFormat="1" applyFont="1" applyFill="1" applyBorder="1" applyAlignment="1">
      <x:alignment horizontal="center" vertical="center"/>
    </x:xf>
    <x:xf numFmtId="206" fontId="3" fillId="4" borderId="12" xfId="0" applyNumberFormat="1" applyFont="1" applyFill="1" applyBorder="1" applyAlignment="1">
      <x:alignment horizontal="center" vertical="center"/>
    </x:xf>
    <x:xf numFmtId="211" fontId="3" fillId="4" borderId="5" xfId="0" applyNumberFormat="1" applyFont="1" applyFill="1" applyBorder="1"/>
    <x:xf numFmtId="211" fontId="3" fillId="4" borderId="6" xfId="0" applyNumberFormat="1" applyFont="1" applyFill="1" applyBorder="1"/>
    <x:xf numFmtId="211" fontId="3" fillId="4" borderId="7" xfId="0" applyNumberFormat="1" applyFont="1" applyFill="1" applyBorder="1"/>
    <x:xf numFmtId="211" fontId="3" fillId="4" borderId="8" xfId="0" applyNumberFormat="1" applyFont="1" applyFill="1" applyBorder="1"/>
    <x:xf numFmtId="211" fontId="3" fillId="4" borderId="0" xfId="0" applyNumberFormat="1" applyFont="1" applyFill="1" applyBorder="1"/>
    <x:xf numFmtId="211" fontId="3" fillId="4" borderId="9" xfId="0" applyNumberFormat="1" applyFont="1" applyFill="1" applyBorder="1"/>
    <x:xf numFmtId="211" fontId="3" fillId="4" borderId="10" xfId="0" applyNumberFormat="1" applyFont="1" applyFill="1" applyBorder="1"/>
    <x:xf numFmtId="211" fontId="3" fillId="4" borderId="11" xfId="0" applyNumberFormat="1" applyFont="1" applyFill="1" applyBorder="1"/>
    <x:xf numFmtId="211" fontId="3" fillId="4" borderId="12" xfId="0" applyNumberFormat="1" applyFont="1" applyFill="1" applyBorder="1"/>
    <x:xf numFmtId="211" fontId="3" fillId="4" borderId="5" xfId="0" applyNumberFormat="1" applyFont="1" applyFill="1" applyBorder="1" applyAlignment="1">
      <x:alignment horizontal="center"/>
    </x:xf>
    <x:xf numFmtId="211" fontId="3" fillId="4" borderId="6" xfId="0" applyNumberFormat="1" applyFont="1" applyFill="1" applyBorder="1" applyAlignment="1">
      <x:alignment horizontal="center"/>
    </x:xf>
    <x:xf numFmtId="211" fontId="3" fillId="4" borderId="7" xfId="0" applyNumberFormat="1" applyFont="1" applyFill="1" applyBorder="1" applyAlignment="1">
      <x:alignment horizontal="center"/>
    </x:xf>
    <x:xf numFmtId="211" fontId="3" fillId="4" borderId="8" xfId="0" applyNumberFormat="1" applyFont="1" applyFill="1" applyBorder="1" applyAlignment="1">
      <x:alignment horizontal="center"/>
    </x:xf>
    <x:xf numFmtId="211" fontId="3" fillId="4" borderId="0" xfId="0" applyNumberFormat="1" applyFont="1" applyFill="1" applyBorder="1" applyAlignment="1">
      <x:alignment horizontal="center"/>
    </x:xf>
    <x:xf numFmtId="211" fontId="3" fillId="4" borderId="9" xfId="0" applyNumberFormat="1" applyFont="1" applyFill="1" applyBorder="1" applyAlignment="1">
      <x:alignment horizontal="center"/>
    </x:xf>
    <x:xf numFmtId="211" fontId="3" fillId="4" borderId="10" xfId="0" applyNumberFormat="1" applyFont="1" applyFill="1" applyBorder="1" applyAlignment="1">
      <x:alignment horizontal="center"/>
    </x:xf>
    <x:xf numFmtId="211" fontId="3" fillId="4" borderId="11" xfId="0" applyNumberFormat="1" applyFont="1" applyFill="1" applyBorder="1" applyAlignment="1">
      <x:alignment horizontal="center"/>
    </x:xf>
    <x:xf numFmtId="211" fontId="3" fillId="4" borderId="12" xfId="0" applyNumberFormat="1" applyFont="1" applyFill="1" applyBorder="1" applyAlignment="1">
      <x:alignment horizontal="center"/>
    </x:xf>
    <x:xf numFmtId="211" fontId="3" fillId="4" borderId="5" xfId="0" applyNumberFormat="1" applyFont="1" applyFill="1" applyBorder="1" applyAlignment="1">
      <x:alignment horizontal="center" vertical="center"/>
    </x:xf>
    <x:xf numFmtId="211" fontId="3" fillId="4" borderId="6" xfId="0" applyNumberFormat="1" applyFont="1" applyFill="1" applyBorder="1" applyAlignment="1">
      <x:alignment horizontal="center" vertical="center"/>
    </x:xf>
    <x:xf numFmtId="211" fontId="3" fillId="4" borderId="7" xfId="0" applyNumberFormat="1" applyFont="1" applyFill="1" applyBorder="1" applyAlignment="1">
      <x:alignment horizontal="center" vertical="center"/>
    </x:xf>
    <x:xf numFmtId="211" fontId="3" fillId="4" borderId="8" xfId="0" applyNumberFormat="1" applyFont="1" applyFill="1" applyBorder="1" applyAlignment="1">
      <x:alignment horizontal="center" vertical="center"/>
    </x:xf>
    <x:xf numFmtId="211" fontId="3" fillId="4" borderId="0" xfId="0" applyNumberFormat="1" applyFont="1" applyFill="1" applyBorder="1" applyAlignment="1">
      <x:alignment horizontal="center" vertical="center"/>
    </x:xf>
    <x:xf numFmtId="211" fontId="3" fillId="4" borderId="9" xfId="0" applyNumberFormat="1" applyFont="1" applyFill="1" applyBorder="1" applyAlignment="1">
      <x:alignment horizontal="center" vertical="center"/>
    </x:xf>
    <x:xf numFmtId="211" fontId="3" fillId="4" borderId="10" xfId="0" applyNumberFormat="1" applyFont="1" applyFill="1" applyBorder="1" applyAlignment="1">
      <x:alignment horizontal="center" vertical="center"/>
    </x:xf>
    <x:xf numFmtId="211" fontId="3" fillId="4" borderId="11" xfId="0" applyNumberFormat="1" applyFont="1" applyFill="1" applyBorder="1" applyAlignment="1">
      <x:alignment horizontal="center" vertical="center"/>
    </x:xf>
    <x:xf numFmtId="211" fontId="3" fillId="4" borderId="12" xfId="0" applyNumberFormat="1" applyFont="1" applyFill="1" applyBorder="1" applyAlignment="1">
      <x:alignment horizontal="center" vertical="center"/>
    </x:xf>
    <x:xf numFmtId="0" fontId="14" fillId="0" borderId="0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4" xfId="0" applyNumberFormat="1" applyFont="1" applyFill="1" applyBorder="1"/>
    <x:xf numFmtId="200" fontId="4" fillId="8" borderId="4" xfId="0" applyNumberFormat="1" applyFont="1" applyFill="1" applyBorder="1"/>
    <x:xf numFmtId="202" fontId="4" fillId="8" borderId="2" xfId="0" applyNumberFormat="1" applyFont="1" applyFill="1" applyBorder="1"/>
    <x:xf numFmtId="202" fontId="4" fillId="8" borderId="4" xfId="0" applyNumberFormat="1" applyFont="1" applyFill="1" applyBorder="1"/>
    <x:xf numFmtId="0" fontId="4" fillId="8" borderId="3" xfId="0" applyNumberFormat="1" applyFont="1" applyFill="1" applyBorder="1"/>
    <x:xf numFmtId="202" fontId="4" fillId="8" borderId="3" xfId="0" applyNumberFormat="1" applyFont="1" applyFill="1" applyBorder="1"/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13" xfId="0" applyNumberFormat="1" applyFont="1" applyFill="1" applyBorder="1"/>
    <x:xf numFmtId="0" fontId="1" fillId="9" borderId="14" xfId="0" applyNumberFormat="1" applyFont="1" applyFill="1" applyBorder="1"/>
    <x:xf numFmtId="0" fontId="1" fillId="9" borderId="15" xfId="0" applyNumberFormat="1" applyFont="1" applyFill="1" applyBorder="1"/>
    <x:xf numFmtId="0" fontId="1" fillId="9" borderId="13" xfId="0" applyNumberFormat="1" applyFont="1" applyFill="1" applyBorder="1" applyAlignment="1">
      <x:alignment vertical="center"/>
    </x:xf>
    <x:xf numFmtId="0" fontId="1" fillId="9" borderId="14" xfId="0" applyNumberFormat="1" applyFont="1" applyFill="1" applyBorder="1" applyAlignment="1">
      <x:alignment vertical="center"/>
    </x:xf>
    <x:xf numFmtId="0" fontId="1" fillId="9" borderId="15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4" xfId="0" applyNumberFormat="1" applyFont="1" applyFill="1" applyBorder="1"/>
    <x:xf numFmtId="0" fontId="1" fillId="10" borderId="4" xfId="0" applyNumberFormat="1" applyFont="1" applyFill="1" applyBorder="1" applyAlignment="1">
      <x:alignment wrapText="1"/>
    </x:xf>
    <x:xf numFmtId="0" fontId="1" fillId="10" borderId="4" xfId="0" applyNumberFormat="1" applyFont="1" applyFill="1" applyBorder="1" applyAlignment="1">
      <x:alignment horizontal="center" wrapText="1"/>
    </x:xf>
    <x:xf numFmtId="0" fontId="1" fillId="10" borderId="4" xfId="0" applyNumberFormat="1" applyFont="1" applyFill="1" applyBorder="1" applyAlignment="1">
      <x:alignment horizontal="center" vertical="center" wrapText="1"/>
    </x:xf>
    <x:xf numFmtId="0" fontId="4" fillId="8" borderId="1" xfId="0" applyNumberFormat="1" applyFont="1" applyFill="1" applyBorder="1"/>
    <x:xf numFmtId="0" fontId="4" fillId="8" borderId="2" xfId="0" applyNumberFormat="1" applyFont="1" applyFill="1" applyBorder="1"/>
    <x:xf numFmtId="0" fontId="0" fillId="11" borderId="0" xfId="0" applyNumberFormat="1" applyFont="1" applyFill="1" applyBorder="1"/>
    <x:xf numFmtId="0" fontId="7" fillId="11" borderId="0" xfId="0" applyNumberFormat="1" applyFont="1" applyFill="1" applyBorder="1"/>
    <x:xf numFmtId="0" fontId="7" fillId="11" borderId="1" xfId="0" applyNumberFormat="1" applyFont="1" applyFill="1" applyBorder="1"/>
    <x:xf numFmtId="0" fontId="7" fillId="11" borderId="3" xfId="0" applyNumberFormat="1" applyFont="1" applyFill="1" applyBorder="1"/>
    <x:xf numFmtId="200" fontId="4" fillId="8" borderId="1" xfId="0" applyNumberFormat="1" applyFont="1" applyFill="1" applyBorder="1"/>
    <x:xf numFmtId="200" fontId="4" fillId="8" borderId="2" xfId="0" applyNumberFormat="1" applyFont="1" applyFill="1" applyBorder="1"/>
    <x:xf numFmtId="203" fontId="4" fillId="8" borderId="2" xfId="0" applyNumberFormat="1" applyFont="1" applyFill="1" applyBorder="1"/>
    <x:xf numFmtId="203" fontId="4" fillId="8" borderId="3" xfId="0" applyNumberFormat="1" applyFont="1" applyFill="1" applyBorder="1"/>
    <x:xf numFmtId="203" fontId="7" fillId="11" borderId="1" xfId="0" applyNumberFormat="1" applyFont="1" applyFill="1" applyBorder="1"/>
    <x:xf numFmtId="203" fontId="7" fillId="11" borderId="3" xfId="0" applyNumberFormat="1" applyFont="1" applyFill="1" applyBorder="1"/>
    <x:xf numFmtId="0" fontId="1" fillId="9" borderId="13" xfId="0" applyNumberFormat="1" applyFont="1" applyFill="1" applyBorder="1" applyAlignment="1">
      <x:alignment horizontal="left" vertical="center"/>
    </x:xf>
    <x:xf numFmtId="0" fontId="1" fillId="9" borderId="14" xfId="0" applyNumberFormat="1" applyFont="1" applyFill="1" applyBorder="1" applyAlignment="1">
      <x:alignment horizontal="left" vertical="center"/>
    </x:xf>
    <x:xf numFmtId="0" fontId="1" fillId="9" borderId="15" xfId="0" applyNumberFormat="1" applyFont="1" applyFill="1" applyBorder="1" applyAlignment="1">
      <x:alignment horizontal="left" vertical="center"/>
    </x:xf>
    <x:xf numFmtId="0" fontId="4" fillId="8" borderId="7" xfId="0" applyNumberFormat="1" applyFont="1" applyFill="1" applyBorder="1"/>
    <x:xf numFmtId="0" fontId="4" fillId="8" borderId="9" xfId="0" applyNumberFormat="1" applyFont="1" applyFill="1" applyBorder="1"/>
    <x:xf numFmtId="0" fontId="4" fillId="8" borderId="12" xfId="0" applyNumberFormat="1" applyFont="1" applyFill="1" applyBorder="1"/>
    <x:xf numFmtId="0" fontId="4" fillId="8" borderId="5" xfId="0" applyNumberFormat="1" applyFont="1" applyFill="1" applyBorder="1"/>
    <x:xf numFmtId="0" fontId="4" fillId="8" borderId="6" xfId="0" applyNumberFormat="1" applyFont="1" applyFill="1" applyBorder="1"/>
    <x:xf numFmtId="0" fontId="4" fillId="8" borderId="8" xfId="0" applyNumberFormat="1" applyFont="1" applyFill="1" applyBorder="1"/>
    <x:xf numFmtId="0" fontId="4" fillId="8" xfId="0" applyNumberFormat="1" applyFont="1" applyFill="1" applyBorder="0"/>
    <x:xf numFmtId="0" fontId="4" fillId="8" borderId="10" xfId="0" applyNumberFormat="1" applyFont="1" applyFill="1" applyBorder="1"/>
    <x:xf numFmtId="0" fontId="4" fillId="8" borderId="11" xfId="0" applyNumberFormat="1" applyFont="1" applyFill="1" applyBorder="1"/>
    <x:xf numFmtId="0" fontId="7" fillId="11" borderId="5" xfId="0" applyNumberFormat="1" applyFont="1" applyFill="1" applyBorder="1"/>
    <x:xf numFmtId="0" fontId="7" fillId="11" borderId="7" xfId="0" applyNumberFormat="1" applyFont="1" applyFill="1" applyBorder="1"/>
    <x:xf numFmtId="0" fontId="7" fillId="11" borderId="8" xfId="0" applyNumberFormat="1" applyFont="1" applyFill="1" applyBorder="1"/>
    <x:xf numFmtId="0" fontId="7" fillId="11" borderId="9" xfId="0" applyNumberFormat="1" applyFont="1" applyFill="1" applyBorder="1"/>
    <x:xf numFmtId="0" fontId="7" fillId="11" borderId="10" xfId="0" applyNumberFormat="1" applyFont="1" applyFill="1" applyBorder="1"/>
    <x:xf numFmtId="0" fontId="7" fillId="11" borderId="12" xfId="0" applyNumberFormat="1" applyFont="1" applyFill="1" applyBorder="1"/>
    <x:xf numFmtId="202" fontId="4" fillId="8" borderId="5" xfId="0" applyNumberFormat="1" applyFont="1" applyFill="1" applyBorder="1"/>
    <x:xf numFmtId="202" fontId="4" fillId="8" borderId="6" xfId="0" applyNumberFormat="1" applyFont="1" applyFill="1" applyBorder="1"/>
    <x:xf numFmtId="202" fontId="4" fillId="8" borderId="7" xfId="0" applyNumberFormat="1" applyFont="1" applyFill="1" applyBorder="1"/>
    <x:xf numFmtId="202" fontId="4" fillId="8" borderId="8" xfId="0" applyNumberFormat="1" applyFont="1" applyFill="1" applyBorder="1"/>
    <x:xf numFmtId="202" fontId="4" fillId="8" xfId="0" applyNumberFormat="1" applyFont="1" applyFill="1" applyBorder="0"/>
    <x:xf numFmtId="202" fontId="4" fillId="8" borderId="9" xfId="0" applyNumberFormat="1" applyFont="1" applyFill="1" applyBorder="1"/>
    <x:xf numFmtId="202" fontId="4" fillId="8" borderId="10" xfId="0" applyNumberFormat="1" applyFont="1" applyFill="1" applyBorder="1"/>
    <x:xf numFmtId="202" fontId="4" fillId="8" borderId="11" xfId="0" applyNumberFormat="1" applyFont="1" applyFill="1" applyBorder="1"/>
    <x:xf numFmtId="202" fontId="4" fillId="8" borderId="12" xfId="0" applyNumberFormat="1" applyFont="1" applyFill="1" applyBorder="1"/>
    <x:xf numFmtId="206" fontId="7" fillId="11" borderId="5" xfId="0" applyNumberFormat="1" applyFont="1" applyFill="1" applyBorder="1"/>
    <x:xf numFmtId="206" fontId="7" fillId="11" borderId="7" xfId="0" applyNumberFormat="1" applyFont="1" applyFill="1" applyBorder="1"/>
    <x:xf numFmtId="206" fontId="7" fillId="11" borderId="8" xfId="0" applyNumberFormat="1" applyFont="1" applyFill="1" applyBorder="1"/>
    <x:xf numFmtId="206" fontId="7" fillId="11" borderId="9" xfId="0" applyNumberFormat="1" applyFont="1" applyFill="1" applyBorder="1"/>
    <x:xf numFmtId="206" fontId="7" fillId="11" borderId="10" xfId="0" applyNumberFormat="1" applyFont="1" applyFill="1" applyBorder="1"/>
    <x:xf numFmtId="206" fontId="7" fillId="11" borderId="12" xfId="0" applyNumberFormat="1" applyFont="1" applyFill="1" applyBorder="1"/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vertical="center"/>
    </x:xf>
    <x:xf numFmtId="0" fontId="8" fillId="11" borderId="0" xfId="0" applyNumberFormat="1" applyFont="1" applyFill="1" applyBorder="1"/>
    <x:xf numFmtId="208" fontId="1" fillId="10" borderId="4" xfId="0" applyNumberFormat="1" applyFont="1" applyFill="1" applyBorder="1"/>
    <x:xf numFmtId="208" fontId="1" fillId="10" borderId="4" xfId="0" applyNumberFormat="1" applyFont="1" applyFill="1" applyBorder="1" applyAlignment="1">
      <x:alignment horizontal="center"/>
    </x:xf>
    <x:xf numFmtId="201" fontId="8" fillId="11" borderId="0" xfId="0" applyNumberFormat="1" applyFont="1" applyFill="1" applyBorder="1"/>
    <x:xf numFmtId="201" fontId="8" fillId="11" borderId="0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207" fontId="0" fillId="13" borderId="0" xfId="0" applyNumberFormat="1" applyFont="1" applyFill="1" applyBorder="1"/>
    <x:xf numFmtId="0" fontId="5" fillId="13" borderId="0" xfId="0" applyNumberFormat="1" applyFont="1" applyFill="1" applyBorder="1"/>
    <x:xf numFmtId="207" fontId="5" fillId="13" borderId="0" xfId="0" applyNumberFormat="1" applyFont="1" applyFill="1" applyBorder="1"/>
    <x:xf numFmtId="0" fontId="5" fillId="13" borderId="16" xfId="0" applyNumberFormat="1" applyFont="1" applyFill="1" applyBorder="1"/>
    <x:xf numFmtId="207" fontId="5" fillId="13" borderId="16" xfId="0" applyNumberFormat="1" applyFont="1" applyFill="1" applyBorder="1"/>
    <x:xf numFmtId="208" fontId="1" fillId="10" borderId="0" xfId="0" applyNumberFormat="1" applyFont="1" applyFill="1" applyBorder="1"/>
    <x:xf numFmtId="208" fontId="1" fillId="10" borderId="0" xfId="0" applyNumberFormat="1" applyFont="1" applyFill="1" applyBorder="1" applyAlignment="1">
      <x:alignment horizontal="center"/>
    </x:xf>
    <x:xf numFmtId="203" fontId="5" fillId="13" borderId="16" xfId="0" applyNumberFormat="1" applyFont="1" applyFill="1" applyBorder="1"/>
    <x:xf numFmtId="209" fontId="0" fillId="0" borderId="0" xfId="0" applyNumberFormat="1" applyFont="1" applyFill="1" applyBorder="1"/>
  </x:cellXfs>
  <x:cellStyles count="1">
    <x:cellStyle name="Normal" xfId="0"/>
  </x:cellStyles>
  <x:dxfs count="12">
    <x:dxf>
      <x:font>
        <x:b/>
        <x:color rgb="FF006100"/>
      </x:font>
      <x:fill>
        <x:patternFill>
          <x:bgColor rgb="FFC6E0B4"/>
        </x:patternFill>
      </x:fill>
    </x:dxf>
    <x:dxf>
      <x:font>
        <x:b/>
        <x:color rgb="FF9C6500"/>
      </x:font>
      <x:fill>
        <x:patternFill>
          <x:bgColor rgb="FFFFE69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C6E0B4"/>
        </x:patternFill>
      </x:fill>
    </x:dxf>
    <x:dxf>
      <x:font>
        <x:b/>
        <x:color rgb="FF9C6500"/>
      </x:font>
      <x:fill>
        <x:patternFill>
          <x:bgColor rgb="FFFFE69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9C6500"/>
      </x:font>
      <x:fill>
        <x:patternFill patternType="solid">
          <x:bgColor rgb="FFFFE69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9C6500"/>
      </x:font>
      <x:fill>
        <x:patternFill patternType="solid">
          <x:bgColor rgb="FFFFE69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e89a851f3944ed" /><Relationship Type="http://schemas.openxmlformats.org/officeDocument/2006/relationships/theme" Target="/xl/theme/theme1.xml" Id="R9c14981227aa4695" /><Relationship Type="http://schemas.openxmlformats.org/officeDocument/2006/relationships/sharedStrings" Target="/xl/sharedStrings.xml" Id="R86be9747b0ab4a83" /><Relationship Type="http://schemas.openxmlformats.org/officeDocument/2006/relationships/worksheet" Target="/xl/worksheets/sheet1.xml" Id="R774fa9117cf74834" /><Relationship Type="http://schemas.openxmlformats.org/officeDocument/2006/relationships/worksheet" Target="/xl/worksheets/sheet2.xml" Id="R855b8c4488664b12" /><Relationship Type="http://schemas.openxmlformats.org/officeDocument/2006/relationships/worksheet" Target="/xl/worksheets/sheet3.xml" Id="R78360448fe104d42" /><Relationship Type="http://schemas.openxmlformats.org/officeDocument/2006/relationships/worksheet" Target="/xl/worksheets/sheet4.xml" Id="R212d7480780d4826" /><Relationship Type="http://schemas.openxmlformats.org/officeDocument/2006/relationships/worksheet" Target="/xl/worksheets/sheet5.xml" Id="R19ea631707af4c09" /><Relationship Type="http://schemas.openxmlformats.org/officeDocument/2006/relationships/worksheet" Target="/xl/worksheets/sheet6.xml" Id="R336d2d0407134420" /><Relationship Type="http://schemas.openxmlformats.org/officeDocument/2006/relationships/worksheet" Target="/xl/worksheets/sheet7.xml" Id="R76a2d21c54ad4230" /><Relationship Type="http://schemas.openxmlformats.org/officeDocument/2006/relationships/worksheet" Target="/xl/worksheets/sheet8.xml" Id="R0075705680cb47d8" /><Relationship Type="http://schemas.openxmlformats.org/officeDocument/2006/relationships/worksheet" Target="/xl/worksheets/sheet9.xml" Id="R89bbb3542ffe41b4" /><Relationship Type="http://schemas.openxmlformats.org/officeDocument/2006/relationships/worksheet" Target="/xl/worksheets/sheet10.xml" Id="R24ab5922949942a1" /><Relationship Type="http://schemas.openxmlformats.org/officeDocument/2006/relationships/worksheet" Target="/xl/worksheets/sheet11.xml" Id="R2b6b3fe77c104813" /><Relationship Type="http://schemas.openxmlformats.org/officeDocument/2006/relationships/worksheet" Target="/xl/worksheets/sheet12.xml" Id="R8531feb057c945ef" /><Relationship Type="http://schemas.openxmlformats.org/officeDocument/2006/relationships/worksheet" Target="/xl/worksheets/sheet13.xml" Id="R0876d8cdf5404039" /><Relationship Type="http://schemas.openxmlformats.org/officeDocument/2006/relationships/worksheet" Target="/xl/worksheets/sheet14.xml" Id="R1bb57a16a5bc491a" /><Relationship Type="http://schemas.openxmlformats.org/officeDocument/2006/relationships/worksheet" Target="/xl/worksheets/sheet15.xml" Id="R3a549e4115214feb" /><Relationship Type="http://schemas.openxmlformats.org/officeDocument/2006/relationships/worksheet" Target="/xl/worksheets/sheet16.xml" Id="R9492bc82770f42fb" /><Relationship Type="http://schemas.openxmlformats.org/officeDocument/2006/relationships/worksheet" Target="/xl/worksheets/sheet17.xml" Id="Ree30bb7cb7d64b73" /><Relationship Type="http://schemas.openxmlformats.org/officeDocument/2006/relationships/worksheet" Target="/xl/worksheets/sheet18.xml" Id="Rc299bed227bc49b4" /><Relationship Type="http://schemas.openxmlformats.org/officeDocument/2006/relationships/worksheet" Target="/xl/worksheets/sheet19.xml" Id="RidCF4worksheet000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d1a88ae97814a88" /><Relationship Type="http://schemas.openxmlformats.org/officeDocument/2006/relationships/chart" Target="/xl/drawings/charts/chart2.xml" Id="R61ed4f4ee11c4944" /><Relationship Type="http://schemas.openxmlformats.org/officeDocument/2006/relationships/chart" Target="/xl/drawings/charts/chart3.xml" Id="R8e4645a1352d4ecc" /><Relationship Type="http://schemas.openxmlformats.org/officeDocument/2006/relationships/chart" Target="/xl/drawings/charts/chart4.xml" Id="R83954957704e454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Выручка и расходы по кварталам, млн ₽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Выручка</c:v>
          </c:tx>
          <c:marker>
            <c:symbol val="none"/>
          </c:marker>
          <c:cat>
            <c:strRef>
              <c:f>'Дашборд'!$R$4:$R$43</c:f>
              <c:strCache>
                <c:ptCount val="0"/>
              </c:strCache>
            </c:strRef>
          </c:cat>
          <c:val>
            <c:numRef>
              <c:f>'Дашборд'!$S$4:$S$43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Расходы</c:v>
          </c:tx>
          <c:marker>
            <c:symbol val="none"/>
          </c:marker>
          <c:cat>
            <c:strRef>
              <c:f>'Дашборд'!$R$4:$R$43</c:f>
              <c:strCache>
                <c:ptCount val="0"/>
              </c:strCache>
            </c:strRef>
          </c:cat>
          <c:val>
            <c:numRef>
              <c:f>'Дашборд'!$T$4:$T$43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Долг и эскроу по кварталам, млн ₽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Долг</c:v>
          </c:tx>
          <c:marker>
            <c:symbol val="none"/>
          </c:marker>
          <c:cat>
            <c:strRef>
              <c:f>'Дашборд'!$AD$4:$AD$43</c:f>
              <c:strCache>
                <c:ptCount val="0"/>
              </c:strCache>
            </c:strRef>
          </c:cat>
          <c:val>
            <c:numRef>
              <c:f>'Дашборд'!$AE$4:$AE$43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Эскроу</c:v>
          </c:tx>
          <c:marker>
            <c:symbol val="none"/>
          </c:marker>
          <c:cat>
            <c:strRef>
              <c:f>'Дашборд'!$AD$4:$AD$43</c:f>
              <c:strCache>
                <c:ptCount val="0"/>
              </c:strCache>
            </c:strRef>
          </c:cat>
          <c:val>
            <c:numRef>
              <c:f>'Дашборд'!$AF$4:$AF$43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Структура расходов, млн ₽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Сумма</c:v>
          </c:tx>
          <c:cat>
            <c:strRef>
              <c:f>'Дашборд'!$X$4:$X$10</c:f>
              <c:strCache>
                <c:ptCount val="0"/>
              </c:strCache>
            </c:strRef>
          </c:cat>
          <c:val>
            <c:numRef>
              <c:f>'Дашборд'!$Y$4:$Y$10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Чистая прибыль по очередям, млн ₽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Чистая прибыль</c:v>
          </c:tx>
          <c:cat>
            <c:strRef>
              <c:f>'Дашборд'!$AA$4:$AA$7</c:f>
              <c:strCache>
                <c:ptCount val="0"/>
              </c:strCache>
            </c:strRef>
          </c:cat>
          <c:val>
            <c:numRef>
              <c:f>'Дашборд'!$AB$4:$AB$7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8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d1a88ae97814a88"/>
        </a:graphicData>
      </a:graphic>
    </xdr:graphicFrame>
    <xdr:clientData/>
  </xdr:twoCellAnchor>
  <xdr:twoCellAnchor>
    <xdr:from>
      <xdr:col>8</xdr:col>
      <xdr:colOff>0</xdr:colOff>
      <xdr:row>16</xdr:row>
      <xdr:rowOff>0</xdr:rowOff>
    </xdr:from>
    <xdr:to>
      <xdr:col>16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ed4f4ee11c4944"/>
        </a:graphicData>
      </a:graphic>
    </xdr:graphicFrame>
    <xdr:clientData/>
  </xdr:twoCellAnchor>
  <xdr:twoCellAnchor>
    <xdr:from>
      <xdr:col>0</xdr:col>
      <xdr:colOff>0</xdr:colOff>
      <xdr:row>34</xdr:row>
      <xdr:rowOff>0</xdr:rowOff>
    </xdr:from>
    <xdr:to>
      <xdr:col>8</xdr:col>
      <xdr:colOff>0</xdr:colOff>
      <xdr:row>51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4645a1352d4ecc"/>
        </a:graphicData>
      </a:graphic>
    </xdr:graphicFrame>
    <xdr:clientData/>
  </xdr:twoCellAnchor>
  <xdr:twoCellAnchor>
    <xdr:from>
      <xdr:col>8</xdr:col>
      <xdr:colOff>0</xdr:colOff>
      <xdr:row>34</xdr:row>
      <xdr:rowOff>0</xdr:rowOff>
    </xdr:from>
    <xdr:to>
      <xdr:col>16</xdr:col>
      <xdr:colOff>0</xdr:colOff>
      <xdr:row>51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3954957704e454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.xml" Id="R3995f2a1ad5b43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8" hidden="0" customWidth="1"/>
    <x:col min="3" max="3" width="20" hidden="0" customWidth="1"/>
    <x:col min="4" max="4" width="25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42" hidden="0" customWidth="1"/>
    <x:col min="11" max="11" width="18" hidden="0" customWidth="1"/>
    <x:col min="12" max="12" width="20" hidden="0" customWidth="1"/>
    <x:col min="13" max="13" width="32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</x:cols>
  <x:sheetData>
    <x:row r="1" ht="28" customHeight="1">
      <x:c r="A1" s="4" t="str">
        <x:v>DEVELOPAID · ПОЛНАЯ ИНВЕСТИЦИОННАЯ МОДЕЛЬ</x:v>
      </x:c>
      <x:c r="B1" s="4" t="str">
        <x:v>DEVELOPAID · ПОЛНАЯ ИНВЕСТИЦИОННАЯ МОДЕЛЬ</x:v>
      </x:c>
      <x:c r="C1" s="4" t="str">
        <x:v>DEVELOPAID · ПОЛНАЯ ИНВЕСТИЦИОННАЯ МОДЕЛЬ</x:v>
      </x:c>
      <x:c r="D1" s="4" t="str">
        <x:v>DEVELOPAID · ПОЛНАЯ ИНВЕСТИЦИОННАЯ МОДЕЛЬ</x:v>
      </x:c>
      <x:c r="E1" s="4" t="str">
        <x:v>DEVELOPAID · ПОЛНАЯ ИНВЕСТИЦИОННАЯ МОДЕЛЬ</x:v>
      </x:c>
      <x:c r="F1" s="4" t="str">
        <x:v>DEVELOPAID · ПОЛНАЯ ИНВЕСТИЦИОННАЯ МОДЕЛЬ</x:v>
      </x:c>
      <x:c r="G1" s="4" t="str">
        <x:v>DEVELOPAID · ПОЛНАЯ ИНВЕСТИЦИОННАЯ МОДЕЛЬ</x:v>
      </x:c>
      <x:c r="H1" s="4" t="str">
        <x:v>DEVELOPAID · ПОЛНАЯ ИНВЕСТИЦИОННАЯ МОДЕЛЬ</x:v>
      </x:c>
      <x:c r="I1" s="4" t="str">
        <x:v>DEVELOPAID · ПОЛНАЯ ИНВЕСТИЦИОННАЯ МОДЕЛЬ</x:v>
      </x:c>
      <x:c r="J1" s="4" t="str">
        <x:v>DEVELOPAID · ПОЛНАЯ ИНВЕСТИЦИОННАЯ МОДЕЛЬ</x:v>
      </x:c>
      <x:c r="K1" s="4" t="str">
        <x:v>DEVELOPAID · ПОЛНАЯ ИНВЕСТИЦИОННАЯ МОДЕЛЬ</x:v>
      </x:c>
      <x:c r="L1" s="4" t="str">
        <x:v>DEVELOPAID · ПОЛНАЯ ИНВЕСТИЦИОННАЯ МОДЕЛЬ</x:v>
      </x:c>
      <x:c r="M1" s="4" t="str">
        <x:v>DEVELOPAID · ПОЛНАЯ ИНВЕСТИЦИОННАЯ МОДЕЛЬ</x:v>
      </x:c>
    </x:row>
    <x:row r="2">
      <x:c r="A2" s="6" t="str">
        <x:v>Синие значения — ввод пользователя; зелёные формулы — ссылки и расчётные параметры; все денежные показатели — млн ₽.</x:v>
      </x:c>
      <x:c r="B2" s="6" t="str">
        <x:v>Синие значения — ввод пользователя; зелёные формулы — ссылки и расчётные параметры; все денежные показатели — млн ₽.</x:v>
      </x:c>
      <x:c r="C2" s="6" t="str">
        <x:v>Синие значения — ввод пользователя; зелёные формулы — ссылки и расчётные параметры; все денежные показатели — млн ₽.</x:v>
      </x:c>
      <x:c r="D2" s="6" t="str">
        <x:v>Синие значения — ввод пользователя; зелёные формулы — ссылки и расчётные параметры; все денежные показатели — млн ₽.</x:v>
      </x:c>
      <x:c r="E2" s="6" t="str">
        <x:v>Синие значения — ввод пользователя; зелёные формулы — ссылки и расчётные параметры; все денежные показатели — млн ₽.</x:v>
      </x:c>
      <x:c r="F2" s="6" t="str">
        <x:v>Синие значения — ввод пользователя; зелёные формулы — ссылки и расчётные параметры; все денежные показатели — млн ₽.</x:v>
      </x:c>
      <x:c r="G2" s="6" t="str">
        <x:v>Синие значения — ввод пользователя; зелёные формулы — ссылки и расчётные параметры; все денежные показатели — млн ₽.</x:v>
      </x:c>
      <x:c r="H2" s="6" t="str">
        <x:v>Синие значения — ввод пользователя; зелёные формулы — ссылки и расчётные параметры; все денежные показатели — млн ₽.</x:v>
      </x:c>
      <x:c r="I2" s="6" t="str">
        <x:v>Синие значения — ввод пользователя; зелёные формулы — ссылки и расчётные параметры; все денежные показатели — млн ₽.</x:v>
      </x:c>
      <x:c r="J2" s="6" t="str">
        <x:v>Синие значения — ввод пользователя; зелёные формулы — ссылки и расчётные параметры; все денежные показатели — млн ₽.</x:v>
      </x:c>
      <x:c r="K2" s="6" t="str">
        <x:v>Синие значения — ввод пользователя; зелёные формулы — ссылки и расчётные параметры; все денежные показатели — млн ₽.</x:v>
      </x:c>
      <x:c r="L2" s="6" t="str">
        <x:v>Синие значения — ввод пользователя; зелёные формулы — ссылки и расчётные параметры; все денежные показатели — млн ₽.</x:v>
      </x:c>
      <x:c r="M2" s="6" t="str">
        <x:v>Синие значения — ввод пользователя; зелёные формулы — ссылки и расчётные параметры; все денежные показатели — млн ₽.</x:v>
      </x:c>
    </x:row>
    <x:row r="4" ht="21" customHeight="1">
      <x:c r="A4" s="7" t="str">
        <x:v>Проект</x:v>
      </x:c>
      <x:c r="B4" s="10" t="str">
        <x:v>Проект DevelopAid</x:v>
      </x:c>
      <x:c r="D4" s="23" t="str">
        <x:v>Сценарный драйвер</x:v>
      </x:c>
      <x:c r="E4" s="23" t="str">
        <x:v>Base</x:v>
      </x:c>
      <x:c r="F4" s="23" t="str">
        <x:v>Upside</x:v>
      </x:c>
      <x:c r="G4" s="23" t="str">
        <x:v>Downside</x:v>
      </x:c>
      <x:c r="H4" s="23" t="str">
        <x:v>Активно</x:v>
      </x:c>
      <x:c r="J4" s="52" t="str">
        <x:v>ПЛОТНОСТЬ И ПЕРЕСЧЁТ ТЭП</x:v>
      </x:c>
      <x:c r="K4" s="53" t="str">
        <x:v>ПЛОТНОСТЬ И ПЕРЕСЧЁТ ТЭП</x:v>
      </x:c>
      <x:c r="L4" s="53" t="str">
        <x:v>ПЛОТНОСТЬ И ПЕРЕСЧЁТ ТЭП</x:v>
      </x:c>
      <x:c r="M4" s="54" t="str">
        <x:v>ПЛОТНОСТЬ И ПЕРЕСЧЁТ ТЭП</x:v>
      </x:c>
    </x:row>
    <x:row r="5">
      <x:c r="A5" s="7" t="str">
        <x:v>Версия</x:v>
      </x:c>
      <x:c r="B5" s="11" t="str">
        <x:v>4.0 · sales-drivers</x:v>
      </x:c>
      <x:c r="D5" t="str">
        <x:v>Множитель цены</x:v>
      </x:c>
      <x:c r="E5" s="32" t="n">
        <x:v>1</x:v>
      </x:c>
      <x:c r="F5" s="33" t="n">
        <x:v>1.1</x:v>
      </x:c>
      <x:c r="G5" s="34" t="n">
        <x:v>0.9</x:v>
      </x:c>
      <x:c r="H5" s="43" t="n">
        <x:f>INDEX($E5:$G5,1,MATCH($B$6,$E$4:$G$4,0))</x:f>
      </x:c>
      <x:c r="J5" s="23" t="str">
        <x:v>Показатель</x:v>
      </x:c>
      <x:c r="K5" s="23" t="str">
        <x:v>Значение</x:v>
      </x:c>
      <x:c r="L5" s="23" t="str">
        <x:v>Ед. изм.</x:v>
      </x:c>
      <x:c r="M5" s="23" t="str">
        <x:v>Ключ API</x:v>
      </x:c>
    </x:row>
    <x:row r="6">
      <x:c r="A6" s="7" t="str">
        <x:v>Активный сценарий</x:v>
      </x:c>
      <x:c r="B6" s="11" t="str">
        <x:v>Base</x:v>
      </x:c>
      <x:c r="D6" t="str">
        <x:v>Множитель затрат</x:v>
      </x:c>
      <x:c r="E6" s="36" t="n">
        <x:v>1</x:v>
      </x:c>
      <x:c r="F6" s="37" t="n">
        <x:v>0.95</x:v>
      </x:c>
      <x:c r="G6" s="38" t="n">
        <x:v>1.1</x:v>
      </x:c>
      <x:c r="H6" s="43" t="n">
        <x:f>INDEX($E6:$G6,1,MATCH($B$6,$E$4:$G$4,0))</x:f>
      </x:c>
      <x:c r="J6" t="str">
        <x:v>Регион проекта</x:v>
      </x:c>
      <x:c r="K6" s="10" t="str">
        <x:v>Москва</x:v>
      </x:c>
      <x:c r="L6" t="str">
        <x:v>регион</x:v>
      </x:c>
      <x:c r="M6" t="str">
        <x:v>project_region</x:v>
      </x:c>
    </x:row>
    <x:row r="7">
      <x:c r="A7" s="7" t="str">
        <x:v>Единицы модели</x:v>
      </x:c>
      <x:c r="B7" s="11" t="str">
        <x:v>млн ₽</x:v>
      </x:c>
      <x:c r="D7" t="str">
        <x:v>Множитель темпа продаж</x:v>
      </x:c>
      <x:c r="E7" s="36" t="n">
        <x:v>1</x:v>
      </x:c>
      <x:c r="F7" s="37" t="n">
        <x:v>1.15</x:v>
      </x:c>
      <x:c r="G7" s="38" t="n">
        <x:v>0.85</x:v>
      </x:c>
      <x:c r="H7" s="43" t="n">
        <x:f>INDEX($E7:$G7,1,MATCH($B$6,$E$4:$G$4,0))</x:f>
      </x:c>
      <x:c r="J7" t="str">
        <x:v>Площадь участка</x:v>
      </x:c>
      <x:c r="K7" s="61" t="n">
        <x:v>1.1546</x:v>
      </x:c>
      <x:c r="L7" t="str">
        <x:v>га</x:v>
      </x:c>
      <x:c r="M7" t="str">
        <x:v>site_area_ha</x:v>
      </x:c>
    </x:row>
    <x:row r="8">
      <x:c r="A8" s="7" t="str">
        <x:v>Начало горизонта</x:v>
      </x:c>
      <x:c r="B8" s="13" t="n">
        <x:v>46388</x:v>
      </x:c>
      <x:c r="D8" t="str">
        <x:v>Целевая ключевая ставка</x:v>
      </x:c>
      <x:c r="E8" s="36" t="n">
        <x:v>0.09</x:v>
      </x:c>
      <x:c r="F8" s="37" t="n">
        <x:v>0.07</x:v>
      </x:c>
      <x:c r="G8" s="38" t="n">
        <x:v>0.11</x:v>
      </x:c>
      <x:c r="H8" s="43" t="n">
        <x:f>INDEX($E8:$G8,1,MATCH($B$6,$E$4:$G$4,0))</x:f>
      </x:c>
      <x:c r="J8" t="str">
        <x:v>Использовать плотность по умолчанию</x:v>
      </x:c>
      <x:c r="K8" s="11" t="str">
        <x:v>Да</x:v>
      </x:c>
      <x:c r="L8" t="str">
        <x:v>Да / Нет</x:v>
      </x:c>
      <x:c r="M8" t="str">
        <x:v>use_default_density</x:v>
      </x:c>
    </x:row>
    <x:row r="9">
      <x:c r="A9" s="7" t="str">
        <x:v>Горизонт, мес.</x:v>
      </x:c>
      <x:c r="B9" s="14" t="n">
        <x:v>120</x:v>
      </x:c>
      <x:c r="D9" t="str">
        <x:v>Задержка старта, мес.</x:v>
      </x:c>
      <x:c r="E9" s="39" t="n">
        <x:v>0</x:v>
      </x:c>
      <x:c r="F9" s="40" t="n">
        <x:v>0</x:v>
      </x:c>
      <x:c r="G9" s="41" t="n">
        <x:v>3</x:v>
      </x:c>
      <x:c r="H9" s="17" t="n">
        <x:f>INDEX($E9:$G9,1,MATCH($B$6,$E$4:$G$4,0))</x:f>
      </x:c>
      <x:c r="J9" t="str">
        <x:v>Плотность ГлавАПУ (Москва)</x:v>
      </x:c>
      <x:c r="K9" s="62" t="n">
        <x:v>35000</x:v>
      </x:c>
      <x:c r="L9" t="str">
        <x:v>м² / га</x:v>
      </x:c>
      <x:c r="M9" t="str">
        <x:v>moscow_density_sqm_ha</x:v>
      </x:c>
    </x:row>
    <x:row r="10">
      <x:c r="A10" s="7" t="str">
        <x:v>Активных очередей</x:v>
      </x:c>
      <x:c r="B10" s="17" t="n">
        <x:f>COUNTIF($B$88:$B$91,"Да")</x:f>
      </x:c>
      <x:c r="J10" t="str">
        <x:v>Плотность по умолчанию (МО)</x:v>
      </x:c>
      <x:c r="K10" s="62" t="n">
        <x:v>30000</x:v>
      </x:c>
      <x:c r="L10" t="str">
        <x:v>м² / га</x:v>
      </x:c>
      <x:c r="M10" t="str">
        <x:v>mo_default_density_sqm_ha</x:v>
      </x:c>
    </x:row>
    <x:row r="11">
      <x:c r="J11" t="str">
        <x:v>Ручная плотность</x:v>
      </x:c>
      <x:c r="K11" s="63" t="n">
        <x:v>35000</x:v>
      </x:c>
      <x:c r="L11" t="str">
        <x:v>м² / га</x:v>
      </x:c>
      <x:c r="M11" t="str">
        <x:v>manual_density_sqm_ha</x:v>
      </x:c>
    </x:row>
    <x:row r="12">
      <x:c r="J12" t="str">
        <x:v>Применяемая плотность</x:v>
      </x:c>
      <x:c r="K12" s="64" t="n">
        <x:f>IF(K8="Да",IF(K6="Москва",K9,K10),K11)</x:f>
      </x:c>
      <x:c r="L12" t="str">
        <x:v>м² / га</x:v>
      </x:c>
      <x:c r="M12" t="str">
        <x:v>active_density_sqm_ha</x:v>
      </x:c>
    </x:row>
    <x:row r="13" ht="21" customHeight="1">
      <x:c r="A13" s="52" t="str">
        <x:v>СДЕЛКА, НАЛОГИ И ФИНАНСИРОВАНИЕ</x:v>
      </x:c>
      <x:c r="B13" s="53" t="str">
        <x:v>СДЕЛКА, НАЛОГИ И ФИНАНСИРОВАНИЕ</x:v>
      </x:c>
      <x:c r="C13" s="53" t="str">
        <x:v>СДЕЛКА, НАЛОГИ И ФИНАНСИРОВАНИЕ</x:v>
      </x:c>
      <x:c r="D13" s="54" t="str">
        <x:v>СДЕЛКА, НАЛОГИ И ФИНАНСИРОВАНИЕ</x:v>
      </x:c>
      <x:c r="J13" t="str">
        <x:v>Базовый потенциал Мишина 46</x:v>
      </x:c>
      <x:c r="K13" s="60" t="n">
        <x:v>40411</x:v>
      </x:c>
      <x:c r="L13" t="str">
        <x:v>м²</x:v>
      </x:c>
      <x:c r="M13" t="str">
        <x:v>base_gfa_potential_sqm</x:v>
      </x:c>
    </x:row>
    <x:row r="14">
      <x:c r="A14" s="23" t="str">
        <x:v>Показатель</x:v>
      </x:c>
      <x:c r="B14" s="23" t="str">
        <x:v>Значение</x:v>
      </x:c>
      <x:c r="C14" s="23" t="str">
        <x:v>Ед. изм.</x:v>
      </x:c>
      <x:c r="D14" s="23" t="str">
        <x:v>Ключ API</x:v>
      </x:c>
      <x:c r="J14" t="str">
        <x:v>Потенциал при выбранной плотности</x:v>
      </x:c>
      <x:c r="K14" s="64" t="n">
        <x:f>K7*K12</x:f>
      </x:c>
      <x:c r="L14" t="str">
        <x:v>м²</x:v>
      </x:c>
      <x:c r="M14" t="str">
        <x:v>active_gfa_potential_sqm</x:v>
      </x:c>
    </x:row>
    <x:row r="15">
      <x:c r="A15" t="str">
        <x:v>Стоимость покупки / цена входа</x:v>
      </x:c>
      <x:c r="B15" s="72" t="n">
        <x:v>700</x:v>
      </x:c>
      <x:c r="C15" t="str">
        <x:v>млн ₽</x:v>
      </x:c>
      <x:c r="D15" t="str">
        <x:v>purchase_price_mln</x:v>
      </x:c>
      <x:c r="J15" t="str">
        <x:v>Коэффициент пересчёта ТЭП</x:v>
      </x:c>
      <x:c r="K15" s="65" t="n">
        <x:f>IFERROR(K14/K13,1)</x:f>
      </x:c>
      <x:c r="L15" t="str">
        <x:v>×</x:v>
      </x:c>
      <x:c r="M15" t="str">
        <x:v>tep_density_factor</x:v>
      </x:c>
    </x:row>
    <x:row r="16">
      <x:c r="A16" t="str">
        <x:v>Плата за изменение ВРИ — ввод сайта / бота</x:v>
      </x:c>
      <x:c r="B16" s="73" t="n">
        <x:v>1267.539</x:v>
      </x:c>
      <x:c r="C16" t="str">
        <x:v>млн ₽</x:v>
      </x:c>
      <x:c r="D16" t="str">
        <x:v>land_rights_cost_mln</x:v>
      </x:c>
    </x:row>
    <x:row r="17">
      <x:c r="A17" t="str">
        <x:v>Социальный платёж / компенсация</x:v>
      </x:c>
      <x:c r="B17" s="73" t="n">
        <x:v>580.668</x:v>
      </x:c>
      <x:c r="C17" t="str">
        <x:v>млн ₽</x:v>
      </x:c>
      <x:c r="D17" t="str">
        <x:v>social_compensation_mln</x:v>
      </x:c>
    </x:row>
    <x:row r="18" ht="21" customHeight="1">
      <x:c r="A18" t="str">
        <x:v>Дата социального платежа (денежная компенсация; стройка идёт по календарям очередей)</x:v>
      </x:c>
      <x:c r="B18" s="13" t="n">
        <x:f>EDATE('CF_1'!$B$7,-1)</x:f>
      </x:c>
      <x:c r="C18" t="str">
        <x:v>дата</x:v>
      </x:c>
      <x:c r="D18" t="str">
        <x:v>social_comp_date</x:v>
      </x:c>
      <x:c r="E18">
        <x:v>1</x:v>
      </x:c>
      <x:c r="F18" t="inlineStr">
        <x:is>
          <x:t>мес. разноса платежа (1 — разовый)</x:t>
        </x:is>
      </x:c>
      <x:c r="J18" s="281" t="str">
        <x:v>МФОЦ / ОФИСНЫЙ ЦЕНТР</x:v>
      </x:c>
      <x:c r="K18" s="282" t="str">
        <x:v>МФОЦ / ОФИСНЫЙ ЦЕНТР</x:v>
      </x:c>
      <x:c r="L18" s="282" t="str">
        <x:v>МФОЦ / ОФИСНЫЙ ЦЕНТР</x:v>
      </x:c>
      <x:c r="M18" s="283" t="str">
        <x:v>МФОЦ / ОФИСНЫЙ ЦЕНТР</x:v>
      </x:c>
    </x:row>
    <x:row r="19">
      <x:c r="A19" t="str">
        <x:v>Маркетинг</x:v>
      </x:c>
      <x:c r="B19" s="69" t="n">
        <x:v>0.03</x:v>
      </x:c>
      <x:c r="C19" t="str">
        <x:v>% выручки</x:v>
      </x:c>
      <x:c r="D19" t="str">
        <x:v>marketing_pct</x:v>
      </x:c>
      <x:c r="J19" s="289" t="str">
        <x:v>Показатель</x:v>
      </x:c>
      <x:c r="K19" s="289" t="str">
        <x:v>Значение</x:v>
      </x:c>
      <x:c r="L19" s="289" t="str">
        <x:v>Ед. изм.</x:v>
      </x:c>
      <x:c r="M19" s="289" t="str">
        <x:v>Ключ API</x:v>
      </x:c>
    </x:row>
    <x:row r="20">
      <x:c r="A20" t="str">
        <x:v>Расходы на продажи</x:v>
      </x:c>
      <x:c r="B20" s="69" t="n">
        <x:v>0.04</x:v>
      </x:c>
      <x:c r="C20" t="str">
        <x:v>% выручки</x:v>
      </x:c>
      <x:c r="D20" t="str">
        <x:v>selling_pct</x:v>
      </x:c>
      <x:c r="J20" t="str">
        <x:v>Объект включён</x:v>
      </x:c>
      <x:c r="K20" s="290" t="str">
        <x:v>Нет</x:v>
      </x:c>
      <x:c r="L20" t="str">
        <x:v>Да / Нет</x:v>
      </x:c>
      <x:c r="M20" t="str">
        <x:v>offices_enabled</x:v>
      </x:c>
    </x:row>
    <x:row r="21">
      <x:c r="A21" t="str">
        <x:v>Налог на прибыль</x:v>
      </x:c>
      <x:c r="B21" s="69" t="n">
        <x:v>0.25</x:v>
      </x:c>
      <x:c r="C21" t="str">
        <x:v>%</x:v>
      </x:c>
      <x:c r="D21" t="str">
        <x:v>profit_tax_pct</x:v>
      </x:c>
      <x:c r="J21" t="str">
        <x:v>Очередь финансирования</x:v>
      </x:c>
      <x:c r="K21" s="291" t="n">
        <x:v>1</x:v>
      </x:c>
      <x:c r="L21" t="str">
        <x:v>1–3</x:v>
      </x:c>
      <x:c r="M21" t="str">
        <x:v>offices_queue</x:v>
      </x:c>
    </x:row>
    <x:row r="22">
      <x:c r="A22" t="str">
        <x:v>НДС</x:v>
      </x:c>
      <x:c r="B22" s="69" t="n">
        <x:v>0.22</x:v>
      </x:c>
      <x:c r="C22" t="str">
        <x:v>%</x:v>
      </x:c>
      <x:c r="D22" t="str">
        <x:v>vat_pct</x:v>
      </x:c>
      <x:c r="J22" t="str">
        <x:v>Пересчитывать по плотности</x:v>
      </x:c>
      <x:c r="K22" s="291" t="str">
        <x:v>Да</x:v>
      </x:c>
      <x:c r="L22" t="str">
        <x:v>Да / Нет</x:v>
      </x:c>
      <x:c r="M22" t="str">
        <x:v>offices_density_linked</x:v>
      </x:c>
    </x:row>
    <x:row r="23">
      <x:c r="A23" t="str">
        <x:v>Ставка дисконтирования</x:v>
      </x:c>
      <x:c r="B23" s="69" t="n">
        <x:v>0.2</x:v>
      </x:c>
      <x:c r="C23" t="str">
        <x:v>% год</x:v>
      </x:c>
      <x:c r="D23" t="str">
        <x:v>discount_rate_pct</x:v>
      </x:c>
      <x:c r="J23" t="str">
        <x:v>Базовая общая площадь (GBA)</x:v>
      </x:c>
      <x:c r="K23" s="298" t="n">
        <x:v>0</x:v>
      </x:c>
      <x:c r="L23" t="str">
        <x:v>м²</x:v>
      </x:c>
      <x:c r="M23" t="str">
        <x:v>offices_gba_base_sqm</x:v>
      </x:c>
    </x:row>
    <x:row r="24">
      <x:c r="A24" t="str">
        <x:v>Оценка потребности в финансировании (справочно, лимитом не является)</x:v>
      </x:c>
      <x:c r="B24" s="73" t="n">
        <x:v>3500</x:v>
      </x:c>
      <x:c r="C24" t="str">
        <x:v>млн ₽</x:v>
      </x:c>
      <x:c r="D24" t="str">
        <x:v>bridge_limit_mln</x:v>
      </x:c>
      <x:c r="J24" t="str">
        <x:v>Базовая продаваемая площадь</x:v>
      </x:c>
      <x:c r="K24" s="299" t="n">
        <x:v>0</x:v>
      </x:c>
      <x:c r="L24" t="str">
        <x:v>м²</x:v>
      </x:c>
      <x:c r="M24" t="str">
        <x:v>offices_saleable_base_sqm</x:v>
      </x:c>
    </x:row>
    <x:row r="25">
      <x:c r="A25" t="str">
        <x:v>Спред БРИДЖ</x:v>
      </x:c>
      <x:c r="B25" s="73" t="n">
        <x:v>0.06</x:v>
      </x:c>
      <x:c r="C25" t="str">
        <x:v>п.п.</x:v>
      </x:c>
      <x:c r="D25" t="str">
        <x:v>bridge_spread_pp</x:v>
      </x:c>
      <x:c r="J25" t="str">
        <x:v>Расчётная общая площадь (GBA)</x:v>
      </x:c>
      <x:c r="K25" s="300" t="n">
        <x:f>IF(K20="Да",K23*IF(K22="Да",$K$15,1),0)</x:f>
      </x:c>
      <x:c r="L25" t="str">
        <x:v>м²</x:v>
      </x:c>
      <x:c r="M25" t="str">
        <x:v>offices_gba_sqm</x:v>
      </x:c>
    </x:row>
    <x:row r="26">
      <x:c r="A26" t="str">
        <x:v>Расчётный лимит ПФ (авто)</x:v>
      </x:c>
      <x:c r="B26" s="74" t="n">
        <x:f>ROUNDUP(SUM('CAPEX'!$B$35,'CAPEX'!$B$69,'CAPEX'!$B$103,'CAPEX'!$B$137)/10,0)*10</x:f>
      </x:c>
      <x:c r="C26" t="str">
        <x:v>млн ₽</x:v>
      </x:c>
      <x:c r="D26" t="str">
        <x:v>pf_limit_auto_mln</x:v>
      </x:c>
      <x:c r="J26" t="str">
        <x:v>Расчётная продаваемая площадь</x:v>
      </x:c>
      <x:c r="K26" s="301" t="n">
        <x:f>IF(K20="Да",K24*IF(K22="Да",$K$15,1),0)</x:f>
      </x:c>
      <x:c r="L26" t="str">
        <x:v>м²</x:v>
      </x:c>
      <x:c r="M26" t="str">
        <x:v>offices_saleable_sqm</x:v>
      </x:c>
    </x:row>
    <x:row r="27">
      <x:c r="A27" t="str">
        <x:v>Спред ПФ</x:v>
      </x:c>
      <x:c r="B27" s="69" t="n">
        <x:v>0.045</x:v>
      </x:c>
      <x:c r="C27" t="str">
        <x:v>п.п.</x:v>
      </x:c>
      <x:c r="D27" t="str">
        <x:v>pf_spread_pp</x:v>
      </x:c>
      <x:c r="J27" t="str">
        <x:v>Начало строительства</x:v>
      </x:c>
      <x:c r="K27" s="296" t="n">
        <x:v>46935</x:v>
      </x:c>
      <x:c r="L27" t="str">
        <x:v>дата</x:v>
      </x:c>
      <x:c r="M27" t="str">
        <x:v>offices_start</x:v>
      </x:c>
    </x:row>
    <x:row r="28">
      <x:c r="A28" t="str">
        <x:v>Ставка ПФ при покрытии эскроу 1×</x:v>
      </x:c>
      <x:c r="B28" s="69" t="n">
        <x:v>0.045</x:v>
      </x:c>
      <x:c r="C28" t="str">
        <x:v>% год</x:v>
      </x:c>
      <x:c r="D28" t="str">
        <x:v>pf_special_pct</x:v>
      </x:c>
      <x:c r="J28" t="str">
        <x:v>Срок строительства</x:v>
      </x:c>
      <x:c r="K28" s="291" t="n">
        <x:v>24</x:v>
      </x:c>
      <x:c r="L28" t="str">
        <x:v>мес.</x:v>
      </x:c>
      <x:c r="M28" t="str">
        <x:v>offices_months</x:v>
      </x:c>
    </x:row>
    <x:row r="29">
      <x:c r="A29" t="str">
        <x:v>Плата за невыбранный лимит</x:v>
      </x:c>
      <x:c r="B29" s="69" t="n">
        <x:v>0.005</x:v>
      </x:c>
      <x:c r="C29" t="str">
        <x:v>% год</x:v>
      </x:c>
      <x:c r="D29" t="str">
        <x:v>limit_fee_pct</x:v>
      </x:c>
      <x:c r="J29" t="str">
        <x:v>Себестоимость строительства</x:v>
      </x:c>
      <x:c r="K29" s="291" t="n">
        <x:v>200</x:v>
      </x:c>
      <x:c r="L29" t="str">
        <x:v>тыс. ₽/м² GBA</x:v>
      </x:c>
      <x:c r="M29" t="str">
        <x:v>offices_cost_th_per_sqm</x:v>
      </x:c>
    </x:row>
    <x:row r="30">
      <x:c r="A30" t="str">
        <x:v>Плата за резервирование</x:v>
      </x:c>
      <x:c r="B30" s="69" t="n">
        <x:v>0.005</x:v>
      </x:c>
      <x:c r="C30" t="str">
        <x:v>%</x:v>
      </x:c>
      <x:c r="D30" t="str">
        <x:v>reservation_fee_pct</x:v>
      </x:c>
      <x:c r="J30" t="str">
        <x:v>Старт продаж</x:v>
      </x:c>
      <x:c r="K30" s="297" t="n">
        <x:v>46935</x:v>
      </x:c>
      <x:c r="L30" t="str">
        <x:v>дата</x:v>
      </x:c>
      <x:c r="M30" t="str">
        <x:v>offices_sales_start</x:v>
      </x:c>
    </x:row>
    <x:row r="31">
      <x:c r="A31" t="str">
        <x:v>Проценты БРИДЖ</x:v>
      </x:c>
      <x:c r="B31" s="11" t="str">
        <x:v>Капитализация в ПФ</x:v>
      </x:c>
      <x:c r="C31" t="str">
        <x:v>режим</x:v>
      </x:c>
      <x:c r="D31" t="str">
        <x:v>bridge_interest_mode</x:v>
      </x:c>
      <x:c r="J31" t="str">
        <x:v>Стартовая цена</x:v>
      </x:c>
      <x:c r="K31" s="291" t="n">
        <x:v>500</x:v>
      </x:c>
      <x:c r="L31" t="str">
        <x:v>тыс. ₽/м²</x:v>
      </x:c>
      <x:c r="M31" t="str">
        <x:v>offices_price_th_per_sqm</x:v>
      </x:c>
    </x:row>
    <x:row r="32">
      <x:c r="A32" t="str">
        <x:v>Ковенант LLCR</x:v>
      </x:c>
      <x:c r="B32" s="70" t="n">
        <x:v>1.2</x:v>
      </x:c>
      <x:c r="C32" t="str">
        <x:v>×</x:v>
      </x:c>
      <x:c r="D32" t="str">
        <x:v>llcr_covenant</x:v>
      </x:c>
      <x:c r="J32" t="str">
        <x:v>Доля продаж до РВЭ</x:v>
      </x:c>
      <x:c r="K32" s="272" t="n">
        <x:v>0.85</x:v>
      </x:c>
      <x:c r="L32" t="str">
        <x:v>%</x:v>
      </x:c>
      <x:c r="M32" t="str">
        <x:v>offices_share_before_rve_pct</x:v>
      </x:c>
    </x:row>
    <x:row r="33">
      <x:c r="A33" t="str">
        <x:v>Ключевая ставка на старте</x:v>
      </x:c>
      <x:c r="B33" s="69" t="n">
        <x:v>0.14</x:v>
      </x:c>
      <x:c r="C33" t="str">
        <x:v>% год</x:v>
      </x:c>
      <x:c r="D33" t="str">
        <x:v>key_rate_start_pct</x:v>
      </x:c>
      <x:c r="J33" t="str">
        <x:v>Общий срок продаж</x:v>
      </x:c>
      <x:c r="K33" s="291" t="n">
        <x:v>30</x:v>
      </x:c>
      <x:c r="L33" t="str">
        <x:v>мес.</x:v>
      </x:c>
      <x:c r="M33" t="str">
        <x:v>offices_sales_term_months</x:v>
      </x:c>
    </x:row>
    <x:row r="34">
      <x:c r="A34" t="str">
        <x:v>Целевая ставка активного сценария</x:v>
      </x:c>
      <x:c r="B34" s="71" t="n">
        <x:f>$H$8</x:f>
      </x:c>
      <x:c r="C34" t="str">
        <x:v>% год</x:v>
      </x:c>
      <x:c r="D34" t="str">
        <x:v>key_rate_target_pct</x:v>
      </x:c>
      <x:c r="J34" t="str">
        <x:v>Рост цены до РВЭ</x:v>
      </x:c>
      <x:c r="K34" s="272" t="n">
        <x:v>0.015</x:v>
      </x:c>
      <x:c r="L34" t="str">
        <x:v>%/мес.</x:v>
      </x:c>
      <x:c r="M34" t="str">
        <x:v>offices_growth_pre_pct</x:v>
      </x:c>
    </x:row>
    <x:row r="35">
      <x:c r="A35" t="str">
        <x:v>Снижение до целевой ставки</x:v>
      </x:c>
      <x:c r="B35" s="12" t="n">
        <x:v>24</x:v>
      </x:c>
      <x:c r="C35" t="str">
        <x:v>мес.</x:v>
      </x:c>
      <x:c r="D35" t="str">
        <x:v>key_rate_decline_months</x:v>
      </x:c>
      <x:c r="J35" t="str">
        <x:v>Рост цены после РВЭ</x:v>
      </x:c>
      <x:c r="K35" s="275" t="n">
        <x:v>0.0025</x:v>
      </x:c>
      <x:c r="L35" t="str">
        <x:v>%/мес.</x:v>
      </x:c>
      <x:c r="M35" t="str">
        <x:v>offices_growth_post_pct</x:v>
      </x:c>
    </x:row>
    <x:row r="36">
      <x:c r="A36" t="str">
        <x:v>Дата базы цен и затрат</x:v>
      </x:c>
      <x:c r="B36" s="271" t="n">
        <x:v>46388</x:v>
      </x:c>
      <x:c r="C36" t="str">
        <x:v>дата</x:v>
      </x:c>
      <x:c r="D36" t="str">
        <x:v>price_cost_base_date</x:v>
      </x:c>
    </x:row>
    <x:row r="37">
      <x:c r="A37" t="str">
        <x:v>Форма исполнения соцнагрузки</x:v>
      </x:c>
      <x:c r="B37" s="11" t="str">
        <x:v>Строительство</x:v>
      </x:c>
      <x:c r="C37" t="str">
        <x:v>режим</x:v>
      </x:c>
      <x:c r="D37" t="str">
        <x:v>social_mode</x:v>
      </x:c>
    </x:row>
    <x:row r="38" ht="21" customHeight="1">
      <x:c r="A38" s="52" t="str">
        <x:v>СТОИМОСТЬ СТРОИТЕЛЬСТВА</x:v>
      </x:c>
      <x:c r="B38" s="53" t="str">
        <x:v>СТОИМОСТЬ СТРОИТЕЛЬСТВА</x:v>
      </x:c>
      <x:c r="C38" s="53" t="str">
        <x:v>СТОИМОСТЬ СТРОИТЕЛЬСТВА</x:v>
      </x:c>
      <x:c r="D38" s="54" t="str">
        <x:v>СТОИМОСТЬ СТРОИТЕЛЬСТВА</x:v>
      </x:c>
      <x:c r="J38" s="281" t="str">
        <x:v>ТОРГОВЫЙ ЦЕНТР / КОММЕРЦИЯ ОСЗ</x:v>
      </x:c>
      <x:c r="K38" s="282" t="str">
        <x:v>ТОРГОВЫЙ ЦЕНТР / КОММЕРЦИЯ ОСЗ</x:v>
      </x:c>
      <x:c r="L38" s="282" t="str">
        <x:v>ТОРГОВЫЙ ЦЕНТР / КОММЕРЦИЯ ОСЗ</x:v>
      </x:c>
      <x:c r="M38" s="283" t="str">
        <x:v>ТОРГОВЫЙ ЦЕНТР / КОММЕРЦИЯ ОСЗ</x:v>
      </x:c>
    </x:row>
    <x:row r="39">
      <x:c r="A39" s="23" t="str">
        <x:v>Показатель</x:v>
      </x:c>
      <x:c r="B39" s="23" t="str">
        <x:v>Значение</x:v>
      </x:c>
      <x:c r="C39" s="23" t="str">
        <x:v>Ед. изм.</x:v>
      </x:c>
      <x:c r="D39" s="23" t="str">
        <x:v>Ключ API</x:v>
      </x:c>
      <x:c r="J39" s="289" t="str">
        <x:v>Показатель</x:v>
      </x:c>
      <x:c r="K39" s="289" t="str">
        <x:v>Значение</x:v>
      </x:c>
      <x:c r="L39" s="289" t="str">
        <x:v>Ед. изм.</x:v>
      </x:c>
      <x:c r="M39" s="289" t="str">
        <x:v>Ключ API</x:v>
      </x:c>
    </x:row>
    <x:row r="40">
      <x:c r="A40" t="str">
        <x:v>ИРД и согласования</x:v>
      </x:c>
      <x:c r="B40" s="10" t="n">
        <x:v>1</x:v>
      </x:c>
      <x:c r="C40" t="str">
        <x:v>тыс. ₽/м² ГНС</x:v>
      </x:c>
      <x:c r="D40" t="str">
        <x:v>ird_th_per_sqm</x:v>
      </x:c>
      <x:c r="J40" t="str">
        <x:v>Объект включён</x:v>
      </x:c>
      <x:c r="K40" s="290" t="str">
        <x:v>Нет</x:v>
      </x:c>
      <x:c r="L40" t="str">
        <x:v>Да / Нет</x:v>
      </x:c>
      <x:c r="M40" t="str">
        <x:v>retail_enabled</x:v>
      </x:c>
    </x:row>
    <x:row r="41">
      <x:c r="A41" t="str">
        <x:v>Проектирование, стадия П</x:v>
      </x:c>
      <x:c r="B41" s="11" t="n">
        <x:v>2.5</x:v>
      </x:c>
      <x:c r="C41" t="str">
        <x:v>тыс. ₽/м² ГНС</x:v>
      </x:c>
      <x:c r="D41" t="str">
        <x:v>design_p_th_per_sqm</x:v>
      </x:c>
      <x:c r="J41" t="str">
        <x:v>Очередь финансирования</x:v>
      </x:c>
      <x:c r="K41" s="291" t="n">
        <x:v>1</x:v>
      </x:c>
      <x:c r="L41" t="str">
        <x:v>1–3</x:v>
      </x:c>
      <x:c r="M41" t="str">
        <x:v>retail_queue</x:v>
      </x:c>
    </x:row>
    <x:row r="42">
      <x:c r="A42" t="str">
        <x:v>Проектирование, стадия РД</x:v>
      </x:c>
      <x:c r="B42" s="11" t="n">
        <x:v>2.5</x:v>
      </x:c>
      <x:c r="C42" t="str">
        <x:v>тыс. ₽/м² ГНС</x:v>
      </x:c>
      <x:c r="D42" t="str">
        <x:v>design_rd_th_per_sqm</x:v>
      </x:c>
      <x:c r="J42" t="str">
        <x:v>Пересчитывать по плотности</x:v>
      </x:c>
      <x:c r="K42" s="291" t="str">
        <x:v>Да</x:v>
      </x:c>
      <x:c r="L42" t="str">
        <x:v>Да / Нет</x:v>
      </x:c>
      <x:c r="M42" t="str">
        <x:v>retail_density_linked</x:v>
      </x:c>
    </x:row>
    <x:row r="43">
      <x:c r="A43" t="str">
        <x:v>Подготовительные работы</x:v>
      </x:c>
      <x:c r="B43" s="11" t="n">
        <x:v>1</x:v>
      </x:c>
      <x:c r="C43" t="str">
        <x:v>тыс. ₽/м² ГНС</x:v>
      </x:c>
      <x:c r="D43" t="str">
        <x:v>preparation_th_per_sqm</x:v>
      </x:c>
      <x:c r="J43" t="str">
        <x:v>Базовая общая площадь (GBA)</x:v>
      </x:c>
      <x:c r="K43" s="298" t="n">
        <x:v>0</x:v>
      </x:c>
      <x:c r="L43" t="str">
        <x:v>м²</x:v>
      </x:c>
      <x:c r="M43" t="str">
        <x:v>retail_gba_base_sqm</x:v>
      </x:c>
    </x:row>
    <x:row r="44">
      <x:c r="A44" t="str">
        <x:v>Основное строительство — наземная часть</x:v>
      </x:c>
      <x:c r="B44" s="11" t="n">
        <x:v>190</x:v>
      </x:c>
      <x:c r="C44" t="str">
        <x:v>тыс. ₽/м² ГНС</x:v>
      </x:c>
      <x:c r="D44" t="str">
        <x:v>main_above_th_per_sqm</x:v>
      </x:c>
      <x:c r="J44" t="str">
        <x:v>Базовая продаваемая площадь</x:v>
      </x:c>
      <x:c r="K44" s="299" t="n">
        <x:v>0</x:v>
      </x:c>
      <x:c r="L44" t="str">
        <x:v>м²</x:v>
      </x:c>
      <x:c r="M44" t="str">
        <x:v>retail_saleable_base_sqm</x:v>
      </x:c>
    </x:row>
    <x:row r="45">
      <x:c r="A45" t="str">
        <x:v>Основное строительство — подземная часть</x:v>
      </x:c>
      <x:c r="B45" s="11" t="n">
        <x:v>190</x:v>
      </x:c>
      <x:c r="C45" t="str">
        <x:v>тыс. ₽/м² ГНС</x:v>
      </x:c>
      <x:c r="D45" t="str">
        <x:v>main_under_th_per_sqm</x:v>
      </x:c>
      <x:c r="J45" t="str">
        <x:v>Расчётная общая площадь (GBA)</x:v>
      </x:c>
      <x:c r="K45" s="300" t="n">
        <x:f>IF(K40="Да",K43*IF(K42="Да",$K$15,1),0)</x:f>
      </x:c>
      <x:c r="L45" t="str">
        <x:v>м²</x:v>
      </x:c>
      <x:c r="M45" t="str">
        <x:v>retail_gba_sqm</x:v>
      </x:c>
    </x:row>
    <x:row r="46">
      <x:c r="A46" t="str">
        <x:v>Наружные инженерные сети</x:v>
      </x:c>
      <x:c r="B46" s="11" t="n">
        <x:v>7.5</x:v>
      </x:c>
      <x:c r="C46" t="str">
        <x:v>тыс. ₽/м² ГНС</x:v>
      </x:c>
      <x:c r="D46" t="str">
        <x:v>utilities_th_per_sqm</x:v>
      </x:c>
      <x:c r="J46" t="str">
        <x:v>Расчётная продаваемая площадь</x:v>
      </x:c>
      <x:c r="K46" s="301" t="n">
        <x:f>IF(K40="Да",K44*IF(K42="Да",$K$15,1),0)</x:f>
      </x:c>
      <x:c r="L46" t="str">
        <x:v>м²</x:v>
      </x:c>
      <x:c r="M46" t="str">
        <x:v>retail_saleable_sqm</x:v>
      </x:c>
    </x:row>
    <x:row r="47">
      <x:c r="A47" t="str">
        <x:v>Благоустройство</x:v>
      </x:c>
      <x:c r="B47" s="11" t="n">
        <x:v>5</x:v>
      </x:c>
      <x:c r="C47" t="str">
        <x:v>тыс. ₽/м² ГНС</x:v>
      </x:c>
      <x:c r="D47" t="str">
        <x:v>landscaping_th_per_sqm</x:v>
      </x:c>
      <x:c r="J47" t="str">
        <x:v>Начало строительства</x:v>
      </x:c>
      <x:c r="K47" s="296" t="n">
        <x:v>46935</x:v>
      </x:c>
      <x:c r="L47" t="str">
        <x:v>дата</x:v>
      </x:c>
      <x:c r="M47" t="str">
        <x:v>retail_start</x:v>
      </x:c>
    </x:row>
    <x:row r="48">
      <x:c r="A48" t="str">
        <x:v>Сдача и ввод</x:v>
      </x:c>
      <x:c r="B48" s="11" t="n">
        <x:v>1</x:v>
      </x:c>
      <x:c r="C48" t="str">
        <x:v>тыс. ₽/м² ГНС</x:v>
      </x:c>
      <x:c r="D48" t="str">
        <x:v>commissioning_th_per_sqm</x:v>
      </x:c>
      <x:c r="J48" t="str">
        <x:v>Срок строительства</x:v>
      </x:c>
      <x:c r="K48" s="291" t="n">
        <x:v>24</x:v>
      </x:c>
      <x:c r="L48" t="str">
        <x:v>мес.</x:v>
      </x:c>
      <x:c r="M48" t="str">
        <x:v>retail_months</x:v>
      </x:c>
    </x:row>
    <x:row r="49">
      <x:c r="A49" t="str">
        <x:v>Содержание стройплощадки</x:v>
      </x:c>
      <x:c r="B49" s="11" t="n">
        <x:v>1</x:v>
      </x:c>
      <x:c r="C49" t="str">
        <x:v>тыс. ₽/м² ГНС</x:v>
      </x:c>
      <x:c r="D49" t="str">
        <x:v>site_maintenance_th_per_sqm</x:v>
      </x:c>
      <x:c r="J49" t="str">
        <x:v>Себестоимость строительства</x:v>
      </x:c>
      <x:c r="K49" s="291" t="n">
        <x:v>200</x:v>
      </x:c>
      <x:c r="L49" t="str">
        <x:v>тыс. ₽/м² GBA</x:v>
      </x:c>
      <x:c r="M49" t="str">
        <x:v>retail_cost_th_per_sqm</x:v>
      </x:c>
    </x:row>
    <x:row r="50">
      <x:c r="A50" t="str">
        <x:v>Вознаграждение генподрядчика</x:v>
      </x:c>
      <x:c r="B50" s="69" t="n">
        <x:v>0.07</x:v>
      </x:c>
      <x:c r="C50" t="str">
        <x:v>% СМР</x:v>
      </x:c>
      <x:c r="D50" t="str">
        <x:v>gc_fee_pct</x:v>
      </x:c>
      <x:c r="J50" t="str">
        <x:v>Старт продаж</x:v>
      </x:c>
      <x:c r="K50" s="297" t="n">
        <x:v>46935</x:v>
      </x:c>
      <x:c r="L50" t="str">
        <x:v>дата</x:v>
      </x:c>
      <x:c r="M50" t="str">
        <x:v>retail_sales_start</x:v>
      </x:c>
    </x:row>
    <x:row r="51">
      <x:c r="A51" t="str">
        <x:v>Авторский надзор</x:v>
      </x:c>
      <x:c r="B51" s="69" t="n">
        <x:v>0</x:v>
      </x:c>
      <x:c r="C51" t="str">
        <x:v>% П + РД</x:v>
      </x:c>
      <x:c r="D51" t="str">
        <x:v>author_supervision_pct</x:v>
      </x:c>
      <x:c r="J51" t="str">
        <x:v>Стартовая цена</x:v>
      </x:c>
      <x:c r="K51" s="291" t="n">
        <x:v>500</x:v>
      </x:c>
      <x:c r="L51" t="str">
        <x:v>тыс. ₽/м²</x:v>
      </x:c>
      <x:c r="M51" t="str">
        <x:v>retail_price_th_per_sqm</x:v>
      </x:c>
    </x:row>
    <x:row r="52">
      <x:c r="A52" t="str">
        <x:v>Управление проектом</x:v>
      </x:c>
      <x:c r="B52" s="69" t="n">
        <x:v>0.05</x:v>
      </x:c>
      <x:c r="C52" t="str">
        <x:v>% прямых затрат</x:v>
      </x:c>
      <x:c r="D52" t="str">
        <x:v>project_management_pct</x:v>
      </x:c>
      <x:c r="J52" t="str">
        <x:v>Доля продаж до РВЭ</x:v>
      </x:c>
      <x:c r="K52" s="272" t="n">
        <x:v>0.85</x:v>
      </x:c>
      <x:c r="L52" t="str">
        <x:v>%</x:v>
      </x:c>
      <x:c r="M52" t="str">
        <x:v>retail_share_before_rve_pct</x:v>
      </x:c>
    </x:row>
    <x:row r="53">
      <x:c r="A53" t="str">
        <x:v>Техзаказчик / стройконтроль</x:v>
      </x:c>
      <x:c r="B53" s="69" t="n">
        <x:v>0.05</x:v>
      </x:c>
      <x:c r="C53" t="str">
        <x:v>% СМР</x:v>
      </x:c>
      <x:c r="D53" t="str">
        <x:v>technical_supervision_pct</x:v>
      </x:c>
      <x:c r="J53" t="str">
        <x:v>Общий срок продаж</x:v>
      </x:c>
      <x:c r="K53" s="291" t="n">
        <x:v>30</x:v>
      </x:c>
      <x:c r="L53" t="str">
        <x:v>мес.</x:v>
      </x:c>
      <x:c r="M53" t="str">
        <x:v>retail_sales_term_months</x:v>
      </x:c>
    </x:row>
    <x:row r="54">
      <x:c r="A54" t="str">
        <x:v>Резерв</x:v>
      </x:c>
      <x:c r="B54" s="75" t="n">
        <x:v>0.05</x:v>
      </x:c>
      <x:c r="C54" t="str">
        <x:v>%</x:v>
      </x:c>
      <x:c r="D54" t="str">
        <x:v>reserve_pct</x:v>
      </x:c>
      <x:c r="J54" t="str">
        <x:v>Рост цены до РВЭ</x:v>
      </x:c>
      <x:c r="K54" s="272" t="n">
        <x:v>0.015</x:v>
      </x:c>
      <x:c r="L54" t="str">
        <x:v>%/мес.</x:v>
      </x:c>
      <x:c r="M54" t="str">
        <x:v>retail_growth_pre_pct</x:v>
      </x:c>
    </x:row>
    <x:row r="55">
      <x:c r="J55" t="str">
        <x:v>Рост цены после РВЭ</x:v>
      </x:c>
      <x:c r="K55" s="275" t="n">
        <x:v>0.0025</x:v>
      </x:c>
      <x:c r="L55" t="str">
        <x:v>%/мес.</x:v>
      </x:c>
      <x:c r="M55" t="str">
        <x:v>retail_growth_post_pct</x:v>
      </x:c>
    </x:row>
    <x:row r="56">
      <x:c r="A56" t="str">
        <x:v>Денежная часть соцнагрузки (для лимита БРИДЖ)</x:v>
      </x:c>
      <x:c r="B56" s="12">
        <x:v>0</x:v>
      </x:c>
      <x:c r="C56" t="str">
        <x:v>млн ₽</x:v>
      </x:c>
      <x:c r="D56" t="str">
        <x:v>social_cash_part_mln</x:v>
      </x:c>
    </x:row>
    <x:row r="57" ht="21" customHeight="1">
      <x:c r="A57" s="52" t="str">
        <x:v>ПРОДАЖИ</x:v>
      </x:c>
      <x:c r="B57" s="53" t="str">
        <x:v>ПРОДАЖИ</x:v>
      </x:c>
      <x:c r="C57" s="53" t="str">
        <x:v>ПРОДАЖИ</x:v>
      </x:c>
      <x:c r="D57" s="54" t="str">
        <x:v>ПРОДАЖИ</x:v>
      </x:c>
    </x:row>
    <x:row r="58" ht="21" customHeight="1">
      <x:c r="A58" s="23" t="str">
        <x:v>Показатель</x:v>
      </x:c>
      <x:c r="B58" s="23" t="str">
        <x:v>Значение</x:v>
      </x:c>
      <x:c r="C58" s="23" t="str">
        <x:v>Ед. изм.</x:v>
      </x:c>
      <x:c r="D58" s="23" t="str">
        <x:v>Ключ API</x:v>
      </x:c>
      <x:c r="J58" s="281" t="str">
        <x:v>НАЗЕМНЫЙ МНОГОЭТАЖНЫЙ ПАРКИНГ</x:v>
      </x:c>
      <x:c r="K58" s="282" t="str">
        <x:v>НАЗЕМНЫЙ МНОГОЭТАЖНЫЙ ПАРКИНГ</x:v>
      </x:c>
      <x:c r="L58" s="282" t="str">
        <x:v>НАЗЕМНЫЙ МНОГОЭТАЖНЫЙ ПАРКИНГ</x:v>
      </x:c>
      <x:c r="M58" s="283" t="str">
        <x:v>НАЗЕМНЫЙ МНОГОЭТАЖНЫЙ ПАРКИНГ</x:v>
      </x:c>
    </x:row>
    <x:row r="59">
      <x:c r="A59" t="str">
        <x:v>Стартовая цена квартир</x:v>
      </x:c>
      <x:c r="B59" s="10" t="n">
        <x:v>650</x:v>
      </x:c>
      <x:c r="C59" t="str">
        <x:v>тыс. ₽/м²</x:v>
      </x:c>
      <x:c r="D59" t="str">
        <x:v>apartment_price_th</x:v>
      </x:c>
      <x:c r="J59" s="289" t="str">
        <x:v>Показатель</x:v>
      </x:c>
      <x:c r="K59" s="289" t="str">
        <x:v>Значение</x:v>
      </x:c>
      <x:c r="L59" s="289" t="str">
        <x:v>Ед. изм.</x:v>
      </x:c>
      <x:c r="M59" s="289" t="str">
        <x:v>Ключ API</x:v>
      </x:c>
    </x:row>
    <x:row r="60">
      <x:c r="A60" t="str">
        <x:v>Стартовая цена коммерции 1 этажа</x:v>
      </x:c>
      <x:c r="B60" s="11" t="n">
        <x:v>650</x:v>
      </x:c>
      <x:c r="C60" t="str">
        <x:v>тыс. ₽/м²</x:v>
      </x:c>
      <x:c r="D60" t="str">
        <x:v>commercial_price_th</x:v>
      </x:c>
      <x:c r="J60" t="str">
        <x:v>Объект включён</x:v>
      </x:c>
      <x:c r="K60" s="290" t="str">
        <x:v>Нет</x:v>
      </x:c>
      <x:c r="L60" t="str">
        <x:v>Да / Нет</x:v>
      </x:c>
      <x:c r="M60" t="str">
        <x:v>above_parking_enabled</x:v>
      </x:c>
    </x:row>
    <x:row r="61">
      <x:c r="A61" t="str">
        <x:v>Цена подземного машино-места</x:v>
      </x:c>
      <x:c r="B61" s="11" t="n">
        <x:v>5000</x:v>
      </x:c>
      <x:c r="C61" t="str">
        <x:v>тыс. ₽/шт.</x:v>
      </x:c>
      <x:c r="D61" t="str">
        <x:v>parking_price_th</x:v>
      </x:c>
      <x:c r="J61" t="str">
        <x:v>Очередь финансирования</x:v>
      </x:c>
      <x:c r="K61" s="291" t="n">
        <x:v>1</x:v>
      </x:c>
      <x:c r="L61" t="str">
        <x:v>1–3</x:v>
      </x:c>
      <x:c r="M61" t="str">
        <x:v>above_parking_queue</x:v>
      </x:c>
    </x:row>
    <x:row r="62">
      <x:c r="A62" t="str">
        <x:v>Цена кладовой</x:v>
      </x:c>
      <x:c r="B62" s="11" t="n">
        <x:v>1000</x:v>
      </x:c>
      <x:c r="C62" t="str">
        <x:v>тыс. ₽/шт.</x:v>
      </x:c>
      <x:c r="D62" t="str">
        <x:v>storage_price_th</x:v>
      </x:c>
      <x:c r="J62" t="str">
        <x:v>Пересчитывать по плотности</x:v>
      </x:c>
      <x:c r="K62" s="291" t="str">
        <x:v>Да</x:v>
      </x:c>
      <x:c r="L62" t="str">
        <x:v>Да / Нет</x:v>
      </x:c>
      <x:c r="M62" t="str">
        <x:v>above_parking_density_linked</x:v>
      </x:c>
    </x:row>
    <x:row r="63">
      <x:c r="A63" t="str">
        <x:v>Доля продаж до РВЭ</x:v>
      </x:c>
      <x:c r="B63" s="69" t="n">
        <x:v>0.85</x:v>
      </x:c>
      <x:c r="C63" t="str">
        <x:v>%</x:v>
      </x:c>
      <x:c r="D63" t="str">
        <x:v>share_before_rve_pct</x:v>
      </x:c>
      <x:c r="J63" t="str">
        <x:v>Базовое количество машино-мест</x:v>
      </x:c>
      <x:c r="K63" s="298" t="n">
        <x:v>0</x:v>
      </x:c>
      <x:c r="L63" t="str">
        <x:v>шт.</x:v>
      </x:c>
      <x:c r="M63" t="str">
        <x:v>above_parking_spaces_base</x:v>
      </x:c>
    </x:row>
    <x:row r="64">
      <x:c r="A64" t="str">
        <x:v>Ежемесячный рост цены до РВЭ</x:v>
      </x:c>
      <x:c r="B64" s="69" t="n">
        <x:v>0.015</x:v>
      </x:c>
      <x:c r="C64" t="str">
        <x:v>%/мес.</x:v>
      </x:c>
      <x:c r="D64" t="str">
        <x:v>monthly_growth_pre_pct</x:v>
      </x:c>
      <x:c r="J64" t="str">
        <x:v>Площадь на одно место для ТЭП</x:v>
      </x:c>
      <x:c r="K64" s="299" t="n">
        <x:v>25</x:v>
      </x:c>
      <x:c r="L64" t="str">
        <x:v>м²/место</x:v>
      </x:c>
      <x:c r="M64" t="str">
        <x:v>above_parking_area_per_space_sqm</x:v>
      </x:c>
    </x:row>
    <x:row r="65">
      <x:c r="A65" t="str">
        <x:v>Ежемесячный рост цены после РВЭ</x:v>
      </x:c>
      <x:c r="B65" s="69" t="n">
        <x:v>0.0025</x:v>
      </x:c>
      <x:c r="C65" t="str">
        <x:v>%/мес.</x:v>
      </x:c>
      <x:c r="D65" t="str">
        <x:v>monthly_growth_post_pct</x:v>
      </x:c>
      <x:c r="J65" t="str">
        <x:v>Расчётное количество машино-мест</x:v>
      </x:c>
      <x:c r="K65" s="300" t="n">
        <x:f>IF(K60="Да",K63*IF(K62="Да",$K$15,1),0)</x:f>
      </x:c>
      <x:c r="L65" t="str">
        <x:v>шт.</x:v>
      </x:c>
      <x:c r="M65" t="str">
        <x:v>above_parking_spaces</x:v>
      </x:c>
    </x:row>
    <x:row r="66">
      <x:c r="A66" t="str">
        <x:v>Тренд темпа продаж</x:v>
      </x:c>
      <x:c r="B66" s="69" t="n">
        <x:v>0.01</x:v>
      </x:c>
      <x:c r="C66" t="str">
        <x:v>%/мес.</x:v>
      </x:c>
      <x:c r="D66" t="str">
        <x:v>pace_trend_pct</x:v>
      </x:c>
      <x:c r="J66" t="str">
        <x:v>Расчётная общая площадь (GBA)</x:v>
      </x:c>
      <x:c r="K66" s="301" t="n">
        <x:f>K65*K64</x:f>
      </x:c>
      <x:c r="L66" t="str">
        <x:v>м²</x:v>
      </x:c>
      <x:c r="M66" t="str">
        <x:v>above_parking_gba_sqm</x:v>
      </x:c>
    </x:row>
    <x:row r="67">
      <x:c r="A67" t="str">
        <x:v>Сезонное снижение темпа (январь)</x:v>
      </x:c>
      <x:c r="B67" s="273" t="n">
        <x:v>-0.15</x:v>
      </x:c>
      <x:c r="C67" t="str">
        <x:v>%</x:v>
      </x:c>
      <x:c r="D67" t="str">
        <x:v>seasonality_january_pct</x:v>
      </x:c>
      <x:c r="J67" t="str">
        <x:v>Себестоимость одного места</x:v>
      </x:c>
      <x:c r="K67" s="290" t="n">
        <x:v>1</x:v>
      </x:c>
      <x:c r="L67" t="str">
        <x:v>млн ₽/место</x:v>
      </x:c>
      <x:c r="M67" t="str">
        <x:v>above_parking_cost_mln_per_space</x:v>
      </x:c>
    </x:row>
    <x:row r="68">
      <x:c r="A68" t="str">
        <x:v>Лаг старта продаж после РнС</x:v>
      </x:c>
      <x:c r="B68" s="11" t="n">
        <x:v>0</x:v>
      </x:c>
      <x:c r="C68" t="str">
        <x:v>мес.</x:v>
      </x:c>
      <x:c r="D68" t="str">
        <x:v>sales_lag_months</x:v>
      </x:c>
      <x:c r="J68" t="str">
        <x:v>Начало строительства</x:v>
      </x:c>
      <x:c r="K68" s="297" t="n">
        <x:v>46935</x:v>
      </x:c>
      <x:c r="L68" t="str">
        <x:v>дата</x:v>
      </x:c>
      <x:c r="M68" t="str">
        <x:v>above_parking_start</x:v>
      </x:c>
    </x:row>
    <x:row r="69">
      <x:c r="A69" t="inlineStr">
        <x:is>
          <x:t>Остаточные продажи после РВЭ, мес.</x:t>
        </x:is>
      </x:c>
      <x:c r="B69" s="270" t="n">
        <x:v>6</x:v>
      </x:c>
      <x:c r="C69" t="str">
        <x:v>мес.</x:v>
      </x:c>
      <x:c r="D69" t="str">
        <x:v>sales_term_default_months</x:v>
      </x:c>
      <x:c r="J69" t="str">
        <x:v>Срок строительства</x:v>
      </x:c>
      <x:c r="K69" s="291" t="n">
        <x:v>18</x:v>
      </x:c>
      <x:c r="L69" t="str">
        <x:v>мес.</x:v>
      </x:c>
      <x:c r="M69" t="str">
        <x:v>above_parking_months</x:v>
      </x:c>
    </x:row>
    <x:row r="70">
      <x:c r="A70" t="str">
        <x:v>Сезонное снижение темпа (май–август)</x:v>
      </x:c>
      <x:c r="B70" s="275" t="n">
        <x:v>-0.15</x:v>
      </x:c>
      <x:c r="C70" t="str">
        <x:v>%</x:v>
      </x:c>
      <x:c r="D70" t="str">
        <x:v>seasonality_may_aug_pct</x:v>
      </x:c>
      <x:c r="J70" t="str">
        <x:v>Старт продаж</x:v>
      </x:c>
      <x:c r="K70" s="297" t="n">
        <x:v>46935</x:v>
      </x:c>
      <x:c r="L70" t="str">
        <x:v>дата</x:v>
      </x:c>
      <x:c r="M70" t="str">
        <x:v>above_parking_sales_start</x:v>
      </x:c>
    </x:row>
    <x:row r="71">
      <x:c r="A71" t="str">
        <x:v>Конец горизонта расчёта (движок)</x:v>
      </x:c>
      <x:c r="B71" s="12">
        <x:v>0</x:v>
      </x:c>
      <x:c r="C71" t="str">
        <x:v>дата</x:v>
      </x:c>
      <x:c r="D71" t="str">
        <x:v>engine_horizon_end</x:v>
      </x:c>
      <x:c r="J71" t="str">
        <x:v>Стартовая цена места</x:v>
      </x:c>
      <x:c r="K71" s="291" t="n">
        <x:v>2</x:v>
      </x:c>
      <x:c r="L71" t="str">
        <x:v>млн ₽/место</x:v>
      </x:c>
      <x:c r="M71" t="str">
        <x:v>above_parking_price_mln_per_space</x:v>
      </x:c>
    </x:row>
    <x:row r="72" ht="21" customHeight="1">
      <x:c r="A72" s="52" t="str">
        <x:v>УСЛОВИЯ ПЛАТЫ ЗА ВРИ</x:v>
      </x:c>
      <x:c r="B72" s="53" t="str">
        <x:v>УСЛОВИЯ ПЛАТЫ ЗА ВРИ</x:v>
      </x:c>
      <x:c r="C72" s="53" t="str">
        <x:v>УСЛОВИЯ ПЛАТЫ ЗА ВРИ</x:v>
      </x:c>
      <x:c r="D72" s="54" t="str">
        <x:v>УСЛОВИЯ ПЛАТЫ ЗА ВРИ</x:v>
      </x:c>
      <x:c r="J72" t="str">
        <x:v>Доля продаж до РВЭ</x:v>
      </x:c>
      <x:c r="K72" s="272" t="n">
        <x:v>0.85</x:v>
      </x:c>
      <x:c r="L72" t="str">
        <x:v>%</x:v>
      </x:c>
      <x:c r="M72" t="str">
        <x:v>above_parking_share_before_rve_pct</x:v>
      </x:c>
    </x:row>
    <x:row r="73">
      <x:c r="A73" s="23" t="str">
        <x:v>Показатель</x:v>
      </x:c>
      <x:c r="B73" s="23" t="str">
        <x:v>Значение</x:v>
      </x:c>
      <x:c r="C73" s="23" t="str">
        <x:v>Ед. изм.</x:v>
      </x:c>
      <x:c r="D73" s="23" t="str">
        <x:v>Ключ API</x:v>
      </x:c>
      <x:c r="J73" t="str">
        <x:v>Общий срок продаж</x:v>
      </x:c>
      <x:c r="K73" s="291" t="n">
        <x:v>24</x:v>
      </x:c>
      <x:c r="L73" t="str">
        <x:v>мес.</x:v>
      </x:c>
      <x:c r="M73" t="str">
        <x:v>above_parking_sales_term_months</x:v>
      </x:c>
    </x:row>
    <x:row r="74">
      <x:c r="A74" t="str">
        <x:v>Требуется изменение ВРИ</x:v>
      </x:c>
      <x:c r="B74" s="10" t="str">
        <x:v>Да</x:v>
      </x:c>
      <x:c r="C74" t="str">
        <x:v>Да / Нет</x:v>
      </x:c>
      <x:c r="D74" t="str">
        <x:v>vri_required</x:v>
      </x:c>
      <x:c r="J74" t="str">
        <x:v>Рост цены до РВЭ</x:v>
      </x:c>
      <x:c r="K74" s="272" t="n">
        <x:v>0.0075</x:v>
      </x:c>
      <x:c r="L74" t="str">
        <x:v>%/мес.</x:v>
      </x:c>
      <x:c r="M74" t="str">
        <x:v>above_parking_growth_pre_pct</x:v>
      </x:c>
    </x:row>
    <x:row r="75">
      <x:c r="A75" t="str">
        <x:v>График оплаты ВРИ</x:v>
      </x:c>
      <x:c r="B75" s="11" t="str">
        <x:v>Единовременно</x:v>
      </x:c>
      <x:c r="C75" t="str">
        <x:v>режим</x:v>
      </x:c>
      <x:c r="D75" t="str">
        <x:v>vri_payment_mode</x:v>
      </x:c>
      <x:c r="J75" t="str">
        <x:v>Рост цены после РВЭ</x:v>
      </x:c>
      <x:c r="K75" s="275" t="n">
        <x:v>0.002</x:v>
      </x:c>
      <x:c r="L75" t="str">
        <x:v>%/мес.</x:v>
      </x:c>
      <x:c r="M75" t="str">
        <x:v>above_parking_growth_post_pct</x:v>
      </x:c>
    </x:row>
    <x:row r="76">
      <x:c r="A76" t="str">
        <x:v>Обязательство до РнС</x:v>
      </x:c>
      <x:c r="B76" s="11" t="n">
        <x:v>1</x:v>
      </x:c>
      <x:c r="C76" t="str">
        <x:v>мес.</x:v>
      </x:c>
      <x:c r="D76" t="str">
        <x:v>vri_obligation_lead_months</x:v>
      </x:c>
    </x:row>
    <x:row r="77">
      <x:c r="A77" t="str">
        <x:v>Срок рассрочки</x:v>
      </x:c>
      <x:c r="B77" s="78" t="n">
        <x:f>IF(B75="1 год",1,IF(B75="2 года",2,IF(B75="3 года",3,IF(B75="4 года",4,IF(B75="5 лет",5,IF(B75="6 лет",6,0))))))</x:f>
      </x:c>
      <x:c r="C77" t="str">
        <x:v>лет</x:v>
      </x:c>
      <x:c r="D77" t="str">
        <x:v>vri_installment_years</x:v>
      </x:c>
    </x:row>
    <x:row r="78" ht="21" customHeight="1">
      <x:c r="A78" t="str">
        <x:v>Периодичность платежей</x:v>
      </x:c>
      <x:c r="B78" s="79" t="n">
        <x:v>3</x:v>
      </x:c>
      <x:c r="C78" t="str">
        <x:v>мес.</x:v>
      </x:c>
      <x:c r="D78" t="str">
        <x:v>vri_periodicity_months</x:v>
      </x:c>
      <x:c r="J78" s="281" t="str">
        <x:v>ПАРКИНГ И КЛАДОВЫЕ · ПЕРЕСЧЁТ ПО ПЛОТНОСТИ</x:v>
      </x:c>
      <x:c r="K78" s="282" t="str">
        <x:v>ПАРКИНГ И КЛАДОВЫЕ · ПЕРЕСЧЁТ ПО ПЛОТНОСТИ</x:v>
      </x:c>
      <x:c r="L78" s="282" t="str">
        <x:v>ПАРКИНГ И КЛАДОВЫЕ · ПЕРЕСЧЁТ ПО ПЛОТНОСТИ</x:v>
      </x:c>
      <x:c r="M78" s="283" t="str">
        <x:v>ПАРКИНГ И КЛАДОВЫЕ · ПЕРЕСЧЁТ ПО ПЛОТНОСТИ</x:v>
      </x:c>
    </x:row>
    <x:row r="79">
      <x:c r="A79" t="str">
        <x:v>Количество платежей</x:v>
      </x:c>
      <x:c r="B79" s="80" t="n">
        <x:f>IF(B75="Единовременно",1,B77*12/B78)</x:f>
      </x:c>
      <x:c r="C79" t="str">
        <x:v>шт.</x:v>
      </x:c>
      <x:c r="D79" t="str">
        <x:v>vri_payment_count</x:v>
      </x:c>
      <x:c r="J79" s="289" t="str">
        <x:v>Показатель</x:v>
      </x:c>
      <x:c r="K79" s="289" t="str">
        <x:v>Значение</x:v>
      </x:c>
      <x:c r="L79" s="289" t="str">
        <x:v>Ед. изм.</x:v>
      </x:c>
      <x:c r="M79" s="289" t="str">
        <x:v>Ключ API</x:v>
      </x:c>
    </x:row>
    <x:row r="80">
      <x:c r="A80" t="str">
        <x:v>Проценты на остаток</x:v>
      </x:c>
      <x:c r="B80" s="11" t="str">
        <x:v>Да</x:v>
      </x:c>
      <x:c r="C80" t="str">
        <x:v>Да / Нет</x:v>
      </x:c>
      <x:c r="D80" t="str">
        <x:v>vri_interest_enabled</x:v>
      </x:c>
      <x:c r="J80" t="str">
        <x:v>Подземный паркинг</x:v>
      </x:c>
      <x:c r="K80" s="290" t="str">
        <x:v>Да</x:v>
      </x:c>
      <x:c r="L80" t="str">
        <x:v>Да / Нет</x:v>
      </x:c>
      <x:c r="M80" t="str">
        <x:v>underground_parking_density_linked</x:v>
      </x:c>
    </x:row>
    <x:row r="81">
      <x:c r="A81" t="str">
        <x:v>Спред к ключевой ставке</x:v>
      </x:c>
      <x:c r="B81" s="69" t="n">
        <x:v>0.03</x:v>
      </x:c>
      <x:c r="C81" t="str">
        <x:v>п.п.</x:v>
      </x:c>
      <x:c r="D81" t="str">
        <x:v>vri_interest_spread_pp</x:v>
      </x:c>
      <x:c r="J81" t="str">
        <x:v>Кладовые</x:v>
      </x:c>
      <x:c r="K81" s="274" t="str">
        <x:v>Да</x:v>
      </x:c>
      <x:c r="L81" t="str">
        <x:v>Да / Нет</x:v>
      </x:c>
      <x:c r="M81" t="str">
        <x:v>storage_density_linked</x:v>
      </x:c>
    </x:row>
    <x:row r="82">
      <x:c r="A82" t="str">
        <x:v>Льгота — сумма</x:v>
      </x:c>
      <x:c r="B82" s="73" t="n">
        <x:v>0</x:v>
      </x:c>
      <x:c r="C82" t="str">
        <x:v>млн ₽</x:v>
      </x:c>
      <x:c r="D82" t="str">
        <x:v>vri_relief_mln</x:v>
      </x:c>
    </x:row>
    <x:row r="83">
      <x:c r="A83" t="str">
        <x:v>Обеспечение обязательства</x:v>
      </x:c>
      <x:c r="B83" s="73" t="n">
        <x:v>0</x:v>
      </x:c>
      <x:c r="C83" t="str">
        <x:v>млн ₽</x:v>
      </x:c>
      <x:c r="D83" t="str">
        <x:v>vri_security_cost_mln</x:v>
      </x:c>
    </x:row>
    <x:row r="84">
      <x:c r="A84" t="str">
        <x:v>Досрочное погашение при открытии ПФ</x:v>
      </x:c>
      <x:c r="B84" s="12" t="str">
        <x:v>Нет</x:v>
      </x:c>
      <x:c r="C84" t="str">
        <x:v>Да / Нет</x:v>
      </x:c>
      <x:c r="D84" t="str">
        <x:v>vri_early_repay_after_pf</x:v>
      </x:c>
    </x:row>
    <x:row r="85">
      <x:c r="A85" t="str">
        <x:v>Собственные средства до открытия ПФ</x:v>
      </x:c>
      <x:c r="B85" s="12">
        <x:v>0</x:v>
      </x:c>
      <x:c r="C85" t="str">
        <x:v>млн ₽</x:v>
      </x:c>
      <x:c r="D85" t="str">
        <x:v>pre_pf_own_funds_mln</x:v>
      </x:c>
    </x:row>
    <x:row r="86" ht="21" customHeight="1">
      <x:c r="A86" s="302" t="str">
        <x:v>ОЧЕРЕДИ ПРОЕКТА</x:v>
      </x:c>
      <x:c r="B86" s="303" t="str">
        <x:v>ОЧЕРЕДИ ПРОЕКТА</x:v>
      </x:c>
      <x:c r="C86" s="303" t="str">
        <x:v>ОЧЕРЕДИ ПРОЕКТА</x:v>
      </x:c>
      <x:c r="D86" s="303" t="str">
        <x:v>ОЧЕРЕДИ ПРОЕКТА</x:v>
      </x:c>
      <x:c r="E86" s="303" t="str">
        <x:v>ОЧЕРЕДИ ПРОЕКТА</x:v>
      </x:c>
      <x:c r="F86" s="303" t="str">
        <x:v>ОЧЕРЕДИ ПРОЕКТА</x:v>
      </x:c>
      <x:c r="G86" s="303" t="str">
        <x:v>ОЧЕРЕДИ ПРОЕКТА</x:v>
      </x:c>
      <x:c r="H86" s="303" t="str">
        <x:v>ОЧЕРЕДИ ПРОЕКТА</x:v>
      </x:c>
      <x:c r="I86" s="303" t="str">
        <x:v>ОЧЕРЕДИ ПРОЕКТА</x:v>
      </x:c>
      <x:c r="J86" s="303" t="str">
        <x:v>ОЧЕРЕДИ ПРОЕКТА</x:v>
      </x:c>
      <x:c r="K86" s="303" t="str">
        <x:v>ОЧЕРЕДИ ПРОЕКТА</x:v>
      </x:c>
      <x:c r="L86" s="303" t="str">
        <x:v>ОЧЕРЕДИ ПРОЕКТА</x:v>
      </x:c>
      <x:c r="M86" s="303" t="str">
        <x:v>ОЧЕРЕДИ ПРОЕКТА</x:v>
      </x:c>
      <x:c r="N86" s="303" t="str">
        <x:v>ОЧЕРЕДИ ПРОЕКТА</x:v>
      </x:c>
      <x:c r="O86" s="303" t="str">
        <x:v>ОЧЕРЕДИ ПРОЕКТА</x:v>
      </x:c>
      <x:c r="P86" s="303" t="str">
        <x:v>ОЧЕРЕДИ ПРОЕКТА</x:v>
      </x:c>
      <x:c r="Q86" s="303" t="str">
        <x:v>ОЧЕРЕДИ ПРОЕКТА</x:v>
      </x:c>
      <x:c r="R86" s="303" t="str">
        <x:v>ОЧЕРЕДИ ПРОЕКТА</x:v>
      </x:c>
      <x:c r="S86" s="303" t="str">
        <x:v>ОЧЕРЕДИ ПРОЕКТА</x:v>
      </x:c>
      <x:c r="T86" s="303" t="str">
        <x:v>ОЧЕРЕДИ ПРОЕКТА</x:v>
      </x:c>
      <x:c r="U86" s="303" t="str">
        <x:v>ОЧЕРЕДИ ПРОЕКТА</x:v>
      </x:c>
      <x:c r="V86" s="303" t="str">
        <x:v>ОЧЕРЕДИ ПРОЕКТА</x:v>
      </x:c>
      <x:c r="W86" s="303" t="str">
        <x:v>ОЧЕРЕДИ ПРОЕКТА</x:v>
      </x:c>
      <x:c r="X86" s="303" t="str">
        <x:v>ОЧЕРЕДИ ПРОЕКТА</x:v>
      </x:c>
      <x:c r="Y86" s="303" t="str">
        <x:v>ОЧЕРЕДИ ПРОЕКТА</x:v>
      </x:c>
      <x:c r="Z86" s="303" t="str">
        <x:v>ОЧЕРЕДИ ПРОЕКТА</x:v>
      </x:c>
      <x:c r="AA86" s="303" t="str">
        <x:v>ОЧЕРЕДИ ПРОЕКТА</x:v>
      </x:c>
      <x:c r="AB86" s="303" t="str">
        <x:v>ОЧЕРЕДИ ПРОЕКТА</x:v>
      </x:c>
      <x:c r="AC86" s="304" t="str">
        <x:v>ОЧЕРЕДИ ПРОЕКТА</x:v>
      </x:c>
      <x:c r="AD86" s="282" t="str">
        <x:v>ОЧЕРЕДИ ПРОЕКТА</x:v>
      </x:c>
      <x:c r="AE86" s="282" t="str">
        <x:v>ОЧЕРЕДИ ПРОЕКТА</x:v>
      </x:c>
      <x:c r="AF86" s="282" t="str">
        <x:v>ОЧЕРЕДИ ПРОЕКТА</x:v>
      </x:c>
      <x:c r="AG86" s="282" t="str">
        <x:v>ОЧЕРЕДИ ПРОЕКТА</x:v>
      </x:c>
      <x:c r="AH86" s="283" t="str">
        <x:v>ОЧЕРЕДИ ПРОЕКТА</x:v>
      </x:c>
    </x:row>
    <x:row r="87">
      <x:c r="A87" s="23" t="str">
        <x:v>ID</x:v>
      </x:c>
      <x:c r="B87" s="23" t="str">
        <x:v>Вкл.</x:v>
      </x:c>
      <x:c r="C87" s="23" t="str">
        <x:v>Наименование</x:v>
      </x:c>
      <x:c r="D87" s="23" t="str">
        <x:v>Старт</x:v>
      </x:c>
      <x:c r="E87" s="23" t="str">
        <x:v>ИРД, мес.</x:v>
      </x:c>
      <x:c r="F87" s="23" t="str">
        <x:v>Стройка, мес.</x:v>
      </x:c>
      <x:c r="G87" s="23" t="str">
        <x:v>Лаг продаж</x:v>
      </x:c>
      <x:c r="H87" s="23" t="str">
        <x:v>Срок продаж, мес.</x:v>
      </x:c>
      <x:c r="I87" s="23" t="str">
        <x:v>ГНС квартир</x:v>
      </x:c>
      <x:c r="J87" s="23" t="str">
        <x:v>ГНС коммерции</x:v>
      </x:c>
      <x:c r="K87" s="23" t="str">
        <x:v>ГНС подземная</x:v>
      </x:c>
      <x:c r="L87" s="23" t="str">
        <x:v>Прод. квартир</x:v>
      </x:c>
      <x:c r="M87" s="23" t="str">
        <x:v>Прод. коммерции</x:v>
      </x:c>
      <x:c r="N87" s="23" t="str">
        <x:v>Паркинг, шт.</x:v>
      </x:c>
      <x:c r="O87" s="23" t="str">
        <x:v>Кладовые, шт.</x:v>
      </x:c>
      <x:c r="P87" s="23" t="str">
        <x:v>Доля покупки</x:v>
      </x:c>
      <x:c r="Q87" s="23" t="str">
        <x:v>Доля ВРИ</x:v>
      </x:c>
      <x:c r="R87" s="23" t="str">
        <x:v>Доля соцнагрузки</x:v>
      </x:c>
      <x:c r="S87" s="23" t="str">
        <x:v>Множ. цены</x:v>
      </x:c>
      <x:c r="T87" s="23" t="str">
        <x:v>Множ. затрат</x:v>
      </x:c>
      <x:c r="U87" s="23" t="str">
        <x:v>Доля лимита БРИДЖ</x:v>
      </x:c>
      <x:c r="V87" s="23" t="str">
        <x:v>Доля лимита ПФ</x:v>
      </x:c>
      <x:c r="W87" s="23" t="str">
        <x:v>База ГНС квартир</x:v>
      </x:c>
      <x:c r="X87" s="23" t="str">
        <x:v>База ГНС коммерции</x:v>
      </x:c>
      <x:c r="Y87" s="23" t="str">
        <x:v>База ГНС подземная</x:v>
      </x:c>
      <x:c r="Z87" s="23" t="str">
        <x:v>База прод. квартир</x:v>
      </x:c>
      <x:c r="AA87" s="23" t="str">
        <x:v>База прод. коммерции</x:v>
      </x:c>
      <x:c r="AB87" s="23" t="str">
        <x:v>База паркинга</x:v>
      </x:c>
      <x:c r="AC87" s="23" t="str">
        <x:v>База кладовых</x:v>
      </x:c>
      <x:c r="AD87" s="289" t="str">
        <x:v>Тренд темпа продаж, %/мес.</x:v>
      </x:c>
      <x:c r="AE87" s="289" t="str">
        <x:v>Инфляция цены, %/год</x:v>
      </x:c>
      <x:c r="AF87" s="289" t="str">
        <x:v>Инфляция затрат, %/год</x:v>
      </x:c>
      <x:c r="AG87" s="289" t="str">
        <x:v>Коэфф. цены к старту</x:v>
      </x:c>
      <x:c r="AH87" s="289" t="str">
        <x:v>Коэфф. затрат к старту</x:v>
      </x:c>
      <x:c r="AI87" t="str">
        <x:v>Доля собств. средств</x:v>
      </x:c>
    </x:row>
    <x:row r="88">
      <x:c r="A88" s="89" t="n">
        <x:v>1</x:v>
      </x:c>
      <x:c r="B88" s="24" t="str">
        <x:v>Да</x:v>
      </x:c>
      <x:c r="C88" s="25" t="str">
        <x:v>Очередь 1</x:v>
      </x:c>
      <x:c r="D88" s="84" t="n">
        <x:v>46388</x:v>
      </x:c>
      <x:c r="E88" s="25" t="n">
        <x:v>18</x:v>
      </x:c>
      <x:c r="F88" s="25" t="n">
        <x:v>24</x:v>
      </x:c>
      <x:c r="G88" s="25" t="n">
        <x:v>0</x:v>
      </x:c>
      <x:c r="H88" s="290" t="n">
        <x:f>MAX(1,F88-G88+$B$69)</x:f>
      </x:c>
      <x:c r="I88" s="83" t="n">
        <x:f>ROUND(W88*$K$15,0)</x:f>
      </x:c>
      <x:c r="J88" s="83" t="n">
        <x:f>ROUND(X88*$K$15,0)</x:f>
      </x:c>
      <x:c r="K88" s="83" t="n">
        <x:f>ROUND(Y88*IF($K$80="Да",$K$15,1),0)</x:f>
      </x:c>
      <x:c r="L88" s="83" t="n">
        <x:f>Z88*$K$15</x:f>
      </x:c>
      <x:c r="M88" s="83" t="n">
        <x:f>AA88*$K$15</x:f>
      </x:c>
      <x:c r="N88" s="83" t="n">
        <x:f>ROUND(AB88*IF($K$80="Да",$K$15,1),0)</x:f>
      </x:c>
      <x:c r="O88" s="83" t="n">
        <x:f>ROUND(AC88*IF($K$81="Да",$K$15,1),0)</x:f>
      </x:c>
      <x:c r="P88" s="32" t="n">
        <x:v>1</x:v>
      </x:c>
      <x:c r="Q88" s="33" t="n">
        <x:v>1</x:v>
      </x:c>
      <x:c r="R88" s="33" t="n">
        <x:v>1</x:v>
      </x:c>
      <x:c r="S88" s="33" t="n">
        <x:v>1</x:v>
      </x:c>
      <x:c r="T88" s="33" t="n">
        <x:v>1</x:v>
      </x:c>
      <x:c r="U88" s="33" t="n">
        <x:v>1</x:v>
      </x:c>
      <x:c r="V88" s="33" t="n">
        <x:v>1</x:v>
      </x:c>
      <x:c r="W88" s="25" t="n">
        <x:v>21415</x:v>
      </x:c>
      <x:c r="X88" s="25" t="n">
        <x:v>1367</x:v>
      </x:c>
      <x:c r="Y88" s="25" t="n">
        <x:v>3185</x:v>
      </x:c>
      <x:c r="Z88" s="25" t="n">
        <x:v>13920</x:v>
      </x:c>
      <x:c r="AA88" s="25" t="n">
        <x:v>1230</x:v>
      </x:c>
      <x:c r="AB88" s="25" t="n">
        <x:v>91</x:v>
      </x:c>
      <x:c r="AC88" s="26" t="n">
        <x:v>0</x:v>
      </x:c>
      <x:c r="AD88" s="320" t="n">
        <x:v>0.01</x:v>
      </x:c>
      <x:c r="AE88" s="321" t="n">
        <x:v>0</x:v>
      </x:c>
      <x:c r="AF88" s="322" t="n">
        <x:v>0</x:v>
      </x:c>
      <x:c r="AG88" s="329" t="n">
        <x:f>(1+AE88)^(MAX(0,(12*(YEAR(EDATE(D88,E88+G88+$H$9))-YEAR($B$36))+MONTH(EDATE(D88,E88+G88+$H$9))-MONTH($B$36)))/12)</x:f>
      </x:c>
      <x:c r="AH88" s="330" t="n">
        <x:f>(1+AF88)^(MAX(0,(12*(YEAR(EDATE(D88,E88+$H$9))-YEAR($B$36))+MONTH(EDATE(D88,E88+$H$9))-MONTH($B$36)))/12)</x:f>
      </x:c>
      <x:c r="AI88">
        <x:v>1</x:v>
      </x:c>
    </x:row>
    <x:row r="89">
      <x:c r="A89" s="89" t="n">
        <x:v>2</x:v>
      </x:c>
      <x:c r="B89" s="27" t="str">
        <x:v>Нет</x:v>
      </x:c>
      <x:c r="C89" s="9" t="str">
        <x:v>Очередь 2</x:v>
      </x:c>
      <x:c r="D89" s="85" t="n">
        <x:v>47119</x:v>
      </x:c>
      <x:c r="E89" s="9" t="n">
        <x:v>18</x:v>
      </x:c>
      <x:c r="F89" s="9" t="n">
        <x:v>24</x:v>
      </x:c>
      <x:c r="G89" s="9" t="n">
        <x:v>0</x:v>
      </x:c>
      <x:c r="H89" s="291" t="n">
        <x:f>MAX(1,F89-G89+$B$69)</x:f>
      </x:c>
      <x:c r="I89" s="83" t="n">
        <x:f>ROUND(W89*$K$15,0)</x:f>
      </x:c>
      <x:c r="J89" s="83" t="n">
        <x:f>ROUND(X89*$K$15,0)</x:f>
      </x:c>
      <x:c r="K89" s="83" t="n">
        <x:f>ROUND(Y89*IF($K$80="Да",$K$15,1),0)</x:f>
      </x:c>
      <x:c r="L89" s="83" t="n">
        <x:f>Z89*$K$15</x:f>
      </x:c>
      <x:c r="M89" s="83" t="n">
        <x:f>AA89*$K$15</x:f>
      </x:c>
      <x:c r="N89" s="83" t="n">
        <x:f>ROUND(AB89*IF($K$80="Да",$K$15,1),0)</x:f>
      </x:c>
      <x:c r="O89" s="83" t="n">
        <x:f>ROUND(AC89*IF($K$81="Да",$K$15,1),0)</x:f>
      </x:c>
      <x:c r="P89" s="36" t="n">
        <x:v>0</x:v>
      </x:c>
      <x:c r="Q89" s="37" t="n">
        <x:v>0</x:v>
      </x:c>
      <x:c r="R89" s="37" t="n">
        <x:v>0</x:v>
      </x:c>
      <x:c r="S89" s="37" t="n">
        <x:v>1</x:v>
      </x:c>
      <x:c r="T89" s="37" t="n">
        <x:v>1</x:v>
      </x:c>
      <x:c r="U89" s="37" t="n">
        <x:v>0</x:v>
      </x:c>
      <x:c r="V89" s="37" t="n">
        <x:v>0</x:v>
      </x:c>
      <x:c r="W89" s="9" t="n">
        <x:v>0</x:v>
      </x:c>
      <x:c r="X89" s="9" t="n">
        <x:v>0</x:v>
      </x:c>
      <x:c r="Y89" s="9" t="n">
        <x:v>0</x:v>
      </x:c>
      <x:c r="Z89" s="9" t="n">
        <x:v>0</x:v>
      </x:c>
      <x:c r="AA89" s="9" t="n">
        <x:v>0</x:v>
      </x:c>
      <x:c r="AB89" s="9" t="n">
        <x:v>0</x:v>
      </x:c>
      <x:c r="AC89" s="28" t="n">
        <x:v>0</x:v>
      </x:c>
      <x:c r="AD89" s="323" t="n">
        <x:v>0.01</x:v>
      </x:c>
      <x:c r="AE89" s="324" t="n">
        <x:v>0</x:v>
      </x:c>
      <x:c r="AF89" s="325" t="n">
        <x:v>0</x:v>
      </x:c>
      <x:c r="AG89" s="331" t="n">
        <x:f>(1+AE89)^(MAX(0,(12*(YEAR(EDATE(D89,E89+G89+$H$9))-YEAR($B$36))+MONTH(EDATE(D89,E89+G89+$H$9))-MONTH($B$36)))/12)</x:f>
      </x:c>
      <x:c r="AH89" s="332" t="n">
        <x:f>(1+AF89)^(MAX(0,(12*(YEAR(EDATE(D89,E89+$H$9))-YEAR($B$36))+MONTH(EDATE(D89,E89+$H$9))-MONTH($B$36)))/12)</x:f>
      </x:c>
      <x:c r="AI89">
        <x:v>0</x:v>
      </x:c>
    </x:row>
    <x:row r="90">
      <x:c r="A90" s="89" t="n">
        <x:v>3</x:v>
      </x:c>
      <x:c r="B90" s="29" t="str">
        <x:v>Нет</x:v>
      </x:c>
      <x:c r="C90" s="30" t="str">
        <x:v>Очередь 3</x:v>
      </x:c>
      <x:c r="D90" s="86" t="n">
        <x:v>47849</x:v>
      </x:c>
      <x:c r="E90" s="30" t="n">
        <x:v>18</x:v>
      </x:c>
      <x:c r="F90" s="30" t="n">
        <x:v>24</x:v>
      </x:c>
      <x:c r="G90" s="30" t="n">
        <x:v>0</x:v>
      </x:c>
      <x:c r="H90" s="274" t="n">
        <x:f>MAX(1,F90-G90+$B$69)</x:f>
      </x:c>
      <x:c r="I90" s="83" t="n">
        <x:f>ROUND(W90*$K$15,0)</x:f>
      </x:c>
      <x:c r="J90" s="83" t="n">
        <x:f>ROUND(X90*$K$15,0)</x:f>
      </x:c>
      <x:c r="K90" s="83" t="n">
        <x:f>ROUND(Y90*IF($K$80="Да",$K$15,1),0)</x:f>
      </x:c>
      <x:c r="L90" s="83" t="n">
        <x:f>Z90*$K$15</x:f>
      </x:c>
      <x:c r="M90" s="83" t="n">
        <x:f>AA90*$K$15</x:f>
      </x:c>
      <x:c r="N90" s="83" t="n">
        <x:f>ROUND(AB90*IF($K$80="Да",$K$15,1),0)</x:f>
      </x:c>
      <x:c r="O90" s="83" t="n">
        <x:f>ROUND(AC90*IF($K$81="Да",$K$15,1),0)</x:f>
      </x:c>
      <x:c r="P90" s="87" t="n">
        <x:v>0</x:v>
      </x:c>
      <x:c r="Q90" s="88" t="n">
        <x:v>0</x:v>
      </x:c>
      <x:c r="R90" s="88" t="n">
        <x:v>0</x:v>
      </x:c>
      <x:c r="S90" s="88" t="n">
        <x:v>1</x:v>
      </x:c>
      <x:c r="T90" s="88" t="n">
        <x:v>1</x:v>
      </x:c>
      <x:c r="U90" s="88" t="n">
        <x:v>0</x:v>
      </x:c>
      <x:c r="V90" s="88" t="n">
        <x:v>0</x:v>
      </x:c>
      <x:c r="W90" s="30" t="n">
        <x:v>0</x:v>
      </x:c>
      <x:c r="X90" s="30" t="n">
        <x:v>0</x:v>
      </x:c>
      <x:c r="Y90" s="30" t="n">
        <x:v>0</x:v>
      </x:c>
      <x:c r="Z90" s="30" t="n">
        <x:v>0</x:v>
      </x:c>
      <x:c r="AA90" s="30" t="n">
        <x:v>0</x:v>
      </x:c>
      <x:c r="AB90" s="30" t="n">
        <x:v>0</x:v>
      </x:c>
      <x:c r="AC90" s="31" t="n">
        <x:v>0</x:v>
      </x:c>
      <x:c r="AD90" s="326" t="n">
        <x:v>0.01</x:v>
      </x:c>
      <x:c r="AE90" s="327" t="n">
        <x:v>0</x:v>
      </x:c>
      <x:c r="AF90" s="328" t="n">
        <x:v>0</x:v>
      </x:c>
      <x:c r="AG90" s="333" t="n">
        <x:f>(1+AE90)^(MAX(0,(12*(YEAR(EDATE(D90,E90+G90+$H$9))-YEAR($B$36))+MONTH(EDATE(D90,E90+G90+$H$9))-MONTH($B$36)))/12)</x:f>
      </x:c>
      <x:c r="AH90" s="334" t="n">
        <x:f>(1+AF90)^(MAX(0,(12*(YEAR(EDATE(D90,E90+$H$9))-YEAR($B$36))+MONTH(EDATE(D90,E90+$H$9))-MONTH($B$36)))/12)</x:f>
      </x:c>
      <x:c r="AI90">
        <x:v>0</x:v>
      </x:c>
    </x:row>
    <x:row r="91">
      <x:c r="A91" s="89" t="n">
        <x:v>4</x:v>
      </x:c>
      <x:c r="B91" s="29" t="str">
        <x:v>Нет</x:v>
      </x:c>
      <x:c r="C91" s="30" t="str">
        <x:v>Очередь 4</x:v>
      </x:c>
      <x:c r="D91" s="86" t="n">
        <x:v>47849</x:v>
      </x:c>
      <x:c r="E91" s="30" t="n">
        <x:v>18</x:v>
      </x:c>
      <x:c r="F91" s="30" t="n">
        <x:v>24</x:v>
      </x:c>
      <x:c r="G91" s="30" t="n">
        <x:v>0</x:v>
      </x:c>
      <x:c r="H91" s="274" t="n">
        <x:f>MAX(1,F91-G91+$B$69)</x:f>
      </x:c>
      <x:c r="I91" s="83" t="n">
        <x:f>ROUND(W91*$K$15,0)</x:f>
      </x:c>
      <x:c r="J91" s="83" t="n">
        <x:f>ROUND(X91*$K$15,0)</x:f>
      </x:c>
      <x:c r="K91" s="83" t="n">
        <x:f>ROUND(Y91*IF($K$80="Да",$K$15,1),0)</x:f>
      </x:c>
      <x:c r="L91" s="83" t="n">
        <x:f>Z91*$K$15</x:f>
      </x:c>
      <x:c r="M91" s="83" t="n">
        <x:f>AA91*$K$15</x:f>
      </x:c>
      <x:c r="N91" s="83" t="n">
        <x:f>ROUND(AB91*IF($K$80="Да",$K$15,1),0)</x:f>
      </x:c>
      <x:c r="O91" s="83" t="n">
        <x:f>ROUND(AC91*IF($K$81="Да",$K$15,1),0)</x:f>
      </x:c>
      <x:c r="P91" s="87" t="n">
        <x:v>0</x:v>
      </x:c>
      <x:c r="Q91" s="88" t="n">
        <x:v>0</x:v>
      </x:c>
      <x:c r="R91" s="88" t="n">
        <x:v>0</x:v>
      </x:c>
      <x:c r="S91" s="88" t="n">
        <x:v>1</x:v>
      </x:c>
      <x:c r="T91" s="88" t="n">
        <x:v>1</x:v>
      </x:c>
      <x:c r="U91" s="88" t="n">
        <x:v>0</x:v>
      </x:c>
      <x:c r="V91" s="88" t="n">
        <x:v>0</x:v>
      </x:c>
      <x:c r="W91" s="30" t="n">
        <x:v>0</x:v>
      </x:c>
      <x:c r="X91" s="30" t="n">
        <x:v>0</x:v>
      </x:c>
      <x:c r="Y91" s="30" t="n">
        <x:v>0</x:v>
      </x:c>
      <x:c r="Z91" s="30" t="n">
        <x:v>0</x:v>
      </x:c>
      <x:c r="AA91" s="30" t="n">
        <x:v>0</x:v>
      </x:c>
      <x:c r="AB91" s="30" t="n">
        <x:v>0</x:v>
      </x:c>
      <x:c r="AC91" s="31" t="n">
        <x:v>0</x:v>
      </x:c>
      <x:c r="AD91" s="326" t="n">
        <x:v>0.01</x:v>
      </x:c>
      <x:c r="AE91" s="327" t="n">
        <x:v>0</x:v>
      </x:c>
      <x:c r="AF91" s="328" t="n">
        <x:v>0</x:v>
      </x:c>
      <x:c r="AG91" s="333" t="n">
        <x:f>(1+AE91)^(MAX(0,(12*(YEAR(EDATE(D91,E91+G91+$H$9))-YEAR($B$36))+MONTH(EDATE(D91,E91+G91+$H$9))-MONTH($B$36)))/12)</x:f>
      </x:c>
      <x:c r="AH91" s="334" t="n">
        <x:f>(1+AF91)^(MAX(0,(12*(YEAR(EDATE(D91,E91+$H$9))-YEAR($B$36))+MONTH(EDATE(D91,E91+$H$9))-MONTH($B$36)))/12)</x:f>
      </x:c>
      <x:c r="AI91">
        <x:v>0</x:v>
      </x:c>
    </x:row>
    <x:row r="93" ht="21" customHeight="1">
      <x:c r="A93" s="52" t="str">
        <x:v>ПРОГНОЗ КЛЮЧЕВОЙ СТАВКИ · СЦЕНАРИИ</x:v>
      </x:c>
      <x:c r="B93" s="53" t="str">
        <x:v>ПРОГНОЗ КЛЮЧЕВОЙ СТАВКИ · СЦЕНАРИИ</x:v>
      </x:c>
      <x:c r="C93" s="53" t="str">
        <x:v>ПРОГНОЗ КЛЮЧЕВОЙ СТАВКИ · СЦЕНАРИИ</x:v>
      </x:c>
      <x:c r="D93" s="53" t="str">
        <x:v>ПРОГНОЗ КЛЮЧЕВОЙ СТАВКИ · СЦЕНАРИИ</x:v>
      </x:c>
      <x:c r="E93" s="53" t="str">
        <x:v>ПРОГНОЗ КЛЮЧЕВОЙ СТАВКИ · СЦЕНАРИИ</x:v>
      </x:c>
      <x:c r="F93" s="53" t="str">
        <x:v>ПРОГНОЗ КЛЮЧЕВОЙ СТАВКИ · СЦЕНАРИИ</x:v>
      </x:c>
      <x:c r="G93" s="53" t="str">
        <x:v>ПРОГНОЗ КЛЮЧЕВОЙ СТАВКИ · СЦЕНАРИИ</x:v>
      </x:c>
      <x:c r="H93" s="54" t="str">
        <x:v>ПРОГНОЗ КЛЮЧЕВОЙ СТАВКИ · СЦЕНАРИИ</x:v>
      </x:c>
    </x:row>
    <x:row r="94">
      <x:c r="A94" t="str">
        <x:v>Сценарий ставки</x:v>
      </x:c>
      <x:c r="B94" s="59" t="str">
        <x:f>$B$6</x:f>
      </x:c>
      <x:c r="D94" s="23" t="str">
        <x:v>Целевая ставка</x:v>
      </x:c>
      <x:c r="E94" s="23" t="str">
        <x:v>Downside</x:v>
      </x:c>
      <x:c r="F94" s="23" t="str">
        <x:v>Base</x:v>
      </x:c>
      <x:c r="G94" s="23" t="str">
        <x:v>Upside</x:v>
      </x:c>
    </x:row>
    <x:row r="95">
      <x:c r="A95" t="str">
        <x:v>Ключевая на старте</x:v>
      </x:c>
      <x:c r="B95" s="90" t="n">
        <x:f>$B$33</x:f>
      </x:c>
      <x:c r="C95" s="35"/>
      <x:c r="D95" s="35" t="str">
        <x:v>Ставка</x:v>
      </x:c>
      <x:c r="E95" s="35" t="n">
        <x:f>$G$8</x:f>
      </x:c>
      <x:c r="F95" s="35" t="n">
        <x:f>$E$8</x:f>
      </x:c>
      <x:c r="G95" s="35" t="n">
        <x:f>$F$8</x:f>
      </x:c>
    </x:row>
    <x:row r="96">
      <x:c r="A96" t="str">
        <x:v>Месяцев до целевой ставки</x:v>
      </x:c>
      <x:c r="B96" s="59" t="n">
        <x:f>$B$35</x:f>
      </x:c>
    </x:row>
    <x:row r="98">
      <x:c r="A98" s="23" t="str">
        <x:v>Точка</x:v>
      </x:c>
      <x:c r="B98" s="23" t="str">
        <x:v>Дата</x:v>
      </x:c>
      <x:c r="C98" s="23" t="str">
        <x:v>Месяц</x:v>
      </x:c>
      <x:c r="D98" s="23" t="str">
        <x:v>Downside</x:v>
      </x:c>
      <x:c r="E98" s="23" t="str">
        <x:v>Base</x:v>
      </x:c>
      <x:c r="F98" s="23" t="str">
        <x:v>Upside</x:v>
      </x:c>
      <x:c r="G98" s="23" t="str">
        <x:v>Активная</x:v>
      </x:c>
      <x:c r="H98" s="23" t="str">
        <x:v>Фаза</x:v>
      </x:c>
    </x:row>
    <x:row r="99">
      <x:c r="A99" t="n">
        <x:v>1</x:v>
      </x:c>
      <x:c r="B99" s="91" t="n">
        <x:f>EDATE($B$8,ROUND(0*($B$9-1)/20,0))</x:f>
      </x:c>
      <x:c r="C99" t="n">
        <x:f>ROUND(0*($B$9-1)/20,0)</x:f>
      </x:c>
      <x:c r="D99" s="35" t="n">
        <x:f>MAX($E$95,$B$95-($B$95-$E$95)*MIN(1,$C99/MAX(1,$B$96)))</x:f>
      </x:c>
      <x:c r="E99" s="35" t="n">
        <x:f>MAX($F$95,$B$95-($B$95-$F$95)*MIN(1,$C99/MAX(1,$B$96)))</x:f>
      </x:c>
      <x:c r="F99" s="35" t="n">
        <x:f>MAX($G$95,$B$95-($B$95-$G$95)*MIN(1,$C99/MAX(1,$B$96)))</x:f>
      </x:c>
      <x:c r="G99" s="90" t="n">
        <x:f>IF($B$6="Downside",D99,IF($B$6="Upside",F99,E99))</x:f>
      </x:c>
      <x:c r="H99" t="str">
        <x:f>IF($C99&lt;$B$96,"Переход","Целевая")</x:f>
      </x:c>
    </x:row>
    <x:row r="100">
      <x:c r="A100" t="n">
        <x:v>2</x:v>
      </x:c>
      <x:c r="B100" s="91" t="n">
        <x:f>EDATE($B$8,ROUND(1*($B$9-1)/20,0))</x:f>
      </x:c>
      <x:c r="C100" t="n">
        <x:f>ROUND(1*($B$9-1)/20,0)</x:f>
      </x:c>
      <x:c r="D100" s="35" t="n">
        <x:f>MAX($E$95,$B$95-($B$95-$E$95)*MIN(1,$C100/MAX(1,$B$96)))</x:f>
      </x:c>
      <x:c r="E100" s="35" t="n">
        <x:f>MAX($F$95,$B$95-($B$95-$F$95)*MIN(1,$C100/MAX(1,$B$96)))</x:f>
      </x:c>
      <x:c r="F100" s="35" t="n">
        <x:f>MAX($G$95,$B$95-($B$95-$G$95)*MIN(1,$C100/MAX(1,$B$96)))</x:f>
      </x:c>
      <x:c r="G100" s="90" t="n">
        <x:f>IF($B$6="Downside",D100,IF($B$6="Upside",F100,E100))</x:f>
      </x:c>
      <x:c r="H100" t="str">
        <x:f>IF($C100&lt;$B$96,"Переход","Целевая")</x:f>
      </x:c>
    </x:row>
    <x:row r="101">
      <x:c r="A101" t="n">
        <x:v>3</x:v>
      </x:c>
      <x:c r="B101" s="91" t="n">
        <x:f>EDATE($B$8,ROUND(2*($B$9-1)/20,0))</x:f>
      </x:c>
      <x:c r="C101" t="n">
        <x:f>ROUND(2*($B$9-1)/20,0)</x:f>
      </x:c>
      <x:c r="D101" s="35" t="n">
        <x:f>MAX($E$95,$B$95-($B$95-$E$95)*MIN(1,$C101/MAX(1,$B$96)))</x:f>
      </x:c>
      <x:c r="E101" s="35" t="n">
        <x:f>MAX($F$95,$B$95-($B$95-$F$95)*MIN(1,$C101/MAX(1,$B$96)))</x:f>
      </x:c>
      <x:c r="F101" s="35" t="n">
        <x:f>MAX($G$95,$B$95-($B$95-$G$95)*MIN(1,$C101/MAX(1,$B$96)))</x:f>
      </x:c>
      <x:c r="G101" s="90" t="n">
        <x:f>IF($B$6="Downside",D101,IF($B$6="Upside",F101,E101))</x:f>
      </x:c>
      <x:c r="H101" t="str">
        <x:f>IF($C101&lt;$B$96,"Переход","Целевая")</x:f>
      </x:c>
    </x:row>
    <x:row r="102">
      <x:c r="A102" t="n">
        <x:v>4</x:v>
      </x:c>
      <x:c r="B102" s="91" t="n">
        <x:f>EDATE($B$8,ROUND(3*($B$9-1)/20,0))</x:f>
      </x:c>
      <x:c r="C102" t="n">
        <x:f>ROUND(3*($B$9-1)/20,0)</x:f>
      </x:c>
      <x:c r="D102" s="35" t="n">
        <x:f>MAX($E$95,$B$95-($B$95-$E$95)*MIN(1,$C102/MAX(1,$B$96)))</x:f>
      </x:c>
      <x:c r="E102" s="35" t="n">
        <x:f>MAX($F$95,$B$95-($B$95-$F$95)*MIN(1,$C102/MAX(1,$B$96)))</x:f>
      </x:c>
      <x:c r="F102" s="35" t="n">
        <x:f>MAX($G$95,$B$95-($B$95-$G$95)*MIN(1,$C102/MAX(1,$B$96)))</x:f>
      </x:c>
      <x:c r="G102" s="90" t="n">
        <x:f>IF($B$6="Downside",D102,IF($B$6="Upside",F102,E102))</x:f>
      </x:c>
      <x:c r="H102" t="str">
        <x:f>IF($C102&lt;$B$96,"Переход","Целевая")</x:f>
      </x:c>
    </x:row>
    <x:row r="103">
      <x:c r="A103" t="n">
        <x:v>5</x:v>
      </x:c>
      <x:c r="B103" s="91" t="n">
        <x:f>EDATE($B$8,ROUND(4*($B$9-1)/20,0))</x:f>
      </x:c>
      <x:c r="C103" t="n">
        <x:f>ROUND(4*($B$9-1)/20,0)</x:f>
      </x:c>
      <x:c r="D103" s="35" t="n">
        <x:f>MAX($E$95,$B$95-($B$95-$E$95)*MIN(1,$C103/MAX(1,$B$96)))</x:f>
      </x:c>
      <x:c r="E103" s="35" t="n">
        <x:f>MAX($F$95,$B$95-($B$95-$F$95)*MIN(1,$C103/MAX(1,$B$96)))</x:f>
      </x:c>
      <x:c r="F103" s="35" t="n">
        <x:f>MAX($G$95,$B$95-($B$95-$G$95)*MIN(1,$C103/MAX(1,$B$96)))</x:f>
      </x:c>
      <x:c r="G103" s="90" t="n">
        <x:f>IF($B$6="Downside",D103,IF($B$6="Upside",F103,E103))</x:f>
      </x:c>
      <x:c r="H103" t="str">
        <x:f>IF($C103&lt;$B$96,"Переход","Целевая")</x:f>
      </x:c>
    </x:row>
    <x:row r="104">
      <x:c r="A104" t="n">
        <x:v>6</x:v>
      </x:c>
      <x:c r="B104" s="91" t="n">
        <x:f>EDATE($B$8,ROUND(5*($B$9-1)/20,0))</x:f>
      </x:c>
      <x:c r="C104" t="n">
        <x:f>ROUND(5*($B$9-1)/20,0)</x:f>
      </x:c>
      <x:c r="D104" s="35" t="n">
        <x:f>MAX($E$95,$B$95-($B$95-$E$95)*MIN(1,$C104/MAX(1,$B$96)))</x:f>
      </x:c>
      <x:c r="E104" s="35" t="n">
        <x:f>MAX($F$95,$B$95-($B$95-$F$95)*MIN(1,$C104/MAX(1,$B$96)))</x:f>
      </x:c>
      <x:c r="F104" s="35" t="n">
        <x:f>MAX($G$95,$B$95-($B$95-$G$95)*MIN(1,$C104/MAX(1,$B$96)))</x:f>
      </x:c>
      <x:c r="G104" s="90" t="n">
        <x:f>IF($B$6="Downside",D104,IF($B$6="Upside",F104,E104))</x:f>
      </x:c>
      <x:c r="H104" t="str">
        <x:f>IF($C104&lt;$B$96,"Переход","Целевая")</x:f>
      </x:c>
    </x:row>
    <x:row r="105">
      <x:c r="A105" t="n">
        <x:v>7</x:v>
      </x:c>
      <x:c r="B105" s="91" t="n">
        <x:f>EDATE($B$8,ROUND(6*($B$9-1)/20,0))</x:f>
      </x:c>
      <x:c r="C105" t="n">
        <x:f>ROUND(6*($B$9-1)/20,0)</x:f>
      </x:c>
      <x:c r="D105" s="35" t="n">
        <x:f>MAX($E$95,$B$95-($B$95-$E$95)*MIN(1,$C105/MAX(1,$B$96)))</x:f>
      </x:c>
      <x:c r="E105" s="35" t="n">
        <x:f>MAX($F$95,$B$95-($B$95-$F$95)*MIN(1,$C105/MAX(1,$B$96)))</x:f>
      </x:c>
      <x:c r="F105" s="35" t="n">
        <x:f>MAX($G$95,$B$95-($B$95-$G$95)*MIN(1,$C105/MAX(1,$B$96)))</x:f>
      </x:c>
      <x:c r="G105" s="90" t="n">
        <x:f>IF($B$6="Downside",D105,IF($B$6="Upside",F105,E105))</x:f>
      </x:c>
      <x:c r="H105" t="str">
        <x:f>IF($C105&lt;$B$96,"Переход","Целевая")</x:f>
      </x:c>
    </x:row>
    <x:row r="106">
      <x:c r="A106" t="n">
        <x:v>8</x:v>
      </x:c>
      <x:c r="B106" s="91" t="n">
        <x:f>EDATE($B$8,ROUND(7*($B$9-1)/20,0))</x:f>
      </x:c>
      <x:c r="C106" t="n">
        <x:f>ROUND(7*($B$9-1)/20,0)</x:f>
      </x:c>
      <x:c r="D106" s="35" t="n">
        <x:f>MAX($E$95,$B$95-($B$95-$E$95)*MIN(1,$C106/MAX(1,$B$96)))</x:f>
      </x:c>
      <x:c r="E106" s="35" t="n">
        <x:f>MAX($F$95,$B$95-($B$95-$F$95)*MIN(1,$C106/MAX(1,$B$96)))</x:f>
      </x:c>
      <x:c r="F106" s="35" t="n">
        <x:f>MAX($G$95,$B$95-($B$95-$G$95)*MIN(1,$C106/MAX(1,$B$96)))</x:f>
      </x:c>
      <x:c r="G106" s="90" t="n">
        <x:f>IF($B$6="Downside",D106,IF($B$6="Upside",F106,E106))</x:f>
      </x:c>
      <x:c r="H106" t="str">
        <x:f>IF($C106&lt;$B$96,"Переход","Целевая")</x:f>
      </x:c>
    </x:row>
    <x:row r="107">
      <x:c r="A107" t="n">
        <x:v>9</x:v>
      </x:c>
      <x:c r="B107" s="91" t="n">
        <x:f>EDATE($B$8,ROUND(8*($B$9-1)/20,0))</x:f>
      </x:c>
      <x:c r="C107" t="n">
        <x:f>ROUND(8*($B$9-1)/20,0)</x:f>
      </x:c>
      <x:c r="D107" s="35" t="n">
        <x:f>MAX($E$95,$B$95-($B$95-$E$95)*MIN(1,$C107/MAX(1,$B$96)))</x:f>
      </x:c>
      <x:c r="E107" s="35" t="n">
        <x:f>MAX($F$95,$B$95-($B$95-$F$95)*MIN(1,$C107/MAX(1,$B$96)))</x:f>
      </x:c>
      <x:c r="F107" s="35" t="n">
        <x:f>MAX($G$95,$B$95-($B$95-$G$95)*MIN(1,$C107/MAX(1,$B$96)))</x:f>
      </x:c>
      <x:c r="G107" s="90" t="n">
        <x:f>IF($B$6="Downside",D107,IF($B$6="Upside",F107,E107))</x:f>
      </x:c>
      <x:c r="H107" t="str">
        <x:f>IF($C107&lt;$B$96,"Переход","Целевая")</x:f>
      </x:c>
    </x:row>
    <x:row r="108">
      <x:c r="A108" t="n">
        <x:v>10</x:v>
      </x:c>
      <x:c r="B108" s="91" t="n">
        <x:f>EDATE($B$8,ROUND(9*($B$9-1)/20,0))</x:f>
      </x:c>
      <x:c r="C108" t="n">
        <x:f>ROUND(9*($B$9-1)/20,0)</x:f>
      </x:c>
      <x:c r="D108" s="35" t="n">
        <x:f>MAX($E$95,$B$95-($B$95-$E$95)*MIN(1,$C108/MAX(1,$B$96)))</x:f>
      </x:c>
      <x:c r="E108" s="35" t="n">
        <x:f>MAX($F$95,$B$95-($B$95-$F$95)*MIN(1,$C108/MAX(1,$B$96)))</x:f>
      </x:c>
      <x:c r="F108" s="35" t="n">
        <x:f>MAX($G$95,$B$95-($B$95-$G$95)*MIN(1,$C108/MAX(1,$B$96)))</x:f>
      </x:c>
      <x:c r="G108" s="90" t="n">
        <x:f>IF($B$6="Downside",D108,IF($B$6="Upside",F108,E108))</x:f>
      </x:c>
      <x:c r="H108" t="str">
        <x:f>IF($C108&lt;$B$96,"Переход","Целевая")</x:f>
      </x:c>
    </x:row>
    <x:row r="109">
      <x:c r="A109" t="n">
        <x:v>11</x:v>
      </x:c>
      <x:c r="B109" s="91" t="n">
        <x:f>EDATE($B$8,ROUND(10*($B$9-1)/20,0))</x:f>
      </x:c>
      <x:c r="C109" t="n">
        <x:f>ROUND(10*($B$9-1)/20,0)</x:f>
      </x:c>
      <x:c r="D109" s="35" t="n">
        <x:f>MAX($E$95,$B$95-($B$95-$E$95)*MIN(1,$C109/MAX(1,$B$96)))</x:f>
      </x:c>
      <x:c r="E109" s="35" t="n">
        <x:f>MAX($F$95,$B$95-($B$95-$F$95)*MIN(1,$C109/MAX(1,$B$96)))</x:f>
      </x:c>
      <x:c r="F109" s="35" t="n">
        <x:f>MAX($G$95,$B$95-($B$95-$G$95)*MIN(1,$C109/MAX(1,$B$96)))</x:f>
      </x:c>
      <x:c r="G109" s="90" t="n">
        <x:f>IF($B$6="Downside",D109,IF($B$6="Upside",F109,E109))</x:f>
      </x:c>
      <x:c r="H109" t="str">
        <x:f>IF($C109&lt;$B$96,"Переход","Целевая")</x:f>
      </x:c>
    </x:row>
    <x:row r="110">
      <x:c r="A110" t="n">
        <x:v>12</x:v>
      </x:c>
      <x:c r="B110" s="91" t="n">
        <x:f>EDATE($B$8,ROUND(11*($B$9-1)/20,0))</x:f>
      </x:c>
      <x:c r="C110" t="n">
        <x:f>ROUND(11*($B$9-1)/20,0)</x:f>
      </x:c>
      <x:c r="D110" s="35" t="n">
        <x:f>MAX($E$95,$B$95-($B$95-$E$95)*MIN(1,$C110/MAX(1,$B$96)))</x:f>
      </x:c>
      <x:c r="E110" s="35" t="n">
        <x:f>MAX($F$95,$B$95-($B$95-$F$95)*MIN(1,$C110/MAX(1,$B$96)))</x:f>
      </x:c>
      <x:c r="F110" s="35" t="n">
        <x:f>MAX($G$95,$B$95-($B$95-$G$95)*MIN(1,$C110/MAX(1,$B$96)))</x:f>
      </x:c>
      <x:c r="G110" s="90" t="n">
        <x:f>IF($B$6="Downside",D110,IF($B$6="Upside",F110,E110))</x:f>
      </x:c>
      <x:c r="H110" t="str">
        <x:f>IF($C110&lt;$B$96,"Переход","Целевая")</x:f>
      </x:c>
    </x:row>
    <x:row r="111">
      <x:c r="A111" t="n">
        <x:v>13</x:v>
      </x:c>
      <x:c r="B111" s="91" t="n">
        <x:f>EDATE($B$8,ROUND(12*($B$9-1)/20,0))</x:f>
      </x:c>
      <x:c r="C111" t="n">
        <x:f>ROUND(12*($B$9-1)/20,0)</x:f>
      </x:c>
      <x:c r="D111" s="35" t="n">
        <x:f>MAX($E$95,$B$95-($B$95-$E$95)*MIN(1,$C111/MAX(1,$B$96)))</x:f>
      </x:c>
      <x:c r="E111" s="35" t="n">
        <x:f>MAX($F$95,$B$95-($B$95-$F$95)*MIN(1,$C111/MAX(1,$B$96)))</x:f>
      </x:c>
      <x:c r="F111" s="35" t="n">
        <x:f>MAX($G$95,$B$95-($B$95-$G$95)*MIN(1,$C111/MAX(1,$B$96)))</x:f>
      </x:c>
      <x:c r="G111" s="90" t="n">
        <x:f>IF($B$6="Downside",D111,IF($B$6="Upside",F111,E111))</x:f>
      </x:c>
      <x:c r="H111" t="str">
        <x:f>IF($C111&lt;$B$96,"Переход","Целевая")</x:f>
      </x:c>
    </x:row>
    <x:row r="112">
      <x:c r="A112" t="n">
        <x:v>14</x:v>
      </x:c>
      <x:c r="B112" s="91" t="n">
        <x:f>EDATE($B$8,ROUND(13*($B$9-1)/20,0))</x:f>
      </x:c>
      <x:c r="C112" t="n">
        <x:f>ROUND(13*($B$9-1)/20,0)</x:f>
      </x:c>
      <x:c r="D112" s="35" t="n">
        <x:f>MAX($E$95,$B$95-($B$95-$E$95)*MIN(1,$C112/MAX(1,$B$96)))</x:f>
      </x:c>
      <x:c r="E112" s="35" t="n">
        <x:f>MAX($F$95,$B$95-($B$95-$F$95)*MIN(1,$C112/MAX(1,$B$96)))</x:f>
      </x:c>
      <x:c r="F112" s="35" t="n">
        <x:f>MAX($G$95,$B$95-($B$95-$G$95)*MIN(1,$C112/MAX(1,$B$96)))</x:f>
      </x:c>
      <x:c r="G112" s="90" t="n">
        <x:f>IF($B$6="Downside",D112,IF($B$6="Upside",F112,E112))</x:f>
      </x:c>
      <x:c r="H112" t="str">
        <x:f>IF($C112&lt;$B$96,"Переход","Целевая")</x:f>
      </x:c>
    </x:row>
    <x:row r="113">
      <x:c r="A113" t="n">
        <x:v>15</x:v>
      </x:c>
      <x:c r="B113" s="91" t="n">
        <x:f>EDATE($B$8,ROUND(14*($B$9-1)/20,0))</x:f>
      </x:c>
      <x:c r="C113" t="n">
        <x:f>ROUND(14*($B$9-1)/20,0)</x:f>
      </x:c>
      <x:c r="D113" s="35" t="n">
        <x:f>MAX($E$95,$B$95-($B$95-$E$95)*MIN(1,$C113/MAX(1,$B$96)))</x:f>
      </x:c>
      <x:c r="E113" s="35" t="n">
        <x:f>MAX($F$95,$B$95-($B$95-$F$95)*MIN(1,$C113/MAX(1,$B$96)))</x:f>
      </x:c>
      <x:c r="F113" s="35" t="n">
        <x:f>MAX($G$95,$B$95-($B$95-$G$95)*MIN(1,$C113/MAX(1,$B$96)))</x:f>
      </x:c>
      <x:c r="G113" s="90" t="n">
        <x:f>IF($B$6="Downside",D113,IF($B$6="Upside",F113,E113))</x:f>
      </x:c>
      <x:c r="H113" t="str">
        <x:f>IF($C113&lt;$B$96,"Переход","Целевая")</x:f>
      </x:c>
    </x:row>
    <x:row r="114">
      <x:c r="A114" t="n">
        <x:v>16</x:v>
      </x:c>
      <x:c r="B114" s="91" t="n">
        <x:f>EDATE($B$8,ROUND(15*($B$9-1)/20,0))</x:f>
      </x:c>
      <x:c r="C114" t="n">
        <x:f>ROUND(15*($B$9-1)/20,0)</x:f>
      </x:c>
      <x:c r="D114" s="35" t="n">
        <x:f>MAX($E$95,$B$95-($B$95-$E$95)*MIN(1,$C114/MAX(1,$B$96)))</x:f>
      </x:c>
      <x:c r="E114" s="35" t="n">
        <x:f>MAX($F$95,$B$95-($B$95-$F$95)*MIN(1,$C114/MAX(1,$B$96)))</x:f>
      </x:c>
      <x:c r="F114" s="35" t="n">
        <x:f>MAX($G$95,$B$95-($B$95-$G$95)*MIN(1,$C114/MAX(1,$B$96)))</x:f>
      </x:c>
      <x:c r="G114" s="90" t="n">
        <x:f>IF($B$6="Downside",D114,IF($B$6="Upside",F114,E114))</x:f>
      </x:c>
      <x:c r="H114" t="str">
        <x:f>IF($C114&lt;$B$96,"Переход","Целевая")</x:f>
      </x:c>
    </x:row>
    <x:row r="115">
      <x:c r="A115" t="n">
        <x:v>17</x:v>
      </x:c>
      <x:c r="B115" s="91" t="n">
        <x:f>EDATE($B$8,ROUND(16*($B$9-1)/20,0))</x:f>
      </x:c>
      <x:c r="C115" t="n">
        <x:f>ROUND(16*($B$9-1)/20,0)</x:f>
      </x:c>
      <x:c r="D115" s="35" t="n">
        <x:f>MAX($E$95,$B$95-($B$95-$E$95)*MIN(1,$C115/MAX(1,$B$96)))</x:f>
      </x:c>
      <x:c r="E115" s="35" t="n">
        <x:f>MAX($F$95,$B$95-($B$95-$F$95)*MIN(1,$C115/MAX(1,$B$96)))</x:f>
      </x:c>
      <x:c r="F115" s="35" t="n">
        <x:f>MAX($G$95,$B$95-($B$95-$G$95)*MIN(1,$C115/MAX(1,$B$96)))</x:f>
      </x:c>
      <x:c r="G115" s="90" t="n">
        <x:f>IF($B$6="Downside",D115,IF($B$6="Upside",F115,E115))</x:f>
      </x:c>
      <x:c r="H115" t="str">
        <x:f>IF($C115&lt;$B$96,"Переход","Целевая")</x:f>
      </x:c>
    </x:row>
    <x:row r="116">
      <x:c r="A116" t="n">
        <x:v>18</x:v>
      </x:c>
      <x:c r="B116" s="91" t="n">
        <x:f>EDATE($B$8,ROUND(17*($B$9-1)/20,0))</x:f>
      </x:c>
      <x:c r="C116" t="n">
        <x:f>ROUND(17*($B$9-1)/20,0)</x:f>
      </x:c>
      <x:c r="D116" s="35" t="n">
        <x:f>MAX($E$95,$B$95-($B$95-$E$95)*MIN(1,$C116/MAX(1,$B$96)))</x:f>
      </x:c>
      <x:c r="E116" s="35" t="n">
        <x:f>MAX($F$95,$B$95-($B$95-$F$95)*MIN(1,$C116/MAX(1,$B$96)))</x:f>
      </x:c>
      <x:c r="F116" s="35" t="n">
        <x:f>MAX($G$95,$B$95-($B$95-$G$95)*MIN(1,$C116/MAX(1,$B$96)))</x:f>
      </x:c>
      <x:c r="G116" s="90" t="n">
        <x:f>IF($B$6="Downside",D116,IF($B$6="Upside",F116,E116))</x:f>
      </x:c>
      <x:c r="H116" t="str">
        <x:f>IF($C116&lt;$B$96,"Переход","Целевая")</x:f>
      </x:c>
    </x:row>
    <x:row r="117">
      <x:c r="A117" t="n">
        <x:v>19</x:v>
      </x:c>
      <x:c r="B117" s="91" t="n">
        <x:f>EDATE($B$8,ROUND(18*($B$9-1)/20,0))</x:f>
      </x:c>
      <x:c r="C117" t="n">
        <x:f>ROUND(18*($B$9-1)/20,0)</x:f>
      </x:c>
      <x:c r="D117" s="35" t="n">
        <x:f>MAX($E$95,$B$95-($B$95-$E$95)*MIN(1,$C117/MAX(1,$B$96)))</x:f>
      </x:c>
      <x:c r="E117" s="35" t="n">
        <x:f>MAX($F$95,$B$95-($B$95-$F$95)*MIN(1,$C117/MAX(1,$B$96)))</x:f>
      </x:c>
      <x:c r="F117" s="35" t="n">
        <x:f>MAX($G$95,$B$95-($B$95-$G$95)*MIN(1,$C117/MAX(1,$B$96)))</x:f>
      </x:c>
      <x:c r="G117" s="90" t="n">
        <x:f>IF($B$6="Downside",D117,IF($B$6="Upside",F117,E117))</x:f>
      </x:c>
      <x:c r="H117" t="str">
        <x:f>IF($C117&lt;$B$96,"Переход","Целевая")</x:f>
      </x:c>
    </x:row>
    <x:row r="118">
      <x:c r="A118" t="n">
        <x:v>20</x:v>
      </x:c>
      <x:c r="B118" s="91" t="n">
        <x:f>EDATE($B$8,ROUND(19*($B$9-1)/20,0))</x:f>
      </x:c>
      <x:c r="C118" t="n">
        <x:f>ROUND(19*($B$9-1)/20,0)</x:f>
      </x:c>
      <x:c r="D118" s="35" t="n">
        <x:f>MAX($E$95,$B$95-($B$95-$E$95)*MIN(1,$C118/MAX(1,$B$96)))</x:f>
      </x:c>
      <x:c r="E118" s="35" t="n">
        <x:f>MAX($F$95,$B$95-($B$95-$F$95)*MIN(1,$C118/MAX(1,$B$96)))</x:f>
      </x:c>
      <x:c r="F118" s="35" t="n">
        <x:f>MAX($G$95,$B$95-($B$95-$G$95)*MIN(1,$C118/MAX(1,$B$96)))</x:f>
      </x:c>
      <x:c r="G118" s="90" t="n">
        <x:f>IF($B$6="Downside",D118,IF($B$6="Upside",F118,E118))</x:f>
      </x:c>
      <x:c r="H118" t="str">
        <x:f>IF($C118&lt;$B$96,"Переход","Целевая")</x:f>
      </x:c>
    </x:row>
    <x:row r="119">
      <x:c r="A119" t="n">
        <x:v>21</x:v>
      </x:c>
      <x:c r="B119" s="91" t="n">
        <x:f>EDATE($B$8,ROUND(20*($B$9-1)/20,0))</x:f>
      </x:c>
      <x:c r="C119" t="n">
        <x:f>ROUND(20*($B$9-1)/20,0)</x:f>
      </x:c>
      <x:c r="D119" s="35" t="n">
        <x:f>MAX($E$95,$B$95-($B$95-$E$95)*MIN(1,$C119/MAX(1,$B$96)))</x:f>
      </x:c>
      <x:c r="E119" s="35" t="n">
        <x:f>MAX($F$95,$B$95-($B$95-$F$95)*MIN(1,$C119/MAX(1,$B$96)))</x:f>
      </x:c>
      <x:c r="F119" s="35" t="n">
        <x:f>MAX($G$95,$B$95-($B$95-$G$95)*MIN(1,$C119/MAX(1,$B$96)))</x:f>
      </x:c>
      <x:c r="G119" s="90" t="n">
        <x:f>IF($B$6="Downside",D119,IF($B$6="Upside",F119,E119))</x:f>
      </x:c>
      <x:c r="H119" t="str">
        <x:f>IF($C119&lt;$B$96,"Переход","Целевая")</x:f>
      </x:c>
    </x:row>
  </x:sheetData>
  <x:mergeCells>
    <x:mergeCell ref="A1:M1"/>
    <x:mergeCell ref="A2:M2"/>
    <x:mergeCell ref="J4:M4"/>
    <x:mergeCell ref="A13:D13"/>
    <x:mergeCell ref="A38:D38"/>
    <x:mergeCell ref="A57:D57"/>
    <x:mergeCell ref="A72:D72"/>
    <x:mergeCell ref="A93:H93"/>
    <x:mergeCell ref="J18:M18"/>
    <x:mergeCell ref="J38:M38"/>
    <x:mergeCell ref="J58:M58"/>
    <x:mergeCell ref="J78:M78"/>
    <x:mergeCell ref="A86:AH86"/>
  </x:mergeCells>
  <x:dataValidations count="24">
    <x:dataValidation type="list" sqref="B6">
      <x:formula1>"Base,Upside,Downside"</x:formula1>
    </x:dataValidation>
    <x:dataValidation type="list" sqref="K6">
      <x:formula1>"Москва,Московская область"</x:formula1>
    </x:dataValidation>
    <x:dataValidation type="list" sqref="K8">
      <x:formula1>"Да,Нет"</x:formula1>
    </x:dataValidation>
    <x:dataValidation type="list" sqref="B31">
      <x:formula1>"Капитализация в ПФ,Оплата капиталом"</x:formula1>
    </x:dataValidation>
    <x:dataValidation type="list" sqref="B74">
      <x:formula1>"Да,Нет"</x:formula1>
    </x:dataValidation>
    <x:dataValidation type="list" sqref="B75">
      <x:formula1>"Единовременно,1 год,2 года,3 года,4 года,5 лет,6 лет"</x:formula1>
    </x:dataValidation>
    <x:dataValidation type="list" sqref="B80">
      <x:formula1>"Да,Нет"</x:formula1>
    </x:dataValidation>
    <x:dataValidation type="decimal" operator="greaterThanOrEqual" sqref="B81">
      <x:formula1>0</x:formula1>
    </x:dataValidation>
    <x:dataValidation type="list" sqref="B84">
      <x:formula1>"Да,Нет"</x:formula1>
    </x:dataValidation>
    <x:dataValidation type="list" sqref="B88:B91">
      <x:formula1>"Да,Нет"</x:formula1>
    </x:dataValidation>
    <x:dataValidation type="decimal" operator="between" sqref="B67">
      <x:formula1>-0.9</x:formula1>
      <x:formula2>1</x:formula2>
    </x:dataValidation>
    <x:dataValidation type="decimal" operator="between" sqref="B70">
      <x:formula1>-0.9</x:formula1>
      <x:formula2>1</x:formula2>
    </x:dataValidation>
    <x:dataValidation type="list" sqref="K20">
      <x:formula1>"Да,Нет"</x:formula1>
    </x:dataValidation>
    <x:dataValidation type="list" sqref="K22">
      <x:formula1>"Да,Нет"</x:formula1>
    </x:dataValidation>
    <x:dataValidation type="list" sqref="K40">
      <x:formula1>"Да,Нет"</x:formula1>
    </x:dataValidation>
    <x:dataValidation type="list" sqref="K42">
      <x:formula1>"Да,Нет"</x:formula1>
    </x:dataValidation>
    <x:dataValidation type="list" sqref="K60">
      <x:formula1>"Да,Нет"</x:formula1>
    </x:dataValidation>
    <x:dataValidation type="list" sqref="K62">
      <x:formula1>"Да,Нет"</x:formula1>
    </x:dataValidation>
    <x:dataValidation type="list" sqref="K80">
      <x:formula1>"Да,Нет"</x:formula1>
    </x:dataValidation>
    <x:dataValidation type="list" sqref="K81">
      <x:formula1>"Да,Нет"</x:formula1>
    </x:dataValidation>
    <x:dataValidation type="list" sqref="K21">
      <x:formula1>"1,2,3,4"</x:formula1>
    </x:dataValidation>
    <x:dataValidation type="list" sqref="K41">
      <x:formula1>"1,2,3,4"</x:formula1>
    </x:dataValidation>
    <x:dataValidation type="list" sqref="K61">
      <x:formula1>"1,2,3,4"</x:formula1>
    </x:dataValidation>
    <x:dataValidation type="decimal" operator="between" sqref="AD88:AF91">
      <x:formula1>-0.5</x:formula1>
      <x:formula2>1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</x:cols>
  <x:sheetData>
    <x:row r="1" ht="28" customHeight="1">
      <x:c r="A1" s="4" t="str">
        <x:v>ТЭП И ПРОДУКТОВЫЙ СОСТАВ</x:v>
      </x:c>
      <x:c r="B1" s="4" t="str">
        <x:v>ТЭП И ПРОДУКТОВЫЙ СОСТАВ</x:v>
      </x:c>
      <x:c r="C1" s="4" t="str">
        <x:v>ТЭП И ПРОДУКТОВЫЙ СОСТАВ</x:v>
      </x:c>
      <x:c r="D1" s="4" t="str">
        <x:v>ТЭП И ПРОДУКТОВЫЙ СОСТАВ</x:v>
      </x:c>
      <x:c r="E1" s="4" t="str">
        <x:v>ТЭП И ПРОДУКТОВЫЙ СОСТАВ</x:v>
      </x:c>
      <x:c r="F1" s="4" t="str">
        <x:v>ТЭП И ПРОДУКТОВЫЙ СОСТАВ</x:v>
      </x:c>
      <x:c r="G1" s="4" t="str">
        <x:v>ТЭП И ПРОДУКТОВЫЙ СОСТАВ</x:v>
      </x:c>
      <x:c r="H1" s="4" t="str">
        <x:v>ТЭП И ПРОДУКТОВЫЙ СОСТАВ</x:v>
      </x:c>
    </x:row>
    <x:row r="3">
      <x:c r="A3" s="23" t="str">
        <x:v>Очередь</x:v>
      </x:c>
      <x:c r="B3" s="23" t="str">
        <x:v>Продукт</x:v>
      </x:c>
      <x:c r="C3" s="23" t="str">
        <x:v>ГНС, м²</x:v>
      </x:c>
      <x:c r="D3" s="23" t="str">
        <x:v>Продаваемая площадь</x:v>
      </x:c>
      <x:c r="E3" s="23" t="str">
        <x:v>Единицы</x:v>
      </x:c>
      <x:c r="F3" s="23" t="str">
        <x:v>Стартовая цена</x:v>
      </x:c>
      <x:c r="G3" s="23" t="str">
        <x:v>Выручка, млн ₽</x:v>
      </x:c>
      <x:c r="H3" s="23" t="str">
        <x:v>Комментарий</x:v>
      </x:c>
    </x:row>
    <x:row r="4">
      <x:c r="A4" t="str">
        <x:f>'Вводные'!$C$88</x:f>
      </x:c>
      <x:c r="B4" t="str">
        <x:v>Квартиры</x:v>
      </x:c>
      <x:c r="C4" s="132" t="n">
        <x:f>'Вводные'!$I$88</x:f>
      </x:c>
      <x:c r="D4" s="132" t="n">
        <x:f>'Вводные'!$L$88</x:f>
      </x:c>
      <x:c r="E4" s="132"/>
      <x:c r="F4" s="107" t="n">
        <x:f>('Вводные'!$B$59*'Вводные'!$S$88*'Вводные'!$H$5)*'Вводные'!$AG$88</x:f>
      </x:c>
      <x:c r="G4" s="107" t="n">
        <x:f>'Продажи'!B16</x:f>
      </x:c>
      <x:c r="H4" t="str">
        <x:v>Жилая часть</x:v>
      </x:c>
    </x:row>
    <x:row r="5">
      <x:c r="A5" t="str">
        <x:f>'Вводные'!$C$88</x:f>
      </x:c>
      <x:c r="B5" t="str">
        <x:v>Коммерция 1 этажа</x:v>
      </x:c>
      <x:c r="C5" s="132" t="n">
        <x:f>'Вводные'!$J$88</x:f>
      </x:c>
      <x:c r="D5" s="132" t="n">
        <x:f>'Вводные'!$M$88</x:f>
      </x:c>
      <x:c r="E5" s="132"/>
      <x:c r="F5" s="107" t="n">
        <x:f>('Вводные'!$B$60*'Вводные'!$S$88*'Вводные'!$H$5)*'Вводные'!$AG$88</x:f>
      </x:c>
      <x:c r="G5" s="107" t="n">
        <x:f>'Продажи'!B19</x:f>
      </x:c>
      <x:c r="H5" t="str">
        <x:v>Встроенная коммерция</x:v>
      </x:c>
    </x:row>
    <x:row r="6">
      <x:c r="A6" t="str">
        <x:f>'Вводные'!$C$88</x:f>
      </x:c>
      <x:c r="B6" t="str">
        <x:v>Подземный паркинг</x:v>
      </x:c>
      <x:c r="C6" s="132" t="n">
        <x:f>'Вводные'!$K$88</x:f>
      </x:c>
      <x:c r="D6" s="132"/>
      <x:c r="E6" s="132" t="n">
        <x:f>'Вводные'!$N$88</x:f>
      </x:c>
      <x:c r="F6" s="107" t="n">
        <x:f>('Вводные'!$B$61*'Вводные'!$S$88*'Вводные'!$H$5)*'Вводные'!$AG$88</x:f>
      </x:c>
      <x:c r="G6" s="107" t="n">
        <x:f>'Продажи'!B22</x:f>
      </x:c>
      <x:c r="H6" t="str">
        <x:v>Машино-места</x:v>
      </x:c>
    </x:row>
    <x:row r="7">
      <x:c r="A7" t="str">
        <x:f>'Вводные'!$C$88</x:f>
      </x:c>
      <x:c r="B7" t="str">
        <x:v>Кладовые</x:v>
      </x:c>
      <x:c r="C7" s="132"/>
      <x:c r="D7" s="132"/>
      <x:c r="E7" s="132" t="n">
        <x:f>'Вводные'!$O$88</x:f>
      </x:c>
      <x:c r="F7" s="107" t="n">
        <x:f>('Вводные'!$B$62*'Вводные'!$S$88*'Вводные'!$H$5)*'Вводные'!$AG$88</x:f>
      </x:c>
      <x:c r="G7" s="107" t="n">
        <x:f>'Продажи'!B25</x:f>
      </x:c>
      <x:c r="H7" t="str">
        <x:v>Штучный продукт</x:v>
      </x:c>
    </x:row>
    <x:row r="8">
      <x:c r="A8" s="113" t="str">
        <x:v>Итого очередь 1</x:v>
      </x:c>
      <x:c r="B8" s="113"/>
      <x:c r="C8" s="133" t="n">
        <x:f>SUM(C4:C7)</x:f>
      </x:c>
      <x:c r="D8" s="133" t="n">
        <x:f>SUM(D4:D7)</x:f>
      </x:c>
      <x:c r="E8" s="133" t="n">
        <x:f>SUM(E4:E7)</x:f>
      </x:c>
      <x:c r="F8" s="113"/>
      <x:c r="G8" s="113" t="n">
        <x:f>SUM(G4:G7)</x:f>
      </x:c>
      <x:c r="H8" s="113"/>
    </x:row>
    <x:row r="9">
      <x:c r="C9" s="132"/>
      <x:c r="D9" s="132"/>
      <x:c r="E9" s="132"/>
      <x:c r="F9" s="107"/>
      <x:c r="G9" s="107"/>
    </x:row>
    <x:row r="10">
      <x:c r="A10" t="str">
        <x:f>'Вводные'!$C$89</x:f>
      </x:c>
      <x:c r="B10" t="str">
        <x:v>Квартиры</x:v>
      </x:c>
      <x:c r="C10" s="132" t="n">
        <x:f>'Вводные'!$I$89</x:f>
      </x:c>
      <x:c r="D10" s="132" t="n">
        <x:f>'Вводные'!$L$89</x:f>
      </x:c>
      <x:c r="E10" s="132"/>
      <x:c r="F10" s="107" t="n">
        <x:f>('Вводные'!$B$59*'Вводные'!$S$89*'Вводные'!$H$5)*'Вводные'!$AG$89</x:f>
      </x:c>
      <x:c r="G10" s="107" t="n">
        <x:f>'Продажи'!B39</x:f>
      </x:c>
      <x:c r="H10" t="str">
        <x:v>Жилая часть</x:v>
      </x:c>
    </x:row>
    <x:row r="11">
      <x:c r="A11" t="str">
        <x:f>'Вводные'!$C$89</x:f>
      </x:c>
      <x:c r="B11" t="str">
        <x:v>Коммерция 1 этажа</x:v>
      </x:c>
      <x:c r="C11" s="132" t="n">
        <x:f>'Вводные'!$J$89</x:f>
      </x:c>
      <x:c r="D11" s="132" t="n">
        <x:f>'Вводные'!$M$89</x:f>
      </x:c>
      <x:c r="E11" s="132"/>
      <x:c r="F11" s="107" t="n">
        <x:f>('Вводные'!$B$60*'Вводные'!$S$89*'Вводные'!$H$5)*'Вводные'!$AG$89</x:f>
      </x:c>
      <x:c r="G11" s="107" t="n">
        <x:f>'Продажи'!B42</x:f>
      </x:c>
      <x:c r="H11" t="str">
        <x:v>Встроенная коммерция</x:v>
      </x:c>
    </x:row>
    <x:row r="12">
      <x:c r="A12" t="str">
        <x:f>'Вводные'!$C$89</x:f>
      </x:c>
      <x:c r="B12" t="str">
        <x:v>Подземный паркинг</x:v>
      </x:c>
      <x:c r="C12" s="132" t="n">
        <x:f>'Вводные'!$K$89</x:f>
      </x:c>
      <x:c r="D12" s="132"/>
      <x:c r="E12" s="132" t="n">
        <x:f>'Вводные'!$N$89</x:f>
      </x:c>
      <x:c r="F12" s="107" t="n">
        <x:f>('Вводные'!$B$61*'Вводные'!$S$89*'Вводные'!$H$5)*'Вводные'!$AG$89</x:f>
      </x:c>
      <x:c r="G12" s="107" t="n">
        <x:f>'Продажи'!B45</x:f>
      </x:c>
      <x:c r="H12" t="str">
        <x:v>Машино-места</x:v>
      </x:c>
    </x:row>
    <x:row r="13">
      <x:c r="A13" t="str">
        <x:f>'Вводные'!$C$89</x:f>
      </x:c>
      <x:c r="B13" t="str">
        <x:v>Кладовые</x:v>
      </x:c>
      <x:c r="C13" s="132"/>
      <x:c r="D13" s="132"/>
      <x:c r="E13" s="132" t="n">
        <x:f>'Вводные'!$O$89</x:f>
      </x:c>
      <x:c r="F13" s="107" t="n">
        <x:f>('Вводные'!$B$62*'Вводные'!$S$89*'Вводные'!$H$5)*'Вводные'!$AG$89</x:f>
      </x:c>
      <x:c r="G13" s="107" t="n">
        <x:f>'Продажи'!B48</x:f>
      </x:c>
      <x:c r="H13" t="str">
        <x:v>Штучный продукт</x:v>
      </x:c>
    </x:row>
    <x:row r="14">
      <x:c r="A14" s="113" t="str">
        <x:v>Итого очередь 2</x:v>
      </x:c>
      <x:c r="B14" s="113"/>
      <x:c r="C14" s="133" t="n">
        <x:f>SUM(C10:C13)</x:f>
      </x:c>
      <x:c r="D14" s="133" t="n">
        <x:f>SUM(D10:D13)</x:f>
      </x:c>
      <x:c r="E14" s="133" t="n">
        <x:f>SUM(E10:E13)</x:f>
      </x:c>
      <x:c r="F14" s="113"/>
      <x:c r="G14" s="113" t="n">
        <x:f>SUM(G10:G13)</x:f>
      </x:c>
      <x:c r="H14" s="113"/>
    </x:row>
    <x:row r="15">
      <x:c r="C15" s="132"/>
      <x:c r="D15" s="132"/>
      <x:c r="E15" s="132"/>
      <x:c r="F15" s="107"/>
      <x:c r="G15" s="107"/>
    </x:row>
    <x:row r="16">
      <x:c r="A16" t="str">
        <x:f>'Вводные'!$C$90</x:f>
      </x:c>
      <x:c r="B16" t="str">
        <x:v>Квартиры</x:v>
      </x:c>
      <x:c r="C16" s="132" t="n">
        <x:f>'Вводные'!$I$90</x:f>
      </x:c>
      <x:c r="D16" s="132" t="n">
        <x:f>'Вводные'!$L$90</x:f>
      </x:c>
      <x:c r="E16" s="132"/>
      <x:c r="F16" s="107" t="n">
        <x:f>('Вводные'!$B$59*'Вводные'!$S$90*'Вводные'!$H$5)*'Вводные'!$AG$90</x:f>
      </x:c>
      <x:c r="G16" s="107" t="n">
        <x:f>'Продажи'!B62</x:f>
      </x:c>
      <x:c r="H16" t="str">
        <x:v>Жилая часть</x:v>
      </x:c>
    </x:row>
    <x:row r="17">
      <x:c r="A17" t="str">
        <x:f>'Вводные'!$C$90</x:f>
      </x:c>
      <x:c r="B17" t="str">
        <x:v>Коммерция 1 этажа</x:v>
      </x:c>
      <x:c r="C17" s="132" t="n">
        <x:f>'Вводные'!$J$90</x:f>
      </x:c>
      <x:c r="D17" s="132" t="n">
        <x:f>'Вводные'!$M$90</x:f>
      </x:c>
      <x:c r="E17" s="132"/>
      <x:c r="F17" s="107" t="n">
        <x:f>('Вводные'!$B$60*'Вводные'!$S$90*'Вводные'!$H$5)*'Вводные'!$AG$90</x:f>
      </x:c>
      <x:c r="G17" s="107" t="n">
        <x:f>'Продажи'!B65</x:f>
      </x:c>
      <x:c r="H17" t="str">
        <x:v>Встроенная коммерция</x:v>
      </x:c>
    </x:row>
    <x:row r="18">
      <x:c r="A18" t="str">
        <x:f>'Вводные'!$C$90</x:f>
      </x:c>
      <x:c r="B18" t="str">
        <x:v>Подземный паркинг</x:v>
      </x:c>
      <x:c r="C18" s="132" t="n">
        <x:f>'Вводные'!$K$90</x:f>
      </x:c>
      <x:c r="D18" s="132"/>
      <x:c r="E18" s="132" t="n">
        <x:f>'Вводные'!$N$90</x:f>
      </x:c>
      <x:c r="F18" s="107" t="n">
        <x:f>('Вводные'!$B$61*'Вводные'!$S$90*'Вводные'!$H$5)*'Вводные'!$AG$90</x:f>
      </x:c>
      <x:c r="G18" s="107" t="n">
        <x:f>'Продажи'!B68</x:f>
      </x:c>
      <x:c r="H18" t="str">
        <x:v>Машино-места</x:v>
      </x:c>
    </x:row>
    <x:row r="19">
      <x:c r="A19" t="str">
        <x:f>'Вводные'!$C$90</x:f>
      </x:c>
      <x:c r="B19" t="str">
        <x:v>Кладовые</x:v>
      </x:c>
      <x:c r="C19" s="132"/>
      <x:c r="D19" s="132"/>
      <x:c r="E19" s="132" t="n">
        <x:f>'Вводные'!$O$90</x:f>
      </x:c>
      <x:c r="F19" s="107" t="n">
        <x:f>('Вводные'!$B$62*'Вводные'!$S$90*'Вводные'!$H$5)*'Вводные'!$AG$90</x:f>
      </x:c>
      <x:c r="G19" s="107" t="n">
        <x:f>'Продажи'!B71</x:f>
      </x:c>
      <x:c r="H19" t="str">
        <x:v>Штучный продукт</x:v>
      </x:c>
    </x:row>
    <x:row r="20">
      <x:c r="A20" s="113" t="str">
        <x:v>Итого очередь 3</x:v>
      </x:c>
      <x:c r="B20" s="113"/>
      <x:c r="C20" s="133" t="n">
        <x:f>SUM(C16:C19)</x:f>
      </x:c>
      <x:c r="D20" s="133" t="n">
        <x:f>SUM(D16:D19)</x:f>
      </x:c>
      <x:c r="E20" s="133" t="n">
        <x:f>SUM(E16:E19)</x:f>
      </x:c>
      <x:c r="F20" s="113"/>
      <x:c r="G20" s="113" t="n">
        <x:f>SUM(G16:G19)</x:f>
      </x:c>
      <x:c r="H20" s="113"/>
    </x:row>
    <x:row r="21">
      <x:c r="C21" s="132"/>
      <x:c r="D21" s="132"/>
      <x:c r="E21" s="132"/>
      <x:c r="F21" s="107"/>
      <x:c r="G21" s="107"/>
    </x:row>
    <x:row r="22">
      <x:c r="A22" t="str">
        <x:f>'Вводные'!$C$91</x:f>
      </x:c>
      <x:c r="B22" t="str">
        <x:v>Квартиры</x:v>
      </x:c>
      <x:c r="C22" s="132" t="n">
        <x:f>'Вводные'!$I$91</x:f>
      </x:c>
      <x:c r="D22" s="132" t="n">
        <x:f>'Вводные'!$L$91</x:f>
      </x:c>
      <x:c r="E22" s="132"/>
      <x:c r="F22" s="107" t="n">
        <x:f>('Вводные'!$B$59*'Вводные'!$S$91*'Вводные'!$H$5)*'Вводные'!$AG$91</x:f>
      </x:c>
      <x:c r="G22" s="107" t="n">
        <x:f>'Продажи'!B85</x:f>
      </x:c>
      <x:c r="H22" t="str">
        <x:v>Жилая часть</x:v>
      </x:c>
    </x:row>
    <x:row r="23">
      <x:c r="A23" t="str">
        <x:f>'Вводные'!$C$91</x:f>
      </x:c>
      <x:c r="B23" t="str">
        <x:v>Коммерция 1 этажа</x:v>
      </x:c>
      <x:c r="C23" s="132" t="n">
        <x:f>'Вводные'!$J$91</x:f>
      </x:c>
      <x:c r="D23" s="132" t="n">
        <x:f>'Вводные'!$M$91</x:f>
      </x:c>
      <x:c r="E23" s="132"/>
      <x:c r="F23" s="107" t="n">
        <x:f>('Вводные'!$B$60*'Вводные'!$S$91*'Вводные'!$H$5)*'Вводные'!$AG$91</x:f>
      </x:c>
      <x:c r="G23" s="107" t="n">
        <x:f>'Продажи'!B88</x:f>
      </x:c>
      <x:c r="H23" t="str">
        <x:v>Встроенная коммерция</x:v>
      </x:c>
    </x:row>
    <x:row r="24">
      <x:c r="A24" t="str">
        <x:f>'Вводные'!$C$91</x:f>
      </x:c>
      <x:c r="B24" t="str">
        <x:v>Подземный паркинг</x:v>
      </x:c>
      <x:c r="C24" s="132" t="n">
        <x:f>'Вводные'!$K$91</x:f>
      </x:c>
      <x:c r="D24" s="132"/>
      <x:c r="E24" s="132" t="n">
        <x:f>'Вводные'!$N$91</x:f>
      </x:c>
      <x:c r="F24" s="107" t="n">
        <x:f>('Вводные'!$B$61*'Вводные'!$S$91*'Вводные'!$H$5)*'Вводные'!$AG$91</x:f>
      </x:c>
      <x:c r="G24" s="107" t="n">
        <x:f>'Продажи'!B91</x:f>
      </x:c>
      <x:c r="H24" t="str">
        <x:v>Машино-места</x:v>
      </x:c>
    </x:row>
    <x:row r="25">
      <x:c r="A25" t="str">
        <x:f>'Вводные'!$C$91</x:f>
      </x:c>
      <x:c r="B25" t="str">
        <x:v>Кладовые</x:v>
      </x:c>
      <x:c r="C25" s="132"/>
      <x:c r="D25" s="132"/>
      <x:c r="E25" s="132" t="n">
        <x:f>'Вводные'!$O$91</x:f>
      </x:c>
      <x:c r="F25" s="107" t="n">
        <x:f>('Вводные'!$B$62*'Вводные'!$S$91*'Вводные'!$H$5)*'Вводные'!$AG$91</x:f>
      </x:c>
      <x:c r="G25" s="107" t="n">
        <x:f>'Продажи'!B94</x:f>
      </x:c>
      <x:c r="H25" t="str">
        <x:v>Штучный продукт</x:v>
      </x:c>
    </x:row>
    <x:row r="26">
      <x:c r="A26" s="113" t="str">
        <x:v>Итого очередь 4</x:v>
      </x:c>
      <x:c r="B26" s="113"/>
      <x:c r="C26" s="133" t="n">
        <x:f>SUM(C22:C25)</x:f>
      </x:c>
      <x:c r="D26" s="133" t="n">
        <x:f>SUM(D22:D25)</x:f>
      </x:c>
      <x:c r="E26" s="133" t="n">
        <x:f>SUM(E22:E25)</x:f>
      </x:c>
      <x:c r="F26" s="113"/>
      <x:c r="G26" s="113" t="n">
        <x:f>SUM(G22:G25)</x:f>
      </x:c>
      <x:c r="H26" s="113"/>
    </x:row>
    <x:row r="28">
      <x:c r="A28" s="113" t="str">
        <x:v>ИТОГО ЖИЛЫЕ ОЧЕРЕДИ</x:v>
      </x:c>
      <x:c r="B28" s="113"/>
      <x:c r="C28" s="133" t="n">
        <x:f>SUM(C8,C14,C20,C26)</x:f>
      </x:c>
      <x:c r="D28" s="133" t="n">
        <x:f>SUM(D4:D7,D10:D13,D16:D19,D22:D25)</x:f>
      </x:c>
      <x:c r="E28" s="133" t="n">
        <x:f>SUM(E4:E7,E10:E13,E16:E19,E22:E25)</x:f>
      </x:c>
      <x:c r="F28" s="113"/>
      <x:c r="G28" s="113">
        <x:f>SUM(G8,G14,G20,G26)</x:f>
      </x:c>
      <x:c r="H28" s="113"/>
    </x:row>
    <x:row r="30" ht="21" customHeight="1">
      <x:c r="A30" s="281" t="str">
        <x:v>ОТДЕЛЬНО СТОЯЩИЕ КОММЕРЧЕСКИЕ ОБЪЕКТЫ</x:v>
      </x:c>
      <x:c r="B30" s="282" t="str">
        <x:v>ОТДЕЛЬНО СТОЯЩИЕ КОММЕРЧЕСКИЕ ОБЪЕКТЫ</x:v>
      </x:c>
      <x:c r="C30" s="282" t="str">
        <x:v>ОТДЕЛЬНО СТОЯЩИЕ КОММЕРЧЕСКИЕ ОБЪЕКТЫ</x:v>
      </x:c>
      <x:c r="D30" s="282" t="str">
        <x:v>ОТДЕЛЬНО СТОЯЩИЕ КОММЕРЧЕСКИЕ ОБЪЕКТЫ</x:v>
      </x:c>
      <x:c r="E30" s="282" t="str">
        <x:v>ОТДЕЛЬНО СТОЯЩИЕ КОММЕРЧЕСКИЕ ОБЪЕКТЫ</x:v>
      </x:c>
      <x:c r="F30" s="282" t="str">
        <x:v>ОТДЕЛЬНО СТОЯЩИЕ КОММЕРЧЕСКИЕ ОБЪЕКТЫ</x:v>
      </x:c>
      <x:c r="G30" s="282" t="str">
        <x:v>ОТДЕЛЬНО СТОЯЩИЕ КОММЕРЧЕСКИЕ ОБЪЕКТЫ</x:v>
      </x:c>
      <x:c r="H30" s="283" t="str">
        <x:v>ОТДЕЛЬНО СТОЯЩИЕ КОММЕРЧЕСКИЕ ОБЪЕКТЫ</x:v>
      </x:c>
    </x:row>
    <x:row r="31">
      <x:c r="A31" t="str">
        <x:v>Проект</x:v>
      </x:c>
      <x:c r="B31" t="str">
        <x:v>МФОЦ / офисный центр</x:v>
      </x:c>
      <x:c r="C31" s="132" t="n">
        <x:f>'Вводные'!$K$25</x:f>
      </x:c>
      <x:c r="D31" s="132" t="n">
        <x:f>'Вводные'!$K$26</x:f>
      </x:c>
      <x:c r="E31" s="132"/>
      <x:c r="F31" s="107" t="n">
        <x:f>'Вводные'!$K$31*'Вводные'!$H$5*INDEX('Вводные'!$S$88:$S$91,'Вводные'!$K$21)*INDEX('Вводные'!$AG$88:$AG$91,'Вводные'!$K$21)</x:f>
      </x:c>
      <x:c r="G31" s="107" t="n">
        <x:f>'ОБЪЕКТЫ'!B24</x:f>
      </x:c>
      <x:c r="H31" t="str">
        <x:v>Отдельно стоящий офисный объект</x:v>
      </x:c>
    </x:row>
    <x:row r="32">
      <x:c r="A32" t="str">
        <x:v>Проект</x:v>
      </x:c>
      <x:c r="B32" t="str">
        <x:v>Торговый центр / коммерция ОСЗ</x:v>
      </x:c>
      <x:c r="C32" s="132" t="n">
        <x:f>'Вводные'!$K$45</x:f>
      </x:c>
      <x:c r="D32" s="132" t="n">
        <x:f>'Вводные'!$K$46</x:f>
      </x:c>
      <x:c r="E32" s="132"/>
      <x:c r="F32" s="107" t="n">
        <x:f>'Вводные'!$K$51*'Вводные'!$H$5*INDEX('Вводные'!$S$88:$S$91,'Вводные'!$K$41)*INDEX('Вводные'!$AG$88:$AG$91,'Вводные'!$K$41)</x:f>
      </x:c>
      <x:c r="G32" s="107" t="n">
        <x:f>'ОБЪЕКТЫ'!B52</x:f>
      </x:c>
      <x:c r="H32" t="str">
        <x:v>Отдельно стоящий торговый объект</x:v>
      </x:c>
    </x:row>
    <x:row r="33">
      <x:c r="A33" t="str">
        <x:v>Проект</x:v>
      </x:c>
      <x:c r="B33" t="str">
        <x:v>Наземный многоэтажный паркинг</x:v>
      </x:c>
      <x:c r="C33" s="132" t="n">
        <x:f>'Вводные'!$K$66</x:f>
      </x:c>
      <x:c r="D33" s="132"/>
      <x:c r="E33" s="132" t="n">
        <x:f>'Вводные'!$K$65</x:f>
      </x:c>
      <x:c r="F33" s="107" t="n">
        <x:f>'Вводные'!$K$71*1000*'Вводные'!$H$5*INDEX('Вводные'!$S$88:$S$91,'Вводные'!$K$61)*INDEX('Вводные'!$AG$88:$AG$91,'Вводные'!$K$61)</x:f>
      </x:c>
      <x:c r="G33" s="107" t="n">
        <x:f>'ОБЪЕКТЫ'!B80</x:f>
      </x:c>
      <x:c r="H33" t="str">
        <x:v>Машино-места; GBA = места × площадь на место</x:v>
      </x:c>
    </x:row>
    <x:row r="34">
      <x:c r="A34" s="348" t="str">
        <x:v>ИТОГО ОБЪЕКТЫ</x:v>
      </x:c>
      <x:c r="B34" s="348"/>
      <x:c r="C34" s="351" t="n">
        <x:f>SUM(C31:C33)</x:f>
      </x:c>
      <x:c r="D34" s="351" t="n">
        <x:f>SUM(D31:D33)</x:f>
      </x:c>
      <x:c r="E34" s="351" t="n">
        <x:f>SUM(E31:E33)</x:f>
      </x:c>
      <x:c r="F34" s="348"/>
      <x:c r="G34" s="348" t="n">
        <x:f>SUM(G31:G33)</x:f>
      </x:c>
      <x:c r="H34" s="348"/>
    </x:row>
    <x:row r="35">
      <x:c r="C35" s="132"/>
      <x:c r="D35" s="132"/>
      <x:c r="E35" s="132"/>
      <x:c r="F35" s="107"/>
      <x:c r="G35" s="107"/>
    </x:row>
    <x:row r="36">
      <x:c r="A36" s="348" t="str">
        <x:v>ИТОГО ПРОЕКТ</x:v>
      </x:c>
      <x:c r="B36" s="348"/>
      <x:c r="C36" s="351" t="n">
        <x:f>SUM(C28,C34)</x:f>
      </x:c>
      <x:c r="D36" s="351" t="n">
        <x:f>SUM(D28,D34)</x:f>
      </x:c>
      <x:c r="E36" s="351" t="n">
        <x:f>SUM(E28,E34)</x:f>
      </x:c>
      <x:c r="F36" s="348"/>
      <x:c r="G36" s="348" t="n">
        <x:f>SUM(G28,G34)</x:f>
      </x:c>
      <x:c r="H36" s="348"/>
    </x:row>
    <x:row r="38">
      <x:c r="A38" t="inlineStr">
        <x:is>
          <x:t>СОЦИАЛЬНЫЕ ОБЪЕКТЫ · входят в CAPEX, не продаются</x:t>
        </x:is>
      </x:c>
    </x:row>
    <x:row r="39">
      <x:c r="A39" t="inlineStr">
        <x:is>
          <x:t>Объект</x:t>
        </x:is>
      </x:c>
      <x:c r="B39" t="inlineStr">
        <x:is>
          <x:t>Мест / мощность</x:t>
        </x:is>
      </x:c>
      <x:c r="C39" t="inlineStr">
        <x:is>
          <x:t>GBA, м²</x:t>
        </x:is>
      </x:c>
      <x:c r="D39" t="inlineStr">
        <x:is>
          <x:t>Очередь</x:t>
        </x:is>
      </x:c>
      <x:c r="E39" t="inlineStr">
        <x:is>
          <x:t>Стоимость, млн ₽</x:t>
        </x:is>
      </x:c>
    </x:row>
    <x:row r="40">
      <x:c r="A40" t="inlineStr">
        <x:is>
          <x:t>ДОО</x:t>
        </x:is>
      </x:c>
      <x:c r="B40">
        <x:v>0</x:v>
      </x:c>
      <x:c r="C40">
        <x:v>0</x:v>
      </x:c>
      <x:c r="D40" t="inlineStr">
        <x:is>
          <x:t>—</x:t>
        </x:is>
      </x:c>
      <x:c r="E40">
        <x:v>0</x:v>
      </x:c>
    </x:row>
    <x:row r="41">
      <x:c r="A41" t="inlineStr">
        <x:is>
          <x:t>СОШ</x:t>
        </x:is>
      </x:c>
      <x:c r="B41">
        <x:v>0</x:v>
      </x:c>
      <x:c r="C41">
        <x:v>0</x:v>
      </x:c>
      <x:c r="D41" t="inlineStr">
        <x:is>
          <x:t>—</x:t>
        </x:is>
      </x:c>
      <x:c r="E41">
        <x:v>0</x:v>
      </x:c>
    </x:row>
    <x:row r="42">
      <x:c r="A42" t="inlineStr">
        <x:is>
          <x:t>Поликлиника</x:t>
        </x:is>
      </x:c>
      <x:c r="B42">
        <x:v>0</x:v>
      </x:c>
      <x:c r="C42">
        <x:v>0</x:v>
      </x:c>
      <x:c r="D42" t="inlineStr">
        <x:is>
          <x:t>—</x:t>
        </x:is>
      </x:c>
      <x:c r="E42">
        <x:v>0</x:v>
      </x:c>
    </x:row>
    <x:row r="43">
      <x:c r="A43" t="inlineStr">
        <x:is>
          <x:t>Денежная компенсация</x:t>
        </x:is>
      </x:c>
      <x:c r="D43" t="inlineStr">
        <x:is>
          <x:t>—</x:t>
        </x:is>
      </x:c>
      <x:c r="E43">
        <x:v>0</x:v>
      </x:c>
    </x:row>
    <x:row r="44">
      <x:c r="A44" t="inlineStr">
        <x:is>
          <x:t>ИТОГО соцнагрузка</x:t>
        </x:is>
      </x:c>
      <x:c r="E44">
        <x:f>SUM(E40:E43)</x:f>
      </x:c>
    </x:row>
  </x:sheetData>
  <x:mergeCells>
    <x:mergeCell ref="A1:H1"/>
    <x:mergeCell ref="A30:H3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0" hidden="0" customWidth="1"/>
    <x:col min="3" max="3" width="13" hidden="0" customWidth="1"/>
    <x:col min="4" max="4" width="13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  <x:col min="9" max="9" width="4" hidden="0" customWidth="1"/>
    <x:col min="10" max="10" width="4" hidden="0" customWidth="1"/>
    <x:col min="11" max="11" width="4" hidden="0" customWidth="1"/>
    <x:col min="12" max="12" width="4" hidden="0" customWidth="1"/>
    <x:col min="13" max="13" width="4" hidden="0" customWidth="1"/>
    <x:col min="14" max="14" width="4" hidden="0" customWidth="1"/>
    <x:col min="15" max="15" width="4" hidden="0" customWidth="1"/>
    <x:col min="16" max="16" width="4" hidden="0" customWidth="1"/>
    <x:col min="17" max="17" width="4" hidden="0" customWidth="1"/>
    <x:col min="18" max="18" width="4" hidden="0" customWidth="1"/>
    <x:col min="19" max="19" width="4" hidden="0" customWidth="1"/>
    <x:col min="20" max="20" width="4" hidden="0" customWidth="1"/>
    <x:col min="21" max="21" width="4" hidden="0" customWidth="1"/>
    <x:col min="22" max="22" width="4" hidden="0" customWidth="1"/>
    <x:col min="23" max="23" width="4" hidden="0" customWidth="1"/>
    <x:col min="24" max="24" width="4" hidden="0" customWidth="1"/>
    <x:col min="25" max="25" width="4" hidden="0" customWidth="1"/>
    <x:col min="26" max="26" width="4" hidden="0" customWidth="1"/>
    <x:col min="27" max="27" width="4" hidden="0" customWidth="1"/>
    <x:col min="28" max="28" width="4" hidden="0" customWidth="1"/>
    <x:col min="29" max="29" width="4" hidden="0" customWidth="1"/>
    <x:col min="30" max="30" width="4" hidden="0" customWidth="1"/>
    <x:col min="31" max="31" width="4" hidden="0" customWidth="1"/>
    <x:col min="32" max="32" width="4" hidden="0" customWidth="1"/>
    <x:col min="33" max="33" width="4" hidden="0" customWidth="1"/>
    <x:col min="34" max="34" width="4" hidden="0" customWidth="1"/>
    <x:col min="35" max="35" width="4" hidden="0" customWidth="1"/>
    <x:col min="36" max="36" width="4" hidden="0" customWidth="1"/>
    <x:col min="37" max="37" width="4" hidden="0" customWidth="1"/>
    <x:col min="38" max="38" width="4" hidden="0" customWidth="1"/>
    <x:col min="39" max="39" width="4" hidden="0" customWidth="1"/>
    <x:col min="40" max="40" width="4" hidden="0" customWidth="1"/>
    <x:col min="41" max="41" width="4" hidden="0" customWidth="1"/>
    <x:col min="42" max="42" width="4" hidden="0" customWidth="1"/>
    <x:col min="43" max="43" width="4" hidden="0" customWidth="1"/>
    <x:col min="44" max="44" width="4" hidden="0" customWidth="1"/>
    <x:col min="45" max="45" width="4" hidden="0" customWidth="1"/>
    <x:col min="46" max="46" width="4" hidden="0" customWidth="1"/>
    <x:col min="47" max="47" width="4" hidden="0" customWidth="1"/>
    <x:col min="48" max="48" width="4" hidden="0" customWidth="1"/>
    <x:col min="49" max="49" width="4" hidden="0" customWidth="1"/>
    <x:col min="50" max="50" width="4" hidden="0" customWidth="1"/>
    <x:col min="51" max="51" width="4" hidden="0" customWidth="1"/>
    <x:col min="52" max="52" width="4" hidden="0" customWidth="1"/>
    <x:col min="53" max="53" width="4" hidden="0" customWidth="1"/>
    <x:col min="54" max="54" width="4" hidden="0" customWidth="1"/>
    <x:col min="55" max="55" width="4" hidden="0" customWidth="1"/>
    <x:col min="56" max="56" width="4" hidden="0" customWidth="1"/>
    <x:col min="57" max="57" width="4" hidden="0" customWidth="1"/>
    <x:col min="58" max="58" width="4" hidden="0" customWidth="1"/>
    <x:col min="59" max="59" width="4" hidden="0" customWidth="1"/>
    <x:col min="60" max="60" width="4" hidden="0" customWidth="1"/>
    <x:col min="61" max="61" width="4" hidden="0" customWidth="1"/>
    <x:col min="62" max="62" width="4" hidden="0" customWidth="1"/>
    <x:col min="63" max="63" width="4" hidden="0" customWidth="1"/>
    <x:col min="64" max="64" width="4" hidden="0" customWidth="1"/>
    <x:col min="65" max="65" width="4" hidden="0" customWidth="1"/>
    <x:col min="66" max="66" width="4" hidden="0" customWidth="1"/>
    <x:col min="67" max="67" width="4" hidden="0" customWidth="1"/>
    <x:col min="68" max="68" width="4" hidden="0" customWidth="1"/>
    <x:col min="69" max="69" width="4" hidden="0" customWidth="1"/>
    <x:col min="70" max="70" width="4" hidden="0" customWidth="1"/>
    <x:col min="71" max="71" width="4" hidden="0" customWidth="1"/>
    <x:col min="72" max="72" width="4" hidden="0" customWidth="1"/>
    <x:col min="73" max="73" width="4" hidden="0" customWidth="1"/>
    <x:col min="74" max="74" width="4" hidden="0" customWidth="1"/>
    <x:col min="75" max="75" width="4" hidden="0" customWidth="1"/>
    <x:col min="76" max="76" width="4" hidden="0" customWidth="1"/>
    <x:col min="77" max="77" width="4" hidden="0" customWidth="1"/>
    <x:col min="78" max="78" width="4" hidden="0" customWidth="1"/>
    <x:col min="79" max="79" width="4" hidden="0" customWidth="1"/>
    <x:col min="80" max="80" width="4" hidden="0" customWidth="1"/>
    <x:col min="81" max="81" width="4" hidden="0" customWidth="1"/>
    <x:col min="82" max="82" width="4" hidden="0" customWidth="1"/>
    <x:col min="83" max="83" width="4" hidden="0" customWidth="1"/>
    <x:col min="84" max="84" width="4" hidden="0" customWidth="1"/>
    <x:col min="85" max="85" width="4" hidden="0" customWidth="1"/>
    <x:col min="86" max="86" width="4" hidden="0" customWidth="1"/>
    <x:col min="87" max="87" width="4" hidden="0" customWidth="1"/>
    <x:col min="88" max="88" width="4" hidden="0" customWidth="1"/>
    <x:col min="89" max="89" width="4" hidden="0" customWidth="1"/>
    <x:col min="90" max="90" width="4" hidden="0" customWidth="1"/>
    <x:col min="91" max="91" width="4" hidden="0" customWidth="1"/>
    <x:col min="92" max="92" width="4" hidden="0" customWidth="1"/>
    <x:col min="93" max="93" width="4" hidden="0" customWidth="1"/>
    <x:col min="94" max="94" width="4" hidden="0" customWidth="1"/>
    <x:col min="95" max="95" width="4" hidden="0" customWidth="1"/>
    <x:col min="96" max="96" width="4" hidden="0" customWidth="1"/>
    <x:col min="97" max="97" width="4" hidden="0" customWidth="1"/>
    <x:col min="98" max="98" width="4" hidden="0" customWidth="1"/>
    <x:col min="99" max="99" width="4" hidden="0" customWidth="1"/>
    <x:col min="100" max="100" width="4" hidden="0" customWidth="1"/>
    <x:col min="101" max="101" width="4" hidden="0" customWidth="1"/>
    <x:col min="102" max="102" width="4" hidden="0" customWidth="1"/>
    <x:col min="103" max="103" width="4" hidden="0" customWidth="1"/>
    <x:col min="104" max="104" width="4" hidden="0" customWidth="1"/>
    <x:col min="105" max="105" width="4" hidden="0" customWidth="1"/>
    <x:col min="106" max="106" width="4" hidden="0" customWidth="1"/>
    <x:col min="107" max="107" width="4" hidden="0" customWidth="1"/>
    <x:col min="108" max="108" width="4" hidden="0" customWidth="1"/>
    <x:col min="109" max="109" width="4" hidden="0" customWidth="1"/>
    <x:col min="110" max="110" width="4" hidden="0" customWidth="1"/>
    <x:col min="111" max="111" width="4" hidden="0" customWidth="1"/>
    <x:col min="112" max="112" width="4" hidden="0" customWidth="1"/>
    <x:col min="113" max="113" width="4" hidden="0" customWidth="1"/>
    <x:col min="114" max="114" width="4" hidden="0" customWidth="1"/>
    <x:col min="115" max="115" width="4" hidden="0" customWidth="1"/>
    <x:col min="116" max="116" width="4" hidden="0" customWidth="1"/>
    <x:col min="117" max="117" width="4" hidden="0" customWidth="1"/>
    <x:col min="118" max="118" width="4" hidden="0" customWidth="1"/>
    <x:col min="119" max="119" width="4" hidden="0" customWidth="1"/>
    <x:col min="120" max="120" width="4" hidden="0" customWidth="1"/>
    <x:col min="121" max="121" width="4" hidden="0" customWidth="1"/>
    <x:col min="122" max="122" width="4" hidden="0" customWidth="1"/>
    <x:col min="123" max="123" width="4" hidden="0" customWidth="1"/>
    <x:col min="124" max="124" width="4" hidden="0" customWidth="1"/>
    <x:col min="125" max="125" width="4" hidden="0" customWidth="1"/>
    <x:col min="126" max="126" width="4" hidden="0" customWidth="1"/>
    <x:col min="127" max="127" width="4" hidden="0" customWidth="1"/>
    <x:col min="128" max="128" width="4" hidden="0" customWidth="1"/>
    <x:col min="129" max="129" width="4" hidden="0" customWidth="1"/>
    <x:col min="130" max="130" width="4" hidden="0" customWidth="1"/>
    <x:col min="131" max="131" width="4" hidden="0" customWidth="1"/>
    <x:col min="132" max="132" width="4" hidden="0" customWidth="1"/>
    <x:col min="133" max="133" width="4" hidden="0" customWidth="1"/>
    <x:col min="134" max="134" width="4" hidden="0" customWidth="1"/>
    <x:col min="135" max="135" width="4" hidden="0" customWidth="1"/>
    <x:col min="136" max="136" width="4" hidden="0" customWidth="1"/>
    <x:col min="137" max="137" width="4" hidden="0" customWidth="1"/>
    <x:col min="138" max="138" width="4" hidden="0" customWidth="1"/>
    <x:col min="139" max="139" width="4" hidden="0" customWidth="1"/>
    <x:col min="140" max="140" width="4" hidden="0" customWidth="1"/>
    <x:col min="141" max="141" width="4" hidden="0" customWidth="1"/>
    <x:col min="142" max="142" width="4" hidden="0" customWidth="1"/>
    <x:col min="143" max="143" width="4" hidden="0" customWidth="1"/>
    <x:col min="144" max="144" width="4" hidden="0" customWidth="1"/>
    <x:col min="145" max="145" width="4" hidden="0" customWidth="1"/>
    <x:col min="146" max="146" width="4" hidden="0" customWidth="1"/>
    <x:col min="147" max="147" width="4" hidden="0" customWidth="1"/>
    <x:col min="148" max="148" width="4" hidden="0" customWidth="1"/>
    <x:col min="149" max="149" width="4" hidden="0" customWidth="1"/>
    <x:col min="150" max="150" width="4" hidden="0" customWidth="1"/>
    <x:col min="151" max="151" width="4" hidden="0" customWidth="1"/>
    <x:col min="152" max="152" width="4" hidden="0" customWidth="1"/>
    <x:col min="153" max="153" width="4" hidden="0" customWidth="1"/>
    <x:col min="154" max="154" width="4" hidden="0" customWidth="1"/>
    <x:col min="155" max="155" width="4" hidden="0" customWidth="1"/>
    <x:col min="156" max="156" width="4" hidden="0" customWidth="1"/>
    <x:col min="157" max="157" width="4" hidden="0" customWidth="1"/>
    <x:col min="158" max="158" width="4" hidden="0" customWidth="1"/>
    <x:col min="159" max="159" width="4" hidden="0" customWidth="1"/>
    <x:col min="160" max="160" width="4" hidden="0" customWidth="1"/>
    <x:col min="161" max="161" width="4" hidden="0" customWidth="1"/>
    <x:col min="162" max="162" width="4" hidden="0" customWidth="1"/>
    <x:col min="163" max="163" width="4" hidden="0" customWidth="1"/>
    <x:col min="164" max="164" width="4" hidden="0" customWidth="1"/>
    <x:col min="165" max="165" width="4" hidden="0" customWidth="1"/>
    <x:col min="166" max="166" width="4" hidden="0" customWidth="1"/>
    <x:col min="167" max="167" width="4" hidden="0" customWidth="1"/>
    <x:col min="168" max="168" width="4" hidden="0" customWidth="1"/>
    <x:col min="169" max="169" width="4" hidden="0" customWidth="1"/>
    <x:col min="170" max="170" width="4" hidden="0" customWidth="1"/>
    <x:col min="171" max="171" width="4" hidden="0" customWidth="1"/>
    <x:col min="172" max="172" width="4" hidden="0" customWidth="1"/>
    <x:col min="173" max="173" width="4" hidden="0" customWidth="1"/>
    <x:col min="174" max="174" width="4" hidden="0" customWidth="1"/>
    <x:col min="175" max="175" width="4" hidden="0" customWidth="1"/>
    <x:col min="176" max="176" width="4" hidden="0" customWidth="1"/>
    <x:col min="177" max="177" width="4" hidden="0" customWidth="1"/>
    <x:col min="178" max="178" width="4" hidden="0" customWidth="1"/>
    <x:col min="179" max="179" width="4" hidden="0" customWidth="1"/>
    <x:col min="180" max="180" width="4" hidden="0" customWidth="1"/>
    <x:col min="181" max="181" width="4" hidden="0" customWidth="1"/>
    <x:col min="182" max="182" width="4" hidden="0" customWidth="1"/>
    <x:col min="183" max="183" width="4" hidden="0" customWidth="1"/>
    <x:col min="184" max="184" width="4" hidden="0" customWidth="1"/>
  </x:cols>
  <x:sheetData>
    <x:row r="1" ht="28" customHeight="1">
      <x:c r="A1" s="4" t="str">
        <x:v>КАЛЕНДАРНЫЙ ПЛАН И ВЕХИ</x:v>
      </x:c>
      <x:c r="B1" s="4" t="str">
        <x:v>КАЛЕНДАРНЫЙ ПЛАН И ВЕХИ</x:v>
      </x:c>
      <x:c r="C1" s="4" t="str">
        <x:v>КАЛЕНДАРНЫЙ ПЛАН И ВЕХИ</x:v>
      </x:c>
      <x:c r="D1" s="4" t="str">
        <x:v>КАЛЕНДАРНЫЙ ПЛАН И ВЕХИ</x:v>
      </x:c>
      <x:c r="E1" s="4" t="str">
        <x:v>КАЛЕНДАРНЫЙ ПЛАН И ВЕХИ</x:v>
      </x:c>
      <x:c r="F1" s="4" t="str">
        <x:v>КАЛЕНДАРНЫЙ ПЛАН И ВЕХИ</x:v>
      </x:c>
      <x:c r="G1" s="4" t="str">
        <x:v>КАЛЕНДАРНЫЙ ПЛАН И ВЕХИ</x:v>
      </x:c>
      <x:c r="H1" s="4" t="str">
        <x:v>КАЛЕНДАРНЫЙ ПЛАН И ВЕХИ</x:v>
      </x:c>
      <x:c r="I1" s="4" t="str">
        <x:v>КАЛЕНДАРНЫЙ ПЛАН И ВЕХИ</x:v>
      </x:c>
      <x:c r="J1" s="4" t="str">
        <x:v>КАЛЕНДАРНЫЙ ПЛАН И ВЕХИ</x:v>
      </x:c>
      <x:c r="K1" s="4" t="str">
        <x:v>КАЛЕНДАРНЫЙ ПЛАН И ВЕХИ</x:v>
      </x:c>
      <x:c r="L1" s="4" t="str">
        <x:v>КАЛЕНДАРНЫЙ ПЛАН И ВЕХИ</x:v>
      </x:c>
      <x:c r="M1" s="4" t="str">
        <x:v>КАЛЕНДАРНЫЙ ПЛАН И ВЕХИ</x:v>
      </x:c>
      <x:c r="N1" s="4" t="str">
        <x:v>КАЛЕНДАРНЫЙ ПЛАН И ВЕХИ</x:v>
      </x:c>
      <x:c r="O1" s="4" t="str">
        <x:v>КАЛЕНДАРНЫЙ ПЛАН И ВЕХИ</x:v>
      </x:c>
      <x:c r="P1" s="4" t="str">
        <x:v>КАЛЕНДАРНЫЙ ПЛАН И ВЕХИ</x:v>
      </x:c>
      <x:c r="Q1" s="4" t="str">
        <x:v>КАЛЕНДАРНЫЙ ПЛАН И ВЕХИ</x:v>
      </x:c>
      <x:c r="R1" s="4" t="str">
        <x:v>КАЛЕНДАРНЫЙ ПЛАН И ВЕХИ</x:v>
      </x:c>
      <x:c r="S1" s="4" t="str">
        <x:v>КАЛЕНДАРНЫЙ ПЛАН И ВЕХИ</x:v>
      </x:c>
      <x:c r="T1" s="4" t="str">
        <x:v>КАЛЕНДАРНЫЙ ПЛАН И ВЕХИ</x:v>
      </x:c>
      <x:c r="U1" s="4" t="str">
        <x:v>КАЛЕНДАРНЫЙ ПЛАН И ВЕХИ</x:v>
      </x:c>
      <x:c r="V1" s="4" t="str">
        <x:v>КАЛЕНДАРНЫЙ ПЛАН И ВЕХИ</x:v>
      </x:c>
      <x:c r="W1" s="4" t="str">
        <x:v>КАЛЕНДАРНЫЙ ПЛАН И ВЕХИ</x:v>
      </x:c>
      <x:c r="X1" s="4" t="str">
        <x:v>КАЛЕНДАРНЫЙ ПЛАН И ВЕХИ</x:v>
      </x:c>
      <x:c r="Y1" s="4" t="str">
        <x:v>КАЛЕНДАРНЫЙ ПЛАН И ВЕХИ</x:v>
      </x:c>
      <x:c r="Z1" s="4" t="str">
        <x:v>КАЛЕНДАРНЫЙ ПЛАН И ВЕХИ</x:v>
      </x:c>
      <x:c r="AA1" s="4" t="str">
        <x:v>КАЛЕНДАРНЫЙ ПЛАН И ВЕХИ</x:v>
      </x:c>
      <x:c r="AB1" s="4" t="str">
        <x:v>КАЛЕНДАРНЫЙ ПЛАН И ВЕХИ</x:v>
      </x:c>
      <x:c r="AC1" s="4" t="str">
        <x:v>КАЛЕНДАРНЫЙ ПЛАН И ВЕХИ</x:v>
      </x:c>
      <x:c r="AD1" s="4" t="str">
        <x:v>КАЛЕНДАРНЫЙ ПЛАН И ВЕХИ</x:v>
      </x:c>
      <x:c r="AE1" s="4" t="str">
        <x:v>КАЛЕНДАРНЫЙ ПЛАН И ВЕХИ</x:v>
      </x:c>
      <x:c r="AF1" s="4" t="str">
        <x:v>КАЛЕНДАРНЫЙ ПЛАН И ВЕХИ</x:v>
      </x:c>
      <x:c r="AG1" s="4" t="str">
        <x:v>КАЛЕНДАРНЫЙ ПЛАН И ВЕХИ</x:v>
      </x:c>
      <x:c r="AH1" s="4" t="str">
        <x:v>КАЛЕНДАРНЫЙ ПЛАН И ВЕХИ</x:v>
      </x:c>
      <x:c r="AI1" s="4" t="str">
        <x:v>КАЛЕНДАРНЫЙ ПЛАН И ВЕХИ</x:v>
      </x:c>
      <x:c r="AJ1" s="4" t="str">
        <x:v>КАЛЕНДАРНЫЙ ПЛАН И ВЕХИ</x:v>
      </x:c>
      <x:c r="AK1" s="4" t="str">
        <x:v>КАЛЕНДАРНЫЙ ПЛАН И ВЕХИ</x:v>
      </x:c>
      <x:c r="AL1" s="4" t="str">
        <x:v>КАЛЕНДАРНЫЙ ПЛАН И ВЕХИ</x:v>
      </x:c>
      <x:c r="AM1" s="4" t="str">
        <x:v>КАЛЕНДАРНЫЙ ПЛАН И ВЕХИ</x:v>
      </x:c>
      <x:c r="AN1" s="4" t="str">
        <x:v>КАЛЕНДАРНЫЙ ПЛАН И ВЕХИ</x:v>
      </x:c>
      <x:c r="AO1" s="4" t="str">
        <x:v>КАЛЕНДАРНЫЙ ПЛАН И ВЕХИ</x:v>
      </x:c>
      <x:c r="AP1" s="4" t="str">
        <x:v>КАЛЕНДАРНЫЙ ПЛАН И ВЕХИ</x:v>
      </x:c>
      <x:c r="AQ1" s="4" t="str">
        <x:v>КАЛЕНДАРНЫЙ ПЛАН И ВЕХИ</x:v>
      </x:c>
      <x:c r="AR1" s="4" t="str">
        <x:v>КАЛЕНДАРНЫЙ ПЛАН И ВЕХИ</x:v>
      </x:c>
      <x:c r="AS1" s="4" t="str">
        <x:v>КАЛЕНДАРНЫЙ ПЛАН И ВЕХИ</x:v>
      </x:c>
      <x:c r="AT1" s="4" t="str">
        <x:v>КАЛЕНДАРНЫЙ ПЛАН И ВЕХИ</x:v>
      </x:c>
      <x:c r="AU1" s="4" t="str">
        <x:v>КАЛЕНДАРНЫЙ ПЛАН И ВЕХИ</x:v>
      </x:c>
      <x:c r="AV1" s="4" t="str">
        <x:v>КАЛЕНДАРНЫЙ ПЛАН И ВЕХИ</x:v>
      </x:c>
      <x:c r="AW1" s="4" t="str">
        <x:v>КАЛЕНДАРНЫЙ ПЛАН И ВЕХИ</x:v>
      </x:c>
      <x:c r="AX1" s="4" t="str">
        <x:v>КАЛЕНДАРНЫЙ ПЛАН И ВЕХИ</x:v>
      </x:c>
      <x:c r="AY1" s="4" t="str">
        <x:v>КАЛЕНДАРНЫЙ ПЛАН И ВЕХИ</x:v>
      </x:c>
      <x:c r="AZ1" s="4" t="str">
        <x:v>КАЛЕНДАРНЫЙ ПЛАН И ВЕХИ</x:v>
      </x:c>
      <x:c r="BA1" s="4" t="str">
        <x:v>КАЛЕНДАРНЫЙ ПЛАН И ВЕХИ</x:v>
      </x:c>
      <x:c r="BB1" s="4" t="str">
        <x:v>КАЛЕНДАРНЫЙ ПЛАН И ВЕХИ</x:v>
      </x:c>
      <x:c r="BC1" s="4" t="str">
        <x:v>КАЛЕНДАРНЫЙ ПЛАН И ВЕХИ</x:v>
      </x:c>
      <x:c r="BD1" s="4" t="str">
        <x:v>КАЛЕНДАРНЫЙ ПЛАН И ВЕХИ</x:v>
      </x:c>
      <x:c r="BE1" s="4" t="str">
        <x:v>КАЛЕНДАРНЫЙ ПЛАН И ВЕХИ</x:v>
      </x:c>
      <x:c r="BF1" s="4" t="str">
        <x:v>КАЛЕНДАРНЫЙ ПЛАН И ВЕХИ</x:v>
      </x:c>
      <x:c r="BG1" s="4" t="str">
        <x:v>КАЛЕНДАРНЫЙ ПЛАН И ВЕХИ</x:v>
      </x:c>
      <x:c r="BH1" s="4" t="str">
        <x:v>КАЛЕНДАРНЫЙ ПЛАН И ВЕХИ</x:v>
      </x:c>
      <x:c r="BI1" s="4" t="str">
        <x:v>КАЛЕНДАРНЫЙ ПЛАН И ВЕХИ</x:v>
      </x:c>
      <x:c r="BJ1" s="4" t="str">
        <x:v>КАЛЕНДАРНЫЙ ПЛАН И ВЕХИ</x:v>
      </x:c>
      <x:c r="BK1" s="4" t="str">
        <x:v>КАЛЕНДАРНЫЙ ПЛАН И ВЕХИ</x:v>
      </x:c>
      <x:c r="BL1" s="4" t="str">
        <x:v>КАЛЕНДАРНЫЙ ПЛАН И ВЕХИ</x:v>
      </x:c>
      <x:c r="BM1" s="4" t="str">
        <x:v>КАЛЕНДАРНЫЙ ПЛАН И ВЕХИ</x:v>
      </x:c>
      <x:c r="BN1" s="4" t="str">
        <x:v>КАЛЕНДАРНЫЙ ПЛАН И ВЕХИ</x:v>
      </x:c>
      <x:c r="BO1" s="4" t="str">
        <x:v>КАЛЕНДАРНЫЙ ПЛАН И ВЕХИ</x:v>
      </x:c>
      <x:c r="BP1" s="4" t="str">
        <x:v>КАЛЕНДАРНЫЙ ПЛАН И ВЕХИ</x:v>
      </x:c>
      <x:c r="BQ1" s="4" t="str">
        <x:v>КАЛЕНДАРНЫЙ ПЛАН И ВЕХИ</x:v>
      </x:c>
      <x:c r="BR1" s="4" t="str">
        <x:v>КАЛЕНДАРНЫЙ ПЛАН И ВЕХИ</x:v>
      </x:c>
      <x:c r="BS1" s="4" t="str">
        <x:v>КАЛЕНДАРНЫЙ ПЛАН И ВЕХИ</x:v>
      </x:c>
      <x:c r="BT1" s="4" t="str">
        <x:v>КАЛЕНДАРНЫЙ ПЛАН И ВЕХИ</x:v>
      </x:c>
      <x:c r="BU1" s="4" t="str">
        <x:v>КАЛЕНДАРНЫЙ ПЛАН И ВЕХИ</x:v>
      </x:c>
      <x:c r="BV1" s="4" t="str">
        <x:v>КАЛЕНДАРНЫЙ ПЛАН И ВЕХИ</x:v>
      </x:c>
      <x:c r="BW1" s="4" t="str">
        <x:v>КАЛЕНДАРНЫЙ ПЛАН И ВЕХИ</x:v>
      </x:c>
      <x:c r="BX1" s="4" t="str">
        <x:v>КАЛЕНДАРНЫЙ ПЛАН И ВЕХИ</x:v>
      </x:c>
      <x:c r="BY1" s="4" t="str">
        <x:v>КАЛЕНДАРНЫЙ ПЛАН И ВЕХИ</x:v>
      </x:c>
      <x:c r="BZ1" s="4" t="str">
        <x:v>КАЛЕНДАРНЫЙ ПЛАН И ВЕХИ</x:v>
      </x:c>
      <x:c r="CA1" s="4" t="str">
        <x:v>КАЛЕНДАРНЫЙ ПЛАН И ВЕХИ</x:v>
      </x:c>
      <x:c r="CB1" s="4" t="str">
        <x:v>КАЛЕНДАРНЫЙ ПЛАН И ВЕХИ</x:v>
      </x:c>
      <x:c r="CC1" s="4" t="str">
        <x:v>КАЛЕНДАРНЫЙ ПЛАН И ВЕХИ</x:v>
      </x:c>
      <x:c r="CD1" s="4" t="str">
        <x:v>КАЛЕНДАРНЫЙ ПЛАН И ВЕХИ</x:v>
      </x:c>
      <x:c r="CE1" s="4" t="str">
        <x:v>КАЛЕНДАРНЫЙ ПЛАН И ВЕХИ</x:v>
      </x:c>
      <x:c r="CF1" s="4" t="str">
        <x:v>КАЛЕНДАРНЫЙ ПЛАН И ВЕХИ</x:v>
      </x:c>
      <x:c r="CG1" s="4" t="str">
        <x:v>КАЛЕНДАРНЫЙ ПЛАН И ВЕХИ</x:v>
      </x:c>
      <x:c r="CH1" s="4" t="str">
        <x:v>КАЛЕНДАРНЫЙ ПЛАН И ВЕХИ</x:v>
      </x:c>
      <x:c r="CI1" s="4" t="str">
        <x:v>КАЛЕНДАРНЫЙ ПЛАН И ВЕХИ</x:v>
      </x:c>
      <x:c r="CJ1" s="4" t="str">
        <x:v>КАЛЕНДАРНЫЙ ПЛАН И ВЕХИ</x:v>
      </x:c>
      <x:c r="CK1" s="4" t="str">
        <x:v>КАЛЕНДАРНЫЙ ПЛАН И ВЕХИ</x:v>
      </x:c>
      <x:c r="CL1" s="4" t="str">
        <x:v>КАЛЕНДАРНЫЙ ПЛАН И ВЕХИ</x:v>
      </x:c>
      <x:c r="CM1" s="4" t="str">
        <x:v>КАЛЕНДАРНЫЙ ПЛАН И ВЕХИ</x:v>
      </x:c>
      <x:c r="CN1" s="4" t="str">
        <x:v>КАЛЕНДАРНЫЙ ПЛАН И ВЕХИ</x:v>
      </x:c>
      <x:c r="CO1" s="4" t="str">
        <x:v>КАЛЕНДАРНЫЙ ПЛАН И ВЕХИ</x:v>
      </x:c>
      <x:c r="CP1" s="4" t="str">
        <x:v>КАЛЕНДАРНЫЙ ПЛАН И ВЕХИ</x:v>
      </x:c>
      <x:c r="CQ1" s="4" t="str">
        <x:v>КАЛЕНДАРНЫЙ ПЛАН И ВЕХИ</x:v>
      </x:c>
      <x:c r="CR1" s="4" t="str">
        <x:v>КАЛЕНДАРНЫЙ ПЛАН И ВЕХИ</x:v>
      </x:c>
      <x:c r="CS1" s="4" t="str">
        <x:v>КАЛЕНДАРНЫЙ ПЛАН И ВЕХИ</x:v>
      </x:c>
      <x:c r="CT1" s="4" t="str">
        <x:v>КАЛЕНДАРНЫЙ ПЛАН И ВЕХИ</x:v>
      </x:c>
      <x:c r="CU1" s="4" t="str">
        <x:v>КАЛЕНДАРНЫЙ ПЛАН И ВЕХИ</x:v>
      </x:c>
      <x:c r="CV1" s="4" t="str">
        <x:v>КАЛЕНДАРНЫЙ ПЛАН И ВЕХИ</x:v>
      </x:c>
      <x:c r="CW1" s="4" t="str">
        <x:v>КАЛЕНДАРНЫЙ ПЛАН И ВЕХИ</x:v>
      </x:c>
      <x:c r="CX1" s="4" t="str">
        <x:v>КАЛЕНДАРНЫЙ ПЛАН И ВЕХИ</x:v>
      </x:c>
      <x:c r="CY1" s="4" t="str">
        <x:v>КАЛЕНДАРНЫЙ ПЛАН И ВЕХИ</x:v>
      </x:c>
      <x:c r="CZ1" s="4" t="str">
        <x:v>КАЛЕНДАРНЫЙ ПЛАН И ВЕХИ</x:v>
      </x:c>
      <x:c r="DA1" s="4" t="str">
        <x:v>КАЛЕНДАРНЫЙ ПЛАН И ВЕХИ</x:v>
      </x:c>
      <x:c r="DB1" s="4" t="str">
        <x:v>КАЛЕНДАРНЫЙ ПЛАН И ВЕХИ</x:v>
      </x:c>
      <x:c r="DC1" s="4" t="str">
        <x:v>КАЛЕНДАРНЫЙ ПЛАН И ВЕХИ</x:v>
      </x:c>
      <x:c r="DD1" s="4" t="str">
        <x:v>КАЛЕНДАРНЫЙ ПЛАН И ВЕХИ</x:v>
      </x:c>
      <x:c r="DE1" s="4" t="str">
        <x:v>КАЛЕНДАРНЫЙ ПЛАН И ВЕХИ</x:v>
      </x:c>
      <x:c r="DF1" s="4" t="str">
        <x:v>КАЛЕНДАРНЫЙ ПЛАН И ВЕХИ</x:v>
      </x:c>
      <x:c r="DG1" s="4" t="str">
        <x:v>КАЛЕНДАРНЫЙ ПЛАН И ВЕХИ</x:v>
      </x:c>
      <x:c r="DH1" s="4" t="str">
        <x:v>КАЛЕНДАРНЫЙ ПЛАН И ВЕХИ</x:v>
      </x:c>
      <x:c r="DI1" s="4" t="str">
        <x:v>КАЛЕНДАРНЫЙ ПЛАН И ВЕХИ</x:v>
      </x:c>
      <x:c r="DJ1" s="4" t="str">
        <x:v>КАЛЕНДАРНЫЙ ПЛАН И ВЕХИ</x:v>
      </x:c>
      <x:c r="DK1" s="4" t="str">
        <x:v>КАЛЕНДАРНЫЙ ПЛАН И ВЕХИ</x:v>
      </x:c>
      <x:c r="DL1" s="4" t="str">
        <x:v>КАЛЕНДАРНЫЙ ПЛАН И ВЕХИ</x:v>
      </x:c>
      <x:c r="DM1" s="4" t="str">
        <x:v>КАЛЕНДАРНЫЙ ПЛАН И ВЕХИ</x:v>
      </x:c>
      <x:c r="DN1" s="4" t="str">
        <x:v>КАЛЕНДАРНЫЙ ПЛАН И ВЕХИ</x:v>
      </x:c>
      <x:c r="DO1" s="4" t="str">
        <x:v>КАЛЕНДАРНЫЙ ПЛАН И ВЕХИ</x:v>
      </x:c>
      <x:c r="DP1" s="4" t="str">
        <x:v>КАЛЕНДАРНЫЙ ПЛАН И ВЕХИ</x:v>
      </x:c>
      <x:c r="DQ1" s="4" t="str">
        <x:v>КАЛЕНДАРНЫЙ ПЛАН И ВЕХИ</x:v>
      </x:c>
      <x:c r="DR1" s="4" t="str">
        <x:v>КАЛЕНДАРНЫЙ ПЛАН И ВЕХИ</x:v>
      </x:c>
      <x:c r="DS1" s="4" t="str">
        <x:v>КАЛЕНДАРНЫЙ ПЛАН И ВЕХИ</x:v>
      </x:c>
      <x:c r="DT1" s="4" t="str">
        <x:v>КАЛЕНДАРНЫЙ ПЛАН И ВЕХИ</x:v>
      </x:c>
      <x:c r="DU1" s="4" t="str"/>
      <x:c r="DV1" s="4" t="str"/>
      <x:c r="DW1" s="4" t="str"/>
      <x:c r="DX1" s="4" t="str"/>
      <x:c r="DY1" s="4" t="str"/>
      <x:c r="DZ1" s="4" t="str"/>
      <x:c r="EA1" s="4" t="str"/>
      <x:c r="EB1" s="4" t="str"/>
      <x:c r="EC1" s="4" t="str"/>
      <x:c r="ED1" s="4" t="str"/>
      <x:c r="EE1" s="4" t="str"/>
      <x:c r="EF1" s="4" t="str"/>
      <x:c r="EG1" s="4" t="str"/>
      <x:c r="EH1" s="4" t="str"/>
      <x:c r="EI1" s="4" t="str"/>
      <x:c r="EJ1" s="4" t="str"/>
      <x:c r="EK1" s="4" t="str"/>
      <x:c r="EL1" s="4" t="str"/>
      <x:c r="EM1" s="4" t="str"/>
      <x:c r="EN1" s="4" t="str"/>
      <x:c r="EO1" s="4" t="str"/>
      <x:c r="EP1" s="4" t="str"/>
      <x:c r="EQ1" s="4" t="str"/>
      <x:c r="ER1" s="4" t="str"/>
      <x:c r="ES1" s="4" t="str"/>
      <x:c r="ET1" s="4" t="str"/>
      <x:c r="EU1" s="4" t="str"/>
      <x:c r="EV1" s="4" t="str"/>
      <x:c r="EW1" s="4" t="str"/>
      <x:c r="EX1" s="4" t="str"/>
      <x:c r="EY1" s="4" t="str"/>
      <x:c r="EZ1" s="4" t="str"/>
      <x:c r="FA1" s="4" t="str"/>
      <x:c r="FB1" s="4" t="str"/>
      <x:c r="FC1" s="4" t="str"/>
      <x:c r="FD1" s="4" t="str"/>
      <x:c r="FE1" s="4" t="str"/>
      <x:c r="FF1" s="4" t="str"/>
      <x:c r="FG1" s="4" t="str"/>
      <x:c r="FH1" s="4" t="str"/>
      <x:c r="FI1" s="4" t="str"/>
      <x:c r="FJ1" s="4" t="str"/>
      <x:c r="FK1" s="4" t="str"/>
      <x:c r="FL1" s="4" t="str"/>
      <x:c r="FM1" s="4" t="str"/>
      <x:c r="FN1" s="4" t="str"/>
      <x:c r="FO1" s="4" t="str"/>
      <x:c r="FP1" s="4" t="str"/>
      <x:c r="FQ1" s="4" t="str"/>
      <x:c r="FR1" s="4" t="str"/>
      <x:c r="FS1" s="4" t="str"/>
      <x:c r="FT1" s="4" t="str"/>
      <x:c r="FU1" s="4" t="str"/>
      <x:c r="FV1" s="4" t="str"/>
      <x:c r="FW1" s="4" t="str"/>
      <x:c r="FX1" s="4" t="str"/>
      <x:c r="FY1" s="4" t="str"/>
      <x:c r="FZ1" s="4" t="str"/>
      <x:c r="GA1" s="4" t="str"/>
      <x:c r="GB1" s="4" t="str"/>
    </x:row>
    <x:row r="4">
      <x:c r="A4" s="23" t="str">
        <x:v>Очередь</x:v>
      </x:c>
      <x:c r="B4" s="23" t="str">
        <x:v>Событие</x:v>
      </x:c>
      <x:c r="C4" s="23" t="str">
        <x:v>Начало</x:v>
      </x:c>
      <x:c r="D4" s="23" t="str">
        <x:v>Окончание</x:v>
      </x:c>
      <x:c r="E4" s="96" t="n">
        <x:f>'Ставки'!D$3</x:f>
      </x:c>
      <x:c r="F4" s="96" t="n">
        <x:f>'Ставки'!E$3</x:f>
      </x:c>
      <x:c r="G4" s="96" t="n">
        <x:f>'Ставки'!F$3</x:f>
      </x:c>
      <x:c r="H4" s="96" t="n">
        <x:f>'Ставки'!G$3</x:f>
      </x:c>
      <x:c r="I4" s="96" t="n">
        <x:f>'Ставки'!H$3</x:f>
      </x:c>
      <x:c r="J4" s="96" t="n">
        <x:f>'Ставки'!I$3</x:f>
      </x:c>
      <x:c r="K4" s="96" t="n">
        <x:f>'Ставки'!J$3</x:f>
      </x:c>
      <x:c r="L4" s="96" t="n">
        <x:f>'Ставки'!K$3</x:f>
      </x:c>
      <x:c r="M4" s="96" t="n">
        <x:f>'Ставки'!L$3</x:f>
      </x:c>
      <x:c r="N4" s="96" t="n">
        <x:f>'Ставки'!M$3</x:f>
      </x:c>
      <x:c r="O4" s="96" t="n">
        <x:f>'Ставки'!N$3</x:f>
      </x:c>
      <x:c r="P4" s="96" t="n">
        <x:f>'Ставки'!O$3</x:f>
      </x:c>
      <x:c r="Q4" s="96" t="n">
        <x:f>'Ставки'!P$3</x:f>
      </x:c>
      <x:c r="R4" s="96" t="n">
        <x:f>'Ставки'!Q$3</x:f>
      </x:c>
      <x:c r="S4" s="96" t="n">
        <x:f>'Ставки'!R$3</x:f>
      </x:c>
      <x:c r="T4" s="96" t="n">
        <x:f>'Ставки'!S$3</x:f>
      </x:c>
      <x:c r="U4" s="96" t="n">
        <x:f>'Ставки'!T$3</x:f>
      </x:c>
      <x:c r="V4" s="96" t="n">
        <x:f>'Ставки'!U$3</x:f>
      </x:c>
      <x:c r="W4" s="96" t="n">
        <x:f>'Ставки'!V$3</x:f>
      </x:c>
      <x:c r="X4" s="96" t="n">
        <x:f>'Ставки'!W$3</x:f>
      </x:c>
      <x:c r="Y4" s="96" t="n">
        <x:f>'Ставки'!X$3</x:f>
      </x:c>
      <x:c r="Z4" s="96" t="n">
        <x:f>'Ставки'!Y$3</x:f>
      </x:c>
      <x:c r="AA4" s="96" t="n">
        <x:f>'Ставки'!Z$3</x:f>
      </x:c>
      <x:c r="AB4" s="96" t="n">
        <x:f>'Ставки'!AA$3</x:f>
      </x:c>
      <x:c r="AC4" s="96" t="n">
        <x:f>'Ставки'!AB$3</x:f>
      </x:c>
      <x:c r="AD4" s="96" t="n">
        <x:f>'Ставки'!AC$3</x:f>
      </x:c>
      <x:c r="AE4" s="96" t="n">
        <x:f>'Ставки'!AD$3</x:f>
      </x:c>
      <x:c r="AF4" s="96" t="n">
        <x:f>'Ставки'!AE$3</x:f>
      </x:c>
      <x:c r="AG4" s="96" t="n">
        <x:f>'Ставки'!AF$3</x:f>
      </x:c>
      <x:c r="AH4" s="96" t="n">
        <x:f>'Ставки'!AG$3</x:f>
      </x:c>
      <x:c r="AI4" s="96" t="n">
        <x:f>'Ставки'!AH$3</x:f>
      </x:c>
      <x:c r="AJ4" s="96" t="n">
        <x:f>'Ставки'!AI$3</x:f>
      </x:c>
      <x:c r="AK4" s="96" t="n">
        <x:f>'Ставки'!AJ$3</x:f>
      </x:c>
      <x:c r="AL4" s="96" t="n">
        <x:f>'Ставки'!AK$3</x:f>
      </x:c>
      <x:c r="AM4" s="96" t="n">
        <x:f>'Ставки'!AL$3</x:f>
      </x:c>
      <x:c r="AN4" s="96" t="n">
        <x:f>'Ставки'!AM$3</x:f>
      </x:c>
      <x:c r="AO4" s="96" t="n">
        <x:f>'Ставки'!AN$3</x:f>
      </x:c>
      <x:c r="AP4" s="96" t="n">
        <x:f>'Ставки'!AO$3</x:f>
      </x:c>
      <x:c r="AQ4" s="96" t="n">
        <x:f>'Ставки'!AP$3</x:f>
      </x:c>
      <x:c r="AR4" s="96" t="n">
        <x:f>'Ставки'!AQ$3</x:f>
      </x:c>
      <x:c r="AS4" s="96" t="n">
        <x:f>'Ставки'!AR$3</x:f>
      </x:c>
      <x:c r="AT4" s="96" t="n">
        <x:f>'Ставки'!AS$3</x:f>
      </x:c>
      <x:c r="AU4" s="96" t="n">
        <x:f>'Ставки'!AT$3</x:f>
      </x:c>
      <x:c r="AV4" s="96" t="n">
        <x:f>'Ставки'!AU$3</x:f>
      </x:c>
      <x:c r="AW4" s="96" t="n">
        <x:f>'Ставки'!AV$3</x:f>
      </x:c>
      <x:c r="AX4" s="96" t="n">
        <x:f>'Ставки'!AW$3</x:f>
      </x:c>
      <x:c r="AY4" s="96" t="n">
        <x:f>'Ставки'!AX$3</x:f>
      </x:c>
      <x:c r="AZ4" s="96" t="n">
        <x:f>'Ставки'!AY$3</x:f>
      </x:c>
      <x:c r="BA4" s="96" t="n">
        <x:f>'Ставки'!AZ$3</x:f>
      </x:c>
      <x:c r="BB4" s="96" t="n">
        <x:f>'Ставки'!BA$3</x:f>
      </x:c>
      <x:c r="BC4" s="96" t="n">
        <x:f>'Ставки'!BB$3</x:f>
      </x:c>
      <x:c r="BD4" s="96" t="n">
        <x:f>'Ставки'!BC$3</x:f>
      </x:c>
      <x:c r="BE4" s="96" t="n">
        <x:f>'Ставки'!BD$3</x:f>
      </x:c>
      <x:c r="BF4" s="96" t="n">
        <x:f>'Ставки'!BE$3</x:f>
      </x:c>
      <x:c r="BG4" s="96" t="n">
        <x:f>'Ставки'!BF$3</x:f>
      </x:c>
      <x:c r="BH4" s="96" t="n">
        <x:f>'Ставки'!BG$3</x:f>
      </x:c>
      <x:c r="BI4" s="96" t="n">
        <x:f>'Ставки'!BH$3</x:f>
      </x:c>
      <x:c r="BJ4" s="96" t="n">
        <x:f>'Ставки'!BI$3</x:f>
      </x:c>
      <x:c r="BK4" s="96" t="n">
        <x:f>'Ставки'!BJ$3</x:f>
      </x:c>
      <x:c r="BL4" s="96" t="n">
        <x:f>'Ставки'!BK$3</x:f>
      </x:c>
      <x:c r="BM4" s="96" t="n">
        <x:f>'Ставки'!BL$3</x:f>
      </x:c>
      <x:c r="BN4" s="96" t="n">
        <x:f>'Ставки'!BM$3</x:f>
      </x:c>
      <x:c r="BO4" s="96" t="n">
        <x:f>'Ставки'!BN$3</x:f>
      </x:c>
      <x:c r="BP4" s="96" t="n">
        <x:f>'Ставки'!BO$3</x:f>
      </x:c>
      <x:c r="BQ4" s="96" t="n">
        <x:f>'Ставки'!BP$3</x:f>
      </x:c>
      <x:c r="BR4" s="96" t="n">
        <x:f>'Ставки'!BQ$3</x:f>
      </x:c>
      <x:c r="BS4" s="96" t="n">
        <x:f>'Ставки'!BR$3</x:f>
      </x:c>
      <x:c r="BT4" s="96" t="n">
        <x:f>'Ставки'!BS$3</x:f>
      </x:c>
      <x:c r="BU4" s="96" t="n">
        <x:f>'Ставки'!BT$3</x:f>
      </x:c>
      <x:c r="BV4" s="96" t="n">
        <x:f>'Ставки'!BU$3</x:f>
      </x:c>
      <x:c r="BW4" s="96" t="n">
        <x:f>'Ставки'!BV$3</x:f>
      </x:c>
      <x:c r="BX4" s="96" t="n">
        <x:f>'Ставки'!BW$3</x:f>
      </x:c>
      <x:c r="BY4" s="96" t="n">
        <x:f>'Ставки'!BX$3</x:f>
      </x:c>
      <x:c r="BZ4" s="96" t="n">
        <x:f>'Ставки'!BY$3</x:f>
      </x:c>
      <x:c r="CA4" s="96" t="n">
        <x:f>'Ставки'!BZ$3</x:f>
      </x:c>
      <x:c r="CB4" s="96" t="n">
        <x:f>'Ставки'!CA$3</x:f>
      </x:c>
      <x:c r="CC4" s="96" t="n">
        <x:f>'Ставки'!CB$3</x:f>
      </x:c>
      <x:c r="CD4" s="96" t="n">
        <x:f>'Ставки'!CC$3</x:f>
      </x:c>
      <x:c r="CE4" s="96" t="n">
        <x:f>'Ставки'!CD$3</x:f>
      </x:c>
      <x:c r="CF4" s="96" t="n">
        <x:f>'Ставки'!CE$3</x:f>
      </x:c>
      <x:c r="CG4" s="96" t="n">
        <x:f>'Ставки'!CF$3</x:f>
      </x:c>
      <x:c r="CH4" s="96" t="n">
        <x:f>'Ставки'!CG$3</x:f>
      </x:c>
      <x:c r="CI4" s="96" t="n">
        <x:f>'Ставки'!CH$3</x:f>
      </x:c>
      <x:c r="CJ4" s="96" t="n">
        <x:f>'Ставки'!CI$3</x:f>
      </x:c>
      <x:c r="CK4" s="96" t="n">
        <x:f>'Ставки'!CJ$3</x:f>
      </x:c>
      <x:c r="CL4" s="96" t="n">
        <x:f>'Ставки'!CK$3</x:f>
      </x:c>
      <x:c r="CM4" s="96" t="n">
        <x:f>'Ставки'!CL$3</x:f>
      </x:c>
      <x:c r="CN4" s="96" t="n">
        <x:f>'Ставки'!CM$3</x:f>
      </x:c>
      <x:c r="CO4" s="96" t="n">
        <x:f>'Ставки'!CN$3</x:f>
      </x:c>
      <x:c r="CP4" s="96" t="n">
        <x:f>'Ставки'!CO$3</x:f>
      </x:c>
      <x:c r="CQ4" s="96" t="n">
        <x:f>'Ставки'!CP$3</x:f>
      </x:c>
      <x:c r="CR4" s="96" t="n">
        <x:f>'Ставки'!CQ$3</x:f>
      </x:c>
      <x:c r="CS4" s="96" t="n">
        <x:f>'Ставки'!CR$3</x:f>
      </x:c>
      <x:c r="CT4" s="96" t="n">
        <x:f>'Ставки'!CS$3</x:f>
      </x:c>
      <x:c r="CU4" s="96" t="n">
        <x:f>'Ставки'!CT$3</x:f>
      </x:c>
      <x:c r="CV4" s="96" t="n">
        <x:f>'Ставки'!CU$3</x:f>
      </x:c>
      <x:c r="CW4" s="96" t="n">
        <x:f>'Ставки'!CV$3</x:f>
      </x:c>
      <x:c r="CX4" s="96" t="n">
        <x:f>'Ставки'!CW$3</x:f>
      </x:c>
      <x:c r="CY4" s="96" t="n">
        <x:f>'Ставки'!CX$3</x:f>
      </x:c>
      <x:c r="CZ4" s="96" t="n">
        <x:f>'Ставки'!CY$3</x:f>
      </x:c>
      <x:c r="DA4" s="96" t="n">
        <x:f>'Ставки'!CZ$3</x:f>
      </x:c>
      <x:c r="DB4" s="96" t="n">
        <x:f>'Ставки'!DA$3</x:f>
      </x:c>
      <x:c r="DC4" s="96" t="n">
        <x:f>'Ставки'!DB$3</x:f>
      </x:c>
      <x:c r="DD4" s="96" t="n">
        <x:f>'Ставки'!DC$3</x:f>
      </x:c>
      <x:c r="DE4" s="96" t="n">
        <x:f>'Ставки'!DD$3</x:f>
      </x:c>
      <x:c r="DF4" s="96" t="n">
        <x:f>'Ставки'!DE$3</x:f>
      </x:c>
      <x:c r="DG4" s="96" t="n">
        <x:f>'Ставки'!DF$3</x:f>
      </x:c>
      <x:c r="DH4" s="96" t="n">
        <x:f>'Ставки'!DG$3</x:f>
      </x:c>
      <x:c r="DI4" s="96" t="n">
        <x:f>'Ставки'!DH$3</x:f>
      </x:c>
      <x:c r="DJ4" s="96" t="n">
        <x:f>'Ставки'!DI$3</x:f>
      </x:c>
      <x:c r="DK4" s="96" t="n">
        <x:f>'Ставки'!DJ$3</x:f>
      </x:c>
      <x:c r="DL4" s="96" t="n">
        <x:f>'Ставки'!DK$3</x:f>
      </x:c>
      <x:c r="DM4" s="96" t="n">
        <x:f>'Ставки'!DL$3</x:f>
      </x:c>
      <x:c r="DN4" s="96" t="n">
        <x:f>'Ставки'!DM$3</x:f>
      </x:c>
      <x:c r="DO4" s="96" t="n">
        <x:f>'Ставки'!DN$3</x:f>
      </x:c>
      <x:c r="DP4" s="96" t="n">
        <x:f>'Ставки'!DO$3</x:f>
      </x:c>
      <x:c r="DQ4" s="96" t="n">
        <x:f>'Ставки'!DP$3</x:f>
      </x:c>
      <x:c r="DR4" s="96" t="n">
        <x:f>'Ставки'!DQ$3</x:f>
      </x:c>
      <x:c r="DS4" s="96" t="n">
        <x:f>'Ставки'!DR$3</x:f>
      </x:c>
      <x:c r="DT4" s="96" t="n">
        <x:f>'Ставки'!DS$3</x:f>
      </x:c>
      <x:c r="DU4" s="96" t="n">
        <x:f>'Ставки'!DT$3</x:f>
      </x:c>
      <x:c r="DV4" s="96" t="n">
        <x:f>'Ставки'!DU$3</x:f>
      </x:c>
      <x:c r="DW4" s="96" t="n">
        <x:f>'Ставки'!DV$3</x:f>
      </x:c>
      <x:c r="DX4" s="96" t="n">
        <x:f>'Ставки'!DW$3</x:f>
      </x:c>
      <x:c r="DY4" s="96" t="n">
        <x:f>'Ставки'!DX$3</x:f>
      </x:c>
      <x:c r="DZ4" s="96" t="n">
        <x:f>'Ставки'!DY$3</x:f>
      </x:c>
      <x:c r="EA4" s="96" t="n">
        <x:f>'Ставки'!DZ$3</x:f>
      </x:c>
      <x:c r="EB4" s="96" t="n">
        <x:f>'Ставки'!EA$3</x:f>
      </x:c>
      <x:c r="EC4" s="96" t="n">
        <x:f>'Ставки'!EB$3</x:f>
      </x:c>
      <x:c r="ED4" s="96" t="n">
        <x:f>'Ставки'!EC$3</x:f>
      </x:c>
      <x:c r="EE4" s="96" t="n">
        <x:f>'Ставки'!ED$3</x:f>
      </x:c>
      <x:c r="EF4" s="96" t="n">
        <x:f>'Ставки'!EE$3</x:f>
      </x:c>
      <x:c r="EG4" s="96" t="n">
        <x:f>'Ставки'!EF$3</x:f>
      </x:c>
      <x:c r="EH4" s="96" t="n">
        <x:f>'Ставки'!EG$3</x:f>
      </x:c>
      <x:c r="EI4" s="96" t="n">
        <x:f>'Ставки'!EH$3</x:f>
      </x:c>
      <x:c r="EJ4" s="96" t="n">
        <x:f>'Ставки'!EI$3</x:f>
      </x:c>
      <x:c r="EK4" s="96" t="n">
        <x:f>'Ставки'!EJ$3</x:f>
      </x:c>
      <x:c r="EL4" s="96" t="n">
        <x:f>'Ставки'!EK$3</x:f>
      </x:c>
      <x:c r="EM4" s="96" t="n">
        <x:f>'Ставки'!EL$3</x:f>
      </x:c>
      <x:c r="EN4" s="96" t="n">
        <x:f>'Ставки'!EM$3</x:f>
      </x:c>
      <x:c r="EO4" s="96" t="n">
        <x:f>'Ставки'!EN$3</x:f>
      </x:c>
      <x:c r="EP4" s="96" t="n">
        <x:f>'Ставки'!EO$3</x:f>
      </x:c>
      <x:c r="EQ4" s="96" t="n">
        <x:f>'Ставки'!EP$3</x:f>
      </x:c>
      <x:c r="ER4" s="96" t="n">
        <x:f>'Ставки'!EQ$3</x:f>
      </x:c>
      <x:c r="ES4" s="96" t="n">
        <x:f>'Ставки'!ER$3</x:f>
      </x:c>
      <x:c r="ET4" s="96" t="n">
        <x:f>'Ставки'!ES$3</x:f>
      </x:c>
      <x:c r="EU4" s="96" t="n">
        <x:f>'Ставки'!ET$3</x:f>
      </x:c>
      <x:c r="EV4" s="96" t="n">
        <x:f>'Ставки'!EU$3</x:f>
      </x:c>
      <x:c r="EW4" s="96" t="n">
        <x:f>'Ставки'!EV$3</x:f>
      </x:c>
      <x:c r="EX4" s="96" t="n">
        <x:f>'Ставки'!EW$3</x:f>
      </x:c>
      <x:c r="EY4" s="96" t="n">
        <x:f>'Ставки'!EX$3</x:f>
      </x:c>
      <x:c r="EZ4" s="96" t="n">
        <x:f>'Ставки'!EY$3</x:f>
      </x:c>
      <x:c r="FA4" s="96" t="n">
        <x:f>'Ставки'!EZ$3</x:f>
      </x:c>
      <x:c r="FB4" s="96" t="n">
        <x:f>'Ставки'!FA$3</x:f>
      </x:c>
      <x:c r="FC4" s="96" t="n">
        <x:f>'Ставки'!FB$3</x:f>
      </x:c>
      <x:c r="FD4" s="96" t="n">
        <x:f>'Ставки'!FC$3</x:f>
      </x:c>
      <x:c r="FE4" s="96" t="n">
        <x:f>'Ставки'!FD$3</x:f>
      </x:c>
      <x:c r="FF4" s="96" t="n">
        <x:f>'Ставки'!FE$3</x:f>
      </x:c>
      <x:c r="FG4" s="96" t="n">
        <x:f>'Ставки'!FF$3</x:f>
      </x:c>
      <x:c r="FH4" s="96" t="n">
        <x:f>'Ставки'!FG$3</x:f>
      </x:c>
      <x:c r="FI4" s="96" t="n">
        <x:f>'Ставки'!FH$3</x:f>
      </x:c>
      <x:c r="FJ4" s="96" t="n">
        <x:f>'Ставки'!FI$3</x:f>
      </x:c>
      <x:c r="FK4" s="96" t="n">
        <x:f>'Ставки'!FJ$3</x:f>
      </x:c>
      <x:c r="FL4" s="96" t="n">
        <x:f>'Ставки'!FK$3</x:f>
      </x:c>
      <x:c r="FM4" s="96" t="n">
        <x:f>'Ставки'!FL$3</x:f>
      </x:c>
      <x:c r="FN4" s="96" t="n">
        <x:f>'Ставки'!FM$3</x:f>
      </x:c>
      <x:c r="FO4" s="96" t="n">
        <x:f>'Ставки'!FN$3</x:f>
      </x:c>
      <x:c r="FP4" s="96" t="n">
        <x:f>'Ставки'!FO$3</x:f>
      </x:c>
      <x:c r="FQ4" s="96" t="n">
        <x:f>'Ставки'!FP$3</x:f>
      </x:c>
      <x:c r="FR4" s="96" t="n">
        <x:f>'Ставки'!FQ$3</x:f>
      </x:c>
      <x:c r="FS4" s="96" t="n">
        <x:f>'Ставки'!FR$3</x:f>
      </x:c>
      <x:c r="FT4" s="96" t="n">
        <x:f>'Ставки'!FS$3</x:f>
      </x:c>
      <x:c r="FU4" s="96" t="n">
        <x:f>'Ставки'!FT$3</x:f>
      </x:c>
      <x:c r="FV4" s="96" t="n">
        <x:f>'Ставки'!FU$3</x:f>
      </x:c>
      <x:c r="FW4" s="96" t="n">
        <x:f>'Ставки'!FV$3</x:f>
      </x:c>
      <x:c r="FX4" s="96" t="n">
        <x:f>'Ставки'!FW$3</x:f>
      </x:c>
      <x:c r="FY4" s="96" t="n">
        <x:f>'Ставки'!FX$3</x:f>
      </x:c>
      <x:c r="FZ4" s="96" t="n">
        <x:f>'Ставки'!FY$3</x:f>
      </x:c>
      <x:c r="GA4" s="96" t="n">
        <x:f>'Ставки'!FZ$3</x:f>
      </x:c>
      <x:c r="GB4" s="96" t="n">
        <x:f>'Ставки'!GA$3</x:f>
      </x:c>
    </x:row>
    <x:row r="5">
      <x:c r="A5" t="str">
        <x:f>'Вводные'!$C$88</x:f>
      </x:c>
      <x:c r="B5" t="str">
        <x:v>Сделка / старт</x:v>
      </x:c>
      <x:c r="C5" s="92" t="n">
        <x:f>EDATE('Вводные'!$D$88,'Вводные'!$H$9)</x:f>
      </x:c>
      <x:c r="D5" s="92" t="n">
        <x:f>C5</x:f>
      </x:c>
      <x:c r="E5" s="135" t="str">
        <x:f>IF(AND(E$4&gt;=$C5,E$4&lt;=$D5,'Вводные'!$B$88="Да"),"■","")</x:f>
      </x:c>
      <x:c r="F5" s="135" t="str">
        <x:f>IF(AND(F$4&gt;=$C5,F$4&lt;=$D5,'Вводные'!$B$88="Да"),"■","")</x:f>
      </x:c>
      <x:c r="G5" s="135" t="str">
        <x:f>IF(AND(G$4&gt;=$C5,G$4&lt;=$D5,'Вводные'!$B$88="Да"),"■","")</x:f>
      </x:c>
      <x:c r="H5" s="135" t="str">
        <x:f>IF(AND(H$4&gt;=$C5,H$4&lt;=$D5,'Вводные'!$B$88="Да"),"■","")</x:f>
      </x:c>
      <x:c r="I5" s="135" t="str">
        <x:f>IF(AND(I$4&gt;=$C5,I$4&lt;=$D5,'Вводные'!$B$88="Да"),"■","")</x:f>
      </x:c>
      <x:c r="J5" s="135" t="str">
        <x:f>IF(AND(J$4&gt;=$C5,J$4&lt;=$D5,'Вводные'!$B$88="Да"),"■","")</x:f>
      </x:c>
      <x:c r="K5" s="135" t="str">
        <x:f>IF(AND(K$4&gt;=$C5,K$4&lt;=$D5,'Вводные'!$B$88="Да"),"■","")</x:f>
      </x:c>
      <x:c r="L5" s="135" t="str">
        <x:f>IF(AND(L$4&gt;=$C5,L$4&lt;=$D5,'Вводные'!$B$88="Да"),"■","")</x:f>
      </x:c>
      <x:c r="M5" s="135" t="str">
        <x:f>IF(AND(M$4&gt;=$C5,M$4&lt;=$D5,'Вводные'!$B$88="Да"),"■","")</x:f>
      </x:c>
      <x:c r="N5" s="135" t="str">
        <x:f>IF(AND(N$4&gt;=$C5,N$4&lt;=$D5,'Вводные'!$B$88="Да"),"■","")</x:f>
      </x:c>
      <x:c r="O5" s="135" t="str">
        <x:f>IF(AND(O$4&gt;=$C5,O$4&lt;=$D5,'Вводные'!$B$88="Да"),"■","")</x:f>
      </x:c>
      <x:c r="P5" s="135" t="str">
        <x:f>IF(AND(P$4&gt;=$C5,P$4&lt;=$D5,'Вводные'!$B$88="Да"),"■","")</x:f>
      </x:c>
      <x:c r="Q5" s="135" t="str">
        <x:f>IF(AND(Q$4&gt;=$C5,Q$4&lt;=$D5,'Вводные'!$B$88="Да"),"■","")</x:f>
      </x:c>
      <x:c r="R5" s="135" t="str">
        <x:f>IF(AND(R$4&gt;=$C5,R$4&lt;=$D5,'Вводные'!$B$88="Да"),"■","")</x:f>
      </x:c>
      <x:c r="S5" s="135" t="str">
        <x:f>IF(AND(S$4&gt;=$C5,S$4&lt;=$D5,'Вводные'!$B$88="Да"),"■","")</x:f>
      </x:c>
      <x:c r="T5" s="135" t="str">
        <x:f>IF(AND(T$4&gt;=$C5,T$4&lt;=$D5,'Вводные'!$B$88="Да"),"■","")</x:f>
      </x:c>
      <x:c r="U5" s="135" t="str">
        <x:f>IF(AND(U$4&gt;=$C5,U$4&lt;=$D5,'Вводные'!$B$88="Да"),"■","")</x:f>
      </x:c>
      <x:c r="V5" s="135" t="str">
        <x:f>IF(AND(V$4&gt;=$C5,V$4&lt;=$D5,'Вводные'!$B$88="Да"),"■","")</x:f>
      </x:c>
      <x:c r="W5" s="135" t="str">
        <x:f>IF(AND(W$4&gt;=$C5,W$4&lt;=$D5,'Вводные'!$B$88="Да"),"■","")</x:f>
      </x:c>
      <x:c r="X5" s="135" t="str">
        <x:f>IF(AND(X$4&gt;=$C5,X$4&lt;=$D5,'Вводные'!$B$88="Да"),"■","")</x:f>
      </x:c>
      <x:c r="Y5" s="135" t="str">
        <x:f>IF(AND(Y$4&gt;=$C5,Y$4&lt;=$D5,'Вводные'!$B$88="Да"),"■","")</x:f>
      </x:c>
      <x:c r="Z5" s="135" t="str">
        <x:f>IF(AND(Z$4&gt;=$C5,Z$4&lt;=$D5,'Вводные'!$B$88="Да"),"■","")</x:f>
      </x:c>
      <x:c r="AA5" s="135" t="str">
        <x:f>IF(AND(AA$4&gt;=$C5,AA$4&lt;=$D5,'Вводные'!$B$88="Да"),"■","")</x:f>
      </x:c>
      <x:c r="AB5" s="135" t="str">
        <x:f>IF(AND(AB$4&gt;=$C5,AB$4&lt;=$D5,'Вводные'!$B$88="Да"),"■","")</x:f>
      </x:c>
      <x:c r="AC5" s="135" t="str">
        <x:f>IF(AND(AC$4&gt;=$C5,AC$4&lt;=$D5,'Вводные'!$B$88="Да"),"■","")</x:f>
      </x:c>
      <x:c r="AD5" s="135" t="str">
        <x:f>IF(AND(AD$4&gt;=$C5,AD$4&lt;=$D5,'Вводные'!$B$88="Да"),"■","")</x:f>
      </x:c>
      <x:c r="AE5" s="135" t="str">
        <x:f>IF(AND(AE$4&gt;=$C5,AE$4&lt;=$D5,'Вводные'!$B$88="Да"),"■","")</x:f>
      </x:c>
      <x:c r="AF5" s="135" t="str">
        <x:f>IF(AND(AF$4&gt;=$C5,AF$4&lt;=$D5,'Вводные'!$B$88="Да"),"■","")</x:f>
      </x:c>
      <x:c r="AG5" s="135" t="str">
        <x:f>IF(AND(AG$4&gt;=$C5,AG$4&lt;=$D5,'Вводные'!$B$88="Да"),"■","")</x:f>
      </x:c>
      <x:c r="AH5" s="135" t="str">
        <x:f>IF(AND(AH$4&gt;=$C5,AH$4&lt;=$D5,'Вводные'!$B$88="Да"),"■","")</x:f>
      </x:c>
      <x:c r="AI5" s="135" t="str">
        <x:f>IF(AND(AI$4&gt;=$C5,AI$4&lt;=$D5,'Вводные'!$B$88="Да"),"■","")</x:f>
      </x:c>
      <x:c r="AJ5" s="135" t="str">
        <x:f>IF(AND(AJ$4&gt;=$C5,AJ$4&lt;=$D5,'Вводные'!$B$88="Да"),"■","")</x:f>
      </x:c>
      <x:c r="AK5" s="135" t="str">
        <x:f>IF(AND(AK$4&gt;=$C5,AK$4&lt;=$D5,'Вводные'!$B$88="Да"),"■","")</x:f>
      </x:c>
      <x:c r="AL5" s="135" t="str">
        <x:f>IF(AND(AL$4&gt;=$C5,AL$4&lt;=$D5,'Вводные'!$B$88="Да"),"■","")</x:f>
      </x:c>
      <x:c r="AM5" s="135" t="str">
        <x:f>IF(AND(AM$4&gt;=$C5,AM$4&lt;=$D5,'Вводные'!$B$88="Да"),"■","")</x:f>
      </x:c>
      <x:c r="AN5" s="135" t="str">
        <x:f>IF(AND(AN$4&gt;=$C5,AN$4&lt;=$D5,'Вводные'!$B$88="Да"),"■","")</x:f>
      </x:c>
      <x:c r="AO5" s="135" t="str">
        <x:f>IF(AND(AO$4&gt;=$C5,AO$4&lt;=$D5,'Вводные'!$B$88="Да"),"■","")</x:f>
      </x:c>
      <x:c r="AP5" s="135" t="str">
        <x:f>IF(AND(AP$4&gt;=$C5,AP$4&lt;=$D5,'Вводные'!$B$88="Да"),"■","")</x:f>
      </x:c>
      <x:c r="AQ5" s="135" t="str">
        <x:f>IF(AND(AQ$4&gt;=$C5,AQ$4&lt;=$D5,'Вводные'!$B$88="Да"),"■","")</x:f>
      </x:c>
      <x:c r="AR5" s="135" t="str">
        <x:f>IF(AND(AR$4&gt;=$C5,AR$4&lt;=$D5,'Вводные'!$B$88="Да"),"■","")</x:f>
      </x:c>
      <x:c r="AS5" s="135" t="str">
        <x:f>IF(AND(AS$4&gt;=$C5,AS$4&lt;=$D5,'Вводные'!$B$88="Да"),"■","")</x:f>
      </x:c>
      <x:c r="AT5" s="135" t="str">
        <x:f>IF(AND(AT$4&gt;=$C5,AT$4&lt;=$D5,'Вводные'!$B$88="Да"),"■","")</x:f>
      </x:c>
      <x:c r="AU5" s="135" t="str">
        <x:f>IF(AND(AU$4&gt;=$C5,AU$4&lt;=$D5,'Вводные'!$B$88="Да"),"■","")</x:f>
      </x:c>
      <x:c r="AV5" s="135" t="str">
        <x:f>IF(AND(AV$4&gt;=$C5,AV$4&lt;=$D5,'Вводные'!$B$88="Да"),"■","")</x:f>
      </x:c>
      <x:c r="AW5" s="135" t="str">
        <x:f>IF(AND(AW$4&gt;=$C5,AW$4&lt;=$D5,'Вводные'!$B$88="Да"),"■","")</x:f>
      </x:c>
      <x:c r="AX5" s="135" t="str">
        <x:f>IF(AND(AX$4&gt;=$C5,AX$4&lt;=$D5,'Вводные'!$B$88="Да"),"■","")</x:f>
      </x:c>
      <x:c r="AY5" s="135" t="str">
        <x:f>IF(AND(AY$4&gt;=$C5,AY$4&lt;=$D5,'Вводные'!$B$88="Да"),"■","")</x:f>
      </x:c>
      <x:c r="AZ5" s="135" t="str">
        <x:f>IF(AND(AZ$4&gt;=$C5,AZ$4&lt;=$D5,'Вводные'!$B$88="Да"),"■","")</x:f>
      </x:c>
      <x:c r="BA5" s="135" t="str">
        <x:f>IF(AND(BA$4&gt;=$C5,BA$4&lt;=$D5,'Вводные'!$B$88="Да"),"■","")</x:f>
      </x:c>
      <x:c r="BB5" s="135" t="str">
        <x:f>IF(AND(BB$4&gt;=$C5,BB$4&lt;=$D5,'Вводные'!$B$88="Да"),"■","")</x:f>
      </x:c>
      <x:c r="BC5" s="135" t="str">
        <x:f>IF(AND(BC$4&gt;=$C5,BC$4&lt;=$D5,'Вводные'!$B$88="Да"),"■","")</x:f>
      </x:c>
      <x:c r="BD5" s="135" t="str">
        <x:f>IF(AND(BD$4&gt;=$C5,BD$4&lt;=$D5,'Вводные'!$B$88="Да"),"■","")</x:f>
      </x:c>
      <x:c r="BE5" s="135" t="str">
        <x:f>IF(AND(BE$4&gt;=$C5,BE$4&lt;=$D5,'Вводные'!$B$88="Да"),"■","")</x:f>
      </x:c>
      <x:c r="BF5" s="135" t="str">
        <x:f>IF(AND(BF$4&gt;=$C5,BF$4&lt;=$D5,'Вводные'!$B$88="Да"),"■","")</x:f>
      </x:c>
      <x:c r="BG5" s="135" t="str">
        <x:f>IF(AND(BG$4&gt;=$C5,BG$4&lt;=$D5,'Вводные'!$B$88="Да"),"■","")</x:f>
      </x:c>
      <x:c r="BH5" s="135" t="str">
        <x:f>IF(AND(BH$4&gt;=$C5,BH$4&lt;=$D5,'Вводные'!$B$88="Да"),"■","")</x:f>
      </x:c>
      <x:c r="BI5" s="135" t="str">
        <x:f>IF(AND(BI$4&gt;=$C5,BI$4&lt;=$D5,'Вводные'!$B$88="Да"),"■","")</x:f>
      </x:c>
      <x:c r="BJ5" s="135" t="str">
        <x:f>IF(AND(BJ$4&gt;=$C5,BJ$4&lt;=$D5,'Вводные'!$B$88="Да"),"■","")</x:f>
      </x:c>
      <x:c r="BK5" s="135" t="str">
        <x:f>IF(AND(BK$4&gt;=$C5,BK$4&lt;=$D5,'Вводные'!$B$88="Да"),"■","")</x:f>
      </x:c>
      <x:c r="BL5" s="135" t="str">
        <x:f>IF(AND(BL$4&gt;=$C5,BL$4&lt;=$D5,'Вводные'!$B$88="Да"),"■","")</x:f>
      </x:c>
      <x:c r="BM5" s="135" t="str">
        <x:f>IF(AND(BM$4&gt;=$C5,BM$4&lt;=$D5,'Вводные'!$B$88="Да"),"■","")</x:f>
      </x:c>
      <x:c r="BN5" s="135" t="str">
        <x:f>IF(AND(BN$4&gt;=$C5,BN$4&lt;=$D5,'Вводные'!$B$88="Да"),"■","")</x:f>
      </x:c>
      <x:c r="BO5" s="135" t="str">
        <x:f>IF(AND(BO$4&gt;=$C5,BO$4&lt;=$D5,'Вводные'!$B$88="Да"),"■","")</x:f>
      </x:c>
      <x:c r="BP5" s="135" t="str">
        <x:f>IF(AND(BP$4&gt;=$C5,BP$4&lt;=$D5,'Вводные'!$B$88="Да"),"■","")</x:f>
      </x:c>
      <x:c r="BQ5" s="135" t="str">
        <x:f>IF(AND(BQ$4&gt;=$C5,BQ$4&lt;=$D5,'Вводные'!$B$88="Да"),"■","")</x:f>
      </x:c>
      <x:c r="BR5" s="135" t="str">
        <x:f>IF(AND(BR$4&gt;=$C5,BR$4&lt;=$D5,'Вводные'!$B$88="Да"),"■","")</x:f>
      </x:c>
      <x:c r="BS5" s="135" t="str">
        <x:f>IF(AND(BS$4&gt;=$C5,BS$4&lt;=$D5,'Вводные'!$B$88="Да"),"■","")</x:f>
      </x:c>
      <x:c r="BT5" s="135" t="str">
        <x:f>IF(AND(BT$4&gt;=$C5,BT$4&lt;=$D5,'Вводные'!$B$88="Да"),"■","")</x:f>
      </x:c>
      <x:c r="BU5" s="135" t="str">
        <x:f>IF(AND(BU$4&gt;=$C5,BU$4&lt;=$D5,'Вводные'!$B$88="Да"),"■","")</x:f>
      </x:c>
      <x:c r="BV5" s="135" t="str">
        <x:f>IF(AND(BV$4&gt;=$C5,BV$4&lt;=$D5,'Вводные'!$B$88="Да"),"■","")</x:f>
      </x:c>
      <x:c r="BW5" s="135" t="str">
        <x:f>IF(AND(BW$4&gt;=$C5,BW$4&lt;=$D5,'Вводные'!$B$88="Да"),"■","")</x:f>
      </x:c>
      <x:c r="BX5" s="135" t="str">
        <x:f>IF(AND(BX$4&gt;=$C5,BX$4&lt;=$D5,'Вводные'!$B$88="Да"),"■","")</x:f>
      </x:c>
      <x:c r="BY5" s="135" t="str">
        <x:f>IF(AND(BY$4&gt;=$C5,BY$4&lt;=$D5,'Вводные'!$B$88="Да"),"■","")</x:f>
      </x:c>
      <x:c r="BZ5" s="135" t="str">
        <x:f>IF(AND(BZ$4&gt;=$C5,BZ$4&lt;=$D5,'Вводные'!$B$88="Да"),"■","")</x:f>
      </x:c>
      <x:c r="CA5" s="135" t="str">
        <x:f>IF(AND(CA$4&gt;=$C5,CA$4&lt;=$D5,'Вводные'!$B$88="Да"),"■","")</x:f>
      </x:c>
      <x:c r="CB5" s="135" t="str">
        <x:f>IF(AND(CB$4&gt;=$C5,CB$4&lt;=$D5,'Вводные'!$B$88="Да"),"■","")</x:f>
      </x:c>
      <x:c r="CC5" s="135" t="str">
        <x:f>IF(AND(CC$4&gt;=$C5,CC$4&lt;=$D5,'Вводные'!$B$88="Да"),"■","")</x:f>
      </x:c>
      <x:c r="CD5" s="135" t="str">
        <x:f>IF(AND(CD$4&gt;=$C5,CD$4&lt;=$D5,'Вводные'!$B$88="Да"),"■","")</x:f>
      </x:c>
      <x:c r="CE5" s="135" t="str">
        <x:f>IF(AND(CE$4&gt;=$C5,CE$4&lt;=$D5,'Вводные'!$B$88="Да"),"■","")</x:f>
      </x:c>
      <x:c r="CF5" s="135" t="str">
        <x:f>IF(AND(CF$4&gt;=$C5,CF$4&lt;=$D5,'Вводные'!$B$88="Да"),"■","")</x:f>
      </x:c>
      <x:c r="CG5" s="135" t="str">
        <x:f>IF(AND(CG$4&gt;=$C5,CG$4&lt;=$D5,'Вводные'!$B$88="Да"),"■","")</x:f>
      </x:c>
      <x:c r="CH5" s="135" t="str">
        <x:f>IF(AND(CH$4&gt;=$C5,CH$4&lt;=$D5,'Вводные'!$B$88="Да"),"■","")</x:f>
      </x:c>
      <x:c r="CI5" s="135" t="str">
        <x:f>IF(AND(CI$4&gt;=$C5,CI$4&lt;=$D5,'Вводные'!$B$88="Да"),"■","")</x:f>
      </x:c>
      <x:c r="CJ5" s="135" t="str">
        <x:f>IF(AND(CJ$4&gt;=$C5,CJ$4&lt;=$D5,'Вводные'!$B$88="Да"),"■","")</x:f>
      </x:c>
      <x:c r="CK5" s="135" t="str">
        <x:f>IF(AND(CK$4&gt;=$C5,CK$4&lt;=$D5,'Вводные'!$B$88="Да"),"■","")</x:f>
      </x:c>
      <x:c r="CL5" s="135" t="str">
        <x:f>IF(AND(CL$4&gt;=$C5,CL$4&lt;=$D5,'Вводные'!$B$88="Да"),"■","")</x:f>
      </x:c>
      <x:c r="CM5" s="135" t="str">
        <x:f>IF(AND(CM$4&gt;=$C5,CM$4&lt;=$D5,'Вводные'!$B$88="Да"),"■","")</x:f>
      </x:c>
      <x:c r="CN5" s="135" t="str">
        <x:f>IF(AND(CN$4&gt;=$C5,CN$4&lt;=$D5,'Вводные'!$B$88="Да"),"■","")</x:f>
      </x:c>
      <x:c r="CO5" s="135" t="str">
        <x:f>IF(AND(CO$4&gt;=$C5,CO$4&lt;=$D5,'Вводные'!$B$88="Да"),"■","")</x:f>
      </x:c>
      <x:c r="CP5" s="135" t="str">
        <x:f>IF(AND(CP$4&gt;=$C5,CP$4&lt;=$D5,'Вводные'!$B$88="Да"),"■","")</x:f>
      </x:c>
      <x:c r="CQ5" s="135" t="str">
        <x:f>IF(AND(CQ$4&gt;=$C5,CQ$4&lt;=$D5,'Вводные'!$B$88="Да"),"■","")</x:f>
      </x:c>
      <x:c r="CR5" s="135" t="str">
        <x:f>IF(AND(CR$4&gt;=$C5,CR$4&lt;=$D5,'Вводные'!$B$88="Да"),"■","")</x:f>
      </x:c>
      <x:c r="CS5" s="135" t="str">
        <x:f>IF(AND(CS$4&gt;=$C5,CS$4&lt;=$D5,'Вводные'!$B$88="Да"),"■","")</x:f>
      </x:c>
      <x:c r="CT5" s="135" t="str">
        <x:f>IF(AND(CT$4&gt;=$C5,CT$4&lt;=$D5,'Вводные'!$B$88="Да"),"■","")</x:f>
      </x:c>
      <x:c r="CU5" s="135" t="str">
        <x:f>IF(AND(CU$4&gt;=$C5,CU$4&lt;=$D5,'Вводные'!$B$88="Да"),"■","")</x:f>
      </x:c>
      <x:c r="CV5" s="135" t="str">
        <x:f>IF(AND(CV$4&gt;=$C5,CV$4&lt;=$D5,'Вводные'!$B$88="Да"),"■","")</x:f>
      </x:c>
      <x:c r="CW5" s="135" t="str">
        <x:f>IF(AND(CW$4&gt;=$C5,CW$4&lt;=$D5,'Вводные'!$B$88="Да"),"■","")</x:f>
      </x:c>
      <x:c r="CX5" s="135" t="str">
        <x:f>IF(AND(CX$4&gt;=$C5,CX$4&lt;=$D5,'Вводные'!$B$88="Да"),"■","")</x:f>
      </x:c>
      <x:c r="CY5" s="135" t="str">
        <x:f>IF(AND(CY$4&gt;=$C5,CY$4&lt;=$D5,'Вводные'!$B$88="Да"),"■","")</x:f>
      </x:c>
      <x:c r="CZ5" s="135" t="str">
        <x:f>IF(AND(CZ$4&gt;=$C5,CZ$4&lt;=$D5,'Вводные'!$B$88="Да"),"■","")</x:f>
      </x:c>
      <x:c r="DA5" s="135" t="str">
        <x:f>IF(AND(DA$4&gt;=$C5,DA$4&lt;=$D5,'Вводные'!$B$88="Да"),"■","")</x:f>
      </x:c>
      <x:c r="DB5" s="135" t="str">
        <x:f>IF(AND(DB$4&gt;=$C5,DB$4&lt;=$D5,'Вводные'!$B$88="Да"),"■","")</x:f>
      </x:c>
      <x:c r="DC5" s="135" t="str">
        <x:f>IF(AND(DC$4&gt;=$C5,DC$4&lt;=$D5,'Вводные'!$B$88="Да"),"■","")</x:f>
      </x:c>
      <x:c r="DD5" s="135" t="str">
        <x:f>IF(AND(DD$4&gt;=$C5,DD$4&lt;=$D5,'Вводные'!$B$88="Да"),"■","")</x:f>
      </x:c>
      <x:c r="DE5" s="135" t="str">
        <x:f>IF(AND(DE$4&gt;=$C5,DE$4&lt;=$D5,'Вводные'!$B$88="Да"),"■","")</x:f>
      </x:c>
      <x:c r="DF5" s="135" t="str">
        <x:f>IF(AND(DF$4&gt;=$C5,DF$4&lt;=$D5,'Вводные'!$B$88="Да"),"■","")</x:f>
      </x:c>
      <x:c r="DG5" s="135" t="str">
        <x:f>IF(AND(DG$4&gt;=$C5,DG$4&lt;=$D5,'Вводные'!$B$88="Да"),"■","")</x:f>
      </x:c>
      <x:c r="DH5" s="135" t="str">
        <x:f>IF(AND(DH$4&gt;=$C5,DH$4&lt;=$D5,'Вводные'!$B$88="Да"),"■","")</x:f>
      </x:c>
      <x:c r="DI5" s="135" t="str">
        <x:f>IF(AND(DI$4&gt;=$C5,DI$4&lt;=$D5,'Вводные'!$B$88="Да"),"■","")</x:f>
      </x:c>
      <x:c r="DJ5" s="135" t="str">
        <x:f>IF(AND(DJ$4&gt;=$C5,DJ$4&lt;=$D5,'Вводные'!$B$88="Да"),"■","")</x:f>
      </x:c>
      <x:c r="DK5" s="135" t="str">
        <x:f>IF(AND(DK$4&gt;=$C5,DK$4&lt;=$D5,'Вводные'!$B$88="Да"),"■","")</x:f>
      </x:c>
      <x:c r="DL5" s="135" t="str">
        <x:f>IF(AND(DL$4&gt;=$C5,DL$4&lt;=$D5,'Вводные'!$B$88="Да"),"■","")</x:f>
      </x:c>
      <x:c r="DM5" s="135" t="str">
        <x:f>IF(AND(DM$4&gt;=$C5,DM$4&lt;=$D5,'Вводные'!$B$88="Да"),"■","")</x:f>
      </x:c>
      <x:c r="DN5" s="135" t="str">
        <x:f>IF(AND(DN$4&gt;=$C5,DN$4&lt;=$D5,'Вводные'!$B$88="Да"),"■","")</x:f>
      </x:c>
      <x:c r="DO5" s="135" t="str">
        <x:f>IF(AND(DO$4&gt;=$C5,DO$4&lt;=$D5,'Вводные'!$B$88="Да"),"■","")</x:f>
      </x:c>
      <x:c r="DP5" s="135" t="str">
        <x:f>IF(AND(DP$4&gt;=$C5,DP$4&lt;=$D5,'Вводные'!$B$88="Да"),"■","")</x:f>
      </x:c>
      <x:c r="DQ5" s="135" t="str">
        <x:f>IF(AND(DQ$4&gt;=$C5,DQ$4&lt;=$D5,'Вводные'!$B$88="Да"),"■","")</x:f>
      </x:c>
      <x:c r="DR5" s="135" t="str">
        <x:f>IF(AND(DR$4&gt;=$C5,DR$4&lt;=$D5,'Вводные'!$B$88="Да"),"■","")</x:f>
      </x:c>
      <x:c r="DS5" s="135" t="str">
        <x:f>IF(AND(DS$4&gt;=$C5,DS$4&lt;=$D5,'Вводные'!$B$88="Да"),"■","")</x:f>
      </x:c>
      <x:c r="DT5" s="135" t="str">
        <x:f>IF(AND(DT$4&gt;=$C5,DT$4&lt;=$D5,'Вводные'!$B$88="Да"),"■","")</x:f>
      </x:c>
      <x:c r="DU5" s="135" t="str">
        <x:f>IF(AND(DU$4&gt;=$C5,DU$4&lt;=$D5,'Вводные'!$B$88="Да"),"■","")</x:f>
      </x:c>
      <x:c r="DV5" s="135" t="str">
        <x:f>IF(AND(DV$4&gt;=$C5,DV$4&lt;=$D5,'Вводные'!$B$88="Да"),"■","")</x:f>
      </x:c>
      <x:c r="DW5" s="135" t="str">
        <x:f>IF(AND(DW$4&gt;=$C5,DW$4&lt;=$D5,'Вводные'!$B$88="Да"),"■","")</x:f>
      </x:c>
      <x:c r="DX5" s="135" t="str">
        <x:f>IF(AND(DX$4&gt;=$C5,DX$4&lt;=$D5,'Вводные'!$B$88="Да"),"■","")</x:f>
      </x:c>
      <x:c r="DY5" s="135" t="str">
        <x:f>IF(AND(DY$4&gt;=$C5,DY$4&lt;=$D5,'Вводные'!$B$88="Да"),"■","")</x:f>
      </x:c>
      <x:c r="DZ5" s="135" t="str">
        <x:f>IF(AND(DZ$4&gt;=$C5,DZ$4&lt;=$D5,'Вводные'!$B$88="Да"),"■","")</x:f>
      </x:c>
      <x:c r="EA5" s="135" t="str">
        <x:f>IF(AND(EA$4&gt;=$C5,EA$4&lt;=$D5,'Вводные'!$B$88="Да"),"■","")</x:f>
      </x:c>
      <x:c r="EB5" s="135" t="str">
        <x:f>IF(AND(EB$4&gt;=$C5,EB$4&lt;=$D5,'Вводные'!$B$88="Да"),"■","")</x:f>
      </x:c>
      <x:c r="EC5" s="135" t="str">
        <x:f>IF(AND(EC$4&gt;=$C5,EC$4&lt;=$D5,'Вводные'!$B$88="Да"),"■","")</x:f>
      </x:c>
      <x:c r="ED5" s="135" t="str">
        <x:f>IF(AND(ED$4&gt;=$C5,ED$4&lt;=$D5,'Вводные'!$B$88="Да"),"■","")</x:f>
      </x:c>
      <x:c r="EE5" s="135" t="str">
        <x:f>IF(AND(EE$4&gt;=$C5,EE$4&lt;=$D5,'Вводные'!$B$88="Да"),"■","")</x:f>
      </x:c>
      <x:c r="EF5" s="135" t="str">
        <x:f>IF(AND(EF$4&gt;=$C5,EF$4&lt;=$D5,'Вводные'!$B$88="Да"),"■","")</x:f>
      </x:c>
      <x:c r="EG5" s="135" t="str">
        <x:f>IF(AND(EG$4&gt;=$C5,EG$4&lt;=$D5,'Вводные'!$B$88="Да"),"■","")</x:f>
      </x:c>
      <x:c r="EH5" s="135" t="str">
        <x:f>IF(AND(EH$4&gt;=$C5,EH$4&lt;=$D5,'Вводные'!$B$88="Да"),"■","")</x:f>
      </x:c>
      <x:c r="EI5" s="135" t="str">
        <x:f>IF(AND(EI$4&gt;=$C5,EI$4&lt;=$D5,'Вводные'!$B$88="Да"),"■","")</x:f>
      </x:c>
      <x:c r="EJ5" s="135" t="str">
        <x:f>IF(AND(EJ$4&gt;=$C5,EJ$4&lt;=$D5,'Вводные'!$B$88="Да"),"■","")</x:f>
      </x:c>
      <x:c r="EK5" s="135" t="str">
        <x:f>IF(AND(EK$4&gt;=$C5,EK$4&lt;=$D5,'Вводные'!$B$88="Да"),"■","")</x:f>
      </x:c>
      <x:c r="EL5" s="135" t="str">
        <x:f>IF(AND(EL$4&gt;=$C5,EL$4&lt;=$D5,'Вводные'!$B$88="Да"),"■","")</x:f>
      </x:c>
      <x:c r="EM5" s="135" t="str">
        <x:f>IF(AND(EM$4&gt;=$C5,EM$4&lt;=$D5,'Вводные'!$B$88="Да"),"■","")</x:f>
      </x:c>
      <x:c r="EN5" s="135" t="str">
        <x:f>IF(AND(EN$4&gt;=$C5,EN$4&lt;=$D5,'Вводные'!$B$88="Да"),"■","")</x:f>
      </x:c>
      <x:c r="EO5" s="135" t="str">
        <x:f>IF(AND(EO$4&gt;=$C5,EO$4&lt;=$D5,'Вводные'!$B$88="Да"),"■","")</x:f>
      </x:c>
      <x:c r="EP5" s="135" t="str">
        <x:f>IF(AND(EP$4&gt;=$C5,EP$4&lt;=$D5,'Вводные'!$B$88="Да"),"■","")</x:f>
      </x:c>
      <x:c r="EQ5" s="135" t="str">
        <x:f>IF(AND(EQ$4&gt;=$C5,EQ$4&lt;=$D5,'Вводные'!$B$88="Да"),"■","")</x:f>
      </x:c>
      <x:c r="ER5" s="135" t="str">
        <x:f>IF(AND(ER$4&gt;=$C5,ER$4&lt;=$D5,'Вводные'!$B$88="Да"),"■","")</x:f>
      </x:c>
      <x:c r="ES5" s="135" t="str">
        <x:f>IF(AND(ES$4&gt;=$C5,ES$4&lt;=$D5,'Вводные'!$B$88="Да"),"■","")</x:f>
      </x:c>
      <x:c r="ET5" s="135" t="str">
        <x:f>IF(AND(ET$4&gt;=$C5,ET$4&lt;=$D5,'Вводные'!$B$88="Да"),"■","")</x:f>
      </x:c>
      <x:c r="EU5" s="135" t="str">
        <x:f>IF(AND(EU$4&gt;=$C5,EU$4&lt;=$D5,'Вводные'!$B$88="Да"),"■","")</x:f>
      </x:c>
      <x:c r="EV5" s="135" t="str">
        <x:f>IF(AND(EV$4&gt;=$C5,EV$4&lt;=$D5,'Вводные'!$B$88="Да"),"■","")</x:f>
      </x:c>
      <x:c r="EW5" s="135" t="str">
        <x:f>IF(AND(EW$4&gt;=$C5,EW$4&lt;=$D5,'Вводные'!$B$88="Да"),"■","")</x:f>
      </x:c>
      <x:c r="EX5" s="135" t="str">
        <x:f>IF(AND(EX$4&gt;=$C5,EX$4&lt;=$D5,'Вводные'!$B$88="Да"),"■","")</x:f>
      </x:c>
      <x:c r="EY5" s="135" t="str">
        <x:f>IF(AND(EY$4&gt;=$C5,EY$4&lt;=$D5,'Вводные'!$B$88="Да"),"■","")</x:f>
      </x:c>
      <x:c r="EZ5" s="135" t="str">
        <x:f>IF(AND(EZ$4&gt;=$C5,EZ$4&lt;=$D5,'Вводные'!$B$88="Да"),"■","")</x:f>
      </x:c>
      <x:c r="FA5" s="135" t="str">
        <x:f>IF(AND(FA$4&gt;=$C5,FA$4&lt;=$D5,'Вводные'!$B$88="Да"),"■","")</x:f>
      </x:c>
      <x:c r="FB5" s="135" t="str">
        <x:f>IF(AND(FB$4&gt;=$C5,FB$4&lt;=$D5,'Вводные'!$B$88="Да"),"■","")</x:f>
      </x:c>
      <x:c r="FC5" s="135" t="str">
        <x:f>IF(AND(FC$4&gt;=$C5,FC$4&lt;=$D5,'Вводные'!$B$88="Да"),"■","")</x:f>
      </x:c>
      <x:c r="FD5" s="135" t="str">
        <x:f>IF(AND(FD$4&gt;=$C5,FD$4&lt;=$D5,'Вводные'!$B$88="Да"),"■","")</x:f>
      </x:c>
      <x:c r="FE5" s="135" t="str">
        <x:f>IF(AND(FE$4&gt;=$C5,FE$4&lt;=$D5,'Вводные'!$B$88="Да"),"■","")</x:f>
      </x:c>
      <x:c r="FF5" s="135" t="str">
        <x:f>IF(AND(FF$4&gt;=$C5,FF$4&lt;=$D5,'Вводные'!$B$88="Да"),"■","")</x:f>
      </x:c>
      <x:c r="FG5" s="135" t="str">
        <x:f>IF(AND(FG$4&gt;=$C5,FG$4&lt;=$D5,'Вводные'!$B$88="Да"),"■","")</x:f>
      </x:c>
      <x:c r="FH5" s="135" t="str">
        <x:f>IF(AND(FH$4&gt;=$C5,FH$4&lt;=$D5,'Вводные'!$B$88="Да"),"■","")</x:f>
      </x:c>
      <x:c r="FI5" s="135" t="str">
        <x:f>IF(AND(FI$4&gt;=$C5,FI$4&lt;=$D5,'Вводные'!$B$88="Да"),"■","")</x:f>
      </x:c>
      <x:c r="FJ5" s="135" t="str">
        <x:f>IF(AND(FJ$4&gt;=$C5,FJ$4&lt;=$D5,'Вводные'!$B$88="Да"),"■","")</x:f>
      </x:c>
      <x:c r="FK5" s="135" t="str">
        <x:f>IF(AND(FK$4&gt;=$C5,FK$4&lt;=$D5,'Вводные'!$B$88="Да"),"■","")</x:f>
      </x:c>
      <x:c r="FL5" s="135" t="str">
        <x:f>IF(AND(FL$4&gt;=$C5,FL$4&lt;=$D5,'Вводные'!$B$88="Да"),"■","")</x:f>
      </x:c>
      <x:c r="FM5" s="135" t="str">
        <x:f>IF(AND(FM$4&gt;=$C5,FM$4&lt;=$D5,'Вводные'!$B$88="Да"),"■","")</x:f>
      </x:c>
      <x:c r="FN5" s="135" t="str">
        <x:f>IF(AND(FN$4&gt;=$C5,FN$4&lt;=$D5,'Вводные'!$B$88="Да"),"■","")</x:f>
      </x:c>
      <x:c r="FO5" s="135" t="str">
        <x:f>IF(AND(FO$4&gt;=$C5,FO$4&lt;=$D5,'Вводные'!$B$88="Да"),"■","")</x:f>
      </x:c>
      <x:c r="FP5" s="135" t="str">
        <x:f>IF(AND(FP$4&gt;=$C5,FP$4&lt;=$D5,'Вводные'!$B$88="Да"),"■","")</x:f>
      </x:c>
      <x:c r="FQ5" s="135" t="str">
        <x:f>IF(AND(FQ$4&gt;=$C5,FQ$4&lt;=$D5,'Вводные'!$B$88="Да"),"■","")</x:f>
      </x:c>
      <x:c r="FR5" s="135" t="str">
        <x:f>IF(AND(FR$4&gt;=$C5,FR$4&lt;=$D5,'Вводные'!$B$88="Да"),"■","")</x:f>
      </x:c>
      <x:c r="FS5" s="135" t="str">
        <x:f>IF(AND(FS$4&gt;=$C5,FS$4&lt;=$D5,'Вводные'!$B$88="Да"),"■","")</x:f>
      </x:c>
      <x:c r="FT5" s="135" t="str">
        <x:f>IF(AND(FT$4&gt;=$C5,FT$4&lt;=$D5,'Вводные'!$B$88="Да"),"■","")</x:f>
      </x:c>
      <x:c r="FU5" s="135" t="str">
        <x:f>IF(AND(FU$4&gt;=$C5,FU$4&lt;=$D5,'Вводные'!$B$88="Да"),"■","")</x:f>
      </x:c>
      <x:c r="FV5" s="135" t="str">
        <x:f>IF(AND(FV$4&gt;=$C5,FV$4&lt;=$D5,'Вводные'!$B$88="Да"),"■","")</x:f>
      </x:c>
      <x:c r="FW5" s="135" t="str">
        <x:f>IF(AND(FW$4&gt;=$C5,FW$4&lt;=$D5,'Вводные'!$B$88="Да"),"■","")</x:f>
      </x:c>
      <x:c r="FX5" s="135" t="str">
        <x:f>IF(AND(FX$4&gt;=$C5,FX$4&lt;=$D5,'Вводные'!$B$88="Да"),"■","")</x:f>
      </x:c>
      <x:c r="FY5" s="135" t="str">
        <x:f>IF(AND(FY$4&gt;=$C5,FY$4&lt;=$D5,'Вводные'!$B$88="Да"),"■","")</x:f>
      </x:c>
      <x:c r="FZ5" s="135" t="str">
        <x:f>IF(AND(FZ$4&gt;=$C5,FZ$4&lt;=$D5,'Вводные'!$B$88="Да"),"■","")</x:f>
      </x:c>
      <x:c r="GA5" s="135" t="str">
        <x:f>IF(AND(GA$4&gt;=$C5,GA$4&lt;=$D5,'Вводные'!$B$88="Да"),"■","")</x:f>
      </x:c>
      <x:c r="GB5" s="135" t="str">
        <x:f>IF(AND(GB$4&gt;=$C5,GB$4&lt;=$D5,'Вводные'!$B$88="Да"),"■","")</x:f>
      </x:c>
    </x:row>
    <x:row r="6">
      <x:c r="A6" t="str">
        <x:f>'Вводные'!$C$88</x:f>
      </x:c>
      <x:c r="B6" t="str">
        <x:v>ИРД и согласования</x:v>
      </x:c>
      <x:c r="C6" s="92" t="n">
        <x:f>EDATE('Вводные'!$D$88,'Вводные'!$H$9)</x:f>
      </x:c>
      <x:c r="D6" s="92" t="n">
        <x:f>EDATE(C6,'Вводные'!$E$88-1)</x:f>
      </x:c>
      <x:c r="E6" s="137" t="str">
        <x:f>IF(AND(E$4&gt;=$C6,E$4&lt;=$D6,'Вводные'!$B$88="Да"),"■","")</x:f>
      </x:c>
      <x:c r="F6" s="137" t="str">
        <x:f>IF(AND(F$4&gt;=$C6,F$4&lt;=$D6,'Вводные'!$B$88="Да"),"■","")</x:f>
      </x:c>
      <x:c r="G6" s="137" t="str">
        <x:f>IF(AND(G$4&gt;=$C6,G$4&lt;=$D6,'Вводные'!$B$88="Да"),"■","")</x:f>
      </x:c>
      <x:c r="H6" s="137" t="str">
        <x:f>IF(AND(H$4&gt;=$C6,H$4&lt;=$D6,'Вводные'!$B$88="Да"),"■","")</x:f>
      </x:c>
      <x:c r="I6" s="137" t="str">
        <x:f>IF(AND(I$4&gt;=$C6,I$4&lt;=$D6,'Вводные'!$B$88="Да"),"■","")</x:f>
      </x:c>
      <x:c r="J6" s="137" t="str">
        <x:f>IF(AND(J$4&gt;=$C6,J$4&lt;=$D6,'Вводные'!$B$88="Да"),"■","")</x:f>
      </x:c>
      <x:c r="K6" s="137" t="str">
        <x:f>IF(AND(K$4&gt;=$C6,K$4&lt;=$D6,'Вводные'!$B$88="Да"),"■","")</x:f>
      </x:c>
      <x:c r="L6" s="137" t="str">
        <x:f>IF(AND(L$4&gt;=$C6,L$4&lt;=$D6,'Вводные'!$B$88="Да"),"■","")</x:f>
      </x:c>
      <x:c r="M6" s="137" t="str">
        <x:f>IF(AND(M$4&gt;=$C6,M$4&lt;=$D6,'Вводные'!$B$88="Да"),"■","")</x:f>
      </x:c>
      <x:c r="N6" s="137" t="str">
        <x:f>IF(AND(N$4&gt;=$C6,N$4&lt;=$D6,'Вводные'!$B$88="Да"),"■","")</x:f>
      </x:c>
      <x:c r="O6" s="137" t="str">
        <x:f>IF(AND(O$4&gt;=$C6,O$4&lt;=$D6,'Вводные'!$B$88="Да"),"■","")</x:f>
      </x:c>
      <x:c r="P6" s="137" t="str">
        <x:f>IF(AND(P$4&gt;=$C6,P$4&lt;=$D6,'Вводные'!$B$88="Да"),"■","")</x:f>
      </x:c>
      <x:c r="Q6" s="137" t="str">
        <x:f>IF(AND(Q$4&gt;=$C6,Q$4&lt;=$D6,'Вводные'!$B$88="Да"),"■","")</x:f>
      </x:c>
      <x:c r="R6" s="137" t="str">
        <x:f>IF(AND(R$4&gt;=$C6,R$4&lt;=$D6,'Вводные'!$B$88="Да"),"■","")</x:f>
      </x:c>
      <x:c r="S6" s="137" t="str">
        <x:f>IF(AND(S$4&gt;=$C6,S$4&lt;=$D6,'Вводные'!$B$88="Да"),"■","")</x:f>
      </x:c>
      <x:c r="T6" s="137" t="str">
        <x:f>IF(AND(T$4&gt;=$C6,T$4&lt;=$D6,'Вводные'!$B$88="Да"),"■","")</x:f>
      </x:c>
      <x:c r="U6" s="137" t="str">
        <x:f>IF(AND(U$4&gt;=$C6,U$4&lt;=$D6,'Вводные'!$B$88="Да"),"■","")</x:f>
      </x:c>
      <x:c r="V6" s="137" t="str">
        <x:f>IF(AND(V$4&gt;=$C6,V$4&lt;=$D6,'Вводные'!$B$88="Да"),"■","")</x:f>
      </x:c>
      <x:c r="W6" s="137" t="str">
        <x:f>IF(AND(W$4&gt;=$C6,W$4&lt;=$D6,'Вводные'!$B$88="Да"),"■","")</x:f>
      </x:c>
      <x:c r="X6" s="137" t="str">
        <x:f>IF(AND(X$4&gt;=$C6,X$4&lt;=$D6,'Вводные'!$B$88="Да"),"■","")</x:f>
      </x:c>
      <x:c r="Y6" s="137" t="str">
        <x:f>IF(AND(Y$4&gt;=$C6,Y$4&lt;=$D6,'Вводные'!$B$88="Да"),"■","")</x:f>
      </x:c>
      <x:c r="Z6" s="137" t="str">
        <x:f>IF(AND(Z$4&gt;=$C6,Z$4&lt;=$D6,'Вводные'!$B$88="Да"),"■","")</x:f>
      </x:c>
      <x:c r="AA6" s="137" t="str">
        <x:f>IF(AND(AA$4&gt;=$C6,AA$4&lt;=$D6,'Вводные'!$B$88="Да"),"■","")</x:f>
      </x:c>
      <x:c r="AB6" s="137" t="str">
        <x:f>IF(AND(AB$4&gt;=$C6,AB$4&lt;=$D6,'Вводные'!$B$88="Да"),"■","")</x:f>
      </x:c>
      <x:c r="AC6" s="137" t="str">
        <x:f>IF(AND(AC$4&gt;=$C6,AC$4&lt;=$D6,'Вводные'!$B$88="Да"),"■","")</x:f>
      </x:c>
      <x:c r="AD6" s="137" t="str">
        <x:f>IF(AND(AD$4&gt;=$C6,AD$4&lt;=$D6,'Вводные'!$B$88="Да"),"■","")</x:f>
      </x:c>
      <x:c r="AE6" s="137" t="str">
        <x:f>IF(AND(AE$4&gt;=$C6,AE$4&lt;=$D6,'Вводные'!$B$88="Да"),"■","")</x:f>
      </x:c>
      <x:c r="AF6" s="137" t="str">
        <x:f>IF(AND(AF$4&gt;=$C6,AF$4&lt;=$D6,'Вводные'!$B$88="Да"),"■","")</x:f>
      </x:c>
      <x:c r="AG6" s="137" t="str">
        <x:f>IF(AND(AG$4&gt;=$C6,AG$4&lt;=$D6,'Вводные'!$B$88="Да"),"■","")</x:f>
      </x:c>
      <x:c r="AH6" s="137" t="str">
        <x:f>IF(AND(AH$4&gt;=$C6,AH$4&lt;=$D6,'Вводные'!$B$88="Да"),"■","")</x:f>
      </x:c>
      <x:c r="AI6" s="137" t="str">
        <x:f>IF(AND(AI$4&gt;=$C6,AI$4&lt;=$D6,'Вводные'!$B$88="Да"),"■","")</x:f>
      </x:c>
      <x:c r="AJ6" s="137" t="str">
        <x:f>IF(AND(AJ$4&gt;=$C6,AJ$4&lt;=$D6,'Вводные'!$B$88="Да"),"■","")</x:f>
      </x:c>
      <x:c r="AK6" s="137" t="str">
        <x:f>IF(AND(AK$4&gt;=$C6,AK$4&lt;=$D6,'Вводные'!$B$88="Да"),"■","")</x:f>
      </x:c>
      <x:c r="AL6" s="137" t="str">
        <x:f>IF(AND(AL$4&gt;=$C6,AL$4&lt;=$D6,'Вводные'!$B$88="Да"),"■","")</x:f>
      </x:c>
      <x:c r="AM6" s="137" t="str">
        <x:f>IF(AND(AM$4&gt;=$C6,AM$4&lt;=$D6,'Вводные'!$B$88="Да"),"■","")</x:f>
      </x:c>
      <x:c r="AN6" s="137" t="str">
        <x:f>IF(AND(AN$4&gt;=$C6,AN$4&lt;=$D6,'Вводные'!$B$88="Да"),"■","")</x:f>
      </x:c>
      <x:c r="AO6" s="137" t="str">
        <x:f>IF(AND(AO$4&gt;=$C6,AO$4&lt;=$D6,'Вводные'!$B$88="Да"),"■","")</x:f>
      </x:c>
      <x:c r="AP6" s="137" t="str">
        <x:f>IF(AND(AP$4&gt;=$C6,AP$4&lt;=$D6,'Вводные'!$B$88="Да"),"■","")</x:f>
      </x:c>
      <x:c r="AQ6" s="137" t="str">
        <x:f>IF(AND(AQ$4&gt;=$C6,AQ$4&lt;=$D6,'Вводные'!$B$88="Да"),"■","")</x:f>
      </x:c>
      <x:c r="AR6" s="137" t="str">
        <x:f>IF(AND(AR$4&gt;=$C6,AR$4&lt;=$D6,'Вводные'!$B$88="Да"),"■","")</x:f>
      </x:c>
      <x:c r="AS6" s="137" t="str">
        <x:f>IF(AND(AS$4&gt;=$C6,AS$4&lt;=$D6,'Вводные'!$B$88="Да"),"■","")</x:f>
      </x:c>
      <x:c r="AT6" s="137" t="str">
        <x:f>IF(AND(AT$4&gt;=$C6,AT$4&lt;=$D6,'Вводные'!$B$88="Да"),"■","")</x:f>
      </x:c>
      <x:c r="AU6" s="137" t="str">
        <x:f>IF(AND(AU$4&gt;=$C6,AU$4&lt;=$D6,'Вводные'!$B$88="Да"),"■","")</x:f>
      </x:c>
      <x:c r="AV6" s="137" t="str">
        <x:f>IF(AND(AV$4&gt;=$C6,AV$4&lt;=$D6,'Вводные'!$B$88="Да"),"■","")</x:f>
      </x:c>
      <x:c r="AW6" s="137" t="str">
        <x:f>IF(AND(AW$4&gt;=$C6,AW$4&lt;=$D6,'Вводные'!$B$88="Да"),"■","")</x:f>
      </x:c>
      <x:c r="AX6" s="137" t="str">
        <x:f>IF(AND(AX$4&gt;=$C6,AX$4&lt;=$D6,'Вводные'!$B$88="Да"),"■","")</x:f>
      </x:c>
      <x:c r="AY6" s="137" t="str">
        <x:f>IF(AND(AY$4&gt;=$C6,AY$4&lt;=$D6,'Вводные'!$B$88="Да"),"■","")</x:f>
      </x:c>
      <x:c r="AZ6" s="137" t="str">
        <x:f>IF(AND(AZ$4&gt;=$C6,AZ$4&lt;=$D6,'Вводные'!$B$88="Да"),"■","")</x:f>
      </x:c>
      <x:c r="BA6" s="137" t="str">
        <x:f>IF(AND(BA$4&gt;=$C6,BA$4&lt;=$D6,'Вводные'!$B$88="Да"),"■","")</x:f>
      </x:c>
      <x:c r="BB6" s="137" t="str">
        <x:f>IF(AND(BB$4&gt;=$C6,BB$4&lt;=$D6,'Вводные'!$B$88="Да"),"■","")</x:f>
      </x:c>
      <x:c r="BC6" s="137" t="str">
        <x:f>IF(AND(BC$4&gt;=$C6,BC$4&lt;=$D6,'Вводные'!$B$88="Да"),"■","")</x:f>
      </x:c>
      <x:c r="BD6" s="137" t="str">
        <x:f>IF(AND(BD$4&gt;=$C6,BD$4&lt;=$D6,'Вводные'!$B$88="Да"),"■","")</x:f>
      </x:c>
      <x:c r="BE6" s="137" t="str">
        <x:f>IF(AND(BE$4&gt;=$C6,BE$4&lt;=$D6,'Вводные'!$B$88="Да"),"■","")</x:f>
      </x:c>
      <x:c r="BF6" s="137" t="str">
        <x:f>IF(AND(BF$4&gt;=$C6,BF$4&lt;=$D6,'Вводные'!$B$88="Да"),"■","")</x:f>
      </x:c>
      <x:c r="BG6" s="137" t="str">
        <x:f>IF(AND(BG$4&gt;=$C6,BG$4&lt;=$D6,'Вводные'!$B$88="Да"),"■","")</x:f>
      </x:c>
      <x:c r="BH6" s="137" t="str">
        <x:f>IF(AND(BH$4&gt;=$C6,BH$4&lt;=$D6,'Вводные'!$B$88="Да"),"■","")</x:f>
      </x:c>
      <x:c r="BI6" s="137" t="str">
        <x:f>IF(AND(BI$4&gt;=$C6,BI$4&lt;=$D6,'Вводные'!$B$88="Да"),"■","")</x:f>
      </x:c>
      <x:c r="BJ6" s="137" t="str">
        <x:f>IF(AND(BJ$4&gt;=$C6,BJ$4&lt;=$D6,'Вводные'!$B$88="Да"),"■","")</x:f>
      </x:c>
      <x:c r="BK6" s="137" t="str">
        <x:f>IF(AND(BK$4&gt;=$C6,BK$4&lt;=$D6,'Вводные'!$B$88="Да"),"■","")</x:f>
      </x:c>
      <x:c r="BL6" s="137" t="str">
        <x:f>IF(AND(BL$4&gt;=$C6,BL$4&lt;=$D6,'Вводные'!$B$88="Да"),"■","")</x:f>
      </x:c>
      <x:c r="BM6" s="137" t="str">
        <x:f>IF(AND(BM$4&gt;=$C6,BM$4&lt;=$D6,'Вводные'!$B$88="Да"),"■","")</x:f>
      </x:c>
      <x:c r="BN6" s="137" t="str">
        <x:f>IF(AND(BN$4&gt;=$C6,BN$4&lt;=$D6,'Вводные'!$B$88="Да"),"■","")</x:f>
      </x:c>
      <x:c r="BO6" s="137" t="str">
        <x:f>IF(AND(BO$4&gt;=$C6,BO$4&lt;=$D6,'Вводные'!$B$88="Да"),"■","")</x:f>
      </x:c>
      <x:c r="BP6" s="137" t="str">
        <x:f>IF(AND(BP$4&gt;=$C6,BP$4&lt;=$D6,'Вводные'!$B$88="Да"),"■","")</x:f>
      </x:c>
      <x:c r="BQ6" s="137" t="str">
        <x:f>IF(AND(BQ$4&gt;=$C6,BQ$4&lt;=$D6,'Вводные'!$B$88="Да"),"■","")</x:f>
      </x:c>
      <x:c r="BR6" s="137" t="str">
        <x:f>IF(AND(BR$4&gt;=$C6,BR$4&lt;=$D6,'Вводные'!$B$88="Да"),"■","")</x:f>
      </x:c>
      <x:c r="BS6" s="137" t="str">
        <x:f>IF(AND(BS$4&gt;=$C6,BS$4&lt;=$D6,'Вводные'!$B$88="Да"),"■","")</x:f>
      </x:c>
      <x:c r="BT6" s="137" t="str">
        <x:f>IF(AND(BT$4&gt;=$C6,BT$4&lt;=$D6,'Вводные'!$B$88="Да"),"■","")</x:f>
      </x:c>
      <x:c r="BU6" s="137" t="str">
        <x:f>IF(AND(BU$4&gt;=$C6,BU$4&lt;=$D6,'Вводные'!$B$88="Да"),"■","")</x:f>
      </x:c>
      <x:c r="BV6" s="137" t="str">
        <x:f>IF(AND(BV$4&gt;=$C6,BV$4&lt;=$D6,'Вводные'!$B$88="Да"),"■","")</x:f>
      </x:c>
      <x:c r="BW6" s="137" t="str">
        <x:f>IF(AND(BW$4&gt;=$C6,BW$4&lt;=$D6,'Вводные'!$B$88="Да"),"■","")</x:f>
      </x:c>
      <x:c r="BX6" s="137" t="str">
        <x:f>IF(AND(BX$4&gt;=$C6,BX$4&lt;=$D6,'Вводные'!$B$88="Да"),"■","")</x:f>
      </x:c>
      <x:c r="BY6" s="137" t="str">
        <x:f>IF(AND(BY$4&gt;=$C6,BY$4&lt;=$D6,'Вводные'!$B$88="Да"),"■","")</x:f>
      </x:c>
      <x:c r="BZ6" s="137" t="str">
        <x:f>IF(AND(BZ$4&gt;=$C6,BZ$4&lt;=$D6,'Вводные'!$B$88="Да"),"■","")</x:f>
      </x:c>
      <x:c r="CA6" s="137" t="str">
        <x:f>IF(AND(CA$4&gt;=$C6,CA$4&lt;=$D6,'Вводные'!$B$88="Да"),"■","")</x:f>
      </x:c>
      <x:c r="CB6" s="137" t="str">
        <x:f>IF(AND(CB$4&gt;=$C6,CB$4&lt;=$D6,'Вводные'!$B$88="Да"),"■","")</x:f>
      </x:c>
      <x:c r="CC6" s="137" t="str">
        <x:f>IF(AND(CC$4&gt;=$C6,CC$4&lt;=$D6,'Вводные'!$B$88="Да"),"■","")</x:f>
      </x:c>
      <x:c r="CD6" s="137" t="str">
        <x:f>IF(AND(CD$4&gt;=$C6,CD$4&lt;=$D6,'Вводные'!$B$88="Да"),"■","")</x:f>
      </x:c>
      <x:c r="CE6" s="137" t="str">
        <x:f>IF(AND(CE$4&gt;=$C6,CE$4&lt;=$D6,'Вводные'!$B$88="Да"),"■","")</x:f>
      </x:c>
      <x:c r="CF6" s="137" t="str">
        <x:f>IF(AND(CF$4&gt;=$C6,CF$4&lt;=$D6,'Вводные'!$B$88="Да"),"■","")</x:f>
      </x:c>
      <x:c r="CG6" s="137" t="str">
        <x:f>IF(AND(CG$4&gt;=$C6,CG$4&lt;=$D6,'Вводные'!$B$88="Да"),"■","")</x:f>
      </x:c>
      <x:c r="CH6" s="137" t="str">
        <x:f>IF(AND(CH$4&gt;=$C6,CH$4&lt;=$D6,'Вводные'!$B$88="Да"),"■","")</x:f>
      </x:c>
      <x:c r="CI6" s="137" t="str">
        <x:f>IF(AND(CI$4&gt;=$C6,CI$4&lt;=$D6,'Вводные'!$B$88="Да"),"■","")</x:f>
      </x:c>
      <x:c r="CJ6" s="137" t="str">
        <x:f>IF(AND(CJ$4&gt;=$C6,CJ$4&lt;=$D6,'Вводные'!$B$88="Да"),"■","")</x:f>
      </x:c>
      <x:c r="CK6" s="137" t="str">
        <x:f>IF(AND(CK$4&gt;=$C6,CK$4&lt;=$D6,'Вводные'!$B$88="Да"),"■","")</x:f>
      </x:c>
      <x:c r="CL6" s="137" t="str">
        <x:f>IF(AND(CL$4&gt;=$C6,CL$4&lt;=$D6,'Вводные'!$B$88="Да"),"■","")</x:f>
      </x:c>
      <x:c r="CM6" s="137" t="str">
        <x:f>IF(AND(CM$4&gt;=$C6,CM$4&lt;=$D6,'Вводные'!$B$88="Да"),"■","")</x:f>
      </x:c>
      <x:c r="CN6" s="137" t="str">
        <x:f>IF(AND(CN$4&gt;=$C6,CN$4&lt;=$D6,'Вводные'!$B$88="Да"),"■","")</x:f>
      </x:c>
      <x:c r="CO6" s="137" t="str">
        <x:f>IF(AND(CO$4&gt;=$C6,CO$4&lt;=$D6,'Вводные'!$B$88="Да"),"■","")</x:f>
      </x:c>
      <x:c r="CP6" s="137" t="str">
        <x:f>IF(AND(CP$4&gt;=$C6,CP$4&lt;=$D6,'Вводные'!$B$88="Да"),"■","")</x:f>
      </x:c>
      <x:c r="CQ6" s="137" t="str">
        <x:f>IF(AND(CQ$4&gt;=$C6,CQ$4&lt;=$D6,'Вводные'!$B$88="Да"),"■","")</x:f>
      </x:c>
      <x:c r="CR6" s="137" t="str">
        <x:f>IF(AND(CR$4&gt;=$C6,CR$4&lt;=$D6,'Вводные'!$B$88="Да"),"■","")</x:f>
      </x:c>
      <x:c r="CS6" s="137" t="str">
        <x:f>IF(AND(CS$4&gt;=$C6,CS$4&lt;=$D6,'Вводные'!$B$88="Да"),"■","")</x:f>
      </x:c>
      <x:c r="CT6" s="137" t="str">
        <x:f>IF(AND(CT$4&gt;=$C6,CT$4&lt;=$D6,'Вводные'!$B$88="Да"),"■","")</x:f>
      </x:c>
      <x:c r="CU6" s="137" t="str">
        <x:f>IF(AND(CU$4&gt;=$C6,CU$4&lt;=$D6,'Вводные'!$B$88="Да"),"■","")</x:f>
      </x:c>
      <x:c r="CV6" s="137" t="str">
        <x:f>IF(AND(CV$4&gt;=$C6,CV$4&lt;=$D6,'Вводные'!$B$88="Да"),"■","")</x:f>
      </x:c>
      <x:c r="CW6" s="137" t="str">
        <x:f>IF(AND(CW$4&gt;=$C6,CW$4&lt;=$D6,'Вводные'!$B$88="Да"),"■","")</x:f>
      </x:c>
      <x:c r="CX6" s="137" t="str">
        <x:f>IF(AND(CX$4&gt;=$C6,CX$4&lt;=$D6,'Вводные'!$B$88="Да"),"■","")</x:f>
      </x:c>
      <x:c r="CY6" s="137" t="str">
        <x:f>IF(AND(CY$4&gt;=$C6,CY$4&lt;=$D6,'Вводные'!$B$88="Да"),"■","")</x:f>
      </x:c>
      <x:c r="CZ6" s="137" t="str">
        <x:f>IF(AND(CZ$4&gt;=$C6,CZ$4&lt;=$D6,'Вводные'!$B$88="Да"),"■","")</x:f>
      </x:c>
      <x:c r="DA6" s="137" t="str">
        <x:f>IF(AND(DA$4&gt;=$C6,DA$4&lt;=$D6,'Вводные'!$B$88="Да"),"■","")</x:f>
      </x:c>
      <x:c r="DB6" s="137" t="str">
        <x:f>IF(AND(DB$4&gt;=$C6,DB$4&lt;=$D6,'Вводные'!$B$88="Да"),"■","")</x:f>
      </x:c>
      <x:c r="DC6" s="137" t="str">
        <x:f>IF(AND(DC$4&gt;=$C6,DC$4&lt;=$D6,'Вводные'!$B$88="Да"),"■","")</x:f>
      </x:c>
      <x:c r="DD6" s="137" t="str">
        <x:f>IF(AND(DD$4&gt;=$C6,DD$4&lt;=$D6,'Вводные'!$B$88="Да"),"■","")</x:f>
      </x:c>
      <x:c r="DE6" s="137" t="str">
        <x:f>IF(AND(DE$4&gt;=$C6,DE$4&lt;=$D6,'Вводные'!$B$88="Да"),"■","")</x:f>
      </x:c>
      <x:c r="DF6" s="137" t="str">
        <x:f>IF(AND(DF$4&gt;=$C6,DF$4&lt;=$D6,'Вводные'!$B$88="Да"),"■","")</x:f>
      </x:c>
      <x:c r="DG6" s="137" t="str">
        <x:f>IF(AND(DG$4&gt;=$C6,DG$4&lt;=$D6,'Вводные'!$B$88="Да"),"■","")</x:f>
      </x:c>
      <x:c r="DH6" s="137" t="str">
        <x:f>IF(AND(DH$4&gt;=$C6,DH$4&lt;=$D6,'Вводные'!$B$88="Да"),"■","")</x:f>
      </x:c>
      <x:c r="DI6" s="137" t="str">
        <x:f>IF(AND(DI$4&gt;=$C6,DI$4&lt;=$D6,'Вводные'!$B$88="Да"),"■","")</x:f>
      </x:c>
      <x:c r="DJ6" s="137" t="str">
        <x:f>IF(AND(DJ$4&gt;=$C6,DJ$4&lt;=$D6,'Вводные'!$B$88="Да"),"■","")</x:f>
      </x:c>
      <x:c r="DK6" s="137" t="str">
        <x:f>IF(AND(DK$4&gt;=$C6,DK$4&lt;=$D6,'Вводные'!$B$88="Да"),"■","")</x:f>
      </x:c>
      <x:c r="DL6" s="137" t="str">
        <x:f>IF(AND(DL$4&gt;=$C6,DL$4&lt;=$D6,'Вводные'!$B$88="Да"),"■","")</x:f>
      </x:c>
      <x:c r="DM6" s="137" t="str">
        <x:f>IF(AND(DM$4&gt;=$C6,DM$4&lt;=$D6,'Вводные'!$B$88="Да"),"■","")</x:f>
      </x:c>
      <x:c r="DN6" s="137" t="str">
        <x:f>IF(AND(DN$4&gt;=$C6,DN$4&lt;=$D6,'Вводные'!$B$88="Да"),"■","")</x:f>
      </x:c>
      <x:c r="DO6" s="137" t="str">
        <x:f>IF(AND(DO$4&gt;=$C6,DO$4&lt;=$D6,'Вводные'!$B$88="Да"),"■","")</x:f>
      </x:c>
      <x:c r="DP6" s="137" t="str">
        <x:f>IF(AND(DP$4&gt;=$C6,DP$4&lt;=$D6,'Вводные'!$B$88="Да"),"■","")</x:f>
      </x:c>
      <x:c r="DQ6" s="137" t="str">
        <x:f>IF(AND(DQ$4&gt;=$C6,DQ$4&lt;=$D6,'Вводные'!$B$88="Да"),"■","")</x:f>
      </x:c>
      <x:c r="DR6" s="137" t="str">
        <x:f>IF(AND(DR$4&gt;=$C6,DR$4&lt;=$D6,'Вводные'!$B$88="Да"),"■","")</x:f>
      </x:c>
      <x:c r="DS6" s="137" t="str">
        <x:f>IF(AND(DS$4&gt;=$C6,DS$4&lt;=$D6,'Вводные'!$B$88="Да"),"■","")</x:f>
      </x:c>
      <x:c r="DT6" s="137" t="str">
        <x:f>IF(AND(DT$4&gt;=$C6,DT$4&lt;=$D6,'Вводные'!$B$88="Да"),"■","")</x:f>
      </x:c>
      <x:c r="DU6" s="137" t="str">
        <x:f>IF(AND(DU$4&gt;=$C6,DU$4&lt;=$D6,'Вводные'!$B$88="Да"),"■","")</x:f>
      </x:c>
      <x:c r="DV6" s="137" t="str">
        <x:f>IF(AND(DV$4&gt;=$C6,DV$4&lt;=$D6,'Вводные'!$B$88="Да"),"■","")</x:f>
      </x:c>
      <x:c r="DW6" s="137" t="str">
        <x:f>IF(AND(DW$4&gt;=$C6,DW$4&lt;=$D6,'Вводные'!$B$88="Да"),"■","")</x:f>
      </x:c>
      <x:c r="DX6" s="137" t="str">
        <x:f>IF(AND(DX$4&gt;=$C6,DX$4&lt;=$D6,'Вводные'!$B$88="Да"),"■","")</x:f>
      </x:c>
      <x:c r="DY6" s="137" t="str">
        <x:f>IF(AND(DY$4&gt;=$C6,DY$4&lt;=$D6,'Вводные'!$B$88="Да"),"■","")</x:f>
      </x:c>
      <x:c r="DZ6" s="137" t="str">
        <x:f>IF(AND(DZ$4&gt;=$C6,DZ$4&lt;=$D6,'Вводные'!$B$88="Да"),"■","")</x:f>
      </x:c>
      <x:c r="EA6" s="137" t="str">
        <x:f>IF(AND(EA$4&gt;=$C6,EA$4&lt;=$D6,'Вводные'!$B$88="Да"),"■","")</x:f>
      </x:c>
      <x:c r="EB6" s="137" t="str">
        <x:f>IF(AND(EB$4&gt;=$C6,EB$4&lt;=$D6,'Вводные'!$B$88="Да"),"■","")</x:f>
      </x:c>
      <x:c r="EC6" s="137" t="str">
        <x:f>IF(AND(EC$4&gt;=$C6,EC$4&lt;=$D6,'Вводные'!$B$88="Да"),"■","")</x:f>
      </x:c>
      <x:c r="ED6" s="137" t="str">
        <x:f>IF(AND(ED$4&gt;=$C6,ED$4&lt;=$D6,'Вводные'!$B$88="Да"),"■","")</x:f>
      </x:c>
      <x:c r="EE6" s="137" t="str">
        <x:f>IF(AND(EE$4&gt;=$C6,EE$4&lt;=$D6,'Вводные'!$B$88="Да"),"■","")</x:f>
      </x:c>
      <x:c r="EF6" s="137" t="str">
        <x:f>IF(AND(EF$4&gt;=$C6,EF$4&lt;=$D6,'Вводные'!$B$88="Да"),"■","")</x:f>
      </x:c>
      <x:c r="EG6" s="137" t="str">
        <x:f>IF(AND(EG$4&gt;=$C6,EG$4&lt;=$D6,'Вводные'!$B$88="Да"),"■","")</x:f>
      </x:c>
      <x:c r="EH6" s="137" t="str">
        <x:f>IF(AND(EH$4&gt;=$C6,EH$4&lt;=$D6,'Вводные'!$B$88="Да"),"■","")</x:f>
      </x:c>
      <x:c r="EI6" s="137" t="str">
        <x:f>IF(AND(EI$4&gt;=$C6,EI$4&lt;=$D6,'Вводные'!$B$88="Да"),"■","")</x:f>
      </x:c>
      <x:c r="EJ6" s="137" t="str">
        <x:f>IF(AND(EJ$4&gt;=$C6,EJ$4&lt;=$D6,'Вводные'!$B$88="Да"),"■","")</x:f>
      </x:c>
      <x:c r="EK6" s="137" t="str">
        <x:f>IF(AND(EK$4&gt;=$C6,EK$4&lt;=$D6,'Вводные'!$B$88="Да"),"■","")</x:f>
      </x:c>
      <x:c r="EL6" s="137" t="str">
        <x:f>IF(AND(EL$4&gt;=$C6,EL$4&lt;=$D6,'Вводные'!$B$88="Да"),"■","")</x:f>
      </x:c>
      <x:c r="EM6" s="137" t="str">
        <x:f>IF(AND(EM$4&gt;=$C6,EM$4&lt;=$D6,'Вводные'!$B$88="Да"),"■","")</x:f>
      </x:c>
      <x:c r="EN6" s="137" t="str">
        <x:f>IF(AND(EN$4&gt;=$C6,EN$4&lt;=$D6,'Вводные'!$B$88="Да"),"■","")</x:f>
      </x:c>
      <x:c r="EO6" s="137" t="str">
        <x:f>IF(AND(EO$4&gt;=$C6,EO$4&lt;=$D6,'Вводные'!$B$88="Да"),"■","")</x:f>
      </x:c>
      <x:c r="EP6" s="137" t="str">
        <x:f>IF(AND(EP$4&gt;=$C6,EP$4&lt;=$D6,'Вводные'!$B$88="Да"),"■","")</x:f>
      </x:c>
      <x:c r="EQ6" s="137" t="str">
        <x:f>IF(AND(EQ$4&gt;=$C6,EQ$4&lt;=$D6,'Вводные'!$B$88="Да"),"■","")</x:f>
      </x:c>
      <x:c r="ER6" s="137" t="str">
        <x:f>IF(AND(ER$4&gt;=$C6,ER$4&lt;=$D6,'Вводные'!$B$88="Да"),"■","")</x:f>
      </x:c>
      <x:c r="ES6" s="137" t="str">
        <x:f>IF(AND(ES$4&gt;=$C6,ES$4&lt;=$D6,'Вводные'!$B$88="Да"),"■","")</x:f>
      </x:c>
      <x:c r="ET6" s="137" t="str">
        <x:f>IF(AND(ET$4&gt;=$C6,ET$4&lt;=$D6,'Вводные'!$B$88="Да"),"■","")</x:f>
      </x:c>
      <x:c r="EU6" s="137" t="str">
        <x:f>IF(AND(EU$4&gt;=$C6,EU$4&lt;=$D6,'Вводные'!$B$88="Да"),"■","")</x:f>
      </x:c>
      <x:c r="EV6" s="137" t="str">
        <x:f>IF(AND(EV$4&gt;=$C6,EV$4&lt;=$D6,'Вводные'!$B$88="Да"),"■","")</x:f>
      </x:c>
      <x:c r="EW6" s="137" t="str">
        <x:f>IF(AND(EW$4&gt;=$C6,EW$4&lt;=$D6,'Вводные'!$B$88="Да"),"■","")</x:f>
      </x:c>
      <x:c r="EX6" s="137" t="str">
        <x:f>IF(AND(EX$4&gt;=$C6,EX$4&lt;=$D6,'Вводные'!$B$88="Да"),"■","")</x:f>
      </x:c>
      <x:c r="EY6" s="137" t="str">
        <x:f>IF(AND(EY$4&gt;=$C6,EY$4&lt;=$D6,'Вводные'!$B$88="Да"),"■","")</x:f>
      </x:c>
      <x:c r="EZ6" s="137" t="str">
        <x:f>IF(AND(EZ$4&gt;=$C6,EZ$4&lt;=$D6,'Вводные'!$B$88="Да"),"■","")</x:f>
      </x:c>
      <x:c r="FA6" s="137" t="str">
        <x:f>IF(AND(FA$4&gt;=$C6,FA$4&lt;=$D6,'Вводные'!$B$88="Да"),"■","")</x:f>
      </x:c>
      <x:c r="FB6" s="137" t="str">
        <x:f>IF(AND(FB$4&gt;=$C6,FB$4&lt;=$D6,'Вводные'!$B$88="Да"),"■","")</x:f>
      </x:c>
      <x:c r="FC6" s="137" t="str">
        <x:f>IF(AND(FC$4&gt;=$C6,FC$4&lt;=$D6,'Вводные'!$B$88="Да"),"■","")</x:f>
      </x:c>
      <x:c r="FD6" s="137" t="str">
        <x:f>IF(AND(FD$4&gt;=$C6,FD$4&lt;=$D6,'Вводные'!$B$88="Да"),"■","")</x:f>
      </x:c>
      <x:c r="FE6" s="137" t="str">
        <x:f>IF(AND(FE$4&gt;=$C6,FE$4&lt;=$D6,'Вводные'!$B$88="Да"),"■","")</x:f>
      </x:c>
      <x:c r="FF6" s="137" t="str">
        <x:f>IF(AND(FF$4&gt;=$C6,FF$4&lt;=$D6,'Вводные'!$B$88="Да"),"■","")</x:f>
      </x:c>
      <x:c r="FG6" s="137" t="str">
        <x:f>IF(AND(FG$4&gt;=$C6,FG$4&lt;=$D6,'Вводные'!$B$88="Да"),"■","")</x:f>
      </x:c>
      <x:c r="FH6" s="137" t="str">
        <x:f>IF(AND(FH$4&gt;=$C6,FH$4&lt;=$D6,'Вводные'!$B$88="Да"),"■","")</x:f>
      </x:c>
      <x:c r="FI6" s="137" t="str">
        <x:f>IF(AND(FI$4&gt;=$C6,FI$4&lt;=$D6,'Вводные'!$B$88="Да"),"■","")</x:f>
      </x:c>
      <x:c r="FJ6" s="137" t="str">
        <x:f>IF(AND(FJ$4&gt;=$C6,FJ$4&lt;=$D6,'Вводные'!$B$88="Да"),"■","")</x:f>
      </x:c>
      <x:c r="FK6" s="137" t="str">
        <x:f>IF(AND(FK$4&gt;=$C6,FK$4&lt;=$D6,'Вводные'!$B$88="Да"),"■","")</x:f>
      </x:c>
      <x:c r="FL6" s="137" t="str">
        <x:f>IF(AND(FL$4&gt;=$C6,FL$4&lt;=$D6,'Вводные'!$B$88="Да"),"■","")</x:f>
      </x:c>
      <x:c r="FM6" s="137" t="str">
        <x:f>IF(AND(FM$4&gt;=$C6,FM$4&lt;=$D6,'Вводные'!$B$88="Да"),"■","")</x:f>
      </x:c>
      <x:c r="FN6" s="137" t="str">
        <x:f>IF(AND(FN$4&gt;=$C6,FN$4&lt;=$D6,'Вводные'!$B$88="Да"),"■","")</x:f>
      </x:c>
      <x:c r="FO6" s="137" t="str">
        <x:f>IF(AND(FO$4&gt;=$C6,FO$4&lt;=$D6,'Вводные'!$B$88="Да"),"■","")</x:f>
      </x:c>
      <x:c r="FP6" s="137" t="str">
        <x:f>IF(AND(FP$4&gt;=$C6,FP$4&lt;=$D6,'Вводные'!$B$88="Да"),"■","")</x:f>
      </x:c>
      <x:c r="FQ6" s="137" t="str">
        <x:f>IF(AND(FQ$4&gt;=$C6,FQ$4&lt;=$D6,'Вводные'!$B$88="Да"),"■","")</x:f>
      </x:c>
      <x:c r="FR6" s="137" t="str">
        <x:f>IF(AND(FR$4&gt;=$C6,FR$4&lt;=$D6,'Вводные'!$B$88="Да"),"■","")</x:f>
      </x:c>
      <x:c r="FS6" s="137" t="str">
        <x:f>IF(AND(FS$4&gt;=$C6,FS$4&lt;=$D6,'Вводные'!$B$88="Да"),"■","")</x:f>
      </x:c>
      <x:c r="FT6" s="137" t="str">
        <x:f>IF(AND(FT$4&gt;=$C6,FT$4&lt;=$D6,'Вводные'!$B$88="Да"),"■","")</x:f>
      </x:c>
      <x:c r="FU6" s="137" t="str">
        <x:f>IF(AND(FU$4&gt;=$C6,FU$4&lt;=$D6,'Вводные'!$B$88="Да"),"■","")</x:f>
      </x:c>
      <x:c r="FV6" s="137" t="str">
        <x:f>IF(AND(FV$4&gt;=$C6,FV$4&lt;=$D6,'Вводные'!$B$88="Да"),"■","")</x:f>
      </x:c>
      <x:c r="FW6" s="137" t="str">
        <x:f>IF(AND(FW$4&gt;=$C6,FW$4&lt;=$D6,'Вводные'!$B$88="Да"),"■","")</x:f>
      </x:c>
      <x:c r="FX6" s="137" t="str">
        <x:f>IF(AND(FX$4&gt;=$C6,FX$4&lt;=$D6,'Вводные'!$B$88="Да"),"■","")</x:f>
      </x:c>
      <x:c r="FY6" s="137" t="str">
        <x:f>IF(AND(FY$4&gt;=$C6,FY$4&lt;=$D6,'Вводные'!$B$88="Да"),"■","")</x:f>
      </x:c>
      <x:c r="FZ6" s="137" t="str">
        <x:f>IF(AND(FZ$4&gt;=$C6,FZ$4&lt;=$D6,'Вводные'!$B$88="Да"),"■","")</x:f>
      </x:c>
      <x:c r="GA6" s="137" t="str">
        <x:f>IF(AND(GA$4&gt;=$C6,GA$4&lt;=$D6,'Вводные'!$B$88="Да"),"■","")</x:f>
      </x:c>
      <x:c r="GB6" s="137" t="str">
        <x:f>IF(AND(GB$4&gt;=$C6,GB$4&lt;=$D6,'Вводные'!$B$88="Да"),"■","")</x:f>
      </x:c>
    </x:row>
    <x:row r="7">
      <x:c r="A7" t="str">
        <x:f>'Вводные'!$C$88</x:f>
      </x:c>
      <x:c r="B7" t="str">
        <x:v>Обязательство по ВРИ</x:v>
      </x:c>
      <x:c r="C7" s="92" t="n">
        <x:f>'ВРИ'!B7</x:f>
      </x:c>
      <x:c r="D7" s="92" t="n">
        <x:f>C7</x:f>
      </x:c>
      <x:c r="E7" s="137" t="str">
        <x:f>IF(AND(E$4&gt;=$C7,E$4&lt;=$D7,'Вводные'!$B$88="Да"),"■","")</x:f>
      </x:c>
      <x:c r="F7" s="137" t="str">
        <x:f>IF(AND(F$4&gt;=$C7,F$4&lt;=$D7,'Вводные'!$B$88="Да"),"■","")</x:f>
      </x:c>
      <x:c r="G7" s="137" t="str">
        <x:f>IF(AND(G$4&gt;=$C7,G$4&lt;=$D7,'Вводные'!$B$88="Да"),"■","")</x:f>
      </x:c>
      <x:c r="H7" s="137" t="str">
        <x:f>IF(AND(H$4&gt;=$C7,H$4&lt;=$D7,'Вводные'!$B$88="Да"),"■","")</x:f>
      </x:c>
      <x:c r="I7" s="137" t="str">
        <x:f>IF(AND(I$4&gt;=$C7,I$4&lt;=$D7,'Вводные'!$B$88="Да"),"■","")</x:f>
      </x:c>
      <x:c r="J7" s="137" t="str">
        <x:f>IF(AND(J$4&gt;=$C7,J$4&lt;=$D7,'Вводные'!$B$88="Да"),"■","")</x:f>
      </x:c>
      <x:c r="K7" s="137" t="str">
        <x:f>IF(AND(K$4&gt;=$C7,K$4&lt;=$D7,'Вводные'!$B$88="Да"),"■","")</x:f>
      </x:c>
      <x:c r="L7" s="137" t="str">
        <x:f>IF(AND(L$4&gt;=$C7,L$4&lt;=$D7,'Вводные'!$B$88="Да"),"■","")</x:f>
      </x:c>
      <x:c r="M7" s="137" t="str">
        <x:f>IF(AND(M$4&gt;=$C7,M$4&lt;=$D7,'Вводные'!$B$88="Да"),"■","")</x:f>
      </x:c>
      <x:c r="N7" s="137" t="str">
        <x:f>IF(AND(N$4&gt;=$C7,N$4&lt;=$D7,'Вводные'!$B$88="Да"),"■","")</x:f>
      </x:c>
      <x:c r="O7" s="137" t="str">
        <x:f>IF(AND(O$4&gt;=$C7,O$4&lt;=$D7,'Вводные'!$B$88="Да"),"■","")</x:f>
      </x:c>
      <x:c r="P7" s="137" t="str">
        <x:f>IF(AND(P$4&gt;=$C7,P$4&lt;=$D7,'Вводные'!$B$88="Да"),"■","")</x:f>
      </x:c>
      <x:c r="Q7" s="137" t="str">
        <x:f>IF(AND(Q$4&gt;=$C7,Q$4&lt;=$D7,'Вводные'!$B$88="Да"),"■","")</x:f>
      </x:c>
      <x:c r="R7" s="137" t="str">
        <x:f>IF(AND(R$4&gt;=$C7,R$4&lt;=$D7,'Вводные'!$B$88="Да"),"■","")</x:f>
      </x:c>
      <x:c r="S7" s="137" t="str">
        <x:f>IF(AND(S$4&gt;=$C7,S$4&lt;=$D7,'Вводные'!$B$88="Да"),"■","")</x:f>
      </x:c>
      <x:c r="T7" s="137" t="str">
        <x:f>IF(AND(T$4&gt;=$C7,T$4&lt;=$D7,'Вводные'!$B$88="Да"),"■","")</x:f>
      </x:c>
      <x:c r="U7" s="137" t="str">
        <x:f>IF(AND(U$4&gt;=$C7,U$4&lt;=$D7,'Вводные'!$B$88="Да"),"■","")</x:f>
      </x:c>
      <x:c r="V7" s="137" t="str">
        <x:f>IF(AND(V$4&gt;=$C7,V$4&lt;=$D7,'Вводные'!$B$88="Да"),"■","")</x:f>
      </x:c>
      <x:c r="W7" s="137" t="str">
        <x:f>IF(AND(W$4&gt;=$C7,W$4&lt;=$D7,'Вводные'!$B$88="Да"),"■","")</x:f>
      </x:c>
      <x:c r="X7" s="137" t="str">
        <x:f>IF(AND(X$4&gt;=$C7,X$4&lt;=$D7,'Вводные'!$B$88="Да"),"■","")</x:f>
      </x:c>
      <x:c r="Y7" s="137" t="str">
        <x:f>IF(AND(Y$4&gt;=$C7,Y$4&lt;=$D7,'Вводные'!$B$88="Да"),"■","")</x:f>
      </x:c>
      <x:c r="Z7" s="137" t="str">
        <x:f>IF(AND(Z$4&gt;=$C7,Z$4&lt;=$D7,'Вводные'!$B$88="Да"),"■","")</x:f>
      </x:c>
      <x:c r="AA7" s="137" t="str">
        <x:f>IF(AND(AA$4&gt;=$C7,AA$4&lt;=$D7,'Вводные'!$B$88="Да"),"■","")</x:f>
      </x:c>
      <x:c r="AB7" s="137" t="str">
        <x:f>IF(AND(AB$4&gt;=$C7,AB$4&lt;=$D7,'Вводные'!$B$88="Да"),"■","")</x:f>
      </x:c>
      <x:c r="AC7" s="137" t="str">
        <x:f>IF(AND(AC$4&gt;=$C7,AC$4&lt;=$D7,'Вводные'!$B$88="Да"),"■","")</x:f>
      </x:c>
      <x:c r="AD7" s="137" t="str">
        <x:f>IF(AND(AD$4&gt;=$C7,AD$4&lt;=$D7,'Вводные'!$B$88="Да"),"■","")</x:f>
      </x:c>
      <x:c r="AE7" s="137" t="str">
        <x:f>IF(AND(AE$4&gt;=$C7,AE$4&lt;=$D7,'Вводные'!$B$88="Да"),"■","")</x:f>
      </x:c>
      <x:c r="AF7" s="137" t="str">
        <x:f>IF(AND(AF$4&gt;=$C7,AF$4&lt;=$D7,'Вводные'!$B$88="Да"),"■","")</x:f>
      </x:c>
      <x:c r="AG7" s="137" t="str">
        <x:f>IF(AND(AG$4&gt;=$C7,AG$4&lt;=$D7,'Вводные'!$B$88="Да"),"■","")</x:f>
      </x:c>
      <x:c r="AH7" s="137" t="str">
        <x:f>IF(AND(AH$4&gt;=$C7,AH$4&lt;=$D7,'Вводные'!$B$88="Да"),"■","")</x:f>
      </x:c>
      <x:c r="AI7" s="137" t="str">
        <x:f>IF(AND(AI$4&gt;=$C7,AI$4&lt;=$D7,'Вводные'!$B$88="Да"),"■","")</x:f>
      </x:c>
      <x:c r="AJ7" s="137" t="str">
        <x:f>IF(AND(AJ$4&gt;=$C7,AJ$4&lt;=$D7,'Вводные'!$B$88="Да"),"■","")</x:f>
      </x:c>
      <x:c r="AK7" s="137" t="str">
        <x:f>IF(AND(AK$4&gt;=$C7,AK$4&lt;=$D7,'Вводные'!$B$88="Да"),"■","")</x:f>
      </x:c>
      <x:c r="AL7" s="137" t="str">
        <x:f>IF(AND(AL$4&gt;=$C7,AL$4&lt;=$D7,'Вводные'!$B$88="Да"),"■","")</x:f>
      </x:c>
      <x:c r="AM7" s="137" t="str">
        <x:f>IF(AND(AM$4&gt;=$C7,AM$4&lt;=$D7,'Вводные'!$B$88="Да"),"■","")</x:f>
      </x:c>
      <x:c r="AN7" s="137" t="str">
        <x:f>IF(AND(AN$4&gt;=$C7,AN$4&lt;=$D7,'Вводные'!$B$88="Да"),"■","")</x:f>
      </x:c>
      <x:c r="AO7" s="137" t="str">
        <x:f>IF(AND(AO$4&gt;=$C7,AO$4&lt;=$D7,'Вводные'!$B$88="Да"),"■","")</x:f>
      </x:c>
      <x:c r="AP7" s="137" t="str">
        <x:f>IF(AND(AP$4&gt;=$C7,AP$4&lt;=$D7,'Вводные'!$B$88="Да"),"■","")</x:f>
      </x:c>
      <x:c r="AQ7" s="137" t="str">
        <x:f>IF(AND(AQ$4&gt;=$C7,AQ$4&lt;=$D7,'Вводные'!$B$88="Да"),"■","")</x:f>
      </x:c>
      <x:c r="AR7" s="137" t="str">
        <x:f>IF(AND(AR$4&gt;=$C7,AR$4&lt;=$D7,'Вводные'!$B$88="Да"),"■","")</x:f>
      </x:c>
      <x:c r="AS7" s="137" t="str">
        <x:f>IF(AND(AS$4&gt;=$C7,AS$4&lt;=$D7,'Вводные'!$B$88="Да"),"■","")</x:f>
      </x:c>
      <x:c r="AT7" s="137" t="str">
        <x:f>IF(AND(AT$4&gt;=$C7,AT$4&lt;=$D7,'Вводные'!$B$88="Да"),"■","")</x:f>
      </x:c>
      <x:c r="AU7" s="137" t="str">
        <x:f>IF(AND(AU$4&gt;=$C7,AU$4&lt;=$D7,'Вводные'!$B$88="Да"),"■","")</x:f>
      </x:c>
      <x:c r="AV7" s="137" t="str">
        <x:f>IF(AND(AV$4&gt;=$C7,AV$4&lt;=$D7,'Вводные'!$B$88="Да"),"■","")</x:f>
      </x:c>
      <x:c r="AW7" s="137" t="str">
        <x:f>IF(AND(AW$4&gt;=$C7,AW$4&lt;=$D7,'Вводные'!$B$88="Да"),"■","")</x:f>
      </x:c>
      <x:c r="AX7" s="137" t="str">
        <x:f>IF(AND(AX$4&gt;=$C7,AX$4&lt;=$D7,'Вводные'!$B$88="Да"),"■","")</x:f>
      </x:c>
      <x:c r="AY7" s="137" t="str">
        <x:f>IF(AND(AY$4&gt;=$C7,AY$4&lt;=$D7,'Вводные'!$B$88="Да"),"■","")</x:f>
      </x:c>
      <x:c r="AZ7" s="137" t="str">
        <x:f>IF(AND(AZ$4&gt;=$C7,AZ$4&lt;=$D7,'Вводные'!$B$88="Да"),"■","")</x:f>
      </x:c>
      <x:c r="BA7" s="137" t="str">
        <x:f>IF(AND(BA$4&gt;=$C7,BA$4&lt;=$D7,'Вводные'!$B$88="Да"),"■","")</x:f>
      </x:c>
      <x:c r="BB7" s="137" t="str">
        <x:f>IF(AND(BB$4&gt;=$C7,BB$4&lt;=$D7,'Вводные'!$B$88="Да"),"■","")</x:f>
      </x:c>
      <x:c r="BC7" s="137" t="str">
        <x:f>IF(AND(BC$4&gt;=$C7,BC$4&lt;=$D7,'Вводные'!$B$88="Да"),"■","")</x:f>
      </x:c>
      <x:c r="BD7" s="137" t="str">
        <x:f>IF(AND(BD$4&gt;=$C7,BD$4&lt;=$D7,'Вводные'!$B$88="Да"),"■","")</x:f>
      </x:c>
      <x:c r="BE7" s="137" t="str">
        <x:f>IF(AND(BE$4&gt;=$C7,BE$4&lt;=$D7,'Вводные'!$B$88="Да"),"■","")</x:f>
      </x:c>
      <x:c r="BF7" s="137" t="str">
        <x:f>IF(AND(BF$4&gt;=$C7,BF$4&lt;=$D7,'Вводные'!$B$88="Да"),"■","")</x:f>
      </x:c>
      <x:c r="BG7" s="137" t="str">
        <x:f>IF(AND(BG$4&gt;=$C7,BG$4&lt;=$D7,'Вводные'!$B$88="Да"),"■","")</x:f>
      </x:c>
      <x:c r="BH7" s="137" t="str">
        <x:f>IF(AND(BH$4&gt;=$C7,BH$4&lt;=$D7,'Вводные'!$B$88="Да"),"■","")</x:f>
      </x:c>
      <x:c r="BI7" s="137" t="str">
        <x:f>IF(AND(BI$4&gt;=$C7,BI$4&lt;=$D7,'Вводные'!$B$88="Да"),"■","")</x:f>
      </x:c>
      <x:c r="BJ7" s="137" t="str">
        <x:f>IF(AND(BJ$4&gt;=$C7,BJ$4&lt;=$D7,'Вводные'!$B$88="Да"),"■","")</x:f>
      </x:c>
      <x:c r="BK7" s="137" t="str">
        <x:f>IF(AND(BK$4&gt;=$C7,BK$4&lt;=$D7,'Вводные'!$B$88="Да"),"■","")</x:f>
      </x:c>
      <x:c r="BL7" s="137" t="str">
        <x:f>IF(AND(BL$4&gt;=$C7,BL$4&lt;=$D7,'Вводные'!$B$88="Да"),"■","")</x:f>
      </x:c>
      <x:c r="BM7" s="137" t="str">
        <x:f>IF(AND(BM$4&gt;=$C7,BM$4&lt;=$D7,'Вводные'!$B$88="Да"),"■","")</x:f>
      </x:c>
      <x:c r="BN7" s="137" t="str">
        <x:f>IF(AND(BN$4&gt;=$C7,BN$4&lt;=$D7,'Вводные'!$B$88="Да"),"■","")</x:f>
      </x:c>
      <x:c r="BO7" s="137" t="str">
        <x:f>IF(AND(BO$4&gt;=$C7,BO$4&lt;=$D7,'Вводные'!$B$88="Да"),"■","")</x:f>
      </x:c>
      <x:c r="BP7" s="137" t="str">
        <x:f>IF(AND(BP$4&gt;=$C7,BP$4&lt;=$D7,'Вводные'!$B$88="Да"),"■","")</x:f>
      </x:c>
      <x:c r="BQ7" s="137" t="str">
        <x:f>IF(AND(BQ$4&gt;=$C7,BQ$4&lt;=$D7,'Вводные'!$B$88="Да"),"■","")</x:f>
      </x:c>
      <x:c r="BR7" s="137" t="str">
        <x:f>IF(AND(BR$4&gt;=$C7,BR$4&lt;=$D7,'Вводные'!$B$88="Да"),"■","")</x:f>
      </x:c>
      <x:c r="BS7" s="137" t="str">
        <x:f>IF(AND(BS$4&gt;=$C7,BS$4&lt;=$D7,'Вводные'!$B$88="Да"),"■","")</x:f>
      </x:c>
      <x:c r="BT7" s="137" t="str">
        <x:f>IF(AND(BT$4&gt;=$C7,BT$4&lt;=$D7,'Вводные'!$B$88="Да"),"■","")</x:f>
      </x:c>
      <x:c r="BU7" s="137" t="str">
        <x:f>IF(AND(BU$4&gt;=$C7,BU$4&lt;=$D7,'Вводные'!$B$88="Да"),"■","")</x:f>
      </x:c>
      <x:c r="BV7" s="137" t="str">
        <x:f>IF(AND(BV$4&gt;=$C7,BV$4&lt;=$D7,'Вводные'!$B$88="Да"),"■","")</x:f>
      </x:c>
      <x:c r="BW7" s="137" t="str">
        <x:f>IF(AND(BW$4&gt;=$C7,BW$4&lt;=$D7,'Вводные'!$B$88="Да"),"■","")</x:f>
      </x:c>
      <x:c r="BX7" s="137" t="str">
        <x:f>IF(AND(BX$4&gt;=$C7,BX$4&lt;=$D7,'Вводные'!$B$88="Да"),"■","")</x:f>
      </x:c>
      <x:c r="BY7" s="137" t="str">
        <x:f>IF(AND(BY$4&gt;=$C7,BY$4&lt;=$D7,'Вводные'!$B$88="Да"),"■","")</x:f>
      </x:c>
      <x:c r="BZ7" s="137" t="str">
        <x:f>IF(AND(BZ$4&gt;=$C7,BZ$4&lt;=$D7,'Вводные'!$B$88="Да"),"■","")</x:f>
      </x:c>
      <x:c r="CA7" s="137" t="str">
        <x:f>IF(AND(CA$4&gt;=$C7,CA$4&lt;=$D7,'Вводные'!$B$88="Да"),"■","")</x:f>
      </x:c>
      <x:c r="CB7" s="137" t="str">
        <x:f>IF(AND(CB$4&gt;=$C7,CB$4&lt;=$D7,'Вводные'!$B$88="Да"),"■","")</x:f>
      </x:c>
      <x:c r="CC7" s="137" t="str">
        <x:f>IF(AND(CC$4&gt;=$C7,CC$4&lt;=$D7,'Вводные'!$B$88="Да"),"■","")</x:f>
      </x:c>
      <x:c r="CD7" s="137" t="str">
        <x:f>IF(AND(CD$4&gt;=$C7,CD$4&lt;=$D7,'Вводные'!$B$88="Да"),"■","")</x:f>
      </x:c>
      <x:c r="CE7" s="137" t="str">
        <x:f>IF(AND(CE$4&gt;=$C7,CE$4&lt;=$D7,'Вводные'!$B$88="Да"),"■","")</x:f>
      </x:c>
      <x:c r="CF7" s="137" t="str">
        <x:f>IF(AND(CF$4&gt;=$C7,CF$4&lt;=$D7,'Вводные'!$B$88="Да"),"■","")</x:f>
      </x:c>
      <x:c r="CG7" s="137" t="str">
        <x:f>IF(AND(CG$4&gt;=$C7,CG$4&lt;=$D7,'Вводные'!$B$88="Да"),"■","")</x:f>
      </x:c>
      <x:c r="CH7" s="137" t="str">
        <x:f>IF(AND(CH$4&gt;=$C7,CH$4&lt;=$D7,'Вводные'!$B$88="Да"),"■","")</x:f>
      </x:c>
      <x:c r="CI7" s="137" t="str">
        <x:f>IF(AND(CI$4&gt;=$C7,CI$4&lt;=$D7,'Вводные'!$B$88="Да"),"■","")</x:f>
      </x:c>
      <x:c r="CJ7" s="137" t="str">
        <x:f>IF(AND(CJ$4&gt;=$C7,CJ$4&lt;=$D7,'Вводные'!$B$88="Да"),"■","")</x:f>
      </x:c>
      <x:c r="CK7" s="137" t="str">
        <x:f>IF(AND(CK$4&gt;=$C7,CK$4&lt;=$D7,'Вводные'!$B$88="Да"),"■","")</x:f>
      </x:c>
      <x:c r="CL7" s="137" t="str">
        <x:f>IF(AND(CL$4&gt;=$C7,CL$4&lt;=$D7,'Вводные'!$B$88="Да"),"■","")</x:f>
      </x:c>
      <x:c r="CM7" s="137" t="str">
        <x:f>IF(AND(CM$4&gt;=$C7,CM$4&lt;=$D7,'Вводные'!$B$88="Да"),"■","")</x:f>
      </x:c>
      <x:c r="CN7" s="137" t="str">
        <x:f>IF(AND(CN$4&gt;=$C7,CN$4&lt;=$D7,'Вводные'!$B$88="Да"),"■","")</x:f>
      </x:c>
      <x:c r="CO7" s="137" t="str">
        <x:f>IF(AND(CO$4&gt;=$C7,CO$4&lt;=$D7,'Вводные'!$B$88="Да"),"■","")</x:f>
      </x:c>
      <x:c r="CP7" s="137" t="str">
        <x:f>IF(AND(CP$4&gt;=$C7,CP$4&lt;=$D7,'Вводные'!$B$88="Да"),"■","")</x:f>
      </x:c>
      <x:c r="CQ7" s="137" t="str">
        <x:f>IF(AND(CQ$4&gt;=$C7,CQ$4&lt;=$D7,'Вводные'!$B$88="Да"),"■","")</x:f>
      </x:c>
      <x:c r="CR7" s="137" t="str">
        <x:f>IF(AND(CR$4&gt;=$C7,CR$4&lt;=$D7,'Вводные'!$B$88="Да"),"■","")</x:f>
      </x:c>
      <x:c r="CS7" s="137" t="str">
        <x:f>IF(AND(CS$4&gt;=$C7,CS$4&lt;=$D7,'Вводные'!$B$88="Да"),"■","")</x:f>
      </x:c>
      <x:c r="CT7" s="137" t="str">
        <x:f>IF(AND(CT$4&gt;=$C7,CT$4&lt;=$D7,'Вводные'!$B$88="Да"),"■","")</x:f>
      </x:c>
      <x:c r="CU7" s="137" t="str">
        <x:f>IF(AND(CU$4&gt;=$C7,CU$4&lt;=$D7,'Вводные'!$B$88="Да"),"■","")</x:f>
      </x:c>
      <x:c r="CV7" s="137" t="str">
        <x:f>IF(AND(CV$4&gt;=$C7,CV$4&lt;=$D7,'Вводные'!$B$88="Да"),"■","")</x:f>
      </x:c>
      <x:c r="CW7" s="137" t="str">
        <x:f>IF(AND(CW$4&gt;=$C7,CW$4&lt;=$D7,'Вводные'!$B$88="Да"),"■","")</x:f>
      </x:c>
      <x:c r="CX7" s="137" t="str">
        <x:f>IF(AND(CX$4&gt;=$C7,CX$4&lt;=$D7,'Вводные'!$B$88="Да"),"■","")</x:f>
      </x:c>
      <x:c r="CY7" s="137" t="str">
        <x:f>IF(AND(CY$4&gt;=$C7,CY$4&lt;=$D7,'Вводные'!$B$88="Да"),"■","")</x:f>
      </x:c>
      <x:c r="CZ7" s="137" t="str">
        <x:f>IF(AND(CZ$4&gt;=$C7,CZ$4&lt;=$D7,'Вводные'!$B$88="Да"),"■","")</x:f>
      </x:c>
      <x:c r="DA7" s="137" t="str">
        <x:f>IF(AND(DA$4&gt;=$C7,DA$4&lt;=$D7,'Вводные'!$B$88="Да"),"■","")</x:f>
      </x:c>
      <x:c r="DB7" s="137" t="str">
        <x:f>IF(AND(DB$4&gt;=$C7,DB$4&lt;=$D7,'Вводные'!$B$88="Да"),"■","")</x:f>
      </x:c>
      <x:c r="DC7" s="137" t="str">
        <x:f>IF(AND(DC$4&gt;=$C7,DC$4&lt;=$D7,'Вводные'!$B$88="Да"),"■","")</x:f>
      </x:c>
      <x:c r="DD7" s="137" t="str">
        <x:f>IF(AND(DD$4&gt;=$C7,DD$4&lt;=$D7,'Вводные'!$B$88="Да"),"■","")</x:f>
      </x:c>
      <x:c r="DE7" s="137" t="str">
        <x:f>IF(AND(DE$4&gt;=$C7,DE$4&lt;=$D7,'Вводные'!$B$88="Да"),"■","")</x:f>
      </x:c>
      <x:c r="DF7" s="137" t="str">
        <x:f>IF(AND(DF$4&gt;=$C7,DF$4&lt;=$D7,'Вводные'!$B$88="Да"),"■","")</x:f>
      </x:c>
      <x:c r="DG7" s="137" t="str">
        <x:f>IF(AND(DG$4&gt;=$C7,DG$4&lt;=$D7,'Вводные'!$B$88="Да"),"■","")</x:f>
      </x:c>
      <x:c r="DH7" s="137" t="str">
        <x:f>IF(AND(DH$4&gt;=$C7,DH$4&lt;=$D7,'Вводные'!$B$88="Да"),"■","")</x:f>
      </x:c>
      <x:c r="DI7" s="137" t="str">
        <x:f>IF(AND(DI$4&gt;=$C7,DI$4&lt;=$D7,'Вводные'!$B$88="Да"),"■","")</x:f>
      </x:c>
      <x:c r="DJ7" s="137" t="str">
        <x:f>IF(AND(DJ$4&gt;=$C7,DJ$4&lt;=$D7,'Вводные'!$B$88="Да"),"■","")</x:f>
      </x:c>
      <x:c r="DK7" s="137" t="str">
        <x:f>IF(AND(DK$4&gt;=$C7,DK$4&lt;=$D7,'Вводные'!$B$88="Да"),"■","")</x:f>
      </x:c>
      <x:c r="DL7" s="137" t="str">
        <x:f>IF(AND(DL$4&gt;=$C7,DL$4&lt;=$D7,'Вводные'!$B$88="Да"),"■","")</x:f>
      </x:c>
      <x:c r="DM7" s="137" t="str">
        <x:f>IF(AND(DM$4&gt;=$C7,DM$4&lt;=$D7,'Вводные'!$B$88="Да"),"■","")</x:f>
      </x:c>
      <x:c r="DN7" s="137" t="str">
        <x:f>IF(AND(DN$4&gt;=$C7,DN$4&lt;=$D7,'Вводные'!$B$88="Да"),"■","")</x:f>
      </x:c>
      <x:c r="DO7" s="137" t="str">
        <x:f>IF(AND(DO$4&gt;=$C7,DO$4&lt;=$D7,'Вводные'!$B$88="Да"),"■","")</x:f>
      </x:c>
      <x:c r="DP7" s="137" t="str">
        <x:f>IF(AND(DP$4&gt;=$C7,DP$4&lt;=$D7,'Вводные'!$B$88="Да"),"■","")</x:f>
      </x:c>
      <x:c r="DQ7" s="137" t="str">
        <x:f>IF(AND(DQ$4&gt;=$C7,DQ$4&lt;=$D7,'Вводные'!$B$88="Да"),"■","")</x:f>
      </x:c>
      <x:c r="DR7" s="137" t="str">
        <x:f>IF(AND(DR$4&gt;=$C7,DR$4&lt;=$D7,'Вводные'!$B$88="Да"),"■","")</x:f>
      </x:c>
      <x:c r="DS7" s="137" t="str">
        <x:f>IF(AND(DS$4&gt;=$C7,DS$4&lt;=$D7,'Вводные'!$B$88="Да"),"■","")</x:f>
      </x:c>
      <x:c r="DT7" s="137" t="str">
        <x:f>IF(AND(DT$4&gt;=$C7,DT$4&lt;=$D7,'Вводные'!$B$88="Да"),"■","")</x:f>
      </x:c>
      <x:c r="DU7" s="137" t="str">
        <x:f>IF(AND(DU$4&gt;=$C7,DU$4&lt;=$D7,'Вводные'!$B$88="Да"),"■","")</x:f>
      </x:c>
      <x:c r="DV7" s="137" t="str">
        <x:f>IF(AND(DV$4&gt;=$C7,DV$4&lt;=$D7,'Вводные'!$B$88="Да"),"■","")</x:f>
      </x:c>
      <x:c r="DW7" s="137" t="str">
        <x:f>IF(AND(DW$4&gt;=$C7,DW$4&lt;=$D7,'Вводные'!$B$88="Да"),"■","")</x:f>
      </x:c>
      <x:c r="DX7" s="137" t="str">
        <x:f>IF(AND(DX$4&gt;=$C7,DX$4&lt;=$D7,'Вводные'!$B$88="Да"),"■","")</x:f>
      </x:c>
      <x:c r="DY7" s="137" t="str">
        <x:f>IF(AND(DY$4&gt;=$C7,DY$4&lt;=$D7,'Вводные'!$B$88="Да"),"■","")</x:f>
      </x:c>
      <x:c r="DZ7" s="137" t="str">
        <x:f>IF(AND(DZ$4&gt;=$C7,DZ$4&lt;=$D7,'Вводные'!$B$88="Да"),"■","")</x:f>
      </x:c>
      <x:c r="EA7" s="137" t="str">
        <x:f>IF(AND(EA$4&gt;=$C7,EA$4&lt;=$D7,'Вводные'!$B$88="Да"),"■","")</x:f>
      </x:c>
      <x:c r="EB7" s="137" t="str">
        <x:f>IF(AND(EB$4&gt;=$C7,EB$4&lt;=$D7,'Вводные'!$B$88="Да"),"■","")</x:f>
      </x:c>
      <x:c r="EC7" s="137" t="str">
        <x:f>IF(AND(EC$4&gt;=$C7,EC$4&lt;=$D7,'Вводные'!$B$88="Да"),"■","")</x:f>
      </x:c>
      <x:c r="ED7" s="137" t="str">
        <x:f>IF(AND(ED$4&gt;=$C7,ED$4&lt;=$D7,'Вводные'!$B$88="Да"),"■","")</x:f>
      </x:c>
      <x:c r="EE7" s="137" t="str">
        <x:f>IF(AND(EE$4&gt;=$C7,EE$4&lt;=$D7,'Вводные'!$B$88="Да"),"■","")</x:f>
      </x:c>
      <x:c r="EF7" s="137" t="str">
        <x:f>IF(AND(EF$4&gt;=$C7,EF$4&lt;=$D7,'Вводные'!$B$88="Да"),"■","")</x:f>
      </x:c>
      <x:c r="EG7" s="137" t="str">
        <x:f>IF(AND(EG$4&gt;=$C7,EG$4&lt;=$D7,'Вводные'!$B$88="Да"),"■","")</x:f>
      </x:c>
      <x:c r="EH7" s="137" t="str">
        <x:f>IF(AND(EH$4&gt;=$C7,EH$4&lt;=$D7,'Вводные'!$B$88="Да"),"■","")</x:f>
      </x:c>
      <x:c r="EI7" s="137" t="str">
        <x:f>IF(AND(EI$4&gt;=$C7,EI$4&lt;=$D7,'Вводные'!$B$88="Да"),"■","")</x:f>
      </x:c>
      <x:c r="EJ7" s="137" t="str">
        <x:f>IF(AND(EJ$4&gt;=$C7,EJ$4&lt;=$D7,'Вводные'!$B$88="Да"),"■","")</x:f>
      </x:c>
      <x:c r="EK7" s="137" t="str">
        <x:f>IF(AND(EK$4&gt;=$C7,EK$4&lt;=$D7,'Вводные'!$B$88="Да"),"■","")</x:f>
      </x:c>
      <x:c r="EL7" s="137" t="str">
        <x:f>IF(AND(EL$4&gt;=$C7,EL$4&lt;=$D7,'Вводные'!$B$88="Да"),"■","")</x:f>
      </x:c>
      <x:c r="EM7" s="137" t="str">
        <x:f>IF(AND(EM$4&gt;=$C7,EM$4&lt;=$D7,'Вводные'!$B$88="Да"),"■","")</x:f>
      </x:c>
      <x:c r="EN7" s="137" t="str">
        <x:f>IF(AND(EN$4&gt;=$C7,EN$4&lt;=$D7,'Вводные'!$B$88="Да"),"■","")</x:f>
      </x:c>
      <x:c r="EO7" s="137" t="str">
        <x:f>IF(AND(EO$4&gt;=$C7,EO$4&lt;=$D7,'Вводные'!$B$88="Да"),"■","")</x:f>
      </x:c>
      <x:c r="EP7" s="137" t="str">
        <x:f>IF(AND(EP$4&gt;=$C7,EP$4&lt;=$D7,'Вводные'!$B$88="Да"),"■","")</x:f>
      </x:c>
      <x:c r="EQ7" s="137" t="str">
        <x:f>IF(AND(EQ$4&gt;=$C7,EQ$4&lt;=$D7,'Вводные'!$B$88="Да"),"■","")</x:f>
      </x:c>
      <x:c r="ER7" s="137" t="str">
        <x:f>IF(AND(ER$4&gt;=$C7,ER$4&lt;=$D7,'Вводные'!$B$88="Да"),"■","")</x:f>
      </x:c>
      <x:c r="ES7" s="137" t="str">
        <x:f>IF(AND(ES$4&gt;=$C7,ES$4&lt;=$D7,'Вводные'!$B$88="Да"),"■","")</x:f>
      </x:c>
      <x:c r="ET7" s="137" t="str">
        <x:f>IF(AND(ET$4&gt;=$C7,ET$4&lt;=$D7,'Вводные'!$B$88="Да"),"■","")</x:f>
      </x:c>
      <x:c r="EU7" s="137" t="str">
        <x:f>IF(AND(EU$4&gt;=$C7,EU$4&lt;=$D7,'Вводные'!$B$88="Да"),"■","")</x:f>
      </x:c>
      <x:c r="EV7" s="137" t="str">
        <x:f>IF(AND(EV$4&gt;=$C7,EV$4&lt;=$D7,'Вводные'!$B$88="Да"),"■","")</x:f>
      </x:c>
      <x:c r="EW7" s="137" t="str">
        <x:f>IF(AND(EW$4&gt;=$C7,EW$4&lt;=$D7,'Вводные'!$B$88="Да"),"■","")</x:f>
      </x:c>
      <x:c r="EX7" s="137" t="str">
        <x:f>IF(AND(EX$4&gt;=$C7,EX$4&lt;=$D7,'Вводные'!$B$88="Да"),"■","")</x:f>
      </x:c>
      <x:c r="EY7" s="137" t="str">
        <x:f>IF(AND(EY$4&gt;=$C7,EY$4&lt;=$D7,'Вводные'!$B$88="Да"),"■","")</x:f>
      </x:c>
      <x:c r="EZ7" s="137" t="str">
        <x:f>IF(AND(EZ$4&gt;=$C7,EZ$4&lt;=$D7,'Вводные'!$B$88="Да"),"■","")</x:f>
      </x:c>
      <x:c r="FA7" s="137" t="str">
        <x:f>IF(AND(FA$4&gt;=$C7,FA$4&lt;=$D7,'Вводные'!$B$88="Да"),"■","")</x:f>
      </x:c>
      <x:c r="FB7" s="137" t="str">
        <x:f>IF(AND(FB$4&gt;=$C7,FB$4&lt;=$D7,'Вводные'!$B$88="Да"),"■","")</x:f>
      </x:c>
      <x:c r="FC7" s="137" t="str">
        <x:f>IF(AND(FC$4&gt;=$C7,FC$4&lt;=$D7,'Вводные'!$B$88="Да"),"■","")</x:f>
      </x:c>
      <x:c r="FD7" s="137" t="str">
        <x:f>IF(AND(FD$4&gt;=$C7,FD$4&lt;=$D7,'Вводные'!$B$88="Да"),"■","")</x:f>
      </x:c>
      <x:c r="FE7" s="137" t="str">
        <x:f>IF(AND(FE$4&gt;=$C7,FE$4&lt;=$D7,'Вводные'!$B$88="Да"),"■","")</x:f>
      </x:c>
      <x:c r="FF7" s="137" t="str">
        <x:f>IF(AND(FF$4&gt;=$C7,FF$4&lt;=$D7,'Вводные'!$B$88="Да"),"■","")</x:f>
      </x:c>
      <x:c r="FG7" s="137" t="str">
        <x:f>IF(AND(FG$4&gt;=$C7,FG$4&lt;=$D7,'Вводные'!$B$88="Да"),"■","")</x:f>
      </x:c>
      <x:c r="FH7" s="137" t="str">
        <x:f>IF(AND(FH$4&gt;=$C7,FH$4&lt;=$D7,'Вводные'!$B$88="Да"),"■","")</x:f>
      </x:c>
      <x:c r="FI7" s="137" t="str">
        <x:f>IF(AND(FI$4&gt;=$C7,FI$4&lt;=$D7,'Вводные'!$B$88="Да"),"■","")</x:f>
      </x:c>
      <x:c r="FJ7" s="137" t="str">
        <x:f>IF(AND(FJ$4&gt;=$C7,FJ$4&lt;=$D7,'Вводные'!$B$88="Да"),"■","")</x:f>
      </x:c>
      <x:c r="FK7" s="137" t="str">
        <x:f>IF(AND(FK$4&gt;=$C7,FK$4&lt;=$D7,'Вводные'!$B$88="Да"),"■","")</x:f>
      </x:c>
      <x:c r="FL7" s="137" t="str">
        <x:f>IF(AND(FL$4&gt;=$C7,FL$4&lt;=$D7,'Вводные'!$B$88="Да"),"■","")</x:f>
      </x:c>
      <x:c r="FM7" s="137" t="str">
        <x:f>IF(AND(FM$4&gt;=$C7,FM$4&lt;=$D7,'Вводные'!$B$88="Да"),"■","")</x:f>
      </x:c>
      <x:c r="FN7" s="137" t="str">
        <x:f>IF(AND(FN$4&gt;=$C7,FN$4&lt;=$D7,'Вводные'!$B$88="Да"),"■","")</x:f>
      </x:c>
      <x:c r="FO7" s="137" t="str">
        <x:f>IF(AND(FO$4&gt;=$C7,FO$4&lt;=$D7,'Вводные'!$B$88="Да"),"■","")</x:f>
      </x:c>
      <x:c r="FP7" s="137" t="str">
        <x:f>IF(AND(FP$4&gt;=$C7,FP$4&lt;=$D7,'Вводные'!$B$88="Да"),"■","")</x:f>
      </x:c>
      <x:c r="FQ7" s="137" t="str">
        <x:f>IF(AND(FQ$4&gt;=$C7,FQ$4&lt;=$D7,'Вводные'!$B$88="Да"),"■","")</x:f>
      </x:c>
      <x:c r="FR7" s="137" t="str">
        <x:f>IF(AND(FR$4&gt;=$C7,FR$4&lt;=$D7,'Вводные'!$B$88="Да"),"■","")</x:f>
      </x:c>
      <x:c r="FS7" s="137" t="str">
        <x:f>IF(AND(FS$4&gt;=$C7,FS$4&lt;=$D7,'Вводные'!$B$88="Да"),"■","")</x:f>
      </x:c>
      <x:c r="FT7" s="137" t="str">
        <x:f>IF(AND(FT$4&gt;=$C7,FT$4&lt;=$D7,'Вводные'!$B$88="Да"),"■","")</x:f>
      </x:c>
      <x:c r="FU7" s="137" t="str">
        <x:f>IF(AND(FU$4&gt;=$C7,FU$4&lt;=$D7,'Вводные'!$B$88="Да"),"■","")</x:f>
      </x:c>
      <x:c r="FV7" s="137" t="str">
        <x:f>IF(AND(FV$4&gt;=$C7,FV$4&lt;=$D7,'Вводные'!$B$88="Да"),"■","")</x:f>
      </x:c>
      <x:c r="FW7" s="137" t="str">
        <x:f>IF(AND(FW$4&gt;=$C7,FW$4&lt;=$D7,'Вводные'!$B$88="Да"),"■","")</x:f>
      </x:c>
      <x:c r="FX7" s="137" t="str">
        <x:f>IF(AND(FX$4&gt;=$C7,FX$4&lt;=$D7,'Вводные'!$B$88="Да"),"■","")</x:f>
      </x:c>
      <x:c r="FY7" s="137" t="str">
        <x:f>IF(AND(FY$4&gt;=$C7,FY$4&lt;=$D7,'Вводные'!$B$88="Да"),"■","")</x:f>
      </x:c>
      <x:c r="FZ7" s="137" t="str">
        <x:f>IF(AND(FZ$4&gt;=$C7,FZ$4&lt;=$D7,'Вводные'!$B$88="Да"),"■","")</x:f>
      </x:c>
      <x:c r="GA7" s="137" t="str">
        <x:f>IF(AND(GA$4&gt;=$C7,GA$4&lt;=$D7,'Вводные'!$B$88="Да"),"■","")</x:f>
      </x:c>
      <x:c r="GB7" s="137" t="str">
        <x:f>IF(AND(GB$4&gt;=$C7,GB$4&lt;=$D7,'Вводные'!$B$88="Да"),"■","")</x:f>
      </x:c>
    </x:row>
    <x:row r="8">
      <x:c r="A8" t="str">
        <x:f>'Вводные'!$C$88</x:f>
      </x:c>
      <x:c r="B8" t="str">
        <x:v>РнС / открытие ПФ</x:v>
      </x:c>
      <x:c r="C8" s="92" t="n">
        <x:f>'CF_1'!B7</x:f>
      </x:c>
      <x:c r="D8" s="92" t="n">
        <x:f>C8</x:f>
      </x:c>
      <x:c r="E8" s="135" t="str">
        <x:f>IF(AND(E$4&gt;=$C8,E$4&lt;=$D8,'Вводные'!$B$88="Да"),"■","")</x:f>
      </x:c>
      <x:c r="F8" s="135" t="str">
        <x:f>IF(AND(F$4&gt;=$C8,F$4&lt;=$D8,'Вводные'!$B$88="Да"),"■","")</x:f>
      </x:c>
      <x:c r="G8" s="135" t="str">
        <x:f>IF(AND(G$4&gt;=$C8,G$4&lt;=$D8,'Вводные'!$B$88="Да"),"■","")</x:f>
      </x:c>
      <x:c r="H8" s="135" t="str">
        <x:f>IF(AND(H$4&gt;=$C8,H$4&lt;=$D8,'Вводные'!$B$88="Да"),"■","")</x:f>
      </x:c>
      <x:c r="I8" s="135" t="str">
        <x:f>IF(AND(I$4&gt;=$C8,I$4&lt;=$D8,'Вводные'!$B$88="Да"),"■","")</x:f>
      </x:c>
      <x:c r="J8" s="135" t="str">
        <x:f>IF(AND(J$4&gt;=$C8,J$4&lt;=$D8,'Вводные'!$B$88="Да"),"■","")</x:f>
      </x:c>
      <x:c r="K8" s="135" t="str">
        <x:f>IF(AND(K$4&gt;=$C8,K$4&lt;=$D8,'Вводные'!$B$88="Да"),"■","")</x:f>
      </x:c>
      <x:c r="L8" s="135" t="str">
        <x:f>IF(AND(L$4&gt;=$C8,L$4&lt;=$D8,'Вводные'!$B$88="Да"),"■","")</x:f>
      </x:c>
      <x:c r="M8" s="135" t="str">
        <x:f>IF(AND(M$4&gt;=$C8,M$4&lt;=$D8,'Вводные'!$B$88="Да"),"■","")</x:f>
      </x:c>
      <x:c r="N8" s="135" t="str">
        <x:f>IF(AND(N$4&gt;=$C8,N$4&lt;=$D8,'Вводные'!$B$88="Да"),"■","")</x:f>
      </x:c>
      <x:c r="O8" s="135" t="str">
        <x:f>IF(AND(O$4&gt;=$C8,O$4&lt;=$D8,'Вводные'!$B$88="Да"),"■","")</x:f>
      </x:c>
      <x:c r="P8" s="135" t="str">
        <x:f>IF(AND(P$4&gt;=$C8,P$4&lt;=$D8,'Вводные'!$B$88="Да"),"■","")</x:f>
      </x:c>
      <x:c r="Q8" s="135" t="str">
        <x:f>IF(AND(Q$4&gt;=$C8,Q$4&lt;=$D8,'Вводные'!$B$88="Да"),"■","")</x:f>
      </x:c>
      <x:c r="R8" s="135" t="str">
        <x:f>IF(AND(R$4&gt;=$C8,R$4&lt;=$D8,'Вводные'!$B$88="Да"),"■","")</x:f>
      </x:c>
      <x:c r="S8" s="135" t="str">
        <x:f>IF(AND(S$4&gt;=$C8,S$4&lt;=$D8,'Вводные'!$B$88="Да"),"■","")</x:f>
      </x:c>
      <x:c r="T8" s="135" t="str">
        <x:f>IF(AND(T$4&gt;=$C8,T$4&lt;=$D8,'Вводные'!$B$88="Да"),"■","")</x:f>
      </x:c>
      <x:c r="U8" s="135" t="str">
        <x:f>IF(AND(U$4&gt;=$C8,U$4&lt;=$D8,'Вводные'!$B$88="Да"),"■","")</x:f>
      </x:c>
      <x:c r="V8" s="135" t="str">
        <x:f>IF(AND(V$4&gt;=$C8,V$4&lt;=$D8,'Вводные'!$B$88="Да"),"■","")</x:f>
      </x:c>
      <x:c r="W8" s="135" t="str">
        <x:f>IF(AND(W$4&gt;=$C8,W$4&lt;=$D8,'Вводные'!$B$88="Да"),"■","")</x:f>
      </x:c>
      <x:c r="X8" s="135" t="str">
        <x:f>IF(AND(X$4&gt;=$C8,X$4&lt;=$D8,'Вводные'!$B$88="Да"),"■","")</x:f>
      </x:c>
      <x:c r="Y8" s="135" t="str">
        <x:f>IF(AND(Y$4&gt;=$C8,Y$4&lt;=$D8,'Вводные'!$B$88="Да"),"■","")</x:f>
      </x:c>
      <x:c r="Z8" s="135" t="str">
        <x:f>IF(AND(Z$4&gt;=$C8,Z$4&lt;=$D8,'Вводные'!$B$88="Да"),"■","")</x:f>
      </x:c>
      <x:c r="AA8" s="135" t="str">
        <x:f>IF(AND(AA$4&gt;=$C8,AA$4&lt;=$D8,'Вводные'!$B$88="Да"),"■","")</x:f>
      </x:c>
      <x:c r="AB8" s="135" t="str">
        <x:f>IF(AND(AB$4&gt;=$C8,AB$4&lt;=$D8,'Вводные'!$B$88="Да"),"■","")</x:f>
      </x:c>
      <x:c r="AC8" s="135" t="str">
        <x:f>IF(AND(AC$4&gt;=$C8,AC$4&lt;=$D8,'Вводные'!$B$88="Да"),"■","")</x:f>
      </x:c>
      <x:c r="AD8" s="135" t="str">
        <x:f>IF(AND(AD$4&gt;=$C8,AD$4&lt;=$D8,'Вводные'!$B$88="Да"),"■","")</x:f>
      </x:c>
      <x:c r="AE8" s="135" t="str">
        <x:f>IF(AND(AE$4&gt;=$C8,AE$4&lt;=$D8,'Вводные'!$B$88="Да"),"■","")</x:f>
      </x:c>
      <x:c r="AF8" s="135" t="str">
        <x:f>IF(AND(AF$4&gt;=$C8,AF$4&lt;=$D8,'Вводные'!$B$88="Да"),"■","")</x:f>
      </x:c>
      <x:c r="AG8" s="135" t="str">
        <x:f>IF(AND(AG$4&gt;=$C8,AG$4&lt;=$D8,'Вводные'!$B$88="Да"),"■","")</x:f>
      </x:c>
      <x:c r="AH8" s="135" t="str">
        <x:f>IF(AND(AH$4&gt;=$C8,AH$4&lt;=$D8,'Вводные'!$B$88="Да"),"■","")</x:f>
      </x:c>
      <x:c r="AI8" s="135" t="str">
        <x:f>IF(AND(AI$4&gt;=$C8,AI$4&lt;=$D8,'Вводные'!$B$88="Да"),"■","")</x:f>
      </x:c>
      <x:c r="AJ8" s="135" t="str">
        <x:f>IF(AND(AJ$4&gt;=$C8,AJ$4&lt;=$D8,'Вводные'!$B$88="Да"),"■","")</x:f>
      </x:c>
      <x:c r="AK8" s="135" t="str">
        <x:f>IF(AND(AK$4&gt;=$C8,AK$4&lt;=$D8,'Вводные'!$B$88="Да"),"■","")</x:f>
      </x:c>
      <x:c r="AL8" s="135" t="str">
        <x:f>IF(AND(AL$4&gt;=$C8,AL$4&lt;=$D8,'Вводные'!$B$88="Да"),"■","")</x:f>
      </x:c>
      <x:c r="AM8" s="135" t="str">
        <x:f>IF(AND(AM$4&gt;=$C8,AM$4&lt;=$D8,'Вводные'!$B$88="Да"),"■","")</x:f>
      </x:c>
      <x:c r="AN8" s="135" t="str">
        <x:f>IF(AND(AN$4&gt;=$C8,AN$4&lt;=$D8,'Вводные'!$B$88="Да"),"■","")</x:f>
      </x:c>
      <x:c r="AO8" s="135" t="str">
        <x:f>IF(AND(AO$4&gt;=$C8,AO$4&lt;=$D8,'Вводные'!$B$88="Да"),"■","")</x:f>
      </x:c>
      <x:c r="AP8" s="135" t="str">
        <x:f>IF(AND(AP$4&gt;=$C8,AP$4&lt;=$D8,'Вводные'!$B$88="Да"),"■","")</x:f>
      </x:c>
      <x:c r="AQ8" s="135" t="str">
        <x:f>IF(AND(AQ$4&gt;=$C8,AQ$4&lt;=$D8,'Вводные'!$B$88="Да"),"■","")</x:f>
      </x:c>
      <x:c r="AR8" s="135" t="str">
        <x:f>IF(AND(AR$4&gt;=$C8,AR$4&lt;=$D8,'Вводные'!$B$88="Да"),"■","")</x:f>
      </x:c>
      <x:c r="AS8" s="135" t="str">
        <x:f>IF(AND(AS$4&gt;=$C8,AS$4&lt;=$D8,'Вводные'!$B$88="Да"),"■","")</x:f>
      </x:c>
      <x:c r="AT8" s="135" t="str">
        <x:f>IF(AND(AT$4&gt;=$C8,AT$4&lt;=$D8,'Вводные'!$B$88="Да"),"■","")</x:f>
      </x:c>
      <x:c r="AU8" s="135" t="str">
        <x:f>IF(AND(AU$4&gt;=$C8,AU$4&lt;=$D8,'Вводные'!$B$88="Да"),"■","")</x:f>
      </x:c>
      <x:c r="AV8" s="135" t="str">
        <x:f>IF(AND(AV$4&gt;=$C8,AV$4&lt;=$D8,'Вводные'!$B$88="Да"),"■","")</x:f>
      </x:c>
      <x:c r="AW8" s="135" t="str">
        <x:f>IF(AND(AW$4&gt;=$C8,AW$4&lt;=$D8,'Вводные'!$B$88="Да"),"■","")</x:f>
      </x:c>
      <x:c r="AX8" s="135" t="str">
        <x:f>IF(AND(AX$4&gt;=$C8,AX$4&lt;=$D8,'Вводные'!$B$88="Да"),"■","")</x:f>
      </x:c>
      <x:c r="AY8" s="135" t="str">
        <x:f>IF(AND(AY$4&gt;=$C8,AY$4&lt;=$D8,'Вводные'!$B$88="Да"),"■","")</x:f>
      </x:c>
      <x:c r="AZ8" s="135" t="str">
        <x:f>IF(AND(AZ$4&gt;=$C8,AZ$4&lt;=$D8,'Вводные'!$B$88="Да"),"■","")</x:f>
      </x:c>
      <x:c r="BA8" s="135" t="str">
        <x:f>IF(AND(BA$4&gt;=$C8,BA$4&lt;=$D8,'Вводные'!$B$88="Да"),"■","")</x:f>
      </x:c>
      <x:c r="BB8" s="135" t="str">
        <x:f>IF(AND(BB$4&gt;=$C8,BB$4&lt;=$D8,'Вводные'!$B$88="Да"),"■","")</x:f>
      </x:c>
      <x:c r="BC8" s="135" t="str">
        <x:f>IF(AND(BC$4&gt;=$C8,BC$4&lt;=$D8,'Вводные'!$B$88="Да"),"■","")</x:f>
      </x:c>
      <x:c r="BD8" s="135" t="str">
        <x:f>IF(AND(BD$4&gt;=$C8,BD$4&lt;=$D8,'Вводные'!$B$88="Да"),"■","")</x:f>
      </x:c>
      <x:c r="BE8" s="135" t="str">
        <x:f>IF(AND(BE$4&gt;=$C8,BE$4&lt;=$D8,'Вводные'!$B$88="Да"),"■","")</x:f>
      </x:c>
      <x:c r="BF8" s="135" t="str">
        <x:f>IF(AND(BF$4&gt;=$C8,BF$4&lt;=$D8,'Вводные'!$B$88="Да"),"■","")</x:f>
      </x:c>
      <x:c r="BG8" s="135" t="str">
        <x:f>IF(AND(BG$4&gt;=$C8,BG$4&lt;=$D8,'Вводные'!$B$88="Да"),"■","")</x:f>
      </x:c>
      <x:c r="BH8" s="135" t="str">
        <x:f>IF(AND(BH$4&gt;=$C8,BH$4&lt;=$D8,'Вводные'!$B$88="Да"),"■","")</x:f>
      </x:c>
      <x:c r="BI8" s="135" t="str">
        <x:f>IF(AND(BI$4&gt;=$C8,BI$4&lt;=$D8,'Вводные'!$B$88="Да"),"■","")</x:f>
      </x:c>
      <x:c r="BJ8" s="135" t="str">
        <x:f>IF(AND(BJ$4&gt;=$C8,BJ$4&lt;=$D8,'Вводные'!$B$88="Да"),"■","")</x:f>
      </x:c>
      <x:c r="BK8" s="135" t="str">
        <x:f>IF(AND(BK$4&gt;=$C8,BK$4&lt;=$D8,'Вводные'!$B$88="Да"),"■","")</x:f>
      </x:c>
      <x:c r="BL8" s="135" t="str">
        <x:f>IF(AND(BL$4&gt;=$C8,BL$4&lt;=$D8,'Вводные'!$B$88="Да"),"■","")</x:f>
      </x:c>
      <x:c r="BM8" s="135" t="str">
        <x:f>IF(AND(BM$4&gt;=$C8,BM$4&lt;=$D8,'Вводные'!$B$88="Да"),"■","")</x:f>
      </x:c>
      <x:c r="BN8" s="135" t="str">
        <x:f>IF(AND(BN$4&gt;=$C8,BN$4&lt;=$D8,'Вводные'!$B$88="Да"),"■","")</x:f>
      </x:c>
      <x:c r="BO8" s="135" t="str">
        <x:f>IF(AND(BO$4&gt;=$C8,BO$4&lt;=$D8,'Вводные'!$B$88="Да"),"■","")</x:f>
      </x:c>
      <x:c r="BP8" s="135" t="str">
        <x:f>IF(AND(BP$4&gt;=$C8,BP$4&lt;=$D8,'Вводные'!$B$88="Да"),"■","")</x:f>
      </x:c>
      <x:c r="BQ8" s="135" t="str">
        <x:f>IF(AND(BQ$4&gt;=$C8,BQ$4&lt;=$D8,'Вводные'!$B$88="Да"),"■","")</x:f>
      </x:c>
      <x:c r="BR8" s="135" t="str">
        <x:f>IF(AND(BR$4&gt;=$C8,BR$4&lt;=$D8,'Вводные'!$B$88="Да"),"■","")</x:f>
      </x:c>
      <x:c r="BS8" s="135" t="str">
        <x:f>IF(AND(BS$4&gt;=$C8,BS$4&lt;=$D8,'Вводные'!$B$88="Да"),"■","")</x:f>
      </x:c>
      <x:c r="BT8" s="135" t="str">
        <x:f>IF(AND(BT$4&gt;=$C8,BT$4&lt;=$D8,'Вводные'!$B$88="Да"),"■","")</x:f>
      </x:c>
      <x:c r="BU8" s="135" t="str">
        <x:f>IF(AND(BU$4&gt;=$C8,BU$4&lt;=$D8,'Вводные'!$B$88="Да"),"■","")</x:f>
      </x:c>
      <x:c r="BV8" s="135" t="str">
        <x:f>IF(AND(BV$4&gt;=$C8,BV$4&lt;=$D8,'Вводные'!$B$88="Да"),"■","")</x:f>
      </x:c>
      <x:c r="BW8" s="135" t="str">
        <x:f>IF(AND(BW$4&gt;=$C8,BW$4&lt;=$D8,'Вводные'!$B$88="Да"),"■","")</x:f>
      </x:c>
      <x:c r="BX8" s="135" t="str">
        <x:f>IF(AND(BX$4&gt;=$C8,BX$4&lt;=$D8,'Вводные'!$B$88="Да"),"■","")</x:f>
      </x:c>
      <x:c r="BY8" s="135" t="str">
        <x:f>IF(AND(BY$4&gt;=$C8,BY$4&lt;=$D8,'Вводные'!$B$88="Да"),"■","")</x:f>
      </x:c>
      <x:c r="BZ8" s="135" t="str">
        <x:f>IF(AND(BZ$4&gt;=$C8,BZ$4&lt;=$D8,'Вводные'!$B$88="Да"),"■","")</x:f>
      </x:c>
      <x:c r="CA8" s="135" t="str">
        <x:f>IF(AND(CA$4&gt;=$C8,CA$4&lt;=$D8,'Вводные'!$B$88="Да"),"■","")</x:f>
      </x:c>
      <x:c r="CB8" s="135" t="str">
        <x:f>IF(AND(CB$4&gt;=$C8,CB$4&lt;=$D8,'Вводные'!$B$88="Да"),"■","")</x:f>
      </x:c>
      <x:c r="CC8" s="135" t="str">
        <x:f>IF(AND(CC$4&gt;=$C8,CC$4&lt;=$D8,'Вводные'!$B$88="Да"),"■","")</x:f>
      </x:c>
      <x:c r="CD8" s="135" t="str">
        <x:f>IF(AND(CD$4&gt;=$C8,CD$4&lt;=$D8,'Вводные'!$B$88="Да"),"■","")</x:f>
      </x:c>
      <x:c r="CE8" s="135" t="str">
        <x:f>IF(AND(CE$4&gt;=$C8,CE$4&lt;=$D8,'Вводные'!$B$88="Да"),"■","")</x:f>
      </x:c>
      <x:c r="CF8" s="135" t="str">
        <x:f>IF(AND(CF$4&gt;=$C8,CF$4&lt;=$D8,'Вводные'!$B$88="Да"),"■","")</x:f>
      </x:c>
      <x:c r="CG8" s="135" t="str">
        <x:f>IF(AND(CG$4&gt;=$C8,CG$4&lt;=$D8,'Вводные'!$B$88="Да"),"■","")</x:f>
      </x:c>
      <x:c r="CH8" s="135" t="str">
        <x:f>IF(AND(CH$4&gt;=$C8,CH$4&lt;=$D8,'Вводные'!$B$88="Да"),"■","")</x:f>
      </x:c>
      <x:c r="CI8" s="135" t="str">
        <x:f>IF(AND(CI$4&gt;=$C8,CI$4&lt;=$D8,'Вводные'!$B$88="Да"),"■","")</x:f>
      </x:c>
      <x:c r="CJ8" s="135" t="str">
        <x:f>IF(AND(CJ$4&gt;=$C8,CJ$4&lt;=$D8,'Вводные'!$B$88="Да"),"■","")</x:f>
      </x:c>
      <x:c r="CK8" s="135" t="str">
        <x:f>IF(AND(CK$4&gt;=$C8,CK$4&lt;=$D8,'Вводные'!$B$88="Да"),"■","")</x:f>
      </x:c>
      <x:c r="CL8" s="135" t="str">
        <x:f>IF(AND(CL$4&gt;=$C8,CL$4&lt;=$D8,'Вводные'!$B$88="Да"),"■","")</x:f>
      </x:c>
      <x:c r="CM8" s="135" t="str">
        <x:f>IF(AND(CM$4&gt;=$C8,CM$4&lt;=$D8,'Вводные'!$B$88="Да"),"■","")</x:f>
      </x:c>
      <x:c r="CN8" s="135" t="str">
        <x:f>IF(AND(CN$4&gt;=$C8,CN$4&lt;=$D8,'Вводные'!$B$88="Да"),"■","")</x:f>
      </x:c>
      <x:c r="CO8" s="135" t="str">
        <x:f>IF(AND(CO$4&gt;=$C8,CO$4&lt;=$D8,'Вводные'!$B$88="Да"),"■","")</x:f>
      </x:c>
      <x:c r="CP8" s="135" t="str">
        <x:f>IF(AND(CP$4&gt;=$C8,CP$4&lt;=$D8,'Вводные'!$B$88="Да"),"■","")</x:f>
      </x:c>
      <x:c r="CQ8" s="135" t="str">
        <x:f>IF(AND(CQ$4&gt;=$C8,CQ$4&lt;=$D8,'Вводные'!$B$88="Да"),"■","")</x:f>
      </x:c>
      <x:c r="CR8" s="135" t="str">
        <x:f>IF(AND(CR$4&gt;=$C8,CR$4&lt;=$D8,'Вводные'!$B$88="Да"),"■","")</x:f>
      </x:c>
      <x:c r="CS8" s="135" t="str">
        <x:f>IF(AND(CS$4&gt;=$C8,CS$4&lt;=$D8,'Вводные'!$B$88="Да"),"■","")</x:f>
      </x:c>
      <x:c r="CT8" s="135" t="str">
        <x:f>IF(AND(CT$4&gt;=$C8,CT$4&lt;=$D8,'Вводные'!$B$88="Да"),"■","")</x:f>
      </x:c>
      <x:c r="CU8" s="135" t="str">
        <x:f>IF(AND(CU$4&gt;=$C8,CU$4&lt;=$D8,'Вводные'!$B$88="Да"),"■","")</x:f>
      </x:c>
      <x:c r="CV8" s="135" t="str">
        <x:f>IF(AND(CV$4&gt;=$C8,CV$4&lt;=$D8,'Вводные'!$B$88="Да"),"■","")</x:f>
      </x:c>
      <x:c r="CW8" s="135" t="str">
        <x:f>IF(AND(CW$4&gt;=$C8,CW$4&lt;=$D8,'Вводные'!$B$88="Да"),"■","")</x:f>
      </x:c>
      <x:c r="CX8" s="135" t="str">
        <x:f>IF(AND(CX$4&gt;=$C8,CX$4&lt;=$D8,'Вводные'!$B$88="Да"),"■","")</x:f>
      </x:c>
      <x:c r="CY8" s="135" t="str">
        <x:f>IF(AND(CY$4&gt;=$C8,CY$4&lt;=$D8,'Вводные'!$B$88="Да"),"■","")</x:f>
      </x:c>
      <x:c r="CZ8" s="135" t="str">
        <x:f>IF(AND(CZ$4&gt;=$C8,CZ$4&lt;=$D8,'Вводные'!$B$88="Да"),"■","")</x:f>
      </x:c>
      <x:c r="DA8" s="135" t="str">
        <x:f>IF(AND(DA$4&gt;=$C8,DA$4&lt;=$D8,'Вводные'!$B$88="Да"),"■","")</x:f>
      </x:c>
      <x:c r="DB8" s="135" t="str">
        <x:f>IF(AND(DB$4&gt;=$C8,DB$4&lt;=$D8,'Вводные'!$B$88="Да"),"■","")</x:f>
      </x:c>
      <x:c r="DC8" s="135" t="str">
        <x:f>IF(AND(DC$4&gt;=$C8,DC$4&lt;=$D8,'Вводные'!$B$88="Да"),"■","")</x:f>
      </x:c>
      <x:c r="DD8" s="135" t="str">
        <x:f>IF(AND(DD$4&gt;=$C8,DD$4&lt;=$D8,'Вводные'!$B$88="Да"),"■","")</x:f>
      </x:c>
      <x:c r="DE8" s="135" t="str">
        <x:f>IF(AND(DE$4&gt;=$C8,DE$4&lt;=$D8,'Вводные'!$B$88="Да"),"■","")</x:f>
      </x:c>
      <x:c r="DF8" s="135" t="str">
        <x:f>IF(AND(DF$4&gt;=$C8,DF$4&lt;=$D8,'Вводные'!$B$88="Да"),"■","")</x:f>
      </x:c>
      <x:c r="DG8" s="135" t="str">
        <x:f>IF(AND(DG$4&gt;=$C8,DG$4&lt;=$D8,'Вводные'!$B$88="Да"),"■","")</x:f>
      </x:c>
      <x:c r="DH8" s="135" t="str">
        <x:f>IF(AND(DH$4&gt;=$C8,DH$4&lt;=$D8,'Вводные'!$B$88="Да"),"■","")</x:f>
      </x:c>
      <x:c r="DI8" s="135" t="str">
        <x:f>IF(AND(DI$4&gt;=$C8,DI$4&lt;=$D8,'Вводные'!$B$88="Да"),"■","")</x:f>
      </x:c>
      <x:c r="DJ8" s="135" t="str">
        <x:f>IF(AND(DJ$4&gt;=$C8,DJ$4&lt;=$D8,'Вводные'!$B$88="Да"),"■","")</x:f>
      </x:c>
      <x:c r="DK8" s="135" t="str">
        <x:f>IF(AND(DK$4&gt;=$C8,DK$4&lt;=$D8,'Вводные'!$B$88="Да"),"■","")</x:f>
      </x:c>
      <x:c r="DL8" s="135" t="str">
        <x:f>IF(AND(DL$4&gt;=$C8,DL$4&lt;=$D8,'Вводные'!$B$88="Да"),"■","")</x:f>
      </x:c>
      <x:c r="DM8" s="135" t="str">
        <x:f>IF(AND(DM$4&gt;=$C8,DM$4&lt;=$D8,'Вводные'!$B$88="Да"),"■","")</x:f>
      </x:c>
      <x:c r="DN8" s="135" t="str">
        <x:f>IF(AND(DN$4&gt;=$C8,DN$4&lt;=$D8,'Вводные'!$B$88="Да"),"■","")</x:f>
      </x:c>
      <x:c r="DO8" s="135" t="str">
        <x:f>IF(AND(DO$4&gt;=$C8,DO$4&lt;=$D8,'Вводные'!$B$88="Да"),"■","")</x:f>
      </x:c>
      <x:c r="DP8" s="135" t="str">
        <x:f>IF(AND(DP$4&gt;=$C8,DP$4&lt;=$D8,'Вводные'!$B$88="Да"),"■","")</x:f>
      </x:c>
      <x:c r="DQ8" s="135" t="str">
        <x:f>IF(AND(DQ$4&gt;=$C8,DQ$4&lt;=$D8,'Вводные'!$B$88="Да"),"■","")</x:f>
      </x:c>
      <x:c r="DR8" s="135" t="str">
        <x:f>IF(AND(DR$4&gt;=$C8,DR$4&lt;=$D8,'Вводные'!$B$88="Да"),"■","")</x:f>
      </x:c>
      <x:c r="DS8" s="135" t="str">
        <x:f>IF(AND(DS$4&gt;=$C8,DS$4&lt;=$D8,'Вводные'!$B$88="Да"),"■","")</x:f>
      </x:c>
      <x:c r="DT8" s="135" t="str">
        <x:f>IF(AND(DT$4&gt;=$C8,DT$4&lt;=$D8,'Вводные'!$B$88="Да"),"■","")</x:f>
      </x:c>
      <x:c r="DU8" s="135" t="str">
        <x:f>IF(AND(DU$4&gt;=$C8,DU$4&lt;=$D8,'Вводные'!$B$88="Да"),"■","")</x:f>
      </x:c>
      <x:c r="DV8" s="135" t="str">
        <x:f>IF(AND(DV$4&gt;=$C8,DV$4&lt;=$D8,'Вводные'!$B$88="Да"),"■","")</x:f>
      </x:c>
      <x:c r="DW8" s="135" t="str">
        <x:f>IF(AND(DW$4&gt;=$C8,DW$4&lt;=$D8,'Вводные'!$B$88="Да"),"■","")</x:f>
      </x:c>
      <x:c r="DX8" s="135" t="str">
        <x:f>IF(AND(DX$4&gt;=$C8,DX$4&lt;=$D8,'Вводные'!$B$88="Да"),"■","")</x:f>
      </x:c>
      <x:c r="DY8" s="135" t="str">
        <x:f>IF(AND(DY$4&gt;=$C8,DY$4&lt;=$D8,'Вводные'!$B$88="Да"),"■","")</x:f>
      </x:c>
      <x:c r="DZ8" s="135" t="str">
        <x:f>IF(AND(DZ$4&gt;=$C8,DZ$4&lt;=$D8,'Вводные'!$B$88="Да"),"■","")</x:f>
      </x:c>
      <x:c r="EA8" s="135" t="str">
        <x:f>IF(AND(EA$4&gt;=$C8,EA$4&lt;=$D8,'Вводные'!$B$88="Да"),"■","")</x:f>
      </x:c>
      <x:c r="EB8" s="135" t="str">
        <x:f>IF(AND(EB$4&gt;=$C8,EB$4&lt;=$D8,'Вводные'!$B$88="Да"),"■","")</x:f>
      </x:c>
      <x:c r="EC8" s="135" t="str">
        <x:f>IF(AND(EC$4&gt;=$C8,EC$4&lt;=$D8,'Вводные'!$B$88="Да"),"■","")</x:f>
      </x:c>
      <x:c r="ED8" s="135" t="str">
        <x:f>IF(AND(ED$4&gt;=$C8,ED$4&lt;=$D8,'Вводные'!$B$88="Да"),"■","")</x:f>
      </x:c>
      <x:c r="EE8" s="135" t="str">
        <x:f>IF(AND(EE$4&gt;=$C8,EE$4&lt;=$D8,'Вводные'!$B$88="Да"),"■","")</x:f>
      </x:c>
      <x:c r="EF8" s="135" t="str">
        <x:f>IF(AND(EF$4&gt;=$C8,EF$4&lt;=$D8,'Вводные'!$B$88="Да"),"■","")</x:f>
      </x:c>
      <x:c r="EG8" s="135" t="str">
        <x:f>IF(AND(EG$4&gt;=$C8,EG$4&lt;=$D8,'Вводные'!$B$88="Да"),"■","")</x:f>
      </x:c>
      <x:c r="EH8" s="135" t="str">
        <x:f>IF(AND(EH$4&gt;=$C8,EH$4&lt;=$D8,'Вводные'!$B$88="Да"),"■","")</x:f>
      </x:c>
      <x:c r="EI8" s="135" t="str">
        <x:f>IF(AND(EI$4&gt;=$C8,EI$4&lt;=$D8,'Вводные'!$B$88="Да"),"■","")</x:f>
      </x:c>
      <x:c r="EJ8" s="135" t="str">
        <x:f>IF(AND(EJ$4&gt;=$C8,EJ$4&lt;=$D8,'Вводные'!$B$88="Да"),"■","")</x:f>
      </x:c>
      <x:c r="EK8" s="135" t="str">
        <x:f>IF(AND(EK$4&gt;=$C8,EK$4&lt;=$D8,'Вводные'!$B$88="Да"),"■","")</x:f>
      </x:c>
      <x:c r="EL8" s="135" t="str">
        <x:f>IF(AND(EL$4&gt;=$C8,EL$4&lt;=$D8,'Вводные'!$B$88="Да"),"■","")</x:f>
      </x:c>
      <x:c r="EM8" s="135" t="str">
        <x:f>IF(AND(EM$4&gt;=$C8,EM$4&lt;=$D8,'Вводные'!$B$88="Да"),"■","")</x:f>
      </x:c>
      <x:c r="EN8" s="135" t="str">
        <x:f>IF(AND(EN$4&gt;=$C8,EN$4&lt;=$D8,'Вводные'!$B$88="Да"),"■","")</x:f>
      </x:c>
      <x:c r="EO8" s="135" t="str">
        <x:f>IF(AND(EO$4&gt;=$C8,EO$4&lt;=$D8,'Вводные'!$B$88="Да"),"■","")</x:f>
      </x:c>
      <x:c r="EP8" s="135" t="str">
        <x:f>IF(AND(EP$4&gt;=$C8,EP$4&lt;=$D8,'Вводные'!$B$88="Да"),"■","")</x:f>
      </x:c>
      <x:c r="EQ8" s="135" t="str">
        <x:f>IF(AND(EQ$4&gt;=$C8,EQ$4&lt;=$D8,'Вводные'!$B$88="Да"),"■","")</x:f>
      </x:c>
      <x:c r="ER8" s="135" t="str">
        <x:f>IF(AND(ER$4&gt;=$C8,ER$4&lt;=$D8,'Вводные'!$B$88="Да"),"■","")</x:f>
      </x:c>
      <x:c r="ES8" s="135" t="str">
        <x:f>IF(AND(ES$4&gt;=$C8,ES$4&lt;=$D8,'Вводные'!$B$88="Да"),"■","")</x:f>
      </x:c>
      <x:c r="ET8" s="135" t="str">
        <x:f>IF(AND(ET$4&gt;=$C8,ET$4&lt;=$D8,'Вводные'!$B$88="Да"),"■","")</x:f>
      </x:c>
      <x:c r="EU8" s="135" t="str">
        <x:f>IF(AND(EU$4&gt;=$C8,EU$4&lt;=$D8,'Вводные'!$B$88="Да"),"■","")</x:f>
      </x:c>
      <x:c r="EV8" s="135" t="str">
        <x:f>IF(AND(EV$4&gt;=$C8,EV$4&lt;=$D8,'Вводные'!$B$88="Да"),"■","")</x:f>
      </x:c>
      <x:c r="EW8" s="135" t="str">
        <x:f>IF(AND(EW$4&gt;=$C8,EW$4&lt;=$D8,'Вводные'!$B$88="Да"),"■","")</x:f>
      </x:c>
      <x:c r="EX8" s="135" t="str">
        <x:f>IF(AND(EX$4&gt;=$C8,EX$4&lt;=$D8,'Вводные'!$B$88="Да"),"■","")</x:f>
      </x:c>
      <x:c r="EY8" s="135" t="str">
        <x:f>IF(AND(EY$4&gt;=$C8,EY$4&lt;=$D8,'Вводные'!$B$88="Да"),"■","")</x:f>
      </x:c>
      <x:c r="EZ8" s="135" t="str">
        <x:f>IF(AND(EZ$4&gt;=$C8,EZ$4&lt;=$D8,'Вводные'!$B$88="Да"),"■","")</x:f>
      </x:c>
      <x:c r="FA8" s="135" t="str">
        <x:f>IF(AND(FA$4&gt;=$C8,FA$4&lt;=$D8,'Вводные'!$B$88="Да"),"■","")</x:f>
      </x:c>
      <x:c r="FB8" s="135" t="str">
        <x:f>IF(AND(FB$4&gt;=$C8,FB$4&lt;=$D8,'Вводные'!$B$88="Да"),"■","")</x:f>
      </x:c>
      <x:c r="FC8" s="135" t="str">
        <x:f>IF(AND(FC$4&gt;=$C8,FC$4&lt;=$D8,'Вводные'!$B$88="Да"),"■","")</x:f>
      </x:c>
      <x:c r="FD8" s="135" t="str">
        <x:f>IF(AND(FD$4&gt;=$C8,FD$4&lt;=$D8,'Вводные'!$B$88="Да"),"■","")</x:f>
      </x:c>
      <x:c r="FE8" s="135" t="str">
        <x:f>IF(AND(FE$4&gt;=$C8,FE$4&lt;=$D8,'Вводные'!$B$88="Да"),"■","")</x:f>
      </x:c>
      <x:c r="FF8" s="135" t="str">
        <x:f>IF(AND(FF$4&gt;=$C8,FF$4&lt;=$D8,'Вводные'!$B$88="Да"),"■","")</x:f>
      </x:c>
      <x:c r="FG8" s="135" t="str">
        <x:f>IF(AND(FG$4&gt;=$C8,FG$4&lt;=$D8,'Вводные'!$B$88="Да"),"■","")</x:f>
      </x:c>
      <x:c r="FH8" s="135" t="str">
        <x:f>IF(AND(FH$4&gt;=$C8,FH$4&lt;=$D8,'Вводные'!$B$88="Да"),"■","")</x:f>
      </x:c>
      <x:c r="FI8" s="135" t="str">
        <x:f>IF(AND(FI$4&gt;=$C8,FI$4&lt;=$D8,'Вводные'!$B$88="Да"),"■","")</x:f>
      </x:c>
      <x:c r="FJ8" s="135" t="str">
        <x:f>IF(AND(FJ$4&gt;=$C8,FJ$4&lt;=$D8,'Вводные'!$B$88="Да"),"■","")</x:f>
      </x:c>
      <x:c r="FK8" s="135" t="str">
        <x:f>IF(AND(FK$4&gt;=$C8,FK$4&lt;=$D8,'Вводные'!$B$88="Да"),"■","")</x:f>
      </x:c>
      <x:c r="FL8" s="135" t="str">
        <x:f>IF(AND(FL$4&gt;=$C8,FL$4&lt;=$D8,'Вводные'!$B$88="Да"),"■","")</x:f>
      </x:c>
      <x:c r="FM8" s="135" t="str">
        <x:f>IF(AND(FM$4&gt;=$C8,FM$4&lt;=$D8,'Вводные'!$B$88="Да"),"■","")</x:f>
      </x:c>
      <x:c r="FN8" s="135" t="str">
        <x:f>IF(AND(FN$4&gt;=$C8,FN$4&lt;=$D8,'Вводные'!$B$88="Да"),"■","")</x:f>
      </x:c>
      <x:c r="FO8" s="135" t="str">
        <x:f>IF(AND(FO$4&gt;=$C8,FO$4&lt;=$D8,'Вводные'!$B$88="Да"),"■","")</x:f>
      </x:c>
      <x:c r="FP8" s="135" t="str">
        <x:f>IF(AND(FP$4&gt;=$C8,FP$4&lt;=$D8,'Вводные'!$B$88="Да"),"■","")</x:f>
      </x:c>
      <x:c r="FQ8" s="135" t="str">
        <x:f>IF(AND(FQ$4&gt;=$C8,FQ$4&lt;=$D8,'Вводные'!$B$88="Да"),"■","")</x:f>
      </x:c>
      <x:c r="FR8" s="135" t="str">
        <x:f>IF(AND(FR$4&gt;=$C8,FR$4&lt;=$D8,'Вводные'!$B$88="Да"),"■","")</x:f>
      </x:c>
      <x:c r="FS8" s="135" t="str">
        <x:f>IF(AND(FS$4&gt;=$C8,FS$4&lt;=$D8,'Вводные'!$B$88="Да"),"■","")</x:f>
      </x:c>
      <x:c r="FT8" s="135" t="str">
        <x:f>IF(AND(FT$4&gt;=$C8,FT$4&lt;=$D8,'Вводные'!$B$88="Да"),"■","")</x:f>
      </x:c>
      <x:c r="FU8" s="135" t="str">
        <x:f>IF(AND(FU$4&gt;=$C8,FU$4&lt;=$D8,'Вводные'!$B$88="Да"),"■","")</x:f>
      </x:c>
      <x:c r="FV8" s="135" t="str">
        <x:f>IF(AND(FV$4&gt;=$C8,FV$4&lt;=$D8,'Вводные'!$B$88="Да"),"■","")</x:f>
      </x:c>
      <x:c r="FW8" s="135" t="str">
        <x:f>IF(AND(FW$4&gt;=$C8,FW$4&lt;=$D8,'Вводные'!$B$88="Да"),"■","")</x:f>
      </x:c>
      <x:c r="FX8" s="135" t="str">
        <x:f>IF(AND(FX$4&gt;=$C8,FX$4&lt;=$D8,'Вводные'!$B$88="Да"),"■","")</x:f>
      </x:c>
      <x:c r="FY8" s="135" t="str">
        <x:f>IF(AND(FY$4&gt;=$C8,FY$4&lt;=$D8,'Вводные'!$B$88="Да"),"■","")</x:f>
      </x:c>
      <x:c r="FZ8" s="135" t="str">
        <x:f>IF(AND(FZ$4&gt;=$C8,FZ$4&lt;=$D8,'Вводные'!$B$88="Да"),"■","")</x:f>
      </x:c>
      <x:c r="GA8" s="135" t="str">
        <x:f>IF(AND(GA$4&gt;=$C8,GA$4&lt;=$D8,'Вводные'!$B$88="Да"),"■","")</x:f>
      </x:c>
      <x:c r="GB8" s="135" t="str">
        <x:f>IF(AND(GB$4&gt;=$C8,GB$4&lt;=$D8,'Вводные'!$B$88="Да"),"■","")</x:f>
      </x:c>
    </x:row>
    <x:row r="9">
      <x:c r="A9" t="str">
        <x:f>'Вводные'!$C$88</x:f>
      </x:c>
      <x:c r="B9" t="str">
        <x:v>Продажи</x:v>
      </x:c>
      <x:c r="C9" s="92" t="n">
        <x:f>'Продажи'!B7</x:f>
      </x:c>
      <x:c r="D9" s="92" t="n">
        <x:f>EDATE('Продажи'!B7,'Вводные'!$H$88-1)</x:f>
      </x:c>
      <x:c r="E9" s="139" t="str">
        <x:f>IF(AND(E$4&gt;=$C9,E$4&lt;=$D9,'Вводные'!$B$88="Да"),"■","")</x:f>
      </x:c>
      <x:c r="F9" s="139" t="str">
        <x:f>IF(AND(F$4&gt;=$C9,F$4&lt;=$D9,'Вводные'!$B$88="Да"),"■","")</x:f>
      </x:c>
      <x:c r="G9" s="139" t="str">
        <x:f>IF(AND(G$4&gt;=$C9,G$4&lt;=$D9,'Вводные'!$B$88="Да"),"■","")</x:f>
      </x:c>
      <x:c r="H9" s="139" t="str">
        <x:f>IF(AND(H$4&gt;=$C9,H$4&lt;=$D9,'Вводные'!$B$88="Да"),"■","")</x:f>
      </x:c>
      <x:c r="I9" s="139" t="str">
        <x:f>IF(AND(I$4&gt;=$C9,I$4&lt;=$D9,'Вводные'!$B$88="Да"),"■","")</x:f>
      </x:c>
      <x:c r="J9" s="139" t="str">
        <x:f>IF(AND(J$4&gt;=$C9,J$4&lt;=$D9,'Вводные'!$B$88="Да"),"■","")</x:f>
      </x:c>
      <x:c r="K9" s="139" t="str">
        <x:f>IF(AND(K$4&gt;=$C9,K$4&lt;=$D9,'Вводные'!$B$88="Да"),"■","")</x:f>
      </x:c>
      <x:c r="L9" s="139" t="str">
        <x:f>IF(AND(L$4&gt;=$C9,L$4&lt;=$D9,'Вводные'!$B$88="Да"),"■","")</x:f>
      </x:c>
      <x:c r="M9" s="139" t="str">
        <x:f>IF(AND(M$4&gt;=$C9,M$4&lt;=$D9,'Вводные'!$B$88="Да"),"■","")</x:f>
      </x:c>
      <x:c r="N9" s="139" t="str">
        <x:f>IF(AND(N$4&gt;=$C9,N$4&lt;=$D9,'Вводные'!$B$88="Да"),"■","")</x:f>
      </x:c>
      <x:c r="O9" s="139" t="str">
        <x:f>IF(AND(O$4&gt;=$C9,O$4&lt;=$D9,'Вводные'!$B$88="Да"),"■","")</x:f>
      </x:c>
      <x:c r="P9" s="139" t="str">
        <x:f>IF(AND(P$4&gt;=$C9,P$4&lt;=$D9,'Вводные'!$B$88="Да"),"■","")</x:f>
      </x:c>
      <x:c r="Q9" s="139" t="str">
        <x:f>IF(AND(Q$4&gt;=$C9,Q$4&lt;=$D9,'Вводные'!$B$88="Да"),"■","")</x:f>
      </x:c>
      <x:c r="R9" s="139" t="str">
        <x:f>IF(AND(R$4&gt;=$C9,R$4&lt;=$D9,'Вводные'!$B$88="Да"),"■","")</x:f>
      </x:c>
      <x:c r="S9" s="139" t="str">
        <x:f>IF(AND(S$4&gt;=$C9,S$4&lt;=$D9,'Вводные'!$B$88="Да"),"■","")</x:f>
      </x:c>
      <x:c r="T9" s="139" t="str">
        <x:f>IF(AND(T$4&gt;=$C9,T$4&lt;=$D9,'Вводные'!$B$88="Да"),"■","")</x:f>
      </x:c>
      <x:c r="U9" s="139" t="str">
        <x:f>IF(AND(U$4&gt;=$C9,U$4&lt;=$D9,'Вводные'!$B$88="Да"),"■","")</x:f>
      </x:c>
      <x:c r="V9" s="139" t="str">
        <x:f>IF(AND(V$4&gt;=$C9,V$4&lt;=$D9,'Вводные'!$B$88="Да"),"■","")</x:f>
      </x:c>
      <x:c r="W9" s="139" t="str">
        <x:f>IF(AND(W$4&gt;=$C9,W$4&lt;=$D9,'Вводные'!$B$88="Да"),"■","")</x:f>
      </x:c>
      <x:c r="X9" s="139" t="str">
        <x:f>IF(AND(X$4&gt;=$C9,X$4&lt;=$D9,'Вводные'!$B$88="Да"),"■","")</x:f>
      </x:c>
      <x:c r="Y9" s="139" t="str">
        <x:f>IF(AND(Y$4&gt;=$C9,Y$4&lt;=$D9,'Вводные'!$B$88="Да"),"■","")</x:f>
      </x:c>
      <x:c r="Z9" s="139" t="str">
        <x:f>IF(AND(Z$4&gt;=$C9,Z$4&lt;=$D9,'Вводные'!$B$88="Да"),"■","")</x:f>
      </x:c>
      <x:c r="AA9" s="139" t="str">
        <x:f>IF(AND(AA$4&gt;=$C9,AA$4&lt;=$D9,'Вводные'!$B$88="Да"),"■","")</x:f>
      </x:c>
      <x:c r="AB9" s="139" t="str">
        <x:f>IF(AND(AB$4&gt;=$C9,AB$4&lt;=$D9,'Вводные'!$B$88="Да"),"■","")</x:f>
      </x:c>
      <x:c r="AC9" s="139" t="str">
        <x:f>IF(AND(AC$4&gt;=$C9,AC$4&lt;=$D9,'Вводные'!$B$88="Да"),"■","")</x:f>
      </x:c>
      <x:c r="AD9" s="139" t="str">
        <x:f>IF(AND(AD$4&gt;=$C9,AD$4&lt;=$D9,'Вводные'!$B$88="Да"),"■","")</x:f>
      </x:c>
      <x:c r="AE9" s="139" t="str">
        <x:f>IF(AND(AE$4&gt;=$C9,AE$4&lt;=$D9,'Вводные'!$B$88="Да"),"■","")</x:f>
      </x:c>
      <x:c r="AF9" s="139" t="str">
        <x:f>IF(AND(AF$4&gt;=$C9,AF$4&lt;=$D9,'Вводные'!$B$88="Да"),"■","")</x:f>
      </x:c>
      <x:c r="AG9" s="139" t="str">
        <x:f>IF(AND(AG$4&gt;=$C9,AG$4&lt;=$D9,'Вводные'!$B$88="Да"),"■","")</x:f>
      </x:c>
      <x:c r="AH9" s="139" t="str">
        <x:f>IF(AND(AH$4&gt;=$C9,AH$4&lt;=$D9,'Вводные'!$B$88="Да"),"■","")</x:f>
      </x:c>
      <x:c r="AI9" s="139" t="str">
        <x:f>IF(AND(AI$4&gt;=$C9,AI$4&lt;=$D9,'Вводные'!$B$88="Да"),"■","")</x:f>
      </x:c>
      <x:c r="AJ9" s="139" t="str">
        <x:f>IF(AND(AJ$4&gt;=$C9,AJ$4&lt;=$D9,'Вводные'!$B$88="Да"),"■","")</x:f>
      </x:c>
      <x:c r="AK9" s="139" t="str">
        <x:f>IF(AND(AK$4&gt;=$C9,AK$4&lt;=$D9,'Вводные'!$B$88="Да"),"■","")</x:f>
      </x:c>
      <x:c r="AL9" s="139" t="str">
        <x:f>IF(AND(AL$4&gt;=$C9,AL$4&lt;=$D9,'Вводные'!$B$88="Да"),"■","")</x:f>
      </x:c>
      <x:c r="AM9" s="139" t="str">
        <x:f>IF(AND(AM$4&gt;=$C9,AM$4&lt;=$D9,'Вводные'!$B$88="Да"),"■","")</x:f>
      </x:c>
      <x:c r="AN9" s="139" t="str">
        <x:f>IF(AND(AN$4&gt;=$C9,AN$4&lt;=$D9,'Вводные'!$B$88="Да"),"■","")</x:f>
      </x:c>
      <x:c r="AO9" s="139" t="str">
        <x:f>IF(AND(AO$4&gt;=$C9,AO$4&lt;=$D9,'Вводные'!$B$88="Да"),"■","")</x:f>
      </x:c>
      <x:c r="AP9" s="139" t="str">
        <x:f>IF(AND(AP$4&gt;=$C9,AP$4&lt;=$D9,'Вводные'!$B$88="Да"),"■","")</x:f>
      </x:c>
      <x:c r="AQ9" s="139" t="str">
        <x:f>IF(AND(AQ$4&gt;=$C9,AQ$4&lt;=$D9,'Вводные'!$B$88="Да"),"■","")</x:f>
      </x:c>
      <x:c r="AR9" s="139" t="str">
        <x:f>IF(AND(AR$4&gt;=$C9,AR$4&lt;=$D9,'Вводные'!$B$88="Да"),"■","")</x:f>
      </x:c>
      <x:c r="AS9" s="139" t="str">
        <x:f>IF(AND(AS$4&gt;=$C9,AS$4&lt;=$D9,'Вводные'!$B$88="Да"),"■","")</x:f>
      </x:c>
      <x:c r="AT9" s="139" t="str">
        <x:f>IF(AND(AT$4&gt;=$C9,AT$4&lt;=$D9,'Вводные'!$B$88="Да"),"■","")</x:f>
      </x:c>
      <x:c r="AU9" s="139" t="str">
        <x:f>IF(AND(AU$4&gt;=$C9,AU$4&lt;=$D9,'Вводные'!$B$88="Да"),"■","")</x:f>
      </x:c>
      <x:c r="AV9" s="139" t="str">
        <x:f>IF(AND(AV$4&gt;=$C9,AV$4&lt;=$D9,'Вводные'!$B$88="Да"),"■","")</x:f>
      </x:c>
      <x:c r="AW9" s="139" t="str">
        <x:f>IF(AND(AW$4&gt;=$C9,AW$4&lt;=$D9,'Вводные'!$B$88="Да"),"■","")</x:f>
      </x:c>
      <x:c r="AX9" s="139" t="str">
        <x:f>IF(AND(AX$4&gt;=$C9,AX$4&lt;=$D9,'Вводные'!$B$88="Да"),"■","")</x:f>
      </x:c>
      <x:c r="AY9" s="139" t="str">
        <x:f>IF(AND(AY$4&gt;=$C9,AY$4&lt;=$D9,'Вводные'!$B$88="Да"),"■","")</x:f>
      </x:c>
      <x:c r="AZ9" s="139" t="str">
        <x:f>IF(AND(AZ$4&gt;=$C9,AZ$4&lt;=$D9,'Вводные'!$B$88="Да"),"■","")</x:f>
      </x:c>
      <x:c r="BA9" s="139" t="str">
        <x:f>IF(AND(BA$4&gt;=$C9,BA$4&lt;=$D9,'Вводные'!$B$88="Да"),"■","")</x:f>
      </x:c>
      <x:c r="BB9" s="139" t="str">
        <x:f>IF(AND(BB$4&gt;=$C9,BB$4&lt;=$D9,'Вводные'!$B$88="Да"),"■","")</x:f>
      </x:c>
      <x:c r="BC9" s="139" t="str">
        <x:f>IF(AND(BC$4&gt;=$C9,BC$4&lt;=$D9,'Вводные'!$B$88="Да"),"■","")</x:f>
      </x:c>
      <x:c r="BD9" s="139" t="str">
        <x:f>IF(AND(BD$4&gt;=$C9,BD$4&lt;=$D9,'Вводные'!$B$88="Да"),"■","")</x:f>
      </x:c>
      <x:c r="BE9" s="139" t="str">
        <x:f>IF(AND(BE$4&gt;=$C9,BE$4&lt;=$D9,'Вводные'!$B$88="Да"),"■","")</x:f>
      </x:c>
      <x:c r="BF9" s="139" t="str">
        <x:f>IF(AND(BF$4&gt;=$C9,BF$4&lt;=$D9,'Вводные'!$B$88="Да"),"■","")</x:f>
      </x:c>
      <x:c r="BG9" s="139" t="str">
        <x:f>IF(AND(BG$4&gt;=$C9,BG$4&lt;=$D9,'Вводные'!$B$88="Да"),"■","")</x:f>
      </x:c>
      <x:c r="BH9" s="139" t="str">
        <x:f>IF(AND(BH$4&gt;=$C9,BH$4&lt;=$D9,'Вводные'!$B$88="Да"),"■","")</x:f>
      </x:c>
      <x:c r="BI9" s="139" t="str">
        <x:f>IF(AND(BI$4&gt;=$C9,BI$4&lt;=$D9,'Вводные'!$B$88="Да"),"■","")</x:f>
      </x:c>
      <x:c r="BJ9" s="139" t="str">
        <x:f>IF(AND(BJ$4&gt;=$C9,BJ$4&lt;=$D9,'Вводные'!$B$88="Да"),"■","")</x:f>
      </x:c>
      <x:c r="BK9" s="139" t="str">
        <x:f>IF(AND(BK$4&gt;=$C9,BK$4&lt;=$D9,'Вводные'!$B$88="Да"),"■","")</x:f>
      </x:c>
      <x:c r="BL9" s="139" t="str">
        <x:f>IF(AND(BL$4&gt;=$C9,BL$4&lt;=$D9,'Вводные'!$B$88="Да"),"■","")</x:f>
      </x:c>
      <x:c r="BM9" s="139" t="str">
        <x:f>IF(AND(BM$4&gt;=$C9,BM$4&lt;=$D9,'Вводные'!$B$88="Да"),"■","")</x:f>
      </x:c>
      <x:c r="BN9" s="139" t="str">
        <x:f>IF(AND(BN$4&gt;=$C9,BN$4&lt;=$D9,'Вводные'!$B$88="Да"),"■","")</x:f>
      </x:c>
      <x:c r="BO9" s="139" t="str">
        <x:f>IF(AND(BO$4&gt;=$C9,BO$4&lt;=$D9,'Вводные'!$B$88="Да"),"■","")</x:f>
      </x:c>
      <x:c r="BP9" s="139" t="str">
        <x:f>IF(AND(BP$4&gt;=$C9,BP$4&lt;=$D9,'Вводные'!$B$88="Да"),"■","")</x:f>
      </x:c>
      <x:c r="BQ9" s="139" t="str">
        <x:f>IF(AND(BQ$4&gt;=$C9,BQ$4&lt;=$D9,'Вводные'!$B$88="Да"),"■","")</x:f>
      </x:c>
      <x:c r="BR9" s="139" t="str">
        <x:f>IF(AND(BR$4&gt;=$C9,BR$4&lt;=$D9,'Вводные'!$B$88="Да"),"■","")</x:f>
      </x:c>
      <x:c r="BS9" s="139" t="str">
        <x:f>IF(AND(BS$4&gt;=$C9,BS$4&lt;=$D9,'Вводные'!$B$88="Да"),"■","")</x:f>
      </x:c>
      <x:c r="BT9" s="139" t="str">
        <x:f>IF(AND(BT$4&gt;=$C9,BT$4&lt;=$D9,'Вводные'!$B$88="Да"),"■","")</x:f>
      </x:c>
      <x:c r="BU9" s="139" t="str">
        <x:f>IF(AND(BU$4&gt;=$C9,BU$4&lt;=$D9,'Вводные'!$B$88="Да"),"■","")</x:f>
      </x:c>
      <x:c r="BV9" s="139" t="str">
        <x:f>IF(AND(BV$4&gt;=$C9,BV$4&lt;=$D9,'Вводные'!$B$88="Да"),"■","")</x:f>
      </x:c>
      <x:c r="BW9" s="139" t="str">
        <x:f>IF(AND(BW$4&gt;=$C9,BW$4&lt;=$D9,'Вводные'!$B$88="Да"),"■","")</x:f>
      </x:c>
      <x:c r="BX9" s="139" t="str">
        <x:f>IF(AND(BX$4&gt;=$C9,BX$4&lt;=$D9,'Вводные'!$B$88="Да"),"■","")</x:f>
      </x:c>
      <x:c r="BY9" s="139" t="str">
        <x:f>IF(AND(BY$4&gt;=$C9,BY$4&lt;=$D9,'Вводные'!$B$88="Да"),"■","")</x:f>
      </x:c>
      <x:c r="BZ9" s="139" t="str">
        <x:f>IF(AND(BZ$4&gt;=$C9,BZ$4&lt;=$D9,'Вводные'!$B$88="Да"),"■","")</x:f>
      </x:c>
      <x:c r="CA9" s="139" t="str">
        <x:f>IF(AND(CA$4&gt;=$C9,CA$4&lt;=$D9,'Вводные'!$B$88="Да"),"■","")</x:f>
      </x:c>
      <x:c r="CB9" s="139" t="str">
        <x:f>IF(AND(CB$4&gt;=$C9,CB$4&lt;=$D9,'Вводные'!$B$88="Да"),"■","")</x:f>
      </x:c>
      <x:c r="CC9" s="139" t="str">
        <x:f>IF(AND(CC$4&gt;=$C9,CC$4&lt;=$D9,'Вводные'!$B$88="Да"),"■","")</x:f>
      </x:c>
      <x:c r="CD9" s="139" t="str">
        <x:f>IF(AND(CD$4&gt;=$C9,CD$4&lt;=$D9,'Вводные'!$B$88="Да"),"■","")</x:f>
      </x:c>
      <x:c r="CE9" s="139" t="str">
        <x:f>IF(AND(CE$4&gt;=$C9,CE$4&lt;=$D9,'Вводные'!$B$88="Да"),"■","")</x:f>
      </x:c>
      <x:c r="CF9" s="139" t="str">
        <x:f>IF(AND(CF$4&gt;=$C9,CF$4&lt;=$D9,'Вводные'!$B$88="Да"),"■","")</x:f>
      </x:c>
      <x:c r="CG9" s="139" t="str">
        <x:f>IF(AND(CG$4&gt;=$C9,CG$4&lt;=$D9,'Вводные'!$B$88="Да"),"■","")</x:f>
      </x:c>
      <x:c r="CH9" s="139" t="str">
        <x:f>IF(AND(CH$4&gt;=$C9,CH$4&lt;=$D9,'Вводные'!$B$88="Да"),"■","")</x:f>
      </x:c>
      <x:c r="CI9" s="139" t="str">
        <x:f>IF(AND(CI$4&gt;=$C9,CI$4&lt;=$D9,'Вводные'!$B$88="Да"),"■","")</x:f>
      </x:c>
      <x:c r="CJ9" s="139" t="str">
        <x:f>IF(AND(CJ$4&gt;=$C9,CJ$4&lt;=$D9,'Вводные'!$B$88="Да"),"■","")</x:f>
      </x:c>
      <x:c r="CK9" s="139" t="str">
        <x:f>IF(AND(CK$4&gt;=$C9,CK$4&lt;=$D9,'Вводные'!$B$88="Да"),"■","")</x:f>
      </x:c>
      <x:c r="CL9" s="139" t="str">
        <x:f>IF(AND(CL$4&gt;=$C9,CL$4&lt;=$D9,'Вводные'!$B$88="Да"),"■","")</x:f>
      </x:c>
      <x:c r="CM9" s="139" t="str">
        <x:f>IF(AND(CM$4&gt;=$C9,CM$4&lt;=$D9,'Вводные'!$B$88="Да"),"■","")</x:f>
      </x:c>
      <x:c r="CN9" s="139" t="str">
        <x:f>IF(AND(CN$4&gt;=$C9,CN$4&lt;=$D9,'Вводные'!$B$88="Да"),"■","")</x:f>
      </x:c>
      <x:c r="CO9" s="139" t="str">
        <x:f>IF(AND(CO$4&gt;=$C9,CO$4&lt;=$D9,'Вводные'!$B$88="Да"),"■","")</x:f>
      </x:c>
      <x:c r="CP9" s="139" t="str">
        <x:f>IF(AND(CP$4&gt;=$C9,CP$4&lt;=$D9,'Вводные'!$B$88="Да"),"■","")</x:f>
      </x:c>
      <x:c r="CQ9" s="139" t="str">
        <x:f>IF(AND(CQ$4&gt;=$C9,CQ$4&lt;=$D9,'Вводные'!$B$88="Да"),"■","")</x:f>
      </x:c>
      <x:c r="CR9" s="139" t="str">
        <x:f>IF(AND(CR$4&gt;=$C9,CR$4&lt;=$D9,'Вводные'!$B$88="Да"),"■","")</x:f>
      </x:c>
      <x:c r="CS9" s="139" t="str">
        <x:f>IF(AND(CS$4&gt;=$C9,CS$4&lt;=$D9,'Вводные'!$B$88="Да"),"■","")</x:f>
      </x:c>
      <x:c r="CT9" s="139" t="str">
        <x:f>IF(AND(CT$4&gt;=$C9,CT$4&lt;=$D9,'Вводные'!$B$88="Да"),"■","")</x:f>
      </x:c>
      <x:c r="CU9" s="139" t="str">
        <x:f>IF(AND(CU$4&gt;=$C9,CU$4&lt;=$D9,'Вводные'!$B$88="Да"),"■","")</x:f>
      </x:c>
      <x:c r="CV9" s="139" t="str">
        <x:f>IF(AND(CV$4&gt;=$C9,CV$4&lt;=$D9,'Вводные'!$B$88="Да"),"■","")</x:f>
      </x:c>
      <x:c r="CW9" s="139" t="str">
        <x:f>IF(AND(CW$4&gt;=$C9,CW$4&lt;=$D9,'Вводные'!$B$88="Да"),"■","")</x:f>
      </x:c>
      <x:c r="CX9" s="139" t="str">
        <x:f>IF(AND(CX$4&gt;=$C9,CX$4&lt;=$D9,'Вводные'!$B$88="Да"),"■","")</x:f>
      </x:c>
      <x:c r="CY9" s="139" t="str">
        <x:f>IF(AND(CY$4&gt;=$C9,CY$4&lt;=$D9,'Вводные'!$B$88="Да"),"■","")</x:f>
      </x:c>
      <x:c r="CZ9" s="139" t="str">
        <x:f>IF(AND(CZ$4&gt;=$C9,CZ$4&lt;=$D9,'Вводные'!$B$88="Да"),"■","")</x:f>
      </x:c>
      <x:c r="DA9" s="139" t="str">
        <x:f>IF(AND(DA$4&gt;=$C9,DA$4&lt;=$D9,'Вводные'!$B$88="Да"),"■","")</x:f>
      </x:c>
      <x:c r="DB9" s="139" t="str">
        <x:f>IF(AND(DB$4&gt;=$C9,DB$4&lt;=$D9,'Вводные'!$B$88="Да"),"■","")</x:f>
      </x:c>
      <x:c r="DC9" s="139" t="str">
        <x:f>IF(AND(DC$4&gt;=$C9,DC$4&lt;=$D9,'Вводные'!$B$88="Да"),"■","")</x:f>
      </x:c>
      <x:c r="DD9" s="139" t="str">
        <x:f>IF(AND(DD$4&gt;=$C9,DD$4&lt;=$D9,'Вводные'!$B$88="Да"),"■","")</x:f>
      </x:c>
      <x:c r="DE9" s="139" t="str">
        <x:f>IF(AND(DE$4&gt;=$C9,DE$4&lt;=$D9,'Вводные'!$B$88="Да"),"■","")</x:f>
      </x:c>
      <x:c r="DF9" s="139" t="str">
        <x:f>IF(AND(DF$4&gt;=$C9,DF$4&lt;=$D9,'Вводные'!$B$88="Да"),"■","")</x:f>
      </x:c>
      <x:c r="DG9" s="139" t="str">
        <x:f>IF(AND(DG$4&gt;=$C9,DG$4&lt;=$D9,'Вводные'!$B$88="Да"),"■","")</x:f>
      </x:c>
      <x:c r="DH9" s="139" t="str">
        <x:f>IF(AND(DH$4&gt;=$C9,DH$4&lt;=$D9,'Вводные'!$B$88="Да"),"■","")</x:f>
      </x:c>
      <x:c r="DI9" s="139" t="str">
        <x:f>IF(AND(DI$4&gt;=$C9,DI$4&lt;=$D9,'Вводные'!$B$88="Да"),"■","")</x:f>
      </x:c>
      <x:c r="DJ9" s="139" t="str">
        <x:f>IF(AND(DJ$4&gt;=$C9,DJ$4&lt;=$D9,'Вводные'!$B$88="Да"),"■","")</x:f>
      </x:c>
      <x:c r="DK9" s="139" t="str">
        <x:f>IF(AND(DK$4&gt;=$C9,DK$4&lt;=$D9,'Вводные'!$B$88="Да"),"■","")</x:f>
      </x:c>
      <x:c r="DL9" s="139" t="str">
        <x:f>IF(AND(DL$4&gt;=$C9,DL$4&lt;=$D9,'Вводные'!$B$88="Да"),"■","")</x:f>
      </x:c>
      <x:c r="DM9" s="139" t="str">
        <x:f>IF(AND(DM$4&gt;=$C9,DM$4&lt;=$D9,'Вводные'!$B$88="Да"),"■","")</x:f>
      </x:c>
      <x:c r="DN9" s="139" t="str">
        <x:f>IF(AND(DN$4&gt;=$C9,DN$4&lt;=$D9,'Вводные'!$B$88="Да"),"■","")</x:f>
      </x:c>
      <x:c r="DO9" s="139" t="str">
        <x:f>IF(AND(DO$4&gt;=$C9,DO$4&lt;=$D9,'Вводные'!$B$88="Да"),"■","")</x:f>
      </x:c>
      <x:c r="DP9" s="139" t="str">
        <x:f>IF(AND(DP$4&gt;=$C9,DP$4&lt;=$D9,'Вводные'!$B$88="Да"),"■","")</x:f>
      </x:c>
      <x:c r="DQ9" s="139" t="str">
        <x:f>IF(AND(DQ$4&gt;=$C9,DQ$4&lt;=$D9,'Вводные'!$B$88="Да"),"■","")</x:f>
      </x:c>
      <x:c r="DR9" s="139" t="str">
        <x:f>IF(AND(DR$4&gt;=$C9,DR$4&lt;=$D9,'Вводные'!$B$88="Да"),"■","")</x:f>
      </x:c>
      <x:c r="DS9" s="139" t="str">
        <x:f>IF(AND(DS$4&gt;=$C9,DS$4&lt;=$D9,'Вводные'!$B$88="Да"),"■","")</x:f>
      </x:c>
      <x:c r="DT9" s="139" t="str">
        <x:f>IF(AND(DT$4&gt;=$C9,DT$4&lt;=$D9,'Вводные'!$B$88="Да"),"■","")</x:f>
      </x:c>
      <x:c r="DU9" s="139" t="str">
        <x:f>IF(AND(DU$4&gt;=$C9,DU$4&lt;=$D9,'Вводные'!$B$88="Да"),"■","")</x:f>
      </x:c>
      <x:c r="DV9" s="139" t="str">
        <x:f>IF(AND(DV$4&gt;=$C9,DV$4&lt;=$D9,'Вводные'!$B$88="Да"),"■","")</x:f>
      </x:c>
      <x:c r="DW9" s="139" t="str">
        <x:f>IF(AND(DW$4&gt;=$C9,DW$4&lt;=$D9,'Вводные'!$B$88="Да"),"■","")</x:f>
      </x:c>
      <x:c r="DX9" s="139" t="str">
        <x:f>IF(AND(DX$4&gt;=$C9,DX$4&lt;=$D9,'Вводные'!$B$88="Да"),"■","")</x:f>
      </x:c>
      <x:c r="DY9" s="139" t="str">
        <x:f>IF(AND(DY$4&gt;=$C9,DY$4&lt;=$D9,'Вводные'!$B$88="Да"),"■","")</x:f>
      </x:c>
      <x:c r="DZ9" s="139" t="str">
        <x:f>IF(AND(DZ$4&gt;=$C9,DZ$4&lt;=$D9,'Вводные'!$B$88="Да"),"■","")</x:f>
      </x:c>
      <x:c r="EA9" s="139" t="str">
        <x:f>IF(AND(EA$4&gt;=$C9,EA$4&lt;=$D9,'Вводные'!$B$88="Да"),"■","")</x:f>
      </x:c>
      <x:c r="EB9" s="139" t="str">
        <x:f>IF(AND(EB$4&gt;=$C9,EB$4&lt;=$D9,'Вводные'!$B$88="Да"),"■","")</x:f>
      </x:c>
      <x:c r="EC9" s="139" t="str">
        <x:f>IF(AND(EC$4&gt;=$C9,EC$4&lt;=$D9,'Вводные'!$B$88="Да"),"■","")</x:f>
      </x:c>
      <x:c r="ED9" s="139" t="str">
        <x:f>IF(AND(ED$4&gt;=$C9,ED$4&lt;=$D9,'Вводные'!$B$88="Да"),"■","")</x:f>
      </x:c>
      <x:c r="EE9" s="139" t="str">
        <x:f>IF(AND(EE$4&gt;=$C9,EE$4&lt;=$D9,'Вводные'!$B$88="Да"),"■","")</x:f>
      </x:c>
      <x:c r="EF9" s="139" t="str">
        <x:f>IF(AND(EF$4&gt;=$C9,EF$4&lt;=$D9,'Вводные'!$B$88="Да"),"■","")</x:f>
      </x:c>
      <x:c r="EG9" s="139" t="str">
        <x:f>IF(AND(EG$4&gt;=$C9,EG$4&lt;=$D9,'Вводные'!$B$88="Да"),"■","")</x:f>
      </x:c>
      <x:c r="EH9" s="139" t="str">
        <x:f>IF(AND(EH$4&gt;=$C9,EH$4&lt;=$D9,'Вводные'!$B$88="Да"),"■","")</x:f>
      </x:c>
      <x:c r="EI9" s="139" t="str">
        <x:f>IF(AND(EI$4&gt;=$C9,EI$4&lt;=$D9,'Вводные'!$B$88="Да"),"■","")</x:f>
      </x:c>
      <x:c r="EJ9" s="139" t="str">
        <x:f>IF(AND(EJ$4&gt;=$C9,EJ$4&lt;=$D9,'Вводные'!$B$88="Да"),"■","")</x:f>
      </x:c>
      <x:c r="EK9" s="139" t="str">
        <x:f>IF(AND(EK$4&gt;=$C9,EK$4&lt;=$D9,'Вводные'!$B$88="Да"),"■","")</x:f>
      </x:c>
      <x:c r="EL9" s="139" t="str">
        <x:f>IF(AND(EL$4&gt;=$C9,EL$4&lt;=$D9,'Вводные'!$B$88="Да"),"■","")</x:f>
      </x:c>
      <x:c r="EM9" s="139" t="str">
        <x:f>IF(AND(EM$4&gt;=$C9,EM$4&lt;=$D9,'Вводные'!$B$88="Да"),"■","")</x:f>
      </x:c>
      <x:c r="EN9" s="139" t="str">
        <x:f>IF(AND(EN$4&gt;=$C9,EN$4&lt;=$D9,'Вводные'!$B$88="Да"),"■","")</x:f>
      </x:c>
      <x:c r="EO9" s="139" t="str">
        <x:f>IF(AND(EO$4&gt;=$C9,EO$4&lt;=$D9,'Вводные'!$B$88="Да"),"■","")</x:f>
      </x:c>
      <x:c r="EP9" s="139" t="str">
        <x:f>IF(AND(EP$4&gt;=$C9,EP$4&lt;=$D9,'Вводные'!$B$88="Да"),"■","")</x:f>
      </x:c>
      <x:c r="EQ9" s="139" t="str">
        <x:f>IF(AND(EQ$4&gt;=$C9,EQ$4&lt;=$D9,'Вводные'!$B$88="Да"),"■","")</x:f>
      </x:c>
      <x:c r="ER9" s="139" t="str">
        <x:f>IF(AND(ER$4&gt;=$C9,ER$4&lt;=$D9,'Вводные'!$B$88="Да"),"■","")</x:f>
      </x:c>
      <x:c r="ES9" s="139" t="str">
        <x:f>IF(AND(ES$4&gt;=$C9,ES$4&lt;=$D9,'Вводные'!$B$88="Да"),"■","")</x:f>
      </x:c>
      <x:c r="ET9" s="139" t="str">
        <x:f>IF(AND(ET$4&gt;=$C9,ET$4&lt;=$D9,'Вводные'!$B$88="Да"),"■","")</x:f>
      </x:c>
      <x:c r="EU9" s="139" t="str">
        <x:f>IF(AND(EU$4&gt;=$C9,EU$4&lt;=$D9,'Вводные'!$B$88="Да"),"■","")</x:f>
      </x:c>
      <x:c r="EV9" s="139" t="str">
        <x:f>IF(AND(EV$4&gt;=$C9,EV$4&lt;=$D9,'Вводные'!$B$88="Да"),"■","")</x:f>
      </x:c>
      <x:c r="EW9" s="139" t="str">
        <x:f>IF(AND(EW$4&gt;=$C9,EW$4&lt;=$D9,'Вводные'!$B$88="Да"),"■","")</x:f>
      </x:c>
      <x:c r="EX9" s="139" t="str">
        <x:f>IF(AND(EX$4&gt;=$C9,EX$4&lt;=$D9,'Вводные'!$B$88="Да"),"■","")</x:f>
      </x:c>
      <x:c r="EY9" s="139" t="str">
        <x:f>IF(AND(EY$4&gt;=$C9,EY$4&lt;=$D9,'Вводные'!$B$88="Да"),"■","")</x:f>
      </x:c>
      <x:c r="EZ9" s="139" t="str">
        <x:f>IF(AND(EZ$4&gt;=$C9,EZ$4&lt;=$D9,'Вводные'!$B$88="Да"),"■","")</x:f>
      </x:c>
      <x:c r="FA9" s="139" t="str">
        <x:f>IF(AND(FA$4&gt;=$C9,FA$4&lt;=$D9,'Вводные'!$B$88="Да"),"■","")</x:f>
      </x:c>
      <x:c r="FB9" s="139" t="str">
        <x:f>IF(AND(FB$4&gt;=$C9,FB$4&lt;=$D9,'Вводные'!$B$88="Да"),"■","")</x:f>
      </x:c>
      <x:c r="FC9" s="139" t="str">
        <x:f>IF(AND(FC$4&gt;=$C9,FC$4&lt;=$D9,'Вводные'!$B$88="Да"),"■","")</x:f>
      </x:c>
      <x:c r="FD9" s="139" t="str">
        <x:f>IF(AND(FD$4&gt;=$C9,FD$4&lt;=$D9,'Вводные'!$B$88="Да"),"■","")</x:f>
      </x:c>
      <x:c r="FE9" s="139" t="str">
        <x:f>IF(AND(FE$4&gt;=$C9,FE$4&lt;=$D9,'Вводные'!$B$88="Да"),"■","")</x:f>
      </x:c>
      <x:c r="FF9" s="139" t="str">
        <x:f>IF(AND(FF$4&gt;=$C9,FF$4&lt;=$D9,'Вводные'!$B$88="Да"),"■","")</x:f>
      </x:c>
      <x:c r="FG9" s="139" t="str">
        <x:f>IF(AND(FG$4&gt;=$C9,FG$4&lt;=$D9,'Вводные'!$B$88="Да"),"■","")</x:f>
      </x:c>
      <x:c r="FH9" s="139" t="str">
        <x:f>IF(AND(FH$4&gt;=$C9,FH$4&lt;=$D9,'Вводные'!$B$88="Да"),"■","")</x:f>
      </x:c>
      <x:c r="FI9" s="139" t="str">
        <x:f>IF(AND(FI$4&gt;=$C9,FI$4&lt;=$D9,'Вводные'!$B$88="Да"),"■","")</x:f>
      </x:c>
      <x:c r="FJ9" s="139" t="str">
        <x:f>IF(AND(FJ$4&gt;=$C9,FJ$4&lt;=$D9,'Вводные'!$B$88="Да"),"■","")</x:f>
      </x:c>
      <x:c r="FK9" s="139" t="str">
        <x:f>IF(AND(FK$4&gt;=$C9,FK$4&lt;=$D9,'Вводные'!$B$88="Да"),"■","")</x:f>
      </x:c>
      <x:c r="FL9" s="139" t="str">
        <x:f>IF(AND(FL$4&gt;=$C9,FL$4&lt;=$D9,'Вводные'!$B$88="Да"),"■","")</x:f>
      </x:c>
      <x:c r="FM9" s="139" t="str">
        <x:f>IF(AND(FM$4&gt;=$C9,FM$4&lt;=$D9,'Вводные'!$B$88="Да"),"■","")</x:f>
      </x:c>
      <x:c r="FN9" s="139" t="str">
        <x:f>IF(AND(FN$4&gt;=$C9,FN$4&lt;=$D9,'Вводные'!$B$88="Да"),"■","")</x:f>
      </x:c>
      <x:c r="FO9" s="139" t="str">
        <x:f>IF(AND(FO$4&gt;=$C9,FO$4&lt;=$D9,'Вводные'!$B$88="Да"),"■","")</x:f>
      </x:c>
      <x:c r="FP9" s="139" t="str">
        <x:f>IF(AND(FP$4&gt;=$C9,FP$4&lt;=$D9,'Вводные'!$B$88="Да"),"■","")</x:f>
      </x:c>
      <x:c r="FQ9" s="139" t="str">
        <x:f>IF(AND(FQ$4&gt;=$C9,FQ$4&lt;=$D9,'Вводные'!$B$88="Да"),"■","")</x:f>
      </x:c>
      <x:c r="FR9" s="139" t="str">
        <x:f>IF(AND(FR$4&gt;=$C9,FR$4&lt;=$D9,'Вводные'!$B$88="Да"),"■","")</x:f>
      </x:c>
      <x:c r="FS9" s="139" t="str">
        <x:f>IF(AND(FS$4&gt;=$C9,FS$4&lt;=$D9,'Вводные'!$B$88="Да"),"■","")</x:f>
      </x:c>
      <x:c r="FT9" s="139" t="str">
        <x:f>IF(AND(FT$4&gt;=$C9,FT$4&lt;=$D9,'Вводные'!$B$88="Да"),"■","")</x:f>
      </x:c>
      <x:c r="FU9" s="139" t="str">
        <x:f>IF(AND(FU$4&gt;=$C9,FU$4&lt;=$D9,'Вводные'!$B$88="Да"),"■","")</x:f>
      </x:c>
      <x:c r="FV9" s="139" t="str">
        <x:f>IF(AND(FV$4&gt;=$C9,FV$4&lt;=$D9,'Вводные'!$B$88="Да"),"■","")</x:f>
      </x:c>
      <x:c r="FW9" s="139" t="str">
        <x:f>IF(AND(FW$4&gt;=$C9,FW$4&lt;=$D9,'Вводные'!$B$88="Да"),"■","")</x:f>
      </x:c>
      <x:c r="FX9" s="139" t="str">
        <x:f>IF(AND(FX$4&gt;=$C9,FX$4&lt;=$D9,'Вводные'!$B$88="Да"),"■","")</x:f>
      </x:c>
      <x:c r="FY9" s="139" t="str">
        <x:f>IF(AND(FY$4&gt;=$C9,FY$4&lt;=$D9,'Вводные'!$B$88="Да"),"■","")</x:f>
      </x:c>
      <x:c r="FZ9" s="139" t="str">
        <x:f>IF(AND(FZ$4&gt;=$C9,FZ$4&lt;=$D9,'Вводные'!$B$88="Да"),"■","")</x:f>
      </x:c>
      <x:c r="GA9" s="139" t="str">
        <x:f>IF(AND(GA$4&gt;=$C9,GA$4&lt;=$D9,'Вводные'!$B$88="Да"),"■","")</x:f>
      </x:c>
      <x:c r="GB9" s="139" t="str">
        <x:f>IF(AND(GB$4&gt;=$C9,GB$4&lt;=$D9,'Вводные'!$B$88="Да"),"■","")</x:f>
      </x:c>
    </x:row>
    <x:row r="10">
      <x:c r="A10" t="str">
        <x:f>'Вводные'!$C$88</x:f>
      </x:c>
      <x:c r="B10" t="str">
        <x:v>Строительство</x:v>
      </x:c>
      <x:c r="C10" s="92" t="n">
        <x:f>'CF_1'!B7</x:f>
      </x:c>
      <x:c r="D10" s="92" t="n">
        <x:f>EDATE(C10,'Вводные'!$F$88-1)</x:f>
      </x:c>
      <x:c r="E10" s="141" t="str">
        <x:f>IF(AND(E$4&gt;=$C10,E$4&lt;=$D10,'Вводные'!$B$88="Да"),"■","")</x:f>
      </x:c>
      <x:c r="F10" s="141" t="str">
        <x:f>IF(AND(F$4&gt;=$C10,F$4&lt;=$D10,'Вводные'!$B$88="Да"),"■","")</x:f>
      </x:c>
      <x:c r="G10" s="141" t="str">
        <x:f>IF(AND(G$4&gt;=$C10,G$4&lt;=$D10,'Вводные'!$B$88="Да"),"■","")</x:f>
      </x:c>
      <x:c r="H10" s="141" t="str">
        <x:f>IF(AND(H$4&gt;=$C10,H$4&lt;=$D10,'Вводные'!$B$88="Да"),"■","")</x:f>
      </x:c>
      <x:c r="I10" s="141" t="str">
        <x:f>IF(AND(I$4&gt;=$C10,I$4&lt;=$D10,'Вводные'!$B$88="Да"),"■","")</x:f>
      </x:c>
      <x:c r="J10" s="141" t="str">
        <x:f>IF(AND(J$4&gt;=$C10,J$4&lt;=$D10,'Вводные'!$B$88="Да"),"■","")</x:f>
      </x:c>
      <x:c r="K10" s="141" t="str">
        <x:f>IF(AND(K$4&gt;=$C10,K$4&lt;=$D10,'Вводные'!$B$88="Да"),"■","")</x:f>
      </x:c>
      <x:c r="L10" s="141" t="str">
        <x:f>IF(AND(L$4&gt;=$C10,L$4&lt;=$D10,'Вводные'!$B$88="Да"),"■","")</x:f>
      </x:c>
      <x:c r="M10" s="141" t="str">
        <x:f>IF(AND(M$4&gt;=$C10,M$4&lt;=$D10,'Вводные'!$B$88="Да"),"■","")</x:f>
      </x:c>
      <x:c r="N10" s="141" t="str">
        <x:f>IF(AND(N$4&gt;=$C10,N$4&lt;=$D10,'Вводные'!$B$88="Да"),"■","")</x:f>
      </x:c>
      <x:c r="O10" s="141" t="str">
        <x:f>IF(AND(O$4&gt;=$C10,O$4&lt;=$D10,'Вводные'!$B$88="Да"),"■","")</x:f>
      </x:c>
      <x:c r="P10" s="141" t="str">
        <x:f>IF(AND(P$4&gt;=$C10,P$4&lt;=$D10,'Вводные'!$B$88="Да"),"■","")</x:f>
      </x:c>
      <x:c r="Q10" s="141" t="str">
        <x:f>IF(AND(Q$4&gt;=$C10,Q$4&lt;=$D10,'Вводные'!$B$88="Да"),"■","")</x:f>
      </x:c>
      <x:c r="R10" s="141" t="str">
        <x:f>IF(AND(R$4&gt;=$C10,R$4&lt;=$D10,'Вводные'!$B$88="Да"),"■","")</x:f>
      </x:c>
      <x:c r="S10" s="141" t="str">
        <x:f>IF(AND(S$4&gt;=$C10,S$4&lt;=$D10,'Вводные'!$B$88="Да"),"■","")</x:f>
      </x:c>
      <x:c r="T10" s="141" t="str">
        <x:f>IF(AND(T$4&gt;=$C10,T$4&lt;=$D10,'Вводные'!$B$88="Да"),"■","")</x:f>
      </x:c>
      <x:c r="U10" s="141" t="str">
        <x:f>IF(AND(U$4&gt;=$C10,U$4&lt;=$D10,'Вводные'!$B$88="Да"),"■","")</x:f>
      </x:c>
      <x:c r="V10" s="141" t="str">
        <x:f>IF(AND(V$4&gt;=$C10,V$4&lt;=$D10,'Вводные'!$B$88="Да"),"■","")</x:f>
      </x:c>
      <x:c r="W10" s="141" t="str">
        <x:f>IF(AND(W$4&gt;=$C10,W$4&lt;=$D10,'Вводные'!$B$88="Да"),"■","")</x:f>
      </x:c>
      <x:c r="X10" s="141" t="str">
        <x:f>IF(AND(X$4&gt;=$C10,X$4&lt;=$D10,'Вводные'!$B$88="Да"),"■","")</x:f>
      </x:c>
      <x:c r="Y10" s="141" t="str">
        <x:f>IF(AND(Y$4&gt;=$C10,Y$4&lt;=$D10,'Вводные'!$B$88="Да"),"■","")</x:f>
      </x:c>
      <x:c r="Z10" s="141" t="str">
        <x:f>IF(AND(Z$4&gt;=$C10,Z$4&lt;=$D10,'Вводные'!$B$88="Да"),"■","")</x:f>
      </x:c>
      <x:c r="AA10" s="141" t="str">
        <x:f>IF(AND(AA$4&gt;=$C10,AA$4&lt;=$D10,'Вводные'!$B$88="Да"),"■","")</x:f>
      </x:c>
      <x:c r="AB10" s="141" t="str">
        <x:f>IF(AND(AB$4&gt;=$C10,AB$4&lt;=$D10,'Вводные'!$B$88="Да"),"■","")</x:f>
      </x:c>
      <x:c r="AC10" s="141" t="str">
        <x:f>IF(AND(AC$4&gt;=$C10,AC$4&lt;=$D10,'Вводные'!$B$88="Да"),"■","")</x:f>
      </x:c>
      <x:c r="AD10" s="141" t="str">
        <x:f>IF(AND(AD$4&gt;=$C10,AD$4&lt;=$D10,'Вводные'!$B$88="Да"),"■","")</x:f>
      </x:c>
      <x:c r="AE10" s="141" t="str">
        <x:f>IF(AND(AE$4&gt;=$C10,AE$4&lt;=$D10,'Вводные'!$B$88="Да"),"■","")</x:f>
      </x:c>
      <x:c r="AF10" s="141" t="str">
        <x:f>IF(AND(AF$4&gt;=$C10,AF$4&lt;=$D10,'Вводные'!$B$88="Да"),"■","")</x:f>
      </x:c>
      <x:c r="AG10" s="141" t="str">
        <x:f>IF(AND(AG$4&gt;=$C10,AG$4&lt;=$D10,'Вводные'!$B$88="Да"),"■","")</x:f>
      </x:c>
      <x:c r="AH10" s="141" t="str">
        <x:f>IF(AND(AH$4&gt;=$C10,AH$4&lt;=$D10,'Вводные'!$B$88="Да"),"■","")</x:f>
      </x:c>
      <x:c r="AI10" s="141" t="str">
        <x:f>IF(AND(AI$4&gt;=$C10,AI$4&lt;=$D10,'Вводные'!$B$88="Да"),"■","")</x:f>
      </x:c>
      <x:c r="AJ10" s="141" t="str">
        <x:f>IF(AND(AJ$4&gt;=$C10,AJ$4&lt;=$D10,'Вводные'!$B$88="Да"),"■","")</x:f>
      </x:c>
      <x:c r="AK10" s="141" t="str">
        <x:f>IF(AND(AK$4&gt;=$C10,AK$4&lt;=$D10,'Вводные'!$B$88="Да"),"■","")</x:f>
      </x:c>
      <x:c r="AL10" s="141" t="str">
        <x:f>IF(AND(AL$4&gt;=$C10,AL$4&lt;=$D10,'Вводные'!$B$88="Да"),"■","")</x:f>
      </x:c>
      <x:c r="AM10" s="141" t="str">
        <x:f>IF(AND(AM$4&gt;=$C10,AM$4&lt;=$D10,'Вводные'!$B$88="Да"),"■","")</x:f>
      </x:c>
      <x:c r="AN10" s="141" t="str">
        <x:f>IF(AND(AN$4&gt;=$C10,AN$4&lt;=$D10,'Вводные'!$B$88="Да"),"■","")</x:f>
      </x:c>
      <x:c r="AO10" s="141" t="str">
        <x:f>IF(AND(AO$4&gt;=$C10,AO$4&lt;=$D10,'Вводные'!$B$88="Да"),"■","")</x:f>
      </x:c>
      <x:c r="AP10" s="141" t="str">
        <x:f>IF(AND(AP$4&gt;=$C10,AP$4&lt;=$D10,'Вводные'!$B$88="Да"),"■","")</x:f>
      </x:c>
      <x:c r="AQ10" s="141" t="str">
        <x:f>IF(AND(AQ$4&gt;=$C10,AQ$4&lt;=$D10,'Вводные'!$B$88="Да"),"■","")</x:f>
      </x:c>
      <x:c r="AR10" s="141" t="str">
        <x:f>IF(AND(AR$4&gt;=$C10,AR$4&lt;=$D10,'Вводные'!$B$88="Да"),"■","")</x:f>
      </x:c>
      <x:c r="AS10" s="141" t="str">
        <x:f>IF(AND(AS$4&gt;=$C10,AS$4&lt;=$D10,'Вводные'!$B$88="Да"),"■","")</x:f>
      </x:c>
      <x:c r="AT10" s="141" t="str">
        <x:f>IF(AND(AT$4&gt;=$C10,AT$4&lt;=$D10,'Вводные'!$B$88="Да"),"■","")</x:f>
      </x:c>
      <x:c r="AU10" s="141" t="str">
        <x:f>IF(AND(AU$4&gt;=$C10,AU$4&lt;=$D10,'Вводные'!$B$88="Да"),"■","")</x:f>
      </x:c>
      <x:c r="AV10" s="141" t="str">
        <x:f>IF(AND(AV$4&gt;=$C10,AV$4&lt;=$D10,'Вводные'!$B$88="Да"),"■","")</x:f>
      </x:c>
      <x:c r="AW10" s="141" t="str">
        <x:f>IF(AND(AW$4&gt;=$C10,AW$4&lt;=$D10,'Вводные'!$B$88="Да"),"■","")</x:f>
      </x:c>
      <x:c r="AX10" s="141" t="str">
        <x:f>IF(AND(AX$4&gt;=$C10,AX$4&lt;=$D10,'Вводные'!$B$88="Да"),"■","")</x:f>
      </x:c>
      <x:c r="AY10" s="141" t="str">
        <x:f>IF(AND(AY$4&gt;=$C10,AY$4&lt;=$D10,'Вводные'!$B$88="Да"),"■","")</x:f>
      </x:c>
      <x:c r="AZ10" s="141" t="str">
        <x:f>IF(AND(AZ$4&gt;=$C10,AZ$4&lt;=$D10,'Вводные'!$B$88="Да"),"■","")</x:f>
      </x:c>
      <x:c r="BA10" s="141" t="str">
        <x:f>IF(AND(BA$4&gt;=$C10,BA$4&lt;=$D10,'Вводные'!$B$88="Да"),"■","")</x:f>
      </x:c>
      <x:c r="BB10" s="141" t="str">
        <x:f>IF(AND(BB$4&gt;=$C10,BB$4&lt;=$D10,'Вводные'!$B$88="Да"),"■","")</x:f>
      </x:c>
      <x:c r="BC10" s="141" t="str">
        <x:f>IF(AND(BC$4&gt;=$C10,BC$4&lt;=$D10,'Вводные'!$B$88="Да"),"■","")</x:f>
      </x:c>
      <x:c r="BD10" s="141" t="str">
        <x:f>IF(AND(BD$4&gt;=$C10,BD$4&lt;=$D10,'Вводные'!$B$88="Да"),"■","")</x:f>
      </x:c>
      <x:c r="BE10" s="141" t="str">
        <x:f>IF(AND(BE$4&gt;=$C10,BE$4&lt;=$D10,'Вводные'!$B$88="Да"),"■","")</x:f>
      </x:c>
      <x:c r="BF10" s="141" t="str">
        <x:f>IF(AND(BF$4&gt;=$C10,BF$4&lt;=$D10,'Вводные'!$B$88="Да"),"■","")</x:f>
      </x:c>
      <x:c r="BG10" s="141" t="str">
        <x:f>IF(AND(BG$4&gt;=$C10,BG$4&lt;=$D10,'Вводные'!$B$88="Да"),"■","")</x:f>
      </x:c>
      <x:c r="BH10" s="141" t="str">
        <x:f>IF(AND(BH$4&gt;=$C10,BH$4&lt;=$D10,'Вводные'!$B$88="Да"),"■","")</x:f>
      </x:c>
      <x:c r="BI10" s="141" t="str">
        <x:f>IF(AND(BI$4&gt;=$C10,BI$4&lt;=$D10,'Вводные'!$B$88="Да"),"■","")</x:f>
      </x:c>
      <x:c r="BJ10" s="141" t="str">
        <x:f>IF(AND(BJ$4&gt;=$C10,BJ$4&lt;=$D10,'Вводные'!$B$88="Да"),"■","")</x:f>
      </x:c>
      <x:c r="BK10" s="141" t="str">
        <x:f>IF(AND(BK$4&gt;=$C10,BK$4&lt;=$D10,'Вводные'!$B$88="Да"),"■","")</x:f>
      </x:c>
      <x:c r="BL10" s="141" t="str">
        <x:f>IF(AND(BL$4&gt;=$C10,BL$4&lt;=$D10,'Вводные'!$B$88="Да"),"■","")</x:f>
      </x:c>
      <x:c r="BM10" s="141" t="str">
        <x:f>IF(AND(BM$4&gt;=$C10,BM$4&lt;=$D10,'Вводные'!$B$88="Да"),"■","")</x:f>
      </x:c>
      <x:c r="BN10" s="141" t="str">
        <x:f>IF(AND(BN$4&gt;=$C10,BN$4&lt;=$D10,'Вводные'!$B$88="Да"),"■","")</x:f>
      </x:c>
      <x:c r="BO10" s="141" t="str">
        <x:f>IF(AND(BO$4&gt;=$C10,BO$4&lt;=$D10,'Вводные'!$B$88="Да"),"■","")</x:f>
      </x:c>
      <x:c r="BP10" s="141" t="str">
        <x:f>IF(AND(BP$4&gt;=$C10,BP$4&lt;=$D10,'Вводные'!$B$88="Да"),"■","")</x:f>
      </x:c>
      <x:c r="BQ10" s="141" t="str">
        <x:f>IF(AND(BQ$4&gt;=$C10,BQ$4&lt;=$D10,'Вводные'!$B$88="Да"),"■","")</x:f>
      </x:c>
      <x:c r="BR10" s="141" t="str">
        <x:f>IF(AND(BR$4&gt;=$C10,BR$4&lt;=$D10,'Вводные'!$B$88="Да"),"■","")</x:f>
      </x:c>
      <x:c r="BS10" s="141" t="str">
        <x:f>IF(AND(BS$4&gt;=$C10,BS$4&lt;=$D10,'Вводные'!$B$88="Да"),"■","")</x:f>
      </x:c>
      <x:c r="BT10" s="141" t="str">
        <x:f>IF(AND(BT$4&gt;=$C10,BT$4&lt;=$D10,'Вводные'!$B$88="Да"),"■","")</x:f>
      </x:c>
      <x:c r="BU10" s="141" t="str">
        <x:f>IF(AND(BU$4&gt;=$C10,BU$4&lt;=$D10,'Вводные'!$B$88="Да"),"■","")</x:f>
      </x:c>
      <x:c r="BV10" s="141" t="str">
        <x:f>IF(AND(BV$4&gt;=$C10,BV$4&lt;=$D10,'Вводные'!$B$88="Да"),"■","")</x:f>
      </x:c>
      <x:c r="BW10" s="141" t="str">
        <x:f>IF(AND(BW$4&gt;=$C10,BW$4&lt;=$D10,'Вводные'!$B$88="Да"),"■","")</x:f>
      </x:c>
      <x:c r="BX10" s="141" t="str">
        <x:f>IF(AND(BX$4&gt;=$C10,BX$4&lt;=$D10,'Вводные'!$B$88="Да"),"■","")</x:f>
      </x:c>
      <x:c r="BY10" s="141" t="str">
        <x:f>IF(AND(BY$4&gt;=$C10,BY$4&lt;=$D10,'Вводные'!$B$88="Да"),"■","")</x:f>
      </x:c>
      <x:c r="BZ10" s="141" t="str">
        <x:f>IF(AND(BZ$4&gt;=$C10,BZ$4&lt;=$D10,'Вводные'!$B$88="Да"),"■","")</x:f>
      </x:c>
      <x:c r="CA10" s="141" t="str">
        <x:f>IF(AND(CA$4&gt;=$C10,CA$4&lt;=$D10,'Вводные'!$B$88="Да"),"■","")</x:f>
      </x:c>
      <x:c r="CB10" s="141" t="str">
        <x:f>IF(AND(CB$4&gt;=$C10,CB$4&lt;=$D10,'Вводные'!$B$88="Да"),"■","")</x:f>
      </x:c>
      <x:c r="CC10" s="141" t="str">
        <x:f>IF(AND(CC$4&gt;=$C10,CC$4&lt;=$D10,'Вводные'!$B$88="Да"),"■","")</x:f>
      </x:c>
      <x:c r="CD10" s="141" t="str">
        <x:f>IF(AND(CD$4&gt;=$C10,CD$4&lt;=$D10,'Вводные'!$B$88="Да"),"■","")</x:f>
      </x:c>
      <x:c r="CE10" s="141" t="str">
        <x:f>IF(AND(CE$4&gt;=$C10,CE$4&lt;=$D10,'Вводные'!$B$88="Да"),"■","")</x:f>
      </x:c>
      <x:c r="CF10" s="141" t="str">
        <x:f>IF(AND(CF$4&gt;=$C10,CF$4&lt;=$D10,'Вводные'!$B$88="Да"),"■","")</x:f>
      </x:c>
      <x:c r="CG10" s="141" t="str">
        <x:f>IF(AND(CG$4&gt;=$C10,CG$4&lt;=$D10,'Вводные'!$B$88="Да"),"■","")</x:f>
      </x:c>
      <x:c r="CH10" s="141" t="str">
        <x:f>IF(AND(CH$4&gt;=$C10,CH$4&lt;=$D10,'Вводные'!$B$88="Да"),"■","")</x:f>
      </x:c>
      <x:c r="CI10" s="141" t="str">
        <x:f>IF(AND(CI$4&gt;=$C10,CI$4&lt;=$D10,'Вводные'!$B$88="Да"),"■","")</x:f>
      </x:c>
      <x:c r="CJ10" s="141" t="str">
        <x:f>IF(AND(CJ$4&gt;=$C10,CJ$4&lt;=$D10,'Вводные'!$B$88="Да"),"■","")</x:f>
      </x:c>
      <x:c r="CK10" s="141" t="str">
        <x:f>IF(AND(CK$4&gt;=$C10,CK$4&lt;=$D10,'Вводные'!$B$88="Да"),"■","")</x:f>
      </x:c>
      <x:c r="CL10" s="141" t="str">
        <x:f>IF(AND(CL$4&gt;=$C10,CL$4&lt;=$D10,'Вводные'!$B$88="Да"),"■","")</x:f>
      </x:c>
      <x:c r="CM10" s="141" t="str">
        <x:f>IF(AND(CM$4&gt;=$C10,CM$4&lt;=$D10,'Вводные'!$B$88="Да"),"■","")</x:f>
      </x:c>
      <x:c r="CN10" s="141" t="str">
        <x:f>IF(AND(CN$4&gt;=$C10,CN$4&lt;=$D10,'Вводные'!$B$88="Да"),"■","")</x:f>
      </x:c>
      <x:c r="CO10" s="141" t="str">
        <x:f>IF(AND(CO$4&gt;=$C10,CO$4&lt;=$D10,'Вводные'!$B$88="Да"),"■","")</x:f>
      </x:c>
      <x:c r="CP10" s="141" t="str">
        <x:f>IF(AND(CP$4&gt;=$C10,CP$4&lt;=$D10,'Вводные'!$B$88="Да"),"■","")</x:f>
      </x:c>
      <x:c r="CQ10" s="141" t="str">
        <x:f>IF(AND(CQ$4&gt;=$C10,CQ$4&lt;=$D10,'Вводные'!$B$88="Да"),"■","")</x:f>
      </x:c>
      <x:c r="CR10" s="141" t="str">
        <x:f>IF(AND(CR$4&gt;=$C10,CR$4&lt;=$D10,'Вводные'!$B$88="Да"),"■","")</x:f>
      </x:c>
      <x:c r="CS10" s="141" t="str">
        <x:f>IF(AND(CS$4&gt;=$C10,CS$4&lt;=$D10,'Вводные'!$B$88="Да"),"■","")</x:f>
      </x:c>
      <x:c r="CT10" s="141" t="str">
        <x:f>IF(AND(CT$4&gt;=$C10,CT$4&lt;=$D10,'Вводные'!$B$88="Да"),"■","")</x:f>
      </x:c>
      <x:c r="CU10" s="141" t="str">
        <x:f>IF(AND(CU$4&gt;=$C10,CU$4&lt;=$D10,'Вводные'!$B$88="Да"),"■","")</x:f>
      </x:c>
      <x:c r="CV10" s="141" t="str">
        <x:f>IF(AND(CV$4&gt;=$C10,CV$4&lt;=$D10,'Вводные'!$B$88="Да"),"■","")</x:f>
      </x:c>
      <x:c r="CW10" s="141" t="str">
        <x:f>IF(AND(CW$4&gt;=$C10,CW$4&lt;=$D10,'Вводные'!$B$88="Да"),"■","")</x:f>
      </x:c>
      <x:c r="CX10" s="141" t="str">
        <x:f>IF(AND(CX$4&gt;=$C10,CX$4&lt;=$D10,'Вводные'!$B$88="Да"),"■","")</x:f>
      </x:c>
      <x:c r="CY10" s="141" t="str">
        <x:f>IF(AND(CY$4&gt;=$C10,CY$4&lt;=$D10,'Вводные'!$B$88="Да"),"■","")</x:f>
      </x:c>
      <x:c r="CZ10" s="141" t="str">
        <x:f>IF(AND(CZ$4&gt;=$C10,CZ$4&lt;=$D10,'Вводные'!$B$88="Да"),"■","")</x:f>
      </x:c>
      <x:c r="DA10" s="141" t="str">
        <x:f>IF(AND(DA$4&gt;=$C10,DA$4&lt;=$D10,'Вводные'!$B$88="Да"),"■","")</x:f>
      </x:c>
      <x:c r="DB10" s="141" t="str">
        <x:f>IF(AND(DB$4&gt;=$C10,DB$4&lt;=$D10,'Вводные'!$B$88="Да"),"■","")</x:f>
      </x:c>
      <x:c r="DC10" s="141" t="str">
        <x:f>IF(AND(DC$4&gt;=$C10,DC$4&lt;=$D10,'Вводные'!$B$88="Да"),"■","")</x:f>
      </x:c>
      <x:c r="DD10" s="141" t="str">
        <x:f>IF(AND(DD$4&gt;=$C10,DD$4&lt;=$D10,'Вводные'!$B$88="Да"),"■","")</x:f>
      </x:c>
      <x:c r="DE10" s="141" t="str">
        <x:f>IF(AND(DE$4&gt;=$C10,DE$4&lt;=$D10,'Вводные'!$B$88="Да"),"■","")</x:f>
      </x:c>
      <x:c r="DF10" s="141" t="str">
        <x:f>IF(AND(DF$4&gt;=$C10,DF$4&lt;=$D10,'Вводные'!$B$88="Да"),"■","")</x:f>
      </x:c>
      <x:c r="DG10" s="141" t="str">
        <x:f>IF(AND(DG$4&gt;=$C10,DG$4&lt;=$D10,'Вводные'!$B$88="Да"),"■","")</x:f>
      </x:c>
      <x:c r="DH10" s="141" t="str">
        <x:f>IF(AND(DH$4&gt;=$C10,DH$4&lt;=$D10,'Вводные'!$B$88="Да"),"■","")</x:f>
      </x:c>
      <x:c r="DI10" s="141" t="str">
        <x:f>IF(AND(DI$4&gt;=$C10,DI$4&lt;=$D10,'Вводные'!$B$88="Да"),"■","")</x:f>
      </x:c>
      <x:c r="DJ10" s="141" t="str">
        <x:f>IF(AND(DJ$4&gt;=$C10,DJ$4&lt;=$D10,'Вводные'!$B$88="Да"),"■","")</x:f>
      </x:c>
      <x:c r="DK10" s="141" t="str">
        <x:f>IF(AND(DK$4&gt;=$C10,DK$4&lt;=$D10,'Вводные'!$B$88="Да"),"■","")</x:f>
      </x:c>
      <x:c r="DL10" s="141" t="str">
        <x:f>IF(AND(DL$4&gt;=$C10,DL$4&lt;=$D10,'Вводные'!$B$88="Да"),"■","")</x:f>
      </x:c>
      <x:c r="DM10" s="141" t="str">
        <x:f>IF(AND(DM$4&gt;=$C10,DM$4&lt;=$D10,'Вводные'!$B$88="Да"),"■","")</x:f>
      </x:c>
      <x:c r="DN10" s="141" t="str">
        <x:f>IF(AND(DN$4&gt;=$C10,DN$4&lt;=$D10,'Вводные'!$B$88="Да"),"■","")</x:f>
      </x:c>
      <x:c r="DO10" s="141" t="str">
        <x:f>IF(AND(DO$4&gt;=$C10,DO$4&lt;=$D10,'Вводные'!$B$88="Да"),"■","")</x:f>
      </x:c>
      <x:c r="DP10" s="141" t="str">
        <x:f>IF(AND(DP$4&gt;=$C10,DP$4&lt;=$D10,'Вводные'!$B$88="Да"),"■","")</x:f>
      </x:c>
      <x:c r="DQ10" s="141" t="str">
        <x:f>IF(AND(DQ$4&gt;=$C10,DQ$4&lt;=$D10,'Вводные'!$B$88="Да"),"■","")</x:f>
      </x:c>
      <x:c r="DR10" s="141" t="str">
        <x:f>IF(AND(DR$4&gt;=$C10,DR$4&lt;=$D10,'Вводные'!$B$88="Да"),"■","")</x:f>
      </x:c>
      <x:c r="DS10" s="141" t="str">
        <x:f>IF(AND(DS$4&gt;=$C10,DS$4&lt;=$D10,'Вводные'!$B$88="Да"),"■","")</x:f>
      </x:c>
      <x:c r="DT10" s="141" t="str">
        <x:f>IF(AND(DT$4&gt;=$C10,DT$4&lt;=$D10,'Вводные'!$B$88="Да"),"■","")</x:f>
      </x:c>
      <x:c r="DU10" s="141" t="str">
        <x:f>IF(AND(DU$4&gt;=$C10,DU$4&lt;=$D10,'Вводные'!$B$88="Да"),"■","")</x:f>
      </x:c>
      <x:c r="DV10" s="141" t="str">
        <x:f>IF(AND(DV$4&gt;=$C10,DV$4&lt;=$D10,'Вводные'!$B$88="Да"),"■","")</x:f>
      </x:c>
      <x:c r="DW10" s="141" t="str">
        <x:f>IF(AND(DW$4&gt;=$C10,DW$4&lt;=$D10,'Вводные'!$B$88="Да"),"■","")</x:f>
      </x:c>
      <x:c r="DX10" s="141" t="str">
        <x:f>IF(AND(DX$4&gt;=$C10,DX$4&lt;=$D10,'Вводные'!$B$88="Да"),"■","")</x:f>
      </x:c>
      <x:c r="DY10" s="141" t="str">
        <x:f>IF(AND(DY$4&gt;=$C10,DY$4&lt;=$D10,'Вводные'!$B$88="Да"),"■","")</x:f>
      </x:c>
      <x:c r="DZ10" s="141" t="str">
        <x:f>IF(AND(DZ$4&gt;=$C10,DZ$4&lt;=$D10,'Вводные'!$B$88="Да"),"■","")</x:f>
      </x:c>
      <x:c r="EA10" s="141" t="str">
        <x:f>IF(AND(EA$4&gt;=$C10,EA$4&lt;=$D10,'Вводные'!$B$88="Да"),"■","")</x:f>
      </x:c>
      <x:c r="EB10" s="141" t="str">
        <x:f>IF(AND(EB$4&gt;=$C10,EB$4&lt;=$D10,'Вводные'!$B$88="Да"),"■","")</x:f>
      </x:c>
      <x:c r="EC10" s="141" t="str">
        <x:f>IF(AND(EC$4&gt;=$C10,EC$4&lt;=$D10,'Вводные'!$B$88="Да"),"■","")</x:f>
      </x:c>
      <x:c r="ED10" s="141" t="str">
        <x:f>IF(AND(ED$4&gt;=$C10,ED$4&lt;=$D10,'Вводные'!$B$88="Да"),"■","")</x:f>
      </x:c>
      <x:c r="EE10" s="141" t="str">
        <x:f>IF(AND(EE$4&gt;=$C10,EE$4&lt;=$D10,'Вводные'!$B$88="Да"),"■","")</x:f>
      </x:c>
      <x:c r="EF10" s="141" t="str">
        <x:f>IF(AND(EF$4&gt;=$C10,EF$4&lt;=$D10,'Вводные'!$B$88="Да"),"■","")</x:f>
      </x:c>
      <x:c r="EG10" s="141" t="str">
        <x:f>IF(AND(EG$4&gt;=$C10,EG$4&lt;=$D10,'Вводные'!$B$88="Да"),"■","")</x:f>
      </x:c>
      <x:c r="EH10" s="141" t="str">
        <x:f>IF(AND(EH$4&gt;=$C10,EH$4&lt;=$D10,'Вводные'!$B$88="Да"),"■","")</x:f>
      </x:c>
      <x:c r="EI10" s="141" t="str">
        <x:f>IF(AND(EI$4&gt;=$C10,EI$4&lt;=$D10,'Вводные'!$B$88="Да"),"■","")</x:f>
      </x:c>
      <x:c r="EJ10" s="141" t="str">
        <x:f>IF(AND(EJ$4&gt;=$C10,EJ$4&lt;=$D10,'Вводные'!$B$88="Да"),"■","")</x:f>
      </x:c>
      <x:c r="EK10" s="141" t="str">
        <x:f>IF(AND(EK$4&gt;=$C10,EK$4&lt;=$D10,'Вводные'!$B$88="Да"),"■","")</x:f>
      </x:c>
      <x:c r="EL10" s="141" t="str">
        <x:f>IF(AND(EL$4&gt;=$C10,EL$4&lt;=$D10,'Вводные'!$B$88="Да"),"■","")</x:f>
      </x:c>
      <x:c r="EM10" s="141" t="str">
        <x:f>IF(AND(EM$4&gt;=$C10,EM$4&lt;=$D10,'Вводные'!$B$88="Да"),"■","")</x:f>
      </x:c>
      <x:c r="EN10" s="141" t="str">
        <x:f>IF(AND(EN$4&gt;=$C10,EN$4&lt;=$D10,'Вводные'!$B$88="Да"),"■","")</x:f>
      </x:c>
      <x:c r="EO10" s="141" t="str">
        <x:f>IF(AND(EO$4&gt;=$C10,EO$4&lt;=$D10,'Вводные'!$B$88="Да"),"■","")</x:f>
      </x:c>
      <x:c r="EP10" s="141" t="str">
        <x:f>IF(AND(EP$4&gt;=$C10,EP$4&lt;=$D10,'Вводные'!$B$88="Да"),"■","")</x:f>
      </x:c>
      <x:c r="EQ10" s="141" t="str">
        <x:f>IF(AND(EQ$4&gt;=$C10,EQ$4&lt;=$D10,'Вводные'!$B$88="Да"),"■","")</x:f>
      </x:c>
      <x:c r="ER10" s="141" t="str">
        <x:f>IF(AND(ER$4&gt;=$C10,ER$4&lt;=$D10,'Вводные'!$B$88="Да"),"■","")</x:f>
      </x:c>
      <x:c r="ES10" s="141" t="str">
        <x:f>IF(AND(ES$4&gt;=$C10,ES$4&lt;=$D10,'Вводные'!$B$88="Да"),"■","")</x:f>
      </x:c>
      <x:c r="ET10" s="141" t="str">
        <x:f>IF(AND(ET$4&gt;=$C10,ET$4&lt;=$D10,'Вводные'!$B$88="Да"),"■","")</x:f>
      </x:c>
      <x:c r="EU10" s="141" t="str">
        <x:f>IF(AND(EU$4&gt;=$C10,EU$4&lt;=$D10,'Вводные'!$B$88="Да"),"■","")</x:f>
      </x:c>
      <x:c r="EV10" s="141" t="str">
        <x:f>IF(AND(EV$4&gt;=$C10,EV$4&lt;=$D10,'Вводные'!$B$88="Да"),"■","")</x:f>
      </x:c>
      <x:c r="EW10" s="141" t="str">
        <x:f>IF(AND(EW$4&gt;=$C10,EW$4&lt;=$D10,'Вводные'!$B$88="Да"),"■","")</x:f>
      </x:c>
      <x:c r="EX10" s="141" t="str">
        <x:f>IF(AND(EX$4&gt;=$C10,EX$4&lt;=$D10,'Вводные'!$B$88="Да"),"■","")</x:f>
      </x:c>
      <x:c r="EY10" s="141" t="str">
        <x:f>IF(AND(EY$4&gt;=$C10,EY$4&lt;=$D10,'Вводные'!$B$88="Да"),"■","")</x:f>
      </x:c>
      <x:c r="EZ10" s="141" t="str">
        <x:f>IF(AND(EZ$4&gt;=$C10,EZ$4&lt;=$D10,'Вводные'!$B$88="Да"),"■","")</x:f>
      </x:c>
      <x:c r="FA10" s="141" t="str">
        <x:f>IF(AND(FA$4&gt;=$C10,FA$4&lt;=$D10,'Вводные'!$B$88="Да"),"■","")</x:f>
      </x:c>
      <x:c r="FB10" s="141" t="str">
        <x:f>IF(AND(FB$4&gt;=$C10,FB$4&lt;=$D10,'Вводные'!$B$88="Да"),"■","")</x:f>
      </x:c>
      <x:c r="FC10" s="141" t="str">
        <x:f>IF(AND(FC$4&gt;=$C10,FC$4&lt;=$D10,'Вводные'!$B$88="Да"),"■","")</x:f>
      </x:c>
      <x:c r="FD10" s="141" t="str">
        <x:f>IF(AND(FD$4&gt;=$C10,FD$4&lt;=$D10,'Вводные'!$B$88="Да"),"■","")</x:f>
      </x:c>
      <x:c r="FE10" s="141" t="str">
        <x:f>IF(AND(FE$4&gt;=$C10,FE$4&lt;=$D10,'Вводные'!$B$88="Да"),"■","")</x:f>
      </x:c>
      <x:c r="FF10" s="141" t="str">
        <x:f>IF(AND(FF$4&gt;=$C10,FF$4&lt;=$D10,'Вводные'!$B$88="Да"),"■","")</x:f>
      </x:c>
      <x:c r="FG10" s="141" t="str">
        <x:f>IF(AND(FG$4&gt;=$C10,FG$4&lt;=$D10,'Вводные'!$B$88="Да"),"■","")</x:f>
      </x:c>
      <x:c r="FH10" s="141" t="str">
        <x:f>IF(AND(FH$4&gt;=$C10,FH$4&lt;=$D10,'Вводные'!$B$88="Да"),"■","")</x:f>
      </x:c>
      <x:c r="FI10" s="141" t="str">
        <x:f>IF(AND(FI$4&gt;=$C10,FI$4&lt;=$D10,'Вводные'!$B$88="Да"),"■","")</x:f>
      </x:c>
      <x:c r="FJ10" s="141" t="str">
        <x:f>IF(AND(FJ$4&gt;=$C10,FJ$4&lt;=$D10,'Вводные'!$B$88="Да"),"■","")</x:f>
      </x:c>
      <x:c r="FK10" s="141" t="str">
        <x:f>IF(AND(FK$4&gt;=$C10,FK$4&lt;=$D10,'Вводные'!$B$88="Да"),"■","")</x:f>
      </x:c>
      <x:c r="FL10" s="141" t="str">
        <x:f>IF(AND(FL$4&gt;=$C10,FL$4&lt;=$D10,'Вводные'!$B$88="Да"),"■","")</x:f>
      </x:c>
      <x:c r="FM10" s="141" t="str">
        <x:f>IF(AND(FM$4&gt;=$C10,FM$4&lt;=$D10,'Вводные'!$B$88="Да"),"■","")</x:f>
      </x:c>
      <x:c r="FN10" s="141" t="str">
        <x:f>IF(AND(FN$4&gt;=$C10,FN$4&lt;=$D10,'Вводные'!$B$88="Да"),"■","")</x:f>
      </x:c>
      <x:c r="FO10" s="141" t="str">
        <x:f>IF(AND(FO$4&gt;=$C10,FO$4&lt;=$D10,'Вводные'!$B$88="Да"),"■","")</x:f>
      </x:c>
      <x:c r="FP10" s="141" t="str">
        <x:f>IF(AND(FP$4&gt;=$C10,FP$4&lt;=$D10,'Вводные'!$B$88="Да"),"■","")</x:f>
      </x:c>
      <x:c r="FQ10" s="141" t="str">
        <x:f>IF(AND(FQ$4&gt;=$C10,FQ$4&lt;=$D10,'Вводные'!$B$88="Да"),"■","")</x:f>
      </x:c>
      <x:c r="FR10" s="141" t="str">
        <x:f>IF(AND(FR$4&gt;=$C10,FR$4&lt;=$D10,'Вводные'!$B$88="Да"),"■","")</x:f>
      </x:c>
      <x:c r="FS10" s="141" t="str">
        <x:f>IF(AND(FS$4&gt;=$C10,FS$4&lt;=$D10,'Вводные'!$B$88="Да"),"■","")</x:f>
      </x:c>
      <x:c r="FT10" s="141" t="str">
        <x:f>IF(AND(FT$4&gt;=$C10,FT$4&lt;=$D10,'Вводные'!$B$88="Да"),"■","")</x:f>
      </x:c>
      <x:c r="FU10" s="141" t="str">
        <x:f>IF(AND(FU$4&gt;=$C10,FU$4&lt;=$D10,'Вводные'!$B$88="Да"),"■","")</x:f>
      </x:c>
      <x:c r="FV10" s="141" t="str">
        <x:f>IF(AND(FV$4&gt;=$C10,FV$4&lt;=$D10,'Вводные'!$B$88="Да"),"■","")</x:f>
      </x:c>
      <x:c r="FW10" s="141" t="str">
        <x:f>IF(AND(FW$4&gt;=$C10,FW$4&lt;=$D10,'Вводные'!$B$88="Да"),"■","")</x:f>
      </x:c>
      <x:c r="FX10" s="141" t="str">
        <x:f>IF(AND(FX$4&gt;=$C10,FX$4&lt;=$D10,'Вводные'!$B$88="Да"),"■","")</x:f>
      </x:c>
      <x:c r="FY10" s="141" t="str">
        <x:f>IF(AND(FY$4&gt;=$C10,FY$4&lt;=$D10,'Вводные'!$B$88="Да"),"■","")</x:f>
      </x:c>
      <x:c r="FZ10" s="141" t="str">
        <x:f>IF(AND(FZ$4&gt;=$C10,FZ$4&lt;=$D10,'Вводные'!$B$88="Да"),"■","")</x:f>
      </x:c>
      <x:c r="GA10" s="141" t="str">
        <x:f>IF(AND(GA$4&gt;=$C10,GA$4&lt;=$D10,'Вводные'!$B$88="Да"),"■","")</x:f>
      </x:c>
      <x:c r="GB10" s="141" t="str">
        <x:f>IF(AND(GB$4&gt;=$C10,GB$4&lt;=$D10,'Вводные'!$B$88="Да"),"■","")</x:f>
      </x:c>
    </x:row>
    <x:row r="11">
      <x:c r="A11" t="str">
        <x:f>'Вводные'!$C$88</x:f>
      </x:c>
      <x:c r="B11" t="str">
        <x:v>РВЭ</x:v>
      </x:c>
      <x:c r="C11" s="92" t="n">
        <x:f>'CF_1'!B8</x:f>
      </x:c>
      <x:c r="D11" s="92" t="n">
        <x:f>C11</x:f>
      </x:c>
      <x:c r="E11" s="135" t="str">
        <x:f>IF(AND(E$4&gt;=$C11,E$4&lt;=$D11,'Вводные'!$B$88="Да"),"■","")</x:f>
      </x:c>
      <x:c r="F11" s="135" t="str">
        <x:f>IF(AND(F$4&gt;=$C11,F$4&lt;=$D11,'Вводные'!$B$88="Да"),"■","")</x:f>
      </x:c>
      <x:c r="G11" s="135" t="str">
        <x:f>IF(AND(G$4&gt;=$C11,G$4&lt;=$D11,'Вводные'!$B$88="Да"),"■","")</x:f>
      </x:c>
      <x:c r="H11" s="135" t="str">
        <x:f>IF(AND(H$4&gt;=$C11,H$4&lt;=$D11,'Вводные'!$B$88="Да"),"■","")</x:f>
      </x:c>
      <x:c r="I11" s="135" t="str">
        <x:f>IF(AND(I$4&gt;=$C11,I$4&lt;=$D11,'Вводные'!$B$88="Да"),"■","")</x:f>
      </x:c>
      <x:c r="J11" s="135" t="str">
        <x:f>IF(AND(J$4&gt;=$C11,J$4&lt;=$D11,'Вводные'!$B$88="Да"),"■","")</x:f>
      </x:c>
      <x:c r="K11" s="135" t="str">
        <x:f>IF(AND(K$4&gt;=$C11,K$4&lt;=$D11,'Вводные'!$B$88="Да"),"■","")</x:f>
      </x:c>
      <x:c r="L11" s="135" t="str">
        <x:f>IF(AND(L$4&gt;=$C11,L$4&lt;=$D11,'Вводные'!$B$88="Да"),"■","")</x:f>
      </x:c>
      <x:c r="M11" s="135" t="str">
        <x:f>IF(AND(M$4&gt;=$C11,M$4&lt;=$D11,'Вводные'!$B$88="Да"),"■","")</x:f>
      </x:c>
      <x:c r="N11" s="135" t="str">
        <x:f>IF(AND(N$4&gt;=$C11,N$4&lt;=$D11,'Вводные'!$B$88="Да"),"■","")</x:f>
      </x:c>
      <x:c r="O11" s="135" t="str">
        <x:f>IF(AND(O$4&gt;=$C11,O$4&lt;=$D11,'Вводные'!$B$88="Да"),"■","")</x:f>
      </x:c>
      <x:c r="P11" s="135" t="str">
        <x:f>IF(AND(P$4&gt;=$C11,P$4&lt;=$D11,'Вводные'!$B$88="Да"),"■","")</x:f>
      </x:c>
      <x:c r="Q11" s="135" t="str">
        <x:f>IF(AND(Q$4&gt;=$C11,Q$4&lt;=$D11,'Вводные'!$B$88="Да"),"■","")</x:f>
      </x:c>
      <x:c r="R11" s="135" t="str">
        <x:f>IF(AND(R$4&gt;=$C11,R$4&lt;=$D11,'Вводные'!$B$88="Да"),"■","")</x:f>
      </x:c>
      <x:c r="S11" s="135" t="str">
        <x:f>IF(AND(S$4&gt;=$C11,S$4&lt;=$D11,'Вводные'!$B$88="Да"),"■","")</x:f>
      </x:c>
      <x:c r="T11" s="135" t="str">
        <x:f>IF(AND(T$4&gt;=$C11,T$4&lt;=$D11,'Вводные'!$B$88="Да"),"■","")</x:f>
      </x:c>
      <x:c r="U11" s="135" t="str">
        <x:f>IF(AND(U$4&gt;=$C11,U$4&lt;=$D11,'Вводные'!$B$88="Да"),"■","")</x:f>
      </x:c>
      <x:c r="V11" s="135" t="str">
        <x:f>IF(AND(V$4&gt;=$C11,V$4&lt;=$D11,'Вводные'!$B$88="Да"),"■","")</x:f>
      </x:c>
      <x:c r="W11" s="135" t="str">
        <x:f>IF(AND(W$4&gt;=$C11,W$4&lt;=$D11,'Вводные'!$B$88="Да"),"■","")</x:f>
      </x:c>
      <x:c r="X11" s="135" t="str">
        <x:f>IF(AND(X$4&gt;=$C11,X$4&lt;=$D11,'Вводные'!$B$88="Да"),"■","")</x:f>
      </x:c>
      <x:c r="Y11" s="135" t="str">
        <x:f>IF(AND(Y$4&gt;=$C11,Y$4&lt;=$D11,'Вводные'!$B$88="Да"),"■","")</x:f>
      </x:c>
      <x:c r="Z11" s="135" t="str">
        <x:f>IF(AND(Z$4&gt;=$C11,Z$4&lt;=$D11,'Вводные'!$B$88="Да"),"■","")</x:f>
      </x:c>
      <x:c r="AA11" s="135" t="str">
        <x:f>IF(AND(AA$4&gt;=$C11,AA$4&lt;=$D11,'Вводные'!$B$88="Да"),"■","")</x:f>
      </x:c>
      <x:c r="AB11" s="135" t="str">
        <x:f>IF(AND(AB$4&gt;=$C11,AB$4&lt;=$D11,'Вводные'!$B$88="Да"),"■","")</x:f>
      </x:c>
      <x:c r="AC11" s="135" t="str">
        <x:f>IF(AND(AC$4&gt;=$C11,AC$4&lt;=$D11,'Вводные'!$B$88="Да"),"■","")</x:f>
      </x:c>
      <x:c r="AD11" s="135" t="str">
        <x:f>IF(AND(AD$4&gt;=$C11,AD$4&lt;=$D11,'Вводные'!$B$88="Да"),"■","")</x:f>
      </x:c>
      <x:c r="AE11" s="135" t="str">
        <x:f>IF(AND(AE$4&gt;=$C11,AE$4&lt;=$D11,'Вводные'!$B$88="Да"),"■","")</x:f>
      </x:c>
      <x:c r="AF11" s="135" t="str">
        <x:f>IF(AND(AF$4&gt;=$C11,AF$4&lt;=$D11,'Вводные'!$B$88="Да"),"■","")</x:f>
      </x:c>
      <x:c r="AG11" s="135" t="str">
        <x:f>IF(AND(AG$4&gt;=$C11,AG$4&lt;=$D11,'Вводные'!$B$88="Да"),"■","")</x:f>
      </x:c>
      <x:c r="AH11" s="135" t="str">
        <x:f>IF(AND(AH$4&gt;=$C11,AH$4&lt;=$D11,'Вводные'!$B$88="Да"),"■","")</x:f>
      </x:c>
      <x:c r="AI11" s="135" t="str">
        <x:f>IF(AND(AI$4&gt;=$C11,AI$4&lt;=$D11,'Вводные'!$B$88="Да"),"■","")</x:f>
      </x:c>
      <x:c r="AJ11" s="135" t="str">
        <x:f>IF(AND(AJ$4&gt;=$C11,AJ$4&lt;=$D11,'Вводные'!$B$88="Да"),"■","")</x:f>
      </x:c>
      <x:c r="AK11" s="135" t="str">
        <x:f>IF(AND(AK$4&gt;=$C11,AK$4&lt;=$D11,'Вводные'!$B$88="Да"),"■","")</x:f>
      </x:c>
      <x:c r="AL11" s="135" t="str">
        <x:f>IF(AND(AL$4&gt;=$C11,AL$4&lt;=$D11,'Вводные'!$B$88="Да"),"■","")</x:f>
      </x:c>
      <x:c r="AM11" s="135" t="str">
        <x:f>IF(AND(AM$4&gt;=$C11,AM$4&lt;=$D11,'Вводные'!$B$88="Да"),"■","")</x:f>
      </x:c>
      <x:c r="AN11" s="135" t="str">
        <x:f>IF(AND(AN$4&gt;=$C11,AN$4&lt;=$D11,'Вводные'!$B$88="Да"),"■","")</x:f>
      </x:c>
      <x:c r="AO11" s="135" t="str">
        <x:f>IF(AND(AO$4&gt;=$C11,AO$4&lt;=$D11,'Вводные'!$B$88="Да"),"■","")</x:f>
      </x:c>
      <x:c r="AP11" s="135" t="str">
        <x:f>IF(AND(AP$4&gt;=$C11,AP$4&lt;=$D11,'Вводные'!$B$88="Да"),"■","")</x:f>
      </x:c>
      <x:c r="AQ11" s="135" t="str">
        <x:f>IF(AND(AQ$4&gt;=$C11,AQ$4&lt;=$D11,'Вводные'!$B$88="Да"),"■","")</x:f>
      </x:c>
      <x:c r="AR11" s="135" t="str">
        <x:f>IF(AND(AR$4&gt;=$C11,AR$4&lt;=$D11,'Вводные'!$B$88="Да"),"■","")</x:f>
      </x:c>
      <x:c r="AS11" s="135" t="str">
        <x:f>IF(AND(AS$4&gt;=$C11,AS$4&lt;=$D11,'Вводные'!$B$88="Да"),"■","")</x:f>
      </x:c>
      <x:c r="AT11" s="135" t="str">
        <x:f>IF(AND(AT$4&gt;=$C11,AT$4&lt;=$D11,'Вводные'!$B$88="Да"),"■","")</x:f>
      </x:c>
      <x:c r="AU11" s="135" t="str">
        <x:f>IF(AND(AU$4&gt;=$C11,AU$4&lt;=$D11,'Вводные'!$B$88="Да"),"■","")</x:f>
      </x:c>
      <x:c r="AV11" s="135" t="str">
        <x:f>IF(AND(AV$4&gt;=$C11,AV$4&lt;=$D11,'Вводные'!$B$88="Да"),"■","")</x:f>
      </x:c>
      <x:c r="AW11" s="135" t="str">
        <x:f>IF(AND(AW$4&gt;=$C11,AW$4&lt;=$D11,'Вводные'!$B$88="Да"),"■","")</x:f>
      </x:c>
      <x:c r="AX11" s="135" t="str">
        <x:f>IF(AND(AX$4&gt;=$C11,AX$4&lt;=$D11,'Вводные'!$B$88="Да"),"■","")</x:f>
      </x:c>
      <x:c r="AY11" s="135" t="str">
        <x:f>IF(AND(AY$4&gt;=$C11,AY$4&lt;=$D11,'Вводные'!$B$88="Да"),"■","")</x:f>
      </x:c>
      <x:c r="AZ11" s="135" t="str">
        <x:f>IF(AND(AZ$4&gt;=$C11,AZ$4&lt;=$D11,'Вводные'!$B$88="Да"),"■","")</x:f>
      </x:c>
      <x:c r="BA11" s="135" t="str">
        <x:f>IF(AND(BA$4&gt;=$C11,BA$4&lt;=$D11,'Вводные'!$B$88="Да"),"■","")</x:f>
      </x:c>
      <x:c r="BB11" s="135" t="str">
        <x:f>IF(AND(BB$4&gt;=$C11,BB$4&lt;=$D11,'Вводные'!$B$88="Да"),"■","")</x:f>
      </x:c>
      <x:c r="BC11" s="135" t="str">
        <x:f>IF(AND(BC$4&gt;=$C11,BC$4&lt;=$D11,'Вводные'!$B$88="Да"),"■","")</x:f>
      </x:c>
      <x:c r="BD11" s="135" t="str">
        <x:f>IF(AND(BD$4&gt;=$C11,BD$4&lt;=$D11,'Вводные'!$B$88="Да"),"■","")</x:f>
      </x:c>
      <x:c r="BE11" s="135" t="str">
        <x:f>IF(AND(BE$4&gt;=$C11,BE$4&lt;=$D11,'Вводные'!$B$88="Да"),"■","")</x:f>
      </x:c>
      <x:c r="BF11" s="135" t="str">
        <x:f>IF(AND(BF$4&gt;=$C11,BF$4&lt;=$D11,'Вводные'!$B$88="Да"),"■","")</x:f>
      </x:c>
      <x:c r="BG11" s="135" t="str">
        <x:f>IF(AND(BG$4&gt;=$C11,BG$4&lt;=$D11,'Вводные'!$B$88="Да"),"■","")</x:f>
      </x:c>
      <x:c r="BH11" s="135" t="str">
        <x:f>IF(AND(BH$4&gt;=$C11,BH$4&lt;=$D11,'Вводные'!$B$88="Да"),"■","")</x:f>
      </x:c>
      <x:c r="BI11" s="135" t="str">
        <x:f>IF(AND(BI$4&gt;=$C11,BI$4&lt;=$D11,'Вводные'!$B$88="Да"),"■","")</x:f>
      </x:c>
      <x:c r="BJ11" s="135" t="str">
        <x:f>IF(AND(BJ$4&gt;=$C11,BJ$4&lt;=$D11,'Вводные'!$B$88="Да"),"■","")</x:f>
      </x:c>
      <x:c r="BK11" s="135" t="str">
        <x:f>IF(AND(BK$4&gt;=$C11,BK$4&lt;=$D11,'Вводные'!$B$88="Да"),"■","")</x:f>
      </x:c>
      <x:c r="BL11" s="135" t="str">
        <x:f>IF(AND(BL$4&gt;=$C11,BL$4&lt;=$D11,'Вводные'!$B$88="Да"),"■","")</x:f>
      </x:c>
      <x:c r="BM11" s="135" t="str">
        <x:f>IF(AND(BM$4&gt;=$C11,BM$4&lt;=$D11,'Вводные'!$B$88="Да"),"■","")</x:f>
      </x:c>
      <x:c r="BN11" s="135" t="str">
        <x:f>IF(AND(BN$4&gt;=$C11,BN$4&lt;=$D11,'Вводные'!$B$88="Да"),"■","")</x:f>
      </x:c>
      <x:c r="BO11" s="135" t="str">
        <x:f>IF(AND(BO$4&gt;=$C11,BO$4&lt;=$D11,'Вводные'!$B$88="Да"),"■","")</x:f>
      </x:c>
      <x:c r="BP11" s="135" t="str">
        <x:f>IF(AND(BP$4&gt;=$C11,BP$4&lt;=$D11,'Вводные'!$B$88="Да"),"■","")</x:f>
      </x:c>
      <x:c r="BQ11" s="135" t="str">
        <x:f>IF(AND(BQ$4&gt;=$C11,BQ$4&lt;=$D11,'Вводные'!$B$88="Да"),"■","")</x:f>
      </x:c>
      <x:c r="BR11" s="135" t="str">
        <x:f>IF(AND(BR$4&gt;=$C11,BR$4&lt;=$D11,'Вводные'!$B$88="Да"),"■","")</x:f>
      </x:c>
      <x:c r="BS11" s="135" t="str">
        <x:f>IF(AND(BS$4&gt;=$C11,BS$4&lt;=$D11,'Вводные'!$B$88="Да"),"■","")</x:f>
      </x:c>
      <x:c r="BT11" s="135" t="str">
        <x:f>IF(AND(BT$4&gt;=$C11,BT$4&lt;=$D11,'Вводные'!$B$88="Да"),"■","")</x:f>
      </x:c>
      <x:c r="BU11" s="135" t="str">
        <x:f>IF(AND(BU$4&gt;=$C11,BU$4&lt;=$D11,'Вводные'!$B$88="Да"),"■","")</x:f>
      </x:c>
      <x:c r="BV11" s="135" t="str">
        <x:f>IF(AND(BV$4&gt;=$C11,BV$4&lt;=$D11,'Вводные'!$B$88="Да"),"■","")</x:f>
      </x:c>
      <x:c r="BW11" s="135" t="str">
        <x:f>IF(AND(BW$4&gt;=$C11,BW$4&lt;=$D11,'Вводные'!$B$88="Да"),"■","")</x:f>
      </x:c>
      <x:c r="BX11" s="135" t="str">
        <x:f>IF(AND(BX$4&gt;=$C11,BX$4&lt;=$D11,'Вводные'!$B$88="Да"),"■","")</x:f>
      </x:c>
      <x:c r="BY11" s="135" t="str">
        <x:f>IF(AND(BY$4&gt;=$C11,BY$4&lt;=$D11,'Вводные'!$B$88="Да"),"■","")</x:f>
      </x:c>
      <x:c r="BZ11" s="135" t="str">
        <x:f>IF(AND(BZ$4&gt;=$C11,BZ$4&lt;=$D11,'Вводные'!$B$88="Да"),"■","")</x:f>
      </x:c>
      <x:c r="CA11" s="135" t="str">
        <x:f>IF(AND(CA$4&gt;=$C11,CA$4&lt;=$D11,'Вводные'!$B$88="Да"),"■","")</x:f>
      </x:c>
      <x:c r="CB11" s="135" t="str">
        <x:f>IF(AND(CB$4&gt;=$C11,CB$4&lt;=$D11,'Вводные'!$B$88="Да"),"■","")</x:f>
      </x:c>
      <x:c r="CC11" s="135" t="str">
        <x:f>IF(AND(CC$4&gt;=$C11,CC$4&lt;=$D11,'Вводные'!$B$88="Да"),"■","")</x:f>
      </x:c>
      <x:c r="CD11" s="135" t="str">
        <x:f>IF(AND(CD$4&gt;=$C11,CD$4&lt;=$D11,'Вводные'!$B$88="Да"),"■","")</x:f>
      </x:c>
      <x:c r="CE11" s="135" t="str">
        <x:f>IF(AND(CE$4&gt;=$C11,CE$4&lt;=$D11,'Вводные'!$B$88="Да"),"■","")</x:f>
      </x:c>
      <x:c r="CF11" s="135" t="str">
        <x:f>IF(AND(CF$4&gt;=$C11,CF$4&lt;=$D11,'Вводные'!$B$88="Да"),"■","")</x:f>
      </x:c>
      <x:c r="CG11" s="135" t="str">
        <x:f>IF(AND(CG$4&gt;=$C11,CG$4&lt;=$D11,'Вводные'!$B$88="Да"),"■","")</x:f>
      </x:c>
      <x:c r="CH11" s="135" t="str">
        <x:f>IF(AND(CH$4&gt;=$C11,CH$4&lt;=$D11,'Вводные'!$B$88="Да"),"■","")</x:f>
      </x:c>
      <x:c r="CI11" s="135" t="str">
        <x:f>IF(AND(CI$4&gt;=$C11,CI$4&lt;=$D11,'Вводные'!$B$88="Да"),"■","")</x:f>
      </x:c>
      <x:c r="CJ11" s="135" t="str">
        <x:f>IF(AND(CJ$4&gt;=$C11,CJ$4&lt;=$D11,'Вводные'!$B$88="Да"),"■","")</x:f>
      </x:c>
      <x:c r="CK11" s="135" t="str">
        <x:f>IF(AND(CK$4&gt;=$C11,CK$4&lt;=$D11,'Вводные'!$B$88="Да"),"■","")</x:f>
      </x:c>
      <x:c r="CL11" s="135" t="str">
        <x:f>IF(AND(CL$4&gt;=$C11,CL$4&lt;=$D11,'Вводные'!$B$88="Да"),"■","")</x:f>
      </x:c>
      <x:c r="CM11" s="135" t="str">
        <x:f>IF(AND(CM$4&gt;=$C11,CM$4&lt;=$D11,'Вводные'!$B$88="Да"),"■","")</x:f>
      </x:c>
      <x:c r="CN11" s="135" t="str">
        <x:f>IF(AND(CN$4&gt;=$C11,CN$4&lt;=$D11,'Вводные'!$B$88="Да"),"■","")</x:f>
      </x:c>
      <x:c r="CO11" s="135" t="str">
        <x:f>IF(AND(CO$4&gt;=$C11,CO$4&lt;=$D11,'Вводные'!$B$88="Да"),"■","")</x:f>
      </x:c>
      <x:c r="CP11" s="135" t="str">
        <x:f>IF(AND(CP$4&gt;=$C11,CP$4&lt;=$D11,'Вводные'!$B$88="Да"),"■","")</x:f>
      </x:c>
      <x:c r="CQ11" s="135" t="str">
        <x:f>IF(AND(CQ$4&gt;=$C11,CQ$4&lt;=$D11,'Вводные'!$B$88="Да"),"■","")</x:f>
      </x:c>
      <x:c r="CR11" s="135" t="str">
        <x:f>IF(AND(CR$4&gt;=$C11,CR$4&lt;=$D11,'Вводные'!$B$88="Да"),"■","")</x:f>
      </x:c>
      <x:c r="CS11" s="135" t="str">
        <x:f>IF(AND(CS$4&gt;=$C11,CS$4&lt;=$D11,'Вводные'!$B$88="Да"),"■","")</x:f>
      </x:c>
      <x:c r="CT11" s="135" t="str">
        <x:f>IF(AND(CT$4&gt;=$C11,CT$4&lt;=$D11,'Вводные'!$B$88="Да"),"■","")</x:f>
      </x:c>
      <x:c r="CU11" s="135" t="str">
        <x:f>IF(AND(CU$4&gt;=$C11,CU$4&lt;=$D11,'Вводные'!$B$88="Да"),"■","")</x:f>
      </x:c>
      <x:c r="CV11" s="135" t="str">
        <x:f>IF(AND(CV$4&gt;=$C11,CV$4&lt;=$D11,'Вводные'!$B$88="Да"),"■","")</x:f>
      </x:c>
      <x:c r="CW11" s="135" t="str">
        <x:f>IF(AND(CW$4&gt;=$C11,CW$4&lt;=$D11,'Вводные'!$B$88="Да"),"■","")</x:f>
      </x:c>
      <x:c r="CX11" s="135" t="str">
        <x:f>IF(AND(CX$4&gt;=$C11,CX$4&lt;=$D11,'Вводные'!$B$88="Да"),"■","")</x:f>
      </x:c>
      <x:c r="CY11" s="135" t="str">
        <x:f>IF(AND(CY$4&gt;=$C11,CY$4&lt;=$D11,'Вводные'!$B$88="Да"),"■","")</x:f>
      </x:c>
      <x:c r="CZ11" s="135" t="str">
        <x:f>IF(AND(CZ$4&gt;=$C11,CZ$4&lt;=$D11,'Вводные'!$B$88="Да"),"■","")</x:f>
      </x:c>
      <x:c r="DA11" s="135" t="str">
        <x:f>IF(AND(DA$4&gt;=$C11,DA$4&lt;=$D11,'Вводные'!$B$88="Да"),"■","")</x:f>
      </x:c>
      <x:c r="DB11" s="135" t="str">
        <x:f>IF(AND(DB$4&gt;=$C11,DB$4&lt;=$D11,'Вводные'!$B$88="Да"),"■","")</x:f>
      </x:c>
      <x:c r="DC11" s="135" t="str">
        <x:f>IF(AND(DC$4&gt;=$C11,DC$4&lt;=$D11,'Вводные'!$B$88="Да"),"■","")</x:f>
      </x:c>
      <x:c r="DD11" s="135" t="str">
        <x:f>IF(AND(DD$4&gt;=$C11,DD$4&lt;=$D11,'Вводные'!$B$88="Да"),"■","")</x:f>
      </x:c>
      <x:c r="DE11" s="135" t="str">
        <x:f>IF(AND(DE$4&gt;=$C11,DE$4&lt;=$D11,'Вводные'!$B$88="Да"),"■","")</x:f>
      </x:c>
      <x:c r="DF11" s="135" t="str">
        <x:f>IF(AND(DF$4&gt;=$C11,DF$4&lt;=$D11,'Вводные'!$B$88="Да"),"■","")</x:f>
      </x:c>
      <x:c r="DG11" s="135" t="str">
        <x:f>IF(AND(DG$4&gt;=$C11,DG$4&lt;=$D11,'Вводные'!$B$88="Да"),"■","")</x:f>
      </x:c>
      <x:c r="DH11" s="135" t="str">
        <x:f>IF(AND(DH$4&gt;=$C11,DH$4&lt;=$D11,'Вводные'!$B$88="Да"),"■","")</x:f>
      </x:c>
      <x:c r="DI11" s="135" t="str">
        <x:f>IF(AND(DI$4&gt;=$C11,DI$4&lt;=$D11,'Вводные'!$B$88="Да"),"■","")</x:f>
      </x:c>
      <x:c r="DJ11" s="135" t="str">
        <x:f>IF(AND(DJ$4&gt;=$C11,DJ$4&lt;=$D11,'Вводные'!$B$88="Да"),"■","")</x:f>
      </x:c>
      <x:c r="DK11" s="135" t="str">
        <x:f>IF(AND(DK$4&gt;=$C11,DK$4&lt;=$D11,'Вводные'!$B$88="Да"),"■","")</x:f>
      </x:c>
      <x:c r="DL11" s="135" t="str">
        <x:f>IF(AND(DL$4&gt;=$C11,DL$4&lt;=$D11,'Вводные'!$B$88="Да"),"■","")</x:f>
      </x:c>
      <x:c r="DM11" s="135" t="str">
        <x:f>IF(AND(DM$4&gt;=$C11,DM$4&lt;=$D11,'Вводные'!$B$88="Да"),"■","")</x:f>
      </x:c>
      <x:c r="DN11" s="135" t="str">
        <x:f>IF(AND(DN$4&gt;=$C11,DN$4&lt;=$D11,'Вводные'!$B$88="Да"),"■","")</x:f>
      </x:c>
      <x:c r="DO11" s="135" t="str">
        <x:f>IF(AND(DO$4&gt;=$C11,DO$4&lt;=$D11,'Вводные'!$B$88="Да"),"■","")</x:f>
      </x:c>
      <x:c r="DP11" s="135" t="str">
        <x:f>IF(AND(DP$4&gt;=$C11,DP$4&lt;=$D11,'Вводные'!$B$88="Да"),"■","")</x:f>
      </x:c>
      <x:c r="DQ11" s="135" t="str">
        <x:f>IF(AND(DQ$4&gt;=$C11,DQ$4&lt;=$D11,'Вводные'!$B$88="Да"),"■","")</x:f>
      </x:c>
      <x:c r="DR11" s="135" t="str">
        <x:f>IF(AND(DR$4&gt;=$C11,DR$4&lt;=$D11,'Вводные'!$B$88="Да"),"■","")</x:f>
      </x:c>
      <x:c r="DS11" s="135" t="str">
        <x:f>IF(AND(DS$4&gt;=$C11,DS$4&lt;=$D11,'Вводные'!$B$88="Да"),"■","")</x:f>
      </x:c>
      <x:c r="DT11" s="135" t="str">
        <x:f>IF(AND(DT$4&gt;=$C11,DT$4&lt;=$D11,'Вводные'!$B$88="Да"),"■","")</x:f>
      </x:c>
      <x:c r="DU11" s="135" t="str">
        <x:f>IF(AND(DU$4&gt;=$C11,DU$4&lt;=$D11,'Вводные'!$B$88="Да"),"■","")</x:f>
      </x:c>
      <x:c r="DV11" s="135" t="str">
        <x:f>IF(AND(DV$4&gt;=$C11,DV$4&lt;=$D11,'Вводные'!$B$88="Да"),"■","")</x:f>
      </x:c>
      <x:c r="DW11" s="135" t="str">
        <x:f>IF(AND(DW$4&gt;=$C11,DW$4&lt;=$D11,'Вводные'!$B$88="Да"),"■","")</x:f>
      </x:c>
      <x:c r="DX11" s="135" t="str">
        <x:f>IF(AND(DX$4&gt;=$C11,DX$4&lt;=$D11,'Вводные'!$B$88="Да"),"■","")</x:f>
      </x:c>
      <x:c r="DY11" s="135" t="str">
        <x:f>IF(AND(DY$4&gt;=$C11,DY$4&lt;=$D11,'Вводные'!$B$88="Да"),"■","")</x:f>
      </x:c>
      <x:c r="DZ11" s="135" t="str">
        <x:f>IF(AND(DZ$4&gt;=$C11,DZ$4&lt;=$D11,'Вводные'!$B$88="Да"),"■","")</x:f>
      </x:c>
      <x:c r="EA11" s="135" t="str">
        <x:f>IF(AND(EA$4&gt;=$C11,EA$4&lt;=$D11,'Вводные'!$B$88="Да"),"■","")</x:f>
      </x:c>
      <x:c r="EB11" s="135" t="str">
        <x:f>IF(AND(EB$4&gt;=$C11,EB$4&lt;=$D11,'Вводные'!$B$88="Да"),"■","")</x:f>
      </x:c>
      <x:c r="EC11" s="135" t="str">
        <x:f>IF(AND(EC$4&gt;=$C11,EC$4&lt;=$D11,'Вводные'!$B$88="Да"),"■","")</x:f>
      </x:c>
      <x:c r="ED11" s="135" t="str">
        <x:f>IF(AND(ED$4&gt;=$C11,ED$4&lt;=$D11,'Вводные'!$B$88="Да"),"■","")</x:f>
      </x:c>
      <x:c r="EE11" s="135" t="str">
        <x:f>IF(AND(EE$4&gt;=$C11,EE$4&lt;=$D11,'Вводные'!$B$88="Да"),"■","")</x:f>
      </x:c>
      <x:c r="EF11" s="135" t="str">
        <x:f>IF(AND(EF$4&gt;=$C11,EF$4&lt;=$D11,'Вводные'!$B$88="Да"),"■","")</x:f>
      </x:c>
      <x:c r="EG11" s="135" t="str">
        <x:f>IF(AND(EG$4&gt;=$C11,EG$4&lt;=$D11,'Вводные'!$B$88="Да"),"■","")</x:f>
      </x:c>
      <x:c r="EH11" s="135" t="str">
        <x:f>IF(AND(EH$4&gt;=$C11,EH$4&lt;=$D11,'Вводные'!$B$88="Да"),"■","")</x:f>
      </x:c>
      <x:c r="EI11" s="135" t="str">
        <x:f>IF(AND(EI$4&gt;=$C11,EI$4&lt;=$D11,'Вводные'!$B$88="Да"),"■","")</x:f>
      </x:c>
      <x:c r="EJ11" s="135" t="str">
        <x:f>IF(AND(EJ$4&gt;=$C11,EJ$4&lt;=$D11,'Вводные'!$B$88="Да"),"■","")</x:f>
      </x:c>
      <x:c r="EK11" s="135" t="str">
        <x:f>IF(AND(EK$4&gt;=$C11,EK$4&lt;=$D11,'Вводные'!$B$88="Да"),"■","")</x:f>
      </x:c>
      <x:c r="EL11" s="135" t="str">
        <x:f>IF(AND(EL$4&gt;=$C11,EL$4&lt;=$D11,'Вводные'!$B$88="Да"),"■","")</x:f>
      </x:c>
      <x:c r="EM11" s="135" t="str">
        <x:f>IF(AND(EM$4&gt;=$C11,EM$4&lt;=$D11,'Вводные'!$B$88="Да"),"■","")</x:f>
      </x:c>
      <x:c r="EN11" s="135" t="str">
        <x:f>IF(AND(EN$4&gt;=$C11,EN$4&lt;=$D11,'Вводные'!$B$88="Да"),"■","")</x:f>
      </x:c>
      <x:c r="EO11" s="135" t="str">
        <x:f>IF(AND(EO$4&gt;=$C11,EO$4&lt;=$D11,'Вводные'!$B$88="Да"),"■","")</x:f>
      </x:c>
      <x:c r="EP11" s="135" t="str">
        <x:f>IF(AND(EP$4&gt;=$C11,EP$4&lt;=$D11,'Вводные'!$B$88="Да"),"■","")</x:f>
      </x:c>
      <x:c r="EQ11" s="135" t="str">
        <x:f>IF(AND(EQ$4&gt;=$C11,EQ$4&lt;=$D11,'Вводные'!$B$88="Да"),"■","")</x:f>
      </x:c>
      <x:c r="ER11" s="135" t="str">
        <x:f>IF(AND(ER$4&gt;=$C11,ER$4&lt;=$D11,'Вводные'!$B$88="Да"),"■","")</x:f>
      </x:c>
      <x:c r="ES11" s="135" t="str">
        <x:f>IF(AND(ES$4&gt;=$C11,ES$4&lt;=$D11,'Вводные'!$B$88="Да"),"■","")</x:f>
      </x:c>
      <x:c r="ET11" s="135" t="str">
        <x:f>IF(AND(ET$4&gt;=$C11,ET$4&lt;=$D11,'Вводные'!$B$88="Да"),"■","")</x:f>
      </x:c>
      <x:c r="EU11" s="135" t="str">
        <x:f>IF(AND(EU$4&gt;=$C11,EU$4&lt;=$D11,'Вводные'!$B$88="Да"),"■","")</x:f>
      </x:c>
      <x:c r="EV11" s="135" t="str">
        <x:f>IF(AND(EV$4&gt;=$C11,EV$4&lt;=$D11,'Вводные'!$B$88="Да"),"■","")</x:f>
      </x:c>
      <x:c r="EW11" s="135" t="str">
        <x:f>IF(AND(EW$4&gt;=$C11,EW$4&lt;=$D11,'Вводные'!$B$88="Да"),"■","")</x:f>
      </x:c>
      <x:c r="EX11" s="135" t="str">
        <x:f>IF(AND(EX$4&gt;=$C11,EX$4&lt;=$D11,'Вводные'!$B$88="Да"),"■","")</x:f>
      </x:c>
      <x:c r="EY11" s="135" t="str">
        <x:f>IF(AND(EY$4&gt;=$C11,EY$4&lt;=$D11,'Вводные'!$B$88="Да"),"■","")</x:f>
      </x:c>
      <x:c r="EZ11" s="135" t="str">
        <x:f>IF(AND(EZ$4&gt;=$C11,EZ$4&lt;=$D11,'Вводные'!$B$88="Да"),"■","")</x:f>
      </x:c>
      <x:c r="FA11" s="135" t="str">
        <x:f>IF(AND(FA$4&gt;=$C11,FA$4&lt;=$D11,'Вводные'!$B$88="Да"),"■","")</x:f>
      </x:c>
      <x:c r="FB11" s="135" t="str">
        <x:f>IF(AND(FB$4&gt;=$C11,FB$4&lt;=$D11,'Вводные'!$B$88="Да"),"■","")</x:f>
      </x:c>
      <x:c r="FC11" s="135" t="str">
        <x:f>IF(AND(FC$4&gt;=$C11,FC$4&lt;=$D11,'Вводные'!$B$88="Да"),"■","")</x:f>
      </x:c>
      <x:c r="FD11" s="135" t="str">
        <x:f>IF(AND(FD$4&gt;=$C11,FD$4&lt;=$D11,'Вводные'!$B$88="Да"),"■","")</x:f>
      </x:c>
      <x:c r="FE11" s="135" t="str">
        <x:f>IF(AND(FE$4&gt;=$C11,FE$4&lt;=$D11,'Вводные'!$B$88="Да"),"■","")</x:f>
      </x:c>
      <x:c r="FF11" s="135" t="str">
        <x:f>IF(AND(FF$4&gt;=$C11,FF$4&lt;=$D11,'Вводные'!$B$88="Да"),"■","")</x:f>
      </x:c>
      <x:c r="FG11" s="135" t="str">
        <x:f>IF(AND(FG$4&gt;=$C11,FG$4&lt;=$D11,'Вводные'!$B$88="Да"),"■","")</x:f>
      </x:c>
      <x:c r="FH11" s="135" t="str">
        <x:f>IF(AND(FH$4&gt;=$C11,FH$4&lt;=$D11,'Вводные'!$B$88="Да"),"■","")</x:f>
      </x:c>
      <x:c r="FI11" s="135" t="str">
        <x:f>IF(AND(FI$4&gt;=$C11,FI$4&lt;=$D11,'Вводные'!$B$88="Да"),"■","")</x:f>
      </x:c>
      <x:c r="FJ11" s="135" t="str">
        <x:f>IF(AND(FJ$4&gt;=$C11,FJ$4&lt;=$D11,'Вводные'!$B$88="Да"),"■","")</x:f>
      </x:c>
      <x:c r="FK11" s="135" t="str">
        <x:f>IF(AND(FK$4&gt;=$C11,FK$4&lt;=$D11,'Вводные'!$B$88="Да"),"■","")</x:f>
      </x:c>
      <x:c r="FL11" s="135" t="str">
        <x:f>IF(AND(FL$4&gt;=$C11,FL$4&lt;=$D11,'Вводные'!$B$88="Да"),"■","")</x:f>
      </x:c>
      <x:c r="FM11" s="135" t="str">
        <x:f>IF(AND(FM$4&gt;=$C11,FM$4&lt;=$D11,'Вводные'!$B$88="Да"),"■","")</x:f>
      </x:c>
      <x:c r="FN11" s="135" t="str">
        <x:f>IF(AND(FN$4&gt;=$C11,FN$4&lt;=$D11,'Вводные'!$B$88="Да"),"■","")</x:f>
      </x:c>
      <x:c r="FO11" s="135" t="str">
        <x:f>IF(AND(FO$4&gt;=$C11,FO$4&lt;=$D11,'Вводные'!$B$88="Да"),"■","")</x:f>
      </x:c>
      <x:c r="FP11" s="135" t="str">
        <x:f>IF(AND(FP$4&gt;=$C11,FP$4&lt;=$D11,'Вводные'!$B$88="Да"),"■","")</x:f>
      </x:c>
      <x:c r="FQ11" s="135" t="str">
        <x:f>IF(AND(FQ$4&gt;=$C11,FQ$4&lt;=$D11,'Вводные'!$B$88="Да"),"■","")</x:f>
      </x:c>
      <x:c r="FR11" s="135" t="str">
        <x:f>IF(AND(FR$4&gt;=$C11,FR$4&lt;=$D11,'Вводные'!$B$88="Да"),"■","")</x:f>
      </x:c>
      <x:c r="FS11" s="135" t="str">
        <x:f>IF(AND(FS$4&gt;=$C11,FS$4&lt;=$D11,'Вводные'!$B$88="Да"),"■","")</x:f>
      </x:c>
      <x:c r="FT11" s="135" t="str">
        <x:f>IF(AND(FT$4&gt;=$C11,FT$4&lt;=$D11,'Вводные'!$B$88="Да"),"■","")</x:f>
      </x:c>
      <x:c r="FU11" s="135" t="str">
        <x:f>IF(AND(FU$4&gt;=$C11,FU$4&lt;=$D11,'Вводные'!$B$88="Да"),"■","")</x:f>
      </x:c>
      <x:c r="FV11" s="135" t="str">
        <x:f>IF(AND(FV$4&gt;=$C11,FV$4&lt;=$D11,'Вводные'!$B$88="Да"),"■","")</x:f>
      </x:c>
      <x:c r="FW11" s="135" t="str">
        <x:f>IF(AND(FW$4&gt;=$C11,FW$4&lt;=$D11,'Вводные'!$B$88="Да"),"■","")</x:f>
      </x:c>
      <x:c r="FX11" s="135" t="str">
        <x:f>IF(AND(FX$4&gt;=$C11,FX$4&lt;=$D11,'Вводные'!$B$88="Да"),"■","")</x:f>
      </x:c>
      <x:c r="FY11" s="135" t="str">
        <x:f>IF(AND(FY$4&gt;=$C11,FY$4&lt;=$D11,'Вводные'!$B$88="Да"),"■","")</x:f>
      </x:c>
      <x:c r="FZ11" s="135" t="str">
        <x:f>IF(AND(FZ$4&gt;=$C11,FZ$4&lt;=$D11,'Вводные'!$B$88="Да"),"■","")</x:f>
      </x:c>
      <x:c r="GA11" s="135" t="str">
        <x:f>IF(AND(GA$4&gt;=$C11,GA$4&lt;=$D11,'Вводные'!$B$88="Да"),"■","")</x:f>
      </x:c>
      <x:c r="GB11" s="135" t="str">
        <x:f>IF(AND(GB$4&gt;=$C11,GB$4&lt;=$D11,'Вводные'!$B$88="Да"),"■","")</x:f>
      </x:c>
    </x:row>
    <x:row r="12">
      <x:c r="A12" t="str">
        <x:f>'Вводные'!$C$88</x:f>
      </x:c>
      <x:c r="B12" t="str">
        <x:v>Проектное финансирование</x:v>
      </x:c>
      <x:c r="C12" s="92" t="n">
        <x:f>'CF_1'!B7</x:f>
      </x:c>
      <x:c r="D12" s="92" t="n">
        <x:f>EDATE('Продажи'!B7,'Вводные'!$H$88-1)</x:f>
      </x:c>
      <x:c r="E12" s="137" t="str">
        <x:f>IF(AND(E$4&gt;=$C12,E$4&lt;=$D12,'Вводные'!$B$88="Да"),"■","")</x:f>
      </x:c>
      <x:c r="F12" s="137" t="str">
        <x:f>IF(AND(F$4&gt;=$C12,F$4&lt;=$D12,'Вводные'!$B$88="Да"),"■","")</x:f>
      </x:c>
      <x:c r="G12" s="137" t="str">
        <x:f>IF(AND(G$4&gt;=$C12,G$4&lt;=$D12,'Вводные'!$B$88="Да"),"■","")</x:f>
      </x:c>
      <x:c r="H12" s="137" t="str">
        <x:f>IF(AND(H$4&gt;=$C12,H$4&lt;=$D12,'Вводные'!$B$88="Да"),"■","")</x:f>
      </x:c>
      <x:c r="I12" s="137" t="str">
        <x:f>IF(AND(I$4&gt;=$C12,I$4&lt;=$D12,'Вводные'!$B$88="Да"),"■","")</x:f>
      </x:c>
      <x:c r="J12" s="137" t="str">
        <x:f>IF(AND(J$4&gt;=$C12,J$4&lt;=$D12,'Вводные'!$B$88="Да"),"■","")</x:f>
      </x:c>
      <x:c r="K12" s="137" t="str">
        <x:f>IF(AND(K$4&gt;=$C12,K$4&lt;=$D12,'Вводные'!$B$88="Да"),"■","")</x:f>
      </x:c>
      <x:c r="L12" s="137" t="str">
        <x:f>IF(AND(L$4&gt;=$C12,L$4&lt;=$D12,'Вводные'!$B$88="Да"),"■","")</x:f>
      </x:c>
      <x:c r="M12" s="137" t="str">
        <x:f>IF(AND(M$4&gt;=$C12,M$4&lt;=$D12,'Вводные'!$B$88="Да"),"■","")</x:f>
      </x:c>
      <x:c r="N12" s="137" t="str">
        <x:f>IF(AND(N$4&gt;=$C12,N$4&lt;=$D12,'Вводные'!$B$88="Да"),"■","")</x:f>
      </x:c>
      <x:c r="O12" s="137" t="str">
        <x:f>IF(AND(O$4&gt;=$C12,O$4&lt;=$D12,'Вводные'!$B$88="Да"),"■","")</x:f>
      </x:c>
      <x:c r="P12" s="137" t="str">
        <x:f>IF(AND(P$4&gt;=$C12,P$4&lt;=$D12,'Вводные'!$B$88="Да"),"■","")</x:f>
      </x:c>
      <x:c r="Q12" s="137" t="str">
        <x:f>IF(AND(Q$4&gt;=$C12,Q$4&lt;=$D12,'Вводные'!$B$88="Да"),"■","")</x:f>
      </x:c>
      <x:c r="R12" s="137" t="str">
        <x:f>IF(AND(R$4&gt;=$C12,R$4&lt;=$D12,'Вводные'!$B$88="Да"),"■","")</x:f>
      </x:c>
      <x:c r="S12" s="137" t="str">
        <x:f>IF(AND(S$4&gt;=$C12,S$4&lt;=$D12,'Вводные'!$B$88="Да"),"■","")</x:f>
      </x:c>
      <x:c r="T12" s="137" t="str">
        <x:f>IF(AND(T$4&gt;=$C12,T$4&lt;=$D12,'Вводные'!$B$88="Да"),"■","")</x:f>
      </x:c>
      <x:c r="U12" s="137" t="str">
        <x:f>IF(AND(U$4&gt;=$C12,U$4&lt;=$D12,'Вводные'!$B$88="Да"),"■","")</x:f>
      </x:c>
      <x:c r="V12" s="137" t="str">
        <x:f>IF(AND(V$4&gt;=$C12,V$4&lt;=$D12,'Вводные'!$B$88="Да"),"■","")</x:f>
      </x:c>
      <x:c r="W12" s="137" t="str">
        <x:f>IF(AND(W$4&gt;=$C12,W$4&lt;=$D12,'Вводные'!$B$88="Да"),"■","")</x:f>
      </x:c>
      <x:c r="X12" s="137" t="str">
        <x:f>IF(AND(X$4&gt;=$C12,X$4&lt;=$D12,'Вводные'!$B$88="Да"),"■","")</x:f>
      </x:c>
      <x:c r="Y12" s="137" t="str">
        <x:f>IF(AND(Y$4&gt;=$C12,Y$4&lt;=$D12,'Вводные'!$B$88="Да"),"■","")</x:f>
      </x:c>
      <x:c r="Z12" s="137" t="str">
        <x:f>IF(AND(Z$4&gt;=$C12,Z$4&lt;=$D12,'Вводные'!$B$88="Да"),"■","")</x:f>
      </x:c>
      <x:c r="AA12" s="137" t="str">
        <x:f>IF(AND(AA$4&gt;=$C12,AA$4&lt;=$D12,'Вводные'!$B$88="Да"),"■","")</x:f>
      </x:c>
      <x:c r="AB12" s="137" t="str">
        <x:f>IF(AND(AB$4&gt;=$C12,AB$4&lt;=$D12,'Вводные'!$B$88="Да"),"■","")</x:f>
      </x:c>
      <x:c r="AC12" s="137" t="str">
        <x:f>IF(AND(AC$4&gt;=$C12,AC$4&lt;=$D12,'Вводные'!$B$88="Да"),"■","")</x:f>
      </x:c>
      <x:c r="AD12" s="137" t="str">
        <x:f>IF(AND(AD$4&gt;=$C12,AD$4&lt;=$D12,'Вводные'!$B$88="Да"),"■","")</x:f>
      </x:c>
      <x:c r="AE12" s="137" t="str">
        <x:f>IF(AND(AE$4&gt;=$C12,AE$4&lt;=$D12,'Вводные'!$B$88="Да"),"■","")</x:f>
      </x:c>
      <x:c r="AF12" s="137" t="str">
        <x:f>IF(AND(AF$4&gt;=$C12,AF$4&lt;=$D12,'Вводные'!$B$88="Да"),"■","")</x:f>
      </x:c>
      <x:c r="AG12" s="137" t="str">
        <x:f>IF(AND(AG$4&gt;=$C12,AG$4&lt;=$D12,'Вводные'!$B$88="Да"),"■","")</x:f>
      </x:c>
      <x:c r="AH12" s="137" t="str">
        <x:f>IF(AND(AH$4&gt;=$C12,AH$4&lt;=$D12,'Вводные'!$B$88="Да"),"■","")</x:f>
      </x:c>
      <x:c r="AI12" s="137" t="str">
        <x:f>IF(AND(AI$4&gt;=$C12,AI$4&lt;=$D12,'Вводные'!$B$88="Да"),"■","")</x:f>
      </x:c>
      <x:c r="AJ12" s="137" t="str">
        <x:f>IF(AND(AJ$4&gt;=$C12,AJ$4&lt;=$D12,'Вводные'!$B$88="Да"),"■","")</x:f>
      </x:c>
      <x:c r="AK12" s="137" t="str">
        <x:f>IF(AND(AK$4&gt;=$C12,AK$4&lt;=$D12,'Вводные'!$B$88="Да"),"■","")</x:f>
      </x:c>
      <x:c r="AL12" s="137" t="str">
        <x:f>IF(AND(AL$4&gt;=$C12,AL$4&lt;=$D12,'Вводные'!$B$88="Да"),"■","")</x:f>
      </x:c>
      <x:c r="AM12" s="137" t="str">
        <x:f>IF(AND(AM$4&gt;=$C12,AM$4&lt;=$D12,'Вводные'!$B$88="Да"),"■","")</x:f>
      </x:c>
      <x:c r="AN12" s="137" t="str">
        <x:f>IF(AND(AN$4&gt;=$C12,AN$4&lt;=$D12,'Вводные'!$B$88="Да"),"■","")</x:f>
      </x:c>
      <x:c r="AO12" s="137" t="str">
        <x:f>IF(AND(AO$4&gt;=$C12,AO$4&lt;=$D12,'Вводные'!$B$88="Да"),"■","")</x:f>
      </x:c>
      <x:c r="AP12" s="137" t="str">
        <x:f>IF(AND(AP$4&gt;=$C12,AP$4&lt;=$D12,'Вводные'!$B$88="Да"),"■","")</x:f>
      </x:c>
      <x:c r="AQ12" s="137" t="str">
        <x:f>IF(AND(AQ$4&gt;=$C12,AQ$4&lt;=$D12,'Вводные'!$B$88="Да"),"■","")</x:f>
      </x:c>
      <x:c r="AR12" s="137" t="str">
        <x:f>IF(AND(AR$4&gt;=$C12,AR$4&lt;=$D12,'Вводные'!$B$88="Да"),"■","")</x:f>
      </x:c>
      <x:c r="AS12" s="137" t="str">
        <x:f>IF(AND(AS$4&gt;=$C12,AS$4&lt;=$D12,'Вводные'!$B$88="Да"),"■","")</x:f>
      </x:c>
      <x:c r="AT12" s="137" t="str">
        <x:f>IF(AND(AT$4&gt;=$C12,AT$4&lt;=$D12,'Вводные'!$B$88="Да"),"■","")</x:f>
      </x:c>
      <x:c r="AU12" s="137" t="str">
        <x:f>IF(AND(AU$4&gt;=$C12,AU$4&lt;=$D12,'Вводные'!$B$88="Да"),"■","")</x:f>
      </x:c>
      <x:c r="AV12" s="137" t="str">
        <x:f>IF(AND(AV$4&gt;=$C12,AV$4&lt;=$D12,'Вводные'!$B$88="Да"),"■","")</x:f>
      </x:c>
      <x:c r="AW12" s="137" t="str">
        <x:f>IF(AND(AW$4&gt;=$C12,AW$4&lt;=$D12,'Вводные'!$B$88="Да"),"■","")</x:f>
      </x:c>
      <x:c r="AX12" s="137" t="str">
        <x:f>IF(AND(AX$4&gt;=$C12,AX$4&lt;=$D12,'Вводные'!$B$88="Да"),"■","")</x:f>
      </x:c>
      <x:c r="AY12" s="137" t="str">
        <x:f>IF(AND(AY$4&gt;=$C12,AY$4&lt;=$D12,'Вводные'!$B$88="Да"),"■","")</x:f>
      </x:c>
      <x:c r="AZ12" s="137" t="str">
        <x:f>IF(AND(AZ$4&gt;=$C12,AZ$4&lt;=$D12,'Вводные'!$B$88="Да"),"■","")</x:f>
      </x:c>
      <x:c r="BA12" s="137" t="str">
        <x:f>IF(AND(BA$4&gt;=$C12,BA$4&lt;=$D12,'Вводные'!$B$88="Да"),"■","")</x:f>
      </x:c>
      <x:c r="BB12" s="137" t="str">
        <x:f>IF(AND(BB$4&gt;=$C12,BB$4&lt;=$D12,'Вводные'!$B$88="Да"),"■","")</x:f>
      </x:c>
      <x:c r="BC12" s="137" t="str">
        <x:f>IF(AND(BC$4&gt;=$C12,BC$4&lt;=$D12,'Вводные'!$B$88="Да"),"■","")</x:f>
      </x:c>
      <x:c r="BD12" s="137" t="str">
        <x:f>IF(AND(BD$4&gt;=$C12,BD$4&lt;=$D12,'Вводные'!$B$88="Да"),"■","")</x:f>
      </x:c>
      <x:c r="BE12" s="137" t="str">
        <x:f>IF(AND(BE$4&gt;=$C12,BE$4&lt;=$D12,'Вводные'!$B$88="Да"),"■","")</x:f>
      </x:c>
      <x:c r="BF12" s="137" t="str">
        <x:f>IF(AND(BF$4&gt;=$C12,BF$4&lt;=$D12,'Вводные'!$B$88="Да"),"■","")</x:f>
      </x:c>
      <x:c r="BG12" s="137" t="str">
        <x:f>IF(AND(BG$4&gt;=$C12,BG$4&lt;=$D12,'Вводные'!$B$88="Да"),"■","")</x:f>
      </x:c>
      <x:c r="BH12" s="137" t="str">
        <x:f>IF(AND(BH$4&gt;=$C12,BH$4&lt;=$D12,'Вводные'!$B$88="Да"),"■","")</x:f>
      </x:c>
      <x:c r="BI12" s="137" t="str">
        <x:f>IF(AND(BI$4&gt;=$C12,BI$4&lt;=$D12,'Вводные'!$B$88="Да"),"■","")</x:f>
      </x:c>
      <x:c r="BJ12" s="137" t="str">
        <x:f>IF(AND(BJ$4&gt;=$C12,BJ$4&lt;=$D12,'Вводные'!$B$88="Да"),"■","")</x:f>
      </x:c>
      <x:c r="BK12" s="137" t="str">
        <x:f>IF(AND(BK$4&gt;=$C12,BK$4&lt;=$D12,'Вводные'!$B$88="Да"),"■","")</x:f>
      </x:c>
      <x:c r="BL12" s="137" t="str">
        <x:f>IF(AND(BL$4&gt;=$C12,BL$4&lt;=$D12,'Вводные'!$B$88="Да"),"■","")</x:f>
      </x:c>
      <x:c r="BM12" s="137" t="str">
        <x:f>IF(AND(BM$4&gt;=$C12,BM$4&lt;=$D12,'Вводные'!$B$88="Да"),"■","")</x:f>
      </x:c>
      <x:c r="BN12" s="137" t="str">
        <x:f>IF(AND(BN$4&gt;=$C12,BN$4&lt;=$D12,'Вводные'!$B$88="Да"),"■","")</x:f>
      </x:c>
      <x:c r="BO12" s="137" t="str">
        <x:f>IF(AND(BO$4&gt;=$C12,BO$4&lt;=$D12,'Вводные'!$B$88="Да"),"■","")</x:f>
      </x:c>
      <x:c r="BP12" s="137" t="str">
        <x:f>IF(AND(BP$4&gt;=$C12,BP$4&lt;=$D12,'Вводные'!$B$88="Да"),"■","")</x:f>
      </x:c>
      <x:c r="BQ12" s="137" t="str">
        <x:f>IF(AND(BQ$4&gt;=$C12,BQ$4&lt;=$D12,'Вводные'!$B$88="Да"),"■","")</x:f>
      </x:c>
      <x:c r="BR12" s="137" t="str">
        <x:f>IF(AND(BR$4&gt;=$C12,BR$4&lt;=$D12,'Вводные'!$B$88="Да"),"■","")</x:f>
      </x:c>
      <x:c r="BS12" s="137" t="str">
        <x:f>IF(AND(BS$4&gt;=$C12,BS$4&lt;=$D12,'Вводные'!$B$88="Да"),"■","")</x:f>
      </x:c>
      <x:c r="BT12" s="137" t="str">
        <x:f>IF(AND(BT$4&gt;=$C12,BT$4&lt;=$D12,'Вводные'!$B$88="Да"),"■","")</x:f>
      </x:c>
      <x:c r="BU12" s="137" t="str">
        <x:f>IF(AND(BU$4&gt;=$C12,BU$4&lt;=$D12,'Вводные'!$B$88="Да"),"■","")</x:f>
      </x:c>
      <x:c r="BV12" s="137" t="str">
        <x:f>IF(AND(BV$4&gt;=$C12,BV$4&lt;=$D12,'Вводные'!$B$88="Да"),"■","")</x:f>
      </x:c>
      <x:c r="BW12" s="137" t="str">
        <x:f>IF(AND(BW$4&gt;=$C12,BW$4&lt;=$D12,'Вводные'!$B$88="Да"),"■","")</x:f>
      </x:c>
      <x:c r="BX12" s="137" t="str">
        <x:f>IF(AND(BX$4&gt;=$C12,BX$4&lt;=$D12,'Вводные'!$B$88="Да"),"■","")</x:f>
      </x:c>
      <x:c r="BY12" s="137" t="str">
        <x:f>IF(AND(BY$4&gt;=$C12,BY$4&lt;=$D12,'Вводные'!$B$88="Да"),"■","")</x:f>
      </x:c>
      <x:c r="BZ12" s="137" t="str">
        <x:f>IF(AND(BZ$4&gt;=$C12,BZ$4&lt;=$D12,'Вводные'!$B$88="Да"),"■","")</x:f>
      </x:c>
      <x:c r="CA12" s="137" t="str">
        <x:f>IF(AND(CA$4&gt;=$C12,CA$4&lt;=$D12,'Вводные'!$B$88="Да"),"■","")</x:f>
      </x:c>
      <x:c r="CB12" s="137" t="str">
        <x:f>IF(AND(CB$4&gt;=$C12,CB$4&lt;=$D12,'Вводные'!$B$88="Да"),"■","")</x:f>
      </x:c>
      <x:c r="CC12" s="137" t="str">
        <x:f>IF(AND(CC$4&gt;=$C12,CC$4&lt;=$D12,'Вводные'!$B$88="Да"),"■","")</x:f>
      </x:c>
      <x:c r="CD12" s="137" t="str">
        <x:f>IF(AND(CD$4&gt;=$C12,CD$4&lt;=$D12,'Вводные'!$B$88="Да"),"■","")</x:f>
      </x:c>
      <x:c r="CE12" s="137" t="str">
        <x:f>IF(AND(CE$4&gt;=$C12,CE$4&lt;=$D12,'Вводные'!$B$88="Да"),"■","")</x:f>
      </x:c>
      <x:c r="CF12" s="137" t="str">
        <x:f>IF(AND(CF$4&gt;=$C12,CF$4&lt;=$D12,'Вводные'!$B$88="Да"),"■","")</x:f>
      </x:c>
      <x:c r="CG12" s="137" t="str">
        <x:f>IF(AND(CG$4&gt;=$C12,CG$4&lt;=$D12,'Вводные'!$B$88="Да"),"■","")</x:f>
      </x:c>
      <x:c r="CH12" s="137" t="str">
        <x:f>IF(AND(CH$4&gt;=$C12,CH$4&lt;=$D12,'Вводные'!$B$88="Да"),"■","")</x:f>
      </x:c>
      <x:c r="CI12" s="137" t="str">
        <x:f>IF(AND(CI$4&gt;=$C12,CI$4&lt;=$D12,'Вводные'!$B$88="Да"),"■","")</x:f>
      </x:c>
      <x:c r="CJ12" s="137" t="str">
        <x:f>IF(AND(CJ$4&gt;=$C12,CJ$4&lt;=$D12,'Вводные'!$B$88="Да"),"■","")</x:f>
      </x:c>
      <x:c r="CK12" s="137" t="str">
        <x:f>IF(AND(CK$4&gt;=$C12,CK$4&lt;=$D12,'Вводные'!$B$88="Да"),"■","")</x:f>
      </x:c>
      <x:c r="CL12" s="137" t="str">
        <x:f>IF(AND(CL$4&gt;=$C12,CL$4&lt;=$D12,'Вводные'!$B$88="Да"),"■","")</x:f>
      </x:c>
      <x:c r="CM12" s="137" t="str">
        <x:f>IF(AND(CM$4&gt;=$C12,CM$4&lt;=$D12,'Вводные'!$B$88="Да"),"■","")</x:f>
      </x:c>
      <x:c r="CN12" s="137" t="str">
        <x:f>IF(AND(CN$4&gt;=$C12,CN$4&lt;=$D12,'Вводные'!$B$88="Да"),"■","")</x:f>
      </x:c>
      <x:c r="CO12" s="137" t="str">
        <x:f>IF(AND(CO$4&gt;=$C12,CO$4&lt;=$D12,'Вводные'!$B$88="Да"),"■","")</x:f>
      </x:c>
      <x:c r="CP12" s="137" t="str">
        <x:f>IF(AND(CP$4&gt;=$C12,CP$4&lt;=$D12,'Вводные'!$B$88="Да"),"■","")</x:f>
      </x:c>
      <x:c r="CQ12" s="137" t="str">
        <x:f>IF(AND(CQ$4&gt;=$C12,CQ$4&lt;=$D12,'Вводные'!$B$88="Да"),"■","")</x:f>
      </x:c>
      <x:c r="CR12" s="137" t="str">
        <x:f>IF(AND(CR$4&gt;=$C12,CR$4&lt;=$D12,'Вводные'!$B$88="Да"),"■","")</x:f>
      </x:c>
      <x:c r="CS12" s="137" t="str">
        <x:f>IF(AND(CS$4&gt;=$C12,CS$4&lt;=$D12,'Вводные'!$B$88="Да"),"■","")</x:f>
      </x:c>
      <x:c r="CT12" s="137" t="str">
        <x:f>IF(AND(CT$4&gt;=$C12,CT$4&lt;=$D12,'Вводные'!$B$88="Да"),"■","")</x:f>
      </x:c>
      <x:c r="CU12" s="137" t="str">
        <x:f>IF(AND(CU$4&gt;=$C12,CU$4&lt;=$D12,'Вводные'!$B$88="Да"),"■","")</x:f>
      </x:c>
      <x:c r="CV12" s="137" t="str">
        <x:f>IF(AND(CV$4&gt;=$C12,CV$4&lt;=$D12,'Вводные'!$B$88="Да"),"■","")</x:f>
      </x:c>
      <x:c r="CW12" s="137" t="str">
        <x:f>IF(AND(CW$4&gt;=$C12,CW$4&lt;=$D12,'Вводные'!$B$88="Да"),"■","")</x:f>
      </x:c>
      <x:c r="CX12" s="137" t="str">
        <x:f>IF(AND(CX$4&gt;=$C12,CX$4&lt;=$D12,'Вводные'!$B$88="Да"),"■","")</x:f>
      </x:c>
      <x:c r="CY12" s="137" t="str">
        <x:f>IF(AND(CY$4&gt;=$C12,CY$4&lt;=$D12,'Вводные'!$B$88="Да"),"■","")</x:f>
      </x:c>
      <x:c r="CZ12" s="137" t="str">
        <x:f>IF(AND(CZ$4&gt;=$C12,CZ$4&lt;=$D12,'Вводные'!$B$88="Да"),"■","")</x:f>
      </x:c>
      <x:c r="DA12" s="137" t="str">
        <x:f>IF(AND(DA$4&gt;=$C12,DA$4&lt;=$D12,'Вводные'!$B$88="Да"),"■","")</x:f>
      </x:c>
      <x:c r="DB12" s="137" t="str">
        <x:f>IF(AND(DB$4&gt;=$C12,DB$4&lt;=$D12,'Вводные'!$B$88="Да"),"■","")</x:f>
      </x:c>
      <x:c r="DC12" s="137" t="str">
        <x:f>IF(AND(DC$4&gt;=$C12,DC$4&lt;=$D12,'Вводные'!$B$88="Да"),"■","")</x:f>
      </x:c>
      <x:c r="DD12" s="137" t="str">
        <x:f>IF(AND(DD$4&gt;=$C12,DD$4&lt;=$D12,'Вводные'!$B$88="Да"),"■","")</x:f>
      </x:c>
      <x:c r="DE12" s="137" t="str">
        <x:f>IF(AND(DE$4&gt;=$C12,DE$4&lt;=$D12,'Вводные'!$B$88="Да"),"■","")</x:f>
      </x:c>
      <x:c r="DF12" s="137" t="str">
        <x:f>IF(AND(DF$4&gt;=$C12,DF$4&lt;=$D12,'Вводные'!$B$88="Да"),"■","")</x:f>
      </x:c>
      <x:c r="DG12" s="137" t="str">
        <x:f>IF(AND(DG$4&gt;=$C12,DG$4&lt;=$D12,'Вводные'!$B$88="Да"),"■","")</x:f>
      </x:c>
      <x:c r="DH12" s="137" t="str">
        <x:f>IF(AND(DH$4&gt;=$C12,DH$4&lt;=$D12,'Вводные'!$B$88="Да"),"■","")</x:f>
      </x:c>
      <x:c r="DI12" s="137" t="str">
        <x:f>IF(AND(DI$4&gt;=$C12,DI$4&lt;=$D12,'Вводные'!$B$88="Да"),"■","")</x:f>
      </x:c>
      <x:c r="DJ12" s="137" t="str">
        <x:f>IF(AND(DJ$4&gt;=$C12,DJ$4&lt;=$D12,'Вводные'!$B$88="Да"),"■","")</x:f>
      </x:c>
      <x:c r="DK12" s="137" t="str">
        <x:f>IF(AND(DK$4&gt;=$C12,DK$4&lt;=$D12,'Вводные'!$B$88="Да"),"■","")</x:f>
      </x:c>
      <x:c r="DL12" s="137" t="str">
        <x:f>IF(AND(DL$4&gt;=$C12,DL$4&lt;=$D12,'Вводные'!$B$88="Да"),"■","")</x:f>
      </x:c>
      <x:c r="DM12" s="137" t="str">
        <x:f>IF(AND(DM$4&gt;=$C12,DM$4&lt;=$D12,'Вводные'!$B$88="Да"),"■","")</x:f>
      </x:c>
      <x:c r="DN12" s="137" t="str">
        <x:f>IF(AND(DN$4&gt;=$C12,DN$4&lt;=$D12,'Вводные'!$B$88="Да"),"■","")</x:f>
      </x:c>
      <x:c r="DO12" s="137" t="str">
        <x:f>IF(AND(DO$4&gt;=$C12,DO$4&lt;=$D12,'Вводные'!$B$88="Да"),"■","")</x:f>
      </x:c>
      <x:c r="DP12" s="137" t="str">
        <x:f>IF(AND(DP$4&gt;=$C12,DP$4&lt;=$D12,'Вводные'!$B$88="Да"),"■","")</x:f>
      </x:c>
      <x:c r="DQ12" s="137" t="str">
        <x:f>IF(AND(DQ$4&gt;=$C12,DQ$4&lt;=$D12,'Вводные'!$B$88="Да"),"■","")</x:f>
      </x:c>
      <x:c r="DR12" s="137" t="str">
        <x:f>IF(AND(DR$4&gt;=$C12,DR$4&lt;=$D12,'Вводные'!$B$88="Да"),"■","")</x:f>
      </x:c>
      <x:c r="DS12" s="137" t="str">
        <x:f>IF(AND(DS$4&gt;=$C12,DS$4&lt;=$D12,'Вводные'!$B$88="Да"),"■","")</x:f>
      </x:c>
      <x:c r="DT12" s="137" t="str">
        <x:f>IF(AND(DT$4&gt;=$C12,DT$4&lt;=$D12,'Вводные'!$B$88="Да"),"■","")</x:f>
      </x:c>
      <x:c r="DU12" s="137" t="str">
        <x:f>IF(AND(DU$4&gt;=$C12,DU$4&lt;=$D12,'Вводные'!$B$88="Да"),"■","")</x:f>
      </x:c>
      <x:c r="DV12" s="137" t="str">
        <x:f>IF(AND(DV$4&gt;=$C12,DV$4&lt;=$D12,'Вводные'!$B$88="Да"),"■","")</x:f>
      </x:c>
      <x:c r="DW12" s="137" t="str">
        <x:f>IF(AND(DW$4&gt;=$C12,DW$4&lt;=$D12,'Вводные'!$B$88="Да"),"■","")</x:f>
      </x:c>
      <x:c r="DX12" s="137" t="str">
        <x:f>IF(AND(DX$4&gt;=$C12,DX$4&lt;=$D12,'Вводные'!$B$88="Да"),"■","")</x:f>
      </x:c>
      <x:c r="DY12" s="137" t="str">
        <x:f>IF(AND(DY$4&gt;=$C12,DY$4&lt;=$D12,'Вводные'!$B$88="Да"),"■","")</x:f>
      </x:c>
      <x:c r="DZ12" s="137" t="str">
        <x:f>IF(AND(DZ$4&gt;=$C12,DZ$4&lt;=$D12,'Вводные'!$B$88="Да"),"■","")</x:f>
      </x:c>
      <x:c r="EA12" s="137" t="str">
        <x:f>IF(AND(EA$4&gt;=$C12,EA$4&lt;=$D12,'Вводные'!$B$88="Да"),"■","")</x:f>
      </x:c>
      <x:c r="EB12" s="137" t="str">
        <x:f>IF(AND(EB$4&gt;=$C12,EB$4&lt;=$D12,'Вводные'!$B$88="Да"),"■","")</x:f>
      </x:c>
      <x:c r="EC12" s="137" t="str">
        <x:f>IF(AND(EC$4&gt;=$C12,EC$4&lt;=$D12,'Вводные'!$B$88="Да"),"■","")</x:f>
      </x:c>
      <x:c r="ED12" s="137" t="str">
        <x:f>IF(AND(ED$4&gt;=$C12,ED$4&lt;=$D12,'Вводные'!$B$88="Да"),"■","")</x:f>
      </x:c>
      <x:c r="EE12" s="137" t="str">
        <x:f>IF(AND(EE$4&gt;=$C12,EE$4&lt;=$D12,'Вводные'!$B$88="Да"),"■","")</x:f>
      </x:c>
      <x:c r="EF12" s="137" t="str">
        <x:f>IF(AND(EF$4&gt;=$C12,EF$4&lt;=$D12,'Вводные'!$B$88="Да"),"■","")</x:f>
      </x:c>
      <x:c r="EG12" s="137" t="str">
        <x:f>IF(AND(EG$4&gt;=$C12,EG$4&lt;=$D12,'Вводные'!$B$88="Да"),"■","")</x:f>
      </x:c>
      <x:c r="EH12" s="137" t="str">
        <x:f>IF(AND(EH$4&gt;=$C12,EH$4&lt;=$D12,'Вводные'!$B$88="Да"),"■","")</x:f>
      </x:c>
      <x:c r="EI12" s="137" t="str">
        <x:f>IF(AND(EI$4&gt;=$C12,EI$4&lt;=$D12,'Вводные'!$B$88="Да"),"■","")</x:f>
      </x:c>
      <x:c r="EJ12" s="137" t="str">
        <x:f>IF(AND(EJ$4&gt;=$C12,EJ$4&lt;=$D12,'Вводные'!$B$88="Да"),"■","")</x:f>
      </x:c>
      <x:c r="EK12" s="137" t="str">
        <x:f>IF(AND(EK$4&gt;=$C12,EK$4&lt;=$D12,'Вводные'!$B$88="Да"),"■","")</x:f>
      </x:c>
      <x:c r="EL12" s="137" t="str">
        <x:f>IF(AND(EL$4&gt;=$C12,EL$4&lt;=$D12,'Вводные'!$B$88="Да"),"■","")</x:f>
      </x:c>
      <x:c r="EM12" s="137" t="str">
        <x:f>IF(AND(EM$4&gt;=$C12,EM$4&lt;=$D12,'Вводные'!$B$88="Да"),"■","")</x:f>
      </x:c>
      <x:c r="EN12" s="137" t="str">
        <x:f>IF(AND(EN$4&gt;=$C12,EN$4&lt;=$D12,'Вводные'!$B$88="Да"),"■","")</x:f>
      </x:c>
      <x:c r="EO12" s="137" t="str">
        <x:f>IF(AND(EO$4&gt;=$C12,EO$4&lt;=$D12,'Вводные'!$B$88="Да"),"■","")</x:f>
      </x:c>
      <x:c r="EP12" s="137" t="str">
        <x:f>IF(AND(EP$4&gt;=$C12,EP$4&lt;=$D12,'Вводные'!$B$88="Да"),"■","")</x:f>
      </x:c>
      <x:c r="EQ12" s="137" t="str">
        <x:f>IF(AND(EQ$4&gt;=$C12,EQ$4&lt;=$D12,'Вводные'!$B$88="Да"),"■","")</x:f>
      </x:c>
      <x:c r="ER12" s="137" t="str">
        <x:f>IF(AND(ER$4&gt;=$C12,ER$4&lt;=$D12,'Вводные'!$B$88="Да"),"■","")</x:f>
      </x:c>
      <x:c r="ES12" s="137" t="str">
        <x:f>IF(AND(ES$4&gt;=$C12,ES$4&lt;=$D12,'Вводные'!$B$88="Да"),"■","")</x:f>
      </x:c>
      <x:c r="ET12" s="137" t="str">
        <x:f>IF(AND(ET$4&gt;=$C12,ET$4&lt;=$D12,'Вводные'!$B$88="Да"),"■","")</x:f>
      </x:c>
      <x:c r="EU12" s="137" t="str">
        <x:f>IF(AND(EU$4&gt;=$C12,EU$4&lt;=$D12,'Вводные'!$B$88="Да"),"■","")</x:f>
      </x:c>
      <x:c r="EV12" s="137" t="str">
        <x:f>IF(AND(EV$4&gt;=$C12,EV$4&lt;=$D12,'Вводные'!$B$88="Да"),"■","")</x:f>
      </x:c>
      <x:c r="EW12" s="137" t="str">
        <x:f>IF(AND(EW$4&gt;=$C12,EW$4&lt;=$D12,'Вводные'!$B$88="Да"),"■","")</x:f>
      </x:c>
      <x:c r="EX12" s="137" t="str">
        <x:f>IF(AND(EX$4&gt;=$C12,EX$4&lt;=$D12,'Вводные'!$B$88="Да"),"■","")</x:f>
      </x:c>
      <x:c r="EY12" s="137" t="str">
        <x:f>IF(AND(EY$4&gt;=$C12,EY$4&lt;=$D12,'Вводные'!$B$88="Да"),"■","")</x:f>
      </x:c>
      <x:c r="EZ12" s="137" t="str">
        <x:f>IF(AND(EZ$4&gt;=$C12,EZ$4&lt;=$D12,'Вводные'!$B$88="Да"),"■","")</x:f>
      </x:c>
      <x:c r="FA12" s="137" t="str">
        <x:f>IF(AND(FA$4&gt;=$C12,FA$4&lt;=$D12,'Вводные'!$B$88="Да"),"■","")</x:f>
      </x:c>
      <x:c r="FB12" s="137" t="str">
        <x:f>IF(AND(FB$4&gt;=$C12,FB$4&lt;=$D12,'Вводные'!$B$88="Да"),"■","")</x:f>
      </x:c>
      <x:c r="FC12" s="137" t="str">
        <x:f>IF(AND(FC$4&gt;=$C12,FC$4&lt;=$D12,'Вводные'!$B$88="Да"),"■","")</x:f>
      </x:c>
      <x:c r="FD12" s="137" t="str">
        <x:f>IF(AND(FD$4&gt;=$C12,FD$4&lt;=$D12,'Вводные'!$B$88="Да"),"■","")</x:f>
      </x:c>
      <x:c r="FE12" s="137" t="str">
        <x:f>IF(AND(FE$4&gt;=$C12,FE$4&lt;=$D12,'Вводные'!$B$88="Да"),"■","")</x:f>
      </x:c>
      <x:c r="FF12" s="137" t="str">
        <x:f>IF(AND(FF$4&gt;=$C12,FF$4&lt;=$D12,'Вводные'!$B$88="Да"),"■","")</x:f>
      </x:c>
      <x:c r="FG12" s="137" t="str">
        <x:f>IF(AND(FG$4&gt;=$C12,FG$4&lt;=$D12,'Вводные'!$B$88="Да"),"■","")</x:f>
      </x:c>
      <x:c r="FH12" s="137" t="str">
        <x:f>IF(AND(FH$4&gt;=$C12,FH$4&lt;=$D12,'Вводные'!$B$88="Да"),"■","")</x:f>
      </x:c>
      <x:c r="FI12" s="137" t="str">
        <x:f>IF(AND(FI$4&gt;=$C12,FI$4&lt;=$D12,'Вводные'!$B$88="Да"),"■","")</x:f>
      </x:c>
      <x:c r="FJ12" s="137" t="str">
        <x:f>IF(AND(FJ$4&gt;=$C12,FJ$4&lt;=$D12,'Вводные'!$B$88="Да"),"■","")</x:f>
      </x:c>
      <x:c r="FK12" s="137" t="str">
        <x:f>IF(AND(FK$4&gt;=$C12,FK$4&lt;=$D12,'Вводные'!$B$88="Да"),"■","")</x:f>
      </x:c>
      <x:c r="FL12" s="137" t="str">
        <x:f>IF(AND(FL$4&gt;=$C12,FL$4&lt;=$D12,'Вводные'!$B$88="Да"),"■","")</x:f>
      </x:c>
      <x:c r="FM12" s="137" t="str">
        <x:f>IF(AND(FM$4&gt;=$C12,FM$4&lt;=$D12,'Вводные'!$B$88="Да"),"■","")</x:f>
      </x:c>
      <x:c r="FN12" s="137" t="str">
        <x:f>IF(AND(FN$4&gt;=$C12,FN$4&lt;=$D12,'Вводные'!$B$88="Да"),"■","")</x:f>
      </x:c>
      <x:c r="FO12" s="137" t="str">
        <x:f>IF(AND(FO$4&gt;=$C12,FO$4&lt;=$D12,'Вводные'!$B$88="Да"),"■","")</x:f>
      </x:c>
      <x:c r="FP12" s="137" t="str">
        <x:f>IF(AND(FP$4&gt;=$C12,FP$4&lt;=$D12,'Вводные'!$B$88="Да"),"■","")</x:f>
      </x:c>
      <x:c r="FQ12" s="137" t="str">
        <x:f>IF(AND(FQ$4&gt;=$C12,FQ$4&lt;=$D12,'Вводные'!$B$88="Да"),"■","")</x:f>
      </x:c>
      <x:c r="FR12" s="137" t="str">
        <x:f>IF(AND(FR$4&gt;=$C12,FR$4&lt;=$D12,'Вводные'!$B$88="Да"),"■","")</x:f>
      </x:c>
      <x:c r="FS12" s="137" t="str">
        <x:f>IF(AND(FS$4&gt;=$C12,FS$4&lt;=$D12,'Вводные'!$B$88="Да"),"■","")</x:f>
      </x:c>
      <x:c r="FT12" s="137" t="str">
        <x:f>IF(AND(FT$4&gt;=$C12,FT$4&lt;=$D12,'Вводные'!$B$88="Да"),"■","")</x:f>
      </x:c>
      <x:c r="FU12" s="137" t="str">
        <x:f>IF(AND(FU$4&gt;=$C12,FU$4&lt;=$D12,'Вводные'!$B$88="Да"),"■","")</x:f>
      </x:c>
      <x:c r="FV12" s="137" t="str">
        <x:f>IF(AND(FV$4&gt;=$C12,FV$4&lt;=$D12,'Вводные'!$B$88="Да"),"■","")</x:f>
      </x:c>
      <x:c r="FW12" s="137" t="str">
        <x:f>IF(AND(FW$4&gt;=$C12,FW$4&lt;=$D12,'Вводные'!$B$88="Да"),"■","")</x:f>
      </x:c>
      <x:c r="FX12" s="137" t="str">
        <x:f>IF(AND(FX$4&gt;=$C12,FX$4&lt;=$D12,'Вводные'!$B$88="Да"),"■","")</x:f>
      </x:c>
      <x:c r="FY12" s="137" t="str">
        <x:f>IF(AND(FY$4&gt;=$C12,FY$4&lt;=$D12,'Вводные'!$B$88="Да"),"■","")</x:f>
      </x:c>
      <x:c r="FZ12" s="137" t="str">
        <x:f>IF(AND(FZ$4&gt;=$C12,FZ$4&lt;=$D12,'Вводные'!$B$88="Да"),"■","")</x:f>
      </x:c>
      <x:c r="GA12" s="137" t="str">
        <x:f>IF(AND(GA$4&gt;=$C12,GA$4&lt;=$D12,'Вводные'!$B$88="Да"),"■","")</x:f>
      </x:c>
      <x:c r="GB12" s="137" t="str">
        <x:f>IF(AND(GB$4&gt;=$C12,GB$4&lt;=$D12,'Вводные'!$B$88="Да"),"■","")</x:f>
      </x:c>
    </x:row>
    <x:row r="13">
      <x:c r="C13" s="92"/>
      <x:c r="D13" s="92"/>
    </x:row>
    <x:row r="14">
      <x:c r="C14" s="92"/>
      <x:c r="D14" s="92"/>
    </x:row>
    <x:row r="15">
      <x:c r="A15" t="str">
        <x:f>'Вводные'!$C$89</x:f>
      </x:c>
      <x:c r="B15" t="str">
        <x:v>Сделка / старт</x:v>
      </x:c>
      <x:c r="C15" s="92" t="n">
        <x:f>EDATE('Вводные'!$D$89,'Вводные'!$H$9)</x:f>
      </x:c>
      <x:c r="D15" s="92" t="n">
        <x:f>C15</x:f>
      </x:c>
      <x:c r="E15" s="135" t="str">
        <x:f>IF(AND(E$4&gt;=$C15,E$4&lt;=$D15,'Вводные'!$B$89="Да"),"■","")</x:f>
      </x:c>
      <x:c r="F15" s="135" t="str">
        <x:f>IF(AND(F$4&gt;=$C15,F$4&lt;=$D15,'Вводные'!$B$89="Да"),"■","")</x:f>
      </x:c>
      <x:c r="G15" s="135" t="str">
        <x:f>IF(AND(G$4&gt;=$C15,G$4&lt;=$D15,'Вводные'!$B$89="Да"),"■","")</x:f>
      </x:c>
      <x:c r="H15" s="135" t="str">
        <x:f>IF(AND(H$4&gt;=$C15,H$4&lt;=$D15,'Вводные'!$B$89="Да"),"■","")</x:f>
      </x:c>
      <x:c r="I15" s="135" t="str">
        <x:f>IF(AND(I$4&gt;=$C15,I$4&lt;=$D15,'Вводные'!$B$89="Да"),"■","")</x:f>
      </x:c>
      <x:c r="J15" s="135" t="str">
        <x:f>IF(AND(J$4&gt;=$C15,J$4&lt;=$D15,'Вводные'!$B$89="Да"),"■","")</x:f>
      </x:c>
      <x:c r="K15" s="135" t="str">
        <x:f>IF(AND(K$4&gt;=$C15,K$4&lt;=$D15,'Вводные'!$B$89="Да"),"■","")</x:f>
      </x:c>
      <x:c r="L15" s="135" t="str">
        <x:f>IF(AND(L$4&gt;=$C15,L$4&lt;=$D15,'Вводные'!$B$89="Да"),"■","")</x:f>
      </x:c>
      <x:c r="M15" s="135" t="str">
        <x:f>IF(AND(M$4&gt;=$C15,M$4&lt;=$D15,'Вводные'!$B$89="Да"),"■","")</x:f>
      </x:c>
      <x:c r="N15" s="135" t="str">
        <x:f>IF(AND(N$4&gt;=$C15,N$4&lt;=$D15,'Вводные'!$B$89="Да"),"■","")</x:f>
      </x:c>
      <x:c r="O15" s="135" t="str">
        <x:f>IF(AND(O$4&gt;=$C15,O$4&lt;=$D15,'Вводные'!$B$89="Да"),"■","")</x:f>
      </x:c>
      <x:c r="P15" s="135" t="str">
        <x:f>IF(AND(P$4&gt;=$C15,P$4&lt;=$D15,'Вводные'!$B$89="Да"),"■","")</x:f>
      </x:c>
      <x:c r="Q15" s="135" t="str">
        <x:f>IF(AND(Q$4&gt;=$C15,Q$4&lt;=$D15,'Вводные'!$B$89="Да"),"■","")</x:f>
      </x:c>
      <x:c r="R15" s="135" t="str">
        <x:f>IF(AND(R$4&gt;=$C15,R$4&lt;=$D15,'Вводные'!$B$89="Да"),"■","")</x:f>
      </x:c>
      <x:c r="S15" s="135" t="str">
        <x:f>IF(AND(S$4&gt;=$C15,S$4&lt;=$D15,'Вводные'!$B$89="Да"),"■","")</x:f>
      </x:c>
      <x:c r="T15" s="135" t="str">
        <x:f>IF(AND(T$4&gt;=$C15,T$4&lt;=$D15,'Вводные'!$B$89="Да"),"■","")</x:f>
      </x:c>
      <x:c r="U15" s="135" t="str">
        <x:f>IF(AND(U$4&gt;=$C15,U$4&lt;=$D15,'Вводные'!$B$89="Да"),"■","")</x:f>
      </x:c>
      <x:c r="V15" s="135" t="str">
        <x:f>IF(AND(V$4&gt;=$C15,V$4&lt;=$D15,'Вводные'!$B$89="Да"),"■","")</x:f>
      </x:c>
      <x:c r="W15" s="135" t="str">
        <x:f>IF(AND(W$4&gt;=$C15,W$4&lt;=$D15,'Вводные'!$B$89="Да"),"■","")</x:f>
      </x:c>
      <x:c r="X15" s="135" t="str">
        <x:f>IF(AND(X$4&gt;=$C15,X$4&lt;=$D15,'Вводные'!$B$89="Да"),"■","")</x:f>
      </x:c>
      <x:c r="Y15" s="135" t="str">
        <x:f>IF(AND(Y$4&gt;=$C15,Y$4&lt;=$D15,'Вводные'!$B$89="Да"),"■","")</x:f>
      </x:c>
      <x:c r="Z15" s="135" t="str">
        <x:f>IF(AND(Z$4&gt;=$C15,Z$4&lt;=$D15,'Вводные'!$B$89="Да"),"■","")</x:f>
      </x:c>
      <x:c r="AA15" s="135" t="str">
        <x:f>IF(AND(AA$4&gt;=$C15,AA$4&lt;=$D15,'Вводные'!$B$89="Да"),"■","")</x:f>
      </x:c>
      <x:c r="AB15" s="135" t="str">
        <x:f>IF(AND(AB$4&gt;=$C15,AB$4&lt;=$D15,'Вводные'!$B$89="Да"),"■","")</x:f>
      </x:c>
      <x:c r="AC15" s="135" t="str">
        <x:f>IF(AND(AC$4&gt;=$C15,AC$4&lt;=$D15,'Вводные'!$B$89="Да"),"■","")</x:f>
      </x:c>
      <x:c r="AD15" s="135" t="str">
        <x:f>IF(AND(AD$4&gt;=$C15,AD$4&lt;=$D15,'Вводные'!$B$89="Да"),"■","")</x:f>
      </x:c>
      <x:c r="AE15" s="135" t="str">
        <x:f>IF(AND(AE$4&gt;=$C15,AE$4&lt;=$D15,'Вводные'!$B$89="Да"),"■","")</x:f>
      </x:c>
      <x:c r="AF15" s="135" t="str">
        <x:f>IF(AND(AF$4&gt;=$C15,AF$4&lt;=$D15,'Вводные'!$B$89="Да"),"■","")</x:f>
      </x:c>
      <x:c r="AG15" s="135" t="str">
        <x:f>IF(AND(AG$4&gt;=$C15,AG$4&lt;=$D15,'Вводные'!$B$89="Да"),"■","")</x:f>
      </x:c>
      <x:c r="AH15" s="135" t="str">
        <x:f>IF(AND(AH$4&gt;=$C15,AH$4&lt;=$D15,'Вводные'!$B$89="Да"),"■","")</x:f>
      </x:c>
      <x:c r="AI15" s="135" t="str">
        <x:f>IF(AND(AI$4&gt;=$C15,AI$4&lt;=$D15,'Вводные'!$B$89="Да"),"■","")</x:f>
      </x:c>
      <x:c r="AJ15" s="135" t="str">
        <x:f>IF(AND(AJ$4&gt;=$C15,AJ$4&lt;=$D15,'Вводные'!$B$89="Да"),"■","")</x:f>
      </x:c>
      <x:c r="AK15" s="135" t="str">
        <x:f>IF(AND(AK$4&gt;=$C15,AK$4&lt;=$D15,'Вводные'!$B$89="Да"),"■","")</x:f>
      </x:c>
      <x:c r="AL15" s="135" t="str">
        <x:f>IF(AND(AL$4&gt;=$C15,AL$4&lt;=$D15,'Вводные'!$B$89="Да"),"■","")</x:f>
      </x:c>
      <x:c r="AM15" s="135" t="str">
        <x:f>IF(AND(AM$4&gt;=$C15,AM$4&lt;=$D15,'Вводные'!$B$89="Да"),"■","")</x:f>
      </x:c>
      <x:c r="AN15" s="135" t="str">
        <x:f>IF(AND(AN$4&gt;=$C15,AN$4&lt;=$D15,'Вводные'!$B$89="Да"),"■","")</x:f>
      </x:c>
      <x:c r="AO15" s="135" t="str">
        <x:f>IF(AND(AO$4&gt;=$C15,AO$4&lt;=$D15,'Вводные'!$B$89="Да"),"■","")</x:f>
      </x:c>
      <x:c r="AP15" s="135" t="str">
        <x:f>IF(AND(AP$4&gt;=$C15,AP$4&lt;=$D15,'Вводные'!$B$89="Да"),"■","")</x:f>
      </x:c>
      <x:c r="AQ15" s="135" t="str">
        <x:f>IF(AND(AQ$4&gt;=$C15,AQ$4&lt;=$D15,'Вводные'!$B$89="Да"),"■","")</x:f>
      </x:c>
      <x:c r="AR15" s="135" t="str">
        <x:f>IF(AND(AR$4&gt;=$C15,AR$4&lt;=$D15,'Вводные'!$B$89="Да"),"■","")</x:f>
      </x:c>
      <x:c r="AS15" s="135" t="str">
        <x:f>IF(AND(AS$4&gt;=$C15,AS$4&lt;=$D15,'Вводные'!$B$89="Да"),"■","")</x:f>
      </x:c>
      <x:c r="AT15" s="135" t="str">
        <x:f>IF(AND(AT$4&gt;=$C15,AT$4&lt;=$D15,'Вводные'!$B$89="Да"),"■","")</x:f>
      </x:c>
      <x:c r="AU15" s="135" t="str">
        <x:f>IF(AND(AU$4&gt;=$C15,AU$4&lt;=$D15,'Вводные'!$B$89="Да"),"■","")</x:f>
      </x:c>
      <x:c r="AV15" s="135" t="str">
        <x:f>IF(AND(AV$4&gt;=$C15,AV$4&lt;=$D15,'Вводные'!$B$89="Да"),"■","")</x:f>
      </x:c>
      <x:c r="AW15" s="135" t="str">
        <x:f>IF(AND(AW$4&gt;=$C15,AW$4&lt;=$D15,'Вводные'!$B$89="Да"),"■","")</x:f>
      </x:c>
      <x:c r="AX15" s="135" t="str">
        <x:f>IF(AND(AX$4&gt;=$C15,AX$4&lt;=$D15,'Вводные'!$B$89="Да"),"■","")</x:f>
      </x:c>
      <x:c r="AY15" s="135" t="str">
        <x:f>IF(AND(AY$4&gt;=$C15,AY$4&lt;=$D15,'Вводные'!$B$89="Да"),"■","")</x:f>
      </x:c>
      <x:c r="AZ15" s="135" t="str">
        <x:f>IF(AND(AZ$4&gt;=$C15,AZ$4&lt;=$D15,'Вводные'!$B$89="Да"),"■","")</x:f>
      </x:c>
      <x:c r="BA15" s="135" t="str">
        <x:f>IF(AND(BA$4&gt;=$C15,BA$4&lt;=$D15,'Вводные'!$B$89="Да"),"■","")</x:f>
      </x:c>
      <x:c r="BB15" s="135" t="str">
        <x:f>IF(AND(BB$4&gt;=$C15,BB$4&lt;=$D15,'Вводные'!$B$89="Да"),"■","")</x:f>
      </x:c>
      <x:c r="BC15" s="135" t="str">
        <x:f>IF(AND(BC$4&gt;=$C15,BC$4&lt;=$D15,'Вводные'!$B$89="Да"),"■","")</x:f>
      </x:c>
      <x:c r="BD15" s="135" t="str">
        <x:f>IF(AND(BD$4&gt;=$C15,BD$4&lt;=$D15,'Вводные'!$B$89="Да"),"■","")</x:f>
      </x:c>
      <x:c r="BE15" s="135" t="str">
        <x:f>IF(AND(BE$4&gt;=$C15,BE$4&lt;=$D15,'Вводные'!$B$89="Да"),"■","")</x:f>
      </x:c>
      <x:c r="BF15" s="135" t="str">
        <x:f>IF(AND(BF$4&gt;=$C15,BF$4&lt;=$D15,'Вводные'!$B$89="Да"),"■","")</x:f>
      </x:c>
      <x:c r="BG15" s="135" t="str">
        <x:f>IF(AND(BG$4&gt;=$C15,BG$4&lt;=$D15,'Вводные'!$B$89="Да"),"■","")</x:f>
      </x:c>
      <x:c r="BH15" s="135" t="str">
        <x:f>IF(AND(BH$4&gt;=$C15,BH$4&lt;=$D15,'Вводные'!$B$89="Да"),"■","")</x:f>
      </x:c>
      <x:c r="BI15" s="135" t="str">
        <x:f>IF(AND(BI$4&gt;=$C15,BI$4&lt;=$D15,'Вводные'!$B$89="Да"),"■","")</x:f>
      </x:c>
      <x:c r="BJ15" s="135" t="str">
        <x:f>IF(AND(BJ$4&gt;=$C15,BJ$4&lt;=$D15,'Вводные'!$B$89="Да"),"■","")</x:f>
      </x:c>
      <x:c r="BK15" s="135" t="str">
        <x:f>IF(AND(BK$4&gt;=$C15,BK$4&lt;=$D15,'Вводные'!$B$89="Да"),"■","")</x:f>
      </x:c>
      <x:c r="BL15" s="135" t="str">
        <x:f>IF(AND(BL$4&gt;=$C15,BL$4&lt;=$D15,'Вводные'!$B$89="Да"),"■","")</x:f>
      </x:c>
      <x:c r="BM15" s="135" t="str">
        <x:f>IF(AND(BM$4&gt;=$C15,BM$4&lt;=$D15,'Вводные'!$B$89="Да"),"■","")</x:f>
      </x:c>
      <x:c r="BN15" s="135" t="str">
        <x:f>IF(AND(BN$4&gt;=$C15,BN$4&lt;=$D15,'Вводные'!$B$89="Да"),"■","")</x:f>
      </x:c>
      <x:c r="BO15" s="135" t="str">
        <x:f>IF(AND(BO$4&gt;=$C15,BO$4&lt;=$D15,'Вводные'!$B$89="Да"),"■","")</x:f>
      </x:c>
      <x:c r="BP15" s="135" t="str">
        <x:f>IF(AND(BP$4&gt;=$C15,BP$4&lt;=$D15,'Вводные'!$B$89="Да"),"■","")</x:f>
      </x:c>
      <x:c r="BQ15" s="135" t="str">
        <x:f>IF(AND(BQ$4&gt;=$C15,BQ$4&lt;=$D15,'Вводные'!$B$89="Да"),"■","")</x:f>
      </x:c>
      <x:c r="BR15" s="135" t="str">
        <x:f>IF(AND(BR$4&gt;=$C15,BR$4&lt;=$D15,'Вводные'!$B$89="Да"),"■","")</x:f>
      </x:c>
      <x:c r="BS15" s="135" t="str">
        <x:f>IF(AND(BS$4&gt;=$C15,BS$4&lt;=$D15,'Вводные'!$B$89="Да"),"■","")</x:f>
      </x:c>
      <x:c r="BT15" s="135" t="str">
        <x:f>IF(AND(BT$4&gt;=$C15,BT$4&lt;=$D15,'Вводные'!$B$89="Да"),"■","")</x:f>
      </x:c>
      <x:c r="BU15" s="135" t="str">
        <x:f>IF(AND(BU$4&gt;=$C15,BU$4&lt;=$D15,'Вводные'!$B$89="Да"),"■","")</x:f>
      </x:c>
      <x:c r="BV15" s="135" t="str">
        <x:f>IF(AND(BV$4&gt;=$C15,BV$4&lt;=$D15,'Вводные'!$B$89="Да"),"■","")</x:f>
      </x:c>
      <x:c r="BW15" s="135" t="str">
        <x:f>IF(AND(BW$4&gt;=$C15,BW$4&lt;=$D15,'Вводные'!$B$89="Да"),"■","")</x:f>
      </x:c>
      <x:c r="BX15" s="135" t="str">
        <x:f>IF(AND(BX$4&gt;=$C15,BX$4&lt;=$D15,'Вводные'!$B$89="Да"),"■","")</x:f>
      </x:c>
      <x:c r="BY15" s="135" t="str">
        <x:f>IF(AND(BY$4&gt;=$C15,BY$4&lt;=$D15,'Вводные'!$B$89="Да"),"■","")</x:f>
      </x:c>
      <x:c r="BZ15" s="135" t="str">
        <x:f>IF(AND(BZ$4&gt;=$C15,BZ$4&lt;=$D15,'Вводные'!$B$89="Да"),"■","")</x:f>
      </x:c>
      <x:c r="CA15" s="135" t="str">
        <x:f>IF(AND(CA$4&gt;=$C15,CA$4&lt;=$D15,'Вводные'!$B$89="Да"),"■","")</x:f>
      </x:c>
      <x:c r="CB15" s="135" t="str">
        <x:f>IF(AND(CB$4&gt;=$C15,CB$4&lt;=$D15,'Вводные'!$B$89="Да"),"■","")</x:f>
      </x:c>
      <x:c r="CC15" s="135" t="str">
        <x:f>IF(AND(CC$4&gt;=$C15,CC$4&lt;=$D15,'Вводные'!$B$89="Да"),"■","")</x:f>
      </x:c>
      <x:c r="CD15" s="135" t="str">
        <x:f>IF(AND(CD$4&gt;=$C15,CD$4&lt;=$D15,'Вводные'!$B$89="Да"),"■","")</x:f>
      </x:c>
      <x:c r="CE15" s="135" t="str">
        <x:f>IF(AND(CE$4&gt;=$C15,CE$4&lt;=$D15,'Вводные'!$B$89="Да"),"■","")</x:f>
      </x:c>
      <x:c r="CF15" s="135" t="str">
        <x:f>IF(AND(CF$4&gt;=$C15,CF$4&lt;=$D15,'Вводные'!$B$89="Да"),"■","")</x:f>
      </x:c>
      <x:c r="CG15" s="135" t="str">
        <x:f>IF(AND(CG$4&gt;=$C15,CG$4&lt;=$D15,'Вводные'!$B$89="Да"),"■","")</x:f>
      </x:c>
      <x:c r="CH15" s="135" t="str">
        <x:f>IF(AND(CH$4&gt;=$C15,CH$4&lt;=$D15,'Вводные'!$B$89="Да"),"■","")</x:f>
      </x:c>
      <x:c r="CI15" s="135" t="str">
        <x:f>IF(AND(CI$4&gt;=$C15,CI$4&lt;=$D15,'Вводные'!$B$89="Да"),"■","")</x:f>
      </x:c>
      <x:c r="CJ15" s="135" t="str">
        <x:f>IF(AND(CJ$4&gt;=$C15,CJ$4&lt;=$D15,'Вводные'!$B$89="Да"),"■","")</x:f>
      </x:c>
      <x:c r="CK15" s="135" t="str">
        <x:f>IF(AND(CK$4&gt;=$C15,CK$4&lt;=$D15,'Вводные'!$B$89="Да"),"■","")</x:f>
      </x:c>
      <x:c r="CL15" s="135" t="str">
        <x:f>IF(AND(CL$4&gt;=$C15,CL$4&lt;=$D15,'Вводные'!$B$89="Да"),"■","")</x:f>
      </x:c>
      <x:c r="CM15" s="135" t="str">
        <x:f>IF(AND(CM$4&gt;=$C15,CM$4&lt;=$D15,'Вводные'!$B$89="Да"),"■","")</x:f>
      </x:c>
      <x:c r="CN15" s="135" t="str">
        <x:f>IF(AND(CN$4&gt;=$C15,CN$4&lt;=$D15,'Вводные'!$B$89="Да"),"■","")</x:f>
      </x:c>
      <x:c r="CO15" s="135" t="str">
        <x:f>IF(AND(CO$4&gt;=$C15,CO$4&lt;=$D15,'Вводные'!$B$89="Да"),"■","")</x:f>
      </x:c>
      <x:c r="CP15" s="135" t="str">
        <x:f>IF(AND(CP$4&gt;=$C15,CP$4&lt;=$D15,'Вводные'!$B$89="Да"),"■","")</x:f>
      </x:c>
      <x:c r="CQ15" s="135" t="str">
        <x:f>IF(AND(CQ$4&gt;=$C15,CQ$4&lt;=$D15,'Вводные'!$B$89="Да"),"■","")</x:f>
      </x:c>
      <x:c r="CR15" s="135" t="str">
        <x:f>IF(AND(CR$4&gt;=$C15,CR$4&lt;=$D15,'Вводные'!$B$89="Да"),"■","")</x:f>
      </x:c>
      <x:c r="CS15" s="135" t="str">
        <x:f>IF(AND(CS$4&gt;=$C15,CS$4&lt;=$D15,'Вводные'!$B$89="Да"),"■","")</x:f>
      </x:c>
      <x:c r="CT15" s="135" t="str">
        <x:f>IF(AND(CT$4&gt;=$C15,CT$4&lt;=$D15,'Вводные'!$B$89="Да"),"■","")</x:f>
      </x:c>
      <x:c r="CU15" s="135" t="str">
        <x:f>IF(AND(CU$4&gt;=$C15,CU$4&lt;=$D15,'Вводные'!$B$89="Да"),"■","")</x:f>
      </x:c>
      <x:c r="CV15" s="135" t="str">
        <x:f>IF(AND(CV$4&gt;=$C15,CV$4&lt;=$D15,'Вводные'!$B$89="Да"),"■","")</x:f>
      </x:c>
      <x:c r="CW15" s="135" t="str">
        <x:f>IF(AND(CW$4&gt;=$C15,CW$4&lt;=$D15,'Вводные'!$B$89="Да"),"■","")</x:f>
      </x:c>
      <x:c r="CX15" s="135" t="str">
        <x:f>IF(AND(CX$4&gt;=$C15,CX$4&lt;=$D15,'Вводные'!$B$89="Да"),"■","")</x:f>
      </x:c>
      <x:c r="CY15" s="135" t="str">
        <x:f>IF(AND(CY$4&gt;=$C15,CY$4&lt;=$D15,'Вводные'!$B$89="Да"),"■","")</x:f>
      </x:c>
      <x:c r="CZ15" s="135" t="str">
        <x:f>IF(AND(CZ$4&gt;=$C15,CZ$4&lt;=$D15,'Вводные'!$B$89="Да"),"■","")</x:f>
      </x:c>
      <x:c r="DA15" s="135" t="str">
        <x:f>IF(AND(DA$4&gt;=$C15,DA$4&lt;=$D15,'Вводные'!$B$89="Да"),"■","")</x:f>
      </x:c>
      <x:c r="DB15" s="135" t="str">
        <x:f>IF(AND(DB$4&gt;=$C15,DB$4&lt;=$D15,'Вводные'!$B$89="Да"),"■","")</x:f>
      </x:c>
      <x:c r="DC15" s="135" t="str">
        <x:f>IF(AND(DC$4&gt;=$C15,DC$4&lt;=$D15,'Вводные'!$B$89="Да"),"■","")</x:f>
      </x:c>
      <x:c r="DD15" s="135" t="str">
        <x:f>IF(AND(DD$4&gt;=$C15,DD$4&lt;=$D15,'Вводные'!$B$89="Да"),"■","")</x:f>
      </x:c>
      <x:c r="DE15" s="135" t="str">
        <x:f>IF(AND(DE$4&gt;=$C15,DE$4&lt;=$D15,'Вводные'!$B$89="Да"),"■","")</x:f>
      </x:c>
      <x:c r="DF15" s="135" t="str">
        <x:f>IF(AND(DF$4&gt;=$C15,DF$4&lt;=$D15,'Вводные'!$B$89="Да"),"■","")</x:f>
      </x:c>
      <x:c r="DG15" s="135" t="str">
        <x:f>IF(AND(DG$4&gt;=$C15,DG$4&lt;=$D15,'Вводные'!$B$89="Да"),"■","")</x:f>
      </x:c>
      <x:c r="DH15" s="135" t="str">
        <x:f>IF(AND(DH$4&gt;=$C15,DH$4&lt;=$D15,'Вводные'!$B$89="Да"),"■","")</x:f>
      </x:c>
      <x:c r="DI15" s="135" t="str">
        <x:f>IF(AND(DI$4&gt;=$C15,DI$4&lt;=$D15,'Вводные'!$B$89="Да"),"■","")</x:f>
      </x:c>
      <x:c r="DJ15" s="135" t="str">
        <x:f>IF(AND(DJ$4&gt;=$C15,DJ$4&lt;=$D15,'Вводные'!$B$89="Да"),"■","")</x:f>
      </x:c>
      <x:c r="DK15" s="135" t="str">
        <x:f>IF(AND(DK$4&gt;=$C15,DK$4&lt;=$D15,'Вводные'!$B$89="Да"),"■","")</x:f>
      </x:c>
      <x:c r="DL15" s="135" t="str">
        <x:f>IF(AND(DL$4&gt;=$C15,DL$4&lt;=$D15,'Вводные'!$B$89="Да"),"■","")</x:f>
      </x:c>
      <x:c r="DM15" s="135" t="str">
        <x:f>IF(AND(DM$4&gt;=$C15,DM$4&lt;=$D15,'Вводные'!$B$89="Да"),"■","")</x:f>
      </x:c>
      <x:c r="DN15" s="135" t="str">
        <x:f>IF(AND(DN$4&gt;=$C15,DN$4&lt;=$D15,'Вводные'!$B$89="Да"),"■","")</x:f>
      </x:c>
      <x:c r="DO15" s="135" t="str">
        <x:f>IF(AND(DO$4&gt;=$C15,DO$4&lt;=$D15,'Вводные'!$B$89="Да"),"■","")</x:f>
      </x:c>
      <x:c r="DP15" s="135" t="str">
        <x:f>IF(AND(DP$4&gt;=$C15,DP$4&lt;=$D15,'Вводные'!$B$89="Да"),"■","")</x:f>
      </x:c>
      <x:c r="DQ15" s="135" t="str">
        <x:f>IF(AND(DQ$4&gt;=$C15,DQ$4&lt;=$D15,'Вводные'!$B$89="Да"),"■","")</x:f>
      </x:c>
      <x:c r="DR15" s="135" t="str">
        <x:f>IF(AND(DR$4&gt;=$C15,DR$4&lt;=$D15,'Вводные'!$B$89="Да"),"■","")</x:f>
      </x:c>
      <x:c r="DS15" s="135" t="str">
        <x:f>IF(AND(DS$4&gt;=$C15,DS$4&lt;=$D15,'Вводные'!$B$89="Да"),"■","")</x:f>
      </x:c>
      <x:c r="DT15" s="135" t="str">
        <x:f>IF(AND(DT$4&gt;=$C15,DT$4&lt;=$D15,'Вводные'!$B$89="Да"),"■","")</x:f>
      </x:c>
      <x:c r="DU15" s="135" t="str">
        <x:f>IF(AND(DU$4&gt;=$C15,DU$4&lt;=$D15,'Вводные'!$B$89="Да"),"■","")</x:f>
      </x:c>
      <x:c r="DV15" s="135" t="str">
        <x:f>IF(AND(DV$4&gt;=$C15,DV$4&lt;=$D15,'Вводные'!$B$89="Да"),"■","")</x:f>
      </x:c>
      <x:c r="DW15" s="135" t="str">
        <x:f>IF(AND(DW$4&gt;=$C15,DW$4&lt;=$D15,'Вводные'!$B$89="Да"),"■","")</x:f>
      </x:c>
      <x:c r="DX15" s="135" t="str">
        <x:f>IF(AND(DX$4&gt;=$C15,DX$4&lt;=$D15,'Вводные'!$B$89="Да"),"■","")</x:f>
      </x:c>
      <x:c r="DY15" s="135" t="str">
        <x:f>IF(AND(DY$4&gt;=$C15,DY$4&lt;=$D15,'Вводные'!$B$89="Да"),"■","")</x:f>
      </x:c>
      <x:c r="DZ15" s="135" t="str">
        <x:f>IF(AND(DZ$4&gt;=$C15,DZ$4&lt;=$D15,'Вводные'!$B$89="Да"),"■","")</x:f>
      </x:c>
      <x:c r="EA15" s="135" t="str">
        <x:f>IF(AND(EA$4&gt;=$C15,EA$4&lt;=$D15,'Вводные'!$B$89="Да"),"■","")</x:f>
      </x:c>
      <x:c r="EB15" s="135" t="str">
        <x:f>IF(AND(EB$4&gt;=$C15,EB$4&lt;=$D15,'Вводные'!$B$89="Да"),"■","")</x:f>
      </x:c>
      <x:c r="EC15" s="135" t="str">
        <x:f>IF(AND(EC$4&gt;=$C15,EC$4&lt;=$D15,'Вводные'!$B$89="Да"),"■","")</x:f>
      </x:c>
      <x:c r="ED15" s="135" t="str">
        <x:f>IF(AND(ED$4&gt;=$C15,ED$4&lt;=$D15,'Вводные'!$B$89="Да"),"■","")</x:f>
      </x:c>
      <x:c r="EE15" s="135" t="str">
        <x:f>IF(AND(EE$4&gt;=$C15,EE$4&lt;=$D15,'Вводные'!$B$89="Да"),"■","")</x:f>
      </x:c>
      <x:c r="EF15" s="135" t="str">
        <x:f>IF(AND(EF$4&gt;=$C15,EF$4&lt;=$D15,'Вводные'!$B$89="Да"),"■","")</x:f>
      </x:c>
      <x:c r="EG15" s="135" t="str">
        <x:f>IF(AND(EG$4&gt;=$C15,EG$4&lt;=$D15,'Вводные'!$B$89="Да"),"■","")</x:f>
      </x:c>
      <x:c r="EH15" s="135" t="str">
        <x:f>IF(AND(EH$4&gt;=$C15,EH$4&lt;=$D15,'Вводные'!$B$89="Да"),"■","")</x:f>
      </x:c>
      <x:c r="EI15" s="135" t="str">
        <x:f>IF(AND(EI$4&gt;=$C15,EI$4&lt;=$D15,'Вводные'!$B$89="Да"),"■","")</x:f>
      </x:c>
      <x:c r="EJ15" s="135" t="str">
        <x:f>IF(AND(EJ$4&gt;=$C15,EJ$4&lt;=$D15,'Вводные'!$B$89="Да"),"■","")</x:f>
      </x:c>
      <x:c r="EK15" s="135" t="str">
        <x:f>IF(AND(EK$4&gt;=$C15,EK$4&lt;=$D15,'Вводные'!$B$89="Да"),"■","")</x:f>
      </x:c>
      <x:c r="EL15" s="135" t="str">
        <x:f>IF(AND(EL$4&gt;=$C15,EL$4&lt;=$D15,'Вводные'!$B$89="Да"),"■","")</x:f>
      </x:c>
      <x:c r="EM15" s="135" t="str">
        <x:f>IF(AND(EM$4&gt;=$C15,EM$4&lt;=$D15,'Вводные'!$B$89="Да"),"■","")</x:f>
      </x:c>
      <x:c r="EN15" s="135" t="str">
        <x:f>IF(AND(EN$4&gt;=$C15,EN$4&lt;=$D15,'Вводные'!$B$89="Да"),"■","")</x:f>
      </x:c>
      <x:c r="EO15" s="135" t="str">
        <x:f>IF(AND(EO$4&gt;=$C15,EO$4&lt;=$D15,'Вводные'!$B$89="Да"),"■","")</x:f>
      </x:c>
      <x:c r="EP15" s="135" t="str">
        <x:f>IF(AND(EP$4&gt;=$C15,EP$4&lt;=$D15,'Вводные'!$B$89="Да"),"■","")</x:f>
      </x:c>
      <x:c r="EQ15" s="135" t="str">
        <x:f>IF(AND(EQ$4&gt;=$C15,EQ$4&lt;=$D15,'Вводные'!$B$89="Да"),"■","")</x:f>
      </x:c>
      <x:c r="ER15" s="135" t="str">
        <x:f>IF(AND(ER$4&gt;=$C15,ER$4&lt;=$D15,'Вводные'!$B$89="Да"),"■","")</x:f>
      </x:c>
      <x:c r="ES15" s="135" t="str">
        <x:f>IF(AND(ES$4&gt;=$C15,ES$4&lt;=$D15,'Вводные'!$B$89="Да"),"■","")</x:f>
      </x:c>
      <x:c r="ET15" s="135" t="str">
        <x:f>IF(AND(ET$4&gt;=$C15,ET$4&lt;=$D15,'Вводные'!$B$89="Да"),"■","")</x:f>
      </x:c>
      <x:c r="EU15" s="135" t="str">
        <x:f>IF(AND(EU$4&gt;=$C15,EU$4&lt;=$D15,'Вводные'!$B$89="Да"),"■","")</x:f>
      </x:c>
      <x:c r="EV15" s="135" t="str">
        <x:f>IF(AND(EV$4&gt;=$C15,EV$4&lt;=$D15,'Вводные'!$B$89="Да"),"■","")</x:f>
      </x:c>
      <x:c r="EW15" s="135" t="str">
        <x:f>IF(AND(EW$4&gt;=$C15,EW$4&lt;=$D15,'Вводные'!$B$89="Да"),"■","")</x:f>
      </x:c>
      <x:c r="EX15" s="135" t="str">
        <x:f>IF(AND(EX$4&gt;=$C15,EX$4&lt;=$D15,'Вводные'!$B$89="Да"),"■","")</x:f>
      </x:c>
      <x:c r="EY15" s="135" t="str">
        <x:f>IF(AND(EY$4&gt;=$C15,EY$4&lt;=$D15,'Вводные'!$B$89="Да"),"■","")</x:f>
      </x:c>
      <x:c r="EZ15" s="135" t="str">
        <x:f>IF(AND(EZ$4&gt;=$C15,EZ$4&lt;=$D15,'Вводные'!$B$89="Да"),"■","")</x:f>
      </x:c>
      <x:c r="FA15" s="135" t="str">
        <x:f>IF(AND(FA$4&gt;=$C15,FA$4&lt;=$D15,'Вводные'!$B$89="Да"),"■","")</x:f>
      </x:c>
      <x:c r="FB15" s="135" t="str">
        <x:f>IF(AND(FB$4&gt;=$C15,FB$4&lt;=$D15,'Вводные'!$B$89="Да"),"■","")</x:f>
      </x:c>
      <x:c r="FC15" s="135" t="str">
        <x:f>IF(AND(FC$4&gt;=$C15,FC$4&lt;=$D15,'Вводные'!$B$89="Да"),"■","")</x:f>
      </x:c>
      <x:c r="FD15" s="135" t="str">
        <x:f>IF(AND(FD$4&gt;=$C15,FD$4&lt;=$D15,'Вводные'!$B$89="Да"),"■","")</x:f>
      </x:c>
      <x:c r="FE15" s="135" t="str">
        <x:f>IF(AND(FE$4&gt;=$C15,FE$4&lt;=$D15,'Вводные'!$B$89="Да"),"■","")</x:f>
      </x:c>
      <x:c r="FF15" s="135" t="str">
        <x:f>IF(AND(FF$4&gt;=$C15,FF$4&lt;=$D15,'Вводные'!$B$89="Да"),"■","")</x:f>
      </x:c>
      <x:c r="FG15" s="135" t="str">
        <x:f>IF(AND(FG$4&gt;=$C15,FG$4&lt;=$D15,'Вводные'!$B$89="Да"),"■","")</x:f>
      </x:c>
      <x:c r="FH15" s="135" t="str">
        <x:f>IF(AND(FH$4&gt;=$C15,FH$4&lt;=$D15,'Вводные'!$B$89="Да"),"■","")</x:f>
      </x:c>
      <x:c r="FI15" s="135" t="str">
        <x:f>IF(AND(FI$4&gt;=$C15,FI$4&lt;=$D15,'Вводные'!$B$89="Да"),"■","")</x:f>
      </x:c>
      <x:c r="FJ15" s="135" t="str">
        <x:f>IF(AND(FJ$4&gt;=$C15,FJ$4&lt;=$D15,'Вводные'!$B$89="Да"),"■","")</x:f>
      </x:c>
      <x:c r="FK15" s="135" t="str">
        <x:f>IF(AND(FK$4&gt;=$C15,FK$4&lt;=$D15,'Вводные'!$B$89="Да"),"■","")</x:f>
      </x:c>
      <x:c r="FL15" s="135" t="str">
        <x:f>IF(AND(FL$4&gt;=$C15,FL$4&lt;=$D15,'Вводные'!$B$89="Да"),"■","")</x:f>
      </x:c>
      <x:c r="FM15" s="135" t="str">
        <x:f>IF(AND(FM$4&gt;=$C15,FM$4&lt;=$D15,'Вводные'!$B$89="Да"),"■","")</x:f>
      </x:c>
      <x:c r="FN15" s="135" t="str">
        <x:f>IF(AND(FN$4&gt;=$C15,FN$4&lt;=$D15,'Вводные'!$B$89="Да"),"■","")</x:f>
      </x:c>
      <x:c r="FO15" s="135" t="str">
        <x:f>IF(AND(FO$4&gt;=$C15,FO$4&lt;=$D15,'Вводные'!$B$89="Да"),"■","")</x:f>
      </x:c>
      <x:c r="FP15" s="135" t="str">
        <x:f>IF(AND(FP$4&gt;=$C15,FP$4&lt;=$D15,'Вводные'!$B$89="Да"),"■","")</x:f>
      </x:c>
      <x:c r="FQ15" s="135" t="str">
        <x:f>IF(AND(FQ$4&gt;=$C15,FQ$4&lt;=$D15,'Вводные'!$B$89="Да"),"■","")</x:f>
      </x:c>
      <x:c r="FR15" s="135" t="str">
        <x:f>IF(AND(FR$4&gt;=$C15,FR$4&lt;=$D15,'Вводные'!$B$89="Да"),"■","")</x:f>
      </x:c>
      <x:c r="FS15" s="135" t="str">
        <x:f>IF(AND(FS$4&gt;=$C15,FS$4&lt;=$D15,'Вводные'!$B$89="Да"),"■","")</x:f>
      </x:c>
      <x:c r="FT15" s="135" t="str">
        <x:f>IF(AND(FT$4&gt;=$C15,FT$4&lt;=$D15,'Вводные'!$B$89="Да"),"■","")</x:f>
      </x:c>
      <x:c r="FU15" s="135" t="str">
        <x:f>IF(AND(FU$4&gt;=$C15,FU$4&lt;=$D15,'Вводные'!$B$89="Да"),"■","")</x:f>
      </x:c>
      <x:c r="FV15" s="135" t="str">
        <x:f>IF(AND(FV$4&gt;=$C15,FV$4&lt;=$D15,'Вводные'!$B$89="Да"),"■","")</x:f>
      </x:c>
      <x:c r="FW15" s="135" t="str">
        <x:f>IF(AND(FW$4&gt;=$C15,FW$4&lt;=$D15,'Вводные'!$B$89="Да"),"■","")</x:f>
      </x:c>
      <x:c r="FX15" s="135" t="str">
        <x:f>IF(AND(FX$4&gt;=$C15,FX$4&lt;=$D15,'Вводные'!$B$89="Да"),"■","")</x:f>
      </x:c>
      <x:c r="FY15" s="135" t="str">
        <x:f>IF(AND(FY$4&gt;=$C15,FY$4&lt;=$D15,'Вводные'!$B$89="Да"),"■","")</x:f>
      </x:c>
      <x:c r="FZ15" s="135" t="str">
        <x:f>IF(AND(FZ$4&gt;=$C15,FZ$4&lt;=$D15,'Вводные'!$B$89="Да"),"■","")</x:f>
      </x:c>
      <x:c r="GA15" s="135" t="str">
        <x:f>IF(AND(GA$4&gt;=$C15,GA$4&lt;=$D15,'Вводные'!$B$89="Да"),"■","")</x:f>
      </x:c>
      <x:c r="GB15" s="135" t="str">
        <x:f>IF(AND(GB$4&gt;=$C15,GB$4&lt;=$D15,'Вводные'!$B$89="Да"),"■","")</x:f>
      </x:c>
    </x:row>
    <x:row r="16">
      <x:c r="A16" t="str">
        <x:f>'Вводные'!$C$89</x:f>
      </x:c>
      <x:c r="B16" t="str">
        <x:v>ИРД и согласования</x:v>
      </x:c>
      <x:c r="C16" s="92" t="n">
        <x:f>EDATE('Вводные'!$D$89,'Вводные'!$H$9)</x:f>
      </x:c>
      <x:c r="D16" s="92" t="n">
        <x:f>EDATE(C16,'Вводные'!$E$89-1)</x:f>
      </x:c>
      <x:c r="E16" s="137" t="str">
        <x:f>IF(AND(E$4&gt;=$C16,E$4&lt;=$D16,'Вводные'!$B$89="Да"),"■","")</x:f>
      </x:c>
      <x:c r="F16" s="137" t="str">
        <x:f>IF(AND(F$4&gt;=$C16,F$4&lt;=$D16,'Вводные'!$B$89="Да"),"■","")</x:f>
      </x:c>
      <x:c r="G16" s="137" t="str">
        <x:f>IF(AND(G$4&gt;=$C16,G$4&lt;=$D16,'Вводные'!$B$89="Да"),"■","")</x:f>
      </x:c>
      <x:c r="H16" s="137" t="str">
        <x:f>IF(AND(H$4&gt;=$C16,H$4&lt;=$D16,'Вводные'!$B$89="Да"),"■","")</x:f>
      </x:c>
      <x:c r="I16" s="137" t="str">
        <x:f>IF(AND(I$4&gt;=$C16,I$4&lt;=$D16,'Вводные'!$B$89="Да"),"■","")</x:f>
      </x:c>
      <x:c r="J16" s="137" t="str">
        <x:f>IF(AND(J$4&gt;=$C16,J$4&lt;=$D16,'Вводные'!$B$89="Да"),"■","")</x:f>
      </x:c>
      <x:c r="K16" s="137" t="str">
        <x:f>IF(AND(K$4&gt;=$C16,K$4&lt;=$D16,'Вводные'!$B$89="Да"),"■","")</x:f>
      </x:c>
      <x:c r="L16" s="137" t="str">
        <x:f>IF(AND(L$4&gt;=$C16,L$4&lt;=$D16,'Вводные'!$B$89="Да"),"■","")</x:f>
      </x:c>
      <x:c r="M16" s="137" t="str">
        <x:f>IF(AND(M$4&gt;=$C16,M$4&lt;=$D16,'Вводные'!$B$89="Да"),"■","")</x:f>
      </x:c>
      <x:c r="N16" s="137" t="str">
        <x:f>IF(AND(N$4&gt;=$C16,N$4&lt;=$D16,'Вводные'!$B$89="Да"),"■","")</x:f>
      </x:c>
      <x:c r="O16" s="137" t="str">
        <x:f>IF(AND(O$4&gt;=$C16,O$4&lt;=$D16,'Вводные'!$B$89="Да"),"■","")</x:f>
      </x:c>
      <x:c r="P16" s="137" t="str">
        <x:f>IF(AND(P$4&gt;=$C16,P$4&lt;=$D16,'Вводные'!$B$89="Да"),"■","")</x:f>
      </x:c>
      <x:c r="Q16" s="137" t="str">
        <x:f>IF(AND(Q$4&gt;=$C16,Q$4&lt;=$D16,'Вводные'!$B$89="Да"),"■","")</x:f>
      </x:c>
      <x:c r="R16" s="137" t="str">
        <x:f>IF(AND(R$4&gt;=$C16,R$4&lt;=$D16,'Вводные'!$B$89="Да"),"■","")</x:f>
      </x:c>
      <x:c r="S16" s="137" t="str">
        <x:f>IF(AND(S$4&gt;=$C16,S$4&lt;=$D16,'Вводные'!$B$89="Да"),"■","")</x:f>
      </x:c>
      <x:c r="T16" s="137" t="str">
        <x:f>IF(AND(T$4&gt;=$C16,T$4&lt;=$D16,'Вводные'!$B$89="Да"),"■","")</x:f>
      </x:c>
      <x:c r="U16" s="137" t="str">
        <x:f>IF(AND(U$4&gt;=$C16,U$4&lt;=$D16,'Вводные'!$B$89="Да"),"■","")</x:f>
      </x:c>
      <x:c r="V16" s="137" t="str">
        <x:f>IF(AND(V$4&gt;=$C16,V$4&lt;=$D16,'Вводные'!$B$89="Да"),"■","")</x:f>
      </x:c>
      <x:c r="W16" s="137" t="str">
        <x:f>IF(AND(W$4&gt;=$C16,W$4&lt;=$D16,'Вводные'!$B$89="Да"),"■","")</x:f>
      </x:c>
      <x:c r="X16" s="137" t="str">
        <x:f>IF(AND(X$4&gt;=$C16,X$4&lt;=$D16,'Вводные'!$B$89="Да"),"■","")</x:f>
      </x:c>
      <x:c r="Y16" s="137" t="str">
        <x:f>IF(AND(Y$4&gt;=$C16,Y$4&lt;=$D16,'Вводные'!$B$89="Да"),"■","")</x:f>
      </x:c>
      <x:c r="Z16" s="137" t="str">
        <x:f>IF(AND(Z$4&gt;=$C16,Z$4&lt;=$D16,'Вводные'!$B$89="Да"),"■","")</x:f>
      </x:c>
      <x:c r="AA16" s="137" t="str">
        <x:f>IF(AND(AA$4&gt;=$C16,AA$4&lt;=$D16,'Вводные'!$B$89="Да"),"■","")</x:f>
      </x:c>
      <x:c r="AB16" s="137" t="str">
        <x:f>IF(AND(AB$4&gt;=$C16,AB$4&lt;=$D16,'Вводные'!$B$89="Да"),"■","")</x:f>
      </x:c>
      <x:c r="AC16" s="137" t="str">
        <x:f>IF(AND(AC$4&gt;=$C16,AC$4&lt;=$D16,'Вводные'!$B$89="Да"),"■","")</x:f>
      </x:c>
      <x:c r="AD16" s="137" t="str">
        <x:f>IF(AND(AD$4&gt;=$C16,AD$4&lt;=$D16,'Вводные'!$B$89="Да"),"■","")</x:f>
      </x:c>
      <x:c r="AE16" s="137" t="str">
        <x:f>IF(AND(AE$4&gt;=$C16,AE$4&lt;=$D16,'Вводные'!$B$89="Да"),"■","")</x:f>
      </x:c>
      <x:c r="AF16" s="137" t="str">
        <x:f>IF(AND(AF$4&gt;=$C16,AF$4&lt;=$D16,'Вводные'!$B$89="Да"),"■","")</x:f>
      </x:c>
      <x:c r="AG16" s="137" t="str">
        <x:f>IF(AND(AG$4&gt;=$C16,AG$4&lt;=$D16,'Вводные'!$B$89="Да"),"■","")</x:f>
      </x:c>
      <x:c r="AH16" s="137" t="str">
        <x:f>IF(AND(AH$4&gt;=$C16,AH$4&lt;=$D16,'Вводные'!$B$89="Да"),"■","")</x:f>
      </x:c>
      <x:c r="AI16" s="137" t="str">
        <x:f>IF(AND(AI$4&gt;=$C16,AI$4&lt;=$D16,'Вводные'!$B$89="Да"),"■","")</x:f>
      </x:c>
      <x:c r="AJ16" s="137" t="str">
        <x:f>IF(AND(AJ$4&gt;=$C16,AJ$4&lt;=$D16,'Вводные'!$B$89="Да"),"■","")</x:f>
      </x:c>
      <x:c r="AK16" s="137" t="str">
        <x:f>IF(AND(AK$4&gt;=$C16,AK$4&lt;=$D16,'Вводные'!$B$89="Да"),"■","")</x:f>
      </x:c>
      <x:c r="AL16" s="137" t="str">
        <x:f>IF(AND(AL$4&gt;=$C16,AL$4&lt;=$D16,'Вводные'!$B$89="Да"),"■","")</x:f>
      </x:c>
      <x:c r="AM16" s="137" t="str">
        <x:f>IF(AND(AM$4&gt;=$C16,AM$4&lt;=$D16,'Вводные'!$B$89="Да"),"■","")</x:f>
      </x:c>
      <x:c r="AN16" s="137" t="str">
        <x:f>IF(AND(AN$4&gt;=$C16,AN$4&lt;=$D16,'Вводные'!$B$89="Да"),"■","")</x:f>
      </x:c>
      <x:c r="AO16" s="137" t="str">
        <x:f>IF(AND(AO$4&gt;=$C16,AO$4&lt;=$D16,'Вводные'!$B$89="Да"),"■","")</x:f>
      </x:c>
      <x:c r="AP16" s="137" t="str">
        <x:f>IF(AND(AP$4&gt;=$C16,AP$4&lt;=$D16,'Вводные'!$B$89="Да"),"■","")</x:f>
      </x:c>
      <x:c r="AQ16" s="137" t="str">
        <x:f>IF(AND(AQ$4&gt;=$C16,AQ$4&lt;=$D16,'Вводные'!$B$89="Да"),"■","")</x:f>
      </x:c>
      <x:c r="AR16" s="137" t="str">
        <x:f>IF(AND(AR$4&gt;=$C16,AR$4&lt;=$D16,'Вводные'!$B$89="Да"),"■","")</x:f>
      </x:c>
      <x:c r="AS16" s="137" t="str">
        <x:f>IF(AND(AS$4&gt;=$C16,AS$4&lt;=$D16,'Вводные'!$B$89="Да"),"■","")</x:f>
      </x:c>
      <x:c r="AT16" s="137" t="str">
        <x:f>IF(AND(AT$4&gt;=$C16,AT$4&lt;=$D16,'Вводные'!$B$89="Да"),"■","")</x:f>
      </x:c>
      <x:c r="AU16" s="137" t="str">
        <x:f>IF(AND(AU$4&gt;=$C16,AU$4&lt;=$D16,'Вводные'!$B$89="Да"),"■","")</x:f>
      </x:c>
      <x:c r="AV16" s="137" t="str">
        <x:f>IF(AND(AV$4&gt;=$C16,AV$4&lt;=$D16,'Вводные'!$B$89="Да"),"■","")</x:f>
      </x:c>
      <x:c r="AW16" s="137" t="str">
        <x:f>IF(AND(AW$4&gt;=$C16,AW$4&lt;=$D16,'Вводные'!$B$89="Да"),"■","")</x:f>
      </x:c>
      <x:c r="AX16" s="137" t="str">
        <x:f>IF(AND(AX$4&gt;=$C16,AX$4&lt;=$D16,'Вводные'!$B$89="Да"),"■","")</x:f>
      </x:c>
      <x:c r="AY16" s="137" t="str">
        <x:f>IF(AND(AY$4&gt;=$C16,AY$4&lt;=$D16,'Вводные'!$B$89="Да"),"■","")</x:f>
      </x:c>
      <x:c r="AZ16" s="137" t="str">
        <x:f>IF(AND(AZ$4&gt;=$C16,AZ$4&lt;=$D16,'Вводные'!$B$89="Да"),"■","")</x:f>
      </x:c>
      <x:c r="BA16" s="137" t="str">
        <x:f>IF(AND(BA$4&gt;=$C16,BA$4&lt;=$D16,'Вводные'!$B$89="Да"),"■","")</x:f>
      </x:c>
      <x:c r="BB16" s="137" t="str">
        <x:f>IF(AND(BB$4&gt;=$C16,BB$4&lt;=$D16,'Вводные'!$B$89="Да"),"■","")</x:f>
      </x:c>
      <x:c r="BC16" s="137" t="str">
        <x:f>IF(AND(BC$4&gt;=$C16,BC$4&lt;=$D16,'Вводные'!$B$89="Да"),"■","")</x:f>
      </x:c>
      <x:c r="BD16" s="137" t="str">
        <x:f>IF(AND(BD$4&gt;=$C16,BD$4&lt;=$D16,'Вводные'!$B$89="Да"),"■","")</x:f>
      </x:c>
      <x:c r="BE16" s="137" t="str">
        <x:f>IF(AND(BE$4&gt;=$C16,BE$4&lt;=$D16,'Вводные'!$B$89="Да"),"■","")</x:f>
      </x:c>
      <x:c r="BF16" s="137" t="str">
        <x:f>IF(AND(BF$4&gt;=$C16,BF$4&lt;=$D16,'Вводные'!$B$89="Да"),"■","")</x:f>
      </x:c>
      <x:c r="BG16" s="137" t="str">
        <x:f>IF(AND(BG$4&gt;=$C16,BG$4&lt;=$D16,'Вводные'!$B$89="Да"),"■","")</x:f>
      </x:c>
      <x:c r="BH16" s="137" t="str">
        <x:f>IF(AND(BH$4&gt;=$C16,BH$4&lt;=$D16,'Вводные'!$B$89="Да"),"■","")</x:f>
      </x:c>
      <x:c r="BI16" s="137" t="str">
        <x:f>IF(AND(BI$4&gt;=$C16,BI$4&lt;=$D16,'Вводные'!$B$89="Да"),"■","")</x:f>
      </x:c>
      <x:c r="BJ16" s="137" t="str">
        <x:f>IF(AND(BJ$4&gt;=$C16,BJ$4&lt;=$D16,'Вводные'!$B$89="Да"),"■","")</x:f>
      </x:c>
      <x:c r="BK16" s="137" t="str">
        <x:f>IF(AND(BK$4&gt;=$C16,BK$4&lt;=$D16,'Вводные'!$B$89="Да"),"■","")</x:f>
      </x:c>
      <x:c r="BL16" s="137" t="str">
        <x:f>IF(AND(BL$4&gt;=$C16,BL$4&lt;=$D16,'Вводные'!$B$89="Да"),"■","")</x:f>
      </x:c>
      <x:c r="BM16" s="137" t="str">
        <x:f>IF(AND(BM$4&gt;=$C16,BM$4&lt;=$D16,'Вводные'!$B$89="Да"),"■","")</x:f>
      </x:c>
      <x:c r="BN16" s="137" t="str">
        <x:f>IF(AND(BN$4&gt;=$C16,BN$4&lt;=$D16,'Вводные'!$B$89="Да"),"■","")</x:f>
      </x:c>
      <x:c r="BO16" s="137" t="str">
        <x:f>IF(AND(BO$4&gt;=$C16,BO$4&lt;=$D16,'Вводные'!$B$89="Да"),"■","")</x:f>
      </x:c>
      <x:c r="BP16" s="137" t="str">
        <x:f>IF(AND(BP$4&gt;=$C16,BP$4&lt;=$D16,'Вводные'!$B$89="Да"),"■","")</x:f>
      </x:c>
      <x:c r="BQ16" s="137" t="str">
        <x:f>IF(AND(BQ$4&gt;=$C16,BQ$4&lt;=$D16,'Вводные'!$B$89="Да"),"■","")</x:f>
      </x:c>
      <x:c r="BR16" s="137" t="str">
        <x:f>IF(AND(BR$4&gt;=$C16,BR$4&lt;=$D16,'Вводные'!$B$89="Да"),"■","")</x:f>
      </x:c>
      <x:c r="BS16" s="137" t="str">
        <x:f>IF(AND(BS$4&gt;=$C16,BS$4&lt;=$D16,'Вводные'!$B$89="Да"),"■","")</x:f>
      </x:c>
      <x:c r="BT16" s="137" t="str">
        <x:f>IF(AND(BT$4&gt;=$C16,BT$4&lt;=$D16,'Вводные'!$B$89="Да"),"■","")</x:f>
      </x:c>
      <x:c r="BU16" s="137" t="str">
        <x:f>IF(AND(BU$4&gt;=$C16,BU$4&lt;=$D16,'Вводные'!$B$89="Да"),"■","")</x:f>
      </x:c>
      <x:c r="BV16" s="137" t="str">
        <x:f>IF(AND(BV$4&gt;=$C16,BV$4&lt;=$D16,'Вводные'!$B$89="Да"),"■","")</x:f>
      </x:c>
      <x:c r="BW16" s="137" t="str">
        <x:f>IF(AND(BW$4&gt;=$C16,BW$4&lt;=$D16,'Вводные'!$B$89="Да"),"■","")</x:f>
      </x:c>
      <x:c r="BX16" s="137" t="str">
        <x:f>IF(AND(BX$4&gt;=$C16,BX$4&lt;=$D16,'Вводные'!$B$89="Да"),"■","")</x:f>
      </x:c>
      <x:c r="BY16" s="137" t="str">
        <x:f>IF(AND(BY$4&gt;=$C16,BY$4&lt;=$D16,'Вводные'!$B$89="Да"),"■","")</x:f>
      </x:c>
      <x:c r="BZ16" s="137" t="str">
        <x:f>IF(AND(BZ$4&gt;=$C16,BZ$4&lt;=$D16,'Вводные'!$B$89="Да"),"■","")</x:f>
      </x:c>
      <x:c r="CA16" s="137" t="str">
        <x:f>IF(AND(CA$4&gt;=$C16,CA$4&lt;=$D16,'Вводные'!$B$89="Да"),"■","")</x:f>
      </x:c>
      <x:c r="CB16" s="137" t="str">
        <x:f>IF(AND(CB$4&gt;=$C16,CB$4&lt;=$D16,'Вводные'!$B$89="Да"),"■","")</x:f>
      </x:c>
      <x:c r="CC16" s="137" t="str">
        <x:f>IF(AND(CC$4&gt;=$C16,CC$4&lt;=$D16,'Вводные'!$B$89="Да"),"■","")</x:f>
      </x:c>
      <x:c r="CD16" s="137" t="str">
        <x:f>IF(AND(CD$4&gt;=$C16,CD$4&lt;=$D16,'Вводные'!$B$89="Да"),"■","")</x:f>
      </x:c>
      <x:c r="CE16" s="137" t="str">
        <x:f>IF(AND(CE$4&gt;=$C16,CE$4&lt;=$D16,'Вводные'!$B$89="Да"),"■","")</x:f>
      </x:c>
      <x:c r="CF16" s="137" t="str">
        <x:f>IF(AND(CF$4&gt;=$C16,CF$4&lt;=$D16,'Вводные'!$B$89="Да"),"■","")</x:f>
      </x:c>
      <x:c r="CG16" s="137" t="str">
        <x:f>IF(AND(CG$4&gt;=$C16,CG$4&lt;=$D16,'Вводные'!$B$89="Да"),"■","")</x:f>
      </x:c>
      <x:c r="CH16" s="137" t="str">
        <x:f>IF(AND(CH$4&gt;=$C16,CH$4&lt;=$D16,'Вводные'!$B$89="Да"),"■","")</x:f>
      </x:c>
      <x:c r="CI16" s="137" t="str">
        <x:f>IF(AND(CI$4&gt;=$C16,CI$4&lt;=$D16,'Вводные'!$B$89="Да"),"■","")</x:f>
      </x:c>
      <x:c r="CJ16" s="137" t="str">
        <x:f>IF(AND(CJ$4&gt;=$C16,CJ$4&lt;=$D16,'Вводные'!$B$89="Да"),"■","")</x:f>
      </x:c>
      <x:c r="CK16" s="137" t="str">
        <x:f>IF(AND(CK$4&gt;=$C16,CK$4&lt;=$D16,'Вводные'!$B$89="Да"),"■","")</x:f>
      </x:c>
      <x:c r="CL16" s="137" t="str">
        <x:f>IF(AND(CL$4&gt;=$C16,CL$4&lt;=$D16,'Вводные'!$B$89="Да"),"■","")</x:f>
      </x:c>
      <x:c r="CM16" s="137" t="str">
        <x:f>IF(AND(CM$4&gt;=$C16,CM$4&lt;=$D16,'Вводные'!$B$89="Да"),"■","")</x:f>
      </x:c>
      <x:c r="CN16" s="137" t="str">
        <x:f>IF(AND(CN$4&gt;=$C16,CN$4&lt;=$D16,'Вводные'!$B$89="Да"),"■","")</x:f>
      </x:c>
      <x:c r="CO16" s="137" t="str">
        <x:f>IF(AND(CO$4&gt;=$C16,CO$4&lt;=$D16,'Вводные'!$B$89="Да"),"■","")</x:f>
      </x:c>
      <x:c r="CP16" s="137" t="str">
        <x:f>IF(AND(CP$4&gt;=$C16,CP$4&lt;=$D16,'Вводные'!$B$89="Да"),"■","")</x:f>
      </x:c>
      <x:c r="CQ16" s="137" t="str">
        <x:f>IF(AND(CQ$4&gt;=$C16,CQ$4&lt;=$D16,'Вводные'!$B$89="Да"),"■","")</x:f>
      </x:c>
      <x:c r="CR16" s="137" t="str">
        <x:f>IF(AND(CR$4&gt;=$C16,CR$4&lt;=$D16,'Вводные'!$B$89="Да"),"■","")</x:f>
      </x:c>
      <x:c r="CS16" s="137" t="str">
        <x:f>IF(AND(CS$4&gt;=$C16,CS$4&lt;=$D16,'Вводные'!$B$89="Да"),"■","")</x:f>
      </x:c>
      <x:c r="CT16" s="137" t="str">
        <x:f>IF(AND(CT$4&gt;=$C16,CT$4&lt;=$D16,'Вводные'!$B$89="Да"),"■","")</x:f>
      </x:c>
      <x:c r="CU16" s="137" t="str">
        <x:f>IF(AND(CU$4&gt;=$C16,CU$4&lt;=$D16,'Вводные'!$B$89="Да"),"■","")</x:f>
      </x:c>
      <x:c r="CV16" s="137" t="str">
        <x:f>IF(AND(CV$4&gt;=$C16,CV$4&lt;=$D16,'Вводные'!$B$89="Да"),"■","")</x:f>
      </x:c>
      <x:c r="CW16" s="137" t="str">
        <x:f>IF(AND(CW$4&gt;=$C16,CW$4&lt;=$D16,'Вводные'!$B$89="Да"),"■","")</x:f>
      </x:c>
      <x:c r="CX16" s="137" t="str">
        <x:f>IF(AND(CX$4&gt;=$C16,CX$4&lt;=$D16,'Вводные'!$B$89="Да"),"■","")</x:f>
      </x:c>
      <x:c r="CY16" s="137" t="str">
        <x:f>IF(AND(CY$4&gt;=$C16,CY$4&lt;=$D16,'Вводные'!$B$89="Да"),"■","")</x:f>
      </x:c>
      <x:c r="CZ16" s="137" t="str">
        <x:f>IF(AND(CZ$4&gt;=$C16,CZ$4&lt;=$D16,'Вводные'!$B$89="Да"),"■","")</x:f>
      </x:c>
      <x:c r="DA16" s="137" t="str">
        <x:f>IF(AND(DA$4&gt;=$C16,DA$4&lt;=$D16,'Вводные'!$B$89="Да"),"■","")</x:f>
      </x:c>
      <x:c r="DB16" s="137" t="str">
        <x:f>IF(AND(DB$4&gt;=$C16,DB$4&lt;=$D16,'Вводные'!$B$89="Да"),"■","")</x:f>
      </x:c>
      <x:c r="DC16" s="137" t="str">
        <x:f>IF(AND(DC$4&gt;=$C16,DC$4&lt;=$D16,'Вводные'!$B$89="Да"),"■","")</x:f>
      </x:c>
      <x:c r="DD16" s="137" t="str">
        <x:f>IF(AND(DD$4&gt;=$C16,DD$4&lt;=$D16,'Вводные'!$B$89="Да"),"■","")</x:f>
      </x:c>
      <x:c r="DE16" s="137" t="str">
        <x:f>IF(AND(DE$4&gt;=$C16,DE$4&lt;=$D16,'Вводные'!$B$89="Да"),"■","")</x:f>
      </x:c>
      <x:c r="DF16" s="137" t="str">
        <x:f>IF(AND(DF$4&gt;=$C16,DF$4&lt;=$D16,'Вводные'!$B$89="Да"),"■","")</x:f>
      </x:c>
      <x:c r="DG16" s="137" t="str">
        <x:f>IF(AND(DG$4&gt;=$C16,DG$4&lt;=$D16,'Вводные'!$B$89="Да"),"■","")</x:f>
      </x:c>
      <x:c r="DH16" s="137" t="str">
        <x:f>IF(AND(DH$4&gt;=$C16,DH$4&lt;=$D16,'Вводные'!$B$89="Да"),"■","")</x:f>
      </x:c>
      <x:c r="DI16" s="137" t="str">
        <x:f>IF(AND(DI$4&gt;=$C16,DI$4&lt;=$D16,'Вводные'!$B$89="Да"),"■","")</x:f>
      </x:c>
      <x:c r="DJ16" s="137" t="str">
        <x:f>IF(AND(DJ$4&gt;=$C16,DJ$4&lt;=$D16,'Вводные'!$B$89="Да"),"■","")</x:f>
      </x:c>
      <x:c r="DK16" s="137" t="str">
        <x:f>IF(AND(DK$4&gt;=$C16,DK$4&lt;=$D16,'Вводные'!$B$89="Да"),"■","")</x:f>
      </x:c>
      <x:c r="DL16" s="137" t="str">
        <x:f>IF(AND(DL$4&gt;=$C16,DL$4&lt;=$D16,'Вводные'!$B$89="Да"),"■","")</x:f>
      </x:c>
      <x:c r="DM16" s="137" t="str">
        <x:f>IF(AND(DM$4&gt;=$C16,DM$4&lt;=$D16,'Вводные'!$B$89="Да"),"■","")</x:f>
      </x:c>
      <x:c r="DN16" s="137" t="str">
        <x:f>IF(AND(DN$4&gt;=$C16,DN$4&lt;=$D16,'Вводные'!$B$89="Да"),"■","")</x:f>
      </x:c>
      <x:c r="DO16" s="137" t="str">
        <x:f>IF(AND(DO$4&gt;=$C16,DO$4&lt;=$D16,'Вводные'!$B$89="Да"),"■","")</x:f>
      </x:c>
      <x:c r="DP16" s="137" t="str">
        <x:f>IF(AND(DP$4&gt;=$C16,DP$4&lt;=$D16,'Вводные'!$B$89="Да"),"■","")</x:f>
      </x:c>
      <x:c r="DQ16" s="137" t="str">
        <x:f>IF(AND(DQ$4&gt;=$C16,DQ$4&lt;=$D16,'Вводные'!$B$89="Да"),"■","")</x:f>
      </x:c>
      <x:c r="DR16" s="137" t="str">
        <x:f>IF(AND(DR$4&gt;=$C16,DR$4&lt;=$D16,'Вводные'!$B$89="Да"),"■","")</x:f>
      </x:c>
      <x:c r="DS16" s="137" t="str">
        <x:f>IF(AND(DS$4&gt;=$C16,DS$4&lt;=$D16,'Вводные'!$B$89="Да"),"■","")</x:f>
      </x:c>
      <x:c r="DT16" s="137" t="str">
        <x:f>IF(AND(DT$4&gt;=$C16,DT$4&lt;=$D16,'Вводные'!$B$89="Да"),"■","")</x:f>
      </x:c>
      <x:c r="DU16" s="137" t="str">
        <x:f>IF(AND(DU$4&gt;=$C16,DU$4&lt;=$D16,'Вводные'!$B$89="Да"),"■","")</x:f>
      </x:c>
      <x:c r="DV16" s="137" t="str">
        <x:f>IF(AND(DV$4&gt;=$C16,DV$4&lt;=$D16,'Вводные'!$B$89="Да"),"■","")</x:f>
      </x:c>
      <x:c r="DW16" s="137" t="str">
        <x:f>IF(AND(DW$4&gt;=$C16,DW$4&lt;=$D16,'Вводные'!$B$89="Да"),"■","")</x:f>
      </x:c>
      <x:c r="DX16" s="137" t="str">
        <x:f>IF(AND(DX$4&gt;=$C16,DX$4&lt;=$D16,'Вводные'!$B$89="Да"),"■","")</x:f>
      </x:c>
      <x:c r="DY16" s="137" t="str">
        <x:f>IF(AND(DY$4&gt;=$C16,DY$4&lt;=$D16,'Вводные'!$B$89="Да"),"■","")</x:f>
      </x:c>
      <x:c r="DZ16" s="137" t="str">
        <x:f>IF(AND(DZ$4&gt;=$C16,DZ$4&lt;=$D16,'Вводные'!$B$89="Да"),"■","")</x:f>
      </x:c>
      <x:c r="EA16" s="137" t="str">
        <x:f>IF(AND(EA$4&gt;=$C16,EA$4&lt;=$D16,'Вводные'!$B$89="Да"),"■","")</x:f>
      </x:c>
      <x:c r="EB16" s="137" t="str">
        <x:f>IF(AND(EB$4&gt;=$C16,EB$4&lt;=$D16,'Вводные'!$B$89="Да"),"■","")</x:f>
      </x:c>
      <x:c r="EC16" s="137" t="str">
        <x:f>IF(AND(EC$4&gt;=$C16,EC$4&lt;=$D16,'Вводные'!$B$89="Да"),"■","")</x:f>
      </x:c>
      <x:c r="ED16" s="137" t="str">
        <x:f>IF(AND(ED$4&gt;=$C16,ED$4&lt;=$D16,'Вводные'!$B$89="Да"),"■","")</x:f>
      </x:c>
      <x:c r="EE16" s="137" t="str">
        <x:f>IF(AND(EE$4&gt;=$C16,EE$4&lt;=$D16,'Вводные'!$B$89="Да"),"■","")</x:f>
      </x:c>
      <x:c r="EF16" s="137" t="str">
        <x:f>IF(AND(EF$4&gt;=$C16,EF$4&lt;=$D16,'Вводные'!$B$89="Да"),"■","")</x:f>
      </x:c>
      <x:c r="EG16" s="137" t="str">
        <x:f>IF(AND(EG$4&gt;=$C16,EG$4&lt;=$D16,'Вводные'!$B$89="Да"),"■","")</x:f>
      </x:c>
      <x:c r="EH16" s="137" t="str">
        <x:f>IF(AND(EH$4&gt;=$C16,EH$4&lt;=$D16,'Вводные'!$B$89="Да"),"■","")</x:f>
      </x:c>
      <x:c r="EI16" s="137" t="str">
        <x:f>IF(AND(EI$4&gt;=$C16,EI$4&lt;=$D16,'Вводные'!$B$89="Да"),"■","")</x:f>
      </x:c>
      <x:c r="EJ16" s="137" t="str">
        <x:f>IF(AND(EJ$4&gt;=$C16,EJ$4&lt;=$D16,'Вводные'!$B$89="Да"),"■","")</x:f>
      </x:c>
      <x:c r="EK16" s="137" t="str">
        <x:f>IF(AND(EK$4&gt;=$C16,EK$4&lt;=$D16,'Вводные'!$B$89="Да"),"■","")</x:f>
      </x:c>
      <x:c r="EL16" s="137" t="str">
        <x:f>IF(AND(EL$4&gt;=$C16,EL$4&lt;=$D16,'Вводные'!$B$89="Да"),"■","")</x:f>
      </x:c>
      <x:c r="EM16" s="137" t="str">
        <x:f>IF(AND(EM$4&gt;=$C16,EM$4&lt;=$D16,'Вводные'!$B$89="Да"),"■","")</x:f>
      </x:c>
      <x:c r="EN16" s="137" t="str">
        <x:f>IF(AND(EN$4&gt;=$C16,EN$4&lt;=$D16,'Вводные'!$B$89="Да"),"■","")</x:f>
      </x:c>
      <x:c r="EO16" s="137" t="str">
        <x:f>IF(AND(EO$4&gt;=$C16,EO$4&lt;=$D16,'Вводные'!$B$89="Да"),"■","")</x:f>
      </x:c>
      <x:c r="EP16" s="137" t="str">
        <x:f>IF(AND(EP$4&gt;=$C16,EP$4&lt;=$D16,'Вводные'!$B$89="Да"),"■","")</x:f>
      </x:c>
      <x:c r="EQ16" s="137" t="str">
        <x:f>IF(AND(EQ$4&gt;=$C16,EQ$4&lt;=$D16,'Вводные'!$B$89="Да"),"■","")</x:f>
      </x:c>
      <x:c r="ER16" s="137" t="str">
        <x:f>IF(AND(ER$4&gt;=$C16,ER$4&lt;=$D16,'Вводные'!$B$89="Да"),"■","")</x:f>
      </x:c>
      <x:c r="ES16" s="137" t="str">
        <x:f>IF(AND(ES$4&gt;=$C16,ES$4&lt;=$D16,'Вводные'!$B$89="Да"),"■","")</x:f>
      </x:c>
      <x:c r="ET16" s="137" t="str">
        <x:f>IF(AND(ET$4&gt;=$C16,ET$4&lt;=$D16,'Вводные'!$B$89="Да"),"■","")</x:f>
      </x:c>
      <x:c r="EU16" s="137" t="str">
        <x:f>IF(AND(EU$4&gt;=$C16,EU$4&lt;=$D16,'Вводные'!$B$89="Да"),"■","")</x:f>
      </x:c>
      <x:c r="EV16" s="137" t="str">
        <x:f>IF(AND(EV$4&gt;=$C16,EV$4&lt;=$D16,'Вводные'!$B$89="Да"),"■","")</x:f>
      </x:c>
      <x:c r="EW16" s="137" t="str">
        <x:f>IF(AND(EW$4&gt;=$C16,EW$4&lt;=$D16,'Вводные'!$B$89="Да"),"■","")</x:f>
      </x:c>
      <x:c r="EX16" s="137" t="str">
        <x:f>IF(AND(EX$4&gt;=$C16,EX$4&lt;=$D16,'Вводные'!$B$89="Да"),"■","")</x:f>
      </x:c>
      <x:c r="EY16" s="137" t="str">
        <x:f>IF(AND(EY$4&gt;=$C16,EY$4&lt;=$D16,'Вводные'!$B$89="Да"),"■","")</x:f>
      </x:c>
      <x:c r="EZ16" s="137" t="str">
        <x:f>IF(AND(EZ$4&gt;=$C16,EZ$4&lt;=$D16,'Вводные'!$B$89="Да"),"■","")</x:f>
      </x:c>
      <x:c r="FA16" s="137" t="str">
        <x:f>IF(AND(FA$4&gt;=$C16,FA$4&lt;=$D16,'Вводные'!$B$89="Да"),"■","")</x:f>
      </x:c>
      <x:c r="FB16" s="137" t="str">
        <x:f>IF(AND(FB$4&gt;=$C16,FB$4&lt;=$D16,'Вводные'!$B$89="Да"),"■","")</x:f>
      </x:c>
      <x:c r="FC16" s="137" t="str">
        <x:f>IF(AND(FC$4&gt;=$C16,FC$4&lt;=$D16,'Вводные'!$B$89="Да"),"■","")</x:f>
      </x:c>
      <x:c r="FD16" s="137" t="str">
        <x:f>IF(AND(FD$4&gt;=$C16,FD$4&lt;=$D16,'Вводные'!$B$89="Да"),"■","")</x:f>
      </x:c>
      <x:c r="FE16" s="137" t="str">
        <x:f>IF(AND(FE$4&gt;=$C16,FE$4&lt;=$D16,'Вводные'!$B$89="Да"),"■","")</x:f>
      </x:c>
      <x:c r="FF16" s="137" t="str">
        <x:f>IF(AND(FF$4&gt;=$C16,FF$4&lt;=$D16,'Вводные'!$B$89="Да"),"■","")</x:f>
      </x:c>
      <x:c r="FG16" s="137" t="str">
        <x:f>IF(AND(FG$4&gt;=$C16,FG$4&lt;=$D16,'Вводные'!$B$89="Да"),"■","")</x:f>
      </x:c>
      <x:c r="FH16" s="137" t="str">
        <x:f>IF(AND(FH$4&gt;=$C16,FH$4&lt;=$D16,'Вводные'!$B$89="Да"),"■","")</x:f>
      </x:c>
      <x:c r="FI16" s="137" t="str">
        <x:f>IF(AND(FI$4&gt;=$C16,FI$4&lt;=$D16,'Вводные'!$B$89="Да"),"■","")</x:f>
      </x:c>
      <x:c r="FJ16" s="137" t="str">
        <x:f>IF(AND(FJ$4&gt;=$C16,FJ$4&lt;=$D16,'Вводные'!$B$89="Да"),"■","")</x:f>
      </x:c>
      <x:c r="FK16" s="137" t="str">
        <x:f>IF(AND(FK$4&gt;=$C16,FK$4&lt;=$D16,'Вводные'!$B$89="Да"),"■","")</x:f>
      </x:c>
      <x:c r="FL16" s="137" t="str">
        <x:f>IF(AND(FL$4&gt;=$C16,FL$4&lt;=$D16,'Вводные'!$B$89="Да"),"■","")</x:f>
      </x:c>
      <x:c r="FM16" s="137" t="str">
        <x:f>IF(AND(FM$4&gt;=$C16,FM$4&lt;=$D16,'Вводные'!$B$89="Да"),"■","")</x:f>
      </x:c>
      <x:c r="FN16" s="137" t="str">
        <x:f>IF(AND(FN$4&gt;=$C16,FN$4&lt;=$D16,'Вводные'!$B$89="Да"),"■","")</x:f>
      </x:c>
      <x:c r="FO16" s="137" t="str">
        <x:f>IF(AND(FO$4&gt;=$C16,FO$4&lt;=$D16,'Вводные'!$B$89="Да"),"■","")</x:f>
      </x:c>
      <x:c r="FP16" s="137" t="str">
        <x:f>IF(AND(FP$4&gt;=$C16,FP$4&lt;=$D16,'Вводные'!$B$89="Да"),"■","")</x:f>
      </x:c>
      <x:c r="FQ16" s="137" t="str">
        <x:f>IF(AND(FQ$4&gt;=$C16,FQ$4&lt;=$D16,'Вводные'!$B$89="Да"),"■","")</x:f>
      </x:c>
      <x:c r="FR16" s="137" t="str">
        <x:f>IF(AND(FR$4&gt;=$C16,FR$4&lt;=$D16,'Вводные'!$B$89="Да"),"■","")</x:f>
      </x:c>
      <x:c r="FS16" s="137" t="str">
        <x:f>IF(AND(FS$4&gt;=$C16,FS$4&lt;=$D16,'Вводные'!$B$89="Да"),"■","")</x:f>
      </x:c>
      <x:c r="FT16" s="137" t="str">
        <x:f>IF(AND(FT$4&gt;=$C16,FT$4&lt;=$D16,'Вводные'!$B$89="Да"),"■","")</x:f>
      </x:c>
      <x:c r="FU16" s="137" t="str">
        <x:f>IF(AND(FU$4&gt;=$C16,FU$4&lt;=$D16,'Вводные'!$B$89="Да"),"■","")</x:f>
      </x:c>
      <x:c r="FV16" s="137" t="str">
        <x:f>IF(AND(FV$4&gt;=$C16,FV$4&lt;=$D16,'Вводные'!$B$89="Да"),"■","")</x:f>
      </x:c>
      <x:c r="FW16" s="137" t="str">
        <x:f>IF(AND(FW$4&gt;=$C16,FW$4&lt;=$D16,'Вводные'!$B$89="Да"),"■","")</x:f>
      </x:c>
      <x:c r="FX16" s="137" t="str">
        <x:f>IF(AND(FX$4&gt;=$C16,FX$4&lt;=$D16,'Вводные'!$B$89="Да"),"■","")</x:f>
      </x:c>
      <x:c r="FY16" s="137" t="str">
        <x:f>IF(AND(FY$4&gt;=$C16,FY$4&lt;=$D16,'Вводные'!$B$89="Да"),"■","")</x:f>
      </x:c>
      <x:c r="FZ16" s="137" t="str">
        <x:f>IF(AND(FZ$4&gt;=$C16,FZ$4&lt;=$D16,'Вводные'!$B$89="Да"),"■","")</x:f>
      </x:c>
      <x:c r="GA16" s="137" t="str">
        <x:f>IF(AND(GA$4&gt;=$C16,GA$4&lt;=$D16,'Вводные'!$B$89="Да"),"■","")</x:f>
      </x:c>
      <x:c r="GB16" s="137" t="str">
        <x:f>IF(AND(GB$4&gt;=$C16,GB$4&lt;=$D16,'Вводные'!$B$89="Да"),"■","")</x:f>
      </x:c>
    </x:row>
    <x:row r="17">
      <x:c r="A17" t="str">
        <x:f>'Вводные'!$C$89</x:f>
      </x:c>
      <x:c r="B17" t="str">
        <x:v>Обязательство по ВРИ</x:v>
      </x:c>
      <x:c r="C17" s="92" t="n">
        <x:f>'ВРИ'!B20</x:f>
      </x:c>
      <x:c r="D17" s="92" t="n">
        <x:f>C17</x:f>
      </x:c>
      <x:c r="E17" s="137" t="str">
        <x:f>IF(AND(E$4&gt;=$C17,E$4&lt;=$D17,'Вводные'!$B$89="Да"),"■","")</x:f>
      </x:c>
      <x:c r="F17" s="137" t="str">
        <x:f>IF(AND(F$4&gt;=$C17,F$4&lt;=$D17,'Вводные'!$B$89="Да"),"■","")</x:f>
      </x:c>
      <x:c r="G17" s="137" t="str">
        <x:f>IF(AND(G$4&gt;=$C17,G$4&lt;=$D17,'Вводные'!$B$89="Да"),"■","")</x:f>
      </x:c>
      <x:c r="H17" s="137" t="str">
        <x:f>IF(AND(H$4&gt;=$C17,H$4&lt;=$D17,'Вводные'!$B$89="Да"),"■","")</x:f>
      </x:c>
      <x:c r="I17" s="137" t="str">
        <x:f>IF(AND(I$4&gt;=$C17,I$4&lt;=$D17,'Вводные'!$B$89="Да"),"■","")</x:f>
      </x:c>
      <x:c r="J17" s="137" t="str">
        <x:f>IF(AND(J$4&gt;=$C17,J$4&lt;=$D17,'Вводные'!$B$89="Да"),"■","")</x:f>
      </x:c>
      <x:c r="K17" s="137" t="str">
        <x:f>IF(AND(K$4&gt;=$C17,K$4&lt;=$D17,'Вводные'!$B$89="Да"),"■","")</x:f>
      </x:c>
      <x:c r="L17" s="137" t="str">
        <x:f>IF(AND(L$4&gt;=$C17,L$4&lt;=$D17,'Вводные'!$B$89="Да"),"■","")</x:f>
      </x:c>
      <x:c r="M17" s="137" t="str">
        <x:f>IF(AND(M$4&gt;=$C17,M$4&lt;=$D17,'Вводные'!$B$89="Да"),"■","")</x:f>
      </x:c>
      <x:c r="N17" s="137" t="str">
        <x:f>IF(AND(N$4&gt;=$C17,N$4&lt;=$D17,'Вводные'!$B$89="Да"),"■","")</x:f>
      </x:c>
      <x:c r="O17" s="137" t="str">
        <x:f>IF(AND(O$4&gt;=$C17,O$4&lt;=$D17,'Вводные'!$B$89="Да"),"■","")</x:f>
      </x:c>
      <x:c r="P17" s="137" t="str">
        <x:f>IF(AND(P$4&gt;=$C17,P$4&lt;=$D17,'Вводные'!$B$89="Да"),"■","")</x:f>
      </x:c>
      <x:c r="Q17" s="137" t="str">
        <x:f>IF(AND(Q$4&gt;=$C17,Q$4&lt;=$D17,'Вводные'!$B$89="Да"),"■","")</x:f>
      </x:c>
      <x:c r="R17" s="137" t="str">
        <x:f>IF(AND(R$4&gt;=$C17,R$4&lt;=$D17,'Вводные'!$B$89="Да"),"■","")</x:f>
      </x:c>
      <x:c r="S17" s="137" t="str">
        <x:f>IF(AND(S$4&gt;=$C17,S$4&lt;=$D17,'Вводные'!$B$89="Да"),"■","")</x:f>
      </x:c>
      <x:c r="T17" s="137" t="str">
        <x:f>IF(AND(T$4&gt;=$C17,T$4&lt;=$D17,'Вводные'!$B$89="Да"),"■","")</x:f>
      </x:c>
      <x:c r="U17" s="137" t="str">
        <x:f>IF(AND(U$4&gt;=$C17,U$4&lt;=$D17,'Вводные'!$B$89="Да"),"■","")</x:f>
      </x:c>
      <x:c r="V17" s="137" t="str">
        <x:f>IF(AND(V$4&gt;=$C17,V$4&lt;=$D17,'Вводные'!$B$89="Да"),"■","")</x:f>
      </x:c>
      <x:c r="W17" s="137" t="str">
        <x:f>IF(AND(W$4&gt;=$C17,W$4&lt;=$D17,'Вводные'!$B$89="Да"),"■","")</x:f>
      </x:c>
      <x:c r="X17" s="137" t="str">
        <x:f>IF(AND(X$4&gt;=$C17,X$4&lt;=$D17,'Вводные'!$B$89="Да"),"■","")</x:f>
      </x:c>
      <x:c r="Y17" s="137" t="str">
        <x:f>IF(AND(Y$4&gt;=$C17,Y$4&lt;=$D17,'Вводные'!$B$89="Да"),"■","")</x:f>
      </x:c>
      <x:c r="Z17" s="137" t="str">
        <x:f>IF(AND(Z$4&gt;=$C17,Z$4&lt;=$D17,'Вводные'!$B$89="Да"),"■","")</x:f>
      </x:c>
      <x:c r="AA17" s="137" t="str">
        <x:f>IF(AND(AA$4&gt;=$C17,AA$4&lt;=$D17,'Вводные'!$B$89="Да"),"■","")</x:f>
      </x:c>
      <x:c r="AB17" s="137" t="str">
        <x:f>IF(AND(AB$4&gt;=$C17,AB$4&lt;=$D17,'Вводные'!$B$89="Да"),"■","")</x:f>
      </x:c>
      <x:c r="AC17" s="137" t="str">
        <x:f>IF(AND(AC$4&gt;=$C17,AC$4&lt;=$D17,'Вводные'!$B$89="Да"),"■","")</x:f>
      </x:c>
      <x:c r="AD17" s="137" t="str">
        <x:f>IF(AND(AD$4&gt;=$C17,AD$4&lt;=$D17,'Вводные'!$B$89="Да"),"■","")</x:f>
      </x:c>
      <x:c r="AE17" s="137" t="str">
        <x:f>IF(AND(AE$4&gt;=$C17,AE$4&lt;=$D17,'Вводные'!$B$89="Да"),"■","")</x:f>
      </x:c>
      <x:c r="AF17" s="137" t="str">
        <x:f>IF(AND(AF$4&gt;=$C17,AF$4&lt;=$D17,'Вводные'!$B$89="Да"),"■","")</x:f>
      </x:c>
      <x:c r="AG17" s="137" t="str">
        <x:f>IF(AND(AG$4&gt;=$C17,AG$4&lt;=$D17,'Вводные'!$B$89="Да"),"■","")</x:f>
      </x:c>
      <x:c r="AH17" s="137" t="str">
        <x:f>IF(AND(AH$4&gt;=$C17,AH$4&lt;=$D17,'Вводные'!$B$89="Да"),"■","")</x:f>
      </x:c>
      <x:c r="AI17" s="137" t="str">
        <x:f>IF(AND(AI$4&gt;=$C17,AI$4&lt;=$D17,'Вводные'!$B$89="Да"),"■","")</x:f>
      </x:c>
      <x:c r="AJ17" s="137" t="str">
        <x:f>IF(AND(AJ$4&gt;=$C17,AJ$4&lt;=$D17,'Вводные'!$B$89="Да"),"■","")</x:f>
      </x:c>
      <x:c r="AK17" s="137" t="str">
        <x:f>IF(AND(AK$4&gt;=$C17,AK$4&lt;=$D17,'Вводные'!$B$89="Да"),"■","")</x:f>
      </x:c>
      <x:c r="AL17" s="137" t="str">
        <x:f>IF(AND(AL$4&gt;=$C17,AL$4&lt;=$D17,'Вводные'!$B$89="Да"),"■","")</x:f>
      </x:c>
      <x:c r="AM17" s="137" t="str">
        <x:f>IF(AND(AM$4&gt;=$C17,AM$4&lt;=$D17,'Вводные'!$B$89="Да"),"■","")</x:f>
      </x:c>
      <x:c r="AN17" s="137" t="str">
        <x:f>IF(AND(AN$4&gt;=$C17,AN$4&lt;=$D17,'Вводные'!$B$89="Да"),"■","")</x:f>
      </x:c>
      <x:c r="AO17" s="137" t="str">
        <x:f>IF(AND(AO$4&gt;=$C17,AO$4&lt;=$D17,'Вводные'!$B$89="Да"),"■","")</x:f>
      </x:c>
      <x:c r="AP17" s="137" t="str">
        <x:f>IF(AND(AP$4&gt;=$C17,AP$4&lt;=$D17,'Вводные'!$B$89="Да"),"■","")</x:f>
      </x:c>
      <x:c r="AQ17" s="137" t="str">
        <x:f>IF(AND(AQ$4&gt;=$C17,AQ$4&lt;=$D17,'Вводные'!$B$89="Да"),"■","")</x:f>
      </x:c>
      <x:c r="AR17" s="137" t="str">
        <x:f>IF(AND(AR$4&gt;=$C17,AR$4&lt;=$D17,'Вводные'!$B$89="Да"),"■","")</x:f>
      </x:c>
      <x:c r="AS17" s="137" t="str">
        <x:f>IF(AND(AS$4&gt;=$C17,AS$4&lt;=$D17,'Вводные'!$B$89="Да"),"■","")</x:f>
      </x:c>
      <x:c r="AT17" s="137" t="str">
        <x:f>IF(AND(AT$4&gt;=$C17,AT$4&lt;=$D17,'Вводные'!$B$89="Да"),"■","")</x:f>
      </x:c>
      <x:c r="AU17" s="137" t="str">
        <x:f>IF(AND(AU$4&gt;=$C17,AU$4&lt;=$D17,'Вводные'!$B$89="Да"),"■","")</x:f>
      </x:c>
      <x:c r="AV17" s="137" t="str">
        <x:f>IF(AND(AV$4&gt;=$C17,AV$4&lt;=$D17,'Вводные'!$B$89="Да"),"■","")</x:f>
      </x:c>
      <x:c r="AW17" s="137" t="str">
        <x:f>IF(AND(AW$4&gt;=$C17,AW$4&lt;=$D17,'Вводные'!$B$89="Да"),"■","")</x:f>
      </x:c>
      <x:c r="AX17" s="137" t="str">
        <x:f>IF(AND(AX$4&gt;=$C17,AX$4&lt;=$D17,'Вводные'!$B$89="Да"),"■","")</x:f>
      </x:c>
      <x:c r="AY17" s="137" t="str">
        <x:f>IF(AND(AY$4&gt;=$C17,AY$4&lt;=$D17,'Вводные'!$B$89="Да"),"■","")</x:f>
      </x:c>
      <x:c r="AZ17" s="137" t="str">
        <x:f>IF(AND(AZ$4&gt;=$C17,AZ$4&lt;=$D17,'Вводные'!$B$89="Да"),"■","")</x:f>
      </x:c>
      <x:c r="BA17" s="137" t="str">
        <x:f>IF(AND(BA$4&gt;=$C17,BA$4&lt;=$D17,'Вводные'!$B$89="Да"),"■","")</x:f>
      </x:c>
      <x:c r="BB17" s="137" t="str">
        <x:f>IF(AND(BB$4&gt;=$C17,BB$4&lt;=$D17,'Вводные'!$B$89="Да"),"■","")</x:f>
      </x:c>
      <x:c r="BC17" s="137" t="str">
        <x:f>IF(AND(BC$4&gt;=$C17,BC$4&lt;=$D17,'Вводные'!$B$89="Да"),"■","")</x:f>
      </x:c>
      <x:c r="BD17" s="137" t="str">
        <x:f>IF(AND(BD$4&gt;=$C17,BD$4&lt;=$D17,'Вводные'!$B$89="Да"),"■","")</x:f>
      </x:c>
      <x:c r="BE17" s="137" t="str">
        <x:f>IF(AND(BE$4&gt;=$C17,BE$4&lt;=$D17,'Вводные'!$B$89="Да"),"■","")</x:f>
      </x:c>
      <x:c r="BF17" s="137" t="str">
        <x:f>IF(AND(BF$4&gt;=$C17,BF$4&lt;=$D17,'Вводные'!$B$89="Да"),"■","")</x:f>
      </x:c>
      <x:c r="BG17" s="137" t="str">
        <x:f>IF(AND(BG$4&gt;=$C17,BG$4&lt;=$D17,'Вводные'!$B$89="Да"),"■","")</x:f>
      </x:c>
      <x:c r="BH17" s="137" t="str">
        <x:f>IF(AND(BH$4&gt;=$C17,BH$4&lt;=$D17,'Вводные'!$B$89="Да"),"■","")</x:f>
      </x:c>
      <x:c r="BI17" s="137" t="str">
        <x:f>IF(AND(BI$4&gt;=$C17,BI$4&lt;=$D17,'Вводные'!$B$89="Да"),"■","")</x:f>
      </x:c>
      <x:c r="BJ17" s="137" t="str">
        <x:f>IF(AND(BJ$4&gt;=$C17,BJ$4&lt;=$D17,'Вводные'!$B$89="Да"),"■","")</x:f>
      </x:c>
      <x:c r="BK17" s="137" t="str">
        <x:f>IF(AND(BK$4&gt;=$C17,BK$4&lt;=$D17,'Вводные'!$B$89="Да"),"■","")</x:f>
      </x:c>
      <x:c r="BL17" s="137" t="str">
        <x:f>IF(AND(BL$4&gt;=$C17,BL$4&lt;=$D17,'Вводные'!$B$89="Да"),"■","")</x:f>
      </x:c>
      <x:c r="BM17" s="137" t="str">
        <x:f>IF(AND(BM$4&gt;=$C17,BM$4&lt;=$D17,'Вводные'!$B$89="Да"),"■","")</x:f>
      </x:c>
      <x:c r="BN17" s="137" t="str">
        <x:f>IF(AND(BN$4&gt;=$C17,BN$4&lt;=$D17,'Вводные'!$B$89="Да"),"■","")</x:f>
      </x:c>
      <x:c r="BO17" s="137" t="str">
        <x:f>IF(AND(BO$4&gt;=$C17,BO$4&lt;=$D17,'Вводные'!$B$89="Да"),"■","")</x:f>
      </x:c>
      <x:c r="BP17" s="137" t="str">
        <x:f>IF(AND(BP$4&gt;=$C17,BP$4&lt;=$D17,'Вводные'!$B$89="Да"),"■","")</x:f>
      </x:c>
      <x:c r="BQ17" s="137" t="str">
        <x:f>IF(AND(BQ$4&gt;=$C17,BQ$4&lt;=$D17,'Вводные'!$B$89="Да"),"■","")</x:f>
      </x:c>
      <x:c r="BR17" s="137" t="str">
        <x:f>IF(AND(BR$4&gt;=$C17,BR$4&lt;=$D17,'Вводные'!$B$89="Да"),"■","")</x:f>
      </x:c>
      <x:c r="BS17" s="137" t="str">
        <x:f>IF(AND(BS$4&gt;=$C17,BS$4&lt;=$D17,'Вводные'!$B$89="Да"),"■","")</x:f>
      </x:c>
      <x:c r="BT17" s="137" t="str">
        <x:f>IF(AND(BT$4&gt;=$C17,BT$4&lt;=$D17,'Вводные'!$B$89="Да"),"■","")</x:f>
      </x:c>
      <x:c r="BU17" s="137" t="str">
        <x:f>IF(AND(BU$4&gt;=$C17,BU$4&lt;=$D17,'Вводные'!$B$89="Да"),"■","")</x:f>
      </x:c>
      <x:c r="BV17" s="137" t="str">
        <x:f>IF(AND(BV$4&gt;=$C17,BV$4&lt;=$D17,'Вводные'!$B$89="Да"),"■","")</x:f>
      </x:c>
      <x:c r="BW17" s="137" t="str">
        <x:f>IF(AND(BW$4&gt;=$C17,BW$4&lt;=$D17,'Вводные'!$B$89="Да"),"■","")</x:f>
      </x:c>
      <x:c r="BX17" s="137" t="str">
        <x:f>IF(AND(BX$4&gt;=$C17,BX$4&lt;=$D17,'Вводные'!$B$89="Да"),"■","")</x:f>
      </x:c>
      <x:c r="BY17" s="137" t="str">
        <x:f>IF(AND(BY$4&gt;=$C17,BY$4&lt;=$D17,'Вводные'!$B$89="Да"),"■","")</x:f>
      </x:c>
      <x:c r="BZ17" s="137" t="str">
        <x:f>IF(AND(BZ$4&gt;=$C17,BZ$4&lt;=$D17,'Вводные'!$B$89="Да"),"■","")</x:f>
      </x:c>
      <x:c r="CA17" s="137" t="str">
        <x:f>IF(AND(CA$4&gt;=$C17,CA$4&lt;=$D17,'Вводные'!$B$89="Да"),"■","")</x:f>
      </x:c>
      <x:c r="CB17" s="137" t="str">
        <x:f>IF(AND(CB$4&gt;=$C17,CB$4&lt;=$D17,'Вводные'!$B$89="Да"),"■","")</x:f>
      </x:c>
      <x:c r="CC17" s="137" t="str">
        <x:f>IF(AND(CC$4&gt;=$C17,CC$4&lt;=$D17,'Вводные'!$B$89="Да"),"■","")</x:f>
      </x:c>
      <x:c r="CD17" s="137" t="str">
        <x:f>IF(AND(CD$4&gt;=$C17,CD$4&lt;=$D17,'Вводные'!$B$89="Да"),"■","")</x:f>
      </x:c>
      <x:c r="CE17" s="137" t="str">
        <x:f>IF(AND(CE$4&gt;=$C17,CE$4&lt;=$D17,'Вводные'!$B$89="Да"),"■","")</x:f>
      </x:c>
      <x:c r="CF17" s="137" t="str">
        <x:f>IF(AND(CF$4&gt;=$C17,CF$4&lt;=$D17,'Вводные'!$B$89="Да"),"■","")</x:f>
      </x:c>
      <x:c r="CG17" s="137" t="str">
        <x:f>IF(AND(CG$4&gt;=$C17,CG$4&lt;=$D17,'Вводные'!$B$89="Да"),"■","")</x:f>
      </x:c>
      <x:c r="CH17" s="137" t="str">
        <x:f>IF(AND(CH$4&gt;=$C17,CH$4&lt;=$D17,'Вводные'!$B$89="Да"),"■","")</x:f>
      </x:c>
      <x:c r="CI17" s="137" t="str">
        <x:f>IF(AND(CI$4&gt;=$C17,CI$4&lt;=$D17,'Вводные'!$B$89="Да"),"■","")</x:f>
      </x:c>
      <x:c r="CJ17" s="137" t="str">
        <x:f>IF(AND(CJ$4&gt;=$C17,CJ$4&lt;=$D17,'Вводные'!$B$89="Да"),"■","")</x:f>
      </x:c>
      <x:c r="CK17" s="137" t="str">
        <x:f>IF(AND(CK$4&gt;=$C17,CK$4&lt;=$D17,'Вводные'!$B$89="Да"),"■","")</x:f>
      </x:c>
      <x:c r="CL17" s="137" t="str">
        <x:f>IF(AND(CL$4&gt;=$C17,CL$4&lt;=$D17,'Вводные'!$B$89="Да"),"■","")</x:f>
      </x:c>
      <x:c r="CM17" s="137" t="str">
        <x:f>IF(AND(CM$4&gt;=$C17,CM$4&lt;=$D17,'Вводные'!$B$89="Да"),"■","")</x:f>
      </x:c>
      <x:c r="CN17" s="137" t="str">
        <x:f>IF(AND(CN$4&gt;=$C17,CN$4&lt;=$D17,'Вводные'!$B$89="Да"),"■","")</x:f>
      </x:c>
      <x:c r="CO17" s="137" t="str">
        <x:f>IF(AND(CO$4&gt;=$C17,CO$4&lt;=$D17,'Вводные'!$B$89="Да"),"■","")</x:f>
      </x:c>
      <x:c r="CP17" s="137" t="str">
        <x:f>IF(AND(CP$4&gt;=$C17,CP$4&lt;=$D17,'Вводные'!$B$89="Да"),"■","")</x:f>
      </x:c>
      <x:c r="CQ17" s="137" t="str">
        <x:f>IF(AND(CQ$4&gt;=$C17,CQ$4&lt;=$D17,'Вводные'!$B$89="Да"),"■","")</x:f>
      </x:c>
      <x:c r="CR17" s="137" t="str">
        <x:f>IF(AND(CR$4&gt;=$C17,CR$4&lt;=$D17,'Вводные'!$B$89="Да"),"■","")</x:f>
      </x:c>
      <x:c r="CS17" s="137" t="str">
        <x:f>IF(AND(CS$4&gt;=$C17,CS$4&lt;=$D17,'Вводные'!$B$89="Да"),"■","")</x:f>
      </x:c>
      <x:c r="CT17" s="137" t="str">
        <x:f>IF(AND(CT$4&gt;=$C17,CT$4&lt;=$D17,'Вводные'!$B$89="Да"),"■","")</x:f>
      </x:c>
      <x:c r="CU17" s="137" t="str">
        <x:f>IF(AND(CU$4&gt;=$C17,CU$4&lt;=$D17,'Вводные'!$B$89="Да"),"■","")</x:f>
      </x:c>
      <x:c r="CV17" s="137" t="str">
        <x:f>IF(AND(CV$4&gt;=$C17,CV$4&lt;=$D17,'Вводные'!$B$89="Да"),"■","")</x:f>
      </x:c>
      <x:c r="CW17" s="137" t="str">
        <x:f>IF(AND(CW$4&gt;=$C17,CW$4&lt;=$D17,'Вводные'!$B$89="Да"),"■","")</x:f>
      </x:c>
      <x:c r="CX17" s="137" t="str">
        <x:f>IF(AND(CX$4&gt;=$C17,CX$4&lt;=$D17,'Вводные'!$B$89="Да"),"■","")</x:f>
      </x:c>
      <x:c r="CY17" s="137" t="str">
        <x:f>IF(AND(CY$4&gt;=$C17,CY$4&lt;=$D17,'Вводные'!$B$89="Да"),"■","")</x:f>
      </x:c>
      <x:c r="CZ17" s="137" t="str">
        <x:f>IF(AND(CZ$4&gt;=$C17,CZ$4&lt;=$D17,'Вводные'!$B$89="Да"),"■","")</x:f>
      </x:c>
      <x:c r="DA17" s="137" t="str">
        <x:f>IF(AND(DA$4&gt;=$C17,DA$4&lt;=$D17,'Вводные'!$B$89="Да"),"■","")</x:f>
      </x:c>
      <x:c r="DB17" s="137" t="str">
        <x:f>IF(AND(DB$4&gt;=$C17,DB$4&lt;=$D17,'Вводные'!$B$89="Да"),"■","")</x:f>
      </x:c>
      <x:c r="DC17" s="137" t="str">
        <x:f>IF(AND(DC$4&gt;=$C17,DC$4&lt;=$D17,'Вводные'!$B$89="Да"),"■","")</x:f>
      </x:c>
      <x:c r="DD17" s="137" t="str">
        <x:f>IF(AND(DD$4&gt;=$C17,DD$4&lt;=$D17,'Вводные'!$B$89="Да"),"■","")</x:f>
      </x:c>
      <x:c r="DE17" s="137" t="str">
        <x:f>IF(AND(DE$4&gt;=$C17,DE$4&lt;=$D17,'Вводные'!$B$89="Да"),"■","")</x:f>
      </x:c>
      <x:c r="DF17" s="137" t="str">
        <x:f>IF(AND(DF$4&gt;=$C17,DF$4&lt;=$D17,'Вводные'!$B$89="Да"),"■","")</x:f>
      </x:c>
      <x:c r="DG17" s="137" t="str">
        <x:f>IF(AND(DG$4&gt;=$C17,DG$4&lt;=$D17,'Вводные'!$B$89="Да"),"■","")</x:f>
      </x:c>
      <x:c r="DH17" s="137" t="str">
        <x:f>IF(AND(DH$4&gt;=$C17,DH$4&lt;=$D17,'Вводные'!$B$89="Да"),"■","")</x:f>
      </x:c>
      <x:c r="DI17" s="137" t="str">
        <x:f>IF(AND(DI$4&gt;=$C17,DI$4&lt;=$D17,'Вводные'!$B$89="Да"),"■","")</x:f>
      </x:c>
      <x:c r="DJ17" s="137" t="str">
        <x:f>IF(AND(DJ$4&gt;=$C17,DJ$4&lt;=$D17,'Вводные'!$B$89="Да"),"■","")</x:f>
      </x:c>
      <x:c r="DK17" s="137" t="str">
        <x:f>IF(AND(DK$4&gt;=$C17,DK$4&lt;=$D17,'Вводные'!$B$89="Да"),"■","")</x:f>
      </x:c>
      <x:c r="DL17" s="137" t="str">
        <x:f>IF(AND(DL$4&gt;=$C17,DL$4&lt;=$D17,'Вводные'!$B$89="Да"),"■","")</x:f>
      </x:c>
      <x:c r="DM17" s="137" t="str">
        <x:f>IF(AND(DM$4&gt;=$C17,DM$4&lt;=$D17,'Вводные'!$B$89="Да"),"■","")</x:f>
      </x:c>
      <x:c r="DN17" s="137" t="str">
        <x:f>IF(AND(DN$4&gt;=$C17,DN$4&lt;=$D17,'Вводные'!$B$89="Да"),"■","")</x:f>
      </x:c>
      <x:c r="DO17" s="137" t="str">
        <x:f>IF(AND(DO$4&gt;=$C17,DO$4&lt;=$D17,'Вводные'!$B$89="Да"),"■","")</x:f>
      </x:c>
      <x:c r="DP17" s="137" t="str">
        <x:f>IF(AND(DP$4&gt;=$C17,DP$4&lt;=$D17,'Вводные'!$B$89="Да"),"■","")</x:f>
      </x:c>
      <x:c r="DQ17" s="137" t="str">
        <x:f>IF(AND(DQ$4&gt;=$C17,DQ$4&lt;=$D17,'Вводные'!$B$89="Да"),"■","")</x:f>
      </x:c>
      <x:c r="DR17" s="137" t="str">
        <x:f>IF(AND(DR$4&gt;=$C17,DR$4&lt;=$D17,'Вводные'!$B$89="Да"),"■","")</x:f>
      </x:c>
      <x:c r="DS17" s="137" t="str">
        <x:f>IF(AND(DS$4&gt;=$C17,DS$4&lt;=$D17,'Вводные'!$B$89="Да"),"■","")</x:f>
      </x:c>
      <x:c r="DT17" s="137" t="str">
        <x:f>IF(AND(DT$4&gt;=$C17,DT$4&lt;=$D17,'Вводные'!$B$89="Да"),"■","")</x:f>
      </x:c>
      <x:c r="DU17" s="137" t="str">
        <x:f>IF(AND(DU$4&gt;=$C17,DU$4&lt;=$D17,'Вводные'!$B$89="Да"),"■","")</x:f>
      </x:c>
      <x:c r="DV17" s="137" t="str">
        <x:f>IF(AND(DV$4&gt;=$C17,DV$4&lt;=$D17,'Вводные'!$B$89="Да"),"■","")</x:f>
      </x:c>
      <x:c r="DW17" s="137" t="str">
        <x:f>IF(AND(DW$4&gt;=$C17,DW$4&lt;=$D17,'Вводные'!$B$89="Да"),"■","")</x:f>
      </x:c>
      <x:c r="DX17" s="137" t="str">
        <x:f>IF(AND(DX$4&gt;=$C17,DX$4&lt;=$D17,'Вводные'!$B$89="Да"),"■","")</x:f>
      </x:c>
      <x:c r="DY17" s="137" t="str">
        <x:f>IF(AND(DY$4&gt;=$C17,DY$4&lt;=$D17,'Вводные'!$B$89="Да"),"■","")</x:f>
      </x:c>
      <x:c r="DZ17" s="137" t="str">
        <x:f>IF(AND(DZ$4&gt;=$C17,DZ$4&lt;=$D17,'Вводные'!$B$89="Да"),"■","")</x:f>
      </x:c>
      <x:c r="EA17" s="137" t="str">
        <x:f>IF(AND(EA$4&gt;=$C17,EA$4&lt;=$D17,'Вводные'!$B$89="Да"),"■","")</x:f>
      </x:c>
      <x:c r="EB17" s="137" t="str">
        <x:f>IF(AND(EB$4&gt;=$C17,EB$4&lt;=$D17,'Вводные'!$B$89="Да"),"■","")</x:f>
      </x:c>
      <x:c r="EC17" s="137" t="str">
        <x:f>IF(AND(EC$4&gt;=$C17,EC$4&lt;=$D17,'Вводные'!$B$89="Да"),"■","")</x:f>
      </x:c>
      <x:c r="ED17" s="137" t="str">
        <x:f>IF(AND(ED$4&gt;=$C17,ED$4&lt;=$D17,'Вводные'!$B$89="Да"),"■","")</x:f>
      </x:c>
      <x:c r="EE17" s="137" t="str">
        <x:f>IF(AND(EE$4&gt;=$C17,EE$4&lt;=$D17,'Вводные'!$B$89="Да"),"■","")</x:f>
      </x:c>
      <x:c r="EF17" s="137" t="str">
        <x:f>IF(AND(EF$4&gt;=$C17,EF$4&lt;=$D17,'Вводные'!$B$89="Да"),"■","")</x:f>
      </x:c>
      <x:c r="EG17" s="137" t="str">
        <x:f>IF(AND(EG$4&gt;=$C17,EG$4&lt;=$D17,'Вводные'!$B$89="Да"),"■","")</x:f>
      </x:c>
      <x:c r="EH17" s="137" t="str">
        <x:f>IF(AND(EH$4&gt;=$C17,EH$4&lt;=$D17,'Вводные'!$B$89="Да"),"■","")</x:f>
      </x:c>
      <x:c r="EI17" s="137" t="str">
        <x:f>IF(AND(EI$4&gt;=$C17,EI$4&lt;=$D17,'Вводные'!$B$89="Да"),"■","")</x:f>
      </x:c>
      <x:c r="EJ17" s="137" t="str">
        <x:f>IF(AND(EJ$4&gt;=$C17,EJ$4&lt;=$D17,'Вводные'!$B$89="Да"),"■","")</x:f>
      </x:c>
      <x:c r="EK17" s="137" t="str">
        <x:f>IF(AND(EK$4&gt;=$C17,EK$4&lt;=$D17,'Вводные'!$B$89="Да"),"■","")</x:f>
      </x:c>
      <x:c r="EL17" s="137" t="str">
        <x:f>IF(AND(EL$4&gt;=$C17,EL$4&lt;=$D17,'Вводные'!$B$89="Да"),"■","")</x:f>
      </x:c>
      <x:c r="EM17" s="137" t="str">
        <x:f>IF(AND(EM$4&gt;=$C17,EM$4&lt;=$D17,'Вводные'!$B$89="Да"),"■","")</x:f>
      </x:c>
      <x:c r="EN17" s="137" t="str">
        <x:f>IF(AND(EN$4&gt;=$C17,EN$4&lt;=$D17,'Вводные'!$B$89="Да"),"■","")</x:f>
      </x:c>
      <x:c r="EO17" s="137" t="str">
        <x:f>IF(AND(EO$4&gt;=$C17,EO$4&lt;=$D17,'Вводные'!$B$89="Да"),"■","")</x:f>
      </x:c>
      <x:c r="EP17" s="137" t="str">
        <x:f>IF(AND(EP$4&gt;=$C17,EP$4&lt;=$D17,'Вводные'!$B$89="Да"),"■","")</x:f>
      </x:c>
      <x:c r="EQ17" s="137" t="str">
        <x:f>IF(AND(EQ$4&gt;=$C17,EQ$4&lt;=$D17,'Вводные'!$B$89="Да"),"■","")</x:f>
      </x:c>
      <x:c r="ER17" s="137" t="str">
        <x:f>IF(AND(ER$4&gt;=$C17,ER$4&lt;=$D17,'Вводные'!$B$89="Да"),"■","")</x:f>
      </x:c>
      <x:c r="ES17" s="137" t="str">
        <x:f>IF(AND(ES$4&gt;=$C17,ES$4&lt;=$D17,'Вводные'!$B$89="Да"),"■","")</x:f>
      </x:c>
      <x:c r="ET17" s="137" t="str">
        <x:f>IF(AND(ET$4&gt;=$C17,ET$4&lt;=$D17,'Вводные'!$B$89="Да"),"■","")</x:f>
      </x:c>
      <x:c r="EU17" s="137" t="str">
        <x:f>IF(AND(EU$4&gt;=$C17,EU$4&lt;=$D17,'Вводные'!$B$89="Да"),"■","")</x:f>
      </x:c>
      <x:c r="EV17" s="137" t="str">
        <x:f>IF(AND(EV$4&gt;=$C17,EV$4&lt;=$D17,'Вводные'!$B$89="Да"),"■","")</x:f>
      </x:c>
      <x:c r="EW17" s="137" t="str">
        <x:f>IF(AND(EW$4&gt;=$C17,EW$4&lt;=$D17,'Вводные'!$B$89="Да"),"■","")</x:f>
      </x:c>
      <x:c r="EX17" s="137" t="str">
        <x:f>IF(AND(EX$4&gt;=$C17,EX$4&lt;=$D17,'Вводные'!$B$89="Да"),"■","")</x:f>
      </x:c>
      <x:c r="EY17" s="137" t="str">
        <x:f>IF(AND(EY$4&gt;=$C17,EY$4&lt;=$D17,'Вводные'!$B$89="Да"),"■","")</x:f>
      </x:c>
      <x:c r="EZ17" s="137" t="str">
        <x:f>IF(AND(EZ$4&gt;=$C17,EZ$4&lt;=$D17,'Вводные'!$B$89="Да"),"■","")</x:f>
      </x:c>
      <x:c r="FA17" s="137" t="str">
        <x:f>IF(AND(FA$4&gt;=$C17,FA$4&lt;=$D17,'Вводные'!$B$89="Да"),"■","")</x:f>
      </x:c>
      <x:c r="FB17" s="137" t="str">
        <x:f>IF(AND(FB$4&gt;=$C17,FB$4&lt;=$D17,'Вводные'!$B$89="Да"),"■","")</x:f>
      </x:c>
      <x:c r="FC17" s="137" t="str">
        <x:f>IF(AND(FC$4&gt;=$C17,FC$4&lt;=$D17,'Вводные'!$B$89="Да"),"■","")</x:f>
      </x:c>
      <x:c r="FD17" s="137" t="str">
        <x:f>IF(AND(FD$4&gt;=$C17,FD$4&lt;=$D17,'Вводные'!$B$89="Да"),"■","")</x:f>
      </x:c>
      <x:c r="FE17" s="137" t="str">
        <x:f>IF(AND(FE$4&gt;=$C17,FE$4&lt;=$D17,'Вводные'!$B$89="Да"),"■","")</x:f>
      </x:c>
      <x:c r="FF17" s="137" t="str">
        <x:f>IF(AND(FF$4&gt;=$C17,FF$4&lt;=$D17,'Вводные'!$B$89="Да"),"■","")</x:f>
      </x:c>
      <x:c r="FG17" s="137" t="str">
        <x:f>IF(AND(FG$4&gt;=$C17,FG$4&lt;=$D17,'Вводные'!$B$89="Да"),"■","")</x:f>
      </x:c>
      <x:c r="FH17" s="137" t="str">
        <x:f>IF(AND(FH$4&gt;=$C17,FH$4&lt;=$D17,'Вводные'!$B$89="Да"),"■","")</x:f>
      </x:c>
      <x:c r="FI17" s="137" t="str">
        <x:f>IF(AND(FI$4&gt;=$C17,FI$4&lt;=$D17,'Вводные'!$B$89="Да"),"■","")</x:f>
      </x:c>
      <x:c r="FJ17" s="137" t="str">
        <x:f>IF(AND(FJ$4&gt;=$C17,FJ$4&lt;=$D17,'Вводные'!$B$89="Да"),"■","")</x:f>
      </x:c>
      <x:c r="FK17" s="137" t="str">
        <x:f>IF(AND(FK$4&gt;=$C17,FK$4&lt;=$D17,'Вводные'!$B$89="Да"),"■","")</x:f>
      </x:c>
      <x:c r="FL17" s="137" t="str">
        <x:f>IF(AND(FL$4&gt;=$C17,FL$4&lt;=$D17,'Вводные'!$B$89="Да"),"■","")</x:f>
      </x:c>
      <x:c r="FM17" s="137" t="str">
        <x:f>IF(AND(FM$4&gt;=$C17,FM$4&lt;=$D17,'Вводные'!$B$89="Да"),"■","")</x:f>
      </x:c>
      <x:c r="FN17" s="137" t="str">
        <x:f>IF(AND(FN$4&gt;=$C17,FN$4&lt;=$D17,'Вводные'!$B$89="Да"),"■","")</x:f>
      </x:c>
      <x:c r="FO17" s="137" t="str">
        <x:f>IF(AND(FO$4&gt;=$C17,FO$4&lt;=$D17,'Вводные'!$B$89="Да"),"■","")</x:f>
      </x:c>
      <x:c r="FP17" s="137" t="str">
        <x:f>IF(AND(FP$4&gt;=$C17,FP$4&lt;=$D17,'Вводные'!$B$89="Да"),"■","")</x:f>
      </x:c>
      <x:c r="FQ17" s="137" t="str">
        <x:f>IF(AND(FQ$4&gt;=$C17,FQ$4&lt;=$D17,'Вводные'!$B$89="Да"),"■","")</x:f>
      </x:c>
      <x:c r="FR17" s="137" t="str">
        <x:f>IF(AND(FR$4&gt;=$C17,FR$4&lt;=$D17,'Вводные'!$B$89="Да"),"■","")</x:f>
      </x:c>
      <x:c r="FS17" s="137" t="str">
        <x:f>IF(AND(FS$4&gt;=$C17,FS$4&lt;=$D17,'Вводные'!$B$89="Да"),"■","")</x:f>
      </x:c>
      <x:c r="FT17" s="137" t="str">
        <x:f>IF(AND(FT$4&gt;=$C17,FT$4&lt;=$D17,'Вводные'!$B$89="Да"),"■","")</x:f>
      </x:c>
      <x:c r="FU17" s="137" t="str">
        <x:f>IF(AND(FU$4&gt;=$C17,FU$4&lt;=$D17,'Вводные'!$B$89="Да"),"■","")</x:f>
      </x:c>
      <x:c r="FV17" s="137" t="str">
        <x:f>IF(AND(FV$4&gt;=$C17,FV$4&lt;=$D17,'Вводные'!$B$89="Да"),"■","")</x:f>
      </x:c>
      <x:c r="FW17" s="137" t="str">
        <x:f>IF(AND(FW$4&gt;=$C17,FW$4&lt;=$D17,'Вводные'!$B$89="Да"),"■","")</x:f>
      </x:c>
      <x:c r="FX17" s="137" t="str">
        <x:f>IF(AND(FX$4&gt;=$C17,FX$4&lt;=$D17,'Вводные'!$B$89="Да"),"■","")</x:f>
      </x:c>
      <x:c r="FY17" s="137" t="str">
        <x:f>IF(AND(FY$4&gt;=$C17,FY$4&lt;=$D17,'Вводные'!$B$89="Да"),"■","")</x:f>
      </x:c>
      <x:c r="FZ17" s="137" t="str">
        <x:f>IF(AND(FZ$4&gt;=$C17,FZ$4&lt;=$D17,'Вводные'!$B$89="Да"),"■","")</x:f>
      </x:c>
      <x:c r="GA17" s="137" t="str">
        <x:f>IF(AND(GA$4&gt;=$C17,GA$4&lt;=$D17,'Вводные'!$B$89="Да"),"■","")</x:f>
      </x:c>
      <x:c r="GB17" s="137" t="str">
        <x:f>IF(AND(GB$4&gt;=$C17,GB$4&lt;=$D17,'Вводные'!$B$89="Да"),"■","")</x:f>
      </x:c>
    </x:row>
    <x:row r="18">
      <x:c r="A18" t="str">
        <x:f>'Вводные'!$C$89</x:f>
      </x:c>
      <x:c r="B18" t="str">
        <x:v>РнС / открытие ПФ</x:v>
      </x:c>
      <x:c r="C18" s="92" t="n">
        <x:f>'CF_2'!B7</x:f>
      </x:c>
      <x:c r="D18" s="92" t="n">
        <x:f>C18</x:f>
      </x:c>
      <x:c r="E18" s="135" t="str">
        <x:f>IF(AND(E$4&gt;=$C18,E$4&lt;=$D18,'Вводные'!$B$89="Да"),"■","")</x:f>
      </x:c>
      <x:c r="F18" s="135" t="str">
        <x:f>IF(AND(F$4&gt;=$C18,F$4&lt;=$D18,'Вводные'!$B$89="Да"),"■","")</x:f>
      </x:c>
      <x:c r="G18" s="135" t="str">
        <x:f>IF(AND(G$4&gt;=$C18,G$4&lt;=$D18,'Вводные'!$B$89="Да"),"■","")</x:f>
      </x:c>
      <x:c r="H18" s="135" t="str">
        <x:f>IF(AND(H$4&gt;=$C18,H$4&lt;=$D18,'Вводные'!$B$89="Да"),"■","")</x:f>
      </x:c>
      <x:c r="I18" s="135" t="str">
        <x:f>IF(AND(I$4&gt;=$C18,I$4&lt;=$D18,'Вводные'!$B$89="Да"),"■","")</x:f>
      </x:c>
      <x:c r="J18" s="135" t="str">
        <x:f>IF(AND(J$4&gt;=$C18,J$4&lt;=$D18,'Вводные'!$B$89="Да"),"■","")</x:f>
      </x:c>
      <x:c r="K18" s="135" t="str">
        <x:f>IF(AND(K$4&gt;=$C18,K$4&lt;=$D18,'Вводные'!$B$89="Да"),"■","")</x:f>
      </x:c>
      <x:c r="L18" s="135" t="str">
        <x:f>IF(AND(L$4&gt;=$C18,L$4&lt;=$D18,'Вводные'!$B$89="Да"),"■","")</x:f>
      </x:c>
      <x:c r="M18" s="135" t="str">
        <x:f>IF(AND(M$4&gt;=$C18,M$4&lt;=$D18,'Вводные'!$B$89="Да"),"■","")</x:f>
      </x:c>
      <x:c r="N18" s="135" t="str">
        <x:f>IF(AND(N$4&gt;=$C18,N$4&lt;=$D18,'Вводные'!$B$89="Да"),"■","")</x:f>
      </x:c>
      <x:c r="O18" s="135" t="str">
        <x:f>IF(AND(O$4&gt;=$C18,O$4&lt;=$D18,'Вводные'!$B$89="Да"),"■","")</x:f>
      </x:c>
      <x:c r="P18" s="135" t="str">
        <x:f>IF(AND(P$4&gt;=$C18,P$4&lt;=$D18,'Вводные'!$B$89="Да"),"■","")</x:f>
      </x:c>
      <x:c r="Q18" s="135" t="str">
        <x:f>IF(AND(Q$4&gt;=$C18,Q$4&lt;=$D18,'Вводные'!$B$89="Да"),"■","")</x:f>
      </x:c>
      <x:c r="R18" s="135" t="str">
        <x:f>IF(AND(R$4&gt;=$C18,R$4&lt;=$D18,'Вводные'!$B$89="Да"),"■","")</x:f>
      </x:c>
      <x:c r="S18" s="135" t="str">
        <x:f>IF(AND(S$4&gt;=$C18,S$4&lt;=$D18,'Вводные'!$B$89="Да"),"■","")</x:f>
      </x:c>
      <x:c r="T18" s="135" t="str">
        <x:f>IF(AND(T$4&gt;=$C18,T$4&lt;=$D18,'Вводные'!$B$89="Да"),"■","")</x:f>
      </x:c>
      <x:c r="U18" s="135" t="str">
        <x:f>IF(AND(U$4&gt;=$C18,U$4&lt;=$D18,'Вводные'!$B$89="Да"),"■","")</x:f>
      </x:c>
      <x:c r="V18" s="135" t="str">
        <x:f>IF(AND(V$4&gt;=$C18,V$4&lt;=$D18,'Вводные'!$B$89="Да"),"■","")</x:f>
      </x:c>
      <x:c r="W18" s="135" t="str">
        <x:f>IF(AND(W$4&gt;=$C18,W$4&lt;=$D18,'Вводные'!$B$89="Да"),"■","")</x:f>
      </x:c>
      <x:c r="X18" s="135" t="str">
        <x:f>IF(AND(X$4&gt;=$C18,X$4&lt;=$D18,'Вводные'!$B$89="Да"),"■","")</x:f>
      </x:c>
      <x:c r="Y18" s="135" t="str">
        <x:f>IF(AND(Y$4&gt;=$C18,Y$4&lt;=$D18,'Вводные'!$B$89="Да"),"■","")</x:f>
      </x:c>
      <x:c r="Z18" s="135" t="str">
        <x:f>IF(AND(Z$4&gt;=$C18,Z$4&lt;=$D18,'Вводные'!$B$89="Да"),"■","")</x:f>
      </x:c>
      <x:c r="AA18" s="135" t="str">
        <x:f>IF(AND(AA$4&gt;=$C18,AA$4&lt;=$D18,'Вводные'!$B$89="Да"),"■","")</x:f>
      </x:c>
      <x:c r="AB18" s="135" t="str">
        <x:f>IF(AND(AB$4&gt;=$C18,AB$4&lt;=$D18,'Вводные'!$B$89="Да"),"■","")</x:f>
      </x:c>
      <x:c r="AC18" s="135" t="str">
        <x:f>IF(AND(AC$4&gt;=$C18,AC$4&lt;=$D18,'Вводные'!$B$89="Да"),"■","")</x:f>
      </x:c>
      <x:c r="AD18" s="135" t="str">
        <x:f>IF(AND(AD$4&gt;=$C18,AD$4&lt;=$D18,'Вводные'!$B$89="Да"),"■","")</x:f>
      </x:c>
      <x:c r="AE18" s="135" t="str">
        <x:f>IF(AND(AE$4&gt;=$C18,AE$4&lt;=$D18,'Вводные'!$B$89="Да"),"■","")</x:f>
      </x:c>
      <x:c r="AF18" s="135" t="str">
        <x:f>IF(AND(AF$4&gt;=$C18,AF$4&lt;=$D18,'Вводные'!$B$89="Да"),"■","")</x:f>
      </x:c>
      <x:c r="AG18" s="135" t="str">
        <x:f>IF(AND(AG$4&gt;=$C18,AG$4&lt;=$D18,'Вводные'!$B$89="Да"),"■","")</x:f>
      </x:c>
      <x:c r="AH18" s="135" t="str">
        <x:f>IF(AND(AH$4&gt;=$C18,AH$4&lt;=$D18,'Вводные'!$B$89="Да"),"■","")</x:f>
      </x:c>
      <x:c r="AI18" s="135" t="str">
        <x:f>IF(AND(AI$4&gt;=$C18,AI$4&lt;=$D18,'Вводные'!$B$89="Да"),"■","")</x:f>
      </x:c>
      <x:c r="AJ18" s="135" t="str">
        <x:f>IF(AND(AJ$4&gt;=$C18,AJ$4&lt;=$D18,'Вводные'!$B$89="Да"),"■","")</x:f>
      </x:c>
      <x:c r="AK18" s="135" t="str">
        <x:f>IF(AND(AK$4&gt;=$C18,AK$4&lt;=$D18,'Вводные'!$B$89="Да"),"■","")</x:f>
      </x:c>
      <x:c r="AL18" s="135" t="str">
        <x:f>IF(AND(AL$4&gt;=$C18,AL$4&lt;=$D18,'Вводные'!$B$89="Да"),"■","")</x:f>
      </x:c>
      <x:c r="AM18" s="135" t="str">
        <x:f>IF(AND(AM$4&gt;=$C18,AM$4&lt;=$D18,'Вводные'!$B$89="Да"),"■","")</x:f>
      </x:c>
      <x:c r="AN18" s="135" t="str">
        <x:f>IF(AND(AN$4&gt;=$C18,AN$4&lt;=$D18,'Вводные'!$B$89="Да"),"■","")</x:f>
      </x:c>
      <x:c r="AO18" s="135" t="str">
        <x:f>IF(AND(AO$4&gt;=$C18,AO$4&lt;=$D18,'Вводные'!$B$89="Да"),"■","")</x:f>
      </x:c>
      <x:c r="AP18" s="135" t="str">
        <x:f>IF(AND(AP$4&gt;=$C18,AP$4&lt;=$D18,'Вводные'!$B$89="Да"),"■","")</x:f>
      </x:c>
      <x:c r="AQ18" s="135" t="str">
        <x:f>IF(AND(AQ$4&gt;=$C18,AQ$4&lt;=$D18,'Вводные'!$B$89="Да"),"■","")</x:f>
      </x:c>
      <x:c r="AR18" s="135" t="str">
        <x:f>IF(AND(AR$4&gt;=$C18,AR$4&lt;=$D18,'Вводные'!$B$89="Да"),"■","")</x:f>
      </x:c>
      <x:c r="AS18" s="135" t="str">
        <x:f>IF(AND(AS$4&gt;=$C18,AS$4&lt;=$D18,'Вводные'!$B$89="Да"),"■","")</x:f>
      </x:c>
      <x:c r="AT18" s="135" t="str">
        <x:f>IF(AND(AT$4&gt;=$C18,AT$4&lt;=$D18,'Вводные'!$B$89="Да"),"■","")</x:f>
      </x:c>
      <x:c r="AU18" s="135" t="str">
        <x:f>IF(AND(AU$4&gt;=$C18,AU$4&lt;=$D18,'Вводные'!$B$89="Да"),"■","")</x:f>
      </x:c>
      <x:c r="AV18" s="135" t="str">
        <x:f>IF(AND(AV$4&gt;=$C18,AV$4&lt;=$D18,'Вводные'!$B$89="Да"),"■","")</x:f>
      </x:c>
      <x:c r="AW18" s="135" t="str">
        <x:f>IF(AND(AW$4&gt;=$C18,AW$4&lt;=$D18,'Вводные'!$B$89="Да"),"■","")</x:f>
      </x:c>
      <x:c r="AX18" s="135" t="str">
        <x:f>IF(AND(AX$4&gt;=$C18,AX$4&lt;=$D18,'Вводные'!$B$89="Да"),"■","")</x:f>
      </x:c>
      <x:c r="AY18" s="135" t="str">
        <x:f>IF(AND(AY$4&gt;=$C18,AY$4&lt;=$D18,'Вводные'!$B$89="Да"),"■","")</x:f>
      </x:c>
      <x:c r="AZ18" s="135" t="str">
        <x:f>IF(AND(AZ$4&gt;=$C18,AZ$4&lt;=$D18,'Вводные'!$B$89="Да"),"■","")</x:f>
      </x:c>
      <x:c r="BA18" s="135" t="str">
        <x:f>IF(AND(BA$4&gt;=$C18,BA$4&lt;=$D18,'Вводные'!$B$89="Да"),"■","")</x:f>
      </x:c>
      <x:c r="BB18" s="135" t="str">
        <x:f>IF(AND(BB$4&gt;=$C18,BB$4&lt;=$D18,'Вводные'!$B$89="Да"),"■","")</x:f>
      </x:c>
      <x:c r="BC18" s="135" t="str">
        <x:f>IF(AND(BC$4&gt;=$C18,BC$4&lt;=$D18,'Вводные'!$B$89="Да"),"■","")</x:f>
      </x:c>
      <x:c r="BD18" s="135" t="str">
        <x:f>IF(AND(BD$4&gt;=$C18,BD$4&lt;=$D18,'Вводные'!$B$89="Да"),"■","")</x:f>
      </x:c>
      <x:c r="BE18" s="135" t="str">
        <x:f>IF(AND(BE$4&gt;=$C18,BE$4&lt;=$D18,'Вводные'!$B$89="Да"),"■","")</x:f>
      </x:c>
      <x:c r="BF18" s="135" t="str">
        <x:f>IF(AND(BF$4&gt;=$C18,BF$4&lt;=$D18,'Вводные'!$B$89="Да"),"■","")</x:f>
      </x:c>
      <x:c r="BG18" s="135" t="str">
        <x:f>IF(AND(BG$4&gt;=$C18,BG$4&lt;=$D18,'Вводные'!$B$89="Да"),"■","")</x:f>
      </x:c>
      <x:c r="BH18" s="135" t="str">
        <x:f>IF(AND(BH$4&gt;=$C18,BH$4&lt;=$D18,'Вводные'!$B$89="Да"),"■","")</x:f>
      </x:c>
      <x:c r="BI18" s="135" t="str">
        <x:f>IF(AND(BI$4&gt;=$C18,BI$4&lt;=$D18,'Вводные'!$B$89="Да"),"■","")</x:f>
      </x:c>
      <x:c r="BJ18" s="135" t="str">
        <x:f>IF(AND(BJ$4&gt;=$C18,BJ$4&lt;=$D18,'Вводные'!$B$89="Да"),"■","")</x:f>
      </x:c>
      <x:c r="BK18" s="135" t="str">
        <x:f>IF(AND(BK$4&gt;=$C18,BK$4&lt;=$D18,'Вводные'!$B$89="Да"),"■","")</x:f>
      </x:c>
      <x:c r="BL18" s="135" t="str">
        <x:f>IF(AND(BL$4&gt;=$C18,BL$4&lt;=$D18,'Вводные'!$B$89="Да"),"■","")</x:f>
      </x:c>
      <x:c r="BM18" s="135" t="str">
        <x:f>IF(AND(BM$4&gt;=$C18,BM$4&lt;=$D18,'Вводные'!$B$89="Да"),"■","")</x:f>
      </x:c>
      <x:c r="BN18" s="135" t="str">
        <x:f>IF(AND(BN$4&gt;=$C18,BN$4&lt;=$D18,'Вводные'!$B$89="Да"),"■","")</x:f>
      </x:c>
      <x:c r="BO18" s="135" t="str">
        <x:f>IF(AND(BO$4&gt;=$C18,BO$4&lt;=$D18,'Вводные'!$B$89="Да"),"■","")</x:f>
      </x:c>
      <x:c r="BP18" s="135" t="str">
        <x:f>IF(AND(BP$4&gt;=$C18,BP$4&lt;=$D18,'Вводные'!$B$89="Да"),"■","")</x:f>
      </x:c>
      <x:c r="BQ18" s="135" t="str">
        <x:f>IF(AND(BQ$4&gt;=$C18,BQ$4&lt;=$D18,'Вводные'!$B$89="Да"),"■","")</x:f>
      </x:c>
      <x:c r="BR18" s="135" t="str">
        <x:f>IF(AND(BR$4&gt;=$C18,BR$4&lt;=$D18,'Вводные'!$B$89="Да"),"■","")</x:f>
      </x:c>
      <x:c r="BS18" s="135" t="str">
        <x:f>IF(AND(BS$4&gt;=$C18,BS$4&lt;=$D18,'Вводные'!$B$89="Да"),"■","")</x:f>
      </x:c>
      <x:c r="BT18" s="135" t="str">
        <x:f>IF(AND(BT$4&gt;=$C18,BT$4&lt;=$D18,'Вводные'!$B$89="Да"),"■","")</x:f>
      </x:c>
      <x:c r="BU18" s="135" t="str">
        <x:f>IF(AND(BU$4&gt;=$C18,BU$4&lt;=$D18,'Вводные'!$B$89="Да"),"■","")</x:f>
      </x:c>
      <x:c r="BV18" s="135" t="str">
        <x:f>IF(AND(BV$4&gt;=$C18,BV$4&lt;=$D18,'Вводные'!$B$89="Да"),"■","")</x:f>
      </x:c>
      <x:c r="BW18" s="135" t="str">
        <x:f>IF(AND(BW$4&gt;=$C18,BW$4&lt;=$D18,'Вводные'!$B$89="Да"),"■","")</x:f>
      </x:c>
      <x:c r="BX18" s="135" t="str">
        <x:f>IF(AND(BX$4&gt;=$C18,BX$4&lt;=$D18,'Вводные'!$B$89="Да"),"■","")</x:f>
      </x:c>
      <x:c r="BY18" s="135" t="str">
        <x:f>IF(AND(BY$4&gt;=$C18,BY$4&lt;=$D18,'Вводные'!$B$89="Да"),"■","")</x:f>
      </x:c>
      <x:c r="BZ18" s="135" t="str">
        <x:f>IF(AND(BZ$4&gt;=$C18,BZ$4&lt;=$D18,'Вводные'!$B$89="Да"),"■","")</x:f>
      </x:c>
      <x:c r="CA18" s="135" t="str">
        <x:f>IF(AND(CA$4&gt;=$C18,CA$4&lt;=$D18,'Вводные'!$B$89="Да"),"■","")</x:f>
      </x:c>
      <x:c r="CB18" s="135" t="str">
        <x:f>IF(AND(CB$4&gt;=$C18,CB$4&lt;=$D18,'Вводные'!$B$89="Да"),"■","")</x:f>
      </x:c>
      <x:c r="CC18" s="135" t="str">
        <x:f>IF(AND(CC$4&gt;=$C18,CC$4&lt;=$D18,'Вводные'!$B$89="Да"),"■","")</x:f>
      </x:c>
      <x:c r="CD18" s="135" t="str">
        <x:f>IF(AND(CD$4&gt;=$C18,CD$4&lt;=$D18,'Вводные'!$B$89="Да"),"■","")</x:f>
      </x:c>
      <x:c r="CE18" s="135" t="str">
        <x:f>IF(AND(CE$4&gt;=$C18,CE$4&lt;=$D18,'Вводные'!$B$89="Да"),"■","")</x:f>
      </x:c>
      <x:c r="CF18" s="135" t="str">
        <x:f>IF(AND(CF$4&gt;=$C18,CF$4&lt;=$D18,'Вводные'!$B$89="Да"),"■","")</x:f>
      </x:c>
      <x:c r="CG18" s="135" t="str">
        <x:f>IF(AND(CG$4&gt;=$C18,CG$4&lt;=$D18,'Вводные'!$B$89="Да"),"■","")</x:f>
      </x:c>
      <x:c r="CH18" s="135" t="str">
        <x:f>IF(AND(CH$4&gt;=$C18,CH$4&lt;=$D18,'Вводные'!$B$89="Да"),"■","")</x:f>
      </x:c>
      <x:c r="CI18" s="135" t="str">
        <x:f>IF(AND(CI$4&gt;=$C18,CI$4&lt;=$D18,'Вводные'!$B$89="Да"),"■","")</x:f>
      </x:c>
      <x:c r="CJ18" s="135" t="str">
        <x:f>IF(AND(CJ$4&gt;=$C18,CJ$4&lt;=$D18,'Вводные'!$B$89="Да"),"■","")</x:f>
      </x:c>
      <x:c r="CK18" s="135" t="str">
        <x:f>IF(AND(CK$4&gt;=$C18,CK$4&lt;=$D18,'Вводные'!$B$89="Да"),"■","")</x:f>
      </x:c>
      <x:c r="CL18" s="135" t="str">
        <x:f>IF(AND(CL$4&gt;=$C18,CL$4&lt;=$D18,'Вводные'!$B$89="Да"),"■","")</x:f>
      </x:c>
      <x:c r="CM18" s="135" t="str">
        <x:f>IF(AND(CM$4&gt;=$C18,CM$4&lt;=$D18,'Вводные'!$B$89="Да"),"■","")</x:f>
      </x:c>
      <x:c r="CN18" s="135" t="str">
        <x:f>IF(AND(CN$4&gt;=$C18,CN$4&lt;=$D18,'Вводные'!$B$89="Да"),"■","")</x:f>
      </x:c>
      <x:c r="CO18" s="135" t="str">
        <x:f>IF(AND(CO$4&gt;=$C18,CO$4&lt;=$D18,'Вводные'!$B$89="Да"),"■","")</x:f>
      </x:c>
      <x:c r="CP18" s="135" t="str">
        <x:f>IF(AND(CP$4&gt;=$C18,CP$4&lt;=$D18,'Вводные'!$B$89="Да"),"■","")</x:f>
      </x:c>
      <x:c r="CQ18" s="135" t="str">
        <x:f>IF(AND(CQ$4&gt;=$C18,CQ$4&lt;=$D18,'Вводные'!$B$89="Да"),"■","")</x:f>
      </x:c>
      <x:c r="CR18" s="135" t="str">
        <x:f>IF(AND(CR$4&gt;=$C18,CR$4&lt;=$D18,'Вводные'!$B$89="Да"),"■","")</x:f>
      </x:c>
      <x:c r="CS18" s="135" t="str">
        <x:f>IF(AND(CS$4&gt;=$C18,CS$4&lt;=$D18,'Вводные'!$B$89="Да"),"■","")</x:f>
      </x:c>
      <x:c r="CT18" s="135" t="str">
        <x:f>IF(AND(CT$4&gt;=$C18,CT$4&lt;=$D18,'Вводные'!$B$89="Да"),"■","")</x:f>
      </x:c>
      <x:c r="CU18" s="135" t="str">
        <x:f>IF(AND(CU$4&gt;=$C18,CU$4&lt;=$D18,'Вводные'!$B$89="Да"),"■","")</x:f>
      </x:c>
      <x:c r="CV18" s="135" t="str">
        <x:f>IF(AND(CV$4&gt;=$C18,CV$4&lt;=$D18,'Вводные'!$B$89="Да"),"■","")</x:f>
      </x:c>
      <x:c r="CW18" s="135" t="str">
        <x:f>IF(AND(CW$4&gt;=$C18,CW$4&lt;=$D18,'Вводные'!$B$89="Да"),"■","")</x:f>
      </x:c>
      <x:c r="CX18" s="135" t="str">
        <x:f>IF(AND(CX$4&gt;=$C18,CX$4&lt;=$D18,'Вводные'!$B$89="Да"),"■","")</x:f>
      </x:c>
      <x:c r="CY18" s="135" t="str">
        <x:f>IF(AND(CY$4&gt;=$C18,CY$4&lt;=$D18,'Вводные'!$B$89="Да"),"■","")</x:f>
      </x:c>
      <x:c r="CZ18" s="135" t="str">
        <x:f>IF(AND(CZ$4&gt;=$C18,CZ$4&lt;=$D18,'Вводные'!$B$89="Да"),"■","")</x:f>
      </x:c>
      <x:c r="DA18" s="135" t="str">
        <x:f>IF(AND(DA$4&gt;=$C18,DA$4&lt;=$D18,'Вводные'!$B$89="Да"),"■","")</x:f>
      </x:c>
      <x:c r="DB18" s="135" t="str">
        <x:f>IF(AND(DB$4&gt;=$C18,DB$4&lt;=$D18,'Вводные'!$B$89="Да"),"■","")</x:f>
      </x:c>
      <x:c r="DC18" s="135" t="str">
        <x:f>IF(AND(DC$4&gt;=$C18,DC$4&lt;=$D18,'Вводные'!$B$89="Да"),"■","")</x:f>
      </x:c>
      <x:c r="DD18" s="135" t="str">
        <x:f>IF(AND(DD$4&gt;=$C18,DD$4&lt;=$D18,'Вводные'!$B$89="Да"),"■","")</x:f>
      </x:c>
      <x:c r="DE18" s="135" t="str">
        <x:f>IF(AND(DE$4&gt;=$C18,DE$4&lt;=$D18,'Вводные'!$B$89="Да"),"■","")</x:f>
      </x:c>
      <x:c r="DF18" s="135" t="str">
        <x:f>IF(AND(DF$4&gt;=$C18,DF$4&lt;=$D18,'Вводные'!$B$89="Да"),"■","")</x:f>
      </x:c>
      <x:c r="DG18" s="135" t="str">
        <x:f>IF(AND(DG$4&gt;=$C18,DG$4&lt;=$D18,'Вводные'!$B$89="Да"),"■","")</x:f>
      </x:c>
      <x:c r="DH18" s="135" t="str">
        <x:f>IF(AND(DH$4&gt;=$C18,DH$4&lt;=$D18,'Вводные'!$B$89="Да"),"■","")</x:f>
      </x:c>
      <x:c r="DI18" s="135" t="str">
        <x:f>IF(AND(DI$4&gt;=$C18,DI$4&lt;=$D18,'Вводные'!$B$89="Да"),"■","")</x:f>
      </x:c>
      <x:c r="DJ18" s="135" t="str">
        <x:f>IF(AND(DJ$4&gt;=$C18,DJ$4&lt;=$D18,'Вводные'!$B$89="Да"),"■","")</x:f>
      </x:c>
      <x:c r="DK18" s="135" t="str">
        <x:f>IF(AND(DK$4&gt;=$C18,DK$4&lt;=$D18,'Вводные'!$B$89="Да"),"■","")</x:f>
      </x:c>
      <x:c r="DL18" s="135" t="str">
        <x:f>IF(AND(DL$4&gt;=$C18,DL$4&lt;=$D18,'Вводные'!$B$89="Да"),"■","")</x:f>
      </x:c>
      <x:c r="DM18" s="135" t="str">
        <x:f>IF(AND(DM$4&gt;=$C18,DM$4&lt;=$D18,'Вводные'!$B$89="Да"),"■","")</x:f>
      </x:c>
      <x:c r="DN18" s="135" t="str">
        <x:f>IF(AND(DN$4&gt;=$C18,DN$4&lt;=$D18,'Вводные'!$B$89="Да"),"■","")</x:f>
      </x:c>
      <x:c r="DO18" s="135" t="str">
        <x:f>IF(AND(DO$4&gt;=$C18,DO$4&lt;=$D18,'Вводные'!$B$89="Да"),"■","")</x:f>
      </x:c>
      <x:c r="DP18" s="135" t="str">
        <x:f>IF(AND(DP$4&gt;=$C18,DP$4&lt;=$D18,'Вводные'!$B$89="Да"),"■","")</x:f>
      </x:c>
      <x:c r="DQ18" s="135" t="str">
        <x:f>IF(AND(DQ$4&gt;=$C18,DQ$4&lt;=$D18,'Вводные'!$B$89="Да"),"■","")</x:f>
      </x:c>
      <x:c r="DR18" s="135" t="str">
        <x:f>IF(AND(DR$4&gt;=$C18,DR$4&lt;=$D18,'Вводные'!$B$89="Да"),"■","")</x:f>
      </x:c>
      <x:c r="DS18" s="135" t="str">
        <x:f>IF(AND(DS$4&gt;=$C18,DS$4&lt;=$D18,'Вводные'!$B$89="Да"),"■","")</x:f>
      </x:c>
      <x:c r="DT18" s="135" t="str">
        <x:f>IF(AND(DT$4&gt;=$C18,DT$4&lt;=$D18,'Вводные'!$B$89="Да"),"■","")</x:f>
      </x:c>
      <x:c r="DU18" s="135" t="str">
        <x:f>IF(AND(DU$4&gt;=$C18,DU$4&lt;=$D18,'Вводные'!$B$89="Да"),"■","")</x:f>
      </x:c>
      <x:c r="DV18" s="135" t="str">
        <x:f>IF(AND(DV$4&gt;=$C18,DV$4&lt;=$D18,'Вводные'!$B$89="Да"),"■","")</x:f>
      </x:c>
      <x:c r="DW18" s="135" t="str">
        <x:f>IF(AND(DW$4&gt;=$C18,DW$4&lt;=$D18,'Вводные'!$B$89="Да"),"■","")</x:f>
      </x:c>
      <x:c r="DX18" s="135" t="str">
        <x:f>IF(AND(DX$4&gt;=$C18,DX$4&lt;=$D18,'Вводные'!$B$89="Да"),"■","")</x:f>
      </x:c>
      <x:c r="DY18" s="135" t="str">
        <x:f>IF(AND(DY$4&gt;=$C18,DY$4&lt;=$D18,'Вводные'!$B$89="Да"),"■","")</x:f>
      </x:c>
      <x:c r="DZ18" s="135" t="str">
        <x:f>IF(AND(DZ$4&gt;=$C18,DZ$4&lt;=$D18,'Вводные'!$B$89="Да"),"■","")</x:f>
      </x:c>
      <x:c r="EA18" s="135" t="str">
        <x:f>IF(AND(EA$4&gt;=$C18,EA$4&lt;=$D18,'Вводные'!$B$89="Да"),"■","")</x:f>
      </x:c>
      <x:c r="EB18" s="135" t="str">
        <x:f>IF(AND(EB$4&gt;=$C18,EB$4&lt;=$D18,'Вводные'!$B$89="Да"),"■","")</x:f>
      </x:c>
      <x:c r="EC18" s="135" t="str">
        <x:f>IF(AND(EC$4&gt;=$C18,EC$4&lt;=$D18,'Вводные'!$B$89="Да"),"■","")</x:f>
      </x:c>
      <x:c r="ED18" s="135" t="str">
        <x:f>IF(AND(ED$4&gt;=$C18,ED$4&lt;=$D18,'Вводные'!$B$89="Да"),"■","")</x:f>
      </x:c>
      <x:c r="EE18" s="135" t="str">
        <x:f>IF(AND(EE$4&gt;=$C18,EE$4&lt;=$D18,'Вводные'!$B$89="Да"),"■","")</x:f>
      </x:c>
      <x:c r="EF18" s="135" t="str">
        <x:f>IF(AND(EF$4&gt;=$C18,EF$4&lt;=$D18,'Вводные'!$B$89="Да"),"■","")</x:f>
      </x:c>
      <x:c r="EG18" s="135" t="str">
        <x:f>IF(AND(EG$4&gt;=$C18,EG$4&lt;=$D18,'Вводные'!$B$89="Да"),"■","")</x:f>
      </x:c>
      <x:c r="EH18" s="135" t="str">
        <x:f>IF(AND(EH$4&gt;=$C18,EH$4&lt;=$D18,'Вводные'!$B$89="Да"),"■","")</x:f>
      </x:c>
      <x:c r="EI18" s="135" t="str">
        <x:f>IF(AND(EI$4&gt;=$C18,EI$4&lt;=$D18,'Вводные'!$B$89="Да"),"■","")</x:f>
      </x:c>
      <x:c r="EJ18" s="135" t="str">
        <x:f>IF(AND(EJ$4&gt;=$C18,EJ$4&lt;=$D18,'Вводные'!$B$89="Да"),"■","")</x:f>
      </x:c>
      <x:c r="EK18" s="135" t="str">
        <x:f>IF(AND(EK$4&gt;=$C18,EK$4&lt;=$D18,'Вводные'!$B$89="Да"),"■","")</x:f>
      </x:c>
      <x:c r="EL18" s="135" t="str">
        <x:f>IF(AND(EL$4&gt;=$C18,EL$4&lt;=$D18,'Вводные'!$B$89="Да"),"■","")</x:f>
      </x:c>
      <x:c r="EM18" s="135" t="str">
        <x:f>IF(AND(EM$4&gt;=$C18,EM$4&lt;=$D18,'Вводные'!$B$89="Да"),"■","")</x:f>
      </x:c>
      <x:c r="EN18" s="135" t="str">
        <x:f>IF(AND(EN$4&gt;=$C18,EN$4&lt;=$D18,'Вводные'!$B$89="Да"),"■","")</x:f>
      </x:c>
      <x:c r="EO18" s="135" t="str">
        <x:f>IF(AND(EO$4&gt;=$C18,EO$4&lt;=$D18,'Вводные'!$B$89="Да"),"■","")</x:f>
      </x:c>
      <x:c r="EP18" s="135" t="str">
        <x:f>IF(AND(EP$4&gt;=$C18,EP$4&lt;=$D18,'Вводные'!$B$89="Да"),"■","")</x:f>
      </x:c>
      <x:c r="EQ18" s="135" t="str">
        <x:f>IF(AND(EQ$4&gt;=$C18,EQ$4&lt;=$D18,'Вводные'!$B$89="Да"),"■","")</x:f>
      </x:c>
      <x:c r="ER18" s="135" t="str">
        <x:f>IF(AND(ER$4&gt;=$C18,ER$4&lt;=$D18,'Вводные'!$B$89="Да"),"■","")</x:f>
      </x:c>
      <x:c r="ES18" s="135" t="str">
        <x:f>IF(AND(ES$4&gt;=$C18,ES$4&lt;=$D18,'Вводные'!$B$89="Да"),"■","")</x:f>
      </x:c>
      <x:c r="ET18" s="135" t="str">
        <x:f>IF(AND(ET$4&gt;=$C18,ET$4&lt;=$D18,'Вводные'!$B$89="Да"),"■","")</x:f>
      </x:c>
      <x:c r="EU18" s="135" t="str">
        <x:f>IF(AND(EU$4&gt;=$C18,EU$4&lt;=$D18,'Вводные'!$B$89="Да"),"■","")</x:f>
      </x:c>
      <x:c r="EV18" s="135" t="str">
        <x:f>IF(AND(EV$4&gt;=$C18,EV$4&lt;=$D18,'Вводные'!$B$89="Да"),"■","")</x:f>
      </x:c>
      <x:c r="EW18" s="135" t="str">
        <x:f>IF(AND(EW$4&gt;=$C18,EW$4&lt;=$D18,'Вводные'!$B$89="Да"),"■","")</x:f>
      </x:c>
      <x:c r="EX18" s="135" t="str">
        <x:f>IF(AND(EX$4&gt;=$C18,EX$4&lt;=$D18,'Вводные'!$B$89="Да"),"■","")</x:f>
      </x:c>
      <x:c r="EY18" s="135" t="str">
        <x:f>IF(AND(EY$4&gt;=$C18,EY$4&lt;=$D18,'Вводные'!$B$89="Да"),"■","")</x:f>
      </x:c>
      <x:c r="EZ18" s="135" t="str">
        <x:f>IF(AND(EZ$4&gt;=$C18,EZ$4&lt;=$D18,'Вводные'!$B$89="Да"),"■","")</x:f>
      </x:c>
      <x:c r="FA18" s="135" t="str">
        <x:f>IF(AND(FA$4&gt;=$C18,FA$4&lt;=$D18,'Вводные'!$B$89="Да"),"■","")</x:f>
      </x:c>
      <x:c r="FB18" s="135" t="str">
        <x:f>IF(AND(FB$4&gt;=$C18,FB$4&lt;=$D18,'Вводные'!$B$89="Да"),"■","")</x:f>
      </x:c>
      <x:c r="FC18" s="135" t="str">
        <x:f>IF(AND(FC$4&gt;=$C18,FC$4&lt;=$D18,'Вводные'!$B$89="Да"),"■","")</x:f>
      </x:c>
      <x:c r="FD18" s="135" t="str">
        <x:f>IF(AND(FD$4&gt;=$C18,FD$4&lt;=$D18,'Вводные'!$B$89="Да"),"■","")</x:f>
      </x:c>
      <x:c r="FE18" s="135" t="str">
        <x:f>IF(AND(FE$4&gt;=$C18,FE$4&lt;=$D18,'Вводные'!$B$89="Да"),"■","")</x:f>
      </x:c>
      <x:c r="FF18" s="135" t="str">
        <x:f>IF(AND(FF$4&gt;=$C18,FF$4&lt;=$D18,'Вводные'!$B$89="Да"),"■","")</x:f>
      </x:c>
      <x:c r="FG18" s="135" t="str">
        <x:f>IF(AND(FG$4&gt;=$C18,FG$4&lt;=$D18,'Вводные'!$B$89="Да"),"■","")</x:f>
      </x:c>
      <x:c r="FH18" s="135" t="str">
        <x:f>IF(AND(FH$4&gt;=$C18,FH$4&lt;=$D18,'Вводные'!$B$89="Да"),"■","")</x:f>
      </x:c>
      <x:c r="FI18" s="135" t="str">
        <x:f>IF(AND(FI$4&gt;=$C18,FI$4&lt;=$D18,'Вводные'!$B$89="Да"),"■","")</x:f>
      </x:c>
      <x:c r="FJ18" s="135" t="str">
        <x:f>IF(AND(FJ$4&gt;=$C18,FJ$4&lt;=$D18,'Вводные'!$B$89="Да"),"■","")</x:f>
      </x:c>
      <x:c r="FK18" s="135" t="str">
        <x:f>IF(AND(FK$4&gt;=$C18,FK$4&lt;=$D18,'Вводные'!$B$89="Да"),"■","")</x:f>
      </x:c>
      <x:c r="FL18" s="135" t="str">
        <x:f>IF(AND(FL$4&gt;=$C18,FL$4&lt;=$D18,'Вводные'!$B$89="Да"),"■","")</x:f>
      </x:c>
      <x:c r="FM18" s="135" t="str">
        <x:f>IF(AND(FM$4&gt;=$C18,FM$4&lt;=$D18,'Вводные'!$B$89="Да"),"■","")</x:f>
      </x:c>
      <x:c r="FN18" s="135" t="str">
        <x:f>IF(AND(FN$4&gt;=$C18,FN$4&lt;=$D18,'Вводные'!$B$89="Да"),"■","")</x:f>
      </x:c>
      <x:c r="FO18" s="135" t="str">
        <x:f>IF(AND(FO$4&gt;=$C18,FO$4&lt;=$D18,'Вводные'!$B$89="Да"),"■","")</x:f>
      </x:c>
      <x:c r="FP18" s="135" t="str">
        <x:f>IF(AND(FP$4&gt;=$C18,FP$4&lt;=$D18,'Вводные'!$B$89="Да"),"■","")</x:f>
      </x:c>
      <x:c r="FQ18" s="135" t="str">
        <x:f>IF(AND(FQ$4&gt;=$C18,FQ$4&lt;=$D18,'Вводные'!$B$89="Да"),"■","")</x:f>
      </x:c>
      <x:c r="FR18" s="135" t="str">
        <x:f>IF(AND(FR$4&gt;=$C18,FR$4&lt;=$D18,'Вводные'!$B$89="Да"),"■","")</x:f>
      </x:c>
      <x:c r="FS18" s="135" t="str">
        <x:f>IF(AND(FS$4&gt;=$C18,FS$4&lt;=$D18,'Вводные'!$B$89="Да"),"■","")</x:f>
      </x:c>
      <x:c r="FT18" s="135" t="str">
        <x:f>IF(AND(FT$4&gt;=$C18,FT$4&lt;=$D18,'Вводные'!$B$89="Да"),"■","")</x:f>
      </x:c>
      <x:c r="FU18" s="135" t="str">
        <x:f>IF(AND(FU$4&gt;=$C18,FU$4&lt;=$D18,'Вводные'!$B$89="Да"),"■","")</x:f>
      </x:c>
      <x:c r="FV18" s="135" t="str">
        <x:f>IF(AND(FV$4&gt;=$C18,FV$4&lt;=$D18,'Вводные'!$B$89="Да"),"■","")</x:f>
      </x:c>
      <x:c r="FW18" s="135" t="str">
        <x:f>IF(AND(FW$4&gt;=$C18,FW$4&lt;=$D18,'Вводные'!$B$89="Да"),"■","")</x:f>
      </x:c>
      <x:c r="FX18" s="135" t="str">
        <x:f>IF(AND(FX$4&gt;=$C18,FX$4&lt;=$D18,'Вводные'!$B$89="Да"),"■","")</x:f>
      </x:c>
      <x:c r="FY18" s="135" t="str">
        <x:f>IF(AND(FY$4&gt;=$C18,FY$4&lt;=$D18,'Вводные'!$B$89="Да"),"■","")</x:f>
      </x:c>
      <x:c r="FZ18" s="135" t="str">
        <x:f>IF(AND(FZ$4&gt;=$C18,FZ$4&lt;=$D18,'Вводные'!$B$89="Да"),"■","")</x:f>
      </x:c>
      <x:c r="GA18" s="135" t="str">
        <x:f>IF(AND(GA$4&gt;=$C18,GA$4&lt;=$D18,'Вводные'!$B$89="Да"),"■","")</x:f>
      </x:c>
      <x:c r="GB18" s="135" t="str">
        <x:f>IF(AND(GB$4&gt;=$C18,GB$4&lt;=$D18,'Вводные'!$B$89="Да"),"■","")</x:f>
      </x:c>
    </x:row>
    <x:row r="19">
      <x:c r="A19" t="str">
        <x:f>'Вводные'!$C$89</x:f>
      </x:c>
      <x:c r="B19" t="str">
        <x:v>Продажи</x:v>
      </x:c>
      <x:c r="C19" s="92" t="n">
        <x:f>'Продажи'!B30</x:f>
      </x:c>
      <x:c r="D19" s="92" t="n">
        <x:f>EDATE('Продажи'!B30,'Вводные'!$H$89-1)</x:f>
      </x:c>
      <x:c r="E19" s="139" t="str">
        <x:f>IF(AND(E$4&gt;=$C19,E$4&lt;=$D19,'Вводные'!$B$89="Да"),"■","")</x:f>
      </x:c>
      <x:c r="F19" s="139" t="str">
        <x:f>IF(AND(F$4&gt;=$C19,F$4&lt;=$D19,'Вводные'!$B$89="Да"),"■","")</x:f>
      </x:c>
      <x:c r="G19" s="139" t="str">
        <x:f>IF(AND(G$4&gt;=$C19,G$4&lt;=$D19,'Вводные'!$B$89="Да"),"■","")</x:f>
      </x:c>
      <x:c r="H19" s="139" t="str">
        <x:f>IF(AND(H$4&gt;=$C19,H$4&lt;=$D19,'Вводные'!$B$89="Да"),"■","")</x:f>
      </x:c>
      <x:c r="I19" s="139" t="str">
        <x:f>IF(AND(I$4&gt;=$C19,I$4&lt;=$D19,'Вводные'!$B$89="Да"),"■","")</x:f>
      </x:c>
      <x:c r="J19" s="139" t="str">
        <x:f>IF(AND(J$4&gt;=$C19,J$4&lt;=$D19,'Вводные'!$B$89="Да"),"■","")</x:f>
      </x:c>
      <x:c r="K19" s="139" t="str">
        <x:f>IF(AND(K$4&gt;=$C19,K$4&lt;=$D19,'Вводные'!$B$89="Да"),"■","")</x:f>
      </x:c>
      <x:c r="L19" s="139" t="str">
        <x:f>IF(AND(L$4&gt;=$C19,L$4&lt;=$D19,'Вводные'!$B$89="Да"),"■","")</x:f>
      </x:c>
      <x:c r="M19" s="139" t="str">
        <x:f>IF(AND(M$4&gt;=$C19,M$4&lt;=$D19,'Вводные'!$B$89="Да"),"■","")</x:f>
      </x:c>
      <x:c r="N19" s="139" t="str">
        <x:f>IF(AND(N$4&gt;=$C19,N$4&lt;=$D19,'Вводные'!$B$89="Да"),"■","")</x:f>
      </x:c>
      <x:c r="O19" s="139" t="str">
        <x:f>IF(AND(O$4&gt;=$C19,O$4&lt;=$D19,'Вводные'!$B$89="Да"),"■","")</x:f>
      </x:c>
      <x:c r="P19" s="139" t="str">
        <x:f>IF(AND(P$4&gt;=$C19,P$4&lt;=$D19,'Вводные'!$B$89="Да"),"■","")</x:f>
      </x:c>
      <x:c r="Q19" s="139" t="str">
        <x:f>IF(AND(Q$4&gt;=$C19,Q$4&lt;=$D19,'Вводные'!$B$89="Да"),"■","")</x:f>
      </x:c>
      <x:c r="R19" s="139" t="str">
        <x:f>IF(AND(R$4&gt;=$C19,R$4&lt;=$D19,'Вводные'!$B$89="Да"),"■","")</x:f>
      </x:c>
      <x:c r="S19" s="139" t="str">
        <x:f>IF(AND(S$4&gt;=$C19,S$4&lt;=$D19,'Вводные'!$B$89="Да"),"■","")</x:f>
      </x:c>
      <x:c r="T19" s="139" t="str">
        <x:f>IF(AND(T$4&gt;=$C19,T$4&lt;=$D19,'Вводные'!$B$89="Да"),"■","")</x:f>
      </x:c>
      <x:c r="U19" s="139" t="str">
        <x:f>IF(AND(U$4&gt;=$C19,U$4&lt;=$D19,'Вводные'!$B$89="Да"),"■","")</x:f>
      </x:c>
      <x:c r="V19" s="139" t="str">
        <x:f>IF(AND(V$4&gt;=$C19,V$4&lt;=$D19,'Вводные'!$B$89="Да"),"■","")</x:f>
      </x:c>
      <x:c r="W19" s="139" t="str">
        <x:f>IF(AND(W$4&gt;=$C19,W$4&lt;=$D19,'Вводные'!$B$89="Да"),"■","")</x:f>
      </x:c>
      <x:c r="X19" s="139" t="str">
        <x:f>IF(AND(X$4&gt;=$C19,X$4&lt;=$D19,'Вводные'!$B$89="Да"),"■","")</x:f>
      </x:c>
      <x:c r="Y19" s="139" t="str">
        <x:f>IF(AND(Y$4&gt;=$C19,Y$4&lt;=$D19,'Вводные'!$B$89="Да"),"■","")</x:f>
      </x:c>
      <x:c r="Z19" s="139" t="str">
        <x:f>IF(AND(Z$4&gt;=$C19,Z$4&lt;=$D19,'Вводные'!$B$89="Да"),"■","")</x:f>
      </x:c>
      <x:c r="AA19" s="139" t="str">
        <x:f>IF(AND(AA$4&gt;=$C19,AA$4&lt;=$D19,'Вводные'!$B$89="Да"),"■","")</x:f>
      </x:c>
      <x:c r="AB19" s="139" t="str">
        <x:f>IF(AND(AB$4&gt;=$C19,AB$4&lt;=$D19,'Вводные'!$B$89="Да"),"■","")</x:f>
      </x:c>
      <x:c r="AC19" s="139" t="str">
        <x:f>IF(AND(AC$4&gt;=$C19,AC$4&lt;=$D19,'Вводные'!$B$89="Да"),"■","")</x:f>
      </x:c>
      <x:c r="AD19" s="139" t="str">
        <x:f>IF(AND(AD$4&gt;=$C19,AD$4&lt;=$D19,'Вводные'!$B$89="Да"),"■","")</x:f>
      </x:c>
      <x:c r="AE19" s="139" t="str">
        <x:f>IF(AND(AE$4&gt;=$C19,AE$4&lt;=$D19,'Вводные'!$B$89="Да"),"■","")</x:f>
      </x:c>
      <x:c r="AF19" s="139" t="str">
        <x:f>IF(AND(AF$4&gt;=$C19,AF$4&lt;=$D19,'Вводные'!$B$89="Да"),"■","")</x:f>
      </x:c>
      <x:c r="AG19" s="139" t="str">
        <x:f>IF(AND(AG$4&gt;=$C19,AG$4&lt;=$D19,'Вводные'!$B$89="Да"),"■","")</x:f>
      </x:c>
      <x:c r="AH19" s="139" t="str">
        <x:f>IF(AND(AH$4&gt;=$C19,AH$4&lt;=$D19,'Вводные'!$B$89="Да"),"■","")</x:f>
      </x:c>
      <x:c r="AI19" s="139" t="str">
        <x:f>IF(AND(AI$4&gt;=$C19,AI$4&lt;=$D19,'Вводные'!$B$89="Да"),"■","")</x:f>
      </x:c>
      <x:c r="AJ19" s="139" t="str">
        <x:f>IF(AND(AJ$4&gt;=$C19,AJ$4&lt;=$D19,'Вводные'!$B$89="Да"),"■","")</x:f>
      </x:c>
      <x:c r="AK19" s="139" t="str">
        <x:f>IF(AND(AK$4&gt;=$C19,AK$4&lt;=$D19,'Вводные'!$B$89="Да"),"■","")</x:f>
      </x:c>
      <x:c r="AL19" s="139" t="str">
        <x:f>IF(AND(AL$4&gt;=$C19,AL$4&lt;=$D19,'Вводные'!$B$89="Да"),"■","")</x:f>
      </x:c>
      <x:c r="AM19" s="139" t="str">
        <x:f>IF(AND(AM$4&gt;=$C19,AM$4&lt;=$D19,'Вводные'!$B$89="Да"),"■","")</x:f>
      </x:c>
      <x:c r="AN19" s="139" t="str">
        <x:f>IF(AND(AN$4&gt;=$C19,AN$4&lt;=$D19,'Вводные'!$B$89="Да"),"■","")</x:f>
      </x:c>
      <x:c r="AO19" s="139" t="str">
        <x:f>IF(AND(AO$4&gt;=$C19,AO$4&lt;=$D19,'Вводные'!$B$89="Да"),"■","")</x:f>
      </x:c>
      <x:c r="AP19" s="139" t="str">
        <x:f>IF(AND(AP$4&gt;=$C19,AP$4&lt;=$D19,'Вводные'!$B$89="Да"),"■","")</x:f>
      </x:c>
      <x:c r="AQ19" s="139" t="str">
        <x:f>IF(AND(AQ$4&gt;=$C19,AQ$4&lt;=$D19,'Вводные'!$B$89="Да"),"■","")</x:f>
      </x:c>
      <x:c r="AR19" s="139" t="str">
        <x:f>IF(AND(AR$4&gt;=$C19,AR$4&lt;=$D19,'Вводные'!$B$89="Да"),"■","")</x:f>
      </x:c>
      <x:c r="AS19" s="139" t="str">
        <x:f>IF(AND(AS$4&gt;=$C19,AS$4&lt;=$D19,'Вводные'!$B$89="Да"),"■","")</x:f>
      </x:c>
      <x:c r="AT19" s="139" t="str">
        <x:f>IF(AND(AT$4&gt;=$C19,AT$4&lt;=$D19,'Вводные'!$B$89="Да"),"■","")</x:f>
      </x:c>
      <x:c r="AU19" s="139" t="str">
        <x:f>IF(AND(AU$4&gt;=$C19,AU$4&lt;=$D19,'Вводные'!$B$89="Да"),"■","")</x:f>
      </x:c>
      <x:c r="AV19" s="139" t="str">
        <x:f>IF(AND(AV$4&gt;=$C19,AV$4&lt;=$D19,'Вводные'!$B$89="Да"),"■","")</x:f>
      </x:c>
      <x:c r="AW19" s="139" t="str">
        <x:f>IF(AND(AW$4&gt;=$C19,AW$4&lt;=$D19,'Вводные'!$B$89="Да"),"■","")</x:f>
      </x:c>
      <x:c r="AX19" s="139" t="str">
        <x:f>IF(AND(AX$4&gt;=$C19,AX$4&lt;=$D19,'Вводные'!$B$89="Да"),"■","")</x:f>
      </x:c>
      <x:c r="AY19" s="139" t="str">
        <x:f>IF(AND(AY$4&gt;=$C19,AY$4&lt;=$D19,'Вводные'!$B$89="Да"),"■","")</x:f>
      </x:c>
      <x:c r="AZ19" s="139" t="str">
        <x:f>IF(AND(AZ$4&gt;=$C19,AZ$4&lt;=$D19,'Вводные'!$B$89="Да"),"■","")</x:f>
      </x:c>
      <x:c r="BA19" s="139" t="str">
        <x:f>IF(AND(BA$4&gt;=$C19,BA$4&lt;=$D19,'Вводные'!$B$89="Да"),"■","")</x:f>
      </x:c>
      <x:c r="BB19" s="139" t="str">
        <x:f>IF(AND(BB$4&gt;=$C19,BB$4&lt;=$D19,'Вводные'!$B$89="Да"),"■","")</x:f>
      </x:c>
      <x:c r="BC19" s="139" t="str">
        <x:f>IF(AND(BC$4&gt;=$C19,BC$4&lt;=$D19,'Вводные'!$B$89="Да"),"■","")</x:f>
      </x:c>
      <x:c r="BD19" s="139" t="str">
        <x:f>IF(AND(BD$4&gt;=$C19,BD$4&lt;=$D19,'Вводные'!$B$89="Да"),"■","")</x:f>
      </x:c>
      <x:c r="BE19" s="139" t="str">
        <x:f>IF(AND(BE$4&gt;=$C19,BE$4&lt;=$D19,'Вводные'!$B$89="Да"),"■","")</x:f>
      </x:c>
      <x:c r="BF19" s="139" t="str">
        <x:f>IF(AND(BF$4&gt;=$C19,BF$4&lt;=$D19,'Вводные'!$B$89="Да"),"■","")</x:f>
      </x:c>
      <x:c r="BG19" s="139" t="str">
        <x:f>IF(AND(BG$4&gt;=$C19,BG$4&lt;=$D19,'Вводные'!$B$89="Да"),"■","")</x:f>
      </x:c>
      <x:c r="BH19" s="139" t="str">
        <x:f>IF(AND(BH$4&gt;=$C19,BH$4&lt;=$D19,'Вводные'!$B$89="Да"),"■","")</x:f>
      </x:c>
      <x:c r="BI19" s="139" t="str">
        <x:f>IF(AND(BI$4&gt;=$C19,BI$4&lt;=$D19,'Вводные'!$B$89="Да"),"■","")</x:f>
      </x:c>
      <x:c r="BJ19" s="139" t="str">
        <x:f>IF(AND(BJ$4&gt;=$C19,BJ$4&lt;=$D19,'Вводные'!$B$89="Да"),"■","")</x:f>
      </x:c>
      <x:c r="BK19" s="139" t="str">
        <x:f>IF(AND(BK$4&gt;=$C19,BK$4&lt;=$D19,'Вводные'!$B$89="Да"),"■","")</x:f>
      </x:c>
      <x:c r="BL19" s="139" t="str">
        <x:f>IF(AND(BL$4&gt;=$C19,BL$4&lt;=$D19,'Вводные'!$B$89="Да"),"■","")</x:f>
      </x:c>
      <x:c r="BM19" s="139" t="str">
        <x:f>IF(AND(BM$4&gt;=$C19,BM$4&lt;=$D19,'Вводные'!$B$89="Да"),"■","")</x:f>
      </x:c>
      <x:c r="BN19" s="139" t="str">
        <x:f>IF(AND(BN$4&gt;=$C19,BN$4&lt;=$D19,'Вводные'!$B$89="Да"),"■","")</x:f>
      </x:c>
      <x:c r="BO19" s="139" t="str">
        <x:f>IF(AND(BO$4&gt;=$C19,BO$4&lt;=$D19,'Вводные'!$B$89="Да"),"■","")</x:f>
      </x:c>
      <x:c r="BP19" s="139" t="str">
        <x:f>IF(AND(BP$4&gt;=$C19,BP$4&lt;=$D19,'Вводные'!$B$89="Да"),"■","")</x:f>
      </x:c>
      <x:c r="BQ19" s="139" t="str">
        <x:f>IF(AND(BQ$4&gt;=$C19,BQ$4&lt;=$D19,'Вводные'!$B$89="Да"),"■","")</x:f>
      </x:c>
      <x:c r="BR19" s="139" t="str">
        <x:f>IF(AND(BR$4&gt;=$C19,BR$4&lt;=$D19,'Вводные'!$B$89="Да"),"■","")</x:f>
      </x:c>
      <x:c r="BS19" s="139" t="str">
        <x:f>IF(AND(BS$4&gt;=$C19,BS$4&lt;=$D19,'Вводные'!$B$89="Да"),"■","")</x:f>
      </x:c>
      <x:c r="BT19" s="139" t="str">
        <x:f>IF(AND(BT$4&gt;=$C19,BT$4&lt;=$D19,'Вводные'!$B$89="Да"),"■","")</x:f>
      </x:c>
      <x:c r="BU19" s="139" t="str">
        <x:f>IF(AND(BU$4&gt;=$C19,BU$4&lt;=$D19,'Вводные'!$B$89="Да"),"■","")</x:f>
      </x:c>
      <x:c r="BV19" s="139" t="str">
        <x:f>IF(AND(BV$4&gt;=$C19,BV$4&lt;=$D19,'Вводные'!$B$89="Да"),"■","")</x:f>
      </x:c>
      <x:c r="BW19" s="139" t="str">
        <x:f>IF(AND(BW$4&gt;=$C19,BW$4&lt;=$D19,'Вводные'!$B$89="Да"),"■","")</x:f>
      </x:c>
      <x:c r="BX19" s="139" t="str">
        <x:f>IF(AND(BX$4&gt;=$C19,BX$4&lt;=$D19,'Вводные'!$B$89="Да"),"■","")</x:f>
      </x:c>
      <x:c r="BY19" s="139" t="str">
        <x:f>IF(AND(BY$4&gt;=$C19,BY$4&lt;=$D19,'Вводные'!$B$89="Да"),"■","")</x:f>
      </x:c>
      <x:c r="BZ19" s="139" t="str">
        <x:f>IF(AND(BZ$4&gt;=$C19,BZ$4&lt;=$D19,'Вводные'!$B$89="Да"),"■","")</x:f>
      </x:c>
      <x:c r="CA19" s="139" t="str">
        <x:f>IF(AND(CA$4&gt;=$C19,CA$4&lt;=$D19,'Вводные'!$B$89="Да"),"■","")</x:f>
      </x:c>
      <x:c r="CB19" s="139" t="str">
        <x:f>IF(AND(CB$4&gt;=$C19,CB$4&lt;=$D19,'Вводные'!$B$89="Да"),"■","")</x:f>
      </x:c>
      <x:c r="CC19" s="139" t="str">
        <x:f>IF(AND(CC$4&gt;=$C19,CC$4&lt;=$D19,'Вводные'!$B$89="Да"),"■","")</x:f>
      </x:c>
      <x:c r="CD19" s="139" t="str">
        <x:f>IF(AND(CD$4&gt;=$C19,CD$4&lt;=$D19,'Вводные'!$B$89="Да"),"■","")</x:f>
      </x:c>
      <x:c r="CE19" s="139" t="str">
        <x:f>IF(AND(CE$4&gt;=$C19,CE$4&lt;=$D19,'Вводные'!$B$89="Да"),"■","")</x:f>
      </x:c>
      <x:c r="CF19" s="139" t="str">
        <x:f>IF(AND(CF$4&gt;=$C19,CF$4&lt;=$D19,'Вводные'!$B$89="Да"),"■","")</x:f>
      </x:c>
      <x:c r="CG19" s="139" t="str">
        <x:f>IF(AND(CG$4&gt;=$C19,CG$4&lt;=$D19,'Вводные'!$B$89="Да"),"■","")</x:f>
      </x:c>
      <x:c r="CH19" s="139" t="str">
        <x:f>IF(AND(CH$4&gt;=$C19,CH$4&lt;=$D19,'Вводные'!$B$89="Да"),"■","")</x:f>
      </x:c>
      <x:c r="CI19" s="139" t="str">
        <x:f>IF(AND(CI$4&gt;=$C19,CI$4&lt;=$D19,'Вводные'!$B$89="Да"),"■","")</x:f>
      </x:c>
      <x:c r="CJ19" s="139" t="str">
        <x:f>IF(AND(CJ$4&gt;=$C19,CJ$4&lt;=$D19,'Вводные'!$B$89="Да"),"■","")</x:f>
      </x:c>
      <x:c r="CK19" s="139" t="str">
        <x:f>IF(AND(CK$4&gt;=$C19,CK$4&lt;=$D19,'Вводные'!$B$89="Да"),"■","")</x:f>
      </x:c>
      <x:c r="CL19" s="139" t="str">
        <x:f>IF(AND(CL$4&gt;=$C19,CL$4&lt;=$D19,'Вводные'!$B$89="Да"),"■","")</x:f>
      </x:c>
      <x:c r="CM19" s="139" t="str">
        <x:f>IF(AND(CM$4&gt;=$C19,CM$4&lt;=$D19,'Вводные'!$B$89="Да"),"■","")</x:f>
      </x:c>
      <x:c r="CN19" s="139" t="str">
        <x:f>IF(AND(CN$4&gt;=$C19,CN$4&lt;=$D19,'Вводные'!$B$89="Да"),"■","")</x:f>
      </x:c>
      <x:c r="CO19" s="139" t="str">
        <x:f>IF(AND(CO$4&gt;=$C19,CO$4&lt;=$D19,'Вводные'!$B$89="Да"),"■","")</x:f>
      </x:c>
      <x:c r="CP19" s="139" t="str">
        <x:f>IF(AND(CP$4&gt;=$C19,CP$4&lt;=$D19,'Вводные'!$B$89="Да"),"■","")</x:f>
      </x:c>
      <x:c r="CQ19" s="139" t="str">
        <x:f>IF(AND(CQ$4&gt;=$C19,CQ$4&lt;=$D19,'Вводные'!$B$89="Да"),"■","")</x:f>
      </x:c>
      <x:c r="CR19" s="139" t="str">
        <x:f>IF(AND(CR$4&gt;=$C19,CR$4&lt;=$D19,'Вводные'!$B$89="Да"),"■","")</x:f>
      </x:c>
      <x:c r="CS19" s="139" t="str">
        <x:f>IF(AND(CS$4&gt;=$C19,CS$4&lt;=$D19,'Вводные'!$B$89="Да"),"■","")</x:f>
      </x:c>
      <x:c r="CT19" s="139" t="str">
        <x:f>IF(AND(CT$4&gt;=$C19,CT$4&lt;=$D19,'Вводные'!$B$89="Да"),"■","")</x:f>
      </x:c>
      <x:c r="CU19" s="139" t="str">
        <x:f>IF(AND(CU$4&gt;=$C19,CU$4&lt;=$D19,'Вводные'!$B$89="Да"),"■","")</x:f>
      </x:c>
      <x:c r="CV19" s="139" t="str">
        <x:f>IF(AND(CV$4&gt;=$C19,CV$4&lt;=$D19,'Вводные'!$B$89="Да"),"■","")</x:f>
      </x:c>
      <x:c r="CW19" s="139" t="str">
        <x:f>IF(AND(CW$4&gt;=$C19,CW$4&lt;=$D19,'Вводные'!$B$89="Да"),"■","")</x:f>
      </x:c>
      <x:c r="CX19" s="139" t="str">
        <x:f>IF(AND(CX$4&gt;=$C19,CX$4&lt;=$D19,'Вводные'!$B$89="Да"),"■","")</x:f>
      </x:c>
      <x:c r="CY19" s="139" t="str">
        <x:f>IF(AND(CY$4&gt;=$C19,CY$4&lt;=$D19,'Вводные'!$B$89="Да"),"■","")</x:f>
      </x:c>
      <x:c r="CZ19" s="139" t="str">
        <x:f>IF(AND(CZ$4&gt;=$C19,CZ$4&lt;=$D19,'Вводные'!$B$89="Да"),"■","")</x:f>
      </x:c>
      <x:c r="DA19" s="139" t="str">
        <x:f>IF(AND(DA$4&gt;=$C19,DA$4&lt;=$D19,'Вводные'!$B$89="Да"),"■","")</x:f>
      </x:c>
      <x:c r="DB19" s="139" t="str">
        <x:f>IF(AND(DB$4&gt;=$C19,DB$4&lt;=$D19,'Вводные'!$B$89="Да"),"■","")</x:f>
      </x:c>
      <x:c r="DC19" s="139" t="str">
        <x:f>IF(AND(DC$4&gt;=$C19,DC$4&lt;=$D19,'Вводные'!$B$89="Да"),"■","")</x:f>
      </x:c>
      <x:c r="DD19" s="139" t="str">
        <x:f>IF(AND(DD$4&gt;=$C19,DD$4&lt;=$D19,'Вводные'!$B$89="Да"),"■","")</x:f>
      </x:c>
      <x:c r="DE19" s="139" t="str">
        <x:f>IF(AND(DE$4&gt;=$C19,DE$4&lt;=$D19,'Вводные'!$B$89="Да"),"■","")</x:f>
      </x:c>
      <x:c r="DF19" s="139" t="str">
        <x:f>IF(AND(DF$4&gt;=$C19,DF$4&lt;=$D19,'Вводные'!$B$89="Да"),"■","")</x:f>
      </x:c>
      <x:c r="DG19" s="139" t="str">
        <x:f>IF(AND(DG$4&gt;=$C19,DG$4&lt;=$D19,'Вводные'!$B$89="Да"),"■","")</x:f>
      </x:c>
      <x:c r="DH19" s="139" t="str">
        <x:f>IF(AND(DH$4&gt;=$C19,DH$4&lt;=$D19,'Вводные'!$B$89="Да"),"■","")</x:f>
      </x:c>
      <x:c r="DI19" s="139" t="str">
        <x:f>IF(AND(DI$4&gt;=$C19,DI$4&lt;=$D19,'Вводные'!$B$89="Да"),"■","")</x:f>
      </x:c>
      <x:c r="DJ19" s="139" t="str">
        <x:f>IF(AND(DJ$4&gt;=$C19,DJ$4&lt;=$D19,'Вводные'!$B$89="Да"),"■","")</x:f>
      </x:c>
      <x:c r="DK19" s="139" t="str">
        <x:f>IF(AND(DK$4&gt;=$C19,DK$4&lt;=$D19,'Вводные'!$B$89="Да"),"■","")</x:f>
      </x:c>
      <x:c r="DL19" s="139" t="str">
        <x:f>IF(AND(DL$4&gt;=$C19,DL$4&lt;=$D19,'Вводные'!$B$89="Да"),"■","")</x:f>
      </x:c>
      <x:c r="DM19" s="139" t="str">
        <x:f>IF(AND(DM$4&gt;=$C19,DM$4&lt;=$D19,'Вводные'!$B$89="Да"),"■","")</x:f>
      </x:c>
      <x:c r="DN19" s="139" t="str">
        <x:f>IF(AND(DN$4&gt;=$C19,DN$4&lt;=$D19,'Вводные'!$B$89="Да"),"■","")</x:f>
      </x:c>
      <x:c r="DO19" s="139" t="str">
        <x:f>IF(AND(DO$4&gt;=$C19,DO$4&lt;=$D19,'Вводные'!$B$89="Да"),"■","")</x:f>
      </x:c>
      <x:c r="DP19" s="139" t="str">
        <x:f>IF(AND(DP$4&gt;=$C19,DP$4&lt;=$D19,'Вводные'!$B$89="Да"),"■","")</x:f>
      </x:c>
      <x:c r="DQ19" s="139" t="str">
        <x:f>IF(AND(DQ$4&gt;=$C19,DQ$4&lt;=$D19,'Вводные'!$B$89="Да"),"■","")</x:f>
      </x:c>
      <x:c r="DR19" s="139" t="str">
        <x:f>IF(AND(DR$4&gt;=$C19,DR$4&lt;=$D19,'Вводные'!$B$89="Да"),"■","")</x:f>
      </x:c>
      <x:c r="DS19" s="139" t="str">
        <x:f>IF(AND(DS$4&gt;=$C19,DS$4&lt;=$D19,'Вводные'!$B$89="Да"),"■","")</x:f>
      </x:c>
      <x:c r="DT19" s="139" t="str">
        <x:f>IF(AND(DT$4&gt;=$C19,DT$4&lt;=$D19,'Вводные'!$B$89="Да"),"■","")</x:f>
      </x:c>
      <x:c r="DU19" s="139" t="str">
        <x:f>IF(AND(DU$4&gt;=$C19,DU$4&lt;=$D19,'Вводные'!$B$89="Да"),"■","")</x:f>
      </x:c>
      <x:c r="DV19" s="139" t="str">
        <x:f>IF(AND(DV$4&gt;=$C19,DV$4&lt;=$D19,'Вводные'!$B$89="Да"),"■","")</x:f>
      </x:c>
      <x:c r="DW19" s="139" t="str">
        <x:f>IF(AND(DW$4&gt;=$C19,DW$4&lt;=$D19,'Вводные'!$B$89="Да"),"■","")</x:f>
      </x:c>
      <x:c r="DX19" s="139" t="str">
        <x:f>IF(AND(DX$4&gt;=$C19,DX$4&lt;=$D19,'Вводные'!$B$89="Да"),"■","")</x:f>
      </x:c>
      <x:c r="DY19" s="139" t="str">
        <x:f>IF(AND(DY$4&gt;=$C19,DY$4&lt;=$D19,'Вводные'!$B$89="Да"),"■","")</x:f>
      </x:c>
      <x:c r="DZ19" s="139" t="str">
        <x:f>IF(AND(DZ$4&gt;=$C19,DZ$4&lt;=$D19,'Вводные'!$B$89="Да"),"■","")</x:f>
      </x:c>
      <x:c r="EA19" s="139" t="str">
        <x:f>IF(AND(EA$4&gt;=$C19,EA$4&lt;=$D19,'Вводные'!$B$89="Да"),"■","")</x:f>
      </x:c>
      <x:c r="EB19" s="139" t="str">
        <x:f>IF(AND(EB$4&gt;=$C19,EB$4&lt;=$D19,'Вводные'!$B$89="Да"),"■","")</x:f>
      </x:c>
      <x:c r="EC19" s="139" t="str">
        <x:f>IF(AND(EC$4&gt;=$C19,EC$4&lt;=$D19,'Вводные'!$B$89="Да"),"■","")</x:f>
      </x:c>
      <x:c r="ED19" s="139" t="str">
        <x:f>IF(AND(ED$4&gt;=$C19,ED$4&lt;=$D19,'Вводные'!$B$89="Да"),"■","")</x:f>
      </x:c>
      <x:c r="EE19" s="139" t="str">
        <x:f>IF(AND(EE$4&gt;=$C19,EE$4&lt;=$D19,'Вводные'!$B$89="Да"),"■","")</x:f>
      </x:c>
      <x:c r="EF19" s="139" t="str">
        <x:f>IF(AND(EF$4&gt;=$C19,EF$4&lt;=$D19,'Вводные'!$B$89="Да"),"■","")</x:f>
      </x:c>
      <x:c r="EG19" s="139" t="str">
        <x:f>IF(AND(EG$4&gt;=$C19,EG$4&lt;=$D19,'Вводные'!$B$89="Да"),"■","")</x:f>
      </x:c>
      <x:c r="EH19" s="139" t="str">
        <x:f>IF(AND(EH$4&gt;=$C19,EH$4&lt;=$D19,'Вводные'!$B$89="Да"),"■","")</x:f>
      </x:c>
      <x:c r="EI19" s="139" t="str">
        <x:f>IF(AND(EI$4&gt;=$C19,EI$4&lt;=$D19,'Вводные'!$B$89="Да"),"■","")</x:f>
      </x:c>
      <x:c r="EJ19" s="139" t="str">
        <x:f>IF(AND(EJ$4&gt;=$C19,EJ$4&lt;=$D19,'Вводные'!$B$89="Да"),"■","")</x:f>
      </x:c>
      <x:c r="EK19" s="139" t="str">
        <x:f>IF(AND(EK$4&gt;=$C19,EK$4&lt;=$D19,'Вводные'!$B$89="Да"),"■","")</x:f>
      </x:c>
      <x:c r="EL19" s="139" t="str">
        <x:f>IF(AND(EL$4&gt;=$C19,EL$4&lt;=$D19,'Вводные'!$B$89="Да"),"■","")</x:f>
      </x:c>
      <x:c r="EM19" s="139" t="str">
        <x:f>IF(AND(EM$4&gt;=$C19,EM$4&lt;=$D19,'Вводные'!$B$89="Да"),"■","")</x:f>
      </x:c>
      <x:c r="EN19" s="139" t="str">
        <x:f>IF(AND(EN$4&gt;=$C19,EN$4&lt;=$D19,'Вводные'!$B$89="Да"),"■","")</x:f>
      </x:c>
      <x:c r="EO19" s="139" t="str">
        <x:f>IF(AND(EO$4&gt;=$C19,EO$4&lt;=$D19,'Вводные'!$B$89="Да"),"■","")</x:f>
      </x:c>
      <x:c r="EP19" s="139" t="str">
        <x:f>IF(AND(EP$4&gt;=$C19,EP$4&lt;=$D19,'Вводные'!$B$89="Да"),"■","")</x:f>
      </x:c>
      <x:c r="EQ19" s="139" t="str">
        <x:f>IF(AND(EQ$4&gt;=$C19,EQ$4&lt;=$D19,'Вводные'!$B$89="Да"),"■","")</x:f>
      </x:c>
      <x:c r="ER19" s="139" t="str">
        <x:f>IF(AND(ER$4&gt;=$C19,ER$4&lt;=$D19,'Вводные'!$B$89="Да"),"■","")</x:f>
      </x:c>
      <x:c r="ES19" s="139" t="str">
        <x:f>IF(AND(ES$4&gt;=$C19,ES$4&lt;=$D19,'Вводные'!$B$89="Да"),"■","")</x:f>
      </x:c>
      <x:c r="ET19" s="139" t="str">
        <x:f>IF(AND(ET$4&gt;=$C19,ET$4&lt;=$D19,'Вводные'!$B$89="Да"),"■","")</x:f>
      </x:c>
      <x:c r="EU19" s="139" t="str">
        <x:f>IF(AND(EU$4&gt;=$C19,EU$4&lt;=$D19,'Вводные'!$B$89="Да"),"■","")</x:f>
      </x:c>
      <x:c r="EV19" s="139" t="str">
        <x:f>IF(AND(EV$4&gt;=$C19,EV$4&lt;=$D19,'Вводные'!$B$89="Да"),"■","")</x:f>
      </x:c>
      <x:c r="EW19" s="139" t="str">
        <x:f>IF(AND(EW$4&gt;=$C19,EW$4&lt;=$D19,'Вводные'!$B$89="Да"),"■","")</x:f>
      </x:c>
      <x:c r="EX19" s="139" t="str">
        <x:f>IF(AND(EX$4&gt;=$C19,EX$4&lt;=$D19,'Вводные'!$B$89="Да"),"■","")</x:f>
      </x:c>
      <x:c r="EY19" s="139" t="str">
        <x:f>IF(AND(EY$4&gt;=$C19,EY$4&lt;=$D19,'Вводные'!$B$89="Да"),"■","")</x:f>
      </x:c>
      <x:c r="EZ19" s="139" t="str">
        <x:f>IF(AND(EZ$4&gt;=$C19,EZ$4&lt;=$D19,'Вводные'!$B$89="Да"),"■","")</x:f>
      </x:c>
      <x:c r="FA19" s="139" t="str">
        <x:f>IF(AND(FA$4&gt;=$C19,FA$4&lt;=$D19,'Вводные'!$B$89="Да"),"■","")</x:f>
      </x:c>
      <x:c r="FB19" s="139" t="str">
        <x:f>IF(AND(FB$4&gt;=$C19,FB$4&lt;=$D19,'Вводные'!$B$89="Да"),"■","")</x:f>
      </x:c>
      <x:c r="FC19" s="139" t="str">
        <x:f>IF(AND(FC$4&gt;=$C19,FC$4&lt;=$D19,'Вводные'!$B$89="Да"),"■","")</x:f>
      </x:c>
      <x:c r="FD19" s="139" t="str">
        <x:f>IF(AND(FD$4&gt;=$C19,FD$4&lt;=$D19,'Вводные'!$B$89="Да"),"■","")</x:f>
      </x:c>
      <x:c r="FE19" s="139" t="str">
        <x:f>IF(AND(FE$4&gt;=$C19,FE$4&lt;=$D19,'Вводные'!$B$89="Да"),"■","")</x:f>
      </x:c>
      <x:c r="FF19" s="139" t="str">
        <x:f>IF(AND(FF$4&gt;=$C19,FF$4&lt;=$D19,'Вводные'!$B$89="Да"),"■","")</x:f>
      </x:c>
      <x:c r="FG19" s="139" t="str">
        <x:f>IF(AND(FG$4&gt;=$C19,FG$4&lt;=$D19,'Вводные'!$B$89="Да"),"■","")</x:f>
      </x:c>
      <x:c r="FH19" s="139" t="str">
        <x:f>IF(AND(FH$4&gt;=$C19,FH$4&lt;=$D19,'Вводные'!$B$89="Да"),"■","")</x:f>
      </x:c>
      <x:c r="FI19" s="139" t="str">
        <x:f>IF(AND(FI$4&gt;=$C19,FI$4&lt;=$D19,'Вводные'!$B$89="Да"),"■","")</x:f>
      </x:c>
      <x:c r="FJ19" s="139" t="str">
        <x:f>IF(AND(FJ$4&gt;=$C19,FJ$4&lt;=$D19,'Вводные'!$B$89="Да"),"■","")</x:f>
      </x:c>
      <x:c r="FK19" s="139" t="str">
        <x:f>IF(AND(FK$4&gt;=$C19,FK$4&lt;=$D19,'Вводные'!$B$89="Да"),"■","")</x:f>
      </x:c>
      <x:c r="FL19" s="139" t="str">
        <x:f>IF(AND(FL$4&gt;=$C19,FL$4&lt;=$D19,'Вводные'!$B$89="Да"),"■","")</x:f>
      </x:c>
      <x:c r="FM19" s="139" t="str">
        <x:f>IF(AND(FM$4&gt;=$C19,FM$4&lt;=$D19,'Вводные'!$B$89="Да"),"■","")</x:f>
      </x:c>
      <x:c r="FN19" s="139" t="str">
        <x:f>IF(AND(FN$4&gt;=$C19,FN$4&lt;=$D19,'Вводные'!$B$89="Да"),"■","")</x:f>
      </x:c>
      <x:c r="FO19" s="139" t="str">
        <x:f>IF(AND(FO$4&gt;=$C19,FO$4&lt;=$D19,'Вводные'!$B$89="Да"),"■","")</x:f>
      </x:c>
      <x:c r="FP19" s="139" t="str">
        <x:f>IF(AND(FP$4&gt;=$C19,FP$4&lt;=$D19,'Вводные'!$B$89="Да"),"■","")</x:f>
      </x:c>
      <x:c r="FQ19" s="139" t="str">
        <x:f>IF(AND(FQ$4&gt;=$C19,FQ$4&lt;=$D19,'Вводные'!$B$89="Да"),"■","")</x:f>
      </x:c>
      <x:c r="FR19" s="139" t="str">
        <x:f>IF(AND(FR$4&gt;=$C19,FR$4&lt;=$D19,'Вводные'!$B$89="Да"),"■","")</x:f>
      </x:c>
      <x:c r="FS19" s="139" t="str">
        <x:f>IF(AND(FS$4&gt;=$C19,FS$4&lt;=$D19,'Вводные'!$B$89="Да"),"■","")</x:f>
      </x:c>
      <x:c r="FT19" s="139" t="str">
        <x:f>IF(AND(FT$4&gt;=$C19,FT$4&lt;=$D19,'Вводные'!$B$89="Да"),"■","")</x:f>
      </x:c>
      <x:c r="FU19" s="139" t="str">
        <x:f>IF(AND(FU$4&gt;=$C19,FU$4&lt;=$D19,'Вводные'!$B$89="Да"),"■","")</x:f>
      </x:c>
      <x:c r="FV19" s="139" t="str">
        <x:f>IF(AND(FV$4&gt;=$C19,FV$4&lt;=$D19,'Вводные'!$B$89="Да"),"■","")</x:f>
      </x:c>
      <x:c r="FW19" s="139" t="str">
        <x:f>IF(AND(FW$4&gt;=$C19,FW$4&lt;=$D19,'Вводные'!$B$89="Да"),"■","")</x:f>
      </x:c>
      <x:c r="FX19" s="139" t="str">
        <x:f>IF(AND(FX$4&gt;=$C19,FX$4&lt;=$D19,'Вводные'!$B$89="Да"),"■","")</x:f>
      </x:c>
      <x:c r="FY19" s="139" t="str">
        <x:f>IF(AND(FY$4&gt;=$C19,FY$4&lt;=$D19,'Вводные'!$B$89="Да"),"■","")</x:f>
      </x:c>
      <x:c r="FZ19" s="139" t="str">
        <x:f>IF(AND(FZ$4&gt;=$C19,FZ$4&lt;=$D19,'Вводные'!$B$89="Да"),"■","")</x:f>
      </x:c>
      <x:c r="GA19" s="139" t="str">
        <x:f>IF(AND(GA$4&gt;=$C19,GA$4&lt;=$D19,'Вводные'!$B$89="Да"),"■","")</x:f>
      </x:c>
      <x:c r="GB19" s="139" t="str">
        <x:f>IF(AND(GB$4&gt;=$C19,GB$4&lt;=$D19,'Вводные'!$B$89="Да"),"■","")</x:f>
      </x:c>
    </x:row>
    <x:row r="20">
      <x:c r="A20" t="str">
        <x:f>'Вводные'!$C$89</x:f>
      </x:c>
      <x:c r="B20" t="str">
        <x:v>Строительство</x:v>
      </x:c>
      <x:c r="C20" s="92" t="n">
        <x:f>'CF_2'!B7</x:f>
      </x:c>
      <x:c r="D20" s="92" t="n">
        <x:f>EDATE(C20,'Вводные'!$F$89-1)</x:f>
      </x:c>
      <x:c r="E20" s="141" t="str">
        <x:f>IF(AND(E$4&gt;=$C20,E$4&lt;=$D20,'Вводные'!$B$89="Да"),"■","")</x:f>
      </x:c>
      <x:c r="F20" s="141" t="str">
        <x:f>IF(AND(F$4&gt;=$C20,F$4&lt;=$D20,'Вводные'!$B$89="Да"),"■","")</x:f>
      </x:c>
      <x:c r="G20" s="141" t="str">
        <x:f>IF(AND(G$4&gt;=$C20,G$4&lt;=$D20,'Вводные'!$B$89="Да"),"■","")</x:f>
      </x:c>
      <x:c r="H20" s="141" t="str">
        <x:f>IF(AND(H$4&gt;=$C20,H$4&lt;=$D20,'Вводные'!$B$89="Да"),"■","")</x:f>
      </x:c>
      <x:c r="I20" s="141" t="str">
        <x:f>IF(AND(I$4&gt;=$C20,I$4&lt;=$D20,'Вводные'!$B$89="Да"),"■","")</x:f>
      </x:c>
      <x:c r="J20" s="141" t="str">
        <x:f>IF(AND(J$4&gt;=$C20,J$4&lt;=$D20,'Вводные'!$B$89="Да"),"■","")</x:f>
      </x:c>
      <x:c r="K20" s="141" t="str">
        <x:f>IF(AND(K$4&gt;=$C20,K$4&lt;=$D20,'Вводные'!$B$89="Да"),"■","")</x:f>
      </x:c>
      <x:c r="L20" s="141" t="str">
        <x:f>IF(AND(L$4&gt;=$C20,L$4&lt;=$D20,'Вводные'!$B$89="Да"),"■","")</x:f>
      </x:c>
      <x:c r="M20" s="141" t="str">
        <x:f>IF(AND(M$4&gt;=$C20,M$4&lt;=$D20,'Вводные'!$B$89="Да"),"■","")</x:f>
      </x:c>
      <x:c r="N20" s="141" t="str">
        <x:f>IF(AND(N$4&gt;=$C20,N$4&lt;=$D20,'Вводные'!$B$89="Да"),"■","")</x:f>
      </x:c>
      <x:c r="O20" s="141" t="str">
        <x:f>IF(AND(O$4&gt;=$C20,O$4&lt;=$D20,'Вводные'!$B$89="Да"),"■","")</x:f>
      </x:c>
      <x:c r="P20" s="141" t="str">
        <x:f>IF(AND(P$4&gt;=$C20,P$4&lt;=$D20,'Вводные'!$B$89="Да"),"■","")</x:f>
      </x:c>
      <x:c r="Q20" s="141" t="str">
        <x:f>IF(AND(Q$4&gt;=$C20,Q$4&lt;=$D20,'Вводные'!$B$89="Да"),"■","")</x:f>
      </x:c>
      <x:c r="R20" s="141" t="str">
        <x:f>IF(AND(R$4&gt;=$C20,R$4&lt;=$D20,'Вводные'!$B$89="Да"),"■","")</x:f>
      </x:c>
      <x:c r="S20" s="141" t="str">
        <x:f>IF(AND(S$4&gt;=$C20,S$4&lt;=$D20,'Вводные'!$B$89="Да"),"■","")</x:f>
      </x:c>
      <x:c r="T20" s="141" t="str">
        <x:f>IF(AND(T$4&gt;=$C20,T$4&lt;=$D20,'Вводные'!$B$89="Да"),"■","")</x:f>
      </x:c>
      <x:c r="U20" s="141" t="str">
        <x:f>IF(AND(U$4&gt;=$C20,U$4&lt;=$D20,'Вводные'!$B$89="Да"),"■","")</x:f>
      </x:c>
      <x:c r="V20" s="141" t="str">
        <x:f>IF(AND(V$4&gt;=$C20,V$4&lt;=$D20,'Вводные'!$B$89="Да"),"■","")</x:f>
      </x:c>
      <x:c r="W20" s="141" t="str">
        <x:f>IF(AND(W$4&gt;=$C20,W$4&lt;=$D20,'Вводные'!$B$89="Да"),"■","")</x:f>
      </x:c>
      <x:c r="X20" s="141" t="str">
        <x:f>IF(AND(X$4&gt;=$C20,X$4&lt;=$D20,'Вводные'!$B$89="Да"),"■","")</x:f>
      </x:c>
      <x:c r="Y20" s="141" t="str">
        <x:f>IF(AND(Y$4&gt;=$C20,Y$4&lt;=$D20,'Вводные'!$B$89="Да"),"■","")</x:f>
      </x:c>
      <x:c r="Z20" s="141" t="str">
        <x:f>IF(AND(Z$4&gt;=$C20,Z$4&lt;=$D20,'Вводные'!$B$89="Да"),"■","")</x:f>
      </x:c>
      <x:c r="AA20" s="141" t="str">
        <x:f>IF(AND(AA$4&gt;=$C20,AA$4&lt;=$D20,'Вводные'!$B$89="Да"),"■","")</x:f>
      </x:c>
      <x:c r="AB20" s="141" t="str">
        <x:f>IF(AND(AB$4&gt;=$C20,AB$4&lt;=$D20,'Вводные'!$B$89="Да"),"■","")</x:f>
      </x:c>
      <x:c r="AC20" s="141" t="str">
        <x:f>IF(AND(AC$4&gt;=$C20,AC$4&lt;=$D20,'Вводные'!$B$89="Да"),"■","")</x:f>
      </x:c>
      <x:c r="AD20" s="141" t="str">
        <x:f>IF(AND(AD$4&gt;=$C20,AD$4&lt;=$D20,'Вводные'!$B$89="Да"),"■","")</x:f>
      </x:c>
      <x:c r="AE20" s="141" t="str">
        <x:f>IF(AND(AE$4&gt;=$C20,AE$4&lt;=$D20,'Вводные'!$B$89="Да"),"■","")</x:f>
      </x:c>
      <x:c r="AF20" s="141" t="str">
        <x:f>IF(AND(AF$4&gt;=$C20,AF$4&lt;=$D20,'Вводные'!$B$89="Да"),"■","")</x:f>
      </x:c>
      <x:c r="AG20" s="141" t="str">
        <x:f>IF(AND(AG$4&gt;=$C20,AG$4&lt;=$D20,'Вводные'!$B$89="Да"),"■","")</x:f>
      </x:c>
      <x:c r="AH20" s="141" t="str">
        <x:f>IF(AND(AH$4&gt;=$C20,AH$4&lt;=$D20,'Вводные'!$B$89="Да"),"■","")</x:f>
      </x:c>
      <x:c r="AI20" s="141" t="str">
        <x:f>IF(AND(AI$4&gt;=$C20,AI$4&lt;=$D20,'Вводные'!$B$89="Да"),"■","")</x:f>
      </x:c>
      <x:c r="AJ20" s="141" t="str">
        <x:f>IF(AND(AJ$4&gt;=$C20,AJ$4&lt;=$D20,'Вводные'!$B$89="Да"),"■","")</x:f>
      </x:c>
      <x:c r="AK20" s="141" t="str">
        <x:f>IF(AND(AK$4&gt;=$C20,AK$4&lt;=$D20,'Вводные'!$B$89="Да"),"■","")</x:f>
      </x:c>
      <x:c r="AL20" s="141" t="str">
        <x:f>IF(AND(AL$4&gt;=$C20,AL$4&lt;=$D20,'Вводные'!$B$89="Да"),"■","")</x:f>
      </x:c>
      <x:c r="AM20" s="141" t="str">
        <x:f>IF(AND(AM$4&gt;=$C20,AM$4&lt;=$D20,'Вводные'!$B$89="Да"),"■","")</x:f>
      </x:c>
      <x:c r="AN20" s="141" t="str">
        <x:f>IF(AND(AN$4&gt;=$C20,AN$4&lt;=$D20,'Вводные'!$B$89="Да"),"■","")</x:f>
      </x:c>
      <x:c r="AO20" s="141" t="str">
        <x:f>IF(AND(AO$4&gt;=$C20,AO$4&lt;=$D20,'Вводные'!$B$89="Да"),"■","")</x:f>
      </x:c>
      <x:c r="AP20" s="141" t="str">
        <x:f>IF(AND(AP$4&gt;=$C20,AP$4&lt;=$D20,'Вводные'!$B$89="Да"),"■","")</x:f>
      </x:c>
      <x:c r="AQ20" s="141" t="str">
        <x:f>IF(AND(AQ$4&gt;=$C20,AQ$4&lt;=$D20,'Вводные'!$B$89="Да"),"■","")</x:f>
      </x:c>
      <x:c r="AR20" s="141" t="str">
        <x:f>IF(AND(AR$4&gt;=$C20,AR$4&lt;=$D20,'Вводные'!$B$89="Да"),"■","")</x:f>
      </x:c>
      <x:c r="AS20" s="141" t="str">
        <x:f>IF(AND(AS$4&gt;=$C20,AS$4&lt;=$D20,'Вводные'!$B$89="Да"),"■","")</x:f>
      </x:c>
      <x:c r="AT20" s="141" t="str">
        <x:f>IF(AND(AT$4&gt;=$C20,AT$4&lt;=$D20,'Вводные'!$B$89="Да"),"■","")</x:f>
      </x:c>
      <x:c r="AU20" s="141" t="str">
        <x:f>IF(AND(AU$4&gt;=$C20,AU$4&lt;=$D20,'Вводные'!$B$89="Да"),"■","")</x:f>
      </x:c>
      <x:c r="AV20" s="141" t="str">
        <x:f>IF(AND(AV$4&gt;=$C20,AV$4&lt;=$D20,'Вводные'!$B$89="Да"),"■","")</x:f>
      </x:c>
      <x:c r="AW20" s="141" t="str">
        <x:f>IF(AND(AW$4&gt;=$C20,AW$4&lt;=$D20,'Вводные'!$B$89="Да"),"■","")</x:f>
      </x:c>
      <x:c r="AX20" s="141" t="str">
        <x:f>IF(AND(AX$4&gt;=$C20,AX$4&lt;=$D20,'Вводные'!$B$89="Да"),"■","")</x:f>
      </x:c>
      <x:c r="AY20" s="141" t="str">
        <x:f>IF(AND(AY$4&gt;=$C20,AY$4&lt;=$D20,'Вводные'!$B$89="Да"),"■","")</x:f>
      </x:c>
      <x:c r="AZ20" s="141" t="str">
        <x:f>IF(AND(AZ$4&gt;=$C20,AZ$4&lt;=$D20,'Вводные'!$B$89="Да"),"■","")</x:f>
      </x:c>
      <x:c r="BA20" s="141" t="str">
        <x:f>IF(AND(BA$4&gt;=$C20,BA$4&lt;=$D20,'Вводные'!$B$89="Да"),"■","")</x:f>
      </x:c>
      <x:c r="BB20" s="141" t="str">
        <x:f>IF(AND(BB$4&gt;=$C20,BB$4&lt;=$D20,'Вводные'!$B$89="Да"),"■","")</x:f>
      </x:c>
      <x:c r="BC20" s="141" t="str">
        <x:f>IF(AND(BC$4&gt;=$C20,BC$4&lt;=$D20,'Вводные'!$B$89="Да"),"■","")</x:f>
      </x:c>
      <x:c r="BD20" s="141" t="str">
        <x:f>IF(AND(BD$4&gt;=$C20,BD$4&lt;=$D20,'Вводные'!$B$89="Да"),"■","")</x:f>
      </x:c>
      <x:c r="BE20" s="141" t="str">
        <x:f>IF(AND(BE$4&gt;=$C20,BE$4&lt;=$D20,'Вводные'!$B$89="Да"),"■","")</x:f>
      </x:c>
      <x:c r="BF20" s="141" t="str">
        <x:f>IF(AND(BF$4&gt;=$C20,BF$4&lt;=$D20,'Вводные'!$B$89="Да"),"■","")</x:f>
      </x:c>
      <x:c r="BG20" s="141" t="str">
        <x:f>IF(AND(BG$4&gt;=$C20,BG$4&lt;=$D20,'Вводные'!$B$89="Да"),"■","")</x:f>
      </x:c>
      <x:c r="BH20" s="141" t="str">
        <x:f>IF(AND(BH$4&gt;=$C20,BH$4&lt;=$D20,'Вводные'!$B$89="Да"),"■","")</x:f>
      </x:c>
      <x:c r="BI20" s="141" t="str">
        <x:f>IF(AND(BI$4&gt;=$C20,BI$4&lt;=$D20,'Вводные'!$B$89="Да"),"■","")</x:f>
      </x:c>
      <x:c r="BJ20" s="141" t="str">
        <x:f>IF(AND(BJ$4&gt;=$C20,BJ$4&lt;=$D20,'Вводные'!$B$89="Да"),"■","")</x:f>
      </x:c>
      <x:c r="BK20" s="141" t="str">
        <x:f>IF(AND(BK$4&gt;=$C20,BK$4&lt;=$D20,'Вводные'!$B$89="Да"),"■","")</x:f>
      </x:c>
      <x:c r="BL20" s="141" t="str">
        <x:f>IF(AND(BL$4&gt;=$C20,BL$4&lt;=$D20,'Вводные'!$B$89="Да"),"■","")</x:f>
      </x:c>
      <x:c r="BM20" s="141" t="str">
        <x:f>IF(AND(BM$4&gt;=$C20,BM$4&lt;=$D20,'Вводные'!$B$89="Да"),"■","")</x:f>
      </x:c>
      <x:c r="BN20" s="141" t="str">
        <x:f>IF(AND(BN$4&gt;=$C20,BN$4&lt;=$D20,'Вводные'!$B$89="Да"),"■","")</x:f>
      </x:c>
      <x:c r="BO20" s="141" t="str">
        <x:f>IF(AND(BO$4&gt;=$C20,BO$4&lt;=$D20,'Вводные'!$B$89="Да"),"■","")</x:f>
      </x:c>
      <x:c r="BP20" s="141" t="str">
        <x:f>IF(AND(BP$4&gt;=$C20,BP$4&lt;=$D20,'Вводные'!$B$89="Да"),"■","")</x:f>
      </x:c>
      <x:c r="BQ20" s="141" t="str">
        <x:f>IF(AND(BQ$4&gt;=$C20,BQ$4&lt;=$D20,'Вводные'!$B$89="Да"),"■","")</x:f>
      </x:c>
      <x:c r="BR20" s="141" t="str">
        <x:f>IF(AND(BR$4&gt;=$C20,BR$4&lt;=$D20,'Вводные'!$B$89="Да"),"■","")</x:f>
      </x:c>
      <x:c r="BS20" s="141" t="str">
        <x:f>IF(AND(BS$4&gt;=$C20,BS$4&lt;=$D20,'Вводные'!$B$89="Да"),"■","")</x:f>
      </x:c>
      <x:c r="BT20" s="141" t="str">
        <x:f>IF(AND(BT$4&gt;=$C20,BT$4&lt;=$D20,'Вводные'!$B$89="Да"),"■","")</x:f>
      </x:c>
      <x:c r="BU20" s="141" t="str">
        <x:f>IF(AND(BU$4&gt;=$C20,BU$4&lt;=$D20,'Вводные'!$B$89="Да"),"■","")</x:f>
      </x:c>
      <x:c r="BV20" s="141" t="str">
        <x:f>IF(AND(BV$4&gt;=$C20,BV$4&lt;=$D20,'Вводные'!$B$89="Да"),"■","")</x:f>
      </x:c>
      <x:c r="BW20" s="141" t="str">
        <x:f>IF(AND(BW$4&gt;=$C20,BW$4&lt;=$D20,'Вводные'!$B$89="Да"),"■","")</x:f>
      </x:c>
      <x:c r="BX20" s="141" t="str">
        <x:f>IF(AND(BX$4&gt;=$C20,BX$4&lt;=$D20,'Вводные'!$B$89="Да"),"■","")</x:f>
      </x:c>
      <x:c r="BY20" s="141" t="str">
        <x:f>IF(AND(BY$4&gt;=$C20,BY$4&lt;=$D20,'Вводные'!$B$89="Да"),"■","")</x:f>
      </x:c>
      <x:c r="BZ20" s="141" t="str">
        <x:f>IF(AND(BZ$4&gt;=$C20,BZ$4&lt;=$D20,'Вводные'!$B$89="Да"),"■","")</x:f>
      </x:c>
      <x:c r="CA20" s="141" t="str">
        <x:f>IF(AND(CA$4&gt;=$C20,CA$4&lt;=$D20,'Вводные'!$B$89="Да"),"■","")</x:f>
      </x:c>
      <x:c r="CB20" s="141" t="str">
        <x:f>IF(AND(CB$4&gt;=$C20,CB$4&lt;=$D20,'Вводные'!$B$89="Да"),"■","")</x:f>
      </x:c>
      <x:c r="CC20" s="141" t="str">
        <x:f>IF(AND(CC$4&gt;=$C20,CC$4&lt;=$D20,'Вводные'!$B$89="Да"),"■","")</x:f>
      </x:c>
      <x:c r="CD20" s="141" t="str">
        <x:f>IF(AND(CD$4&gt;=$C20,CD$4&lt;=$D20,'Вводные'!$B$89="Да"),"■","")</x:f>
      </x:c>
      <x:c r="CE20" s="141" t="str">
        <x:f>IF(AND(CE$4&gt;=$C20,CE$4&lt;=$D20,'Вводные'!$B$89="Да"),"■","")</x:f>
      </x:c>
      <x:c r="CF20" s="141" t="str">
        <x:f>IF(AND(CF$4&gt;=$C20,CF$4&lt;=$D20,'Вводные'!$B$89="Да"),"■","")</x:f>
      </x:c>
      <x:c r="CG20" s="141" t="str">
        <x:f>IF(AND(CG$4&gt;=$C20,CG$4&lt;=$D20,'Вводные'!$B$89="Да"),"■","")</x:f>
      </x:c>
      <x:c r="CH20" s="141" t="str">
        <x:f>IF(AND(CH$4&gt;=$C20,CH$4&lt;=$D20,'Вводные'!$B$89="Да"),"■","")</x:f>
      </x:c>
      <x:c r="CI20" s="141" t="str">
        <x:f>IF(AND(CI$4&gt;=$C20,CI$4&lt;=$D20,'Вводные'!$B$89="Да"),"■","")</x:f>
      </x:c>
      <x:c r="CJ20" s="141" t="str">
        <x:f>IF(AND(CJ$4&gt;=$C20,CJ$4&lt;=$D20,'Вводные'!$B$89="Да"),"■","")</x:f>
      </x:c>
      <x:c r="CK20" s="141" t="str">
        <x:f>IF(AND(CK$4&gt;=$C20,CK$4&lt;=$D20,'Вводные'!$B$89="Да"),"■","")</x:f>
      </x:c>
      <x:c r="CL20" s="141" t="str">
        <x:f>IF(AND(CL$4&gt;=$C20,CL$4&lt;=$D20,'Вводные'!$B$89="Да"),"■","")</x:f>
      </x:c>
      <x:c r="CM20" s="141" t="str">
        <x:f>IF(AND(CM$4&gt;=$C20,CM$4&lt;=$D20,'Вводные'!$B$89="Да"),"■","")</x:f>
      </x:c>
      <x:c r="CN20" s="141" t="str">
        <x:f>IF(AND(CN$4&gt;=$C20,CN$4&lt;=$D20,'Вводные'!$B$89="Да"),"■","")</x:f>
      </x:c>
      <x:c r="CO20" s="141" t="str">
        <x:f>IF(AND(CO$4&gt;=$C20,CO$4&lt;=$D20,'Вводные'!$B$89="Да"),"■","")</x:f>
      </x:c>
      <x:c r="CP20" s="141" t="str">
        <x:f>IF(AND(CP$4&gt;=$C20,CP$4&lt;=$D20,'Вводные'!$B$89="Да"),"■","")</x:f>
      </x:c>
      <x:c r="CQ20" s="141" t="str">
        <x:f>IF(AND(CQ$4&gt;=$C20,CQ$4&lt;=$D20,'Вводные'!$B$89="Да"),"■","")</x:f>
      </x:c>
      <x:c r="CR20" s="141" t="str">
        <x:f>IF(AND(CR$4&gt;=$C20,CR$4&lt;=$D20,'Вводные'!$B$89="Да"),"■","")</x:f>
      </x:c>
      <x:c r="CS20" s="141" t="str">
        <x:f>IF(AND(CS$4&gt;=$C20,CS$4&lt;=$D20,'Вводные'!$B$89="Да"),"■","")</x:f>
      </x:c>
      <x:c r="CT20" s="141" t="str">
        <x:f>IF(AND(CT$4&gt;=$C20,CT$4&lt;=$D20,'Вводные'!$B$89="Да"),"■","")</x:f>
      </x:c>
      <x:c r="CU20" s="141" t="str">
        <x:f>IF(AND(CU$4&gt;=$C20,CU$4&lt;=$D20,'Вводные'!$B$89="Да"),"■","")</x:f>
      </x:c>
      <x:c r="CV20" s="141" t="str">
        <x:f>IF(AND(CV$4&gt;=$C20,CV$4&lt;=$D20,'Вводные'!$B$89="Да"),"■","")</x:f>
      </x:c>
      <x:c r="CW20" s="141" t="str">
        <x:f>IF(AND(CW$4&gt;=$C20,CW$4&lt;=$D20,'Вводные'!$B$89="Да"),"■","")</x:f>
      </x:c>
      <x:c r="CX20" s="141" t="str">
        <x:f>IF(AND(CX$4&gt;=$C20,CX$4&lt;=$D20,'Вводные'!$B$89="Да"),"■","")</x:f>
      </x:c>
      <x:c r="CY20" s="141" t="str">
        <x:f>IF(AND(CY$4&gt;=$C20,CY$4&lt;=$D20,'Вводные'!$B$89="Да"),"■","")</x:f>
      </x:c>
      <x:c r="CZ20" s="141" t="str">
        <x:f>IF(AND(CZ$4&gt;=$C20,CZ$4&lt;=$D20,'Вводные'!$B$89="Да"),"■","")</x:f>
      </x:c>
      <x:c r="DA20" s="141" t="str">
        <x:f>IF(AND(DA$4&gt;=$C20,DA$4&lt;=$D20,'Вводные'!$B$89="Да"),"■","")</x:f>
      </x:c>
      <x:c r="DB20" s="141" t="str">
        <x:f>IF(AND(DB$4&gt;=$C20,DB$4&lt;=$D20,'Вводные'!$B$89="Да"),"■","")</x:f>
      </x:c>
      <x:c r="DC20" s="141" t="str">
        <x:f>IF(AND(DC$4&gt;=$C20,DC$4&lt;=$D20,'Вводные'!$B$89="Да"),"■","")</x:f>
      </x:c>
      <x:c r="DD20" s="141" t="str">
        <x:f>IF(AND(DD$4&gt;=$C20,DD$4&lt;=$D20,'Вводные'!$B$89="Да"),"■","")</x:f>
      </x:c>
      <x:c r="DE20" s="141" t="str">
        <x:f>IF(AND(DE$4&gt;=$C20,DE$4&lt;=$D20,'Вводные'!$B$89="Да"),"■","")</x:f>
      </x:c>
      <x:c r="DF20" s="141" t="str">
        <x:f>IF(AND(DF$4&gt;=$C20,DF$4&lt;=$D20,'Вводные'!$B$89="Да"),"■","")</x:f>
      </x:c>
      <x:c r="DG20" s="141" t="str">
        <x:f>IF(AND(DG$4&gt;=$C20,DG$4&lt;=$D20,'Вводные'!$B$89="Да"),"■","")</x:f>
      </x:c>
      <x:c r="DH20" s="141" t="str">
        <x:f>IF(AND(DH$4&gt;=$C20,DH$4&lt;=$D20,'Вводные'!$B$89="Да"),"■","")</x:f>
      </x:c>
      <x:c r="DI20" s="141" t="str">
        <x:f>IF(AND(DI$4&gt;=$C20,DI$4&lt;=$D20,'Вводные'!$B$89="Да"),"■","")</x:f>
      </x:c>
      <x:c r="DJ20" s="141" t="str">
        <x:f>IF(AND(DJ$4&gt;=$C20,DJ$4&lt;=$D20,'Вводные'!$B$89="Да"),"■","")</x:f>
      </x:c>
      <x:c r="DK20" s="141" t="str">
        <x:f>IF(AND(DK$4&gt;=$C20,DK$4&lt;=$D20,'Вводные'!$B$89="Да"),"■","")</x:f>
      </x:c>
      <x:c r="DL20" s="141" t="str">
        <x:f>IF(AND(DL$4&gt;=$C20,DL$4&lt;=$D20,'Вводные'!$B$89="Да"),"■","")</x:f>
      </x:c>
      <x:c r="DM20" s="141" t="str">
        <x:f>IF(AND(DM$4&gt;=$C20,DM$4&lt;=$D20,'Вводные'!$B$89="Да"),"■","")</x:f>
      </x:c>
      <x:c r="DN20" s="141" t="str">
        <x:f>IF(AND(DN$4&gt;=$C20,DN$4&lt;=$D20,'Вводные'!$B$89="Да"),"■","")</x:f>
      </x:c>
      <x:c r="DO20" s="141" t="str">
        <x:f>IF(AND(DO$4&gt;=$C20,DO$4&lt;=$D20,'Вводные'!$B$89="Да"),"■","")</x:f>
      </x:c>
      <x:c r="DP20" s="141" t="str">
        <x:f>IF(AND(DP$4&gt;=$C20,DP$4&lt;=$D20,'Вводные'!$B$89="Да"),"■","")</x:f>
      </x:c>
      <x:c r="DQ20" s="141" t="str">
        <x:f>IF(AND(DQ$4&gt;=$C20,DQ$4&lt;=$D20,'Вводные'!$B$89="Да"),"■","")</x:f>
      </x:c>
      <x:c r="DR20" s="141" t="str">
        <x:f>IF(AND(DR$4&gt;=$C20,DR$4&lt;=$D20,'Вводные'!$B$89="Да"),"■","")</x:f>
      </x:c>
      <x:c r="DS20" s="141" t="str">
        <x:f>IF(AND(DS$4&gt;=$C20,DS$4&lt;=$D20,'Вводные'!$B$89="Да"),"■","")</x:f>
      </x:c>
      <x:c r="DT20" s="141" t="str">
        <x:f>IF(AND(DT$4&gt;=$C20,DT$4&lt;=$D20,'Вводные'!$B$89="Да"),"■","")</x:f>
      </x:c>
      <x:c r="DU20" s="141" t="str">
        <x:f>IF(AND(DU$4&gt;=$C20,DU$4&lt;=$D20,'Вводные'!$B$89="Да"),"■","")</x:f>
      </x:c>
      <x:c r="DV20" s="141" t="str">
        <x:f>IF(AND(DV$4&gt;=$C20,DV$4&lt;=$D20,'Вводные'!$B$89="Да"),"■","")</x:f>
      </x:c>
      <x:c r="DW20" s="141" t="str">
        <x:f>IF(AND(DW$4&gt;=$C20,DW$4&lt;=$D20,'Вводные'!$B$89="Да"),"■","")</x:f>
      </x:c>
      <x:c r="DX20" s="141" t="str">
        <x:f>IF(AND(DX$4&gt;=$C20,DX$4&lt;=$D20,'Вводные'!$B$89="Да"),"■","")</x:f>
      </x:c>
      <x:c r="DY20" s="141" t="str">
        <x:f>IF(AND(DY$4&gt;=$C20,DY$4&lt;=$D20,'Вводные'!$B$89="Да"),"■","")</x:f>
      </x:c>
      <x:c r="DZ20" s="141" t="str">
        <x:f>IF(AND(DZ$4&gt;=$C20,DZ$4&lt;=$D20,'Вводные'!$B$89="Да"),"■","")</x:f>
      </x:c>
      <x:c r="EA20" s="141" t="str">
        <x:f>IF(AND(EA$4&gt;=$C20,EA$4&lt;=$D20,'Вводные'!$B$89="Да"),"■","")</x:f>
      </x:c>
      <x:c r="EB20" s="141" t="str">
        <x:f>IF(AND(EB$4&gt;=$C20,EB$4&lt;=$D20,'Вводные'!$B$89="Да"),"■","")</x:f>
      </x:c>
      <x:c r="EC20" s="141" t="str">
        <x:f>IF(AND(EC$4&gt;=$C20,EC$4&lt;=$D20,'Вводные'!$B$89="Да"),"■","")</x:f>
      </x:c>
      <x:c r="ED20" s="141" t="str">
        <x:f>IF(AND(ED$4&gt;=$C20,ED$4&lt;=$D20,'Вводные'!$B$89="Да"),"■","")</x:f>
      </x:c>
      <x:c r="EE20" s="141" t="str">
        <x:f>IF(AND(EE$4&gt;=$C20,EE$4&lt;=$D20,'Вводные'!$B$89="Да"),"■","")</x:f>
      </x:c>
      <x:c r="EF20" s="141" t="str">
        <x:f>IF(AND(EF$4&gt;=$C20,EF$4&lt;=$D20,'Вводные'!$B$89="Да"),"■","")</x:f>
      </x:c>
      <x:c r="EG20" s="141" t="str">
        <x:f>IF(AND(EG$4&gt;=$C20,EG$4&lt;=$D20,'Вводные'!$B$89="Да"),"■","")</x:f>
      </x:c>
      <x:c r="EH20" s="141" t="str">
        <x:f>IF(AND(EH$4&gt;=$C20,EH$4&lt;=$D20,'Вводные'!$B$89="Да"),"■","")</x:f>
      </x:c>
      <x:c r="EI20" s="141" t="str">
        <x:f>IF(AND(EI$4&gt;=$C20,EI$4&lt;=$D20,'Вводные'!$B$89="Да"),"■","")</x:f>
      </x:c>
      <x:c r="EJ20" s="141" t="str">
        <x:f>IF(AND(EJ$4&gt;=$C20,EJ$4&lt;=$D20,'Вводные'!$B$89="Да"),"■","")</x:f>
      </x:c>
      <x:c r="EK20" s="141" t="str">
        <x:f>IF(AND(EK$4&gt;=$C20,EK$4&lt;=$D20,'Вводные'!$B$89="Да"),"■","")</x:f>
      </x:c>
      <x:c r="EL20" s="141" t="str">
        <x:f>IF(AND(EL$4&gt;=$C20,EL$4&lt;=$D20,'Вводные'!$B$89="Да"),"■","")</x:f>
      </x:c>
      <x:c r="EM20" s="141" t="str">
        <x:f>IF(AND(EM$4&gt;=$C20,EM$4&lt;=$D20,'Вводные'!$B$89="Да"),"■","")</x:f>
      </x:c>
      <x:c r="EN20" s="141" t="str">
        <x:f>IF(AND(EN$4&gt;=$C20,EN$4&lt;=$D20,'Вводные'!$B$89="Да"),"■","")</x:f>
      </x:c>
      <x:c r="EO20" s="141" t="str">
        <x:f>IF(AND(EO$4&gt;=$C20,EO$4&lt;=$D20,'Вводные'!$B$89="Да"),"■","")</x:f>
      </x:c>
      <x:c r="EP20" s="141" t="str">
        <x:f>IF(AND(EP$4&gt;=$C20,EP$4&lt;=$D20,'Вводные'!$B$89="Да"),"■","")</x:f>
      </x:c>
      <x:c r="EQ20" s="141" t="str">
        <x:f>IF(AND(EQ$4&gt;=$C20,EQ$4&lt;=$D20,'Вводные'!$B$89="Да"),"■","")</x:f>
      </x:c>
      <x:c r="ER20" s="141" t="str">
        <x:f>IF(AND(ER$4&gt;=$C20,ER$4&lt;=$D20,'Вводные'!$B$89="Да"),"■","")</x:f>
      </x:c>
      <x:c r="ES20" s="141" t="str">
        <x:f>IF(AND(ES$4&gt;=$C20,ES$4&lt;=$D20,'Вводные'!$B$89="Да"),"■","")</x:f>
      </x:c>
      <x:c r="ET20" s="141" t="str">
        <x:f>IF(AND(ET$4&gt;=$C20,ET$4&lt;=$D20,'Вводные'!$B$89="Да"),"■","")</x:f>
      </x:c>
      <x:c r="EU20" s="141" t="str">
        <x:f>IF(AND(EU$4&gt;=$C20,EU$4&lt;=$D20,'Вводные'!$B$89="Да"),"■","")</x:f>
      </x:c>
      <x:c r="EV20" s="141" t="str">
        <x:f>IF(AND(EV$4&gt;=$C20,EV$4&lt;=$D20,'Вводные'!$B$89="Да"),"■","")</x:f>
      </x:c>
      <x:c r="EW20" s="141" t="str">
        <x:f>IF(AND(EW$4&gt;=$C20,EW$4&lt;=$D20,'Вводные'!$B$89="Да"),"■","")</x:f>
      </x:c>
      <x:c r="EX20" s="141" t="str">
        <x:f>IF(AND(EX$4&gt;=$C20,EX$4&lt;=$D20,'Вводные'!$B$89="Да"),"■","")</x:f>
      </x:c>
      <x:c r="EY20" s="141" t="str">
        <x:f>IF(AND(EY$4&gt;=$C20,EY$4&lt;=$D20,'Вводные'!$B$89="Да"),"■","")</x:f>
      </x:c>
      <x:c r="EZ20" s="141" t="str">
        <x:f>IF(AND(EZ$4&gt;=$C20,EZ$4&lt;=$D20,'Вводные'!$B$89="Да"),"■","")</x:f>
      </x:c>
      <x:c r="FA20" s="141" t="str">
        <x:f>IF(AND(FA$4&gt;=$C20,FA$4&lt;=$D20,'Вводные'!$B$89="Да"),"■","")</x:f>
      </x:c>
      <x:c r="FB20" s="141" t="str">
        <x:f>IF(AND(FB$4&gt;=$C20,FB$4&lt;=$D20,'Вводные'!$B$89="Да"),"■","")</x:f>
      </x:c>
      <x:c r="FC20" s="141" t="str">
        <x:f>IF(AND(FC$4&gt;=$C20,FC$4&lt;=$D20,'Вводные'!$B$89="Да"),"■","")</x:f>
      </x:c>
      <x:c r="FD20" s="141" t="str">
        <x:f>IF(AND(FD$4&gt;=$C20,FD$4&lt;=$D20,'Вводные'!$B$89="Да"),"■","")</x:f>
      </x:c>
      <x:c r="FE20" s="141" t="str">
        <x:f>IF(AND(FE$4&gt;=$C20,FE$4&lt;=$D20,'Вводные'!$B$89="Да"),"■","")</x:f>
      </x:c>
      <x:c r="FF20" s="141" t="str">
        <x:f>IF(AND(FF$4&gt;=$C20,FF$4&lt;=$D20,'Вводные'!$B$89="Да"),"■","")</x:f>
      </x:c>
      <x:c r="FG20" s="141" t="str">
        <x:f>IF(AND(FG$4&gt;=$C20,FG$4&lt;=$D20,'Вводные'!$B$89="Да"),"■","")</x:f>
      </x:c>
      <x:c r="FH20" s="141" t="str">
        <x:f>IF(AND(FH$4&gt;=$C20,FH$4&lt;=$D20,'Вводные'!$B$89="Да"),"■","")</x:f>
      </x:c>
      <x:c r="FI20" s="141" t="str">
        <x:f>IF(AND(FI$4&gt;=$C20,FI$4&lt;=$D20,'Вводные'!$B$89="Да"),"■","")</x:f>
      </x:c>
      <x:c r="FJ20" s="141" t="str">
        <x:f>IF(AND(FJ$4&gt;=$C20,FJ$4&lt;=$D20,'Вводные'!$B$89="Да"),"■","")</x:f>
      </x:c>
      <x:c r="FK20" s="141" t="str">
        <x:f>IF(AND(FK$4&gt;=$C20,FK$4&lt;=$D20,'Вводные'!$B$89="Да"),"■","")</x:f>
      </x:c>
      <x:c r="FL20" s="141" t="str">
        <x:f>IF(AND(FL$4&gt;=$C20,FL$4&lt;=$D20,'Вводные'!$B$89="Да"),"■","")</x:f>
      </x:c>
      <x:c r="FM20" s="141" t="str">
        <x:f>IF(AND(FM$4&gt;=$C20,FM$4&lt;=$D20,'Вводные'!$B$89="Да"),"■","")</x:f>
      </x:c>
      <x:c r="FN20" s="141" t="str">
        <x:f>IF(AND(FN$4&gt;=$C20,FN$4&lt;=$D20,'Вводные'!$B$89="Да"),"■","")</x:f>
      </x:c>
      <x:c r="FO20" s="141" t="str">
        <x:f>IF(AND(FO$4&gt;=$C20,FO$4&lt;=$D20,'Вводные'!$B$89="Да"),"■","")</x:f>
      </x:c>
      <x:c r="FP20" s="141" t="str">
        <x:f>IF(AND(FP$4&gt;=$C20,FP$4&lt;=$D20,'Вводные'!$B$89="Да"),"■","")</x:f>
      </x:c>
      <x:c r="FQ20" s="141" t="str">
        <x:f>IF(AND(FQ$4&gt;=$C20,FQ$4&lt;=$D20,'Вводные'!$B$89="Да"),"■","")</x:f>
      </x:c>
      <x:c r="FR20" s="141" t="str">
        <x:f>IF(AND(FR$4&gt;=$C20,FR$4&lt;=$D20,'Вводные'!$B$89="Да"),"■","")</x:f>
      </x:c>
      <x:c r="FS20" s="141" t="str">
        <x:f>IF(AND(FS$4&gt;=$C20,FS$4&lt;=$D20,'Вводные'!$B$89="Да"),"■","")</x:f>
      </x:c>
      <x:c r="FT20" s="141" t="str">
        <x:f>IF(AND(FT$4&gt;=$C20,FT$4&lt;=$D20,'Вводные'!$B$89="Да"),"■","")</x:f>
      </x:c>
      <x:c r="FU20" s="141" t="str">
        <x:f>IF(AND(FU$4&gt;=$C20,FU$4&lt;=$D20,'Вводные'!$B$89="Да"),"■","")</x:f>
      </x:c>
      <x:c r="FV20" s="141" t="str">
        <x:f>IF(AND(FV$4&gt;=$C20,FV$4&lt;=$D20,'Вводные'!$B$89="Да"),"■","")</x:f>
      </x:c>
      <x:c r="FW20" s="141" t="str">
        <x:f>IF(AND(FW$4&gt;=$C20,FW$4&lt;=$D20,'Вводные'!$B$89="Да"),"■","")</x:f>
      </x:c>
      <x:c r="FX20" s="141" t="str">
        <x:f>IF(AND(FX$4&gt;=$C20,FX$4&lt;=$D20,'Вводные'!$B$89="Да"),"■","")</x:f>
      </x:c>
      <x:c r="FY20" s="141" t="str">
        <x:f>IF(AND(FY$4&gt;=$C20,FY$4&lt;=$D20,'Вводные'!$B$89="Да"),"■","")</x:f>
      </x:c>
      <x:c r="FZ20" s="141" t="str">
        <x:f>IF(AND(FZ$4&gt;=$C20,FZ$4&lt;=$D20,'Вводные'!$B$89="Да"),"■","")</x:f>
      </x:c>
      <x:c r="GA20" s="141" t="str">
        <x:f>IF(AND(GA$4&gt;=$C20,GA$4&lt;=$D20,'Вводные'!$B$89="Да"),"■","")</x:f>
      </x:c>
      <x:c r="GB20" s="141" t="str">
        <x:f>IF(AND(GB$4&gt;=$C20,GB$4&lt;=$D20,'Вводные'!$B$89="Да"),"■","")</x:f>
      </x:c>
    </x:row>
    <x:row r="21">
      <x:c r="A21" t="str">
        <x:f>'Вводные'!$C$89</x:f>
      </x:c>
      <x:c r="B21" t="str">
        <x:v>РВЭ</x:v>
      </x:c>
      <x:c r="C21" s="92" t="n">
        <x:f>'CF_2'!B8</x:f>
      </x:c>
      <x:c r="D21" s="92" t="n">
        <x:f>C21</x:f>
      </x:c>
      <x:c r="E21" s="135" t="str">
        <x:f>IF(AND(E$4&gt;=$C21,E$4&lt;=$D21,'Вводные'!$B$89="Да"),"■","")</x:f>
      </x:c>
      <x:c r="F21" s="135" t="str">
        <x:f>IF(AND(F$4&gt;=$C21,F$4&lt;=$D21,'Вводные'!$B$89="Да"),"■","")</x:f>
      </x:c>
      <x:c r="G21" s="135" t="str">
        <x:f>IF(AND(G$4&gt;=$C21,G$4&lt;=$D21,'Вводные'!$B$89="Да"),"■","")</x:f>
      </x:c>
      <x:c r="H21" s="135" t="str">
        <x:f>IF(AND(H$4&gt;=$C21,H$4&lt;=$D21,'Вводные'!$B$89="Да"),"■","")</x:f>
      </x:c>
      <x:c r="I21" s="135" t="str">
        <x:f>IF(AND(I$4&gt;=$C21,I$4&lt;=$D21,'Вводные'!$B$89="Да"),"■","")</x:f>
      </x:c>
      <x:c r="J21" s="135" t="str">
        <x:f>IF(AND(J$4&gt;=$C21,J$4&lt;=$D21,'Вводные'!$B$89="Да"),"■","")</x:f>
      </x:c>
      <x:c r="K21" s="135" t="str">
        <x:f>IF(AND(K$4&gt;=$C21,K$4&lt;=$D21,'Вводные'!$B$89="Да"),"■","")</x:f>
      </x:c>
      <x:c r="L21" s="135" t="str">
        <x:f>IF(AND(L$4&gt;=$C21,L$4&lt;=$D21,'Вводные'!$B$89="Да"),"■","")</x:f>
      </x:c>
      <x:c r="M21" s="135" t="str">
        <x:f>IF(AND(M$4&gt;=$C21,M$4&lt;=$D21,'Вводные'!$B$89="Да"),"■","")</x:f>
      </x:c>
      <x:c r="N21" s="135" t="str">
        <x:f>IF(AND(N$4&gt;=$C21,N$4&lt;=$D21,'Вводные'!$B$89="Да"),"■","")</x:f>
      </x:c>
      <x:c r="O21" s="135" t="str">
        <x:f>IF(AND(O$4&gt;=$C21,O$4&lt;=$D21,'Вводные'!$B$89="Да"),"■","")</x:f>
      </x:c>
      <x:c r="P21" s="135" t="str">
        <x:f>IF(AND(P$4&gt;=$C21,P$4&lt;=$D21,'Вводные'!$B$89="Да"),"■","")</x:f>
      </x:c>
      <x:c r="Q21" s="135" t="str">
        <x:f>IF(AND(Q$4&gt;=$C21,Q$4&lt;=$D21,'Вводные'!$B$89="Да"),"■","")</x:f>
      </x:c>
      <x:c r="R21" s="135" t="str">
        <x:f>IF(AND(R$4&gt;=$C21,R$4&lt;=$D21,'Вводные'!$B$89="Да"),"■","")</x:f>
      </x:c>
      <x:c r="S21" s="135" t="str">
        <x:f>IF(AND(S$4&gt;=$C21,S$4&lt;=$D21,'Вводные'!$B$89="Да"),"■","")</x:f>
      </x:c>
      <x:c r="T21" s="135" t="str">
        <x:f>IF(AND(T$4&gt;=$C21,T$4&lt;=$D21,'Вводные'!$B$89="Да"),"■","")</x:f>
      </x:c>
      <x:c r="U21" s="135" t="str">
        <x:f>IF(AND(U$4&gt;=$C21,U$4&lt;=$D21,'Вводные'!$B$89="Да"),"■","")</x:f>
      </x:c>
      <x:c r="V21" s="135" t="str">
        <x:f>IF(AND(V$4&gt;=$C21,V$4&lt;=$D21,'Вводные'!$B$89="Да"),"■","")</x:f>
      </x:c>
      <x:c r="W21" s="135" t="str">
        <x:f>IF(AND(W$4&gt;=$C21,W$4&lt;=$D21,'Вводные'!$B$89="Да"),"■","")</x:f>
      </x:c>
      <x:c r="X21" s="135" t="str">
        <x:f>IF(AND(X$4&gt;=$C21,X$4&lt;=$D21,'Вводные'!$B$89="Да"),"■","")</x:f>
      </x:c>
      <x:c r="Y21" s="135" t="str">
        <x:f>IF(AND(Y$4&gt;=$C21,Y$4&lt;=$D21,'Вводные'!$B$89="Да"),"■","")</x:f>
      </x:c>
      <x:c r="Z21" s="135" t="str">
        <x:f>IF(AND(Z$4&gt;=$C21,Z$4&lt;=$D21,'Вводные'!$B$89="Да"),"■","")</x:f>
      </x:c>
      <x:c r="AA21" s="135" t="str">
        <x:f>IF(AND(AA$4&gt;=$C21,AA$4&lt;=$D21,'Вводные'!$B$89="Да"),"■","")</x:f>
      </x:c>
      <x:c r="AB21" s="135" t="str">
        <x:f>IF(AND(AB$4&gt;=$C21,AB$4&lt;=$D21,'Вводные'!$B$89="Да"),"■","")</x:f>
      </x:c>
      <x:c r="AC21" s="135" t="str">
        <x:f>IF(AND(AC$4&gt;=$C21,AC$4&lt;=$D21,'Вводные'!$B$89="Да"),"■","")</x:f>
      </x:c>
      <x:c r="AD21" s="135" t="str">
        <x:f>IF(AND(AD$4&gt;=$C21,AD$4&lt;=$D21,'Вводные'!$B$89="Да"),"■","")</x:f>
      </x:c>
      <x:c r="AE21" s="135" t="str">
        <x:f>IF(AND(AE$4&gt;=$C21,AE$4&lt;=$D21,'Вводные'!$B$89="Да"),"■","")</x:f>
      </x:c>
      <x:c r="AF21" s="135" t="str">
        <x:f>IF(AND(AF$4&gt;=$C21,AF$4&lt;=$D21,'Вводные'!$B$89="Да"),"■","")</x:f>
      </x:c>
      <x:c r="AG21" s="135" t="str">
        <x:f>IF(AND(AG$4&gt;=$C21,AG$4&lt;=$D21,'Вводные'!$B$89="Да"),"■","")</x:f>
      </x:c>
      <x:c r="AH21" s="135" t="str">
        <x:f>IF(AND(AH$4&gt;=$C21,AH$4&lt;=$D21,'Вводные'!$B$89="Да"),"■","")</x:f>
      </x:c>
      <x:c r="AI21" s="135" t="str">
        <x:f>IF(AND(AI$4&gt;=$C21,AI$4&lt;=$D21,'Вводные'!$B$89="Да"),"■","")</x:f>
      </x:c>
      <x:c r="AJ21" s="135" t="str">
        <x:f>IF(AND(AJ$4&gt;=$C21,AJ$4&lt;=$D21,'Вводные'!$B$89="Да"),"■","")</x:f>
      </x:c>
      <x:c r="AK21" s="135" t="str">
        <x:f>IF(AND(AK$4&gt;=$C21,AK$4&lt;=$D21,'Вводные'!$B$89="Да"),"■","")</x:f>
      </x:c>
      <x:c r="AL21" s="135" t="str">
        <x:f>IF(AND(AL$4&gt;=$C21,AL$4&lt;=$D21,'Вводные'!$B$89="Да"),"■","")</x:f>
      </x:c>
      <x:c r="AM21" s="135" t="str">
        <x:f>IF(AND(AM$4&gt;=$C21,AM$4&lt;=$D21,'Вводные'!$B$89="Да"),"■","")</x:f>
      </x:c>
      <x:c r="AN21" s="135" t="str">
        <x:f>IF(AND(AN$4&gt;=$C21,AN$4&lt;=$D21,'Вводные'!$B$89="Да"),"■","")</x:f>
      </x:c>
      <x:c r="AO21" s="135" t="str">
        <x:f>IF(AND(AO$4&gt;=$C21,AO$4&lt;=$D21,'Вводные'!$B$89="Да"),"■","")</x:f>
      </x:c>
      <x:c r="AP21" s="135" t="str">
        <x:f>IF(AND(AP$4&gt;=$C21,AP$4&lt;=$D21,'Вводные'!$B$89="Да"),"■","")</x:f>
      </x:c>
      <x:c r="AQ21" s="135" t="str">
        <x:f>IF(AND(AQ$4&gt;=$C21,AQ$4&lt;=$D21,'Вводные'!$B$89="Да"),"■","")</x:f>
      </x:c>
      <x:c r="AR21" s="135" t="str">
        <x:f>IF(AND(AR$4&gt;=$C21,AR$4&lt;=$D21,'Вводные'!$B$89="Да"),"■","")</x:f>
      </x:c>
      <x:c r="AS21" s="135" t="str">
        <x:f>IF(AND(AS$4&gt;=$C21,AS$4&lt;=$D21,'Вводные'!$B$89="Да"),"■","")</x:f>
      </x:c>
      <x:c r="AT21" s="135" t="str">
        <x:f>IF(AND(AT$4&gt;=$C21,AT$4&lt;=$D21,'Вводные'!$B$89="Да"),"■","")</x:f>
      </x:c>
      <x:c r="AU21" s="135" t="str">
        <x:f>IF(AND(AU$4&gt;=$C21,AU$4&lt;=$D21,'Вводные'!$B$89="Да"),"■","")</x:f>
      </x:c>
      <x:c r="AV21" s="135" t="str">
        <x:f>IF(AND(AV$4&gt;=$C21,AV$4&lt;=$D21,'Вводные'!$B$89="Да"),"■","")</x:f>
      </x:c>
      <x:c r="AW21" s="135" t="str">
        <x:f>IF(AND(AW$4&gt;=$C21,AW$4&lt;=$D21,'Вводные'!$B$89="Да"),"■","")</x:f>
      </x:c>
      <x:c r="AX21" s="135" t="str">
        <x:f>IF(AND(AX$4&gt;=$C21,AX$4&lt;=$D21,'Вводные'!$B$89="Да"),"■","")</x:f>
      </x:c>
      <x:c r="AY21" s="135" t="str">
        <x:f>IF(AND(AY$4&gt;=$C21,AY$4&lt;=$D21,'Вводные'!$B$89="Да"),"■","")</x:f>
      </x:c>
      <x:c r="AZ21" s="135" t="str">
        <x:f>IF(AND(AZ$4&gt;=$C21,AZ$4&lt;=$D21,'Вводные'!$B$89="Да"),"■","")</x:f>
      </x:c>
      <x:c r="BA21" s="135" t="str">
        <x:f>IF(AND(BA$4&gt;=$C21,BA$4&lt;=$D21,'Вводные'!$B$89="Да"),"■","")</x:f>
      </x:c>
      <x:c r="BB21" s="135" t="str">
        <x:f>IF(AND(BB$4&gt;=$C21,BB$4&lt;=$D21,'Вводные'!$B$89="Да"),"■","")</x:f>
      </x:c>
      <x:c r="BC21" s="135" t="str">
        <x:f>IF(AND(BC$4&gt;=$C21,BC$4&lt;=$D21,'Вводные'!$B$89="Да"),"■","")</x:f>
      </x:c>
      <x:c r="BD21" s="135" t="str">
        <x:f>IF(AND(BD$4&gt;=$C21,BD$4&lt;=$D21,'Вводные'!$B$89="Да"),"■","")</x:f>
      </x:c>
      <x:c r="BE21" s="135" t="str">
        <x:f>IF(AND(BE$4&gt;=$C21,BE$4&lt;=$D21,'Вводные'!$B$89="Да"),"■","")</x:f>
      </x:c>
      <x:c r="BF21" s="135" t="str">
        <x:f>IF(AND(BF$4&gt;=$C21,BF$4&lt;=$D21,'Вводные'!$B$89="Да"),"■","")</x:f>
      </x:c>
      <x:c r="BG21" s="135" t="str">
        <x:f>IF(AND(BG$4&gt;=$C21,BG$4&lt;=$D21,'Вводные'!$B$89="Да"),"■","")</x:f>
      </x:c>
      <x:c r="BH21" s="135" t="str">
        <x:f>IF(AND(BH$4&gt;=$C21,BH$4&lt;=$D21,'Вводные'!$B$89="Да"),"■","")</x:f>
      </x:c>
      <x:c r="BI21" s="135" t="str">
        <x:f>IF(AND(BI$4&gt;=$C21,BI$4&lt;=$D21,'Вводные'!$B$89="Да"),"■","")</x:f>
      </x:c>
      <x:c r="BJ21" s="135" t="str">
        <x:f>IF(AND(BJ$4&gt;=$C21,BJ$4&lt;=$D21,'Вводные'!$B$89="Да"),"■","")</x:f>
      </x:c>
      <x:c r="BK21" s="135" t="str">
        <x:f>IF(AND(BK$4&gt;=$C21,BK$4&lt;=$D21,'Вводные'!$B$89="Да"),"■","")</x:f>
      </x:c>
      <x:c r="BL21" s="135" t="str">
        <x:f>IF(AND(BL$4&gt;=$C21,BL$4&lt;=$D21,'Вводные'!$B$89="Да"),"■","")</x:f>
      </x:c>
      <x:c r="BM21" s="135" t="str">
        <x:f>IF(AND(BM$4&gt;=$C21,BM$4&lt;=$D21,'Вводные'!$B$89="Да"),"■","")</x:f>
      </x:c>
      <x:c r="BN21" s="135" t="str">
        <x:f>IF(AND(BN$4&gt;=$C21,BN$4&lt;=$D21,'Вводные'!$B$89="Да"),"■","")</x:f>
      </x:c>
      <x:c r="BO21" s="135" t="str">
        <x:f>IF(AND(BO$4&gt;=$C21,BO$4&lt;=$D21,'Вводные'!$B$89="Да"),"■","")</x:f>
      </x:c>
      <x:c r="BP21" s="135" t="str">
        <x:f>IF(AND(BP$4&gt;=$C21,BP$4&lt;=$D21,'Вводные'!$B$89="Да"),"■","")</x:f>
      </x:c>
      <x:c r="BQ21" s="135" t="str">
        <x:f>IF(AND(BQ$4&gt;=$C21,BQ$4&lt;=$D21,'Вводные'!$B$89="Да"),"■","")</x:f>
      </x:c>
      <x:c r="BR21" s="135" t="str">
        <x:f>IF(AND(BR$4&gt;=$C21,BR$4&lt;=$D21,'Вводные'!$B$89="Да"),"■","")</x:f>
      </x:c>
      <x:c r="BS21" s="135" t="str">
        <x:f>IF(AND(BS$4&gt;=$C21,BS$4&lt;=$D21,'Вводные'!$B$89="Да"),"■","")</x:f>
      </x:c>
      <x:c r="BT21" s="135" t="str">
        <x:f>IF(AND(BT$4&gt;=$C21,BT$4&lt;=$D21,'Вводные'!$B$89="Да"),"■","")</x:f>
      </x:c>
      <x:c r="BU21" s="135" t="str">
        <x:f>IF(AND(BU$4&gt;=$C21,BU$4&lt;=$D21,'Вводные'!$B$89="Да"),"■","")</x:f>
      </x:c>
      <x:c r="BV21" s="135" t="str">
        <x:f>IF(AND(BV$4&gt;=$C21,BV$4&lt;=$D21,'Вводные'!$B$89="Да"),"■","")</x:f>
      </x:c>
      <x:c r="BW21" s="135" t="str">
        <x:f>IF(AND(BW$4&gt;=$C21,BW$4&lt;=$D21,'Вводные'!$B$89="Да"),"■","")</x:f>
      </x:c>
      <x:c r="BX21" s="135" t="str">
        <x:f>IF(AND(BX$4&gt;=$C21,BX$4&lt;=$D21,'Вводные'!$B$89="Да"),"■","")</x:f>
      </x:c>
      <x:c r="BY21" s="135" t="str">
        <x:f>IF(AND(BY$4&gt;=$C21,BY$4&lt;=$D21,'Вводные'!$B$89="Да"),"■","")</x:f>
      </x:c>
      <x:c r="BZ21" s="135" t="str">
        <x:f>IF(AND(BZ$4&gt;=$C21,BZ$4&lt;=$D21,'Вводные'!$B$89="Да"),"■","")</x:f>
      </x:c>
      <x:c r="CA21" s="135" t="str">
        <x:f>IF(AND(CA$4&gt;=$C21,CA$4&lt;=$D21,'Вводные'!$B$89="Да"),"■","")</x:f>
      </x:c>
      <x:c r="CB21" s="135" t="str">
        <x:f>IF(AND(CB$4&gt;=$C21,CB$4&lt;=$D21,'Вводные'!$B$89="Да"),"■","")</x:f>
      </x:c>
      <x:c r="CC21" s="135" t="str">
        <x:f>IF(AND(CC$4&gt;=$C21,CC$4&lt;=$D21,'Вводные'!$B$89="Да"),"■","")</x:f>
      </x:c>
      <x:c r="CD21" s="135" t="str">
        <x:f>IF(AND(CD$4&gt;=$C21,CD$4&lt;=$D21,'Вводные'!$B$89="Да"),"■","")</x:f>
      </x:c>
      <x:c r="CE21" s="135" t="str">
        <x:f>IF(AND(CE$4&gt;=$C21,CE$4&lt;=$D21,'Вводные'!$B$89="Да"),"■","")</x:f>
      </x:c>
      <x:c r="CF21" s="135" t="str">
        <x:f>IF(AND(CF$4&gt;=$C21,CF$4&lt;=$D21,'Вводные'!$B$89="Да"),"■","")</x:f>
      </x:c>
      <x:c r="CG21" s="135" t="str">
        <x:f>IF(AND(CG$4&gt;=$C21,CG$4&lt;=$D21,'Вводные'!$B$89="Да"),"■","")</x:f>
      </x:c>
      <x:c r="CH21" s="135" t="str">
        <x:f>IF(AND(CH$4&gt;=$C21,CH$4&lt;=$D21,'Вводные'!$B$89="Да"),"■","")</x:f>
      </x:c>
      <x:c r="CI21" s="135" t="str">
        <x:f>IF(AND(CI$4&gt;=$C21,CI$4&lt;=$D21,'Вводные'!$B$89="Да"),"■","")</x:f>
      </x:c>
      <x:c r="CJ21" s="135" t="str">
        <x:f>IF(AND(CJ$4&gt;=$C21,CJ$4&lt;=$D21,'Вводные'!$B$89="Да"),"■","")</x:f>
      </x:c>
      <x:c r="CK21" s="135" t="str">
        <x:f>IF(AND(CK$4&gt;=$C21,CK$4&lt;=$D21,'Вводные'!$B$89="Да"),"■","")</x:f>
      </x:c>
      <x:c r="CL21" s="135" t="str">
        <x:f>IF(AND(CL$4&gt;=$C21,CL$4&lt;=$D21,'Вводные'!$B$89="Да"),"■","")</x:f>
      </x:c>
      <x:c r="CM21" s="135" t="str">
        <x:f>IF(AND(CM$4&gt;=$C21,CM$4&lt;=$D21,'Вводные'!$B$89="Да"),"■","")</x:f>
      </x:c>
      <x:c r="CN21" s="135" t="str">
        <x:f>IF(AND(CN$4&gt;=$C21,CN$4&lt;=$D21,'Вводные'!$B$89="Да"),"■","")</x:f>
      </x:c>
      <x:c r="CO21" s="135" t="str">
        <x:f>IF(AND(CO$4&gt;=$C21,CO$4&lt;=$D21,'Вводные'!$B$89="Да"),"■","")</x:f>
      </x:c>
      <x:c r="CP21" s="135" t="str">
        <x:f>IF(AND(CP$4&gt;=$C21,CP$4&lt;=$D21,'Вводные'!$B$89="Да"),"■","")</x:f>
      </x:c>
      <x:c r="CQ21" s="135" t="str">
        <x:f>IF(AND(CQ$4&gt;=$C21,CQ$4&lt;=$D21,'Вводные'!$B$89="Да"),"■","")</x:f>
      </x:c>
      <x:c r="CR21" s="135" t="str">
        <x:f>IF(AND(CR$4&gt;=$C21,CR$4&lt;=$D21,'Вводные'!$B$89="Да"),"■","")</x:f>
      </x:c>
      <x:c r="CS21" s="135" t="str">
        <x:f>IF(AND(CS$4&gt;=$C21,CS$4&lt;=$D21,'Вводные'!$B$89="Да"),"■","")</x:f>
      </x:c>
      <x:c r="CT21" s="135" t="str">
        <x:f>IF(AND(CT$4&gt;=$C21,CT$4&lt;=$D21,'Вводные'!$B$89="Да"),"■","")</x:f>
      </x:c>
      <x:c r="CU21" s="135" t="str">
        <x:f>IF(AND(CU$4&gt;=$C21,CU$4&lt;=$D21,'Вводные'!$B$89="Да"),"■","")</x:f>
      </x:c>
      <x:c r="CV21" s="135" t="str">
        <x:f>IF(AND(CV$4&gt;=$C21,CV$4&lt;=$D21,'Вводные'!$B$89="Да"),"■","")</x:f>
      </x:c>
      <x:c r="CW21" s="135" t="str">
        <x:f>IF(AND(CW$4&gt;=$C21,CW$4&lt;=$D21,'Вводные'!$B$89="Да"),"■","")</x:f>
      </x:c>
      <x:c r="CX21" s="135" t="str">
        <x:f>IF(AND(CX$4&gt;=$C21,CX$4&lt;=$D21,'Вводные'!$B$89="Да"),"■","")</x:f>
      </x:c>
      <x:c r="CY21" s="135" t="str">
        <x:f>IF(AND(CY$4&gt;=$C21,CY$4&lt;=$D21,'Вводные'!$B$89="Да"),"■","")</x:f>
      </x:c>
      <x:c r="CZ21" s="135" t="str">
        <x:f>IF(AND(CZ$4&gt;=$C21,CZ$4&lt;=$D21,'Вводные'!$B$89="Да"),"■","")</x:f>
      </x:c>
      <x:c r="DA21" s="135" t="str">
        <x:f>IF(AND(DA$4&gt;=$C21,DA$4&lt;=$D21,'Вводные'!$B$89="Да"),"■","")</x:f>
      </x:c>
      <x:c r="DB21" s="135" t="str">
        <x:f>IF(AND(DB$4&gt;=$C21,DB$4&lt;=$D21,'Вводные'!$B$89="Да"),"■","")</x:f>
      </x:c>
      <x:c r="DC21" s="135" t="str">
        <x:f>IF(AND(DC$4&gt;=$C21,DC$4&lt;=$D21,'Вводные'!$B$89="Да"),"■","")</x:f>
      </x:c>
      <x:c r="DD21" s="135" t="str">
        <x:f>IF(AND(DD$4&gt;=$C21,DD$4&lt;=$D21,'Вводные'!$B$89="Да"),"■","")</x:f>
      </x:c>
      <x:c r="DE21" s="135" t="str">
        <x:f>IF(AND(DE$4&gt;=$C21,DE$4&lt;=$D21,'Вводные'!$B$89="Да"),"■","")</x:f>
      </x:c>
      <x:c r="DF21" s="135" t="str">
        <x:f>IF(AND(DF$4&gt;=$C21,DF$4&lt;=$D21,'Вводные'!$B$89="Да"),"■","")</x:f>
      </x:c>
      <x:c r="DG21" s="135" t="str">
        <x:f>IF(AND(DG$4&gt;=$C21,DG$4&lt;=$D21,'Вводные'!$B$89="Да"),"■","")</x:f>
      </x:c>
      <x:c r="DH21" s="135" t="str">
        <x:f>IF(AND(DH$4&gt;=$C21,DH$4&lt;=$D21,'Вводные'!$B$89="Да"),"■","")</x:f>
      </x:c>
      <x:c r="DI21" s="135" t="str">
        <x:f>IF(AND(DI$4&gt;=$C21,DI$4&lt;=$D21,'Вводные'!$B$89="Да"),"■","")</x:f>
      </x:c>
      <x:c r="DJ21" s="135" t="str">
        <x:f>IF(AND(DJ$4&gt;=$C21,DJ$4&lt;=$D21,'Вводные'!$B$89="Да"),"■","")</x:f>
      </x:c>
      <x:c r="DK21" s="135" t="str">
        <x:f>IF(AND(DK$4&gt;=$C21,DK$4&lt;=$D21,'Вводные'!$B$89="Да"),"■","")</x:f>
      </x:c>
      <x:c r="DL21" s="135" t="str">
        <x:f>IF(AND(DL$4&gt;=$C21,DL$4&lt;=$D21,'Вводные'!$B$89="Да"),"■","")</x:f>
      </x:c>
      <x:c r="DM21" s="135" t="str">
        <x:f>IF(AND(DM$4&gt;=$C21,DM$4&lt;=$D21,'Вводные'!$B$89="Да"),"■","")</x:f>
      </x:c>
      <x:c r="DN21" s="135" t="str">
        <x:f>IF(AND(DN$4&gt;=$C21,DN$4&lt;=$D21,'Вводные'!$B$89="Да"),"■","")</x:f>
      </x:c>
      <x:c r="DO21" s="135" t="str">
        <x:f>IF(AND(DO$4&gt;=$C21,DO$4&lt;=$D21,'Вводные'!$B$89="Да"),"■","")</x:f>
      </x:c>
      <x:c r="DP21" s="135" t="str">
        <x:f>IF(AND(DP$4&gt;=$C21,DP$4&lt;=$D21,'Вводные'!$B$89="Да"),"■","")</x:f>
      </x:c>
      <x:c r="DQ21" s="135" t="str">
        <x:f>IF(AND(DQ$4&gt;=$C21,DQ$4&lt;=$D21,'Вводные'!$B$89="Да"),"■","")</x:f>
      </x:c>
      <x:c r="DR21" s="135" t="str">
        <x:f>IF(AND(DR$4&gt;=$C21,DR$4&lt;=$D21,'Вводные'!$B$89="Да"),"■","")</x:f>
      </x:c>
      <x:c r="DS21" s="135" t="str">
        <x:f>IF(AND(DS$4&gt;=$C21,DS$4&lt;=$D21,'Вводные'!$B$89="Да"),"■","")</x:f>
      </x:c>
      <x:c r="DT21" s="135" t="str">
        <x:f>IF(AND(DT$4&gt;=$C21,DT$4&lt;=$D21,'Вводные'!$B$89="Да"),"■","")</x:f>
      </x:c>
      <x:c r="DU21" s="135" t="str">
        <x:f>IF(AND(DU$4&gt;=$C21,DU$4&lt;=$D21,'Вводные'!$B$89="Да"),"■","")</x:f>
      </x:c>
      <x:c r="DV21" s="135" t="str">
        <x:f>IF(AND(DV$4&gt;=$C21,DV$4&lt;=$D21,'Вводные'!$B$89="Да"),"■","")</x:f>
      </x:c>
      <x:c r="DW21" s="135" t="str">
        <x:f>IF(AND(DW$4&gt;=$C21,DW$4&lt;=$D21,'Вводные'!$B$89="Да"),"■","")</x:f>
      </x:c>
      <x:c r="DX21" s="135" t="str">
        <x:f>IF(AND(DX$4&gt;=$C21,DX$4&lt;=$D21,'Вводные'!$B$89="Да"),"■","")</x:f>
      </x:c>
      <x:c r="DY21" s="135" t="str">
        <x:f>IF(AND(DY$4&gt;=$C21,DY$4&lt;=$D21,'Вводные'!$B$89="Да"),"■","")</x:f>
      </x:c>
      <x:c r="DZ21" s="135" t="str">
        <x:f>IF(AND(DZ$4&gt;=$C21,DZ$4&lt;=$D21,'Вводные'!$B$89="Да"),"■","")</x:f>
      </x:c>
      <x:c r="EA21" s="135" t="str">
        <x:f>IF(AND(EA$4&gt;=$C21,EA$4&lt;=$D21,'Вводные'!$B$89="Да"),"■","")</x:f>
      </x:c>
      <x:c r="EB21" s="135" t="str">
        <x:f>IF(AND(EB$4&gt;=$C21,EB$4&lt;=$D21,'Вводные'!$B$89="Да"),"■","")</x:f>
      </x:c>
      <x:c r="EC21" s="135" t="str">
        <x:f>IF(AND(EC$4&gt;=$C21,EC$4&lt;=$D21,'Вводные'!$B$89="Да"),"■","")</x:f>
      </x:c>
      <x:c r="ED21" s="135" t="str">
        <x:f>IF(AND(ED$4&gt;=$C21,ED$4&lt;=$D21,'Вводные'!$B$89="Да"),"■","")</x:f>
      </x:c>
      <x:c r="EE21" s="135" t="str">
        <x:f>IF(AND(EE$4&gt;=$C21,EE$4&lt;=$D21,'Вводные'!$B$89="Да"),"■","")</x:f>
      </x:c>
      <x:c r="EF21" s="135" t="str">
        <x:f>IF(AND(EF$4&gt;=$C21,EF$4&lt;=$D21,'Вводные'!$B$89="Да"),"■","")</x:f>
      </x:c>
      <x:c r="EG21" s="135" t="str">
        <x:f>IF(AND(EG$4&gt;=$C21,EG$4&lt;=$D21,'Вводные'!$B$89="Да"),"■","")</x:f>
      </x:c>
      <x:c r="EH21" s="135" t="str">
        <x:f>IF(AND(EH$4&gt;=$C21,EH$4&lt;=$D21,'Вводные'!$B$89="Да"),"■","")</x:f>
      </x:c>
      <x:c r="EI21" s="135" t="str">
        <x:f>IF(AND(EI$4&gt;=$C21,EI$4&lt;=$D21,'Вводные'!$B$89="Да"),"■","")</x:f>
      </x:c>
      <x:c r="EJ21" s="135" t="str">
        <x:f>IF(AND(EJ$4&gt;=$C21,EJ$4&lt;=$D21,'Вводные'!$B$89="Да"),"■","")</x:f>
      </x:c>
      <x:c r="EK21" s="135" t="str">
        <x:f>IF(AND(EK$4&gt;=$C21,EK$4&lt;=$D21,'Вводные'!$B$89="Да"),"■","")</x:f>
      </x:c>
      <x:c r="EL21" s="135" t="str">
        <x:f>IF(AND(EL$4&gt;=$C21,EL$4&lt;=$D21,'Вводные'!$B$89="Да"),"■","")</x:f>
      </x:c>
      <x:c r="EM21" s="135" t="str">
        <x:f>IF(AND(EM$4&gt;=$C21,EM$4&lt;=$D21,'Вводные'!$B$89="Да"),"■","")</x:f>
      </x:c>
      <x:c r="EN21" s="135" t="str">
        <x:f>IF(AND(EN$4&gt;=$C21,EN$4&lt;=$D21,'Вводные'!$B$89="Да"),"■","")</x:f>
      </x:c>
      <x:c r="EO21" s="135" t="str">
        <x:f>IF(AND(EO$4&gt;=$C21,EO$4&lt;=$D21,'Вводные'!$B$89="Да"),"■","")</x:f>
      </x:c>
      <x:c r="EP21" s="135" t="str">
        <x:f>IF(AND(EP$4&gt;=$C21,EP$4&lt;=$D21,'Вводные'!$B$89="Да"),"■","")</x:f>
      </x:c>
      <x:c r="EQ21" s="135" t="str">
        <x:f>IF(AND(EQ$4&gt;=$C21,EQ$4&lt;=$D21,'Вводные'!$B$89="Да"),"■","")</x:f>
      </x:c>
      <x:c r="ER21" s="135" t="str">
        <x:f>IF(AND(ER$4&gt;=$C21,ER$4&lt;=$D21,'Вводные'!$B$89="Да"),"■","")</x:f>
      </x:c>
      <x:c r="ES21" s="135" t="str">
        <x:f>IF(AND(ES$4&gt;=$C21,ES$4&lt;=$D21,'Вводные'!$B$89="Да"),"■","")</x:f>
      </x:c>
      <x:c r="ET21" s="135" t="str">
        <x:f>IF(AND(ET$4&gt;=$C21,ET$4&lt;=$D21,'Вводные'!$B$89="Да"),"■","")</x:f>
      </x:c>
      <x:c r="EU21" s="135" t="str">
        <x:f>IF(AND(EU$4&gt;=$C21,EU$4&lt;=$D21,'Вводные'!$B$89="Да"),"■","")</x:f>
      </x:c>
      <x:c r="EV21" s="135" t="str">
        <x:f>IF(AND(EV$4&gt;=$C21,EV$4&lt;=$D21,'Вводные'!$B$89="Да"),"■","")</x:f>
      </x:c>
      <x:c r="EW21" s="135" t="str">
        <x:f>IF(AND(EW$4&gt;=$C21,EW$4&lt;=$D21,'Вводные'!$B$89="Да"),"■","")</x:f>
      </x:c>
      <x:c r="EX21" s="135" t="str">
        <x:f>IF(AND(EX$4&gt;=$C21,EX$4&lt;=$D21,'Вводные'!$B$89="Да"),"■","")</x:f>
      </x:c>
      <x:c r="EY21" s="135" t="str">
        <x:f>IF(AND(EY$4&gt;=$C21,EY$4&lt;=$D21,'Вводные'!$B$89="Да"),"■","")</x:f>
      </x:c>
      <x:c r="EZ21" s="135" t="str">
        <x:f>IF(AND(EZ$4&gt;=$C21,EZ$4&lt;=$D21,'Вводные'!$B$89="Да"),"■","")</x:f>
      </x:c>
      <x:c r="FA21" s="135" t="str">
        <x:f>IF(AND(FA$4&gt;=$C21,FA$4&lt;=$D21,'Вводные'!$B$89="Да"),"■","")</x:f>
      </x:c>
      <x:c r="FB21" s="135" t="str">
        <x:f>IF(AND(FB$4&gt;=$C21,FB$4&lt;=$D21,'Вводные'!$B$89="Да"),"■","")</x:f>
      </x:c>
      <x:c r="FC21" s="135" t="str">
        <x:f>IF(AND(FC$4&gt;=$C21,FC$4&lt;=$D21,'Вводные'!$B$89="Да"),"■","")</x:f>
      </x:c>
      <x:c r="FD21" s="135" t="str">
        <x:f>IF(AND(FD$4&gt;=$C21,FD$4&lt;=$D21,'Вводные'!$B$89="Да"),"■","")</x:f>
      </x:c>
      <x:c r="FE21" s="135" t="str">
        <x:f>IF(AND(FE$4&gt;=$C21,FE$4&lt;=$D21,'Вводные'!$B$89="Да"),"■","")</x:f>
      </x:c>
      <x:c r="FF21" s="135" t="str">
        <x:f>IF(AND(FF$4&gt;=$C21,FF$4&lt;=$D21,'Вводные'!$B$89="Да"),"■","")</x:f>
      </x:c>
      <x:c r="FG21" s="135" t="str">
        <x:f>IF(AND(FG$4&gt;=$C21,FG$4&lt;=$D21,'Вводные'!$B$89="Да"),"■","")</x:f>
      </x:c>
      <x:c r="FH21" s="135" t="str">
        <x:f>IF(AND(FH$4&gt;=$C21,FH$4&lt;=$D21,'Вводные'!$B$89="Да"),"■","")</x:f>
      </x:c>
      <x:c r="FI21" s="135" t="str">
        <x:f>IF(AND(FI$4&gt;=$C21,FI$4&lt;=$D21,'Вводные'!$B$89="Да"),"■","")</x:f>
      </x:c>
      <x:c r="FJ21" s="135" t="str">
        <x:f>IF(AND(FJ$4&gt;=$C21,FJ$4&lt;=$D21,'Вводные'!$B$89="Да"),"■","")</x:f>
      </x:c>
      <x:c r="FK21" s="135" t="str">
        <x:f>IF(AND(FK$4&gt;=$C21,FK$4&lt;=$D21,'Вводные'!$B$89="Да"),"■","")</x:f>
      </x:c>
      <x:c r="FL21" s="135" t="str">
        <x:f>IF(AND(FL$4&gt;=$C21,FL$4&lt;=$D21,'Вводные'!$B$89="Да"),"■","")</x:f>
      </x:c>
      <x:c r="FM21" s="135" t="str">
        <x:f>IF(AND(FM$4&gt;=$C21,FM$4&lt;=$D21,'Вводные'!$B$89="Да"),"■","")</x:f>
      </x:c>
      <x:c r="FN21" s="135" t="str">
        <x:f>IF(AND(FN$4&gt;=$C21,FN$4&lt;=$D21,'Вводные'!$B$89="Да"),"■","")</x:f>
      </x:c>
      <x:c r="FO21" s="135" t="str">
        <x:f>IF(AND(FO$4&gt;=$C21,FO$4&lt;=$D21,'Вводные'!$B$89="Да"),"■","")</x:f>
      </x:c>
      <x:c r="FP21" s="135" t="str">
        <x:f>IF(AND(FP$4&gt;=$C21,FP$4&lt;=$D21,'Вводные'!$B$89="Да"),"■","")</x:f>
      </x:c>
      <x:c r="FQ21" s="135" t="str">
        <x:f>IF(AND(FQ$4&gt;=$C21,FQ$4&lt;=$D21,'Вводные'!$B$89="Да"),"■","")</x:f>
      </x:c>
      <x:c r="FR21" s="135" t="str">
        <x:f>IF(AND(FR$4&gt;=$C21,FR$4&lt;=$D21,'Вводные'!$B$89="Да"),"■","")</x:f>
      </x:c>
      <x:c r="FS21" s="135" t="str">
        <x:f>IF(AND(FS$4&gt;=$C21,FS$4&lt;=$D21,'Вводные'!$B$89="Да"),"■","")</x:f>
      </x:c>
      <x:c r="FT21" s="135" t="str">
        <x:f>IF(AND(FT$4&gt;=$C21,FT$4&lt;=$D21,'Вводные'!$B$89="Да"),"■","")</x:f>
      </x:c>
      <x:c r="FU21" s="135" t="str">
        <x:f>IF(AND(FU$4&gt;=$C21,FU$4&lt;=$D21,'Вводные'!$B$89="Да"),"■","")</x:f>
      </x:c>
      <x:c r="FV21" s="135" t="str">
        <x:f>IF(AND(FV$4&gt;=$C21,FV$4&lt;=$D21,'Вводные'!$B$89="Да"),"■","")</x:f>
      </x:c>
      <x:c r="FW21" s="135" t="str">
        <x:f>IF(AND(FW$4&gt;=$C21,FW$4&lt;=$D21,'Вводные'!$B$89="Да"),"■","")</x:f>
      </x:c>
      <x:c r="FX21" s="135" t="str">
        <x:f>IF(AND(FX$4&gt;=$C21,FX$4&lt;=$D21,'Вводные'!$B$89="Да"),"■","")</x:f>
      </x:c>
      <x:c r="FY21" s="135" t="str">
        <x:f>IF(AND(FY$4&gt;=$C21,FY$4&lt;=$D21,'Вводные'!$B$89="Да"),"■","")</x:f>
      </x:c>
      <x:c r="FZ21" s="135" t="str">
        <x:f>IF(AND(FZ$4&gt;=$C21,FZ$4&lt;=$D21,'Вводные'!$B$89="Да"),"■","")</x:f>
      </x:c>
      <x:c r="GA21" s="135" t="str">
        <x:f>IF(AND(GA$4&gt;=$C21,GA$4&lt;=$D21,'Вводные'!$B$89="Да"),"■","")</x:f>
      </x:c>
      <x:c r="GB21" s="135" t="str">
        <x:f>IF(AND(GB$4&gt;=$C21,GB$4&lt;=$D21,'Вводные'!$B$89="Да"),"■","")</x:f>
      </x:c>
    </x:row>
    <x:row r="22">
      <x:c r="A22" t="str">
        <x:f>'Вводные'!$C$89</x:f>
      </x:c>
      <x:c r="B22" t="str">
        <x:v>Проектное финансирование</x:v>
      </x:c>
      <x:c r="C22" s="92" t="n">
        <x:f>'CF_2'!B7</x:f>
      </x:c>
      <x:c r="D22" s="92" t="n">
        <x:f>EDATE('Продажи'!B30,'Вводные'!$H$89-1)</x:f>
      </x:c>
      <x:c r="E22" s="137" t="str">
        <x:f>IF(AND(E$4&gt;=$C22,E$4&lt;=$D22,'Вводные'!$B$89="Да"),"■","")</x:f>
      </x:c>
      <x:c r="F22" s="137" t="str">
        <x:f>IF(AND(F$4&gt;=$C22,F$4&lt;=$D22,'Вводные'!$B$89="Да"),"■","")</x:f>
      </x:c>
      <x:c r="G22" s="137" t="str">
        <x:f>IF(AND(G$4&gt;=$C22,G$4&lt;=$D22,'Вводные'!$B$89="Да"),"■","")</x:f>
      </x:c>
      <x:c r="H22" s="137" t="str">
        <x:f>IF(AND(H$4&gt;=$C22,H$4&lt;=$D22,'Вводные'!$B$89="Да"),"■","")</x:f>
      </x:c>
      <x:c r="I22" s="137" t="str">
        <x:f>IF(AND(I$4&gt;=$C22,I$4&lt;=$D22,'Вводные'!$B$89="Да"),"■","")</x:f>
      </x:c>
      <x:c r="J22" s="137" t="str">
        <x:f>IF(AND(J$4&gt;=$C22,J$4&lt;=$D22,'Вводные'!$B$89="Да"),"■","")</x:f>
      </x:c>
      <x:c r="K22" s="137" t="str">
        <x:f>IF(AND(K$4&gt;=$C22,K$4&lt;=$D22,'Вводные'!$B$89="Да"),"■","")</x:f>
      </x:c>
      <x:c r="L22" s="137" t="str">
        <x:f>IF(AND(L$4&gt;=$C22,L$4&lt;=$D22,'Вводные'!$B$89="Да"),"■","")</x:f>
      </x:c>
      <x:c r="M22" s="137" t="str">
        <x:f>IF(AND(M$4&gt;=$C22,M$4&lt;=$D22,'Вводные'!$B$89="Да"),"■","")</x:f>
      </x:c>
      <x:c r="N22" s="137" t="str">
        <x:f>IF(AND(N$4&gt;=$C22,N$4&lt;=$D22,'Вводные'!$B$89="Да"),"■","")</x:f>
      </x:c>
      <x:c r="O22" s="137" t="str">
        <x:f>IF(AND(O$4&gt;=$C22,O$4&lt;=$D22,'Вводные'!$B$89="Да"),"■","")</x:f>
      </x:c>
      <x:c r="P22" s="137" t="str">
        <x:f>IF(AND(P$4&gt;=$C22,P$4&lt;=$D22,'Вводные'!$B$89="Да"),"■","")</x:f>
      </x:c>
      <x:c r="Q22" s="137" t="str">
        <x:f>IF(AND(Q$4&gt;=$C22,Q$4&lt;=$D22,'Вводные'!$B$89="Да"),"■","")</x:f>
      </x:c>
      <x:c r="R22" s="137" t="str">
        <x:f>IF(AND(R$4&gt;=$C22,R$4&lt;=$D22,'Вводные'!$B$89="Да"),"■","")</x:f>
      </x:c>
      <x:c r="S22" s="137" t="str">
        <x:f>IF(AND(S$4&gt;=$C22,S$4&lt;=$D22,'Вводные'!$B$89="Да"),"■","")</x:f>
      </x:c>
      <x:c r="T22" s="137" t="str">
        <x:f>IF(AND(T$4&gt;=$C22,T$4&lt;=$D22,'Вводные'!$B$89="Да"),"■","")</x:f>
      </x:c>
      <x:c r="U22" s="137" t="str">
        <x:f>IF(AND(U$4&gt;=$C22,U$4&lt;=$D22,'Вводные'!$B$89="Да"),"■","")</x:f>
      </x:c>
      <x:c r="V22" s="137" t="str">
        <x:f>IF(AND(V$4&gt;=$C22,V$4&lt;=$D22,'Вводные'!$B$89="Да"),"■","")</x:f>
      </x:c>
      <x:c r="W22" s="137" t="str">
        <x:f>IF(AND(W$4&gt;=$C22,W$4&lt;=$D22,'Вводные'!$B$89="Да"),"■","")</x:f>
      </x:c>
      <x:c r="X22" s="137" t="str">
        <x:f>IF(AND(X$4&gt;=$C22,X$4&lt;=$D22,'Вводные'!$B$89="Да"),"■","")</x:f>
      </x:c>
      <x:c r="Y22" s="137" t="str">
        <x:f>IF(AND(Y$4&gt;=$C22,Y$4&lt;=$D22,'Вводные'!$B$89="Да"),"■","")</x:f>
      </x:c>
      <x:c r="Z22" s="137" t="str">
        <x:f>IF(AND(Z$4&gt;=$C22,Z$4&lt;=$D22,'Вводные'!$B$89="Да"),"■","")</x:f>
      </x:c>
      <x:c r="AA22" s="137" t="str">
        <x:f>IF(AND(AA$4&gt;=$C22,AA$4&lt;=$D22,'Вводные'!$B$89="Да"),"■","")</x:f>
      </x:c>
      <x:c r="AB22" s="137" t="str">
        <x:f>IF(AND(AB$4&gt;=$C22,AB$4&lt;=$D22,'Вводные'!$B$89="Да"),"■","")</x:f>
      </x:c>
      <x:c r="AC22" s="137" t="str">
        <x:f>IF(AND(AC$4&gt;=$C22,AC$4&lt;=$D22,'Вводные'!$B$89="Да"),"■","")</x:f>
      </x:c>
      <x:c r="AD22" s="137" t="str">
        <x:f>IF(AND(AD$4&gt;=$C22,AD$4&lt;=$D22,'Вводные'!$B$89="Да"),"■","")</x:f>
      </x:c>
      <x:c r="AE22" s="137" t="str">
        <x:f>IF(AND(AE$4&gt;=$C22,AE$4&lt;=$D22,'Вводные'!$B$89="Да"),"■","")</x:f>
      </x:c>
      <x:c r="AF22" s="137" t="str">
        <x:f>IF(AND(AF$4&gt;=$C22,AF$4&lt;=$D22,'Вводные'!$B$89="Да"),"■","")</x:f>
      </x:c>
      <x:c r="AG22" s="137" t="str">
        <x:f>IF(AND(AG$4&gt;=$C22,AG$4&lt;=$D22,'Вводные'!$B$89="Да"),"■","")</x:f>
      </x:c>
      <x:c r="AH22" s="137" t="str">
        <x:f>IF(AND(AH$4&gt;=$C22,AH$4&lt;=$D22,'Вводные'!$B$89="Да"),"■","")</x:f>
      </x:c>
      <x:c r="AI22" s="137" t="str">
        <x:f>IF(AND(AI$4&gt;=$C22,AI$4&lt;=$D22,'Вводные'!$B$89="Да"),"■","")</x:f>
      </x:c>
      <x:c r="AJ22" s="137" t="str">
        <x:f>IF(AND(AJ$4&gt;=$C22,AJ$4&lt;=$D22,'Вводные'!$B$89="Да"),"■","")</x:f>
      </x:c>
      <x:c r="AK22" s="137" t="str">
        <x:f>IF(AND(AK$4&gt;=$C22,AK$4&lt;=$D22,'Вводные'!$B$89="Да"),"■","")</x:f>
      </x:c>
      <x:c r="AL22" s="137" t="str">
        <x:f>IF(AND(AL$4&gt;=$C22,AL$4&lt;=$D22,'Вводные'!$B$89="Да"),"■","")</x:f>
      </x:c>
      <x:c r="AM22" s="137" t="str">
        <x:f>IF(AND(AM$4&gt;=$C22,AM$4&lt;=$D22,'Вводные'!$B$89="Да"),"■","")</x:f>
      </x:c>
      <x:c r="AN22" s="137" t="str">
        <x:f>IF(AND(AN$4&gt;=$C22,AN$4&lt;=$D22,'Вводные'!$B$89="Да"),"■","")</x:f>
      </x:c>
      <x:c r="AO22" s="137" t="str">
        <x:f>IF(AND(AO$4&gt;=$C22,AO$4&lt;=$D22,'Вводные'!$B$89="Да"),"■","")</x:f>
      </x:c>
      <x:c r="AP22" s="137" t="str">
        <x:f>IF(AND(AP$4&gt;=$C22,AP$4&lt;=$D22,'Вводные'!$B$89="Да"),"■","")</x:f>
      </x:c>
      <x:c r="AQ22" s="137" t="str">
        <x:f>IF(AND(AQ$4&gt;=$C22,AQ$4&lt;=$D22,'Вводные'!$B$89="Да"),"■","")</x:f>
      </x:c>
      <x:c r="AR22" s="137" t="str">
        <x:f>IF(AND(AR$4&gt;=$C22,AR$4&lt;=$D22,'Вводные'!$B$89="Да"),"■","")</x:f>
      </x:c>
      <x:c r="AS22" s="137" t="str">
        <x:f>IF(AND(AS$4&gt;=$C22,AS$4&lt;=$D22,'Вводные'!$B$89="Да"),"■","")</x:f>
      </x:c>
      <x:c r="AT22" s="137" t="str">
        <x:f>IF(AND(AT$4&gt;=$C22,AT$4&lt;=$D22,'Вводные'!$B$89="Да"),"■","")</x:f>
      </x:c>
      <x:c r="AU22" s="137" t="str">
        <x:f>IF(AND(AU$4&gt;=$C22,AU$4&lt;=$D22,'Вводные'!$B$89="Да"),"■","")</x:f>
      </x:c>
      <x:c r="AV22" s="137" t="str">
        <x:f>IF(AND(AV$4&gt;=$C22,AV$4&lt;=$D22,'Вводные'!$B$89="Да"),"■","")</x:f>
      </x:c>
      <x:c r="AW22" s="137" t="str">
        <x:f>IF(AND(AW$4&gt;=$C22,AW$4&lt;=$D22,'Вводные'!$B$89="Да"),"■","")</x:f>
      </x:c>
      <x:c r="AX22" s="137" t="str">
        <x:f>IF(AND(AX$4&gt;=$C22,AX$4&lt;=$D22,'Вводные'!$B$89="Да"),"■","")</x:f>
      </x:c>
      <x:c r="AY22" s="137" t="str">
        <x:f>IF(AND(AY$4&gt;=$C22,AY$4&lt;=$D22,'Вводные'!$B$89="Да"),"■","")</x:f>
      </x:c>
      <x:c r="AZ22" s="137" t="str">
        <x:f>IF(AND(AZ$4&gt;=$C22,AZ$4&lt;=$D22,'Вводные'!$B$89="Да"),"■","")</x:f>
      </x:c>
      <x:c r="BA22" s="137" t="str">
        <x:f>IF(AND(BA$4&gt;=$C22,BA$4&lt;=$D22,'Вводные'!$B$89="Да"),"■","")</x:f>
      </x:c>
      <x:c r="BB22" s="137" t="str">
        <x:f>IF(AND(BB$4&gt;=$C22,BB$4&lt;=$D22,'Вводные'!$B$89="Да"),"■","")</x:f>
      </x:c>
      <x:c r="BC22" s="137" t="str">
        <x:f>IF(AND(BC$4&gt;=$C22,BC$4&lt;=$D22,'Вводные'!$B$89="Да"),"■","")</x:f>
      </x:c>
      <x:c r="BD22" s="137" t="str">
        <x:f>IF(AND(BD$4&gt;=$C22,BD$4&lt;=$D22,'Вводные'!$B$89="Да"),"■","")</x:f>
      </x:c>
      <x:c r="BE22" s="137" t="str">
        <x:f>IF(AND(BE$4&gt;=$C22,BE$4&lt;=$D22,'Вводные'!$B$89="Да"),"■","")</x:f>
      </x:c>
      <x:c r="BF22" s="137" t="str">
        <x:f>IF(AND(BF$4&gt;=$C22,BF$4&lt;=$D22,'Вводные'!$B$89="Да"),"■","")</x:f>
      </x:c>
      <x:c r="BG22" s="137" t="str">
        <x:f>IF(AND(BG$4&gt;=$C22,BG$4&lt;=$D22,'Вводные'!$B$89="Да"),"■","")</x:f>
      </x:c>
      <x:c r="BH22" s="137" t="str">
        <x:f>IF(AND(BH$4&gt;=$C22,BH$4&lt;=$D22,'Вводные'!$B$89="Да"),"■","")</x:f>
      </x:c>
      <x:c r="BI22" s="137" t="str">
        <x:f>IF(AND(BI$4&gt;=$C22,BI$4&lt;=$D22,'Вводные'!$B$89="Да"),"■","")</x:f>
      </x:c>
      <x:c r="BJ22" s="137" t="str">
        <x:f>IF(AND(BJ$4&gt;=$C22,BJ$4&lt;=$D22,'Вводные'!$B$89="Да"),"■","")</x:f>
      </x:c>
      <x:c r="BK22" s="137" t="str">
        <x:f>IF(AND(BK$4&gt;=$C22,BK$4&lt;=$D22,'Вводные'!$B$89="Да"),"■","")</x:f>
      </x:c>
      <x:c r="BL22" s="137" t="str">
        <x:f>IF(AND(BL$4&gt;=$C22,BL$4&lt;=$D22,'Вводные'!$B$89="Да"),"■","")</x:f>
      </x:c>
      <x:c r="BM22" s="137" t="str">
        <x:f>IF(AND(BM$4&gt;=$C22,BM$4&lt;=$D22,'Вводные'!$B$89="Да"),"■","")</x:f>
      </x:c>
      <x:c r="BN22" s="137" t="str">
        <x:f>IF(AND(BN$4&gt;=$C22,BN$4&lt;=$D22,'Вводные'!$B$89="Да"),"■","")</x:f>
      </x:c>
      <x:c r="BO22" s="137" t="str">
        <x:f>IF(AND(BO$4&gt;=$C22,BO$4&lt;=$D22,'Вводные'!$B$89="Да"),"■","")</x:f>
      </x:c>
      <x:c r="BP22" s="137" t="str">
        <x:f>IF(AND(BP$4&gt;=$C22,BP$4&lt;=$D22,'Вводные'!$B$89="Да"),"■","")</x:f>
      </x:c>
      <x:c r="BQ22" s="137" t="str">
        <x:f>IF(AND(BQ$4&gt;=$C22,BQ$4&lt;=$D22,'Вводные'!$B$89="Да"),"■","")</x:f>
      </x:c>
      <x:c r="BR22" s="137" t="str">
        <x:f>IF(AND(BR$4&gt;=$C22,BR$4&lt;=$D22,'Вводные'!$B$89="Да"),"■","")</x:f>
      </x:c>
      <x:c r="BS22" s="137" t="str">
        <x:f>IF(AND(BS$4&gt;=$C22,BS$4&lt;=$D22,'Вводные'!$B$89="Да"),"■","")</x:f>
      </x:c>
      <x:c r="BT22" s="137" t="str">
        <x:f>IF(AND(BT$4&gt;=$C22,BT$4&lt;=$D22,'Вводные'!$B$89="Да"),"■","")</x:f>
      </x:c>
      <x:c r="BU22" s="137" t="str">
        <x:f>IF(AND(BU$4&gt;=$C22,BU$4&lt;=$D22,'Вводные'!$B$89="Да"),"■","")</x:f>
      </x:c>
      <x:c r="BV22" s="137" t="str">
        <x:f>IF(AND(BV$4&gt;=$C22,BV$4&lt;=$D22,'Вводные'!$B$89="Да"),"■","")</x:f>
      </x:c>
      <x:c r="BW22" s="137" t="str">
        <x:f>IF(AND(BW$4&gt;=$C22,BW$4&lt;=$D22,'Вводные'!$B$89="Да"),"■","")</x:f>
      </x:c>
      <x:c r="BX22" s="137" t="str">
        <x:f>IF(AND(BX$4&gt;=$C22,BX$4&lt;=$D22,'Вводные'!$B$89="Да"),"■","")</x:f>
      </x:c>
      <x:c r="BY22" s="137" t="str">
        <x:f>IF(AND(BY$4&gt;=$C22,BY$4&lt;=$D22,'Вводные'!$B$89="Да"),"■","")</x:f>
      </x:c>
      <x:c r="BZ22" s="137" t="str">
        <x:f>IF(AND(BZ$4&gt;=$C22,BZ$4&lt;=$D22,'Вводные'!$B$89="Да"),"■","")</x:f>
      </x:c>
      <x:c r="CA22" s="137" t="str">
        <x:f>IF(AND(CA$4&gt;=$C22,CA$4&lt;=$D22,'Вводные'!$B$89="Да"),"■","")</x:f>
      </x:c>
      <x:c r="CB22" s="137" t="str">
        <x:f>IF(AND(CB$4&gt;=$C22,CB$4&lt;=$D22,'Вводные'!$B$89="Да"),"■","")</x:f>
      </x:c>
      <x:c r="CC22" s="137" t="str">
        <x:f>IF(AND(CC$4&gt;=$C22,CC$4&lt;=$D22,'Вводные'!$B$89="Да"),"■","")</x:f>
      </x:c>
      <x:c r="CD22" s="137" t="str">
        <x:f>IF(AND(CD$4&gt;=$C22,CD$4&lt;=$D22,'Вводные'!$B$89="Да"),"■","")</x:f>
      </x:c>
      <x:c r="CE22" s="137" t="str">
        <x:f>IF(AND(CE$4&gt;=$C22,CE$4&lt;=$D22,'Вводные'!$B$89="Да"),"■","")</x:f>
      </x:c>
      <x:c r="CF22" s="137" t="str">
        <x:f>IF(AND(CF$4&gt;=$C22,CF$4&lt;=$D22,'Вводные'!$B$89="Да"),"■","")</x:f>
      </x:c>
      <x:c r="CG22" s="137" t="str">
        <x:f>IF(AND(CG$4&gt;=$C22,CG$4&lt;=$D22,'Вводные'!$B$89="Да"),"■","")</x:f>
      </x:c>
      <x:c r="CH22" s="137" t="str">
        <x:f>IF(AND(CH$4&gt;=$C22,CH$4&lt;=$D22,'Вводные'!$B$89="Да"),"■","")</x:f>
      </x:c>
      <x:c r="CI22" s="137" t="str">
        <x:f>IF(AND(CI$4&gt;=$C22,CI$4&lt;=$D22,'Вводные'!$B$89="Да"),"■","")</x:f>
      </x:c>
      <x:c r="CJ22" s="137" t="str">
        <x:f>IF(AND(CJ$4&gt;=$C22,CJ$4&lt;=$D22,'Вводные'!$B$89="Да"),"■","")</x:f>
      </x:c>
      <x:c r="CK22" s="137" t="str">
        <x:f>IF(AND(CK$4&gt;=$C22,CK$4&lt;=$D22,'Вводные'!$B$89="Да"),"■","")</x:f>
      </x:c>
      <x:c r="CL22" s="137" t="str">
        <x:f>IF(AND(CL$4&gt;=$C22,CL$4&lt;=$D22,'Вводные'!$B$89="Да"),"■","")</x:f>
      </x:c>
      <x:c r="CM22" s="137" t="str">
        <x:f>IF(AND(CM$4&gt;=$C22,CM$4&lt;=$D22,'Вводные'!$B$89="Да"),"■","")</x:f>
      </x:c>
      <x:c r="CN22" s="137" t="str">
        <x:f>IF(AND(CN$4&gt;=$C22,CN$4&lt;=$D22,'Вводные'!$B$89="Да"),"■","")</x:f>
      </x:c>
      <x:c r="CO22" s="137" t="str">
        <x:f>IF(AND(CO$4&gt;=$C22,CO$4&lt;=$D22,'Вводные'!$B$89="Да"),"■","")</x:f>
      </x:c>
      <x:c r="CP22" s="137" t="str">
        <x:f>IF(AND(CP$4&gt;=$C22,CP$4&lt;=$D22,'Вводные'!$B$89="Да"),"■","")</x:f>
      </x:c>
      <x:c r="CQ22" s="137" t="str">
        <x:f>IF(AND(CQ$4&gt;=$C22,CQ$4&lt;=$D22,'Вводные'!$B$89="Да"),"■","")</x:f>
      </x:c>
      <x:c r="CR22" s="137" t="str">
        <x:f>IF(AND(CR$4&gt;=$C22,CR$4&lt;=$D22,'Вводные'!$B$89="Да"),"■","")</x:f>
      </x:c>
      <x:c r="CS22" s="137" t="str">
        <x:f>IF(AND(CS$4&gt;=$C22,CS$4&lt;=$D22,'Вводные'!$B$89="Да"),"■","")</x:f>
      </x:c>
      <x:c r="CT22" s="137" t="str">
        <x:f>IF(AND(CT$4&gt;=$C22,CT$4&lt;=$D22,'Вводные'!$B$89="Да"),"■","")</x:f>
      </x:c>
      <x:c r="CU22" s="137" t="str">
        <x:f>IF(AND(CU$4&gt;=$C22,CU$4&lt;=$D22,'Вводные'!$B$89="Да"),"■","")</x:f>
      </x:c>
      <x:c r="CV22" s="137" t="str">
        <x:f>IF(AND(CV$4&gt;=$C22,CV$4&lt;=$D22,'Вводные'!$B$89="Да"),"■","")</x:f>
      </x:c>
      <x:c r="CW22" s="137" t="str">
        <x:f>IF(AND(CW$4&gt;=$C22,CW$4&lt;=$D22,'Вводные'!$B$89="Да"),"■","")</x:f>
      </x:c>
      <x:c r="CX22" s="137" t="str">
        <x:f>IF(AND(CX$4&gt;=$C22,CX$4&lt;=$D22,'Вводные'!$B$89="Да"),"■","")</x:f>
      </x:c>
      <x:c r="CY22" s="137" t="str">
        <x:f>IF(AND(CY$4&gt;=$C22,CY$4&lt;=$D22,'Вводные'!$B$89="Да"),"■","")</x:f>
      </x:c>
      <x:c r="CZ22" s="137" t="str">
        <x:f>IF(AND(CZ$4&gt;=$C22,CZ$4&lt;=$D22,'Вводные'!$B$89="Да"),"■","")</x:f>
      </x:c>
      <x:c r="DA22" s="137" t="str">
        <x:f>IF(AND(DA$4&gt;=$C22,DA$4&lt;=$D22,'Вводные'!$B$89="Да"),"■","")</x:f>
      </x:c>
      <x:c r="DB22" s="137" t="str">
        <x:f>IF(AND(DB$4&gt;=$C22,DB$4&lt;=$D22,'Вводные'!$B$89="Да"),"■","")</x:f>
      </x:c>
      <x:c r="DC22" s="137" t="str">
        <x:f>IF(AND(DC$4&gt;=$C22,DC$4&lt;=$D22,'Вводные'!$B$89="Да"),"■","")</x:f>
      </x:c>
      <x:c r="DD22" s="137" t="str">
        <x:f>IF(AND(DD$4&gt;=$C22,DD$4&lt;=$D22,'Вводные'!$B$89="Да"),"■","")</x:f>
      </x:c>
      <x:c r="DE22" s="137" t="str">
        <x:f>IF(AND(DE$4&gt;=$C22,DE$4&lt;=$D22,'Вводные'!$B$89="Да"),"■","")</x:f>
      </x:c>
      <x:c r="DF22" s="137" t="str">
        <x:f>IF(AND(DF$4&gt;=$C22,DF$4&lt;=$D22,'Вводные'!$B$89="Да"),"■","")</x:f>
      </x:c>
      <x:c r="DG22" s="137" t="str">
        <x:f>IF(AND(DG$4&gt;=$C22,DG$4&lt;=$D22,'Вводные'!$B$89="Да"),"■","")</x:f>
      </x:c>
      <x:c r="DH22" s="137" t="str">
        <x:f>IF(AND(DH$4&gt;=$C22,DH$4&lt;=$D22,'Вводные'!$B$89="Да"),"■","")</x:f>
      </x:c>
      <x:c r="DI22" s="137" t="str">
        <x:f>IF(AND(DI$4&gt;=$C22,DI$4&lt;=$D22,'Вводные'!$B$89="Да"),"■","")</x:f>
      </x:c>
      <x:c r="DJ22" s="137" t="str">
        <x:f>IF(AND(DJ$4&gt;=$C22,DJ$4&lt;=$D22,'Вводные'!$B$89="Да"),"■","")</x:f>
      </x:c>
      <x:c r="DK22" s="137" t="str">
        <x:f>IF(AND(DK$4&gt;=$C22,DK$4&lt;=$D22,'Вводные'!$B$89="Да"),"■","")</x:f>
      </x:c>
      <x:c r="DL22" s="137" t="str">
        <x:f>IF(AND(DL$4&gt;=$C22,DL$4&lt;=$D22,'Вводные'!$B$89="Да"),"■","")</x:f>
      </x:c>
      <x:c r="DM22" s="137" t="str">
        <x:f>IF(AND(DM$4&gt;=$C22,DM$4&lt;=$D22,'Вводные'!$B$89="Да"),"■","")</x:f>
      </x:c>
      <x:c r="DN22" s="137" t="str">
        <x:f>IF(AND(DN$4&gt;=$C22,DN$4&lt;=$D22,'Вводные'!$B$89="Да"),"■","")</x:f>
      </x:c>
      <x:c r="DO22" s="137" t="str">
        <x:f>IF(AND(DO$4&gt;=$C22,DO$4&lt;=$D22,'Вводные'!$B$89="Да"),"■","")</x:f>
      </x:c>
      <x:c r="DP22" s="137" t="str">
        <x:f>IF(AND(DP$4&gt;=$C22,DP$4&lt;=$D22,'Вводные'!$B$89="Да"),"■","")</x:f>
      </x:c>
      <x:c r="DQ22" s="137" t="str">
        <x:f>IF(AND(DQ$4&gt;=$C22,DQ$4&lt;=$D22,'Вводные'!$B$89="Да"),"■","")</x:f>
      </x:c>
      <x:c r="DR22" s="137" t="str">
        <x:f>IF(AND(DR$4&gt;=$C22,DR$4&lt;=$D22,'Вводные'!$B$89="Да"),"■","")</x:f>
      </x:c>
      <x:c r="DS22" s="137" t="str">
        <x:f>IF(AND(DS$4&gt;=$C22,DS$4&lt;=$D22,'Вводные'!$B$89="Да"),"■","")</x:f>
      </x:c>
      <x:c r="DT22" s="137" t="str">
        <x:f>IF(AND(DT$4&gt;=$C22,DT$4&lt;=$D22,'Вводные'!$B$89="Да"),"■","")</x:f>
      </x:c>
      <x:c r="DU22" s="137" t="str">
        <x:f>IF(AND(DU$4&gt;=$C22,DU$4&lt;=$D22,'Вводные'!$B$89="Да"),"■","")</x:f>
      </x:c>
      <x:c r="DV22" s="137" t="str">
        <x:f>IF(AND(DV$4&gt;=$C22,DV$4&lt;=$D22,'Вводные'!$B$89="Да"),"■","")</x:f>
      </x:c>
      <x:c r="DW22" s="137" t="str">
        <x:f>IF(AND(DW$4&gt;=$C22,DW$4&lt;=$D22,'Вводные'!$B$89="Да"),"■","")</x:f>
      </x:c>
      <x:c r="DX22" s="137" t="str">
        <x:f>IF(AND(DX$4&gt;=$C22,DX$4&lt;=$D22,'Вводные'!$B$89="Да"),"■","")</x:f>
      </x:c>
      <x:c r="DY22" s="137" t="str">
        <x:f>IF(AND(DY$4&gt;=$C22,DY$4&lt;=$D22,'Вводные'!$B$89="Да"),"■","")</x:f>
      </x:c>
      <x:c r="DZ22" s="137" t="str">
        <x:f>IF(AND(DZ$4&gt;=$C22,DZ$4&lt;=$D22,'Вводные'!$B$89="Да"),"■","")</x:f>
      </x:c>
      <x:c r="EA22" s="137" t="str">
        <x:f>IF(AND(EA$4&gt;=$C22,EA$4&lt;=$D22,'Вводные'!$B$89="Да"),"■","")</x:f>
      </x:c>
      <x:c r="EB22" s="137" t="str">
        <x:f>IF(AND(EB$4&gt;=$C22,EB$4&lt;=$D22,'Вводные'!$B$89="Да"),"■","")</x:f>
      </x:c>
      <x:c r="EC22" s="137" t="str">
        <x:f>IF(AND(EC$4&gt;=$C22,EC$4&lt;=$D22,'Вводные'!$B$89="Да"),"■","")</x:f>
      </x:c>
      <x:c r="ED22" s="137" t="str">
        <x:f>IF(AND(ED$4&gt;=$C22,ED$4&lt;=$D22,'Вводные'!$B$89="Да"),"■","")</x:f>
      </x:c>
      <x:c r="EE22" s="137" t="str">
        <x:f>IF(AND(EE$4&gt;=$C22,EE$4&lt;=$D22,'Вводные'!$B$89="Да"),"■","")</x:f>
      </x:c>
      <x:c r="EF22" s="137" t="str">
        <x:f>IF(AND(EF$4&gt;=$C22,EF$4&lt;=$D22,'Вводные'!$B$89="Да"),"■","")</x:f>
      </x:c>
      <x:c r="EG22" s="137" t="str">
        <x:f>IF(AND(EG$4&gt;=$C22,EG$4&lt;=$D22,'Вводные'!$B$89="Да"),"■","")</x:f>
      </x:c>
      <x:c r="EH22" s="137" t="str">
        <x:f>IF(AND(EH$4&gt;=$C22,EH$4&lt;=$D22,'Вводные'!$B$89="Да"),"■","")</x:f>
      </x:c>
      <x:c r="EI22" s="137" t="str">
        <x:f>IF(AND(EI$4&gt;=$C22,EI$4&lt;=$D22,'Вводные'!$B$89="Да"),"■","")</x:f>
      </x:c>
      <x:c r="EJ22" s="137" t="str">
        <x:f>IF(AND(EJ$4&gt;=$C22,EJ$4&lt;=$D22,'Вводные'!$B$89="Да"),"■","")</x:f>
      </x:c>
      <x:c r="EK22" s="137" t="str">
        <x:f>IF(AND(EK$4&gt;=$C22,EK$4&lt;=$D22,'Вводные'!$B$89="Да"),"■","")</x:f>
      </x:c>
      <x:c r="EL22" s="137" t="str">
        <x:f>IF(AND(EL$4&gt;=$C22,EL$4&lt;=$D22,'Вводные'!$B$89="Да"),"■","")</x:f>
      </x:c>
      <x:c r="EM22" s="137" t="str">
        <x:f>IF(AND(EM$4&gt;=$C22,EM$4&lt;=$D22,'Вводные'!$B$89="Да"),"■","")</x:f>
      </x:c>
      <x:c r="EN22" s="137" t="str">
        <x:f>IF(AND(EN$4&gt;=$C22,EN$4&lt;=$D22,'Вводные'!$B$89="Да"),"■","")</x:f>
      </x:c>
      <x:c r="EO22" s="137" t="str">
        <x:f>IF(AND(EO$4&gt;=$C22,EO$4&lt;=$D22,'Вводные'!$B$89="Да"),"■","")</x:f>
      </x:c>
      <x:c r="EP22" s="137" t="str">
        <x:f>IF(AND(EP$4&gt;=$C22,EP$4&lt;=$D22,'Вводные'!$B$89="Да"),"■","")</x:f>
      </x:c>
      <x:c r="EQ22" s="137" t="str">
        <x:f>IF(AND(EQ$4&gt;=$C22,EQ$4&lt;=$D22,'Вводные'!$B$89="Да"),"■","")</x:f>
      </x:c>
      <x:c r="ER22" s="137" t="str">
        <x:f>IF(AND(ER$4&gt;=$C22,ER$4&lt;=$D22,'Вводные'!$B$89="Да"),"■","")</x:f>
      </x:c>
      <x:c r="ES22" s="137" t="str">
        <x:f>IF(AND(ES$4&gt;=$C22,ES$4&lt;=$D22,'Вводные'!$B$89="Да"),"■","")</x:f>
      </x:c>
      <x:c r="ET22" s="137" t="str">
        <x:f>IF(AND(ET$4&gt;=$C22,ET$4&lt;=$D22,'Вводные'!$B$89="Да"),"■","")</x:f>
      </x:c>
      <x:c r="EU22" s="137" t="str">
        <x:f>IF(AND(EU$4&gt;=$C22,EU$4&lt;=$D22,'Вводные'!$B$89="Да"),"■","")</x:f>
      </x:c>
      <x:c r="EV22" s="137" t="str">
        <x:f>IF(AND(EV$4&gt;=$C22,EV$4&lt;=$D22,'Вводные'!$B$89="Да"),"■","")</x:f>
      </x:c>
      <x:c r="EW22" s="137" t="str">
        <x:f>IF(AND(EW$4&gt;=$C22,EW$4&lt;=$D22,'Вводные'!$B$89="Да"),"■","")</x:f>
      </x:c>
      <x:c r="EX22" s="137" t="str">
        <x:f>IF(AND(EX$4&gt;=$C22,EX$4&lt;=$D22,'Вводные'!$B$89="Да"),"■","")</x:f>
      </x:c>
      <x:c r="EY22" s="137" t="str">
        <x:f>IF(AND(EY$4&gt;=$C22,EY$4&lt;=$D22,'Вводные'!$B$89="Да"),"■","")</x:f>
      </x:c>
      <x:c r="EZ22" s="137" t="str">
        <x:f>IF(AND(EZ$4&gt;=$C22,EZ$4&lt;=$D22,'Вводные'!$B$89="Да"),"■","")</x:f>
      </x:c>
      <x:c r="FA22" s="137" t="str">
        <x:f>IF(AND(FA$4&gt;=$C22,FA$4&lt;=$D22,'Вводные'!$B$89="Да"),"■","")</x:f>
      </x:c>
      <x:c r="FB22" s="137" t="str">
        <x:f>IF(AND(FB$4&gt;=$C22,FB$4&lt;=$D22,'Вводные'!$B$89="Да"),"■","")</x:f>
      </x:c>
      <x:c r="FC22" s="137" t="str">
        <x:f>IF(AND(FC$4&gt;=$C22,FC$4&lt;=$D22,'Вводные'!$B$89="Да"),"■","")</x:f>
      </x:c>
      <x:c r="FD22" s="137" t="str">
        <x:f>IF(AND(FD$4&gt;=$C22,FD$4&lt;=$D22,'Вводные'!$B$89="Да"),"■","")</x:f>
      </x:c>
      <x:c r="FE22" s="137" t="str">
        <x:f>IF(AND(FE$4&gt;=$C22,FE$4&lt;=$D22,'Вводные'!$B$89="Да"),"■","")</x:f>
      </x:c>
      <x:c r="FF22" s="137" t="str">
        <x:f>IF(AND(FF$4&gt;=$C22,FF$4&lt;=$D22,'Вводные'!$B$89="Да"),"■","")</x:f>
      </x:c>
      <x:c r="FG22" s="137" t="str">
        <x:f>IF(AND(FG$4&gt;=$C22,FG$4&lt;=$D22,'Вводные'!$B$89="Да"),"■","")</x:f>
      </x:c>
      <x:c r="FH22" s="137" t="str">
        <x:f>IF(AND(FH$4&gt;=$C22,FH$4&lt;=$D22,'Вводные'!$B$89="Да"),"■","")</x:f>
      </x:c>
      <x:c r="FI22" s="137" t="str">
        <x:f>IF(AND(FI$4&gt;=$C22,FI$4&lt;=$D22,'Вводные'!$B$89="Да"),"■","")</x:f>
      </x:c>
      <x:c r="FJ22" s="137" t="str">
        <x:f>IF(AND(FJ$4&gt;=$C22,FJ$4&lt;=$D22,'Вводные'!$B$89="Да"),"■","")</x:f>
      </x:c>
      <x:c r="FK22" s="137" t="str">
        <x:f>IF(AND(FK$4&gt;=$C22,FK$4&lt;=$D22,'Вводные'!$B$89="Да"),"■","")</x:f>
      </x:c>
      <x:c r="FL22" s="137" t="str">
        <x:f>IF(AND(FL$4&gt;=$C22,FL$4&lt;=$D22,'Вводные'!$B$89="Да"),"■","")</x:f>
      </x:c>
      <x:c r="FM22" s="137" t="str">
        <x:f>IF(AND(FM$4&gt;=$C22,FM$4&lt;=$D22,'Вводные'!$B$89="Да"),"■","")</x:f>
      </x:c>
      <x:c r="FN22" s="137" t="str">
        <x:f>IF(AND(FN$4&gt;=$C22,FN$4&lt;=$D22,'Вводные'!$B$89="Да"),"■","")</x:f>
      </x:c>
      <x:c r="FO22" s="137" t="str">
        <x:f>IF(AND(FO$4&gt;=$C22,FO$4&lt;=$D22,'Вводные'!$B$89="Да"),"■","")</x:f>
      </x:c>
      <x:c r="FP22" s="137" t="str">
        <x:f>IF(AND(FP$4&gt;=$C22,FP$4&lt;=$D22,'Вводные'!$B$89="Да"),"■","")</x:f>
      </x:c>
      <x:c r="FQ22" s="137" t="str">
        <x:f>IF(AND(FQ$4&gt;=$C22,FQ$4&lt;=$D22,'Вводные'!$B$89="Да"),"■","")</x:f>
      </x:c>
      <x:c r="FR22" s="137" t="str">
        <x:f>IF(AND(FR$4&gt;=$C22,FR$4&lt;=$D22,'Вводные'!$B$89="Да"),"■","")</x:f>
      </x:c>
      <x:c r="FS22" s="137" t="str">
        <x:f>IF(AND(FS$4&gt;=$C22,FS$4&lt;=$D22,'Вводные'!$B$89="Да"),"■","")</x:f>
      </x:c>
      <x:c r="FT22" s="137" t="str">
        <x:f>IF(AND(FT$4&gt;=$C22,FT$4&lt;=$D22,'Вводные'!$B$89="Да"),"■","")</x:f>
      </x:c>
      <x:c r="FU22" s="137" t="str">
        <x:f>IF(AND(FU$4&gt;=$C22,FU$4&lt;=$D22,'Вводные'!$B$89="Да"),"■","")</x:f>
      </x:c>
      <x:c r="FV22" s="137" t="str">
        <x:f>IF(AND(FV$4&gt;=$C22,FV$4&lt;=$D22,'Вводные'!$B$89="Да"),"■","")</x:f>
      </x:c>
      <x:c r="FW22" s="137" t="str">
        <x:f>IF(AND(FW$4&gt;=$C22,FW$4&lt;=$D22,'Вводные'!$B$89="Да"),"■","")</x:f>
      </x:c>
      <x:c r="FX22" s="137" t="str">
        <x:f>IF(AND(FX$4&gt;=$C22,FX$4&lt;=$D22,'Вводные'!$B$89="Да"),"■","")</x:f>
      </x:c>
      <x:c r="FY22" s="137" t="str">
        <x:f>IF(AND(FY$4&gt;=$C22,FY$4&lt;=$D22,'Вводные'!$B$89="Да"),"■","")</x:f>
      </x:c>
      <x:c r="FZ22" s="137" t="str">
        <x:f>IF(AND(FZ$4&gt;=$C22,FZ$4&lt;=$D22,'Вводные'!$B$89="Да"),"■","")</x:f>
      </x:c>
      <x:c r="GA22" s="137" t="str">
        <x:f>IF(AND(GA$4&gt;=$C22,GA$4&lt;=$D22,'Вводные'!$B$89="Да"),"■","")</x:f>
      </x:c>
      <x:c r="GB22" s="137" t="str">
        <x:f>IF(AND(GB$4&gt;=$C22,GB$4&lt;=$D22,'Вводные'!$B$89="Да"),"■","")</x:f>
      </x:c>
    </x:row>
    <x:row r="23">
      <x:c r="C23" s="92"/>
      <x:c r="D23" s="92"/>
    </x:row>
    <x:row r="24">
      <x:c r="C24" s="92"/>
      <x:c r="D24" s="92"/>
    </x:row>
    <x:row r="25">
      <x:c r="A25" t="str">
        <x:f>'Вводные'!$C$90</x:f>
      </x:c>
      <x:c r="B25" t="str">
        <x:v>Сделка / старт</x:v>
      </x:c>
      <x:c r="C25" s="92" t="n">
        <x:f>EDATE('Вводные'!$D$90,'Вводные'!$H$9)</x:f>
      </x:c>
      <x:c r="D25" s="92" t="n">
        <x:f>C25</x:f>
      </x:c>
      <x:c r="E25" s="135" t="str">
        <x:f>IF(AND(E$4&gt;=$C25,E$4&lt;=$D25,'Вводные'!$B$90="Да"),"■","")</x:f>
      </x:c>
      <x:c r="F25" s="135" t="str">
        <x:f>IF(AND(F$4&gt;=$C25,F$4&lt;=$D25,'Вводные'!$B$90="Да"),"■","")</x:f>
      </x:c>
      <x:c r="G25" s="135" t="str">
        <x:f>IF(AND(G$4&gt;=$C25,G$4&lt;=$D25,'Вводные'!$B$90="Да"),"■","")</x:f>
      </x:c>
      <x:c r="H25" s="135" t="str">
        <x:f>IF(AND(H$4&gt;=$C25,H$4&lt;=$D25,'Вводные'!$B$90="Да"),"■","")</x:f>
      </x:c>
      <x:c r="I25" s="135" t="str">
        <x:f>IF(AND(I$4&gt;=$C25,I$4&lt;=$D25,'Вводные'!$B$90="Да"),"■","")</x:f>
      </x:c>
      <x:c r="J25" s="135" t="str">
        <x:f>IF(AND(J$4&gt;=$C25,J$4&lt;=$D25,'Вводные'!$B$90="Да"),"■","")</x:f>
      </x:c>
      <x:c r="K25" s="135" t="str">
        <x:f>IF(AND(K$4&gt;=$C25,K$4&lt;=$D25,'Вводные'!$B$90="Да"),"■","")</x:f>
      </x:c>
      <x:c r="L25" s="135" t="str">
        <x:f>IF(AND(L$4&gt;=$C25,L$4&lt;=$D25,'Вводные'!$B$90="Да"),"■","")</x:f>
      </x:c>
      <x:c r="M25" s="135" t="str">
        <x:f>IF(AND(M$4&gt;=$C25,M$4&lt;=$D25,'Вводные'!$B$90="Да"),"■","")</x:f>
      </x:c>
      <x:c r="N25" s="135" t="str">
        <x:f>IF(AND(N$4&gt;=$C25,N$4&lt;=$D25,'Вводные'!$B$90="Да"),"■","")</x:f>
      </x:c>
      <x:c r="O25" s="135" t="str">
        <x:f>IF(AND(O$4&gt;=$C25,O$4&lt;=$D25,'Вводные'!$B$90="Да"),"■","")</x:f>
      </x:c>
      <x:c r="P25" s="135" t="str">
        <x:f>IF(AND(P$4&gt;=$C25,P$4&lt;=$D25,'Вводные'!$B$90="Да"),"■","")</x:f>
      </x:c>
      <x:c r="Q25" s="135" t="str">
        <x:f>IF(AND(Q$4&gt;=$C25,Q$4&lt;=$D25,'Вводные'!$B$90="Да"),"■","")</x:f>
      </x:c>
      <x:c r="R25" s="135" t="str">
        <x:f>IF(AND(R$4&gt;=$C25,R$4&lt;=$D25,'Вводные'!$B$90="Да"),"■","")</x:f>
      </x:c>
      <x:c r="S25" s="135" t="str">
        <x:f>IF(AND(S$4&gt;=$C25,S$4&lt;=$D25,'Вводные'!$B$90="Да"),"■","")</x:f>
      </x:c>
      <x:c r="T25" s="135" t="str">
        <x:f>IF(AND(T$4&gt;=$C25,T$4&lt;=$D25,'Вводные'!$B$90="Да"),"■","")</x:f>
      </x:c>
      <x:c r="U25" s="135" t="str">
        <x:f>IF(AND(U$4&gt;=$C25,U$4&lt;=$D25,'Вводные'!$B$90="Да"),"■","")</x:f>
      </x:c>
      <x:c r="V25" s="135" t="str">
        <x:f>IF(AND(V$4&gt;=$C25,V$4&lt;=$D25,'Вводные'!$B$90="Да"),"■","")</x:f>
      </x:c>
      <x:c r="W25" s="135" t="str">
        <x:f>IF(AND(W$4&gt;=$C25,W$4&lt;=$D25,'Вводные'!$B$90="Да"),"■","")</x:f>
      </x:c>
      <x:c r="X25" s="135" t="str">
        <x:f>IF(AND(X$4&gt;=$C25,X$4&lt;=$D25,'Вводные'!$B$90="Да"),"■","")</x:f>
      </x:c>
      <x:c r="Y25" s="135" t="str">
        <x:f>IF(AND(Y$4&gt;=$C25,Y$4&lt;=$D25,'Вводные'!$B$90="Да"),"■","")</x:f>
      </x:c>
      <x:c r="Z25" s="135" t="str">
        <x:f>IF(AND(Z$4&gt;=$C25,Z$4&lt;=$D25,'Вводные'!$B$90="Да"),"■","")</x:f>
      </x:c>
      <x:c r="AA25" s="135" t="str">
        <x:f>IF(AND(AA$4&gt;=$C25,AA$4&lt;=$D25,'Вводные'!$B$90="Да"),"■","")</x:f>
      </x:c>
      <x:c r="AB25" s="135" t="str">
        <x:f>IF(AND(AB$4&gt;=$C25,AB$4&lt;=$D25,'Вводные'!$B$90="Да"),"■","")</x:f>
      </x:c>
      <x:c r="AC25" s="135" t="str">
        <x:f>IF(AND(AC$4&gt;=$C25,AC$4&lt;=$D25,'Вводные'!$B$90="Да"),"■","")</x:f>
      </x:c>
      <x:c r="AD25" s="135" t="str">
        <x:f>IF(AND(AD$4&gt;=$C25,AD$4&lt;=$D25,'Вводные'!$B$90="Да"),"■","")</x:f>
      </x:c>
      <x:c r="AE25" s="135" t="str">
        <x:f>IF(AND(AE$4&gt;=$C25,AE$4&lt;=$D25,'Вводные'!$B$90="Да"),"■","")</x:f>
      </x:c>
      <x:c r="AF25" s="135" t="str">
        <x:f>IF(AND(AF$4&gt;=$C25,AF$4&lt;=$D25,'Вводные'!$B$90="Да"),"■","")</x:f>
      </x:c>
      <x:c r="AG25" s="135" t="str">
        <x:f>IF(AND(AG$4&gt;=$C25,AG$4&lt;=$D25,'Вводные'!$B$90="Да"),"■","")</x:f>
      </x:c>
      <x:c r="AH25" s="135" t="str">
        <x:f>IF(AND(AH$4&gt;=$C25,AH$4&lt;=$D25,'Вводные'!$B$90="Да"),"■","")</x:f>
      </x:c>
      <x:c r="AI25" s="135" t="str">
        <x:f>IF(AND(AI$4&gt;=$C25,AI$4&lt;=$D25,'Вводные'!$B$90="Да"),"■","")</x:f>
      </x:c>
      <x:c r="AJ25" s="135" t="str">
        <x:f>IF(AND(AJ$4&gt;=$C25,AJ$4&lt;=$D25,'Вводные'!$B$90="Да"),"■","")</x:f>
      </x:c>
      <x:c r="AK25" s="135" t="str">
        <x:f>IF(AND(AK$4&gt;=$C25,AK$4&lt;=$D25,'Вводные'!$B$90="Да"),"■","")</x:f>
      </x:c>
      <x:c r="AL25" s="135" t="str">
        <x:f>IF(AND(AL$4&gt;=$C25,AL$4&lt;=$D25,'Вводные'!$B$90="Да"),"■","")</x:f>
      </x:c>
      <x:c r="AM25" s="135" t="str">
        <x:f>IF(AND(AM$4&gt;=$C25,AM$4&lt;=$D25,'Вводные'!$B$90="Да"),"■","")</x:f>
      </x:c>
      <x:c r="AN25" s="135" t="str">
        <x:f>IF(AND(AN$4&gt;=$C25,AN$4&lt;=$D25,'Вводные'!$B$90="Да"),"■","")</x:f>
      </x:c>
      <x:c r="AO25" s="135" t="str">
        <x:f>IF(AND(AO$4&gt;=$C25,AO$4&lt;=$D25,'Вводные'!$B$90="Да"),"■","")</x:f>
      </x:c>
      <x:c r="AP25" s="135" t="str">
        <x:f>IF(AND(AP$4&gt;=$C25,AP$4&lt;=$D25,'Вводные'!$B$90="Да"),"■","")</x:f>
      </x:c>
      <x:c r="AQ25" s="135" t="str">
        <x:f>IF(AND(AQ$4&gt;=$C25,AQ$4&lt;=$D25,'Вводные'!$B$90="Да"),"■","")</x:f>
      </x:c>
      <x:c r="AR25" s="135" t="str">
        <x:f>IF(AND(AR$4&gt;=$C25,AR$4&lt;=$D25,'Вводные'!$B$90="Да"),"■","")</x:f>
      </x:c>
      <x:c r="AS25" s="135" t="str">
        <x:f>IF(AND(AS$4&gt;=$C25,AS$4&lt;=$D25,'Вводные'!$B$90="Да"),"■","")</x:f>
      </x:c>
      <x:c r="AT25" s="135" t="str">
        <x:f>IF(AND(AT$4&gt;=$C25,AT$4&lt;=$D25,'Вводные'!$B$90="Да"),"■","")</x:f>
      </x:c>
      <x:c r="AU25" s="135" t="str">
        <x:f>IF(AND(AU$4&gt;=$C25,AU$4&lt;=$D25,'Вводные'!$B$90="Да"),"■","")</x:f>
      </x:c>
      <x:c r="AV25" s="135" t="str">
        <x:f>IF(AND(AV$4&gt;=$C25,AV$4&lt;=$D25,'Вводные'!$B$90="Да"),"■","")</x:f>
      </x:c>
      <x:c r="AW25" s="135" t="str">
        <x:f>IF(AND(AW$4&gt;=$C25,AW$4&lt;=$D25,'Вводные'!$B$90="Да"),"■","")</x:f>
      </x:c>
      <x:c r="AX25" s="135" t="str">
        <x:f>IF(AND(AX$4&gt;=$C25,AX$4&lt;=$D25,'Вводные'!$B$90="Да"),"■","")</x:f>
      </x:c>
      <x:c r="AY25" s="135" t="str">
        <x:f>IF(AND(AY$4&gt;=$C25,AY$4&lt;=$D25,'Вводные'!$B$90="Да"),"■","")</x:f>
      </x:c>
      <x:c r="AZ25" s="135" t="str">
        <x:f>IF(AND(AZ$4&gt;=$C25,AZ$4&lt;=$D25,'Вводные'!$B$90="Да"),"■","")</x:f>
      </x:c>
      <x:c r="BA25" s="135" t="str">
        <x:f>IF(AND(BA$4&gt;=$C25,BA$4&lt;=$D25,'Вводные'!$B$90="Да"),"■","")</x:f>
      </x:c>
      <x:c r="BB25" s="135" t="str">
        <x:f>IF(AND(BB$4&gt;=$C25,BB$4&lt;=$D25,'Вводные'!$B$90="Да"),"■","")</x:f>
      </x:c>
      <x:c r="BC25" s="135" t="str">
        <x:f>IF(AND(BC$4&gt;=$C25,BC$4&lt;=$D25,'Вводные'!$B$90="Да"),"■","")</x:f>
      </x:c>
      <x:c r="BD25" s="135" t="str">
        <x:f>IF(AND(BD$4&gt;=$C25,BD$4&lt;=$D25,'Вводные'!$B$90="Да"),"■","")</x:f>
      </x:c>
      <x:c r="BE25" s="135" t="str">
        <x:f>IF(AND(BE$4&gt;=$C25,BE$4&lt;=$D25,'Вводные'!$B$90="Да"),"■","")</x:f>
      </x:c>
      <x:c r="BF25" s="135" t="str">
        <x:f>IF(AND(BF$4&gt;=$C25,BF$4&lt;=$D25,'Вводные'!$B$90="Да"),"■","")</x:f>
      </x:c>
      <x:c r="BG25" s="135" t="str">
        <x:f>IF(AND(BG$4&gt;=$C25,BG$4&lt;=$D25,'Вводные'!$B$90="Да"),"■","")</x:f>
      </x:c>
      <x:c r="BH25" s="135" t="str">
        <x:f>IF(AND(BH$4&gt;=$C25,BH$4&lt;=$D25,'Вводные'!$B$90="Да"),"■","")</x:f>
      </x:c>
      <x:c r="BI25" s="135" t="str">
        <x:f>IF(AND(BI$4&gt;=$C25,BI$4&lt;=$D25,'Вводные'!$B$90="Да"),"■","")</x:f>
      </x:c>
      <x:c r="BJ25" s="135" t="str">
        <x:f>IF(AND(BJ$4&gt;=$C25,BJ$4&lt;=$D25,'Вводные'!$B$90="Да"),"■","")</x:f>
      </x:c>
      <x:c r="BK25" s="135" t="str">
        <x:f>IF(AND(BK$4&gt;=$C25,BK$4&lt;=$D25,'Вводные'!$B$90="Да"),"■","")</x:f>
      </x:c>
      <x:c r="BL25" s="135" t="str">
        <x:f>IF(AND(BL$4&gt;=$C25,BL$4&lt;=$D25,'Вводные'!$B$90="Да"),"■","")</x:f>
      </x:c>
      <x:c r="BM25" s="135" t="str">
        <x:f>IF(AND(BM$4&gt;=$C25,BM$4&lt;=$D25,'Вводные'!$B$90="Да"),"■","")</x:f>
      </x:c>
      <x:c r="BN25" s="135" t="str">
        <x:f>IF(AND(BN$4&gt;=$C25,BN$4&lt;=$D25,'Вводные'!$B$90="Да"),"■","")</x:f>
      </x:c>
      <x:c r="BO25" s="135" t="str">
        <x:f>IF(AND(BO$4&gt;=$C25,BO$4&lt;=$D25,'Вводные'!$B$90="Да"),"■","")</x:f>
      </x:c>
      <x:c r="BP25" s="135" t="str">
        <x:f>IF(AND(BP$4&gt;=$C25,BP$4&lt;=$D25,'Вводные'!$B$90="Да"),"■","")</x:f>
      </x:c>
      <x:c r="BQ25" s="135" t="str">
        <x:f>IF(AND(BQ$4&gt;=$C25,BQ$4&lt;=$D25,'Вводные'!$B$90="Да"),"■","")</x:f>
      </x:c>
      <x:c r="BR25" s="135" t="str">
        <x:f>IF(AND(BR$4&gt;=$C25,BR$4&lt;=$D25,'Вводные'!$B$90="Да"),"■","")</x:f>
      </x:c>
      <x:c r="BS25" s="135" t="str">
        <x:f>IF(AND(BS$4&gt;=$C25,BS$4&lt;=$D25,'Вводные'!$B$90="Да"),"■","")</x:f>
      </x:c>
      <x:c r="BT25" s="135" t="str">
        <x:f>IF(AND(BT$4&gt;=$C25,BT$4&lt;=$D25,'Вводные'!$B$90="Да"),"■","")</x:f>
      </x:c>
      <x:c r="BU25" s="135" t="str">
        <x:f>IF(AND(BU$4&gt;=$C25,BU$4&lt;=$D25,'Вводные'!$B$90="Да"),"■","")</x:f>
      </x:c>
      <x:c r="BV25" s="135" t="str">
        <x:f>IF(AND(BV$4&gt;=$C25,BV$4&lt;=$D25,'Вводные'!$B$90="Да"),"■","")</x:f>
      </x:c>
      <x:c r="BW25" s="135" t="str">
        <x:f>IF(AND(BW$4&gt;=$C25,BW$4&lt;=$D25,'Вводные'!$B$90="Да"),"■","")</x:f>
      </x:c>
      <x:c r="BX25" s="135" t="str">
        <x:f>IF(AND(BX$4&gt;=$C25,BX$4&lt;=$D25,'Вводные'!$B$90="Да"),"■","")</x:f>
      </x:c>
      <x:c r="BY25" s="135" t="str">
        <x:f>IF(AND(BY$4&gt;=$C25,BY$4&lt;=$D25,'Вводные'!$B$90="Да"),"■","")</x:f>
      </x:c>
      <x:c r="BZ25" s="135" t="str">
        <x:f>IF(AND(BZ$4&gt;=$C25,BZ$4&lt;=$D25,'Вводные'!$B$90="Да"),"■","")</x:f>
      </x:c>
      <x:c r="CA25" s="135" t="str">
        <x:f>IF(AND(CA$4&gt;=$C25,CA$4&lt;=$D25,'Вводные'!$B$90="Да"),"■","")</x:f>
      </x:c>
      <x:c r="CB25" s="135" t="str">
        <x:f>IF(AND(CB$4&gt;=$C25,CB$4&lt;=$D25,'Вводные'!$B$90="Да"),"■","")</x:f>
      </x:c>
      <x:c r="CC25" s="135" t="str">
        <x:f>IF(AND(CC$4&gt;=$C25,CC$4&lt;=$D25,'Вводные'!$B$90="Да"),"■","")</x:f>
      </x:c>
      <x:c r="CD25" s="135" t="str">
        <x:f>IF(AND(CD$4&gt;=$C25,CD$4&lt;=$D25,'Вводные'!$B$90="Да"),"■","")</x:f>
      </x:c>
      <x:c r="CE25" s="135" t="str">
        <x:f>IF(AND(CE$4&gt;=$C25,CE$4&lt;=$D25,'Вводные'!$B$90="Да"),"■","")</x:f>
      </x:c>
      <x:c r="CF25" s="135" t="str">
        <x:f>IF(AND(CF$4&gt;=$C25,CF$4&lt;=$D25,'Вводные'!$B$90="Да"),"■","")</x:f>
      </x:c>
      <x:c r="CG25" s="135" t="str">
        <x:f>IF(AND(CG$4&gt;=$C25,CG$4&lt;=$D25,'Вводные'!$B$90="Да"),"■","")</x:f>
      </x:c>
      <x:c r="CH25" s="135" t="str">
        <x:f>IF(AND(CH$4&gt;=$C25,CH$4&lt;=$D25,'Вводные'!$B$90="Да"),"■","")</x:f>
      </x:c>
      <x:c r="CI25" s="135" t="str">
        <x:f>IF(AND(CI$4&gt;=$C25,CI$4&lt;=$D25,'Вводные'!$B$90="Да"),"■","")</x:f>
      </x:c>
      <x:c r="CJ25" s="135" t="str">
        <x:f>IF(AND(CJ$4&gt;=$C25,CJ$4&lt;=$D25,'Вводные'!$B$90="Да"),"■","")</x:f>
      </x:c>
      <x:c r="CK25" s="135" t="str">
        <x:f>IF(AND(CK$4&gt;=$C25,CK$4&lt;=$D25,'Вводные'!$B$90="Да"),"■","")</x:f>
      </x:c>
      <x:c r="CL25" s="135" t="str">
        <x:f>IF(AND(CL$4&gt;=$C25,CL$4&lt;=$D25,'Вводные'!$B$90="Да"),"■","")</x:f>
      </x:c>
      <x:c r="CM25" s="135" t="str">
        <x:f>IF(AND(CM$4&gt;=$C25,CM$4&lt;=$D25,'Вводные'!$B$90="Да"),"■","")</x:f>
      </x:c>
      <x:c r="CN25" s="135" t="str">
        <x:f>IF(AND(CN$4&gt;=$C25,CN$4&lt;=$D25,'Вводные'!$B$90="Да"),"■","")</x:f>
      </x:c>
      <x:c r="CO25" s="135" t="str">
        <x:f>IF(AND(CO$4&gt;=$C25,CO$4&lt;=$D25,'Вводные'!$B$90="Да"),"■","")</x:f>
      </x:c>
      <x:c r="CP25" s="135" t="str">
        <x:f>IF(AND(CP$4&gt;=$C25,CP$4&lt;=$D25,'Вводные'!$B$90="Да"),"■","")</x:f>
      </x:c>
      <x:c r="CQ25" s="135" t="str">
        <x:f>IF(AND(CQ$4&gt;=$C25,CQ$4&lt;=$D25,'Вводные'!$B$90="Да"),"■","")</x:f>
      </x:c>
      <x:c r="CR25" s="135" t="str">
        <x:f>IF(AND(CR$4&gt;=$C25,CR$4&lt;=$D25,'Вводные'!$B$90="Да"),"■","")</x:f>
      </x:c>
      <x:c r="CS25" s="135" t="str">
        <x:f>IF(AND(CS$4&gt;=$C25,CS$4&lt;=$D25,'Вводные'!$B$90="Да"),"■","")</x:f>
      </x:c>
      <x:c r="CT25" s="135" t="str">
        <x:f>IF(AND(CT$4&gt;=$C25,CT$4&lt;=$D25,'Вводные'!$B$90="Да"),"■","")</x:f>
      </x:c>
      <x:c r="CU25" s="135" t="str">
        <x:f>IF(AND(CU$4&gt;=$C25,CU$4&lt;=$D25,'Вводные'!$B$90="Да"),"■","")</x:f>
      </x:c>
      <x:c r="CV25" s="135" t="str">
        <x:f>IF(AND(CV$4&gt;=$C25,CV$4&lt;=$D25,'Вводные'!$B$90="Да"),"■","")</x:f>
      </x:c>
      <x:c r="CW25" s="135" t="str">
        <x:f>IF(AND(CW$4&gt;=$C25,CW$4&lt;=$D25,'Вводные'!$B$90="Да"),"■","")</x:f>
      </x:c>
      <x:c r="CX25" s="135" t="str">
        <x:f>IF(AND(CX$4&gt;=$C25,CX$4&lt;=$D25,'Вводные'!$B$90="Да"),"■","")</x:f>
      </x:c>
      <x:c r="CY25" s="135" t="str">
        <x:f>IF(AND(CY$4&gt;=$C25,CY$4&lt;=$D25,'Вводные'!$B$90="Да"),"■","")</x:f>
      </x:c>
      <x:c r="CZ25" s="135" t="str">
        <x:f>IF(AND(CZ$4&gt;=$C25,CZ$4&lt;=$D25,'Вводные'!$B$90="Да"),"■","")</x:f>
      </x:c>
      <x:c r="DA25" s="135" t="str">
        <x:f>IF(AND(DA$4&gt;=$C25,DA$4&lt;=$D25,'Вводные'!$B$90="Да"),"■","")</x:f>
      </x:c>
      <x:c r="DB25" s="135" t="str">
        <x:f>IF(AND(DB$4&gt;=$C25,DB$4&lt;=$D25,'Вводные'!$B$90="Да"),"■","")</x:f>
      </x:c>
      <x:c r="DC25" s="135" t="str">
        <x:f>IF(AND(DC$4&gt;=$C25,DC$4&lt;=$D25,'Вводные'!$B$90="Да"),"■","")</x:f>
      </x:c>
      <x:c r="DD25" s="135" t="str">
        <x:f>IF(AND(DD$4&gt;=$C25,DD$4&lt;=$D25,'Вводные'!$B$90="Да"),"■","")</x:f>
      </x:c>
      <x:c r="DE25" s="135" t="str">
        <x:f>IF(AND(DE$4&gt;=$C25,DE$4&lt;=$D25,'Вводные'!$B$90="Да"),"■","")</x:f>
      </x:c>
      <x:c r="DF25" s="135" t="str">
        <x:f>IF(AND(DF$4&gt;=$C25,DF$4&lt;=$D25,'Вводные'!$B$90="Да"),"■","")</x:f>
      </x:c>
      <x:c r="DG25" s="135" t="str">
        <x:f>IF(AND(DG$4&gt;=$C25,DG$4&lt;=$D25,'Вводные'!$B$90="Да"),"■","")</x:f>
      </x:c>
      <x:c r="DH25" s="135" t="str">
        <x:f>IF(AND(DH$4&gt;=$C25,DH$4&lt;=$D25,'Вводные'!$B$90="Да"),"■","")</x:f>
      </x:c>
      <x:c r="DI25" s="135" t="str">
        <x:f>IF(AND(DI$4&gt;=$C25,DI$4&lt;=$D25,'Вводные'!$B$90="Да"),"■","")</x:f>
      </x:c>
      <x:c r="DJ25" s="135" t="str">
        <x:f>IF(AND(DJ$4&gt;=$C25,DJ$4&lt;=$D25,'Вводные'!$B$90="Да"),"■","")</x:f>
      </x:c>
      <x:c r="DK25" s="135" t="str">
        <x:f>IF(AND(DK$4&gt;=$C25,DK$4&lt;=$D25,'Вводные'!$B$90="Да"),"■","")</x:f>
      </x:c>
      <x:c r="DL25" s="135" t="str">
        <x:f>IF(AND(DL$4&gt;=$C25,DL$4&lt;=$D25,'Вводные'!$B$90="Да"),"■","")</x:f>
      </x:c>
      <x:c r="DM25" s="135" t="str">
        <x:f>IF(AND(DM$4&gt;=$C25,DM$4&lt;=$D25,'Вводные'!$B$90="Да"),"■","")</x:f>
      </x:c>
      <x:c r="DN25" s="135" t="str">
        <x:f>IF(AND(DN$4&gt;=$C25,DN$4&lt;=$D25,'Вводные'!$B$90="Да"),"■","")</x:f>
      </x:c>
      <x:c r="DO25" s="135" t="str">
        <x:f>IF(AND(DO$4&gt;=$C25,DO$4&lt;=$D25,'Вводные'!$B$90="Да"),"■","")</x:f>
      </x:c>
      <x:c r="DP25" s="135" t="str">
        <x:f>IF(AND(DP$4&gt;=$C25,DP$4&lt;=$D25,'Вводные'!$B$90="Да"),"■","")</x:f>
      </x:c>
      <x:c r="DQ25" s="135" t="str">
        <x:f>IF(AND(DQ$4&gt;=$C25,DQ$4&lt;=$D25,'Вводные'!$B$90="Да"),"■","")</x:f>
      </x:c>
      <x:c r="DR25" s="135" t="str">
        <x:f>IF(AND(DR$4&gt;=$C25,DR$4&lt;=$D25,'Вводные'!$B$90="Да"),"■","")</x:f>
      </x:c>
      <x:c r="DS25" s="135" t="str">
        <x:f>IF(AND(DS$4&gt;=$C25,DS$4&lt;=$D25,'Вводные'!$B$90="Да"),"■","")</x:f>
      </x:c>
      <x:c r="DT25" s="135" t="str">
        <x:f>IF(AND(DT$4&gt;=$C25,DT$4&lt;=$D25,'Вводные'!$B$90="Да"),"■","")</x:f>
      </x:c>
      <x:c r="DU25" s="135" t="str">
        <x:f>IF(AND(DU$4&gt;=$C25,DU$4&lt;=$D25,'Вводные'!$B$90="Да"),"■","")</x:f>
      </x:c>
      <x:c r="DV25" s="135" t="str">
        <x:f>IF(AND(DV$4&gt;=$C25,DV$4&lt;=$D25,'Вводные'!$B$90="Да"),"■","")</x:f>
      </x:c>
      <x:c r="DW25" s="135" t="str">
        <x:f>IF(AND(DW$4&gt;=$C25,DW$4&lt;=$D25,'Вводные'!$B$90="Да"),"■","")</x:f>
      </x:c>
      <x:c r="DX25" s="135" t="str">
        <x:f>IF(AND(DX$4&gt;=$C25,DX$4&lt;=$D25,'Вводные'!$B$90="Да"),"■","")</x:f>
      </x:c>
      <x:c r="DY25" s="135" t="str">
        <x:f>IF(AND(DY$4&gt;=$C25,DY$4&lt;=$D25,'Вводные'!$B$90="Да"),"■","")</x:f>
      </x:c>
      <x:c r="DZ25" s="135" t="str">
        <x:f>IF(AND(DZ$4&gt;=$C25,DZ$4&lt;=$D25,'Вводные'!$B$90="Да"),"■","")</x:f>
      </x:c>
      <x:c r="EA25" s="135" t="str">
        <x:f>IF(AND(EA$4&gt;=$C25,EA$4&lt;=$D25,'Вводные'!$B$90="Да"),"■","")</x:f>
      </x:c>
      <x:c r="EB25" s="135" t="str">
        <x:f>IF(AND(EB$4&gt;=$C25,EB$4&lt;=$D25,'Вводные'!$B$90="Да"),"■","")</x:f>
      </x:c>
      <x:c r="EC25" s="135" t="str">
        <x:f>IF(AND(EC$4&gt;=$C25,EC$4&lt;=$D25,'Вводные'!$B$90="Да"),"■","")</x:f>
      </x:c>
      <x:c r="ED25" s="135" t="str">
        <x:f>IF(AND(ED$4&gt;=$C25,ED$4&lt;=$D25,'Вводные'!$B$90="Да"),"■","")</x:f>
      </x:c>
      <x:c r="EE25" s="135" t="str">
        <x:f>IF(AND(EE$4&gt;=$C25,EE$4&lt;=$D25,'Вводные'!$B$90="Да"),"■","")</x:f>
      </x:c>
      <x:c r="EF25" s="135" t="str">
        <x:f>IF(AND(EF$4&gt;=$C25,EF$4&lt;=$D25,'Вводные'!$B$90="Да"),"■","")</x:f>
      </x:c>
      <x:c r="EG25" s="135" t="str">
        <x:f>IF(AND(EG$4&gt;=$C25,EG$4&lt;=$D25,'Вводные'!$B$90="Да"),"■","")</x:f>
      </x:c>
      <x:c r="EH25" s="135" t="str">
        <x:f>IF(AND(EH$4&gt;=$C25,EH$4&lt;=$D25,'Вводные'!$B$90="Да"),"■","")</x:f>
      </x:c>
      <x:c r="EI25" s="135" t="str">
        <x:f>IF(AND(EI$4&gt;=$C25,EI$4&lt;=$D25,'Вводные'!$B$90="Да"),"■","")</x:f>
      </x:c>
      <x:c r="EJ25" s="135" t="str">
        <x:f>IF(AND(EJ$4&gt;=$C25,EJ$4&lt;=$D25,'Вводные'!$B$90="Да"),"■","")</x:f>
      </x:c>
      <x:c r="EK25" s="135" t="str">
        <x:f>IF(AND(EK$4&gt;=$C25,EK$4&lt;=$D25,'Вводные'!$B$90="Да"),"■","")</x:f>
      </x:c>
      <x:c r="EL25" s="135" t="str">
        <x:f>IF(AND(EL$4&gt;=$C25,EL$4&lt;=$D25,'Вводные'!$B$90="Да"),"■","")</x:f>
      </x:c>
      <x:c r="EM25" s="135" t="str">
        <x:f>IF(AND(EM$4&gt;=$C25,EM$4&lt;=$D25,'Вводные'!$B$90="Да"),"■","")</x:f>
      </x:c>
      <x:c r="EN25" s="135" t="str">
        <x:f>IF(AND(EN$4&gt;=$C25,EN$4&lt;=$D25,'Вводные'!$B$90="Да"),"■","")</x:f>
      </x:c>
      <x:c r="EO25" s="135" t="str">
        <x:f>IF(AND(EO$4&gt;=$C25,EO$4&lt;=$D25,'Вводные'!$B$90="Да"),"■","")</x:f>
      </x:c>
      <x:c r="EP25" s="135" t="str">
        <x:f>IF(AND(EP$4&gt;=$C25,EP$4&lt;=$D25,'Вводные'!$B$90="Да"),"■","")</x:f>
      </x:c>
      <x:c r="EQ25" s="135" t="str">
        <x:f>IF(AND(EQ$4&gt;=$C25,EQ$4&lt;=$D25,'Вводные'!$B$90="Да"),"■","")</x:f>
      </x:c>
      <x:c r="ER25" s="135" t="str">
        <x:f>IF(AND(ER$4&gt;=$C25,ER$4&lt;=$D25,'Вводные'!$B$90="Да"),"■","")</x:f>
      </x:c>
      <x:c r="ES25" s="135" t="str">
        <x:f>IF(AND(ES$4&gt;=$C25,ES$4&lt;=$D25,'Вводные'!$B$90="Да"),"■","")</x:f>
      </x:c>
      <x:c r="ET25" s="135" t="str">
        <x:f>IF(AND(ET$4&gt;=$C25,ET$4&lt;=$D25,'Вводные'!$B$90="Да"),"■","")</x:f>
      </x:c>
      <x:c r="EU25" s="135" t="str">
        <x:f>IF(AND(EU$4&gt;=$C25,EU$4&lt;=$D25,'Вводные'!$B$90="Да"),"■","")</x:f>
      </x:c>
      <x:c r="EV25" s="135" t="str">
        <x:f>IF(AND(EV$4&gt;=$C25,EV$4&lt;=$D25,'Вводные'!$B$90="Да"),"■","")</x:f>
      </x:c>
      <x:c r="EW25" s="135" t="str">
        <x:f>IF(AND(EW$4&gt;=$C25,EW$4&lt;=$D25,'Вводные'!$B$90="Да"),"■","")</x:f>
      </x:c>
      <x:c r="EX25" s="135" t="str">
        <x:f>IF(AND(EX$4&gt;=$C25,EX$4&lt;=$D25,'Вводные'!$B$90="Да"),"■","")</x:f>
      </x:c>
      <x:c r="EY25" s="135" t="str">
        <x:f>IF(AND(EY$4&gt;=$C25,EY$4&lt;=$D25,'Вводные'!$B$90="Да"),"■","")</x:f>
      </x:c>
      <x:c r="EZ25" s="135" t="str">
        <x:f>IF(AND(EZ$4&gt;=$C25,EZ$4&lt;=$D25,'Вводные'!$B$90="Да"),"■","")</x:f>
      </x:c>
      <x:c r="FA25" s="135" t="str">
        <x:f>IF(AND(FA$4&gt;=$C25,FA$4&lt;=$D25,'Вводные'!$B$90="Да"),"■","")</x:f>
      </x:c>
      <x:c r="FB25" s="135" t="str">
        <x:f>IF(AND(FB$4&gt;=$C25,FB$4&lt;=$D25,'Вводные'!$B$90="Да"),"■","")</x:f>
      </x:c>
      <x:c r="FC25" s="135" t="str">
        <x:f>IF(AND(FC$4&gt;=$C25,FC$4&lt;=$D25,'Вводные'!$B$90="Да"),"■","")</x:f>
      </x:c>
      <x:c r="FD25" s="135" t="str">
        <x:f>IF(AND(FD$4&gt;=$C25,FD$4&lt;=$D25,'Вводные'!$B$90="Да"),"■","")</x:f>
      </x:c>
      <x:c r="FE25" s="135" t="str">
        <x:f>IF(AND(FE$4&gt;=$C25,FE$4&lt;=$D25,'Вводные'!$B$90="Да"),"■","")</x:f>
      </x:c>
      <x:c r="FF25" s="135" t="str">
        <x:f>IF(AND(FF$4&gt;=$C25,FF$4&lt;=$D25,'Вводные'!$B$90="Да"),"■","")</x:f>
      </x:c>
      <x:c r="FG25" s="135" t="str">
        <x:f>IF(AND(FG$4&gt;=$C25,FG$4&lt;=$D25,'Вводные'!$B$90="Да"),"■","")</x:f>
      </x:c>
      <x:c r="FH25" s="135" t="str">
        <x:f>IF(AND(FH$4&gt;=$C25,FH$4&lt;=$D25,'Вводные'!$B$90="Да"),"■","")</x:f>
      </x:c>
      <x:c r="FI25" s="135" t="str">
        <x:f>IF(AND(FI$4&gt;=$C25,FI$4&lt;=$D25,'Вводные'!$B$90="Да"),"■","")</x:f>
      </x:c>
      <x:c r="FJ25" s="135" t="str">
        <x:f>IF(AND(FJ$4&gt;=$C25,FJ$4&lt;=$D25,'Вводные'!$B$90="Да"),"■","")</x:f>
      </x:c>
      <x:c r="FK25" s="135" t="str">
        <x:f>IF(AND(FK$4&gt;=$C25,FK$4&lt;=$D25,'Вводные'!$B$90="Да"),"■","")</x:f>
      </x:c>
      <x:c r="FL25" s="135" t="str">
        <x:f>IF(AND(FL$4&gt;=$C25,FL$4&lt;=$D25,'Вводные'!$B$90="Да"),"■","")</x:f>
      </x:c>
      <x:c r="FM25" s="135" t="str">
        <x:f>IF(AND(FM$4&gt;=$C25,FM$4&lt;=$D25,'Вводные'!$B$90="Да"),"■","")</x:f>
      </x:c>
      <x:c r="FN25" s="135" t="str">
        <x:f>IF(AND(FN$4&gt;=$C25,FN$4&lt;=$D25,'Вводные'!$B$90="Да"),"■","")</x:f>
      </x:c>
      <x:c r="FO25" s="135" t="str">
        <x:f>IF(AND(FO$4&gt;=$C25,FO$4&lt;=$D25,'Вводные'!$B$90="Да"),"■","")</x:f>
      </x:c>
      <x:c r="FP25" s="135" t="str">
        <x:f>IF(AND(FP$4&gt;=$C25,FP$4&lt;=$D25,'Вводные'!$B$90="Да"),"■","")</x:f>
      </x:c>
      <x:c r="FQ25" s="135" t="str">
        <x:f>IF(AND(FQ$4&gt;=$C25,FQ$4&lt;=$D25,'Вводные'!$B$90="Да"),"■","")</x:f>
      </x:c>
      <x:c r="FR25" s="135" t="str">
        <x:f>IF(AND(FR$4&gt;=$C25,FR$4&lt;=$D25,'Вводные'!$B$90="Да"),"■","")</x:f>
      </x:c>
      <x:c r="FS25" s="135" t="str">
        <x:f>IF(AND(FS$4&gt;=$C25,FS$4&lt;=$D25,'Вводные'!$B$90="Да"),"■","")</x:f>
      </x:c>
      <x:c r="FT25" s="135" t="str">
        <x:f>IF(AND(FT$4&gt;=$C25,FT$4&lt;=$D25,'Вводные'!$B$90="Да"),"■","")</x:f>
      </x:c>
      <x:c r="FU25" s="135" t="str">
        <x:f>IF(AND(FU$4&gt;=$C25,FU$4&lt;=$D25,'Вводные'!$B$90="Да"),"■","")</x:f>
      </x:c>
      <x:c r="FV25" s="135" t="str">
        <x:f>IF(AND(FV$4&gt;=$C25,FV$4&lt;=$D25,'Вводные'!$B$90="Да"),"■","")</x:f>
      </x:c>
      <x:c r="FW25" s="135" t="str">
        <x:f>IF(AND(FW$4&gt;=$C25,FW$4&lt;=$D25,'Вводные'!$B$90="Да"),"■","")</x:f>
      </x:c>
      <x:c r="FX25" s="135" t="str">
        <x:f>IF(AND(FX$4&gt;=$C25,FX$4&lt;=$D25,'Вводные'!$B$90="Да"),"■","")</x:f>
      </x:c>
      <x:c r="FY25" s="135" t="str">
        <x:f>IF(AND(FY$4&gt;=$C25,FY$4&lt;=$D25,'Вводные'!$B$90="Да"),"■","")</x:f>
      </x:c>
      <x:c r="FZ25" s="135" t="str">
        <x:f>IF(AND(FZ$4&gt;=$C25,FZ$4&lt;=$D25,'Вводные'!$B$90="Да"),"■","")</x:f>
      </x:c>
      <x:c r="GA25" s="135" t="str">
        <x:f>IF(AND(GA$4&gt;=$C25,GA$4&lt;=$D25,'Вводные'!$B$90="Да"),"■","")</x:f>
      </x:c>
      <x:c r="GB25" s="135" t="str">
        <x:f>IF(AND(GB$4&gt;=$C25,GB$4&lt;=$D25,'Вводные'!$B$90="Да"),"■","")</x:f>
      </x:c>
    </x:row>
    <x:row r="26">
      <x:c r="A26" t="str">
        <x:f>'Вводные'!$C$90</x:f>
      </x:c>
      <x:c r="B26" t="str">
        <x:v>ИРД и согласования</x:v>
      </x:c>
      <x:c r="C26" s="92" t="n">
        <x:f>EDATE('Вводные'!$D$90,'Вводные'!$H$9)</x:f>
      </x:c>
      <x:c r="D26" s="92" t="n">
        <x:f>EDATE(C26,'Вводные'!$E$90-1)</x:f>
      </x:c>
      <x:c r="E26" s="137" t="str">
        <x:f>IF(AND(E$4&gt;=$C26,E$4&lt;=$D26,'Вводные'!$B$90="Да"),"■","")</x:f>
      </x:c>
      <x:c r="F26" s="137" t="str">
        <x:f>IF(AND(F$4&gt;=$C26,F$4&lt;=$D26,'Вводные'!$B$90="Да"),"■","")</x:f>
      </x:c>
      <x:c r="G26" s="137" t="str">
        <x:f>IF(AND(G$4&gt;=$C26,G$4&lt;=$D26,'Вводные'!$B$90="Да"),"■","")</x:f>
      </x:c>
      <x:c r="H26" s="137" t="str">
        <x:f>IF(AND(H$4&gt;=$C26,H$4&lt;=$D26,'Вводные'!$B$90="Да"),"■","")</x:f>
      </x:c>
      <x:c r="I26" s="137" t="str">
        <x:f>IF(AND(I$4&gt;=$C26,I$4&lt;=$D26,'Вводные'!$B$90="Да"),"■","")</x:f>
      </x:c>
      <x:c r="J26" s="137" t="str">
        <x:f>IF(AND(J$4&gt;=$C26,J$4&lt;=$D26,'Вводные'!$B$90="Да"),"■","")</x:f>
      </x:c>
      <x:c r="K26" s="137" t="str">
        <x:f>IF(AND(K$4&gt;=$C26,K$4&lt;=$D26,'Вводные'!$B$90="Да"),"■","")</x:f>
      </x:c>
      <x:c r="L26" s="137" t="str">
        <x:f>IF(AND(L$4&gt;=$C26,L$4&lt;=$D26,'Вводные'!$B$90="Да"),"■","")</x:f>
      </x:c>
      <x:c r="M26" s="137" t="str">
        <x:f>IF(AND(M$4&gt;=$C26,M$4&lt;=$D26,'Вводные'!$B$90="Да"),"■","")</x:f>
      </x:c>
      <x:c r="N26" s="137" t="str">
        <x:f>IF(AND(N$4&gt;=$C26,N$4&lt;=$D26,'Вводные'!$B$90="Да"),"■","")</x:f>
      </x:c>
      <x:c r="O26" s="137" t="str">
        <x:f>IF(AND(O$4&gt;=$C26,O$4&lt;=$D26,'Вводные'!$B$90="Да"),"■","")</x:f>
      </x:c>
      <x:c r="P26" s="137" t="str">
        <x:f>IF(AND(P$4&gt;=$C26,P$4&lt;=$D26,'Вводные'!$B$90="Да"),"■","")</x:f>
      </x:c>
      <x:c r="Q26" s="137" t="str">
        <x:f>IF(AND(Q$4&gt;=$C26,Q$4&lt;=$D26,'Вводные'!$B$90="Да"),"■","")</x:f>
      </x:c>
      <x:c r="R26" s="137" t="str">
        <x:f>IF(AND(R$4&gt;=$C26,R$4&lt;=$D26,'Вводные'!$B$90="Да"),"■","")</x:f>
      </x:c>
      <x:c r="S26" s="137" t="str">
        <x:f>IF(AND(S$4&gt;=$C26,S$4&lt;=$D26,'Вводные'!$B$90="Да"),"■","")</x:f>
      </x:c>
      <x:c r="T26" s="137" t="str">
        <x:f>IF(AND(T$4&gt;=$C26,T$4&lt;=$D26,'Вводные'!$B$90="Да"),"■","")</x:f>
      </x:c>
      <x:c r="U26" s="137" t="str">
        <x:f>IF(AND(U$4&gt;=$C26,U$4&lt;=$D26,'Вводные'!$B$90="Да"),"■","")</x:f>
      </x:c>
      <x:c r="V26" s="137" t="str">
        <x:f>IF(AND(V$4&gt;=$C26,V$4&lt;=$D26,'Вводные'!$B$90="Да"),"■","")</x:f>
      </x:c>
      <x:c r="W26" s="137" t="str">
        <x:f>IF(AND(W$4&gt;=$C26,W$4&lt;=$D26,'Вводные'!$B$90="Да"),"■","")</x:f>
      </x:c>
      <x:c r="X26" s="137" t="str">
        <x:f>IF(AND(X$4&gt;=$C26,X$4&lt;=$D26,'Вводные'!$B$90="Да"),"■","")</x:f>
      </x:c>
      <x:c r="Y26" s="137" t="str">
        <x:f>IF(AND(Y$4&gt;=$C26,Y$4&lt;=$D26,'Вводные'!$B$90="Да"),"■","")</x:f>
      </x:c>
      <x:c r="Z26" s="137" t="str">
        <x:f>IF(AND(Z$4&gt;=$C26,Z$4&lt;=$D26,'Вводные'!$B$90="Да"),"■","")</x:f>
      </x:c>
      <x:c r="AA26" s="137" t="str">
        <x:f>IF(AND(AA$4&gt;=$C26,AA$4&lt;=$D26,'Вводные'!$B$90="Да"),"■","")</x:f>
      </x:c>
      <x:c r="AB26" s="137" t="str">
        <x:f>IF(AND(AB$4&gt;=$C26,AB$4&lt;=$D26,'Вводные'!$B$90="Да"),"■","")</x:f>
      </x:c>
      <x:c r="AC26" s="137" t="str">
        <x:f>IF(AND(AC$4&gt;=$C26,AC$4&lt;=$D26,'Вводные'!$B$90="Да"),"■","")</x:f>
      </x:c>
      <x:c r="AD26" s="137" t="str">
        <x:f>IF(AND(AD$4&gt;=$C26,AD$4&lt;=$D26,'Вводные'!$B$90="Да"),"■","")</x:f>
      </x:c>
      <x:c r="AE26" s="137" t="str">
        <x:f>IF(AND(AE$4&gt;=$C26,AE$4&lt;=$D26,'Вводные'!$B$90="Да"),"■","")</x:f>
      </x:c>
      <x:c r="AF26" s="137" t="str">
        <x:f>IF(AND(AF$4&gt;=$C26,AF$4&lt;=$D26,'Вводные'!$B$90="Да"),"■","")</x:f>
      </x:c>
      <x:c r="AG26" s="137" t="str">
        <x:f>IF(AND(AG$4&gt;=$C26,AG$4&lt;=$D26,'Вводные'!$B$90="Да"),"■","")</x:f>
      </x:c>
      <x:c r="AH26" s="137" t="str">
        <x:f>IF(AND(AH$4&gt;=$C26,AH$4&lt;=$D26,'Вводные'!$B$90="Да"),"■","")</x:f>
      </x:c>
      <x:c r="AI26" s="137" t="str">
        <x:f>IF(AND(AI$4&gt;=$C26,AI$4&lt;=$D26,'Вводные'!$B$90="Да"),"■","")</x:f>
      </x:c>
      <x:c r="AJ26" s="137" t="str">
        <x:f>IF(AND(AJ$4&gt;=$C26,AJ$4&lt;=$D26,'Вводные'!$B$90="Да"),"■","")</x:f>
      </x:c>
      <x:c r="AK26" s="137" t="str">
        <x:f>IF(AND(AK$4&gt;=$C26,AK$4&lt;=$D26,'Вводные'!$B$90="Да"),"■","")</x:f>
      </x:c>
      <x:c r="AL26" s="137" t="str">
        <x:f>IF(AND(AL$4&gt;=$C26,AL$4&lt;=$D26,'Вводные'!$B$90="Да"),"■","")</x:f>
      </x:c>
      <x:c r="AM26" s="137" t="str">
        <x:f>IF(AND(AM$4&gt;=$C26,AM$4&lt;=$D26,'Вводные'!$B$90="Да"),"■","")</x:f>
      </x:c>
      <x:c r="AN26" s="137" t="str">
        <x:f>IF(AND(AN$4&gt;=$C26,AN$4&lt;=$D26,'Вводные'!$B$90="Да"),"■","")</x:f>
      </x:c>
      <x:c r="AO26" s="137" t="str">
        <x:f>IF(AND(AO$4&gt;=$C26,AO$4&lt;=$D26,'Вводные'!$B$90="Да"),"■","")</x:f>
      </x:c>
      <x:c r="AP26" s="137" t="str">
        <x:f>IF(AND(AP$4&gt;=$C26,AP$4&lt;=$D26,'Вводные'!$B$90="Да"),"■","")</x:f>
      </x:c>
      <x:c r="AQ26" s="137" t="str">
        <x:f>IF(AND(AQ$4&gt;=$C26,AQ$4&lt;=$D26,'Вводные'!$B$90="Да"),"■","")</x:f>
      </x:c>
      <x:c r="AR26" s="137" t="str">
        <x:f>IF(AND(AR$4&gt;=$C26,AR$4&lt;=$D26,'Вводные'!$B$90="Да"),"■","")</x:f>
      </x:c>
      <x:c r="AS26" s="137" t="str">
        <x:f>IF(AND(AS$4&gt;=$C26,AS$4&lt;=$D26,'Вводные'!$B$90="Да"),"■","")</x:f>
      </x:c>
      <x:c r="AT26" s="137" t="str">
        <x:f>IF(AND(AT$4&gt;=$C26,AT$4&lt;=$D26,'Вводные'!$B$90="Да"),"■","")</x:f>
      </x:c>
      <x:c r="AU26" s="137" t="str">
        <x:f>IF(AND(AU$4&gt;=$C26,AU$4&lt;=$D26,'Вводные'!$B$90="Да"),"■","")</x:f>
      </x:c>
      <x:c r="AV26" s="137" t="str">
        <x:f>IF(AND(AV$4&gt;=$C26,AV$4&lt;=$D26,'Вводные'!$B$90="Да"),"■","")</x:f>
      </x:c>
      <x:c r="AW26" s="137" t="str">
        <x:f>IF(AND(AW$4&gt;=$C26,AW$4&lt;=$D26,'Вводные'!$B$90="Да"),"■","")</x:f>
      </x:c>
      <x:c r="AX26" s="137" t="str">
        <x:f>IF(AND(AX$4&gt;=$C26,AX$4&lt;=$D26,'Вводные'!$B$90="Да"),"■","")</x:f>
      </x:c>
      <x:c r="AY26" s="137" t="str">
        <x:f>IF(AND(AY$4&gt;=$C26,AY$4&lt;=$D26,'Вводные'!$B$90="Да"),"■","")</x:f>
      </x:c>
      <x:c r="AZ26" s="137" t="str">
        <x:f>IF(AND(AZ$4&gt;=$C26,AZ$4&lt;=$D26,'Вводные'!$B$90="Да"),"■","")</x:f>
      </x:c>
      <x:c r="BA26" s="137" t="str">
        <x:f>IF(AND(BA$4&gt;=$C26,BA$4&lt;=$D26,'Вводные'!$B$90="Да"),"■","")</x:f>
      </x:c>
      <x:c r="BB26" s="137" t="str">
        <x:f>IF(AND(BB$4&gt;=$C26,BB$4&lt;=$D26,'Вводные'!$B$90="Да"),"■","")</x:f>
      </x:c>
      <x:c r="BC26" s="137" t="str">
        <x:f>IF(AND(BC$4&gt;=$C26,BC$4&lt;=$D26,'Вводные'!$B$90="Да"),"■","")</x:f>
      </x:c>
      <x:c r="BD26" s="137" t="str">
        <x:f>IF(AND(BD$4&gt;=$C26,BD$4&lt;=$D26,'Вводные'!$B$90="Да"),"■","")</x:f>
      </x:c>
      <x:c r="BE26" s="137" t="str">
        <x:f>IF(AND(BE$4&gt;=$C26,BE$4&lt;=$D26,'Вводные'!$B$90="Да"),"■","")</x:f>
      </x:c>
      <x:c r="BF26" s="137" t="str">
        <x:f>IF(AND(BF$4&gt;=$C26,BF$4&lt;=$D26,'Вводные'!$B$90="Да"),"■","")</x:f>
      </x:c>
      <x:c r="BG26" s="137" t="str">
        <x:f>IF(AND(BG$4&gt;=$C26,BG$4&lt;=$D26,'Вводные'!$B$90="Да"),"■","")</x:f>
      </x:c>
      <x:c r="BH26" s="137" t="str">
        <x:f>IF(AND(BH$4&gt;=$C26,BH$4&lt;=$D26,'Вводные'!$B$90="Да"),"■","")</x:f>
      </x:c>
      <x:c r="BI26" s="137" t="str">
        <x:f>IF(AND(BI$4&gt;=$C26,BI$4&lt;=$D26,'Вводные'!$B$90="Да"),"■","")</x:f>
      </x:c>
      <x:c r="BJ26" s="137" t="str">
        <x:f>IF(AND(BJ$4&gt;=$C26,BJ$4&lt;=$D26,'Вводные'!$B$90="Да"),"■","")</x:f>
      </x:c>
      <x:c r="BK26" s="137" t="str">
        <x:f>IF(AND(BK$4&gt;=$C26,BK$4&lt;=$D26,'Вводные'!$B$90="Да"),"■","")</x:f>
      </x:c>
      <x:c r="BL26" s="137" t="str">
        <x:f>IF(AND(BL$4&gt;=$C26,BL$4&lt;=$D26,'Вводные'!$B$90="Да"),"■","")</x:f>
      </x:c>
      <x:c r="BM26" s="137" t="str">
        <x:f>IF(AND(BM$4&gt;=$C26,BM$4&lt;=$D26,'Вводные'!$B$90="Да"),"■","")</x:f>
      </x:c>
      <x:c r="BN26" s="137" t="str">
        <x:f>IF(AND(BN$4&gt;=$C26,BN$4&lt;=$D26,'Вводные'!$B$90="Да"),"■","")</x:f>
      </x:c>
      <x:c r="BO26" s="137" t="str">
        <x:f>IF(AND(BO$4&gt;=$C26,BO$4&lt;=$D26,'Вводные'!$B$90="Да"),"■","")</x:f>
      </x:c>
      <x:c r="BP26" s="137" t="str">
        <x:f>IF(AND(BP$4&gt;=$C26,BP$4&lt;=$D26,'Вводные'!$B$90="Да"),"■","")</x:f>
      </x:c>
      <x:c r="BQ26" s="137" t="str">
        <x:f>IF(AND(BQ$4&gt;=$C26,BQ$4&lt;=$D26,'Вводные'!$B$90="Да"),"■","")</x:f>
      </x:c>
      <x:c r="BR26" s="137" t="str">
        <x:f>IF(AND(BR$4&gt;=$C26,BR$4&lt;=$D26,'Вводные'!$B$90="Да"),"■","")</x:f>
      </x:c>
      <x:c r="BS26" s="137" t="str">
        <x:f>IF(AND(BS$4&gt;=$C26,BS$4&lt;=$D26,'Вводные'!$B$90="Да"),"■","")</x:f>
      </x:c>
      <x:c r="BT26" s="137" t="str">
        <x:f>IF(AND(BT$4&gt;=$C26,BT$4&lt;=$D26,'Вводные'!$B$90="Да"),"■","")</x:f>
      </x:c>
      <x:c r="BU26" s="137" t="str">
        <x:f>IF(AND(BU$4&gt;=$C26,BU$4&lt;=$D26,'Вводные'!$B$90="Да"),"■","")</x:f>
      </x:c>
      <x:c r="BV26" s="137" t="str">
        <x:f>IF(AND(BV$4&gt;=$C26,BV$4&lt;=$D26,'Вводные'!$B$90="Да"),"■","")</x:f>
      </x:c>
      <x:c r="BW26" s="137" t="str">
        <x:f>IF(AND(BW$4&gt;=$C26,BW$4&lt;=$D26,'Вводные'!$B$90="Да"),"■","")</x:f>
      </x:c>
      <x:c r="BX26" s="137" t="str">
        <x:f>IF(AND(BX$4&gt;=$C26,BX$4&lt;=$D26,'Вводные'!$B$90="Да"),"■","")</x:f>
      </x:c>
      <x:c r="BY26" s="137" t="str">
        <x:f>IF(AND(BY$4&gt;=$C26,BY$4&lt;=$D26,'Вводные'!$B$90="Да"),"■","")</x:f>
      </x:c>
      <x:c r="BZ26" s="137" t="str">
        <x:f>IF(AND(BZ$4&gt;=$C26,BZ$4&lt;=$D26,'Вводные'!$B$90="Да"),"■","")</x:f>
      </x:c>
      <x:c r="CA26" s="137" t="str">
        <x:f>IF(AND(CA$4&gt;=$C26,CA$4&lt;=$D26,'Вводные'!$B$90="Да"),"■","")</x:f>
      </x:c>
      <x:c r="CB26" s="137" t="str">
        <x:f>IF(AND(CB$4&gt;=$C26,CB$4&lt;=$D26,'Вводные'!$B$90="Да"),"■","")</x:f>
      </x:c>
      <x:c r="CC26" s="137" t="str">
        <x:f>IF(AND(CC$4&gt;=$C26,CC$4&lt;=$D26,'Вводные'!$B$90="Да"),"■","")</x:f>
      </x:c>
      <x:c r="CD26" s="137" t="str">
        <x:f>IF(AND(CD$4&gt;=$C26,CD$4&lt;=$D26,'Вводные'!$B$90="Да"),"■","")</x:f>
      </x:c>
      <x:c r="CE26" s="137" t="str">
        <x:f>IF(AND(CE$4&gt;=$C26,CE$4&lt;=$D26,'Вводные'!$B$90="Да"),"■","")</x:f>
      </x:c>
      <x:c r="CF26" s="137" t="str">
        <x:f>IF(AND(CF$4&gt;=$C26,CF$4&lt;=$D26,'Вводные'!$B$90="Да"),"■","")</x:f>
      </x:c>
      <x:c r="CG26" s="137" t="str">
        <x:f>IF(AND(CG$4&gt;=$C26,CG$4&lt;=$D26,'Вводные'!$B$90="Да"),"■","")</x:f>
      </x:c>
      <x:c r="CH26" s="137" t="str">
        <x:f>IF(AND(CH$4&gt;=$C26,CH$4&lt;=$D26,'Вводные'!$B$90="Да"),"■","")</x:f>
      </x:c>
      <x:c r="CI26" s="137" t="str">
        <x:f>IF(AND(CI$4&gt;=$C26,CI$4&lt;=$D26,'Вводные'!$B$90="Да"),"■","")</x:f>
      </x:c>
      <x:c r="CJ26" s="137" t="str">
        <x:f>IF(AND(CJ$4&gt;=$C26,CJ$4&lt;=$D26,'Вводные'!$B$90="Да"),"■","")</x:f>
      </x:c>
      <x:c r="CK26" s="137" t="str">
        <x:f>IF(AND(CK$4&gt;=$C26,CK$4&lt;=$D26,'Вводные'!$B$90="Да"),"■","")</x:f>
      </x:c>
      <x:c r="CL26" s="137" t="str">
        <x:f>IF(AND(CL$4&gt;=$C26,CL$4&lt;=$D26,'Вводные'!$B$90="Да"),"■","")</x:f>
      </x:c>
      <x:c r="CM26" s="137" t="str">
        <x:f>IF(AND(CM$4&gt;=$C26,CM$4&lt;=$D26,'Вводные'!$B$90="Да"),"■","")</x:f>
      </x:c>
      <x:c r="CN26" s="137" t="str">
        <x:f>IF(AND(CN$4&gt;=$C26,CN$4&lt;=$D26,'Вводные'!$B$90="Да"),"■","")</x:f>
      </x:c>
      <x:c r="CO26" s="137" t="str">
        <x:f>IF(AND(CO$4&gt;=$C26,CO$4&lt;=$D26,'Вводные'!$B$90="Да"),"■","")</x:f>
      </x:c>
      <x:c r="CP26" s="137" t="str">
        <x:f>IF(AND(CP$4&gt;=$C26,CP$4&lt;=$D26,'Вводные'!$B$90="Да"),"■","")</x:f>
      </x:c>
      <x:c r="CQ26" s="137" t="str">
        <x:f>IF(AND(CQ$4&gt;=$C26,CQ$4&lt;=$D26,'Вводные'!$B$90="Да"),"■","")</x:f>
      </x:c>
      <x:c r="CR26" s="137" t="str">
        <x:f>IF(AND(CR$4&gt;=$C26,CR$4&lt;=$D26,'Вводные'!$B$90="Да"),"■","")</x:f>
      </x:c>
      <x:c r="CS26" s="137" t="str">
        <x:f>IF(AND(CS$4&gt;=$C26,CS$4&lt;=$D26,'Вводные'!$B$90="Да"),"■","")</x:f>
      </x:c>
      <x:c r="CT26" s="137" t="str">
        <x:f>IF(AND(CT$4&gt;=$C26,CT$4&lt;=$D26,'Вводные'!$B$90="Да"),"■","")</x:f>
      </x:c>
      <x:c r="CU26" s="137" t="str">
        <x:f>IF(AND(CU$4&gt;=$C26,CU$4&lt;=$D26,'Вводные'!$B$90="Да"),"■","")</x:f>
      </x:c>
      <x:c r="CV26" s="137" t="str">
        <x:f>IF(AND(CV$4&gt;=$C26,CV$4&lt;=$D26,'Вводные'!$B$90="Да"),"■","")</x:f>
      </x:c>
      <x:c r="CW26" s="137" t="str">
        <x:f>IF(AND(CW$4&gt;=$C26,CW$4&lt;=$D26,'Вводные'!$B$90="Да"),"■","")</x:f>
      </x:c>
      <x:c r="CX26" s="137" t="str">
        <x:f>IF(AND(CX$4&gt;=$C26,CX$4&lt;=$D26,'Вводные'!$B$90="Да"),"■","")</x:f>
      </x:c>
      <x:c r="CY26" s="137" t="str">
        <x:f>IF(AND(CY$4&gt;=$C26,CY$4&lt;=$D26,'Вводные'!$B$90="Да"),"■","")</x:f>
      </x:c>
      <x:c r="CZ26" s="137" t="str">
        <x:f>IF(AND(CZ$4&gt;=$C26,CZ$4&lt;=$D26,'Вводные'!$B$90="Да"),"■","")</x:f>
      </x:c>
      <x:c r="DA26" s="137" t="str">
        <x:f>IF(AND(DA$4&gt;=$C26,DA$4&lt;=$D26,'Вводные'!$B$90="Да"),"■","")</x:f>
      </x:c>
      <x:c r="DB26" s="137" t="str">
        <x:f>IF(AND(DB$4&gt;=$C26,DB$4&lt;=$D26,'Вводные'!$B$90="Да"),"■","")</x:f>
      </x:c>
      <x:c r="DC26" s="137" t="str">
        <x:f>IF(AND(DC$4&gt;=$C26,DC$4&lt;=$D26,'Вводные'!$B$90="Да"),"■","")</x:f>
      </x:c>
      <x:c r="DD26" s="137" t="str">
        <x:f>IF(AND(DD$4&gt;=$C26,DD$4&lt;=$D26,'Вводные'!$B$90="Да"),"■","")</x:f>
      </x:c>
      <x:c r="DE26" s="137" t="str">
        <x:f>IF(AND(DE$4&gt;=$C26,DE$4&lt;=$D26,'Вводные'!$B$90="Да"),"■","")</x:f>
      </x:c>
      <x:c r="DF26" s="137" t="str">
        <x:f>IF(AND(DF$4&gt;=$C26,DF$4&lt;=$D26,'Вводные'!$B$90="Да"),"■","")</x:f>
      </x:c>
      <x:c r="DG26" s="137" t="str">
        <x:f>IF(AND(DG$4&gt;=$C26,DG$4&lt;=$D26,'Вводные'!$B$90="Да"),"■","")</x:f>
      </x:c>
      <x:c r="DH26" s="137" t="str">
        <x:f>IF(AND(DH$4&gt;=$C26,DH$4&lt;=$D26,'Вводные'!$B$90="Да"),"■","")</x:f>
      </x:c>
      <x:c r="DI26" s="137" t="str">
        <x:f>IF(AND(DI$4&gt;=$C26,DI$4&lt;=$D26,'Вводные'!$B$90="Да"),"■","")</x:f>
      </x:c>
      <x:c r="DJ26" s="137" t="str">
        <x:f>IF(AND(DJ$4&gt;=$C26,DJ$4&lt;=$D26,'Вводные'!$B$90="Да"),"■","")</x:f>
      </x:c>
      <x:c r="DK26" s="137" t="str">
        <x:f>IF(AND(DK$4&gt;=$C26,DK$4&lt;=$D26,'Вводные'!$B$90="Да"),"■","")</x:f>
      </x:c>
      <x:c r="DL26" s="137" t="str">
        <x:f>IF(AND(DL$4&gt;=$C26,DL$4&lt;=$D26,'Вводные'!$B$90="Да"),"■","")</x:f>
      </x:c>
      <x:c r="DM26" s="137" t="str">
        <x:f>IF(AND(DM$4&gt;=$C26,DM$4&lt;=$D26,'Вводные'!$B$90="Да"),"■","")</x:f>
      </x:c>
      <x:c r="DN26" s="137" t="str">
        <x:f>IF(AND(DN$4&gt;=$C26,DN$4&lt;=$D26,'Вводные'!$B$90="Да"),"■","")</x:f>
      </x:c>
      <x:c r="DO26" s="137" t="str">
        <x:f>IF(AND(DO$4&gt;=$C26,DO$4&lt;=$D26,'Вводные'!$B$90="Да"),"■","")</x:f>
      </x:c>
      <x:c r="DP26" s="137" t="str">
        <x:f>IF(AND(DP$4&gt;=$C26,DP$4&lt;=$D26,'Вводные'!$B$90="Да"),"■","")</x:f>
      </x:c>
      <x:c r="DQ26" s="137" t="str">
        <x:f>IF(AND(DQ$4&gt;=$C26,DQ$4&lt;=$D26,'Вводные'!$B$90="Да"),"■","")</x:f>
      </x:c>
      <x:c r="DR26" s="137" t="str">
        <x:f>IF(AND(DR$4&gt;=$C26,DR$4&lt;=$D26,'Вводные'!$B$90="Да"),"■","")</x:f>
      </x:c>
      <x:c r="DS26" s="137" t="str">
        <x:f>IF(AND(DS$4&gt;=$C26,DS$4&lt;=$D26,'Вводные'!$B$90="Да"),"■","")</x:f>
      </x:c>
      <x:c r="DT26" s="137" t="str">
        <x:f>IF(AND(DT$4&gt;=$C26,DT$4&lt;=$D26,'Вводные'!$B$90="Да"),"■","")</x:f>
      </x:c>
      <x:c r="DU26" s="137" t="str">
        <x:f>IF(AND(DU$4&gt;=$C26,DU$4&lt;=$D26,'Вводные'!$B$90="Да"),"■","")</x:f>
      </x:c>
      <x:c r="DV26" s="137" t="str">
        <x:f>IF(AND(DV$4&gt;=$C26,DV$4&lt;=$D26,'Вводные'!$B$90="Да"),"■","")</x:f>
      </x:c>
      <x:c r="DW26" s="137" t="str">
        <x:f>IF(AND(DW$4&gt;=$C26,DW$4&lt;=$D26,'Вводные'!$B$90="Да"),"■","")</x:f>
      </x:c>
      <x:c r="DX26" s="137" t="str">
        <x:f>IF(AND(DX$4&gt;=$C26,DX$4&lt;=$D26,'Вводные'!$B$90="Да"),"■","")</x:f>
      </x:c>
      <x:c r="DY26" s="137" t="str">
        <x:f>IF(AND(DY$4&gt;=$C26,DY$4&lt;=$D26,'Вводные'!$B$90="Да"),"■","")</x:f>
      </x:c>
      <x:c r="DZ26" s="137" t="str">
        <x:f>IF(AND(DZ$4&gt;=$C26,DZ$4&lt;=$D26,'Вводные'!$B$90="Да"),"■","")</x:f>
      </x:c>
      <x:c r="EA26" s="137" t="str">
        <x:f>IF(AND(EA$4&gt;=$C26,EA$4&lt;=$D26,'Вводные'!$B$90="Да"),"■","")</x:f>
      </x:c>
      <x:c r="EB26" s="137" t="str">
        <x:f>IF(AND(EB$4&gt;=$C26,EB$4&lt;=$D26,'Вводные'!$B$90="Да"),"■","")</x:f>
      </x:c>
      <x:c r="EC26" s="137" t="str">
        <x:f>IF(AND(EC$4&gt;=$C26,EC$4&lt;=$D26,'Вводные'!$B$90="Да"),"■","")</x:f>
      </x:c>
      <x:c r="ED26" s="137" t="str">
        <x:f>IF(AND(ED$4&gt;=$C26,ED$4&lt;=$D26,'Вводные'!$B$90="Да"),"■","")</x:f>
      </x:c>
      <x:c r="EE26" s="137" t="str">
        <x:f>IF(AND(EE$4&gt;=$C26,EE$4&lt;=$D26,'Вводные'!$B$90="Да"),"■","")</x:f>
      </x:c>
      <x:c r="EF26" s="137" t="str">
        <x:f>IF(AND(EF$4&gt;=$C26,EF$4&lt;=$D26,'Вводные'!$B$90="Да"),"■","")</x:f>
      </x:c>
      <x:c r="EG26" s="137" t="str">
        <x:f>IF(AND(EG$4&gt;=$C26,EG$4&lt;=$D26,'Вводные'!$B$90="Да"),"■","")</x:f>
      </x:c>
      <x:c r="EH26" s="137" t="str">
        <x:f>IF(AND(EH$4&gt;=$C26,EH$4&lt;=$D26,'Вводные'!$B$90="Да"),"■","")</x:f>
      </x:c>
      <x:c r="EI26" s="137" t="str">
        <x:f>IF(AND(EI$4&gt;=$C26,EI$4&lt;=$D26,'Вводные'!$B$90="Да"),"■","")</x:f>
      </x:c>
      <x:c r="EJ26" s="137" t="str">
        <x:f>IF(AND(EJ$4&gt;=$C26,EJ$4&lt;=$D26,'Вводные'!$B$90="Да"),"■","")</x:f>
      </x:c>
      <x:c r="EK26" s="137" t="str">
        <x:f>IF(AND(EK$4&gt;=$C26,EK$4&lt;=$D26,'Вводные'!$B$90="Да"),"■","")</x:f>
      </x:c>
      <x:c r="EL26" s="137" t="str">
        <x:f>IF(AND(EL$4&gt;=$C26,EL$4&lt;=$D26,'Вводные'!$B$90="Да"),"■","")</x:f>
      </x:c>
      <x:c r="EM26" s="137" t="str">
        <x:f>IF(AND(EM$4&gt;=$C26,EM$4&lt;=$D26,'Вводные'!$B$90="Да"),"■","")</x:f>
      </x:c>
      <x:c r="EN26" s="137" t="str">
        <x:f>IF(AND(EN$4&gt;=$C26,EN$4&lt;=$D26,'Вводные'!$B$90="Да"),"■","")</x:f>
      </x:c>
      <x:c r="EO26" s="137" t="str">
        <x:f>IF(AND(EO$4&gt;=$C26,EO$4&lt;=$D26,'Вводные'!$B$90="Да"),"■","")</x:f>
      </x:c>
      <x:c r="EP26" s="137" t="str">
        <x:f>IF(AND(EP$4&gt;=$C26,EP$4&lt;=$D26,'Вводные'!$B$90="Да"),"■","")</x:f>
      </x:c>
      <x:c r="EQ26" s="137" t="str">
        <x:f>IF(AND(EQ$4&gt;=$C26,EQ$4&lt;=$D26,'Вводные'!$B$90="Да"),"■","")</x:f>
      </x:c>
      <x:c r="ER26" s="137" t="str">
        <x:f>IF(AND(ER$4&gt;=$C26,ER$4&lt;=$D26,'Вводные'!$B$90="Да"),"■","")</x:f>
      </x:c>
      <x:c r="ES26" s="137" t="str">
        <x:f>IF(AND(ES$4&gt;=$C26,ES$4&lt;=$D26,'Вводные'!$B$90="Да"),"■","")</x:f>
      </x:c>
      <x:c r="ET26" s="137" t="str">
        <x:f>IF(AND(ET$4&gt;=$C26,ET$4&lt;=$D26,'Вводные'!$B$90="Да"),"■","")</x:f>
      </x:c>
      <x:c r="EU26" s="137" t="str">
        <x:f>IF(AND(EU$4&gt;=$C26,EU$4&lt;=$D26,'Вводные'!$B$90="Да"),"■","")</x:f>
      </x:c>
      <x:c r="EV26" s="137" t="str">
        <x:f>IF(AND(EV$4&gt;=$C26,EV$4&lt;=$D26,'Вводные'!$B$90="Да"),"■","")</x:f>
      </x:c>
      <x:c r="EW26" s="137" t="str">
        <x:f>IF(AND(EW$4&gt;=$C26,EW$4&lt;=$D26,'Вводные'!$B$90="Да"),"■","")</x:f>
      </x:c>
      <x:c r="EX26" s="137" t="str">
        <x:f>IF(AND(EX$4&gt;=$C26,EX$4&lt;=$D26,'Вводные'!$B$90="Да"),"■","")</x:f>
      </x:c>
      <x:c r="EY26" s="137" t="str">
        <x:f>IF(AND(EY$4&gt;=$C26,EY$4&lt;=$D26,'Вводные'!$B$90="Да"),"■","")</x:f>
      </x:c>
      <x:c r="EZ26" s="137" t="str">
        <x:f>IF(AND(EZ$4&gt;=$C26,EZ$4&lt;=$D26,'Вводные'!$B$90="Да"),"■","")</x:f>
      </x:c>
      <x:c r="FA26" s="137" t="str">
        <x:f>IF(AND(FA$4&gt;=$C26,FA$4&lt;=$D26,'Вводные'!$B$90="Да"),"■","")</x:f>
      </x:c>
      <x:c r="FB26" s="137" t="str">
        <x:f>IF(AND(FB$4&gt;=$C26,FB$4&lt;=$D26,'Вводные'!$B$90="Да"),"■","")</x:f>
      </x:c>
      <x:c r="FC26" s="137" t="str">
        <x:f>IF(AND(FC$4&gt;=$C26,FC$4&lt;=$D26,'Вводные'!$B$90="Да"),"■","")</x:f>
      </x:c>
      <x:c r="FD26" s="137" t="str">
        <x:f>IF(AND(FD$4&gt;=$C26,FD$4&lt;=$D26,'Вводные'!$B$90="Да"),"■","")</x:f>
      </x:c>
      <x:c r="FE26" s="137" t="str">
        <x:f>IF(AND(FE$4&gt;=$C26,FE$4&lt;=$D26,'Вводные'!$B$90="Да"),"■","")</x:f>
      </x:c>
      <x:c r="FF26" s="137" t="str">
        <x:f>IF(AND(FF$4&gt;=$C26,FF$4&lt;=$D26,'Вводные'!$B$90="Да"),"■","")</x:f>
      </x:c>
      <x:c r="FG26" s="137" t="str">
        <x:f>IF(AND(FG$4&gt;=$C26,FG$4&lt;=$D26,'Вводные'!$B$90="Да"),"■","")</x:f>
      </x:c>
      <x:c r="FH26" s="137" t="str">
        <x:f>IF(AND(FH$4&gt;=$C26,FH$4&lt;=$D26,'Вводные'!$B$90="Да"),"■","")</x:f>
      </x:c>
      <x:c r="FI26" s="137" t="str">
        <x:f>IF(AND(FI$4&gt;=$C26,FI$4&lt;=$D26,'Вводные'!$B$90="Да"),"■","")</x:f>
      </x:c>
      <x:c r="FJ26" s="137" t="str">
        <x:f>IF(AND(FJ$4&gt;=$C26,FJ$4&lt;=$D26,'Вводные'!$B$90="Да"),"■","")</x:f>
      </x:c>
      <x:c r="FK26" s="137" t="str">
        <x:f>IF(AND(FK$4&gt;=$C26,FK$4&lt;=$D26,'Вводные'!$B$90="Да"),"■","")</x:f>
      </x:c>
      <x:c r="FL26" s="137" t="str">
        <x:f>IF(AND(FL$4&gt;=$C26,FL$4&lt;=$D26,'Вводные'!$B$90="Да"),"■","")</x:f>
      </x:c>
      <x:c r="FM26" s="137" t="str">
        <x:f>IF(AND(FM$4&gt;=$C26,FM$4&lt;=$D26,'Вводные'!$B$90="Да"),"■","")</x:f>
      </x:c>
      <x:c r="FN26" s="137" t="str">
        <x:f>IF(AND(FN$4&gt;=$C26,FN$4&lt;=$D26,'Вводные'!$B$90="Да"),"■","")</x:f>
      </x:c>
      <x:c r="FO26" s="137" t="str">
        <x:f>IF(AND(FO$4&gt;=$C26,FO$4&lt;=$D26,'Вводные'!$B$90="Да"),"■","")</x:f>
      </x:c>
      <x:c r="FP26" s="137" t="str">
        <x:f>IF(AND(FP$4&gt;=$C26,FP$4&lt;=$D26,'Вводные'!$B$90="Да"),"■","")</x:f>
      </x:c>
      <x:c r="FQ26" s="137" t="str">
        <x:f>IF(AND(FQ$4&gt;=$C26,FQ$4&lt;=$D26,'Вводные'!$B$90="Да"),"■","")</x:f>
      </x:c>
      <x:c r="FR26" s="137" t="str">
        <x:f>IF(AND(FR$4&gt;=$C26,FR$4&lt;=$D26,'Вводные'!$B$90="Да"),"■","")</x:f>
      </x:c>
      <x:c r="FS26" s="137" t="str">
        <x:f>IF(AND(FS$4&gt;=$C26,FS$4&lt;=$D26,'Вводные'!$B$90="Да"),"■","")</x:f>
      </x:c>
      <x:c r="FT26" s="137" t="str">
        <x:f>IF(AND(FT$4&gt;=$C26,FT$4&lt;=$D26,'Вводные'!$B$90="Да"),"■","")</x:f>
      </x:c>
      <x:c r="FU26" s="137" t="str">
        <x:f>IF(AND(FU$4&gt;=$C26,FU$4&lt;=$D26,'Вводные'!$B$90="Да"),"■","")</x:f>
      </x:c>
      <x:c r="FV26" s="137" t="str">
        <x:f>IF(AND(FV$4&gt;=$C26,FV$4&lt;=$D26,'Вводные'!$B$90="Да"),"■","")</x:f>
      </x:c>
      <x:c r="FW26" s="137" t="str">
        <x:f>IF(AND(FW$4&gt;=$C26,FW$4&lt;=$D26,'Вводные'!$B$90="Да"),"■","")</x:f>
      </x:c>
      <x:c r="FX26" s="137" t="str">
        <x:f>IF(AND(FX$4&gt;=$C26,FX$4&lt;=$D26,'Вводные'!$B$90="Да"),"■","")</x:f>
      </x:c>
      <x:c r="FY26" s="137" t="str">
        <x:f>IF(AND(FY$4&gt;=$C26,FY$4&lt;=$D26,'Вводные'!$B$90="Да"),"■","")</x:f>
      </x:c>
      <x:c r="FZ26" s="137" t="str">
        <x:f>IF(AND(FZ$4&gt;=$C26,FZ$4&lt;=$D26,'Вводные'!$B$90="Да"),"■","")</x:f>
      </x:c>
      <x:c r="GA26" s="137" t="str">
        <x:f>IF(AND(GA$4&gt;=$C26,GA$4&lt;=$D26,'Вводные'!$B$90="Да"),"■","")</x:f>
      </x:c>
      <x:c r="GB26" s="137" t="str">
        <x:f>IF(AND(GB$4&gt;=$C26,GB$4&lt;=$D26,'Вводные'!$B$90="Да"),"■","")</x:f>
      </x:c>
    </x:row>
    <x:row r="27">
      <x:c r="A27" t="str">
        <x:f>'Вводные'!$C$90</x:f>
      </x:c>
      <x:c r="B27" t="str">
        <x:v>Обязательство по ВРИ</x:v>
      </x:c>
      <x:c r="C27" s="92" t="n">
        <x:f>'ВРИ'!B33</x:f>
      </x:c>
      <x:c r="D27" s="92" t="n">
        <x:f>C27</x:f>
      </x:c>
      <x:c r="E27" s="137" t="str">
        <x:f>IF(AND(E$4&gt;=$C27,E$4&lt;=$D27,'Вводные'!$B$90="Да"),"■","")</x:f>
      </x:c>
      <x:c r="F27" s="137" t="str">
        <x:f>IF(AND(F$4&gt;=$C27,F$4&lt;=$D27,'Вводные'!$B$90="Да"),"■","")</x:f>
      </x:c>
      <x:c r="G27" s="137" t="str">
        <x:f>IF(AND(G$4&gt;=$C27,G$4&lt;=$D27,'Вводные'!$B$90="Да"),"■","")</x:f>
      </x:c>
      <x:c r="H27" s="137" t="str">
        <x:f>IF(AND(H$4&gt;=$C27,H$4&lt;=$D27,'Вводные'!$B$90="Да"),"■","")</x:f>
      </x:c>
      <x:c r="I27" s="137" t="str">
        <x:f>IF(AND(I$4&gt;=$C27,I$4&lt;=$D27,'Вводные'!$B$90="Да"),"■","")</x:f>
      </x:c>
      <x:c r="J27" s="137" t="str">
        <x:f>IF(AND(J$4&gt;=$C27,J$4&lt;=$D27,'Вводные'!$B$90="Да"),"■","")</x:f>
      </x:c>
      <x:c r="K27" s="137" t="str">
        <x:f>IF(AND(K$4&gt;=$C27,K$4&lt;=$D27,'Вводные'!$B$90="Да"),"■","")</x:f>
      </x:c>
      <x:c r="L27" s="137" t="str">
        <x:f>IF(AND(L$4&gt;=$C27,L$4&lt;=$D27,'Вводные'!$B$90="Да"),"■","")</x:f>
      </x:c>
      <x:c r="M27" s="137" t="str">
        <x:f>IF(AND(M$4&gt;=$C27,M$4&lt;=$D27,'Вводные'!$B$90="Да"),"■","")</x:f>
      </x:c>
      <x:c r="N27" s="137" t="str">
        <x:f>IF(AND(N$4&gt;=$C27,N$4&lt;=$D27,'Вводные'!$B$90="Да"),"■","")</x:f>
      </x:c>
      <x:c r="O27" s="137" t="str">
        <x:f>IF(AND(O$4&gt;=$C27,O$4&lt;=$D27,'Вводные'!$B$90="Да"),"■","")</x:f>
      </x:c>
      <x:c r="P27" s="137" t="str">
        <x:f>IF(AND(P$4&gt;=$C27,P$4&lt;=$D27,'Вводные'!$B$90="Да"),"■","")</x:f>
      </x:c>
      <x:c r="Q27" s="137" t="str">
        <x:f>IF(AND(Q$4&gt;=$C27,Q$4&lt;=$D27,'Вводные'!$B$90="Да"),"■","")</x:f>
      </x:c>
      <x:c r="R27" s="137" t="str">
        <x:f>IF(AND(R$4&gt;=$C27,R$4&lt;=$D27,'Вводные'!$B$90="Да"),"■","")</x:f>
      </x:c>
      <x:c r="S27" s="137" t="str">
        <x:f>IF(AND(S$4&gt;=$C27,S$4&lt;=$D27,'Вводные'!$B$90="Да"),"■","")</x:f>
      </x:c>
      <x:c r="T27" s="137" t="str">
        <x:f>IF(AND(T$4&gt;=$C27,T$4&lt;=$D27,'Вводные'!$B$90="Да"),"■","")</x:f>
      </x:c>
      <x:c r="U27" s="137" t="str">
        <x:f>IF(AND(U$4&gt;=$C27,U$4&lt;=$D27,'Вводные'!$B$90="Да"),"■","")</x:f>
      </x:c>
      <x:c r="V27" s="137" t="str">
        <x:f>IF(AND(V$4&gt;=$C27,V$4&lt;=$D27,'Вводные'!$B$90="Да"),"■","")</x:f>
      </x:c>
      <x:c r="W27" s="137" t="str">
        <x:f>IF(AND(W$4&gt;=$C27,W$4&lt;=$D27,'Вводные'!$B$90="Да"),"■","")</x:f>
      </x:c>
      <x:c r="X27" s="137" t="str">
        <x:f>IF(AND(X$4&gt;=$C27,X$4&lt;=$D27,'Вводные'!$B$90="Да"),"■","")</x:f>
      </x:c>
      <x:c r="Y27" s="137" t="str">
        <x:f>IF(AND(Y$4&gt;=$C27,Y$4&lt;=$D27,'Вводные'!$B$90="Да"),"■","")</x:f>
      </x:c>
      <x:c r="Z27" s="137" t="str">
        <x:f>IF(AND(Z$4&gt;=$C27,Z$4&lt;=$D27,'Вводные'!$B$90="Да"),"■","")</x:f>
      </x:c>
      <x:c r="AA27" s="137" t="str">
        <x:f>IF(AND(AA$4&gt;=$C27,AA$4&lt;=$D27,'Вводные'!$B$90="Да"),"■","")</x:f>
      </x:c>
      <x:c r="AB27" s="137" t="str">
        <x:f>IF(AND(AB$4&gt;=$C27,AB$4&lt;=$D27,'Вводные'!$B$90="Да"),"■","")</x:f>
      </x:c>
      <x:c r="AC27" s="137" t="str">
        <x:f>IF(AND(AC$4&gt;=$C27,AC$4&lt;=$D27,'Вводные'!$B$90="Да"),"■","")</x:f>
      </x:c>
      <x:c r="AD27" s="137" t="str">
        <x:f>IF(AND(AD$4&gt;=$C27,AD$4&lt;=$D27,'Вводные'!$B$90="Да"),"■","")</x:f>
      </x:c>
      <x:c r="AE27" s="137" t="str">
        <x:f>IF(AND(AE$4&gt;=$C27,AE$4&lt;=$D27,'Вводные'!$B$90="Да"),"■","")</x:f>
      </x:c>
      <x:c r="AF27" s="137" t="str">
        <x:f>IF(AND(AF$4&gt;=$C27,AF$4&lt;=$D27,'Вводные'!$B$90="Да"),"■","")</x:f>
      </x:c>
      <x:c r="AG27" s="137" t="str">
        <x:f>IF(AND(AG$4&gt;=$C27,AG$4&lt;=$D27,'Вводные'!$B$90="Да"),"■","")</x:f>
      </x:c>
      <x:c r="AH27" s="137" t="str">
        <x:f>IF(AND(AH$4&gt;=$C27,AH$4&lt;=$D27,'Вводные'!$B$90="Да"),"■","")</x:f>
      </x:c>
      <x:c r="AI27" s="137" t="str">
        <x:f>IF(AND(AI$4&gt;=$C27,AI$4&lt;=$D27,'Вводные'!$B$90="Да"),"■","")</x:f>
      </x:c>
      <x:c r="AJ27" s="137" t="str">
        <x:f>IF(AND(AJ$4&gt;=$C27,AJ$4&lt;=$D27,'Вводные'!$B$90="Да"),"■","")</x:f>
      </x:c>
      <x:c r="AK27" s="137" t="str">
        <x:f>IF(AND(AK$4&gt;=$C27,AK$4&lt;=$D27,'Вводные'!$B$90="Да"),"■","")</x:f>
      </x:c>
      <x:c r="AL27" s="137" t="str">
        <x:f>IF(AND(AL$4&gt;=$C27,AL$4&lt;=$D27,'Вводные'!$B$90="Да"),"■","")</x:f>
      </x:c>
      <x:c r="AM27" s="137" t="str">
        <x:f>IF(AND(AM$4&gt;=$C27,AM$4&lt;=$D27,'Вводные'!$B$90="Да"),"■","")</x:f>
      </x:c>
      <x:c r="AN27" s="137" t="str">
        <x:f>IF(AND(AN$4&gt;=$C27,AN$4&lt;=$D27,'Вводные'!$B$90="Да"),"■","")</x:f>
      </x:c>
      <x:c r="AO27" s="137" t="str">
        <x:f>IF(AND(AO$4&gt;=$C27,AO$4&lt;=$D27,'Вводные'!$B$90="Да"),"■","")</x:f>
      </x:c>
      <x:c r="AP27" s="137" t="str">
        <x:f>IF(AND(AP$4&gt;=$C27,AP$4&lt;=$D27,'Вводные'!$B$90="Да"),"■","")</x:f>
      </x:c>
      <x:c r="AQ27" s="137" t="str">
        <x:f>IF(AND(AQ$4&gt;=$C27,AQ$4&lt;=$D27,'Вводные'!$B$90="Да"),"■","")</x:f>
      </x:c>
      <x:c r="AR27" s="137" t="str">
        <x:f>IF(AND(AR$4&gt;=$C27,AR$4&lt;=$D27,'Вводные'!$B$90="Да"),"■","")</x:f>
      </x:c>
      <x:c r="AS27" s="137" t="str">
        <x:f>IF(AND(AS$4&gt;=$C27,AS$4&lt;=$D27,'Вводные'!$B$90="Да"),"■","")</x:f>
      </x:c>
      <x:c r="AT27" s="137" t="str">
        <x:f>IF(AND(AT$4&gt;=$C27,AT$4&lt;=$D27,'Вводные'!$B$90="Да"),"■","")</x:f>
      </x:c>
      <x:c r="AU27" s="137" t="str">
        <x:f>IF(AND(AU$4&gt;=$C27,AU$4&lt;=$D27,'Вводные'!$B$90="Да"),"■","")</x:f>
      </x:c>
      <x:c r="AV27" s="137" t="str">
        <x:f>IF(AND(AV$4&gt;=$C27,AV$4&lt;=$D27,'Вводные'!$B$90="Да"),"■","")</x:f>
      </x:c>
      <x:c r="AW27" s="137" t="str">
        <x:f>IF(AND(AW$4&gt;=$C27,AW$4&lt;=$D27,'Вводные'!$B$90="Да"),"■","")</x:f>
      </x:c>
      <x:c r="AX27" s="137" t="str">
        <x:f>IF(AND(AX$4&gt;=$C27,AX$4&lt;=$D27,'Вводные'!$B$90="Да"),"■","")</x:f>
      </x:c>
      <x:c r="AY27" s="137" t="str">
        <x:f>IF(AND(AY$4&gt;=$C27,AY$4&lt;=$D27,'Вводные'!$B$90="Да"),"■","")</x:f>
      </x:c>
      <x:c r="AZ27" s="137" t="str">
        <x:f>IF(AND(AZ$4&gt;=$C27,AZ$4&lt;=$D27,'Вводные'!$B$90="Да"),"■","")</x:f>
      </x:c>
      <x:c r="BA27" s="137" t="str">
        <x:f>IF(AND(BA$4&gt;=$C27,BA$4&lt;=$D27,'Вводные'!$B$90="Да"),"■","")</x:f>
      </x:c>
      <x:c r="BB27" s="137" t="str">
        <x:f>IF(AND(BB$4&gt;=$C27,BB$4&lt;=$D27,'Вводные'!$B$90="Да"),"■","")</x:f>
      </x:c>
      <x:c r="BC27" s="137" t="str">
        <x:f>IF(AND(BC$4&gt;=$C27,BC$4&lt;=$D27,'Вводные'!$B$90="Да"),"■","")</x:f>
      </x:c>
      <x:c r="BD27" s="137" t="str">
        <x:f>IF(AND(BD$4&gt;=$C27,BD$4&lt;=$D27,'Вводные'!$B$90="Да"),"■","")</x:f>
      </x:c>
      <x:c r="BE27" s="137" t="str">
        <x:f>IF(AND(BE$4&gt;=$C27,BE$4&lt;=$D27,'Вводные'!$B$90="Да"),"■","")</x:f>
      </x:c>
      <x:c r="BF27" s="137" t="str">
        <x:f>IF(AND(BF$4&gt;=$C27,BF$4&lt;=$D27,'Вводные'!$B$90="Да"),"■","")</x:f>
      </x:c>
      <x:c r="BG27" s="137" t="str">
        <x:f>IF(AND(BG$4&gt;=$C27,BG$4&lt;=$D27,'Вводные'!$B$90="Да"),"■","")</x:f>
      </x:c>
      <x:c r="BH27" s="137" t="str">
        <x:f>IF(AND(BH$4&gt;=$C27,BH$4&lt;=$D27,'Вводные'!$B$90="Да"),"■","")</x:f>
      </x:c>
      <x:c r="BI27" s="137" t="str">
        <x:f>IF(AND(BI$4&gt;=$C27,BI$4&lt;=$D27,'Вводные'!$B$90="Да"),"■","")</x:f>
      </x:c>
      <x:c r="BJ27" s="137" t="str">
        <x:f>IF(AND(BJ$4&gt;=$C27,BJ$4&lt;=$D27,'Вводные'!$B$90="Да"),"■","")</x:f>
      </x:c>
      <x:c r="BK27" s="137" t="str">
        <x:f>IF(AND(BK$4&gt;=$C27,BK$4&lt;=$D27,'Вводные'!$B$90="Да"),"■","")</x:f>
      </x:c>
      <x:c r="BL27" s="137" t="str">
        <x:f>IF(AND(BL$4&gt;=$C27,BL$4&lt;=$D27,'Вводные'!$B$90="Да"),"■","")</x:f>
      </x:c>
      <x:c r="BM27" s="137" t="str">
        <x:f>IF(AND(BM$4&gt;=$C27,BM$4&lt;=$D27,'Вводные'!$B$90="Да"),"■","")</x:f>
      </x:c>
      <x:c r="BN27" s="137" t="str">
        <x:f>IF(AND(BN$4&gt;=$C27,BN$4&lt;=$D27,'Вводные'!$B$90="Да"),"■","")</x:f>
      </x:c>
      <x:c r="BO27" s="137" t="str">
        <x:f>IF(AND(BO$4&gt;=$C27,BO$4&lt;=$D27,'Вводные'!$B$90="Да"),"■","")</x:f>
      </x:c>
      <x:c r="BP27" s="137" t="str">
        <x:f>IF(AND(BP$4&gt;=$C27,BP$4&lt;=$D27,'Вводные'!$B$90="Да"),"■","")</x:f>
      </x:c>
      <x:c r="BQ27" s="137" t="str">
        <x:f>IF(AND(BQ$4&gt;=$C27,BQ$4&lt;=$D27,'Вводные'!$B$90="Да"),"■","")</x:f>
      </x:c>
      <x:c r="BR27" s="137" t="str">
        <x:f>IF(AND(BR$4&gt;=$C27,BR$4&lt;=$D27,'Вводные'!$B$90="Да"),"■","")</x:f>
      </x:c>
      <x:c r="BS27" s="137" t="str">
        <x:f>IF(AND(BS$4&gt;=$C27,BS$4&lt;=$D27,'Вводные'!$B$90="Да"),"■","")</x:f>
      </x:c>
      <x:c r="BT27" s="137" t="str">
        <x:f>IF(AND(BT$4&gt;=$C27,BT$4&lt;=$D27,'Вводные'!$B$90="Да"),"■","")</x:f>
      </x:c>
      <x:c r="BU27" s="137" t="str">
        <x:f>IF(AND(BU$4&gt;=$C27,BU$4&lt;=$D27,'Вводные'!$B$90="Да"),"■","")</x:f>
      </x:c>
      <x:c r="BV27" s="137" t="str">
        <x:f>IF(AND(BV$4&gt;=$C27,BV$4&lt;=$D27,'Вводные'!$B$90="Да"),"■","")</x:f>
      </x:c>
      <x:c r="BW27" s="137" t="str">
        <x:f>IF(AND(BW$4&gt;=$C27,BW$4&lt;=$D27,'Вводные'!$B$90="Да"),"■","")</x:f>
      </x:c>
      <x:c r="BX27" s="137" t="str">
        <x:f>IF(AND(BX$4&gt;=$C27,BX$4&lt;=$D27,'Вводные'!$B$90="Да"),"■","")</x:f>
      </x:c>
      <x:c r="BY27" s="137" t="str">
        <x:f>IF(AND(BY$4&gt;=$C27,BY$4&lt;=$D27,'Вводные'!$B$90="Да"),"■","")</x:f>
      </x:c>
      <x:c r="BZ27" s="137" t="str">
        <x:f>IF(AND(BZ$4&gt;=$C27,BZ$4&lt;=$D27,'Вводные'!$B$90="Да"),"■","")</x:f>
      </x:c>
      <x:c r="CA27" s="137" t="str">
        <x:f>IF(AND(CA$4&gt;=$C27,CA$4&lt;=$D27,'Вводные'!$B$90="Да"),"■","")</x:f>
      </x:c>
      <x:c r="CB27" s="137" t="str">
        <x:f>IF(AND(CB$4&gt;=$C27,CB$4&lt;=$D27,'Вводные'!$B$90="Да"),"■","")</x:f>
      </x:c>
      <x:c r="CC27" s="137" t="str">
        <x:f>IF(AND(CC$4&gt;=$C27,CC$4&lt;=$D27,'Вводные'!$B$90="Да"),"■","")</x:f>
      </x:c>
      <x:c r="CD27" s="137" t="str">
        <x:f>IF(AND(CD$4&gt;=$C27,CD$4&lt;=$D27,'Вводные'!$B$90="Да"),"■","")</x:f>
      </x:c>
      <x:c r="CE27" s="137" t="str">
        <x:f>IF(AND(CE$4&gt;=$C27,CE$4&lt;=$D27,'Вводные'!$B$90="Да"),"■","")</x:f>
      </x:c>
      <x:c r="CF27" s="137" t="str">
        <x:f>IF(AND(CF$4&gt;=$C27,CF$4&lt;=$D27,'Вводные'!$B$90="Да"),"■","")</x:f>
      </x:c>
      <x:c r="CG27" s="137" t="str">
        <x:f>IF(AND(CG$4&gt;=$C27,CG$4&lt;=$D27,'Вводные'!$B$90="Да"),"■","")</x:f>
      </x:c>
      <x:c r="CH27" s="137" t="str">
        <x:f>IF(AND(CH$4&gt;=$C27,CH$4&lt;=$D27,'Вводные'!$B$90="Да"),"■","")</x:f>
      </x:c>
      <x:c r="CI27" s="137" t="str">
        <x:f>IF(AND(CI$4&gt;=$C27,CI$4&lt;=$D27,'Вводные'!$B$90="Да"),"■","")</x:f>
      </x:c>
      <x:c r="CJ27" s="137" t="str">
        <x:f>IF(AND(CJ$4&gt;=$C27,CJ$4&lt;=$D27,'Вводные'!$B$90="Да"),"■","")</x:f>
      </x:c>
      <x:c r="CK27" s="137" t="str">
        <x:f>IF(AND(CK$4&gt;=$C27,CK$4&lt;=$D27,'Вводные'!$B$90="Да"),"■","")</x:f>
      </x:c>
      <x:c r="CL27" s="137" t="str">
        <x:f>IF(AND(CL$4&gt;=$C27,CL$4&lt;=$D27,'Вводные'!$B$90="Да"),"■","")</x:f>
      </x:c>
      <x:c r="CM27" s="137" t="str">
        <x:f>IF(AND(CM$4&gt;=$C27,CM$4&lt;=$D27,'Вводные'!$B$90="Да"),"■","")</x:f>
      </x:c>
      <x:c r="CN27" s="137" t="str">
        <x:f>IF(AND(CN$4&gt;=$C27,CN$4&lt;=$D27,'Вводные'!$B$90="Да"),"■","")</x:f>
      </x:c>
      <x:c r="CO27" s="137" t="str">
        <x:f>IF(AND(CO$4&gt;=$C27,CO$4&lt;=$D27,'Вводные'!$B$90="Да"),"■","")</x:f>
      </x:c>
      <x:c r="CP27" s="137" t="str">
        <x:f>IF(AND(CP$4&gt;=$C27,CP$4&lt;=$D27,'Вводные'!$B$90="Да"),"■","")</x:f>
      </x:c>
      <x:c r="CQ27" s="137" t="str">
        <x:f>IF(AND(CQ$4&gt;=$C27,CQ$4&lt;=$D27,'Вводные'!$B$90="Да"),"■","")</x:f>
      </x:c>
      <x:c r="CR27" s="137" t="str">
        <x:f>IF(AND(CR$4&gt;=$C27,CR$4&lt;=$D27,'Вводные'!$B$90="Да"),"■","")</x:f>
      </x:c>
      <x:c r="CS27" s="137" t="str">
        <x:f>IF(AND(CS$4&gt;=$C27,CS$4&lt;=$D27,'Вводные'!$B$90="Да"),"■","")</x:f>
      </x:c>
      <x:c r="CT27" s="137" t="str">
        <x:f>IF(AND(CT$4&gt;=$C27,CT$4&lt;=$D27,'Вводные'!$B$90="Да"),"■","")</x:f>
      </x:c>
      <x:c r="CU27" s="137" t="str">
        <x:f>IF(AND(CU$4&gt;=$C27,CU$4&lt;=$D27,'Вводные'!$B$90="Да"),"■","")</x:f>
      </x:c>
      <x:c r="CV27" s="137" t="str">
        <x:f>IF(AND(CV$4&gt;=$C27,CV$4&lt;=$D27,'Вводные'!$B$90="Да"),"■","")</x:f>
      </x:c>
      <x:c r="CW27" s="137" t="str">
        <x:f>IF(AND(CW$4&gt;=$C27,CW$4&lt;=$D27,'Вводные'!$B$90="Да"),"■","")</x:f>
      </x:c>
      <x:c r="CX27" s="137" t="str">
        <x:f>IF(AND(CX$4&gt;=$C27,CX$4&lt;=$D27,'Вводные'!$B$90="Да"),"■","")</x:f>
      </x:c>
      <x:c r="CY27" s="137" t="str">
        <x:f>IF(AND(CY$4&gt;=$C27,CY$4&lt;=$D27,'Вводные'!$B$90="Да"),"■","")</x:f>
      </x:c>
      <x:c r="CZ27" s="137" t="str">
        <x:f>IF(AND(CZ$4&gt;=$C27,CZ$4&lt;=$D27,'Вводные'!$B$90="Да"),"■","")</x:f>
      </x:c>
      <x:c r="DA27" s="137" t="str">
        <x:f>IF(AND(DA$4&gt;=$C27,DA$4&lt;=$D27,'Вводные'!$B$90="Да"),"■","")</x:f>
      </x:c>
      <x:c r="DB27" s="137" t="str">
        <x:f>IF(AND(DB$4&gt;=$C27,DB$4&lt;=$D27,'Вводные'!$B$90="Да"),"■","")</x:f>
      </x:c>
      <x:c r="DC27" s="137" t="str">
        <x:f>IF(AND(DC$4&gt;=$C27,DC$4&lt;=$D27,'Вводные'!$B$90="Да"),"■","")</x:f>
      </x:c>
      <x:c r="DD27" s="137" t="str">
        <x:f>IF(AND(DD$4&gt;=$C27,DD$4&lt;=$D27,'Вводные'!$B$90="Да"),"■","")</x:f>
      </x:c>
      <x:c r="DE27" s="137" t="str">
        <x:f>IF(AND(DE$4&gt;=$C27,DE$4&lt;=$D27,'Вводные'!$B$90="Да"),"■","")</x:f>
      </x:c>
      <x:c r="DF27" s="137" t="str">
        <x:f>IF(AND(DF$4&gt;=$C27,DF$4&lt;=$D27,'Вводные'!$B$90="Да"),"■","")</x:f>
      </x:c>
      <x:c r="DG27" s="137" t="str">
        <x:f>IF(AND(DG$4&gt;=$C27,DG$4&lt;=$D27,'Вводные'!$B$90="Да"),"■","")</x:f>
      </x:c>
      <x:c r="DH27" s="137" t="str">
        <x:f>IF(AND(DH$4&gt;=$C27,DH$4&lt;=$D27,'Вводные'!$B$90="Да"),"■","")</x:f>
      </x:c>
      <x:c r="DI27" s="137" t="str">
        <x:f>IF(AND(DI$4&gt;=$C27,DI$4&lt;=$D27,'Вводные'!$B$90="Да"),"■","")</x:f>
      </x:c>
      <x:c r="DJ27" s="137" t="str">
        <x:f>IF(AND(DJ$4&gt;=$C27,DJ$4&lt;=$D27,'Вводные'!$B$90="Да"),"■","")</x:f>
      </x:c>
      <x:c r="DK27" s="137" t="str">
        <x:f>IF(AND(DK$4&gt;=$C27,DK$4&lt;=$D27,'Вводные'!$B$90="Да"),"■","")</x:f>
      </x:c>
      <x:c r="DL27" s="137" t="str">
        <x:f>IF(AND(DL$4&gt;=$C27,DL$4&lt;=$D27,'Вводные'!$B$90="Да"),"■","")</x:f>
      </x:c>
      <x:c r="DM27" s="137" t="str">
        <x:f>IF(AND(DM$4&gt;=$C27,DM$4&lt;=$D27,'Вводные'!$B$90="Да"),"■","")</x:f>
      </x:c>
      <x:c r="DN27" s="137" t="str">
        <x:f>IF(AND(DN$4&gt;=$C27,DN$4&lt;=$D27,'Вводные'!$B$90="Да"),"■","")</x:f>
      </x:c>
      <x:c r="DO27" s="137" t="str">
        <x:f>IF(AND(DO$4&gt;=$C27,DO$4&lt;=$D27,'Вводные'!$B$90="Да"),"■","")</x:f>
      </x:c>
      <x:c r="DP27" s="137" t="str">
        <x:f>IF(AND(DP$4&gt;=$C27,DP$4&lt;=$D27,'Вводные'!$B$90="Да"),"■","")</x:f>
      </x:c>
      <x:c r="DQ27" s="137" t="str">
        <x:f>IF(AND(DQ$4&gt;=$C27,DQ$4&lt;=$D27,'Вводные'!$B$90="Да"),"■","")</x:f>
      </x:c>
      <x:c r="DR27" s="137" t="str">
        <x:f>IF(AND(DR$4&gt;=$C27,DR$4&lt;=$D27,'Вводные'!$B$90="Да"),"■","")</x:f>
      </x:c>
      <x:c r="DS27" s="137" t="str">
        <x:f>IF(AND(DS$4&gt;=$C27,DS$4&lt;=$D27,'Вводные'!$B$90="Да"),"■","")</x:f>
      </x:c>
      <x:c r="DT27" s="137" t="str">
        <x:f>IF(AND(DT$4&gt;=$C27,DT$4&lt;=$D27,'Вводные'!$B$90="Да"),"■","")</x:f>
      </x:c>
      <x:c r="DU27" s="137" t="str">
        <x:f>IF(AND(DU$4&gt;=$C27,DU$4&lt;=$D27,'Вводные'!$B$90="Да"),"■","")</x:f>
      </x:c>
      <x:c r="DV27" s="137" t="str">
        <x:f>IF(AND(DV$4&gt;=$C27,DV$4&lt;=$D27,'Вводные'!$B$90="Да"),"■","")</x:f>
      </x:c>
      <x:c r="DW27" s="137" t="str">
        <x:f>IF(AND(DW$4&gt;=$C27,DW$4&lt;=$D27,'Вводные'!$B$90="Да"),"■","")</x:f>
      </x:c>
      <x:c r="DX27" s="137" t="str">
        <x:f>IF(AND(DX$4&gt;=$C27,DX$4&lt;=$D27,'Вводные'!$B$90="Да"),"■","")</x:f>
      </x:c>
      <x:c r="DY27" s="137" t="str">
        <x:f>IF(AND(DY$4&gt;=$C27,DY$4&lt;=$D27,'Вводные'!$B$90="Да"),"■","")</x:f>
      </x:c>
      <x:c r="DZ27" s="137" t="str">
        <x:f>IF(AND(DZ$4&gt;=$C27,DZ$4&lt;=$D27,'Вводные'!$B$90="Да"),"■","")</x:f>
      </x:c>
      <x:c r="EA27" s="137" t="str">
        <x:f>IF(AND(EA$4&gt;=$C27,EA$4&lt;=$D27,'Вводные'!$B$90="Да"),"■","")</x:f>
      </x:c>
      <x:c r="EB27" s="137" t="str">
        <x:f>IF(AND(EB$4&gt;=$C27,EB$4&lt;=$D27,'Вводные'!$B$90="Да"),"■","")</x:f>
      </x:c>
      <x:c r="EC27" s="137" t="str">
        <x:f>IF(AND(EC$4&gt;=$C27,EC$4&lt;=$D27,'Вводные'!$B$90="Да"),"■","")</x:f>
      </x:c>
      <x:c r="ED27" s="137" t="str">
        <x:f>IF(AND(ED$4&gt;=$C27,ED$4&lt;=$D27,'Вводные'!$B$90="Да"),"■","")</x:f>
      </x:c>
      <x:c r="EE27" s="137" t="str">
        <x:f>IF(AND(EE$4&gt;=$C27,EE$4&lt;=$D27,'Вводные'!$B$90="Да"),"■","")</x:f>
      </x:c>
      <x:c r="EF27" s="137" t="str">
        <x:f>IF(AND(EF$4&gt;=$C27,EF$4&lt;=$D27,'Вводные'!$B$90="Да"),"■","")</x:f>
      </x:c>
      <x:c r="EG27" s="137" t="str">
        <x:f>IF(AND(EG$4&gt;=$C27,EG$4&lt;=$D27,'Вводные'!$B$90="Да"),"■","")</x:f>
      </x:c>
      <x:c r="EH27" s="137" t="str">
        <x:f>IF(AND(EH$4&gt;=$C27,EH$4&lt;=$D27,'Вводные'!$B$90="Да"),"■","")</x:f>
      </x:c>
      <x:c r="EI27" s="137" t="str">
        <x:f>IF(AND(EI$4&gt;=$C27,EI$4&lt;=$D27,'Вводные'!$B$90="Да"),"■","")</x:f>
      </x:c>
      <x:c r="EJ27" s="137" t="str">
        <x:f>IF(AND(EJ$4&gt;=$C27,EJ$4&lt;=$D27,'Вводные'!$B$90="Да"),"■","")</x:f>
      </x:c>
      <x:c r="EK27" s="137" t="str">
        <x:f>IF(AND(EK$4&gt;=$C27,EK$4&lt;=$D27,'Вводные'!$B$90="Да"),"■","")</x:f>
      </x:c>
      <x:c r="EL27" s="137" t="str">
        <x:f>IF(AND(EL$4&gt;=$C27,EL$4&lt;=$D27,'Вводные'!$B$90="Да"),"■","")</x:f>
      </x:c>
      <x:c r="EM27" s="137" t="str">
        <x:f>IF(AND(EM$4&gt;=$C27,EM$4&lt;=$D27,'Вводные'!$B$90="Да"),"■","")</x:f>
      </x:c>
      <x:c r="EN27" s="137" t="str">
        <x:f>IF(AND(EN$4&gt;=$C27,EN$4&lt;=$D27,'Вводные'!$B$90="Да"),"■","")</x:f>
      </x:c>
      <x:c r="EO27" s="137" t="str">
        <x:f>IF(AND(EO$4&gt;=$C27,EO$4&lt;=$D27,'Вводные'!$B$90="Да"),"■","")</x:f>
      </x:c>
      <x:c r="EP27" s="137" t="str">
        <x:f>IF(AND(EP$4&gt;=$C27,EP$4&lt;=$D27,'Вводные'!$B$90="Да"),"■","")</x:f>
      </x:c>
      <x:c r="EQ27" s="137" t="str">
        <x:f>IF(AND(EQ$4&gt;=$C27,EQ$4&lt;=$D27,'Вводные'!$B$90="Да"),"■","")</x:f>
      </x:c>
      <x:c r="ER27" s="137" t="str">
        <x:f>IF(AND(ER$4&gt;=$C27,ER$4&lt;=$D27,'Вводные'!$B$90="Да"),"■","")</x:f>
      </x:c>
      <x:c r="ES27" s="137" t="str">
        <x:f>IF(AND(ES$4&gt;=$C27,ES$4&lt;=$D27,'Вводные'!$B$90="Да"),"■","")</x:f>
      </x:c>
      <x:c r="ET27" s="137" t="str">
        <x:f>IF(AND(ET$4&gt;=$C27,ET$4&lt;=$D27,'Вводные'!$B$90="Да"),"■","")</x:f>
      </x:c>
      <x:c r="EU27" s="137" t="str">
        <x:f>IF(AND(EU$4&gt;=$C27,EU$4&lt;=$D27,'Вводные'!$B$90="Да"),"■","")</x:f>
      </x:c>
      <x:c r="EV27" s="137" t="str">
        <x:f>IF(AND(EV$4&gt;=$C27,EV$4&lt;=$D27,'Вводные'!$B$90="Да"),"■","")</x:f>
      </x:c>
      <x:c r="EW27" s="137" t="str">
        <x:f>IF(AND(EW$4&gt;=$C27,EW$4&lt;=$D27,'Вводные'!$B$90="Да"),"■","")</x:f>
      </x:c>
      <x:c r="EX27" s="137" t="str">
        <x:f>IF(AND(EX$4&gt;=$C27,EX$4&lt;=$D27,'Вводные'!$B$90="Да"),"■","")</x:f>
      </x:c>
      <x:c r="EY27" s="137" t="str">
        <x:f>IF(AND(EY$4&gt;=$C27,EY$4&lt;=$D27,'Вводные'!$B$90="Да"),"■","")</x:f>
      </x:c>
      <x:c r="EZ27" s="137" t="str">
        <x:f>IF(AND(EZ$4&gt;=$C27,EZ$4&lt;=$D27,'Вводные'!$B$90="Да"),"■","")</x:f>
      </x:c>
      <x:c r="FA27" s="137" t="str">
        <x:f>IF(AND(FA$4&gt;=$C27,FA$4&lt;=$D27,'Вводные'!$B$90="Да"),"■","")</x:f>
      </x:c>
      <x:c r="FB27" s="137" t="str">
        <x:f>IF(AND(FB$4&gt;=$C27,FB$4&lt;=$D27,'Вводные'!$B$90="Да"),"■","")</x:f>
      </x:c>
      <x:c r="FC27" s="137" t="str">
        <x:f>IF(AND(FC$4&gt;=$C27,FC$4&lt;=$D27,'Вводные'!$B$90="Да"),"■","")</x:f>
      </x:c>
      <x:c r="FD27" s="137" t="str">
        <x:f>IF(AND(FD$4&gt;=$C27,FD$4&lt;=$D27,'Вводные'!$B$90="Да"),"■","")</x:f>
      </x:c>
      <x:c r="FE27" s="137" t="str">
        <x:f>IF(AND(FE$4&gt;=$C27,FE$4&lt;=$D27,'Вводные'!$B$90="Да"),"■","")</x:f>
      </x:c>
      <x:c r="FF27" s="137" t="str">
        <x:f>IF(AND(FF$4&gt;=$C27,FF$4&lt;=$D27,'Вводные'!$B$90="Да"),"■","")</x:f>
      </x:c>
      <x:c r="FG27" s="137" t="str">
        <x:f>IF(AND(FG$4&gt;=$C27,FG$4&lt;=$D27,'Вводные'!$B$90="Да"),"■","")</x:f>
      </x:c>
      <x:c r="FH27" s="137" t="str">
        <x:f>IF(AND(FH$4&gt;=$C27,FH$4&lt;=$D27,'Вводные'!$B$90="Да"),"■","")</x:f>
      </x:c>
      <x:c r="FI27" s="137" t="str">
        <x:f>IF(AND(FI$4&gt;=$C27,FI$4&lt;=$D27,'Вводные'!$B$90="Да"),"■","")</x:f>
      </x:c>
      <x:c r="FJ27" s="137" t="str">
        <x:f>IF(AND(FJ$4&gt;=$C27,FJ$4&lt;=$D27,'Вводные'!$B$90="Да"),"■","")</x:f>
      </x:c>
      <x:c r="FK27" s="137" t="str">
        <x:f>IF(AND(FK$4&gt;=$C27,FK$4&lt;=$D27,'Вводные'!$B$90="Да"),"■","")</x:f>
      </x:c>
      <x:c r="FL27" s="137" t="str">
        <x:f>IF(AND(FL$4&gt;=$C27,FL$4&lt;=$D27,'Вводные'!$B$90="Да"),"■","")</x:f>
      </x:c>
      <x:c r="FM27" s="137" t="str">
        <x:f>IF(AND(FM$4&gt;=$C27,FM$4&lt;=$D27,'Вводные'!$B$90="Да"),"■","")</x:f>
      </x:c>
      <x:c r="FN27" s="137" t="str">
        <x:f>IF(AND(FN$4&gt;=$C27,FN$4&lt;=$D27,'Вводные'!$B$90="Да"),"■","")</x:f>
      </x:c>
      <x:c r="FO27" s="137" t="str">
        <x:f>IF(AND(FO$4&gt;=$C27,FO$4&lt;=$D27,'Вводные'!$B$90="Да"),"■","")</x:f>
      </x:c>
      <x:c r="FP27" s="137" t="str">
        <x:f>IF(AND(FP$4&gt;=$C27,FP$4&lt;=$D27,'Вводные'!$B$90="Да"),"■","")</x:f>
      </x:c>
      <x:c r="FQ27" s="137" t="str">
        <x:f>IF(AND(FQ$4&gt;=$C27,FQ$4&lt;=$D27,'Вводные'!$B$90="Да"),"■","")</x:f>
      </x:c>
      <x:c r="FR27" s="137" t="str">
        <x:f>IF(AND(FR$4&gt;=$C27,FR$4&lt;=$D27,'Вводные'!$B$90="Да"),"■","")</x:f>
      </x:c>
      <x:c r="FS27" s="137" t="str">
        <x:f>IF(AND(FS$4&gt;=$C27,FS$4&lt;=$D27,'Вводные'!$B$90="Да"),"■","")</x:f>
      </x:c>
      <x:c r="FT27" s="137" t="str">
        <x:f>IF(AND(FT$4&gt;=$C27,FT$4&lt;=$D27,'Вводные'!$B$90="Да"),"■","")</x:f>
      </x:c>
      <x:c r="FU27" s="137" t="str">
        <x:f>IF(AND(FU$4&gt;=$C27,FU$4&lt;=$D27,'Вводные'!$B$90="Да"),"■","")</x:f>
      </x:c>
      <x:c r="FV27" s="137" t="str">
        <x:f>IF(AND(FV$4&gt;=$C27,FV$4&lt;=$D27,'Вводные'!$B$90="Да"),"■","")</x:f>
      </x:c>
      <x:c r="FW27" s="137" t="str">
        <x:f>IF(AND(FW$4&gt;=$C27,FW$4&lt;=$D27,'Вводные'!$B$90="Да"),"■","")</x:f>
      </x:c>
      <x:c r="FX27" s="137" t="str">
        <x:f>IF(AND(FX$4&gt;=$C27,FX$4&lt;=$D27,'Вводные'!$B$90="Да"),"■","")</x:f>
      </x:c>
      <x:c r="FY27" s="137" t="str">
        <x:f>IF(AND(FY$4&gt;=$C27,FY$4&lt;=$D27,'Вводные'!$B$90="Да"),"■","")</x:f>
      </x:c>
      <x:c r="FZ27" s="137" t="str">
        <x:f>IF(AND(FZ$4&gt;=$C27,FZ$4&lt;=$D27,'Вводные'!$B$90="Да"),"■","")</x:f>
      </x:c>
      <x:c r="GA27" s="137" t="str">
        <x:f>IF(AND(GA$4&gt;=$C27,GA$4&lt;=$D27,'Вводные'!$B$90="Да"),"■","")</x:f>
      </x:c>
      <x:c r="GB27" s="137" t="str">
        <x:f>IF(AND(GB$4&gt;=$C27,GB$4&lt;=$D27,'Вводные'!$B$90="Да"),"■","")</x:f>
      </x:c>
    </x:row>
    <x:row r="28">
      <x:c r="A28" t="str">
        <x:f>'Вводные'!$C$90</x:f>
      </x:c>
      <x:c r="B28" t="str">
        <x:v>РнС / открытие ПФ</x:v>
      </x:c>
      <x:c r="C28" s="92" t="n">
        <x:f>'CF_3'!B7</x:f>
      </x:c>
      <x:c r="D28" s="92" t="n">
        <x:f>C28</x:f>
      </x:c>
      <x:c r="E28" s="135" t="str">
        <x:f>IF(AND(E$4&gt;=$C28,E$4&lt;=$D28,'Вводные'!$B$90="Да"),"■","")</x:f>
      </x:c>
      <x:c r="F28" s="135" t="str">
        <x:f>IF(AND(F$4&gt;=$C28,F$4&lt;=$D28,'Вводные'!$B$90="Да"),"■","")</x:f>
      </x:c>
      <x:c r="G28" s="135" t="str">
        <x:f>IF(AND(G$4&gt;=$C28,G$4&lt;=$D28,'Вводные'!$B$90="Да"),"■","")</x:f>
      </x:c>
      <x:c r="H28" s="135" t="str">
        <x:f>IF(AND(H$4&gt;=$C28,H$4&lt;=$D28,'Вводные'!$B$90="Да"),"■","")</x:f>
      </x:c>
      <x:c r="I28" s="135" t="str">
        <x:f>IF(AND(I$4&gt;=$C28,I$4&lt;=$D28,'Вводные'!$B$90="Да"),"■","")</x:f>
      </x:c>
      <x:c r="J28" s="135" t="str">
        <x:f>IF(AND(J$4&gt;=$C28,J$4&lt;=$D28,'Вводные'!$B$90="Да"),"■","")</x:f>
      </x:c>
      <x:c r="K28" s="135" t="str">
        <x:f>IF(AND(K$4&gt;=$C28,K$4&lt;=$D28,'Вводные'!$B$90="Да"),"■","")</x:f>
      </x:c>
      <x:c r="L28" s="135" t="str">
        <x:f>IF(AND(L$4&gt;=$C28,L$4&lt;=$D28,'Вводные'!$B$90="Да"),"■","")</x:f>
      </x:c>
      <x:c r="M28" s="135" t="str">
        <x:f>IF(AND(M$4&gt;=$C28,M$4&lt;=$D28,'Вводные'!$B$90="Да"),"■","")</x:f>
      </x:c>
      <x:c r="N28" s="135" t="str">
        <x:f>IF(AND(N$4&gt;=$C28,N$4&lt;=$D28,'Вводные'!$B$90="Да"),"■","")</x:f>
      </x:c>
      <x:c r="O28" s="135" t="str">
        <x:f>IF(AND(O$4&gt;=$C28,O$4&lt;=$D28,'Вводные'!$B$90="Да"),"■","")</x:f>
      </x:c>
      <x:c r="P28" s="135" t="str">
        <x:f>IF(AND(P$4&gt;=$C28,P$4&lt;=$D28,'Вводные'!$B$90="Да"),"■","")</x:f>
      </x:c>
      <x:c r="Q28" s="135" t="str">
        <x:f>IF(AND(Q$4&gt;=$C28,Q$4&lt;=$D28,'Вводные'!$B$90="Да"),"■","")</x:f>
      </x:c>
      <x:c r="R28" s="135" t="str">
        <x:f>IF(AND(R$4&gt;=$C28,R$4&lt;=$D28,'Вводные'!$B$90="Да"),"■","")</x:f>
      </x:c>
      <x:c r="S28" s="135" t="str">
        <x:f>IF(AND(S$4&gt;=$C28,S$4&lt;=$D28,'Вводные'!$B$90="Да"),"■","")</x:f>
      </x:c>
      <x:c r="T28" s="135" t="str">
        <x:f>IF(AND(T$4&gt;=$C28,T$4&lt;=$D28,'Вводные'!$B$90="Да"),"■","")</x:f>
      </x:c>
      <x:c r="U28" s="135" t="str">
        <x:f>IF(AND(U$4&gt;=$C28,U$4&lt;=$D28,'Вводные'!$B$90="Да"),"■","")</x:f>
      </x:c>
      <x:c r="V28" s="135" t="str">
        <x:f>IF(AND(V$4&gt;=$C28,V$4&lt;=$D28,'Вводные'!$B$90="Да"),"■","")</x:f>
      </x:c>
      <x:c r="W28" s="135" t="str">
        <x:f>IF(AND(W$4&gt;=$C28,W$4&lt;=$D28,'Вводные'!$B$90="Да"),"■","")</x:f>
      </x:c>
      <x:c r="X28" s="135" t="str">
        <x:f>IF(AND(X$4&gt;=$C28,X$4&lt;=$D28,'Вводные'!$B$90="Да"),"■","")</x:f>
      </x:c>
      <x:c r="Y28" s="135" t="str">
        <x:f>IF(AND(Y$4&gt;=$C28,Y$4&lt;=$D28,'Вводные'!$B$90="Да"),"■","")</x:f>
      </x:c>
      <x:c r="Z28" s="135" t="str">
        <x:f>IF(AND(Z$4&gt;=$C28,Z$4&lt;=$D28,'Вводные'!$B$90="Да"),"■","")</x:f>
      </x:c>
      <x:c r="AA28" s="135" t="str">
        <x:f>IF(AND(AA$4&gt;=$C28,AA$4&lt;=$D28,'Вводные'!$B$90="Да"),"■","")</x:f>
      </x:c>
      <x:c r="AB28" s="135" t="str">
        <x:f>IF(AND(AB$4&gt;=$C28,AB$4&lt;=$D28,'Вводные'!$B$90="Да"),"■","")</x:f>
      </x:c>
      <x:c r="AC28" s="135" t="str">
        <x:f>IF(AND(AC$4&gt;=$C28,AC$4&lt;=$D28,'Вводные'!$B$90="Да"),"■","")</x:f>
      </x:c>
      <x:c r="AD28" s="135" t="str">
        <x:f>IF(AND(AD$4&gt;=$C28,AD$4&lt;=$D28,'Вводные'!$B$90="Да"),"■","")</x:f>
      </x:c>
      <x:c r="AE28" s="135" t="str">
        <x:f>IF(AND(AE$4&gt;=$C28,AE$4&lt;=$D28,'Вводные'!$B$90="Да"),"■","")</x:f>
      </x:c>
      <x:c r="AF28" s="135" t="str">
        <x:f>IF(AND(AF$4&gt;=$C28,AF$4&lt;=$D28,'Вводные'!$B$90="Да"),"■","")</x:f>
      </x:c>
      <x:c r="AG28" s="135" t="str">
        <x:f>IF(AND(AG$4&gt;=$C28,AG$4&lt;=$D28,'Вводные'!$B$90="Да"),"■","")</x:f>
      </x:c>
      <x:c r="AH28" s="135" t="str">
        <x:f>IF(AND(AH$4&gt;=$C28,AH$4&lt;=$D28,'Вводные'!$B$90="Да"),"■","")</x:f>
      </x:c>
      <x:c r="AI28" s="135" t="str">
        <x:f>IF(AND(AI$4&gt;=$C28,AI$4&lt;=$D28,'Вводные'!$B$90="Да"),"■","")</x:f>
      </x:c>
      <x:c r="AJ28" s="135" t="str">
        <x:f>IF(AND(AJ$4&gt;=$C28,AJ$4&lt;=$D28,'Вводные'!$B$90="Да"),"■","")</x:f>
      </x:c>
      <x:c r="AK28" s="135" t="str">
        <x:f>IF(AND(AK$4&gt;=$C28,AK$4&lt;=$D28,'Вводные'!$B$90="Да"),"■","")</x:f>
      </x:c>
      <x:c r="AL28" s="135" t="str">
        <x:f>IF(AND(AL$4&gt;=$C28,AL$4&lt;=$D28,'Вводные'!$B$90="Да"),"■","")</x:f>
      </x:c>
      <x:c r="AM28" s="135" t="str">
        <x:f>IF(AND(AM$4&gt;=$C28,AM$4&lt;=$D28,'Вводные'!$B$90="Да"),"■","")</x:f>
      </x:c>
      <x:c r="AN28" s="135" t="str">
        <x:f>IF(AND(AN$4&gt;=$C28,AN$4&lt;=$D28,'Вводные'!$B$90="Да"),"■","")</x:f>
      </x:c>
      <x:c r="AO28" s="135" t="str">
        <x:f>IF(AND(AO$4&gt;=$C28,AO$4&lt;=$D28,'Вводные'!$B$90="Да"),"■","")</x:f>
      </x:c>
      <x:c r="AP28" s="135" t="str">
        <x:f>IF(AND(AP$4&gt;=$C28,AP$4&lt;=$D28,'Вводные'!$B$90="Да"),"■","")</x:f>
      </x:c>
      <x:c r="AQ28" s="135" t="str">
        <x:f>IF(AND(AQ$4&gt;=$C28,AQ$4&lt;=$D28,'Вводные'!$B$90="Да"),"■","")</x:f>
      </x:c>
      <x:c r="AR28" s="135" t="str">
        <x:f>IF(AND(AR$4&gt;=$C28,AR$4&lt;=$D28,'Вводные'!$B$90="Да"),"■","")</x:f>
      </x:c>
      <x:c r="AS28" s="135" t="str">
        <x:f>IF(AND(AS$4&gt;=$C28,AS$4&lt;=$D28,'Вводные'!$B$90="Да"),"■","")</x:f>
      </x:c>
      <x:c r="AT28" s="135" t="str">
        <x:f>IF(AND(AT$4&gt;=$C28,AT$4&lt;=$D28,'Вводные'!$B$90="Да"),"■","")</x:f>
      </x:c>
      <x:c r="AU28" s="135" t="str">
        <x:f>IF(AND(AU$4&gt;=$C28,AU$4&lt;=$D28,'Вводные'!$B$90="Да"),"■","")</x:f>
      </x:c>
      <x:c r="AV28" s="135" t="str">
        <x:f>IF(AND(AV$4&gt;=$C28,AV$4&lt;=$D28,'Вводные'!$B$90="Да"),"■","")</x:f>
      </x:c>
      <x:c r="AW28" s="135" t="str">
        <x:f>IF(AND(AW$4&gt;=$C28,AW$4&lt;=$D28,'Вводные'!$B$90="Да"),"■","")</x:f>
      </x:c>
      <x:c r="AX28" s="135" t="str">
        <x:f>IF(AND(AX$4&gt;=$C28,AX$4&lt;=$D28,'Вводные'!$B$90="Да"),"■","")</x:f>
      </x:c>
      <x:c r="AY28" s="135" t="str">
        <x:f>IF(AND(AY$4&gt;=$C28,AY$4&lt;=$D28,'Вводные'!$B$90="Да"),"■","")</x:f>
      </x:c>
      <x:c r="AZ28" s="135" t="str">
        <x:f>IF(AND(AZ$4&gt;=$C28,AZ$4&lt;=$D28,'Вводные'!$B$90="Да"),"■","")</x:f>
      </x:c>
      <x:c r="BA28" s="135" t="str">
        <x:f>IF(AND(BA$4&gt;=$C28,BA$4&lt;=$D28,'Вводные'!$B$90="Да"),"■","")</x:f>
      </x:c>
      <x:c r="BB28" s="135" t="str">
        <x:f>IF(AND(BB$4&gt;=$C28,BB$4&lt;=$D28,'Вводные'!$B$90="Да"),"■","")</x:f>
      </x:c>
      <x:c r="BC28" s="135" t="str">
        <x:f>IF(AND(BC$4&gt;=$C28,BC$4&lt;=$D28,'Вводные'!$B$90="Да"),"■","")</x:f>
      </x:c>
      <x:c r="BD28" s="135" t="str">
        <x:f>IF(AND(BD$4&gt;=$C28,BD$4&lt;=$D28,'Вводные'!$B$90="Да"),"■","")</x:f>
      </x:c>
      <x:c r="BE28" s="135" t="str">
        <x:f>IF(AND(BE$4&gt;=$C28,BE$4&lt;=$D28,'Вводные'!$B$90="Да"),"■","")</x:f>
      </x:c>
      <x:c r="BF28" s="135" t="str">
        <x:f>IF(AND(BF$4&gt;=$C28,BF$4&lt;=$D28,'Вводные'!$B$90="Да"),"■","")</x:f>
      </x:c>
      <x:c r="BG28" s="135" t="str">
        <x:f>IF(AND(BG$4&gt;=$C28,BG$4&lt;=$D28,'Вводные'!$B$90="Да"),"■","")</x:f>
      </x:c>
      <x:c r="BH28" s="135" t="str">
        <x:f>IF(AND(BH$4&gt;=$C28,BH$4&lt;=$D28,'Вводные'!$B$90="Да"),"■","")</x:f>
      </x:c>
      <x:c r="BI28" s="135" t="str">
        <x:f>IF(AND(BI$4&gt;=$C28,BI$4&lt;=$D28,'Вводные'!$B$90="Да"),"■","")</x:f>
      </x:c>
      <x:c r="BJ28" s="135" t="str">
        <x:f>IF(AND(BJ$4&gt;=$C28,BJ$4&lt;=$D28,'Вводные'!$B$90="Да"),"■","")</x:f>
      </x:c>
      <x:c r="BK28" s="135" t="str">
        <x:f>IF(AND(BK$4&gt;=$C28,BK$4&lt;=$D28,'Вводные'!$B$90="Да"),"■","")</x:f>
      </x:c>
      <x:c r="BL28" s="135" t="str">
        <x:f>IF(AND(BL$4&gt;=$C28,BL$4&lt;=$D28,'Вводные'!$B$90="Да"),"■","")</x:f>
      </x:c>
      <x:c r="BM28" s="135" t="str">
        <x:f>IF(AND(BM$4&gt;=$C28,BM$4&lt;=$D28,'Вводные'!$B$90="Да"),"■","")</x:f>
      </x:c>
      <x:c r="BN28" s="135" t="str">
        <x:f>IF(AND(BN$4&gt;=$C28,BN$4&lt;=$D28,'Вводные'!$B$90="Да"),"■","")</x:f>
      </x:c>
      <x:c r="BO28" s="135" t="str">
        <x:f>IF(AND(BO$4&gt;=$C28,BO$4&lt;=$D28,'Вводные'!$B$90="Да"),"■","")</x:f>
      </x:c>
      <x:c r="BP28" s="135" t="str">
        <x:f>IF(AND(BP$4&gt;=$C28,BP$4&lt;=$D28,'Вводные'!$B$90="Да"),"■","")</x:f>
      </x:c>
      <x:c r="BQ28" s="135" t="str">
        <x:f>IF(AND(BQ$4&gt;=$C28,BQ$4&lt;=$D28,'Вводные'!$B$90="Да"),"■","")</x:f>
      </x:c>
      <x:c r="BR28" s="135" t="str">
        <x:f>IF(AND(BR$4&gt;=$C28,BR$4&lt;=$D28,'Вводные'!$B$90="Да"),"■","")</x:f>
      </x:c>
      <x:c r="BS28" s="135" t="str">
        <x:f>IF(AND(BS$4&gt;=$C28,BS$4&lt;=$D28,'Вводные'!$B$90="Да"),"■","")</x:f>
      </x:c>
      <x:c r="BT28" s="135" t="str">
        <x:f>IF(AND(BT$4&gt;=$C28,BT$4&lt;=$D28,'Вводные'!$B$90="Да"),"■","")</x:f>
      </x:c>
      <x:c r="BU28" s="135" t="str">
        <x:f>IF(AND(BU$4&gt;=$C28,BU$4&lt;=$D28,'Вводные'!$B$90="Да"),"■","")</x:f>
      </x:c>
      <x:c r="BV28" s="135" t="str">
        <x:f>IF(AND(BV$4&gt;=$C28,BV$4&lt;=$D28,'Вводные'!$B$90="Да"),"■","")</x:f>
      </x:c>
      <x:c r="BW28" s="135" t="str">
        <x:f>IF(AND(BW$4&gt;=$C28,BW$4&lt;=$D28,'Вводные'!$B$90="Да"),"■","")</x:f>
      </x:c>
      <x:c r="BX28" s="135" t="str">
        <x:f>IF(AND(BX$4&gt;=$C28,BX$4&lt;=$D28,'Вводные'!$B$90="Да"),"■","")</x:f>
      </x:c>
      <x:c r="BY28" s="135" t="str">
        <x:f>IF(AND(BY$4&gt;=$C28,BY$4&lt;=$D28,'Вводные'!$B$90="Да"),"■","")</x:f>
      </x:c>
      <x:c r="BZ28" s="135" t="str">
        <x:f>IF(AND(BZ$4&gt;=$C28,BZ$4&lt;=$D28,'Вводные'!$B$90="Да"),"■","")</x:f>
      </x:c>
      <x:c r="CA28" s="135" t="str">
        <x:f>IF(AND(CA$4&gt;=$C28,CA$4&lt;=$D28,'Вводные'!$B$90="Да"),"■","")</x:f>
      </x:c>
      <x:c r="CB28" s="135" t="str">
        <x:f>IF(AND(CB$4&gt;=$C28,CB$4&lt;=$D28,'Вводные'!$B$90="Да"),"■","")</x:f>
      </x:c>
      <x:c r="CC28" s="135" t="str">
        <x:f>IF(AND(CC$4&gt;=$C28,CC$4&lt;=$D28,'Вводные'!$B$90="Да"),"■","")</x:f>
      </x:c>
      <x:c r="CD28" s="135" t="str">
        <x:f>IF(AND(CD$4&gt;=$C28,CD$4&lt;=$D28,'Вводные'!$B$90="Да"),"■","")</x:f>
      </x:c>
      <x:c r="CE28" s="135" t="str">
        <x:f>IF(AND(CE$4&gt;=$C28,CE$4&lt;=$D28,'Вводные'!$B$90="Да"),"■","")</x:f>
      </x:c>
      <x:c r="CF28" s="135" t="str">
        <x:f>IF(AND(CF$4&gt;=$C28,CF$4&lt;=$D28,'Вводные'!$B$90="Да"),"■","")</x:f>
      </x:c>
      <x:c r="CG28" s="135" t="str">
        <x:f>IF(AND(CG$4&gt;=$C28,CG$4&lt;=$D28,'Вводные'!$B$90="Да"),"■","")</x:f>
      </x:c>
      <x:c r="CH28" s="135" t="str">
        <x:f>IF(AND(CH$4&gt;=$C28,CH$4&lt;=$D28,'Вводные'!$B$90="Да"),"■","")</x:f>
      </x:c>
      <x:c r="CI28" s="135" t="str">
        <x:f>IF(AND(CI$4&gt;=$C28,CI$4&lt;=$D28,'Вводные'!$B$90="Да"),"■","")</x:f>
      </x:c>
      <x:c r="CJ28" s="135" t="str">
        <x:f>IF(AND(CJ$4&gt;=$C28,CJ$4&lt;=$D28,'Вводные'!$B$90="Да"),"■","")</x:f>
      </x:c>
      <x:c r="CK28" s="135" t="str">
        <x:f>IF(AND(CK$4&gt;=$C28,CK$4&lt;=$D28,'Вводные'!$B$90="Да"),"■","")</x:f>
      </x:c>
      <x:c r="CL28" s="135" t="str">
        <x:f>IF(AND(CL$4&gt;=$C28,CL$4&lt;=$D28,'Вводные'!$B$90="Да"),"■","")</x:f>
      </x:c>
      <x:c r="CM28" s="135" t="str">
        <x:f>IF(AND(CM$4&gt;=$C28,CM$4&lt;=$D28,'Вводные'!$B$90="Да"),"■","")</x:f>
      </x:c>
      <x:c r="CN28" s="135" t="str">
        <x:f>IF(AND(CN$4&gt;=$C28,CN$4&lt;=$D28,'Вводные'!$B$90="Да"),"■","")</x:f>
      </x:c>
      <x:c r="CO28" s="135" t="str">
        <x:f>IF(AND(CO$4&gt;=$C28,CO$4&lt;=$D28,'Вводные'!$B$90="Да"),"■","")</x:f>
      </x:c>
      <x:c r="CP28" s="135" t="str">
        <x:f>IF(AND(CP$4&gt;=$C28,CP$4&lt;=$D28,'Вводные'!$B$90="Да"),"■","")</x:f>
      </x:c>
      <x:c r="CQ28" s="135" t="str">
        <x:f>IF(AND(CQ$4&gt;=$C28,CQ$4&lt;=$D28,'Вводные'!$B$90="Да"),"■","")</x:f>
      </x:c>
      <x:c r="CR28" s="135" t="str">
        <x:f>IF(AND(CR$4&gt;=$C28,CR$4&lt;=$D28,'Вводные'!$B$90="Да"),"■","")</x:f>
      </x:c>
      <x:c r="CS28" s="135" t="str">
        <x:f>IF(AND(CS$4&gt;=$C28,CS$4&lt;=$D28,'Вводные'!$B$90="Да"),"■","")</x:f>
      </x:c>
      <x:c r="CT28" s="135" t="str">
        <x:f>IF(AND(CT$4&gt;=$C28,CT$4&lt;=$D28,'Вводные'!$B$90="Да"),"■","")</x:f>
      </x:c>
      <x:c r="CU28" s="135" t="str">
        <x:f>IF(AND(CU$4&gt;=$C28,CU$4&lt;=$D28,'Вводные'!$B$90="Да"),"■","")</x:f>
      </x:c>
      <x:c r="CV28" s="135" t="str">
        <x:f>IF(AND(CV$4&gt;=$C28,CV$4&lt;=$D28,'Вводные'!$B$90="Да"),"■","")</x:f>
      </x:c>
      <x:c r="CW28" s="135" t="str">
        <x:f>IF(AND(CW$4&gt;=$C28,CW$4&lt;=$D28,'Вводные'!$B$90="Да"),"■","")</x:f>
      </x:c>
      <x:c r="CX28" s="135" t="str">
        <x:f>IF(AND(CX$4&gt;=$C28,CX$4&lt;=$D28,'Вводные'!$B$90="Да"),"■","")</x:f>
      </x:c>
      <x:c r="CY28" s="135" t="str">
        <x:f>IF(AND(CY$4&gt;=$C28,CY$4&lt;=$D28,'Вводные'!$B$90="Да"),"■","")</x:f>
      </x:c>
      <x:c r="CZ28" s="135" t="str">
        <x:f>IF(AND(CZ$4&gt;=$C28,CZ$4&lt;=$D28,'Вводные'!$B$90="Да"),"■","")</x:f>
      </x:c>
      <x:c r="DA28" s="135" t="str">
        <x:f>IF(AND(DA$4&gt;=$C28,DA$4&lt;=$D28,'Вводные'!$B$90="Да"),"■","")</x:f>
      </x:c>
      <x:c r="DB28" s="135" t="str">
        <x:f>IF(AND(DB$4&gt;=$C28,DB$4&lt;=$D28,'Вводные'!$B$90="Да"),"■","")</x:f>
      </x:c>
      <x:c r="DC28" s="135" t="str">
        <x:f>IF(AND(DC$4&gt;=$C28,DC$4&lt;=$D28,'Вводные'!$B$90="Да"),"■","")</x:f>
      </x:c>
      <x:c r="DD28" s="135" t="str">
        <x:f>IF(AND(DD$4&gt;=$C28,DD$4&lt;=$D28,'Вводные'!$B$90="Да"),"■","")</x:f>
      </x:c>
      <x:c r="DE28" s="135" t="str">
        <x:f>IF(AND(DE$4&gt;=$C28,DE$4&lt;=$D28,'Вводные'!$B$90="Да"),"■","")</x:f>
      </x:c>
      <x:c r="DF28" s="135" t="str">
        <x:f>IF(AND(DF$4&gt;=$C28,DF$4&lt;=$D28,'Вводные'!$B$90="Да"),"■","")</x:f>
      </x:c>
      <x:c r="DG28" s="135" t="str">
        <x:f>IF(AND(DG$4&gt;=$C28,DG$4&lt;=$D28,'Вводные'!$B$90="Да"),"■","")</x:f>
      </x:c>
      <x:c r="DH28" s="135" t="str">
        <x:f>IF(AND(DH$4&gt;=$C28,DH$4&lt;=$D28,'Вводные'!$B$90="Да"),"■","")</x:f>
      </x:c>
      <x:c r="DI28" s="135" t="str">
        <x:f>IF(AND(DI$4&gt;=$C28,DI$4&lt;=$D28,'Вводные'!$B$90="Да"),"■","")</x:f>
      </x:c>
      <x:c r="DJ28" s="135" t="str">
        <x:f>IF(AND(DJ$4&gt;=$C28,DJ$4&lt;=$D28,'Вводные'!$B$90="Да"),"■","")</x:f>
      </x:c>
      <x:c r="DK28" s="135" t="str">
        <x:f>IF(AND(DK$4&gt;=$C28,DK$4&lt;=$D28,'Вводные'!$B$90="Да"),"■","")</x:f>
      </x:c>
      <x:c r="DL28" s="135" t="str">
        <x:f>IF(AND(DL$4&gt;=$C28,DL$4&lt;=$D28,'Вводные'!$B$90="Да"),"■","")</x:f>
      </x:c>
      <x:c r="DM28" s="135" t="str">
        <x:f>IF(AND(DM$4&gt;=$C28,DM$4&lt;=$D28,'Вводные'!$B$90="Да"),"■","")</x:f>
      </x:c>
      <x:c r="DN28" s="135" t="str">
        <x:f>IF(AND(DN$4&gt;=$C28,DN$4&lt;=$D28,'Вводные'!$B$90="Да"),"■","")</x:f>
      </x:c>
      <x:c r="DO28" s="135" t="str">
        <x:f>IF(AND(DO$4&gt;=$C28,DO$4&lt;=$D28,'Вводные'!$B$90="Да"),"■","")</x:f>
      </x:c>
      <x:c r="DP28" s="135" t="str">
        <x:f>IF(AND(DP$4&gt;=$C28,DP$4&lt;=$D28,'Вводные'!$B$90="Да"),"■","")</x:f>
      </x:c>
      <x:c r="DQ28" s="135" t="str">
        <x:f>IF(AND(DQ$4&gt;=$C28,DQ$4&lt;=$D28,'Вводные'!$B$90="Да"),"■","")</x:f>
      </x:c>
      <x:c r="DR28" s="135" t="str">
        <x:f>IF(AND(DR$4&gt;=$C28,DR$4&lt;=$D28,'Вводные'!$B$90="Да"),"■","")</x:f>
      </x:c>
      <x:c r="DS28" s="135" t="str">
        <x:f>IF(AND(DS$4&gt;=$C28,DS$4&lt;=$D28,'Вводные'!$B$90="Да"),"■","")</x:f>
      </x:c>
      <x:c r="DT28" s="135" t="str">
        <x:f>IF(AND(DT$4&gt;=$C28,DT$4&lt;=$D28,'Вводные'!$B$90="Да"),"■","")</x:f>
      </x:c>
      <x:c r="DU28" s="135" t="str">
        <x:f>IF(AND(DU$4&gt;=$C28,DU$4&lt;=$D28,'Вводные'!$B$90="Да"),"■","")</x:f>
      </x:c>
      <x:c r="DV28" s="135" t="str">
        <x:f>IF(AND(DV$4&gt;=$C28,DV$4&lt;=$D28,'Вводные'!$B$90="Да"),"■","")</x:f>
      </x:c>
      <x:c r="DW28" s="135" t="str">
        <x:f>IF(AND(DW$4&gt;=$C28,DW$4&lt;=$D28,'Вводные'!$B$90="Да"),"■","")</x:f>
      </x:c>
      <x:c r="DX28" s="135" t="str">
        <x:f>IF(AND(DX$4&gt;=$C28,DX$4&lt;=$D28,'Вводные'!$B$90="Да"),"■","")</x:f>
      </x:c>
      <x:c r="DY28" s="135" t="str">
        <x:f>IF(AND(DY$4&gt;=$C28,DY$4&lt;=$D28,'Вводные'!$B$90="Да"),"■","")</x:f>
      </x:c>
      <x:c r="DZ28" s="135" t="str">
        <x:f>IF(AND(DZ$4&gt;=$C28,DZ$4&lt;=$D28,'Вводные'!$B$90="Да"),"■","")</x:f>
      </x:c>
      <x:c r="EA28" s="135" t="str">
        <x:f>IF(AND(EA$4&gt;=$C28,EA$4&lt;=$D28,'Вводные'!$B$90="Да"),"■","")</x:f>
      </x:c>
      <x:c r="EB28" s="135" t="str">
        <x:f>IF(AND(EB$4&gt;=$C28,EB$4&lt;=$D28,'Вводные'!$B$90="Да"),"■","")</x:f>
      </x:c>
      <x:c r="EC28" s="135" t="str">
        <x:f>IF(AND(EC$4&gt;=$C28,EC$4&lt;=$D28,'Вводные'!$B$90="Да"),"■","")</x:f>
      </x:c>
      <x:c r="ED28" s="135" t="str">
        <x:f>IF(AND(ED$4&gt;=$C28,ED$4&lt;=$D28,'Вводные'!$B$90="Да"),"■","")</x:f>
      </x:c>
      <x:c r="EE28" s="135" t="str">
        <x:f>IF(AND(EE$4&gt;=$C28,EE$4&lt;=$D28,'Вводные'!$B$90="Да"),"■","")</x:f>
      </x:c>
      <x:c r="EF28" s="135" t="str">
        <x:f>IF(AND(EF$4&gt;=$C28,EF$4&lt;=$D28,'Вводные'!$B$90="Да"),"■","")</x:f>
      </x:c>
      <x:c r="EG28" s="135" t="str">
        <x:f>IF(AND(EG$4&gt;=$C28,EG$4&lt;=$D28,'Вводные'!$B$90="Да"),"■","")</x:f>
      </x:c>
      <x:c r="EH28" s="135" t="str">
        <x:f>IF(AND(EH$4&gt;=$C28,EH$4&lt;=$D28,'Вводные'!$B$90="Да"),"■","")</x:f>
      </x:c>
      <x:c r="EI28" s="135" t="str">
        <x:f>IF(AND(EI$4&gt;=$C28,EI$4&lt;=$D28,'Вводные'!$B$90="Да"),"■","")</x:f>
      </x:c>
      <x:c r="EJ28" s="135" t="str">
        <x:f>IF(AND(EJ$4&gt;=$C28,EJ$4&lt;=$D28,'Вводные'!$B$90="Да"),"■","")</x:f>
      </x:c>
      <x:c r="EK28" s="135" t="str">
        <x:f>IF(AND(EK$4&gt;=$C28,EK$4&lt;=$D28,'Вводные'!$B$90="Да"),"■","")</x:f>
      </x:c>
      <x:c r="EL28" s="135" t="str">
        <x:f>IF(AND(EL$4&gt;=$C28,EL$4&lt;=$D28,'Вводные'!$B$90="Да"),"■","")</x:f>
      </x:c>
      <x:c r="EM28" s="135" t="str">
        <x:f>IF(AND(EM$4&gt;=$C28,EM$4&lt;=$D28,'Вводные'!$B$90="Да"),"■","")</x:f>
      </x:c>
      <x:c r="EN28" s="135" t="str">
        <x:f>IF(AND(EN$4&gt;=$C28,EN$4&lt;=$D28,'Вводные'!$B$90="Да"),"■","")</x:f>
      </x:c>
      <x:c r="EO28" s="135" t="str">
        <x:f>IF(AND(EO$4&gt;=$C28,EO$4&lt;=$D28,'Вводные'!$B$90="Да"),"■","")</x:f>
      </x:c>
      <x:c r="EP28" s="135" t="str">
        <x:f>IF(AND(EP$4&gt;=$C28,EP$4&lt;=$D28,'Вводные'!$B$90="Да"),"■","")</x:f>
      </x:c>
      <x:c r="EQ28" s="135" t="str">
        <x:f>IF(AND(EQ$4&gt;=$C28,EQ$4&lt;=$D28,'Вводные'!$B$90="Да"),"■","")</x:f>
      </x:c>
      <x:c r="ER28" s="135" t="str">
        <x:f>IF(AND(ER$4&gt;=$C28,ER$4&lt;=$D28,'Вводные'!$B$90="Да"),"■","")</x:f>
      </x:c>
      <x:c r="ES28" s="135" t="str">
        <x:f>IF(AND(ES$4&gt;=$C28,ES$4&lt;=$D28,'Вводные'!$B$90="Да"),"■","")</x:f>
      </x:c>
      <x:c r="ET28" s="135" t="str">
        <x:f>IF(AND(ET$4&gt;=$C28,ET$4&lt;=$D28,'Вводные'!$B$90="Да"),"■","")</x:f>
      </x:c>
      <x:c r="EU28" s="135" t="str">
        <x:f>IF(AND(EU$4&gt;=$C28,EU$4&lt;=$D28,'Вводные'!$B$90="Да"),"■","")</x:f>
      </x:c>
      <x:c r="EV28" s="135" t="str">
        <x:f>IF(AND(EV$4&gt;=$C28,EV$4&lt;=$D28,'Вводные'!$B$90="Да"),"■","")</x:f>
      </x:c>
      <x:c r="EW28" s="135" t="str">
        <x:f>IF(AND(EW$4&gt;=$C28,EW$4&lt;=$D28,'Вводные'!$B$90="Да"),"■","")</x:f>
      </x:c>
      <x:c r="EX28" s="135" t="str">
        <x:f>IF(AND(EX$4&gt;=$C28,EX$4&lt;=$D28,'Вводные'!$B$90="Да"),"■","")</x:f>
      </x:c>
      <x:c r="EY28" s="135" t="str">
        <x:f>IF(AND(EY$4&gt;=$C28,EY$4&lt;=$D28,'Вводные'!$B$90="Да"),"■","")</x:f>
      </x:c>
      <x:c r="EZ28" s="135" t="str">
        <x:f>IF(AND(EZ$4&gt;=$C28,EZ$4&lt;=$D28,'Вводные'!$B$90="Да"),"■","")</x:f>
      </x:c>
      <x:c r="FA28" s="135" t="str">
        <x:f>IF(AND(FA$4&gt;=$C28,FA$4&lt;=$D28,'Вводные'!$B$90="Да"),"■","")</x:f>
      </x:c>
      <x:c r="FB28" s="135" t="str">
        <x:f>IF(AND(FB$4&gt;=$C28,FB$4&lt;=$D28,'Вводные'!$B$90="Да"),"■","")</x:f>
      </x:c>
      <x:c r="FC28" s="135" t="str">
        <x:f>IF(AND(FC$4&gt;=$C28,FC$4&lt;=$D28,'Вводные'!$B$90="Да"),"■","")</x:f>
      </x:c>
      <x:c r="FD28" s="135" t="str">
        <x:f>IF(AND(FD$4&gt;=$C28,FD$4&lt;=$D28,'Вводные'!$B$90="Да"),"■","")</x:f>
      </x:c>
      <x:c r="FE28" s="135" t="str">
        <x:f>IF(AND(FE$4&gt;=$C28,FE$4&lt;=$D28,'Вводные'!$B$90="Да"),"■","")</x:f>
      </x:c>
      <x:c r="FF28" s="135" t="str">
        <x:f>IF(AND(FF$4&gt;=$C28,FF$4&lt;=$D28,'Вводные'!$B$90="Да"),"■","")</x:f>
      </x:c>
      <x:c r="FG28" s="135" t="str">
        <x:f>IF(AND(FG$4&gt;=$C28,FG$4&lt;=$D28,'Вводные'!$B$90="Да"),"■","")</x:f>
      </x:c>
      <x:c r="FH28" s="135" t="str">
        <x:f>IF(AND(FH$4&gt;=$C28,FH$4&lt;=$D28,'Вводные'!$B$90="Да"),"■","")</x:f>
      </x:c>
      <x:c r="FI28" s="135" t="str">
        <x:f>IF(AND(FI$4&gt;=$C28,FI$4&lt;=$D28,'Вводные'!$B$90="Да"),"■","")</x:f>
      </x:c>
      <x:c r="FJ28" s="135" t="str">
        <x:f>IF(AND(FJ$4&gt;=$C28,FJ$4&lt;=$D28,'Вводные'!$B$90="Да"),"■","")</x:f>
      </x:c>
      <x:c r="FK28" s="135" t="str">
        <x:f>IF(AND(FK$4&gt;=$C28,FK$4&lt;=$D28,'Вводные'!$B$90="Да"),"■","")</x:f>
      </x:c>
      <x:c r="FL28" s="135" t="str">
        <x:f>IF(AND(FL$4&gt;=$C28,FL$4&lt;=$D28,'Вводные'!$B$90="Да"),"■","")</x:f>
      </x:c>
      <x:c r="FM28" s="135" t="str">
        <x:f>IF(AND(FM$4&gt;=$C28,FM$4&lt;=$D28,'Вводные'!$B$90="Да"),"■","")</x:f>
      </x:c>
      <x:c r="FN28" s="135" t="str">
        <x:f>IF(AND(FN$4&gt;=$C28,FN$4&lt;=$D28,'Вводные'!$B$90="Да"),"■","")</x:f>
      </x:c>
      <x:c r="FO28" s="135" t="str">
        <x:f>IF(AND(FO$4&gt;=$C28,FO$4&lt;=$D28,'Вводные'!$B$90="Да"),"■","")</x:f>
      </x:c>
      <x:c r="FP28" s="135" t="str">
        <x:f>IF(AND(FP$4&gt;=$C28,FP$4&lt;=$D28,'Вводные'!$B$90="Да"),"■","")</x:f>
      </x:c>
      <x:c r="FQ28" s="135" t="str">
        <x:f>IF(AND(FQ$4&gt;=$C28,FQ$4&lt;=$D28,'Вводные'!$B$90="Да"),"■","")</x:f>
      </x:c>
      <x:c r="FR28" s="135" t="str">
        <x:f>IF(AND(FR$4&gt;=$C28,FR$4&lt;=$D28,'Вводные'!$B$90="Да"),"■","")</x:f>
      </x:c>
      <x:c r="FS28" s="135" t="str">
        <x:f>IF(AND(FS$4&gt;=$C28,FS$4&lt;=$D28,'Вводные'!$B$90="Да"),"■","")</x:f>
      </x:c>
      <x:c r="FT28" s="135" t="str">
        <x:f>IF(AND(FT$4&gt;=$C28,FT$4&lt;=$D28,'Вводные'!$B$90="Да"),"■","")</x:f>
      </x:c>
      <x:c r="FU28" s="135" t="str">
        <x:f>IF(AND(FU$4&gt;=$C28,FU$4&lt;=$D28,'Вводные'!$B$90="Да"),"■","")</x:f>
      </x:c>
      <x:c r="FV28" s="135" t="str">
        <x:f>IF(AND(FV$4&gt;=$C28,FV$4&lt;=$D28,'Вводные'!$B$90="Да"),"■","")</x:f>
      </x:c>
      <x:c r="FW28" s="135" t="str">
        <x:f>IF(AND(FW$4&gt;=$C28,FW$4&lt;=$D28,'Вводные'!$B$90="Да"),"■","")</x:f>
      </x:c>
      <x:c r="FX28" s="135" t="str">
        <x:f>IF(AND(FX$4&gt;=$C28,FX$4&lt;=$D28,'Вводные'!$B$90="Да"),"■","")</x:f>
      </x:c>
      <x:c r="FY28" s="135" t="str">
        <x:f>IF(AND(FY$4&gt;=$C28,FY$4&lt;=$D28,'Вводные'!$B$90="Да"),"■","")</x:f>
      </x:c>
      <x:c r="FZ28" s="135" t="str">
        <x:f>IF(AND(FZ$4&gt;=$C28,FZ$4&lt;=$D28,'Вводные'!$B$90="Да"),"■","")</x:f>
      </x:c>
      <x:c r="GA28" s="135" t="str">
        <x:f>IF(AND(GA$4&gt;=$C28,GA$4&lt;=$D28,'Вводные'!$B$90="Да"),"■","")</x:f>
      </x:c>
      <x:c r="GB28" s="135" t="str">
        <x:f>IF(AND(GB$4&gt;=$C28,GB$4&lt;=$D28,'Вводные'!$B$90="Да"),"■","")</x:f>
      </x:c>
    </x:row>
    <x:row r="29">
      <x:c r="A29" t="str">
        <x:f>'Вводные'!$C$90</x:f>
      </x:c>
      <x:c r="B29" t="str">
        <x:v>Продажи</x:v>
      </x:c>
      <x:c r="C29" s="92" t="n">
        <x:f>'Продажи'!B53</x:f>
      </x:c>
      <x:c r="D29" s="92" t="n">
        <x:f>EDATE('Продажи'!B53,'Вводные'!$H$90-1)</x:f>
      </x:c>
      <x:c r="E29" s="139" t="str">
        <x:f>IF(AND(E$4&gt;=$C29,E$4&lt;=$D29,'Вводные'!$B$90="Да"),"■","")</x:f>
      </x:c>
      <x:c r="F29" s="139" t="str">
        <x:f>IF(AND(F$4&gt;=$C29,F$4&lt;=$D29,'Вводные'!$B$90="Да"),"■","")</x:f>
      </x:c>
      <x:c r="G29" s="139" t="str">
        <x:f>IF(AND(G$4&gt;=$C29,G$4&lt;=$D29,'Вводные'!$B$90="Да"),"■","")</x:f>
      </x:c>
      <x:c r="H29" s="139" t="str">
        <x:f>IF(AND(H$4&gt;=$C29,H$4&lt;=$D29,'Вводные'!$B$90="Да"),"■","")</x:f>
      </x:c>
      <x:c r="I29" s="139" t="str">
        <x:f>IF(AND(I$4&gt;=$C29,I$4&lt;=$D29,'Вводные'!$B$90="Да"),"■","")</x:f>
      </x:c>
      <x:c r="J29" s="139" t="str">
        <x:f>IF(AND(J$4&gt;=$C29,J$4&lt;=$D29,'Вводные'!$B$90="Да"),"■","")</x:f>
      </x:c>
      <x:c r="K29" s="139" t="str">
        <x:f>IF(AND(K$4&gt;=$C29,K$4&lt;=$D29,'Вводные'!$B$90="Да"),"■","")</x:f>
      </x:c>
      <x:c r="L29" s="139" t="str">
        <x:f>IF(AND(L$4&gt;=$C29,L$4&lt;=$D29,'Вводные'!$B$90="Да"),"■","")</x:f>
      </x:c>
      <x:c r="M29" s="139" t="str">
        <x:f>IF(AND(M$4&gt;=$C29,M$4&lt;=$D29,'Вводные'!$B$90="Да"),"■","")</x:f>
      </x:c>
      <x:c r="N29" s="139" t="str">
        <x:f>IF(AND(N$4&gt;=$C29,N$4&lt;=$D29,'Вводные'!$B$90="Да"),"■","")</x:f>
      </x:c>
      <x:c r="O29" s="139" t="str">
        <x:f>IF(AND(O$4&gt;=$C29,O$4&lt;=$D29,'Вводные'!$B$90="Да"),"■","")</x:f>
      </x:c>
      <x:c r="P29" s="139" t="str">
        <x:f>IF(AND(P$4&gt;=$C29,P$4&lt;=$D29,'Вводные'!$B$90="Да"),"■","")</x:f>
      </x:c>
      <x:c r="Q29" s="139" t="str">
        <x:f>IF(AND(Q$4&gt;=$C29,Q$4&lt;=$D29,'Вводные'!$B$90="Да"),"■","")</x:f>
      </x:c>
      <x:c r="R29" s="139" t="str">
        <x:f>IF(AND(R$4&gt;=$C29,R$4&lt;=$D29,'Вводные'!$B$90="Да"),"■","")</x:f>
      </x:c>
      <x:c r="S29" s="139" t="str">
        <x:f>IF(AND(S$4&gt;=$C29,S$4&lt;=$D29,'Вводные'!$B$90="Да"),"■","")</x:f>
      </x:c>
      <x:c r="T29" s="139" t="str">
        <x:f>IF(AND(T$4&gt;=$C29,T$4&lt;=$D29,'Вводные'!$B$90="Да"),"■","")</x:f>
      </x:c>
      <x:c r="U29" s="139" t="str">
        <x:f>IF(AND(U$4&gt;=$C29,U$4&lt;=$D29,'Вводные'!$B$90="Да"),"■","")</x:f>
      </x:c>
      <x:c r="V29" s="139" t="str">
        <x:f>IF(AND(V$4&gt;=$C29,V$4&lt;=$D29,'Вводные'!$B$90="Да"),"■","")</x:f>
      </x:c>
      <x:c r="W29" s="139" t="str">
        <x:f>IF(AND(W$4&gt;=$C29,W$4&lt;=$D29,'Вводные'!$B$90="Да"),"■","")</x:f>
      </x:c>
      <x:c r="X29" s="139" t="str">
        <x:f>IF(AND(X$4&gt;=$C29,X$4&lt;=$D29,'Вводные'!$B$90="Да"),"■","")</x:f>
      </x:c>
      <x:c r="Y29" s="139" t="str">
        <x:f>IF(AND(Y$4&gt;=$C29,Y$4&lt;=$D29,'Вводные'!$B$90="Да"),"■","")</x:f>
      </x:c>
      <x:c r="Z29" s="139" t="str">
        <x:f>IF(AND(Z$4&gt;=$C29,Z$4&lt;=$D29,'Вводные'!$B$90="Да"),"■","")</x:f>
      </x:c>
      <x:c r="AA29" s="139" t="str">
        <x:f>IF(AND(AA$4&gt;=$C29,AA$4&lt;=$D29,'Вводные'!$B$90="Да"),"■","")</x:f>
      </x:c>
      <x:c r="AB29" s="139" t="str">
        <x:f>IF(AND(AB$4&gt;=$C29,AB$4&lt;=$D29,'Вводные'!$B$90="Да"),"■","")</x:f>
      </x:c>
      <x:c r="AC29" s="139" t="str">
        <x:f>IF(AND(AC$4&gt;=$C29,AC$4&lt;=$D29,'Вводные'!$B$90="Да"),"■","")</x:f>
      </x:c>
      <x:c r="AD29" s="139" t="str">
        <x:f>IF(AND(AD$4&gt;=$C29,AD$4&lt;=$D29,'Вводные'!$B$90="Да"),"■","")</x:f>
      </x:c>
      <x:c r="AE29" s="139" t="str">
        <x:f>IF(AND(AE$4&gt;=$C29,AE$4&lt;=$D29,'Вводные'!$B$90="Да"),"■","")</x:f>
      </x:c>
      <x:c r="AF29" s="139" t="str">
        <x:f>IF(AND(AF$4&gt;=$C29,AF$4&lt;=$D29,'Вводные'!$B$90="Да"),"■","")</x:f>
      </x:c>
      <x:c r="AG29" s="139" t="str">
        <x:f>IF(AND(AG$4&gt;=$C29,AG$4&lt;=$D29,'Вводные'!$B$90="Да"),"■","")</x:f>
      </x:c>
      <x:c r="AH29" s="139" t="str">
        <x:f>IF(AND(AH$4&gt;=$C29,AH$4&lt;=$D29,'Вводные'!$B$90="Да"),"■","")</x:f>
      </x:c>
      <x:c r="AI29" s="139" t="str">
        <x:f>IF(AND(AI$4&gt;=$C29,AI$4&lt;=$D29,'Вводные'!$B$90="Да"),"■","")</x:f>
      </x:c>
      <x:c r="AJ29" s="139" t="str">
        <x:f>IF(AND(AJ$4&gt;=$C29,AJ$4&lt;=$D29,'Вводные'!$B$90="Да"),"■","")</x:f>
      </x:c>
      <x:c r="AK29" s="139" t="str">
        <x:f>IF(AND(AK$4&gt;=$C29,AK$4&lt;=$D29,'Вводные'!$B$90="Да"),"■","")</x:f>
      </x:c>
      <x:c r="AL29" s="139" t="str">
        <x:f>IF(AND(AL$4&gt;=$C29,AL$4&lt;=$D29,'Вводные'!$B$90="Да"),"■","")</x:f>
      </x:c>
      <x:c r="AM29" s="139" t="str">
        <x:f>IF(AND(AM$4&gt;=$C29,AM$4&lt;=$D29,'Вводные'!$B$90="Да"),"■","")</x:f>
      </x:c>
      <x:c r="AN29" s="139" t="str">
        <x:f>IF(AND(AN$4&gt;=$C29,AN$4&lt;=$D29,'Вводные'!$B$90="Да"),"■","")</x:f>
      </x:c>
      <x:c r="AO29" s="139" t="str">
        <x:f>IF(AND(AO$4&gt;=$C29,AO$4&lt;=$D29,'Вводные'!$B$90="Да"),"■","")</x:f>
      </x:c>
      <x:c r="AP29" s="139" t="str">
        <x:f>IF(AND(AP$4&gt;=$C29,AP$4&lt;=$D29,'Вводные'!$B$90="Да"),"■","")</x:f>
      </x:c>
      <x:c r="AQ29" s="139" t="str">
        <x:f>IF(AND(AQ$4&gt;=$C29,AQ$4&lt;=$D29,'Вводные'!$B$90="Да"),"■","")</x:f>
      </x:c>
      <x:c r="AR29" s="139" t="str">
        <x:f>IF(AND(AR$4&gt;=$C29,AR$4&lt;=$D29,'Вводные'!$B$90="Да"),"■","")</x:f>
      </x:c>
      <x:c r="AS29" s="139" t="str">
        <x:f>IF(AND(AS$4&gt;=$C29,AS$4&lt;=$D29,'Вводные'!$B$90="Да"),"■","")</x:f>
      </x:c>
      <x:c r="AT29" s="139" t="str">
        <x:f>IF(AND(AT$4&gt;=$C29,AT$4&lt;=$D29,'Вводные'!$B$90="Да"),"■","")</x:f>
      </x:c>
      <x:c r="AU29" s="139" t="str">
        <x:f>IF(AND(AU$4&gt;=$C29,AU$4&lt;=$D29,'Вводные'!$B$90="Да"),"■","")</x:f>
      </x:c>
      <x:c r="AV29" s="139" t="str">
        <x:f>IF(AND(AV$4&gt;=$C29,AV$4&lt;=$D29,'Вводные'!$B$90="Да"),"■","")</x:f>
      </x:c>
      <x:c r="AW29" s="139" t="str">
        <x:f>IF(AND(AW$4&gt;=$C29,AW$4&lt;=$D29,'Вводные'!$B$90="Да"),"■","")</x:f>
      </x:c>
      <x:c r="AX29" s="139" t="str">
        <x:f>IF(AND(AX$4&gt;=$C29,AX$4&lt;=$D29,'Вводные'!$B$90="Да"),"■","")</x:f>
      </x:c>
      <x:c r="AY29" s="139" t="str">
        <x:f>IF(AND(AY$4&gt;=$C29,AY$4&lt;=$D29,'Вводные'!$B$90="Да"),"■","")</x:f>
      </x:c>
      <x:c r="AZ29" s="139" t="str">
        <x:f>IF(AND(AZ$4&gt;=$C29,AZ$4&lt;=$D29,'Вводные'!$B$90="Да"),"■","")</x:f>
      </x:c>
      <x:c r="BA29" s="139" t="str">
        <x:f>IF(AND(BA$4&gt;=$C29,BA$4&lt;=$D29,'Вводные'!$B$90="Да"),"■","")</x:f>
      </x:c>
      <x:c r="BB29" s="139" t="str">
        <x:f>IF(AND(BB$4&gt;=$C29,BB$4&lt;=$D29,'Вводные'!$B$90="Да"),"■","")</x:f>
      </x:c>
      <x:c r="BC29" s="139" t="str">
        <x:f>IF(AND(BC$4&gt;=$C29,BC$4&lt;=$D29,'Вводные'!$B$90="Да"),"■","")</x:f>
      </x:c>
      <x:c r="BD29" s="139" t="str">
        <x:f>IF(AND(BD$4&gt;=$C29,BD$4&lt;=$D29,'Вводные'!$B$90="Да"),"■","")</x:f>
      </x:c>
      <x:c r="BE29" s="139" t="str">
        <x:f>IF(AND(BE$4&gt;=$C29,BE$4&lt;=$D29,'Вводные'!$B$90="Да"),"■","")</x:f>
      </x:c>
      <x:c r="BF29" s="139" t="str">
        <x:f>IF(AND(BF$4&gt;=$C29,BF$4&lt;=$D29,'Вводные'!$B$90="Да"),"■","")</x:f>
      </x:c>
      <x:c r="BG29" s="139" t="str">
        <x:f>IF(AND(BG$4&gt;=$C29,BG$4&lt;=$D29,'Вводные'!$B$90="Да"),"■","")</x:f>
      </x:c>
      <x:c r="BH29" s="139" t="str">
        <x:f>IF(AND(BH$4&gt;=$C29,BH$4&lt;=$D29,'Вводные'!$B$90="Да"),"■","")</x:f>
      </x:c>
      <x:c r="BI29" s="139" t="str">
        <x:f>IF(AND(BI$4&gt;=$C29,BI$4&lt;=$D29,'Вводные'!$B$90="Да"),"■","")</x:f>
      </x:c>
      <x:c r="BJ29" s="139" t="str">
        <x:f>IF(AND(BJ$4&gt;=$C29,BJ$4&lt;=$D29,'Вводные'!$B$90="Да"),"■","")</x:f>
      </x:c>
      <x:c r="BK29" s="139" t="str">
        <x:f>IF(AND(BK$4&gt;=$C29,BK$4&lt;=$D29,'Вводные'!$B$90="Да"),"■","")</x:f>
      </x:c>
      <x:c r="BL29" s="139" t="str">
        <x:f>IF(AND(BL$4&gt;=$C29,BL$4&lt;=$D29,'Вводные'!$B$90="Да"),"■","")</x:f>
      </x:c>
      <x:c r="BM29" s="139" t="str">
        <x:f>IF(AND(BM$4&gt;=$C29,BM$4&lt;=$D29,'Вводные'!$B$90="Да"),"■","")</x:f>
      </x:c>
      <x:c r="BN29" s="139" t="str">
        <x:f>IF(AND(BN$4&gt;=$C29,BN$4&lt;=$D29,'Вводные'!$B$90="Да"),"■","")</x:f>
      </x:c>
      <x:c r="BO29" s="139" t="str">
        <x:f>IF(AND(BO$4&gt;=$C29,BO$4&lt;=$D29,'Вводные'!$B$90="Да"),"■","")</x:f>
      </x:c>
      <x:c r="BP29" s="139" t="str">
        <x:f>IF(AND(BP$4&gt;=$C29,BP$4&lt;=$D29,'Вводные'!$B$90="Да"),"■","")</x:f>
      </x:c>
      <x:c r="BQ29" s="139" t="str">
        <x:f>IF(AND(BQ$4&gt;=$C29,BQ$4&lt;=$D29,'Вводные'!$B$90="Да"),"■","")</x:f>
      </x:c>
      <x:c r="BR29" s="139" t="str">
        <x:f>IF(AND(BR$4&gt;=$C29,BR$4&lt;=$D29,'Вводные'!$B$90="Да"),"■","")</x:f>
      </x:c>
      <x:c r="BS29" s="139" t="str">
        <x:f>IF(AND(BS$4&gt;=$C29,BS$4&lt;=$D29,'Вводные'!$B$90="Да"),"■","")</x:f>
      </x:c>
      <x:c r="BT29" s="139" t="str">
        <x:f>IF(AND(BT$4&gt;=$C29,BT$4&lt;=$D29,'Вводные'!$B$90="Да"),"■","")</x:f>
      </x:c>
      <x:c r="BU29" s="139" t="str">
        <x:f>IF(AND(BU$4&gt;=$C29,BU$4&lt;=$D29,'Вводные'!$B$90="Да"),"■","")</x:f>
      </x:c>
      <x:c r="BV29" s="139" t="str">
        <x:f>IF(AND(BV$4&gt;=$C29,BV$4&lt;=$D29,'Вводные'!$B$90="Да"),"■","")</x:f>
      </x:c>
      <x:c r="BW29" s="139" t="str">
        <x:f>IF(AND(BW$4&gt;=$C29,BW$4&lt;=$D29,'Вводные'!$B$90="Да"),"■","")</x:f>
      </x:c>
      <x:c r="BX29" s="139" t="str">
        <x:f>IF(AND(BX$4&gt;=$C29,BX$4&lt;=$D29,'Вводные'!$B$90="Да"),"■","")</x:f>
      </x:c>
      <x:c r="BY29" s="139" t="str">
        <x:f>IF(AND(BY$4&gt;=$C29,BY$4&lt;=$D29,'Вводные'!$B$90="Да"),"■","")</x:f>
      </x:c>
      <x:c r="BZ29" s="139" t="str">
        <x:f>IF(AND(BZ$4&gt;=$C29,BZ$4&lt;=$D29,'Вводные'!$B$90="Да"),"■","")</x:f>
      </x:c>
      <x:c r="CA29" s="139" t="str">
        <x:f>IF(AND(CA$4&gt;=$C29,CA$4&lt;=$D29,'Вводные'!$B$90="Да"),"■","")</x:f>
      </x:c>
      <x:c r="CB29" s="139" t="str">
        <x:f>IF(AND(CB$4&gt;=$C29,CB$4&lt;=$D29,'Вводные'!$B$90="Да"),"■","")</x:f>
      </x:c>
      <x:c r="CC29" s="139" t="str">
        <x:f>IF(AND(CC$4&gt;=$C29,CC$4&lt;=$D29,'Вводные'!$B$90="Да"),"■","")</x:f>
      </x:c>
      <x:c r="CD29" s="139" t="str">
        <x:f>IF(AND(CD$4&gt;=$C29,CD$4&lt;=$D29,'Вводные'!$B$90="Да"),"■","")</x:f>
      </x:c>
      <x:c r="CE29" s="139" t="str">
        <x:f>IF(AND(CE$4&gt;=$C29,CE$4&lt;=$D29,'Вводные'!$B$90="Да"),"■","")</x:f>
      </x:c>
      <x:c r="CF29" s="139" t="str">
        <x:f>IF(AND(CF$4&gt;=$C29,CF$4&lt;=$D29,'Вводные'!$B$90="Да"),"■","")</x:f>
      </x:c>
      <x:c r="CG29" s="139" t="str">
        <x:f>IF(AND(CG$4&gt;=$C29,CG$4&lt;=$D29,'Вводные'!$B$90="Да"),"■","")</x:f>
      </x:c>
      <x:c r="CH29" s="139" t="str">
        <x:f>IF(AND(CH$4&gt;=$C29,CH$4&lt;=$D29,'Вводные'!$B$90="Да"),"■","")</x:f>
      </x:c>
      <x:c r="CI29" s="139" t="str">
        <x:f>IF(AND(CI$4&gt;=$C29,CI$4&lt;=$D29,'Вводные'!$B$90="Да"),"■","")</x:f>
      </x:c>
      <x:c r="CJ29" s="139" t="str">
        <x:f>IF(AND(CJ$4&gt;=$C29,CJ$4&lt;=$D29,'Вводные'!$B$90="Да"),"■","")</x:f>
      </x:c>
      <x:c r="CK29" s="139" t="str">
        <x:f>IF(AND(CK$4&gt;=$C29,CK$4&lt;=$D29,'Вводные'!$B$90="Да"),"■","")</x:f>
      </x:c>
      <x:c r="CL29" s="139" t="str">
        <x:f>IF(AND(CL$4&gt;=$C29,CL$4&lt;=$D29,'Вводные'!$B$90="Да"),"■","")</x:f>
      </x:c>
      <x:c r="CM29" s="139" t="str">
        <x:f>IF(AND(CM$4&gt;=$C29,CM$4&lt;=$D29,'Вводные'!$B$90="Да"),"■","")</x:f>
      </x:c>
      <x:c r="CN29" s="139" t="str">
        <x:f>IF(AND(CN$4&gt;=$C29,CN$4&lt;=$D29,'Вводные'!$B$90="Да"),"■","")</x:f>
      </x:c>
      <x:c r="CO29" s="139" t="str">
        <x:f>IF(AND(CO$4&gt;=$C29,CO$4&lt;=$D29,'Вводные'!$B$90="Да"),"■","")</x:f>
      </x:c>
      <x:c r="CP29" s="139" t="str">
        <x:f>IF(AND(CP$4&gt;=$C29,CP$4&lt;=$D29,'Вводные'!$B$90="Да"),"■","")</x:f>
      </x:c>
      <x:c r="CQ29" s="139" t="str">
        <x:f>IF(AND(CQ$4&gt;=$C29,CQ$4&lt;=$D29,'Вводные'!$B$90="Да"),"■","")</x:f>
      </x:c>
      <x:c r="CR29" s="139" t="str">
        <x:f>IF(AND(CR$4&gt;=$C29,CR$4&lt;=$D29,'Вводные'!$B$90="Да"),"■","")</x:f>
      </x:c>
      <x:c r="CS29" s="139" t="str">
        <x:f>IF(AND(CS$4&gt;=$C29,CS$4&lt;=$D29,'Вводные'!$B$90="Да"),"■","")</x:f>
      </x:c>
      <x:c r="CT29" s="139" t="str">
        <x:f>IF(AND(CT$4&gt;=$C29,CT$4&lt;=$D29,'Вводные'!$B$90="Да"),"■","")</x:f>
      </x:c>
      <x:c r="CU29" s="139" t="str">
        <x:f>IF(AND(CU$4&gt;=$C29,CU$4&lt;=$D29,'Вводные'!$B$90="Да"),"■","")</x:f>
      </x:c>
      <x:c r="CV29" s="139" t="str">
        <x:f>IF(AND(CV$4&gt;=$C29,CV$4&lt;=$D29,'Вводные'!$B$90="Да"),"■","")</x:f>
      </x:c>
      <x:c r="CW29" s="139" t="str">
        <x:f>IF(AND(CW$4&gt;=$C29,CW$4&lt;=$D29,'Вводные'!$B$90="Да"),"■","")</x:f>
      </x:c>
      <x:c r="CX29" s="139" t="str">
        <x:f>IF(AND(CX$4&gt;=$C29,CX$4&lt;=$D29,'Вводные'!$B$90="Да"),"■","")</x:f>
      </x:c>
      <x:c r="CY29" s="139" t="str">
        <x:f>IF(AND(CY$4&gt;=$C29,CY$4&lt;=$D29,'Вводные'!$B$90="Да"),"■","")</x:f>
      </x:c>
      <x:c r="CZ29" s="139" t="str">
        <x:f>IF(AND(CZ$4&gt;=$C29,CZ$4&lt;=$D29,'Вводные'!$B$90="Да"),"■","")</x:f>
      </x:c>
      <x:c r="DA29" s="139" t="str">
        <x:f>IF(AND(DA$4&gt;=$C29,DA$4&lt;=$D29,'Вводные'!$B$90="Да"),"■","")</x:f>
      </x:c>
      <x:c r="DB29" s="139" t="str">
        <x:f>IF(AND(DB$4&gt;=$C29,DB$4&lt;=$D29,'Вводные'!$B$90="Да"),"■","")</x:f>
      </x:c>
      <x:c r="DC29" s="139" t="str">
        <x:f>IF(AND(DC$4&gt;=$C29,DC$4&lt;=$D29,'Вводные'!$B$90="Да"),"■","")</x:f>
      </x:c>
      <x:c r="DD29" s="139" t="str">
        <x:f>IF(AND(DD$4&gt;=$C29,DD$4&lt;=$D29,'Вводные'!$B$90="Да"),"■","")</x:f>
      </x:c>
      <x:c r="DE29" s="139" t="str">
        <x:f>IF(AND(DE$4&gt;=$C29,DE$4&lt;=$D29,'Вводные'!$B$90="Да"),"■","")</x:f>
      </x:c>
      <x:c r="DF29" s="139" t="str">
        <x:f>IF(AND(DF$4&gt;=$C29,DF$4&lt;=$D29,'Вводные'!$B$90="Да"),"■","")</x:f>
      </x:c>
      <x:c r="DG29" s="139" t="str">
        <x:f>IF(AND(DG$4&gt;=$C29,DG$4&lt;=$D29,'Вводные'!$B$90="Да"),"■","")</x:f>
      </x:c>
      <x:c r="DH29" s="139" t="str">
        <x:f>IF(AND(DH$4&gt;=$C29,DH$4&lt;=$D29,'Вводные'!$B$90="Да"),"■","")</x:f>
      </x:c>
      <x:c r="DI29" s="139" t="str">
        <x:f>IF(AND(DI$4&gt;=$C29,DI$4&lt;=$D29,'Вводные'!$B$90="Да"),"■","")</x:f>
      </x:c>
      <x:c r="DJ29" s="139" t="str">
        <x:f>IF(AND(DJ$4&gt;=$C29,DJ$4&lt;=$D29,'Вводные'!$B$90="Да"),"■","")</x:f>
      </x:c>
      <x:c r="DK29" s="139" t="str">
        <x:f>IF(AND(DK$4&gt;=$C29,DK$4&lt;=$D29,'Вводные'!$B$90="Да"),"■","")</x:f>
      </x:c>
      <x:c r="DL29" s="139" t="str">
        <x:f>IF(AND(DL$4&gt;=$C29,DL$4&lt;=$D29,'Вводные'!$B$90="Да"),"■","")</x:f>
      </x:c>
      <x:c r="DM29" s="139" t="str">
        <x:f>IF(AND(DM$4&gt;=$C29,DM$4&lt;=$D29,'Вводные'!$B$90="Да"),"■","")</x:f>
      </x:c>
      <x:c r="DN29" s="139" t="str">
        <x:f>IF(AND(DN$4&gt;=$C29,DN$4&lt;=$D29,'Вводные'!$B$90="Да"),"■","")</x:f>
      </x:c>
      <x:c r="DO29" s="139" t="str">
        <x:f>IF(AND(DO$4&gt;=$C29,DO$4&lt;=$D29,'Вводные'!$B$90="Да"),"■","")</x:f>
      </x:c>
      <x:c r="DP29" s="139" t="str">
        <x:f>IF(AND(DP$4&gt;=$C29,DP$4&lt;=$D29,'Вводные'!$B$90="Да"),"■","")</x:f>
      </x:c>
      <x:c r="DQ29" s="139" t="str">
        <x:f>IF(AND(DQ$4&gt;=$C29,DQ$4&lt;=$D29,'Вводные'!$B$90="Да"),"■","")</x:f>
      </x:c>
      <x:c r="DR29" s="139" t="str">
        <x:f>IF(AND(DR$4&gt;=$C29,DR$4&lt;=$D29,'Вводные'!$B$90="Да"),"■","")</x:f>
      </x:c>
      <x:c r="DS29" s="139" t="str">
        <x:f>IF(AND(DS$4&gt;=$C29,DS$4&lt;=$D29,'Вводные'!$B$90="Да"),"■","")</x:f>
      </x:c>
      <x:c r="DT29" s="139" t="str">
        <x:f>IF(AND(DT$4&gt;=$C29,DT$4&lt;=$D29,'Вводные'!$B$90="Да"),"■","")</x:f>
      </x:c>
      <x:c r="DU29" s="139" t="str">
        <x:f>IF(AND(DU$4&gt;=$C29,DU$4&lt;=$D29,'Вводные'!$B$90="Да"),"■","")</x:f>
      </x:c>
      <x:c r="DV29" s="139" t="str">
        <x:f>IF(AND(DV$4&gt;=$C29,DV$4&lt;=$D29,'Вводные'!$B$90="Да"),"■","")</x:f>
      </x:c>
      <x:c r="DW29" s="139" t="str">
        <x:f>IF(AND(DW$4&gt;=$C29,DW$4&lt;=$D29,'Вводные'!$B$90="Да"),"■","")</x:f>
      </x:c>
      <x:c r="DX29" s="139" t="str">
        <x:f>IF(AND(DX$4&gt;=$C29,DX$4&lt;=$D29,'Вводные'!$B$90="Да"),"■","")</x:f>
      </x:c>
      <x:c r="DY29" s="139" t="str">
        <x:f>IF(AND(DY$4&gt;=$C29,DY$4&lt;=$D29,'Вводные'!$B$90="Да"),"■","")</x:f>
      </x:c>
      <x:c r="DZ29" s="139" t="str">
        <x:f>IF(AND(DZ$4&gt;=$C29,DZ$4&lt;=$D29,'Вводные'!$B$90="Да"),"■","")</x:f>
      </x:c>
      <x:c r="EA29" s="139" t="str">
        <x:f>IF(AND(EA$4&gt;=$C29,EA$4&lt;=$D29,'Вводные'!$B$90="Да"),"■","")</x:f>
      </x:c>
      <x:c r="EB29" s="139" t="str">
        <x:f>IF(AND(EB$4&gt;=$C29,EB$4&lt;=$D29,'Вводные'!$B$90="Да"),"■","")</x:f>
      </x:c>
      <x:c r="EC29" s="139" t="str">
        <x:f>IF(AND(EC$4&gt;=$C29,EC$4&lt;=$D29,'Вводные'!$B$90="Да"),"■","")</x:f>
      </x:c>
      <x:c r="ED29" s="139" t="str">
        <x:f>IF(AND(ED$4&gt;=$C29,ED$4&lt;=$D29,'Вводные'!$B$90="Да"),"■","")</x:f>
      </x:c>
      <x:c r="EE29" s="139" t="str">
        <x:f>IF(AND(EE$4&gt;=$C29,EE$4&lt;=$D29,'Вводные'!$B$90="Да"),"■","")</x:f>
      </x:c>
      <x:c r="EF29" s="139" t="str">
        <x:f>IF(AND(EF$4&gt;=$C29,EF$4&lt;=$D29,'Вводные'!$B$90="Да"),"■","")</x:f>
      </x:c>
      <x:c r="EG29" s="139" t="str">
        <x:f>IF(AND(EG$4&gt;=$C29,EG$4&lt;=$D29,'Вводные'!$B$90="Да"),"■","")</x:f>
      </x:c>
      <x:c r="EH29" s="139" t="str">
        <x:f>IF(AND(EH$4&gt;=$C29,EH$4&lt;=$D29,'Вводные'!$B$90="Да"),"■","")</x:f>
      </x:c>
      <x:c r="EI29" s="139" t="str">
        <x:f>IF(AND(EI$4&gt;=$C29,EI$4&lt;=$D29,'Вводные'!$B$90="Да"),"■","")</x:f>
      </x:c>
      <x:c r="EJ29" s="139" t="str">
        <x:f>IF(AND(EJ$4&gt;=$C29,EJ$4&lt;=$D29,'Вводные'!$B$90="Да"),"■","")</x:f>
      </x:c>
      <x:c r="EK29" s="139" t="str">
        <x:f>IF(AND(EK$4&gt;=$C29,EK$4&lt;=$D29,'Вводные'!$B$90="Да"),"■","")</x:f>
      </x:c>
      <x:c r="EL29" s="139" t="str">
        <x:f>IF(AND(EL$4&gt;=$C29,EL$4&lt;=$D29,'Вводные'!$B$90="Да"),"■","")</x:f>
      </x:c>
      <x:c r="EM29" s="139" t="str">
        <x:f>IF(AND(EM$4&gt;=$C29,EM$4&lt;=$D29,'Вводные'!$B$90="Да"),"■","")</x:f>
      </x:c>
      <x:c r="EN29" s="139" t="str">
        <x:f>IF(AND(EN$4&gt;=$C29,EN$4&lt;=$D29,'Вводные'!$B$90="Да"),"■","")</x:f>
      </x:c>
      <x:c r="EO29" s="139" t="str">
        <x:f>IF(AND(EO$4&gt;=$C29,EO$4&lt;=$D29,'Вводные'!$B$90="Да"),"■","")</x:f>
      </x:c>
      <x:c r="EP29" s="139" t="str">
        <x:f>IF(AND(EP$4&gt;=$C29,EP$4&lt;=$D29,'Вводные'!$B$90="Да"),"■","")</x:f>
      </x:c>
      <x:c r="EQ29" s="139" t="str">
        <x:f>IF(AND(EQ$4&gt;=$C29,EQ$4&lt;=$D29,'Вводные'!$B$90="Да"),"■","")</x:f>
      </x:c>
      <x:c r="ER29" s="139" t="str">
        <x:f>IF(AND(ER$4&gt;=$C29,ER$4&lt;=$D29,'Вводные'!$B$90="Да"),"■","")</x:f>
      </x:c>
      <x:c r="ES29" s="139" t="str">
        <x:f>IF(AND(ES$4&gt;=$C29,ES$4&lt;=$D29,'Вводные'!$B$90="Да"),"■","")</x:f>
      </x:c>
      <x:c r="ET29" s="139" t="str">
        <x:f>IF(AND(ET$4&gt;=$C29,ET$4&lt;=$D29,'Вводные'!$B$90="Да"),"■","")</x:f>
      </x:c>
      <x:c r="EU29" s="139" t="str">
        <x:f>IF(AND(EU$4&gt;=$C29,EU$4&lt;=$D29,'Вводные'!$B$90="Да"),"■","")</x:f>
      </x:c>
      <x:c r="EV29" s="139" t="str">
        <x:f>IF(AND(EV$4&gt;=$C29,EV$4&lt;=$D29,'Вводные'!$B$90="Да"),"■","")</x:f>
      </x:c>
      <x:c r="EW29" s="139" t="str">
        <x:f>IF(AND(EW$4&gt;=$C29,EW$4&lt;=$D29,'Вводные'!$B$90="Да"),"■","")</x:f>
      </x:c>
      <x:c r="EX29" s="139" t="str">
        <x:f>IF(AND(EX$4&gt;=$C29,EX$4&lt;=$D29,'Вводные'!$B$90="Да"),"■","")</x:f>
      </x:c>
      <x:c r="EY29" s="139" t="str">
        <x:f>IF(AND(EY$4&gt;=$C29,EY$4&lt;=$D29,'Вводные'!$B$90="Да"),"■","")</x:f>
      </x:c>
      <x:c r="EZ29" s="139" t="str">
        <x:f>IF(AND(EZ$4&gt;=$C29,EZ$4&lt;=$D29,'Вводные'!$B$90="Да"),"■","")</x:f>
      </x:c>
      <x:c r="FA29" s="139" t="str">
        <x:f>IF(AND(FA$4&gt;=$C29,FA$4&lt;=$D29,'Вводные'!$B$90="Да"),"■","")</x:f>
      </x:c>
      <x:c r="FB29" s="139" t="str">
        <x:f>IF(AND(FB$4&gt;=$C29,FB$4&lt;=$D29,'Вводные'!$B$90="Да"),"■","")</x:f>
      </x:c>
      <x:c r="FC29" s="139" t="str">
        <x:f>IF(AND(FC$4&gt;=$C29,FC$4&lt;=$D29,'Вводные'!$B$90="Да"),"■","")</x:f>
      </x:c>
      <x:c r="FD29" s="139" t="str">
        <x:f>IF(AND(FD$4&gt;=$C29,FD$4&lt;=$D29,'Вводные'!$B$90="Да"),"■","")</x:f>
      </x:c>
      <x:c r="FE29" s="139" t="str">
        <x:f>IF(AND(FE$4&gt;=$C29,FE$4&lt;=$D29,'Вводные'!$B$90="Да"),"■","")</x:f>
      </x:c>
      <x:c r="FF29" s="139" t="str">
        <x:f>IF(AND(FF$4&gt;=$C29,FF$4&lt;=$D29,'Вводные'!$B$90="Да"),"■","")</x:f>
      </x:c>
      <x:c r="FG29" s="139" t="str">
        <x:f>IF(AND(FG$4&gt;=$C29,FG$4&lt;=$D29,'Вводные'!$B$90="Да"),"■","")</x:f>
      </x:c>
      <x:c r="FH29" s="139" t="str">
        <x:f>IF(AND(FH$4&gt;=$C29,FH$4&lt;=$D29,'Вводные'!$B$90="Да"),"■","")</x:f>
      </x:c>
      <x:c r="FI29" s="139" t="str">
        <x:f>IF(AND(FI$4&gt;=$C29,FI$4&lt;=$D29,'Вводные'!$B$90="Да"),"■","")</x:f>
      </x:c>
      <x:c r="FJ29" s="139" t="str">
        <x:f>IF(AND(FJ$4&gt;=$C29,FJ$4&lt;=$D29,'Вводные'!$B$90="Да"),"■","")</x:f>
      </x:c>
      <x:c r="FK29" s="139" t="str">
        <x:f>IF(AND(FK$4&gt;=$C29,FK$4&lt;=$D29,'Вводные'!$B$90="Да"),"■","")</x:f>
      </x:c>
      <x:c r="FL29" s="139" t="str">
        <x:f>IF(AND(FL$4&gt;=$C29,FL$4&lt;=$D29,'Вводные'!$B$90="Да"),"■","")</x:f>
      </x:c>
      <x:c r="FM29" s="139" t="str">
        <x:f>IF(AND(FM$4&gt;=$C29,FM$4&lt;=$D29,'Вводные'!$B$90="Да"),"■","")</x:f>
      </x:c>
      <x:c r="FN29" s="139" t="str">
        <x:f>IF(AND(FN$4&gt;=$C29,FN$4&lt;=$D29,'Вводные'!$B$90="Да"),"■","")</x:f>
      </x:c>
      <x:c r="FO29" s="139" t="str">
        <x:f>IF(AND(FO$4&gt;=$C29,FO$4&lt;=$D29,'Вводные'!$B$90="Да"),"■","")</x:f>
      </x:c>
      <x:c r="FP29" s="139" t="str">
        <x:f>IF(AND(FP$4&gt;=$C29,FP$4&lt;=$D29,'Вводные'!$B$90="Да"),"■","")</x:f>
      </x:c>
      <x:c r="FQ29" s="139" t="str">
        <x:f>IF(AND(FQ$4&gt;=$C29,FQ$4&lt;=$D29,'Вводные'!$B$90="Да"),"■","")</x:f>
      </x:c>
      <x:c r="FR29" s="139" t="str">
        <x:f>IF(AND(FR$4&gt;=$C29,FR$4&lt;=$D29,'Вводные'!$B$90="Да"),"■","")</x:f>
      </x:c>
      <x:c r="FS29" s="139" t="str">
        <x:f>IF(AND(FS$4&gt;=$C29,FS$4&lt;=$D29,'Вводные'!$B$90="Да"),"■","")</x:f>
      </x:c>
      <x:c r="FT29" s="139" t="str">
        <x:f>IF(AND(FT$4&gt;=$C29,FT$4&lt;=$D29,'Вводные'!$B$90="Да"),"■","")</x:f>
      </x:c>
      <x:c r="FU29" s="139" t="str">
        <x:f>IF(AND(FU$4&gt;=$C29,FU$4&lt;=$D29,'Вводные'!$B$90="Да"),"■","")</x:f>
      </x:c>
      <x:c r="FV29" s="139" t="str">
        <x:f>IF(AND(FV$4&gt;=$C29,FV$4&lt;=$D29,'Вводные'!$B$90="Да"),"■","")</x:f>
      </x:c>
      <x:c r="FW29" s="139" t="str">
        <x:f>IF(AND(FW$4&gt;=$C29,FW$4&lt;=$D29,'Вводные'!$B$90="Да"),"■","")</x:f>
      </x:c>
      <x:c r="FX29" s="139" t="str">
        <x:f>IF(AND(FX$4&gt;=$C29,FX$4&lt;=$D29,'Вводные'!$B$90="Да"),"■","")</x:f>
      </x:c>
      <x:c r="FY29" s="139" t="str">
        <x:f>IF(AND(FY$4&gt;=$C29,FY$4&lt;=$D29,'Вводные'!$B$90="Да"),"■","")</x:f>
      </x:c>
      <x:c r="FZ29" s="139" t="str">
        <x:f>IF(AND(FZ$4&gt;=$C29,FZ$4&lt;=$D29,'Вводные'!$B$90="Да"),"■","")</x:f>
      </x:c>
      <x:c r="GA29" s="139" t="str">
        <x:f>IF(AND(GA$4&gt;=$C29,GA$4&lt;=$D29,'Вводные'!$B$90="Да"),"■","")</x:f>
      </x:c>
      <x:c r="GB29" s="139" t="str">
        <x:f>IF(AND(GB$4&gt;=$C29,GB$4&lt;=$D29,'Вводные'!$B$90="Да"),"■","")</x:f>
      </x:c>
    </x:row>
    <x:row r="30">
      <x:c r="A30" t="str">
        <x:f>'Вводные'!$C$90</x:f>
      </x:c>
      <x:c r="B30" t="str">
        <x:v>Строительство</x:v>
      </x:c>
      <x:c r="C30" s="92" t="n">
        <x:f>'CF_3'!B7</x:f>
      </x:c>
      <x:c r="D30" s="92" t="n">
        <x:f>EDATE(C30,'Вводные'!$F$90-1)</x:f>
      </x:c>
      <x:c r="E30" s="141" t="str">
        <x:f>IF(AND(E$4&gt;=$C30,E$4&lt;=$D30,'Вводные'!$B$90="Да"),"■","")</x:f>
      </x:c>
      <x:c r="F30" s="141" t="str">
        <x:f>IF(AND(F$4&gt;=$C30,F$4&lt;=$D30,'Вводные'!$B$90="Да"),"■","")</x:f>
      </x:c>
      <x:c r="G30" s="141" t="str">
        <x:f>IF(AND(G$4&gt;=$C30,G$4&lt;=$D30,'Вводные'!$B$90="Да"),"■","")</x:f>
      </x:c>
      <x:c r="H30" s="141" t="str">
        <x:f>IF(AND(H$4&gt;=$C30,H$4&lt;=$D30,'Вводные'!$B$90="Да"),"■","")</x:f>
      </x:c>
      <x:c r="I30" s="141" t="str">
        <x:f>IF(AND(I$4&gt;=$C30,I$4&lt;=$D30,'Вводные'!$B$90="Да"),"■","")</x:f>
      </x:c>
      <x:c r="J30" s="141" t="str">
        <x:f>IF(AND(J$4&gt;=$C30,J$4&lt;=$D30,'Вводные'!$B$90="Да"),"■","")</x:f>
      </x:c>
      <x:c r="K30" s="141" t="str">
        <x:f>IF(AND(K$4&gt;=$C30,K$4&lt;=$D30,'Вводные'!$B$90="Да"),"■","")</x:f>
      </x:c>
      <x:c r="L30" s="141" t="str">
        <x:f>IF(AND(L$4&gt;=$C30,L$4&lt;=$D30,'Вводные'!$B$90="Да"),"■","")</x:f>
      </x:c>
      <x:c r="M30" s="141" t="str">
        <x:f>IF(AND(M$4&gt;=$C30,M$4&lt;=$D30,'Вводные'!$B$90="Да"),"■","")</x:f>
      </x:c>
      <x:c r="N30" s="141" t="str">
        <x:f>IF(AND(N$4&gt;=$C30,N$4&lt;=$D30,'Вводные'!$B$90="Да"),"■","")</x:f>
      </x:c>
      <x:c r="O30" s="141" t="str">
        <x:f>IF(AND(O$4&gt;=$C30,O$4&lt;=$D30,'Вводные'!$B$90="Да"),"■","")</x:f>
      </x:c>
      <x:c r="P30" s="141" t="str">
        <x:f>IF(AND(P$4&gt;=$C30,P$4&lt;=$D30,'Вводные'!$B$90="Да"),"■","")</x:f>
      </x:c>
      <x:c r="Q30" s="141" t="str">
        <x:f>IF(AND(Q$4&gt;=$C30,Q$4&lt;=$D30,'Вводные'!$B$90="Да"),"■","")</x:f>
      </x:c>
      <x:c r="R30" s="141" t="str">
        <x:f>IF(AND(R$4&gt;=$C30,R$4&lt;=$D30,'Вводные'!$B$90="Да"),"■","")</x:f>
      </x:c>
      <x:c r="S30" s="141" t="str">
        <x:f>IF(AND(S$4&gt;=$C30,S$4&lt;=$D30,'Вводные'!$B$90="Да"),"■","")</x:f>
      </x:c>
      <x:c r="T30" s="141" t="str">
        <x:f>IF(AND(T$4&gt;=$C30,T$4&lt;=$D30,'Вводные'!$B$90="Да"),"■","")</x:f>
      </x:c>
      <x:c r="U30" s="141" t="str">
        <x:f>IF(AND(U$4&gt;=$C30,U$4&lt;=$D30,'Вводные'!$B$90="Да"),"■","")</x:f>
      </x:c>
      <x:c r="V30" s="141" t="str">
        <x:f>IF(AND(V$4&gt;=$C30,V$4&lt;=$D30,'Вводные'!$B$90="Да"),"■","")</x:f>
      </x:c>
      <x:c r="W30" s="141" t="str">
        <x:f>IF(AND(W$4&gt;=$C30,W$4&lt;=$D30,'Вводные'!$B$90="Да"),"■","")</x:f>
      </x:c>
      <x:c r="X30" s="141" t="str">
        <x:f>IF(AND(X$4&gt;=$C30,X$4&lt;=$D30,'Вводные'!$B$90="Да"),"■","")</x:f>
      </x:c>
      <x:c r="Y30" s="141" t="str">
        <x:f>IF(AND(Y$4&gt;=$C30,Y$4&lt;=$D30,'Вводные'!$B$90="Да"),"■","")</x:f>
      </x:c>
      <x:c r="Z30" s="141" t="str">
        <x:f>IF(AND(Z$4&gt;=$C30,Z$4&lt;=$D30,'Вводные'!$B$90="Да"),"■","")</x:f>
      </x:c>
      <x:c r="AA30" s="141" t="str">
        <x:f>IF(AND(AA$4&gt;=$C30,AA$4&lt;=$D30,'Вводные'!$B$90="Да"),"■","")</x:f>
      </x:c>
      <x:c r="AB30" s="141" t="str">
        <x:f>IF(AND(AB$4&gt;=$C30,AB$4&lt;=$D30,'Вводные'!$B$90="Да"),"■","")</x:f>
      </x:c>
      <x:c r="AC30" s="141" t="str">
        <x:f>IF(AND(AC$4&gt;=$C30,AC$4&lt;=$D30,'Вводные'!$B$90="Да"),"■","")</x:f>
      </x:c>
      <x:c r="AD30" s="141" t="str">
        <x:f>IF(AND(AD$4&gt;=$C30,AD$4&lt;=$D30,'Вводные'!$B$90="Да"),"■","")</x:f>
      </x:c>
      <x:c r="AE30" s="141" t="str">
        <x:f>IF(AND(AE$4&gt;=$C30,AE$4&lt;=$D30,'Вводные'!$B$90="Да"),"■","")</x:f>
      </x:c>
      <x:c r="AF30" s="141" t="str">
        <x:f>IF(AND(AF$4&gt;=$C30,AF$4&lt;=$D30,'Вводные'!$B$90="Да"),"■","")</x:f>
      </x:c>
      <x:c r="AG30" s="141" t="str">
        <x:f>IF(AND(AG$4&gt;=$C30,AG$4&lt;=$D30,'Вводные'!$B$90="Да"),"■","")</x:f>
      </x:c>
      <x:c r="AH30" s="141" t="str">
        <x:f>IF(AND(AH$4&gt;=$C30,AH$4&lt;=$D30,'Вводные'!$B$90="Да"),"■","")</x:f>
      </x:c>
      <x:c r="AI30" s="141" t="str">
        <x:f>IF(AND(AI$4&gt;=$C30,AI$4&lt;=$D30,'Вводные'!$B$90="Да"),"■","")</x:f>
      </x:c>
      <x:c r="AJ30" s="141" t="str">
        <x:f>IF(AND(AJ$4&gt;=$C30,AJ$4&lt;=$D30,'Вводные'!$B$90="Да"),"■","")</x:f>
      </x:c>
      <x:c r="AK30" s="141" t="str">
        <x:f>IF(AND(AK$4&gt;=$C30,AK$4&lt;=$D30,'Вводные'!$B$90="Да"),"■","")</x:f>
      </x:c>
      <x:c r="AL30" s="141" t="str">
        <x:f>IF(AND(AL$4&gt;=$C30,AL$4&lt;=$D30,'Вводные'!$B$90="Да"),"■","")</x:f>
      </x:c>
      <x:c r="AM30" s="141" t="str">
        <x:f>IF(AND(AM$4&gt;=$C30,AM$4&lt;=$D30,'Вводные'!$B$90="Да"),"■","")</x:f>
      </x:c>
      <x:c r="AN30" s="141" t="str">
        <x:f>IF(AND(AN$4&gt;=$C30,AN$4&lt;=$D30,'Вводные'!$B$90="Да"),"■","")</x:f>
      </x:c>
      <x:c r="AO30" s="141" t="str">
        <x:f>IF(AND(AO$4&gt;=$C30,AO$4&lt;=$D30,'Вводные'!$B$90="Да"),"■","")</x:f>
      </x:c>
      <x:c r="AP30" s="141" t="str">
        <x:f>IF(AND(AP$4&gt;=$C30,AP$4&lt;=$D30,'Вводные'!$B$90="Да"),"■","")</x:f>
      </x:c>
      <x:c r="AQ30" s="141" t="str">
        <x:f>IF(AND(AQ$4&gt;=$C30,AQ$4&lt;=$D30,'Вводные'!$B$90="Да"),"■","")</x:f>
      </x:c>
      <x:c r="AR30" s="141" t="str">
        <x:f>IF(AND(AR$4&gt;=$C30,AR$4&lt;=$D30,'Вводные'!$B$90="Да"),"■","")</x:f>
      </x:c>
      <x:c r="AS30" s="141" t="str">
        <x:f>IF(AND(AS$4&gt;=$C30,AS$4&lt;=$D30,'Вводные'!$B$90="Да"),"■","")</x:f>
      </x:c>
      <x:c r="AT30" s="141" t="str">
        <x:f>IF(AND(AT$4&gt;=$C30,AT$4&lt;=$D30,'Вводные'!$B$90="Да"),"■","")</x:f>
      </x:c>
      <x:c r="AU30" s="141" t="str">
        <x:f>IF(AND(AU$4&gt;=$C30,AU$4&lt;=$D30,'Вводные'!$B$90="Да"),"■","")</x:f>
      </x:c>
      <x:c r="AV30" s="141" t="str">
        <x:f>IF(AND(AV$4&gt;=$C30,AV$4&lt;=$D30,'Вводные'!$B$90="Да"),"■","")</x:f>
      </x:c>
      <x:c r="AW30" s="141" t="str">
        <x:f>IF(AND(AW$4&gt;=$C30,AW$4&lt;=$D30,'Вводные'!$B$90="Да"),"■","")</x:f>
      </x:c>
      <x:c r="AX30" s="141" t="str">
        <x:f>IF(AND(AX$4&gt;=$C30,AX$4&lt;=$D30,'Вводные'!$B$90="Да"),"■","")</x:f>
      </x:c>
      <x:c r="AY30" s="141" t="str">
        <x:f>IF(AND(AY$4&gt;=$C30,AY$4&lt;=$D30,'Вводные'!$B$90="Да"),"■","")</x:f>
      </x:c>
      <x:c r="AZ30" s="141" t="str">
        <x:f>IF(AND(AZ$4&gt;=$C30,AZ$4&lt;=$D30,'Вводные'!$B$90="Да"),"■","")</x:f>
      </x:c>
      <x:c r="BA30" s="141" t="str">
        <x:f>IF(AND(BA$4&gt;=$C30,BA$4&lt;=$D30,'Вводные'!$B$90="Да"),"■","")</x:f>
      </x:c>
      <x:c r="BB30" s="141" t="str">
        <x:f>IF(AND(BB$4&gt;=$C30,BB$4&lt;=$D30,'Вводные'!$B$90="Да"),"■","")</x:f>
      </x:c>
      <x:c r="BC30" s="141" t="str">
        <x:f>IF(AND(BC$4&gt;=$C30,BC$4&lt;=$D30,'Вводные'!$B$90="Да"),"■","")</x:f>
      </x:c>
      <x:c r="BD30" s="141" t="str">
        <x:f>IF(AND(BD$4&gt;=$C30,BD$4&lt;=$D30,'Вводные'!$B$90="Да"),"■","")</x:f>
      </x:c>
      <x:c r="BE30" s="141" t="str">
        <x:f>IF(AND(BE$4&gt;=$C30,BE$4&lt;=$D30,'Вводные'!$B$90="Да"),"■","")</x:f>
      </x:c>
      <x:c r="BF30" s="141" t="str">
        <x:f>IF(AND(BF$4&gt;=$C30,BF$4&lt;=$D30,'Вводные'!$B$90="Да"),"■","")</x:f>
      </x:c>
      <x:c r="BG30" s="141" t="str">
        <x:f>IF(AND(BG$4&gt;=$C30,BG$4&lt;=$D30,'Вводные'!$B$90="Да"),"■","")</x:f>
      </x:c>
      <x:c r="BH30" s="141" t="str">
        <x:f>IF(AND(BH$4&gt;=$C30,BH$4&lt;=$D30,'Вводные'!$B$90="Да"),"■","")</x:f>
      </x:c>
      <x:c r="BI30" s="141" t="str">
        <x:f>IF(AND(BI$4&gt;=$C30,BI$4&lt;=$D30,'Вводные'!$B$90="Да"),"■","")</x:f>
      </x:c>
      <x:c r="BJ30" s="141" t="str">
        <x:f>IF(AND(BJ$4&gt;=$C30,BJ$4&lt;=$D30,'Вводные'!$B$90="Да"),"■","")</x:f>
      </x:c>
      <x:c r="BK30" s="141" t="str">
        <x:f>IF(AND(BK$4&gt;=$C30,BK$4&lt;=$D30,'Вводные'!$B$90="Да"),"■","")</x:f>
      </x:c>
      <x:c r="BL30" s="141" t="str">
        <x:f>IF(AND(BL$4&gt;=$C30,BL$4&lt;=$D30,'Вводные'!$B$90="Да"),"■","")</x:f>
      </x:c>
      <x:c r="BM30" s="141" t="str">
        <x:f>IF(AND(BM$4&gt;=$C30,BM$4&lt;=$D30,'Вводные'!$B$90="Да"),"■","")</x:f>
      </x:c>
      <x:c r="BN30" s="141" t="str">
        <x:f>IF(AND(BN$4&gt;=$C30,BN$4&lt;=$D30,'Вводные'!$B$90="Да"),"■","")</x:f>
      </x:c>
      <x:c r="BO30" s="141" t="str">
        <x:f>IF(AND(BO$4&gt;=$C30,BO$4&lt;=$D30,'Вводные'!$B$90="Да"),"■","")</x:f>
      </x:c>
      <x:c r="BP30" s="141" t="str">
        <x:f>IF(AND(BP$4&gt;=$C30,BP$4&lt;=$D30,'Вводные'!$B$90="Да"),"■","")</x:f>
      </x:c>
      <x:c r="BQ30" s="141" t="str">
        <x:f>IF(AND(BQ$4&gt;=$C30,BQ$4&lt;=$D30,'Вводные'!$B$90="Да"),"■","")</x:f>
      </x:c>
      <x:c r="BR30" s="141" t="str">
        <x:f>IF(AND(BR$4&gt;=$C30,BR$4&lt;=$D30,'Вводные'!$B$90="Да"),"■","")</x:f>
      </x:c>
      <x:c r="BS30" s="141" t="str">
        <x:f>IF(AND(BS$4&gt;=$C30,BS$4&lt;=$D30,'Вводные'!$B$90="Да"),"■","")</x:f>
      </x:c>
      <x:c r="BT30" s="141" t="str">
        <x:f>IF(AND(BT$4&gt;=$C30,BT$4&lt;=$D30,'Вводные'!$B$90="Да"),"■","")</x:f>
      </x:c>
      <x:c r="BU30" s="141" t="str">
        <x:f>IF(AND(BU$4&gt;=$C30,BU$4&lt;=$D30,'Вводные'!$B$90="Да"),"■","")</x:f>
      </x:c>
      <x:c r="BV30" s="141" t="str">
        <x:f>IF(AND(BV$4&gt;=$C30,BV$4&lt;=$D30,'Вводные'!$B$90="Да"),"■","")</x:f>
      </x:c>
      <x:c r="BW30" s="141" t="str">
        <x:f>IF(AND(BW$4&gt;=$C30,BW$4&lt;=$D30,'Вводные'!$B$90="Да"),"■","")</x:f>
      </x:c>
      <x:c r="BX30" s="141" t="str">
        <x:f>IF(AND(BX$4&gt;=$C30,BX$4&lt;=$D30,'Вводные'!$B$90="Да"),"■","")</x:f>
      </x:c>
      <x:c r="BY30" s="141" t="str">
        <x:f>IF(AND(BY$4&gt;=$C30,BY$4&lt;=$D30,'Вводные'!$B$90="Да"),"■","")</x:f>
      </x:c>
      <x:c r="BZ30" s="141" t="str">
        <x:f>IF(AND(BZ$4&gt;=$C30,BZ$4&lt;=$D30,'Вводные'!$B$90="Да"),"■","")</x:f>
      </x:c>
      <x:c r="CA30" s="141" t="str">
        <x:f>IF(AND(CA$4&gt;=$C30,CA$4&lt;=$D30,'Вводные'!$B$90="Да"),"■","")</x:f>
      </x:c>
      <x:c r="CB30" s="141" t="str">
        <x:f>IF(AND(CB$4&gt;=$C30,CB$4&lt;=$D30,'Вводные'!$B$90="Да"),"■","")</x:f>
      </x:c>
      <x:c r="CC30" s="141" t="str">
        <x:f>IF(AND(CC$4&gt;=$C30,CC$4&lt;=$D30,'Вводные'!$B$90="Да"),"■","")</x:f>
      </x:c>
      <x:c r="CD30" s="141" t="str">
        <x:f>IF(AND(CD$4&gt;=$C30,CD$4&lt;=$D30,'Вводные'!$B$90="Да"),"■","")</x:f>
      </x:c>
      <x:c r="CE30" s="141" t="str">
        <x:f>IF(AND(CE$4&gt;=$C30,CE$4&lt;=$D30,'Вводные'!$B$90="Да"),"■","")</x:f>
      </x:c>
      <x:c r="CF30" s="141" t="str">
        <x:f>IF(AND(CF$4&gt;=$C30,CF$4&lt;=$D30,'Вводные'!$B$90="Да"),"■","")</x:f>
      </x:c>
      <x:c r="CG30" s="141" t="str">
        <x:f>IF(AND(CG$4&gt;=$C30,CG$4&lt;=$D30,'Вводные'!$B$90="Да"),"■","")</x:f>
      </x:c>
      <x:c r="CH30" s="141" t="str">
        <x:f>IF(AND(CH$4&gt;=$C30,CH$4&lt;=$D30,'Вводные'!$B$90="Да"),"■","")</x:f>
      </x:c>
      <x:c r="CI30" s="141" t="str">
        <x:f>IF(AND(CI$4&gt;=$C30,CI$4&lt;=$D30,'Вводные'!$B$90="Да"),"■","")</x:f>
      </x:c>
      <x:c r="CJ30" s="141" t="str">
        <x:f>IF(AND(CJ$4&gt;=$C30,CJ$4&lt;=$D30,'Вводные'!$B$90="Да"),"■","")</x:f>
      </x:c>
      <x:c r="CK30" s="141" t="str">
        <x:f>IF(AND(CK$4&gt;=$C30,CK$4&lt;=$D30,'Вводные'!$B$90="Да"),"■","")</x:f>
      </x:c>
      <x:c r="CL30" s="141" t="str">
        <x:f>IF(AND(CL$4&gt;=$C30,CL$4&lt;=$D30,'Вводные'!$B$90="Да"),"■","")</x:f>
      </x:c>
      <x:c r="CM30" s="141" t="str">
        <x:f>IF(AND(CM$4&gt;=$C30,CM$4&lt;=$D30,'Вводные'!$B$90="Да"),"■","")</x:f>
      </x:c>
      <x:c r="CN30" s="141" t="str">
        <x:f>IF(AND(CN$4&gt;=$C30,CN$4&lt;=$D30,'Вводные'!$B$90="Да"),"■","")</x:f>
      </x:c>
      <x:c r="CO30" s="141" t="str">
        <x:f>IF(AND(CO$4&gt;=$C30,CO$4&lt;=$D30,'Вводные'!$B$90="Да"),"■","")</x:f>
      </x:c>
      <x:c r="CP30" s="141" t="str">
        <x:f>IF(AND(CP$4&gt;=$C30,CP$4&lt;=$D30,'Вводные'!$B$90="Да"),"■","")</x:f>
      </x:c>
      <x:c r="CQ30" s="141" t="str">
        <x:f>IF(AND(CQ$4&gt;=$C30,CQ$4&lt;=$D30,'Вводные'!$B$90="Да"),"■","")</x:f>
      </x:c>
      <x:c r="CR30" s="141" t="str">
        <x:f>IF(AND(CR$4&gt;=$C30,CR$4&lt;=$D30,'Вводные'!$B$90="Да"),"■","")</x:f>
      </x:c>
      <x:c r="CS30" s="141" t="str">
        <x:f>IF(AND(CS$4&gt;=$C30,CS$4&lt;=$D30,'Вводные'!$B$90="Да"),"■","")</x:f>
      </x:c>
      <x:c r="CT30" s="141" t="str">
        <x:f>IF(AND(CT$4&gt;=$C30,CT$4&lt;=$D30,'Вводные'!$B$90="Да"),"■","")</x:f>
      </x:c>
      <x:c r="CU30" s="141" t="str">
        <x:f>IF(AND(CU$4&gt;=$C30,CU$4&lt;=$D30,'Вводные'!$B$90="Да"),"■","")</x:f>
      </x:c>
      <x:c r="CV30" s="141" t="str">
        <x:f>IF(AND(CV$4&gt;=$C30,CV$4&lt;=$D30,'Вводные'!$B$90="Да"),"■","")</x:f>
      </x:c>
      <x:c r="CW30" s="141" t="str">
        <x:f>IF(AND(CW$4&gt;=$C30,CW$4&lt;=$D30,'Вводные'!$B$90="Да"),"■","")</x:f>
      </x:c>
      <x:c r="CX30" s="141" t="str">
        <x:f>IF(AND(CX$4&gt;=$C30,CX$4&lt;=$D30,'Вводные'!$B$90="Да"),"■","")</x:f>
      </x:c>
      <x:c r="CY30" s="141" t="str">
        <x:f>IF(AND(CY$4&gt;=$C30,CY$4&lt;=$D30,'Вводные'!$B$90="Да"),"■","")</x:f>
      </x:c>
      <x:c r="CZ30" s="141" t="str">
        <x:f>IF(AND(CZ$4&gt;=$C30,CZ$4&lt;=$D30,'Вводные'!$B$90="Да"),"■","")</x:f>
      </x:c>
      <x:c r="DA30" s="141" t="str">
        <x:f>IF(AND(DA$4&gt;=$C30,DA$4&lt;=$D30,'Вводные'!$B$90="Да"),"■","")</x:f>
      </x:c>
      <x:c r="DB30" s="141" t="str">
        <x:f>IF(AND(DB$4&gt;=$C30,DB$4&lt;=$D30,'Вводные'!$B$90="Да"),"■","")</x:f>
      </x:c>
      <x:c r="DC30" s="141" t="str">
        <x:f>IF(AND(DC$4&gt;=$C30,DC$4&lt;=$D30,'Вводные'!$B$90="Да"),"■","")</x:f>
      </x:c>
      <x:c r="DD30" s="141" t="str">
        <x:f>IF(AND(DD$4&gt;=$C30,DD$4&lt;=$D30,'Вводные'!$B$90="Да"),"■","")</x:f>
      </x:c>
      <x:c r="DE30" s="141" t="str">
        <x:f>IF(AND(DE$4&gt;=$C30,DE$4&lt;=$D30,'Вводные'!$B$90="Да"),"■","")</x:f>
      </x:c>
      <x:c r="DF30" s="141" t="str">
        <x:f>IF(AND(DF$4&gt;=$C30,DF$4&lt;=$D30,'Вводные'!$B$90="Да"),"■","")</x:f>
      </x:c>
      <x:c r="DG30" s="141" t="str">
        <x:f>IF(AND(DG$4&gt;=$C30,DG$4&lt;=$D30,'Вводные'!$B$90="Да"),"■","")</x:f>
      </x:c>
      <x:c r="DH30" s="141" t="str">
        <x:f>IF(AND(DH$4&gt;=$C30,DH$4&lt;=$D30,'Вводные'!$B$90="Да"),"■","")</x:f>
      </x:c>
      <x:c r="DI30" s="141" t="str">
        <x:f>IF(AND(DI$4&gt;=$C30,DI$4&lt;=$D30,'Вводные'!$B$90="Да"),"■","")</x:f>
      </x:c>
      <x:c r="DJ30" s="141" t="str">
        <x:f>IF(AND(DJ$4&gt;=$C30,DJ$4&lt;=$D30,'Вводные'!$B$90="Да"),"■","")</x:f>
      </x:c>
      <x:c r="DK30" s="141" t="str">
        <x:f>IF(AND(DK$4&gt;=$C30,DK$4&lt;=$D30,'Вводные'!$B$90="Да"),"■","")</x:f>
      </x:c>
      <x:c r="DL30" s="141" t="str">
        <x:f>IF(AND(DL$4&gt;=$C30,DL$4&lt;=$D30,'Вводные'!$B$90="Да"),"■","")</x:f>
      </x:c>
      <x:c r="DM30" s="141" t="str">
        <x:f>IF(AND(DM$4&gt;=$C30,DM$4&lt;=$D30,'Вводные'!$B$90="Да"),"■","")</x:f>
      </x:c>
      <x:c r="DN30" s="141" t="str">
        <x:f>IF(AND(DN$4&gt;=$C30,DN$4&lt;=$D30,'Вводные'!$B$90="Да"),"■","")</x:f>
      </x:c>
      <x:c r="DO30" s="141" t="str">
        <x:f>IF(AND(DO$4&gt;=$C30,DO$4&lt;=$D30,'Вводные'!$B$90="Да"),"■","")</x:f>
      </x:c>
      <x:c r="DP30" s="141" t="str">
        <x:f>IF(AND(DP$4&gt;=$C30,DP$4&lt;=$D30,'Вводные'!$B$90="Да"),"■","")</x:f>
      </x:c>
      <x:c r="DQ30" s="141" t="str">
        <x:f>IF(AND(DQ$4&gt;=$C30,DQ$4&lt;=$D30,'Вводные'!$B$90="Да"),"■","")</x:f>
      </x:c>
      <x:c r="DR30" s="141" t="str">
        <x:f>IF(AND(DR$4&gt;=$C30,DR$4&lt;=$D30,'Вводные'!$B$90="Да"),"■","")</x:f>
      </x:c>
      <x:c r="DS30" s="141" t="str">
        <x:f>IF(AND(DS$4&gt;=$C30,DS$4&lt;=$D30,'Вводные'!$B$90="Да"),"■","")</x:f>
      </x:c>
      <x:c r="DT30" s="141" t="str">
        <x:f>IF(AND(DT$4&gt;=$C30,DT$4&lt;=$D30,'Вводные'!$B$90="Да"),"■","")</x:f>
      </x:c>
      <x:c r="DU30" s="141" t="str">
        <x:f>IF(AND(DU$4&gt;=$C30,DU$4&lt;=$D30,'Вводные'!$B$90="Да"),"■","")</x:f>
      </x:c>
      <x:c r="DV30" s="141" t="str">
        <x:f>IF(AND(DV$4&gt;=$C30,DV$4&lt;=$D30,'Вводные'!$B$90="Да"),"■","")</x:f>
      </x:c>
      <x:c r="DW30" s="141" t="str">
        <x:f>IF(AND(DW$4&gt;=$C30,DW$4&lt;=$D30,'Вводные'!$B$90="Да"),"■","")</x:f>
      </x:c>
      <x:c r="DX30" s="141" t="str">
        <x:f>IF(AND(DX$4&gt;=$C30,DX$4&lt;=$D30,'Вводные'!$B$90="Да"),"■","")</x:f>
      </x:c>
      <x:c r="DY30" s="141" t="str">
        <x:f>IF(AND(DY$4&gt;=$C30,DY$4&lt;=$D30,'Вводные'!$B$90="Да"),"■","")</x:f>
      </x:c>
      <x:c r="DZ30" s="141" t="str">
        <x:f>IF(AND(DZ$4&gt;=$C30,DZ$4&lt;=$D30,'Вводные'!$B$90="Да"),"■","")</x:f>
      </x:c>
      <x:c r="EA30" s="141" t="str">
        <x:f>IF(AND(EA$4&gt;=$C30,EA$4&lt;=$D30,'Вводные'!$B$90="Да"),"■","")</x:f>
      </x:c>
      <x:c r="EB30" s="141" t="str">
        <x:f>IF(AND(EB$4&gt;=$C30,EB$4&lt;=$D30,'Вводные'!$B$90="Да"),"■","")</x:f>
      </x:c>
      <x:c r="EC30" s="141" t="str">
        <x:f>IF(AND(EC$4&gt;=$C30,EC$4&lt;=$D30,'Вводные'!$B$90="Да"),"■","")</x:f>
      </x:c>
      <x:c r="ED30" s="141" t="str">
        <x:f>IF(AND(ED$4&gt;=$C30,ED$4&lt;=$D30,'Вводные'!$B$90="Да"),"■","")</x:f>
      </x:c>
      <x:c r="EE30" s="141" t="str">
        <x:f>IF(AND(EE$4&gt;=$C30,EE$4&lt;=$D30,'Вводные'!$B$90="Да"),"■","")</x:f>
      </x:c>
      <x:c r="EF30" s="141" t="str">
        <x:f>IF(AND(EF$4&gt;=$C30,EF$4&lt;=$D30,'Вводные'!$B$90="Да"),"■","")</x:f>
      </x:c>
      <x:c r="EG30" s="141" t="str">
        <x:f>IF(AND(EG$4&gt;=$C30,EG$4&lt;=$D30,'Вводные'!$B$90="Да"),"■","")</x:f>
      </x:c>
      <x:c r="EH30" s="141" t="str">
        <x:f>IF(AND(EH$4&gt;=$C30,EH$4&lt;=$D30,'Вводные'!$B$90="Да"),"■","")</x:f>
      </x:c>
      <x:c r="EI30" s="141" t="str">
        <x:f>IF(AND(EI$4&gt;=$C30,EI$4&lt;=$D30,'Вводные'!$B$90="Да"),"■","")</x:f>
      </x:c>
      <x:c r="EJ30" s="141" t="str">
        <x:f>IF(AND(EJ$4&gt;=$C30,EJ$4&lt;=$D30,'Вводные'!$B$90="Да"),"■","")</x:f>
      </x:c>
      <x:c r="EK30" s="141" t="str">
        <x:f>IF(AND(EK$4&gt;=$C30,EK$4&lt;=$D30,'Вводные'!$B$90="Да"),"■","")</x:f>
      </x:c>
      <x:c r="EL30" s="141" t="str">
        <x:f>IF(AND(EL$4&gt;=$C30,EL$4&lt;=$D30,'Вводные'!$B$90="Да"),"■","")</x:f>
      </x:c>
      <x:c r="EM30" s="141" t="str">
        <x:f>IF(AND(EM$4&gt;=$C30,EM$4&lt;=$D30,'Вводные'!$B$90="Да"),"■","")</x:f>
      </x:c>
      <x:c r="EN30" s="141" t="str">
        <x:f>IF(AND(EN$4&gt;=$C30,EN$4&lt;=$D30,'Вводные'!$B$90="Да"),"■","")</x:f>
      </x:c>
      <x:c r="EO30" s="141" t="str">
        <x:f>IF(AND(EO$4&gt;=$C30,EO$4&lt;=$D30,'Вводные'!$B$90="Да"),"■","")</x:f>
      </x:c>
      <x:c r="EP30" s="141" t="str">
        <x:f>IF(AND(EP$4&gt;=$C30,EP$4&lt;=$D30,'Вводные'!$B$90="Да"),"■","")</x:f>
      </x:c>
      <x:c r="EQ30" s="141" t="str">
        <x:f>IF(AND(EQ$4&gt;=$C30,EQ$4&lt;=$D30,'Вводные'!$B$90="Да"),"■","")</x:f>
      </x:c>
      <x:c r="ER30" s="141" t="str">
        <x:f>IF(AND(ER$4&gt;=$C30,ER$4&lt;=$D30,'Вводные'!$B$90="Да"),"■","")</x:f>
      </x:c>
      <x:c r="ES30" s="141" t="str">
        <x:f>IF(AND(ES$4&gt;=$C30,ES$4&lt;=$D30,'Вводные'!$B$90="Да"),"■","")</x:f>
      </x:c>
      <x:c r="ET30" s="141" t="str">
        <x:f>IF(AND(ET$4&gt;=$C30,ET$4&lt;=$D30,'Вводные'!$B$90="Да"),"■","")</x:f>
      </x:c>
      <x:c r="EU30" s="141" t="str">
        <x:f>IF(AND(EU$4&gt;=$C30,EU$4&lt;=$D30,'Вводные'!$B$90="Да"),"■","")</x:f>
      </x:c>
      <x:c r="EV30" s="141" t="str">
        <x:f>IF(AND(EV$4&gt;=$C30,EV$4&lt;=$D30,'Вводные'!$B$90="Да"),"■","")</x:f>
      </x:c>
      <x:c r="EW30" s="141" t="str">
        <x:f>IF(AND(EW$4&gt;=$C30,EW$4&lt;=$D30,'Вводные'!$B$90="Да"),"■","")</x:f>
      </x:c>
      <x:c r="EX30" s="141" t="str">
        <x:f>IF(AND(EX$4&gt;=$C30,EX$4&lt;=$D30,'Вводные'!$B$90="Да"),"■","")</x:f>
      </x:c>
      <x:c r="EY30" s="141" t="str">
        <x:f>IF(AND(EY$4&gt;=$C30,EY$4&lt;=$D30,'Вводные'!$B$90="Да"),"■","")</x:f>
      </x:c>
      <x:c r="EZ30" s="141" t="str">
        <x:f>IF(AND(EZ$4&gt;=$C30,EZ$4&lt;=$D30,'Вводные'!$B$90="Да"),"■","")</x:f>
      </x:c>
      <x:c r="FA30" s="141" t="str">
        <x:f>IF(AND(FA$4&gt;=$C30,FA$4&lt;=$D30,'Вводные'!$B$90="Да"),"■","")</x:f>
      </x:c>
      <x:c r="FB30" s="141" t="str">
        <x:f>IF(AND(FB$4&gt;=$C30,FB$4&lt;=$D30,'Вводные'!$B$90="Да"),"■","")</x:f>
      </x:c>
      <x:c r="FC30" s="141" t="str">
        <x:f>IF(AND(FC$4&gt;=$C30,FC$4&lt;=$D30,'Вводные'!$B$90="Да"),"■","")</x:f>
      </x:c>
      <x:c r="FD30" s="141" t="str">
        <x:f>IF(AND(FD$4&gt;=$C30,FD$4&lt;=$D30,'Вводные'!$B$90="Да"),"■","")</x:f>
      </x:c>
      <x:c r="FE30" s="141" t="str">
        <x:f>IF(AND(FE$4&gt;=$C30,FE$4&lt;=$D30,'Вводные'!$B$90="Да"),"■","")</x:f>
      </x:c>
      <x:c r="FF30" s="141" t="str">
        <x:f>IF(AND(FF$4&gt;=$C30,FF$4&lt;=$D30,'Вводные'!$B$90="Да"),"■","")</x:f>
      </x:c>
      <x:c r="FG30" s="141" t="str">
        <x:f>IF(AND(FG$4&gt;=$C30,FG$4&lt;=$D30,'Вводные'!$B$90="Да"),"■","")</x:f>
      </x:c>
      <x:c r="FH30" s="141" t="str">
        <x:f>IF(AND(FH$4&gt;=$C30,FH$4&lt;=$D30,'Вводные'!$B$90="Да"),"■","")</x:f>
      </x:c>
      <x:c r="FI30" s="141" t="str">
        <x:f>IF(AND(FI$4&gt;=$C30,FI$4&lt;=$D30,'Вводные'!$B$90="Да"),"■","")</x:f>
      </x:c>
      <x:c r="FJ30" s="141" t="str">
        <x:f>IF(AND(FJ$4&gt;=$C30,FJ$4&lt;=$D30,'Вводные'!$B$90="Да"),"■","")</x:f>
      </x:c>
      <x:c r="FK30" s="141" t="str">
        <x:f>IF(AND(FK$4&gt;=$C30,FK$4&lt;=$D30,'Вводные'!$B$90="Да"),"■","")</x:f>
      </x:c>
      <x:c r="FL30" s="141" t="str">
        <x:f>IF(AND(FL$4&gt;=$C30,FL$4&lt;=$D30,'Вводные'!$B$90="Да"),"■","")</x:f>
      </x:c>
      <x:c r="FM30" s="141" t="str">
        <x:f>IF(AND(FM$4&gt;=$C30,FM$4&lt;=$D30,'Вводные'!$B$90="Да"),"■","")</x:f>
      </x:c>
      <x:c r="FN30" s="141" t="str">
        <x:f>IF(AND(FN$4&gt;=$C30,FN$4&lt;=$D30,'Вводные'!$B$90="Да"),"■","")</x:f>
      </x:c>
      <x:c r="FO30" s="141" t="str">
        <x:f>IF(AND(FO$4&gt;=$C30,FO$4&lt;=$D30,'Вводные'!$B$90="Да"),"■","")</x:f>
      </x:c>
      <x:c r="FP30" s="141" t="str">
        <x:f>IF(AND(FP$4&gt;=$C30,FP$4&lt;=$D30,'Вводные'!$B$90="Да"),"■","")</x:f>
      </x:c>
      <x:c r="FQ30" s="141" t="str">
        <x:f>IF(AND(FQ$4&gt;=$C30,FQ$4&lt;=$D30,'Вводные'!$B$90="Да"),"■","")</x:f>
      </x:c>
      <x:c r="FR30" s="141" t="str">
        <x:f>IF(AND(FR$4&gt;=$C30,FR$4&lt;=$D30,'Вводные'!$B$90="Да"),"■","")</x:f>
      </x:c>
      <x:c r="FS30" s="141" t="str">
        <x:f>IF(AND(FS$4&gt;=$C30,FS$4&lt;=$D30,'Вводные'!$B$90="Да"),"■","")</x:f>
      </x:c>
      <x:c r="FT30" s="141" t="str">
        <x:f>IF(AND(FT$4&gt;=$C30,FT$4&lt;=$D30,'Вводные'!$B$90="Да"),"■","")</x:f>
      </x:c>
      <x:c r="FU30" s="141" t="str">
        <x:f>IF(AND(FU$4&gt;=$C30,FU$4&lt;=$D30,'Вводные'!$B$90="Да"),"■","")</x:f>
      </x:c>
      <x:c r="FV30" s="141" t="str">
        <x:f>IF(AND(FV$4&gt;=$C30,FV$4&lt;=$D30,'Вводные'!$B$90="Да"),"■","")</x:f>
      </x:c>
      <x:c r="FW30" s="141" t="str">
        <x:f>IF(AND(FW$4&gt;=$C30,FW$4&lt;=$D30,'Вводные'!$B$90="Да"),"■","")</x:f>
      </x:c>
      <x:c r="FX30" s="141" t="str">
        <x:f>IF(AND(FX$4&gt;=$C30,FX$4&lt;=$D30,'Вводные'!$B$90="Да"),"■","")</x:f>
      </x:c>
      <x:c r="FY30" s="141" t="str">
        <x:f>IF(AND(FY$4&gt;=$C30,FY$4&lt;=$D30,'Вводные'!$B$90="Да"),"■","")</x:f>
      </x:c>
      <x:c r="FZ30" s="141" t="str">
        <x:f>IF(AND(FZ$4&gt;=$C30,FZ$4&lt;=$D30,'Вводные'!$B$90="Да"),"■","")</x:f>
      </x:c>
      <x:c r="GA30" s="141" t="str">
        <x:f>IF(AND(GA$4&gt;=$C30,GA$4&lt;=$D30,'Вводные'!$B$90="Да"),"■","")</x:f>
      </x:c>
      <x:c r="GB30" s="141" t="str">
        <x:f>IF(AND(GB$4&gt;=$C30,GB$4&lt;=$D30,'Вводные'!$B$90="Да"),"■","")</x:f>
      </x:c>
    </x:row>
    <x:row r="31">
      <x:c r="A31" t="str">
        <x:f>'Вводные'!$C$90</x:f>
      </x:c>
      <x:c r="B31" t="str">
        <x:v>РВЭ</x:v>
      </x:c>
      <x:c r="C31" s="92" t="n">
        <x:f>'CF_3'!B8</x:f>
      </x:c>
      <x:c r="D31" s="92" t="n">
        <x:f>C31</x:f>
      </x:c>
      <x:c r="E31" s="135" t="str">
        <x:f>IF(AND(E$4&gt;=$C31,E$4&lt;=$D31,'Вводные'!$B$90="Да"),"■","")</x:f>
      </x:c>
      <x:c r="F31" s="135" t="str">
        <x:f>IF(AND(F$4&gt;=$C31,F$4&lt;=$D31,'Вводные'!$B$90="Да"),"■","")</x:f>
      </x:c>
      <x:c r="G31" s="135" t="str">
        <x:f>IF(AND(G$4&gt;=$C31,G$4&lt;=$D31,'Вводные'!$B$90="Да"),"■","")</x:f>
      </x:c>
      <x:c r="H31" s="135" t="str">
        <x:f>IF(AND(H$4&gt;=$C31,H$4&lt;=$D31,'Вводные'!$B$90="Да"),"■","")</x:f>
      </x:c>
      <x:c r="I31" s="135" t="str">
        <x:f>IF(AND(I$4&gt;=$C31,I$4&lt;=$D31,'Вводные'!$B$90="Да"),"■","")</x:f>
      </x:c>
      <x:c r="J31" s="135" t="str">
        <x:f>IF(AND(J$4&gt;=$C31,J$4&lt;=$D31,'Вводные'!$B$90="Да"),"■","")</x:f>
      </x:c>
      <x:c r="K31" s="135" t="str">
        <x:f>IF(AND(K$4&gt;=$C31,K$4&lt;=$D31,'Вводные'!$B$90="Да"),"■","")</x:f>
      </x:c>
      <x:c r="L31" s="135" t="str">
        <x:f>IF(AND(L$4&gt;=$C31,L$4&lt;=$D31,'Вводные'!$B$90="Да"),"■","")</x:f>
      </x:c>
      <x:c r="M31" s="135" t="str">
        <x:f>IF(AND(M$4&gt;=$C31,M$4&lt;=$D31,'Вводные'!$B$90="Да"),"■","")</x:f>
      </x:c>
      <x:c r="N31" s="135" t="str">
        <x:f>IF(AND(N$4&gt;=$C31,N$4&lt;=$D31,'Вводные'!$B$90="Да"),"■","")</x:f>
      </x:c>
      <x:c r="O31" s="135" t="str">
        <x:f>IF(AND(O$4&gt;=$C31,O$4&lt;=$D31,'Вводные'!$B$90="Да"),"■","")</x:f>
      </x:c>
      <x:c r="P31" s="135" t="str">
        <x:f>IF(AND(P$4&gt;=$C31,P$4&lt;=$D31,'Вводные'!$B$90="Да"),"■","")</x:f>
      </x:c>
      <x:c r="Q31" s="135" t="str">
        <x:f>IF(AND(Q$4&gt;=$C31,Q$4&lt;=$D31,'Вводные'!$B$90="Да"),"■","")</x:f>
      </x:c>
      <x:c r="R31" s="135" t="str">
        <x:f>IF(AND(R$4&gt;=$C31,R$4&lt;=$D31,'Вводные'!$B$90="Да"),"■","")</x:f>
      </x:c>
      <x:c r="S31" s="135" t="str">
        <x:f>IF(AND(S$4&gt;=$C31,S$4&lt;=$D31,'Вводные'!$B$90="Да"),"■","")</x:f>
      </x:c>
      <x:c r="T31" s="135" t="str">
        <x:f>IF(AND(T$4&gt;=$C31,T$4&lt;=$D31,'Вводные'!$B$90="Да"),"■","")</x:f>
      </x:c>
      <x:c r="U31" s="135" t="str">
        <x:f>IF(AND(U$4&gt;=$C31,U$4&lt;=$D31,'Вводные'!$B$90="Да"),"■","")</x:f>
      </x:c>
      <x:c r="V31" s="135" t="str">
        <x:f>IF(AND(V$4&gt;=$C31,V$4&lt;=$D31,'Вводные'!$B$90="Да"),"■","")</x:f>
      </x:c>
      <x:c r="W31" s="135" t="str">
        <x:f>IF(AND(W$4&gt;=$C31,W$4&lt;=$D31,'Вводные'!$B$90="Да"),"■","")</x:f>
      </x:c>
      <x:c r="X31" s="135" t="str">
        <x:f>IF(AND(X$4&gt;=$C31,X$4&lt;=$D31,'Вводные'!$B$90="Да"),"■","")</x:f>
      </x:c>
      <x:c r="Y31" s="135" t="str">
        <x:f>IF(AND(Y$4&gt;=$C31,Y$4&lt;=$D31,'Вводные'!$B$90="Да"),"■","")</x:f>
      </x:c>
      <x:c r="Z31" s="135" t="str">
        <x:f>IF(AND(Z$4&gt;=$C31,Z$4&lt;=$D31,'Вводные'!$B$90="Да"),"■","")</x:f>
      </x:c>
      <x:c r="AA31" s="135" t="str">
        <x:f>IF(AND(AA$4&gt;=$C31,AA$4&lt;=$D31,'Вводные'!$B$90="Да"),"■","")</x:f>
      </x:c>
      <x:c r="AB31" s="135" t="str">
        <x:f>IF(AND(AB$4&gt;=$C31,AB$4&lt;=$D31,'Вводные'!$B$90="Да"),"■","")</x:f>
      </x:c>
      <x:c r="AC31" s="135" t="str">
        <x:f>IF(AND(AC$4&gt;=$C31,AC$4&lt;=$D31,'Вводные'!$B$90="Да"),"■","")</x:f>
      </x:c>
      <x:c r="AD31" s="135" t="str">
        <x:f>IF(AND(AD$4&gt;=$C31,AD$4&lt;=$D31,'Вводные'!$B$90="Да"),"■","")</x:f>
      </x:c>
      <x:c r="AE31" s="135" t="str">
        <x:f>IF(AND(AE$4&gt;=$C31,AE$4&lt;=$D31,'Вводные'!$B$90="Да"),"■","")</x:f>
      </x:c>
      <x:c r="AF31" s="135" t="str">
        <x:f>IF(AND(AF$4&gt;=$C31,AF$4&lt;=$D31,'Вводные'!$B$90="Да"),"■","")</x:f>
      </x:c>
      <x:c r="AG31" s="135" t="str">
        <x:f>IF(AND(AG$4&gt;=$C31,AG$4&lt;=$D31,'Вводные'!$B$90="Да"),"■","")</x:f>
      </x:c>
      <x:c r="AH31" s="135" t="str">
        <x:f>IF(AND(AH$4&gt;=$C31,AH$4&lt;=$D31,'Вводные'!$B$90="Да"),"■","")</x:f>
      </x:c>
      <x:c r="AI31" s="135" t="str">
        <x:f>IF(AND(AI$4&gt;=$C31,AI$4&lt;=$D31,'Вводные'!$B$90="Да"),"■","")</x:f>
      </x:c>
      <x:c r="AJ31" s="135" t="str">
        <x:f>IF(AND(AJ$4&gt;=$C31,AJ$4&lt;=$D31,'Вводные'!$B$90="Да"),"■","")</x:f>
      </x:c>
      <x:c r="AK31" s="135" t="str">
        <x:f>IF(AND(AK$4&gt;=$C31,AK$4&lt;=$D31,'Вводные'!$B$90="Да"),"■","")</x:f>
      </x:c>
      <x:c r="AL31" s="135" t="str">
        <x:f>IF(AND(AL$4&gt;=$C31,AL$4&lt;=$D31,'Вводные'!$B$90="Да"),"■","")</x:f>
      </x:c>
      <x:c r="AM31" s="135" t="str">
        <x:f>IF(AND(AM$4&gt;=$C31,AM$4&lt;=$D31,'Вводные'!$B$90="Да"),"■","")</x:f>
      </x:c>
      <x:c r="AN31" s="135" t="str">
        <x:f>IF(AND(AN$4&gt;=$C31,AN$4&lt;=$D31,'Вводные'!$B$90="Да"),"■","")</x:f>
      </x:c>
      <x:c r="AO31" s="135" t="str">
        <x:f>IF(AND(AO$4&gt;=$C31,AO$4&lt;=$D31,'Вводные'!$B$90="Да"),"■","")</x:f>
      </x:c>
      <x:c r="AP31" s="135" t="str">
        <x:f>IF(AND(AP$4&gt;=$C31,AP$4&lt;=$D31,'Вводные'!$B$90="Да"),"■","")</x:f>
      </x:c>
      <x:c r="AQ31" s="135" t="str">
        <x:f>IF(AND(AQ$4&gt;=$C31,AQ$4&lt;=$D31,'Вводные'!$B$90="Да"),"■","")</x:f>
      </x:c>
      <x:c r="AR31" s="135" t="str">
        <x:f>IF(AND(AR$4&gt;=$C31,AR$4&lt;=$D31,'Вводные'!$B$90="Да"),"■","")</x:f>
      </x:c>
      <x:c r="AS31" s="135" t="str">
        <x:f>IF(AND(AS$4&gt;=$C31,AS$4&lt;=$D31,'Вводные'!$B$90="Да"),"■","")</x:f>
      </x:c>
      <x:c r="AT31" s="135" t="str">
        <x:f>IF(AND(AT$4&gt;=$C31,AT$4&lt;=$D31,'Вводные'!$B$90="Да"),"■","")</x:f>
      </x:c>
      <x:c r="AU31" s="135" t="str">
        <x:f>IF(AND(AU$4&gt;=$C31,AU$4&lt;=$D31,'Вводные'!$B$90="Да"),"■","")</x:f>
      </x:c>
      <x:c r="AV31" s="135" t="str">
        <x:f>IF(AND(AV$4&gt;=$C31,AV$4&lt;=$D31,'Вводные'!$B$90="Да"),"■","")</x:f>
      </x:c>
      <x:c r="AW31" s="135" t="str">
        <x:f>IF(AND(AW$4&gt;=$C31,AW$4&lt;=$D31,'Вводные'!$B$90="Да"),"■","")</x:f>
      </x:c>
      <x:c r="AX31" s="135" t="str">
        <x:f>IF(AND(AX$4&gt;=$C31,AX$4&lt;=$D31,'Вводные'!$B$90="Да"),"■","")</x:f>
      </x:c>
      <x:c r="AY31" s="135" t="str">
        <x:f>IF(AND(AY$4&gt;=$C31,AY$4&lt;=$D31,'Вводные'!$B$90="Да"),"■","")</x:f>
      </x:c>
      <x:c r="AZ31" s="135" t="str">
        <x:f>IF(AND(AZ$4&gt;=$C31,AZ$4&lt;=$D31,'Вводные'!$B$90="Да"),"■","")</x:f>
      </x:c>
      <x:c r="BA31" s="135" t="str">
        <x:f>IF(AND(BA$4&gt;=$C31,BA$4&lt;=$D31,'Вводные'!$B$90="Да"),"■","")</x:f>
      </x:c>
      <x:c r="BB31" s="135" t="str">
        <x:f>IF(AND(BB$4&gt;=$C31,BB$4&lt;=$D31,'Вводные'!$B$90="Да"),"■","")</x:f>
      </x:c>
      <x:c r="BC31" s="135" t="str">
        <x:f>IF(AND(BC$4&gt;=$C31,BC$4&lt;=$D31,'Вводные'!$B$90="Да"),"■","")</x:f>
      </x:c>
      <x:c r="BD31" s="135" t="str">
        <x:f>IF(AND(BD$4&gt;=$C31,BD$4&lt;=$D31,'Вводные'!$B$90="Да"),"■","")</x:f>
      </x:c>
      <x:c r="BE31" s="135" t="str">
        <x:f>IF(AND(BE$4&gt;=$C31,BE$4&lt;=$D31,'Вводные'!$B$90="Да"),"■","")</x:f>
      </x:c>
      <x:c r="BF31" s="135" t="str">
        <x:f>IF(AND(BF$4&gt;=$C31,BF$4&lt;=$D31,'Вводные'!$B$90="Да"),"■","")</x:f>
      </x:c>
      <x:c r="BG31" s="135" t="str">
        <x:f>IF(AND(BG$4&gt;=$C31,BG$4&lt;=$D31,'Вводные'!$B$90="Да"),"■","")</x:f>
      </x:c>
      <x:c r="BH31" s="135" t="str">
        <x:f>IF(AND(BH$4&gt;=$C31,BH$4&lt;=$D31,'Вводные'!$B$90="Да"),"■","")</x:f>
      </x:c>
      <x:c r="BI31" s="135" t="str">
        <x:f>IF(AND(BI$4&gt;=$C31,BI$4&lt;=$D31,'Вводные'!$B$90="Да"),"■","")</x:f>
      </x:c>
      <x:c r="BJ31" s="135" t="str">
        <x:f>IF(AND(BJ$4&gt;=$C31,BJ$4&lt;=$D31,'Вводные'!$B$90="Да"),"■","")</x:f>
      </x:c>
      <x:c r="BK31" s="135" t="str">
        <x:f>IF(AND(BK$4&gt;=$C31,BK$4&lt;=$D31,'Вводные'!$B$90="Да"),"■","")</x:f>
      </x:c>
      <x:c r="BL31" s="135" t="str">
        <x:f>IF(AND(BL$4&gt;=$C31,BL$4&lt;=$D31,'Вводные'!$B$90="Да"),"■","")</x:f>
      </x:c>
      <x:c r="BM31" s="135" t="str">
        <x:f>IF(AND(BM$4&gt;=$C31,BM$4&lt;=$D31,'Вводные'!$B$90="Да"),"■","")</x:f>
      </x:c>
      <x:c r="BN31" s="135" t="str">
        <x:f>IF(AND(BN$4&gt;=$C31,BN$4&lt;=$D31,'Вводные'!$B$90="Да"),"■","")</x:f>
      </x:c>
      <x:c r="BO31" s="135" t="str">
        <x:f>IF(AND(BO$4&gt;=$C31,BO$4&lt;=$D31,'Вводные'!$B$90="Да"),"■","")</x:f>
      </x:c>
      <x:c r="BP31" s="135" t="str">
        <x:f>IF(AND(BP$4&gt;=$C31,BP$4&lt;=$D31,'Вводные'!$B$90="Да"),"■","")</x:f>
      </x:c>
      <x:c r="BQ31" s="135" t="str">
        <x:f>IF(AND(BQ$4&gt;=$C31,BQ$4&lt;=$D31,'Вводные'!$B$90="Да"),"■","")</x:f>
      </x:c>
      <x:c r="BR31" s="135" t="str">
        <x:f>IF(AND(BR$4&gt;=$C31,BR$4&lt;=$D31,'Вводные'!$B$90="Да"),"■","")</x:f>
      </x:c>
      <x:c r="BS31" s="135" t="str">
        <x:f>IF(AND(BS$4&gt;=$C31,BS$4&lt;=$D31,'Вводные'!$B$90="Да"),"■","")</x:f>
      </x:c>
      <x:c r="BT31" s="135" t="str">
        <x:f>IF(AND(BT$4&gt;=$C31,BT$4&lt;=$D31,'Вводные'!$B$90="Да"),"■","")</x:f>
      </x:c>
      <x:c r="BU31" s="135" t="str">
        <x:f>IF(AND(BU$4&gt;=$C31,BU$4&lt;=$D31,'Вводные'!$B$90="Да"),"■","")</x:f>
      </x:c>
      <x:c r="BV31" s="135" t="str">
        <x:f>IF(AND(BV$4&gt;=$C31,BV$4&lt;=$D31,'Вводные'!$B$90="Да"),"■","")</x:f>
      </x:c>
      <x:c r="BW31" s="135" t="str">
        <x:f>IF(AND(BW$4&gt;=$C31,BW$4&lt;=$D31,'Вводные'!$B$90="Да"),"■","")</x:f>
      </x:c>
      <x:c r="BX31" s="135" t="str">
        <x:f>IF(AND(BX$4&gt;=$C31,BX$4&lt;=$D31,'Вводные'!$B$90="Да"),"■","")</x:f>
      </x:c>
      <x:c r="BY31" s="135" t="str">
        <x:f>IF(AND(BY$4&gt;=$C31,BY$4&lt;=$D31,'Вводные'!$B$90="Да"),"■","")</x:f>
      </x:c>
      <x:c r="BZ31" s="135" t="str">
        <x:f>IF(AND(BZ$4&gt;=$C31,BZ$4&lt;=$D31,'Вводные'!$B$90="Да"),"■","")</x:f>
      </x:c>
      <x:c r="CA31" s="135" t="str">
        <x:f>IF(AND(CA$4&gt;=$C31,CA$4&lt;=$D31,'Вводные'!$B$90="Да"),"■","")</x:f>
      </x:c>
      <x:c r="CB31" s="135" t="str">
        <x:f>IF(AND(CB$4&gt;=$C31,CB$4&lt;=$D31,'Вводные'!$B$90="Да"),"■","")</x:f>
      </x:c>
      <x:c r="CC31" s="135" t="str">
        <x:f>IF(AND(CC$4&gt;=$C31,CC$4&lt;=$D31,'Вводные'!$B$90="Да"),"■","")</x:f>
      </x:c>
      <x:c r="CD31" s="135" t="str">
        <x:f>IF(AND(CD$4&gt;=$C31,CD$4&lt;=$D31,'Вводные'!$B$90="Да"),"■","")</x:f>
      </x:c>
      <x:c r="CE31" s="135" t="str">
        <x:f>IF(AND(CE$4&gt;=$C31,CE$4&lt;=$D31,'Вводные'!$B$90="Да"),"■","")</x:f>
      </x:c>
      <x:c r="CF31" s="135" t="str">
        <x:f>IF(AND(CF$4&gt;=$C31,CF$4&lt;=$D31,'Вводные'!$B$90="Да"),"■","")</x:f>
      </x:c>
      <x:c r="CG31" s="135" t="str">
        <x:f>IF(AND(CG$4&gt;=$C31,CG$4&lt;=$D31,'Вводные'!$B$90="Да"),"■","")</x:f>
      </x:c>
      <x:c r="CH31" s="135" t="str">
        <x:f>IF(AND(CH$4&gt;=$C31,CH$4&lt;=$D31,'Вводные'!$B$90="Да"),"■","")</x:f>
      </x:c>
      <x:c r="CI31" s="135" t="str">
        <x:f>IF(AND(CI$4&gt;=$C31,CI$4&lt;=$D31,'Вводные'!$B$90="Да"),"■","")</x:f>
      </x:c>
      <x:c r="CJ31" s="135" t="str">
        <x:f>IF(AND(CJ$4&gt;=$C31,CJ$4&lt;=$D31,'Вводные'!$B$90="Да"),"■","")</x:f>
      </x:c>
      <x:c r="CK31" s="135" t="str">
        <x:f>IF(AND(CK$4&gt;=$C31,CK$4&lt;=$D31,'Вводные'!$B$90="Да"),"■","")</x:f>
      </x:c>
      <x:c r="CL31" s="135" t="str">
        <x:f>IF(AND(CL$4&gt;=$C31,CL$4&lt;=$D31,'Вводные'!$B$90="Да"),"■","")</x:f>
      </x:c>
      <x:c r="CM31" s="135" t="str">
        <x:f>IF(AND(CM$4&gt;=$C31,CM$4&lt;=$D31,'Вводные'!$B$90="Да"),"■","")</x:f>
      </x:c>
      <x:c r="CN31" s="135" t="str">
        <x:f>IF(AND(CN$4&gt;=$C31,CN$4&lt;=$D31,'Вводные'!$B$90="Да"),"■","")</x:f>
      </x:c>
      <x:c r="CO31" s="135" t="str">
        <x:f>IF(AND(CO$4&gt;=$C31,CO$4&lt;=$D31,'Вводные'!$B$90="Да"),"■","")</x:f>
      </x:c>
      <x:c r="CP31" s="135" t="str">
        <x:f>IF(AND(CP$4&gt;=$C31,CP$4&lt;=$D31,'Вводные'!$B$90="Да"),"■","")</x:f>
      </x:c>
      <x:c r="CQ31" s="135" t="str">
        <x:f>IF(AND(CQ$4&gt;=$C31,CQ$4&lt;=$D31,'Вводные'!$B$90="Да"),"■","")</x:f>
      </x:c>
      <x:c r="CR31" s="135" t="str">
        <x:f>IF(AND(CR$4&gt;=$C31,CR$4&lt;=$D31,'Вводные'!$B$90="Да"),"■","")</x:f>
      </x:c>
      <x:c r="CS31" s="135" t="str">
        <x:f>IF(AND(CS$4&gt;=$C31,CS$4&lt;=$D31,'Вводные'!$B$90="Да"),"■","")</x:f>
      </x:c>
      <x:c r="CT31" s="135" t="str">
        <x:f>IF(AND(CT$4&gt;=$C31,CT$4&lt;=$D31,'Вводные'!$B$90="Да"),"■","")</x:f>
      </x:c>
      <x:c r="CU31" s="135" t="str">
        <x:f>IF(AND(CU$4&gt;=$C31,CU$4&lt;=$D31,'Вводные'!$B$90="Да"),"■","")</x:f>
      </x:c>
      <x:c r="CV31" s="135" t="str">
        <x:f>IF(AND(CV$4&gt;=$C31,CV$4&lt;=$D31,'Вводные'!$B$90="Да"),"■","")</x:f>
      </x:c>
      <x:c r="CW31" s="135" t="str">
        <x:f>IF(AND(CW$4&gt;=$C31,CW$4&lt;=$D31,'Вводные'!$B$90="Да"),"■","")</x:f>
      </x:c>
      <x:c r="CX31" s="135" t="str">
        <x:f>IF(AND(CX$4&gt;=$C31,CX$4&lt;=$D31,'Вводные'!$B$90="Да"),"■","")</x:f>
      </x:c>
      <x:c r="CY31" s="135" t="str">
        <x:f>IF(AND(CY$4&gt;=$C31,CY$4&lt;=$D31,'Вводные'!$B$90="Да"),"■","")</x:f>
      </x:c>
      <x:c r="CZ31" s="135" t="str">
        <x:f>IF(AND(CZ$4&gt;=$C31,CZ$4&lt;=$D31,'Вводные'!$B$90="Да"),"■","")</x:f>
      </x:c>
      <x:c r="DA31" s="135" t="str">
        <x:f>IF(AND(DA$4&gt;=$C31,DA$4&lt;=$D31,'Вводные'!$B$90="Да"),"■","")</x:f>
      </x:c>
      <x:c r="DB31" s="135" t="str">
        <x:f>IF(AND(DB$4&gt;=$C31,DB$4&lt;=$D31,'Вводные'!$B$90="Да"),"■","")</x:f>
      </x:c>
      <x:c r="DC31" s="135" t="str">
        <x:f>IF(AND(DC$4&gt;=$C31,DC$4&lt;=$D31,'Вводные'!$B$90="Да"),"■","")</x:f>
      </x:c>
      <x:c r="DD31" s="135" t="str">
        <x:f>IF(AND(DD$4&gt;=$C31,DD$4&lt;=$D31,'Вводные'!$B$90="Да"),"■","")</x:f>
      </x:c>
      <x:c r="DE31" s="135" t="str">
        <x:f>IF(AND(DE$4&gt;=$C31,DE$4&lt;=$D31,'Вводные'!$B$90="Да"),"■","")</x:f>
      </x:c>
      <x:c r="DF31" s="135" t="str">
        <x:f>IF(AND(DF$4&gt;=$C31,DF$4&lt;=$D31,'Вводные'!$B$90="Да"),"■","")</x:f>
      </x:c>
      <x:c r="DG31" s="135" t="str">
        <x:f>IF(AND(DG$4&gt;=$C31,DG$4&lt;=$D31,'Вводные'!$B$90="Да"),"■","")</x:f>
      </x:c>
      <x:c r="DH31" s="135" t="str">
        <x:f>IF(AND(DH$4&gt;=$C31,DH$4&lt;=$D31,'Вводные'!$B$90="Да"),"■","")</x:f>
      </x:c>
      <x:c r="DI31" s="135" t="str">
        <x:f>IF(AND(DI$4&gt;=$C31,DI$4&lt;=$D31,'Вводные'!$B$90="Да"),"■","")</x:f>
      </x:c>
      <x:c r="DJ31" s="135" t="str">
        <x:f>IF(AND(DJ$4&gt;=$C31,DJ$4&lt;=$D31,'Вводные'!$B$90="Да"),"■","")</x:f>
      </x:c>
      <x:c r="DK31" s="135" t="str">
        <x:f>IF(AND(DK$4&gt;=$C31,DK$4&lt;=$D31,'Вводные'!$B$90="Да"),"■","")</x:f>
      </x:c>
      <x:c r="DL31" s="135" t="str">
        <x:f>IF(AND(DL$4&gt;=$C31,DL$4&lt;=$D31,'Вводные'!$B$90="Да"),"■","")</x:f>
      </x:c>
      <x:c r="DM31" s="135" t="str">
        <x:f>IF(AND(DM$4&gt;=$C31,DM$4&lt;=$D31,'Вводные'!$B$90="Да"),"■","")</x:f>
      </x:c>
      <x:c r="DN31" s="135" t="str">
        <x:f>IF(AND(DN$4&gt;=$C31,DN$4&lt;=$D31,'Вводные'!$B$90="Да"),"■","")</x:f>
      </x:c>
      <x:c r="DO31" s="135" t="str">
        <x:f>IF(AND(DO$4&gt;=$C31,DO$4&lt;=$D31,'Вводные'!$B$90="Да"),"■","")</x:f>
      </x:c>
      <x:c r="DP31" s="135" t="str">
        <x:f>IF(AND(DP$4&gt;=$C31,DP$4&lt;=$D31,'Вводные'!$B$90="Да"),"■","")</x:f>
      </x:c>
      <x:c r="DQ31" s="135" t="str">
        <x:f>IF(AND(DQ$4&gt;=$C31,DQ$4&lt;=$D31,'Вводные'!$B$90="Да"),"■","")</x:f>
      </x:c>
      <x:c r="DR31" s="135" t="str">
        <x:f>IF(AND(DR$4&gt;=$C31,DR$4&lt;=$D31,'Вводные'!$B$90="Да"),"■","")</x:f>
      </x:c>
      <x:c r="DS31" s="135" t="str">
        <x:f>IF(AND(DS$4&gt;=$C31,DS$4&lt;=$D31,'Вводные'!$B$90="Да"),"■","")</x:f>
      </x:c>
      <x:c r="DT31" s="135" t="str">
        <x:f>IF(AND(DT$4&gt;=$C31,DT$4&lt;=$D31,'Вводные'!$B$90="Да"),"■","")</x:f>
      </x:c>
      <x:c r="DU31" s="135" t="str">
        <x:f>IF(AND(DU$4&gt;=$C31,DU$4&lt;=$D31,'Вводные'!$B$90="Да"),"■","")</x:f>
      </x:c>
      <x:c r="DV31" s="135" t="str">
        <x:f>IF(AND(DV$4&gt;=$C31,DV$4&lt;=$D31,'Вводные'!$B$90="Да"),"■","")</x:f>
      </x:c>
      <x:c r="DW31" s="135" t="str">
        <x:f>IF(AND(DW$4&gt;=$C31,DW$4&lt;=$D31,'Вводные'!$B$90="Да"),"■","")</x:f>
      </x:c>
      <x:c r="DX31" s="135" t="str">
        <x:f>IF(AND(DX$4&gt;=$C31,DX$4&lt;=$D31,'Вводные'!$B$90="Да"),"■","")</x:f>
      </x:c>
      <x:c r="DY31" s="135" t="str">
        <x:f>IF(AND(DY$4&gt;=$C31,DY$4&lt;=$D31,'Вводные'!$B$90="Да"),"■","")</x:f>
      </x:c>
      <x:c r="DZ31" s="135" t="str">
        <x:f>IF(AND(DZ$4&gt;=$C31,DZ$4&lt;=$D31,'Вводные'!$B$90="Да"),"■","")</x:f>
      </x:c>
      <x:c r="EA31" s="135" t="str">
        <x:f>IF(AND(EA$4&gt;=$C31,EA$4&lt;=$D31,'Вводные'!$B$90="Да"),"■","")</x:f>
      </x:c>
      <x:c r="EB31" s="135" t="str">
        <x:f>IF(AND(EB$4&gt;=$C31,EB$4&lt;=$D31,'Вводные'!$B$90="Да"),"■","")</x:f>
      </x:c>
      <x:c r="EC31" s="135" t="str">
        <x:f>IF(AND(EC$4&gt;=$C31,EC$4&lt;=$D31,'Вводные'!$B$90="Да"),"■","")</x:f>
      </x:c>
      <x:c r="ED31" s="135" t="str">
        <x:f>IF(AND(ED$4&gt;=$C31,ED$4&lt;=$D31,'Вводные'!$B$90="Да"),"■","")</x:f>
      </x:c>
      <x:c r="EE31" s="135" t="str">
        <x:f>IF(AND(EE$4&gt;=$C31,EE$4&lt;=$D31,'Вводные'!$B$90="Да"),"■","")</x:f>
      </x:c>
      <x:c r="EF31" s="135" t="str">
        <x:f>IF(AND(EF$4&gt;=$C31,EF$4&lt;=$D31,'Вводные'!$B$90="Да"),"■","")</x:f>
      </x:c>
      <x:c r="EG31" s="135" t="str">
        <x:f>IF(AND(EG$4&gt;=$C31,EG$4&lt;=$D31,'Вводные'!$B$90="Да"),"■","")</x:f>
      </x:c>
      <x:c r="EH31" s="135" t="str">
        <x:f>IF(AND(EH$4&gt;=$C31,EH$4&lt;=$D31,'Вводные'!$B$90="Да"),"■","")</x:f>
      </x:c>
      <x:c r="EI31" s="135" t="str">
        <x:f>IF(AND(EI$4&gt;=$C31,EI$4&lt;=$D31,'Вводные'!$B$90="Да"),"■","")</x:f>
      </x:c>
      <x:c r="EJ31" s="135" t="str">
        <x:f>IF(AND(EJ$4&gt;=$C31,EJ$4&lt;=$D31,'Вводные'!$B$90="Да"),"■","")</x:f>
      </x:c>
      <x:c r="EK31" s="135" t="str">
        <x:f>IF(AND(EK$4&gt;=$C31,EK$4&lt;=$D31,'Вводные'!$B$90="Да"),"■","")</x:f>
      </x:c>
      <x:c r="EL31" s="135" t="str">
        <x:f>IF(AND(EL$4&gt;=$C31,EL$4&lt;=$D31,'Вводные'!$B$90="Да"),"■","")</x:f>
      </x:c>
      <x:c r="EM31" s="135" t="str">
        <x:f>IF(AND(EM$4&gt;=$C31,EM$4&lt;=$D31,'Вводные'!$B$90="Да"),"■","")</x:f>
      </x:c>
      <x:c r="EN31" s="135" t="str">
        <x:f>IF(AND(EN$4&gt;=$C31,EN$4&lt;=$D31,'Вводные'!$B$90="Да"),"■","")</x:f>
      </x:c>
      <x:c r="EO31" s="135" t="str">
        <x:f>IF(AND(EO$4&gt;=$C31,EO$4&lt;=$D31,'Вводные'!$B$90="Да"),"■","")</x:f>
      </x:c>
      <x:c r="EP31" s="135" t="str">
        <x:f>IF(AND(EP$4&gt;=$C31,EP$4&lt;=$D31,'Вводные'!$B$90="Да"),"■","")</x:f>
      </x:c>
      <x:c r="EQ31" s="135" t="str">
        <x:f>IF(AND(EQ$4&gt;=$C31,EQ$4&lt;=$D31,'Вводные'!$B$90="Да"),"■","")</x:f>
      </x:c>
      <x:c r="ER31" s="135" t="str">
        <x:f>IF(AND(ER$4&gt;=$C31,ER$4&lt;=$D31,'Вводные'!$B$90="Да"),"■","")</x:f>
      </x:c>
      <x:c r="ES31" s="135" t="str">
        <x:f>IF(AND(ES$4&gt;=$C31,ES$4&lt;=$D31,'Вводные'!$B$90="Да"),"■","")</x:f>
      </x:c>
      <x:c r="ET31" s="135" t="str">
        <x:f>IF(AND(ET$4&gt;=$C31,ET$4&lt;=$D31,'Вводные'!$B$90="Да"),"■","")</x:f>
      </x:c>
      <x:c r="EU31" s="135" t="str">
        <x:f>IF(AND(EU$4&gt;=$C31,EU$4&lt;=$D31,'Вводные'!$B$90="Да"),"■","")</x:f>
      </x:c>
      <x:c r="EV31" s="135" t="str">
        <x:f>IF(AND(EV$4&gt;=$C31,EV$4&lt;=$D31,'Вводные'!$B$90="Да"),"■","")</x:f>
      </x:c>
      <x:c r="EW31" s="135" t="str">
        <x:f>IF(AND(EW$4&gt;=$C31,EW$4&lt;=$D31,'Вводные'!$B$90="Да"),"■","")</x:f>
      </x:c>
      <x:c r="EX31" s="135" t="str">
        <x:f>IF(AND(EX$4&gt;=$C31,EX$4&lt;=$D31,'Вводные'!$B$90="Да"),"■","")</x:f>
      </x:c>
      <x:c r="EY31" s="135" t="str">
        <x:f>IF(AND(EY$4&gt;=$C31,EY$4&lt;=$D31,'Вводные'!$B$90="Да"),"■","")</x:f>
      </x:c>
      <x:c r="EZ31" s="135" t="str">
        <x:f>IF(AND(EZ$4&gt;=$C31,EZ$4&lt;=$D31,'Вводные'!$B$90="Да"),"■","")</x:f>
      </x:c>
      <x:c r="FA31" s="135" t="str">
        <x:f>IF(AND(FA$4&gt;=$C31,FA$4&lt;=$D31,'Вводные'!$B$90="Да"),"■","")</x:f>
      </x:c>
      <x:c r="FB31" s="135" t="str">
        <x:f>IF(AND(FB$4&gt;=$C31,FB$4&lt;=$D31,'Вводные'!$B$90="Да"),"■","")</x:f>
      </x:c>
      <x:c r="FC31" s="135" t="str">
        <x:f>IF(AND(FC$4&gt;=$C31,FC$4&lt;=$D31,'Вводные'!$B$90="Да"),"■","")</x:f>
      </x:c>
      <x:c r="FD31" s="135" t="str">
        <x:f>IF(AND(FD$4&gt;=$C31,FD$4&lt;=$D31,'Вводные'!$B$90="Да"),"■","")</x:f>
      </x:c>
      <x:c r="FE31" s="135" t="str">
        <x:f>IF(AND(FE$4&gt;=$C31,FE$4&lt;=$D31,'Вводные'!$B$90="Да"),"■","")</x:f>
      </x:c>
      <x:c r="FF31" s="135" t="str">
        <x:f>IF(AND(FF$4&gt;=$C31,FF$4&lt;=$D31,'Вводные'!$B$90="Да"),"■","")</x:f>
      </x:c>
      <x:c r="FG31" s="135" t="str">
        <x:f>IF(AND(FG$4&gt;=$C31,FG$4&lt;=$D31,'Вводные'!$B$90="Да"),"■","")</x:f>
      </x:c>
      <x:c r="FH31" s="135" t="str">
        <x:f>IF(AND(FH$4&gt;=$C31,FH$4&lt;=$D31,'Вводные'!$B$90="Да"),"■","")</x:f>
      </x:c>
      <x:c r="FI31" s="135" t="str">
        <x:f>IF(AND(FI$4&gt;=$C31,FI$4&lt;=$D31,'Вводные'!$B$90="Да"),"■","")</x:f>
      </x:c>
      <x:c r="FJ31" s="135" t="str">
        <x:f>IF(AND(FJ$4&gt;=$C31,FJ$4&lt;=$D31,'Вводные'!$B$90="Да"),"■","")</x:f>
      </x:c>
      <x:c r="FK31" s="135" t="str">
        <x:f>IF(AND(FK$4&gt;=$C31,FK$4&lt;=$D31,'Вводные'!$B$90="Да"),"■","")</x:f>
      </x:c>
      <x:c r="FL31" s="135" t="str">
        <x:f>IF(AND(FL$4&gt;=$C31,FL$4&lt;=$D31,'Вводные'!$B$90="Да"),"■","")</x:f>
      </x:c>
      <x:c r="FM31" s="135" t="str">
        <x:f>IF(AND(FM$4&gt;=$C31,FM$4&lt;=$D31,'Вводные'!$B$90="Да"),"■","")</x:f>
      </x:c>
      <x:c r="FN31" s="135" t="str">
        <x:f>IF(AND(FN$4&gt;=$C31,FN$4&lt;=$D31,'Вводные'!$B$90="Да"),"■","")</x:f>
      </x:c>
      <x:c r="FO31" s="135" t="str">
        <x:f>IF(AND(FO$4&gt;=$C31,FO$4&lt;=$D31,'Вводные'!$B$90="Да"),"■","")</x:f>
      </x:c>
      <x:c r="FP31" s="135" t="str">
        <x:f>IF(AND(FP$4&gt;=$C31,FP$4&lt;=$D31,'Вводные'!$B$90="Да"),"■","")</x:f>
      </x:c>
      <x:c r="FQ31" s="135" t="str">
        <x:f>IF(AND(FQ$4&gt;=$C31,FQ$4&lt;=$D31,'Вводные'!$B$90="Да"),"■","")</x:f>
      </x:c>
      <x:c r="FR31" s="135" t="str">
        <x:f>IF(AND(FR$4&gt;=$C31,FR$4&lt;=$D31,'Вводные'!$B$90="Да"),"■","")</x:f>
      </x:c>
      <x:c r="FS31" s="135" t="str">
        <x:f>IF(AND(FS$4&gt;=$C31,FS$4&lt;=$D31,'Вводные'!$B$90="Да"),"■","")</x:f>
      </x:c>
      <x:c r="FT31" s="135" t="str">
        <x:f>IF(AND(FT$4&gt;=$C31,FT$4&lt;=$D31,'Вводные'!$B$90="Да"),"■","")</x:f>
      </x:c>
      <x:c r="FU31" s="135" t="str">
        <x:f>IF(AND(FU$4&gt;=$C31,FU$4&lt;=$D31,'Вводные'!$B$90="Да"),"■","")</x:f>
      </x:c>
      <x:c r="FV31" s="135" t="str">
        <x:f>IF(AND(FV$4&gt;=$C31,FV$4&lt;=$D31,'Вводные'!$B$90="Да"),"■","")</x:f>
      </x:c>
      <x:c r="FW31" s="135" t="str">
        <x:f>IF(AND(FW$4&gt;=$C31,FW$4&lt;=$D31,'Вводные'!$B$90="Да"),"■","")</x:f>
      </x:c>
      <x:c r="FX31" s="135" t="str">
        <x:f>IF(AND(FX$4&gt;=$C31,FX$4&lt;=$D31,'Вводные'!$B$90="Да"),"■","")</x:f>
      </x:c>
      <x:c r="FY31" s="135" t="str">
        <x:f>IF(AND(FY$4&gt;=$C31,FY$4&lt;=$D31,'Вводные'!$B$90="Да"),"■","")</x:f>
      </x:c>
      <x:c r="FZ31" s="135" t="str">
        <x:f>IF(AND(FZ$4&gt;=$C31,FZ$4&lt;=$D31,'Вводные'!$B$90="Да"),"■","")</x:f>
      </x:c>
      <x:c r="GA31" s="135" t="str">
        <x:f>IF(AND(GA$4&gt;=$C31,GA$4&lt;=$D31,'Вводные'!$B$90="Да"),"■","")</x:f>
      </x:c>
      <x:c r="GB31" s="135" t="str">
        <x:f>IF(AND(GB$4&gt;=$C31,GB$4&lt;=$D31,'Вводные'!$B$90="Да"),"■","")</x:f>
      </x:c>
    </x:row>
    <x:row r="32">
      <x:c r="A32" t="str">
        <x:f>'Вводные'!$C$90</x:f>
      </x:c>
      <x:c r="B32" t="str">
        <x:v>Проектное финансирование</x:v>
      </x:c>
      <x:c r="C32" s="92" t="n">
        <x:f>'CF_3'!B7</x:f>
      </x:c>
      <x:c r="D32" s="92" t="n">
        <x:f>EDATE('Продажи'!B53,'Вводные'!$H$90-1)</x:f>
      </x:c>
      <x:c r="E32" s="137" t="str">
        <x:f>IF(AND(E$4&gt;=$C32,E$4&lt;=$D32,'Вводные'!$B$90="Да"),"■","")</x:f>
      </x:c>
      <x:c r="F32" s="137" t="str">
        <x:f>IF(AND(F$4&gt;=$C32,F$4&lt;=$D32,'Вводные'!$B$90="Да"),"■","")</x:f>
      </x:c>
      <x:c r="G32" s="137" t="str">
        <x:f>IF(AND(G$4&gt;=$C32,G$4&lt;=$D32,'Вводные'!$B$90="Да"),"■","")</x:f>
      </x:c>
      <x:c r="H32" s="137" t="str">
        <x:f>IF(AND(H$4&gt;=$C32,H$4&lt;=$D32,'Вводные'!$B$90="Да"),"■","")</x:f>
      </x:c>
      <x:c r="I32" s="137" t="str">
        <x:f>IF(AND(I$4&gt;=$C32,I$4&lt;=$D32,'Вводные'!$B$90="Да"),"■","")</x:f>
      </x:c>
      <x:c r="J32" s="137" t="str">
        <x:f>IF(AND(J$4&gt;=$C32,J$4&lt;=$D32,'Вводные'!$B$90="Да"),"■","")</x:f>
      </x:c>
      <x:c r="K32" s="137" t="str">
        <x:f>IF(AND(K$4&gt;=$C32,K$4&lt;=$D32,'Вводные'!$B$90="Да"),"■","")</x:f>
      </x:c>
      <x:c r="L32" s="137" t="str">
        <x:f>IF(AND(L$4&gt;=$C32,L$4&lt;=$D32,'Вводные'!$B$90="Да"),"■","")</x:f>
      </x:c>
      <x:c r="M32" s="137" t="str">
        <x:f>IF(AND(M$4&gt;=$C32,M$4&lt;=$D32,'Вводные'!$B$90="Да"),"■","")</x:f>
      </x:c>
      <x:c r="N32" s="137" t="str">
        <x:f>IF(AND(N$4&gt;=$C32,N$4&lt;=$D32,'Вводные'!$B$90="Да"),"■","")</x:f>
      </x:c>
      <x:c r="O32" s="137" t="str">
        <x:f>IF(AND(O$4&gt;=$C32,O$4&lt;=$D32,'Вводные'!$B$90="Да"),"■","")</x:f>
      </x:c>
      <x:c r="P32" s="137" t="str">
        <x:f>IF(AND(P$4&gt;=$C32,P$4&lt;=$D32,'Вводные'!$B$90="Да"),"■","")</x:f>
      </x:c>
      <x:c r="Q32" s="137" t="str">
        <x:f>IF(AND(Q$4&gt;=$C32,Q$4&lt;=$D32,'Вводные'!$B$90="Да"),"■","")</x:f>
      </x:c>
      <x:c r="R32" s="137" t="str">
        <x:f>IF(AND(R$4&gt;=$C32,R$4&lt;=$D32,'Вводные'!$B$90="Да"),"■","")</x:f>
      </x:c>
      <x:c r="S32" s="137" t="str">
        <x:f>IF(AND(S$4&gt;=$C32,S$4&lt;=$D32,'Вводные'!$B$90="Да"),"■","")</x:f>
      </x:c>
      <x:c r="T32" s="137" t="str">
        <x:f>IF(AND(T$4&gt;=$C32,T$4&lt;=$D32,'Вводные'!$B$90="Да"),"■","")</x:f>
      </x:c>
      <x:c r="U32" s="137" t="str">
        <x:f>IF(AND(U$4&gt;=$C32,U$4&lt;=$D32,'Вводные'!$B$90="Да"),"■","")</x:f>
      </x:c>
      <x:c r="V32" s="137" t="str">
        <x:f>IF(AND(V$4&gt;=$C32,V$4&lt;=$D32,'Вводные'!$B$90="Да"),"■","")</x:f>
      </x:c>
      <x:c r="W32" s="137" t="str">
        <x:f>IF(AND(W$4&gt;=$C32,W$4&lt;=$D32,'Вводные'!$B$90="Да"),"■","")</x:f>
      </x:c>
      <x:c r="X32" s="137" t="str">
        <x:f>IF(AND(X$4&gt;=$C32,X$4&lt;=$D32,'Вводные'!$B$90="Да"),"■","")</x:f>
      </x:c>
      <x:c r="Y32" s="137" t="str">
        <x:f>IF(AND(Y$4&gt;=$C32,Y$4&lt;=$D32,'Вводные'!$B$90="Да"),"■","")</x:f>
      </x:c>
      <x:c r="Z32" s="137" t="str">
        <x:f>IF(AND(Z$4&gt;=$C32,Z$4&lt;=$D32,'Вводные'!$B$90="Да"),"■","")</x:f>
      </x:c>
      <x:c r="AA32" s="137" t="str">
        <x:f>IF(AND(AA$4&gt;=$C32,AA$4&lt;=$D32,'Вводные'!$B$90="Да"),"■","")</x:f>
      </x:c>
      <x:c r="AB32" s="137" t="str">
        <x:f>IF(AND(AB$4&gt;=$C32,AB$4&lt;=$D32,'Вводные'!$B$90="Да"),"■","")</x:f>
      </x:c>
      <x:c r="AC32" s="137" t="str">
        <x:f>IF(AND(AC$4&gt;=$C32,AC$4&lt;=$D32,'Вводные'!$B$90="Да"),"■","")</x:f>
      </x:c>
      <x:c r="AD32" s="137" t="str">
        <x:f>IF(AND(AD$4&gt;=$C32,AD$4&lt;=$D32,'Вводные'!$B$90="Да"),"■","")</x:f>
      </x:c>
      <x:c r="AE32" s="137" t="str">
        <x:f>IF(AND(AE$4&gt;=$C32,AE$4&lt;=$D32,'Вводные'!$B$90="Да"),"■","")</x:f>
      </x:c>
      <x:c r="AF32" s="137" t="str">
        <x:f>IF(AND(AF$4&gt;=$C32,AF$4&lt;=$D32,'Вводные'!$B$90="Да"),"■","")</x:f>
      </x:c>
      <x:c r="AG32" s="137" t="str">
        <x:f>IF(AND(AG$4&gt;=$C32,AG$4&lt;=$D32,'Вводные'!$B$90="Да"),"■","")</x:f>
      </x:c>
      <x:c r="AH32" s="137" t="str">
        <x:f>IF(AND(AH$4&gt;=$C32,AH$4&lt;=$D32,'Вводные'!$B$90="Да"),"■","")</x:f>
      </x:c>
      <x:c r="AI32" s="137" t="str">
        <x:f>IF(AND(AI$4&gt;=$C32,AI$4&lt;=$D32,'Вводные'!$B$90="Да"),"■","")</x:f>
      </x:c>
      <x:c r="AJ32" s="137" t="str">
        <x:f>IF(AND(AJ$4&gt;=$C32,AJ$4&lt;=$D32,'Вводные'!$B$90="Да"),"■","")</x:f>
      </x:c>
      <x:c r="AK32" s="137" t="str">
        <x:f>IF(AND(AK$4&gt;=$C32,AK$4&lt;=$D32,'Вводные'!$B$90="Да"),"■","")</x:f>
      </x:c>
      <x:c r="AL32" s="137" t="str">
        <x:f>IF(AND(AL$4&gt;=$C32,AL$4&lt;=$D32,'Вводные'!$B$90="Да"),"■","")</x:f>
      </x:c>
      <x:c r="AM32" s="137" t="str">
        <x:f>IF(AND(AM$4&gt;=$C32,AM$4&lt;=$D32,'Вводные'!$B$90="Да"),"■","")</x:f>
      </x:c>
      <x:c r="AN32" s="137" t="str">
        <x:f>IF(AND(AN$4&gt;=$C32,AN$4&lt;=$D32,'Вводные'!$B$90="Да"),"■","")</x:f>
      </x:c>
      <x:c r="AO32" s="137" t="str">
        <x:f>IF(AND(AO$4&gt;=$C32,AO$4&lt;=$D32,'Вводные'!$B$90="Да"),"■","")</x:f>
      </x:c>
      <x:c r="AP32" s="137" t="str">
        <x:f>IF(AND(AP$4&gt;=$C32,AP$4&lt;=$D32,'Вводные'!$B$90="Да"),"■","")</x:f>
      </x:c>
      <x:c r="AQ32" s="137" t="str">
        <x:f>IF(AND(AQ$4&gt;=$C32,AQ$4&lt;=$D32,'Вводные'!$B$90="Да"),"■","")</x:f>
      </x:c>
      <x:c r="AR32" s="137" t="str">
        <x:f>IF(AND(AR$4&gt;=$C32,AR$4&lt;=$D32,'Вводные'!$B$90="Да"),"■","")</x:f>
      </x:c>
      <x:c r="AS32" s="137" t="str">
        <x:f>IF(AND(AS$4&gt;=$C32,AS$4&lt;=$D32,'Вводные'!$B$90="Да"),"■","")</x:f>
      </x:c>
      <x:c r="AT32" s="137" t="str">
        <x:f>IF(AND(AT$4&gt;=$C32,AT$4&lt;=$D32,'Вводные'!$B$90="Да"),"■","")</x:f>
      </x:c>
      <x:c r="AU32" s="137" t="str">
        <x:f>IF(AND(AU$4&gt;=$C32,AU$4&lt;=$D32,'Вводные'!$B$90="Да"),"■","")</x:f>
      </x:c>
      <x:c r="AV32" s="137" t="str">
        <x:f>IF(AND(AV$4&gt;=$C32,AV$4&lt;=$D32,'Вводные'!$B$90="Да"),"■","")</x:f>
      </x:c>
      <x:c r="AW32" s="137" t="str">
        <x:f>IF(AND(AW$4&gt;=$C32,AW$4&lt;=$D32,'Вводные'!$B$90="Да"),"■","")</x:f>
      </x:c>
      <x:c r="AX32" s="137" t="str">
        <x:f>IF(AND(AX$4&gt;=$C32,AX$4&lt;=$D32,'Вводные'!$B$90="Да"),"■","")</x:f>
      </x:c>
      <x:c r="AY32" s="137" t="str">
        <x:f>IF(AND(AY$4&gt;=$C32,AY$4&lt;=$D32,'Вводные'!$B$90="Да"),"■","")</x:f>
      </x:c>
      <x:c r="AZ32" s="137" t="str">
        <x:f>IF(AND(AZ$4&gt;=$C32,AZ$4&lt;=$D32,'Вводные'!$B$90="Да"),"■","")</x:f>
      </x:c>
      <x:c r="BA32" s="137" t="str">
        <x:f>IF(AND(BA$4&gt;=$C32,BA$4&lt;=$D32,'Вводные'!$B$90="Да"),"■","")</x:f>
      </x:c>
      <x:c r="BB32" s="137" t="str">
        <x:f>IF(AND(BB$4&gt;=$C32,BB$4&lt;=$D32,'Вводные'!$B$90="Да"),"■","")</x:f>
      </x:c>
      <x:c r="BC32" s="137" t="str">
        <x:f>IF(AND(BC$4&gt;=$C32,BC$4&lt;=$D32,'Вводные'!$B$90="Да"),"■","")</x:f>
      </x:c>
      <x:c r="BD32" s="137" t="str">
        <x:f>IF(AND(BD$4&gt;=$C32,BD$4&lt;=$D32,'Вводные'!$B$90="Да"),"■","")</x:f>
      </x:c>
      <x:c r="BE32" s="137" t="str">
        <x:f>IF(AND(BE$4&gt;=$C32,BE$4&lt;=$D32,'Вводные'!$B$90="Да"),"■","")</x:f>
      </x:c>
      <x:c r="BF32" s="137" t="str">
        <x:f>IF(AND(BF$4&gt;=$C32,BF$4&lt;=$D32,'Вводные'!$B$90="Да"),"■","")</x:f>
      </x:c>
      <x:c r="BG32" s="137" t="str">
        <x:f>IF(AND(BG$4&gt;=$C32,BG$4&lt;=$D32,'Вводные'!$B$90="Да"),"■","")</x:f>
      </x:c>
      <x:c r="BH32" s="137" t="str">
        <x:f>IF(AND(BH$4&gt;=$C32,BH$4&lt;=$D32,'Вводные'!$B$90="Да"),"■","")</x:f>
      </x:c>
      <x:c r="BI32" s="137" t="str">
        <x:f>IF(AND(BI$4&gt;=$C32,BI$4&lt;=$D32,'Вводные'!$B$90="Да"),"■","")</x:f>
      </x:c>
      <x:c r="BJ32" s="137" t="str">
        <x:f>IF(AND(BJ$4&gt;=$C32,BJ$4&lt;=$D32,'Вводные'!$B$90="Да"),"■","")</x:f>
      </x:c>
      <x:c r="BK32" s="137" t="str">
        <x:f>IF(AND(BK$4&gt;=$C32,BK$4&lt;=$D32,'Вводные'!$B$90="Да"),"■","")</x:f>
      </x:c>
      <x:c r="BL32" s="137" t="str">
        <x:f>IF(AND(BL$4&gt;=$C32,BL$4&lt;=$D32,'Вводные'!$B$90="Да"),"■","")</x:f>
      </x:c>
      <x:c r="BM32" s="137" t="str">
        <x:f>IF(AND(BM$4&gt;=$C32,BM$4&lt;=$D32,'Вводные'!$B$90="Да"),"■","")</x:f>
      </x:c>
      <x:c r="BN32" s="137" t="str">
        <x:f>IF(AND(BN$4&gt;=$C32,BN$4&lt;=$D32,'Вводные'!$B$90="Да"),"■","")</x:f>
      </x:c>
      <x:c r="BO32" s="137" t="str">
        <x:f>IF(AND(BO$4&gt;=$C32,BO$4&lt;=$D32,'Вводные'!$B$90="Да"),"■","")</x:f>
      </x:c>
      <x:c r="BP32" s="137" t="str">
        <x:f>IF(AND(BP$4&gt;=$C32,BP$4&lt;=$D32,'Вводные'!$B$90="Да"),"■","")</x:f>
      </x:c>
      <x:c r="BQ32" s="137" t="str">
        <x:f>IF(AND(BQ$4&gt;=$C32,BQ$4&lt;=$D32,'Вводные'!$B$90="Да"),"■","")</x:f>
      </x:c>
      <x:c r="BR32" s="137" t="str">
        <x:f>IF(AND(BR$4&gt;=$C32,BR$4&lt;=$D32,'Вводные'!$B$90="Да"),"■","")</x:f>
      </x:c>
      <x:c r="BS32" s="137" t="str">
        <x:f>IF(AND(BS$4&gt;=$C32,BS$4&lt;=$D32,'Вводные'!$B$90="Да"),"■","")</x:f>
      </x:c>
      <x:c r="BT32" s="137" t="str">
        <x:f>IF(AND(BT$4&gt;=$C32,BT$4&lt;=$D32,'Вводные'!$B$90="Да"),"■","")</x:f>
      </x:c>
      <x:c r="BU32" s="137" t="str">
        <x:f>IF(AND(BU$4&gt;=$C32,BU$4&lt;=$D32,'Вводные'!$B$90="Да"),"■","")</x:f>
      </x:c>
      <x:c r="BV32" s="137" t="str">
        <x:f>IF(AND(BV$4&gt;=$C32,BV$4&lt;=$D32,'Вводные'!$B$90="Да"),"■","")</x:f>
      </x:c>
      <x:c r="BW32" s="137" t="str">
        <x:f>IF(AND(BW$4&gt;=$C32,BW$4&lt;=$D32,'Вводные'!$B$90="Да"),"■","")</x:f>
      </x:c>
      <x:c r="BX32" s="137" t="str">
        <x:f>IF(AND(BX$4&gt;=$C32,BX$4&lt;=$D32,'Вводные'!$B$90="Да"),"■","")</x:f>
      </x:c>
      <x:c r="BY32" s="137" t="str">
        <x:f>IF(AND(BY$4&gt;=$C32,BY$4&lt;=$D32,'Вводные'!$B$90="Да"),"■","")</x:f>
      </x:c>
      <x:c r="BZ32" s="137" t="str">
        <x:f>IF(AND(BZ$4&gt;=$C32,BZ$4&lt;=$D32,'Вводные'!$B$90="Да"),"■","")</x:f>
      </x:c>
      <x:c r="CA32" s="137" t="str">
        <x:f>IF(AND(CA$4&gt;=$C32,CA$4&lt;=$D32,'Вводные'!$B$90="Да"),"■","")</x:f>
      </x:c>
      <x:c r="CB32" s="137" t="str">
        <x:f>IF(AND(CB$4&gt;=$C32,CB$4&lt;=$D32,'Вводные'!$B$90="Да"),"■","")</x:f>
      </x:c>
      <x:c r="CC32" s="137" t="str">
        <x:f>IF(AND(CC$4&gt;=$C32,CC$4&lt;=$D32,'Вводные'!$B$90="Да"),"■","")</x:f>
      </x:c>
      <x:c r="CD32" s="137" t="str">
        <x:f>IF(AND(CD$4&gt;=$C32,CD$4&lt;=$D32,'Вводные'!$B$90="Да"),"■","")</x:f>
      </x:c>
      <x:c r="CE32" s="137" t="str">
        <x:f>IF(AND(CE$4&gt;=$C32,CE$4&lt;=$D32,'Вводные'!$B$90="Да"),"■","")</x:f>
      </x:c>
      <x:c r="CF32" s="137" t="str">
        <x:f>IF(AND(CF$4&gt;=$C32,CF$4&lt;=$D32,'Вводные'!$B$90="Да"),"■","")</x:f>
      </x:c>
      <x:c r="CG32" s="137" t="str">
        <x:f>IF(AND(CG$4&gt;=$C32,CG$4&lt;=$D32,'Вводные'!$B$90="Да"),"■","")</x:f>
      </x:c>
      <x:c r="CH32" s="137" t="str">
        <x:f>IF(AND(CH$4&gt;=$C32,CH$4&lt;=$D32,'Вводные'!$B$90="Да"),"■","")</x:f>
      </x:c>
      <x:c r="CI32" s="137" t="str">
        <x:f>IF(AND(CI$4&gt;=$C32,CI$4&lt;=$D32,'Вводные'!$B$90="Да"),"■","")</x:f>
      </x:c>
      <x:c r="CJ32" s="137" t="str">
        <x:f>IF(AND(CJ$4&gt;=$C32,CJ$4&lt;=$D32,'Вводные'!$B$90="Да"),"■","")</x:f>
      </x:c>
      <x:c r="CK32" s="137" t="str">
        <x:f>IF(AND(CK$4&gt;=$C32,CK$4&lt;=$D32,'Вводные'!$B$90="Да"),"■","")</x:f>
      </x:c>
      <x:c r="CL32" s="137" t="str">
        <x:f>IF(AND(CL$4&gt;=$C32,CL$4&lt;=$D32,'Вводные'!$B$90="Да"),"■","")</x:f>
      </x:c>
      <x:c r="CM32" s="137" t="str">
        <x:f>IF(AND(CM$4&gt;=$C32,CM$4&lt;=$D32,'Вводные'!$B$90="Да"),"■","")</x:f>
      </x:c>
      <x:c r="CN32" s="137" t="str">
        <x:f>IF(AND(CN$4&gt;=$C32,CN$4&lt;=$D32,'Вводные'!$B$90="Да"),"■","")</x:f>
      </x:c>
      <x:c r="CO32" s="137" t="str">
        <x:f>IF(AND(CO$4&gt;=$C32,CO$4&lt;=$D32,'Вводные'!$B$90="Да"),"■","")</x:f>
      </x:c>
      <x:c r="CP32" s="137" t="str">
        <x:f>IF(AND(CP$4&gt;=$C32,CP$4&lt;=$D32,'Вводные'!$B$90="Да"),"■","")</x:f>
      </x:c>
      <x:c r="CQ32" s="137" t="str">
        <x:f>IF(AND(CQ$4&gt;=$C32,CQ$4&lt;=$D32,'Вводные'!$B$90="Да"),"■","")</x:f>
      </x:c>
      <x:c r="CR32" s="137" t="str">
        <x:f>IF(AND(CR$4&gt;=$C32,CR$4&lt;=$D32,'Вводные'!$B$90="Да"),"■","")</x:f>
      </x:c>
      <x:c r="CS32" s="137" t="str">
        <x:f>IF(AND(CS$4&gt;=$C32,CS$4&lt;=$D32,'Вводные'!$B$90="Да"),"■","")</x:f>
      </x:c>
      <x:c r="CT32" s="137" t="str">
        <x:f>IF(AND(CT$4&gt;=$C32,CT$4&lt;=$D32,'Вводные'!$B$90="Да"),"■","")</x:f>
      </x:c>
      <x:c r="CU32" s="137" t="str">
        <x:f>IF(AND(CU$4&gt;=$C32,CU$4&lt;=$D32,'Вводные'!$B$90="Да"),"■","")</x:f>
      </x:c>
      <x:c r="CV32" s="137" t="str">
        <x:f>IF(AND(CV$4&gt;=$C32,CV$4&lt;=$D32,'Вводные'!$B$90="Да"),"■","")</x:f>
      </x:c>
      <x:c r="CW32" s="137" t="str">
        <x:f>IF(AND(CW$4&gt;=$C32,CW$4&lt;=$D32,'Вводные'!$B$90="Да"),"■","")</x:f>
      </x:c>
      <x:c r="CX32" s="137" t="str">
        <x:f>IF(AND(CX$4&gt;=$C32,CX$4&lt;=$D32,'Вводные'!$B$90="Да"),"■","")</x:f>
      </x:c>
      <x:c r="CY32" s="137" t="str">
        <x:f>IF(AND(CY$4&gt;=$C32,CY$4&lt;=$D32,'Вводные'!$B$90="Да"),"■","")</x:f>
      </x:c>
      <x:c r="CZ32" s="137" t="str">
        <x:f>IF(AND(CZ$4&gt;=$C32,CZ$4&lt;=$D32,'Вводные'!$B$90="Да"),"■","")</x:f>
      </x:c>
      <x:c r="DA32" s="137" t="str">
        <x:f>IF(AND(DA$4&gt;=$C32,DA$4&lt;=$D32,'Вводные'!$B$90="Да"),"■","")</x:f>
      </x:c>
      <x:c r="DB32" s="137" t="str">
        <x:f>IF(AND(DB$4&gt;=$C32,DB$4&lt;=$D32,'Вводные'!$B$90="Да"),"■","")</x:f>
      </x:c>
      <x:c r="DC32" s="137" t="str">
        <x:f>IF(AND(DC$4&gt;=$C32,DC$4&lt;=$D32,'Вводные'!$B$90="Да"),"■","")</x:f>
      </x:c>
      <x:c r="DD32" s="137" t="str">
        <x:f>IF(AND(DD$4&gt;=$C32,DD$4&lt;=$D32,'Вводные'!$B$90="Да"),"■","")</x:f>
      </x:c>
      <x:c r="DE32" s="137" t="str">
        <x:f>IF(AND(DE$4&gt;=$C32,DE$4&lt;=$D32,'Вводные'!$B$90="Да"),"■","")</x:f>
      </x:c>
      <x:c r="DF32" s="137" t="str">
        <x:f>IF(AND(DF$4&gt;=$C32,DF$4&lt;=$D32,'Вводные'!$B$90="Да"),"■","")</x:f>
      </x:c>
      <x:c r="DG32" s="137" t="str">
        <x:f>IF(AND(DG$4&gt;=$C32,DG$4&lt;=$D32,'Вводные'!$B$90="Да"),"■","")</x:f>
      </x:c>
      <x:c r="DH32" s="137" t="str">
        <x:f>IF(AND(DH$4&gt;=$C32,DH$4&lt;=$D32,'Вводные'!$B$90="Да"),"■","")</x:f>
      </x:c>
      <x:c r="DI32" s="137" t="str">
        <x:f>IF(AND(DI$4&gt;=$C32,DI$4&lt;=$D32,'Вводные'!$B$90="Да"),"■","")</x:f>
      </x:c>
      <x:c r="DJ32" s="137" t="str">
        <x:f>IF(AND(DJ$4&gt;=$C32,DJ$4&lt;=$D32,'Вводные'!$B$90="Да"),"■","")</x:f>
      </x:c>
      <x:c r="DK32" s="137" t="str">
        <x:f>IF(AND(DK$4&gt;=$C32,DK$4&lt;=$D32,'Вводные'!$B$90="Да"),"■","")</x:f>
      </x:c>
      <x:c r="DL32" s="137" t="str">
        <x:f>IF(AND(DL$4&gt;=$C32,DL$4&lt;=$D32,'Вводные'!$B$90="Да"),"■","")</x:f>
      </x:c>
      <x:c r="DM32" s="137" t="str">
        <x:f>IF(AND(DM$4&gt;=$C32,DM$4&lt;=$D32,'Вводные'!$B$90="Да"),"■","")</x:f>
      </x:c>
      <x:c r="DN32" s="137" t="str">
        <x:f>IF(AND(DN$4&gt;=$C32,DN$4&lt;=$D32,'Вводные'!$B$90="Да"),"■","")</x:f>
      </x:c>
      <x:c r="DO32" s="137" t="str">
        <x:f>IF(AND(DO$4&gt;=$C32,DO$4&lt;=$D32,'Вводные'!$B$90="Да"),"■","")</x:f>
      </x:c>
      <x:c r="DP32" s="137" t="str">
        <x:f>IF(AND(DP$4&gt;=$C32,DP$4&lt;=$D32,'Вводные'!$B$90="Да"),"■","")</x:f>
      </x:c>
      <x:c r="DQ32" s="137" t="str">
        <x:f>IF(AND(DQ$4&gt;=$C32,DQ$4&lt;=$D32,'Вводные'!$B$90="Да"),"■","")</x:f>
      </x:c>
      <x:c r="DR32" s="137" t="str">
        <x:f>IF(AND(DR$4&gt;=$C32,DR$4&lt;=$D32,'Вводные'!$B$90="Да"),"■","")</x:f>
      </x:c>
      <x:c r="DS32" s="137" t="str">
        <x:f>IF(AND(DS$4&gt;=$C32,DS$4&lt;=$D32,'Вводные'!$B$90="Да"),"■","")</x:f>
      </x:c>
      <x:c r="DT32" s="137" t="str">
        <x:f>IF(AND(DT$4&gt;=$C32,DT$4&lt;=$D32,'Вводные'!$B$90="Да"),"■","")</x:f>
      </x:c>
      <x:c r="DU32" s="137" t="str">
        <x:f>IF(AND(DU$4&gt;=$C32,DU$4&lt;=$D32,'Вводные'!$B$90="Да"),"■","")</x:f>
      </x:c>
      <x:c r="DV32" s="137" t="str">
        <x:f>IF(AND(DV$4&gt;=$C32,DV$4&lt;=$D32,'Вводные'!$B$90="Да"),"■","")</x:f>
      </x:c>
      <x:c r="DW32" s="137" t="str">
        <x:f>IF(AND(DW$4&gt;=$C32,DW$4&lt;=$D32,'Вводные'!$B$90="Да"),"■","")</x:f>
      </x:c>
      <x:c r="DX32" s="137" t="str">
        <x:f>IF(AND(DX$4&gt;=$C32,DX$4&lt;=$D32,'Вводные'!$B$90="Да"),"■","")</x:f>
      </x:c>
      <x:c r="DY32" s="137" t="str">
        <x:f>IF(AND(DY$4&gt;=$C32,DY$4&lt;=$D32,'Вводные'!$B$90="Да"),"■","")</x:f>
      </x:c>
      <x:c r="DZ32" s="137" t="str">
        <x:f>IF(AND(DZ$4&gt;=$C32,DZ$4&lt;=$D32,'Вводные'!$B$90="Да"),"■","")</x:f>
      </x:c>
      <x:c r="EA32" s="137" t="str">
        <x:f>IF(AND(EA$4&gt;=$C32,EA$4&lt;=$D32,'Вводные'!$B$90="Да"),"■","")</x:f>
      </x:c>
      <x:c r="EB32" s="137" t="str">
        <x:f>IF(AND(EB$4&gt;=$C32,EB$4&lt;=$D32,'Вводные'!$B$90="Да"),"■","")</x:f>
      </x:c>
      <x:c r="EC32" s="137" t="str">
        <x:f>IF(AND(EC$4&gt;=$C32,EC$4&lt;=$D32,'Вводные'!$B$90="Да"),"■","")</x:f>
      </x:c>
      <x:c r="ED32" s="137" t="str">
        <x:f>IF(AND(ED$4&gt;=$C32,ED$4&lt;=$D32,'Вводные'!$B$90="Да"),"■","")</x:f>
      </x:c>
      <x:c r="EE32" s="137" t="str">
        <x:f>IF(AND(EE$4&gt;=$C32,EE$4&lt;=$D32,'Вводные'!$B$90="Да"),"■","")</x:f>
      </x:c>
      <x:c r="EF32" s="137" t="str">
        <x:f>IF(AND(EF$4&gt;=$C32,EF$4&lt;=$D32,'Вводные'!$B$90="Да"),"■","")</x:f>
      </x:c>
      <x:c r="EG32" s="137" t="str">
        <x:f>IF(AND(EG$4&gt;=$C32,EG$4&lt;=$D32,'Вводные'!$B$90="Да"),"■","")</x:f>
      </x:c>
      <x:c r="EH32" s="137" t="str">
        <x:f>IF(AND(EH$4&gt;=$C32,EH$4&lt;=$D32,'Вводные'!$B$90="Да"),"■","")</x:f>
      </x:c>
      <x:c r="EI32" s="137" t="str">
        <x:f>IF(AND(EI$4&gt;=$C32,EI$4&lt;=$D32,'Вводные'!$B$90="Да"),"■","")</x:f>
      </x:c>
      <x:c r="EJ32" s="137" t="str">
        <x:f>IF(AND(EJ$4&gt;=$C32,EJ$4&lt;=$D32,'Вводные'!$B$90="Да"),"■","")</x:f>
      </x:c>
      <x:c r="EK32" s="137" t="str">
        <x:f>IF(AND(EK$4&gt;=$C32,EK$4&lt;=$D32,'Вводные'!$B$90="Да"),"■","")</x:f>
      </x:c>
      <x:c r="EL32" s="137" t="str">
        <x:f>IF(AND(EL$4&gt;=$C32,EL$4&lt;=$D32,'Вводные'!$B$90="Да"),"■","")</x:f>
      </x:c>
      <x:c r="EM32" s="137" t="str">
        <x:f>IF(AND(EM$4&gt;=$C32,EM$4&lt;=$D32,'Вводные'!$B$90="Да"),"■","")</x:f>
      </x:c>
      <x:c r="EN32" s="137" t="str">
        <x:f>IF(AND(EN$4&gt;=$C32,EN$4&lt;=$D32,'Вводные'!$B$90="Да"),"■","")</x:f>
      </x:c>
      <x:c r="EO32" s="137" t="str">
        <x:f>IF(AND(EO$4&gt;=$C32,EO$4&lt;=$D32,'Вводные'!$B$90="Да"),"■","")</x:f>
      </x:c>
      <x:c r="EP32" s="137" t="str">
        <x:f>IF(AND(EP$4&gt;=$C32,EP$4&lt;=$D32,'Вводные'!$B$90="Да"),"■","")</x:f>
      </x:c>
      <x:c r="EQ32" s="137" t="str">
        <x:f>IF(AND(EQ$4&gt;=$C32,EQ$4&lt;=$D32,'Вводные'!$B$90="Да"),"■","")</x:f>
      </x:c>
      <x:c r="ER32" s="137" t="str">
        <x:f>IF(AND(ER$4&gt;=$C32,ER$4&lt;=$D32,'Вводные'!$B$90="Да"),"■","")</x:f>
      </x:c>
      <x:c r="ES32" s="137" t="str">
        <x:f>IF(AND(ES$4&gt;=$C32,ES$4&lt;=$D32,'Вводные'!$B$90="Да"),"■","")</x:f>
      </x:c>
      <x:c r="ET32" s="137" t="str">
        <x:f>IF(AND(ET$4&gt;=$C32,ET$4&lt;=$D32,'Вводные'!$B$90="Да"),"■","")</x:f>
      </x:c>
      <x:c r="EU32" s="137" t="str">
        <x:f>IF(AND(EU$4&gt;=$C32,EU$4&lt;=$D32,'Вводные'!$B$90="Да"),"■","")</x:f>
      </x:c>
      <x:c r="EV32" s="137" t="str">
        <x:f>IF(AND(EV$4&gt;=$C32,EV$4&lt;=$D32,'Вводные'!$B$90="Да"),"■","")</x:f>
      </x:c>
      <x:c r="EW32" s="137" t="str">
        <x:f>IF(AND(EW$4&gt;=$C32,EW$4&lt;=$D32,'Вводные'!$B$90="Да"),"■","")</x:f>
      </x:c>
      <x:c r="EX32" s="137" t="str">
        <x:f>IF(AND(EX$4&gt;=$C32,EX$4&lt;=$D32,'Вводные'!$B$90="Да"),"■","")</x:f>
      </x:c>
      <x:c r="EY32" s="137" t="str">
        <x:f>IF(AND(EY$4&gt;=$C32,EY$4&lt;=$D32,'Вводные'!$B$90="Да"),"■","")</x:f>
      </x:c>
      <x:c r="EZ32" s="137" t="str">
        <x:f>IF(AND(EZ$4&gt;=$C32,EZ$4&lt;=$D32,'Вводные'!$B$90="Да"),"■","")</x:f>
      </x:c>
      <x:c r="FA32" s="137" t="str">
        <x:f>IF(AND(FA$4&gt;=$C32,FA$4&lt;=$D32,'Вводные'!$B$90="Да"),"■","")</x:f>
      </x:c>
      <x:c r="FB32" s="137" t="str">
        <x:f>IF(AND(FB$4&gt;=$C32,FB$4&lt;=$D32,'Вводные'!$B$90="Да"),"■","")</x:f>
      </x:c>
      <x:c r="FC32" s="137" t="str">
        <x:f>IF(AND(FC$4&gt;=$C32,FC$4&lt;=$D32,'Вводные'!$B$90="Да"),"■","")</x:f>
      </x:c>
      <x:c r="FD32" s="137" t="str">
        <x:f>IF(AND(FD$4&gt;=$C32,FD$4&lt;=$D32,'Вводные'!$B$90="Да"),"■","")</x:f>
      </x:c>
      <x:c r="FE32" s="137" t="str">
        <x:f>IF(AND(FE$4&gt;=$C32,FE$4&lt;=$D32,'Вводные'!$B$90="Да"),"■","")</x:f>
      </x:c>
      <x:c r="FF32" s="137" t="str">
        <x:f>IF(AND(FF$4&gt;=$C32,FF$4&lt;=$D32,'Вводные'!$B$90="Да"),"■","")</x:f>
      </x:c>
      <x:c r="FG32" s="137" t="str">
        <x:f>IF(AND(FG$4&gt;=$C32,FG$4&lt;=$D32,'Вводные'!$B$90="Да"),"■","")</x:f>
      </x:c>
      <x:c r="FH32" s="137" t="str">
        <x:f>IF(AND(FH$4&gt;=$C32,FH$4&lt;=$D32,'Вводные'!$B$90="Да"),"■","")</x:f>
      </x:c>
      <x:c r="FI32" s="137" t="str">
        <x:f>IF(AND(FI$4&gt;=$C32,FI$4&lt;=$D32,'Вводные'!$B$90="Да"),"■","")</x:f>
      </x:c>
      <x:c r="FJ32" s="137" t="str">
        <x:f>IF(AND(FJ$4&gt;=$C32,FJ$4&lt;=$D32,'Вводные'!$B$90="Да"),"■","")</x:f>
      </x:c>
      <x:c r="FK32" s="137" t="str">
        <x:f>IF(AND(FK$4&gt;=$C32,FK$4&lt;=$D32,'Вводные'!$B$90="Да"),"■","")</x:f>
      </x:c>
      <x:c r="FL32" s="137" t="str">
        <x:f>IF(AND(FL$4&gt;=$C32,FL$4&lt;=$D32,'Вводные'!$B$90="Да"),"■","")</x:f>
      </x:c>
      <x:c r="FM32" s="137" t="str">
        <x:f>IF(AND(FM$4&gt;=$C32,FM$4&lt;=$D32,'Вводные'!$B$90="Да"),"■","")</x:f>
      </x:c>
      <x:c r="FN32" s="137" t="str">
        <x:f>IF(AND(FN$4&gt;=$C32,FN$4&lt;=$D32,'Вводные'!$B$90="Да"),"■","")</x:f>
      </x:c>
      <x:c r="FO32" s="137" t="str">
        <x:f>IF(AND(FO$4&gt;=$C32,FO$4&lt;=$D32,'Вводные'!$B$90="Да"),"■","")</x:f>
      </x:c>
      <x:c r="FP32" s="137" t="str">
        <x:f>IF(AND(FP$4&gt;=$C32,FP$4&lt;=$D32,'Вводные'!$B$90="Да"),"■","")</x:f>
      </x:c>
      <x:c r="FQ32" s="137" t="str">
        <x:f>IF(AND(FQ$4&gt;=$C32,FQ$4&lt;=$D32,'Вводные'!$B$90="Да"),"■","")</x:f>
      </x:c>
      <x:c r="FR32" s="137" t="str">
        <x:f>IF(AND(FR$4&gt;=$C32,FR$4&lt;=$D32,'Вводные'!$B$90="Да"),"■","")</x:f>
      </x:c>
      <x:c r="FS32" s="137" t="str">
        <x:f>IF(AND(FS$4&gt;=$C32,FS$4&lt;=$D32,'Вводные'!$B$90="Да"),"■","")</x:f>
      </x:c>
      <x:c r="FT32" s="137" t="str">
        <x:f>IF(AND(FT$4&gt;=$C32,FT$4&lt;=$D32,'Вводные'!$B$90="Да"),"■","")</x:f>
      </x:c>
      <x:c r="FU32" s="137" t="str">
        <x:f>IF(AND(FU$4&gt;=$C32,FU$4&lt;=$D32,'Вводные'!$B$90="Да"),"■","")</x:f>
      </x:c>
      <x:c r="FV32" s="137" t="str">
        <x:f>IF(AND(FV$4&gt;=$C32,FV$4&lt;=$D32,'Вводные'!$B$90="Да"),"■","")</x:f>
      </x:c>
      <x:c r="FW32" s="137" t="str">
        <x:f>IF(AND(FW$4&gt;=$C32,FW$4&lt;=$D32,'Вводные'!$B$90="Да"),"■","")</x:f>
      </x:c>
      <x:c r="FX32" s="137" t="str">
        <x:f>IF(AND(FX$4&gt;=$C32,FX$4&lt;=$D32,'Вводные'!$B$90="Да"),"■","")</x:f>
      </x:c>
      <x:c r="FY32" s="137" t="str">
        <x:f>IF(AND(FY$4&gt;=$C32,FY$4&lt;=$D32,'Вводные'!$B$90="Да"),"■","")</x:f>
      </x:c>
      <x:c r="FZ32" s="137" t="str">
        <x:f>IF(AND(FZ$4&gt;=$C32,FZ$4&lt;=$D32,'Вводные'!$B$90="Да"),"■","")</x:f>
      </x:c>
      <x:c r="GA32" s="137" t="str">
        <x:f>IF(AND(GA$4&gt;=$C32,GA$4&lt;=$D32,'Вводные'!$B$90="Да"),"■","")</x:f>
      </x:c>
      <x:c r="GB32" s="137" t="str">
        <x:f>IF(AND(GB$4&gt;=$C32,GB$4&lt;=$D32,'Вводные'!$B$90="Да"),"■","")</x:f>
      </x:c>
    </x:row>
    <x:row r="33">
      <x:c r="C33" s="92"/>
      <x:c r="D33" s="92"/>
    </x:row>
    <x:row r="34">
      <x:c r="C34" s="92"/>
      <x:c r="D34" s="92"/>
    </x:row>
    <x:row r="35">
      <x:c r="A35" t="str">
        <x:f>'Вводные'!$C$91</x:f>
      </x:c>
      <x:c r="B35" t="str">
        <x:v>Сделка / старт</x:v>
      </x:c>
      <x:c r="C35" s="92" t="n">
        <x:f>EDATE('Вводные'!$D$91,'Вводные'!$H$9)</x:f>
      </x:c>
      <x:c r="D35" s="92" t="n">
        <x:f>C35</x:f>
      </x:c>
      <x:c r="E35" s="135" t="str">
        <x:f>IF(AND(E$4&gt;=$C35,E$4&lt;=$D35,'Вводные'!$B$91="Да"),"■","")</x:f>
      </x:c>
      <x:c r="F35" s="135" t="str">
        <x:f>IF(AND(F$4&gt;=$C35,F$4&lt;=$D35,'Вводные'!$B$91="Да"),"■","")</x:f>
      </x:c>
      <x:c r="G35" s="135" t="str">
        <x:f>IF(AND(G$4&gt;=$C35,G$4&lt;=$D35,'Вводные'!$B$91="Да"),"■","")</x:f>
      </x:c>
      <x:c r="H35" s="135" t="str">
        <x:f>IF(AND(H$4&gt;=$C35,H$4&lt;=$D35,'Вводные'!$B$91="Да"),"■","")</x:f>
      </x:c>
      <x:c r="I35" s="135" t="str">
        <x:f>IF(AND(I$4&gt;=$C35,I$4&lt;=$D35,'Вводные'!$B$91="Да"),"■","")</x:f>
      </x:c>
      <x:c r="J35" s="135" t="str">
        <x:f>IF(AND(J$4&gt;=$C35,J$4&lt;=$D35,'Вводные'!$B$91="Да"),"■","")</x:f>
      </x:c>
      <x:c r="K35" s="135" t="str">
        <x:f>IF(AND(K$4&gt;=$C35,K$4&lt;=$D35,'Вводные'!$B$91="Да"),"■","")</x:f>
      </x:c>
      <x:c r="L35" s="135" t="str">
        <x:f>IF(AND(L$4&gt;=$C35,L$4&lt;=$D35,'Вводные'!$B$91="Да"),"■","")</x:f>
      </x:c>
      <x:c r="M35" s="135" t="str">
        <x:f>IF(AND(M$4&gt;=$C35,M$4&lt;=$D35,'Вводные'!$B$91="Да"),"■","")</x:f>
      </x:c>
      <x:c r="N35" s="135" t="str">
        <x:f>IF(AND(N$4&gt;=$C35,N$4&lt;=$D35,'Вводные'!$B$91="Да"),"■","")</x:f>
      </x:c>
      <x:c r="O35" s="135" t="str">
        <x:f>IF(AND(O$4&gt;=$C35,O$4&lt;=$D35,'Вводные'!$B$91="Да"),"■","")</x:f>
      </x:c>
      <x:c r="P35" s="135" t="str">
        <x:f>IF(AND(P$4&gt;=$C35,P$4&lt;=$D35,'Вводные'!$B$91="Да"),"■","")</x:f>
      </x:c>
      <x:c r="Q35" s="135" t="str">
        <x:f>IF(AND(Q$4&gt;=$C35,Q$4&lt;=$D35,'Вводные'!$B$91="Да"),"■","")</x:f>
      </x:c>
      <x:c r="R35" s="135" t="str">
        <x:f>IF(AND(R$4&gt;=$C35,R$4&lt;=$D35,'Вводные'!$B$91="Да"),"■","")</x:f>
      </x:c>
      <x:c r="S35" s="135" t="str">
        <x:f>IF(AND(S$4&gt;=$C35,S$4&lt;=$D35,'Вводные'!$B$91="Да"),"■","")</x:f>
      </x:c>
      <x:c r="T35" s="135" t="str">
        <x:f>IF(AND(T$4&gt;=$C35,T$4&lt;=$D35,'Вводные'!$B$91="Да"),"■","")</x:f>
      </x:c>
      <x:c r="U35" s="135" t="str">
        <x:f>IF(AND(U$4&gt;=$C35,U$4&lt;=$D35,'Вводные'!$B$91="Да"),"■","")</x:f>
      </x:c>
      <x:c r="V35" s="135" t="str">
        <x:f>IF(AND(V$4&gt;=$C35,V$4&lt;=$D35,'Вводные'!$B$91="Да"),"■","")</x:f>
      </x:c>
      <x:c r="W35" s="135" t="str">
        <x:f>IF(AND(W$4&gt;=$C35,W$4&lt;=$D35,'Вводные'!$B$91="Да"),"■","")</x:f>
      </x:c>
      <x:c r="X35" s="135" t="str">
        <x:f>IF(AND(X$4&gt;=$C35,X$4&lt;=$D35,'Вводные'!$B$91="Да"),"■","")</x:f>
      </x:c>
      <x:c r="Y35" s="135" t="str">
        <x:f>IF(AND(Y$4&gt;=$C35,Y$4&lt;=$D35,'Вводные'!$B$91="Да"),"■","")</x:f>
      </x:c>
      <x:c r="Z35" s="135" t="str">
        <x:f>IF(AND(Z$4&gt;=$C35,Z$4&lt;=$D35,'Вводные'!$B$91="Да"),"■","")</x:f>
      </x:c>
      <x:c r="AA35" s="135" t="str">
        <x:f>IF(AND(AA$4&gt;=$C35,AA$4&lt;=$D35,'Вводные'!$B$91="Да"),"■","")</x:f>
      </x:c>
      <x:c r="AB35" s="135" t="str">
        <x:f>IF(AND(AB$4&gt;=$C35,AB$4&lt;=$D35,'Вводные'!$B$91="Да"),"■","")</x:f>
      </x:c>
      <x:c r="AC35" s="135" t="str">
        <x:f>IF(AND(AC$4&gt;=$C35,AC$4&lt;=$D35,'Вводные'!$B$91="Да"),"■","")</x:f>
      </x:c>
      <x:c r="AD35" s="135" t="str">
        <x:f>IF(AND(AD$4&gt;=$C35,AD$4&lt;=$D35,'Вводные'!$B$91="Да"),"■","")</x:f>
      </x:c>
      <x:c r="AE35" s="135" t="str">
        <x:f>IF(AND(AE$4&gt;=$C35,AE$4&lt;=$D35,'Вводные'!$B$91="Да"),"■","")</x:f>
      </x:c>
      <x:c r="AF35" s="135" t="str">
        <x:f>IF(AND(AF$4&gt;=$C35,AF$4&lt;=$D35,'Вводные'!$B$91="Да"),"■","")</x:f>
      </x:c>
      <x:c r="AG35" s="135" t="str">
        <x:f>IF(AND(AG$4&gt;=$C35,AG$4&lt;=$D35,'Вводные'!$B$91="Да"),"■","")</x:f>
      </x:c>
      <x:c r="AH35" s="135" t="str">
        <x:f>IF(AND(AH$4&gt;=$C35,AH$4&lt;=$D35,'Вводные'!$B$91="Да"),"■","")</x:f>
      </x:c>
      <x:c r="AI35" s="135" t="str">
        <x:f>IF(AND(AI$4&gt;=$C35,AI$4&lt;=$D35,'Вводные'!$B$91="Да"),"■","")</x:f>
      </x:c>
      <x:c r="AJ35" s="135" t="str">
        <x:f>IF(AND(AJ$4&gt;=$C35,AJ$4&lt;=$D35,'Вводные'!$B$91="Да"),"■","")</x:f>
      </x:c>
      <x:c r="AK35" s="135" t="str">
        <x:f>IF(AND(AK$4&gt;=$C35,AK$4&lt;=$D35,'Вводные'!$B$91="Да"),"■","")</x:f>
      </x:c>
      <x:c r="AL35" s="135" t="str">
        <x:f>IF(AND(AL$4&gt;=$C35,AL$4&lt;=$D35,'Вводные'!$B$91="Да"),"■","")</x:f>
      </x:c>
      <x:c r="AM35" s="135" t="str">
        <x:f>IF(AND(AM$4&gt;=$C35,AM$4&lt;=$D35,'Вводные'!$B$91="Да"),"■","")</x:f>
      </x:c>
      <x:c r="AN35" s="135" t="str">
        <x:f>IF(AND(AN$4&gt;=$C35,AN$4&lt;=$D35,'Вводные'!$B$91="Да"),"■","")</x:f>
      </x:c>
      <x:c r="AO35" s="135" t="str">
        <x:f>IF(AND(AO$4&gt;=$C35,AO$4&lt;=$D35,'Вводные'!$B$91="Да"),"■","")</x:f>
      </x:c>
      <x:c r="AP35" s="135" t="str">
        <x:f>IF(AND(AP$4&gt;=$C35,AP$4&lt;=$D35,'Вводные'!$B$91="Да"),"■","")</x:f>
      </x:c>
      <x:c r="AQ35" s="135" t="str">
        <x:f>IF(AND(AQ$4&gt;=$C35,AQ$4&lt;=$D35,'Вводные'!$B$91="Да"),"■","")</x:f>
      </x:c>
      <x:c r="AR35" s="135" t="str">
        <x:f>IF(AND(AR$4&gt;=$C35,AR$4&lt;=$D35,'Вводные'!$B$91="Да"),"■","")</x:f>
      </x:c>
      <x:c r="AS35" s="135" t="str">
        <x:f>IF(AND(AS$4&gt;=$C35,AS$4&lt;=$D35,'Вводные'!$B$91="Да"),"■","")</x:f>
      </x:c>
      <x:c r="AT35" s="135" t="str">
        <x:f>IF(AND(AT$4&gt;=$C35,AT$4&lt;=$D35,'Вводные'!$B$91="Да"),"■","")</x:f>
      </x:c>
      <x:c r="AU35" s="135" t="str">
        <x:f>IF(AND(AU$4&gt;=$C35,AU$4&lt;=$D35,'Вводные'!$B$91="Да"),"■","")</x:f>
      </x:c>
      <x:c r="AV35" s="135" t="str">
        <x:f>IF(AND(AV$4&gt;=$C35,AV$4&lt;=$D35,'Вводные'!$B$91="Да"),"■","")</x:f>
      </x:c>
      <x:c r="AW35" s="135" t="str">
        <x:f>IF(AND(AW$4&gt;=$C35,AW$4&lt;=$D35,'Вводные'!$B$91="Да"),"■","")</x:f>
      </x:c>
      <x:c r="AX35" s="135" t="str">
        <x:f>IF(AND(AX$4&gt;=$C35,AX$4&lt;=$D35,'Вводные'!$B$91="Да"),"■","")</x:f>
      </x:c>
      <x:c r="AY35" s="135" t="str">
        <x:f>IF(AND(AY$4&gt;=$C35,AY$4&lt;=$D35,'Вводные'!$B$91="Да"),"■","")</x:f>
      </x:c>
      <x:c r="AZ35" s="135" t="str">
        <x:f>IF(AND(AZ$4&gt;=$C35,AZ$4&lt;=$D35,'Вводные'!$B$91="Да"),"■","")</x:f>
      </x:c>
      <x:c r="BA35" s="135" t="str">
        <x:f>IF(AND(BA$4&gt;=$C35,BA$4&lt;=$D35,'Вводные'!$B$91="Да"),"■","")</x:f>
      </x:c>
      <x:c r="BB35" s="135" t="str">
        <x:f>IF(AND(BB$4&gt;=$C35,BB$4&lt;=$D35,'Вводные'!$B$91="Да"),"■","")</x:f>
      </x:c>
      <x:c r="BC35" s="135" t="str">
        <x:f>IF(AND(BC$4&gt;=$C35,BC$4&lt;=$D35,'Вводные'!$B$91="Да"),"■","")</x:f>
      </x:c>
      <x:c r="BD35" s="135" t="str">
        <x:f>IF(AND(BD$4&gt;=$C35,BD$4&lt;=$D35,'Вводные'!$B$91="Да"),"■","")</x:f>
      </x:c>
      <x:c r="BE35" s="135" t="str">
        <x:f>IF(AND(BE$4&gt;=$C35,BE$4&lt;=$D35,'Вводные'!$B$91="Да"),"■","")</x:f>
      </x:c>
      <x:c r="BF35" s="135" t="str">
        <x:f>IF(AND(BF$4&gt;=$C35,BF$4&lt;=$D35,'Вводные'!$B$91="Да"),"■","")</x:f>
      </x:c>
      <x:c r="BG35" s="135" t="str">
        <x:f>IF(AND(BG$4&gt;=$C35,BG$4&lt;=$D35,'Вводные'!$B$91="Да"),"■","")</x:f>
      </x:c>
      <x:c r="BH35" s="135" t="str">
        <x:f>IF(AND(BH$4&gt;=$C35,BH$4&lt;=$D35,'Вводные'!$B$91="Да"),"■","")</x:f>
      </x:c>
      <x:c r="BI35" s="135" t="str">
        <x:f>IF(AND(BI$4&gt;=$C35,BI$4&lt;=$D35,'Вводные'!$B$91="Да"),"■","")</x:f>
      </x:c>
      <x:c r="BJ35" s="135" t="str">
        <x:f>IF(AND(BJ$4&gt;=$C35,BJ$4&lt;=$D35,'Вводные'!$B$91="Да"),"■","")</x:f>
      </x:c>
      <x:c r="BK35" s="135" t="str">
        <x:f>IF(AND(BK$4&gt;=$C35,BK$4&lt;=$D35,'Вводные'!$B$91="Да"),"■","")</x:f>
      </x:c>
      <x:c r="BL35" s="135" t="str">
        <x:f>IF(AND(BL$4&gt;=$C35,BL$4&lt;=$D35,'Вводные'!$B$91="Да"),"■","")</x:f>
      </x:c>
      <x:c r="BM35" s="135" t="str">
        <x:f>IF(AND(BM$4&gt;=$C35,BM$4&lt;=$D35,'Вводные'!$B$91="Да"),"■","")</x:f>
      </x:c>
      <x:c r="BN35" s="135" t="str">
        <x:f>IF(AND(BN$4&gt;=$C35,BN$4&lt;=$D35,'Вводные'!$B$91="Да"),"■","")</x:f>
      </x:c>
      <x:c r="BO35" s="135" t="str">
        <x:f>IF(AND(BO$4&gt;=$C35,BO$4&lt;=$D35,'Вводные'!$B$91="Да"),"■","")</x:f>
      </x:c>
      <x:c r="BP35" s="135" t="str">
        <x:f>IF(AND(BP$4&gt;=$C35,BP$4&lt;=$D35,'Вводные'!$B$91="Да"),"■","")</x:f>
      </x:c>
      <x:c r="BQ35" s="135" t="str">
        <x:f>IF(AND(BQ$4&gt;=$C35,BQ$4&lt;=$D35,'Вводные'!$B$91="Да"),"■","")</x:f>
      </x:c>
      <x:c r="BR35" s="135" t="str">
        <x:f>IF(AND(BR$4&gt;=$C35,BR$4&lt;=$D35,'Вводные'!$B$91="Да"),"■","")</x:f>
      </x:c>
      <x:c r="BS35" s="135" t="str">
        <x:f>IF(AND(BS$4&gt;=$C35,BS$4&lt;=$D35,'Вводные'!$B$91="Да"),"■","")</x:f>
      </x:c>
      <x:c r="BT35" s="135" t="str">
        <x:f>IF(AND(BT$4&gt;=$C35,BT$4&lt;=$D35,'Вводные'!$B$91="Да"),"■","")</x:f>
      </x:c>
      <x:c r="BU35" s="135" t="str">
        <x:f>IF(AND(BU$4&gt;=$C35,BU$4&lt;=$D35,'Вводные'!$B$91="Да"),"■","")</x:f>
      </x:c>
      <x:c r="BV35" s="135" t="str">
        <x:f>IF(AND(BV$4&gt;=$C35,BV$4&lt;=$D35,'Вводные'!$B$91="Да"),"■","")</x:f>
      </x:c>
      <x:c r="BW35" s="135" t="str">
        <x:f>IF(AND(BW$4&gt;=$C35,BW$4&lt;=$D35,'Вводные'!$B$91="Да"),"■","")</x:f>
      </x:c>
      <x:c r="BX35" s="135" t="str">
        <x:f>IF(AND(BX$4&gt;=$C35,BX$4&lt;=$D35,'Вводные'!$B$91="Да"),"■","")</x:f>
      </x:c>
      <x:c r="BY35" s="135" t="str">
        <x:f>IF(AND(BY$4&gt;=$C35,BY$4&lt;=$D35,'Вводные'!$B$91="Да"),"■","")</x:f>
      </x:c>
      <x:c r="BZ35" s="135" t="str">
        <x:f>IF(AND(BZ$4&gt;=$C35,BZ$4&lt;=$D35,'Вводные'!$B$91="Да"),"■","")</x:f>
      </x:c>
      <x:c r="CA35" s="135" t="str">
        <x:f>IF(AND(CA$4&gt;=$C35,CA$4&lt;=$D35,'Вводные'!$B$91="Да"),"■","")</x:f>
      </x:c>
      <x:c r="CB35" s="135" t="str">
        <x:f>IF(AND(CB$4&gt;=$C35,CB$4&lt;=$D35,'Вводные'!$B$91="Да"),"■","")</x:f>
      </x:c>
      <x:c r="CC35" s="135" t="str">
        <x:f>IF(AND(CC$4&gt;=$C35,CC$4&lt;=$D35,'Вводные'!$B$91="Да"),"■","")</x:f>
      </x:c>
      <x:c r="CD35" s="135" t="str">
        <x:f>IF(AND(CD$4&gt;=$C35,CD$4&lt;=$D35,'Вводные'!$B$91="Да"),"■","")</x:f>
      </x:c>
      <x:c r="CE35" s="135" t="str">
        <x:f>IF(AND(CE$4&gt;=$C35,CE$4&lt;=$D35,'Вводные'!$B$91="Да"),"■","")</x:f>
      </x:c>
      <x:c r="CF35" s="135" t="str">
        <x:f>IF(AND(CF$4&gt;=$C35,CF$4&lt;=$D35,'Вводные'!$B$91="Да"),"■","")</x:f>
      </x:c>
      <x:c r="CG35" s="135" t="str">
        <x:f>IF(AND(CG$4&gt;=$C35,CG$4&lt;=$D35,'Вводные'!$B$91="Да"),"■","")</x:f>
      </x:c>
      <x:c r="CH35" s="135" t="str">
        <x:f>IF(AND(CH$4&gt;=$C35,CH$4&lt;=$D35,'Вводные'!$B$91="Да"),"■","")</x:f>
      </x:c>
      <x:c r="CI35" s="135" t="str">
        <x:f>IF(AND(CI$4&gt;=$C35,CI$4&lt;=$D35,'Вводные'!$B$91="Да"),"■","")</x:f>
      </x:c>
      <x:c r="CJ35" s="135" t="str">
        <x:f>IF(AND(CJ$4&gt;=$C35,CJ$4&lt;=$D35,'Вводные'!$B$91="Да"),"■","")</x:f>
      </x:c>
      <x:c r="CK35" s="135" t="str">
        <x:f>IF(AND(CK$4&gt;=$C35,CK$4&lt;=$D35,'Вводные'!$B$91="Да"),"■","")</x:f>
      </x:c>
      <x:c r="CL35" s="135" t="str">
        <x:f>IF(AND(CL$4&gt;=$C35,CL$4&lt;=$D35,'Вводные'!$B$91="Да"),"■","")</x:f>
      </x:c>
      <x:c r="CM35" s="135" t="str">
        <x:f>IF(AND(CM$4&gt;=$C35,CM$4&lt;=$D35,'Вводные'!$B$91="Да"),"■","")</x:f>
      </x:c>
      <x:c r="CN35" s="135" t="str">
        <x:f>IF(AND(CN$4&gt;=$C35,CN$4&lt;=$D35,'Вводные'!$B$91="Да"),"■","")</x:f>
      </x:c>
      <x:c r="CO35" s="135" t="str">
        <x:f>IF(AND(CO$4&gt;=$C35,CO$4&lt;=$D35,'Вводные'!$B$91="Да"),"■","")</x:f>
      </x:c>
      <x:c r="CP35" s="135" t="str">
        <x:f>IF(AND(CP$4&gt;=$C35,CP$4&lt;=$D35,'Вводные'!$B$91="Да"),"■","")</x:f>
      </x:c>
      <x:c r="CQ35" s="135" t="str">
        <x:f>IF(AND(CQ$4&gt;=$C35,CQ$4&lt;=$D35,'Вводные'!$B$91="Да"),"■","")</x:f>
      </x:c>
      <x:c r="CR35" s="135" t="str">
        <x:f>IF(AND(CR$4&gt;=$C35,CR$4&lt;=$D35,'Вводные'!$B$91="Да"),"■","")</x:f>
      </x:c>
      <x:c r="CS35" s="135" t="str">
        <x:f>IF(AND(CS$4&gt;=$C35,CS$4&lt;=$D35,'Вводные'!$B$91="Да"),"■","")</x:f>
      </x:c>
      <x:c r="CT35" s="135" t="str">
        <x:f>IF(AND(CT$4&gt;=$C35,CT$4&lt;=$D35,'Вводные'!$B$91="Да"),"■","")</x:f>
      </x:c>
      <x:c r="CU35" s="135" t="str">
        <x:f>IF(AND(CU$4&gt;=$C35,CU$4&lt;=$D35,'Вводные'!$B$91="Да"),"■","")</x:f>
      </x:c>
      <x:c r="CV35" s="135" t="str">
        <x:f>IF(AND(CV$4&gt;=$C35,CV$4&lt;=$D35,'Вводные'!$B$91="Да"),"■","")</x:f>
      </x:c>
      <x:c r="CW35" s="135" t="str">
        <x:f>IF(AND(CW$4&gt;=$C35,CW$4&lt;=$D35,'Вводные'!$B$91="Да"),"■","")</x:f>
      </x:c>
      <x:c r="CX35" s="135" t="str">
        <x:f>IF(AND(CX$4&gt;=$C35,CX$4&lt;=$D35,'Вводные'!$B$91="Да"),"■","")</x:f>
      </x:c>
      <x:c r="CY35" s="135" t="str">
        <x:f>IF(AND(CY$4&gt;=$C35,CY$4&lt;=$D35,'Вводные'!$B$91="Да"),"■","")</x:f>
      </x:c>
      <x:c r="CZ35" s="135" t="str">
        <x:f>IF(AND(CZ$4&gt;=$C35,CZ$4&lt;=$D35,'Вводные'!$B$91="Да"),"■","")</x:f>
      </x:c>
      <x:c r="DA35" s="135" t="str">
        <x:f>IF(AND(DA$4&gt;=$C35,DA$4&lt;=$D35,'Вводные'!$B$91="Да"),"■","")</x:f>
      </x:c>
      <x:c r="DB35" s="135" t="str">
        <x:f>IF(AND(DB$4&gt;=$C35,DB$4&lt;=$D35,'Вводные'!$B$91="Да"),"■","")</x:f>
      </x:c>
      <x:c r="DC35" s="135" t="str">
        <x:f>IF(AND(DC$4&gt;=$C35,DC$4&lt;=$D35,'Вводные'!$B$91="Да"),"■","")</x:f>
      </x:c>
      <x:c r="DD35" s="135" t="str">
        <x:f>IF(AND(DD$4&gt;=$C35,DD$4&lt;=$D35,'Вводные'!$B$91="Да"),"■","")</x:f>
      </x:c>
      <x:c r="DE35" s="135" t="str">
        <x:f>IF(AND(DE$4&gt;=$C35,DE$4&lt;=$D35,'Вводные'!$B$91="Да"),"■","")</x:f>
      </x:c>
      <x:c r="DF35" s="135" t="str">
        <x:f>IF(AND(DF$4&gt;=$C35,DF$4&lt;=$D35,'Вводные'!$B$91="Да"),"■","")</x:f>
      </x:c>
      <x:c r="DG35" s="135" t="str">
        <x:f>IF(AND(DG$4&gt;=$C35,DG$4&lt;=$D35,'Вводные'!$B$91="Да"),"■","")</x:f>
      </x:c>
      <x:c r="DH35" s="135" t="str">
        <x:f>IF(AND(DH$4&gt;=$C35,DH$4&lt;=$D35,'Вводные'!$B$91="Да"),"■","")</x:f>
      </x:c>
      <x:c r="DI35" s="135" t="str">
        <x:f>IF(AND(DI$4&gt;=$C35,DI$4&lt;=$D35,'Вводные'!$B$91="Да"),"■","")</x:f>
      </x:c>
      <x:c r="DJ35" s="135" t="str">
        <x:f>IF(AND(DJ$4&gt;=$C35,DJ$4&lt;=$D35,'Вводные'!$B$91="Да"),"■","")</x:f>
      </x:c>
      <x:c r="DK35" s="135" t="str">
        <x:f>IF(AND(DK$4&gt;=$C35,DK$4&lt;=$D35,'Вводные'!$B$91="Да"),"■","")</x:f>
      </x:c>
      <x:c r="DL35" s="135" t="str">
        <x:f>IF(AND(DL$4&gt;=$C35,DL$4&lt;=$D35,'Вводные'!$B$91="Да"),"■","")</x:f>
      </x:c>
      <x:c r="DM35" s="135" t="str">
        <x:f>IF(AND(DM$4&gt;=$C35,DM$4&lt;=$D35,'Вводные'!$B$91="Да"),"■","")</x:f>
      </x:c>
      <x:c r="DN35" s="135" t="str">
        <x:f>IF(AND(DN$4&gt;=$C35,DN$4&lt;=$D35,'Вводные'!$B$91="Да"),"■","")</x:f>
      </x:c>
      <x:c r="DO35" s="135" t="str">
        <x:f>IF(AND(DO$4&gt;=$C35,DO$4&lt;=$D35,'Вводные'!$B$91="Да"),"■","")</x:f>
      </x:c>
      <x:c r="DP35" s="135" t="str">
        <x:f>IF(AND(DP$4&gt;=$C35,DP$4&lt;=$D35,'Вводные'!$B$91="Да"),"■","")</x:f>
      </x:c>
      <x:c r="DQ35" s="135" t="str">
        <x:f>IF(AND(DQ$4&gt;=$C35,DQ$4&lt;=$D35,'Вводные'!$B$91="Да"),"■","")</x:f>
      </x:c>
      <x:c r="DR35" s="135" t="str">
        <x:f>IF(AND(DR$4&gt;=$C35,DR$4&lt;=$D35,'Вводные'!$B$91="Да"),"■","")</x:f>
      </x:c>
      <x:c r="DS35" s="135" t="str">
        <x:f>IF(AND(DS$4&gt;=$C35,DS$4&lt;=$D35,'Вводные'!$B$91="Да"),"■","")</x:f>
      </x:c>
      <x:c r="DT35" s="135" t="str">
        <x:f>IF(AND(DT$4&gt;=$C35,DT$4&lt;=$D35,'Вводные'!$B$91="Да"),"■","")</x:f>
      </x:c>
      <x:c r="DU35" s="135" t="str">
        <x:f>IF(AND(DU$4&gt;=$C35,DU$4&lt;=$D35,'Вводные'!$B$91="Да"),"■","")</x:f>
      </x:c>
      <x:c r="DV35" s="135" t="str">
        <x:f>IF(AND(DV$4&gt;=$C35,DV$4&lt;=$D35,'Вводные'!$B$91="Да"),"■","")</x:f>
      </x:c>
      <x:c r="DW35" s="135" t="str">
        <x:f>IF(AND(DW$4&gt;=$C35,DW$4&lt;=$D35,'Вводные'!$B$91="Да"),"■","")</x:f>
      </x:c>
      <x:c r="DX35" s="135" t="str">
        <x:f>IF(AND(DX$4&gt;=$C35,DX$4&lt;=$D35,'Вводные'!$B$91="Да"),"■","")</x:f>
      </x:c>
      <x:c r="DY35" s="135" t="str">
        <x:f>IF(AND(DY$4&gt;=$C35,DY$4&lt;=$D35,'Вводные'!$B$91="Да"),"■","")</x:f>
      </x:c>
      <x:c r="DZ35" s="135" t="str">
        <x:f>IF(AND(DZ$4&gt;=$C35,DZ$4&lt;=$D35,'Вводные'!$B$91="Да"),"■","")</x:f>
      </x:c>
      <x:c r="EA35" s="135" t="str">
        <x:f>IF(AND(EA$4&gt;=$C35,EA$4&lt;=$D35,'Вводные'!$B$91="Да"),"■","")</x:f>
      </x:c>
      <x:c r="EB35" s="135" t="str">
        <x:f>IF(AND(EB$4&gt;=$C35,EB$4&lt;=$D35,'Вводные'!$B$91="Да"),"■","")</x:f>
      </x:c>
      <x:c r="EC35" s="135" t="str">
        <x:f>IF(AND(EC$4&gt;=$C35,EC$4&lt;=$D35,'Вводные'!$B$91="Да"),"■","")</x:f>
      </x:c>
      <x:c r="ED35" s="135" t="str">
        <x:f>IF(AND(ED$4&gt;=$C35,ED$4&lt;=$D35,'Вводные'!$B$91="Да"),"■","")</x:f>
      </x:c>
      <x:c r="EE35" s="135" t="str">
        <x:f>IF(AND(EE$4&gt;=$C35,EE$4&lt;=$D35,'Вводные'!$B$91="Да"),"■","")</x:f>
      </x:c>
      <x:c r="EF35" s="135" t="str">
        <x:f>IF(AND(EF$4&gt;=$C35,EF$4&lt;=$D35,'Вводные'!$B$91="Да"),"■","")</x:f>
      </x:c>
      <x:c r="EG35" s="135" t="str">
        <x:f>IF(AND(EG$4&gt;=$C35,EG$4&lt;=$D35,'Вводные'!$B$91="Да"),"■","")</x:f>
      </x:c>
      <x:c r="EH35" s="135" t="str">
        <x:f>IF(AND(EH$4&gt;=$C35,EH$4&lt;=$D35,'Вводные'!$B$91="Да"),"■","")</x:f>
      </x:c>
      <x:c r="EI35" s="135" t="str">
        <x:f>IF(AND(EI$4&gt;=$C35,EI$4&lt;=$D35,'Вводные'!$B$91="Да"),"■","")</x:f>
      </x:c>
      <x:c r="EJ35" s="135" t="str">
        <x:f>IF(AND(EJ$4&gt;=$C35,EJ$4&lt;=$D35,'Вводные'!$B$91="Да"),"■","")</x:f>
      </x:c>
      <x:c r="EK35" s="135" t="str">
        <x:f>IF(AND(EK$4&gt;=$C35,EK$4&lt;=$D35,'Вводные'!$B$91="Да"),"■","")</x:f>
      </x:c>
      <x:c r="EL35" s="135" t="str">
        <x:f>IF(AND(EL$4&gt;=$C35,EL$4&lt;=$D35,'Вводные'!$B$91="Да"),"■","")</x:f>
      </x:c>
      <x:c r="EM35" s="135" t="str">
        <x:f>IF(AND(EM$4&gt;=$C35,EM$4&lt;=$D35,'Вводные'!$B$91="Да"),"■","")</x:f>
      </x:c>
      <x:c r="EN35" s="135" t="str">
        <x:f>IF(AND(EN$4&gt;=$C35,EN$4&lt;=$D35,'Вводные'!$B$91="Да"),"■","")</x:f>
      </x:c>
      <x:c r="EO35" s="135" t="str">
        <x:f>IF(AND(EO$4&gt;=$C35,EO$4&lt;=$D35,'Вводные'!$B$91="Да"),"■","")</x:f>
      </x:c>
      <x:c r="EP35" s="135" t="str">
        <x:f>IF(AND(EP$4&gt;=$C35,EP$4&lt;=$D35,'Вводные'!$B$91="Да"),"■","")</x:f>
      </x:c>
      <x:c r="EQ35" s="135" t="str">
        <x:f>IF(AND(EQ$4&gt;=$C35,EQ$4&lt;=$D35,'Вводные'!$B$91="Да"),"■","")</x:f>
      </x:c>
      <x:c r="ER35" s="135" t="str">
        <x:f>IF(AND(ER$4&gt;=$C35,ER$4&lt;=$D35,'Вводные'!$B$91="Да"),"■","")</x:f>
      </x:c>
      <x:c r="ES35" s="135" t="str">
        <x:f>IF(AND(ES$4&gt;=$C35,ES$4&lt;=$D35,'Вводные'!$B$91="Да"),"■","")</x:f>
      </x:c>
      <x:c r="ET35" s="135" t="str">
        <x:f>IF(AND(ET$4&gt;=$C35,ET$4&lt;=$D35,'Вводные'!$B$91="Да"),"■","")</x:f>
      </x:c>
      <x:c r="EU35" s="135" t="str">
        <x:f>IF(AND(EU$4&gt;=$C35,EU$4&lt;=$D35,'Вводные'!$B$91="Да"),"■","")</x:f>
      </x:c>
      <x:c r="EV35" s="135" t="str">
        <x:f>IF(AND(EV$4&gt;=$C35,EV$4&lt;=$D35,'Вводные'!$B$91="Да"),"■","")</x:f>
      </x:c>
      <x:c r="EW35" s="135" t="str">
        <x:f>IF(AND(EW$4&gt;=$C35,EW$4&lt;=$D35,'Вводные'!$B$91="Да"),"■","")</x:f>
      </x:c>
      <x:c r="EX35" s="135" t="str">
        <x:f>IF(AND(EX$4&gt;=$C35,EX$4&lt;=$D35,'Вводные'!$B$91="Да"),"■","")</x:f>
      </x:c>
      <x:c r="EY35" s="135" t="str">
        <x:f>IF(AND(EY$4&gt;=$C35,EY$4&lt;=$D35,'Вводные'!$B$91="Да"),"■","")</x:f>
      </x:c>
      <x:c r="EZ35" s="135" t="str">
        <x:f>IF(AND(EZ$4&gt;=$C35,EZ$4&lt;=$D35,'Вводные'!$B$91="Да"),"■","")</x:f>
      </x:c>
      <x:c r="FA35" s="135" t="str">
        <x:f>IF(AND(FA$4&gt;=$C35,FA$4&lt;=$D35,'Вводные'!$B$91="Да"),"■","")</x:f>
      </x:c>
      <x:c r="FB35" s="135" t="str">
        <x:f>IF(AND(FB$4&gt;=$C35,FB$4&lt;=$D35,'Вводные'!$B$91="Да"),"■","")</x:f>
      </x:c>
      <x:c r="FC35" s="135" t="str">
        <x:f>IF(AND(FC$4&gt;=$C35,FC$4&lt;=$D35,'Вводные'!$B$91="Да"),"■","")</x:f>
      </x:c>
      <x:c r="FD35" s="135" t="str">
        <x:f>IF(AND(FD$4&gt;=$C35,FD$4&lt;=$D35,'Вводные'!$B$91="Да"),"■","")</x:f>
      </x:c>
      <x:c r="FE35" s="135" t="str">
        <x:f>IF(AND(FE$4&gt;=$C35,FE$4&lt;=$D35,'Вводные'!$B$91="Да"),"■","")</x:f>
      </x:c>
      <x:c r="FF35" s="135" t="str">
        <x:f>IF(AND(FF$4&gt;=$C35,FF$4&lt;=$D35,'Вводные'!$B$91="Да"),"■","")</x:f>
      </x:c>
      <x:c r="FG35" s="135" t="str">
        <x:f>IF(AND(FG$4&gt;=$C35,FG$4&lt;=$D35,'Вводные'!$B$91="Да"),"■","")</x:f>
      </x:c>
      <x:c r="FH35" s="135" t="str">
        <x:f>IF(AND(FH$4&gt;=$C35,FH$4&lt;=$D35,'Вводные'!$B$91="Да"),"■","")</x:f>
      </x:c>
      <x:c r="FI35" s="135" t="str">
        <x:f>IF(AND(FI$4&gt;=$C35,FI$4&lt;=$D35,'Вводные'!$B$91="Да"),"■","")</x:f>
      </x:c>
      <x:c r="FJ35" s="135" t="str">
        <x:f>IF(AND(FJ$4&gt;=$C35,FJ$4&lt;=$D35,'Вводные'!$B$91="Да"),"■","")</x:f>
      </x:c>
      <x:c r="FK35" s="135" t="str">
        <x:f>IF(AND(FK$4&gt;=$C35,FK$4&lt;=$D35,'Вводные'!$B$91="Да"),"■","")</x:f>
      </x:c>
      <x:c r="FL35" s="135" t="str">
        <x:f>IF(AND(FL$4&gt;=$C35,FL$4&lt;=$D35,'Вводные'!$B$91="Да"),"■","")</x:f>
      </x:c>
      <x:c r="FM35" s="135" t="str">
        <x:f>IF(AND(FM$4&gt;=$C35,FM$4&lt;=$D35,'Вводные'!$B$91="Да"),"■","")</x:f>
      </x:c>
      <x:c r="FN35" s="135" t="str">
        <x:f>IF(AND(FN$4&gt;=$C35,FN$4&lt;=$D35,'Вводные'!$B$91="Да"),"■","")</x:f>
      </x:c>
      <x:c r="FO35" s="135" t="str">
        <x:f>IF(AND(FO$4&gt;=$C35,FO$4&lt;=$D35,'Вводные'!$B$91="Да"),"■","")</x:f>
      </x:c>
      <x:c r="FP35" s="135" t="str">
        <x:f>IF(AND(FP$4&gt;=$C35,FP$4&lt;=$D35,'Вводные'!$B$91="Да"),"■","")</x:f>
      </x:c>
      <x:c r="FQ35" s="135" t="str">
        <x:f>IF(AND(FQ$4&gt;=$C35,FQ$4&lt;=$D35,'Вводные'!$B$91="Да"),"■","")</x:f>
      </x:c>
      <x:c r="FR35" s="135" t="str">
        <x:f>IF(AND(FR$4&gt;=$C35,FR$4&lt;=$D35,'Вводные'!$B$91="Да"),"■","")</x:f>
      </x:c>
      <x:c r="FS35" s="135" t="str">
        <x:f>IF(AND(FS$4&gt;=$C35,FS$4&lt;=$D35,'Вводные'!$B$91="Да"),"■","")</x:f>
      </x:c>
      <x:c r="FT35" s="135" t="str">
        <x:f>IF(AND(FT$4&gt;=$C35,FT$4&lt;=$D35,'Вводные'!$B$91="Да"),"■","")</x:f>
      </x:c>
      <x:c r="FU35" s="135" t="str">
        <x:f>IF(AND(FU$4&gt;=$C35,FU$4&lt;=$D35,'Вводные'!$B$91="Да"),"■","")</x:f>
      </x:c>
      <x:c r="FV35" s="135" t="str">
        <x:f>IF(AND(FV$4&gt;=$C35,FV$4&lt;=$D35,'Вводные'!$B$91="Да"),"■","")</x:f>
      </x:c>
      <x:c r="FW35" s="135" t="str">
        <x:f>IF(AND(FW$4&gt;=$C35,FW$4&lt;=$D35,'Вводные'!$B$91="Да"),"■","")</x:f>
      </x:c>
      <x:c r="FX35" s="135" t="str">
        <x:f>IF(AND(FX$4&gt;=$C35,FX$4&lt;=$D35,'Вводные'!$B$91="Да"),"■","")</x:f>
      </x:c>
      <x:c r="FY35" s="135" t="str">
        <x:f>IF(AND(FY$4&gt;=$C35,FY$4&lt;=$D35,'Вводные'!$B$91="Да"),"■","")</x:f>
      </x:c>
      <x:c r="FZ35" s="135" t="str">
        <x:f>IF(AND(FZ$4&gt;=$C35,FZ$4&lt;=$D35,'Вводные'!$B$91="Да"),"■","")</x:f>
      </x:c>
      <x:c r="GA35" s="135" t="str">
        <x:f>IF(AND(GA$4&gt;=$C35,GA$4&lt;=$D35,'Вводные'!$B$91="Да"),"■","")</x:f>
      </x:c>
      <x:c r="GB35" s="135" t="str">
        <x:f>IF(AND(GB$4&gt;=$C35,GB$4&lt;=$D35,'Вводные'!$B$91="Да"),"■","")</x:f>
      </x:c>
    </x:row>
    <x:row r="36">
      <x:c r="A36" t="str">
        <x:f>'Вводные'!$C$91</x:f>
      </x:c>
      <x:c r="B36" t="str">
        <x:v>ИРД и согласования</x:v>
      </x:c>
      <x:c r="C36" s="92" t="n">
        <x:f>EDATE('Вводные'!$D$91,'Вводные'!$H$9)</x:f>
      </x:c>
      <x:c r="D36" s="92" t="n">
        <x:f>EDATE(C36,'Вводные'!$E$91-1)</x:f>
      </x:c>
      <x:c r="E36" s="137" t="str">
        <x:f>IF(AND(E$4&gt;=$C36,E$4&lt;=$D36,'Вводные'!$B$91="Да"),"■","")</x:f>
      </x:c>
      <x:c r="F36" s="137" t="str">
        <x:f>IF(AND(F$4&gt;=$C36,F$4&lt;=$D36,'Вводные'!$B$91="Да"),"■","")</x:f>
      </x:c>
      <x:c r="G36" s="137" t="str">
        <x:f>IF(AND(G$4&gt;=$C36,G$4&lt;=$D36,'Вводные'!$B$91="Да"),"■","")</x:f>
      </x:c>
      <x:c r="H36" s="137" t="str">
        <x:f>IF(AND(H$4&gt;=$C36,H$4&lt;=$D36,'Вводные'!$B$91="Да"),"■","")</x:f>
      </x:c>
      <x:c r="I36" s="137" t="str">
        <x:f>IF(AND(I$4&gt;=$C36,I$4&lt;=$D36,'Вводные'!$B$91="Да"),"■","")</x:f>
      </x:c>
      <x:c r="J36" s="137" t="str">
        <x:f>IF(AND(J$4&gt;=$C36,J$4&lt;=$D36,'Вводные'!$B$91="Да"),"■","")</x:f>
      </x:c>
      <x:c r="K36" s="137" t="str">
        <x:f>IF(AND(K$4&gt;=$C36,K$4&lt;=$D36,'Вводные'!$B$91="Да"),"■","")</x:f>
      </x:c>
      <x:c r="L36" s="137" t="str">
        <x:f>IF(AND(L$4&gt;=$C36,L$4&lt;=$D36,'Вводные'!$B$91="Да"),"■","")</x:f>
      </x:c>
      <x:c r="M36" s="137" t="str">
        <x:f>IF(AND(M$4&gt;=$C36,M$4&lt;=$D36,'Вводные'!$B$91="Да"),"■","")</x:f>
      </x:c>
      <x:c r="N36" s="137" t="str">
        <x:f>IF(AND(N$4&gt;=$C36,N$4&lt;=$D36,'Вводные'!$B$91="Да"),"■","")</x:f>
      </x:c>
      <x:c r="O36" s="137" t="str">
        <x:f>IF(AND(O$4&gt;=$C36,O$4&lt;=$D36,'Вводные'!$B$91="Да"),"■","")</x:f>
      </x:c>
      <x:c r="P36" s="137" t="str">
        <x:f>IF(AND(P$4&gt;=$C36,P$4&lt;=$D36,'Вводные'!$B$91="Да"),"■","")</x:f>
      </x:c>
      <x:c r="Q36" s="137" t="str">
        <x:f>IF(AND(Q$4&gt;=$C36,Q$4&lt;=$D36,'Вводные'!$B$91="Да"),"■","")</x:f>
      </x:c>
      <x:c r="R36" s="137" t="str">
        <x:f>IF(AND(R$4&gt;=$C36,R$4&lt;=$D36,'Вводные'!$B$91="Да"),"■","")</x:f>
      </x:c>
      <x:c r="S36" s="137" t="str">
        <x:f>IF(AND(S$4&gt;=$C36,S$4&lt;=$D36,'Вводные'!$B$91="Да"),"■","")</x:f>
      </x:c>
      <x:c r="T36" s="137" t="str">
        <x:f>IF(AND(T$4&gt;=$C36,T$4&lt;=$D36,'Вводные'!$B$91="Да"),"■","")</x:f>
      </x:c>
      <x:c r="U36" s="137" t="str">
        <x:f>IF(AND(U$4&gt;=$C36,U$4&lt;=$D36,'Вводные'!$B$91="Да"),"■","")</x:f>
      </x:c>
      <x:c r="V36" s="137" t="str">
        <x:f>IF(AND(V$4&gt;=$C36,V$4&lt;=$D36,'Вводные'!$B$91="Да"),"■","")</x:f>
      </x:c>
      <x:c r="W36" s="137" t="str">
        <x:f>IF(AND(W$4&gt;=$C36,W$4&lt;=$D36,'Вводные'!$B$91="Да"),"■","")</x:f>
      </x:c>
      <x:c r="X36" s="137" t="str">
        <x:f>IF(AND(X$4&gt;=$C36,X$4&lt;=$D36,'Вводные'!$B$91="Да"),"■","")</x:f>
      </x:c>
      <x:c r="Y36" s="137" t="str">
        <x:f>IF(AND(Y$4&gt;=$C36,Y$4&lt;=$D36,'Вводные'!$B$91="Да"),"■","")</x:f>
      </x:c>
      <x:c r="Z36" s="137" t="str">
        <x:f>IF(AND(Z$4&gt;=$C36,Z$4&lt;=$D36,'Вводные'!$B$91="Да"),"■","")</x:f>
      </x:c>
      <x:c r="AA36" s="137" t="str">
        <x:f>IF(AND(AA$4&gt;=$C36,AA$4&lt;=$D36,'Вводные'!$B$91="Да"),"■","")</x:f>
      </x:c>
      <x:c r="AB36" s="137" t="str">
        <x:f>IF(AND(AB$4&gt;=$C36,AB$4&lt;=$D36,'Вводные'!$B$91="Да"),"■","")</x:f>
      </x:c>
      <x:c r="AC36" s="137" t="str">
        <x:f>IF(AND(AC$4&gt;=$C36,AC$4&lt;=$D36,'Вводные'!$B$91="Да"),"■","")</x:f>
      </x:c>
      <x:c r="AD36" s="137" t="str">
        <x:f>IF(AND(AD$4&gt;=$C36,AD$4&lt;=$D36,'Вводные'!$B$91="Да"),"■","")</x:f>
      </x:c>
      <x:c r="AE36" s="137" t="str">
        <x:f>IF(AND(AE$4&gt;=$C36,AE$4&lt;=$D36,'Вводные'!$B$91="Да"),"■","")</x:f>
      </x:c>
      <x:c r="AF36" s="137" t="str">
        <x:f>IF(AND(AF$4&gt;=$C36,AF$4&lt;=$D36,'Вводные'!$B$91="Да"),"■","")</x:f>
      </x:c>
      <x:c r="AG36" s="137" t="str">
        <x:f>IF(AND(AG$4&gt;=$C36,AG$4&lt;=$D36,'Вводные'!$B$91="Да"),"■","")</x:f>
      </x:c>
      <x:c r="AH36" s="137" t="str">
        <x:f>IF(AND(AH$4&gt;=$C36,AH$4&lt;=$D36,'Вводные'!$B$91="Да"),"■","")</x:f>
      </x:c>
      <x:c r="AI36" s="137" t="str">
        <x:f>IF(AND(AI$4&gt;=$C36,AI$4&lt;=$D36,'Вводные'!$B$91="Да"),"■","")</x:f>
      </x:c>
      <x:c r="AJ36" s="137" t="str">
        <x:f>IF(AND(AJ$4&gt;=$C36,AJ$4&lt;=$D36,'Вводные'!$B$91="Да"),"■","")</x:f>
      </x:c>
      <x:c r="AK36" s="137" t="str">
        <x:f>IF(AND(AK$4&gt;=$C36,AK$4&lt;=$D36,'Вводные'!$B$91="Да"),"■","")</x:f>
      </x:c>
      <x:c r="AL36" s="137" t="str">
        <x:f>IF(AND(AL$4&gt;=$C36,AL$4&lt;=$D36,'Вводные'!$B$91="Да"),"■","")</x:f>
      </x:c>
      <x:c r="AM36" s="137" t="str">
        <x:f>IF(AND(AM$4&gt;=$C36,AM$4&lt;=$D36,'Вводные'!$B$91="Да"),"■","")</x:f>
      </x:c>
      <x:c r="AN36" s="137" t="str">
        <x:f>IF(AND(AN$4&gt;=$C36,AN$4&lt;=$D36,'Вводные'!$B$91="Да"),"■","")</x:f>
      </x:c>
      <x:c r="AO36" s="137" t="str">
        <x:f>IF(AND(AO$4&gt;=$C36,AO$4&lt;=$D36,'Вводные'!$B$91="Да"),"■","")</x:f>
      </x:c>
      <x:c r="AP36" s="137" t="str">
        <x:f>IF(AND(AP$4&gt;=$C36,AP$4&lt;=$D36,'Вводные'!$B$91="Да"),"■","")</x:f>
      </x:c>
      <x:c r="AQ36" s="137" t="str">
        <x:f>IF(AND(AQ$4&gt;=$C36,AQ$4&lt;=$D36,'Вводные'!$B$91="Да"),"■","")</x:f>
      </x:c>
      <x:c r="AR36" s="137" t="str">
        <x:f>IF(AND(AR$4&gt;=$C36,AR$4&lt;=$D36,'Вводные'!$B$91="Да"),"■","")</x:f>
      </x:c>
      <x:c r="AS36" s="137" t="str">
        <x:f>IF(AND(AS$4&gt;=$C36,AS$4&lt;=$D36,'Вводные'!$B$91="Да"),"■","")</x:f>
      </x:c>
      <x:c r="AT36" s="137" t="str">
        <x:f>IF(AND(AT$4&gt;=$C36,AT$4&lt;=$D36,'Вводные'!$B$91="Да"),"■","")</x:f>
      </x:c>
      <x:c r="AU36" s="137" t="str">
        <x:f>IF(AND(AU$4&gt;=$C36,AU$4&lt;=$D36,'Вводные'!$B$91="Да"),"■","")</x:f>
      </x:c>
      <x:c r="AV36" s="137" t="str">
        <x:f>IF(AND(AV$4&gt;=$C36,AV$4&lt;=$D36,'Вводные'!$B$91="Да"),"■","")</x:f>
      </x:c>
      <x:c r="AW36" s="137" t="str">
        <x:f>IF(AND(AW$4&gt;=$C36,AW$4&lt;=$D36,'Вводные'!$B$91="Да"),"■","")</x:f>
      </x:c>
      <x:c r="AX36" s="137" t="str">
        <x:f>IF(AND(AX$4&gt;=$C36,AX$4&lt;=$D36,'Вводные'!$B$91="Да"),"■","")</x:f>
      </x:c>
      <x:c r="AY36" s="137" t="str">
        <x:f>IF(AND(AY$4&gt;=$C36,AY$4&lt;=$D36,'Вводные'!$B$91="Да"),"■","")</x:f>
      </x:c>
      <x:c r="AZ36" s="137" t="str">
        <x:f>IF(AND(AZ$4&gt;=$C36,AZ$4&lt;=$D36,'Вводные'!$B$91="Да"),"■","")</x:f>
      </x:c>
      <x:c r="BA36" s="137" t="str">
        <x:f>IF(AND(BA$4&gt;=$C36,BA$4&lt;=$D36,'Вводные'!$B$91="Да"),"■","")</x:f>
      </x:c>
      <x:c r="BB36" s="137" t="str">
        <x:f>IF(AND(BB$4&gt;=$C36,BB$4&lt;=$D36,'Вводные'!$B$91="Да"),"■","")</x:f>
      </x:c>
      <x:c r="BC36" s="137" t="str">
        <x:f>IF(AND(BC$4&gt;=$C36,BC$4&lt;=$D36,'Вводные'!$B$91="Да"),"■","")</x:f>
      </x:c>
      <x:c r="BD36" s="137" t="str">
        <x:f>IF(AND(BD$4&gt;=$C36,BD$4&lt;=$D36,'Вводные'!$B$91="Да"),"■","")</x:f>
      </x:c>
      <x:c r="BE36" s="137" t="str">
        <x:f>IF(AND(BE$4&gt;=$C36,BE$4&lt;=$D36,'Вводные'!$B$91="Да"),"■","")</x:f>
      </x:c>
      <x:c r="BF36" s="137" t="str">
        <x:f>IF(AND(BF$4&gt;=$C36,BF$4&lt;=$D36,'Вводные'!$B$91="Да"),"■","")</x:f>
      </x:c>
      <x:c r="BG36" s="137" t="str">
        <x:f>IF(AND(BG$4&gt;=$C36,BG$4&lt;=$D36,'Вводные'!$B$91="Да"),"■","")</x:f>
      </x:c>
      <x:c r="BH36" s="137" t="str">
        <x:f>IF(AND(BH$4&gt;=$C36,BH$4&lt;=$D36,'Вводные'!$B$91="Да"),"■","")</x:f>
      </x:c>
      <x:c r="BI36" s="137" t="str">
        <x:f>IF(AND(BI$4&gt;=$C36,BI$4&lt;=$D36,'Вводные'!$B$91="Да"),"■","")</x:f>
      </x:c>
      <x:c r="BJ36" s="137" t="str">
        <x:f>IF(AND(BJ$4&gt;=$C36,BJ$4&lt;=$D36,'Вводные'!$B$91="Да"),"■","")</x:f>
      </x:c>
      <x:c r="BK36" s="137" t="str">
        <x:f>IF(AND(BK$4&gt;=$C36,BK$4&lt;=$D36,'Вводные'!$B$91="Да"),"■","")</x:f>
      </x:c>
      <x:c r="BL36" s="137" t="str">
        <x:f>IF(AND(BL$4&gt;=$C36,BL$4&lt;=$D36,'Вводные'!$B$91="Да"),"■","")</x:f>
      </x:c>
      <x:c r="BM36" s="137" t="str">
        <x:f>IF(AND(BM$4&gt;=$C36,BM$4&lt;=$D36,'Вводные'!$B$91="Да"),"■","")</x:f>
      </x:c>
      <x:c r="BN36" s="137" t="str">
        <x:f>IF(AND(BN$4&gt;=$C36,BN$4&lt;=$D36,'Вводные'!$B$91="Да"),"■","")</x:f>
      </x:c>
      <x:c r="BO36" s="137" t="str">
        <x:f>IF(AND(BO$4&gt;=$C36,BO$4&lt;=$D36,'Вводные'!$B$91="Да"),"■","")</x:f>
      </x:c>
      <x:c r="BP36" s="137" t="str">
        <x:f>IF(AND(BP$4&gt;=$C36,BP$4&lt;=$D36,'Вводные'!$B$91="Да"),"■","")</x:f>
      </x:c>
      <x:c r="BQ36" s="137" t="str">
        <x:f>IF(AND(BQ$4&gt;=$C36,BQ$4&lt;=$D36,'Вводные'!$B$91="Да"),"■","")</x:f>
      </x:c>
      <x:c r="BR36" s="137" t="str">
        <x:f>IF(AND(BR$4&gt;=$C36,BR$4&lt;=$D36,'Вводные'!$B$91="Да"),"■","")</x:f>
      </x:c>
      <x:c r="BS36" s="137" t="str">
        <x:f>IF(AND(BS$4&gt;=$C36,BS$4&lt;=$D36,'Вводные'!$B$91="Да"),"■","")</x:f>
      </x:c>
      <x:c r="BT36" s="137" t="str">
        <x:f>IF(AND(BT$4&gt;=$C36,BT$4&lt;=$D36,'Вводные'!$B$91="Да"),"■","")</x:f>
      </x:c>
      <x:c r="BU36" s="137" t="str">
        <x:f>IF(AND(BU$4&gt;=$C36,BU$4&lt;=$D36,'Вводные'!$B$91="Да"),"■","")</x:f>
      </x:c>
      <x:c r="BV36" s="137" t="str">
        <x:f>IF(AND(BV$4&gt;=$C36,BV$4&lt;=$D36,'Вводные'!$B$91="Да"),"■","")</x:f>
      </x:c>
      <x:c r="BW36" s="137" t="str">
        <x:f>IF(AND(BW$4&gt;=$C36,BW$4&lt;=$D36,'Вводные'!$B$91="Да"),"■","")</x:f>
      </x:c>
      <x:c r="BX36" s="137" t="str">
        <x:f>IF(AND(BX$4&gt;=$C36,BX$4&lt;=$D36,'Вводные'!$B$91="Да"),"■","")</x:f>
      </x:c>
      <x:c r="BY36" s="137" t="str">
        <x:f>IF(AND(BY$4&gt;=$C36,BY$4&lt;=$D36,'Вводные'!$B$91="Да"),"■","")</x:f>
      </x:c>
      <x:c r="BZ36" s="137" t="str">
        <x:f>IF(AND(BZ$4&gt;=$C36,BZ$4&lt;=$D36,'Вводные'!$B$91="Да"),"■","")</x:f>
      </x:c>
      <x:c r="CA36" s="137" t="str">
        <x:f>IF(AND(CA$4&gt;=$C36,CA$4&lt;=$D36,'Вводные'!$B$91="Да"),"■","")</x:f>
      </x:c>
      <x:c r="CB36" s="137" t="str">
        <x:f>IF(AND(CB$4&gt;=$C36,CB$4&lt;=$D36,'Вводные'!$B$91="Да"),"■","")</x:f>
      </x:c>
      <x:c r="CC36" s="137" t="str">
        <x:f>IF(AND(CC$4&gt;=$C36,CC$4&lt;=$D36,'Вводные'!$B$91="Да"),"■","")</x:f>
      </x:c>
      <x:c r="CD36" s="137" t="str">
        <x:f>IF(AND(CD$4&gt;=$C36,CD$4&lt;=$D36,'Вводные'!$B$91="Да"),"■","")</x:f>
      </x:c>
      <x:c r="CE36" s="137" t="str">
        <x:f>IF(AND(CE$4&gt;=$C36,CE$4&lt;=$D36,'Вводные'!$B$91="Да"),"■","")</x:f>
      </x:c>
      <x:c r="CF36" s="137" t="str">
        <x:f>IF(AND(CF$4&gt;=$C36,CF$4&lt;=$D36,'Вводные'!$B$91="Да"),"■","")</x:f>
      </x:c>
      <x:c r="CG36" s="137" t="str">
        <x:f>IF(AND(CG$4&gt;=$C36,CG$4&lt;=$D36,'Вводные'!$B$91="Да"),"■","")</x:f>
      </x:c>
      <x:c r="CH36" s="137" t="str">
        <x:f>IF(AND(CH$4&gt;=$C36,CH$4&lt;=$D36,'Вводные'!$B$91="Да"),"■","")</x:f>
      </x:c>
      <x:c r="CI36" s="137" t="str">
        <x:f>IF(AND(CI$4&gt;=$C36,CI$4&lt;=$D36,'Вводные'!$B$91="Да"),"■","")</x:f>
      </x:c>
      <x:c r="CJ36" s="137" t="str">
        <x:f>IF(AND(CJ$4&gt;=$C36,CJ$4&lt;=$D36,'Вводные'!$B$91="Да"),"■","")</x:f>
      </x:c>
      <x:c r="CK36" s="137" t="str">
        <x:f>IF(AND(CK$4&gt;=$C36,CK$4&lt;=$D36,'Вводные'!$B$91="Да"),"■","")</x:f>
      </x:c>
      <x:c r="CL36" s="137" t="str">
        <x:f>IF(AND(CL$4&gt;=$C36,CL$4&lt;=$D36,'Вводные'!$B$91="Да"),"■","")</x:f>
      </x:c>
      <x:c r="CM36" s="137" t="str">
        <x:f>IF(AND(CM$4&gt;=$C36,CM$4&lt;=$D36,'Вводные'!$B$91="Да"),"■","")</x:f>
      </x:c>
      <x:c r="CN36" s="137" t="str">
        <x:f>IF(AND(CN$4&gt;=$C36,CN$4&lt;=$D36,'Вводные'!$B$91="Да"),"■","")</x:f>
      </x:c>
      <x:c r="CO36" s="137" t="str">
        <x:f>IF(AND(CO$4&gt;=$C36,CO$4&lt;=$D36,'Вводные'!$B$91="Да"),"■","")</x:f>
      </x:c>
      <x:c r="CP36" s="137" t="str">
        <x:f>IF(AND(CP$4&gt;=$C36,CP$4&lt;=$D36,'Вводные'!$B$91="Да"),"■","")</x:f>
      </x:c>
      <x:c r="CQ36" s="137" t="str">
        <x:f>IF(AND(CQ$4&gt;=$C36,CQ$4&lt;=$D36,'Вводные'!$B$91="Да"),"■","")</x:f>
      </x:c>
      <x:c r="CR36" s="137" t="str">
        <x:f>IF(AND(CR$4&gt;=$C36,CR$4&lt;=$D36,'Вводные'!$B$91="Да"),"■","")</x:f>
      </x:c>
      <x:c r="CS36" s="137" t="str">
        <x:f>IF(AND(CS$4&gt;=$C36,CS$4&lt;=$D36,'Вводные'!$B$91="Да"),"■","")</x:f>
      </x:c>
      <x:c r="CT36" s="137" t="str">
        <x:f>IF(AND(CT$4&gt;=$C36,CT$4&lt;=$D36,'Вводные'!$B$91="Да"),"■","")</x:f>
      </x:c>
      <x:c r="CU36" s="137" t="str">
        <x:f>IF(AND(CU$4&gt;=$C36,CU$4&lt;=$D36,'Вводные'!$B$91="Да"),"■","")</x:f>
      </x:c>
      <x:c r="CV36" s="137" t="str">
        <x:f>IF(AND(CV$4&gt;=$C36,CV$4&lt;=$D36,'Вводные'!$B$91="Да"),"■","")</x:f>
      </x:c>
      <x:c r="CW36" s="137" t="str">
        <x:f>IF(AND(CW$4&gt;=$C36,CW$4&lt;=$D36,'Вводные'!$B$91="Да"),"■","")</x:f>
      </x:c>
      <x:c r="CX36" s="137" t="str">
        <x:f>IF(AND(CX$4&gt;=$C36,CX$4&lt;=$D36,'Вводные'!$B$91="Да"),"■","")</x:f>
      </x:c>
      <x:c r="CY36" s="137" t="str">
        <x:f>IF(AND(CY$4&gt;=$C36,CY$4&lt;=$D36,'Вводные'!$B$91="Да"),"■","")</x:f>
      </x:c>
      <x:c r="CZ36" s="137" t="str">
        <x:f>IF(AND(CZ$4&gt;=$C36,CZ$4&lt;=$D36,'Вводные'!$B$91="Да"),"■","")</x:f>
      </x:c>
      <x:c r="DA36" s="137" t="str">
        <x:f>IF(AND(DA$4&gt;=$C36,DA$4&lt;=$D36,'Вводные'!$B$91="Да"),"■","")</x:f>
      </x:c>
      <x:c r="DB36" s="137" t="str">
        <x:f>IF(AND(DB$4&gt;=$C36,DB$4&lt;=$D36,'Вводные'!$B$91="Да"),"■","")</x:f>
      </x:c>
      <x:c r="DC36" s="137" t="str">
        <x:f>IF(AND(DC$4&gt;=$C36,DC$4&lt;=$D36,'Вводные'!$B$91="Да"),"■","")</x:f>
      </x:c>
      <x:c r="DD36" s="137" t="str">
        <x:f>IF(AND(DD$4&gt;=$C36,DD$4&lt;=$D36,'Вводные'!$B$91="Да"),"■","")</x:f>
      </x:c>
      <x:c r="DE36" s="137" t="str">
        <x:f>IF(AND(DE$4&gt;=$C36,DE$4&lt;=$D36,'Вводные'!$B$91="Да"),"■","")</x:f>
      </x:c>
      <x:c r="DF36" s="137" t="str">
        <x:f>IF(AND(DF$4&gt;=$C36,DF$4&lt;=$D36,'Вводные'!$B$91="Да"),"■","")</x:f>
      </x:c>
      <x:c r="DG36" s="137" t="str">
        <x:f>IF(AND(DG$4&gt;=$C36,DG$4&lt;=$D36,'Вводные'!$B$91="Да"),"■","")</x:f>
      </x:c>
      <x:c r="DH36" s="137" t="str">
        <x:f>IF(AND(DH$4&gt;=$C36,DH$4&lt;=$D36,'Вводные'!$B$91="Да"),"■","")</x:f>
      </x:c>
      <x:c r="DI36" s="137" t="str">
        <x:f>IF(AND(DI$4&gt;=$C36,DI$4&lt;=$D36,'Вводные'!$B$91="Да"),"■","")</x:f>
      </x:c>
      <x:c r="DJ36" s="137" t="str">
        <x:f>IF(AND(DJ$4&gt;=$C36,DJ$4&lt;=$D36,'Вводные'!$B$91="Да"),"■","")</x:f>
      </x:c>
      <x:c r="DK36" s="137" t="str">
        <x:f>IF(AND(DK$4&gt;=$C36,DK$4&lt;=$D36,'Вводные'!$B$91="Да"),"■","")</x:f>
      </x:c>
      <x:c r="DL36" s="137" t="str">
        <x:f>IF(AND(DL$4&gt;=$C36,DL$4&lt;=$D36,'Вводные'!$B$91="Да"),"■","")</x:f>
      </x:c>
      <x:c r="DM36" s="137" t="str">
        <x:f>IF(AND(DM$4&gt;=$C36,DM$4&lt;=$D36,'Вводные'!$B$91="Да"),"■","")</x:f>
      </x:c>
      <x:c r="DN36" s="137" t="str">
        <x:f>IF(AND(DN$4&gt;=$C36,DN$4&lt;=$D36,'Вводные'!$B$91="Да"),"■","")</x:f>
      </x:c>
      <x:c r="DO36" s="137" t="str">
        <x:f>IF(AND(DO$4&gt;=$C36,DO$4&lt;=$D36,'Вводные'!$B$91="Да"),"■","")</x:f>
      </x:c>
      <x:c r="DP36" s="137" t="str">
        <x:f>IF(AND(DP$4&gt;=$C36,DP$4&lt;=$D36,'Вводные'!$B$91="Да"),"■","")</x:f>
      </x:c>
      <x:c r="DQ36" s="137" t="str">
        <x:f>IF(AND(DQ$4&gt;=$C36,DQ$4&lt;=$D36,'Вводные'!$B$91="Да"),"■","")</x:f>
      </x:c>
      <x:c r="DR36" s="137" t="str">
        <x:f>IF(AND(DR$4&gt;=$C36,DR$4&lt;=$D36,'Вводные'!$B$91="Да"),"■","")</x:f>
      </x:c>
      <x:c r="DS36" s="137" t="str">
        <x:f>IF(AND(DS$4&gt;=$C36,DS$4&lt;=$D36,'Вводные'!$B$91="Да"),"■","")</x:f>
      </x:c>
      <x:c r="DT36" s="137" t="str">
        <x:f>IF(AND(DT$4&gt;=$C36,DT$4&lt;=$D36,'Вводные'!$B$91="Да"),"■","")</x:f>
      </x:c>
      <x:c r="DU36" s="137" t="str">
        <x:f>IF(AND(DU$4&gt;=$C36,DU$4&lt;=$D36,'Вводные'!$B$91="Да"),"■","")</x:f>
      </x:c>
      <x:c r="DV36" s="137" t="str">
        <x:f>IF(AND(DV$4&gt;=$C36,DV$4&lt;=$D36,'Вводные'!$B$91="Да"),"■","")</x:f>
      </x:c>
      <x:c r="DW36" s="137" t="str">
        <x:f>IF(AND(DW$4&gt;=$C36,DW$4&lt;=$D36,'Вводные'!$B$91="Да"),"■","")</x:f>
      </x:c>
      <x:c r="DX36" s="137" t="str">
        <x:f>IF(AND(DX$4&gt;=$C36,DX$4&lt;=$D36,'Вводные'!$B$91="Да"),"■","")</x:f>
      </x:c>
      <x:c r="DY36" s="137" t="str">
        <x:f>IF(AND(DY$4&gt;=$C36,DY$4&lt;=$D36,'Вводные'!$B$91="Да"),"■","")</x:f>
      </x:c>
      <x:c r="DZ36" s="137" t="str">
        <x:f>IF(AND(DZ$4&gt;=$C36,DZ$4&lt;=$D36,'Вводные'!$B$91="Да"),"■","")</x:f>
      </x:c>
      <x:c r="EA36" s="137" t="str">
        <x:f>IF(AND(EA$4&gt;=$C36,EA$4&lt;=$D36,'Вводные'!$B$91="Да"),"■","")</x:f>
      </x:c>
      <x:c r="EB36" s="137" t="str">
        <x:f>IF(AND(EB$4&gt;=$C36,EB$4&lt;=$D36,'Вводные'!$B$91="Да"),"■","")</x:f>
      </x:c>
      <x:c r="EC36" s="137" t="str">
        <x:f>IF(AND(EC$4&gt;=$C36,EC$4&lt;=$D36,'Вводные'!$B$91="Да"),"■","")</x:f>
      </x:c>
      <x:c r="ED36" s="137" t="str">
        <x:f>IF(AND(ED$4&gt;=$C36,ED$4&lt;=$D36,'Вводные'!$B$91="Да"),"■","")</x:f>
      </x:c>
      <x:c r="EE36" s="137" t="str">
        <x:f>IF(AND(EE$4&gt;=$C36,EE$4&lt;=$D36,'Вводные'!$B$91="Да"),"■","")</x:f>
      </x:c>
      <x:c r="EF36" s="137" t="str">
        <x:f>IF(AND(EF$4&gt;=$C36,EF$4&lt;=$D36,'Вводные'!$B$91="Да"),"■","")</x:f>
      </x:c>
      <x:c r="EG36" s="137" t="str">
        <x:f>IF(AND(EG$4&gt;=$C36,EG$4&lt;=$D36,'Вводные'!$B$91="Да"),"■","")</x:f>
      </x:c>
      <x:c r="EH36" s="137" t="str">
        <x:f>IF(AND(EH$4&gt;=$C36,EH$4&lt;=$D36,'Вводные'!$B$91="Да"),"■","")</x:f>
      </x:c>
      <x:c r="EI36" s="137" t="str">
        <x:f>IF(AND(EI$4&gt;=$C36,EI$4&lt;=$D36,'Вводные'!$B$91="Да"),"■","")</x:f>
      </x:c>
      <x:c r="EJ36" s="137" t="str">
        <x:f>IF(AND(EJ$4&gt;=$C36,EJ$4&lt;=$D36,'Вводные'!$B$91="Да"),"■","")</x:f>
      </x:c>
      <x:c r="EK36" s="137" t="str">
        <x:f>IF(AND(EK$4&gt;=$C36,EK$4&lt;=$D36,'Вводные'!$B$91="Да"),"■","")</x:f>
      </x:c>
      <x:c r="EL36" s="137" t="str">
        <x:f>IF(AND(EL$4&gt;=$C36,EL$4&lt;=$D36,'Вводные'!$B$91="Да"),"■","")</x:f>
      </x:c>
      <x:c r="EM36" s="137" t="str">
        <x:f>IF(AND(EM$4&gt;=$C36,EM$4&lt;=$D36,'Вводные'!$B$91="Да"),"■","")</x:f>
      </x:c>
      <x:c r="EN36" s="137" t="str">
        <x:f>IF(AND(EN$4&gt;=$C36,EN$4&lt;=$D36,'Вводные'!$B$91="Да"),"■","")</x:f>
      </x:c>
      <x:c r="EO36" s="137" t="str">
        <x:f>IF(AND(EO$4&gt;=$C36,EO$4&lt;=$D36,'Вводные'!$B$91="Да"),"■","")</x:f>
      </x:c>
      <x:c r="EP36" s="137" t="str">
        <x:f>IF(AND(EP$4&gt;=$C36,EP$4&lt;=$D36,'Вводные'!$B$91="Да"),"■","")</x:f>
      </x:c>
      <x:c r="EQ36" s="137" t="str">
        <x:f>IF(AND(EQ$4&gt;=$C36,EQ$4&lt;=$D36,'Вводные'!$B$91="Да"),"■","")</x:f>
      </x:c>
      <x:c r="ER36" s="137" t="str">
        <x:f>IF(AND(ER$4&gt;=$C36,ER$4&lt;=$D36,'Вводные'!$B$91="Да"),"■","")</x:f>
      </x:c>
      <x:c r="ES36" s="137" t="str">
        <x:f>IF(AND(ES$4&gt;=$C36,ES$4&lt;=$D36,'Вводные'!$B$91="Да"),"■","")</x:f>
      </x:c>
      <x:c r="ET36" s="137" t="str">
        <x:f>IF(AND(ET$4&gt;=$C36,ET$4&lt;=$D36,'Вводные'!$B$91="Да"),"■","")</x:f>
      </x:c>
      <x:c r="EU36" s="137" t="str">
        <x:f>IF(AND(EU$4&gt;=$C36,EU$4&lt;=$D36,'Вводные'!$B$91="Да"),"■","")</x:f>
      </x:c>
      <x:c r="EV36" s="137" t="str">
        <x:f>IF(AND(EV$4&gt;=$C36,EV$4&lt;=$D36,'Вводные'!$B$91="Да"),"■","")</x:f>
      </x:c>
      <x:c r="EW36" s="137" t="str">
        <x:f>IF(AND(EW$4&gt;=$C36,EW$4&lt;=$D36,'Вводные'!$B$91="Да"),"■","")</x:f>
      </x:c>
      <x:c r="EX36" s="137" t="str">
        <x:f>IF(AND(EX$4&gt;=$C36,EX$4&lt;=$D36,'Вводные'!$B$91="Да"),"■","")</x:f>
      </x:c>
      <x:c r="EY36" s="137" t="str">
        <x:f>IF(AND(EY$4&gt;=$C36,EY$4&lt;=$D36,'Вводные'!$B$91="Да"),"■","")</x:f>
      </x:c>
      <x:c r="EZ36" s="137" t="str">
        <x:f>IF(AND(EZ$4&gt;=$C36,EZ$4&lt;=$D36,'Вводные'!$B$91="Да"),"■","")</x:f>
      </x:c>
      <x:c r="FA36" s="137" t="str">
        <x:f>IF(AND(FA$4&gt;=$C36,FA$4&lt;=$D36,'Вводные'!$B$91="Да"),"■","")</x:f>
      </x:c>
      <x:c r="FB36" s="137" t="str">
        <x:f>IF(AND(FB$4&gt;=$C36,FB$4&lt;=$D36,'Вводные'!$B$91="Да"),"■","")</x:f>
      </x:c>
      <x:c r="FC36" s="137" t="str">
        <x:f>IF(AND(FC$4&gt;=$C36,FC$4&lt;=$D36,'Вводные'!$B$91="Да"),"■","")</x:f>
      </x:c>
      <x:c r="FD36" s="137" t="str">
        <x:f>IF(AND(FD$4&gt;=$C36,FD$4&lt;=$D36,'Вводные'!$B$91="Да"),"■","")</x:f>
      </x:c>
      <x:c r="FE36" s="137" t="str">
        <x:f>IF(AND(FE$4&gt;=$C36,FE$4&lt;=$D36,'Вводные'!$B$91="Да"),"■","")</x:f>
      </x:c>
      <x:c r="FF36" s="137" t="str">
        <x:f>IF(AND(FF$4&gt;=$C36,FF$4&lt;=$D36,'Вводные'!$B$91="Да"),"■","")</x:f>
      </x:c>
      <x:c r="FG36" s="137" t="str">
        <x:f>IF(AND(FG$4&gt;=$C36,FG$4&lt;=$D36,'Вводные'!$B$91="Да"),"■","")</x:f>
      </x:c>
      <x:c r="FH36" s="137" t="str">
        <x:f>IF(AND(FH$4&gt;=$C36,FH$4&lt;=$D36,'Вводные'!$B$91="Да"),"■","")</x:f>
      </x:c>
      <x:c r="FI36" s="137" t="str">
        <x:f>IF(AND(FI$4&gt;=$C36,FI$4&lt;=$D36,'Вводные'!$B$91="Да"),"■","")</x:f>
      </x:c>
      <x:c r="FJ36" s="137" t="str">
        <x:f>IF(AND(FJ$4&gt;=$C36,FJ$4&lt;=$D36,'Вводные'!$B$91="Да"),"■","")</x:f>
      </x:c>
      <x:c r="FK36" s="137" t="str">
        <x:f>IF(AND(FK$4&gt;=$C36,FK$4&lt;=$D36,'Вводные'!$B$91="Да"),"■","")</x:f>
      </x:c>
      <x:c r="FL36" s="137" t="str">
        <x:f>IF(AND(FL$4&gt;=$C36,FL$4&lt;=$D36,'Вводные'!$B$91="Да"),"■","")</x:f>
      </x:c>
      <x:c r="FM36" s="137" t="str">
        <x:f>IF(AND(FM$4&gt;=$C36,FM$4&lt;=$D36,'Вводные'!$B$91="Да"),"■","")</x:f>
      </x:c>
      <x:c r="FN36" s="137" t="str">
        <x:f>IF(AND(FN$4&gt;=$C36,FN$4&lt;=$D36,'Вводные'!$B$91="Да"),"■","")</x:f>
      </x:c>
      <x:c r="FO36" s="137" t="str">
        <x:f>IF(AND(FO$4&gt;=$C36,FO$4&lt;=$D36,'Вводные'!$B$91="Да"),"■","")</x:f>
      </x:c>
      <x:c r="FP36" s="137" t="str">
        <x:f>IF(AND(FP$4&gt;=$C36,FP$4&lt;=$D36,'Вводные'!$B$91="Да"),"■","")</x:f>
      </x:c>
      <x:c r="FQ36" s="137" t="str">
        <x:f>IF(AND(FQ$4&gt;=$C36,FQ$4&lt;=$D36,'Вводные'!$B$91="Да"),"■","")</x:f>
      </x:c>
      <x:c r="FR36" s="137" t="str">
        <x:f>IF(AND(FR$4&gt;=$C36,FR$4&lt;=$D36,'Вводные'!$B$91="Да"),"■","")</x:f>
      </x:c>
      <x:c r="FS36" s="137" t="str">
        <x:f>IF(AND(FS$4&gt;=$C36,FS$4&lt;=$D36,'Вводные'!$B$91="Да"),"■","")</x:f>
      </x:c>
      <x:c r="FT36" s="137" t="str">
        <x:f>IF(AND(FT$4&gt;=$C36,FT$4&lt;=$D36,'Вводные'!$B$91="Да"),"■","")</x:f>
      </x:c>
      <x:c r="FU36" s="137" t="str">
        <x:f>IF(AND(FU$4&gt;=$C36,FU$4&lt;=$D36,'Вводные'!$B$91="Да"),"■","")</x:f>
      </x:c>
      <x:c r="FV36" s="137" t="str">
        <x:f>IF(AND(FV$4&gt;=$C36,FV$4&lt;=$D36,'Вводные'!$B$91="Да"),"■","")</x:f>
      </x:c>
      <x:c r="FW36" s="137" t="str">
        <x:f>IF(AND(FW$4&gt;=$C36,FW$4&lt;=$D36,'Вводные'!$B$91="Да"),"■","")</x:f>
      </x:c>
      <x:c r="FX36" s="137" t="str">
        <x:f>IF(AND(FX$4&gt;=$C36,FX$4&lt;=$D36,'Вводные'!$B$91="Да"),"■","")</x:f>
      </x:c>
      <x:c r="FY36" s="137" t="str">
        <x:f>IF(AND(FY$4&gt;=$C36,FY$4&lt;=$D36,'Вводные'!$B$91="Да"),"■","")</x:f>
      </x:c>
      <x:c r="FZ36" s="137" t="str">
        <x:f>IF(AND(FZ$4&gt;=$C36,FZ$4&lt;=$D36,'Вводные'!$B$91="Да"),"■","")</x:f>
      </x:c>
      <x:c r="GA36" s="137" t="str">
        <x:f>IF(AND(GA$4&gt;=$C36,GA$4&lt;=$D36,'Вводные'!$B$91="Да"),"■","")</x:f>
      </x:c>
      <x:c r="GB36" s="137" t="str">
        <x:f>IF(AND(GB$4&gt;=$C36,GB$4&lt;=$D36,'Вводные'!$B$91="Да"),"■","")</x:f>
      </x:c>
    </x:row>
    <x:row r="37">
      <x:c r="A37" t="str">
        <x:f>'Вводные'!$C$91</x:f>
      </x:c>
      <x:c r="B37" t="str">
        <x:v>Обязательство по ВРИ</x:v>
      </x:c>
      <x:c r="C37" s="92" t="n">
        <x:f>'ВРИ'!B46</x:f>
      </x:c>
      <x:c r="D37" s="92" t="n">
        <x:f>C37</x:f>
      </x:c>
      <x:c r="E37" s="137" t="str">
        <x:f>IF(AND(E$4&gt;=$C37,E$4&lt;=$D37,'Вводные'!$B$91="Да"),"■","")</x:f>
      </x:c>
      <x:c r="F37" s="137" t="str">
        <x:f>IF(AND(F$4&gt;=$C37,F$4&lt;=$D37,'Вводные'!$B$91="Да"),"■","")</x:f>
      </x:c>
      <x:c r="G37" s="137" t="str">
        <x:f>IF(AND(G$4&gt;=$C37,G$4&lt;=$D37,'Вводные'!$B$91="Да"),"■","")</x:f>
      </x:c>
      <x:c r="H37" s="137" t="str">
        <x:f>IF(AND(H$4&gt;=$C37,H$4&lt;=$D37,'Вводные'!$B$91="Да"),"■","")</x:f>
      </x:c>
      <x:c r="I37" s="137" t="str">
        <x:f>IF(AND(I$4&gt;=$C37,I$4&lt;=$D37,'Вводные'!$B$91="Да"),"■","")</x:f>
      </x:c>
      <x:c r="J37" s="137" t="str">
        <x:f>IF(AND(J$4&gt;=$C37,J$4&lt;=$D37,'Вводные'!$B$91="Да"),"■","")</x:f>
      </x:c>
      <x:c r="K37" s="137" t="str">
        <x:f>IF(AND(K$4&gt;=$C37,K$4&lt;=$D37,'Вводные'!$B$91="Да"),"■","")</x:f>
      </x:c>
      <x:c r="L37" s="137" t="str">
        <x:f>IF(AND(L$4&gt;=$C37,L$4&lt;=$D37,'Вводные'!$B$91="Да"),"■","")</x:f>
      </x:c>
      <x:c r="M37" s="137" t="str">
        <x:f>IF(AND(M$4&gt;=$C37,M$4&lt;=$D37,'Вводные'!$B$91="Да"),"■","")</x:f>
      </x:c>
      <x:c r="N37" s="137" t="str">
        <x:f>IF(AND(N$4&gt;=$C37,N$4&lt;=$D37,'Вводные'!$B$91="Да"),"■","")</x:f>
      </x:c>
      <x:c r="O37" s="137" t="str">
        <x:f>IF(AND(O$4&gt;=$C37,O$4&lt;=$D37,'Вводные'!$B$91="Да"),"■","")</x:f>
      </x:c>
      <x:c r="P37" s="137" t="str">
        <x:f>IF(AND(P$4&gt;=$C37,P$4&lt;=$D37,'Вводные'!$B$91="Да"),"■","")</x:f>
      </x:c>
      <x:c r="Q37" s="137" t="str">
        <x:f>IF(AND(Q$4&gt;=$C37,Q$4&lt;=$D37,'Вводные'!$B$91="Да"),"■","")</x:f>
      </x:c>
      <x:c r="R37" s="137" t="str">
        <x:f>IF(AND(R$4&gt;=$C37,R$4&lt;=$D37,'Вводные'!$B$91="Да"),"■","")</x:f>
      </x:c>
      <x:c r="S37" s="137" t="str">
        <x:f>IF(AND(S$4&gt;=$C37,S$4&lt;=$D37,'Вводные'!$B$91="Да"),"■","")</x:f>
      </x:c>
      <x:c r="T37" s="137" t="str">
        <x:f>IF(AND(T$4&gt;=$C37,T$4&lt;=$D37,'Вводные'!$B$91="Да"),"■","")</x:f>
      </x:c>
      <x:c r="U37" s="137" t="str">
        <x:f>IF(AND(U$4&gt;=$C37,U$4&lt;=$D37,'Вводные'!$B$91="Да"),"■","")</x:f>
      </x:c>
      <x:c r="V37" s="137" t="str">
        <x:f>IF(AND(V$4&gt;=$C37,V$4&lt;=$D37,'Вводные'!$B$91="Да"),"■","")</x:f>
      </x:c>
      <x:c r="W37" s="137" t="str">
        <x:f>IF(AND(W$4&gt;=$C37,W$4&lt;=$D37,'Вводные'!$B$91="Да"),"■","")</x:f>
      </x:c>
      <x:c r="X37" s="137" t="str">
        <x:f>IF(AND(X$4&gt;=$C37,X$4&lt;=$D37,'Вводные'!$B$91="Да"),"■","")</x:f>
      </x:c>
      <x:c r="Y37" s="137" t="str">
        <x:f>IF(AND(Y$4&gt;=$C37,Y$4&lt;=$D37,'Вводные'!$B$91="Да"),"■","")</x:f>
      </x:c>
      <x:c r="Z37" s="137" t="str">
        <x:f>IF(AND(Z$4&gt;=$C37,Z$4&lt;=$D37,'Вводные'!$B$91="Да"),"■","")</x:f>
      </x:c>
      <x:c r="AA37" s="137" t="str">
        <x:f>IF(AND(AA$4&gt;=$C37,AA$4&lt;=$D37,'Вводные'!$B$91="Да"),"■","")</x:f>
      </x:c>
      <x:c r="AB37" s="137" t="str">
        <x:f>IF(AND(AB$4&gt;=$C37,AB$4&lt;=$D37,'Вводные'!$B$91="Да"),"■","")</x:f>
      </x:c>
      <x:c r="AC37" s="137" t="str">
        <x:f>IF(AND(AC$4&gt;=$C37,AC$4&lt;=$D37,'Вводные'!$B$91="Да"),"■","")</x:f>
      </x:c>
      <x:c r="AD37" s="137" t="str">
        <x:f>IF(AND(AD$4&gt;=$C37,AD$4&lt;=$D37,'Вводные'!$B$91="Да"),"■","")</x:f>
      </x:c>
      <x:c r="AE37" s="137" t="str">
        <x:f>IF(AND(AE$4&gt;=$C37,AE$4&lt;=$D37,'Вводные'!$B$91="Да"),"■","")</x:f>
      </x:c>
      <x:c r="AF37" s="137" t="str">
        <x:f>IF(AND(AF$4&gt;=$C37,AF$4&lt;=$D37,'Вводные'!$B$91="Да"),"■","")</x:f>
      </x:c>
      <x:c r="AG37" s="137" t="str">
        <x:f>IF(AND(AG$4&gt;=$C37,AG$4&lt;=$D37,'Вводные'!$B$91="Да"),"■","")</x:f>
      </x:c>
      <x:c r="AH37" s="137" t="str">
        <x:f>IF(AND(AH$4&gt;=$C37,AH$4&lt;=$D37,'Вводные'!$B$91="Да"),"■","")</x:f>
      </x:c>
      <x:c r="AI37" s="137" t="str">
        <x:f>IF(AND(AI$4&gt;=$C37,AI$4&lt;=$D37,'Вводные'!$B$91="Да"),"■","")</x:f>
      </x:c>
      <x:c r="AJ37" s="137" t="str">
        <x:f>IF(AND(AJ$4&gt;=$C37,AJ$4&lt;=$D37,'Вводные'!$B$91="Да"),"■","")</x:f>
      </x:c>
      <x:c r="AK37" s="137" t="str">
        <x:f>IF(AND(AK$4&gt;=$C37,AK$4&lt;=$D37,'Вводные'!$B$91="Да"),"■","")</x:f>
      </x:c>
      <x:c r="AL37" s="137" t="str">
        <x:f>IF(AND(AL$4&gt;=$C37,AL$4&lt;=$D37,'Вводные'!$B$91="Да"),"■","")</x:f>
      </x:c>
      <x:c r="AM37" s="137" t="str">
        <x:f>IF(AND(AM$4&gt;=$C37,AM$4&lt;=$D37,'Вводные'!$B$91="Да"),"■","")</x:f>
      </x:c>
      <x:c r="AN37" s="137" t="str">
        <x:f>IF(AND(AN$4&gt;=$C37,AN$4&lt;=$D37,'Вводные'!$B$91="Да"),"■","")</x:f>
      </x:c>
      <x:c r="AO37" s="137" t="str">
        <x:f>IF(AND(AO$4&gt;=$C37,AO$4&lt;=$D37,'Вводные'!$B$91="Да"),"■","")</x:f>
      </x:c>
      <x:c r="AP37" s="137" t="str">
        <x:f>IF(AND(AP$4&gt;=$C37,AP$4&lt;=$D37,'Вводные'!$B$91="Да"),"■","")</x:f>
      </x:c>
      <x:c r="AQ37" s="137" t="str">
        <x:f>IF(AND(AQ$4&gt;=$C37,AQ$4&lt;=$D37,'Вводные'!$B$91="Да"),"■","")</x:f>
      </x:c>
      <x:c r="AR37" s="137" t="str">
        <x:f>IF(AND(AR$4&gt;=$C37,AR$4&lt;=$D37,'Вводные'!$B$91="Да"),"■","")</x:f>
      </x:c>
      <x:c r="AS37" s="137" t="str">
        <x:f>IF(AND(AS$4&gt;=$C37,AS$4&lt;=$D37,'Вводные'!$B$91="Да"),"■","")</x:f>
      </x:c>
      <x:c r="AT37" s="137" t="str">
        <x:f>IF(AND(AT$4&gt;=$C37,AT$4&lt;=$D37,'Вводные'!$B$91="Да"),"■","")</x:f>
      </x:c>
      <x:c r="AU37" s="137" t="str">
        <x:f>IF(AND(AU$4&gt;=$C37,AU$4&lt;=$D37,'Вводные'!$B$91="Да"),"■","")</x:f>
      </x:c>
      <x:c r="AV37" s="137" t="str">
        <x:f>IF(AND(AV$4&gt;=$C37,AV$4&lt;=$D37,'Вводные'!$B$91="Да"),"■","")</x:f>
      </x:c>
      <x:c r="AW37" s="137" t="str">
        <x:f>IF(AND(AW$4&gt;=$C37,AW$4&lt;=$D37,'Вводные'!$B$91="Да"),"■","")</x:f>
      </x:c>
      <x:c r="AX37" s="137" t="str">
        <x:f>IF(AND(AX$4&gt;=$C37,AX$4&lt;=$D37,'Вводные'!$B$91="Да"),"■","")</x:f>
      </x:c>
      <x:c r="AY37" s="137" t="str">
        <x:f>IF(AND(AY$4&gt;=$C37,AY$4&lt;=$D37,'Вводные'!$B$91="Да"),"■","")</x:f>
      </x:c>
      <x:c r="AZ37" s="137" t="str">
        <x:f>IF(AND(AZ$4&gt;=$C37,AZ$4&lt;=$D37,'Вводные'!$B$91="Да"),"■","")</x:f>
      </x:c>
      <x:c r="BA37" s="137" t="str">
        <x:f>IF(AND(BA$4&gt;=$C37,BA$4&lt;=$D37,'Вводные'!$B$91="Да"),"■","")</x:f>
      </x:c>
      <x:c r="BB37" s="137" t="str">
        <x:f>IF(AND(BB$4&gt;=$C37,BB$4&lt;=$D37,'Вводные'!$B$91="Да"),"■","")</x:f>
      </x:c>
      <x:c r="BC37" s="137" t="str">
        <x:f>IF(AND(BC$4&gt;=$C37,BC$4&lt;=$D37,'Вводные'!$B$91="Да"),"■","")</x:f>
      </x:c>
      <x:c r="BD37" s="137" t="str">
        <x:f>IF(AND(BD$4&gt;=$C37,BD$4&lt;=$D37,'Вводные'!$B$91="Да"),"■","")</x:f>
      </x:c>
      <x:c r="BE37" s="137" t="str">
        <x:f>IF(AND(BE$4&gt;=$C37,BE$4&lt;=$D37,'Вводные'!$B$91="Да"),"■","")</x:f>
      </x:c>
      <x:c r="BF37" s="137" t="str">
        <x:f>IF(AND(BF$4&gt;=$C37,BF$4&lt;=$D37,'Вводные'!$B$91="Да"),"■","")</x:f>
      </x:c>
      <x:c r="BG37" s="137" t="str">
        <x:f>IF(AND(BG$4&gt;=$C37,BG$4&lt;=$D37,'Вводные'!$B$91="Да"),"■","")</x:f>
      </x:c>
      <x:c r="BH37" s="137" t="str">
        <x:f>IF(AND(BH$4&gt;=$C37,BH$4&lt;=$D37,'Вводные'!$B$91="Да"),"■","")</x:f>
      </x:c>
      <x:c r="BI37" s="137" t="str">
        <x:f>IF(AND(BI$4&gt;=$C37,BI$4&lt;=$D37,'Вводные'!$B$91="Да"),"■","")</x:f>
      </x:c>
      <x:c r="BJ37" s="137" t="str">
        <x:f>IF(AND(BJ$4&gt;=$C37,BJ$4&lt;=$D37,'Вводные'!$B$91="Да"),"■","")</x:f>
      </x:c>
      <x:c r="BK37" s="137" t="str">
        <x:f>IF(AND(BK$4&gt;=$C37,BK$4&lt;=$D37,'Вводные'!$B$91="Да"),"■","")</x:f>
      </x:c>
      <x:c r="BL37" s="137" t="str">
        <x:f>IF(AND(BL$4&gt;=$C37,BL$4&lt;=$D37,'Вводные'!$B$91="Да"),"■","")</x:f>
      </x:c>
      <x:c r="BM37" s="137" t="str">
        <x:f>IF(AND(BM$4&gt;=$C37,BM$4&lt;=$D37,'Вводные'!$B$91="Да"),"■","")</x:f>
      </x:c>
      <x:c r="BN37" s="137" t="str">
        <x:f>IF(AND(BN$4&gt;=$C37,BN$4&lt;=$D37,'Вводные'!$B$91="Да"),"■","")</x:f>
      </x:c>
      <x:c r="BO37" s="137" t="str">
        <x:f>IF(AND(BO$4&gt;=$C37,BO$4&lt;=$D37,'Вводные'!$B$91="Да"),"■","")</x:f>
      </x:c>
      <x:c r="BP37" s="137" t="str">
        <x:f>IF(AND(BP$4&gt;=$C37,BP$4&lt;=$D37,'Вводные'!$B$91="Да"),"■","")</x:f>
      </x:c>
      <x:c r="BQ37" s="137" t="str">
        <x:f>IF(AND(BQ$4&gt;=$C37,BQ$4&lt;=$D37,'Вводные'!$B$91="Да"),"■","")</x:f>
      </x:c>
      <x:c r="BR37" s="137" t="str">
        <x:f>IF(AND(BR$4&gt;=$C37,BR$4&lt;=$D37,'Вводные'!$B$91="Да"),"■","")</x:f>
      </x:c>
      <x:c r="BS37" s="137" t="str">
        <x:f>IF(AND(BS$4&gt;=$C37,BS$4&lt;=$D37,'Вводные'!$B$91="Да"),"■","")</x:f>
      </x:c>
      <x:c r="BT37" s="137" t="str">
        <x:f>IF(AND(BT$4&gt;=$C37,BT$4&lt;=$D37,'Вводные'!$B$91="Да"),"■","")</x:f>
      </x:c>
      <x:c r="BU37" s="137" t="str">
        <x:f>IF(AND(BU$4&gt;=$C37,BU$4&lt;=$D37,'Вводные'!$B$91="Да"),"■","")</x:f>
      </x:c>
      <x:c r="BV37" s="137" t="str">
        <x:f>IF(AND(BV$4&gt;=$C37,BV$4&lt;=$D37,'Вводные'!$B$91="Да"),"■","")</x:f>
      </x:c>
      <x:c r="BW37" s="137" t="str">
        <x:f>IF(AND(BW$4&gt;=$C37,BW$4&lt;=$D37,'Вводные'!$B$91="Да"),"■","")</x:f>
      </x:c>
      <x:c r="BX37" s="137" t="str">
        <x:f>IF(AND(BX$4&gt;=$C37,BX$4&lt;=$D37,'Вводные'!$B$91="Да"),"■","")</x:f>
      </x:c>
      <x:c r="BY37" s="137" t="str">
        <x:f>IF(AND(BY$4&gt;=$C37,BY$4&lt;=$D37,'Вводные'!$B$91="Да"),"■","")</x:f>
      </x:c>
      <x:c r="BZ37" s="137" t="str">
        <x:f>IF(AND(BZ$4&gt;=$C37,BZ$4&lt;=$D37,'Вводные'!$B$91="Да"),"■","")</x:f>
      </x:c>
      <x:c r="CA37" s="137" t="str">
        <x:f>IF(AND(CA$4&gt;=$C37,CA$4&lt;=$D37,'Вводные'!$B$91="Да"),"■","")</x:f>
      </x:c>
      <x:c r="CB37" s="137" t="str">
        <x:f>IF(AND(CB$4&gt;=$C37,CB$4&lt;=$D37,'Вводные'!$B$91="Да"),"■","")</x:f>
      </x:c>
      <x:c r="CC37" s="137" t="str">
        <x:f>IF(AND(CC$4&gt;=$C37,CC$4&lt;=$D37,'Вводные'!$B$91="Да"),"■","")</x:f>
      </x:c>
      <x:c r="CD37" s="137" t="str">
        <x:f>IF(AND(CD$4&gt;=$C37,CD$4&lt;=$D37,'Вводные'!$B$91="Да"),"■","")</x:f>
      </x:c>
      <x:c r="CE37" s="137" t="str">
        <x:f>IF(AND(CE$4&gt;=$C37,CE$4&lt;=$D37,'Вводные'!$B$91="Да"),"■","")</x:f>
      </x:c>
      <x:c r="CF37" s="137" t="str">
        <x:f>IF(AND(CF$4&gt;=$C37,CF$4&lt;=$D37,'Вводные'!$B$91="Да"),"■","")</x:f>
      </x:c>
      <x:c r="CG37" s="137" t="str">
        <x:f>IF(AND(CG$4&gt;=$C37,CG$4&lt;=$D37,'Вводные'!$B$91="Да"),"■","")</x:f>
      </x:c>
      <x:c r="CH37" s="137" t="str">
        <x:f>IF(AND(CH$4&gt;=$C37,CH$4&lt;=$D37,'Вводные'!$B$91="Да"),"■","")</x:f>
      </x:c>
      <x:c r="CI37" s="137" t="str">
        <x:f>IF(AND(CI$4&gt;=$C37,CI$4&lt;=$D37,'Вводные'!$B$91="Да"),"■","")</x:f>
      </x:c>
      <x:c r="CJ37" s="137" t="str">
        <x:f>IF(AND(CJ$4&gt;=$C37,CJ$4&lt;=$D37,'Вводные'!$B$91="Да"),"■","")</x:f>
      </x:c>
      <x:c r="CK37" s="137" t="str">
        <x:f>IF(AND(CK$4&gt;=$C37,CK$4&lt;=$D37,'Вводные'!$B$91="Да"),"■","")</x:f>
      </x:c>
      <x:c r="CL37" s="137" t="str">
        <x:f>IF(AND(CL$4&gt;=$C37,CL$4&lt;=$D37,'Вводные'!$B$91="Да"),"■","")</x:f>
      </x:c>
      <x:c r="CM37" s="137" t="str">
        <x:f>IF(AND(CM$4&gt;=$C37,CM$4&lt;=$D37,'Вводные'!$B$91="Да"),"■","")</x:f>
      </x:c>
      <x:c r="CN37" s="137" t="str">
        <x:f>IF(AND(CN$4&gt;=$C37,CN$4&lt;=$D37,'Вводные'!$B$91="Да"),"■","")</x:f>
      </x:c>
      <x:c r="CO37" s="137" t="str">
        <x:f>IF(AND(CO$4&gt;=$C37,CO$4&lt;=$D37,'Вводные'!$B$91="Да"),"■","")</x:f>
      </x:c>
      <x:c r="CP37" s="137" t="str">
        <x:f>IF(AND(CP$4&gt;=$C37,CP$4&lt;=$D37,'Вводные'!$B$91="Да"),"■","")</x:f>
      </x:c>
      <x:c r="CQ37" s="137" t="str">
        <x:f>IF(AND(CQ$4&gt;=$C37,CQ$4&lt;=$D37,'Вводные'!$B$91="Да"),"■","")</x:f>
      </x:c>
      <x:c r="CR37" s="137" t="str">
        <x:f>IF(AND(CR$4&gt;=$C37,CR$4&lt;=$D37,'Вводные'!$B$91="Да"),"■","")</x:f>
      </x:c>
      <x:c r="CS37" s="137" t="str">
        <x:f>IF(AND(CS$4&gt;=$C37,CS$4&lt;=$D37,'Вводные'!$B$91="Да"),"■","")</x:f>
      </x:c>
      <x:c r="CT37" s="137" t="str">
        <x:f>IF(AND(CT$4&gt;=$C37,CT$4&lt;=$D37,'Вводные'!$B$91="Да"),"■","")</x:f>
      </x:c>
      <x:c r="CU37" s="137" t="str">
        <x:f>IF(AND(CU$4&gt;=$C37,CU$4&lt;=$D37,'Вводные'!$B$91="Да"),"■","")</x:f>
      </x:c>
      <x:c r="CV37" s="137" t="str">
        <x:f>IF(AND(CV$4&gt;=$C37,CV$4&lt;=$D37,'Вводные'!$B$91="Да"),"■","")</x:f>
      </x:c>
      <x:c r="CW37" s="137" t="str">
        <x:f>IF(AND(CW$4&gt;=$C37,CW$4&lt;=$D37,'Вводные'!$B$91="Да"),"■","")</x:f>
      </x:c>
      <x:c r="CX37" s="137" t="str">
        <x:f>IF(AND(CX$4&gt;=$C37,CX$4&lt;=$D37,'Вводные'!$B$91="Да"),"■","")</x:f>
      </x:c>
      <x:c r="CY37" s="137" t="str">
        <x:f>IF(AND(CY$4&gt;=$C37,CY$4&lt;=$D37,'Вводные'!$B$91="Да"),"■","")</x:f>
      </x:c>
      <x:c r="CZ37" s="137" t="str">
        <x:f>IF(AND(CZ$4&gt;=$C37,CZ$4&lt;=$D37,'Вводные'!$B$91="Да"),"■","")</x:f>
      </x:c>
      <x:c r="DA37" s="137" t="str">
        <x:f>IF(AND(DA$4&gt;=$C37,DA$4&lt;=$D37,'Вводные'!$B$91="Да"),"■","")</x:f>
      </x:c>
      <x:c r="DB37" s="137" t="str">
        <x:f>IF(AND(DB$4&gt;=$C37,DB$4&lt;=$D37,'Вводные'!$B$91="Да"),"■","")</x:f>
      </x:c>
      <x:c r="DC37" s="137" t="str">
        <x:f>IF(AND(DC$4&gt;=$C37,DC$4&lt;=$D37,'Вводные'!$B$91="Да"),"■","")</x:f>
      </x:c>
      <x:c r="DD37" s="137" t="str">
        <x:f>IF(AND(DD$4&gt;=$C37,DD$4&lt;=$D37,'Вводные'!$B$91="Да"),"■","")</x:f>
      </x:c>
      <x:c r="DE37" s="137" t="str">
        <x:f>IF(AND(DE$4&gt;=$C37,DE$4&lt;=$D37,'Вводные'!$B$91="Да"),"■","")</x:f>
      </x:c>
      <x:c r="DF37" s="137" t="str">
        <x:f>IF(AND(DF$4&gt;=$C37,DF$4&lt;=$D37,'Вводные'!$B$91="Да"),"■","")</x:f>
      </x:c>
      <x:c r="DG37" s="137" t="str">
        <x:f>IF(AND(DG$4&gt;=$C37,DG$4&lt;=$D37,'Вводные'!$B$91="Да"),"■","")</x:f>
      </x:c>
      <x:c r="DH37" s="137" t="str">
        <x:f>IF(AND(DH$4&gt;=$C37,DH$4&lt;=$D37,'Вводные'!$B$91="Да"),"■","")</x:f>
      </x:c>
      <x:c r="DI37" s="137" t="str">
        <x:f>IF(AND(DI$4&gt;=$C37,DI$4&lt;=$D37,'Вводные'!$B$91="Да"),"■","")</x:f>
      </x:c>
      <x:c r="DJ37" s="137" t="str">
        <x:f>IF(AND(DJ$4&gt;=$C37,DJ$4&lt;=$D37,'Вводные'!$B$91="Да"),"■","")</x:f>
      </x:c>
      <x:c r="DK37" s="137" t="str">
        <x:f>IF(AND(DK$4&gt;=$C37,DK$4&lt;=$D37,'Вводные'!$B$91="Да"),"■","")</x:f>
      </x:c>
      <x:c r="DL37" s="137" t="str">
        <x:f>IF(AND(DL$4&gt;=$C37,DL$4&lt;=$D37,'Вводные'!$B$91="Да"),"■","")</x:f>
      </x:c>
      <x:c r="DM37" s="137" t="str">
        <x:f>IF(AND(DM$4&gt;=$C37,DM$4&lt;=$D37,'Вводные'!$B$91="Да"),"■","")</x:f>
      </x:c>
      <x:c r="DN37" s="137" t="str">
        <x:f>IF(AND(DN$4&gt;=$C37,DN$4&lt;=$D37,'Вводные'!$B$91="Да"),"■","")</x:f>
      </x:c>
      <x:c r="DO37" s="137" t="str">
        <x:f>IF(AND(DO$4&gt;=$C37,DO$4&lt;=$D37,'Вводные'!$B$91="Да"),"■","")</x:f>
      </x:c>
      <x:c r="DP37" s="137" t="str">
        <x:f>IF(AND(DP$4&gt;=$C37,DP$4&lt;=$D37,'Вводные'!$B$91="Да"),"■","")</x:f>
      </x:c>
      <x:c r="DQ37" s="137" t="str">
        <x:f>IF(AND(DQ$4&gt;=$C37,DQ$4&lt;=$D37,'Вводные'!$B$91="Да"),"■","")</x:f>
      </x:c>
      <x:c r="DR37" s="137" t="str">
        <x:f>IF(AND(DR$4&gt;=$C37,DR$4&lt;=$D37,'Вводные'!$B$91="Да"),"■","")</x:f>
      </x:c>
      <x:c r="DS37" s="137" t="str">
        <x:f>IF(AND(DS$4&gt;=$C37,DS$4&lt;=$D37,'Вводные'!$B$91="Да"),"■","")</x:f>
      </x:c>
      <x:c r="DT37" s="137" t="str">
        <x:f>IF(AND(DT$4&gt;=$C37,DT$4&lt;=$D37,'Вводные'!$B$91="Да"),"■","")</x:f>
      </x:c>
      <x:c r="DU37" s="137" t="str">
        <x:f>IF(AND(DU$4&gt;=$C37,DU$4&lt;=$D37,'Вводные'!$B$91="Да"),"■","")</x:f>
      </x:c>
      <x:c r="DV37" s="137" t="str">
        <x:f>IF(AND(DV$4&gt;=$C37,DV$4&lt;=$D37,'Вводные'!$B$91="Да"),"■","")</x:f>
      </x:c>
      <x:c r="DW37" s="137" t="str">
        <x:f>IF(AND(DW$4&gt;=$C37,DW$4&lt;=$D37,'Вводные'!$B$91="Да"),"■","")</x:f>
      </x:c>
      <x:c r="DX37" s="137" t="str">
        <x:f>IF(AND(DX$4&gt;=$C37,DX$4&lt;=$D37,'Вводные'!$B$91="Да"),"■","")</x:f>
      </x:c>
      <x:c r="DY37" s="137" t="str">
        <x:f>IF(AND(DY$4&gt;=$C37,DY$4&lt;=$D37,'Вводные'!$B$91="Да"),"■","")</x:f>
      </x:c>
      <x:c r="DZ37" s="137" t="str">
        <x:f>IF(AND(DZ$4&gt;=$C37,DZ$4&lt;=$D37,'Вводные'!$B$91="Да"),"■","")</x:f>
      </x:c>
      <x:c r="EA37" s="137" t="str">
        <x:f>IF(AND(EA$4&gt;=$C37,EA$4&lt;=$D37,'Вводные'!$B$91="Да"),"■","")</x:f>
      </x:c>
      <x:c r="EB37" s="137" t="str">
        <x:f>IF(AND(EB$4&gt;=$C37,EB$4&lt;=$D37,'Вводные'!$B$91="Да"),"■","")</x:f>
      </x:c>
      <x:c r="EC37" s="137" t="str">
        <x:f>IF(AND(EC$4&gt;=$C37,EC$4&lt;=$D37,'Вводные'!$B$91="Да"),"■","")</x:f>
      </x:c>
      <x:c r="ED37" s="137" t="str">
        <x:f>IF(AND(ED$4&gt;=$C37,ED$4&lt;=$D37,'Вводные'!$B$91="Да"),"■","")</x:f>
      </x:c>
      <x:c r="EE37" s="137" t="str">
        <x:f>IF(AND(EE$4&gt;=$C37,EE$4&lt;=$D37,'Вводные'!$B$91="Да"),"■","")</x:f>
      </x:c>
      <x:c r="EF37" s="137" t="str">
        <x:f>IF(AND(EF$4&gt;=$C37,EF$4&lt;=$D37,'Вводные'!$B$91="Да"),"■","")</x:f>
      </x:c>
      <x:c r="EG37" s="137" t="str">
        <x:f>IF(AND(EG$4&gt;=$C37,EG$4&lt;=$D37,'Вводные'!$B$91="Да"),"■","")</x:f>
      </x:c>
      <x:c r="EH37" s="137" t="str">
        <x:f>IF(AND(EH$4&gt;=$C37,EH$4&lt;=$D37,'Вводные'!$B$91="Да"),"■","")</x:f>
      </x:c>
      <x:c r="EI37" s="137" t="str">
        <x:f>IF(AND(EI$4&gt;=$C37,EI$4&lt;=$D37,'Вводные'!$B$91="Да"),"■","")</x:f>
      </x:c>
      <x:c r="EJ37" s="137" t="str">
        <x:f>IF(AND(EJ$4&gt;=$C37,EJ$4&lt;=$D37,'Вводные'!$B$91="Да"),"■","")</x:f>
      </x:c>
      <x:c r="EK37" s="137" t="str">
        <x:f>IF(AND(EK$4&gt;=$C37,EK$4&lt;=$D37,'Вводные'!$B$91="Да"),"■","")</x:f>
      </x:c>
      <x:c r="EL37" s="137" t="str">
        <x:f>IF(AND(EL$4&gt;=$C37,EL$4&lt;=$D37,'Вводные'!$B$91="Да"),"■","")</x:f>
      </x:c>
      <x:c r="EM37" s="137" t="str">
        <x:f>IF(AND(EM$4&gt;=$C37,EM$4&lt;=$D37,'Вводные'!$B$91="Да"),"■","")</x:f>
      </x:c>
      <x:c r="EN37" s="137" t="str">
        <x:f>IF(AND(EN$4&gt;=$C37,EN$4&lt;=$D37,'Вводные'!$B$91="Да"),"■","")</x:f>
      </x:c>
      <x:c r="EO37" s="137" t="str">
        <x:f>IF(AND(EO$4&gt;=$C37,EO$4&lt;=$D37,'Вводные'!$B$91="Да"),"■","")</x:f>
      </x:c>
      <x:c r="EP37" s="137" t="str">
        <x:f>IF(AND(EP$4&gt;=$C37,EP$4&lt;=$D37,'Вводные'!$B$91="Да"),"■","")</x:f>
      </x:c>
      <x:c r="EQ37" s="137" t="str">
        <x:f>IF(AND(EQ$4&gt;=$C37,EQ$4&lt;=$D37,'Вводные'!$B$91="Да"),"■","")</x:f>
      </x:c>
      <x:c r="ER37" s="137" t="str">
        <x:f>IF(AND(ER$4&gt;=$C37,ER$4&lt;=$D37,'Вводные'!$B$91="Да"),"■","")</x:f>
      </x:c>
      <x:c r="ES37" s="137" t="str">
        <x:f>IF(AND(ES$4&gt;=$C37,ES$4&lt;=$D37,'Вводные'!$B$91="Да"),"■","")</x:f>
      </x:c>
      <x:c r="ET37" s="137" t="str">
        <x:f>IF(AND(ET$4&gt;=$C37,ET$4&lt;=$D37,'Вводные'!$B$91="Да"),"■","")</x:f>
      </x:c>
      <x:c r="EU37" s="137" t="str">
        <x:f>IF(AND(EU$4&gt;=$C37,EU$4&lt;=$D37,'Вводные'!$B$91="Да"),"■","")</x:f>
      </x:c>
      <x:c r="EV37" s="137" t="str">
        <x:f>IF(AND(EV$4&gt;=$C37,EV$4&lt;=$D37,'Вводные'!$B$91="Да"),"■","")</x:f>
      </x:c>
      <x:c r="EW37" s="137" t="str">
        <x:f>IF(AND(EW$4&gt;=$C37,EW$4&lt;=$D37,'Вводные'!$B$91="Да"),"■","")</x:f>
      </x:c>
      <x:c r="EX37" s="137" t="str">
        <x:f>IF(AND(EX$4&gt;=$C37,EX$4&lt;=$D37,'Вводные'!$B$91="Да"),"■","")</x:f>
      </x:c>
      <x:c r="EY37" s="137" t="str">
        <x:f>IF(AND(EY$4&gt;=$C37,EY$4&lt;=$D37,'Вводные'!$B$91="Да"),"■","")</x:f>
      </x:c>
      <x:c r="EZ37" s="137" t="str">
        <x:f>IF(AND(EZ$4&gt;=$C37,EZ$4&lt;=$D37,'Вводные'!$B$91="Да"),"■","")</x:f>
      </x:c>
      <x:c r="FA37" s="137" t="str">
        <x:f>IF(AND(FA$4&gt;=$C37,FA$4&lt;=$D37,'Вводные'!$B$91="Да"),"■","")</x:f>
      </x:c>
      <x:c r="FB37" s="137" t="str">
        <x:f>IF(AND(FB$4&gt;=$C37,FB$4&lt;=$D37,'Вводные'!$B$91="Да"),"■","")</x:f>
      </x:c>
      <x:c r="FC37" s="137" t="str">
        <x:f>IF(AND(FC$4&gt;=$C37,FC$4&lt;=$D37,'Вводные'!$B$91="Да"),"■","")</x:f>
      </x:c>
      <x:c r="FD37" s="137" t="str">
        <x:f>IF(AND(FD$4&gt;=$C37,FD$4&lt;=$D37,'Вводные'!$B$91="Да"),"■","")</x:f>
      </x:c>
      <x:c r="FE37" s="137" t="str">
        <x:f>IF(AND(FE$4&gt;=$C37,FE$4&lt;=$D37,'Вводные'!$B$91="Да"),"■","")</x:f>
      </x:c>
      <x:c r="FF37" s="137" t="str">
        <x:f>IF(AND(FF$4&gt;=$C37,FF$4&lt;=$D37,'Вводные'!$B$91="Да"),"■","")</x:f>
      </x:c>
      <x:c r="FG37" s="137" t="str">
        <x:f>IF(AND(FG$4&gt;=$C37,FG$4&lt;=$D37,'Вводные'!$B$91="Да"),"■","")</x:f>
      </x:c>
      <x:c r="FH37" s="137" t="str">
        <x:f>IF(AND(FH$4&gt;=$C37,FH$4&lt;=$D37,'Вводные'!$B$91="Да"),"■","")</x:f>
      </x:c>
      <x:c r="FI37" s="137" t="str">
        <x:f>IF(AND(FI$4&gt;=$C37,FI$4&lt;=$D37,'Вводные'!$B$91="Да"),"■","")</x:f>
      </x:c>
      <x:c r="FJ37" s="137" t="str">
        <x:f>IF(AND(FJ$4&gt;=$C37,FJ$4&lt;=$D37,'Вводные'!$B$91="Да"),"■","")</x:f>
      </x:c>
      <x:c r="FK37" s="137" t="str">
        <x:f>IF(AND(FK$4&gt;=$C37,FK$4&lt;=$D37,'Вводные'!$B$91="Да"),"■","")</x:f>
      </x:c>
      <x:c r="FL37" s="137" t="str">
        <x:f>IF(AND(FL$4&gt;=$C37,FL$4&lt;=$D37,'Вводные'!$B$91="Да"),"■","")</x:f>
      </x:c>
      <x:c r="FM37" s="137" t="str">
        <x:f>IF(AND(FM$4&gt;=$C37,FM$4&lt;=$D37,'Вводные'!$B$91="Да"),"■","")</x:f>
      </x:c>
      <x:c r="FN37" s="137" t="str">
        <x:f>IF(AND(FN$4&gt;=$C37,FN$4&lt;=$D37,'Вводные'!$B$91="Да"),"■","")</x:f>
      </x:c>
      <x:c r="FO37" s="137" t="str">
        <x:f>IF(AND(FO$4&gt;=$C37,FO$4&lt;=$D37,'Вводные'!$B$91="Да"),"■","")</x:f>
      </x:c>
      <x:c r="FP37" s="137" t="str">
        <x:f>IF(AND(FP$4&gt;=$C37,FP$4&lt;=$D37,'Вводные'!$B$91="Да"),"■","")</x:f>
      </x:c>
      <x:c r="FQ37" s="137" t="str">
        <x:f>IF(AND(FQ$4&gt;=$C37,FQ$4&lt;=$D37,'Вводные'!$B$91="Да"),"■","")</x:f>
      </x:c>
      <x:c r="FR37" s="137" t="str">
        <x:f>IF(AND(FR$4&gt;=$C37,FR$4&lt;=$D37,'Вводные'!$B$91="Да"),"■","")</x:f>
      </x:c>
      <x:c r="FS37" s="137" t="str">
        <x:f>IF(AND(FS$4&gt;=$C37,FS$4&lt;=$D37,'Вводные'!$B$91="Да"),"■","")</x:f>
      </x:c>
      <x:c r="FT37" s="137" t="str">
        <x:f>IF(AND(FT$4&gt;=$C37,FT$4&lt;=$D37,'Вводные'!$B$91="Да"),"■","")</x:f>
      </x:c>
      <x:c r="FU37" s="137" t="str">
        <x:f>IF(AND(FU$4&gt;=$C37,FU$4&lt;=$D37,'Вводные'!$B$91="Да"),"■","")</x:f>
      </x:c>
      <x:c r="FV37" s="137" t="str">
        <x:f>IF(AND(FV$4&gt;=$C37,FV$4&lt;=$D37,'Вводные'!$B$91="Да"),"■","")</x:f>
      </x:c>
      <x:c r="FW37" s="137" t="str">
        <x:f>IF(AND(FW$4&gt;=$C37,FW$4&lt;=$D37,'Вводные'!$B$91="Да"),"■","")</x:f>
      </x:c>
      <x:c r="FX37" s="137" t="str">
        <x:f>IF(AND(FX$4&gt;=$C37,FX$4&lt;=$D37,'Вводные'!$B$91="Да"),"■","")</x:f>
      </x:c>
      <x:c r="FY37" s="137" t="str">
        <x:f>IF(AND(FY$4&gt;=$C37,FY$4&lt;=$D37,'Вводные'!$B$91="Да"),"■","")</x:f>
      </x:c>
      <x:c r="FZ37" s="137" t="str">
        <x:f>IF(AND(FZ$4&gt;=$C37,FZ$4&lt;=$D37,'Вводные'!$B$91="Да"),"■","")</x:f>
      </x:c>
      <x:c r="GA37" s="137" t="str">
        <x:f>IF(AND(GA$4&gt;=$C37,GA$4&lt;=$D37,'Вводные'!$B$91="Да"),"■","")</x:f>
      </x:c>
      <x:c r="GB37" s="137" t="str">
        <x:f>IF(AND(GB$4&gt;=$C37,GB$4&lt;=$D37,'Вводные'!$B$91="Да"),"■","")</x:f>
      </x:c>
    </x:row>
    <x:row r="38">
      <x:c r="A38" t="str">
        <x:f>'Вводные'!$C$91</x:f>
      </x:c>
      <x:c r="B38" t="str">
        <x:v>РнС / открытие ПФ</x:v>
      </x:c>
      <x:c r="C38" s="92" t="n">
        <x:f>'CF_4'!B7</x:f>
      </x:c>
      <x:c r="D38" s="92" t="n">
        <x:f>C38</x:f>
      </x:c>
      <x:c r="E38" s="135" t="str">
        <x:f>IF(AND(E$4&gt;=$C38,E$4&lt;=$D38,'Вводные'!$B$91="Да"),"■","")</x:f>
      </x:c>
      <x:c r="F38" s="135" t="str">
        <x:f>IF(AND(F$4&gt;=$C38,F$4&lt;=$D38,'Вводные'!$B$91="Да"),"■","")</x:f>
      </x:c>
      <x:c r="G38" s="135" t="str">
        <x:f>IF(AND(G$4&gt;=$C38,G$4&lt;=$D38,'Вводные'!$B$91="Да"),"■","")</x:f>
      </x:c>
      <x:c r="H38" s="135" t="str">
        <x:f>IF(AND(H$4&gt;=$C38,H$4&lt;=$D38,'Вводные'!$B$91="Да"),"■","")</x:f>
      </x:c>
      <x:c r="I38" s="135" t="str">
        <x:f>IF(AND(I$4&gt;=$C38,I$4&lt;=$D38,'Вводные'!$B$91="Да"),"■","")</x:f>
      </x:c>
      <x:c r="J38" s="135" t="str">
        <x:f>IF(AND(J$4&gt;=$C38,J$4&lt;=$D38,'Вводные'!$B$91="Да"),"■","")</x:f>
      </x:c>
      <x:c r="K38" s="135" t="str">
        <x:f>IF(AND(K$4&gt;=$C38,K$4&lt;=$D38,'Вводные'!$B$91="Да"),"■","")</x:f>
      </x:c>
      <x:c r="L38" s="135" t="str">
        <x:f>IF(AND(L$4&gt;=$C38,L$4&lt;=$D38,'Вводные'!$B$91="Да"),"■","")</x:f>
      </x:c>
      <x:c r="M38" s="135" t="str">
        <x:f>IF(AND(M$4&gt;=$C38,M$4&lt;=$D38,'Вводные'!$B$91="Да"),"■","")</x:f>
      </x:c>
      <x:c r="N38" s="135" t="str">
        <x:f>IF(AND(N$4&gt;=$C38,N$4&lt;=$D38,'Вводные'!$B$91="Да"),"■","")</x:f>
      </x:c>
      <x:c r="O38" s="135" t="str">
        <x:f>IF(AND(O$4&gt;=$C38,O$4&lt;=$D38,'Вводные'!$B$91="Да"),"■","")</x:f>
      </x:c>
      <x:c r="P38" s="135" t="str">
        <x:f>IF(AND(P$4&gt;=$C38,P$4&lt;=$D38,'Вводные'!$B$91="Да"),"■","")</x:f>
      </x:c>
      <x:c r="Q38" s="135" t="str">
        <x:f>IF(AND(Q$4&gt;=$C38,Q$4&lt;=$D38,'Вводные'!$B$91="Да"),"■","")</x:f>
      </x:c>
      <x:c r="R38" s="135" t="str">
        <x:f>IF(AND(R$4&gt;=$C38,R$4&lt;=$D38,'Вводные'!$B$91="Да"),"■","")</x:f>
      </x:c>
      <x:c r="S38" s="135" t="str">
        <x:f>IF(AND(S$4&gt;=$C38,S$4&lt;=$D38,'Вводные'!$B$91="Да"),"■","")</x:f>
      </x:c>
      <x:c r="T38" s="135" t="str">
        <x:f>IF(AND(T$4&gt;=$C38,T$4&lt;=$D38,'Вводные'!$B$91="Да"),"■","")</x:f>
      </x:c>
      <x:c r="U38" s="135" t="str">
        <x:f>IF(AND(U$4&gt;=$C38,U$4&lt;=$D38,'Вводные'!$B$91="Да"),"■","")</x:f>
      </x:c>
      <x:c r="V38" s="135" t="str">
        <x:f>IF(AND(V$4&gt;=$C38,V$4&lt;=$D38,'Вводные'!$B$91="Да"),"■","")</x:f>
      </x:c>
      <x:c r="W38" s="135" t="str">
        <x:f>IF(AND(W$4&gt;=$C38,W$4&lt;=$D38,'Вводные'!$B$91="Да"),"■","")</x:f>
      </x:c>
      <x:c r="X38" s="135" t="str">
        <x:f>IF(AND(X$4&gt;=$C38,X$4&lt;=$D38,'Вводные'!$B$91="Да"),"■","")</x:f>
      </x:c>
      <x:c r="Y38" s="135" t="str">
        <x:f>IF(AND(Y$4&gt;=$C38,Y$4&lt;=$D38,'Вводные'!$B$91="Да"),"■","")</x:f>
      </x:c>
      <x:c r="Z38" s="135" t="str">
        <x:f>IF(AND(Z$4&gt;=$C38,Z$4&lt;=$D38,'Вводные'!$B$91="Да"),"■","")</x:f>
      </x:c>
      <x:c r="AA38" s="135" t="str">
        <x:f>IF(AND(AA$4&gt;=$C38,AA$4&lt;=$D38,'Вводные'!$B$91="Да"),"■","")</x:f>
      </x:c>
      <x:c r="AB38" s="135" t="str">
        <x:f>IF(AND(AB$4&gt;=$C38,AB$4&lt;=$D38,'Вводные'!$B$91="Да"),"■","")</x:f>
      </x:c>
      <x:c r="AC38" s="135" t="str">
        <x:f>IF(AND(AC$4&gt;=$C38,AC$4&lt;=$D38,'Вводные'!$B$91="Да"),"■","")</x:f>
      </x:c>
      <x:c r="AD38" s="135" t="str">
        <x:f>IF(AND(AD$4&gt;=$C38,AD$4&lt;=$D38,'Вводные'!$B$91="Да"),"■","")</x:f>
      </x:c>
      <x:c r="AE38" s="135" t="str">
        <x:f>IF(AND(AE$4&gt;=$C38,AE$4&lt;=$D38,'Вводные'!$B$91="Да"),"■","")</x:f>
      </x:c>
      <x:c r="AF38" s="135" t="str">
        <x:f>IF(AND(AF$4&gt;=$C38,AF$4&lt;=$D38,'Вводные'!$B$91="Да"),"■","")</x:f>
      </x:c>
      <x:c r="AG38" s="135" t="str">
        <x:f>IF(AND(AG$4&gt;=$C38,AG$4&lt;=$D38,'Вводные'!$B$91="Да"),"■","")</x:f>
      </x:c>
      <x:c r="AH38" s="135" t="str">
        <x:f>IF(AND(AH$4&gt;=$C38,AH$4&lt;=$D38,'Вводные'!$B$91="Да"),"■","")</x:f>
      </x:c>
      <x:c r="AI38" s="135" t="str">
        <x:f>IF(AND(AI$4&gt;=$C38,AI$4&lt;=$D38,'Вводные'!$B$91="Да"),"■","")</x:f>
      </x:c>
      <x:c r="AJ38" s="135" t="str">
        <x:f>IF(AND(AJ$4&gt;=$C38,AJ$4&lt;=$D38,'Вводные'!$B$91="Да"),"■","")</x:f>
      </x:c>
      <x:c r="AK38" s="135" t="str">
        <x:f>IF(AND(AK$4&gt;=$C38,AK$4&lt;=$D38,'Вводные'!$B$91="Да"),"■","")</x:f>
      </x:c>
      <x:c r="AL38" s="135" t="str">
        <x:f>IF(AND(AL$4&gt;=$C38,AL$4&lt;=$D38,'Вводные'!$B$91="Да"),"■","")</x:f>
      </x:c>
      <x:c r="AM38" s="135" t="str">
        <x:f>IF(AND(AM$4&gt;=$C38,AM$4&lt;=$D38,'Вводные'!$B$91="Да"),"■","")</x:f>
      </x:c>
      <x:c r="AN38" s="135" t="str">
        <x:f>IF(AND(AN$4&gt;=$C38,AN$4&lt;=$D38,'Вводные'!$B$91="Да"),"■","")</x:f>
      </x:c>
      <x:c r="AO38" s="135" t="str">
        <x:f>IF(AND(AO$4&gt;=$C38,AO$4&lt;=$D38,'Вводные'!$B$91="Да"),"■","")</x:f>
      </x:c>
      <x:c r="AP38" s="135" t="str">
        <x:f>IF(AND(AP$4&gt;=$C38,AP$4&lt;=$D38,'Вводные'!$B$91="Да"),"■","")</x:f>
      </x:c>
      <x:c r="AQ38" s="135" t="str">
        <x:f>IF(AND(AQ$4&gt;=$C38,AQ$4&lt;=$D38,'Вводные'!$B$91="Да"),"■","")</x:f>
      </x:c>
      <x:c r="AR38" s="135" t="str">
        <x:f>IF(AND(AR$4&gt;=$C38,AR$4&lt;=$D38,'Вводные'!$B$91="Да"),"■","")</x:f>
      </x:c>
      <x:c r="AS38" s="135" t="str">
        <x:f>IF(AND(AS$4&gt;=$C38,AS$4&lt;=$D38,'Вводные'!$B$91="Да"),"■","")</x:f>
      </x:c>
      <x:c r="AT38" s="135" t="str">
        <x:f>IF(AND(AT$4&gt;=$C38,AT$4&lt;=$D38,'Вводные'!$B$91="Да"),"■","")</x:f>
      </x:c>
      <x:c r="AU38" s="135" t="str">
        <x:f>IF(AND(AU$4&gt;=$C38,AU$4&lt;=$D38,'Вводные'!$B$91="Да"),"■","")</x:f>
      </x:c>
      <x:c r="AV38" s="135" t="str">
        <x:f>IF(AND(AV$4&gt;=$C38,AV$4&lt;=$D38,'Вводные'!$B$91="Да"),"■","")</x:f>
      </x:c>
      <x:c r="AW38" s="135" t="str">
        <x:f>IF(AND(AW$4&gt;=$C38,AW$4&lt;=$D38,'Вводные'!$B$91="Да"),"■","")</x:f>
      </x:c>
      <x:c r="AX38" s="135" t="str">
        <x:f>IF(AND(AX$4&gt;=$C38,AX$4&lt;=$D38,'Вводные'!$B$91="Да"),"■","")</x:f>
      </x:c>
      <x:c r="AY38" s="135" t="str">
        <x:f>IF(AND(AY$4&gt;=$C38,AY$4&lt;=$D38,'Вводные'!$B$91="Да"),"■","")</x:f>
      </x:c>
      <x:c r="AZ38" s="135" t="str">
        <x:f>IF(AND(AZ$4&gt;=$C38,AZ$4&lt;=$D38,'Вводные'!$B$91="Да"),"■","")</x:f>
      </x:c>
      <x:c r="BA38" s="135" t="str">
        <x:f>IF(AND(BA$4&gt;=$C38,BA$4&lt;=$D38,'Вводные'!$B$91="Да"),"■","")</x:f>
      </x:c>
      <x:c r="BB38" s="135" t="str">
        <x:f>IF(AND(BB$4&gt;=$C38,BB$4&lt;=$D38,'Вводные'!$B$91="Да"),"■","")</x:f>
      </x:c>
      <x:c r="BC38" s="135" t="str">
        <x:f>IF(AND(BC$4&gt;=$C38,BC$4&lt;=$D38,'Вводные'!$B$91="Да"),"■","")</x:f>
      </x:c>
      <x:c r="BD38" s="135" t="str">
        <x:f>IF(AND(BD$4&gt;=$C38,BD$4&lt;=$D38,'Вводные'!$B$91="Да"),"■","")</x:f>
      </x:c>
      <x:c r="BE38" s="135" t="str">
        <x:f>IF(AND(BE$4&gt;=$C38,BE$4&lt;=$D38,'Вводные'!$B$91="Да"),"■","")</x:f>
      </x:c>
      <x:c r="BF38" s="135" t="str">
        <x:f>IF(AND(BF$4&gt;=$C38,BF$4&lt;=$D38,'Вводные'!$B$91="Да"),"■","")</x:f>
      </x:c>
      <x:c r="BG38" s="135" t="str">
        <x:f>IF(AND(BG$4&gt;=$C38,BG$4&lt;=$D38,'Вводные'!$B$91="Да"),"■","")</x:f>
      </x:c>
      <x:c r="BH38" s="135" t="str">
        <x:f>IF(AND(BH$4&gt;=$C38,BH$4&lt;=$D38,'Вводные'!$B$91="Да"),"■","")</x:f>
      </x:c>
      <x:c r="BI38" s="135" t="str">
        <x:f>IF(AND(BI$4&gt;=$C38,BI$4&lt;=$D38,'Вводные'!$B$91="Да"),"■","")</x:f>
      </x:c>
      <x:c r="BJ38" s="135" t="str">
        <x:f>IF(AND(BJ$4&gt;=$C38,BJ$4&lt;=$D38,'Вводные'!$B$91="Да"),"■","")</x:f>
      </x:c>
      <x:c r="BK38" s="135" t="str">
        <x:f>IF(AND(BK$4&gt;=$C38,BK$4&lt;=$D38,'Вводные'!$B$91="Да"),"■","")</x:f>
      </x:c>
      <x:c r="BL38" s="135" t="str">
        <x:f>IF(AND(BL$4&gt;=$C38,BL$4&lt;=$D38,'Вводные'!$B$91="Да"),"■","")</x:f>
      </x:c>
      <x:c r="BM38" s="135" t="str">
        <x:f>IF(AND(BM$4&gt;=$C38,BM$4&lt;=$D38,'Вводные'!$B$91="Да"),"■","")</x:f>
      </x:c>
      <x:c r="BN38" s="135" t="str">
        <x:f>IF(AND(BN$4&gt;=$C38,BN$4&lt;=$D38,'Вводные'!$B$91="Да"),"■","")</x:f>
      </x:c>
      <x:c r="BO38" s="135" t="str">
        <x:f>IF(AND(BO$4&gt;=$C38,BO$4&lt;=$D38,'Вводные'!$B$91="Да"),"■","")</x:f>
      </x:c>
      <x:c r="BP38" s="135" t="str">
        <x:f>IF(AND(BP$4&gt;=$C38,BP$4&lt;=$D38,'Вводные'!$B$91="Да"),"■","")</x:f>
      </x:c>
      <x:c r="BQ38" s="135" t="str">
        <x:f>IF(AND(BQ$4&gt;=$C38,BQ$4&lt;=$D38,'Вводные'!$B$91="Да"),"■","")</x:f>
      </x:c>
      <x:c r="BR38" s="135" t="str">
        <x:f>IF(AND(BR$4&gt;=$C38,BR$4&lt;=$D38,'Вводные'!$B$91="Да"),"■","")</x:f>
      </x:c>
      <x:c r="BS38" s="135" t="str">
        <x:f>IF(AND(BS$4&gt;=$C38,BS$4&lt;=$D38,'Вводные'!$B$91="Да"),"■","")</x:f>
      </x:c>
      <x:c r="BT38" s="135" t="str">
        <x:f>IF(AND(BT$4&gt;=$C38,BT$4&lt;=$D38,'Вводные'!$B$91="Да"),"■","")</x:f>
      </x:c>
      <x:c r="BU38" s="135" t="str">
        <x:f>IF(AND(BU$4&gt;=$C38,BU$4&lt;=$D38,'Вводные'!$B$91="Да"),"■","")</x:f>
      </x:c>
      <x:c r="BV38" s="135" t="str">
        <x:f>IF(AND(BV$4&gt;=$C38,BV$4&lt;=$D38,'Вводные'!$B$91="Да"),"■","")</x:f>
      </x:c>
      <x:c r="BW38" s="135" t="str">
        <x:f>IF(AND(BW$4&gt;=$C38,BW$4&lt;=$D38,'Вводные'!$B$91="Да"),"■","")</x:f>
      </x:c>
      <x:c r="BX38" s="135" t="str">
        <x:f>IF(AND(BX$4&gt;=$C38,BX$4&lt;=$D38,'Вводные'!$B$91="Да"),"■","")</x:f>
      </x:c>
      <x:c r="BY38" s="135" t="str">
        <x:f>IF(AND(BY$4&gt;=$C38,BY$4&lt;=$D38,'Вводные'!$B$91="Да"),"■","")</x:f>
      </x:c>
      <x:c r="BZ38" s="135" t="str">
        <x:f>IF(AND(BZ$4&gt;=$C38,BZ$4&lt;=$D38,'Вводные'!$B$91="Да"),"■","")</x:f>
      </x:c>
      <x:c r="CA38" s="135" t="str">
        <x:f>IF(AND(CA$4&gt;=$C38,CA$4&lt;=$D38,'Вводные'!$B$91="Да"),"■","")</x:f>
      </x:c>
      <x:c r="CB38" s="135" t="str">
        <x:f>IF(AND(CB$4&gt;=$C38,CB$4&lt;=$D38,'Вводные'!$B$91="Да"),"■","")</x:f>
      </x:c>
      <x:c r="CC38" s="135" t="str">
        <x:f>IF(AND(CC$4&gt;=$C38,CC$4&lt;=$D38,'Вводные'!$B$91="Да"),"■","")</x:f>
      </x:c>
      <x:c r="CD38" s="135" t="str">
        <x:f>IF(AND(CD$4&gt;=$C38,CD$4&lt;=$D38,'Вводные'!$B$91="Да"),"■","")</x:f>
      </x:c>
      <x:c r="CE38" s="135" t="str">
        <x:f>IF(AND(CE$4&gt;=$C38,CE$4&lt;=$D38,'Вводные'!$B$91="Да"),"■","")</x:f>
      </x:c>
      <x:c r="CF38" s="135" t="str">
        <x:f>IF(AND(CF$4&gt;=$C38,CF$4&lt;=$D38,'Вводные'!$B$91="Да"),"■","")</x:f>
      </x:c>
      <x:c r="CG38" s="135" t="str">
        <x:f>IF(AND(CG$4&gt;=$C38,CG$4&lt;=$D38,'Вводные'!$B$91="Да"),"■","")</x:f>
      </x:c>
      <x:c r="CH38" s="135" t="str">
        <x:f>IF(AND(CH$4&gt;=$C38,CH$4&lt;=$D38,'Вводные'!$B$91="Да"),"■","")</x:f>
      </x:c>
      <x:c r="CI38" s="135" t="str">
        <x:f>IF(AND(CI$4&gt;=$C38,CI$4&lt;=$D38,'Вводные'!$B$91="Да"),"■","")</x:f>
      </x:c>
      <x:c r="CJ38" s="135" t="str">
        <x:f>IF(AND(CJ$4&gt;=$C38,CJ$4&lt;=$D38,'Вводные'!$B$91="Да"),"■","")</x:f>
      </x:c>
      <x:c r="CK38" s="135" t="str">
        <x:f>IF(AND(CK$4&gt;=$C38,CK$4&lt;=$D38,'Вводные'!$B$91="Да"),"■","")</x:f>
      </x:c>
      <x:c r="CL38" s="135" t="str">
        <x:f>IF(AND(CL$4&gt;=$C38,CL$4&lt;=$D38,'Вводные'!$B$91="Да"),"■","")</x:f>
      </x:c>
      <x:c r="CM38" s="135" t="str">
        <x:f>IF(AND(CM$4&gt;=$C38,CM$4&lt;=$D38,'Вводные'!$B$91="Да"),"■","")</x:f>
      </x:c>
      <x:c r="CN38" s="135" t="str">
        <x:f>IF(AND(CN$4&gt;=$C38,CN$4&lt;=$D38,'Вводные'!$B$91="Да"),"■","")</x:f>
      </x:c>
      <x:c r="CO38" s="135" t="str">
        <x:f>IF(AND(CO$4&gt;=$C38,CO$4&lt;=$D38,'Вводные'!$B$91="Да"),"■","")</x:f>
      </x:c>
      <x:c r="CP38" s="135" t="str">
        <x:f>IF(AND(CP$4&gt;=$C38,CP$4&lt;=$D38,'Вводные'!$B$91="Да"),"■","")</x:f>
      </x:c>
      <x:c r="CQ38" s="135" t="str">
        <x:f>IF(AND(CQ$4&gt;=$C38,CQ$4&lt;=$D38,'Вводные'!$B$91="Да"),"■","")</x:f>
      </x:c>
      <x:c r="CR38" s="135" t="str">
        <x:f>IF(AND(CR$4&gt;=$C38,CR$4&lt;=$D38,'Вводные'!$B$91="Да"),"■","")</x:f>
      </x:c>
      <x:c r="CS38" s="135" t="str">
        <x:f>IF(AND(CS$4&gt;=$C38,CS$4&lt;=$D38,'Вводные'!$B$91="Да"),"■","")</x:f>
      </x:c>
      <x:c r="CT38" s="135" t="str">
        <x:f>IF(AND(CT$4&gt;=$C38,CT$4&lt;=$D38,'Вводные'!$B$91="Да"),"■","")</x:f>
      </x:c>
      <x:c r="CU38" s="135" t="str">
        <x:f>IF(AND(CU$4&gt;=$C38,CU$4&lt;=$D38,'Вводные'!$B$91="Да"),"■","")</x:f>
      </x:c>
      <x:c r="CV38" s="135" t="str">
        <x:f>IF(AND(CV$4&gt;=$C38,CV$4&lt;=$D38,'Вводные'!$B$91="Да"),"■","")</x:f>
      </x:c>
      <x:c r="CW38" s="135" t="str">
        <x:f>IF(AND(CW$4&gt;=$C38,CW$4&lt;=$D38,'Вводные'!$B$91="Да"),"■","")</x:f>
      </x:c>
      <x:c r="CX38" s="135" t="str">
        <x:f>IF(AND(CX$4&gt;=$C38,CX$4&lt;=$D38,'Вводные'!$B$91="Да"),"■","")</x:f>
      </x:c>
      <x:c r="CY38" s="135" t="str">
        <x:f>IF(AND(CY$4&gt;=$C38,CY$4&lt;=$D38,'Вводные'!$B$91="Да"),"■","")</x:f>
      </x:c>
      <x:c r="CZ38" s="135" t="str">
        <x:f>IF(AND(CZ$4&gt;=$C38,CZ$4&lt;=$D38,'Вводные'!$B$91="Да"),"■","")</x:f>
      </x:c>
      <x:c r="DA38" s="135" t="str">
        <x:f>IF(AND(DA$4&gt;=$C38,DA$4&lt;=$D38,'Вводные'!$B$91="Да"),"■","")</x:f>
      </x:c>
      <x:c r="DB38" s="135" t="str">
        <x:f>IF(AND(DB$4&gt;=$C38,DB$4&lt;=$D38,'Вводные'!$B$91="Да"),"■","")</x:f>
      </x:c>
      <x:c r="DC38" s="135" t="str">
        <x:f>IF(AND(DC$4&gt;=$C38,DC$4&lt;=$D38,'Вводные'!$B$91="Да"),"■","")</x:f>
      </x:c>
      <x:c r="DD38" s="135" t="str">
        <x:f>IF(AND(DD$4&gt;=$C38,DD$4&lt;=$D38,'Вводные'!$B$91="Да"),"■","")</x:f>
      </x:c>
      <x:c r="DE38" s="135" t="str">
        <x:f>IF(AND(DE$4&gt;=$C38,DE$4&lt;=$D38,'Вводные'!$B$91="Да"),"■","")</x:f>
      </x:c>
      <x:c r="DF38" s="135" t="str">
        <x:f>IF(AND(DF$4&gt;=$C38,DF$4&lt;=$D38,'Вводные'!$B$91="Да"),"■","")</x:f>
      </x:c>
      <x:c r="DG38" s="135" t="str">
        <x:f>IF(AND(DG$4&gt;=$C38,DG$4&lt;=$D38,'Вводные'!$B$91="Да"),"■","")</x:f>
      </x:c>
      <x:c r="DH38" s="135" t="str">
        <x:f>IF(AND(DH$4&gt;=$C38,DH$4&lt;=$D38,'Вводные'!$B$91="Да"),"■","")</x:f>
      </x:c>
      <x:c r="DI38" s="135" t="str">
        <x:f>IF(AND(DI$4&gt;=$C38,DI$4&lt;=$D38,'Вводные'!$B$91="Да"),"■","")</x:f>
      </x:c>
      <x:c r="DJ38" s="135" t="str">
        <x:f>IF(AND(DJ$4&gt;=$C38,DJ$4&lt;=$D38,'Вводные'!$B$91="Да"),"■","")</x:f>
      </x:c>
      <x:c r="DK38" s="135" t="str">
        <x:f>IF(AND(DK$4&gt;=$C38,DK$4&lt;=$D38,'Вводные'!$B$91="Да"),"■","")</x:f>
      </x:c>
      <x:c r="DL38" s="135" t="str">
        <x:f>IF(AND(DL$4&gt;=$C38,DL$4&lt;=$D38,'Вводные'!$B$91="Да"),"■","")</x:f>
      </x:c>
      <x:c r="DM38" s="135" t="str">
        <x:f>IF(AND(DM$4&gt;=$C38,DM$4&lt;=$D38,'Вводные'!$B$91="Да"),"■","")</x:f>
      </x:c>
      <x:c r="DN38" s="135" t="str">
        <x:f>IF(AND(DN$4&gt;=$C38,DN$4&lt;=$D38,'Вводные'!$B$91="Да"),"■","")</x:f>
      </x:c>
      <x:c r="DO38" s="135" t="str">
        <x:f>IF(AND(DO$4&gt;=$C38,DO$4&lt;=$D38,'Вводные'!$B$91="Да"),"■","")</x:f>
      </x:c>
      <x:c r="DP38" s="135" t="str">
        <x:f>IF(AND(DP$4&gt;=$C38,DP$4&lt;=$D38,'Вводные'!$B$91="Да"),"■","")</x:f>
      </x:c>
      <x:c r="DQ38" s="135" t="str">
        <x:f>IF(AND(DQ$4&gt;=$C38,DQ$4&lt;=$D38,'Вводные'!$B$91="Да"),"■","")</x:f>
      </x:c>
      <x:c r="DR38" s="135" t="str">
        <x:f>IF(AND(DR$4&gt;=$C38,DR$4&lt;=$D38,'Вводные'!$B$91="Да"),"■","")</x:f>
      </x:c>
      <x:c r="DS38" s="135" t="str">
        <x:f>IF(AND(DS$4&gt;=$C38,DS$4&lt;=$D38,'Вводные'!$B$91="Да"),"■","")</x:f>
      </x:c>
      <x:c r="DT38" s="135" t="str">
        <x:f>IF(AND(DT$4&gt;=$C38,DT$4&lt;=$D38,'Вводные'!$B$91="Да"),"■","")</x:f>
      </x:c>
      <x:c r="DU38" s="135" t="str">
        <x:f>IF(AND(DU$4&gt;=$C38,DU$4&lt;=$D38,'Вводные'!$B$91="Да"),"■","")</x:f>
      </x:c>
      <x:c r="DV38" s="135" t="str">
        <x:f>IF(AND(DV$4&gt;=$C38,DV$4&lt;=$D38,'Вводные'!$B$91="Да"),"■","")</x:f>
      </x:c>
      <x:c r="DW38" s="135" t="str">
        <x:f>IF(AND(DW$4&gt;=$C38,DW$4&lt;=$D38,'Вводные'!$B$91="Да"),"■","")</x:f>
      </x:c>
      <x:c r="DX38" s="135" t="str">
        <x:f>IF(AND(DX$4&gt;=$C38,DX$4&lt;=$D38,'Вводные'!$B$91="Да"),"■","")</x:f>
      </x:c>
      <x:c r="DY38" s="135" t="str">
        <x:f>IF(AND(DY$4&gt;=$C38,DY$4&lt;=$D38,'Вводные'!$B$91="Да"),"■","")</x:f>
      </x:c>
      <x:c r="DZ38" s="135" t="str">
        <x:f>IF(AND(DZ$4&gt;=$C38,DZ$4&lt;=$D38,'Вводные'!$B$91="Да"),"■","")</x:f>
      </x:c>
      <x:c r="EA38" s="135" t="str">
        <x:f>IF(AND(EA$4&gt;=$C38,EA$4&lt;=$D38,'Вводные'!$B$91="Да"),"■","")</x:f>
      </x:c>
      <x:c r="EB38" s="135" t="str">
        <x:f>IF(AND(EB$4&gt;=$C38,EB$4&lt;=$D38,'Вводные'!$B$91="Да"),"■","")</x:f>
      </x:c>
      <x:c r="EC38" s="135" t="str">
        <x:f>IF(AND(EC$4&gt;=$C38,EC$4&lt;=$D38,'Вводные'!$B$91="Да"),"■","")</x:f>
      </x:c>
      <x:c r="ED38" s="135" t="str">
        <x:f>IF(AND(ED$4&gt;=$C38,ED$4&lt;=$D38,'Вводные'!$B$91="Да"),"■","")</x:f>
      </x:c>
      <x:c r="EE38" s="135" t="str">
        <x:f>IF(AND(EE$4&gt;=$C38,EE$4&lt;=$D38,'Вводные'!$B$91="Да"),"■","")</x:f>
      </x:c>
      <x:c r="EF38" s="135" t="str">
        <x:f>IF(AND(EF$4&gt;=$C38,EF$4&lt;=$D38,'Вводные'!$B$91="Да"),"■","")</x:f>
      </x:c>
      <x:c r="EG38" s="135" t="str">
        <x:f>IF(AND(EG$4&gt;=$C38,EG$4&lt;=$D38,'Вводные'!$B$91="Да"),"■","")</x:f>
      </x:c>
      <x:c r="EH38" s="135" t="str">
        <x:f>IF(AND(EH$4&gt;=$C38,EH$4&lt;=$D38,'Вводные'!$B$91="Да"),"■","")</x:f>
      </x:c>
      <x:c r="EI38" s="135" t="str">
        <x:f>IF(AND(EI$4&gt;=$C38,EI$4&lt;=$D38,'Вводные'!$B$91="Да"),"■","")</x:f>
      </x:c>
      <x:c r="EJ38" s="135" t="str">
        <x:f>IF(AND(EJ$4&gt;=$C38,EJ$4&lt;=$D38,'Вводные'!$B$91="Да"),"■","")</x:f>
      </x:c>
      <x:c r="EK38" s="135" t="str">
        <x:f>IF(AND(EK$4&gt;=$C38,EK$4&lt;=$D38,'Вводные'!$B$91="Да"),"■","")</x:f>
      </x:c>
      <x:c r="EL38" s="135" t="str">
        <x:f>IF(AND(EL$4&gt;=$C38,EL$4&lt;=$D38,'Вводные'!$B$91="Да"),"■","")</x:f>
      </x:c>
      <x:c r="EM38" s="135" t="str">
        <x:f>IF(AND(EM$4&gt;=$C38,EM$4&lt;=$D38,'Вводные'!$B$91="Да"),"■","")</x:f>
      </x:c>
      <x:c r="EN38" s="135" t="str">
        <x:f>IF(AND(EN$4&gt;=$C38,EN$4&lt;=$D38,'Вводные'!$B$91="Да"),"■","")</x:f>
      </x:c>
      <x:c r="EO38" s="135" t="str">
        <x:f>IF(AND(EO$4&gt;=$C38,EO$4&lt;=$D38,'Вводные'!$B$91="Да"),"■","")</x:f>
      </x:c>
      <x:c r="EP38" s="135" t="str">
        <x:f>IF(AND(EP$4&gt;=$C38,EP$4&lt;=$D38,'Вводные'!$B$91="Да"),"■","")</x:f>
      </x:c>
      <x:c r="EQ38" s="135" t="str">
        <x:f>IF(AND(EQ$4&gt;=$C38,EQ$4&lt;=$D38,'Вводные'!$B$91="Да"),"■","")</x:f>
      </x:c>
      <x:c r="ER38" s="135" t="str">
        <x:f>IF(AND(ER$4&gt;=$C38,ER$4&lt;=$D38,'Вводные'!$B$91="Да"),"■","")</x:f>
      </x:c>
      <x:c r="ES38" s="135" t="str">
        <x:f>IF(AND(ES$4&gt;=$C38,ES$4&lt;=$D38,'Вводные'!$B$91="Да"),"■","")</x:f>
      </x:c>
      <x:c r="ET38" s="135" t="str">
        <x:f>IF(AND(ET$4&gt;=$C38,ET$4&lt;=$D38,'Вводные'!$B$91="Да"),"■","")</x:f>
      </x:c>
      <x:c r="EU38" s="135" t="str">
        <x:f>IF(AND(EU$4&gt;=$C38,EU$4&lt;=$D38,'Вводные'!$B$91="Да"),"■","")</x:f>
      </x:c>
      <x:c r="EV38" s="135" t="str">
        <x:f>IF(AND(EV$4&gt;=$C38,EV$4&lt;=$D38,'Вводные'!$B$91="Да"),"■","")</x:f>
      </x:c>
      <x:c r="EW38" s="135" t="str">
        <x:f>IF(AND(EW$4&gt;=$C38,EW$4&lt;=$D38,'Вводные'!$B$91="Да"),"■","")</x:f>
      </x:c>
      <x:c r="EX38" s="135" t="str">
        <x:f>IF(AND(EX$4&gt;=$C38,EX$4&lt;=$D38,'Вводные'!$B$91="Да"),"■","")</x:f>
      </x:c>
      <x:c r="EY38" s="135" t="str">
        <x:f>IF(AND(EY$4&gt;=$C38,EY$4&lt;=$D38,'Вводные'!$B$91="Да"),"■","")</x:f>
      </x:c>
      <x:c r="EZ38" s="135" t="str">
        <x:f>IF(AND(EZ$4&gt;=$C38,EZ$4&lt;=$D38,'Вводные'!$B$91="Да"),"■","")</x:f>
      </x:c>
      <x:c r="FA38" s="135" t="str">
        <x:f>IF(AND(FA$4&gt;=$C38,FA$4&lt;=$D38,'Вводные'!$B$91="Да"),"■","")</x:f>
      </x:c>
      <x:c r="FB38" s="135" t="str">
        <x:f>IF(AND(FB$4&gt;=$C38,FB$4&lt;=$D38,'Вводные'!$B$91="Да"),"■","")</x:f>
      </x:c>
      <x:c r="FC38" s="135" t="str">
        <x:f>IF(AND(FC$4&gt;=$C38,FC$4&lt;=$D38,'Вводные'!$B$91="Да"),"■","")</x:f>
      </x:c>
      <x:c r="FD38" s="135" t="str">
        <x:f>IF(AND(FD$4&gt;=$C38,FD$4&lt;=$D38,'Вводные'!$B$91="Да"),"■","")</x:f>
      </x:c>
      <x:c r="FE38" s="135" t="str">
        <x:f>IF(AND(FE$4&gt;=$C38,FE$4&lt;=$D38,'Вводные'!$B$91="Да"),"■","")</x:f>
      </x:c>
      <x:c r="FF38" s="135" t="str">
        <x:f>IF(AND(FF$4&gt;=$C38,FF$4&lt;=$D38,'Вводные'!$B$91="Да"),"■","")</x:f>
      </x:c>
      <x:c r="FG38" s="135" t="str">
        <x:f>IF(AND(FG$4&gt;=$C38,FG$4&lt;=$D38,'Вводные'!$B$91="Да"),"■","")</x:f>
      </x:c>
      <x:c r="FH38" s="135" t="str">
        <x:f>IF(AND(FH$4&gt;=$C38,FH$4&lt;=$D38,'Вводные'!$B$91="Да"),"■","")</x:f>
      </x:c>
      <x:c r="FI38" s="135" t="str">
        <x:f>IF(AND(FI$4&gt;=$C38,FI$4&lt;=$D38,'Вводные'!$B$91="Да"),"■","")</x:f>
      </x:c>
      <x:c r="FJ38" s="135" t="str">
        <x:f>IF(AND(FJ$4&gt;=$C38,FJ$4&lt;=$D38,'Вводные'!$B$91="Да"),"■","")</x:f>
      </x:c>
      <x:c r="FK38" s="135" t="str">
        <x:f>IF(AND(FK$4&gt;=$C38,FK$4&lt;=$D38,'Вводные'!$B$91="Да"),"■","")</x:f>
      </x:c>
      <x:c r="FL38" s="135" t="str">
        <x:f>IF(AND(FL$4&gt;=$C38,FL$4&lt;=$D38,'Вводные'!$B$91="Да"),"■","")</x:f>
      </x:c>
      <x:c r="FM38" s="135" t="str">
        <x:f>IF(AND(FM$4&gt;=$C38,FM$4&lt;=$D38,'Вводные'!$B$91="Да"),"■","")</x:f>
      </x:c>
      <x:c r="FN38" s="135" t="str">
        <x:f>IF(AND(FN$4&gt;=$C38,FN$4&lt;=$D38,'Вводные'!$B$91="Да"),"■","")</x:f>
      </x:c>
      <x:c r="FO38" s="135" t="str">
        <x:f>IF(AND(FO$4&gt;=$C38,FO$4&lt;=$D38,'Вводные'!$B$91="Да"),"■","")</x:f>
      </x:c>
      <x:c r="FP38" s="135" t="str">
        <x:f>IF(AND(FP$4&gt;=$C38,FP$4&lt;=$D38,'Вводные'!$B$91="Да"),"■","")</x:f>
      </x:c>
      <x:c r="FQ38" s="135" t="str">
        <x:f>IF(AND(FQ$4&gt;=$C38,FQ$4&lt;=$D38,'Вводные'!$B$91="Да"),"■","")</x:f>
      </x:c>
      <x:c r="FR38" s="135" t="str">
        <x:f>IF(AND(FR$4&gt;=$C38,FR$4&lt;=$D38,'Вводные'!$B$91="Да"),"■","")</x:f>
      </x:c>
      <x:c r="FS38" s="135" t="str">
        <x:f>IF(AND(FS$4&gt;=$C38,FS$4&lt;=$D38,'Вводные'!$B$91="Да"),"■","")</x:f>
      </x:c>
      <x:c r="FT38" s="135" t="str">
        <x:f>IF(AND(FT$4&gt;=$C38,FT$4&lt;=$D38,'Вводные'!$B$91="Да"),"■","")</x:f>
      </x:c>
      <x:c r="FU38" s="135" t="str">
        <x:f>IF(AND(FU$4&gt;=$C38,FU$4&lt;=$D38,'Вводные'!$B$91="Да"),"■","")</x:f>
      </x:c>
      <x:c r="FV38" s="135" t="str">
        <x:f>IF(AND(FV$4&gt;=$C38,FV$4&lt;=$D38,'Вводные'!$B$91="Да"),"■","")</x:f>
      </x:c>
      <x:c r="FW38" s="135" t="str">
        <x:f>IF(AND(FW$4&gt;=$C38,FW$4&lt;=$D38,'Вводные'!$B$91="Да"),"■","")</x:f>
      </x:c>
      <x:c r="FX38" s="135" t="str">
        <x:f>IF(AND(FX$4&gt;=$C38,FX$4&lt;=$D38,'Вводные'!$B$91="Да"),"■","")</x:f>
      </x:c>
      <x:c r="FY38" s="135" t="str">
        <x:f>IF(AND(FY$4&gt;=$C38,FY$4&lt;=$D38,'Вводные'!$B$91="Да"),"■","")</x:f>
      </x:c>
      <x:c r="FZ38" s="135" t="str">
        <x:f>IF(AND(FZ$4&gt;=$C38,FZ$4&lt;=$D38,'Вводные'!$B$91="Да"),"■","")</x:f>
      </x:c>
      <x:c r="GA38" s="135" t="str">
        <x:f>IF(AND(GA$4&gt;=$C38,GA$4&lt;=$D38,'Вводные'!$B$91="Да"),"■","")</x:f>
      </x:c>
      <x:c r="GB38" s="135" t="str">
        <x:f>IF(AND(GB$4&gt;=$C38,GB$4&lt;=$D38,'Вводные'!$B$91="Да"),"■","")</x:f>
      </x:c>
    </x:row>
    <x:row r="39">
      <x:c r="A39" t="str">
        <x:f>'Вводные'!$C$91</x:f>
      </x:c>
      <x:c r="B39" t="str">
        <x:v>Продажи</x:v>
      </x:c>
      <x:c r="C39" s="92" t="n">
        <x:f>'Продажи'!B76</x:f>
      </x:c>
      <x:c r="D39" s="92" t="n">
        <x:f>EDATE('Продажи'!B76,'Вводные'!$H$91-1)</x:f>
      </x:c>
      <x:c r="E39" s="139" t="str">
        <x:f>IF(AND(E$4&gt;=$C39,E$4&lt;=$D39,'Вводные'!$B$91="Да"),"■","")</x:f>
      </x:c>
      <x:c r="F39" s="139" t="str">
        <x:f>IF(AND(F$4&gt;=$C39,F$4&lt;=$D39,'Вводные'!$B$91="Да"),"■","")</x:f>
      </x:c>
      <x:c r="G39" s="139" t="str">
        <x:f>IF(AND(G$4&gt;=$C39,G$4&lt;=$D39,'Вводные'!$B$91="Да"),"■","")</x:f>
      </x:c>
      <x:c r="H39" s="139" t="str">
        <x:f>IF(AND(H$4&gt;=$C39,H$4&lt;=$D39,'Вводные'!$B$91="Да"),"■","")</x:f>
      </x:c>
      <x:c r="I39" s="139" t="str">
        <x:f>IF(AND(I$4&gt;=$C39,I$4&lt;=$D39,'Вводные'!$B$91="Да"),"■","")</x:f>
      </x:c>
      <x:c r="J39" s="139" t="str">
        <x:f>IF(AND(J$4&gt;=$C39,J$4&lt;=$D39,'Вводные'!$B$91="Да"),"■","")</x:f>
      </x:c>
      <x:c r="K39" s="139" t="str">
        <x:f>IF(AND(K$4&gt;=$C39,K$4&lt;=$D39,'Вводные'!$B$91="Да"),"■","")</x:f>
      </x:c>
      <x:c r="L39" s="139" t="str">
        <x:f>IF(AND(L$4&gt;=$C39,L$4&lt;=$D39,'Вводные'!$B$91="Да"),"■","")</x:f>
      </x:c>
      <x:c r="M39" s="139" t="str">
        <x:f>IF(AND(M$4&gt;=$C39,M$4&lt;=$D39,'Вводные'!$B$91="Да"),"■","")</x:f>
      </x:c>
      <x:c r="N39" s="139" t="str">
        <x:f>IF(AND(N$4&gt;=$C39,N$4&lt;=$D39,'Вводные'!$B$91="Да"),"■","")</x:f>
      </x:c>
      <x:c r="O39" s="139" t="str">
        <x:f>IF(AND(O$4&gt;=$C39,O$4&lt;=$D39,'Вводные'!$B$91="Да"),"■","")</x:f>
      </x:c>
      <x:c r="P39" s="139" t="str">
        <x:f>IF(AND(P$4&gt;=$C39,P$4&lt;=$D39,'Вводные'!$B$91="Да"),"■","")</x:f>
      </x:c>
      <x:c r="Q39" s="139" t="str">
        <x:f>IF(AND(Q$4&gt;=$C39,Q$4&lt;=$D39,'Вводные'!$B$91="Да"),"■","")</x:f>
      </x:c>
      <x:c r="R39" s="139" t="str">
        <x:f>IF(AND(R$4&gt;=$C39,R$4&lt;=$D39,'Вводные'!$B$91="Да"),"■","")</x:f>
      </x:c>
      <x:c r="S39" s="139" t="str">
        <x:f>IF(AND(S$4&gt;=$C39,S$4&lt;=$D39,'Вводные'!$B$91="Да"),"■","")</x:f>
      </x:c>
      <x:c r="T39" s="139" t="str">
        <x:f>IF(AND(T$4&gt;=$C39,T$4&lt;=$D39,'Вводные'!$B$91="Да"),"■","")</x:f>
      </x:c>
      <x:c r="U39" s="139" t="str">
        <x:f>IF(AND(U$4&gt;=$C39,U$4&lt;=$D39,'Вводные'!$B$91="Да"),"■","")</x:f>
      </x:c>
      <x:c r="V39" s="139" t="str">
        <x:f>IF(AND(V$4&gt;=$C39,V$4&lt;=$D39,'Вводные'!$B$91="Да"),"■","")</x:f>
      </x:c>
      <x:c r="W39" s="139" t="str">
        <x:f>IF(AND(W$4&gt;=$C39,W$4&lt;=$D39,'Вводные'!$B$91="Да"),"■","")</x:f>
      </x:c>
      <x:c r="X39" s="139" t="str">
        <x:f>IF(AND(X$4&gt;=$C39,X$4&lt;=$D39,'Вводные'!$B$91="Да"),"■","")</x:f>
      </x:c>
      <x:c r="Y39" s="139" t="str">
        <x:f>IF(AND(Y$4&gt;=$C39,Y$4&lt;=$D39,'Вводные'!$B$91="Да"),"■","")</x:f>
      </x:c>
      <x:c r="Z39" s="139" t="str">
        <x:f>IF(AND(Z$4&gt;=$C39,Z$4&lt;=$D39,'Вводные'!$B$91="Да"),"■","")</x:f>
      </x:c>
      <x:c r="AA39" s="139" t="str">
        <x:f>IF(AND(AA$4&gt;=$C39,AA$4&lt;=$D39,'Вводные'!$B$91="Да"),"■","")</x:f>
      </x:c>
      <x:c r="AB39" s="139" t="str">
        <x:f>IF(AND(AB$4&gt;=$C39,AB$4&lt;=$D39,'Вводные'!$B$91="Да"),"■","")</x:f>
      </x:c>
      <x:c r="AC39" s="139" t="str">
        <x:f>IF(AND(AC$4&gt;=$C39,AC$4&lt;=$D39,'Вводные'!$B$91="Да"),"■","")</x:f>
      </x:c>
      <x:c r="AD39" s="139" t="str">
        <x:f>IF(AND(AD$4&gt;=$C39,AD$4&lt;=$D39,'Вводные'!$B$91="Да"),"■","")</x:f>
      </x:c>
      <x:c r="AE39" s="139" t="str">
        <x:f>IF(AND(AE$4&gt;=$C39,AE$4&lt;=$D39,'Вводные'!$B$91="Да"),"■","")</x:f>
      </x:c>
      <x:c r="AF39" s="139" t="str">
        <x:f>IF(AND(AF$4&gt;=$C39,AF$4&lt;=$D39,'Вводные'!$B$91="Да"),"■","")</x:f>
      </x:c>
      <x:c r="AG39" s="139" t="str">
        <x:f>IF(AND(AG$4&gt;=$C39,AG$4&lt;=$D39,'Вводные'!$B$91="Да"),"■","")</x:f>
      </x:c>
      <x:c r="AH39" s="139" t="str">
        <x:f>IF(AND(AH$4&gt;=$C39,AH$4&lt;=$D39,'Вводные'!$B$91="Да"),"■","")</x:f>
      </x:c>
      <x:c r="AI39" s="139" t="str">
        <x:f>IF(AND(AI$4&gt;=$C39,AI$4&lt;=$D39,'Вводные'!$B$91="Да"),"■","")</x:f>
      </x:c>
      <x:c r="AJ39" s="139" t="str">
        <x:f>IF(AND(AJ$4&gt;=$C39,AJ$4&lt;=$D39,'Вводные'!$B$91="Да"),"■","")</x:f>
      </x:c>
      <x:c r="AK39" s="139" t="str">
        <x:f>IF(AND(AK$4&gt;=$C39,AK$4&lt;=$D39,'Вводные'!$B$91="Да"),"■","")</x:f>
      </x:c>
      <x:c r="AL39" s="139" t="str">
        <x:f>IF(AND(AL$4&gt;=$C39,AL$4&lt;=$D39,'Вводные'!$B$91="Да"),"■","")</x:f>
      </x:c>
      <x:c r="AM39" s="139" t="str">
        <x:f>IF(AND(AM$4&gt;=$C39,AM$4&lt;=$D39,'Вводные'!$B$91="Да"),"■","")</x:f>
      </x:c>
      <x:c r="AN39" s="139" t="str">
        <x:f>IF(AND(AN$4&gt;=$C39,AN$4&lt;=$D39,'Вводные'!$B$91="Да"),"■","")</x:f>
      </x:c>
      <x:c r="AO39" s="139" t="str">
        <x:f>IF(AND(AO$4&gt;=$C39,AO$4&lt;=$D39,'Вводные'!$B$91="Да"),"■","")</x:f>
      </x:c>
      <x:c r="AP39" s="139" t="str">
        <x:f>IF(AND(AP$4&gt;=$C39,AP$4&lt;=$D39,'Вводные'!$B$91="Да"),"■","")</x:f>
      </x:c>
      <x:c r="AQ39" s="139" t="str">
        <x:f>IF(AND(AQ$4&gt;=$C39,AQ$4&lt;=$D39,'Вводные'!$B$91="Да"),"■","")</x:f>
      </x:c>
      <x:c r="AR39" s="139" t="str">
        <x:f>IF(AND(AR$4&gt;=$C39,AR$4&lt;=$D39,'Вводные'!$B$91="Да"),"■","")</x:f>
      </x:c>
      <x:c r="AS39" s="139" t="str">
        <x:f>IF(AND(AS$4&gt;=$C39,AS$4&lt;=$D39,'Вводные'!$B$91="Да"),"■","")</x:f>
      </x:c>
      <x:c r="AT39" s="139" t="str">
        <x:f>IF(AND(AT$4&gt;=$C39,AT$4&lt;=$D39,'Вводные'!$B$91="Да"),"■","")</x:f>
      </x:c>
      <x:c r="AU39" s="139" t="str">
        <x:f>IF(AND(AU$4&gt;=$C39,AU$4&lt;=$D39,'Вводные'!$B$91="Да"),"■","")</x:f>
      </x:c>
      <x:c r="AV39" s="139" t="str">
        <x:f>IF(AND(AV$4&gt;=$C39,AV$4&lt;=$D39,'Вводные'!$B$91="Да"),"■","")</x:f>
      </x:c>
      <x:c r="AW39" s="139" t="str">
        <x:f>IF(AND(AW$4&gt;=$C39,AW$4&lt;=$D39,'Вводные'!$B$91="Да"),"■","")</x:f>
      </x:c>
      <x:c r="AX39" s="139" t="str">
        <x:f>IF(AND(AX$4&gt;=$C39,AX$4&lt;=$D39,'Вводные'!$B$91="Да"),"■","")</x:f>
      </x:c>
      <x:c r="AY39" s="139" t="str">
        <x:f>IF(AND(AY$4&gt;=$C39,AY$4&lt;=$D39,'Вводные'!$B$91="Да"),"■","")</x:f>
      </x:c>
      <x:c r="AZ39" s="139" t="str">
        <x:f>IF(AND(AZ$4&gt;=$C39,AZ$4&lt;=$D39,'Вводные'!$B$91="Да"),"■","")</x:f>
      </x:c>
      <x:c r="BA39" s="139" t="str">
        <x:f>IF(AND(BA$4&gt;=$C39,BA$4&lt;=$D39,'Вводные'!$B$91="Да"),"■","")</x:f>
      </x:c>
      <x:c r="BB39" s="139" t="str">
        <x:f>IF(AND(BB$4&gt;=$C39,BB$4&lt;=$D39,'Вводные'!$B$91="Да"),"■","")</x:f>
      </x:c>
      <x:c r="BC39" s="139" t="str">
        <x:f>IF(AND(BC$4&gt;=$C39,BC$4&lt;=$D39,'Вводные'!$B$91="Да"),"■","")</x:f>
      </x:c>
      <x:c r="BD39" s="139" t="str">
        <x:f>IF(AND(BD$4&gt;=$C39,BD$4&lt;=$D39,'Вводные'!$B$91="Да"),"■","")</x:f>
      </x:c>
      <x:c r="BE39" s="139" t="str">
        <x:f>IF(AND(BE$4&gt;=$C39,BE$4&lt;=$D39,'Вводные'!$B$91="Да"),"■","")</x:f>
      </x:c>
      <x:c r="BF39" s="139" t="str">
        <x:f>IF(AND(BF$4&gt;=$C39,BF$4&lt;=$D39,'Вводные'!$B$91="Да"),"■","")</x:f>
      </x:c>
      <x:c r="BG39" s="139" t="str">
        <x:f>IF(AND(BG$4&gt;=$C39,BG$4&lt;=$D39,'Вводные'!$B$91="Да"),"■","")</x:f>
      </x:c>
      <x:c r="BH39" s="139" t="str">
        <x:f>IF(AND(BH$4&gt;=$C39,BH$4&lt;=$D39,'Вводные'!$B$91="Да"),"■","")</x:f>
      </x:c>
      <x:c r="BI39" s="139" t="str">
        <x:f>IF(AND(BI$4&gt;=$C39,BI$4&lt;=$D39,'Вводные'!$B$91="Да"),"■","")</x:f>
      </x:c>
      <x:c r="BJ39" s="139" t="str">
        <x:f>IF(AND(BJ$4&gt;=$C39,BJ$4&lt;=$D39,'Вводные'!$B$91="Да"),"■","")</x:f>
      </x:c>
      <x:c r="BK39" s="139" t="str">
        <x:f>IF(AND(BK$4&gt;=$C39,BK$4&lt;=$D39,'Вводные'!$B$91="Да"),"■","")</x:f>
      </x:c>
      <x:c r="BL39" s="139" t="str">
        <x:f>IF(AND(BL$4&gt;=$C39,BL$4&lt;=$D39,'Вводные'!$B$91="Да"),"■","")</x:f>
      </x:c>
      <x:c r="BM39" s="139" t="str">
        <x:f>IF(AND(BM$4&gt;=$C39,BM$4&lt;=$D39,'Вводные'!$B$91="Да"),"■","")</x:f>
      </x:c>
      <x:c r="BN39" s="139" t="str">
        <x:f>IF(AND(BN$4&gt;=$C39,BN$4&lt;=$D39,'Вводные'!$B$91="Да"),"■","")</x:f>
      </x:c>
      <x:c r="BO39" s="139" t="str">
        <x:f>IF(AND(BO$4&gt;=$C39,BO$4&lt;=$D39,'Вводные'!$B$91="Да"),"■","")</x:f>
      </x:c>
      <x:c r="BP39" s="139" t="str">
        <x:f>IF(AND(BP$4&gt;=$C39,BP$4&lt;=$D39,'Вводные'!$B$91="Да"),"■","")</x:f>
      </x:c>
      <x:c r="BQ39" s="139" t="str">
        <x:f>IF(AND(BQ$4&gt;=$C39,BQ$4&lt;=$D39,'Вводные'!$B$91="Да"),"■","")</x:f>
      </x:c>
      <x:c r="BR39" s="139" t="str">
        <x:f>IF(AND(BR$4&gt;=$C39,BR$4&lt;=$D39,'Вводные'!$B$91="Да"),"■","")</x:f>
      </x:c>
      <x:c r="BS39" s="139" t="str">
        <x:f>IF(AND(BS$4&gt;=$C39,BS$4&lt;=$D39,'Вводные'!$B$91="Да"),"■","")</x:f>
      </x:c>
      <x:c r="BT39" s="139" t="str">
        <x:f>IF(AND(BT$4&gt;=$C39,BT$4&lt;=$D39,'Вводные'!$B$91="Да"),"■","")</x:f>
      </x:c>
      <x:c r="BU39" s="139" t="str">
        <x:f>IF(AND(BU$4&gt;=$C39,BU$4&lt;=$D39,'Вводные'!$B$91="Да"),"■","")</x:f>
      </x:c>
      <x:c r="BV39" s="139" t="str">
        <x:f>IF(AND(BV$4&gt;=$C39,BV$4&lt;=$D39,'Вводные'!$B$91="Да"),"■","")</x:f>
      </x:c>
      <x:c r="BW39" s="139" t="str">
        <x:f>IF(AND(BW$4&gt;=$C39,BW$4&lt;=$D39,'Вводные'!$B$91="Да"),"■","")</x:f>
      </x:c>
      <x:c r="BX39" s="139" t="str">
        <x:f>IF(AND(BX$4&gt;=$C39,BX$4&lt;=$D39,'Вводные'!$B$91="Да"),"■","")</x:f>
      </x:c>
      <x:c r="BY39" s="139" t="str">
        <x:f>IF(AND(BY$4&gt;=$C39,BY$4&lt;=$D39,'Вводные'!$B$91="Да"),"■","")</x:f>
      </x:c>
      <x:c r="BZ39" s="139" t="str">
        <x:f>IF(AND(BZ$4&gt;=$C39,BZ$4&lt;=$D39,'Вводные'!$B$91="Да"),"■","")</x:f>
      </x:c>
      <x:c r="CA39" s="139" t="str">
        <x:f>IF(AND(CA$4&gt;=$C39,CA$4&lt;=$D39,'Вводные'!$B$91="Да"),"■","")</x:f>
      </x:c>
      <x:c r="CB39" s="139" t="str">
        <x:f>IF(AND(CB$4&gt;=$C39,CB$4&lt;=$D39,'Вводные'!$B$91="Да"),"■","")</x:f>
      </x:c>
      <x:c r="CC39" s="139" t="str">
        <x:f>IF(AND(CC$4&gt;=$C39,CC$4&lt;=$D39,'Вводные'!$B$91="Да"),"■","")</x:f>
      </x:c>
      <x:c r="CD39" s="139" t="str">
        <x:f>IF(AND(CD$4&gt;=$C39,CD$4&lt;=$D39,'Вводные'!$B$91="Да"),"■","")</x:f>
      </x:c>
      <x:c r="CE39" s="139" t="str">
        <x:f>IF(AND(CE$4&gt;=$C39,CE$4&lt;=$D39,'Вводные'!$B$91="Да"),"■","")</x:f>
      </x:c>
      <x:c r="CF39" s="139" t="str">
        <x:f>IF(AND(CF$4&gt;=$C39,CF$4&lt;=$D39,'Вводные'!$B$91="Да"),"■","")</x:f>
      </x:c>
      <x:c r="CG39" s="139" t="str">
        <x:f>IF(AND(CG$4&gt;=$C39,CG$4&lt;=$D39,'Вводные'!$B$91="Да"),"■","")</x:f>
      </x:c>
      <x:c r="CH39" s="139" t="str">
        <x:f>IF(AND(CH$4&gt;=$C39,CH$4&lt;=$D39,'Вводные'!$B$91="Да"),"■","")</x:f>
      </x:c>
      <x:c r="CI39" s="139" t="str">
        <x:f>IF(AND(CI$4&gt;=$C39,CI$4&lt;=$D39,'Вводные'!$B$91="Да"),"■","")</x:f>
      </x:c>
      <x:c r="CJ39" s="139" t="str">
        <x:f>IF(AND(CJ$4&gt;=$C39,CJ$4&lt;=$D39,'Вводные'!$B$91="Да"),"■","")</x:f>
      </x:c>
      <x:c r="CK39" s="139" t="str">
        <x:f>IF(AND(CK$4&gt;=$C39,CK$4&lt;=$D39,'Вводные'!$B$91="Да"),"■","")</x:f>
      </x:c>
      <x:c r="CL39" s="139" t="str">
        <x:f>IF(AND(CL$4&gt;=$C39,CL$4&lt;=$D39,'Вводные'!$B$91="Да"),"■","")</x:f>
      </x:c>
      <x:c r="CM39" s="139" t="str">
        <x:f>IF(AND(CM$4&gt;=$C39,CM$4&lt;=$D39,'Вводные'!$B$91="Да"),"■","")</x:f>
      </x:c>
      <x:c r="CN39" s="139" t="str">
        <x:f>IF(AND(CN$4&gt;=$C39,CN$4&lt;=$D39,'Вводные'!$B$91="Да"),"■","")</x:f>
      </x:c>
      <x:c r="CO39" s="139" t="str">
        <x:f>IF(AND(CO$4&gt;=$C39,CO$4&lt;=$D39,'Вводные'!$B$91="Да"),"■","")</x:f>
      </x:c>
      <x:c r="CP39" s="139" t="str">
        <x:f>IF(AND(CP$4&gt;=$C39,CP$4&lt;=$D39,'Вводные'!$B$91="Да"),"■","")</x:f>
      </x:c>
      <x:c r="CQ39" s="139" t="str">
        <x:f>IF(AND(CQ$4&gt;=$C39,CQ$4&lt;=$D39,'Вводные'!$B$91="Да"),"■","")</x:f>
      </x:c>
      <x:c r="CR39" s="139" t="str">
        <x:f>IF(AND(CR$4&gt;=$C39,CR$4&lt;=$D39,'Вводные'!$B$91="Да"),"■","")</x:f>
      </x:c>
      <x:c r="CS39" s="139" t="str">
        <x:f>IF(AND(CS$4&gt;=$C39,CS$4&lt;=$D39,'Вводные'!$B$91="Да"),"■","")</x:f>
      </x:c>
      <x:c r="CT39" s="139" t="str">
        <x:f>IF(AND(CT$4&gt;=$C39,CT$4&lt;=$D39,'Вводные'!$B$91="Да"),"■","")</x:f>
      </x:c>
      <x:c r="CU39" s="139" t="str">
        <x:f>IF(AND(CU$4&gt;=$C39,CU$4&lt;=$D39,'Вводные'!$B$91="Да"),"■","")</x:f>
      </x:c>
      <x:c r="CV39" s="139" t="str">
        <x:f>IF(AND(CV$4&gt;=$C39,CV$4&lt;=$D39,'Вводные'!$B$91="Да"),"■","")</x:f>
      </x:c>
      <x:c r="CW39" s="139" t="str">
        <x:f>IF(AND(CW$4&gt;=$C39,CW$4&lt;=$D39,'Вводные'!$B$91="Да"),"■","")</x:f>
      </x:c>
      <x:c r="CX39" s="139" t="str">
        <x:f>IF(AND(CX$4&gt;=$C39,CX$4&lt;=$D39,'Вводные'!$B$91="Да"),"■","")</x:f>
      </x:c>
      <x:c r="CY39" s="139" t="str">
        <x:f>IF(AND(CY$4&gt;=$C39,CY$4&lt;=$D39,'Вводные'!$B$91="Да"),"■","")</x:f>
      </x:c>
      <x:c r="CZ39" s="139" t="str">
        <x:f>IF(AND(CZ$4&gt;=$C39,CZ$4&lt;=$D39,'Вводные'!$B$91="Да"),"■","")</x:f>
      </x:c>
      <x:c r="DA39" s="139" t="str">
        <x:f>IF(AND(DA$4&gt;=$C39,DA$4&lt;=$D39,'Вводные'!$B$91="Да"),"■","")</x:f>
      </x:c>
      <x:c r="DB39" s="139" t="str">
        <x:f>IF(AND(DB$4&gt;=$C39,DB$4&lt;=$D39,'Вводные'!$B$91="Да"),"■","")</x:f>
      </x:c>
      <x:c r="DC39" s="139" t="str">
        <x:f>IF(AND(DC$4&gt;=$C39,DC$4&lt;=$D39,'Вводные'!$B$91="Да"),"■","")</x:f>
      </x:c>
      <x:c r="DD39" s="139" t="str">
        <x:f>IF(AND(DD$4&gt;=$C39,DD$4&lt;=$D39,'Вводные'!$B$91="Да"),"■","")</x:f>
      </x:c>
      <x:c r="DE39" s="139" t="str">
        <x:f>IF(AND(DE$4&gt;=$C39,DE$4&lt;=$D39,'Вводные'!$B$91="Да"),"■","")</x:f>
      </x:c>
      <x:c r="DF39" s="139" t="str">
        <x:f>IF(AND(DF$4&gt;=$C39,DF$4&lt;=$D39,'Вводные'!$B$91="Да"),"■","")</x:f>
      </x:c>
      <x:c r="DG39" s="139" t="str">
        <x:f>IF(AND(DG$4&gt;=$C39,DG$4&lt;=$D39,'Вводные'!$B$91="Да"),"■","")</x:f>
      </x:c>
      <x:c r="DH39" s="139" t="str">
        <x:f>IF(AND(DH$4&gt;=$C39,DH$4&lt;=$D39,'Вводные'!$B$91="Да"),"■","")</x:f>
      </x:c>
      <x:c r="DI39" s="139" t="str">
        <x:f>IF(AND(DI$4&gt;=$C39,DI$4&lt;=$D39,'Вводные'!$B$91="Да"),"■","")</x:f>
      </x:c>
      <x:c r="DJ39" s="139" t="str">
        <x:f>IF(AND(DJ$4&gt;=$C39,DJ$4&lt;=$D39,'Вводные'!$B$91="Да"),"■","")</x:f>
      </x:c>
      <x:c r="DK39" s="139" t="str">
        <x:f>IF(AND(DK$4&gt;=$C39,DK$4&lt;=$D39,'Вводные'!$B$91="Да"),"■","")</x:f>
      </x:c>
      <x:c r="DL39" s="139" t="str">
        <x:f>IF(AND(DL$4&gt;=$C39,DL$4&lt;=$D39,'Вводные'!$B$91="Да"),"■","")</x:f>
      </x:c>
      <x:c r="DM39" s="139" t="str">
        <x:f>IF(AND(DM$4&gt;=$C39,DM$4&lt;=$D39,'Вводные'!$B$91="Да"),"■","")</x:f>
      </x:c>
      <x:c r="DN39" s="139" t="str">
        <x:f>IF(AND(DN$4&gt;=$C39,DN$4&lt;=$D39,'Вводные'!$B$91="Да"),"■","")</x:f>
      </x:c>
      <x:c r="DO39" s="139" t="str">
        <x:f>IF(AND(DO$4&gt;=$C39,DO$4&lt;=$D39,'Вводные'!$B$91="Да"),"■","")</x:f>
      </x:c>
      <x:c r="DP39" s="139" t="str">
        <x:f>IF(AND(DP$4&gt;=$C39,DP$4&lt;=$D39,'Вводные'!$B$91="Да"),"■","")</x:f>
      </x:c>
      <x:c r="DQ39" s="139" t="str">
        <x:f>IF(AND(DQ$4&gt;=$C39,DQ$4&lt;=$D39,'Вводные'!$B$91="Да"),"■","")</x:f>
      </x:c>
      <x:c r="DR39" s="139" t="str">
        <x:f>IF(AND(DR$4&gt;=$C39,DR$4&lt;=$D39,'Вводные'!$B$91="Да"),"■","")</x:f>
      </x:c>
      <x:c r="DS39" s="139" t="str">
        <x:f>IF(AND(DS$4&gt;=$C39,DS$4&lt;=$D39,'Вводные'!$B$91="Да"),"■","")</x:f>
      </x:c>
      <x:c r="DT39" s="139" t="str">
        <x:f>IF(AND(DT$4&gt;=$C39,DT$4&lt;=$D39,'Вводные'!$B$91="Да"),"■","")</x:f>
      </x:c>
      <x:c r="DU39" s="139" t="str">
        <x:f>IF(AND(DU$4&gt;=$C39,DU$4&lt;=$D39,'Вводные'!$B$91="Да"),"■","")</x:f>
      </x:c>
      <x:c r="DV39" s="139" t="str">
        <x:f>IF(AND(DV$4&gt;=$C39,DV$4&lt;=$D39,'Вводные'!$B$91="Да"),"■","")</x:f>
      </x:c>
      <x:c r="DW39" s="139" t="str">
        <x:f>IF(AND(DW$4&gt;=$C39,DW$4&lt;=$D39,'Вводные'!$B$91="Да"),"■","")</x:f>
      </x:c>
      <x:c r="DX39" s="139" t="str">
        <x:f>IF(AND(DX$4&gt;=$C39,DX$4&lt;=$D39,'Вводные'!$B$91="Да"),"■","")</x:f>
      </x:c>
      <x:c r="DY39" s="139" t="str">
        <x:f>IF(AND(DY$4&gt;=$C39,DY$4&lt;=$D39,'Вводные'!$B$91="Да"),"■","")</x:f>
      </x:c>
      <x:c r="DZ39" s="139" t="str">
        <x:f>IF(AND(DZ$4&gt;=$C39,DZ$4&lt;=$D39,'Вводные'!$B$91="Да"),"■","")</x:f>
      </x:c>
      <x:c r="EA39" s="139" t="str">
        <x:f>IF(AND(EA$4&gt;=$C39,EA$4&lt;=$D39,'Вводные'!$B$91="Да"),"■","")</x:f>
      </x:c>
      <x:c r="EB39" s="139" t="str">
        <x:f>IF(AND(EB$4&gt;=$C39,EB$4&lt;=$D39,'Вводные'!$B$91="Да"),"■","")</x:f>
      </x:c>
      <x:c r="EC39" s="139" t="str">
        <x:f>IF(AND(EC$4&gt;=$C39,EC$4&lt;=$D39,'Вводные'!$B$91="Да"),"■","")</x:f>
      </x:c>
      <x:c r="ED39" s="139" t="str">
        <x:f>IF(AND(ED$4&gt;=$C39,ED$4&lt;=$D39,'Вводные'!$B$91="Да"),"■","")</x:f>
      </x:c>
      <x:c r="EE39" s="139" t="str">
        <x:f>IF(AND(EE$4&gt;=$C39,EE$4&lt;=$D39,'Вводные'!$B$91="Да"),"■","")</x:f>
      </x:c>
      <x:c r="EF39" s="139" t="str">
        <x:f>IF(AND(EF$4&gt;=$C39,EF$4&lt;=$D39,'Вводные'!$B$91="Да"),"■","")</x:f>
      </x:c>
      <x:c r="EG39" s="139" t="str">
        <x:f>IF(AND(EG$4&gt;=$C39,EG$4&lt;=$D39,'Вводные'!$B$91="Да"),"■","")</x:f>
      </x:c>
      <x:c r="EH39" s="139" t="str">
        <x:f>IF(AND(EH$4&gt;=$C39,EH$4&lt;=$D39,'Вводные'!$B$91="Да"),"■","")</x:f>
      </x:c>
      <x:c r="EI39" s="139" t="str">
        <x:f>IF(AND(EI$4&gt;=$C39,EI$4&lt;=$D39,'Вводные'!$B$91="Да"),"■","")</x:f>
      </x:c>
      <x:c r="EJ39" s="139" t="str">
        <x:f>IF(AND(EJ$4&gt;=$C39,EJ$4&lt;=$D39,'Вводные'!$B$91="Да"),"■","")</x:f>
      </x:c>
      <x:c r="EK39" s="139" t="str">
        <x:f>IF(AND(EK$4&gt;=$C39,EK$4&lt;=$D39,'Вводные'!$B$91="Да"),"■","")</x:f>
      </x:c>
      <x:c r="EL39" s="139" t="str">
        <x:f>IF(AND(EL$4&gt;=$C39,EL$4&lt;=$D39,'Вводные'!$B$91="Да"),"■","")</x:f>
      </x:c>
      <x:c r="EM39" s="139" t="str">
        <x:f>IF(AND(EM$4&gt;=$C39,EM$4&lt;=$D39,'Вводные'!$B$91="Да"),"■","")</x:f>
      </x:c>
      <x:c r="EN39" s="139" t="str">
        <x:f>IF(AND(EN$4&gt;=$C39,EN$4&lt;=$D39,'Вводные'!$B$91="Да"),"■","")</x:f>
      </x:c>
      <x:c r="EO39" s="139" t="str">
        <x:f>IF(AND(EO$4&gt;=$C39,EO$4&lt;=$D39,'Вводные'!$B$91="Да"),"■","")</x:f>
      </x:c>
      <x:c r="EP39" s="139" t="str">
        <x:f>IF(AND(EP$4&gt;=$C39,EP$4&lt;=$D39,'Вводные'!$B$91="Да"),"■","")</x:f>
      </x:c>
      <x:c r="EQ39" s="139" t="str">
        <x:f>IF(AND(EQ$4&gt;=$C39,EQ$4&lt;=$D39,'Вводные'!$B$91="Да"),"■","")</x:f>
      </x:c>
      <x:c r="ER39" s="139" t="str">
        <x:f>IF(AND(ER$4&gt;=$C39,ER$4&lt;=$D39,'Вводные'!$B$91="Да"),"■","")</x:f>
      </x:c>
      <x:c r="ES39" s="139" t="str">
        <x:f>IF(AND(ES$4&gt;=$C39,ES$4&lt;=$D39,'Вводные'!$B$91="Да"),"■","")</x:f>
      </x:c>
      <x:c r="ET39" s="139" t="str">
        <x:f>IF(AND(ET$4&gt;=$C39,ET$4&lt;=$D39,'Вводные'!$B$91="Да"),"■","")</x:f>
      </x:c>
      <x:c r="EU39" s="139" t="str">
        <x:f>IF(AND(EU$4&gt;=$C39,EU$4&lt;=$D39,'Вводные'!$B$91="Да"),"■","")</x:f>
      </x:c>
      <x:c r="EV39" s="139" t="str">
        <x:f>IF(AND(EV$4&gt;=$C39,EV$4&lt;=$D39,'Вводные'!$B$91="Да"),"■","")</x:f>
      </x:c>
      <x:c r="EW39" s="139" t="str">
        <x:f>IF(AND(EW$4&gt;=$C39,EW$4&lt;=$D39,'Вводные'!$B$91="Да"),"■","")</x:f>
      </x:c>
      <x:c r="EX39" s="139" t="str">
        <x:f>IF(AND(EX$4&gt;=$C39,EX$4&lt;=$D39,'Вводные'!$B$91="Да"),"■","")</x:f>
      </x:c>
      <x:c r="EY39" s="139" t="str">
        <x:f>IF(AND(EY$4&gt;=$C39,EY$4&lt;=$D39,'Вводные'!$B$91="Да"),"■","")</x:f>
      </x:c>
      <x:c r="EZ39" s="139" t="str">
        <x:f>IF(AND(EZ$4&gt;=$C39,EZ$4&lt;=$D39,'Вводные'!$B$91="Да"),"■","")</x:f>
      </x:c>
      <x:c r="FA39" s="139" t="str">
        <x:f>IF(AND(FA$4&gt;=$C39,FA$4&lt;=$D39,'Вводные'!$B$91="Да"),"■","")</x:f>
      </x:c>
      <x:c r="FB39" s="139" t="str">
        <x:f>IF(AND(FB$4&gt;=$C39,FB$4&lt;=$D39,'Вводные'!$B$91="Да"),"■","")</x:f>
      </x:c>
      <x:c r="FC39" s="139" t="str">
        <x:f>IF(AND(FC$4&gt;=$C39,FC$4&lt;=$D39,'Вводные'!$B$91="Да"),"■","")</x:f>
      </x:c>
      <x:c r="FD39" s="139" t="str">
        <x:f>IF(AND(FD$4&gt;=$C39,FD$4&lt;=$D39,'Вводные'!$B$91="Да"),"■","")</x:f>
      </x:c>
      <x:c r="FE39" s="139" t="str">
        <x:f>IF(AND(FE$4&gt;=$C39,FE$4&lt;=$D39,'Вводные'!$B$91="Да"),"■","")</x:f>
      </x:c>
      <x:c r="FF39" s="139" t="str">
        <x:f>IF(AND(FF$4&gt;=$C39,FF$4&lt;=$D39,'Вводные'!$B$91="Да"),"■","")</x:f>
      </x:c>
      <x:c r="FG39" s="139" t="str">
        <x:f>IF(AND(FG$4&gt;=$C39,FG$4&lt;=$D39,'Вводные'!$B$91="Да"),"■","")</x:f>
      </x:c>
      <x:c r="FH39" s="139" t="str">
        <x:f>IF(AND(FH$4&gt;=$C39,FH$4&lt;=$D39,'Вводные'!$B$91="Да"),"■","")</x:f>
      </x:c>
      <x:c r="FI39" s="139" t="str">
        <x:f>IF(AND(FI$4&gt;=$C39,FI$4&lt;=$D39,'Вводные'!$B$91="Да"),"■","")</x:f>
      </x:c>
      <x:c r="FJ39" s="139" t="str">
        <x:f>IF(AND(FJ$4&gt;=$C39,FJ$4&lt;=$D39,'Вводные'!$B$91="Да"),"■","")</x:f>
      </x:c>
      <x:c r="FK39" s="139" t="str">
        <x:f>IF(AND(FK$4&gt;=$C39,FK$4&lt;=$D39,'Вводные'!$B$91="Да"),"■","")</x:f>
      </x:c>
      <x:c r="FL39" s="139" t="str">
        <x:f>IF(AND(FL$4&gt;=$C39,FL$4&lt;=$D39,'Вводные'!$B$91="Да"),"■","")</x:f>
      </x:c>
      <x:c r="FM39" s="139" t="str">
        <x:f>IF(AND(FM$4&gt;=$C39,FM$4&lt;=$D39,'Вводные'!$B$91="Да"),"■","")</x:f>
      </x:c>
      <x:c r="FN39" s="139" t="str">
        <x:f>IF(AND(FN$4&gt;=$C39,FN$4&lt;=$D39,'Вводные'!$B$91="Да"),"■","")</x:f>
      </x:c>
      <x:c r="FO39" s="139" t="str">
        <x:f>IF(AND(FO$4&gt;=$C39,FO$4&lt;=$D39,'Вводные'!$B$91="Да"),"■","")</x:f>
      </x:c>
      <x:c r="FP39" s="139" t="str">
        <x:f>IF(AND(FP$4&gt;=$C39,FP$4&lt;=$D39,'Вводные'!$B$91="Да"),"■","")</x:f>
      </x:c>
      <x:c r="FQ39" s="139" t="str">
        <x:f>IF(AND(FQ$4&gt;=$C39,FQ$4&lt;=$D39,'Вводные'!$B$91="Да"),"■","")</x:f>
      </x:c>
      <x:c r="FR39" s="139" t="str">
        <x:f>IF(AND(FR$4&gt;=$C39,FR$4&lt;=$D39,'Вводные'!$B$91="Да"),"■","")</x:f>
      </x:c>
      <x:c r="FS39" s="139" t="str">
        <x:f>IF(AND(FS$4&gt;=$C39,FS$4&lt;=$D39,'Вводные'!$B$91="Да"),"■","")</x:f>
      </x:c>
      <x:c r="FT39" s="139" t="str">
        <x:f>IF(AND(FT$4&gt;=$C39,FT$4&lt;=$D39,'Вводные'!$B$91="Да"),"■","")</x:f>
      </x:c>
      <x:c r="FU39" s="139" t="str">
        <x:f>IF(AND(FU$4&gt;=$C39,FU$4&lt;=$D39,'Вводные'!$B$91="Да"),"■","")</x:f>
      </x:c>
      <x:c r="FV39" s="139" t="str">
        <x:f>IF(AND(FV$4&gt;=$C39,FV$4&lt;=$D39,'Вводные'!$B$91="Да"),"■","")</x:f>
      </x:c>
      <x:c r="FW39" s="139" t="str">
        <x:f>IF(AND(FW$4&gt;=$C39,FW$4&lt;=$D39,'Вводные'!$B$91="Да"),"■","")</x:f>
      </x:c>
      <x:c r="FX39" s="139" t="str">
        <x:f>IF(AND(FX$4&gt;=$C39,FX$4&lt;=$D39,'Вводные'!$B$91="Да"),"■","")</x:f>
      </x:c>
      <x:c r="FY39" s="139" t="str">
        <x:f>IF(AND(FY$4&gt;=$C39,FY$4&lt;=$D39,'Вводные'!$B$91="Да"),"■","")</x:f>
      </x:c>
      <x:c r="FZ39" s="139" t="str">
        <x:f>IF(AND(FZ$4&gt;=$C39,FZ$4&lt;=$D39,'Вводные'!$B$91="Да"),"■","")</x:f>
      </x:c>
      <x:c r="GA39" s="139" t="str">
        <x:f>IF(AND(GA$4&gt;=$C39,GA$4&lt;=$D39,'Вводные'!$B$91="Да"),"■","")</x:f>
      </x:c>
      <x:c r="GB39" s="139" t="str">
        <x:f>IF(AND(GB$4&gt;=$C39,GB$4&lt;=$D39,'Вводные'!$B$91="Да"),"■","")</x:f>
      </x:c>
    </x:row>
    <x:row r="40">
      <x:c r="A40" t="str">
        <x:f>'Вводные'!$C$91</x:f>
      </x:c>
      <x:c r="B40" t="str">
        <x:v>Строительство</x:v>
      </x:c>
      <x:c r="C40" s="92" t="n">
        <x:f>'CF_4'!B7</x:f>
      </x:c>
      <x:c r="D40" s="92" t="n">
        <x:f>EDATE(C40,'Вводные'!$F$91-1)</x:f>
      </x:c>
      <x:c r="E40" s="141" t="str">
        <x:f>IF(AND(E$4&gt;=$C40,E$4&lt;=$D40,'Вводные'!$B$91="Да"),"■","")</x:f>
      </x:c>
      <x:c r="F40" s="141" t="str">
        <x:f>IF(AND(F$4&gt;=$C40,F$4&lt;=$D40,'Вводные'!$B$91="Да"),"■","")</x:f>
      </x:c>
      <x:c r="G40" s="141" t="str">
        <x:f>IF(AND(G$4&gt;=$C40,G$4&lt;=$D40,'Вводные'!$B$91="Да"),"■","")</x:f>
      </x:c>
      <x:c r="H40" s="141" t="str">
        <x:f>IF(AND(H$4&gt;=$C40,H$4&lt;=$D40,'Вводные'!$B$91="Да"),"■","")</x:f>
      </x:c>
      <x:c r="I40" s="141" t="str">
        <x:f>IF(AND(I$4&gt;=$C40,I$4&lt;=$D40,'Вводные'!$B$91="Да"),"■","")</x:f>
      </x:c>
      <x:c r="J40" s="141" t="str">
        <x:f>IF(AND(J$4&gt;=$C40,J$4&lt;=$D40,'Вводные'!$B$91="Да"),"■","")</x:f>
      </x:c>
      <x:c r="K40" s="141" t="str">
        <x:f>IF(AND(K$4&gt;=$C40,K$4&lt;=$D40,'Вводные'!$B$91="Да"),"■","")</x:f>
      </x:c>
      <x:c r="L40" s="141" t="str">
        <x:f>IF(AND(L$4&gt;=$C40,L$4&lt;=$D40,'Вводные'!$B$91="Да"),"■","")</x:f>
      </x:c>
      <x:c r="M40" s="141" t="str">
        <x:f>IF(AND(M$4&gt;=$C40,M$4&lt;=$D40,'Вводные'!$B$91="Да"),"■","")</x:f>
      </x:c>
      <x:c r="N40" s="141" t="str">
        <x:f>IF(AND(N$4&gt;=$C40,N$4&lt;=$D40,'Вводные'!$B$91="Да"),"■","")</x:f>
      </x:c>
      <x:c r="O40" s="141" t="str">
        <x:f>IF(AND(O$4&gt;=$C40,O$4&lt;=$D40,'Вводные'!$B$91="Да"),"■","")</x:f>
      </x:c>
      <x:c r="P40" s="141" t="str">
        <x:f>IF(AND(P$4&gt;=$C40,P$4&lt;=$D40,'Вводные'!$B$91="Да"),"■","")</x:f>
      </x:c>
      <x:c r="Q40" s="141" t="str">
        <x:f>IF(AND(Q$4&gt;=$C40,Q$4&lt;=$D40,'Вводные'!$B$91="Да"),"■","")</x:f>
      </x:c>
      <x:c r="R40" s="141" t="str">
        <x:f>IF(AND(R$4&gt;=$C40,R$4&lt;=$D40,'Вводные'!$B$91="Да"),"■","")</x:f>
      </x:c>
      <x:c r="S40" s="141" t="str">
        <x:f>IF(AND(S$4&gt;=$C40,S$4&lt;=$D40,'Вводные'!$B$91="Да"),"■","")</x:f>
      </x:c>
      <x:c r="T40" s="141" t="str">
        <x:f>IF(AND(T$4&gt;=$C40,T$4&lt;=$D40,'Вводные'!$B$91="Да"),"■","")</x:f>
      </x:c>
      <x:c r="U40" s="141" t="str">
        <x:f>IF(AND(U$4&gt;=$C40,U$4&lt;=$D40,'Вводные'!$B$91="Да"),"■","")</x:f>
      </x:c>
      <x:c r="V40" s="141" t="str">
        <x:f>IF(AND(V$4&gt;=$C40,V$4&lt;=$D40,'Вводные'!$B$91="Да"),"■","")</x:f>
      </x:c>
      <x:c r="W40" s="141" t="str">
        <x:f>IF(AND(W$4&gt;=$C40,W$4&lt;=$D40,'Вводные'!$B$91="Да"),"■","")</x:f>
      </x:c>
      <x:c r="X40" s="141" t="str">
        <x:f>IF(AND(X$4&gt;=$C40,X$4&lt;=$D40,'Вводные'!$B$91="Да"),"■","")</x:f>
      </x:c>
      <x:c r="Y40" s="141" t="str">
        <x:f>IF(AND(Y$4&gt;=$C40,Y$4&lt;=$D40,'Вводные'!$B$91="Да"),"■","")</x:f>
      </x:c>
      <x:c r="Z40" s="141" t="str">
        <x:f>IF(AND(Z$4&gt;=$C40,Z$4&lt;=$D40,'Вводные'!$B$91="Да"),"■","")</x:f>
      </x:c>
      <x:c r="AA40" s="141" t="str">
        <x:f>IF(AND(AA$4&gt;=$C40,AA$4&lt;=$D40,'Вводные'!$B$91="Да"),"■","")</x:f>
      </x:c>
      <x:c r="AB40" s="141" t="str">
        <x:f>IF(AND(AB$4&gt;=$C40,AB$4&lt;=$D40,'Вводные'!$B$91="Да"),"■","")</x:f>
      </x:c>
      <x:c r="AC40" s="141" t="str">
        <x:f>IF(AND(AC$4&gt;=$C40,AC$4&lt;=$D40,'Вводные'!$B$91="Да"),"■","")</x:f>
      </x:c>
      <x:c r="AD40" s="141" t="str">
        <x:f>IF(AND(AD$4&gt;=$C40,AD$4&lt;=$D40,'Вводные'!$B$91="Да"),"■","")</x:f>
      </x:c>
      <x:c r="AE40" s="141" t="str">
        <x:f>IF(AND(AE$4&gt;=$C40,AE$4&lt;=$D40,'Вводные'!$B$91="Да"),"■","")</x:f>
      </x:c>
      <x:c r="AF40" s="141" t="str">
        <x:f>IF(AND(AF$4&gt;=$C40,AF$4&lt;=$D40,'Вводные'!$B$91="Да"),"■","")</x:f>
      </x:c>
      <x:c r="AG40" s="141" t="str">
        <x:f>IF(AND(AG$4&gt;=$C40,AG$4&lt;=$D40,'Вводные'!$B$91="Да"),"■","")</x:f>
      </x:c>
      <x:c r="AH40" s="141" t="str">
        <x:f>IF(AND(AH$4&gt;=$C40,AH$4&lt;=$D40,'Вводные'!$B$91="Да"),"■","")</x:f>
      </x:c>
      <x:c r="AI40" s="141" t="str">
        <x:f>IF(AND(AI$4&gt;=$C40,AI$4&lt;=$D40,'Вводные'!$B$91="Да"),"■","")</x:f>
      </x:c>
      <x:c r="AJ40" s="141" t="str">
        <x:f>IF(AND(AJ$4&gt;=$C40,AJ$4&lt;=$D40,'Вводные'!$B$91="Да"),"■","")</x:f>
      </x:c>
      <x:c r="AK40" s="141" t="str">
        <x:f>IF(AND(AK$4&gt;=$C40,AK$4&lt;=$D40,'Вводные'!$B$91="Да"),"■","")</x:f>
      </x:c>
      <x:c r="AL40" s="141" t="str">
        <x:f>IF(AND(AL$4&gt;=$C40,AL$4&lt;=$D40,'Вводные'!$B$91="Да"),"■","")</x:f>
      </x:c>
      <x:c r="AM40" s="141" t="str">
        <x:f>IF(AND(AM$4&gt;=$C40,AM$4&lt;=$D40,'Вводные'!$B$91="Да"),"■","")</x:f>
      </x:c>
      <x:c r="AN40" s="141" t="str">
        <x:f>IF(AND(AN$4&gt;=$C40,AN$4&lt;=$D40,'Вводные'!$B$91="Да"),"■","")</x:f>
      </x:c>
      <x:c r="AO40" s="141" t="str">
        <x:f>IF(AND(AO$4&gt;=$C40,AO$4&lt;=$D40,'Вводные'!$B$91="Да"),"■","")</x:f>
      </x:c>
      <x:c r="AP40" s="141" t="str">
        <x:f>IF(AND(AP$4&gt;=$C40,AP$4&lt;=$D40,'Вводные'!$B$91="Да"),"■","")</x:f>
      </x:c>
      <x:c r="AQ40" s="141" t="str">
        <x:f>IF(AND(AQ$4&gt;=$C40,AQ$4&lt;=$D40,'Вводные'!$B$91="Да"),"■","")</x:f>
      </x:c>
      <x:c r="AR40" s="141" t="str">
        <x:f>IF(AND(AR$4&gt;=$C40,AR$4&lt;=$D40,'Вводные'!$B$91="Да"),"■","")</x:f>
      </x:c>
      <x:c r="AS40" s="141" t="str">
        <x:f>IF(AND(AS$4&gt;=$C40,AS$4&lt;=$D40,'Вводные'!$B$91="Да"),"■","")</x:f>
      </x:c>
      <x:c r="AT40" s="141" t="str">
        <x:f>IF(AND(AT$4&gt;=$C40,AT$4&lt;=$D40,'Вводные'!$B$91="Да"),"■","")</x:f>
      </x:c>
      <x:c r="AU40" s="141" t="str">
        <x:f>IF(AND(AU$4&gt;=$C40,AU$4&lt;=$D40,'Вводные'!$B$91="Да"),"■","")</x:f>
      </x:c>
      <x:c r="AV40" s="141" t="str">
        <x:f>IF(AND(AV$4&gt;=$C40,AV$4&lt;=$D40,'Вводные'!$B$91="Да"),"■","")</x:f>
      </x:c>
      <x:c r="AW40" s="141" t="str">
        <x:f>IF(AND(AW$4&gt;=$C40,AW$4&lt;=$D40,'Вводные'!$B$91="Да"),"■","")</x:f>
      </x:c>
      <x:c r="AX40" s="141" t="str">
        <x:f>IF(AND(AX$4&gt;=$C40,AX$4&lt;=$D40,'Вводные'!$B$91="Да"),"■","")</x:f>
      </x:c>
      <x:c r="AY40" s="141" t="str">
        <x:f>IF(AND(AY$4&gt;=$C40,AY$4&lt;=$D40,'Вводные'!$B$91="Да"),"■","")</x:f>
      </x:c>
      <x:c r="AZ40" s="141" t="str">
        <x:f>IF(AND(AZ$4&gt;=$C40,AZ$4&lt;=$D40,'Вводные'!$B$91="Да"),"■","")</x:f>
      </x:c>
      <x:c r="BA40" s="141" t="str">
        <x:f>IF(AND(BA$4&gt;=$C40,BA$4&lt;=$D40,'Вводные'!$B$91="Да"),"■","")</x:f>
      </x:c>
      <x:c r="BB40" s="141" t="str">
        <x:f>IF(AND(BB$4&gt;=$C40,BB$4&lt;=$D40,'Вводные'!$B$91="Да"),"■","")</x:f>
      </x:c>
      <x:c r="BC40" s="141" t="str">
        <x:f>IF(AND(BC$4&gt;=$C40,BC$4&lt;=$D40,'Вводные'!$B$91="Да"),"■","")</x:f>
      </x:c>
      <x:c r="BD40" s="141" t="str">
        <x:f>IF(AND(BD$4&gt;=$C40,BD$4&lt;=$D40,'Вводные'!$B$91="Да"),"■","")</x:f>
      </x:c>
      <x:c r="BE40" s="141" t="str">
        <x:f>IF(AND(BE$4&gt;=$C40,BE$4&lt;=$D40,'Вводные'!$B$91="Да"),"■","")</x:f>
      </x:c>
      <x:c r="BF40" s="141" t="str">
        <x:f>IF(AND(BF$4&gt;=$C40,BF$4&lt;=$D40,'Вводные'!$B$91="Да"),"■","")</x:f>
      </x:c>
      <x:c r="BG40" s="141" t="str">
        <x:f>IF(AND(BG$4&gt;=$C40,BG$4&lt;=$D40,'Вводные'!$B$91="Да"),"■","")</x:f>
      </x:c>
      <x:c r="BH40" s="141" t="str">
        <x:f>IF(AND(BH$4&gt;=$C40,BH$4&lt;=$D40,'Вводные'!$B$91="Да"),"■","")</x:f>
      </x:c>
      <x:c r="BI40" s="141" t="str">
        <x:f>IF(AND(BI$4&gt;=$C40,BI$4&lt;=$D40,'Вводные'!$B$91="Да"),"■","")</x:f>
      </x:c>
      <x:c r="BJ40" s="141" t="str">
        <x:f>IF(AND(BJ$4&gt;=$C40,BJ$4&lt;=$D40,'Вводные'!$B$91="Да"),"■","")</x:f>
      </x:c>
      <x:c r="BK40" s="141" t="str">
        <x:f>IF(AND(BK$4&gt;=$C40,BK$4&lt;=$D40,'Вводные'!$B$91="Да"),"■","")</x:f>
      </x:c>
      <x:c r="BL40" s="141" t="str">
        <x:f>IF(AND(BL$4&gt;=$C40,BL$4&lt;=$D40,'Вводные'!$B$91="Да"),"■","")</x:f>
      </x:c>
      <x:c r="BM40" s="141" t="str">
        <x:f>IF(AND(BM$4&gt;=$C40,BM$4&lt;=$D40,'Вводные'!$B$91="Да"),"■","")</x:f>
      </x:c>
      <x:c r="BN40" s="141" t="str">
        <x:f>IF(AND(BN$4&gt;=$C40,BN$4&lt;=$D40,'Вводные'!$B$91="Да"),"■","")</x:f>
      </x:c>
      <x:c r="BO40" s="141" t="str">
        <x:f>IF(AND(BO$4&gt;=$C40,BO$4&lt;=$D40,'Вводные'!$B$91="Да"),"■","")</x:f>
      </x:c>
      <x:c r="BP40" s="141" t="str">
        <x:f>IF(AND(BP$4&gt;=$C40,BP$4&lt;=$D40,'Вводные'!$B$91="Да"),"■","")</x:f>
      </x:c>
      <x:c r="BQ40" s="141" t="str">
        <x:f>IF(AND(BQ$4&gt;=$C40,BQ$4&lt;=$D40,'Вводные'!$B$91="Да"),"■","")</x:f>
      </x:c>
      <x:c r="BR40" s="141" t="str">
        <x:f>IF(AND(BR$4&gt;=$C40,BR$4&lt;=$D40,'Вводные'!$B$91="Да"),"■","")</x:f>
      </x:c>
      <x:c r="BS40" s="141" t="str">
        <x:f>IF(AND(BS$4&gt;=$C40,BS$4&lt;=$D40,'Вводные'!$B$91="Да"),"■","")</x:f>
      </x:c>
      <x:c r="BT40" s="141" t="str">
        <x:f>IF(AND(BT$4&gt;=$C40,BT$4&lt;=$D40,'Вводные'!$B$91="Да"),"■","")</x:f>
      </x:c>
      <x:c r="BU40" s="141" t="str">
        <x:f>IF(AND(BU$4&gt;=$C40,BU$4&lt;=$D40,'Вводные'!$B$91="Да"),"■","")</x:f>
      </x:c>
      <x:c r="BV40" s="141" t="str">
        <x:f>IF(AND(BV$4&gt;=$C40,BV$4&lt;=$D40,'Вводные'!$B$91="Да"),"■","")</x:f>
      </x:c>
      <x:c r="BW40" s="141" t="str">
        <x:f>IF(AND(BW$4&gt;=$C40,BW$4&lt;=$D40,'Вводные'!$B$91="Да"),"■","")</x:f>
      </x:c>
      <x:c r="BX40" s="141" t="str">
        <x:f>IF(AND(BX$4&gt;=$C40,BX$4&lt;=$D40,'Вводные'!$B$91="Да"),"■","")</x:f>
      </x:c>
      <x:c r="BY40" s="141" t="str">
        <x:f>IF(AND(BY$4&gt;=$C40,BY$4&lt;=$D40,'Вводные'!$B$91="Да"),"■","")</x:f>
      </x:c>
      <x:c r="BZ40" s="141" t="str">
        <x:f>IF(AND(BZ$4&gt;=$C40,BZ$4&lt;=$D40,'Вводные'!$B$91="Да"),"■","")</x:f>
      </x:c>
      <x:c r="CA40" s="141" t="str">
        <x:f>IF(AND(CA$4&gt;=$C40,CA$4&lt;=$D40,'Вводные'!$B$91="Да"),"■","")</x:f>
      </x:c>
      <x:c r="CB40" s="141" t="str">
        <x:f>IF(AND(CB$4&gt;=$C40,CB$4&lt;=$D40,'Вводные'!$B$91="Да"),"■","")</x:f>
      </x:c>
      <x:c r="CC40" s="141" t="str">
        <x:f>IF(AND(CC$4&gt;=$C40,CC$4&lt;=$D40,'Вводные'!$B$91="Да"),"■","")</x:f>
      </x:c>
      <x:c r="CD40" s="141" t="str">
        <x:f>IF(AND(CD$4&gt;=$C40,CD$4&lt;=$D40,'Вводные'!$B$91="Да"),"■","")</x:f>
      </x:c>
      <x:c r="CE40" s="141" t="str">
        <x:f>IF(AND(CE$4&gt;=$C40,CE$4&lt;=$D40,'Вводные'!$B$91="Да"),"■","")</x:f>
      </x:c>
      <x:c r="CF40" s="141" t="str">
        <x:f>IF(AND(CF$4&gt;=$C40,CF$4&lt;=$D40,'Вводные'!$B$91="Да"),"■","")</x:f>
      </x:c>
      <x:c r="CG40" s="141" t="str">
        <x:f>IF(AND(CG$4&gt;=$C40,CG$4&lt;=$D40,'Вводные'!$B$91="Да"),"■","")</x:f>
      </x:c>
      <x:c r="CH40" s="141" t="str">
        <x:f>IF(AND(CH$4&gt;=$C40,CH$4&lt;=$D40,'Вводные'!$B$91="Да"),"■","")</x:f>
      </x:c>
      <x:c r="CI40" s="141" t="str">
        <x:f>IF(AND(CI$4&gt;=$C40,CI$4&lt;=$D40,'Вводные'!$B$91="Да"),"■","")</x:f>
      </x:c>
      <x:c r="CJ40" s="141" t="str">
        <x:f>IF(AND(CJ$4&gt;=$C40,CJ$4&lt;=$D40,'Вводные'!$B$91="Да"),"■","")</x:f>
      </x:c>
      <x:c r="CK40" s="141" t="str">
        <x:f>IF(AND(CK$4&gt;=$C40,CK$4&lt;=$D40,'Вводные'!$B$91="Да"),"■","")</x:f>
      </x:c>
      <x:c r="CL40" s="141" t="str">
        <x:f>IF(AND(CL$4&gt;=$C40,CL$4&lt;=$D40,'Вводные'!$B$91="Да"),"■","")</x:f>
      </x:c>
      <x:c r="CM40" s="141" t="str">
        <x:f>IF(AND(CM$4&gt;=$C40,CM$4&lt;=$D40,'Вводные'!$B$91="Да"),"■","")</x:f>
      </x:c>
      <x:c r="CN40" s="141" t="str">
        <x:f>IF(AND(CN$4&gt;=$C40,CN$4&lt;=$D40,'Вводные'!$B$91="Да"),"■","")</x:f>
      </x:c>
      <x:c r="CO40" s="141" t="str">
        <x:f>IF(AND(CO$4&gt;=$C40,CO$4&lt;=$D40,'Вводные'!$B$91="Да"),"■","")</x:f>
      </x:c>
      <x:c r="CP40" s="141" t="str">
        <x:f>IF(AND(CP$4&gt;=$C40,CP$4&lt;=$D40,'Вводные'!$B$91="Да"),"■","")</x:f>
      </x:c>
      <x:c r="CQ40" s="141" t="str">
        <x:f>IF(AND(CQ$4&gt;=$C40,CQ$4&lt;=$D40,'Вводные'!$B$91="Да"),"■","")</x:f>
      </x:c>
      <x:c r="CR40" s="141" t="str">
        <x:f>IF(AND(CR$4&gt;=$C40,CR$4&lt;=$D40,'Вводные'!$B$91="Да"),"■","")</x:f>
      </x:c>
      <x:c r="CS40" s="141" t="str">
        <x:f>IF(AND(CS$4&gt;=$C40,CS$4&lt;=$D40,'Вводные'!$B$91="Да"),"■","")</x:f>
      </x:c>
      <x:c r="CT40" s="141" t="str">
        <x:f>IF(AND(CT$4&gt;=$C40,CT$4&lt;=$D40,'Вводные'!$B$91="Да"),"■","")</x:f>
      </x:c>
      <x:c r="CU40" s="141" t="str">
        <x:f>IF(AND(CU$4&gt;=$C40,CU$4&lt;=$D40,'Вводные'!$B$91="Да"),"■","")</x:f>
      </x:c>
      <x:c r="CV40" s="141" t="str">
        <x:f>IF(AND(CV$4&gt;=$C40,CV$4&lt;=$D40,'Вводные'!$B$91="Да"),"■","")</x:f>
      </x:c>
      <x:c r="CW40" s="141" t="str">
        <x:f>IF(AND(CW$4&gt;=$C40,CW$4&lt;=$D40,'Вводные'!$B$91="Да"),"■","")</x:f>
      </x:c>
      <x:c r="CX40" s="141" t="str">
        <x:f>IF(AND(CX$4&gt;=$C40,CX$4&lt;=$D40,'Вводные'!$B$91="Да"),"■","")</x:f>
      </x:c>
      <x:c r="CY40" s="141" t="str">
        <x:f>IF(AND(CY$4&gt;=$C40,CY$4&lt;=$D40,'Вводные'!$B$91="Да"),"■","")</x:f>
      </x:c>
      <x:c r="CZ40" s="141" t="str">
        <x:f>IF(AND(CZ$4&gt;=$C40,CZ$4&lt;=$D40,'Вводные'!$B$91="Да"),"■","")</x:f>
      </x:c>
      <x:c r="DA40" s="141" t="str">
        <x:f>IF(AND(DA$4&gt;=$C40,DA$4&lt;=$D40,'Вводные'!$B$91="Да"),"■","")</x:f>
      </x:c>
      <x:c r="DB40" s="141" t="str">
        <x:f>IF(AND(DB$4&gt;=$C40,DB$4&lt;=$D40,'Вводные'!$B$91="Да"),"■","")</x:f>
      </x:c>
      <x:c r="DC40" s="141" t="str">
        <x:f>IF(AND(DC$4&gt;=$C40,DC$4&lt;=$D40,'Вводные'!$B$91="Да"),"■","")</x:f>
      </x:c>
      <x:c r="DD40" s="141" t="str">
        <x:f>IF(AND(DD$4&gt;=$C40,DD$4&lt;=$D40,'Вводные'!$B$91="Да"),"■","")</x:f>
      </x:c>
      <x:c r="DE40" s="141" t="str">
        <x:f>IF(AND(DE$4&gt;=$C40,DE$4&lt;=$D40,'Вводные'!$B$91="Да"),"■","")</x:f>
      </x:c>
      <x:c r="DF40" s="141" t="str">
        <x:f>IF(AND(DF$4&gt;=$C40,DF$4&lt;=$D40,'Вводные'!$B$91="Да"),"■","")</x:f>
      </x:c>
      <x:c r="DG40" s="141" t="str">
        <x:f>IF(AND(DG$4&gt;=$C40,DG$4&lt;=$D40,'Вводные'!$B$91="Да"),"■","")</x:f>
      </x:c>
      <x:c r="DH40" s="141" t="str">
        <x:f>IF(AND(DH$4&gt;=$C40,DH$4&lt;=$D40,'Вводные'!$B$91="Да"),"■","")</x:f>
      </x:c>
      <x:c r="DI40" s="141" t="str">
        <x:f>IF(AND(DI$4&gt;=$C40,DI$4&lt;=$D40,'Вводные'!$B$91="Да"),"■","")</x:f>
      </x:c>
      <x:c r="DJ40" s="141" t="str">
        <x:f>IF(AND(DJ$4&gt;=$C40,DJ$4&lt;=$D40,'Вводные'!$B$91="Да"),"■","")</x:f>
      </x:c>
      <x:c r="DK40" s="141" t="str">
        <x:f>IF(AND(DK$4&gt;=$C40,DK$4&lt;=$D40,'Вводные'!$B$91="Да"),"■","")</x:f>
      </x:c>
      <x:c r="DL40" s="141" t="str">
        <x:f>IF(AND(DL$4&gt;=$C40,DL$4&lt;=$D40,'Вводные'!$B$91="Да"),"■","")</x:f>
      </x:c>
      <x:c r="DM40" s="141" t="str">
        <x:f>IF(AND(DM$4&gt;=$C40,DM$4&lt;=$D40,'Вводные'!$B$91="Да"),"■","")</x:f>
      </x:c>
      <x:c r="DN40" s="141" t="str">
        <x:f>IF(AND(DN$4&gt;=$C40,DN$4&lt;=$D40,'Вводные'!$B$91="Да"),"■","")</x:f>
      </x:c>
      <x:c r="DO40" s="141" t="str">
        <x:f>IF(AND(DO$4&gt;=$C40,DO$4&lt;=$D40,'Вводные'!$B$91="Да"),"■","")</x:f>
      </x:c>
      <x:c r="DP40" s="141" t="str">
        <x:f>IF(AND(DP$4&gt;=$C40,DP$4&lt;=$D40,'Вводные'!$B$91="Да"),"■","")</x:f>
      </x:c>
      <x:c r="DQ40" s="141" t="str">
        <x:f>IF(AND(DQ$4&gt;=$C40,DQ$4&lt;=$D40,'Вводные'!$B$91="Да"),"■","")</x:f>
      </x:c>
      <x:c r="DR40" s="141" t="str">
        <x:f>IF(AND(DR$4&gt;=$C40,DR$4&lt;=$D40,'Вводные'!$B$91="Да"),"■","")</x:f>
      </x:c>
      <x:c r="DS40" s="141" t="str">
        <x:f>IF(AND(DS$4&gt;=$C40,DS$4&lt;=$D40,'Вводные'!$B$91="Да"),"■","")</x:f>
      </x:c>
      <x:c r="DT40" s="141" t="str">
        <x:f>IF(AND(DT$4&gt;=$C40,DT$4&lt;=$D40,'Вводные'!$B$91="Да"),"■","")</x:f>
      </x:c>
      <x:c r="DU40" s="141" t="str">
        <x:f>IF(AND(DU$4&gt;=$C40,DU$4&lt;=$D40,'Вводные'!$B$91="Да"),"■","")</x:f>
      </x:c>
      <x:c r="DV40" s="141" t="str">
        <x:f>IF(AND(DV$4&gt;=$C40,DV$4&lt;=$D40,'Вводные'!$B$91="Да"),"■","")</x:f>
      </x:c>
      <x:c r="DW40" s="141" t="str">
        <x:f>IF(AND(DW$4&gt;=$C40,DW$4&lt;=$D40,'Вводные'!$B$91="Да"),"■","")</x:f>
      </x:c>
      <x:c r="DX40" s="141" t="str">
        <x:f>IF(AND(DX$4&gt;=$C40,DX$4&lt;=$D40,'Вводные'!$B$91="Да"),"■","")</x:f>
      </x:c>
      <x:c r="DY40" s="141" t="str">
        <x:f>IF(AND(DY$4&gt;=$C40,DY$4&lt;=$D40,'Вводные'!$B$91="Да"),"■","")</x:f>
      </x:c>
      <x:c r="DZ40" s="141" t="str">
        <x:f>IF(AND(DZ$4&gt;=$C40,DZ$4&lt;=$D40,'Вводные'!$B$91="Да"),"■","")</x:f>
      </x:c>
      <x:c r="EA40" s="141" t="str">
        <x:f>IF(AND(EA$4&gt;=$C40,EA$4&lt;=$D40,'Вводные'!$B$91="Да"),"■","")</x:f>
      </x:c>
      <x:c r="EB40" s="141" t="str">
        <x:f>IF(AND(EB$4&gt;=$C40,EB$4&lt;=$D40,'Вводные'!$B$91="Да"),"■","")</x:f>
      </x:c>
      <x:c r="EC40" s="141" t="str">
        <x:f>IF(AND(EC$4&gt;=$C40,EC$4&lt;=$D40,'Вводные'!$B$91="Да"),"■","")</x:f>
      </x:c>
      <x:c r="ED40" s="141" t="str">
        <x:f>IF(AND(ED$4&gt;=$C40,ED$4&lt;=$D40,'Вводные'!$B$91="Да"),"■","")</x:f>
      </x:c>
      <x:c r="EE40" s="141" t="str">
        <x:f>IF(AND(EE$4&gt;=$C40,EE$4&lt;=$D40,'Вводные'!$B$91="Да"),"■","")</x:f>
      </x:c>
      <x:c r="EF40" s="141" t="str">
        <x:f>IF(AND(EF$4&gt;=$C40,EF$4&lt;=$D40,'Вводные'!$B$91="Да"),"■","")</x:f>
      </x:c>
      <x:c r="EG40" s="141" t="str">
        <x:f>IF(AND(EG$4&gt;=$C40,EG$4&lt;=$D40,'Вводные'!$B$91="Да"),"■","")</x:f>
      </x:c>
      <x:c r="EH40" s="141" t="str">
        <x:f>IF(AND(EH$4&gt;=$C40,EH$4&lt;=$D40,'Вводные'!$B$91="Да"),"■","")</x:f>
      </x:c>
      <x:c r="EI40" s="141" t="str">
        <x:f>IF(AND(EI$4&gt;=$C40,EI$4&lt;=$D40,'Вводные'!$B$91="Да"),"■","")</x:f>
      </x:c>
      <x:c r="EJ40" s="141" t="str">
        <x:f>IF(AND(EJ$4&gt;=$C40,EJ$4&lt;=$D40,'Вводные'!$B$91="Да"),"■","")</x:f>
      </x:c>
      <x:c r="EK40" s="141" t="str">
        <x:f>IF(AND(EK$4&gt;=$C40,EK$4&lt;=$D40,'Вводные'!$B$91="Да"),"■","")</x:f>
      </x:c>
      <x:c r="EL40" s="141" t="str">
        <x:f>IF(AND(EL$4&gt;=$C40,EL$4&lt;=$D40,'Вводные'!$B$91="Да"),"■","")</x:f>
      </x:c>
      <x:c r="EM40" s="141" t="str">
        <x:f>IF(AND(EM$4&gt;=$C40,EM$4&lt;=$D40,'Вводные'!$B$91="Да"),"■","")</x:f>
      </x:c>
      <x:c r="EN40" s="141" t="str">
        <x:f>IF(AND(EN$4&gt;=$C40,EN$4&lt;=$D40,'Вводные'!$B$91="Да"),"■","")</x:f>
      </x:c>
      <x:c r="EO40" s="141" t="str">
        <x:f>IF(AND(EO$4&gt;=$C40,EO$4&lt;=$D40,'Вводные'!$B$91="Да"),"■","")</x:f>
      </x:c>
      <x:c r="EP40" s="141" t="str">
        <x:f>IF(AND(EP$4&gt;=$C40,EP$4&lt;=$D40,'Вводные'!$B$91="Да"),"■","")</x:f>
      </x:c>
      <x:c r="EQ40" s="141" t="str">
        <x:f>IF(AND(EQ$4&gt;=$C40,EQ$4&lt;=$D40,'Вводные'!$B$91="Да"),"■","")</x:f>
      </x:c>
      <x:c r="ER40" s="141" t="str">
        <x:f>IF(AND(ER$4&gt;=$C40,ER$4&lt;=$D40,'Вводные'!$B$91="Да"),"■","")</x:f>
      </x:c>
      <x:c r="ES40" s="141" t="str">
        <x:f>IF(AND(ES$4&gt;=$C40,ES$4&lt;=$D40,'Вводные'!$B$91="Да"),"■","")</x:f>
      </x:c>
      <x:c r="ET40" s="141" t="str">
        <x:f>IF(AND(ET$4&gt;=$C40,ET$4&lt;=$D40,'Вводные'!$B$91="Да"),"■","")</x:f>
      </x:c>
      <x:c r="EU40" s="141" t="str">
        <x:f>IF(AND(EU$4&gt;=$C40,EU$4&lt;=$D40,'Вводные'!$B$91="Да"),"■","")</x:f>
      </x:c>
      <x:c r="EV40" s="141" t="str">
        <x:f>IF(AND(EV$4&gt;=$C40,EV$4&lt;=$D40,'Вводные'!$B$91="Да"),"■","")</x:f>
      </x:c>
      <x:c r="EW40" s="141" t="str">
        <x:f>IF(AND(EW$4&gt;=$C40,EW$4&lt;=$D40,'Вводные'!$B$91="Да"),"■","")</x:f>
      </x:c>
      <x:c r="EX40" s="141" t="str">
        <x:f>IF(AND(EX$4&gt;=$C40,EX$4&lt;=$D40,'Вводные'!$B$91="Да"),"■","")</x:f>
      </x:c>
      <x:c r="EY40" s="141" t="str">
        <x:f>IF(AND(EY$4&gt;=$C40,EY$4&lt;=$D40,'Вводные'!$B$91="Да"),"■","")</x:f>
      </x:c>
      <x:c r="EZ40" s="141" t="str">
        <x:f>IF(AND(EZ$4&gt;=$C40,EZ$4&lt;=$D40,'Вводные'!$B$91="Да"),"■","")</x:f>
      </x:c>
      <x:c r="FA40" s="141" t="str">
        <x:f>IF(AND(FA$4&gt;=$C40,FA$4&lt;=$D40,'Вводные'!$B$91="Да"),"■","")</x:f>
      </x:c>
      <x:c r="FB40" s="141" t="str">
        <x:f>IF(AND(FB$4&gt;=$C40,FB$4&lt;=$D40,'Вводные'!$B$91="Да"),"■","")</x:f>
      </x:c>
      <x:c r="FC40" s="141" t="str">
        <x:f>IF(AND(FC$4&gt;=$C40,FC$4&lt;=$D40,'Вводные'!$B$91="Да"),"■","")</x:f>
      </x:c>
      <x:c r="FD40" s="141" t="str">
        <x:f>IF(AND(FD$4&gt;=$C40,FD$4&lt;=$D40,'Вводные'!$B$91="Да"),"■","")</x:f>
      </x:c>
      <x:c r="FE40" s="141" t="str">
        <x:f>IF(AND(FE$4&gt;=$C40,FE$4&lt;=$D40,'Вводные'!$B$91="Да"),"■","")</x:f>
      </x:c>
      <x:c r="FF40" s="141" t="str">
        <x:f>IF(AND(FF$4&gt;=$C40,FF$4&lt;=$D40,'Вводные'!$B$91="Да"),"■","")</x:f>
      </x:c>
      <x:c r="FG40" s="141" t="str">
        <x:f>IF(AND(FG$4&gt;=$C40,FG$4&lt;=$D40,'Вводные'!$B$91="Да"),"■","")</x:f>
      </x:c>
      <x:c r="FH40" s="141" t="str">
        <x:f>IF(AND(FH$4&gt;=$C40,FH$4&lt;=$D40,'Вводные'!$B$91="Да"),"■","")</x:f>
      </x:c>
      <x:c r="FI40" s="141" t="str">
        <x:f>IF(AND(FI$4&gt;=$C40,FI$4&lt;=$D40,'Вводные'!$B$91="Да"),"■","")</x:f>
      </x:c>
      <x:c r="FJ40" s="141" t="str">
        <x:f>IF(AND(FJ$4&gt;=$C40,FJ$4&lt;=$D40,'Вводные'!$B$91="Да"),"■","")</x:f>
      </x:c>
      <x:c r="FK40" s="141" t="str">
        <x:f>IF(AND(FK$4&gt;=$C40,FK$4&lt;=$D40,'Вводные'!$B$91="Да"),"■","")</x:f>
      </x:c>
      <x:c r="FL40" s="141" t="str">
        <x:f>IF(AND(FL$4&gt;=$C40,FL$4&lt;=$D40,'Вводные'!$B$91="Да"),"■","")</x:f>
      </x:c>
      <x:c r="FM40" s="141" t="str">
        <x:f>IF(AND(FM$4&gt;=$C40,FM$4&lt;=$D40,'Вводные'!$B$91="Да"),"■","")</x:f>
      </x:c>
      <x:c r="FN40" s="141" t="str">
        <x:f>IF(AND(FN$4&gt;=$C40,FN$4&lt;=$D40,'Вводные'!$B$91="Да"),"■","")</x:f>
      </x:c>
      <x:c r="FO40" s="141" t="str">
        <x:f>IF(AND(FO$4&gt;=$C40,FO$4&lt;=$D40,'Вводные'!$B$91="Да"),"■","")</x:f>
      </x:c>
      <x:c r="FP40" s="141" t="str">
        <x:f>IF(AND(FP$4&gt;=$C40,FP$4&lt;=$D40,'Вводные'!$B$91="Да"),"■","")</x:f>
      </x:c>
      <x:c r="FQ40" s="141" t="str">
        <x:f>IF(AND(FQ$4&gt;=$C40,FQ$4&lt;=$D40,'Вводные'!$B$91="Да"),"■","")</x:f>
      </x:c>
      <x:c r="FR40" s="141" t="str">
        <x:f>IF(AND(FR$4&gt;=$C40,FR$4&lt;=$D40,'Вводные'!$B$91="Да"),"■","")</x:f>
      </x:c>
      <x:c r="FS40" s="141" t="str">
        <x:f>IF(AND(FS$4&gt;=$C40,FS$4&lt;=$D40,'Вводные'!$B$91="Да"),"■","")</x:f>
      </x:c>
      <x:c r="FT40" s="141" t="str">
        <x:f>IF(AND(FT$4&gt;=$C40,FT$4&lt;=$D40,'Вводные'!$B$91="Да"),"■","")</x:f>
      </x:c>
      <x:c r="FU40" s="141" t="str">
        <x:f>IF(AND(FU$4&gt;=$C40,FU$4&lt;=$D40,'Вводные'!$B$91="Да"),"■","")</x:f>
      </x:c>
      <x:c r="FV40" s="141" t="str">
        <x:f>IF(AND(FV$4&gt;=$C40,FV$4&lt;=$D40,'Вводные'!$B$91="Да"),"■","")</x:f>
      </x:c>
      <x:c r="FW40" s="141" t="str">
        <x:f>IF(AND(FW$4&gt;=$C40,FW$4&lt;=$D40,'Вводные'!$B$91="Да"),"■","")</x:f>
      </x:c>
      <x:c r="FX40" s="141" t="str">
        <x:f>IF(AND(FX$4&gt;=$C40,FX$4&lt;=$D40,'Вводные'!$B$91="Да"),"■","")</x:f>
      </x:c>
      <x:c r="FY40" s="141" t="str">
        <x:f>IF(AND(FY$4&gt;=$C40,FY$4&lt;=$D40,'Вводные'!$B$91="Да"),"■","")</x:f>
      </x:c>
      <x:c r="FZ40" s="141" t="str">
        <x:f>IF(AND(FZ$4&gt;=$C40,FZ$4&lt;=$D40,'Вводные'!$B$91="Да"),"■","")</x:f>
      </x:c>
      <x:c r="GA40" s="141" t="str">
        <x:f>IF(AND(GA$4&gt;=$C40,GA$4&lt;=$D40,'Вводные'!$B$91="Да"),"■","")</x:f>
      </x:c>
      <x:c r="GB40" s="141" t="str">
        <x:f>IF(AND(GB$4&gt;=$C40,GB$4&lt;=$D40,'Вводные'!$B$91="Да"),"■","")</x:f>
      </x:c>
    </x:row>
    <x:row r="41">
      <x:c r="A41" t="str">
        <x:f>'Вводные'!$C$91</x:f>
      </x:c>
      <x:c r="B41" t="str">
        <x:v>РВЭ</x:v>
      </x:c>
      <x:c r="C41" s="92" t="n">
        <x:f>'CF_4'!B8</x:f>
      </x:c>
      <x:c r="D41" s="92" t="n">
        <x:f>C41</x:f>
      </x:c>
      <x:c r="E41" s="135" t="str">
        <x:f>IF(AND(E$4&gt;=$C41,E$4&lt;=$D41,'Вводные'!$B$91="Да"),"■","")</x:f>
      </x:c>
      <x:c r="F41" s="135" t="str">
        <x:f>IF(AND(F$4&gt;=$C41,F$4&lt;=$D41,'Вводные'!$B$91="Да"),"■","")</x:f>
      </x:c>
      <x:c r="G41" s="135" t="str">
        <x:f>IF(AND(G$4&gt;=$C41,G$4&lt;=$D41,'Вводные'!$B$91="Да"),"■","")</x:f>
      </x:c>
      <x:c r="H41" s="135" t="str">
        <x:f>IF(AND(H$4&gt;=$C41,H$4&lt;=$D41,'Вводные'!$B$91="Да"),"■","")</x:f>
      </x:c>
      <x:c r="I41" s="135" t="str">
        <x:f>IF(AND(I$4&gt;=$C41,I$4&lt;=$D41,'Вводные'!$B$91="Да"),"■","")</x:f>
      </x:c>
      <x:c r="J41" s="135" t="str">
        <x:f>IF(AND(J$4&gt;=$C41,J$4&lt;=$D41,'Вводные'!$B$91="Да"),"■","")</x:f>
      </x:c>
      <x:c r="K41" s="135" t="str">
        <x:f>IF(AND(K$4&gt;=$C41,K$4&lt;=$D41,'Вводные'!$B$91="Да"),"■","")</x:f>
      </x:c>
      <x:c r="L41" s="135" t="str">
        <x:f>IF(AND(L$4&gt;=$C41,L$4&lt;=$D41,'Вводные'!$B$91="Да"),"■","")</x:f>
      </x:c>
      <x:c r="M41" s="135" t="str">
        <x:f>IF(AND(M$4&gt;=$C41,M$4&lt;=$D41,'Вводные'!$B$91="Да"),"■","")</x:f>
      </x:c>
      <x:c r="N41" s="135" t="str">
        <x:f>IF(AND(N$4&gt;=$C41,N$4&lt;=$D41,'Вводные'!$B$91="Да"),"■","")</x:f>
      </x:c>
      <x:c r="O41" s="135" t="str">
        <x:f>IF(AND(O$4&gt;=$C41,O$4&lt;=$D41,'Вводные'!$B$91="Да"),"■","")</x:f>
      </x:c>
      <x:c r="P41" s="135" t="str">
        <x:f>IF(AND(P$4&gt;=$C41,P$4&lt;=$D41,'Вводные'!$B$91="Да"),"■","")</x:f>
      </x:c>
      <x:c r="Q41" s="135" t="str">
        <x:f>IF(AND(Q$4&gt;=$C41,Q$4&lt;=$D41,'Вводные'!$B$91="Да"),"■","")</x:f>
      </x:c>
      <x:c r="R41" s="135" t="str">
        <x:f>IF(AND(R$4&gt;=$C41,R$4&lt;=$D41,'Вводные'!$B$91="Да"),"■","")</x:f>
      </x:c>
      <x:c r="S41" s="135" t="str">
        <x:f>IF(AND(S$4&gt;=$C41,S$4&lt;=$D41,'Вводные'!$B$91="Да"),"■","")</x:f>
      </x:c>
      <x:c r="T41" s="135" t="str">
        <x:f>IF(AND(T$4&gt;=$C41,T$4&lt;=$D41,'Вводные'!$B$91="Да"),"■","")</x:f>
      </x:c>
      <x:c r="U41" s="135" t="str">
        <x:f>IF(AND(U$4&gt;=$C41,U$4&lt;=$D41,'Вводные'!$B$91="Да"),"■","")</x:f>
      </x:c>
      <x:c r="V41" s="135" t="str">
        <x:f>IF(AND(V$4&gt;=$C41,V$4&lt;=$D41,'Вводные'!$B$91="Да"),"■","")</x:f>
      </x:c>
      <x:c r="W41" s="135" t="str">
        <x:f>IF(AND(W$4&gt;=$C41,W$4&lt;=$D41,'Вводные'!$B$91="Да"),"■","")</x:f>
      </x:c>
      <x:c r="X41" s="135" t="str">
        <x:f>IF(AND(X$4&gt;=$C41,X$4&lt;=$D41,'Вводные'!$B$91="Да"),"■","")</x:f>
      </x:c>
      <x:c r="Y41" s="135" t="str">
        <x:f>IF(AND(Y$4&gt;=$C41,Y$4&lt;=$D41,'Вводные'!$B$91="Да"),"■","")</x:f>
      </x:c>
      <x:c r="Z41" s="135" t="str">
        <x:f>IF(AND(Z$4&gt;=$C41,Z$4&lt;=$D41,'Вводные'!$B$91="Да"),"■","")</x:f>
      </x:c>
      <x:c r="AA41" s="135" t="str">
        <x:f>IF(AND(AA$4&gt;=$C41,AA$4&lt;=$D41,'Вводные'!$B$91="Да"),"■","")</x:f>
      </x:c>
      <x:c r="AB41" s="135" t="str">
        <x:f>IF(AND(AB$4&gt;=$C41,AB$4&lt;=$D41,'Вводные'!$B$91="Да"),"■","")</x:f>
      </x:c>
      <x:c r="AC41" s="135" t="str">
        <x:f>IF(AND(AC$4&gt;=$C41,AC$4&lt;=$D41,'Вводные'!$B$91="Да"),"■","")</x:f>
      </x:c>
      <x:c r="AD41" s="135" t="str">
        <x:f>IF(AND(AD$4&gt;=$C41,AD$4&lt;=$D41,'Вводные'!$B$91="Да"),"■","")</x:f>
      </x:c>
      <x:c r="AE41" s="135" t="str">
        <x:f>IF(AND(AE$4&gt;=$C41,AE$4&lt;=$D41,'Вводные'!$B$91="Да"),"■","")</x:f>
      </x:c>
      <x:c r="AF41" s="135" t="str">
        <x:f>IF(AND(AF$4&gt;=$C41,AF$4&lt;=$D41,'Вводные'!$B$91="Да"),"■","")</x:f>
      </x:c>
      <x:c r="AG41" s="135" t="str">
        <x:f>IF(AND(AG$4&gt;=$C41,AG$4&lt;=$D41,'Вводные'!$B$91="Да"),"■","")</x:f>
      </x:c>
      <x:c r="AH41" s="135" t="str">
        <x:f>IF(AND(AH$4&gt;=$C41,AH$4&lt;=$D41,'Вводные'!$B$91="Да"),"■","")</x:f>
      </x:c>
      <x:c r="AI41" s="135" t="str">
        <x:f>IF(AND(AI$4&gt;=$C41,AI$4&lt;=$D41,'Вводные'!$B$91="Да"),"■","")</x:f>
      </x:c>
      <x:c r="AJ41" s="135" t="str">
        <x:f>IF(AND(AJ$4&gt;=$C41,AJ$4&lt;=$D41,'Вводные'!$B$91="Да"),"■","")</x:f>
      </x:c>
      <x:c r="AK41" s="135" t="str">
        <x:f>IF(AND(AK$4&gt;=$C41,AK$4&lt;=$D41,'Вводные'!$B$91="Да"),"■","")</x:f>
      </x:c>
      <x:c r="AL41" s="135" t="str">
        <x:f>IF(AND(AL$4&gt;=$C41,AL$4&lt;=$D41,'Вводные'!$B$91="Да"),"■","")</x:f>
      </x:c>
      <x:c r="AM41" s="135" t="str">
        <x:f>IF(AND(AM$4&gt;=$C41,AM$4&lt;=$D41,'Вводные'!$B$91="Да"),"■","")</x:f>
      </x:c>
      <x:c r="AN41" s="135" t="str">
        <x:f>IF(AND(AN$4&gt;=$C41,AN$4&lt;=$D41,'Вводные'!$B$91="Да"),"■","")</x:f>
      </x:c>
      <x:c r="AO41" s="135" t="str">
        <x:f>IF(AND(AO$4&gt;=$C41,AO$4&lt;=$D41,'Вводные'!$B$91="Да"),"■","")</x:f>
      </x:c>
      <x:c r="AP41" s="135" t="str">
        <x:f>IF(AND(AP$4&gt;=$C41,AP$4&lt;=$D41,'Вводные'!$B$91="Да"),"■","")</x:f>
      </x:c>
      <x:c r="AQ41" s="135" t="str">
        <x:f>IF(AND(AQ$4&gt;=$C41,AQ$4&lt;=$D41,'Вводные'!$B$91="Да"),"■","")</x:f>
      </x:c>
      <x:c r="AR41" s="135" t="str">
        <x:f>IF(AND(AR$4&gt;=$C41,AR$4&lt;=$D41,'Вводные'!$B$91="Да"),"■","")</x:f>
      </x:c>
      <x:c r="AS41" s="135" t="str">
        <x:f>IF(AND(AS$4&gt;=$C41,AS$4&lt;=$D41,'Вводные'!$B$91="Да"),"■","")</x:f>
      </x:c>
      <x:c r="AT41" s="135" t="str">
        <x:f>IF(AND(AT$4&gt;=$C41,AT$4&lt;=$D41,'Вводные'!$B$91="Да"),"■","")</x:f>
      </x:c>
      <x:c r="AU41" s="135" t="str">
        <x:f>IF(AND(AU$4&gt;=$C41,AU$4&lt;=$D41,'Вводные'!$B$91="Да"),"■","")</x:f>
      </x:c>
      <x:c r="AV41" s="135" t="str">
        <x:f>IF(AND(AV$4&gt;=$C41,AV$4&lt;=$D41,'Вводные'!$B$91="Да"),"■","")</x:f>
      </x:c>
      <x:c r="AW41" s="135" t="str">
        <x:f>IF(AND(AW$4&gt;=$C41,AW$4&lt;=$D41,'Вводные'!$B$91="Да"),"■","")</x:f>
      </x:c>
      <x:c r="AX41" s="135" t="str">
        <x:f>IF(AND(AX$4&gt;=$C41,AX$4&lt;=$D41,'Вводные'!$B$91="Да"),"■","")</x:f>
      </x:c>
      <x:c r="AY41" s="135" t="str">
        <x:f>IF(AND(AY$4&gt;=$C41,AY$4&lt;=$D41,'Вводные'!$B$91="Да"),"■","")</x:f>
      </x:c>
      <x:c r="AZ41" s="135" t="str">
        <x:f>IF(AND(AZ$4&gt;=$C41,AZ$4&lt;=$D41,'Вводные'!$B$91="Да"),"■","")</x:f>
      </x:c>
      <x:c r="BA41" s="135" t="str">
        <x:f>IF(AND(BA$4&gt;=$C41,BA$4&lt;=$D41,'Вводные'!$B$91="Да"),"■","")</x:f>
      </x:c>
      <x:c r="BB41" s="135" t="str">
        <x:f>IF(AND(BB$4&gt;=$C41,BB$4&lt;=$D41,'Вводные'!$B$91="Да"),"■","")</x:f>
      </x:c>
      <x:c r="BC41" s="135" t="str">
        <x:f>IF(AND(BC$4&gt;=$C41,BC$4&lt;=$D41,'Вводные'!$B$91="Да"),"■","")</x:f>
      </x:c>
      <x:c r="BD41" s="135" t="str">
        <x:f>IF(AND(BD$4&gt;=$C41,BD$4&lt;=$D41,'Вводные'!$B$91="Да"),"■","")</x:f>
      </x:c>
      <x:c r="BE41" s="135" t="str">
        <x:f>IF(AND(BE$4&gt;=$C41,BE$4&lt;=$D41,'Вводные'!$B$91="Да"),"■","")</x:f>
      </x:c>
      <x:c r="BF41" s="135" t="str">
        <x:f>IF(AND(BF$4&gt;=$C41,BF$4&lt;=$D41,'Вводные'!$B$91="Да"),"■","")</x:f>
      </x:c>
      <x:c r="BG41" s="135" t="str">
        <x:f>IF(AND(BG$4&gt;=$C41,BG$4&lt;=$D41,'Вводные'!$B$91="Да"),"■","")</x:f>
      </x:c>
      <x:c r="BH41" s="135" t="str">
        <x:f>IF(AND(BH$4&gt;=$C41,BH$4&lt;=$D41,'Вводные'!$B$91="Да"),"■","")</x:f>
      </x:c>
      <x:c r="BI41" s="135" t="str">
        <x:f>IF(AND(BI$4&gt;=$C41,BI$4&lt;=$D41,'Вводные'!$B$91="Да"),"■","")</x:f>
      </x:c>
      <x:c r="BJ41" s="135" t="str">
        <x:f>IF(AND(BJ$4&gt;=$C41,BJ$4&lt;=$D41,'Вводные'!$B$91="Да"),"■","")</x:f>
      </x:c>
      <x:c r="BK41" s="135" t="str">
        <x:f>IF(AND(BK$4&gt;=$C41,BK$4&lt;=$D41,'Вводные'!$B$91="Да"),"■","")</x:f>
      </x:c>
      <x:c r="BL41" s="135" t="str">
        <x:f>IF(AND(BL$4&gt;=$C41,BL$4&lt;=$D41,'Вводные'!$B$91="Да"),"■","")</x:f>
      </x:c>
      <x:c r="BM41" s="135" t="str">
        <x:f>IF(AND(BM$4&gt;=$C41,BM$4&lt;=$D41,'Вводные'!$B$91="Да"),"■","")</x:f>
      </x:c>
      <x:c r="BN41" s="135" t="str">
        <x:f>IF(AND(BN$4&gt;=$C41,BN$4&lt;=$D41,'Вводные'!$B$91="Да"),"■","")</x:f>
      </x:c>
      <x:c r="BO41" s="135" t="str">
        <x:f>IF(AND(BO$4&gt;=$C41,BO$4&lt;=$D41,'Вводные'!$B$91="Да"),"■","")</x:f>
      </x:c>
      <x:c r="BP41" s="135" t="str">
        <x:f>IF(AND(BP$4&gt;=$C41,BP$4&lt;=$D41,'Вводные'!$B$91="Да"),"■","")</x:f>
      </x:c>
      <x:c r="BQ41" s="135" t="str">
        <x:f>IF(AND(BQ$4&gt;=$C41,BQ$4&lt;=$D41,'Вводные'!$B$91="Да"),"■","")</x:f>
      </x:c>
      <x:c r="BR41" s="135" t="str">
        <x:f>IF(AND(BR$4&gt;=$C41,BR$4&lt;=$D41,'Вводные'!$B$91="Да"),"■","")</x:f>
      </x:c>
      <x:c r="BS41" s="135" t="str">
        <x:f>IF(AND(BS$4&gt;=$C41,BS$4&lt;=$D41,'Вводные'!$B$91="Да"),"■","")</x:f>
      </x:c>
      <x:c r="BT41" s="135" t="str">
        <x:f>IF(AND(BT$4&gt;=$C41,BT$4&lt;=$D41,'Вводные'!$B$91="Да"),"■","")</x:f>
      </x:c>
      <x:c r="BU41" s="135" t="str">
        <x:f>IF(AND(BU$4&gt;=$C41,BU$4&lt;=$D41,'Вводные'!$B$91="Да"),"■","")</x:f>
      </x:c>
      <x:c r="BV41" s="135" t="str">
        <x:f>IF(AND(BV$4&gt;=$C41,BV$4&lt;=$D41,'Вводные'!$B$91="Да"),"■","")</x:f>
      </x:c>
      <x:c r="BW41" s="135" t="str">
        <x:f>IF(AND(BW$4&gt;=$C41,BW$4&lt;=$D41,'Вводные'!$B$91="Да"),"■","")</x:f>
      </x:c>
      <x:c r="BX41" s="135" t="str">
        <x:f>IF(AND(BX$4&gt;=$C41,BX$4&lt;=$D41,'Вводные'!$B$91="Да"),"■","")</x:f>
      </x:c>
      <x:c r="BY41" s="135" t="str">
        <x:f>IF(AND(BY$4&gt;=$C41,BY$4&lt;=$D41,'Вводные'!$B$91="Да"),"■","")</x:f>
      </x:c>
      <x:c r="BZ41" s="135" t="str">
        <x:f>IF(AND(BZ$4&gt;=$C41,BZ$4&lt;=$D41,'Вводные'!$B$91="Да"),"■","")</x:f>
      </x:c>
      <x:c r="CA41" s="135" t="str">
        <x:f>IF(AND(CA$4&gt;=$C41,CA$4&lt;=$D41,'Вводные'!$B$91="Да"),"■","")</x:f>
      </x:c>
      <x:c r="CB41" s="135" t="str">
        <x:f>IF(AND(CB$4&gt;=$C41,CB$4&lt;=$D41,'Вводные'!$B$91="Да"),"■","")</x:f>
      </x:c>
      <x:c r="CC41" s="135" t="str">
        <x:f>IF(AND(CC$4&gt;=$C41,CC$4&lt;=$D41,'Вводные'!$B$91="Да"),"■","")</x:f>
      </x:c>
      <x:c r="CD41" s="135" t="str">
        <x:f>IF(AND(CD$4&gt;=$C41,CD$4&lt;=$D41,'Вводные'!$B$91="Да"),"■","")</x:f>
      </x:c>
      <x:c r="CE41" s="135" t="str">
        <x:f>IF(AND(CE$4&gt;=$C41,CE$4&lt;=$D41,'Вводные'!$B$91="Да"),"■","")</x:f>
      </x:c>
      <x:c r="CF41" s="135" t="str">
        <x:f>IF(AND(CF$4&gt;=$C41,CF$4&lt;=$D41,'Вводные'!$B$91="Да"),"■","")</x:f>
      </x:c>
      <x:c r="CG41" s="135" t="str">
        <x:f>IF(AND(CG$4&gt;=$C41,CG$4&lt;=$D41,'Вводные'!$B$91="Да"),"■","")</x:f>
      </x:c>
      <x:c r="CH41" s="135" t="str">
        <x:f>IF(AND(CH$4&gt;=$C41,CH$4&lt;=$D41,'Вводные'!$B$91="Да"),"■","")</x:f>
      </x:c>
      <x:c r="CI41" s="135" t="str">
        <x:f>IF(AND(CI$4&gt;=$C41,CI$4&lt;=$D41,'Вводные'!$B$91="Да"),"■","")</x:f>
      </x:c>
      <x:c r="CJ41" s="135" t="str">
        <x:f>IF(AND(CJ$4&gt;=$C41,CJ$4&lt;=$D41,'Вводные'!$B$91="Да"),"■","")</x:f>
      </x:c>
      <x:c r="CK41" s="135" t="str">
        <x:f>IF(AND(CK$4&gt;=$C41,CK$4&lt;=$D41,'Вводные'!$B$91="Да"),"■","")</x:f>
      </x:c>
      <x:c r="CL41" s="135" t="str">
        <x:f>IF(AND(CL$4&gt;=$C41,CL$4&lt;=$D41,'Вводные'!$B$91="Да"),"■","")</x:f>
      </x:c>
      <x:c r="CM41" s="135" t="str">
        <x:f>IF(AND(CM$4&gt;=$C41,CM$4&lt;=$D41,'Вводные'!$B$91="Да"),"■","")</x:f>
      </x:c>
      <x:c r="CN41" s="135" t="str">
        <x:f>IF(AND(CN$4&gt;=$C41,CN$4&lt;=$D41,'Вводные'!$B$91="Да"),"■","")</x:f>
      </x:c>
      <x:c r="CO41" s="135" t="str">
        <x:f>IF(AND(CO$4&gt;=$C41,CO$4&lt;=$D41,'Вводные'!$B$91="Да"),"■","")</x:f>
      </x:c>
      <x:c r="CP41" s="135" t="str">
        <x:f>IF(AND(CP$4&gt;=$C41,CP$4&lt;=$D41,'Вводные'!$B$91="Да"),"■","")</x:f>
      </x:c>
      <x:c r="CQ41" s="135" t="str">
        <x:f>IF(AND(CQ$4&gt;=$C41,CQ$4&lt;=$D41,'Вводные'!$B$91="Да"),"■","")</x:f>
      </x:c>
      <x:c r="CR41" s="135" t="str">
        <x:f>IF(AND(CR$4&gt;=$C41,CR$4&lt;=$D41,'Вводные'!$B$91="Да"),"■","")</x:f>
      </x:c>
      <x:c r="CS41" s="135" t="str">
        <x:f>IF(AND(CS$4&gt;=$C41,CS$4&lt;=$D41,'Вводные'!$B$91="Да"),"■","")</x:f>
      </x:c>
      <x:c r="CT41" s="135" t="str">
        <x:f>IF(AND(CT$4&gt;=$C41,CT$4&lt;=$D41,'Вводные'!$B$91="Да"),"■","")</x:f>
      </x:c>
      <x:c r="CU41" s="135" t="str">
        <x:f>IF(AND(CU$4&gt;=$C41,CU$4&lt;=$D41,'Вводные'!$B$91="Да"),"■","")</x:f>
      </x:c>
      <x:c r="CV41" s="135" t="str">
        <x:f>IF(AND(CV$4&gt;=$C41,CV$4&lt;=$D41,'Вводные'!$B$91="Да"),"■","")</x:f>
      </x:c>
      <x:c r="CW41" s="135" t="str">
        <x:f>IF(AND(CW$4&gt;=$C41,CW$4&lt;=$D41,'Вводные'!$B$91="Да"),"■","")</x:f>
      </x:c>
      <x:c r="CX41" s="135" t="str">
        <x:f>IF(AND(CX$4&gt;=$C41,CX$4&lt;=$D41,'Вводные'!$B$91="Да"),"■","")</x:f>
      </x:c>
      <x:c r="CY41" s="135" t="str">
        <x:f>IF(AND(CY$4&gt;=$C41,CY$4&lt;=$D41,'Вводные'!$B$91="Да"),"■","")</x:f>
      </x:c>
      <x:c r="CZ41" s="135" t="str">
        <x:f>IF(AND(CZ$4&gt;=$C41,CZ$4&lt;=$D41,'Вводные'!$B$91="Да"),"■","")</x:f>
      </x:c>
      <x:c r="DA41" s="135" t="str">
        <x:f>IF(AND(DA$4&gt;=$C41,DA$4&lt;=$D41,'Вводные'!$B$91="Да"),"■","")</x:f>
      </x:c>
      <x:c r="DB41" s="135" t="str">
        <x:f>IF(AND(DB$4&gt;=$C41,DB$4&lt;=$D41,'Вводные'!$B$91="Да"),"■","")</x:f>
      </x:c>
      <x:c r="DC41" s="135" t="str">
        <x:f>IF(AND(DC$4&gt;=$C41,DC$4&lt;=$D41,'Вводные'!$B$91="Да"),"■","")</x:f>
      </x:c>
      <x:c r="DD41" s="135" t="str">
        <x:f>IF(AND(DD$4&gt;=$C41,DD$4&lt;=$D41,'Вводные'!$B$91="Да"),"■","")</x:f>
      </x:c>
      <x:c r="DE41" s="135" t="str">
        <x:f>IF(AND(DE$4&gt;=$C41,DE$4&lt;=$D41,'Вводные'!$B$91="Да"),"■","")</x:f>
      </x:c>
      <x:c r="DF41" s="135" t="str">
        <x:f>IF(AND(DF$4&gt;=$C41,DF$4&lt;=$D41,'Вводные'!$B$91="Да"),"■","")</x:f>
      </x:c>
      <x:c r="DG41" s="135" t="str">
        <x:f>IF(AND(DG$4&gt;=$C41,DG$4&lt;=$D41,'Вводные'!$B$91="Да"),"■","")</x:f>
      </x:c>
      <x:c r="DH41" s="135" t="str">
        <x:f>IF(AND(DH$4&gt;=$C41,DH$4&lt;=$D41,'Вводные'!$B$91="Да"),"■","")</x:f>
      </x:c>
      <x:c r="DI41" s="135" t="str">
        <x:f>IF(AND(DI$4&gt;=$C41,DI$4&lt;=$D41,'Вводные'!$B$91="Да"),"■","")</x:f>
      </x:c>
      <x:c r="DJ41" s="135" t="str">
        <x:f>IF(AND(DJ$4&gt;=$C41,DJ$4&lt;=$D41,'Вводные'!$B$91="Да"),"■","")</x:f>
      </x:c>
      <x:c r="DK41" s="135" t="str">
        <x:f>IF(AND(DK$4&gt;=$C41,DK$4&lt;=$D41,'Вводные'!$B$91="Да"),"■","")</x:f>
      </x:c>
      <x:c r="DL41" s="135" t="str">
        <x:f>IF(AND(DL$4&gt;=$C41,DL$4&lt;=$D41,'Вводные'!$B$91="Да"),"■","")</x:f>
      </x:c>
      <x:c r="DM41" s="135" t="str">
        <x:f>IF(AND(DM$4&gt;=$C41,DM$4&lt;=$D41,'Вводные'!$B$91="Да"),"■","")</x:f>
      </x:c>
      <x:c r="DN41" s="135" t="str">
        <x:f>IF(AND(DN$4&gt;=$C41,DN$4&lt;=$D41,'Вводные'!$B$91="Да"),"■","")</x:f>
      </x:c>
      <x:c r="DO41" s="135" t="str">
        <x:f>IF(AND(DO$4&gt;=$C41,DO$4&lt;=$D41,'Вводные'!$B$91="Да"),"■","")</x:f>
      </x:c>
      <x:c r="DP41" s="135" t="str">
        <x:f>IF(AND(DP$4&gt;=$C41,DP$4&lt;=$D41,'Вводные'!$B$91="Да"),"■","")</x:f>
      </x:c>
      <x:c r="DQ41" s="135" t="str">
        <x:f>IF(AND(DQ$4&gt;=$C41,DQ$4&lt;=$D41,'Вводные'!$B$91="Да"),"■","")</x:f>
      </x:c>
      <x:c r="DR41" s="135" t="str">
        <x:f>IF(AND(DR$4&gt;=$C41,DR$4&lt;=$D41,'Вводные'!$B$91="Да"),"■","")</x:f>
      </x:c>
      <x:c r="DS41" s="135" t="str">
        <x:f>IF(AND(DS$4&gt;=$C41,DS$4&lt;=$D41,'Вводные'!$B$91="Да"),"■","")</x:f>
      </x:c>
      <x:c r="DT41" s="135" t="str">
        <x:f>IF(AND(DT$4&gt;=$C41,DT$4&lt;=$D41,'Вводные'!$B$91="Да"),"■","")</x:f>
      </x:c>
      <x:c r="DU41" s="135" t="str">
        <x:f>IF(AND(DU$4&gt;=$C41,DU$4&lt;=$D41,'Вводные'!$B$91="Да"),"■","")</x:f>
      </x:c>
      <x:c r="DV41" s="135" t="str">
        <x:f>IF(AND(DV$4&gt;=$C41,DV$4&lt;=$D41,'Вводные'!$B$91="Да"),"■","")</x:f>
      </x:c>
      <x:c r="DW41" s="135" t="str">
        <x:f>IF(AND(DW$4&gt;=$C41,DW$4&lt;=$D41,'Вводные'!$B$91="Да"),"■","")</x:f>
      </x:c>
      <x:c r="DX41" s="135" t="str">
        <x:f>IF(AND(DX$4&gt;=$C41,DX$4&lt;=$D41,'Вводные'!$B$91="Да"),"■","")</x:f>
      </x:c>
      <x:c r="DY41" s="135" t="str">
        <x:f>IF(AND(DY$4&gt;=$C41,DY$4&lt;=$D41,'Вводные'!$B$91="Да"),"■","")</x:f>
      </x:c>
      <x:c r="DZ41" s="135" t="str">
        <x:f>IF(AND(DZ$4&gt;=$C41,DZ$4&lt;=$D41,'Вводные'!$B$91="Да"),"■","")</x:f>
      </x:c>
      <x:c r="EA41" s="135" t="str">
        <x:f>IF(AND(EA$4&gt;=$C41,EA$4&lt;=$D41,'Вводные'!$B$91="Да"),"■","")</x:f>
      </x:c>
      <x:c r="EB41" s="135" t="str">
        <x:f>IF(AND(EB$4&gt;=$C41,EB$4&lt;=$D41,'Вводные'!$B$91="Да"),"■","")</x:f>
      </x:c>
      <x:c r="EC41" s="135" t="str">
        <x:f>IF(AND(EC$4&gt;=$C41,EC$4&lt;=$D41,'Вводные'!$B$91="Да"),"■","")</x:f>
      </x:c>
      <x:c r="ED41" s="135" t="str">
        <x:f>IF(AND(ED$4&gt;=$C41,ED$4&lt;=$D41,'Вводные'!$B$91="Да"),"■","")</x:f>
      </x:c>
      <x:c r="EE41" s="135" t="str">
        <x:f>IF(AND(EE$4&gt;=$C41,EE$4&lt;=$D41,'Вводные'!$B$91="Да"),"■","")</x:f>
      </x:c>
      <x:c r="EF41" s="135" t="str">
        <x:f>IF(AND(EF$4&gt;=$C41,EF$4&lt;=$D41,'Вводные'!$B$91="Да"),"■","")</x:f>
      </x:c>
      <x:c r="EG41" s="135" t="str">
        <x:f>IF(AND(EG$4&gt;=$C41,EG$4&lt;=$D41,'Вводные'!$B$91="Да"),"■","")</x:f>
      </x:c>
      <x:c r="EH41" s="135" t="str">
        <x:f>IF(AND(EH$4&gt;=$C41,EH$4&lt;=$D41,'Вводные'!$B$91="Да"),"■","")</x:f>
      </x:c>
      <x:c r="EI41" s="135" t="str">
        <x:f>IF(AND(EI$4&gt;=$C41,EI$4&lt;=$D41,'Вводные'!$B$91="Да"),"■","")</x:f>
      </x:c>
      <x:c r="EJ41" s="135" t="str">
        <x:f>IF(AND(EJ$4&gt;=$C41,EJ$4&lt;=$D41,'Вводные'!$B$91="Да"),"■","")</x:f>
      </x:c>
      <x:c r="EK41" s="135" t="str">
        <x:f>IF(AND(EK$4&gt;=$C41,EK$4&lt;=$D41,'Вводные'!$B$91="Да"),"■","")</x:f>
      </x:c>
      <x:c r="EL41" s="135" t="str">
        <x:f>IF(AND(EL$4&gt;=$C41,EL$4&lt;=$D41,'Вводные'!$B$91="Да"),"■","")</x:f>
      </x:c>
      <x:c r="EM41" s="135" t="str">
        <x:f>IF(AND(EM$4&gt;=$C41,EM$4&lt;=$D41,'Вводные'!$B$91="Да"),"■","")</x:f>
      </x:c>
      <x:c r="EN41" s="135" t="str">
        <x:f>IF(AND(EN$4&gt;=$C41,EN$4&lt;=$D41,'Вводные'!$B$91="Да"),"■","")</x:f>
      </x:c>
      <x:c r="EO41" s="135" t="str">
        <x:f>IF(AND(EO$4&gt;=$C41,EO$4&lt;=$D41,'Вводные'!$B$91="Да"),"■","")</x:f>
      </x:c>
      <x:c r="EP41" s="135" t="str">
        <x:f>IF(AND(EP$4&gt;=$C41,EP$4&lt;=$D41,'Вводные'!$B$91="Да"),"■","")</x:f>
      </x:c>
      <x:c r="EQ41" s="135" t="str">
        <x:f>IF(AND(EQ$4&gt;=$C41,EQ$4&lt;=$D41,'Вводные'!$B$91="Да"),"■","")</x:f>
      </x:c>
      <x:c r="ER41" s="135" t="str">
        <x:f>IF(AND(ER$4&gt;=$C41,ER$4&lt;=$D41,'Вводные'!$B$91="Да"),"■","")</x:f>
      </x:c>
      <x:c r="ES41" s="135" t="str">
        <x:f>IF(AND(ES$4&gt;=$C41,ES$4&lt;=$D41,'Вводные'!$B$91="Да"),"■","")</x:f>
      </x:c>
      <x:c r="ET41" s="135" t="str">
        <x:f>IF(AND(ET$4&gt;=$C41,ET$4&lt;=$D41,'Вводные'!$B$91="Да"),"■","")</x:f>
      </x:c>
      <x:c r="EU41" s="135" t="str">
        <x:f>IF(AND(EU$4&gt;=$C41,EU$4&lt;=$D41,'Вводные'!$B$91="Да"),"■","")</x:f>
      </x:c>
      <x:c r="EV41" s="135" t="str">
        <x:f>IF(AND(EV$4&gt;=$C41,EV$4&lt;=$D41,'Вводные'!$B$91="Да"),"■","")</x:f>
      </x:c>
      <x:c r="EW41" s="135" t="str">
        <x:f>IF(AND(EW$4&gt;=$C41,EW$4&lt;=$D41,'Вводные'!$B$91="Да"),"■","")</x:f>
      </x:c>
      <x:c r="EX41" s="135" t="str">
        <x:f>IF(AND(EX$4&gt;=$C41,EX$4&lt;=$D41,'Вводные'!$B$91="Да"),"■","")</x:f>
      </x:c>
      <x:c r="EY41" s="135" t="str">
        <x:f>IF(AND(EY$4&gt;=$C41,EY$4&lt;=$D41,'Вводные'!$B$91="Да"),"■","")</x:f>
      </x:c>
      <x:c r="EZ41" s="135" t="str">
        <x:f>IF(AND(EZ$4&gt;=$C41,EZ$4&lt;=$D41,'Вводные'!$B$91="Да"),"■","")</x:f>
      </x:c>
      <x:c r="FA41" s="135" t="str">
        <x:f>IF(AND(FA$4&gt;=$C41,FA$4&lt;=$D41,'Вводные'!$B$91="Да"),"■","")</x:f>
      </x:c>
      <x:c r="FB41" s="135" t="str">
        <x:f>IF(AND(FB$4&gt;=$C41,FB$4&lt;=$D41,'Вводные'!$B$91="Да"),"■","")</x:f>
      </x:c>
      <x:c r="FC41" s="135" t="str">
        <x:f>IF(AND(FC$4&gt;=$C41,FC$4&lt;=$D41,'Вводные'!$B$91="Да"),"■","")</x:f>
      </x:c>
      <x:c r="FD41" s="135" t="str">
        <x:f>IF(AND(FD$4&gt;=$C41,FD$4&lt;=$D41,'Вводные'!$B$91="Да"),"■","")</x:f>
      </x:c>
      <x:c r="FE41" s="135" t="str">
        <x:f>IF(AND(FE$4&gt;=$C41,FE$4&lt;=$D41,'Вводные'!$B$91="Да"),"■","")</x:f>
      </x:c>
      <x:c r="FF41" s="135" t="str">
        <x:f>IF(AND(FF$4&gt;=$C41,FF$4&lt;=$D41,'Вводные'!$B$91="Да"),"■","")</x:f>
      </x:c>
      <x:c r="FG41" s="135" t="str">
        <x:f>IF(AND(FG$4&gt;=$C41,FG$4&lt;=$D41,'Вводные'!$B$91="Да"),"■","")</x:f>
      </x:c>
      <x:c r="FH41" s="135" t="str">
        <x:f>IF(AND(FH$4&gt;=$C41,FH$4&lt;=$D41,'Вводные'!$B$91="Да"),"■","")</x:f>
      </x:c>
      <x:c r="FI41" s="135" t="str">
        <x:f>IF(AND(FI$4&gt;=$C41,FI$4&lt;=$D41,'Вводные'!$B$91="Да"),"■","")</x:f>
      </x:c>
      <x:c r="FJ41" s="135" t="str">
        <x:f>IF(AND(FJ$4&gt;=$C41,FJ$4&lt;=$D41,'Вводные'!$B$91="Да"),"■","")</x:f>
      </x:c>
      <x:c r="FK41" s="135" t="str">
        <x:f>IF(AND(FK$4&gt;=$C41,FK$4&lt;=$D41,'Вводные'!$B$91="Да"),"■","")</x:f>
      </x:c>
      <x:c r="FL41" s="135" t="str">
        <x:f>IF(AND(FL$4&gt;=$C41,FL$4&lt;=$D41,'Вводные'!$B$91="Да"),"■","")</x:f>
      </x:c>
      <x:c r="FM41" s="135" t="str">
        <x:f>IF(AND(FM$4&gt;=$C41,FM$4&lt;=$D41,'Вводные'!$B$91="Да"),"■","")</x:f>
      </x:c>
      <x:c r="FN41" s="135" t="str">
        <x:f>IF(AND(FN$4&gt;=$C41,FN$4&lt;=$D41,'Вводные'!$B$91="Да"),"■","")</x:f>
      </x:c>
      <x:c r="FO41" s="135" t="str">
        <x:f>IF(AND(FO$4&gt;=$C41,FO$4&lt;=$D41,'Вводные'!$B$91="Да"),"■","")</x:f>
      </x:c>
      <x:c r="FP41" s="135" t="str">
        <x:f>IF(AND(FP$4&gt;=$C41,FP$4&lt;=$D41,'Вводные'!$B$91="Да"),"■","")</x:f>
      </x:c>
      <x:c r="FQ41" s="135" t="str">
        <x:f>IF(AND(FQ$4&gt;=$C41,FQ$4&lt;=$D41,'Вводные'!$B$91="Да"),"■","")</x:f>
      </x:c>
      <x:c r="FR41" s="135" t="str">
        <x:f>IF(AND(FR$4&gt;=$C41,FR$4&lt;=$D41,'Вводные'!$B$91="Да"),"■","")</x:f>
      </x:c>
      <x:c r="FS41" s="135" t="str">
        <x:f>IF(AND(FS$4&gt;=$C41,FS$4&lt;=$D41,'Вводные'!$B$91="Да"),"■","")</x:f>
      </x:c>
      <x:c r="FT41" s="135" t="str">
        <x:f>IF(AND(FT$4&gt;=$C41,FT$4&lt;=$D41,'Вводные'!$B$91="Да"),"■","")</x:f>
      </x:c>
      <x:c r="FU41" s="135" t="str">
        <x:f>IF(AND(FU$4&gt;=$C41,FU$4&lt;=$D41,'Вводные'!$B$91="Да"),"■","")</x:f>
      </x:c>
      <x:c r="FV41" s="135" t="str">
        <x:f>IF(AND(FV$4&gt;=$C41,FV$4&lt;=$D41,'Вводные'!$B$91="Да"),"■","")</x:f>
      </x:c>
      <x:c r="FW41" s="135" t="str">
        <x:f>IF(AND(FW$4&gt;=$C41,FW$4&lt;=$D41,'Вводные'!$B$91="Да"),"■","")</x:f>
      </x:c>
      <x:c r="FX41" s="135" t="str">
        <x:f>IF(AND(FX$4&gt;=$C41,FX$4&lt;=$D41,'Вводные'!$B$91="Да"),"■","")</x:f>
      </x:c>
      <x:c r="FY41" s="135" t="str">
        <x:f>IF(AND(FY$4&gt;=$C41,FY$4&lt;=$D41,'Вводные'!$B$91="Да"),"■","")</x:f>
      </x:c>
      <x:c r="FZ41" s="135" t="str">
        <x:f>IF(AND(FZ$4&gt;=$C41,FZ$4&lt;=$D41,'Вводные'!$B$91="Да"),"■","")</x:f>
      </x:c>
      <x:c r="GA41" s="135" t="str">
        <x:f>IF(AND(GA$4&gt;=$C41,GA$4&lt;=$D41,'Вводные'!$B$91="Да"),"■","")</x:f>
      </x:c>
      <x:c r="GB41" s="135" t="str">
        <x:f>IF(AND(GB$4&gt;=$C41,GB$4&lt;=$D41,'Вводные'!$B$91="Да"),"■","")</x:f>
      </x:c>
    </x:row>
    <x:row r="42">
      <x:c r="A42" t="str">
        <x:f>'Вводные'!$C$91</x:f>
      </x:c>
      <x:c r="B42" t="str">
        <x:v>Проектное финансирование</x:v>
      </x:c>
      <x:c r="C42" s="92" t="n">
        <x:f>'CF_4'!B7</x:f>
      </x:c>
      <x:c r="D42" s="92" t="n">
        <x:f>EDATE('Продажи'!B76,'Вводные'!$H$91-1)</x:f>
      </x:c>
      <x:c r="E42" s="137" t="str">
        <x:f>IF(AND(E$4&gt;=$C42,E$4&lt;=$D42,'Вводные'!$B$91="Да"),"■","")</x:f>
      </x:c>
      <x:c r="F42" s="137" t="str">
        <x:f>IF(AND(F$4&gt;=$C42,F$4&lt;=$D42,'Вводные'!$B$91="Да"),"■","")</x:f>
      </x:c>
      <x:c r="G42" s="137" t="str">
        <x:f>IF(AND(G$4&gt;=$C42,G$4&lt;=$D42,'Вводные'!$B$91="Да"),"■","")</x:f>
      </x:c>
      <x:c r="H42" s="137" t="str">
        <x:f>IF(AND(H$4&gt;=$C42,H$4&lt;=$D42,'Вводные'!$B$91="Да"),"■","")</x:f>
      </x:c>
      <x:c r="I42" s="137" t="str">
        <x:f>IF(AND(I$4&gt;=$C42,I$4&lt;=$D42,'Вводные'!$B$91="Да"),"■","")</x:f>
      </x:c>
      <x:c r="J42" s="137" t="str">
        <x:f>IF(AND(J$4&gt;=$C42,J$4&lt;=$D42,'Вводные'!$B$91="Да"),"■","")</x:f>
      </x:c>
      <x:c r="K42" s="137" t="str">
        <x:f>IF(AND(K$4&gt;=$C42,K$4&lt;=$D42,'Вводные'!$B$91="Да"),"■","")</x:f>
      </x:c>
      <x:c r="L42" s="137" t="str">
        <x:f>IF(AND(L$4&gt;=$C42,L$4&lt;=$D42,'Вводные'!$B$91="Да"),"■","")</x:f>
      </x:c>
      <x:c r="M42" s="137" t="str">
        <x:f>IF(AND(M$4&gt;=$C42,M$4&lt;=$D42,'Вводные'!$B$91="Да"),"■","")</x:f>
      </x:c>
      <x:c r="N42" s="137" t="str">
        <x:f>IF(AND(N$4&gt;=$C42,N$4&lt;=$D42,'Вводные'!$B$91="Да"),"■","")</x:f>
      </x:c>
      <x:c r="O42" s="137" t="str">
        <x:f>IF(AND(O$4&gt;=$C42,O$4&lt;=$D42,'Вводные'!$B$91="Да"),"■","")</x:f>
      </x:c>
      <x:c r="P42" s="137" t="str">
        <x:f>IF(AND(P$4&gt;=$C42,P$4&lt;=$D42,'Вводные'!$B$91="Да"),"■","")</x:f>
      </x:c>
      <x:c r="Q42" s="137" t="str">
        <x:f>IF(AND(Q$4&gt;=$C42,Q$4&lt;=$D42,'Вводные'!$B$91="Да"),"■","")</x:f>
      </x:c>
      <x:c r="R42" s="137" t="str">
        <x:f>IF(AND(R$4&gt;=$C42,R$4&lt;=$D42,'Вводные'!$B$91="Да"),"■","")</x:f>
      </x:c>
      <x:c r="S42" s="137" t="str">
        <x:f>IF(AND(S$4&gt;=$C42,S$4&lt;=$D42,'Вводные'!$B$91="Да"),"■","")</x:f>
      </x:c>
      <x:c r="T42" s="137" t="str">
        <x:f>IF(AND(T$4&gt;=$C42,T$4&lt;=$D42,'Вводные'!$B$91="Да"),"■","")</x:f>
      </x:c>
      <x:c r="U42" s="137" t="str">
        <x:f>IF(AND(U$4&gt;=$C42,U$4&lt;=$D42,'Вводные'!$B$91="Да"),"■","")</x:f>
      </x:c>
      <x:c r="V42" s="137" t="str">
        <x:f>IF(AND(V$4&gt;=$C42,V$4&lt;=$D42,'Вводные'!$B$91="Да"),"■","")</x:f>
      </x:c>
      <x:c r="W42" s="137" t="str">
        <x:f>IF(AND(W$4&gt;=$C42,W$4&lt;=$D42,'Вводные'!$B$91="Да"),"■","")</x:f>
      </x:c>
      <x:c r="X42" s="137" t="str">
        <x:f>IF(AND(X$4&gt;=$C42,X$4&lt;=$D42,'Вводные'!$B$91="Да"),"■","")</x:f>
      </x:c>
      <x:c r="Y42" s="137" t="str">
        <x:f>IF(AND(Y$4&gt;=$C42,Y$4&lt;=$D42,'Вводные'!$B$91="Да"),"■","")</x:f>
      </x:c>
      <x:c r="Z42" s="137" t="str">
        <x:f>IF(AND(Z$4&gt;=$C42,Z$4&lt;=$D42,'Вводные'!$B$91="Да"),"■","")</x:f>
      </x:c>
      <x:c r="AA42" s="137" t="str">
        <x:f>IF(AND(AA$4&gt;=$C42,AA$4&lt;=$D42,'Вводные'!$B$91="Да"),"■","")</x:f>
      </x:c>
      <x:c r="AB42" s="137" t="str">
        <x:f>IF(AND(AB$4&gt;=$C42,AB$4&lt;=$D42,'Вводные'!$B$91="Да"),"■","")</x:f>
      </x:c>
      <x:c r="AC42" s="137" t="str">
        <x:f>IF(AND(AC$4&gt;=$C42,AC$4&lt;=$D42,'Вводные'!$B$91="Да"),"■","")</x:f>
      </x:c>
      <x:c r="AD42" s="137" t="str">
        <x:f>IF(AND(AD$4&gt;=$C42,AD$4&lt;=$D42,'Вводные'!$B$91="Да"),"■","")</x:f>
      </x:c>
      <x:c r="AE42" s="137" t="str">
        <x:f>IF(AND(AE$4&gt;=$C42,AE$4&lt;=$D42,'Вводные'!$B$91="Да"),"■","")</x:f>
      </x:c>
      <x:c r="AF42" s="137" t="str">
        <x:f>IF(AND(AF$4&gt;=$C42,AF$4&lt;=$D42,'Вводные'!$B$91="Да"),"■","")</x:f>
      </x:c>
      <x:c r="AG42" s="137" t="str">
        <x:f>IF(AND(AG$4&gt;=$C42,AG$4&lt;=$D42,'Вводные'!$B$91="Да"),"■","")</x:f>
      </x:c>
      <x:c r="AH42" s="137" t="str">
        <x:f>IF(AND(AH$4&gt;=$C42,AH$4&lt;=$D42,'Вводные'!$B$91="Да"),"■","")</x:f>
      </x:c>
      <x:c r="AI42" s="137" t="str">
        <x:f>IF(AND(AI$4&gt;=$C42,AI$4&lt;=$D42,'Вводные'!$B$91="Да"),"■","")</x:f>
      </x:c>
      <x:c r="AJ42" s="137" t="str">
        <x:f>IF(AND(AJ$4&gt;=$C42,AJ$4&lt;=$D42,'Вводные'!$B$91="Да"),"■","")</x:f>
      </x:c>
      <x:c r="AK42" s="137" t="str">
        <x:f>IF(AND(AK$4&gt;=$C42,AK$4&lt;=$D42,'Вводные'!$B$91="Да"),"■","")</x:f>
      </x:c>
      <x:c r="AL42" s="137" t="str">
        <x:f>IF(AND(AL$4&gt;=$C42,AL$4&lt;=$D42,'Вводные'!$B$91="Да"),"■","")</x:f>
      </x:c>
      <x:c r="AM42" s="137" t="str">
        <x:f>IF(AND(AM$4&gt;=$C42,AM$4&lt;=$D42,'Вводные'!$B$91="Да"),"■","")</x:f>
      </x:c>
      <x:c r="AN42" s="137" t="str">
        <x:f>IF(AND(AN$4&gt;=$C42,AN$4&lt;=$D42,'Вводные'!$B$91="Да"),"■","")</x:f>
      </x:c>
      <x:c r="AO42" s="137" t="str">
        <x:f>IF(AND(AO$4&gt;=$C42,AO$4&lt;=$D42,'Вводные'!$B$91="Да"),"■","")</x:f>
      </x:c>
      <x:c r="AP42" s="137" t="str">
        <x:f>IF(AND(AP$4&gt;=$C42,AP$4&lt;=$D42,'Вводные'!$B$91="Да"),"■","")</x:f>
      </x:c>
      <x:c r="AQ42" s="137" t="str">
        <x:f>IF(AND(AQ$4&gt;=$C42,AQ$4&lt;=$D42,'Вводные'!$B$91="Да"),"■","")</x:f>
      </x:c>
      <x:c r="AR42" s="137" t="str">
        <x:f>IF(AND(AR$4&gt;=$C42,AR$4&lt;=$D42,'Вводные'!$B$91="Да"),"■","")</x:f>
      </x:c>
      <x:c r="AS42" s="137" t="str">
        <x:f>IF(AND(AS$4&gt;=$C42,AS$4&lt;=$D42,'Вводные'!$B$91="Да"),"■","")</x:f>
      </x:c>
      <x:c r="AT42" s="137" t="str">
        <x:f>IF(AND(AT$4&gt;=$C42,AT$4&lt;=$D42,'Вводные'!$B$91="Да"),"■","")</x:f>
      </x:c>
      <x:c r="AU42" s="137" t="str">
        <x:f>IF(AND(AU$4&gt;=$C42,AU$4&lt;=$D42,'Вводные'!$B$91="Да"),"■","")</x:f>
      </x:c>
      <x:c r="AV42" s="137" t="str">
        <x:f>IF(AND(AV$4&gt;=$C42,AV$4&lt;=$D42,'Вводные'!$B$91="Да"),"■","")</x:f>
      </x:c>
      <x:c r="AW42" s="137" t="str">
        <x:f>IF(AND(AW$4&gt;=$C42,AW$4&lt;=$D42,'Вводные'!$B$91="Да"),"■","")</x:f>
      </x:c>
      <x:c r="AX42" s="137" t="str">
        <x:f>IF(AND(AX$4&gt;=$C42,AX$4&lt;=$D42,'Вводные'!$B$91="Да"),"■","")</x:f>
      </x:c>
      <x:c r="AY42" s="137" t="str">
        <x:f>IF(AND(AY$4&gt;=$C42,AY$4&lt;=$D42,'Вводные'!$B$91="Да"),"■","")</x:f>
      </x:c>
      <x:c r="AZ42" s="137" t="str">
        <x:f>IF(AND(AZ$4&gt;=$C42,AZ$4&lt;=$D42,'Вводные'!$B$91="Да"),"■","")</x:f>
      </x:c>
      <x:c r="BA42" s="137" t="str">
        <x:f>IF(AND(BA$4&gt;=$C42,BA$4&lt;=$D42,'Вводные'!$B$91="Да"),"■","")</x:f>
      </x:c>
      <x:c r="BB42" s="137" t="str">
        <x:f>IF(AND(BB$4&gt;=$C42,BB$4&lt;=$D42,'Вводные'!$B$91="Да"),"■","")</x:f>
      </x:c>
      <x:c r="BC42" s="137" t="str">
        <x:f>IF(AND(BC$4&gt;=$C42,BC$4&lt;=$D42,'Вводные'!$B$91="Да"),"■","")</x:f>
      </x:c>
      <x:c r="BD42" s="137" t="str">
        <x:f>IF(AND(BD$4&gt;=$C42,BD$4&lt;=$D42,'Вводные'!$B$91="Да"),"■","")</x:f>
      </x:c>
      <x:c r="BE42" s="137" t="str">
        <x:f>IF(AND(BE$4&gt;=$C42,BE$4&lt;=$D42,'Вводные'!$B$91="Да"),"■","")</x:f>
      </x:c>
      <x:c r="BF42" s="137" t="str">
        <x:f>IF(AND(BF$4&gt;=$C42,BF$4&lt;=$D42,'Вводные'!$B$91="Да"),"■","")</x:f>
      </x:c>
      <x:c r="BG42" s="137" t="str">
        <x:f>IF(AND(BG$4&gt;=$C42,BG$4&lt;=$D42,'Вводные'!$B$91="Да"),"■","")</x:f>
      </x:c>
      <x:c r="BH42" s="137" t="str">
        <x:f>IF(AND(BH$4&gt;=$C42,BH$4&lt;=$D42,'Вводные'!$B$91="Да"),"■","")</x:f>
      </x:c>
      <x:c r="BI42" s="137" t="str">
        <x:f>IF(AND(BI$4&gt;=$C42,BI$4&lt;=$D42,'Вводные'!$B$91="Да"),"■","")</x:f>
      </x:c>
      <x:c r="BJ42" s="137" t="str">
        <x:f>IF(AND(BJ$4&gt;=$C42,BJ$4&lt;=$D42,'Вводные'!$B$91="Да"),"■","")</x:f>
      </x:c>
      <x:c r="BK42" s="137" t="str">
        <x:f>IF(AND(BK$4&gt;=$C42,BK$4&lt;=$D42,'Вводные'!$B$91="Да"),"■","")</x:f>
      </x:c>
      <x:c r="BL42" s="137" t="str">
        <x:f>IF(AND(BL$4&gt;=$C42,BL$4&lt;=$D42,'Вводные'!$B$91="Да"),"■","")</x:f>
      </x:c>
      <x:c r="BM42" s="137" t="str">
        <x:f>IF(AND(BM$4&gt;=$C42,BM$4&lt;=$D42,'Вводные'!$B$91="Да"),"■","")</x:f>
      </x:c>
      <x:c r="BN42" s="137" t="str">
        <x:f>IF(AND(BN$4&gt;=$C42,BN$4&lt;=$D42,'Вводные'!$B$91="Да"),"■","")</x:f>
      </x:c>
      <x:c r="BO42" s="137" t="str">
        <x:f>IF(AND(BO$4&gt;=$C42,BO$4&lt;=$D42,'Вводные'!$B$91="Да"),"■","")</x:f>
      </x:c>
      <x:c r="BP42" s="137" t="str">
        <x:f>IF(AND(BP$4&gt;=$C42,BP$4&lt;=$D42,'Вводные'!$B$91="Да"),"■","")</x:f>
      </x:c>
      <x:c r="BQ42" s="137" t="str">
        <x:f>IF(AND(BQ$4&gt;=$C42,BQ$4&lt;=$D42,'Вводные'!$B$91="Да"),"■","")</x:f>
      </x:c>
      <x:c r="BR42" s="137" t="str">
        <x:f>IF(AND(BR$4&gt;=$C42,BR$4&lt;=$D42,'Вводные'!$B$91="Да"),"■","")</x:f>
      </x:c>
      <x:c r="BS42" s="137" t="str">
        <x:f>IF(AND(BS$4&gt;=$C42,BS$4&lt;=$D42,'Вводные'!$B$91="Да"),"■","")</x:f>
      </x:c>
      <x:c r="BT42" s="137" t="str">
        <x:f>IF(AND(BT$4&gt;=$C42,BT$4&lt;=$D42,'Вводные'!$B$91="Да"),"■","")</x:f>
      </x:c>
      <x:c r="BU42" s="137" t="str">
        <x:f>IF(AND(BU$4&gt;=$C42,BU$4&lt;=$D42,'Вводные'!$B$91="Да"),"■","")</x:f>
      </x:c>
      <x:c r="BV42" s="137" t="str">
        <x:f>IF(AND(BV$4&gt;=$C42,BV$4&lt;=$D42,'Вводные'!$B$91="Да"),"■","")</x:f>
      </x:c>
      <x:c r="BW42" s="137" t="str">
        <x:f>IF(AND(BW$4&gt;=$C42,BW$4&lt;=$D42,'Вводные'!$B$91="Да"),"■","")</x:f>
      </x:c>
      <x:c r="BX42" s="137" t="str">
        <x:f>IF(AND(BX$4&gt;=$C42,BX$4&lt;=$D42,'Вводные'!$B$91="Да"),"■","")</x:f>
      </x:c>
      <x:c r="BY42" s="137" t="str">
        <x:f>IF(AND(BY$4&gt;=$C42,BY$4&lt;=$D42,'Вводные'!$B$91="Да"),"■","")</x:f>
      </x:c>
      <x:c r="BZ42" s="137" t="str">
        <x:f>IF(AND(BZ$4&gt;=$C42,BZ$4&lt;=$D42,'Вводные'!$B$91="Да"),"■","")</x:f>
      </x:c>
      <x:c r="CA42" s="137" t="str">
        <x:f>IF(AND(CA$4&gt;=$C42,CA$4&lt;=$D42,'Вводные'!$B$91="Да"),"■","")</x:f>
      </x:c>
      <x:c r="CB42" s="137" t="str">
        <x:f>IF(AND(CB$4&gt;=$C42,CB$4&lt;=$D42,'Вводные'!$B$91="Да"),"■","")</x:f>
      </x:c>
      <x:c r="CC42" s="137" t="str">
        <x:f>IF(AND(CC$4&gt;=$C42,CC$4&lt;=$D42,'Вводные'!$B$91="Да"),"■","")</x:f>
      </x:c>
      <x:c r="CD42" s="137" t="str">
        <x:f>IF(AND(CD$4&gt;=$C42,CD$4&lt;=$D42,'Вводные'!$B$91="Да"),"■","")</x:f>
      </x:c>
      <x:c r="CE42" s="137" t="str">
        <x:f>IF(AND(CE$4&gt;=$C42,CE$4&lt;=$D42,'Вводные'!$B$91="Да"),"■","")</x:f>
      </x:c>
      <x:c r="CF42" s="137" t="str">
        <x:f>IF(AND(CF$4&gt;=$C42,CF$4&lt;=$D42,'Вводные'!$B$91="Да"),"■","")</x:f>
      </x:c>
      <x:c r="CG42" s="137" t="str">
        <x:f>IF(AND(CG$4&gt;=$C42,CG$4&lt;=$D42,'Вводные'!$B$91="Да"),"■","")</x:f>
      </x:c>
      <x:c r="CH42" s="137" t="str">
        <x:f>IF(AND(CH$4&gt;=$C42,CH$4&lt;=$D42,'Вводные'!$B$91="Да"),"■","")</x:f>
      </x:c>
      <x:c r="CI42" s="137" t="str">
        <x:f>IF(AND(CI$4&gt;=$C42,CI$4&lt;=$D42,'Вводные'!$B$91="Да"),"■","")</x:f>
      </x:c>
      <x:c r="CJ42" s="137" t="str">
        <x:f>IF(AND(CJ$4&gt;=$C42,CJ$4&lt;=$D42,'Вводные'!$B$91="Да"),"■","")</x:f>
      </x:c>
      <x:c r="CK42" s="137" t="str">
        <x:f>IF(AND(CK$4&gt;=$C42,CK$4&lt;=$D42,'Вводные'!$B$91="Да"),"■","")</x:f>
      </x:c>
      <x:c r="CL42" s="137" t="str">
        <x:f>IF(AND(CL$4&gt;=$C42,CL$4&lt;=$D42,'Вводные'!$B$91="Да"),"■","")</x:f>
      </x:c>
      <x:c r="CM42" s="137" t="str">
        <x:f>IF(AND(CM$4&gt;=$C42,CM$4&lt;=$D42,'Вводные'!$B$91="Да"),"■","")</x:f>
      </x:c>
      <x:c r="CN42" s="137" t="str">
        <x:f>IF(AND(CN$4&gt;=$C42,CN$4&lt;=$D42,'Вводные'!$B$91="Да"),"■","")</x:f>
      </x:c>
      <x:c r="CO42" s="137" t="str">
        <x:f>IF(AND(CO$4&gt;=$C42,CO$4&lt;=$D42,'Вводные'!$B$91="Да"),"■","")</x:f>
      </x:c>
      <x:c r="CP42" s="137" t="str">
        <x:f>IF(AND(CP$4&gt;=$C42,CP$4&lt;=$D42,'Вводные'!$B$91="Да"),"■","")</x:f>
      </x:c>
      <x:c r="CQ42" s="137" t="str">
        <x:f>IF(AND(CQ$4&gt;=$C42,CQ$4&lt;=$D42,'Вводные'!$B$91="Да"),"■","")</x:f>
      </x:c>
      <x:c r="CR42" s="137" t="str">
        <x:f>IF(AND(CR$4&gt;=$C42,CR$4&lt;=$D42,'Вводные'!$B$91="Да"),"■","")</x:f>
      </x:c>
      <x:c r="CS42" s="137" t="str">
        <x:f>IF(AND(CS$4&gt;=$C42,CS$4&lt;=$D42,'Вводные'!$B$91="Да"),"■","")</x:f>
      </x:c>
      <x:c r="CT42" s="137" t="str">
        <x:f>IF(AND(CT$4&gt;=$C42,CT$4&lt;=$D42,'Вводные'!$B$91="Да"),"■","")</x:f>
      </x:c>
      <x:c r="CU42" s="137" t="str">
        <x:f>IF(AND(CU$4&gt;=$C42,CU$4&lt;=$D42,'Вводные'!$B$91="Да"),"■","")</x:f>
      </x:c>
      <x:c r="CV42" s="137" t="str">
        <x:f>IF(AND(CV$4&gt;=$C42,CV$4&lt;=$D42,'Вводные'!$B$91="Да"),"■","")</x:f>
      </x:c>
      <x:c r="CW42" s="137" t="str">
        <x:f>IF(AND(CW$4&gt;=$C42,CW$4&lt;=$D42,'Вводные'!$B$91="Да"),"■","")</x:f>
      </x:c>
      <x:c r="CX42" s="137" t="str">
        <x:f>IF(AND(CX$4&gt;=$C42,CX$4&lt;=$D42,'Вводные'!$B$91="Да"),"■","")</x:f>
      </x:c>
      <x:c r="CY42" s="137" t="str">
        <x:f>IF(AND(CY$4&gt;=$C42,CY$4&lt;=$D42,'Вводные'!$B$91="Да"),"■","")</x:f>
      </x:c>
      <x:c r="CZ42" s="137" t="str">
        <x:f>IF(AND(CZ$4&gt;=$C42,CZ$4&lt;=$D42,'Вводные'!$B$91="Да"),"■","")</x:f>
      </x:c>
      <x:c r="DA42" s="137" t="str">
        <x:f>IF(AND(DA$4&gt;=$C42,DA$4&lt;=$D42,'Вводные'!$B$91="Да"),"■","")</x:f>
      </x:c>
      <x:c r="DB42" s="137" t="str">
        <x:f>IF(AND(DB$4&gt;=$C42,DB$4&lt;=$D42,'Вводные'!$B$91="Да"),"■","")</x:f>
      </x:c>
      <x:c r="DC42" s="137" t="str">
        <x:f>IF(AND(DC$4&gt;=$C42,DC$4&lt;=$D42,'Вводные'!$B$91="Да"),"■","")</x:f>
      </x:c>
      <x:c r="DD42" s="137" t="str">
        <x:f>IF(AND(DD$4&gt;=$C42,DD$4&lt;=$D42,'Вводные'!$B$91="Да"),"■","")</x:f>
      </x:c>
      <x:c r="DE42" s="137" t="str">
        <x:f>IF(AND(DE$4&gt;=$C42,DE$4&lt;=$D42,'Вводные'!$B$91="Да"),"■","")</x:f>
      </x:c>
      <x:c r="DF42" s="137" t="str">
        <x:f>IF(AND(DF$4&gt;=$C42,DF$4&lt;=$D42,'Вводные'!$B$91="Да"),"■","")</x:f>
      </x:c>
      <x:c r="DG42" s="137" t="str">
        <x:f>IF(AND(DG$4&gt;=$C42,DG$4&lt;=$D42,'Вводные'!$B$91="Да"),"■","")</x:f>
      </x:c>
      <x:c r="DH42" s="137" t="str">
        <x:f>IF(AND(DH$4&gt;=$C42,DH$4&lt;=$D42,'Вводные'!$B$91="Да"),"■","")</x:f>
      </x:c>
      <x:c r="DI42" s="137" t="str">
        <x:f>IF(AND(DI$4&gt;=$C42,DI$4&lt;=$D42,'Вводные'!$B$91="Да"),"■","")</x:f>
      </x:c>
      <x:c r="DJ42" s="137" t="str">
        <x:f>IF(AND(DJ$4&gt;=$C42,DJ$4&lt;=$D42,'Вводные'!$B$91="Да"),"■","")</x:f>
      </x:c>
      <x:c r="DK42" s="137" t="str">
        <x:f>IF(AND(DK$4&gt;=$C42,DK$4&lt;=$D42,'Вводные'!$B$91="Да"),"■","")</x:f>
      </x:c>
      <x:c r="DL42" s="137" t="str">
        <x:f>IF(AND(DL$4&gt;=$C42,DL$4&lt;=$D42,'Вводные'!$B$91="Да"),"■","")</x:f>
      </x:c>
      <x:c r="DM42" s="137" t="str">
        <x:f>IF(AND(DM$4&gt;=$C42,DM$4&lt;=$D42,'Вводные'!$B$91="Да"),"■","")</x:f>
      </x:c>
      <x:c r="DN42" s="137" t="str">
        <x:f>IF(AND(DN$4&gt;=$C42,DN$4&lt;=$D42,'Вводные'!$B$91="Да"),"■","")</x:f>
      </x:c>
      <x:c r="DO42" s="137" t="str">
        <x:f>IF(AND(DO$4&gt;=$C42,DO$4&lt;=$D42,'Вводные'!$B$91="Да"),"■","")</x:f>
      </x:c>
      <x:c r="DP42" s="137" t="str">
        <x:f>IF(AND(DP$4&gt;=$C42,DP$4&lt;=$D42,'Вводные'!$B$91="Да"),"■","")</x:f>
      </x:c>
      <x:c r="DQ42" s="137" t="str">
        <x:f>IF(AND(DQ$4&gt;=$C42,DQ$4&lt;=$D42,'Вводные'!$B$91="Да"),"■","")</x:f>
      </x:c>
      <x:c r="DR42" s="137" t="str">
        <x:f>IF(AND(DR$4&gt;=$C42,DR$4&lt;=$D42,'Вводные'!$B$91="Да"),"■","")</x:f>
      </x:c>
      <x:c r="DS42" s="137" t="str">
        <x:f>IF(AND(DS$4&gt;=$C42,DS$4&lt;=$D42,'Вводные'!$B$91="Да"),"■","")</x:f>
      </x:c>
      <x:c r="DT42" s="137" t="str">
        <x:f>IF(AND(DT$4&gt;=$C42,DT$4&lt;=$D42,'Вводные'!$B$91="Да"),"■","")</x:f>
      </x:c>
      <x:c r="DU42" s="137" t="str">
        <x:f>IF(AND(DU$4&gt;=$C42,DU$4&lt;=$D42,'Вводные'!$B$91="Да"),"■","")</x:f>
      </x:c>
      <x:c r="DV42" s="137" t="str">
        <x:f>IF(AND(DV$4&gt;=$C42,DV$4&lt;=$D42,'Вводные'!$B$91="Да"),"■","")</x:f>
      </x:c>
      <x:c r="DW42" s="137" t="str">
        <x:f>IF(AND(DW$4&gt;=$C42,DW$4&lt;=$D42,'Вводные'!$B$91="Да"),"■","")</x:f>
      </x:c>
      <x:c r="DX42" s="137" t="str">
        <x:f>IF(AND(DX$4&gt;=$C42,DX$4&lt;=$D42,'Вводные'!$B$91="Да"),"■","")</x:f>
      </x:c>
      <x:c r="DY42" s="137" t="str">
        <x:f>IF(AND(DY$4&gt;=$C42,DY$4&lt;=$D42,'Вводные'!$B$91="Да"),"■","")</x:f>
      </x:c>
      <x:c r="DZ42" s="137" t="str">
        <x:f>IF(AND(DZ$4&gt;=$C42,DZ$4&lt;=$D42,'Вводные'!$B$91="Да"),"■","")</x:f>
      </x:c>
      <x:c r="EA42" s="137" t="str">
        <x:f>IF(AND(EA$4&gt;=$C42,EA$4&lt;=$D42,'Вводные'!$B$91="Да"),"■","")</x:f>
      </x:c>
      <x:c r="EB42" s="137" t="str">
        <x:f>IF(AND(EB$4&gt;=$C42,EB$4&lt;=$D42,'Вводные'!$B$91="Да"),"■","")</x:f>
      </x:c>
      <x:c r="EC42" s="137" t="str">
        <x:f>IF(AND(EC$4&gt;=$C42,EC$4&lt;=$D42,'Вводные'!$B$91="Да"),"■","")</x:f>
      </x:c>
      <x:c r="ED42" s="137" t="str">
        <x:f>IF(AND(ED$4&gt;=$C42,ED$4&lt;=$D42,'Вводные'!$B$91="Да"),"■","")</x:f>
      </x:c>
      <x:c r="EE42" s="137" t="str">
        <x:f>IF(AND(EE$4&gt;=$C42,EE$4&lt;=$D42,'Вводные'!$B$91="Да"),"■","")</x:f>
      </x:c>
      <x:c r="EF42" s="137" t="str">
        <x:f>IF(AND(EF$4&gt;=$C42,EF$4&lt;=$D42,'Вводные'!$B$91="Да"),"■","")</x:f>
      </x:c>
      <x:c r="EG42" s="137" t="str">
        <x:f>IF(AND(EG$4&gt;=$C42,EG$4&lt;=$D42,'Вводные'!$B$91="Да"),"■","")</x:f>
      </x:c>
      <x:c r="EH42" s="137" t="str">
        <x:f>IF(AND(EH$4&gt;=$C42,EH$4&lt;=$D42,'Вводные'!$B$91="Да"),"■","")</x:f>
      </x:c>
      <x:c r="EI42" s="137" t="str">
        <x:f>IF(AND(EI$4&gt;=$C42,EI$4&lt;=$D42,'Вводные'!$B$91="Да"),"■","")</x:f>
      </x:c>
      <x:c r="EJ42" s="137" t="str">
        <x:f>IF(AND(EJ$4&gt;=$C42,EJ$4&lt;=$D42,'Вводные'!$B$91="Да"),"■","")</x:f>
      </x:c>
      <x:c r="EK42" s="137" t="str">
        <x:f>IF(AND(EK$4&gt;=$C42,EK$4&lt;=$D42,'Вводные'!$B$91="Да"),"■","")</x:f>
      </x:c>
      <x:c r="EL42" s="137" t="str">
        <x:f>IF(AND(EL$4&gt;=$C42,EL$4&lt;=$D42,'Вводные'!$B$91="Да"),"■","")</x:f>
      </x:c>
      <x:c r="EM42" s="137" t="str">
        <x:f>IF(AND(EM$4&gt;=$C42,EM$4&lt;=$D42,'Вводные'!$B$91="Да"),"■","")</x:f>
      </x:c>
      <x:c r="EN42" s="137" t="str">
        <x:f>IF(AND(EN$4&gt;=$C42,EN$4&lt;=$D42,'Вводные'!$B$91="Да"),"■","")</x:f>
      </x:c>
      <x:c r="EO42" s="137" t="str">
        <x:f>IF(AND(EO$4&gt;=$C42,EO$4&lt;=$D42,'Вводные'!$B$91="Да"),"■","")</x:f>
      </x:c>
      <x:c r="EP42" s="137" t="str">
        <x:f>IF(AND(EP$4&gt;=$C42,EP$4&lt;=$D42,'Вводные'!$B$91="Да"),"■","")</x:f>
      </x:c>
      <x:c r="EQ42" s="137" t="str">
        <x:f>IF(AND(EQ$4&gt;=$C42,EQ$4&lt;=$D42,'Вводные'!$B$91="Да"),"■","")</x:f>
      </x:c>
      <x:c r="ER42" s="137" t="str">
        <x:f>IF(AND(ER$4&gt;=$C42,ER$4&lt;=$D42,'Вводные'!$B$91="Да"),"■","")</x:f>
      </x:c>
      <x:c r="ES42" s="137" t="str">
        <x:f>IF(AND(ES$4&gt;=$C42,ES$4&lt;=$D42,'Вводные'!$B$91="Да"),"■","")</x:f>
      </x:c>
      <x:c r="ET42" s="137" t="str">
        <x:f>IF(AND(ET$4&gt;=$C42,ET$4&lt;=$D42,'Вводные'!$B$91="Да"),"■","")</x:f>
      </x:c>
      <x:c r="EU42" s="137" t="str">
        <x:f>IF(AND(EU$4&gt;=$C42,EU$4&lt;=$D42,'Вводные'!$B$91="Да"),"■","")</x:f>
      </x:c>
      <x:c r="EV42" s="137" t="str">
        <x:f>IF(AND(EV$4&gt;=$C42,EV$4&lt;=$D42,'Вводные'!$B$91="Да"),"■","")</x:f>
      </x:c>
      <x:c r="EW42" s="137" t="str">
        <x:f>IF(AND(EW$4&gt;=$C42,EW$4&lt;=$D42,'Вводные'!$B$91="Да"),"■","")</x:f>
      </x:c>
      <x:c r="EX42" s="137" t="str">
        <x:f>IF(AND(EX$4&gt;=$C42,EX$4&lt;=$D42,'Вводные'!$B$91="Да"),"■","")</x:f>
      </x:c>
      <x:c r="EY42" s="137" t="str">
        <x:f>IF(AND(EY$4&gt;=$C42,EY$4&lt;=$D42,'Вводные'!$B$91="Да"),"■","")</x:f>
      </x:c>
      <x:c r="EZ42" s="137" t="str">
        <x:f>IF(AND(EZ$4&gt;=$C42,EZ$4&lt;=$D42,'Вводные'!$B$91="Да"),"■","")</x:f>
      </x:c>
      <x:c r="FA42" s="137" t="str">
        <x:f>IF(AND(FA$4&gt;=$C42,FA$4&lt;=$D42,'Вводные'!$B$91="Да"),"■","")</x:f>
      </x:c>
      <x:c r="FB42" s="137" t="str">
        <x:f>IF(AND(FB$4&gt;=$C42,FB$4&lt;=$D42,'Вводные'!$B$91="Да"),"■","")</x:f>
      </x:c>
      <x:c r="FC42" s="137" t="str">
        <x:f>IF(AND(FC$4&gt;=$C42,FC$4&lt;=$D42,'Вводные'!$B$91="Да"),"■","")</x:f>
      </x:c>
      <x:c r="FD42" s="137" t="str">
        <x:f>IF(AND(FD$4&gt;=$C42,FD$4&lt;=$D42,'Вводные'!$B$91="Да"),"■","")</x:f>
      </x:c>
      <x:c r="FE42" s="137" t="str">
        <x:f>IF(AND(FE$4&gt;=$C42,FE$4&lt;=$D42,'Вводные'!$B$91="Да"),"■","")</x:f>
      </x:c>
      <x:c r="FF42" s="137" t="str">
        <x:f>IF(AND(FF$4&gt;=$C42,FF$4&lt;=$D42,'Вводные'!$B$91="Да"),"■","")</x:f>
      </x:c>
      <x:c r="FG42" s="137" t="str">
        <x:f>IF(AND(FG$4&gt;=$C42,FG$4&lt;=$D42,'Вводные'!$B$91="Да"),"■","")</x:f>
      </x:c>
      <x:c r="FH42" s="137" t="str">
        <x:f>IF(AND(FH$4&gt;=$C42,FH$4&lt;=$D42,'Вводные'!$B$91="Да"),"■","")</x:f>
      </x:c>
      <x:c r="FI42" s="137" t="str">
        <x:f>IF(AND(FI$4&gt;=$C42,FI$4&lt;=$D42,'Вводные'!$B$91="Да"),"■","")</x:f>
      </x:c>
      <x:c r="FJ42" s="137" t="str">
        <x:f>IF(AND(FJ$4&gt;=$C42,FJ$4&lt;=$D42,'Вводные'!$B$91="Да"),"■","")</x:f>
      </x:c>
      <x:c r="FK42" s="137" t="str">
        <x:f>IF(AND(FK$4&gt;=$C42,FK$4&lt;=$D42,'Вводные'!$B$91="Да"),"■","")</x:f>
      </x:c>
      <x:c r="FL42" s="137" t="str">
        <x:f>IF(AND(FL$4&gt;=$C42,FL$4&lt;=$D42,'Вводные'!$B$91="Да"),"■","")</x:f>
      </x:c>
      <x:c r="FM42" s="137" t="str">
        <x:f>IF(AND(FM$4&gt;=$C42,FM$4&lt;=$D42,'Вводные'!$B$91="Да"),"■","")</x:f>
      </x:c>
      <x:c r="FN42" s="137" t="str">
        <x:f>IF(AND(FN$4&gt;=$C42,FN$4&lt;=$D42,'Вводные'!$B$91="Да"),"■","")</x:f>
      </x:c>
      <x:c r="FO42" s="137" t="str">
        <x:f>IF(AND(FO$4&gt;=$C42,FO$4&lt;=$D42,'Вводные'!$B$91="Да"),"■","")</x:f>
      </x:c>
      <x:c r="FP42" s="137" t="str">
        <x:f>IF(AND(FP$4&gt;=$C42,FP$4&lt;=$D42,'Вводные'!$B$91="Да"),"■","")</x:f>
      </x:c>
      <x:c r="FQ42" s="137" t="str">
        <x:f>IF(AND(FQ$4&gt;=$C42,FQ$4&lt;=$D42,'Вводные'!$B$91="Да"),"■","")</x:f>
      </x:c>
      <x:c r="FR42" s="137" t="str">
        <x:f>IF(AND(FR$4&gt;=$C42,FR$4&lt;=$D42,'Вводные'!$B$91="Да"),"■","")</x:f>
      </x:c>
      <x:c r="FS42" s="137" t="str">
        <x:f>IF(AND(FS$4&gt;=$C42,FS$4&lt;=$D42,'Вводные'!$B$91="Да"),"■","")</x:f>
      </x:c>
      <x:c r="FT42" s="137" t="str">
        <x:f>IF(AND(FT$4&gt;=$C42,FT$4&lt;=$D42,'Вводные'!$B$91="Да"),"■","")</x:f>
      </x:c>
      <x:c r="FU42" s="137" t="str">
        <x:f>IF(AND(FU$4&gt;=$C42,FU$4&lt;=$D42,'Вводные'!$B$91="Да"),"■","")</x:f>
      </x:c>
      <x:c r="FV42" s="137" t="str">
        <x:f>IF(AND(FV$4&gt;=$C42,FV$4&lt;=$D42,'Вводные'!$B$91="Да"),"■","")</x:f>
      </x:c>
      <x:c r="FW42" s="137" t="str">
        <x:f>IF(AND(FW$4&gt;=$C42,FW$4&lt;=$D42,'Вводные'!$B$91="Да"),"■","")</x:f>
      </x:c>
      <x:c r="FX42" s="137" t="str">
        <x:f>IF(AND(FX$4&gt;=$C42,FX$4&lt;=$D42,'Вводные'!$B$91="Да"),"■","")</x:f>
      </x:c>
      <x:c r="FY42" s="137" t="str">
        <x:f>IF(AND(FY$4&gt;=$C42,FY$4&lt;=$D42,'Вводные'!$B$91="Да"),"■","")</x:f>
      </x:c>
      <x:c r="FZ42" s="137" t="str">
        <x:f>IF(AND(FZ$4&gt;=$C42,FZ$4&lt;=$D42,'Вводные'!$B$91="Да"),"■","")</x:f>
      </x:c>
      <x:c r="GA42" s="137" t="str">
        <x:f>IF(AND(GA$4&gt;=$C42,GA$4&lt;=$D42,'Вводные'!$B$91="Да"),"■","")</x:f>
      </x:c>
      <x:c r="GB42" s="137" t="str">
        <x:f>IF(AND(GB$4&gt;=$C42,GB$4&lt;=$D42,'Вводные'!$B$91="Да"),"■","")</x:f>
      </x:c>
    </x:row>
  </x:sheetData>
  <x:mergeCells>
    <x:mergeCell ref="A1:G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5" hidden="0" customWidth="1"/>
    <x:col min="3" max="3" width="12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  <x:col min="45" max="45" width="11" hidden="0" customWidth="1"/>
    <x:col min="46" max="46" width="11" hidden="0" customWidth="1"/>
    <x:col min="47" max="47" width="11" hidden="0" customWidth="1"/>
    <x:col min="48" max="48" width="11" hidden="0" customWidth="1"/>
    <x:col min="49" max="49" width="11" hidden="0" customWidth="1"/>
    <x:col min="50" max="50" width="11" hidden="0" customWidth="1"/>
    <x:col min="51" max="51" width="11" hidden="0" customWidth="1"/>
    <x:col min="52" max="52" width="11" hidden="0" customWidth="1"/>
    <x:col min="53" max="53" width="11" hidden="0" customWidth="1"/>
    <x:col min="54" max="54" width="11" hidden="0" customWidth="1"/>
    <x:col min="55" max="55" width="11" hidden="0" customWidth="1"/>
    <x:col min="56" max="56" width="11" hidden="0" customWidth="1"/>
    <x:col min="57" max="57" width="11" hidden="0" customWidth="1"/>
    <x:col min="58" max="58" width="11" hidden="0" customWidth="1"/>
    <x:col min="59" max="59" width="11" hidden="0" customWidth="1"/>
    <x:col min="60" max="60" width="11" hidden="0" customWidth="1"/>
    <x:col min="61" max="61" width="11" hidden="0" customWidth="1"/>
    <x:col min="62" max="62" width="11" hidden="0" customWidth="1"/>
    <x:col min="63" max="63" width="11" hidden="0" customWidth="1"/>
    <x:col min="64" max="64" width="11" hidden="0" customWidth="1"/>
    <x:col min="65" max="65" width="11" hidden="0" customWidth="1"/>
    <x:col min="66" max="66" width="11" hidden="0" customWidth="1"/>
    <x:col min="67" max="67" width="11" hidden="0" customWidth="1"/>
    <x:col min="68" max="68" width="11" hidden="0" customWidth="1"/>
    <x:col min="69" max="69" width="11" hidden="0" customWidth="1"/>
    <x:col min="70" max="70" width="11" hidden="0" customWidth="1"/>
    <x:col min="71" max="71" width="11" hidden="0" customWidth="1"/>
    <x:col min="72" max="72" width="11" hidden="0" customWidth="1"/>
    <x:col min="73" max="73" width="11" hidden="0" customWidth="1"/>
    <x:col min="74" max="74" width="11" hidden="0" customWidth="1"/>
    <x:col min="75" max="75" width="11" hidden="0" customWidth="1"/>
    <x:col min="76" max="76" width="11" hidden="0" customWidth="1"/>
    <x:col min="77" max="77" width="11" hidden="0" customWidth="1"/>
    <x:col min="78" max="78" width="11" hidden="0" customWidth="1"/>
    <x:col min="79" max="79" width="11" hidden="0" customWidth="1"/>
    <x:col min="80" max="80" width="11" hidden="0" customWidth="1"/>
    <x:col min="81" max="81" width="11" hidden="0" customWidth="1"/>
    <x:col min="82" max="82" width="11" hidden="0" customWidth="1"/>
    <x:col min="83" max="83" width="11" hidden="0" customWidth="1"/>
    <x:col min="84" max="84" width="11" hidden="0" customWidth="1"/>
    <x:col min="85" max="85" width="11" hidden="0" customWidth="1"/>
    <x:col min="86" max="86" width="11" hidden="0" customWidth="1"/>
    <x:col min="87" max="87" width="11" hidden="0" customWidth="1"/>
    <x:col min="88" max="88" width="11" hidden="0" customWidth="1"/>
    <x:col min="89" max="89" width="11" hidden="0" customWidth="1"/>
    <x:col min="90" max="90" width="11" hidden="0" customWidth="1"/>
    <x:col min="91" max="91" width="11" hidden="0" customWidth="1"/>
    <x:col min="92" max="92" width="11" hidden="0" customWidth="1"/>
    <x:col min="93" max="93" width="11" hidden="0" customWidth="1"/>
    <x:col min="94" max="94" width="11" hidden="0" customWidth="1"/>
    <x:col min="95" max="95" width="11" hidden="0" customWidth="1"/>
    <x:col min="96" max="96" width="11" hidden="0" customWidth="1"/>
    <x:col min="97" max="97" width="11" hidden="0" customWidth="1"/>
    <x:col min="98" max="98" width="11" hidden="0" customWidth="1"/>
    <x:col min="99" max="99" width="11" hidden="0" customWidth="1"/>
    <x:col min="100" max="100" width="11" hidden="0" customWidth="1"/>
    <x:col min="101" max="101" width="11" hidden="0" customWidth="1"/>
    <x:col min="102" max="102" width="11" hidden="0" customWidth="1"/>
    <x:col min="103" max="103" width="11" hidden="0" customWidth="1"/>
    <x:col min="104" max="104" width="11" hidden="0" customWidth="1"/>
    <x:col min="105" max="105" width="11" hidden="0" customWidth="1"/>
    <x:col min="106" max="106" width="11" hidden="0" customWidth="1"/>
    <x:col min="107" max="107" width="11" hidden="0" customWidth="1"/>
    <x:col min="108" max="108" width="11" hidden="0" customWidth="1"/>
    <x:col min="109" max="109" width="11" hidden="0" customWidth="1"/>
    <x:col min="110" max="110" width="11" hidden="0" customWidth="1"/>
    <x:col min="111" max="111" width="11" hidden="0" customWidth="1"/>
    <x:col min="112" max="112" width="11" hidden="0" customWidth="1"/>
    <x:col min="113" max="113" width="11" hidden="0" customWidth="1"/>
    <x:col min="114" max="114" width="11" hidden="0" customWidth="1"/>
    <x:col min="115" max="115" width="11" hidden="0" customWidth="1"/>
    <x:col min="116" max="116" width="11" hidden="0" customWidth="1"/>
    <x:col min="117" max="117" width="11" hidden="0" customWidth="1"/>
    <x:col min="118" max="118" width="11" hidden="0" customWidth="1"/>
    <x:col min="119" max="119" width="11" hidden="0" customWidth="1"/>
    <x:col min="120" max="120" width="11" hidden="0" customWidth="1"/>
    <x:col min="121" max="121" width="11" hidden="0" customWidth="1"/>
    <x:col min="122" max="122" width="11" hidden="0" customWidth="1"/>
    <x:col min="123" max="123" width="11" hidden="0" customWidth="1"/>
    <x:col min="124" max="124" width="11" hidden="0" customWidth="1"/>
    <x:col min="125" max="125" width="11" hidden="0" customWidth="1"/>
    <x:col min="126" max="126" width="11" hidden="0" customWidth="1"/>
    <x:col min="127" max="127" width="11" hidden="0" customWidth="1"/>
    <x:col min="128" max="128" width="11" hidden="0" customWidth="1"/>
    <x:col min="129" max="129" width="11" hidden="0" customWidth="1"/>
    <x:col min="130" max="130" width="11" hidden="0" customWidth="1"/>
    <x:col min="131" max="131" width="11" hidden="0" customWidth="1"/>
    <x:col min="132" max="132" width="11" hidden="0" customWidth="1"/>
    <x:col min="133" max="133" width="11" hidden="0" customWidth="1"/>
    <x:col min="134" max="134" width="11" hidden="0" customWidth="1"/>
    <x:col min="135" max="135" width="11" hidden="0" customWidth="1"/>
    <x:col min="136" max="136" width="11" hidden="0" customWidth="1"/>
    <x:col min="137" max="137" width="11" hidden="0" customWidth="1"/>
    <x:col min="138" max="138" width="11" hidden="0" customWidth="1"/>
    <x:col min="139" max="139" width="11" hidden="0" customWidth="1"/>
    <x:col min="140" max="140" width="11" hidden="0" customWidth="1"/>
    <x:col min="141" max="141" width="11" hidden="0" customWidth="1"/>
    <x:col min="142" max="142" width="11" hidden="0" customWidth="1"/>
    <x:col min="143" max="143" width="11" hidden="0" customWidth="1"/>
    <x:col min="144" max="144" width="11" hidden="0" customWidth="1"/>
    <x:col min="145" max="145" width="11" hidden="0" customWidth="1"/>
    <x:col min="146" max="146" width="11" hidden="0" customWidth="1"/>
    <x:col min="147" max="147" width="11" hidden="0" customWidth="1"/>
    <x:col min="148" max="148" width="11" hidden="0" customWidth="1"/>
    <x:col min="149" max="149" width="11" hidden="0" customWidth="1"/>
    <x:col min="150" max="150" width="11" hidden="0" customWidth="1"/>
    <x:col min="151" max="151" width="11" hidden="0" customWidth="1"/>
    <x:col min="152" max="152" width="11" hidden="0" customWidth="1"/>
    <x:col min="153" max="153" width="11" hidden="0" customWidth="1"/>
    <x:col min="154" max="154" width="11" hidden="0" customWidth="1"/>
    <x:col min="155" max="155" width="11" hidden="0" customWidth="1"/>
    <x:col min="156" max="156" width="11" hidden="0" customWidth="1"/>
    <x:col min="157" max="157" width="11" hidden="0" customWidth="1"/>
    <x:col min="158" max="158" width="11" hidden="0" customWidth="1"/>
    <x:col min="159" max="159" width="11" hidden="0" customWidth="1"/>
    <x:col min="160" max="160" width="11" hidden="0" customWidth="1"/>
    <x:col min="161" max="161" width="11" hidden="0" customWidth="1"/>
    <x:col min="162" max="162" width="11" hidden="0" customWidth="1"/>
    <x:col min="163" max="163" width="11" hidden="0" customWidth="1"/>
    <x:col min="164" max="164" width="11" hidden="0" customWidth="1"/>
    <x:col min="165" max="165" width="11" hidden="0" customWidth="1"/>
    <x:col min="166" max="166" width="11" hidden="0" customWidth="1"/>
    <x:col min="167" max="167" width="11" hidden="0" customWidth="1"/>
    <x:col min="168" max="168" width="11" hidden="0" customWidth="1"/>
    <x:col min="169" max="169" width="11" hidden="0" customWidth="1"/>
    <x:col min="170" max="170" width="11" hidden="0" customWidth="1"/>
    <x:col min="171" max="171" width="11" hidden="0" customWidth="1"/>
    <x:col min="172" max="172" width="11" hidden="0" customWidth="1"/>
    <x:col min="173" max="173" width="11" hidden="0" customWidth="1"/>
    <x:col min="174" max="174" width="11" hidden="0" customWidth="1"/>
    <x:col min="175" max="175" width="11" hidden="0" customWidth="1"/>
    <x:col min="176" max="176" width="11" hidden="0" customWidth="1"/>
    <x:col min="177" max="177" width="11" hidden="0" customWidth="1"/>
    <x:col min="178" max="178" width="11" hidden="0" customWidth="1"/>
    <x:col min="179" max="179" width="11" hidden="0" customWidth="1"/>
    <x:col min="180" max="180" width="11" hidden="0" customWidth="1"/>
    <x:col min="181" max="181" width="11" hidden="0" customWidth="1"/>
    <x:col min="182" max="182" width="11" hidden="0" customWidth="1"/>
    <x:col min="183" max="183" width="11" hidden="0" customWidth="1"/>
  </x:cols>
  <x:sheetData>
    <x:row r="1" ht="28" customHeight="1">
      <x:c r="A1" s="4" t="str">
        <x:v>СТАВКИ ФИНАНСИРОВАНИЯ · ПОМЕСЯЧНО</x:v>
      </x:c>
      <x:c r="B1" s="4" t="str">
        <x:v>СТАВКИ ФИНАНСИРОВАНИЯ · ПОМЕСЯЧНО</x:v>
      </x:c>
      <x:c r="C1" s="4" t="str">
        <x:v>СТАВКИ ФИНАНСИРОВАНИЯ · ПОМЕСЯЧНО</x:v>
      </x:c>
      <x:c r="D1" s="4" t="str">
        <x:v>СТАВКИ ФИНАНСИРОВАНИЯ · ПОМЕСЯЧНО</x:v>
      </x:c>
      <x:c r="E1" s="4" t="str">
        <x:v>СТАВКИ ФИНАНСИРОВАНИЯ · ПОМЕСЯЧНО</x:v>
      </x:c>
      <x:c r="F1" s="4" t="str">
        <x:v>СТАВКИ ФИНАНСИРОВАНИЯ · ПОМЕСЯЧНО</x:v>
      </x:c>
      <x:c r="G1" s="4" t="str">
        <x:v>СТАВКИ ФИНАНСИРОВАНИЯ · ПОМЕСЯЧНО</x:v>
      </x:c>
      <x:c r="H1" s="4" t="str">
        <x:v>СТАВКИ ФИНАНСИРОВАНИЯ · ПОМЕСЯЧНО</x:v>
      </x:c>
      <x:c r="I1" s="4" t="str">
        <x:v>СТАВКИ ФИНАНСИРОВАНИЯ · ПОМЕСЯЧНО</x:v>
      </x:c>
      <x:c r="J1" s="4" t="str">
        <x:v>СТАВКИ ФИНАНСИРОВАНИЯ · ПОМЕСЯЧНО</x:v>
      </x:c>
      <x:c r="K1" s="4" t="str">
        <x:v>СТАВКИ ФИНАНСИРОВАНИЯ · ПОМЕСЯЧНО</x:v>
      </x:c>
      <x:c r="L1" s="4" t="str">
        <x:v>СТАВКИ ФИНАНСИРОВАНИЯ · ПОМЕСЯЧНО</x:v>
      </x:c>
      <x:c r="M1" s="4" t="str">
        <x:v>СТАВКИ ФИНАНСИРОВАНИЯ · ПОМЕСЯЧНО</x:v>
      </x:c>
      <x:c r="N1" s="4" t="str">
        <x:v>СТАВКИ ФИНАНСИРОВАНИЯ · ПОМЕСЯЧНО</x:v>
      </x:c>
      <x:c r="O1" s="4" t="str">
        <x:v>СТАВКИ ФИНАНСИРОВАНИЯ · ПОМЕСЯЧНО</x:v>
      </x:c>
      <x:c r="P1" s="4" t="str">
        <x:v>СТАВКИ ФИНАНСИРОВАНИЯ · ПОМЕСЯЧНО</x:v>
      </x:c>
      <x:c r="Q1" s="4" t="str">
        <x:v>СТАВКИ ФИНАНСИРОВАНИЯ · ПОМЕСЯЧНО</x:v>
      </x:c>
      <x:c r="R1" s="4" t="str">
        <x:v>СТАВКИ ФИНАНСИРОВАНИЯ · ПОМЕСЯЧНО</x:v>
      </x:c>
      <x:c r="S1" s="4" t="str">
        <x:v>СТАВКИ ФИНАНСИРОВАНИЯ · ПОМЕСЯЧНО</x:v>
      </x:c>
      <x:c r="T1" s="4" t="str">
        <x:v>СТАВКИ ФИНАНСИРОВАНИЯ · ПОМЕСЯЧНО</x:v>
      </x:c>
      <x:c r="U1" s="4" t="str">
        <x:v>СТАВКИ ФИНАНСИРОВАНИЯ · ПОМЕСЯЧНО</x:v>
      </x:c>
      <x:c r="V1" s="4" t="str">
        <x:v>СТАВКИ ФИНАНСИРОВАНИЯ · ПОМЕСЯЧНО</x:v>
      </x:c>
      <x:c r="W1" s="4" t="str">
        <x:v>СТАВКИ ФИНАНСИРОВАНИЯ · ПОМЕСЯЧНО</x:v>
      </x:c>
      <x:c r="X1" s="4" t="str">
        <x:v>СТАВКИ ФИНАНСИРОВАНИЯ · ПОМЕСЯЧНО</x:v>
      </x:c>
      <x:c r="Y1" s="4" t="str">
        <x:v>СТАВКИ ФИНАНСИРОВАНИЯ · ПОМЕСЯЧНО</x:v>
      </x:c>
      <x:c r="Z1" s="4" t="str">
        <x:v>СТАВКИ ФИНАНСИРОВАНИЯ · ПОМЕСЯЧНО</x:v>
      </x:c>
      <x:c r="AA1" s="4" t="str">
        <x:v>СТАВКИ ФИНАНСИРОВАНИЯ · ПОМЕСЯЧНО</x:v>
      </x:c>
      <x:c r="AB1" s="4" t="str">
        <x:v>СТАВКИ ФИНАНСИРОВАНИЯ · ПОМЕСЯЧНО</x:v>
      </x:c>
      <x:c r="AC1" s="4" t="str">
        <x:v>СТАВКИ ФИНАНСИРОВАНИЯ · ПОМЕСЯЧНО</x:v>
      </x:c>
      <x:c r="AD1" s="4" t="str">
        <x:v>СТАВКИ ФИНАНСИРОВАНИЯ · ПОМЕСЯЧНО</x:v>
      </x:c>
      <x:c r="AE1" s="4" t="str">
        <x:v>СТАВКИ ФИНАНСИРОВАНИЯ · ПОМЕСЯЧНО</x:v>
      </x:c>
      <x:c r="AF1" s="4" t="str">
        <x:v>СТАВКИ ФИНАНСИРОВАНИЯ · ПОМЕСЯЧНО</x:v>
      </x:c>
      <x:c r="AG1" s="4" t="str">
        <x:v>СТАВКИ ФИНАНСИРОВАНИЯ · ПОМЕСЯЧНО</x:v>
      </x:c>
      <x:c r="AH1" s="4" t="str">
        <x:v>СТАВКИ ФИНАНСИРОВАНИЯ · ПОМЕСЯЧНО</x:v>
      </x:c>
      <x:c r="AI1" s="4" t="str">
        <x:v>СТАВКИ ФИНАНСИРОВАНИЯ · ПОМЕСЯЧНО</x:v>
      </x:c>
      <x:c r="AJ1" s="4" t="str">
        <x:v>СТАВКИ ФИНАНСИРОВАНИЯ · ПОМЕСЯЧНО</x:v>
      </x:c>
      <x:c r="AK1" s="4" t="str">
        <x:v>СТАВКИ ФИНАНСИРОВАНИЯ · ПОМЕСЯЧНО</x:v>
      </x:c>
      <x:c r="AL1" s="4" t="str">
        <x:v>СТАВКИ ФИНАНСИРОВАНИЯ · ПОМЕСЯЧНО</x:v>
      </x:c>
      <x:c r="AM1" s="4" t="str">
        <x:v>СТАВКИ ФИНАНСИРОВАНИЯ · ПОМЕСЯЧНО</x:v>
      </x:c>
      <x:c r="AN1" s="4" t="str">
        <x:v>СТАВКИ ФИНАНСИРОВАНИЯ · ПОМЕСЯЧНО</x:v>
      </x:c>
      <x:c r="AO1" s="4" t="str">
        <x:v>СТАВКИ ФИНАНСИРОВАНИЯ · ПОМЕСЯЧНО</x:v>
      </x:c>
      <x:c r="AP1" s="4" t="str">
        <x:v>СТАВКИ ФИНАНСИРОВАНИЯ · ПОМЕСЯЧНО</x:v>
      </x:c>
      <x:c r="AQ1" s="4" t="str">
        <x:v>СТАВКИ ФИНАНСИРОВАНИЯ · ПОМЕСЯЧНО</x:v>
      </x:c>
      <x:c r="AR1" s="4" t="str">
        <x:v>СТАВКИ ФИНАНСИРОВАНИЯ · ПОМЕСЯЧНО</x:v>
      </x:c>
      <x:c r="AS1" s="4" t="str">
        <x:v>СТАВКИ ФИНАНСИРОВАНИЯ · ПОМЕСЯЧНО</x:v>
      </x:c>
      <x:c r="AT1" s="4" t="str">
        <x:v>СТАВКИ ФИНАНСИРОВАНИЯ · ПОМЕСЯЧНО</x:v>
      </x:c>
      <x:c r="AU1" s="4" t="str">
        <x:v>СТАВКИ ФИНАНСИРОВАНИЯ · ПОМЕСЯЧНО</x:v>
      </x:c>
      <x:c r="AV1" s="4" t="str">
        <x:v>СТАВКИ ФИНАНСИРОВАНИЯ · ПОМЕСЯЧНО</x:v>
      </x:c>
      <x:c r="AW1" s="4" t="str">
        <x:v>СТАВКИ ФИНАНСИРОВАНИЯ · ПОМЕСЯЧНО</x:v>
      </x:c>
      <x:c r="AX1" s="4" t="str">
        <x:v>СТАВКИ ФИНАНСИРОВАНИЯ · ПОМЕСЯЧНО</x:v>
      </x:c>
      <x:c r="AY1" s="4" t="str">
        <x:v>СТАВКИ ФИНАНСИРОВАНИЯ · ПОМЕСЯЧНО</x:v>
      </x:c>
      <x:c r="AZ1" s="4" t="str">
        <x:v>СТАВКИ ФИНАНСИРОВАНИЯ · ПОМЕСЯЧНО</x:v>
      </x:c>
      <x:c r="BA1" s="4" t="str">
        <x:v>СТАВКИ ФИНАНСИРОВАНИЯ · ПОМЕСЯЧНО</x:v>
      </x:c>
      <x:c r="BB1" s="4" t="str">
        <x:v>СТАВКИ ФИНАНСИРОВАНИЯ · ПОМЕСЯЧНО</x:v>
      </x:c>
      <x:c r="BC1" s="4" t="str">
        <x:v>СТАВКИ ФИНАНСИРОВАНИЯ · ПОМЕСЯЧНО</x:v>
      </x:c>
      <x:c r="BD1" s="4" t="str">
        <x:v>СТАВКИ ФИНАНСИРОВАНИЯ · ПОМЕСЯЧНО</x:v>
      </x:c>
      <x:c r="BE1" s="4" t="str">
        <x:v>СТАВКИ ФИНАНСИРОВАНИЯ · ПОМЕСЯЧНО</x:v>
      </x:c>
      <x:c r="BF1" s="4" t="str">
        <x:v>СТАВКИ ФИНАНСИРОВАНИЯ · ПОМЕСЯЧНО</x:v>
      </x:c>
      <x:c r="BG1" s="4" t="str">
        <x:v>СТАВКИ ФИНАНСИРОВАНИЯ · ПОМЕСЯЧНО</x:v>
      </x:c>
      <x:c r="BH1" s="4" t="str">
        <x:v>СТАВКИ ФИНАНСИРОВАНИЯ · ПОМЕСЯЧНО</x:v>
      </x:c>
      <x:c r="BI1" s="4" t="str">
        <x:v>СТАВКИ ФИНАНСИРОВАНИЯ · ПОМЕСЯЧНО</x:v>
      </x:c>
      <x:c r="BJ1" s="4" t="str">
        <x:v>СТАВКИ ФИНАНСИРОВАНИЯ · ПОМЕСЯЧНО</x:v>
      </x:c>
      <x:c r="BK1" s="4" t="str">
        <x:v>СТАВКИ ФИНАНСИРОВАНИЯ · ПОМЕСЯЧНО</x:v>
      </x:c>
      <x:c r="BL1" s="4" t="str">
        <x:v>СТАВКИ ФИНАНСИРОВАНИЯ · ПОМЕСЯЧНО</x:v>
      </x:c>
      <x:c r="BM1" s="4" t="str">
        <x:v>СТАВКИ ФИНАНСИРОВАНИЯ · ПОМЕСЯЧНО</x:v>
      </x:c>
      <x:c r="BN1" s="4" t="str">
        <x:v>СТАВКИ ФИНАНСИРОВАНИЯ · ПОМЕСЯЧНО</x:v>
      </x:c>
      <x:c r="BO1" s="4" t="str">
        <x:v>СТАВКИ ФИНАНСИРОВАНИЯ · ПОМЕСЯЧНО</x:v>
      </x:c>
      <x:c r="BP1" s="4" t="str">
        <x:v>СТАВКИ ФИНАНСИРОВАНИЯ · ПОМЕСЯЧНО</x:v>
      </x:c>
      <x:c r="BQ1" s="4" t="str">
        <x:v>СТАВКИ ФИНАНСИРОВАНИЯ · ПОМЕСЯЧНО</x:v>
      </x:c>
      <x:c r="BR1" s="4" t="str">
        <x:v>СТАВКИ ФИНАНСИРОВАНИЯ · ПОМЕСЯЧНО</x:v>
      </x:c>
      <x:c r="BS1" s="4" t="str">
        <x:v>СТАВКИ ФИНАНСИРОВАНИЯ · ПОМЕСЯЧНО</x:v>
      </x:c>
      <x:c r="BT1" s="4" t="str">
        <x:v>СТАВКИ ФИНАНСИРОВАНИЯ · ПОМЕСЯЧНО</x:v>
      </x:c>
      <x:c r="BU1" s="4" t="str">
        <x:v>СТАВКИ ФИНАНСИРОВАНИЯ · ПОМЕСЯЧНО</x:v>
      </x:c>
      <x:c r="BV1" s="4" t="str">
        <x:v>СТАВКИ ФИНАНСИРОВАНИЯ · ПОМЕСЯЧНО</x:v>
      </x:c>
      <x:c r="BW1" s="4" t="str">
        <x:v>СТАВКИ ФИНАНСИРОВАНИЯ · ПОМЕСЯЧНО</x:v>
      </x:c>
      <x:c r="BX1" s="4" t="str">
        <x:v>СТАВКИ ФИНАНСИРОВАНИЯ · ПОМЕСЯЧНО</x:v>
      </x:c>
      <x:c r="BY1" s="4" t="str">
        <x:v>СТАВКИ ФИНАНСИРОВАНИЯ · ПОМЕСЯЧНО</x:v>
      </x:c>
      <x:c r="BZ1" s="4" t="str">
        <x:v>СТАВКИ ФИНАНСИРОВАНИЯ · ПОМЕСЯЧНО</x:v>
      </x:c>
      <x:c r="CA1" s="4" t="str">
        <x:v>СТАВКИ ФИНАНСИРОВАНИЯ · ПОМЕСЯЧНО</x:v>
      </x:c>
      <x:c r="CB1" s="4" t="str">
        <x:v>СТАВКИ ФИНАНСИРОВАНИЯ · ПОМЕСЯЧНО</x:v>
      </x:c>
      <x:c r="CC1" s="4" t="str">
        <x:v>СТАВКИ ФИНАНСИРОВАНИЯ · ПОМЕСЯЧНО</x:v>
      </x:c>
      <x:c r="CD1" s="4" t="str">
        <x:v>СТАВКИ ФИНАНСИРОВАНИЯ · ПОМЕСЯЧНО</x:v>
      </x:c>
      <x:c r="CE1" s="4" t="str">
        <x:v>СТАВКИ ФИНАНСИРОВАНИЯ · ПОМЕСЯЧНО</x:v>
      </x:c>
      <x:c r="CF1" s="4" t="str">
        <x:v>СТАВКИ ФИНАНСИРОВАНИЯ · ПОМЕСЯЧНО</x:v>
      </x:c>
      <x:c r="CG1" s="4" t="str">
        <x:v>СТАВКИ ФИНАНСИРОВАНИЯ · ПОМЕСЯЧНО</x:v>
      </x:c>
      <x:c r="CH1" s="4" t="str">
        <x:v>СТАВКИ ФИНАНСИРОВАНИЯ · ПОМЕСЯЧНО</x:v>
      </x:c>
      <x:c r="CI1" s="4" t="str">
        <x:v>СТАВКИ ФИНАНСИРОВАНИЯ · ПОМЕСЯЧНО</x:v>
      </x:c>
      <x:c r="CJ1" s="4" t="str">
        <x:v>СТАВКИ ФИНАНСИРОВАНИЯ · ПОМЕСЯЧНО</x:v>
      </x:c>
      <x:c r="CK1" s="4" t="str">
        <x:v>СТАВКИ ФИНАНСИРОВАНИЯ · ПОМЕСЯЧНО</x:v>
      </x:c>
      <x:c r="CL1" s="4" t="str">
        <x:v>СТАВКИ ФИНАНСИРОВАНИЯ · ПОМЕСЯЧНО</x:v>
      </x:c>
      <x:c r="CM1" s="4" t="str">
        <x:v>СТАВКИ ФИНАНСИРОВАНИЯ · ПОМЕСЯЧНО</x:v>
      </x:c>
      <x:c r="CN1" s="4" t="str">
        <x:v>СТАВКИ ФИНАНСИРОВАНИЯ · ПОМЕСЯЧНО</x:v>
      </x:c>
      <x:c r="CO1" s="4" t="str">
        <x:v>СТАВКИ ФИНАНСИРОВАНИЯ · ПОМЕСЯЧНО</x:v>
      </x:c>
      <x:c r="CP1" s="4" t="str">
        <x:v>СТАВКИ ФИНАНСИРОВАНИЯ · ПОМЕСЯЧНО</x:v>
      </x:c>
      <x:c r="CQ1" s="4" t="str">
        <x:v>СТАВКИ ФИНАНСИРОВАНИЯ · ПОМЕСЯЧНО</x:v>
      </x:c>
      <x:c r="CR1" s="4" t="str">
        <x:v>СТАВКИ ФИНАНСИРОВАНИЯ · ПОМЕСЯЧНО</x:v>
      </x:c>
      <x:c r="CS1" s="4" t="str">
        <x:v>СТАВКИ ФИНАНСИРОВАНИЯ · ПОМЕСЯЧНО</x:v>
      </x:c>
      <x:c r="CT1" s="4" t="str">
        <x:v>СТАВКИ ФИНАНСИРОВАНИЯ · ПОМЕСЯЧНО</x:v>
      </x:c>
      <x:c r="CU1" s="4" t="str">
        <x:v>СТАВКИ ФИНАНСИРОВАНИЯ · ПОМЕСЯЧНО</x:v>
      </x:c>
      <x:c r="CV1" s="4" t="str">
        <x:v>СТАВКИ ФИНАНСИРОВАНИЯ · ПОМЕСЯЧНО</x:v>
      </x:c>
      <x:c r="CW1" s="4" t="str">
        <x:v>СТАВКИ ФИНАНСИРОВАНИЯ · ПОМЕСЯЧНО</x:v>
      </x:c>
      <x:c r="CX1" s="4" t="str">
        <x:v>СТАВКИ ФИНАНСИРОВАНИЯ · ПОМЕСЯЧНО</x:v>
      </x:c>
      <x:c r="CY1" s="4" t="str">
        <x:v>СТАВКИ ФИНАНСИРОВАНИЯ · ПОМЕСЯЧНО</x:v>
      </x:c>
      <x:c r="CZ1" s="4" t="str">
        <x:v>СТАВКИ ФИНАНСИРОВАНИЯ · ПОМЕСЯЧНО</x:v>
      </x:c>
      <x:c r="DA1" s="4" t="str">
        <x:v>СТАВКИ ФИНАНСИРОВАНИЯ · ПОМЕСЯЧНО</x:v>
      </x:c>
      <x:c r="DB1" s="4" t="str">
        <x:v>СТАВКИ ФИНАНСИРОВАНИЯ · ПОМЕСЯЧНО</x:v>
      </x:c>
      <x:c r="DC1" s="4" t="str">
        <x:v>СТАВКИ ФИНАНСИРОВАНИЯ · ПОМЕСЯЧНО</x:v>
      </x:c>
      <x:c r="DD1" s="4" t="str">
        <x:v>СТАВКИ ФИНАНСИРОВАНИЯ · ПОМЕСЯЧНО</x:v>
      </x:c>
      <x:c r="DE1" s="4" t="str">
        <x:v>СТАВКИ ФИНАНСИРОВАНИЯ · ПОМЕСЯЧНО</x:v>
      </x:c>
      <x:c r="DF1" s="4" t="str">
        <x:v>СТАВКИ ФИНАНСИРОВАНИЯ · ПОМЕСЯЧНО</x:v>
      </x:c>
      <x:c r="DG1" s="4" t="str">
        <x:v>СТАВКИ ФИНАНСИРОВАНИЯ · ПОМЕСЯЧНО</x:v>
      </x:c>
      <x:c r="DH1" s="4" t="str">
        <x:v>СТАВКИ ФИНАНСИРОВАНИЯ · ПОМЕСЯЧНО</x:v>
      </x:c>
      <x:c r="DI1" s="4" t="str">
        <x:v>СТАВКИ ФИНАНСИРОВАНИЯ · ПОМЕСЯЧНО</x:v>
      </x:c>
      <x:c r="DJ1" s="4" t="str">
        <x:v>СТАВКИ ФИНАНСИРОВАНИЯ · ПОМЕСЯЧНО</x:v>
      </x:c>
      <x:c r="DK1" s="4" t="str">
        <x:v>СТАВКИ ФИНАНСИРОВАНИЯ · ПОМЕСЯЧНО</x:v>
      </x:c>
      <x:c r="DL1" s="4" t="str">
        <x:v>СТАВКИ ФИНАНСИРОВАНИЯ · ПОМЕСЯЧНО</x:v>
      </x:c>
      <x:c r="DM1" s="4" t="str">
        <x:v>СТАВКИ ФИНАНСИРОВАНИЯ · ПОМЕСЯЧНО</x:v>
      </x:c>
      <x:c r="DN1" s="4" t="str">
        <x:v>СТАВКИ ФИНАНСИРОВАНИЯ · ПОМЕСЯЧНО</x:v>
      </x:c>
      <x:c r="DO1" s="4" t="str">
        <x:v>СТАВКИ ФИНАНСИРОВАНИЯ · ПОМЕСЯЧНО</x:v>
      </x:c>
      <x:c r="DP1" s="4" t="str">
        <x:v>СТАВКИ ФИНАНСИРОВАНИЯ · ПОМЕСЯЧНО</x:v>
      </x:c>
      <x:c r="DQ1" s="4" t="str">
        <x:v>СТАВКИ ФИНАНСИРОВАНИЯ · ПОМЕСЯЧНО</x:v>
      </x:c>
      <x:c r="DR1" s="4" t="str">
        <x:v>СТАВКИ ФИНАНСИРОВАНИЯ · ПОМЕСЯЧНО</x:v>
      </x:c>
      <x:c r="DS1" s="4" t="str">
        <x:v>СТАВКИ ФИНАНСИРОВАНИЯ · ПОМЕСЯЧНО</x:v>
      </x:c>
      <x:c r="DT1" s="4" t="str"/>
      <x:c r="DU1" s="4" t="str"/>
      <x:c r="DV1" s="4" t="str"/>
      <x:c r="DW1" s="4" t="str"/>
      <x:c r="DX1" s="4" t="str"/>
      <x:c r="DY1" s="4" t="str"/>
      <x:c r="DZ1" s="4" t="str"/>
      <x:c r="EA1" s="4" t="str"/>
      <x:c r="EB1" s="4" t="str"/>
      <x:c r="EC1" s="4" t="str"/>
      <x:c r="ED1" s="4" t="str"/>
      <x:c r="EE1" s="4" t="str"/>
      <x:c r="EF1" s="4" t="str"/>
      <x:c r="EG1" s="4" t="str"/>
      <x:c r="EH1" s="4" t="str"/>
      <x:c r="EI1" s="4" t="str"/>
      <x:c r="EJ1" s="4" t="str"/>
      <x:c r="EK1" s="4" t="str"/>
      <x:c r="EL1" s="4" t="str"/>
      <x:c r="EM1" s="4" t="str"/>
      <x:c r="EN1" s="4" t="str"/>
      <x:c r="EO1" s="4" t="str"/>
      <x:c r="EP1" s="4" t="str"/>
      <x:c r="EQ1" s="4" t="str"/>
      <x:c r="ER1" s="4" t="str"/>
      <x:c r="ES1" s="4" t="str"/>
      <x:c r="ET1" s="4" t="str"/>
      <x:c r="EU1" s="4" t="str"/>
      <x:c r="EV1" s="4" t="str"/>
      <x:c r="EW1" s="4" t="str"/>
      <x:c r="EX1" s="4" t="str"/>
      <x:c r="EY1" s="4" t="str"/>
      <x:c r="EZ1" s="4" t="str"/>
      <x:c r="FA1" s="4" t="str"/>
      <x:c r="FB1" s="4" t="str"/>
      <x:c r="FC1" s="4" t="str"/>
      <x:c r="FD1" s="4" t="str"/>
      <x:c r="FE1" s="4" t="str"/>
      <x:c r="FF1" s="4" t="str"/>
      <x:c r="FG1" s="4" t="str"/>
      <x:c r="FH1" s="4" t="str"/>
      <x:c r="FI1" s="4" t="str"/>
      <x:c r="FJ1" s="4" t="str"/>
      <x:c r="FK1" s="4" t="str"/>
      <x:c r="FL1" s="4" t="str"/>
      <x:c r="FM1" s="4" t="str"/>
      <x:c r="FN1" s="4" t="str"/>
      <x:c r="FO1" s="4" t="str"/>
      <x:c r="FP1" s="4" t="str"/>
      <x:c r="FQ1" s="4" t="str"/>
      <x:c r="FR1" s="4" t="str"/>
      <x:c r="FS1" s="4" t="str"/>
      <x:c r="FT1" s="4" t="str"/>
      <x:c r="FU1" s="4" t="str"/>
      <x:c r="FV1" s="4" t="str"/>
      <x:c r="FW1" s="4" t="str"/>
      <x:c r="FX1" s="4" t="str"/>
      <x:c r="FY1" s="4" t="str"/>
      <x:c r="FZ1" s="4" t="str"/>
      <x:c r="GA1" s="4" t="str"/>
    </x:row>
    <x:row r="3">
      <x:c r="A3" s="23" t="str">
        <x:v>Показатель</x:v>
      </x:c>
      <x:c r="B3" s="23" t="str">
        <x:v>Ед.</x:v>
      </x:c>
      <x:c r="C3" s="23" t="str">
        <x:v>Итого / справочно</x:v>
      </x:c>
      <x:c r="D3" s="96" t="n">
        <x:f>'Вводные'!$B$8</x:f>
      </x:c>
      <x:c r="E3" s="96" t="n">
        <x:f>EDATE(D3,1)</x:f>
      </x:c>
      <x:c r="F3" s="96" t="n">
        <x:f>EDATE(E3,1)</x:f>
      </x:c>
      <x:c r="G3" s="96" t="n">
        <x:f>EDATE(F3,1)</x:f>
      </x:c>
      <x:c r="H3" s="96" t="n">
        <x:f>EDATE(G3,1)</x:f>
      </x:c>
      <x:c r="I3" s="96" t="n">
        <x:f>EDATE(H3,1)</x:f>
      </x:c>
      <x:c r="J3" s="96" t="n">
        <x:f>EDATE(I3,1)</x:f>
      </x:c>
      <x:c r="K3" s="96" t="n">
        <x:f>EDATE(J3,1)</x:f>
      </x:c>
      <x:c r="L3" s="96" t="n">
        <x:f>EDATE(K3,1)</x:f>
      </x:c>
      <x:c r="M3" s="96" t="n">
        <x:f>EDATE(L3,1)</x:f>
      </x:c>
      <x:c r="N3" s="96" t="n">
        <x:f>EDATE(M3,1)</x:f>
      </x:c>
      <x:c r="O3" s="96" t="n">
        <x:f>EDATE(N3,1)</x:f>
      </x:c>
      <x:c r="P3" s="96" t="n">
        <x:f>EDATE(O3,1)</x:f>
      </x:c>
      <x:c r="Q3" s="96" t="n">
        <x:f>EDATE(P3,1)</x:f>
      </x:c>
      <x:c r="R3" s="96" t="n">
        <x:f>EDATE(Q3,1)</x:f>
      </x:c>
      <x:c r="S3" s="96" t="n">
        <x:f>EDATE(R3,1)</x:f>
      </x:c>
      <x:c r="T3" s="96" t="n">
        <x:f>EDATE(S3,1)</x:f>
      </x:c>
      <x:c r="U3" s="96" t="n">
        <x:f>EDATE(T3,1)</x:f>
      </x:c>
      <x:c r="V3" s="96" t="n">
        <x:f>EDATE(U3,1)</x:f>
      </x:c>
      <x:c r="W3" s="96" t="n">
        <x:f>EDATE(V3,1)</x:f>
      </x:c>
      <x:c r="X3" s="96" t="n">
        <x:f>EDATE(W3,1)</x:f>
      </x:c>
      <x:c r="Y3" s="96" t="n">
        <x:f>EDATE(X3,1)</x:f>
      </x:c>
      <x:c r="Z3" s="96" t="n">
        <x:f>EDATE(Y3,1)</x:f>
      </x:c>
      <x:c r="AA3" s="96" t="n">
        <x:f>EDATE(Z3,1)</x:f>
      </x:c>
      <x:c r="AB3" s="96" t="n">
        <x:f>EDATE(AA3,1)</x:f>
      </x:c>
      <x:c r="AC3" s="96" t="n">
        <x:f>EDATE(AB3,1)</x:f>
      </x:c>
      <x:c r="AD3" s="96" t="n">
        <x:f>EDATE(AC3,1)</x:f>
      </x:c>
      <x:c r="AE3" s="96" t="n">
        <x:f>EDATE(AD3,1)</x:f>
      </x:c>
      <x:c r="AF3" s="96" t="n">
        <x:f>EDATE(AE3,1)</x:f>
      </x:c>
      <x:c r="AG3" s="96" t="n">
        <x:f>EDATE(AF3,1)</x:f>
      </x:c>
      <x:c r="AH3" s="96" t="n">
        <x:f>EDATE(AG3,1)</x:f>
      </x:c>
      <x:c r="AI3" s="96" t="n">
        <x:f>EDATE(AH3,1)</x:f>
      </x:c>
      <x:c r="AJ3" s="96" t="n">
        <x:f>EDATE(AI3,1)</x:f>
      </x:c>
      <x:c r="AK3" s="96" t="n">
        <x:f>EDATE(AJ3,1)</x:f>
      </x:c>
      <x:c r="AL3" s="96" t="n">
        <x:f>EDATE(AK3,1)</x:f>
      </x:c>
      <x:c r="AM3" s="96" t="n">
        <x:f>EDATE(AL3,1)</x:f>
      </x:c>
      <x:c r="AN3" s="96" t="n">
        <x:f>EDATE(AM3,1)</x:f>
      </x:c>
      <x:c r="AO3" s="96" t="n">
        <x:f>EDATE(AN3,1)</x:f>
      </x:c>
      <x:c r="AP3" s="96" t="n">
        <x:f>EDATE(AO3,1)</x:f>
      </x:c>
      <x:c r="AQ3" s="96" t="n">
        <x:f>EDATE(AP3,1)</x:f>
      </x:c>
      <x:c r="AR3" s="96" t="n">
        <x:f>EDATE(AQ3,1)</x:f>
      </x:c>
      <x:c r="AS3" s="96" t="n">
        <x:f>EDATE(AR3,1)</x:f>
      </x:c>
      <x:c r="AT3" s="96" t="n">
        <x:f>EDATE(AS3,1)</x:f>
      </x:c>
      <x:c r="AU3" s="96" t="n">
        <x:f>EDATE(AT3,1)</x:f>
      </x:c>
      <x:c r="AV3" s="96" t="n">
        <x:f>EDATE(AU3,1)</x:f>
      </x:c>
      <x:c r="AW3" s="96" t="n">
        <x:f>EDATE(AV3,1)</x:f>
      </x:c>
      <x:c r="AX3" s="96" t="n">
        <x:f>EDATE(AW3,1)</x:f>
      </x:c>
      <x:c r="AY3" s="96" t="n">
        <x:f>EDATE(AX3,1)</x:f>
      </x:c>
      <x:c r="AZ3" s="96" t="n">
        <x:f>EDATE(AY3,1)</x:f>
      </x:c>
      <x:c r="BA3" s="96" t="n">
        <x:f>EDATE(AZ3,1)</x:f>
      </x:c>
      <x:c r="BB3" s="96" t="n">
        <x:f>EDATE(BA3,1)</x:f>
      </x:c>
      <x:c r="BC3" s="96" t="n">
        <x:f>EDATE(BB3,1)</x:f>
      </x:c>
      <x:c r="BD3" s="96" t="n">
        <x:f>EDATE(BC3,1)</x:f>
      </x:c>
      <x:c r="BE3" s="96" t="n">
        <x:f>EDATE(BD3,1)</x:f>
      </x:c>
      <x:c r="BF3" s="96" t="n">
        <x:f>EDATE(BE3,1)</x:f>
      </x:c>
      <x:c r="BG3" s="96" t="n">
        <x:f>EDATE(BF3,1)</x:f>
      </x:c>
      <x:c r="BH3" s="96" t="n">
        <x:f>EDATE(BG3,1)</x:f>
      </x:c>
      <x:c r="BI3" s="96" t="n">
        <x:f>EDATE(BH3,1)</x:f>
      </x:c>
      <x:c r="BJ3" s="96" t="n">
        <x:f>EDATE(BI3,1)</x:f>
      </x:c>
      <x:c r="BK3" s="96" t="n">
        <x:f>EDATE(BJ3,1)</x:f>
      </x:c>
      <x:c r="BL3" s="96" t="n">
        <x:f>EDATE(BK3,1)</x:f>
      </x:c>
      <x:c r="BM3" s="96" t="n">
        <x:f>EDATE(BL3,1)</x:f>
      </x:c>
      <x:c r="BN3" s="96" t="n">
        <x:f>EDATE(BM3,1)</x:f>
      </x:c>
      <x:c r="BO3" s="96" t="n">
        <x:f>EDATE(BN3,1)</x:f>
      </x:c>
      <x:c r="BP3" s="96" t="n">
        <x:f>EDATE(BO3,1)</x:f>
      </x:c>
      <x:c r="BQ3" s="96" t="n">
        <x:f>EDATE(BP3,1)</x:f>
      </x:c>
      <x:c r="BR3" s="96" t="n">
        <x:f>EDATE(BQ3,1)</x:f>
      </x:c>
      <x:c r="BS3" s="96" t="n">
        <x:f>EDATE(BR3,1)</x:f>
      </x:c>
      <x:c r="BT3" s="96" t="n">
        <x:f>EDATE(BS3,1)</x:f>
      </x:c>
      <x:c r="BU3" s="96" t="n">
        <x:f>EDATE(BT3,1)</x:f>
      </x:c>
      <x:c r="BV3" s="96" t="n">
        <x:f>EDATE(BU3,1)</x:f>
      </x:c>
      <x:c r="BW3" s="96" t="n">
        <x:f>EDATE(BV3,1)</x:f>
      </x:c>
      <x:c r="BX3" s="96" t="n">
        <x:f>EDATE(BW3,1)</x:f>
      </x:c>
      <x:c r="BY3" s="96" t="n">
        <x:f>EDATE(BX3,1)</x:f>
      </x:c>
      <x:c r="BZ3" s="96" t="n">
        <x:f>EDATE(BY3,1)</x:f>
      </x:c>
      <x:c r="CA3" s="96" t="n">
        <x:f>EDATE(BZ3,1)</x:f>
      </x:c>
      <x:c r="CB3" s="96" t="n">
        <x:f>EDATE(CA3,1)</x:f>
      </x:c>
      <x:c r="CC3" s="96" t="n">
        <x:f>EDATE(CB3,1)</x:f>
      </x:c>
      <x:c r="CD3" s="96" t="n">
        <x:f>EDATE(CC3,1)</x:f>
      </x:c>
      <x:c r="CE3" s="96" t="n">
        <x:f>EDATE(CD3,1)</x:f>
      </x:c>
      <x:c r="CF3" s="96" t="n">
        <x:f>EDATE(CE3,1)</x:f>
      </x:c>
      <x:c r="CG3" s="96" t="n">
        <x:f>EDATE(CF3,1)</x:f>
      </x:c>
      <x:c r="CH3" s="96" t="n">
        <x:f>EDATE(CG3,1)</x:f>
      </x:c>
      <x:c r="CI3" s="96" t="n">
        <x:f>EDATE(CH3,1)</x:f>
      </x:c>
      <x:c r="CJ3" s="96" t="n">
        <x:f>EDATE(CI3,1)</x:f>
      </x:c>
      <x:c r="CK3" s="96" t="n">
        <x:f>EDATE(CJ3,1)</x:f>
      </x:c>
      <x:c r="CL3" s="96" t="n">
        <x:f>EDATE(CK3,1)</x:f>
      </x:c>
      <x:c r="CM3" s="96" t="n">
        <x:f>EDATE(CL3,1)</x:f>
      </x:c>
      <x:c r="CN3" s="96" t="n">
        <x:f>EDATE(CM3,1)</x:f>
      </x:c>
      <x:c r="CO3" s="96" t="n">
        <x:f>EDATE(CN3,1)</x:f>
      </x:c>
      <x:c r="CP3" s="96" t="n">
        <x:f>EDATE(CO3,1)</x:f>
      </x:c>
      <x:c r="CQ3" s="96" t="n">
        <x:f>EDATE(CP3,1)</x:f>
      </x:c>
      <x:c r="CR3" s="96" t="n">
        <x:f>EDATE(CQ3,1)</x:f>
      </x:c>
      <x:c r="CS3" s="96" t="n">
        <x:f>EDATE(CR3,1)</x:f>
      </x:c>
      <x:c r="CT3" s="96" t="n">
        <x:f>EDATE(CS3,1)</x:f>
      </x:c>
      <x:c r="CU3" s="96" t="n">
        <x:f>EDATE(CT3,1)</x:f>
      </x:c>
      <x:c r="CV3" s="96" t="n">
        <x:f>EDATE(CU3,1)</x:f>
      </x:c>
      <x:c r="CW3" s="96" t="n">
        <x:f>EDATE(CV3,1)</x:f>
      </x:c>
      <x:c r="CX3" s="96" t="n">
        <x:f>EDATE(CW3,1)</x:f>
      </x:c>
      <x:c r="CY3" s="96" t="n">
        <x:f>EDATE(CX3,1)</x:f>
      </x:c>
      <x:c r="CZ3" s="96" t="n">
        <x:f>EDATE(CY3,1)</x:f>
      </x:c>
      <x:c r="DA3" s="96" t="n">
        <x:f>EDATE(CZ3,1)</x:f>
      </x:c>
      <x:c r="DB3" s="96" t="n">
        <x:f>EDATE(DA3,1)</x:f>
      </x:c>
      <x:c r="DC3" s="96" t="n">
        <x:f>EDATE(DB3,1)</x:f>
      </x:c>
      <x:c r="DD3" s="96" t="n">
        <x:f>EDATE(DC3,1)</x:f>
      </x:c>
      <x:c r="DE3" s="96" t="n">
        <x:f>EDATE(DD3,1)</x:f>
      </x:c>
      <x:c r="DF3" s="96" t="n">
        <x:f>EDATE(DE3,1)</x:f>
      </x:c>
      <x:c r="DG3" s="96" t="n">
        <x:f>EDATE(DF3,1)</x:f>
      </x:c>
      <x:c r="DH3" s="96" t="n">
        <x:f>EDATE(DG3,1)</x:f>
      </x:c>
      <x:c r="DI3" s="96" t="n">
        <x:f>EDATE(DH3,1)</x:f>
      </x:c>
      <x:c r="DJ3" s="96" t="n">
        <x:f>EDATE(DI3,1)</x:f>
      </x:c>
      <x:c r="DK3" s="96" t="n">
        <x:f>EDATE(DJ3,1)</x:f>
      </x:c>
      <x:c r="DL3" s="96" t="n">
        <x:f>EDATE(DK3,1)</x:f>
      </x:c>
      <x:c r="DM3" s="96" t="n">
        <x:f>EDATE(DL3,1)</x:f>
      </x:c>
      <x:c r="DN3" s="96" t="n">
        <x:f>EDATE(DM3,1)</x:f>
      </x:c>
      <x:c r="DO3" s="96" t="n">
        <x:f>EDATE(DN3,1)</x:f>
      </x:c>
      <x:c r="DP3" s="96" t="n">
        <x:f>EDATE(DO3,1)</x:f>
      </x:c>
      <x:c r="DQ3" s="96" t="n">
        <x:f>EDATE(DP3,1)</x:f>
      </x:c>
      <x:c r="DR3" s="96" t="n">
        <x:f>EDATE(DQ3,1)</x:f>
      </x:c>
      <x:c r="DS3" s="96" t="n">
        <x:f>EDATE(DR3,1)</x:f>
      </x:c>
      <x:c r="DT3" s="96" t="n">
        <x:f>EDATE(DS3,1)</x:f>
      </x:c>
      <x:c r="DU3" s="96" t="n">
        <x:f>EDATE(DT3,1)</x:f>
      </x:c>
      <x:c r="DV3" s="96" t="n">
        <x:f>EDATE(DU3,1)</x:f>
      </x:c>
      <x:c r="DW3" s="96" t="n">
        <x:f>EDATE(DV3,1)</x:f>
      </x:c>
      <x:c r="DX3" s="96" t="n">
        <x:f>EDATE(DW3,1)</x:f>
      </x:c>
      <x:c r="DY3" s="96" t="n">
        <x:f>EDATE(DX3,1)</x:f>
      </x:c>
      <x:c r="DZ3" s="96" t="n">
        <x:f>EDATE(DY3,1)</x:f>
      </x:c>
      <x:c r="EA3" s="96" t="n">
        <x:f>EDATE(DZ3,1)</x:f>
      </x:c>
      <x:c r="EB3" s="96" t="n">
        <x:f>EDATE(EA3,1)</x:f>
      </x:c>
      <x:c r="EC3" s="96" t="n">
        <x:f>EDATE(EB3,1)</x:f>
      </x:c>
      <x:c r="ED3" s="96" t="n">
        <x:f>EDATE(EC3,1)</x:f>
      </x:c>
      <x:c r="EE3" s="96" t="n">
        <x:f>EDATE(ED3,1)</x:f>
      </x:c>
      <x:c r="EF3" s="96" t="n">
        <x:f>EDATE(EE3,1)</x:f>
      </x:c>
      <x:c r="EG3" s="96" t="n">
        <x:f>EDATE(EF3,1)</x:f>
      </x:c>
      <x:c r="EH3" s="96" t="n">
        <x:f>EDATE(EG3,1)</x:f>
      </x:c>
      <x:c r="EI3" s="96" t="n">
        <x:f>EDATE(EH3,1)</x:f>
      </x:c>
      <x:c r="EJ3" s="96" t="n">
        <x:f>EDATE(EI3,1)</x:f>
      </x:c>
      <x:c r="EK3" s="96" t="n">
        <x:f>EDATE(EJ3,1)</x:f>
      </x:c>
      <x:c r="EL3" s="96" t="n">
        <x:f>EDATE(EK3,1)</x:f>
      </x:c>
      <x:c r="EM3" s="96" t="n">
        <x:f>EDATE(EL3,1)</x:f>
      </x:c>
      <x:c r="EN3" s="96" t="n">
        <x:f>EDATE(EM3,1)</x:f>
      </x:c>
      <x:c r="EO3" s="96" t="n">
        <x:f>EDATE(EN3,1)</x:f>
      </x:c>
      <x:c r="EP3" s="96" t="n">
        <x:f>EDATE(EO3,1)</x:f>
      </x:c>
      <x:c r="EQ3" s="96" t="n">
        <x:f>EDATE(EP3,1)</x:f>
      </x:c>
      <x:c r="ER3" s="96" t="n">
        <x:f>EDATE(EQ3,1)</x:f>
      </x:c>
      <x:c r="ES3" s="96" t="n">
        <x:f>EDATE(ER3,1)</x:f>
      </x:c>
      <x:c r="ET3" s="96" t="n">
        <x:f>EDATE(ES3,1)</x:f>
      </x:c>
      <x:c r="EU3" s="96" t="n">
        <x:f>EDATE(ET3,1)</x:f>
      </x:c>
      <x:c r="EV3" s="96" t="n">
        <x:f>EDATE(EU3,1)</x:f>
      </x:c>
      <x:c r="EW3" s="96" t="n">
        <x:f>EDATE(EV3,1)</x:f>
      </x:c>
      <x:c r="EX3" s="96" t="n">
        <x:f>EDATE(EW3,1)</x:f>
      </x:c>
      <x:c r="EY3" s="96" t="n">
        <x:f>EDATE(EX3,1)</x:f>
      </x:c>
      <x:c r="EZ3" s="96" t="n">
        <x:f>EDATE(EY3,1)</x:f>
      </x:c>
      <x:c r="FA3" s="96" t="n">
        <x:f>EDATE(EZ3,1)</x:f>
      </x:c>
      <x:c r="FB3" s="96" t="n">
        <x:f>EDATE(FA3,1)</x:f>
      </x:c>
      <x:c r="FC3" s="96" t="n">
        <x:f>EDATE(FB3,1)</x:f>
      </x:c>
      <x:c r="FD3" s="96" t="n">
        <x:f>EDATE(FC3,1)</x:f>
      </x:c>
      <x:c r="FE3" s="96" t="n">
        <x:f>EDATE(FD3,1)</x:f>
      </x:c>
      <x:c r="FF3" s="96" t="n">
        <x:f>EDATE(FE3,1)</x:f>
      </x:c>
      <x:c r="FG3" s="96" t="n">
        <x:f>EDATE(FF3,1)</x:f>
      </x:c>
      <x:c r="FH3" s="96" t="n">
        <x:f>EDATE(FG3,1)</x:f>
      </x:c>
      <x:c r="FI3" s="96" t="n">
        <x:f>EDATE(FH3,1)</x:f>
      </x:c>
      <x:c r="FJ3" s="96" t="n">
        <x:f>EDATE(FI3,1)</x:f>
      </x:c>
      <x:c r="FK3" s="96" t="n">
        <x:f>EDATE(FJ3,1)</x:f>
      </x:c>
      <x:c r="FL3" s="96" t="n">
        <x:f>EDATE(FK3,1)</x:f>
      </x:c>
      <x:c r="FM3" s="96" t="n">
        <x:f>EDATE(FL3,1)</x:f>
      </x:c>
      <x:c r="FN3" s="96" t="n">
        <x:f>EDATE(FM3,1)</x:f>
      </x:c>
      <x:c r="FO3" s="96" t="n">
        <x:f>EDATE(FN3,1)</x:f>
      </x:c>
      <x:c r="FP3" s="96" t="n">
        <x:f>EDATE(FO3,1)</x:f>
      </x:c>
      <x:c r="FQ3" s="96" t="n">
        <x:f>EDATE(FP3,1)</x:f>
      </x:c>
      <x:c r="FR3" s="96" t="n">
        <x:f>EDATE(FQ3,1)</x:f>
      </x:c>
      <x:c r="FS3" s="96" t="n">
        <x:f>EDATE(FR3,1)</x:f>
      </x:c>
      <x:c r="FT3" s="96" t="n">
        <x:f>EDATE(FS3,1)</x:f>
      </x:c>
      <x:c r="FU3" s="96" t="n">
        <x:f>EDATE(FT3,1)</x:f>
      </x:c>
      <x:c r="FV3" s="96" t="n">
        <x:f>EDATE(FU3,1)</x:f>
      </x:c>
      <x:c r="FW3" s="96" t="n">
        <x:f>EDATE(FV3,1)</x:f>
      </x:c>
      <x:c r="FX3" s="96" t="n">
        <x:f>EDATE(FW3,1)</x:f>
      </x:c>
      <x:c r="FY3" s="96" t="n">
        <x:f>EDATE(FX3,1)</x:f>
      </x:c>
      <x:c r="FZ3" s="96" t="n">
        <x:f>EDATE(FY3,1)</x:f>
      </x:c>
      <x:c r="GA3" s="96" t="n">
        <x:f>EDATE(FZ3,1)</x:f>
      </x:c>
    </x:row>
    <x:row r="4">
      <x:c r="A4" t="str">
        <x:v>Период</x:v>
      </x:c>
      <x:c r="B4" t="str">
        <x:v>№</x:v>
      </x:c>
      <x:c r="C4"/>
      <x:c r="D4" s="98" t="n">
        <x:v>1</x:v>
      </x:c>
      <x:c r="E4" s="98" t="n">
        <x:v>2</x:v>
      </x:c>
      <x:c r="F4" s="98" t="n">
        <x:v>3</x:v>
      </x:c>
      <x:c r="G4" s="98" t="n">
        <x:v>4</x:v>
      </x:c>
      <x:c r="H4" s="98" t="n">
        <x:v>5</x:v>
      </x:c>
      <x:c r="I4" s="98" t="n">
        <x:v>6</x:v>
      </x:c>
      <x:c r="J4" s="98" t="n">
        <x:v>7</x:v>
      </x:c>
      <x:c r="K4" s="98" t="n">
        <x:v>8</x:v>
      </x:c>
      <x:c r="L4" s="98" t="n">
        <x:v>9</x:v>
      </x:c>
      <x:c r="M4" s="98" t="n">
        <x:v>10</x:v>
      </x:c>
      <x:c r="N4" s="98" t="n">
        <x:v>11</x:v>
      </x:c>
      <x:c r="O4" s="98" t="n">
        <x:v>12</x:v>
      </x:c>
      <x:c r="P4" s="98" t="n">
        <x:v>13</x:v>
      </x:c>
      <x:c r="Q4" s="98" t="n">
        <x:v>14</x:v>
      </x:c>
      <x:c r="R4" s="98" t="n">
        <x:v>15</x:v>
      </x:c>
      <x:c r="S4" s="98" t="n">
        <x:v>16</x:v>
      </x:c>
      <x:c r="T4" s="98" t="n">
        <x:v>17</x:v>
      </x:c>
      <x:c r="U4" s="98" t="n">
        <x:v>18</x:v>
      </x:c>
      <x:c r="V4" s="98" t="n">
        <x:v>19</x:v>
      </x:c>
      <x:c r="W4" s="98" t="n">
        <x:v>20</x:v>
      </x:c>
      <x:c r="X4" s="98" t="n">
        <x:v>21</x:v>
      </x:c>
      <x:c r="Y4" s="98" t="n">
        <x:v>22</x:v>
      </x:c>
      <x:c r="Z4" s="98" t="n">
        <x:v>23</x:v>
      </x:c>
      <x:c r="AA4" s="98" t="n">
        <x:v>24</x:v>
      </x:c>
      <x:c r="AB4" s="98" t="n">
        <x:v>25</x:v>
      </x:c>
      <x:c r="AC4" s="98" t="n">
        <x:v>26</x:v>
      </x:c>
      <x:c r="AD4" s="98" t="n">
        <x:v>27</x:v>
      </x:c>
      <x:c r="AE4" s="98" t="n">
        <x:v>28</x:v>
      </x:c>
      <x:c r="AF4" s="98" t="n">
        <x:v>29</x:v>
      </x:c>
      <x:c r="AG4" s="98" t="n">
        <x:v>30</x:v>
      </x:c>
      <x:c r="AH4" s="98" t="n">
        <x:v>31</x:v>
      </x:c>
      <x:c r="AI4" s="98" t="n">
        <x:v>32</x:v>
      </x:c>
      <x:c r="AJ4" s="98" t="n">
        <x:v>33</x:v>
      </x:c>
      <x:c r="AK4" s="98" t="n">
        <x:v>34</x:v>
      </x:c>
      <x:c r="AL4" s="98" t="n">
        <x:v>35</x:v>
      </x:c>
      <x:c r="AM4" s="98" t="n">
        <x:v>36</x:v>
      </x:c>
      <x:c r="AN4" s="98" t="n">
        <x:v>37</x:v>
      </x:c>
      <x:c r="AO4" s="98" t="n">
        <x:v>38</x:v>
      </x:c>
      <x:c r="AP4" s="98" t="n">
        <x:v>39</x:v>
      </x:c>
      <x:c r="AQ4" s="98" t="n">
        <x:v>40</x:v>
      </x:c>
      <x:c r="AR4" s="98" t="n">
        <x:v>41</x:v>
      </x:c>
      <x:c r="AS4" s="98" t="n">
        <x:v>42</x:v>
      </x:c>
      <x:c r="AT4" s="98" t="n">
        <x:v>43</x:v>
      </x:c>
      <x:c r="AU4" s="98" t="n">
        <x:v>44</x:v>
      </x:c>
      <x:c r="AV4" s="98" t="n">
        <x:v>45</x:v>
      </x:c>
      <x:c r="AW4" s="98" t="n">
        <x:v>46</x:v>
      </x:c>
      <x:c r="AX4" s="98" t="n">
        <x:v>47</x:v>
      </x:c>
      <x:c r="AY4" s="98" t="n">
        <x:v>48</x:v>
      </x:c>
      <x:c r="AZ4" s="98" t="n">
        <x:v>49</x:v>
      </x:c>
      <x:c r="BA4" s="98" t="n">
        <x:v>50</x:v>
      </x:c>
      <x:c r="BB4" s="98" t="n">
        <x:v>51</x:v>
      </x:c>
      <x:c r="BC4" s="98" t="n">
        <x:v>52</x:v>
      </x:c>
      <x:c r="BD4" s="98" t="n">
        <x:v>53</x:v>
      </x:c>
      <x:c r="BE4" s="98" t="n">
        <x:v>54</x:v>
      </x:c>
      <x:c r="BF4" s="98" t="n">
        <x:v>55</x:v>
      </x:c>
      <x:c r="BG4" s="98" t="n">
        <x:v>56</x:v>
      </x:c>
      <x:c r="BH4" s="98" t="n">
        <x:v>57</x:v>
      </x:c>
      <x:c r="BI4" s="98" t="n">
        <x:v>58</x:v>
      </x:c>
      <x:c r="BJ4" s="98" t="n">
        <x:v>59</x:v>
      </x:c>
      <x:c r="BK4" s="98" t="n">
        <x:v>60</x:v>
      </x:c>
      <x:c r="BL4" s="98" t="n">
        <x:v>61</x:v>
      </x:c>
      <x:c r="BM4" s="98" t="n">
        <x:v>62</x:v>
      </x:c>
      <x:c r="BN4" s="98" t="n">
        <x:v>63</x:v>
      </x:c>
      <x:c r="BO4" s="98" t="n">
        <x:v>64</x:v>
      </x:c>
      <x:c r="BP4" s="98" t="n">
        <x:v>65</x:v>
      </x:c>
      <x:c r="BQ4" s="98" t="n">
        <x:v>66</x:v>
      </x:c>
      <x:c r="BR4" s="98" t="n">
        <x:v>67</x:v>
      </x:c>
      <x:c r="BS4" s="98" t="n">
        <x:v>68</x:v>
      </x:c>
      <x:c r="BT4" s="98" t="n">
        <x:v>69</x:v>
      </x:c>
      <x:c r="BU4" s="98" t="n">
        <x:v>70</x:v>
      </x:c>
      <x:c r="BV4" s="98" t="n">
        <x:v>71</x:v>
      </x:c>
      <x:c r="BW4" s="98" t="n">
        <x:v>72</x:v>
      </x:c>
      <x:c r="BX4" s="98" t="n">
        <x:v>73</x:v>
      </x:c>
      <x:c r="BY4" s="98" t="n">
        <x:v>74</x:v>
      </x:c>
      <x:c r="BZ4" s="98" t="n">
        <x:v>75</x:v>
      </x:c>
      <x:c r="CA4" s="98" t="n">
        <x:v>76</x:v>
      </x:c>
      <x:c r="CB4" s="98" t="n">
        <x:v>77</x:v>
      </x:c>
      <x:c r="CC4" s="98" t="n">
        <x:v>78</x:v>
      </x:c>
      <x:c r="CD4" s="98" t="n">
        <x:v>79</x:v>
      </x:c>
      <x:c r="CE4" s="98" t="n">
        <x:v>80</x:v>
      </x:c>
      <x:c r="CF4" s="98" t="n">
        <x:v>81</x:v>
      </x:c>
      <x:c r="CG4" s="98" t="n">
        <x:v>82</x:v>
      </x:c>
      <x:c r="CH4" s="98" t="n">
        <x:v>83</x:v>
      </x:c>
      <x:c r="CI4" s="98" t="n">
        <x:v>84</x:v>
      </x:c>
      <x:c r="CJ4" s="98" t="n">
        <x:v>85</x:v>
      </x:c>
      <x:c r="CK4" s="98" t="n">
        <x:v>86</x:v>
      </x:c>
      <x:c r="CL4" s="98" t="n">
        <x:v>87</x:v>
      </x:c>
      <x:c r="CM4" s="98" t="n">
        <x:v>88</x:v>
      </x:c>
      <x:c r="CN4" s="98" t="n">
        <x:v>89</x:v>
      </x:c>
      <x:c r="CO4" s="98" t="n">
        <x:v>90</x:v>
      </x:c>
      <x:c r="CP4" s="98" t="n">
        <x:v>91</x:v>
      </x:c>
      <x:c r="CQ4" s="98" t="n">
        <x:v>92</x:v>
      </x:c>
      <x:c r="CR4" s="98" t="n">
        <x:v>93</x:v>
      </x:c>
      <x:c r="CS4" s="98" t="n">
        <x:v>94</x:v>
      </x:c>
      <x:c r="CT4" s="98" t="n">
        <x:v>95</x:v>
      </x:c>
      <x:c r="CU4" s="98" t="n">
        <x:v>96</x:v>
      </x:c>
      <x:c r="CV4" s="98" t="n">
        <x:v>97</x:v>
      </x:c>
      <x:c r="CW4" s="98" t="n">
        <x:v>98</x:v>
      </x:c>
      <x:c r="CX4" s="98" t="n">
        <x:v>99</x:v>
      </x:c>
      <x:c r="CY4" s="98" t="n">
        <x:v>100</x:v>
      </x:c>
      <x:c r="CZ4" s="98" t="n">
        <x:v>101</x:v>
      </x:c>
      <x:c r="DA4" s="98" t="n">
        <x:v>102</x:v>
      </x:c>
      <x:c r="DB4" s="98" t="n">
        <x:v>103</x:v>
      </x:c>
      <x:c r="DC4" s="98" t="n">
        <x:v>104</x:v>
      </x:c>
      <x:c r="DD4" s="98" t="n">
        <x:v>105</x:v>
      </x:c>
      <x:c r="DE4" s="98" t="n">
        <x:v>106</x:v>
      </x:c>
      <x:c r="DF4" s="98" t="n">
        <x:v>107</x:v>
      </x:c>
      <x:c r="DG4" s="98" t="n">
        <x:v>108</x:v>
      </x:c>
      <x:c r="DH4" s="98" t="n">
        <x:v>109</x:v>
      </x:c>
      <x:c r="DI4" s="98" t="n">
        <x:v>110</x:v>
      </x:c>
      <x:c r="DJ4" s="98" t="n">
        <x:v>111</x:v>
      </x:c>
      <x:c r="DK4" s="98" t="n">
        <x:v>112</x:v>
      </x:c>
      <x:c r="DL4" s="98" t="n">
        <x:v>113</x:v>
      </x:c>
      <x:c r="DM4" s="98" t="n">
        <x:v>114</x:v>
      </x:c>
      <x:c r="DN4" s="98" t="n">
        <x:v>115</x:v>
      </x:c>
      <x:c r="DO4" s="98" t="n">
        <x:v>116</x:v>
      </x:c>
      <x:c r="DP4" s="98" t="n">
        <x:v>117</x:v>
      </x:c>
      <x:c r="DQ4" s="98" t="n">
        <x:v>118</x:v>
      </x:c>
      <x:c r="DR4" s="98" t="n">
        <x:v>119</x:v>
      </x:c>
      <x:c r="DS4" s="98" t="n">
        <x:v>120</x:v>
      </x:c>
      <x:c r="DT4" s="98" t="n">
        <x:v>121</x:v>
      </x:c>
      <x:c r="DU4" s="98" t="n">
        <x:v>122</x:v>
      </x:c>
      <x:c r="DV4" s="98" t="n">
        <x:v>123</x:v>
      </x:c>
      <x:c r="DW4" s="98" t="n">
        <x:v>124</x:v>
      </x:c>
      <x:c r="DX4" s="98" t="n">
        <x:v>125</x:v>
      </x:c>
      <x:c r="DY4" s="98" t="n">
        <x:v>126</x:v>
      </x:c>
      <x:c r="DZ4" s="98" t="n">
        <x:v>127</x:v>
      </x:c>
      <x:c r="EA4" s="98" t="n">
        <x:v>128</x:v>
      </x:c>
      <x:c r="EB4" s="98" t="n">
        <x:v>129</x:v>
      </x:c>
      <x:c r="EC4" s="98" t="n">
        <x:v>130</x:v>
      </x:c>
      <x:c r="ED4" s="98" t="n">
        <x:v>131</x:v>
      </x:c>
      <x:c r="EE4" s="98" t="n">
        <x:v>132</x:v>
      </x:c>
      <x:c r="EF4" s="98" t="n">
        <x:v>133</x:v>
      </x:c>
      <x:c r="EG4" s="98" t="n">
        <x:v>134</x:v>
      </x:c>
      <x:c r="EH4" s="98" t="n">
        <x:v>135</x:v>
      </x:c>
      <x:c r="EI4" s="98" t="n">
        <x:v>136</x:v>
      </x:c>
      <x:c r="EJ4" s="98" t="n">
        <x:v>137</x:v>
      </x:c>
      <x:c r="EK4" s="98" t="n">
        <x:v>138</x:v>
      </x:c>
      <x:c r="EL4" s="98" t="n">
        <x:v>139</x:v>
      </x:c>
      <x:c r="EM4" s="98" t="n">
        <x:v>140</x:v>
      </x:c>
      <x:c r="EN4" s="98" t="n">
        <x:v>141</x:v>
      </x:c>
      <x:c r="EO4" s="98" t="n">
        <x:v>142</x:v>
      </x:c>
      <x:c r="EP4" s="98" t="n">
        <x:v>143</x:v>
      </x:c>
      <x:c r="EQ4" s="98" t="n">
        <x:v>144</x:v>
      </x:c>
      <x:c r="ER4" s="98" t="n">
        <x:v>145</x:v>
      </x:c>
      <x:c r="ES4" s="98" t="n">
        <x:v>146</x:v>
      </x:c>
      <x:c r="ET4" s="98" t="n">
        <x:v>147</x:v>
      </x:c>
      <x:c r="EU4" s="98" t="n">
        <x:v>148</x:v>
      </x:c>
      <x:c r="EV4" s="98" t="n">
        <x:v>149</x:v>
      </x:c>
      <x:c r="EW4" s="98" t="n">
        <x:v>150</x:v>
      </x:c>
      <x:c r="EX4" s="98" t="n">
        <x:v>151</x:v>
      </x:c>
      <x:c r="EY4" s="98" t="n">
        <x:v>152</x:v>
      </x:c>
      <x:c r="EZ4" s="98" t="n">
        <x:v>153</x:v>
      </x:c>
      <x:c r="FA4" s="98" t="n">
        <x:v>154</x:v>
      </x:c>
      <x:c r="FB4" s="98" t="n">
        <x:v>155</x:v>
      </x:c>
      <x:c r="FC4" s="98" t="n">
        <x:v>156</x:v>
      </x:c>
      <x:c r="FD4" s="98" t="n">
        <x:v>157</x:v>
      </x:c>
      <x:c r="FE4" s="98" t="n">
        <x:v>158</x:v>
      </x:c>
      <x:c r="FF4" s="98" t="n">
        <x:v>159</x:v>
      </x:c>
      <x:c r="FG4" s="98" t="n">
        <x:v>160</x:v>
      </x:c>
      <x:c r="FH4" s="98" t="n">
        <x:v>161</x:v>
      </x:c>
      <x:c r="FI4" s="98" t="n">
        <x:v>162</x:v>
      </x:c>
      <x:c r="FJ4" s="98" t="n">
        <x:v>163</x:v>
      </x:c>
      <x:c r="FK4" s="98" t="n">
        <x:v>164</x:v>
      </x:c>
      <x:c r="FL4" s="98" t="n">
        <x:v>165</x:v>
      </x:c>
      <x:c r="FM4" s="98" t="n">
        <x:v>166</x:v>
      </x:c>
      <x:c r="FN4" s="98" t="n">
        <x:v>167</x:v>
      </x:c>
      <x:c r="FO4" s="98" t="n">
        <x:v>168</x:v>
      </x:c>
      <x:c r="FP4" s="98" t="n">
        <x:v>169</x:v>
      </x:c>
      <x:c r="FQ4" s="98" t="n">
        <x:v>170</x:v>
      </x:c>
      <x:c r="FR4" s="98" t="n">
        <x:v>171</x:v>
      </x:c>
      <x:c r="FS4" s="98" t="n">
        <x:v>172</x:v>
      </x:c>
      <x:c r="FT4" s="98" t="n">
        <x:v>173</x:v>
      </x:c>
      <x:c r="FU4" s="98" t="n">
        <x:v>174</x:v>
      </x:c>
      <x:c r="FV4" s="98" t="n">
        <x:v>175</x:v>
      </x:c>
      <x:c r="FW4" s="98" t="n">
        <x:v>176</x:v>
      </x:c>
      <x:c r="FX4" s="98" t="n">
        <x:v>177</x:v>
      </x:c>
      <x:c r="FY4" s="98" t="n">
        <x:v>178</x:v>
      </x:c>
      <x:c r="FZ4" s="98" t="n">
        <x:v>179</x:v>
      </x:c>
      <x:c r="GA4" s="98" t="n">
        <x:v>180</x:v>
      </x:c>
    </x:row>
    <x:row r="5">
      <x:c r="A5" s="7" t="str">
        <x:v>Ключевая ставка</x:v>
      </x:c>
      <x:c r="B5" t="str">
        <x:v>% год</x:v>
      </x:c>
      <x:c r="C5"/>
      <x:c r="D5" s="100" t="n">
        <x:f>MAX(0,'Вводные'!$B$34,'Вводные'!$B$33-('Вводные'!$B$33-'Вводные'!$B$34)*MIN(1,(D$4-1)/MAX(1,'Вводные'!$B$35)))</x:f>
      </x:c>
      <x:c r="E5" s="100" t="n">
        <x:f>MAX(0,'Вводные'!$B$34,'Вводные'!$B$33-('Вводные'!$B$33-'Вводные'!$B$34)*MIN(1,(E$4-1)/MAX(1,'Вводные'!$B$35)))</x:f>
      </x:c>
      <x:c r="F5" s="100" t="n">
        <x:f>MAX(0,'Вводные'!$B$34,'Вводные'!$B$33-('Вводные'!$B$33-'Вводные'!$B$34)*MIN(1,(F$4-1)/MAX(1,'Вводные'!$B$35)))</x:f>
      </x:c>
      <x:c r="G5" s="100" t="n">
        <x:f>MAX(0,'Вводные'!$B$34,'Вводные'!$B$33-('Вводные'!$B$33-'Вводные'!$B$34)*MIN(1,(G$4-1)/MAX(1,'Вводные'!$B$35)))</x:f>
      </x:c>
      <x:c r="H5" s="100" t="n">
        <x:f>MAX(0,'Вводные'!$B$34,'Вводные'!$B$33-('Вводные'!$B$33-'Вводные'!$B$34)*MIN(1,(H$4-1)/MAX(1,'Вводные'!$B$35)))</x:f>
      </x:c>
      <x:c r="I5" s="100" t="n">
        <x:f>MAX(0,'Вводные'!$B$34,'Вводные'!$B$33-('Вводные'!$B$33-'Вводные'!$B$34)*MIN(1,(I$4-1)/MAX(1,'Вводные'!$B$35)))</x:f>
      </x:c>
      <x:c r="J5" s="100" t="n">
        <x:f>MAX(0,'Вводные'!$B$34,'Вводные'!$B$33-('Вводные'!$B$33-'Вводные'!$B$34)*MIN(1,(J$4-1)/MAX(1,'Вводные'!$B$35)))</x:f>
      </x:c>
      <x:c r="K5" s="100" t="n">
        <x:f>MAX(0,'Вводные'!$B$34,'Вводные'!$B$33-('Вводные'!$B$33-'Вводные'!$B$34)*MIN(1,(K$4-1)/MAX(1,'Вводные'!$B$35)))</x:f>
      </x:c>
      <x:c r="L5" s="100" t="n">
        <x:f>MAX(0,'Вводные'!$B$34,'Вводные'!$B$33-('Вводные'!$B$33-'Вводные'!$B$34)*MIN(1,(L$4-1)/MAX(1,'Вводные'!$B$35)))</x:f>
      </x:c>
      <x:c r="M5" s="100" t="n">
        <x:f>MAX(0,'Вводные'!$B$34,'Вводные'!$B$33-('Вводные'!$B$33-'Вводные'!$B$34)*MIN(1,(M$4-1)/MAX(1,'Вводные'!$B$35)))</x:f>
      </x:c>
      <x:c r="N5" s="100" t="n">
        <x:f>MAX(0,'Вводные'!$B$34,'Вводные'!$B$33-('Вводные'!$B$33-'Вводные'!$B$34)*MIN(1,(N$4-1)/MAX(1,'Вводные'!$B$35)))</x:f>
      </x:c>
      <x:c r="O5" s="100" t="n">
        <x:f>MAX(0,'Вводные'!$B$34,'Вводные'!$B$33-('Вводные'!$B$33-'Вводные'!$B$34)*MIN(1,(O$4-1)/MAX(1,'Вводные'!$B$35)))</x:f>
      </x:c>
      <x:c r="P5" s="100" t="n">
        <x:f>MAX(0,'Вводные'!$B$34,'Вводные'!$B$33-('Вводные'!$B$33-'Вводные'!$B$34)*MIN(1,(P$4-1)/MAX(1,'Вводные'!$B$35)))</x:f>
      </x:c>
      <x:c r="Q5" s="100" t="n">
        <x:f>MAX(0,'Вводные'!$B$34,'Вводные'!$B$33-('Вводные'!$B$33-'Вводные'!$B$34)*MIN(1,(Q$4-1)/MAX(1,'Вводные'!$B$35)))</x:f>
      </x:c>
      <x:c r="R5" s="100" t="n">
        <x:f>MAX(0,'Вводные'!$B$34,'Вводные'!$B$33-('Вводные'!$B$33-'Вводные'!$B$34)*MIN(1,(R$4-1)/MAX(1,'Вводные'!$B$35)))</x:f>
      </x:c>
      <x:c r="S5" s="100" t="n">
        <x:f>MAX(0,'Вводные'!$B$34,'Вводные'!$B$33-('Вводные'!$B$33-'Вводные'!$B$34)*MIN(1,(S$4-1)/MAX(1,'Вводные'!$B$35)))</x:f>
      </x:c>
      <x:c r="T5" s="100" t="n">
        <x:f>MAX(0,'Вводные'!$B$34,'Вводные'!$B$33-('Вводные'!$B$33-'Вводные'!$B$34)*MIN(1,(T$4-1)/MAX(1,'Вводные'!$B$35)))</x:f>
      </x:c>
      <x:c r="U5" s="100" t="n">
        <x:f>MAX(0,'Вводные'!$B$34,'Вводные'!$B$33-('Вводные'!$B$33-'Вводные'!$B$34)*MIN(1,(U$4-1)/MAX(1,'Вводные'!$B$35)))</x:f>
      </x:c>
      <x:c r="V5" s="100" t="n">
        <x:f>MAX(0,'Вводные'!$B$34,'Вводные'!$B$33-('Вводные'!$B$33-'Вводные'!$B$34)*MIN(1,(V$4-1)/MAX(1,'Вводные'!$B$35)))</x:f>
      </x:c>
      <x:c r="W5" s="100" t="n">
        <x:f>MAX(0,'Вводные'!$B$34,'Вводные'!$B$33-('Вводные'!$B$33-'Вводные'!$B$34)*MIN(1,(W$4-1)/MAX(1,'Вводные'!$B$35)))</x:f>
      </x:c>
      <x:c r="X5" s="100" t="n">
        <x:f>MAX(0,'Вводные'!$B$34,'Вводные'!$B$33-('Вводные'!$B$33-'Вводные'!$B$34)*MIN(1,(X$4-1)/MAX(1,'Вводные'!$B$35)))</x:f>
      </x:c>
      <x:c r="Y5" s="100" t="n">
        <x:f>MAX(0,'Вводные'!$B$34,'Вводные'!$B$33-('Вводные'!$B$33-'Вводные'!$B$34)*MIN(1,(Y$4-1)/MAX(1,'Вводные'!$B$35)))</x:f>
      </x:c>
      <x:c r="Z5" s="100" t="n">
        <x:f>MAX(0,'Вводные'!$B$34,'Вводные'!$B$33-('Вводные'!$B$33-'Вводные'!$B$34)*MIN(1,(Z$4-1)/MAX(1,'Вводные'!$B$35)))</x:f>
      </x:c>
      <x:c r="AA5" s="100" t="n">
        <x:f>MAX(0,'Вводные'!$B$34,'Вводные'!$B$33-('Вводные'!$B$33-'Вводные'!$B$34)*MIN(1,(AA$4-1)/MAX(1,'Вводные'!$B$35)))</x:f>
      </x:c>
      <x:c r="AB5" s="100" t="n">
        <x:f>MAX(0,'Вводные'!$B$34,'Вводные'!$B$33-('Вводные'!$B$33-'Вводные'!$B$34)*MIN(1,(AB$4-1)/MAX(1,'Вводные'!$B$35)))</x:f>
      </x:c>
      <x:c r="AC5" s="100" t="n">
        <x:f>MAX(0,'Вводные'!$B$34,'Вводные'!$B$33-('Вводные'!$B$33-'Вводные'!$B$34)*MIN(1,(AC$4-1)/MAX(1,'Вводные'!$B$35)))</x:f>
      </x:c>
      <x:c r="AD5" s="100" t="n">
        <x:f>MAX(0,'Вводные'!$B$34,'Вводные'!$B$33-('Вводные'!$B$33-'Вводные'!$B$34)*MIN(1,(AD$4-1)/MAX(1,'Вводные'!$B$35)))</x:f>
      </x:c>
      <x:c r="AE5" s="100" t="n">
        <x:f>MAX(0,'Вводные'!$B$34,'Вводные'!$B$33-('Вводные'!$B$33-'Вводные'!$B$34)*MIN(1,(AE$4-1)/MAX(1,'Вводные'!$B$35)))</x:f>
      </x:c>
      <x:c r="AF5" s="100" t="n">
        <x:f>MAX(0,'Вводные'!$B$34,'Вводные'!$B$33-('Вводные'!$B$33-'Вводные'!$B$34)*MIN(1,(AF$4-1)/MAX(1,'Вводные'!$B$35)))</x:f>
      </x:c>
      <x:c r="AG5" s="100" t="n">
        <x:f>MAX(0,'Вводные'!$B$34,'Вводные'!$B$33-('Вводные'!$B$33-'Вводные'!$B$34)*MIN(1,(AG$4-1)/MAX(1,'Вводные'!$B$35)))</x:f>
      </x:c>
      <x:c r="AH5" s="100" t="n">
        <x:f>MAX(0,'Вводные'!$B$34,'Вводные'!$B$33-('Вводные'!$B$33-'Вводные'!$B$34)*MIN(1,(AH$4-1)/MAX(1,'Вводные'!$B$35)))</x:f>
      </x:c>
      <x:c r="AI5" s="100" t="n">
        <x:f>MAX(0,'Вводные'!$B$34,'Вводные'!$B$33-('Вводные'!$B$33-'Вводные'!$B$34)*MIN(1,(AI$4-1)/MAX(1,'Вводные'!$B$35)))</x:f>
      </x:c>
      <x:c r="AJ5" s="100" t="n">
        <x:f>MAX(0,'Вводные'!$B$34,'Вводные'!$B$33-('Вводные'!$B$33-'Вводные'!$B$34)*MIN(1,(AJ$4-1)/MAX(1,'Вводные'!$B$35)))</x:f>
      </x:c>
      <x:c r="AK5" s="100" t="n">
        <x:f>MAX(0,'Вводные'!$B$34,'Вводные'!$B$33-('Вводные'!$B$33-'Вводные'!$B$34)*MIN(1,(AK$4-1)/MAX(1,'Вводные'!$B$35)))</x:f>
      </x:c>
      <x:c r="AL5" s="100" t="n">
        <x:f>MAX(0,'Вводные'!$B$34,'Вводные'!$B$33-('Вводные'!$B$33-'Вводные'!$B$34)*MIN(1,(AL$4-1)/MAX(1,'Вводные'!$B$35)))</x:f>
      </x:c>
      <x:c r="AM5" s="100" t="n">
        <x:f>MAX(0,'Вводные'!$B$34,'Вводные'!$B$33-('Вводные'!$B$33-'Вводные'!$B$34)*MIN(1,(AM$4-1)/MAX(1,'Вводные'!$B$35)))</x:f>
      </x:c>
      <x:c r="AN5" s="100" t="n">
        <x:f>MAX(0,'Вводные'!$B$34,'Вводные'!$B$33-('Вводные'!$B$33-'Вводные'!$B$34)*MIN(1,(AN$4-1)/MAX(1,'Вводные'!$B$35)))</x:f>
      </x:c>
      <x:c r="AO5" s="100" t="n">
        <x:f>MAX(0,'Вводные'!$B$34,'Вводные'!$B$33-('Вводные'!$B$33-'Вводные'!$B$34)*MIN(1,(AO$4-1)/MAX(1,'Вводные'!$B$35)))</x:f>
      </x:c>
      <x:c r="AP5" s="100" t="n">
        <x:f>MAX(0,'Вводные'!$B$34,'Вводные'!$B$33-('Вводные'!$B$33-'Вводные'!$B$34)*MIN(1,(AP$4-1)/MAX(1,'Вводные'!$B$35)))</x:f>
      </x:c>
      <x:c r="AQ5" s="100" t="n">
        <x:f>MAX(0,'Вводные'!$B$34,'Вводные'!$B$33-('Вводные'!$B$33-'Вводные'!$B$34)*MIN(1,(AQ$4-1)/MAX(1,'Вводные'!$B$35)))</x:f>
      </x:c>
      <x:c r="AR5" s="100" t="n">
        <x:f>MAX(0,'Вводные'!$B$34,'Вводные'!$B$33-('Вводные'!$B$33-'Вводные'!$B$34)*MIN(1,(AR$4-1)/MAX(1,'Вводные'!$B$35)))</x:f>
      </x:c>
      <x:c r="AS5" s="100" t="n">
        <x:f>MAX(0,'Вводные'!$B$34,'Вводные'!$B$33-('Вводные'!$B$33-'Вводные'!$B$34)*MIN(1,(AS$4-1)/MAX(1,'Вводные'!$B$35)))</x:f>
      </x:c>
      <x:c r="AT5" s="100" t="n">
        <x:f>MAX(0,'Вводные'!$B$34,'Вводные'!$B$33-('Вводные'!$B$33-'Вводные'!$B$34)*MIN(1,(AT$4-1)/MAX(1,'Вводные'!$B$35)))</x:f>
      </x:c>
      <x:c r="AU5" s="100" t="n">
        <x:f>MAX(0,'Вводные'!$B$34,'Вводные'!$B$33-('Вводные'!$B$33-'Вводные'!$B$34)*MIN(1,(AU$4-1)/MAX(1,'Вводные'!$B$35)))</x:f>
      </x:c>
      <x:c r="AV5" s="100" t="n">
        <x:f>MAX(0,'Вводные'!$B$34,'Вводные'!$B$33-('Вводные'!$B$33-'Вводные'!$B$34)*MIN(1,(AV$4-1)/MAX(1,'Вводные'!$B$35)))</x:f>
      </x:c>
      <x:c r="AW5" s="100" t="n">
        <x:f>MAX(0,'Вводные'!$B$34,'Вводные'!$B$33-('Вводные'!$B$33-'Вводные'!$B$34)*MIN(1,(AW$4-1)/MAX(1,'Вводные'!$B$35)))</x:f>
      </x:c>
      <x:c r="AX5" s="100" t="n">
        <x:f>MAX(0,'Вводные'!$B$34,'Вводные'!$B$33-('Вводные'!$B$33-'Вводные'!$B$34)*MIN(1,(AX$4-1)/MAX(1,'Вводные'!$B$35)))</x:f>
      </x:c>
      <x:c r="AY5" s="100" t="n">
        <x:f>MAX(0,'Вводные'!$B$34,'Вводные'!$B$33-('Вводные'!$B$33-'Вводные'!$B$34)*MIN(1,(AY$4-1)/MAX(1,'Вводные'!$B$35)))</x:f>
      </x:c>
      <x:c r="AZ5" s="100" t="n">
        <x:f>MAX(0,'Вводные'!$B$34,'Вводные'!$B$33-('Вводные'!$B$33-'Вводные'!$B$34)*MIN(1,(AZ$4-1)/MAX(1,'Вводные'!$B$35)))</x:f>
      </x:c>
      <x:c r="BA5" s="100" t="n">
        <x:f>MAX(0,'Вводные'!$B$34,'Вводные'!$B$33-('Вводные'!$B$33-'Вводные'!$B$34)*MIN(1,(BA$4-1)/MAX(1,'Вводные'!$B$35)))</x:f>
      </x:c>
      <x:c r="BB5" s="100" t="n">
        <x:f>MAX(0,'Вводные'!$B$34,'Вводные'!$B$33-('Вводные'!$B$33-'Вводные'!$B$34)*MIN(1,(BB$4-1)/MAX(1,'Вводные'!$B$35)))</x:f>
      </x:c>
      <x:c r="BC5" s="100" t="n">
        <x:f>MAX(0,'Вводные'!$B$34,'Вводные'!$B$33-('Вводные'!$B$33-'Вводные'!$B$34)*MIN(1,(BC$4-1)/MAX(1,'Вводные'!$B$35)))</x:f>
      </x:c>
      <x:c r="BD5" s="100" t="n">
        <x:f>MAX(0,'Вводные'!$B$34,'Вводные'!$B$33-('Вводные'!$B$33-'Вводные'!$B$34)*MIN(1,(BD$4-1)/MAX(1,'Вводные'!$B$35)))</x:f>
      </x:c>
      <x:c r="BE5" s="100" t="n">
        <x:f>MAX(0,'Вводные'!$B$34,'Вводные'!$B$33-('Вводные'!$B$33-'Вводные'!$B$34)*MIN(1,(BE$4-1)/MAX(1,'Вводные'!$B$35)))</x:f>
      </x:c>
      <x:c r="BF5" s="100" t="n">
        <x:f>MAX(0,'Вводные'!$B$34,'Вводные'!$B$33-('Вводные'!$B$33-'Вводные'!$B$34)*MIN(1,(BF$4-1)/MAX(1,'Вводные'!$B$35)))</x:f>
      </x:c>
      <x:c r="BG5" s="100" t="n">
        <x:f>MAX(0,'Вводные'!$B$34,'Вводные'!$B$33-('Вводные'!$B$33-'Вводные'!$B$34)*MIN(1,(BG$4-1)/MAX(1,'Вводные'!$B$35)))</x:f>
      </x:c>
      <x:c r="BH5" s="100" t="n">
        <x:f>MAX(0,'Вводные'!$B$34,'Вводные'!$B$33-('Вводные'!$B$33-'Вводные'!$B$34)*MIN(1,(BH$4-1)/MAX(1,'Вводные'!$B$35)))</x:f>
      </x:c>
      <x:c r="BI5" s="100" t="n">
        <x:f>MAX(0,'Вводные'!$B$34,'Вводные'!$B$33-('Вводные'!$B$33-'Вводные'!$B$34)*MIN(1,(BI$4-1)/MAX(1,'Вводные'!$B$35)))</x:f>
      </x:c>
      <x:c r="BJ5" s="100" t="n">
        <x:f>MAX(0,'Вводные'!$B$34,'Вводные'!$B$33-('Вводные'!$B$33-'Вводные'!$B$34)*MIN(1,(BJ$4-1)/MAX(1,'Вводные'!$B$35)))</x:f>
      </x:c>
      <x:c r="BK5" s="100" t="n">
        <x:f>MAX(0,'Вводные'!$B$34,'Вводные'!$B$33-('Вводные'!$B$33-'Вводные'!$B$34)*MIN(1,(BK$4-1)/MAX(1,'Вводные'!$B$35)))</x:f>
      </x:c>
      <x:c r="BL5" s="100" t="n">
        <x:f>MAX(0,'Вводные'!$B$34,'Вводные'!$B$33-('Вводные'!$B$33-'Вводные'!$B$34)*MIN(1,(BL$4-1)/MAX(1,'Вводные'!$B$35)))</x:f>
      </x:c>
      <x:c r="BM5" s="100" t="n">
        <x:f>MAX(0,'Вводные'!$B$34,'Вводные'!$B$33-('Вводные'!$B$33-'Вводные'!$B$34)*MIN(1,(BM$4-1)/MAX(1,'Вводные'!$B$35)))</x:f>
      </x:c>
      <x:c r="BN5" s="100" t="n">
        <x:f>MAX(0,'Вводные'!$B$34,'Вводные'!$B$33-('Вводные'!$B$33-'Вводные'!$B$34)*MIN(1,(BN$4-1)/MAX(1,'Вводные'!$B$35)))</x:f>
      </x:c>
      <x:c r="BO5" s="100" t="n">
        <x:f>MAX(0,'Вводные'!$B$34,'Вводные'!$B$33-('Вводные'!$B$33-'Вводные'!$B$34)*MIN(1,(BO$4-1)/MAX(1,'Вводные'!$B$35)))</x:f>
      </x:c>
      <x:c r="BP5" s="100" t="n">
        <x:f>MAX(0,'Вводные'!$B$34,'Вводные'!$B$33-('Вводные'!$B$33-'Вводные'!$B$34)*MIN(1,(BP$4-1)/MAX(1,'Вводные'!$B$35)))</x:f>
      </x:c>
      <x:c r="BQ5" s="100" t="n">
        <x:f>MAX(0,'Вводные'!$B$34,'Вводные'!$B$33-('Вводные'!$B$33-'Вводные'!$B$34)*MIN(1,(BQ$4-1)/MAX(1,'Вводные'!$B$35)))</x:f>
      </x:c>
      <x:c r="BR5" s="100" t="n">
        <x:f>MAX(0,'Вводные'!$B$34,'Вводные'!$B$33-('Вводные'!$B$33-'Вводные'!$B$34)*MIN(1,(BR$4-1)/MAX(1,'Вводные'!$B$35)))</x:f>
      </x:c>
      <x:c r="BS5" s="100" t="n">
        <x:f>MAX(0,'Вводные'!$B$34,'Вводные'!$B$33-('Вводные'!$B$33-'Вводные'!$B$34)*MIN(1,(BS$4-1)/MAX(1,'Вводные'!$B$35)))</x:f>
      </x:c>
      <x:c r="BT5" s="100" t="n">
        <x:f>MAX(0,'Вводные'!$B$34,'Вводные'!$B$33-('Вводные'!$B$33-'Вводные'!$B$34)*MIN(1,(BT$4-1)/MAX(1,'Вводные'!$B$35)))</x:f>
      </x:c>
      <x:c r="BU5" s="100" t="n">
        <x:f>MAX(0,'Вводные'!$B$34,'Вводные'!$B$33-('Вводные'!$B$33-'Вводные'!$B$34)*MIN(1,(BU$4-1)/MAX(1,'Вводные'!$B$35)))</x:f>
      </x:c>
      <x:c r="BV5" s="100" t="n">
        <x:f>MAX(0,'Вводные'!$B$34,'Вводные'!$B$33-('Вводные'!$B$33-'Вводные'!$B$34)*MIN(1,(BV$4-1)/MAX(1,'Вводные'!$B$35)))</x:f>
      </x:c>
      <x:c r="BW5" s="100" t="n">
        <x:f>MAX(0,'Вводные'!$B$34,'Вводные'!$B$33-('Вводные'!$B$33-'Вводные'!$B$34)*MIN(1,(BW$4-1)/MAX(1,'Вводные'!$B$35)))</x:f>
      </x:c>
      <x:c r="BX5" s="100" t="n">
        <x:f>MAX(0,'Вводные'!$B$34,'Вводные'!$B$33-('Вводные'!$B$33-'Вводные'!$B$34)*MIN(1,(BX$4-1)/MAX(1,'Вводные'!$B$35)))</x:f>
      </x:c>
      <x:c r="BY5" s="100" t="n">
        <x:f>MAX(0,'Вводные'!$B$34,'Вводные'!$B$33-('Вводные'!$B$33-'Вводные'!$B$34)*MIN(1,(BY$4-1)/MAX(1,'Вводные'!$B$35)))</x:f>
      </x:c>
      <x:c r="BZ5" s="100" t="n">
        <x:f>MAX(0,'Вводные'!$B$34,'Вводные'!$B$33-('Вводные'!$B$33-'Вводные'!$B$34)*MIN(1,(BZ$4-1)/MAX(1,'Вводные'!$B$35)))</x:f>
      </x:c>
      <x:c r="CA5" s="100" t="n">
        <x:f>MAX(0,'Вводные'!$B$34,'Вводные'!$B$33-('Вводные'!$B$33-'Вводные'!$B$34)*MIN(1,(CA$4-1)/MAX(1,'Вводные'!$B$35)))</x:f>
      </x:c>
      <x:c r="CB5" s="100" t="n">
        <x:f>MAX(0,'Вводные'!$B$34,'Вводные'!$B$33-('Вводные'!$B$33-'Вводные'!$B$34)*MIN(1,(CB$4-1)/MAX(1,'Вводные'!$B$35)))</x:f>
      </x:c>
      <x:c r="CC5" s="100" t="n">
        <x:f>MAX(0,'Вводные'!$B$34,'Вводные'!$B$33-('Вводные'!$B$33-'Вводные'!$B$34)*MIN(1,(CC$4-1)/MAX(1,'Вводные'!$B$35)))</x:f>
      </x:c>
      <x:c r="CD5" s="100" t="n">
        <x:f>MAX(0,'Вводные'!$B$34,'Вводные'!$B$33-('Вводные'!$B$33-'Вводные'!$B$34)*MIN(1,(CD$4-1)/MAX(1,'Вводные'!$B$35)))</x:f>
      </x:c>
      <x:c r="CE5" s="100" t="n">
        <x:f>MAX(0,'Вводные'!$B$34,'Вводные'!$B$33-('Вводные'!$B$33-'Вводные'!$B$34)*MIN(1,(CE$4-1)/MAX(1,'Вводные'!$B$35)))</x:f>
      </x:c>
      <x:c r="CF5" s="100" t="n">
        <x:f>MAX(0,'Вводные'!$B$34,'Вводные'!$B$33-('Вводные'!$B$33-'Вводные'!$B$34)*MIN(1,(CF$4-1)/MAX(1,'Вводные'!$B$35)))</x:f>
      </x:c>
      <x:c r="CG5" s="100" t="n">
        <x:f>MAX(0,'Вводные'!$B$34,'Вводные'!$B$33-('Вводные'!$B$33-'Вводные'!$B$34)*MIN(1,(CG$4-1)/MAX(1,'Вводные'!$B$35)))</x:f>
      </x:c>
      <x:c r="CH5" s="100" t="n">
        <x:f>MAX(0,'Вводные'!$B$34,'Вводные'!$B$33-('Вводные'!$B$33-'Вводные'!$B$34)*MIN(1,(CH$4-1)/MAX(1,'Вводные'!$B$35)))</x:f>
      </x:c>
      <x:c r="CI5" s="100" t="n">
        <x:f>MAX(0,'Вводные'!$B$34,'Вводные'!$B$33-('Вводные'!$B$33-'Вводные'!$B$34)*MIN(1,(CI$4-1)/MAX(1,'Вводные'!$B$35)))</x:f>
      </x:c>
      <x:c r="CJ5" s="100" t="n">
        <x:f>MAX(0,'Вводные'!$B$34,'Вводные'!$B$33-('Вводные'!$B$33-'Вводные'!$B$34)*MIN(1,(CJ$4-1)/MAX(1,'Вводные'!$B$35)))</x:f>
      </x:c>
      <x:c r="CK5" s="100" t="n">
        <x:f>MAX(0,'Вводные'!$B$34,'Вводные'!$B$33-('Вводные'!$B$33-'Вводные'!$B$34)*MIN(1,(CK$4-1)/MAX(1,'Вводные'!$B$35)))</x:f>
      </x:c>
      <x:c r="CL5" s="100" t="n">
        <x:f>MAX(0,'Вводные'!$B$34,'Вводные'!$B$33-('Вводные'!$B$33-'Вводные'!$B$34)*MIN(1,(CL$4-1)/MAX(1,'Вводные'!$B$35)))</x:f>
      </x:c>
      <x:c r="CM5" s="100" t="n">
        <x:f>MAX(0,'Вводные'!$B$34,'Вводные'!$B$33-('Вводные'!$B$33-'Вводные'!$B$34)*MIN(1,(CM$4-1)/MAX(1,'Вводные'!$B$35)))</x:f>
      </x:c>
      <x:c r="CN5" s="100" t="n">
        <x:f>MAX(0,'Вводные'!$B$34,'Вводные'!$B$33-('Вводные'!$B$33-'Вводные'!$B$34)*MIN(1,(CN$4-1)/MAX(1,'Вводные'!$B$35)))</x:f>
      </x:c>
      <x:c r="CO5" s="100" t="n">
        <x:f>MAX(0,'Вводные'!$B$34,'Вводные'!$B$33-('Вводные'!$B$33-'Вводные'!$B$34)*MIN(1,(CO$4-1)/MAX(1,'Вводные'!$B$35)))</x:f>
      </x:c>
      <x:c r="CP5" s="100" t="n">
        <x:f>MAX(0,'Вводные'!$B$34,'Вводные'!$B$33-('Вводные'!$B$33-'Вводные'!$B$34)*MIN(1,(CP$4-1)/MAX(1,'Вводные'!$B$35)))</x:f>
      </x:c>
      <x:c r="CQ5" s="100" t="n">
        <x:f>MAX(0,'Вводные'!$B$34,'Вводные'!$B$33-('Вводные'!$B$33-'Вводные'!$B$34)*MIN(1,(CQ$4-1)/MAX(1,'Вводные'!$B$35)))</x:f>
      </x:c>
      <x:c r="CR5" s="100" t="n">
        <x:f>MAX(0,'Вводные'!$B$34,'Вводные'!$B$33-('Вводные'!$B$33-'Вводные'!$B$34)*MIN(1,(CR$4-1)/MAX(1,'Вводные'!$B$35)))</x:f>
      </x:c>
      <x:c r="CS5" s="100" t="n">
        <x:f>MAX(0,'Вводные'!$B$34,'Вводные'!$B$33-('Вводные'!$B$33-'Вводные'!$B$34)*MIN(1,(CS$4-1)/MAX(1,'Вводные'!$B$35)))</x:f>
      </x:c>
      <x:c r="CT5" s="100" t="n">
        <x:f>MAX(0,'Вводные'!$B$34,'Вводные'!$B$33-('Вводные'!$B$33-'Вводные'!$B$34)*MIN(1,(CT$4-1)/MAX(1,'Вводные'!$B$35)))</x:f>
      </x:c>
      <x:c r="CU5" s="100" t="n">
        <x:f>MAX(0,'Вводные'!$B$34,'Вводные'!$B$33-('Вводные'!$B$33-'Вводные'!$B$34)*MIN(1,(CU$4-1)/MAX(1,'Вводные'!$B$35)))</x:f>
      </x:c>
      <x:c r="CV5" s="100" t="n">
        <x:f>MAX(0,'Вводные'!$B$34,'Вводные'!$B$33-('Вводные'!$B$33-'Вводные'!$B$34)*MIN(1,(CV$4-1)/MAX(1,'Вводные'!$B$35)))</x:f>
      </x:c>
      <x:c r="CW5" s="100" t="n">
        <x:f>MAX(0,'Вводные'!$B$34,'Вводные'!$B$33-('Вводные'!$B$33-'Вводные'!$B$34)*MIN(1,(CW$4-1)/MAX(1,'Вводные'!$B$35)))</x:f>
      </x:c>
      <x:c r="CX5" s="100" t="n">
        <x:f>MAX(0,'Вводные'!$B$34,'Вводные'!$B$33-('Вводные'!$B$33-'Вводные'!$B$34)*MIN(1,(CX$4-1)/MAX(1,'Вводные'!$B$35)))</x:f>
      </x:c>
      <x:c r="CY5" s="100" t="n">
        <x:f>MAX(0,'Вводные'!$B$34,'Вводные'!$B$33-('Вводные'!$B$33-'Вводные'!$B$34)*MIN(1,(CY$4-1)/MAX(1,'Вводные'!$B$35)))</x:f>
      </x:c>
      <x:c r="CZ5" s="100" t="n">
        <x:f>MAX(0,'Вводные'!$B$34,'Вводные'!$B$33-('Вводные'!$B$33-'Вводные'!$B$34)*MIN(1,(CZ$4-1)/MAX(1,'Вводные'!$B$35)))</x:f>
      </x:c>
      <x:c r="DA5" s="100" t="n">
        <x:f>MAX(0,'Вводные'!$B$34,'Вводные'!$B$33-('Вводные'!$B$33-'Вводные'!$B$34)*MIN(1,(DA$4-1)/MAX(1,'Вводные'!$B$35)))</x:f>
      </x:c>
      <x:c r="DB5" s="100" t="n">
        <x:f>MAX(0,'Вводные'!$B$34,'Вводные'!$B$33-('Вводные'!$B$33-'Вводные'!$B$34)*MIN(1,(DB$4-1)/MAX(1,'Вводные'!$B$35)))</x:f>
      </x:c>
      <x:c r="DC5" s="100" t="n">
        <x:f>MAX(0,'Вводные'!$B$34,'Вводные'!$B$33-('Вводные'!$B$33-'Вводные'!$B$34)*MIN(1,(DC$4-1)/MAX(1,'Вводные'!$B$35)))</x:f>
      </x:c>
      <x:c r="DD5" s="100" t="n">
        <x:f>MAX(0,'Вводные'!$B$34,'Вводные'!$B$33-('Вводные'!$B$33-'Вводные'!$B$34)*MIN(1,(DD$4-1)/MAX(1,'Вводные'!$B$35)))</x:f>
      </x:c>
      <x:c r="DE5" s="100" t="n">
        <x:f>MAX(0,'Вводные'!$B$34,'Вводные'!$B$33-('Вводные'!$B$33-'Вводные'!$B$34)*MIN(1,(DE$4-1)/MAX(1,'Вводные'!$B$35)))</x:f>
      </x:c>
      <x:c r="DF5" s="100" t="n">
        <x:f>MAX(0,'Вводные'!$B$34,'Вводные'!$B$33-('Вводные'!$B$33-'Вводные'!$B$34)*MIN(1,(DF$4-1)/MAX(1,'Вводные'!$B$35)))</x:f>
      </x:c>
      <x:c r="DG5" s="100" t="n">
        <x:f>MAX(0,'Вводные'!$B$34,'Вводные'!$B$33-('Вводные'!$B$33-'Вводные'!$B$34)*MIN(1,(DG$4-1)/MAX(1,'Вводные'!$B$35)))</x:f>
      </x:c>
      <x:c r="DH5" s="100" t="n">
        <x:f>MAX(0,'Вводные'!$B$34,'Вводные'!$B$33-('Вводные'!$B$33-'Вводные'!$B$34)*MIN(1,(DH$4-1)/MAX(1,'Вводные'!$B$35)))</x:f>
      </x:c>
      <x:c r="DI5" s="100" t="n">
        <x:f>MAX(0,'Вводные'!$B$34,'Вводные'!$B$33-('Вводные'!$B$33-'Вводные'!$B$34)*MIN(1,(DI$4-1)/MAX(1,'Вводные'!$B$35)))</x:f>
      </x:c>
      <x:c r="DJ5" s="100" t="n">
        <x:f>MAX(0,'Вводные'!$B$34,'Вводные'!$B$33-('Вводные'!$B$33-'Вводные'!$B$34)*MIN(1,(DJ$4-1)/MAX(1,'Вводные'!$B$35)))</x:f>
      </x:c>
      <x:c r="DK5" s="100" t="n">
        <x:f>MAX(0,'Вводные'!$B$34,'Вводные'!$B$33-('Вводные'!$B$33-'Вводные'!$B$34)*MIN(1,(DK$4-1)/MAX(1,'Вводные'!$B$35)))</x:f>
      </x:c>
      <x:c r="DL5" s="100" t="n">
        <x:f>MAX(0,'Вводные'!$B$34,'Вводные'!$B$33-('Вводные'!$B$33-'Вводные'!$B$34)*MIN(1,(DL$4-1)/MAX(1,'Вводные'!$B$35)))</x:f>
      </x:c>
      <x:c r="DM5" s="100" t="n">
        <x:f>MAX(0,'Вводные'!$B$34,'Вводные'!$B$33-('Вводные'!$B$33-'Вводные'!$B$34)*MIN(1,(DM$4-1)/MAX(1,'Вводные'!$B$35)))</x:f>
      </x:c>
      <x:c r="DN5" s="100" t="n">
        <x:f>MAX(0,'Вводные'!$B$34,'Вводные'!$B$33-('Вводные'!$B$33-'Вводные'!$B$34)*MIN(1,(DN$4-1)/MAX(1,'Вводные'!$B$35)))</x:f>
      </x:c>
      <x:c r="DO5" s="100" t="n">
        <x:f>MAX(0,'Вводные'!$B$34,'Вводные'!$B$33-('Вводные'!$B$33-'Вводные'!$B$34)*MIN(1,(DO$4-1)/MAX(1,'Вводные'!$B$35)))</x:f>
      </x:c>
      <x:c r="DP5" s="100" t="n">
        <x:f>MAX(0,'Вводные'!$B$34,'Вводные'!$B$33-('Вводные'!$B$33-'Вводные'!$B$34)*MIN(1,(DP$4-1)/MAX(1,'Вводные'!$B$35)))</x:f>
      </x:c>
      <x:c r="DQ5" s="100" t="n">
        <x:f>MAX(0,'Вводные'!$B$34,'Вводные'!$B$33-('Вводные'!$B$33-'Вводные'!$B$34)*MIN(1,(DQ$4-1)/MAX(1,'Вводные'!$B$35)))</x:f>
      </x:c>
      <x:c r="DR5" s="100" t="n">
        <x:f>MAX(0,'Вводные'!$B$34,'Вводные'!$B$33-('Вводные'!$B$33-'Вводные'!$B$34)*MIN(1,(DR$4-1)/MAX(1,'Вводные'!$B$35)))</x:f>
      </x:c>
      <x:c r="DS5" s="100" t="n">
        <x:f>MAX(0,'Вводные'!$B$34,'Вводные'!$B$33-('Вводные'!$B$33-'Вводные'!$B$34)*MIN(1,(DS$4-1)/MAX(1,'Вводные'!$B$35)))</x:f>
      </x:c>
      <x:c r="DT5" s="100" t="n">
        <x:f>MAX(0,'Вводные'!$B$34,'Вводные'!$B$33-('Вводные'!$B$33-'Вводные'!$B$34)*MIN(1,(DT$4-1)/MAX(1,'Вводные'!$B$35)))</x:f>
      </x:c>
      <x:c r="DU5" s="100" t="n">
        <x:f>MAX(0,'Вводные'!$B$34,'Вводные'!$B$33-('Вводные'!$B$33-'Вводные'!$B$34)*MIN(1,(DU$4-1)/MAX(1,'Вводные'!$B$35)))</x:f>
      </x:c>
      <x:c r="DV5" s="100" t="n">
        <x:f>MAX(0,'Вводные'!$B$34,'Вводные'!$B$33-('Вводные'!$B$33-'Вводные'!$B$34)*MIN(1,(DV$4-1)/MAX(1,'Вводные'!$B$35)))</x:f>
      </x:c>
      <x:c r="DW5" s="100" t="n">
        <x:f>MAX(0,'Вводные'!$B$34,'Вводные'!$B$33-('Вводные'!$B$33-'Вводные'!$B$34)*MIN(1,(DW$4-1)/MAX(1,'Вводные'!$B$35)))</x:f>
      </x:c>
      <x:c r="DX5" s="100" t="n">
        <x:f>MAX(0,'Вводные'!$B$34,'Вводные'!$B$33-('Вводные'!$B$33-'Вводные'!$B$34)*MIN(1,(DX$4-1)/MAX(1,'Вводные'!$B$35)))</x:f>
      </x:c>
      <x:c r="DY5" s="100" t="n">
        <x:f>MAX(0,'Вводные'!$B$34,'Вводные'!$B$33-('Вводные'!$B$33-'Вводные'!$B$34)*MIN(1,(DY$4-1)/MAX(1,'Вводные'!$B$35)))</x:f>
      </x:c>
      <x:c r="DZ5" s="100" t="n">
        <x:f>MAX(0,'Вводные'!$B$34,'Вводные'!$B$33-('Вводные'!$B$33-'Вводные'!$B$34)*MIN(1,(DZ$4-1)/MAX(1,'Вводные'!$B$35)))</x:f>
      </x:c>
      <x:c r="EA5" s="100" t="n">
        <x:f>MAX(0,'Вводные'!$B$34,'Вводные'!$B$33-('Вводные'!$B$33-'Вводные'!$B$34)*MIN(1,(EA$4-1)/MAX(1,'Вводные'!$B$35)))</x:f>
      </x:c>
      <x:c r="EB5" s="100" t="n">
        <x:f>MAX(0,'Вводные'!$B$34,'Вводные'!$B$33-('Вводные'!$B$33-'Вводные'!$B$34)*MIN(1,(EB$4-1)/MAX(1,'Вводные'!$B$35)))</x:f>
      </x:c>
      <x:c r="EC5" s="100" t="n">
        <x:f>MAX(0,'Вводные'!$B$34,'Вводные'!$B$33-('Вводные'!$B$33-'Вводные'!$B$34)*MIN(1,(EC$4-1)/MAX(1,'Вводные'!$B$35)))</x:f>
      </x:c>
      <x:c r="ED5" s="100" t="n">
        <x:f>MAX(0,'Вводные'!$B$34,'Вводные'!$B$33-('Вводные'!$B$33-'Вводные'!$B$34)*MIN(1,(ED$4-1)/MAX(1,'Вводные'!$B$35)))</x:f>
      </x:c>
      <x:c r="EE5" s="100" t="n">
        <x:f>MAX(0,'Вводные'!$B$34,'Вводные'!$B$33-('Вводные'!$B$33-'Вводные'!$B$34)*MIN(1,(EE$4-1)/MAX(1,'Вводные'!$B$35)))</x:f>
      </x:c>
      <x:c r="EF5" s="100" t="n">
        <x:f>MAX(0,'Вводные'!$B$34,'Вводные'!$B$33-('Вводные'!$B$33-'Вводные'!$B$34)*MIN(1,(EF$4-1)/MAX(1,'Вводные'!$B$35)))</x:f>
      </x:c>
      <x:c r="EG5" s="100" t="n">
        <x:f>MAX(0,'Вводные'!$B$34,'Вводные'!$B$33-('Вводные'!$B$33-'Вводные'!$B$34)*MIN(1,(EG$4-1)/MAX(1,'Вводные'!$B$35)))</x:f>
      </x:c>
      <x:c r="EH5" s="100" t="n">
        <x:f>MAX(0,'Вводные'!$B$34,'Вводные'!$B$33-('Вводные'!$B$33-'Вводные'!$B$34)*MIN(1,(EH$4-1)/MAX(1,'Вводные'!$B$35)))</x:f>
      </x:c>
      <x:c r="EI5" s="100" t="n">
        <x:f>MAX(0,'Вводные'!$B$34,'Вводные'!$B$33-('Вводные'!$B$33-'Вводные'!$B$34)*MIN(1,(EI$4-1)/MAX(1,'Вводные'!$B$35)))</x:f>
      </x:c>
      <x:c r="EJ5" s="100" t="n">
        <x:f>MAX(0,'Вводные'!$B$34,'Вводные'!$B$33-('Вводные'!$B$33-'Вводные'!$B$34)*MIN(1,(EJ$4-1)/MAX(1,'Вводные'!$B$35)))</x:f>
      </x:c>
      <x:c r="EK5" s="100" t="n">
        <x:f>MAX(0,'Вводные'!$B$34,'Вводные'!$B$33-('Вводные'!$B$33-'Вводные'!$B$34)*MIN(1,(EK$4-1)/MAX(1,'Вводные'!$B$35)))</x:f>
      </x:c>
      <x:c r="EL5" s="100" t="n">
        <x:f>MAX(0,'Вводные'!$B$34,'Вводные'!$B$33-('Вводные'!$B$33-'Вводные'!$B$34)*MIN(1,(EL$4-1)/MAX(1,'Вводные'!$B$35)))</x:f>
      </x:c>
      <x:c r="EM5" s="100" t="n">
        <x:f>MAX(0,'Вводные'!$B$34,'Вводные'!$B$33-('Вводные'!$B$33-'Вводные'!$B$34)*MIN(1,(EM$4-1)/MAX(1,'Вводные'!$B$35)))</x:f>
      </x:c>
      <x:c r="EN5" s="100" t="n">
        <x:f>MAX(0,'Вводные'!$B$34,'Вводные'!$B$33-('Вводные'!$B$33-'Вводные'!$B$34)*MIN(1,(EN$4-1)/MAX(1,'Вводные'!$B$35)))</x:f>
      </x:c>
      <x:c r="EO5" s="100" t="n">
        <x:f>MAX(0,'Вводные'!$B$34,'Вводные'!$B$33-('Вводные'!$B$33-'Вводные'!$B$34)*MIN(1,(EO$4-1)/MAX(1,'Вводные'!$B$35)))</x:f>
      </x:c>
      <x:c r="EP5" s="100" t="n">
        <x:f>MAX(0,'Вводные'!$B$34,'Вводные'!$B$33-('Вводные'!$B$33-'Вводные'!$B$34)*MIN(1,(EP$4-1)/MAX(1,'Вводные'!$B$35)))</x:f>
      </x:c>
      <x:c r="EQ5" s="100" t="n">
        <x:f>MAX(0,'Вводные'!$B$34,'Вводные'!$B$33-('Вводные'!$B$33-'Вводные'!$B$34)*MIN(1,(EQ$4-1)/MAX(1,'Вводные'!$B$35)))</x:f>
      </x:c>
      <x:c r="ER5" s="100" t="n">
        <x:f>MAX(0,'Вводные'!$B$34,'Вводные'!$B$33-('Вводные'!$B$33-'Вводные'!$B$34)*MIN(1,(ER$4-1)/MAX(1,'Вводные'!$B$35)))</x:f>
      </x:c>
      <x:c r="ES5" s="100" t="n">
        <x:f>MAX(0,'Вводные'!$B$34,'Вводные'!$B$33-('Вводные'!$B$33-'Вводные'!$B$34)*MIN(1,(ES$4-1)/MAX(1,'Вводные'!$B$35)))</x:f>
      </x:c>
      <x:c r="ET5" s="100" t="n">
        <x:f>MAX(0,'Вводные'!$B$34,'Вводные'!$B$33-('Вводные'!$B$33-'Вводные'!$B$34)*MIN(1,(ET$4-1)/MAX(1,'Вводные'!$B$35)))</x:f>
      </x:c>
      <x:c r="EU5" s="100" t="n">
        <x:f>MAX(0,'Вводные'!$B$34,'Вводные'!$B$33-('Вводные'!$B$33-'Вводные'!$B$34)*MIN(1,(EU$4-1)/MAX(1,'Вводные'!$B$35)))</x:f>
      </x:c>
      <x:c r="EV5" s="100" t="n">
        <x:f>MAX(0,'Вводные'!$B$34,'Вводные'!$B$33-('Вводные'!$B$33-'Вводные'!$B$34)*MIN(1,(EV$4-1)/MAX(1,'Вводные'!$B$35)))</x:f>
      </x:c>
      <x:c r="EW5" s="100" t="n">
        <x:f>MAX(0,'Вводные'!$B$34,'Вводные'!$B$33-('Вводные'!$B$33-'Вводные'!$B$34)*MIN(1,(EW$4-1)/MAX(1,'Вводные'!$B$35)))</x:f>
      </x:c>
      <x:c r="EX5" s="100" t="n">
        <x:f>MAX(0,'Вводные'!$B$34,'Вводные'!$B$33-('Вводные'!$B$33-'Вводные'!$B$34)*MIN(1,(EX$4-1)/MAX(1,'Вводные'!$B$35)))</x:f>
      </x:c>
      <x:c r="EY5" s="100" t="n">
        <x:f>MAX(0,'Вводные'!$B$34,'Вводные'!$B$33-('Вводные'!$B$33-'Вводные'!$B$34)*MIN(1,(EY$4-1)/MAX(1,'Вводные'!$B$35)))</x:f>
      </x:c>
      <x:c r="EZ5" s="100" t="n">
        <x:f>MAX(0,'Вводные'!$B$34,'Вводные'!$B$33-('Вводные'!$B$33-'Вводные'!$B$34)*MIN(1,(EZ$4-1)/MAX(1,'Вводные'!$B$35)))</x:f>
      </x:c>
      <x:c r="FA5" s="100" t="n">
        <x:f>MAX(0,'Вводные'!$B$34,'Вводные'!$B$33-('Вводные'!$B$33-'Вводные'!$B$34)*MIN(1,(FA$4-1)/MAX(1,'Вводные'!$B$35)))</x:f>
      </x:c>
      <x:c r="FB5" s="100" t="n">
        <x:f>MAX(0,'Вводные'!$B$34,'Вводные'!$B$33-('Вводные'!$B$33-'Вводные'!$B$34)*MIN(1,(FB$4-1)/MAX(1,'Вводные'!$B$35)))</x:f>
      </x:c>
      <x:c r="FC5" s="100" t="n">
        <x:f>MAX(0,'Вводные'!$B$34,'Вводные'!$B$33-('Вводные'!$B$33-'Вводные'!$B$34)*MIN(1,(FC$4-1)/MAX(1,'Вводные'!$B$35)))</x:f>
      </x:c>
      <x:c r="FD5" s="100" t="n">
        <x:f>MAX(0,'Вводные'!$B$34,'Вводные'!$B$33-('Вводные'!$B$33-'Вводные'!$B$34)*MIN(1,(FD$4-1)/MAX(1,'Вводные'!$B$35)))</x:f>
      </x:c>
      <x:c r="FE5" s="100" t="n">
        <x:f>MAX(0,'Вводные'!$B$34,'Вводные'!$B$33-('Вводные'!$B$33-'Вводные'!$B$34)*MIN(1,(FE$4-1)/MAX(1,'Вводные'!$B$35)))</x:f>
      </x:c>
      <x:c r="FF5" s="100" t="n">
        <x:f>MAX(0,'Вводные'!$B$34,'Вводные'!$B$33-('Вводные'!$B$33-'Вводные'!$B$34)*MIN(1,(FF$4-1)/MAX(1,'Вводные'!$B$35)))</x:f>
      </x:c>
      <x:c r="FG5" s="100" t="n">
        <x:f>MAX(0,'Вводные'!$B$34,'Вводные'!$B$33-('Вводные'!$B$33-'Вводные'!$B$34)*MIN(1,(FG$4-1)/MAX(1,'Вводные'!$B$35)))</x:f>
      </x:c>
      <x:c r="FH5" s="100" t="n">
        <x:f>MAX(0,'Вводные'!$B$34,'Вводные'!$B$33-('Вводные'!$B$33-'Вводные'!$B$34)*MIN(1,(FH$4-1)/MAX(1,'Вводные'!$B$35)))</x:f>
      </x:c>
      <x:c r="FI5" s="100" t="n">
        <x:f>MAX(0,'Вводные'!$B$34,'Вводные'!$B$33-('Вводные'!$B$33-'Вводные'!$B$34)*MIN(1,(FI$4-1)/MAX(1,'Вводные'!$B$35)))</x:f>
      </x:c>
      <x:c r="FJ5" s="100" t="n">
        <x:f>MAX(0,'Вводные'!$B$34,'Вводные'!$B$33-('Вводные'!$B$33-'Вводные'!$B$34)*MIN(1,(FJ$4-1)/MAX(1,'Вводные'!$B$35)))</x:f>
      </x:c>
      <x:c r="FK5" s="100" t="n">
        <x:f>MAX(0,'Вводные'!$B$34,'Вводные'!$B$33-('Вводные'!$B$33-'Вводные'!$B$34)*MIN(1,(FK$4-1)/MAX(1,'Вводные'!$B$35)))</x:f>
      </x:c>
      <x:c r="FL5" s="100" t="n">
        <x:f>MAX(0,'Вводные'!$B$34,'Вводные'!$B$33-('Вводные'!$B$33-'Вводные'!$B$34)*MIN(1,(FL$4-1)/MAX(1,'Вводные'!$B$35)))</x:f>
      </x:c>
      <x:c r="FM5" s="100" t="n">
        <x:f>MAX(0,'Вводные'!$B$34,'Вводные'!$B$33-('Вводные'!$B$33-'Вводные'!$B$34)*MIN(1,(FM$4-1)/MAX(1,'Вводные'!$B$35)))</x:f>
      </x:c>
      <x:c r="FN5" s="100" t="n">
        <x:f>MAX(0,'Вводные'!$B$34,'Вводные'!$B$33-('Вводные'!$B$33-'Вводные'!$B$34)*MIN(1,(FN$4-1)/MAX(1,'Вводные'!$B$35)))</x:f>
      </x:c>
      <x:c r="FO5" s="100" t="n">
        <x:f>MAX(0,'Вводные'!$B$34,'Вводные'!$B$33-('Вводные'!$B$33-'Вводные'!$B$34)*MIN(1,(FO$4-1)/MAX(1,'Вводные'!$B$35)))</x:f>
      </x:c>
      <x:c r="FP5" s="100" t="n">
        <x:f>MAX(0,'Вводные'!$B$34,'Вводные'!$B$33-('Вводные'!$B$33-'Вводные'!$B$34)*MIN(1,(FP$4-1)/MAX(1,'Вводные'!$B$35)))</x:f>
      </x:c>
      <x:c r="FQ5" s="100" t="n">
        <x:f>MAX(0,'Вводные'!$B$34,'Вводные'!$B$33-('Вводные'!$B$33-'Вводные'!$B$34)*MIN(1,(FQ$4-1)/MAX(1,'Вводные'!$B$35)))</x:f>
      </x:c>
      <x:c r="FR5" s="100" t="n">
        <x:f>MAX(0,'Вводные'!$B$34,'Вводные'!$B$33-('Вводные'!$B$33-'Вводные'!$B$34)*MIN(1,(FR$4-1)/MAX(1,'Вводные'!$B$35)))</x:f>
      </x:c>
      <x:c r="FS5" s="100" t="n">
        <x:f>MAX(0,'Вводные'!$B$34,'Вводные'!$B$33-('Вводные'!$B$33-'Вводные'!$B$34)*MIN(1,(FS$4-1)/MAX(1,'Вводные'!$B$35)))</x:f>
      </x:c>
      <x:c r="FT5" s="100" t="n">
        <x:f>MAX(0,'Вводные'!$B$34,'Вводные'!$B$33-('Вводные'!$B$33-'Вводные'!$B$34)*MIN(1,(FT$4-1)/MAX(1,'Вводные'!$B$35)))</x:f>
      </x:c>
      <x:c r="FU5" s="100" t="n">
        <x:f>MAX(0,'Вводные'!$B$34,'Вводные'!$B$33-('Вводные'!$B$33-'Вводные'!$B$34)*MIN(1,(FU$4-1)/MAX(1,'Вводные'!$B$35)))</x:f>
      </x:c>
      <x:c r="FV5" s="100" t="n">
        <x:f>MAX(0,'Вводные'!$B$34,'Вводные'!$B$33-('Вводные'!$B$33-'Вводные'!$B$34)*MIN(1,(FV$4-1)/MAX(1,'Вводные'!$B$35)))</x:f>
      </x:c>
      <x:c r="FW5" s="100" t="n">
        <x:f>MAX(0,'Вводные'!$B$34,'Вводные'!$B$33-('Вводные'!$B$33-'Вводные'!$B$34)*MIN(1,(FW$4-1)/MAX(1,'Вводные'!$B$35)))</x:f>
      </x:c>
      <x:c r="FX5" s="100" t="n">
        <x:f>MAX(0,'Вводные'!$B$34,'Вводные'!$B$33-('Вводные'!$B$33-'Вводные'!$B$34)*MIN(1,(FX$4-1)/MAX(1,'Вводные'!$B$35)))</x:f>
      </x:c>
      <x:c r="FY5" s="100" t="n">
        <x:f>MAX(0,'Вводные'!$B$34,'Вводные'!$B$33-('Вводные'!$B$33-'Вводные'!$B$34)*MIN(1,(FY$4-1)/MAX(1,'Вводные'!$B$35)))</x:f>
      </x:c>
      <x:c r="FZ5" s="100" t="n">
        <x:f>MAX(0,'Вводные'!$B$34,'Вводные'!$B$33-('Вводные'!$B$33-'Вводные'!$B$34)*MIN(1,(FZ$4-1)/MAX(1,'Вводные'!$B$35)))</x:f>
      </x:c>
      <x:c r="GA5" s="100" t="n">
        <x:f>MAX(0,'Вводные'!$B$34,'Вводные'!$B$33-('Вводные'!$B$33-'Вводные'!$B$34)*MIN(1,(GA$4-1)/MAX(1,'Вводные'!$B$35)))</x:f>
      </x:c>
    </x:row>
    <x:row r="6">
      <x:c r="A6" s="7" t="str">
        <x:v>Ставка БРИДЖ</x:v>
      </x:c>
      <x:c r="B6" t="str">
        <x:v>% год</x:v>
      </x:c>
      <x:c r="C6"/>
      <x:c r="D6" s="100" t="n">
        <x:f>D5+'Вводные'!$B$25</x:f>
      </x:c>
      <x:c r="E6" s="100" t="n">
        <x:f>E5+'Вводные'!$B$25</x:f>
      </x:c>
      <x:c r="F6" s="100" t="n">
        <x:f>F5+'Вводные'!$B$25</x:f>
      </x:c>
      <x:c r="G6" s="100" t="n">
        <x:f>G5+'Вводные'!$B$25</x:f>
      </x:c>
      <x:c r="H6" s="100" t="n">
        <x:f>H5+'Вводные'!$B$25</x:f>
      </x:c>
      <x:c r="I6" s="100" t="n">
        <x:f>I5+'Вводные'!$B$25</x:f>
      </x:c>
      <x:c r="J6" s="100" t="n">
        <x:f>J5+'Вводные'!$B$25</x:f>
      </x:c>
      <x:c r="K6" s="100" t="n">
        <x:f>K5+'Вводные'!$B$25</x:f>
      </x:c>
      <x:c r="L6" s="100" t="n">
        <x:f>L5+'Вводные'!$B$25</x:f>
      </x:c>
      <x:c r="M6" s="100" t="n">
        <x:f>M5+'Вводные'!$B$25</x:f>
      </x:c>
      <x:c r="N6" s="100" t="n">
        <x:f>N5+'Вводные'!$B$25</x:f>
      </x:c>
      <x:c r="O6" s="100" t="n">
        <x:f>O5+'Вводные'!$B$25</x:f>
      </x:c>
      <x:c r="P6" s="100" t="n">
        <x:f>P5+'Вводные'!$B$25</x:f>
      </x:c>
      <x:c r="Q6" s="100" t="n">
        <x:f>Q5+'Вводные'!$B$25</x:f>
      </x:c>
      <x:c r="R6" s="100" t="n">
        <x:f>R5+'Вводные'!$B$25</x:f>
      </x:c>
      <x:c r="S6" s="100" t="n">
        <x:f>S5+'Вводные'!$B$25</x:f>
      </x:c>
      <x:c r="T6" s="100" t="n">
        <x:f>T5+'Вводные'!$B$25</x:f>
      </x:c>
      <x:c r="U6" s="100" t="n">
        <x:f>U5+'Вводные'!$B$25</x:f>
      </x:c>
      <x:c r="V6" s="100" t="n">
        <x:f>V5+'Вводные'!$B$25</x:f>
      </x:c>
      <x:c r="W6" s="100" t="n">
        <x:f>W5+'Вводные'!$B$25</x:f>
      </x:c>
      <x:c r="X6" s="100" t="n">
        <x:f>X5+'Вводные'!$B$25</x:f>
      </x:c>
      <x:c r="Y6" s="100" t="n">
        <x:f>Y5+'Вводные'!$B$25</x:f>
      </x:c>
      <x:c r="Z6" s="100" t="n">
        <x:f>Z5+'Вводные'!$B$25</x:f>
      </x:c>
      <x:c r="AA6" s="100" t="n">
        <x:f>AA5+'Вводные'!$B$25</x:f>
      </x:c>
      <x:c r="AB6" s="100" t="n">
        <x:f>AB5+'Вводные'!$B$25</x:f>
      </x:c>
      <x:c r="AC6" s="100" t="n">
        <x:f>AC5+'Вводные'!$B$25</x:f>
      </x:c>
      <x:c r="AD6" s="100" t="n">
        <x:f>AD5+'Вводные'!$B$25</x:f>
      </x:c>
      <x:c r="AE6" s="100" t="n">
        <x:f>AE5+'Вводные'!$B$25</x:f>
      </x:c>
      <x:c r="AF6" s="100" t="n">
        <x:f>AF5+'Вводные'!$B$25</x:f>
      </x:c>
      <x:c r="AG6" s="100" t="n">
        <x:f>AG5+'Вводные'!$B$25</x:f>
      </x:c>
      <x:c r="AH6" s="100" t="n">
        <x:f>AH5+'Вводные'!$B$25</x:f>
      </x:c>
      <x:c r="AI6" s="100" t="n">
        <x:f>AI5+'Вводные'!$B$25</x:f>
      </x:c>
      <x:c r="AJ6" s="100" t="n">
        <x:f>AJ5+'Вводные'!$B$25</x:f>
      </x:c>
      <x:c r="AK6" s="100" t="n">
        <x:f>AK5+'Вводные'!$B$25</x:f>
      </x:c>
      <x:c r="AL6" s="100" t="n">
        <x:f>AL5+'Вводные'!$B$25</x:f>
      </x:c>
      <x:c r="AM6" s="100" t="n">
        <x:f>AM5+'Вводные'!$B$25</x:f>
      </x:c>
      <x:c r="AN6" s="100" t="n">
        <x:f>AN5+'Вводные'!$B$25</x:f>
      </x:c>
      <x:c r="AO6" s="100" t="n">
        <x:f>AO5+'Вводные'!$B$25</x:f>
      </x:c>
      <x:c r="AP6" s="100" t="n">
        <x:f>AP5+'Вводные'!$B$25</x:f>
      </x:c>
      <x:c r="AQ6" s="100" t="n">
        <x:f>AQ5+'Вводные'!$B$25</x:f>
      </x:c>
      <x:c r="AR6" s="100" t="n">
        <x:f>AR5+'Вводные'!$B$25</x:f>
      </x:c>
      <x:c r="AS6" s="100" t="n">
        <x:f>AS5+'Вводные'!$B$25</x:f>
      </x:c>
      <x:c r="AT6" s="100" t="n">
        <x:f>AT5+'Вводные'!$B$25</x:f>
      </x:c>
      <x:c r="AU6" s="100" t="n">
        <x:f>AU5+'Вводные'!$B$25</x:f>
      </x:c>
      <x:c r="AV6" s="100" t="n">
        <x:f>AV5+'Вводные'!$B$25</x:f>
      </x:c>
      <x:c r="AW6" s="100" t="n">
        <x:f>AW5+'Вводные'!$B$25</x:f>
      </x:c>
      <x:c r="AX6" s="100" t="n">
        <x:f>AX5+'Вводные'!$B$25</x:f>
      </x:c>
      <x:c r="AY6" s="100" t="n">
        <x:f>AY5+'Вводные'!$B$25</x:f>
      </x:c>
      <x:c r="AZ6" s="100" t="n">
        <x:f>AZ5+'Вводные'!$B$25</x:f>
      </x:c>
      <x:c r="BA6" s="100" t="n">
        <x:f>BA5+'Вводные'!$B$25</x:f>
      </x:c>
      <x:c r="BB6" s="100" t="n">
        <x:f>BB5+'Вводные'!$B$25</x:f>
      </x:c>
      <x:c r="BC6" s="100" t="n">
        <x:f>BC5+'Вводные'!$B$25</x:f>
      </x:c>
      <x:c r="BD6" s="100" t="n">
        <x:f>BD5+'Вводные'!$B$25</x:f>
      </x:c>
      <x:c r="BE6" s="100" t="n">
        <x:f>BE5+'Вводные'!$B$25</x:f>
      </x:c>
      <x:c r="BF6" s="100" t="n">
        <x:f>BF5+'Вводные'!$B$25</x:f>
      </x:c>
      <x:c r="BG6" s="100" t="n">
        <x:f>BG5+'Вводные'!$B$25</x:f>
      </x:c>
      <x:c r="BH6" s="100" t="n">
        <x:f>BH5+'Вводные'!$B$25</x:f>
      </x:c>
      <x:c r="BI6" s="100" t="n">
        <x:f>BI5+'Вводные'!$B$25</x:f>
      </x:c>
      <x:c r="BJ6" s="100" t="n">
        <x:f>BJ5+'Вводные'!$B$25</x:f>
      </x:c>
      <x:c r="BK6" s="100" t="n">
        <x:f>BK5+'Вводные'!$B$25</x:f>
      </x:c>
      <x:c r="BL6" s="100" t="n">
        <x:f>BL5+'Вводные'!$B$25</x:f>
      </x:c>
      <x:c r="BM6" s="100" t="n">
        <x:f>BM5+'Вводные'!$B$25</x:f>
      </x:c>
      <x:c r="BN6" s="100" t="n">
        <x:f>BN5+'Вводные'!$B$25</x:f>
      </x:c>
      <x:c r="BO6" s="100" t="n">
        <x:f>BO5+'Вводные'!$B$25</x:f>
      </x:c>
      <x:c r="BP6" s="100" t="n">
        <x:f>BP5+'Вводные'!$B$25</x:f>
      </x:c>
      <x:c r="BQ6" s="100" t="n">
        <x:f>BQ5+'Вводные'!$B$25</x:f>
      </x:c>
      <x:c r="BR6" s="100" t="n">
        <x:f>BR5+'Вводные'!$B$25</x:f>
      </x:c>
      <x:c r="BS6" s="100" t="n">
        <x:f>BS5+'Вводные'!$B$25</x:f>
      </x:c>
      <x:c r="BT6" s="100" t="n">
        <x:f>BT5+'Вводные'!$B$25</x:f>
      </x:c>
      <x:c r="BU6" s="100" t="n">
        <x:f>BU5+'Вводные'!$B$25</x:f>
      </x:c>
      <x:c r="BV6" s="100" t="n">
        <x:f>BV5+'Вводные'!$B$25</x:f>
      </x:c>
      <x:c r="BW6" s="100" t="n">
        <x:f>BW5+'Вводные'!$B$25</x:f>
      </x:c>
      <x:c r="BX6" s="100" t="n">
        <x:f>BX5+'Вводные'!$B$25</x:f>
      </x:c>
      <x:c r="BY6" s="100" t="n">
        <x:f>BY5+'Вводные'!$B$25</x:f>
      </x:c>
      <x:c r="BZ6" s="100" t="n">
        <x:f>BZ5+'Вводные'!$B$25</x:f>
      </x:c>
      <x:c r="CA6" s="100" t="n">
        <x:f>CA5+'Вводные'!$B$25</x:f>
      </x:c>
      <x:c r="CB6" s="100" t="n">
        <x:f>CB5+'Вводные'!$B$25</x:f>
      </x:c>
      <x:c r="CC6" s="100" t="n">
        <x:f>CC5+'Вводные'!$B$25</x:f>
      </x:c>
      <x:c r="CD6" s="100" t="n">
        <x:f>CD5+'Вводные'!$B$25</x:f>
      </x:c>
      <x:c r="CE6" s="100" t="n">
        <x:f>CE5+'Вводные'!$B$25</x:f>
      </x:c>
      <x:c r="CF6" s="100" t="n">
        <x:f>CF5+'Вводные'!$B$25</x:f>
      </x:c>
      <x:c r="CG6" s="100" t="n">
        <x:f>CG5+'Вводные'!$B$25</x:f>
      </x:c>
      <x:c r="CH6" s="100" t="n">
        <x:f>CH5+'Вводные'!$B$25</x:f>
      </x:c>
      <x:c r="CI6" s="100" t="n">
        <x:f>CI5+'Вводные'!$B$25</x:f>
      </x:c>
      <x:c r="CJ6" s="100" t="n">
        <x:f>CJ5+'Вводные'!$B$25</x:f>
      </x:c>
      <x:c r="CK6" s="100" t="n">
        <x:f>CK5+'Вводные'!$B$25</x:f>
      </x:c>
      <x:c r="CL6" s="100" t="n">
        <x:f>CL5+'Вводные'!$B$25</x:f>
      </x:c>
      <x:c r="CM6" s="100" t="n">
        <x:f>CM5+'Вводные'!$B$25</x:f>
      </x:c>
      <x:c r="CN6" s="100" t="n">
        <x:f>CN5+'Вводные'!$B$25</x:f>
      </x:c>
      <x:c r="CO6" s="100" t="n">
        <x:f>CO5+'Вводные'!$B$25</x:f>
      </x:c>
      <x:c r="CP6" s="100" t="n">
        <x:f>CP5+'Вводные'!$B$25</x:f>
      </x:c>
      <x:c r="CQ6" s="100" t="n">
        <x:f>CQ5+'Вводные'!$B$25</x:f>
      </x:c>
      <x:c r="CR6" s="100" t="n">
        <x:f>CR5+'Вводные'!$B$25</x:f>
      </x:c>
      <x:c r="CS6" s="100" t="n">
        <x:f>CS5+'Вводные'!$B$25</x:f>
      </x:c>
      <x:c r="CT6" s="100" t="n">
        <x:f>CT5+'Вводные'!$B$25</x:f>
      </x:c>
      <x:c r="CU6" s="100" t="n">
        <x:f>CU5+'Вводные'!$B$25</x:f>
      </x:c>
      <x:c r="CV6" s="100" t="n">
        <x:f>CV5+'Вводные'!$B$25</x:f>
      </x:c>
      <x:c r="CW6" s="100" t="n">
        <x:f>CW5+'Вводные'!$B$25</x:f>
      </x:c>
      <x:c r="CX6" s="100" t="n">
        <x:f>CX5+'Вводные'!$B$25</x:f>
      </x:c>
      <x:c r="CY6" s="100" t="n">
        <x:f>CY5+'Вводные'!$B$25</x:f>
      </x:c>
      <x:c r="CZ6" s="100" t="n">
        <x:f>CZ5+'Вводные'!$B$25</x:f>
      </x:c>
      <x:c r="DA6" s="100" t="n">
        <x:f>DA5+'Вводные'!$B$25</x:f>
      </x:c>
      <x:c r="DB6" s="100" t="n">
        <x:f>DB5+'Вводные'!$B$25</x:f>
      </x:c>
      <x:c r="DC6" s="100" t="n">
        <x:f>DC5+'Вводные'!$B$25</x:f>
      </x:c>
      <x:c r="DD6" s="100" t="n">
        <x:f>DD5+'Вводные'!$B$25</x:f>
      </x:c>
      <x:c r="DE6" s="100" t="n">
        <x:f>DE5+'Вводные'!$B$25</x:f>
      </x:c>
      <x:c r="DF6" s="100" t="n">
        <x:f>DF5+'Вводные'!$B$25</x:f>
      </x:c>
      <x:c r="DG6" s="100" t="n">
        <x:f>DG5+'Вводные'!$B$25</x:f>
      </x:c>
      <x:c r="DH6" s="100" t="n">
        <x:f>DH5+'Вводные'!$B$25</x:f>
      </x:c>
      <x:c r="DI6" s="100" t="n">
        <x:f>DI5+'Вводные'!$B$25</x:f>
      </x:c>
      <x:c r="DJ6" s="100" t="n">
        <x:f>DJ5+'Вводные'!$B$25</x:f>
      </x:c>
      <x:c r="DK6" s="100" t="n">
        <x:f>DK5+'Вводные'!$B$25</x:f>
      </x:c>
      <x:c r="DL6" s="100" t="n">
        <x:f>DL5+'Вводные'!$B$25</x:f>
      </x:c>
      <x:c r="DM6" s="100" t="n">
        <x:f>DM5+'Вводные'!$B$25</x:f>
      </x:c>
      <x:c r="DN6" s="100" t="n">
        <x:f>DN5+'Вводные'!$B$25</x:f>
      </x:c>
      <x:c r="DO6" s="100" t="n">
        <x:f>DO5+'Вводные'!$B$25</x:f>
      </x:c>
      <x:c r="DP6" s="100" t="n">
        <x:f>DP5+'Вводные'!$B$25</x:f>
      </x:c>
      <x:c r="DQ6" s="100" t="n">
        <x:f>DQ5+'Вводные'!$B$25</x:f>
      </x:c>
      <x:c r="DR6" s="100" t="n">
        <x:f>DR5+'Вводные'!$B$25</x:f>
      </x:c>
      <x:c r="DS6" s="100" t="n">
        <x:f>DS5+'Вводные'!$B$25</x:f>
      </x:c>
      <x:c r="DT6" s="100" t="n">
        <x:f>DT5+'Вводные'!$B$25</x:f>
      </x:c>
      <x:c r="DU6" s="100" t="n">
        <x:f>DU5+'Вводные'!$B$25</x:f>
      </x:c>
      <x:c r="DV6" s="100" t="n">
        <x:f>DV5+'Вводные'!$B$25</x:f>
      </x:c>
      <x:c r="DW6" s="100" t="n">
        <x:f>DW5+'Вводные'!$B$25</x:f>
      </x:c>
      <x:c r="DX6" s="100" t="n">
        <x:f>DX5+'Вводные'!$B$25</x:f>
      </x:c>
      <x:c r="DY6" s="100" t="n">
        <x:f>DY5+'Вводные'!$B$25</x:f>
      </x:c>
      <x:c r="DZ6" s="100" t="n">
        <x:f>DZ5+'Вводные'!$B$25</x:f>
      </x:c>
      <x:c r="EA6" s="100" t="n">
        <x:f>EA5+'Вводные'!$B$25</x:f>
      </x:c>
      <x:c r="EB6" s="100" t="n">
        <x:f>EB5+'Вводные'!$B$25</x:f>
      </x:c>
      <x:c r="EC6" s="100" t="n">
        <x:f>EC5+'Вводные'!$B$25</x:f>
      </x:c>
      <x:c r="ED6" s="100" t="n">
        <x:f>ED5+'Вводные'!$B$25</x:f>
      </x:c>
      <x:c r="EE6" s="100" t="n">
        <x:f>EE5+'Вводные'!$B$25</x:f>
      </x:c>
      <x:c r="EF6" s="100" t="n">
        <x:f>EF5+'Вводные'!$B$25</x:f>
      </x:c>
      <x:c r="EG6" s="100" t="n">
        <x:f>EG5+'Вводные'!$B$25</x:f>
      </x:c>
      <x:c r="EH6" s="100" t="n">
        <x:f>EH5+'Вводные'!$B$25</x:f>
      </x:c>
      <x:c r="EI6" s="100" t="n">
        <x:f>EI5+'Вводные'!$B$25</x:f>
      </x:c>
      <x:c r="EJ6" s="100" t="n">
        <x:f>EJ5+'Вводные'!$B$25</x:f>
      </x:c>
      <x:c r="EK6" s="100" t="n">
        <x:f>EK5+'Вводные'!$B$25</x:f>
      </x:c>
      <x:c r="EL6" s="100" t="n">
        <x:f>EL5+'Вводные'!$B$25</x:f>
      </x:c>
      <x:c r="EM6" s="100" t="n">
        <x:f>EM5+'Вводные'!$B$25</x:f>
      </x:c>
      <x:c r="EN6" s="100" t="n">
        <x:f>EN5+'Вводные'!$B$25</x:f>
      </x:c>
      <x:c r="EO6" s="100" t="n">
        <x:f>EO5+'Вводные'!$B$25</x:f>
      </x:c>
      <x:c r="EP6" s="100" t="n">
        <x:f>EP5+'Вводные'!$B$25</x:f>
      </x:c>
      <x:c r="EQ6" s="100" t="n">
        <x:f>EQ5+'Вводные'!$B$25</x:f>
      </x:c>
      <x:c r="ER6" s="100" t="n">
        <x:f>ER5+'Вводные'!$B$25</x:f>
      </x:c>
      <x:c r="ES6" s="100" t="n">
        <x:f>ES5+'Вводные'!$B$25</x:f>
      </x:c>
      <x:c r="ET6" s="100" t="n">
        <x:f>ET5+'Вводные'!$B$25</x:f>
      </x:c>
      <x:c r="EU6" s="100" t="n">
        <x:f>EU5+'Вводные'!$B$25</x:f>
      </x:c>
      <x:c r="EV6" s="100" t="n">
        <x:f>EV5+'Вводные'!$B$25</x:f>
      </x:c>
      <x:c r="EW6" s="100" t="n">
        <x:f>EW5+'Вводные'!$B$25</x:f>
      </x:c>
      <x:c r="EX6" s="100" t="n">
        <x:f>EX5+'Вводные'!$B$25</x:f>
      </x:c>
      <x:c r="EY6" s="100" t="n">
        <x:f>EY5+'Вводные'!$B$25</x:f>
      </x:c>
      <x:c r="EZ6" s="100" t="n">
        <x:f>EZ5+'Вводные'!$B$25</x:f>
      </x:c>
      <x:c r="FA6" s="100" t="n">
        <x:f>FA5+'Вводные'!$B$25</x:f>
      </x:c>
      <x:c r="FB6" s="100" t="n">
        <x:f>FB5+'Вводные'!$B$25</x:f>
      </x:c>
      <x:c r="FC6" s="100" t="n">
        <x:f>FC5+'Вводные'!$B$25</x:f>
      </x:c>
      <x:c r="FD6" s="100" t="n">
        <x:f>FD5+'Вводные'!$B$25</x:f>
      </x:c>
      <x:c r="FE6" s="100" t="n">
        <x:f>FE5+'Вводные'!$B$25</x:f>
      </x:c>
      <x:c r="FF6" s="100" t="n">
        <x:f>FF5+'Вводные'!$B$25</x:f>
      </x:c>
      <x:c r="FG6" s="100" t="n">
        <x:f>FG5+'Вводные'!$B$25</x:f>
      </x:c>
      <x:c r="FH6" s="100" t="n">
        <x:f>FH5+'Вводные'!$B$25</x:f>
      </x:c>
      <x:c r="FI6" s="100" t="n">
        <x:f>FI5+'Вводные'!$B$25</x:f>
      </x:c>
      <x:c r="FJ6" s="100" t="n">
        <x:f>FJ5+'Вводные'!$B$25</x:f>
      </x:c>
      <x:c r="FK6" s="100" t="n">
        <x:f>FK5+'Вводные'!$B$25</x:f>
      </x:c>
      <x:c r="FL6" s="100" t="n">
        <x:f>FL5+'Вводные'!$B$25</x:f>
      </x:c>
      <x:c r="FM6" s="100" t="n">
        <x:f>FM5+'Вводные'!$B$25</x:f>
      </x:c>
      <x:c r="FN6" s="100" t="n">
        <x:f>FN5+'Вводные'!$B$25</x:f>
      </x:c>
      <x:c r="FO6" s="100" t="n">
        <x:f>FO5+'Вводные'!$B$25</x:f>
      </x:c>
      <x:c r="FP6" s="100" t="n">
        <x:f>FP5+'Вводные'!$B$25</x:f>
      </x:c>
      <x:c r="FQ6" s="100" t="n">
        <x:f>FQ5+'Вводные'!$B$25</x:f>
      </x:c>
      <x:c r="FR6" s="100" t="n">
        <x:f>FR5+'Вводные'!$B$25</x:f>
      </x:c>
      <x:c r="FS6" s="100" t="n">
        <x:f>FS5+'Вводные'!$B$25</x:f>
      </x:c>
      <x:c r="FT6" s="100" t="n">
        <x:f>FT5+'Вводные'!$B$25</x:f>
      </x:c>
      <x:c r="FU6" s="100" t="n">
        <x:f>FU5+'Вводные'!$B$25</x:f>
      </x:c>
      <x:c r="FV6" s="100" t="n">
        <x:f>FV5+'Вводные'!$B$25</x:f>
      </x:c>
      <x:c r="FW6" s="100" t="n">
        <x:f>FW5+'Вводные'!$B$25</x:f>
      </x:c>
      <x:c r="FX6" s="100" t="n">
        <x:f>FX5+'Вводные'!$B$25</x:f>
      </x:c>
      <x:c r="FY6" s="100" t="n">
        <x:f>FY5+'Вводные'!$B$25</x:f>
      </x:c>
      <x:c r="FZ6" s="100" t="n">
        <x:f>FZ5+'Вводные'!$B$25</x:f>
      </x:c>
      <x:c r="GA6" s="100" t="n">
        <x:f>GA5+'Вводные'!$B$25</x:f>
      </x:c>
    </x:row>
    <x:row r="7">
      <x:c r="A7" s="7" t="str">
        <x:v>Базовая ставка ПФ</x:v>
      </x:c>
      <x:c r="B7" t="str">
        <x:v>% год</x:v>
      </x:c>
      <x:c r="C7"/>
      <x:c r="D7" s="100" t="n">
        <x:f>D5+'Вводные'!$B$27</x:f>
      </x:c>
      <x:c r="E7" s="100" t="n">
        <x:f>E5+'Вводные'!$B$27</x:f>
      </x:c>
      <x:c r="F7" s="100" t="n">
        <x:f>F5+'Вводные'!$B$27</x:f>
      </x:c>
      <x:c r="G7" s="100" t="n">
        <x:f>G5+'Вводные'!$B$27</x:f>
      </x:c>
      <x:c r="H7" s="100" t="n">
        <x:f>H5+'Вводные'!$B$27</x:f>
      </x:c>
      <x:c r="I7" s="100" t="n">
        <x:f>I5+'Вводные'!$B$27</x:f>
      </x:c>
      <x:c r="J7" s="100" t="n">
        <x:f>J5+'Вводные'!$B$27</x:f>
      </x:c>
      <x:c r="K7" s="100" t="n">
        <x:f>K5+'Вводные'!$B$27</x:f>
      </x:c>
      <x:c r="L7" s="100" t="n">
        <x:f>L5+'Вводные'!$B$27</x:f>
      </x:c>
      <x:c r="M7" s="100" t="n">
        <x:f>M5+'Вводные'!$B$27</x:f>
      </x:c>
      <x:c r="N7" s="100" t="n">
        <x:f>N5+'Вводные'!$B$27</x:f>
      </x:c>
      <x:c r="O7" s="100" t="n">
        <x:f>O5+'Вводные'!$B$27</x:f>
      </x:c>
      <x:c r="P7" s="100" t="n">
        <x:f>P5+'Вводные'!$B$27</x:f>
      </x:c>
      <x:c r="Q7" s="100" t="n">
        <x:f>Q5+'Вводные'!$B$27</x:f>
      </x:c>
      <x:c r="R7" s="100" t="n">
        <x:f>R5+'Вводные'!$B$27</x:f>
      </x:c>
      <x:c r="S7" s="100" t="n">
        <x:f>S5+'Вводные'!$B$27</x:f>
      </x:c>
      <x:c r="T7" s="100" t="n">
        <x:f>T5+'Вводные'!$B$27</x:f>
      </x:c>
      <x:c r="U7" s="100" t="n">
        <x:f>U5+'Вводные'!$B$27</x:f>
      </x:c>
      <x:c r="V7" s="100" t="n">
        <x:f>V5+'Вводные'!$B$27</x:f>
      </x:c>
      <x:c r="W7" s="100" t="n">
        <x:f>W5+'Вводные'!$B$27</x:f>
      </x:c>
      <x:c r="X7" s="100" t="n">
        <x:f>X5+'Вводные'!$B$27</x:f>
      </x:c>
      <x:c r="Y7" s="100" t="n">
        <x:f>Y5+'Вводные'!$B$27</x:f>
      </x:c>
      <x:c r="Z7" s="100" t="n">
        <x:f>Z5+'Вводные'!$B$27</x:f>
      </x:c>
      <x:c r="AA7" s="100" t="n">
        <x:f>AA5+'Вводные'!$B$27</x:f>
      </x:c>
      <x:c r="AB7" s="100" t="n">
        <x:f>AB5+'Вводные'!$B$27</x:f>
      </x:c>
      <x:c r="AC7" s="100" t="n">
        <x:f>AC5+'Вводные'!$B$27</x:f>
      </x:c>
      <x:c r="AD7" s="100" t="n">
        <x:f>AD5+'Вводные'!$B$27</x:f>
      </x:c>
      <x:c r="AE7" s="100" t="n">
        <x:f>AE5+'Вводные'!$B$27</x:f>
      </x:c>
      <x:c r="AF7" s="100" t="n">
        <x:f>AF5+'Вводные'!$B$27</x:f>
      </x:c>
      <x:c r="AG7" s="100" t="n">
        <x:f>AG5+'Вводные'!$B$27</x:f>
      </x:c>
      <x:c r="AH7" s="100" t="n">
        <x:f>AH5+'Вводные'!$B$27</x:f>
      </x:c>
      <x:c r="AI7" s="100" t="n">
        <x:f>AI5+'Вводные'!$B$27</x:f>
      </x:c>
      <x:c r="AJ7" s="100" t="n">
        <x:f>AJ5+'Вводные'!$B$27</x:f>
      </x:c>
      <x:c r="AK7" s="100" t="n">
        <x:f>AK5+'Вводные'!$B$27</x:f>
      </x:c>
      <x:c r="AL7" s="100" t="n">
        <x:f>AL5+'Вводные'!$B$27</x:f>
      </x:c>
      <x:c r="AM7" s="100" t="n">
        <x:f>AM5+'Вводные'!$B$27</x:f>
      </x:c>
      <x:c r="AN7" s="100" t="n">
        <x:f>AN5+'Вводные'!$B$27</x:f>
      </x:c>
      <x:c r="AO7" s="100" t="n">
        <x:f>AO5+'Вводные'!$B$27</x:f>
      </x:c>
      <x:c r="AP7" s="100" t="n">
        <x:f>AP5+'Вводные'!$B$27</x:f>
      </x:c>
      <x:c r="AQ7" s="100" t="n">
        <x:f>AQ5+'Вводные'!$B$27</x:f>
      </x:c>
      <x:c r="AR7" s="100" t="n">
        <x:f>AR5+'Вводные'!$B$27</x:f>
      </x:c>
      <x:c r="AS7" s="100" t="n">
        <x:f>AS5+'Вводные'!$B$27</x:f>
      </x:c>
      <x:c r="AT7" s="100" t="n">
        <x:f>AT5+'Вводные'!$B$27</x:f>
      </x:c>
      <x:c r="AU7" s="100" t="n">
        <x:f>AU5+'Вводные'!$B$27</x:f>
      </x:c>
      <x:c r="AV7" s="100" t="n">
        <x:f>AV5+'Вводные'!$B$27</x:f>
      </x:c>
      <x:c r="AW7" s="100" t="n">
        <x:f>AW5+'Вводные'!$B$27</x:f>
      </x:c>
      <x:c r="AX7" s="100" t="n">
        <x:f>AX5+'Вводные'!$B$27</x:f>
      </x:c>
      <x:c r="AY7" s="100" t="n">
        <x:f>AY5+'Вводные'!$B$27</x:f>
      </x:c>
      <x:c r="AZ7" s="100" t="n">
        <x:f>AZ5+'Вводные'!$B$27</x:f>
      </x:c>
      <x:c r="BA7" s="100" t="n">
        <x:f>BA5+'Вводные'!$B$27</x:f>
      </x:c>
      <x:c r="BB7" s="100" t="n">
        <x:f>BB5+'Вводные'!$B$27</x:f>
      </x:c>
      <x:c r="BC7" s="100" t="n">
        <x:f>BC5+'Вводные'!$B$27</x:f>
      </x:c>
      <x:c r="BD7" s="100" t="n">
        <x:f>BD5+'Вводные'!$B$27</x:f>
      </x:c>
      <x:c r="BE7" s="100" t="n">
        <x:f>BE5+'Вводные'!$B$27</x:f>
      </x:c>
      <x:c r="BF7" s="100" t="n">
        <x:f>BF5+'Вводные'!$B$27</x:f>
      </x:c>
      <x:c r="BG7" s="100" t="n">
        <x:f>BG5+'Вводные'!$B$27</x:f>
      </x:c>
      <x:c r="BH7" s="100" t="n">
        <x:f>BH5+'Вводные'!$B$27</x:f>
      </x:c>
      <x:c r="BI7" s="100" t="n">
        <x:f>BI5+'Вводные'!$B$27</x:f>
      </x:c>
      <x:c r="BJ7" s="100" t="n">
        <x:f>BJ5+'Вводные'!$B$27</x:f>
      </x:c>
      <x:c r="BK7" s="100" t="n">
        <x:f>BK5+'Вводные'!$B$27</x:f>
      </x:c>
      <x:c r="BL7" s="100" t="n">
        <x:f>BL5+'Вводные'!$B$27</x:f>
      </x:c>
      <x:c r="BM7" s="100" t="n">
        <x:f>BM5+'Вводные'!$B$27</x:f>
      </x:c>
      <x:c r="BN7" s="100" t="n">
        <x:f>BN5+'Вводные'!$B$27</x:f>
      </x:c>
      <x:c r="BO7" s="100" t="n">
        <x:f>BO5+'Вводные'!$B$27</x:f>
      </x:c>
      <x:c r="BP7" s="100" t="n">
        <x:f>BP5+'Вводные'!$B$27</x:f>
      </x:c>
      <x:c r="BQ7" s="100" t="n">
        <x:f>BQ5+'Вводные'!$B$27</x:f>
      </x:c>
      <x:c r="BR7" s="100" t="n">
        <x:f>BR5+'Вводные'!$B$27</x:f>
      </x:c>
      <x:c r="BS7" s="100" t="n">
        <x:f>BS5+'Вводные'!$B$27</x:f>
      </x:c>
      <x:c r="BT7" s="100" t="n">
        <x:f>BT5+'Вводные'!$B$27</x:f>
      </x:c>
      <x:c r="BU7" s="100" t="n">
        <x:f>BU5+'Вводные'!$B$27</x:f>
      </x:c>
      <x:c r="BV7" s="100" t="n">
        <x:f>BV5+'Вводные'!$B$27</x:f>
      </x:c>
      <x:c r="BW7" s="100" t="n">
        <x:f>BW5+'Вводные'!$B$27</x:f>
      </x:c>
      <x:c r="BX7" s="100" t="n">
        <x:f>BX5+'Вводные'!$B$27</x:f>
      </x:c>
      <x:c r="BY7" s="100" t="n">
        <x:f>BY5+'Вводные'!$B$27</x:f>
      </x:c>
      <x:c r="BZ7" s="100" t="n">
        <x:f>BZ5+'Вводные'!$B$27</x:f>
      </x:c>
      <x:c r="CA7" s="100" t="n">
        <x:f>CA5+'Вводные'!$B$27</x:f>
      </x:c>
      <x:c r="CB7" s="100" t="n">
        <x:f>CB5+'Вводные'!$B$27</x:f>
      </x:c>
      <x:c r="CC7" s="100" t="n">
        <x:f>CC5+'Вводные'!$B$27</x:f>
      </x:c>
      <x:c r="CD7" s="100" t="n">
        <x:f>CD5+'Вводные'!$B$27</x:f>
      </x:c>
      <x:c r="CE7" s="100" t="n">
        <x:f>CE5+'Вводные'!$B$27</x:f>
      </x:c>
      <x:c r="CF7" s="100" t="n">
        <x:f>CF5+'Вводные'!$B$27</x:f>
      </x:c>
      <x:c r="CG7" s="100" t="n">
        <x:f>CG5+'Вводные'!$B$27</x:f>
      </x:c>
      <x:c r="CH7" s="100" t="n">
        <x:f>CH5+'Вводные'!$B$27</x:f>
      </x:c>
      <x:c r="CI7" s="100" t="n">
        <x:f>CI5+'Вводные'!$B$27</x:f>
      </x:c>
      <x:c r="CJ7" s="100" t="n">
        <x:f>CJ5+'Вводные'!$B$27</x:f>
      </x:c>
      <x:c r="CK7" s="100" t="n">
        <x:f>CK5+'Вводные'!$B$27</x:f>
      </x:c>
      <x:c r="CL7" s="100" t="n">
        <x:f>CL5+'Вводные'!$B$27</x:f>
      </x:c>
      <x:c r="CM7" s="100" t="n">
        <x:f>CM5+'Вводные'!$B$27</x:f>
      </x:c>
      <x:c r="CN7" s="100" t="n">
        <x:f>CN5+'Вводные'!$B$27</x:f>
      </x:c>
      <x:c r="CO7" s="100" t="n">
        <x:f>CO5+'Вводные'!$B$27</x:f>
      </x:c>
      <x:c r="CP7" s="100" t="n">
        <x:f>CP5+'Вводные'!$B$27</x:f>
      </x:c>
      <x:c r="CQ7" s="100" t="n">
        <x:f>CQ5+'Вводные'!$B$27</x:f>
      </x:c>
      <x:c r="CR7" s="100" t="n">
        <x:f>CR5+'Вводные'!$B$27</x:f>
      </x:c>
      <x:c r="CS7" s="100" t="n">
        <x:f>CS5+'Вводные'!$B$27</x:f>
      </x:c>
      <x:c r="CT7" s="100" t="n">
        <x:f>CT5+'Вводные'!$B$27</x:f>
      </x:c>
      <x:c r="CU7" s="100" t="n">
        <x:f>CU5+'Вводные'!$B$27</x:f>
      </x:c>
      <x:c r="CV7" s="100" t="n">
        <x:f>CV5+'Вводные'!$B$27</x:f>
      </x:c>
      <x:c r="CW7" s="100" t="n">
        <x:f>CW5+'Вводные'!$B$27</x:f>
      </x:c>
      <x:c r="CX7" s="100" t="n">
        <x:f>CX5+'Вводные'!$B$27</x:f>
      </x:c>
      <x:c r="CY7" s="100" t="n">
        <x:f>CY5+'Вводные'!$B$27</x:f>
      </x:c>
      <x:c r="CZ7" s="100" t="n">
        <x:f>CZ5+'Вводные'!$B$27</x:f>
      </x:c>
      <x:c r="DA7" s="100" t="n">
        <x:f>DA5+'Вводные'!$B$27</x:f>
      </x:c>
      <x:c r="DB7" s="100" t="n">
        <x:f>DB5+'Вводные'!$B$27</x:f>
      </x:c>
      <x:c r="DC7" s="100" t="n">
        <x:f>DC5+'Вводные'!$B$27</x:f>
      </x:c>
      <x:c r="DD7" s="100" t="n">
        <x:f>DD5+'Вводные'!$B$27</x:f>
      </x:c>
      <x:c r="DE7" s="100" t="n">
        <x:f>DE5+'Вводные'!$B$27</x:f>
      </x:c>
      <x:c r="DF7" s="100" t="n">
        <x:f>DF5+'Вводные'!$B$27</x:f>
      </x:c>
      <x:c r="DG7" s="100" t="n">
        <x:f>DG5+'Вводные'!$B$27</x:f>
      </x:c>
      <x:c r="DH7" s="100" t="n">
        <x:f>DH5+'Вводные'!$B$27</x:f>
      </x:c>
      <x:c r="DI7" s="100" t="n">
        <x:f>DI5+'Вводные'!$B$27</x:f>
      </x:c>
      <x:c r="DJ7" s="100" t="n">
        <x:f>DJ5+'Вводные'!$B$27</x:f>
      </x:c>
      <x:c r="DK7" s="100" t="n">
        <x:f>DK5+'Вводные'!$B$27</x:f>
      </x:c>
      <x:c r="DL7" s="100" t="n">
        <x:f>DL5+'Вводные'!$B$27</x:f>
      </x:c>
      <x:c r="DM7" s="100" t="n">
        <x:f>DM5+'Вводные'!$B$27</x:f>
      </x:c>
      <x:c r="DN7" s="100" t="n">
        <x:f>DN5+'Вводные'!$B$27</x:f>
      </x:c>
      <x:c r="DO7" s="100" t="n">
        <x:f>DO5+'Вводные'!$B$27</x:f>
      </x:c>
      <x:c r="DP7" s="100" t="n">
        <x:f>DP5+'Вводные'!$B$27</x:f>
      </x:c>
      <x:c r="DQ7" s="100" t="n">
        <x:f>DQ5+'Вводные'!$B$27</x:f>
      </x:c>
      <x:c r="DR7" s="100" t="n">
        <x:f>DR5+'Вводные'!$B$27</x:f>
      </x:c>
      <x:c r="DS7" s="100" t="n">
        <x:f>DS5+'Вводные'!$B$27</x:f>
      </x:c>
      <x:c r="DT7" s="100" t="n">
        <x:f>DT5+'Вводные'!$B$27</x:f>
      </x:c>
      <x:c r="DU7" s="100" t="n">
        <x:f>DU5+'Вводные'!$B$27</x:f>
      </x:c>
      <x:c r="DV7" s="100" t="n">
        <x:f>DV5+'Вводные'!$B$27</x:f>
      </x:c>
      <x:c r="DW7" s="100" t="n">
        <x:f>DW5+'Вводные'!$B$27</x:f>
      </x:c>
      <x:c r="DX7" s="100" t="n">
        <x:f>DX5+'Вводные'!$B$27</x:f>
      </x:c>
      <x:c r="DY7" s="100" t="n">
        <x:f>DY5+'Вводные'!$B$27</x:f>
      </x:c>
      <x:c r="DZ7" s="100" t="n">
        <x:f>DZ5+'Вводные'!$B$27</x:f>
      </x:c>
      <x:c r="EA7" s="100" t="n">
        <x:f>EA5+'Вводные'!$B$27</x:f>
      </x:c>
      <x:c r="EB7" s="100" t="n">
        <x:f>EB5+'Вводные'!$B$27</x:f>
      </x:c>
      <x:c r="EC7" s="100" t="n">
        <x:f>EC5+'Вводные'!$B$27</x:f>
      </x:c>
      <x:c r="ED7" s="100" t="n">
        <x:f>ED5+'Вводные'!$B$27</x:f>
      </x:c>
      <x:c r="EE7" s="100" t="n">
        <x:f>EE5+'Вводные'!$B$27</x:f>
      </x:c>
      <x:c r="EF7" s="100" t="n">
        <x:f>EF5+'Вводные'!$B$27</x:f>
      </x:c>
      <x:c r="EG7" s="100" t="n">
        <x:f>EG5+'Вводные'!$B$27</x:f>
      </x:c>
      <x:c r="EH7" s="100" t="n">
        <x:f>EH5+'Вводные'!$B$27</x:f>
      </x:c>
      <x:c r="EI7" s="100" t="n">
        <x:f>EI5+'Вводные'!$B$27</x:f>
      </x:c>
      <x:c r="EJ7" s="100" t="n">
        <x:f>EJ5+'Вводные'!$B$27</x:f>
      </x:c>
      <x:c r="EK7" s="100" t="n">
        <x:f>EK5+'Вводные'!$B$27</x:f>
      </x:c>
      <x:c r="EL7" s="100" t="n">
        <x:f>EL5+'Вводные'!$B$27</x:f>
      </x:c>
      <x:c r="EM7" s="100" t="n">
        <x:f>EM5+'Вводные'!$B$27</x:f>
      </x:c>
      <x:c r="EN7" s="100" t="n">
        <x:f>EN5+'Вводные'!$B$27</x:f>
      </x:c>
      <x:c r="EO7" s="100" t="n">
        <x:f>EO5+'Вводные'!$B$27</x:f>
      </x:c>
      <x:c r="EP7" s="100" t="n">
        <x:f>EP5+'Вводные'!$B$27</x:f>
      </x:c>
      <x:c r="EQ7" s="100" t="n">
        <x:f>EQ5+'Вводные'!$B$27</x:f>
      </x:c>
      <x:c r="ER7" s="100" t="n">
        <x:f>ER5+'Вводные'!$B$27</x:f>
      </x:c>
      <x:c r="ES7" s="100" t="n">
        <x:f>ES5+'Вводные'!$B$27</x:f>
      </x:c>
      <x:c r="ET7" s="100" t="n">
        <x:f>ET5+'Вводные'!$B$27</x:f>
      </x:c>
      <x:c r="EU7" s="100" t="n">
        <x:f>EU5+'Вводные'!$B$27</x:f>
      </x:c>
      <x:c r="EV7" s="100" t="n">
        <x:f>EV5+'Вводные'!$B$27</x:f>
      </x:c>
      <x:c r="EW7" s="100" t="n">
        <x:f>EW5+'Вводные'!$B$27</x:f>
      </x:c>
      <x:c r="EX7" s="100" t="n">
        <x:f>EX5+'Вводные'!$B$27</x:f>
      </x:c>
      <x:c r="EY7" s="100" t="n">
        <x:f>EY5+'Вводные'!$B$27</x:f>
      </x:c>
      <x:c r="EZ7" s="100" t="n">
        <x:f>EZ5+'Вводные'!$B$27</x:f>
      </x:c>
      <x:c r="FA7" s="100" t="n">
        <x:f>FA5+'Вводные'!$B$27</x:f>
      </x:c>
      <x:c r="FB7" s="100" t="n">
        <x:f>FB5+'Вводные'!$B$27</x:f>
      </x:c>
      <x:c r="FC7" s="100" t="n">
        <x:f>FC5+'Вводные'!$B$27</x:f>
      </x:c>
      <x:c r="FD7" s="100" t="n">
        <x:f>FD5+'Вводные'!$B$27</x:f>
      </x:c>
      <x:c r="FE7" s="100" t="n">
        <x:f>FE5+'Вводные'!$B$27</x:f>
      </x:c>
      <x:c r="FF7" s="100" t="n">
        <x:f>FF5+'Вводные'!$B$27</x:f>
      </x:c>
      <x:c r="FG7" s="100" t="n">
        <x:f>FG5+'Вводные'!$B$27</x:f>
      </x:c>
      <x:c r="FH7" s="100" t="n">
        <x:f>FH5+'Вводные'!$B$27</x:f>
      </x:c>
      <x:c r="FI7" s="100" t="n">
        <x:f>FI5+'Вводные'!$B$27</x:f>
      </x:c>
      <x:c r="FJ7" s="100" t="n">
        <x:f>FJ5+'Вводные'!$B$27</x:f>
      </x:c>
      <x:c r="FK7" s="100" t="n">
        <x:f>FK5+'Вводные'!$B$27</x:f>
      </x:c>
      <x:c r="FL7" s="100" t="n">
        <x:f>FL5+'Вводные'!$B$27</x:f>
      </x:c>
      <x:c r="FM7" s="100" t="n">
        <x:f>FM5+'Вводные'!$B$27</x:f>
      </x:c>
      <x:c r="FN7" s="100" t="n">
        <x:f>FN5+'Вводные'!$B$27</x:f>
      </x:c>
      <x:c r="FO7" s="100" t="n">
        <x:f>FO5+'Вводные'!$B$27</x:f>
      </x:c>
      <x:c r="FP7" s="100" t="n">
        <x:f>FP5+'Вводные'!$B$27</x:f>
      </x:c>
      <x:c r="FQ7" s="100" t="n">
        <x:f>FQ5+'Вводные'!$B$27</x:f>
      </x:c>
      <x:c r="FR7" s="100" t="n">
        <x:f>FR5+'Вводные'!$B$27</x:f>
      </x:c>
      <x:c r="FS7" s="100" t="n">
        <x:f>FS5+'Вводные'!$B$27</x:f>
      </x:c>
      <x:c r="FT7" s="100" t="n">
        <x:f>FT5+'Вводные'!$B$27</x:f>
      </x:c>
      <x:c r="FU7" s="100" t="n">
        <x:f>FU5+'Вводные'!$B$27</x:f>
      </x:c>
      <x:c r="FV7" s="100" t="n">
        <x:f>FV5+'Вводные'!$B$27</x:f>
      </x:c>
      <x:c r="FW7" s="100" t="n">
        <x:f>FW5+'Вводные'!$B$27</x:f>
      </x:c>
      <x:c r="FX7" s="100" t="n">
        <x:f>FX5+'Вводные'!$B$27</x:f>
      </x:c>
      <x:c r="FY7" s="100" t="n">
        <x:f>FY5+'Вводные'!$B$27</x:f>
      </x:c>
      <x:c r="FZ7" s="100" t="n">
        <x:f>FZ5+'Вводные'!$B$27</x:f>
      </x:c>
      <x:c r="GA7" s="100" t="n">
        <x:f>GA5+'Вводные'!$B$27</x:f>
      </x:c>
    </x:row>
  </x:sheetData>
  <x:mergeCells>
    <x:mergeCell ref="A1:GA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5" hidden="0" customWidth="1"/>
    <x:col min="3" max="3" width="12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  <x:col min="45" max="45" width="11" hidden="0" customWidth="1"/>
    <x:col min="46" max="46" width="11" hidden="0" customWidth="1"/>
    <x:col min="47" max="47" width="11" hidden="0" customWidth="1"/>
    <x:col min="48" max="48" width="11" hidden="0" customWidth="1"/>
    <x:col min="49" max="49" width="11" hidden="0" customWidth="1"/>
    <x:col min="50" max="50" width="11" hidden="0" customWidth="1"/>
    <x:col min="51" max="51" width="11" hidden="0" customWidth="1"/>
    <x:col min="52" max="52" width="11" hidden="0" customWidth="1"/>
    <x:col min="53" max="53" width="11" hidden="0" customWidth="1"/>
    <x:col min="54" max="54" width="11" hidden="0" customWidth="1"/>
    <x:col min="55" max="55" width="11" hidden="0" customWidth="1"/>
    <x:col min="56" max="56" width="11" hidden="0" customWidth="1"/>
    <x:col min="57" max="57" width="11" hidden="0" customWidth="1"/>
    <x:col min="58" max="58" width="11" hidden="0" customWidth="1"/>
    <x:col min="59" max="59" width="11" hidden="0" customWidth="1"/>
    <x:col min="60" max="60" width="11" hidden="0" customWidth="1"/>
    <x:col min="61" max="61" width="11" hidden="0" customWidth="1"/>
    <x:col min="62" max="62" width="11" hidden="0" customWidth="1"/>
    <x:col min="63" max="63" width="11" hidden="0" customWidth="1"/>
    <x:col min="64" max="64" width="11" hidden="0" customWidth="1"/>
    <x:col min="65" max="65" width="11" hidden="0" customWidth="1"/>
    <x:col min="66" max="66" width="11" hidden="0" customWidth="1"/>
    <x:col min="67" max="67" width="11" hidden="0" customWidth="1"/>
    <x:col min="68" max="68" width="11" hidden="0" customWidth="1"/>
    <x:col min="69" max="69" width="11" hidden="0" customWidth="1"/>
    <x:col min="70" max="70" width="11" hidden="0" customWidth="1"/>
    <x:col min="71" max="71" width="11" hidden="0" customWidth="1"/>
    <x:col min="72" max="72" width="11" hidden="0" customWidth="1"/>
    <x:col min="73" max="73" width="11" hidden="0" customWidth="1"/>
    <x:col min="74" max="74" width="11" hidden="0" customWidth="1"/>
    <x:col min="75" max="75" width="11" hidden="0" customWidth="1"/>
    <x:col min="76" max="76" width="11" hidden="0" customWidth="1"/>
    <x:col min="77" max="77" width="11" hidden="0" customWidth="1"/>
    <x:col min="78" max="78" width="11" hidden="0" customWidth="1"/>
    <x:col min="79" max="79" width="11" hidden="0" customWidth="1"/>
    <x:col min="80" max="80" width="11" hidden="0" customWidth="1"/>
    <x:col min="81" max="81" width="11" hidden="0" customWidth="1"/>
    <x:col min="82" max="82" width="11" hidden="0" customWidth="1"/>
    <x:col min="83" max="83" width="11" hidden="0" customWidth="1"/>
    <x:col min="84" max="84" width="11" hidden="0" customWidth="1"/>
    <x:col min="85" max="85" width="11" hidden="0" customWidth="1"/>
    <x:col min="86" max="86" width="11" hidden="0" customWidth="1"/>
    <x:col min="87" max="87" width="11" hidden="0" customWidth="1"/>
    <x:col min="88" max="88" width="11" hidden="0" customWidth="1"/>
    <x:col min="89" max="89" width="11" hidden="0" customWidth="1"/>
    <x:col min="90" max="90" width="11" hidden="0" customWidth="1"/>
    <x:col min="91" max="91" width="11" hidden="0" customWidth="1"/>
    <x:col min="92" max="92" width="11" hidden="0" customWidth="1"/>
    <x:col min="93" max="93" width="11" hidden="0" customWidth="1"/>
    <x:col min="94" max="94" width="11" hidden="0" customWidth="1"/>
    <x:col min="95" max="95" width="11" hidden="0" customWidth="1"/>
    <x:col min="96" max="96" width="11" hidden="0" customWidth="1"/>
    <x:col min="97" max="97" width="11" hidden="0" customWidth="1"/>
    <x:col min="98" max="98" width="11" hidden="0" customWidth="1"/>
    <x:col min="99" max="99" width="11" hidden="0" customWidth="1"/>
    <x:col min="100" max="100" width="11" hidden="0" customWidth="1"/>
    <x:col min="101" max="101" width="11" hidden="0" customWidth="1"/>
    <x:col min="102" max="102" width="11" hidden="0" customWidth="1"/>
    <x:col min="103" max="103" width="11" hidden="0" customWidth="1"/>
    <x:col min="104" max="104" width="11" hidden="0" customWidth="1"/>
    <x:col min="105" max="105" width="11" hidden="0" customWidth="1"/>
    <x:col min="106" max="106" width="11" hidden="0" customWidth="1"/>
    <x:col min="107" max="107" width="11" hidden="0" customWidth="1"/>
    <x:col min="108" max="108" width="11" hidden="0" customWidth="1"/>
    <x:col min="109" max="109" width="11" hidden="0" customWidth="1"/>
    <x:col min="110" max="110" width="11" hidden="0" customWidth="1"/>
    <x:col min="111" max="111" width="11" hidden="0" customWidth="1"/>
    <x:col min="112" max="112" width="11" hidden="0" customWidth="1"/>
    <x:col min="113" max="113" width="11" hidden="0" customWidth="1"/>
    <x:col min="114" max="114" width="11" hidden="0" customWidth="1"/>
    <x:col min="115" max="115" width="11" hidden="0" customWidth="1"/>
    <x:col min="116" max="116" width="11" hidden="0" customWidth="1"/>
    <x:col min="117" max="117" width="11" hidden="0" customWidth="1"/>
    <x:col min="118" max="118" width="11" hidden="0" customWidth="1"/>
    <x:col min="119" max="119" width="11" hidden="0" customWidth="1"/>
    <x:col min="120" max="120" width="11" hidden="0" customWidth="1"/>
    <x:col min="121" max="121" width="11" hidden="0" customWidth="1"/>
    <x:col min="122" max="122" width="11" hidden="0" customWidth="1"/>
    <x:col min="123" max="123" width="11" hidden="0" customWidth="1"/>
    <x:col min="124" max="124" width="11" hidden="0" customWidth="1"/>
    <x:col min="125" max="125" width="11" hidden="0" customWidth="1"/>
    <x:col min="126" max="126" width="11" hidden="0" customWidth="1"/>
    <x:col min="127" max="127" width="11" hidden="0" customWidth="1"/>
    <x:col min="128" max="128" width="11" hidden="0" customWidth="1"/>
    <x:col min="129" max="129" width="11" hidden="0" customWidth="1"/>
    <x:col min="130" max="130" width="11" hidden="0" customWidth="1"/>
    <x:col min="131" max="131" width="11" hidden="0" customWidth="1"/>
    <x:col min="132" max="132" width="11" hidden="0" customWidth="1"/>
    <x:col min="133" max="133" width="11" hidden="0" customWidth="1"/>
    <x:col min="134" max="134" width="11" hidden="0" customWidth="1"/>
    <x:col min="135" max="135" width="11" hidden="0" customWidth="1"/>
    <x:col min="136" max="136" width="11" hidden="0" customWidth="1"/>
    <x:col min="137" max="137" width="11" hidden="0" customWidth="1"/>
    <x:col min="138" max="138" width="11" hidden="0" customWidth="1"/>
    <x:col min="139" max="139" width="11" hidden="0" customWidth="1"/>
    <x:col min="140" max="140" width="11" hidden="0" customWidth="1"/>
    <x:col min="141" max="141" width="11" hidden="0" customWidth="1"/>
    <x:col min="142" max="142" width="11" hidden="0" customWidth="1"/>
    <x:col min="143" max="143" width="11" hidden="0" customWidth="1"/>
    <x:col min="144" max="144" width="11" hidden="0" customWidth="1"/>
    <x:col min="145" max="145" width="11" hidden="0" customWidth="1"/>
    <x:col min="146" max="146" width="11" hidden="0" customWidth="1"/>
    <x:col min="147" max="147" width="11" hidden="0" customWidth="1"/>
    <x:col min="148" max="148" width="11" hidden="0" customWidth="1"/>
    <x:col min="149" max="149" width="11" hidden="0" customWidth="1"/>
    <x:col min="150" max="150" width="11" hidden="0" customWidth="1"/>
    <x:col min="151" max="151" width="11" hidden="0" customWidth="1"/>
    <x:col min="152" max="152" width="11" hidden="0" customWidth="1"/>
    <x:col min="153" max="153" width="11" hidden="0" customWidth="1"/>
    <x:col min="154" max="154" width="11" hidden="0" customWidth="1"/>
    <x:col min="155" max="155" width="11" hidden="0" customWidth="1"/>
    <x:col min="156" max="156" width="11" hidden="0" customWidth="1"/>
    <x:col min="157" max="157" width="11" hidden="0" customWidth="1"/>
    <x:col min="158" max="158" width="11" hidden="0" customWidth="1"/>
    <x:col min="159" max="159" width="11" hidden="0" customWidth="1"/>
    <x:col min="160" max="160" width="11" hidden="0" customWidth="1"/>
    <x:col min="161" max="161" width="11" hidden="0" customWidth="1"/>
    <x:col min="162" max="162" width="11" hidden="0" customWidth="1"/>
    <x:col min="163" max="163" width="11" hidden="0" customWidth="1"/>
    <x:col min="164" max="164" width="11" hidden="0" customWidth="1"/>
    <x:col min="165" max="165" width="11" hidden="0" customWidth="1"/>
    <x:col min="166" max="166" width="11" hidden="0" customWidth="1"/>
    <x:col min="167" max="167" width="11" hidden="0" customWidth="1"/>
    <x:col min="168" max="168" width="11" hidden="0" customWidth="1"/>
    <x:col min="169" max="169" width="11" hidden="0" customWidth="1"/>
    <x:col min="170" max="170" width="11" hidden="0" customWidth="1"/>
    <x:col min="171" max="171" width="11" hidden="0" customWidth="1"/>
    <x:col min="172" max="172" width="11" hidden="0" customWidth="1"/>
    <x:col min="173" max="173" width="11" hidden="0" customWidth="1"/>
    <x:col min="174" max="174" width="11" hidden="0" customWidth="1"/>
    <x:col min="175" max="175" width="11" hidden="0" customWidth="1"/>
    <x:col min="176" max="176" width="11" hidden="0" customWidth="1"/>
    <x:col min="177" max="177" width="11" hidden="0" customWidth="1"/>
    <x:col min="178" max="178" width="11" hidden="0" customWidth="1"/>
    <x:col min="179" max="179" width="11" hidden="0" customWidth="1"/>
    <x:col min="180" max="180" width="11" hidden="0" customWidth="1"/>
    <x:col min="181" max="181" width="11" hidden="0" customWidth="1"/>
    <x:col min="182" max="182" width="11" hidden="0" customWidth="1"/>
    <x:col min="183" max="183" width="11" hidden="0" customWidth="1"/>
  </x:cols>
  <x:sheetData>
    <x:row r="1" ht="28" customHeight="1">
      <x:c r="A1" s="4" t="str">
        <x:v>ПЛАН ПРОДАЖ · ОБЪЁМЫ, ЦЕНЫ И ВЫРУЧКА</x:v>
      </x:c>
      <x:c r="B1" s="4" t="str">
        <x:v>ПЛАН ПРОДАЖ · ОБЪЁМЫ, ЦЕНЫ И ВЫРУЧКА</x:v>
      </x:c>
      <x:c r="C1" s="4" t="str">
        <x:v>ПЛАН ПРОДАЖ · ОБЪЁМЫ, ЦЕНЫ И ВЫРУЧКА</x:v>
      </x:c>
      <x:c r="D1" s="4" t="str">
        <x:v>ПЛАН ПРОДАЖ · ОБЪЁМЫ, ЦЕНЫ И ВЫРУЧКА</x:v>
      </x:c>
      <x:c r="E1" s="4" t="str">
        <x:v>ПЛАН ПРОДАЖ · ОБЪЁМЫ, ЦЕНЫ И ВЫРУЧКА</x:v>
      </x:c>
      <x:c r="F1" s="4" t="str">
        <x:v>ПЛАН ПРОДАЖ · ОБЪЁМЫ, ЦЕНЫ И ВЫРУЧКА</x:v>
      </x:c>
      <x:c r="G1" s="4" t="str">
        <x:v>ПЛАН ПРОДАЖ · ОБЪЁМЫ, ЦЕНЫ И ВЫРУЧКА</x:v>
      </x:c>
      <x:c r="H1" s="4" t="str">
        <x:v>ПЛАН ПРОДАЖ · ОБЪЁМЫ, ЦЕНЫ И ВЫРУЧКА</x:v>
      </x:c>
      <x:c r="I1" s="4" t="str">
        <x:v>ПЛАН ПРОДАЖ · ОБЪЁМЫ, ЦЕНЫ И ВЫРУЧКА</x:v>
      </x:c>
      <x:c r="J1" s="4" t="str">
        <x:v>ПЛАН ПРОДАЖ · ОБЪЁМЫ, ЦЕНЫ И ВЫРУЧКА</x:v>
      </x:c>
      <x:c r="K1" s="4" t="str">
        <x:v>ПЛАН ПРОДАЖ · ОБЪЁМЫ, ЦЕНЫ И ВЫРУЧКА</x:v>
      </x:c>
      <x:c r="L1" s="4" t="str">
        <x:v>ПЛАН ПРОДАЖ · ОБЪЁМЫ, ЦЕНЫ И ВЫРУЧКА</x:v>
      </x:c>
      <x:c r="M1" s="4" t="str">
        <x:v>ПЛАН ПРОДАЖ · ОБЪЁМЫ, ЦЕНЫ И ВЫРУЧКА</x:v>
      </x:c>
      <x:c r="N1" s="4" t="str">
        <x:v>ПЛАН ПРОДАЖ · ОБЪЁМЫ, ЦЕНЫ И ВЫРУЧКА</x:v>
      </x:c>
      <x:c r="O1" s="4" t="str">
        <x:v>ПЛАН ПРОДАЖ · ОБЪЁМЫ, ЦЕНЫ И ВЫРУЧКА</x:v>
      </x:c>
      <x:c r="P1" s="4" t="str">
        <x:v>ПЛАН ПРОДАЖ · ОБЪЁМЫ, ЦЕНЫ И ВЫРУЧКА</x:v>
      </x:c>
      <x:c r="Q1" s="4" t="str">
        <x:v>ПЛАН ПРОДАЖ · ОБЪЁМЫ, ЦЕНЫ И ВЫРУЧКА</x:v>
      </x:c>
      <x:c r="R1" s="4" t="str">
        <x:v>ПЛАН ПРОДАЖ · ОБЪЁМЫ, ЦЕНЫ И ВЫРУЧКА</x:v>
      </x:c>
      <x:c r="S1" s="4" t="str">
        <x:v>ПЛАН ПРОДАЖ · ОБЪЁМЫ, ЦЕНЫ И ВЫРУЧКА</x:v>
      </x:c>
      <x:c r="T1" s="4" t="str">
        <x:v>ПЛАН ПРОДАЖ · ОБЪЁМЫ, ЦЕНЫ И ВЫРУЧКА</x:v>
      </x:c>
      <x:c r="U1" s="4" t="str">
        <x:v>ПЛАН ПРОДАЖ · ОБЪЁМЫ, ЦЕНЫ И ВЫРУЧКА</x:v>
      </x:c>
      <x:c r="V1" s="4" t="str">
        <x:v>ПЛАН ПРОДАЖ · ОБЪЁМЫ, ЦЕНЫ И ВЫРУЧКА</x:v>
      </x:c>
      <x:c r="W1" s="4" t="str">
        <x:v>ПЛАН ПРОДАЖ · ОБЪЁМЫ, ЦЕНЫ И ВЫРУЧКА</x:v>
      </x:c>
      <x:c r="X1" s="4" t="str">
        <x:v>ПЛАН ПРОДАЖ · ОБЪЁМЫ, ЦЕНЫ И ВЫРУЧКА</x:v>
      </x:c>
      <x:c r="Y1" s="4" t="str">
        <x:v>ПЛАН ПРОДАЖ · ОБЪЁМЫ, ЦЕНЫ И ВЫРУЧКА</x:v>
      </x:c>
      <x:c r="Z1" s="4" t="str">
        <x:v>ПЛАН ПРОДАЖ · ОБЪЁМЫ, ЦЕНЫ И ВЫРУЧКА</x:v>
      </x:c>
      <x:c r="AA1" s="4" t="str">
        <x:v>ПЛАН ПРОДАЖ · ОБЪЁМЫ, ЦЕНЫ И ВЫРУЧКА</x:v>
      </x:c>
      <x:c r="AB1" s="4" t="str">
        <x:v>ПЛАН ПРОДАЖ · ОБЪЁМЫ, ЦЕНЫ И ВЫРУЧКА</x:v>
      </x:c>
      <x:c r="AC1" s="4" t="str">
        <x:v>ПЛАН ПРОДАЖ · ОБЪЁМЫ, ЦЕНЫ И ВЫРУЧКА</x:v>
      </x:c>
      <x:c r="AD1" s="4" t="str">
        <x:v>ПЛАН ПРОДАЖ · ОБЪЁМЫ, ЦЕНЫ И ВЫРУЧКА</x:v>
      </x:c>
      <x:c r="AE1" s="4" t="str">
        <x:v>ПЛАН ПРОДАЖ · ОБЪЁМЫ, ЦЕНЫ И ВЫРУЧКА</x:v>
      </x:c>
      <x:c r="AF1" s="4" t="str">
        <x:v>ПЛАН ПРОДАЖ · ОБЪЁМЫ, ЦЕНЫ И ВЫРУЧКА</x:v>
      </x:c>
      <x:c r="AG1" s="4" t="str">
        <x:v>ПЛАН ПРОДАЖ · ОБЪЁМЫ, ЦЕНЫ И ВЫРУЧКА</x:v>
      </x:c>
      <x:c r="AH1" s="4" t="str">
        <x:v>ПЛАН ПРОДАЖ · ОБЪЁМЫ, ЦЕНЫ И ВЫРУЧКА</x:v>
      </x:c>
      <x:c r="AI1" s="4" t="str">
        <x:v>ПЛАН ПРОДАЖ · ОБЪЁМЫ, ЦЕНЫ И ВЫРУЧКА</x:v>
      </x:c>
      <x:c r="AJ1" s="4" t="str">
        <x:v>ПЛАН ПРОДАЖ · ОБЪЁМЫ, ЦЕНЫ И ВЫРУЧКА</x:v>
      </x:c>
      <x:c r="AK1" s="4" t="str">
        <x:v>ПЛАН ПРОДАЖ · ОБЪЁМЫ, ЦЕНЫ И ВЫРУЧКА</x:v>
      </x:c>
      <x:c r="AL1" s="4" t="str">
        <x:v>ПЛАН ПРОДАЖ · ОБЪЁМЫ, ЦЕНЫ И ВЫРУЧКА</x:v>
      </x:c>
      <x:c r="AM1" s="4" t="str">
        <x:v>ПЛАН ПРОДАЖ · ОБЪЁМЫ, ЦЕНЫ И ВЫРУЧКА</x:v>
      </x:c>
      <x:c r="AN1" s="4" t="str">
        <x:v>ПЛАН ПРОДАЖ · ОБЪЁМЫ, ЦЕНЫ И ВЫРУЧКА</x:v>
      </x:c>
      <x:c r="AO1" s="4" t="str">
        <x:v>ПЛАН ПРОДАЖ · ОБЪЁМЫ, ЦЕНЫ И ВЫРУЧКА</x:v>
      </x:c>
      <x:c r="AP1" s="4" t="str">
        <x:v>ПЛАН ПРОДАЖ · ОБЪЁМЫ, ЦЕНЫ И ВЫРУЧКА</x:v>
      </x:c>
      <x:c r="AQ1" s="4" t="str">
        <x:v>ПЛАН ПРОДАЖ · ОБЪЁМЫ, ЦЕНЫ И ВЫРУЧКА</x:v>
      </x:c>
      <x:c r="AR1" s="4" t="str">
        <x:v>ПЛАН ПРОДАЖ · ОБЪЁМЫ, ЦЕНЫ И ВЫРУЧКА</x:v>
      </x:c>
      <x:c r="AS1" s="4" t="str">
        <x:v>ПЛАН ПРОДАЖ · ОБЪЁМЫ, ЦЕНЫ И ВЫРУЧКА</x:v>
      </x:c>
      <x:c r="AT1" s="4" t="str">
        <x:v>ПЛАН ПРОДАЖ · ОБЪЁМЫ, ЦЕНЫ И ВЫРУЧКА</x:v>
      </x:c>
      <x:c r="AU1" s="4" t="str">
        <x:v>ПЛАН ПРОДАЖ · ОБЪЁМЫ, ЦЕНЫ И ВЫРУЧКА</x:v>
      </x:c>
      <x:c r="AV1" s="4" t="str">
        <x:v>ПЛАН ПРОДАЖ · ОБЪЁМЫ, ЦЕНЫ И ВЫРУЧКА</x:v>
      </x:c>
      <x:c r="AW1" s="4" t="str">
        <x:v>ПЛАН ПРОДАЖ · ОБЪЁМЫ, ЦЕНЫ И ВЫРУЧКА</x:v>
      </x:c>
      <x:c r="AX1" s="4" t="str">
        <x:v>ПЛАН ПРОДАЖ · ОБЪЁМЫ, ЦЕНЫ И ВЫРУЧКА</x:v>
      </x:c>
      <x:c r="AY1" s="4" t="str">
        <x:v>ПЛАН ПРОДАЖ · ОБЪЁМЫ, ЦЕНЫ И ВЫРУЧКА</x:v>
      </x:c>
      <x:c r="AZ1" s="4" t="str">
        <x:v>ПЛАН ПРОДАЖ · ОБЪЁМЫ, ЦЕНЫ И ВЫРУЧКА</x:v>
      </x:c>
      <x:c r="BA1" s="4" t="str">
        <x:v>ПЛАН ПРОДАЖ · ОБЪЁМЫ, ЦЕНЫ И ВЫРУЧКА</x:v>
      </x:c>
      <x:c r="BB1" s="4" t="str">
        <x:v>ПЛАН ПРОДАЖ · ОБЪЁМЫ, ЦЕНЫ И ВЫРУЧКА</x:v>
      </x:c>
      <x:c r="BC1" s="4" t="str">
        <x:v>ПЛАН ПРОДАЖ · ОБЪЁМЫ, ЦЕНЫ И ВЫРУЧКА</x:v>
      </x:c>
      <x:c r="BD1" s="4" t="str">
        <x:v>ПЛАН ПРОДАЖ · ОБЪЁМЫ, ЦЕНЫ И ВЫРУЧКА</x:v>
      </x:c>
      <x:c r="BE1" s="4" t="str">
        <x:v>ПЛАН ПРОДАЖ · ОБЪЁМЫ, ЦЕНЫ И ВЫРУЧКА</x:v>
      </x:c>
      <x:c r="BF1" s="4" t="str">
        <x:v>ПЛАН ПРОДАЖ · ОБЪЁМЫ, ЦЕНЫ И ВЫРУЧКА</x:v>
      </x:c>
      <x:c r="BG1" s="4" t="str">
        <x:v>ПЛАН ПРОДАЖ · ОБЪЁМЫ, ЦЕНЫ И ВЫРУЧКА</x:v>
      </x:c>
      <x:c r="BH1" s="4" t="str">
        <x:v>ПЛАН ПРОДАЖ · ОБЪЁМЫ, ЦЕНЫ И ВЫРУЧКА</x:v>
      </x:c>
      <x:c r="BI1" s="4" t="str">
        <x:v>ПЛАН ПРОДАЖ · ОБЪЁМЫ, ЦЕНЫ И ВЫРУЧКА</x:v>
      </x:c>
      <x:c r="BJ1" s="4" t="str">
        <x:v>ПЛАН ПРОДАЖ · ОБЪЁМЫ, ЦЕНЫ И ВЫРУЧКА</x:v>
      </x:c>
      <x:c r="BK1" s="4" t="str">
        <x:v>ПЛАН ПРОДАЖ · ОБЪЁМЫ, ЦЕНЫ И ВЫРУЧКА</x:v>
      </x:c>
      <x:c r="BL1" s="4" t="str">
        <x:v>ПЛАН ПРОДАЖ · ОБЪЁМЫ, ЦЕНЫ И ВЫРУЧКА</x:v>
      </x:c>
      <x:c r="BM1" s="4" t="str">
        <x:v>ПЛАН ПРОДАЖ · ОБЪЁМЫ, ЦЕНЫ И ВЫРУЧКА</x:v>
      </x:c>
      <x:c r="BN1" s="4" t="str">
        <x:v>ПЛАН ПРОДАЖ · ОБЪЁМЫ, ЦЕНЫ И ВЫРУЧКА</x:v>
      </x:c>
      <x:c r="BO1" s="4" t="str">
        <x:v>ПЛАН ПРОДАЖ · ОБЪЁМЫ, ЦЕНЫ И ВЫРУЧКА</x:v>
      </x:c>
      <x:c r="BP1" s="4" t="str">
        <x:v>ПЛАН ПРОДАЖ · ОБЪЁМЫ, ЦЕНЫ И ВЫРУЧКА</x:v>
      </x:c>
      <x:c r="BQ1" s="4" t="str">
        <x:v>ПЛАН ПРОДАЖ · ОБЪЁМЫ, ЦЕНЫ И ВЫРУЧКА</x:v>
      </x:c>
      <x:c r="BR1" s="4" t="str">
        <x:v>ПЛАН ПРОДАЖ · ОБЪЁМЫ, ЦЕНЫ И ВЫРУЧКА</x:v>
      </x:c>
      <x:c r="BS1" s="4" t="str">
        <x:v>ПЛАН ПРОДАЖ · ОБЪЁМЫ, ЦЕНЫ И ВЫРУЧКА</x:v>
      </x:c>
      <x:c r="BT1" s="4" t="str">
        <x:v>ПЛАН ПРОДАЖ · ОБЪЁМЫ, ЦЕНЫ И ВЫРУЧКА</x:v>
      </x:c>
      <x:c r="BU1" s="4" t="str">
        <x:v>ПЛАН ПРОДАЖ · ОБЪЁМЫ, ЦЕНЫ И ВЫРУЧКА</x:v>
      </x:c>
      <x:c r="BV1" s="4" t="str">
        <x:v>ПЛАН ПРОДАЖ · ОБЪЁМЫ, ЦЕНЫ И ВЫРУЧКА</x:v>
      </x:c>
      <x:c r="BW1" s="4" t="str">
        <x:v>ПЛАН ПРОДАЖ · ОБЪЁМЫ, ЦЕНЫ И ВЫРУЧКА</x:v>
      </x:c>
      <x:c r="BX1" s="4" t="str">
        <x:v>ПЛАН ПРОДАЖ · ОБЪЁМЫ, ЦЕНЫ И ВЫРУЧКА</x:v>
      </x:c>
      <x:c r="BY1" s="4" t="str">
        <x:v>ПЛАН ПРОДАЖ · ОБЪЁМЫ, ЦЕНЫ И ВЫРУЧКА</x:v>
      </x:c>
      <x:c r="BZ1" s="4" t="str">
        <x:v>ПЛАН ПРОДАЖ · ОБЪЁМЫ, ЦЕНЫ И ВЫРУЧКА</x:v>
      </x:c>
      <x:c r="CA1" s="4" t="str">
        <x:v>ПЛАН ПРОДАЖ · ОБЪЁМЫ, ЦЕНЫ И ВЫРУЧКА</x:v>
      </x:c>
      <x:c r="CB1" s="4" t="str">
        <x:v>ПЛАН ПРОДАЖ · ОБЪЁМЫ, ЦЕНЫ И ВЫРУЧКА</x:v>
      </x:c>
      <x:c r="CC1" s="4" t="str">
        <x:v>ПЛАН ПРОДАЖ · ОБЪЁМЫ, ЦЕНЫ И ВЫРУЧКА</x:v>
      </x:c>
      <x:c r="CD1" s="4" t="str">
        <x:v>ПЛАН ПРОДАЖ · ОБЪЁМЫ, ЦЕНЫ И ВЫРУЧКА</x:v>
      </x:c>
      <x:c r="CE1" s="4" t="str">
        <x:v>ПЛАН ПРОДАЖ · ОБЪЁМЫ, ЦЕНЫ И ВЫРУЧКА</x:v>
      </x:c>
      <x:c r="CF1" s="4" t="str">
        <x:v>ПЛАН ПРОДАЖ · ОБЪЁМЫ, ЦЕНЫ И ВЫРУЧКА</x:v>
      </x:c>
      <x:c r="CG1" s="4" t="str">
        <x:v>ПЛАН ПРОДАЖ · ОБЪЁМЫ, ЦЕНЫ И ВЫРУЧКА</x:v>
      </x:c>
      <x:c r="CH1" s="4" t="str">
        <x:v>ПЛАН ПРОДАЖ · ОБЪЁМЫ, ЦЕНЫ И ВЫРУЧКА</x:v>
      </x:c>
      <x:c r="CI1" s="4" t="str">
        <x:v>ПЛАН ПРОДАЖ · ОБЪЁМЫ, ЦЕНЫ И ВЫРУЧКА</x:v>
      </x:c>
      <x:c r="CJ1" s="4" t="str">
        <x:v>ПЛАН ПРОДАЖ · ОБЪЁМЫ, ЦЕНЫ И ВЫРУЧКА</x:v>
      </x:c>
      <x:c r="CK1" s="4" t="str">
        <x:v>ПЛАН ПРОДАЖ · ОБЪЁМЫ, ЦЕНЫ И ВЫРУЧКА</x:v>
      </x:c>
      <x:c r="CL1" s="4" t="str">
        <x:v>ПЛАН ПРОДАЖ · ОБЪЁМЫ, ЦЕНЫ И ВЫРУЧКА</x:v>
      </x:c>
      <x:c r="CM1" s="4" t="str">
        <x:v>ПЛАН ПРОДАЖ · ОБЪЁМЫ, ЦЕНЫ И ВЫРУЧКА</x:v>
      </x:c>
      <x:c r="CN1" s="4" t="str">
        <x:v>ПЛАН ПРОДАЖ · ОБЪЁМЫ, ЦЕНЫ И ВЫРУЧКА</x:v>
      </x:c>
      <x:c r="CO1" s="4" t="str">
        <x:v>ПЛАН ПРОДАЖ · ОБЪЁМЫ, ЦЕНЫ И ВЫРУЧКА</x:v>
      </x:c>
      <x:c r="CP1" s="4" t="str">
        <x:v>ПЛАН ПРОДАЖ · ОБЪЁМЫ, ЦЕНЫ И ВЫРУЧКА</x:v>
      </x:c>
      <x:c r="CQ1" s="4" t="str">
        <x:v>ПЛАН ПРОДАЖ · ОБЪЁМЫ, ЦЕНЫ И ВЫРУЧКА</x:v>
      </x:c>
      <x:c r="CR1" s="4" t="str">
        <x:v>ПЛАН ПРОДАЖ · ОБЪЁМЫ, ЦЕНЫ И ВЫРУЧКА</x:v>
      </x:c>
      <x:c r="CS1" s="4" t="str">
        <x:v>ПЛАН ПРОДАЖ · ОБЪЁМЫ, ЦЕНЫ И ВЫРУЧКА</x:v>
      </x:c>
      <x:c r="CT1" s="4" t="str">
        <x:v>ПЛАН ПРОДАЖ · ОБЪЁМЫ, ЦЕНЫ И ВЫРУЧКА</x:v>
      </x:c>
      <x:c r="CU1" s="4" t="str">
        <x:v>ПЛАН ПРОДАЖ · ОБЪЁМЫ, ЦЕНЫ И ВЫРУЧКА</x:v>
      </x:c>
      <x:c r="CV1" s="4" t="str">
        <x:v>ПЛАН ПРОДАЖ · ОБЪЁМЫ, ЦЕНЫ И ВЫРУЧКА</x:v>
      </x:c>
      <x:c r="CW1" s="4" t="str">
        <x:v>ПЛАН ПРОДАЖ · ОБЪЁМЫ, ЦЕНЫ И ВЫРУЧКА</x:v>
      </x:c>
      <x:c r="CX1" s="4" t="str">
        <x:v>ПЛАН ПРОДАЖ · ОБЪЁМЫ, ЦЕНЫ И ВЫРУЧКА</x:v>
      </x:c>
      <x:c r="CY1" s="4" t="str">
        <x:v>ПЛАН ПРОДАЖ · ОБЪЁМЫ, ЦЕНЫ И ВЫРУЧКА</x:v>
      </x:c>
      <x:c r="CZ1" s="4" t="str">
        <x:v>ПЛАН ПРОДАЖ · ОБЪЁМЫ, ЦЕНЫ И ВЫРУЧКА</x:v>
      </x:c>
      <x:c r="DA1" s="4" t="str">
        <x:v>ПЛАН ПРОДАЖ · ОБЪЁМЫ, ЦЕНЫ И ВЫРУЧКА</x:v>
      </x:c>
      <x:c r="DB1" s="4" t="str">
        <x:v>ПЛАН ПРОДАЖ · ОБЪЁМЫ, ЦЕНЫ И ВЫРУЧКА</x:v>
      </x:c>
      <x:c r="DC1" s="4" t="str">
        <x:v>ПЛАН ПРОДАЖ · ОБЪЁМЫ, ЦЕНЫ И ВЫРУЧКА</x:v>
      </x:c>
      <x:c r="DD1" s="4" t="str">
        <x:v>ПЛАН ПРОДАЖ · ОБЪЁМЫ, ЦЕНЫ И ВЫРУЧКА</x:v>
      </x:c>
      <x:c r="DE1" s="4" t="str">
        <x:v>ПЛАН ПРОДАЖ · ОБЪЁМЫ, ЦЕНЫ И ВЫРУЧКА</x:v>
      </x:c>
      <x:c r="DF1" s="4" t="str">
        <x:v>ПЛАН ПРОДАЖ · ОБЪЁМЫ, ЦЕНЫ И ВЫРУЧКА</x:v>
      </x:c>
      <x:c r="DG1" s="4" t="str">
        <x:v>ПЛАН ПРОДАЖ · ОБЪЁМЫ, ЦЕНЫ И ВЫРУЧКА</x:v>
      </x:c>
      <x:c r="DH1" s="4" t="str">
        <x:v>ПЛАН ПРОДАЖ · ОБЪЁМЫ, ЦЕНЫ И ВЫРУЧКА</x:v>
      </x:c>
      <x:c r="DI1" s="4" t="str">
        <x:v>ПЛАН ПРОДАЖ · ОБЪЁМЫ, ЦЕНЫ И ВЫРУЧКА</x:v>
      </x:c>
      <x:c r="DJ1" s="4" t="str">
        <x:v>ПЛАН ПРОДАЖ · ОБЪЁМЫ, ЦЕНЫ И ВЫРУЧКА</x:v>
      </x:c>
      <x:c r="DK1" s="4" t="str">
        <x:v>ПЛАН ПРОДАЖ · ОБЪЁМЫ, ЦЕНЫ И ВЫРУЧКА</x:v>
      </x:c>
      <x:c r="DL1" s="4" t="str">
        <x:v>ПЛАН ПРОДАЖ · ОБЪЁМЫ, ЦЕНЫ И ВЫРУЧКА</x:v>
      </x:c>
      <x:c r="DM1" s="4" t="str">
        <x:v>ПЛАН ПРОДАЖ · ОБЪЁМЫ, ЦЕНЫ И ВЫРУЧКА</x:v>
      </x:c>
      <x:c r="DN1" s="4" t="str">
        <x:v>ПЛАН ПРОДАЖ · ОБЪЁМЫ, ЦЕНЫ И ВЫРУЧКА</x:v>
      </x:c>
      <x:c r="DO1" s="4" t="str">
        <x:v>ПЛАН ПРОДАЖ · ОБЪЁМЫ, ЦЕНЫ И ВЫРУЧКА</x:v>
      </x:c>
      <x:c r="DP1" s="4" t="str">
        <x:v>ПЛАН ПРОДАЖ · ОБЪЁМЫ, ЦЕНЫ И ВЫРУЧКА</x:v>
      </x:c>
      <x:c r="DQ1" s="4" t="str">
        <x:v>ПЛАН ПРОДАЖ · ОБЪЁМЫ, ЦЕНЫ И ВЫРУЧКА</x:v>
      </x:c>
      <x:c r="DR1" s="4" t="str">
        <x:v>ПЛАН ПРОДАЖ · ОБЪЁМЫ, ЦЕНЫ И ВЫРУЧКА</x:v>
      </x:c>
      <x:c r="DS1" s="4" t="str">
        <x:v>ПЛАН ПРОДАЖ · ОБЪЁМЫ, ЦЕНЫ И ВЫРУЧКА</x:v>
      </x:c>
      <x:c r="DT1" s="4" t="str"/>
      <x:c r="DU1" s="4" t="str"/>
      <x:c r="DV1" s="4" t="str"/>
      <x:c r="DW1" s="4" t="str"/>
      <x:c r="DX1" s="4" t="str"/>
      <x:c r="DY1" s="4" t="str"/>
      <x:c r="DZ1" s="4" t="str"/>
      <x:c r="EA1" s="4" t="str"/>
      <x:c r="EB1" s="4" t="str"/>
      <x:c r="EC1" s="4" t="str"/>
      <x:c r="ED1" s="4" t="str"/>
      <x:c r="EE1" s="4" t="str"/>
      <x:c r="EF1" s="4" t="str"/>
      <x:c r="EG1" s="4" t="str"/>
      <x:c r="EH1" s="4" t="str"/>
      <x:c r="EI1" s="4" t="str"/>
      <x:c r="EJ1" s="4" t="str"/>
      <x:c r="EK1" s="4" t="str"/>
      <x:c r="EL1" s="4" t="str"/>
      <x:c r="EM1" s="4" t="str"/>
      <x:c r="EN1" s="4" t="str"/>
      <x:c r="EO1" s="4" t="str"/>
      <x:c r="EP1" s="4" t="str"/>
      <x:c r="EQ1" s="4" t="str"/>
      <x:c r="ER1" s="4" t="str"/>
      <x:c r="ES1" s="4" t="str"/>
      <x:c r="ET1" s="4" t="str"/>
      <x:c r="EU1" s="4" t="str"/>
      <x:c r="EV1" s="4" t="str"/>
      <x:c r="EW1" s="4" t="str"/>
      <x:c r="EX1" s="4" t="str"/>
      <x:c r="EY1" s="4" t="str"/>
      <x:c r="EZ1" s="4" t="str"/>
      <x:c r="FA1" s="4" t="str"/>
      <x:c r="FB1" s="4" t="str"/>
      <x:c r="FC1" s="4" t="str"/>
      <x:c r="FD1" s="4" t="str"/>
      <x:c r="FE1" s="4" t="str"/>
      <x:c r="FF1" s="4" t="str"/>
      <x:c r="FG1" s="4" t="str"/>
      <x:c r="FH1" s="4" t="str"/>
      <x:c r="FI1" s="4" t="str"/>
      <x:c r="FJ1" s="4" t="str"/>
      <x:c r="FK1" s="4" t="str"/>
      <x:c r="FL1" s="4" t="str"/>
      <x:c r="FM1" s="4" t="str"/>
      <x:c r="FN1" s="4" t="str"/>
      <x:c r="FO1" s="4" t="str"/>
      <x:c r="FP1" s="4" t="str"/>
      <x:c r="FQ1" s="4" t="str"/>
      <x:c r="FR1" s="4" t="str"/>
      <x:c r="FS1" s="4" t="str"/>
      <x:c r="FT1" s="4" t="str"/>
      <x:c r="FU1" s="4" t="str"/>
      <x:c r="FV1" s="4" t="str"/>
      <x:c r="FW1" s="4" t="str"/>
      <x:c r="FX1" s="4" t="str"/>
      <x:c r="FY1" s="4" t="str"/>
      <x:c r="FZ1" s="4" t="str"/>
      <x:c r="GA1" s="4" t="str"/>
    </x:row>
    <x:row r="3">
      <x:c r="A3" s="23" t="str">
        <x:v>Показатель</x:v>
      </x:c>
      <x:c r="B3" s="23" t="str">
        <x:v>Итого / среднее</x:v>
      </x:c>
      <x:c r="C3" s="23" t="str">
        <x:v>Ед.</x:v>
      </x:c>
      <x:c r="D3" s="102" t="n">
        <x:f>'Ставки'!$D$3</x:f>
      </x:c>
      <x:c r="E3" s="102" t="n">
        <x:f>'Ставки'!$E$3</x:f>
      </x:c>
      <x:c r="F3" s="102" t="n">
        <x:f>'Ставки'!$F$3</x:f>
      </x:c>
      <x:c r="G3" s="102" t="n">
        <x:f>'Ставки'!$G$3</x:f>
      </x:c>
      <x:c r="H3" s="102" t="n">
        <x:f>'Ставки'!$H$3</x:f>
      </x:c>
      <x:c r="I3" s="102" t="n">
        <x:f>'Ставки'!$I$3</x:f>
      </x:c>
      <x:c r="J3" s="102" t="n">
        <x:f>'Ставки'!$J$3</x:f>
      </x:c>
      <x:c r="K3" s="102" t="n">
        <x:f>'Ставки'!$K$3</x:f>
      </x:c>
      <x:c r="L3" s="102" t="n">
        <x:f>'Ставки'!$L$3</x:f>
      </x:c>
      <x:c r="M3" s="102" t="n">
        <x:f>'Ставки'!$M$3</x:f>
      </x:c>
      <x:c r="N3" s="102" t="n">
        <x:f>'Ставки'!$N$3</x:f>
      </x:c>
      <x:c r="O3" s="102" t="n">
        <x:f>'Ставки'!$O$3</x:f>
      </x:c>
      <x:c r="P3" s="102" t="n">
        <x:f>'Ставки'!$P$3</x:f>
      </x:c>
      <x:c r="Q3" s="102" t="n">
        <x:f>'Ставки'!$Q$3</x:f>
      </x:c>
      <x:c r="R3" s="102" t="n">
        <x:f>'Ставки'!$R$3</x:f>
      </x:c>
      <x:c r="S3" s="102" t="n">
        <x:f>'Ставки'!$S$3</x:f>
      </x:c>
      <x:c r="T3" s="102" t="n">
        <x:f>'Ставки'!$T$3</x:f>
      </x:c>
      <x:c r="U3" s="102" t="n">
        <x:f>'Ставки'!$U$3</x:f>
      </x:c>
      <x:c r="V3" s="102" t="n">
        <x:f>'Ставки'!$V$3</x:f>
      </x:c>
      <x:c r="W3" s="102" t="n">
        <x:f>'Ставки'!$W$3</x:f>
      </x:c>
      <x:c r="X3" s="102" t="n">
        <x:f>'Ставки'!$X$3</x:f>
      </x:c>
      <x:c r="Y3" s="102" t="n">
        <x:f>'Ставки'!$Y$3</x:f>
      </x:c>
      <x:c r="Z3" s="102" t="n">
        <x:f>'Ставки'!$Z$3</x:f>
      </x:c>
      <x:c r="AA3" s="102" t="n">
        <x:f>'Ставки'!$AA$3</x:f>
      </x:c>
      <x:c r="AB3" s="102" t="n">
        <x:f>'Ставки'!$AB$3</x:f>
      </x:c>
      <x:c r="AC3" s="102" t="n">
        <x:f>'Ставки'!$AC$3</x:f>
      </x:c>
      <x:c r="AD3" s="102" t="n">
        <x:f>'Ставки'!$AD$3</x:f>
      </x:c>
      <x:c r="AE3" s="102" t="n">
        <x:f>'Ставки'!$AE$3</x:f>
      </x:c>
      <x:c r="AF3" s="102" t="n">
        <x:f>'Ставки'!$AF$3</x:f>
      </x:c>
      <x:c r="AG3" s="102" t="n">
        <x:f>'Ставки'!$AG$3</x:f>
      </x:c>
      <x:c r="AH3" s="102" t="n">
        <x:f>'Ставки'!$AH$3</x:f>
      </x:c>
      <x:c r="AI3" s="102" t="n">
        <x:f>'Ставки'!$AI$3</x:f>
      </x:c>
      <x:c r="AJ3" s="102" t="n">
        <x:f>'Ставки'!$AJ$3</x:f>
      </x:c>
      <x:c r="AK3" s="102" t="n">
        <x:f>'Ставки'!$AK$3</x:f>
      </x:c>
      <x:c r="AL3" s="102" t="n">
        <x:f>'Ставки'!$AL$3</x:f>
      </x:c>
      <x:c r="AM3" s="102" t="n">
        <x:f>'Ставки'!$AM$3</x:f>
      </x:c>
      <x:c r="AN3" s="102" t="n">
        <x:f>'Ставки'!$AN$3</x:f>
      </x:c>
      <x:c r="AO3" s="102" t="n">
        <x:f>'Ставки'!$AO$3</x:f>
      </x:c>
      <x:c r="AP3" s="102" t="n">
        <x:f>'Ставки'!$AP$3</x:f>
      </x:c>
      <x:c r="AQ3" s="102" t="n">
        <x:f>'Ставки'!$AQ$3</x:f>
      </x:c>
      <x:c r="AR3" s="102" t="n">
        <x:f>'Ставки'!$AR$3</x:f>
      </x:c>
      <x:c r="AS3" s="102" t="n">
        <x:f>'Ставки'!$AS$3</x:f>
      </x:c>
      <x:c r="AT3" s="102" t="n">
        <x:f>'Ставки'!$AT$3</x:f>
      </x:c>
      <x:c r="AU3" s="102" t="n">
        <x:f>'Ставки'!$AU$3</x:f>
      </x:c>
      <x:c r="AV3" s="102" t="n">
        <x:f>'Ставки'!$AV$3</x:f>
      </x:c>
      <x:c r="AW3" s="102" t="n">
        <x:f>'Ставки'!$AW$3</x:f>
      </x:c>
      <x:c r="AX3" s="102" t="n">
        <x:f>'Ставки'!$AX$3</x:f>
      </x:c>
      <x:c r="AY3" s="102" t="n">
        <x:f>'Ставки'!$AY$3</x:f>
      </x:c>
      <x:c r="AZ3" s="102" t="n">
        <x:f>'Ставки'!$AZ$3</x:f>
      </x:c>
      <x:c r="BA3" s="102" t="n">
        <x:f>'Ставки'!$BA$3</x:f>
      </x:c>
      <x:c r="BB3" s="102" t="n">
        <x:f>'Ставки'!$BB$3</x:f>
      </x:c>
      <x:c r="BC3" s="102" t="n">
        <x:f>'Ставки'!$BC$3</x:f>
      </x:c>
      <x:c r="BD3" s="102" t="n">
        <x:f>'Ставки'!$BD$3</x:f>
      </x:c>
      <x:c r="BE3" s="102" t="n">
        <x:f>'Ставки'!$BE$3</x:f>
      </x:c>
      <x:c r="BF3" s="102" t="n">
        <x:f>'Ставки'!$BF$3</x:f>
      </x:c>
      <x:c r="BG3" s="102" t="n">
        <x:f>'Ставки'!$BG$3</x:f>
      </x:c>
      <x:c r="BH3" s="102" t="n">
        <x:f>'Ставки'!$BH$3</x:f>
      </x:c>
      <x:c r="BI3" s="102" t="n">
        <x:f>'Ставки'!$BI$3</x:f>
      </x:c>
      <x:c r="BJ3" s="102" t="n">
        <x:f>'Ставки'!$BJ$3</x:f>
      </x:c>
      <x:c r="BK3" s="102" t="n">
        <x:f>'Ставки'!$BK$3</x:f>
      </x:c>
      <x:c r="BL3" s="102" t="n">
        <x:f>'Ставки'!$BL$3</x:f>
      </x:c>
      <x:c r="BM3" s="102" t="n">
        <x:f>'Ставки'!$BM$3</x:f>
      </x:c>
      <x:c r="BN3" s="102" t="n">
        <x:f>'Ставки'!$BN$3</x:f>
      </x:c>
      <x:c r="BO3" s="102" t="n">
        <x:f>'Ставки'!$BO$3</x:f>
      </x:c>
      <x:c r="BP3" s="102" t="n">
        <x:f>'Ставки'!$BP$3</x:f>
      </x:c>
      <x:c r="BQ3" s="102" t="n">
        <x:f>'Ставки'!$BQ$3</x:f>
      </x:c>
      <x:c r="BR3" s="102" t="n">
        <x:f>'Ставки'!$BR$3</x:f>
      </x:c>
      <x:c r="BS3" s="102" t="n">
        <x:f>'Ставки'!$BS$3</x:f>
      </x:c>
      <x:c r="BT3" s="102" t="n">
        <x:f>'Ставки'!$BT$3</x:f>
      </x:c>
      <x:c r="BU3" s="102" t="n">
        <x:f>'Ставки'!$BU$3</x:f>
      </x:c>
      <x:c r="BV3" s="102" t="n">
        <x:f>'Ставки'!$BV$3</x:f>
      </x:c>
      <x:c r="BW3" s="102" t="n">
        <x:f>'Ставки'!$BW$3</x:f>
      </x:c>
      <x:c r="BX3" s="102" t="n">
        <x:f>'Ставки'!$BX$3</x:f>
      </x:c>
      <x:c r="BY3" s="102" t="n">
        <x:f>'Ставки'!$BY$3</x:f>
      </x:c>
      <x:c r="BZ3" s="102" t="n">
        <x:f>'Ставки'!$BZ$3</x:f>
      </x:c>
      <x:c r="CA3" s="102" t="n">
        <x:f>'Ставки'!$CA$3</x:f>
      </x:c>
      <x:c r="CB3" s="102" t="n">
        <x:f>'Ставки'!$CB$3</x:f>
      </x:c>
      <x:c r="CC3" s="102" t="n">
        <x:f>'Ставки'!$CC$3</x:f>
      </x:c>
      <x:c r="CD3" s="102" t="n">
        <x:f>'Ставки'!$CD$3</x:f>
      </x:c>
      <x:c r="CE3" s="102" t="n">
        <x:f>'Ставки'!$CE$3</x:f>
      </x:c>
      <x:c r="CF3" s="102" t="n">
        <x:f>'Ставки'!$CF$3</x:f>
      </x:c>
      <x:c r="CG3" s="102" t="n">
        <x:f>'Ставки'!$CG$3</x:f>
      </x:c>
      <x:c r="CH3" s="102" t="n">
        <x:f>'Ставки'!$CH$3</x:f>
      </x:c>
      <x:c r="CI3" s="102" t="n">
        <x:f>'Ставки'!$CI$3</x:f>
      </x:c>
      <x:c r="CJ3" s="102" t="n">
        <x:f>'Ставки'!$CJ$3</x:f>
      </x:c>
      <x:c r="CK3" s="102" t="n">
        <x:f>'Ставки'!$CK$3</x:f>
      </x:c>
      <x:c r="CL3" s="102" t="n">
        <x:f>'Ставки'!$CL$3</x:f>
      </x:c>
      <x:c r="CM3" s="102" t="n">
        <x:f>'Ставки'!$CM$3</x:f>
      </x:c>
      <x:c r="CN3" s="102" t="n">
        <x:f>'Ставки'!$CN$3</x:f>
      </x:c>
      <x:c r="CO3" s="102" t="n">
        <x:f>'Ставки'!$CO$3</x:f>
      </x:c>
      <x:c r="CP3" s="102" t="n">
        <x:f>'Ставки'!$CP$3</x:f>
      </x:c>
      <x:c r="CQ3" s="102" t="n">
        <x:f>'Ставки'!$CQ$3</x:f>
      </x:c>
      <x:c r="CR3" s="102" t="n">
        <x:f>'Ставки'!$CR$3</x:f>
      </x:c>
      <x:c r="CS3" s="102" t="n">
        <x:f>'Ставки'!$CS$3</x:f>
      </x:c>
      <x:c r="CT3" s="102" t="n">
        <x:f>'Ставки'!$CT$3</x:f>
      </x:c>
      <x:c r="CU3" s="102" t="n">
        <x:f>'Ставки'!$CU$3</x:f>
      </x:c>
      <x:c r="CV3" s="102" t="n">
        <x:f>'Ставки'!$CV$3</x:f>
      </x:c>
      <x:c r="CW3" s="102" t="n">
        <x:f>'Ставки'!$CW$3</x:f>
      </x:c>
      <x:c r="CX3" s="102" t="n">
        <x:f>'Ставки'!$CX$3</x:f>
      </x:c>
      <x:c r="CY3" s="102" t="n">
        <x:f>'Ставки'!$CY$3</x:f>
      </x:c>
      <x:c r="CZ3" s="102" t="n">
        <x:f>'Ставки'!$CZ$3</x:f>
      </x:c>
      <x:c r="DA3" s="102" t="n">
        <x:f>'Ставки'!$DA$3</x:f>
      </x:c>
      <x:c r="DB3" s="102" t="n">
        <x:f>'Ставки'!$DB$3</x:f>
      </x:c>
      <x:c r="DC3" s="102" t="n">
        <x:f>'Ставки'!$DC$3</x:f>
      </x:c>
      <x:c r="DD3" s="102" t="n">
        <x:f>'Ставки'!$DD$3</x:f>
      </x:c>
      <x:c r="DE3" s="102" t="n">
        <x:f>'Ставки'!$DE$3</x:f>
      </x:c>
      <x:c r="DF3" s="102" t="n">
        <x:f>'Ставки'!$DF$3</x:f>
      </x:c>
      <x:c r="DG3" s="102" t="n">
        <x:f>'Ставки'!$DG$3</x:f>
      </x:c>
      <x:c r="DH3" s="102" t="n">
        <x:f>'Ставки'!$DH$3</x:f>
      </x:c>
      <x:c r="DI3" s="102" t="n">
        <x:f>'Ставки'!$DI$3</x:f>
      </x:c>
      <x:c r="DJ3" s="102" t="n">
        <x:f>'Ставки'!$DJ$3</x:f>
      </x:c>
      <x:c r="DK3" s="102" t="n">
        <x:f>'Ставки'!$DK$3</x:f>
      </x:c>
      <x:c r="DL3" s="102" t="n">
        <x:f>'Ставки'!$DL$3</x:f>
      </x:c>
      <x:c r="DM3" s="102" t="n">
        <x:f>'Ставки'!$DM$3</x:f>
      </x:c>
      <x:c r="DN3" s="102" t="n">
        <x:f>'Ставки'!$DN$3</x:f>
      </x:c>
      <x:c r="DO3" s="102" t="n">
        <x:f>'Ставки'!$DO$3</x:f>
      </x:c>
      <x:c r="DP3" s="102" t="n">
        <x:f>'Ставки'!$DP$3</x:f>
      </x:c>
      <x:c r="DQ3" s="102" t="n">
        <x:f>'Ставки'!$DQ$3</x:f>
      </x:c>
      <x:c r="DR3" s="102" t="n">
        <x:f>'Ставки'!$DR$3</x:f>
      </x:c>
      <x:c r="DS3" s="102" t="n">
        <x:f>'Ставки'!$DS$3</x:f>
      </x:c>
      <x:c r="DT3" s="102" t="n">
        <x:f>'Ставки'!$DT$3</x:f>
      </x:c>
      <x:c r="DU3" s="102" t="n">
        <x:f>'Ставки'!$DU$3</x:f>
      </x:c>
      <x:c r="DV3" s="102" t="n">
        <x:f>'Ставки'!$DV$3</x:f>
      </x:c>
      <x:c r="DW3" s="102" t="n">
        <x:f>'Ставки'!$DW$3</x:f>
      </x:c>
      <x:c r="DX3" s="102" t="n">
        <x:f>'Ставки'!$DX$3</x:f>
      </x:c>
      <x:c r="DY3" s="102" t="n">
        <x:f>'Ставки'!$DY$3</x:f>
      </x:c>
      <x:c r="DZ3" s="102" t="n">
        <x:f>'Ставки'!$DZ$3</x:f>
      </x:c>
      <x:c r="EA3" s="102" t="n">
        <x:f>'Ставки'!$EA$3</x:f>
      </x:c>
      <x:c r="EB3" s="102" t="n">
        <x:f>'Ставки'!$EB$3</x:f>
      </x:c>
      <x:c r="EC3" s="102" t="n">
        <x:f>'Ставки'!$EC$3</x:f>
      </x:c>
      <x:c r="ED3" s="102" t="n">
        <x:f>'Ставки'!$ED$3</x:f>
      </x:c>
      <x:c r="EE3" s="102" t="n">
        <x:f>'Ставки'!$EE$3</x:f>
      </x:c>
      <x:c r="EF3" s="102" t="n">
        <x:f>'Ставки'!$EF$3</x:f>
      </x:c>
      <x:c r="EG3" s="102" t="n">
        <x:f>'Ставки'!$EG$3</x:f>
      </x:c>
      <x:c r="EH3" s="102" t="n">
        <x:f>'Ставки'!$EH$3</x:f>
      </x:c>
      <x:c r="EI3" s="102" t="n">
        <x:f>'Ставки'!$EI$3</x:f>
      </x:c>
      <x:c r="EJ3" s="102" t="n">
        <x:f>'Ставки'!$EJ$3</x:f>
      </x:c>
      <x:c r="EK3" s="102" t="n">
        <x:f>'Ставки'!$EK$3</x:f>
      </x:c>
      <x:c r="EL3" s="102" t="n">
        <x:f>'Ставки'!$EL$3</x:f>
      </x:c>
      <x:c r="EM3" s="102" t="n">
        <x:f>'Ставки'!$EM$3</x:f>
      </x:c>
      <x:c r="EN3" s="102" t="n">
        <x:f>'Ставки'!$EN$3</x:f>
      </x:c>
      <x:c r="EO3" s="102" t="n">
        <x:f>'Ставки'!$EO$3</x:f>
      </x:c>
      <x:c r="EP3" s="102" t="n">
        <x:f>'Ставки'!$EP$3</x:f>
      </x:c>
      <x:c r="EQ3" s="102" t="n">
        <x:f>'Ставки'!$EQ$3</x:f>
      </x:c>
      <x:c r="ER3" s="102" t="n">
        <x:f>'Ставки'!$ER$3</x:f>
      </x:c>
      <x:c r="ES3" s="102" t="n">
        <x:f>'Ставки'!$ES$3</x:f>
      </x:c>
      <x:c r="ET3" s="102" t="n">
        <x:f>'Ставки'!$ET$3</x:f>
      </x:c>
      <x:c r="EU3" s="102" t="n">
        <x:f>'Ставки'!$EU$3</x:f>
      </x:c>
      <x:c r="EV3" s="102" t="n">
        <x:f>'Ставки'!$EV$3</x:f>
      </x:c>
      <x:c r="EW3" s="102" t="n">
        <x:f>'Ставки'!$EW$3</x:f>
      </x:c>
      <x:c r="EX3" s="102" t="n">
        <x:f>'Ставки'!$EX$3</x:f>
      </x:c>
      <x:c r="EY3" s="102" t="n">
        <x:f>'Ставки'!$EY$3</x:f>
      </x:c>
      <x:c r="EZ3" s="102" t="n">
        <x:f>'Ставки'!$EZ$3</x:f>
      </x:c>
      <x:c r="FA3" s="102" t="n">
        <x:f>'Ставки'!$FA$3</x:f>
      </x:c>
      <x:c r="FB3" s="102" t="n">
        <x:f>'Ставки'!$FB$3</x:f>
      </x:c>
      <x:c r="FC3" s="102" t="n">
        <x:f>'Ставки'!$FC$3</x:f>
      </x:c>
      <x:c r="FD3" s="102" t="n">
        <x:f>'Ставки'!$FD$3</x:f>
      </x:c>
      <x:c r="FE3" s="102" t="n">
        <x:f>'Ставки'!$FE$3</x:f>
      </x:c>
      <x:c r="FF3" s="102" t="n">
        <x:f>'Ставки'!$FF$3</x:f>
      </x:c>
      <x:c r="FG3" s="102" t="n">
        <x:f>'Ставки'!$FG$3</x:f>
      </x:c>
      <x:c r="FH3" s="102" t="n">
        <x:f>'Ставки'!$FH$3</x:f>
      </x:c>
      <x:c r="FI3" s="102" t="n">
        <x:f>'Ставки'!$FI$3</x:f>
      </x:c>
      <x:c r="FJ3" s="102" t="n">
        <x:f>'Ставки'!$FJ$3</x:f>
      </x:c>
      <x:c r="FK3" s="102" t="n">
        <x:f>'Ставки'!$FK$3</x:f>
      </x:c>
      <x:c r="FL3" s="102" t="n">
        <x:f>'Ставки'!$FL$3</x:f>
      </x:c>
      <x:c r="FM3" s="102" t="n">
        <x:f>'Ставки'!$FM$3</x:f>
      </x:c>
      <x:c r="FN3" s="102" t="n">
        <x:f>'Ставки'!$FN$3</x:f>
      </x:c>
      <x:c r="FO3" s="102" t="n">
        <x:f>'Ставки'!$FO$3</x:f>
      </x:c>
      <x:c r="FP3" s="102" t="n">
        <x:f>'Ставки'!$FP$3</x:f>
      </x:c>
      <x:c r="FQ3" s="102" t="n">
        <x:f>'Ставки'!$FQ$3</x:f>
      </x:c>
      <x:c r="FR3" s="102" t="n">
        <x:f>'Ставки'!$FR$3</x:f>
      </x:c>
      <x:c r="FS3" s="102" t="n">
        <x:f>'Ставки'!$FS$3</x:f>
      </x:c>
      <x:c r="FT3" s="102" t="n">
        <x:f>'Ставки'!$FT$3</x:f>
      </x:c>
      <x:c r="FU3" s="102" t="n">
        <x:f>'Ставки'!$FU$3</x:f>
      </x:c>
      <x:c r="FV3" s="102" t="n">
        <x:f>'Ставки'!$FV$3</x:f>
      </x:c>
      <x:c r="FW3" s="102" t="n">
        <x:f>'Ставки'!$FW$3</x:f>
      </x:c>
      <x:c r="FX3" s="102" t="n">
        <x:f>'Ставки'!$FX$3</x:f>
      </x:c>
      <x:c r="FY3" s="102" t="n">
        <x:f>'Ставки'!$FY$3</x:f>
      </x:c>
      <x:c r="FZ3" s="102" t="n">
        <x:f>'Ставки'!$FZ$3</x:f>
      </x:c>
      <x:c r="GA3" s="102" t="n">
        <x:f>'Ставки'!$GA$3</x:f>
      </x:c>
    </x:row>
    <x:row r="4">
      <x:c r="A4" t="str">
        <x:v>Период</x:v>
      </x:c>
      <x:c r="B4"/>
      <x:c r="C4" t="str">
        <x:v>№</x:v>
      </x:c>
      <x:c r="D4" s="104" t="n">
        <x:f>1</x:f>
      </x:c>
      <x:c r="E4" s="104" t="n">
        <x:f>2</x:f>
      </x:c>
      <x:c r="F4" s="104" t="n">
        <x:f>3</x:f>
      </x:c>
      <x:c r="G4" s="104" t="n">
        <x:f>4</x:f>
      </x:c>
      <x:c r="H4" s="104" t="n">
        <x:f>5</x:f>
      </x:c>
      <x:c r="I4" s="104" t="n">
        <x:f>6</x:f>
      </x:c>
      <x:c r="J4" s="104" t="n">
        <x:f>7</x:f>
      </x:c>
      <x:c r="K4" s="104" t="n">
        <x:f>8</x:f>
      </x:c>
      <x:c r="L4" s="104" t="n">
        <x:f>9</x:f>
      </x:c>
      <x:c r="M4" s="104" t="n">
        <x:f>10</x:f>
      </x:c>
      <x:c r="N4" s="104" t="n">
        <x:f>11</x:f>
      </x:c>
      <x:c r="O4" s="104" t="n">
        <x:f>12</x:f>
      </x:c>
      <x:c r="P4" s="104" t="n">
        <x:f>13</x:f>
      </x:c>
      <x:c r="Q4" s="104" t="n">
        <x:f>14</x:f>
      </x:c>
      <x:c r="R4" s="104" t="n">
        <x:f>15</x:f>
      </x:c>
      <x:c r="S4" s="104" t="n">
        <x:f>16</x:f>
      </x:c>
      <x:c r="T4" s="104" t="n">
        <x:f>17</x:f>
      </x:c>
      <x:c r="U4" s="104" t="n">
        <x:f>18</x:f>
      </x:c>
      <x:c r="V4" s="104" t="n">
        <x:f>19</x:f>
      </x:c>
      <x:c r="W4" s="104" t="n">
        <x:f>20</x:f>
      </x:c>
      <x:c r="X4" s="104" t="n">
        <x:f>21</x:f>
      </x:c>
      <x:c r="Y4" s="104" t="n">
        <x:f>22</x:f>
      </x:c>
      <x:c r="Z4" s="104" t="n">
        <x:f>23</x:f>
      </x:c>
      <x:c r="AA4" s="104" t="n">
        <x:f>24</x:f>
      </x:c>
      <x:c r="AB4" s="104" t="n">
        <x:f>25</x:f>
      </x:c>
      <x:c r="AC4" s="104" t="n">
        <x:f>26</x:f>
      </x:c>
      <x:c r="AD4" s="104" t="n">
        <x:f>27</x:f>
      </x:c>
      <x:c r="AE4" s="104" t="n">
        <x:f>28</x:f>
      </x:c>
      <x:c r="AF4" s="104" t="n">
        <x:f>29</x:f>
      </x:c>
      <x:c r="AG4" s="104" t="n">
        <x:f>30</x:f>
      </x:c>
      <x:c r="AH4" s="104" t="n">
        <x:f>31</x:f>
      </x:c>
      <x:c r="AI4" s="104" t="n">
        <x:f>32</x:f>
      </x:c>
      <x:c r="AJ4" s="104" t="n">
        <x:f>33</x:f>
      </x:c>
      <x:c r="AK4" s="104" t="n">
        <x:f>34</x:f>
      </x:c>
      <x:c r="AL4" s="104" t="n">
        <x:f>35</x:f>
      </x:c>
      <x:c r="AM4" s="104" t="n">
        <x:f>36</x:f>
      </x:c>
      <x:c r="AN4" s="104" t="n">
        <x:f>37</x:f>
      </x:c>
      <x:c r="AO4" s="104" t="n">
        <x:f>38</x:f>
      </x:c>
      <x:c r="AP4" s="104" t="n">
        <x:f>39</x:f>
      </x:c>
      <x:c r="AQ4" s="104" t="n">
        <x:f>40</x:f>
      </x:c>
      <x:c r="AR4" s="104" t="n">
        <x:f>41</x:f>
      </x:c>
      <x:c r="AS4" s="104" t="n">
        <x:f>42</x:f>
      </x:c>
      <x:c r="AT4" s="104" t="n">
        <x:f>43</x:f>
      </x:c>
      <x:c r="AU4" s="104" t="n">
        <x:f>44</x:f>
      </x:c>
      <x:c r="AV4" s="104" t="n">
        <x:f>45</x:f>
      </x:c>
      <x:c r="AW4" s="104" t="n">
        <x:f>46</x:f>
      </x:c>
      <x:c r="AX4" s="104" t="n">
        <x:f>47</x:f>
      </x:c>
      <x:c r="AY4" s="104" t="n">
        <x:f>48</x:f>
      </x:c>
      <x:c r="AZ4" s="104" t="n">
        <x:f>49</x:f>
      </x:c>
      <x:c r="BA4" s="104" t="n">
        <x:f>50</x:f>
      </x:c>
      <x:c r="BB4" s="104" t="n">
        <x:f>51</x:f>
      </x:c>
      <x:c r="BC4" s="104" t="n">
        <x:f>52</x:f>
      </x:c>
      <x:c r="BD4" s="104" t="n">
        <x:f>53</x:f>
      </x:c>
      <x:c r="BE4" s="104" t="n">
        <x:f>54</x:f>
      </x:c>
      <x:c r="BF4" s="104" t="n">
        <x:f>55</x:f>
      </x:c>
      <x:c r="BG4" s="104" t="n">
        <x:f>56</x:f>
      </x:c>
      <x:c r="BH4" s="104" t="n">
        <x:f>57</x:f>
      </x:c>
      <x:c r="BI4" s="104" t="n">
        <x:f>58</x:f>
      </x:c>
      <x:c r="BJ4" s="104" t="n">
        <x:f>59</x:f>
      </x:c>
      <x:c r="BK4" s="104" t="n">
        <x:f>60</x:f>
      </x:c>
      <x:c r="BL4" s="104" t="n">
        <x:f>61</x:f>
      </x:c>
      <x:c r="BM4" s="104" t="n">
        <x:f>62</x:f>
      </x:c>
      <x:c r="BN4" s="104" t="n">
        <x:f>63</x:f>
      </x:c>
      <x:c r="BO4" s="104" t="n">
        <x:f>64</x:f>
      </x:c>
      <x:c r="BP4" s="104" t="n">
        <x:f>65</x:f>
      </x:c>
      <x:c r="BQ4" s="104" t="n">
        <x:f>66</x:f>
      </x:c>
      <x:c r="BR4" s="104" t="n">
        <x:f>67</x:f>
      </x:c>
      <x:c r="BS4" s="104" t="n">
        <x:f>68</x:f>
      </x:c>
      <x:c r="BT4" s="104" t="n">
        <x:f>69</x:f>
      </x:c>
      <x:c r="BU4" s="104" t="n">
        <x:f>70</x:f>
      </x:c>
      <x:c r="BV4" s="104" t="n">
        <x:f>71</x:f>
      </x:c>
      <x:c r="BW4" s="104" t="n">
        <x:f>72</x:f>
      </x:c>
      <x:c r="BX4" s="104" t="n">
        <x:f>73</x:f>
      </x:c>
      <x:c r="BY4" s="104" t="n">
        <x:f>74</x:f>
      </x:c>
      <x:c r="BZ4" s="104" t="n">
        <x:f>75</x:f>
      </x:c>
      <x:c r="CA4" s="104" t="n">
        <x:f>76</x:f>
      </x:c>
      <x:c r="CB4" s="104" t="n">
        <x:f>77</x:f>
      </x:c>
      <x:c r="CC4" s="104" t="n">
        <x:f>78</x:f>
      </x:c>
      <x:c r="CD4" s="104" t="n">
        <x:f>79</x:f>
      </x:c>
      <x:c r="CE4" s="104" t="n">
        <x:f>80</x:f>
      </x:c>
      <x:c r="CF4" s="104" t="n">
        <x:f>81</x:f>
      </x:c>
      <x:c r="CG4" s="104" t="n">
        <x:f>82</x:f>
      </x:c>
      <x:c r="CH4" s="104" t="n">
        <x:f>83</x:f>
      </x:c>
      <x:c r="CI4" s="104" t="n">
        <x:f>84</x:f>
      </x:c>
      <x:c r="CJ4" s="104" t="n">
        <x:f>85</x:f>
      </x:c>
      <x:c r="CK4" s="104" t="n">
        <x:f>86</x:f>
      </x:c>
      <x:c r="CL4" s="104" t="n">
        <x:f>87</x:f>
      </x:c>
      <x:c r="CM4" s="104" t="n">
        <x:f>88</x:f>
      </x:c>
      <x:c r="CN4" s="104" t="n">
        <x:f>89</x:f>
      </x:c>
      <x:c r="CO4" s="104" t="n">
        <x:f>90</x:f>
      </x:c>
      <x:c r="CP4" s="104" t="n">
        <x:f>91</x:f>
      </x:c>
      <x:c r="CQ4" s="104" t="n">
        <x:f>92</x:f>
      </x:c>
      <x:c r="CR4" s="104" t="n">
        <x:f>93</x:f>
      </x:c>
      <x:c r="CS4" s="104" t="n">
        <x:f>94</x:f>
      </x:c>
      <x:c r="CT4" s="104" t="n">
        <x:f>95</x:f>
      </x:c>
      <x:c r="CU4" s="104" t="n">
        <x:f>96</x:f>
      </x:c>
      <x:c r="CV4" s="104" t="n">
        <x:f>97</x:f>
      </x:c>
      <x:c r="CW4" s="104" t="n">
        <x:f>98</x:f>
      </x:c>
      <x:c r="CX4" s="104" t="n">
        <x:f>99</x:f>
      </x:c>
      <x:c r="CY4" s="104" t="n">
        <x:f>100</x:f>
      </x:c>
      <x:c r="CZ4" s="104" t="n">
        <x:f>101</x:f>
      </x:c>
      <x:c r="DA4" s="104" t="n">
        <x:f>102</x:f>
      </x:c>
      <x:c r="DB4" s="104" t="n">
        <x:f>103</x:f>
      </x:c>
      <x:c r="DC4" s="104" t="n">
        <x:f>104</x:f>
      </x:c>
      <x:c r="DD4" s="104" t="n">
        <x:f>105</x:f>
      </x:c>
      <x:c r="DE4" s="104" t="n">
        <x:f>106</x:f>
      </x:c>
      <x:c r="DF4" s="104" t="n">
        <x:f>107</x:f>
      </x:c>
      <x:c r="DG4" s="104" t="n">
        <x:f>108</x:f>
      </x:c>
      <x:c r="DH4" s="104" t="n">
        <x:f>109</x:f>
      </x:c>
      <x:c r="DI4" s="104" t="n">
        <x:f>110</x:f>
      </x:c>
      <x:c r="DJ4" s="104" t="n">
        <x:f>111</x:f>
      </x:c>
      <x:c r="DK4" s="104" t="n">
        <x:f>112</x:f>
      </x:c>
      <x:c r="DL4" s="104" t="n">
        <x:f>113</x:f>
      </x:c>
      <x:c r="DM4" s="104" t="n">
        <x:f>114</x:f>
      </x:c>
      <x:c r="DN4" s="104" t="n">
        <x:f>115</x:f>
      </x:c>
      <x:c r="DO4" s="104" t="n">
        <x:f>116</x:f>
      </x:c>
      <x:c r="DP4" s="104" t="n">
        <x:f>117</x:f>
      </x:c>
      <x:c r="DQ4" s="104" t="n">
        <x:f>118</x:f>
      </x:c>
      <x:c r="DR4" s="104" t="n">
        <x:f>119</x:f>
      </x:c>
      <x:c r="DS4" s="104" t="n">
        <x:f>120</x:f>
      </x:c>
      <x:c r="DT4" s="104" t="n">
        <x:f>121</x:f>
      </x:c>
      <x:c r="DU4" s="104" t="n">
        <x:f>122</x:f>
      </x:c>
      <x:c r="DV4" s="104" t="n">
        <x:f>123</x:f>
      </x:c>
      <x:c r="DW4" s="104" t="n">
        <x:f>124</x:f>
      </x:c>
      <x:c r="DX4" s="104" t="n">
        <x:f>125</x:f>
      </x:c>
      <x:c r="DY4" s="104" t="n">
        <x:f>126</x:f>
      </x:c>
      <x:c r="DZ4" s="104" t="n">
        <x:f>127</x:f>
      </x:c>
      <x:c r="EA4" s="104" t="n">
        <x:f>128</x:f>
      </x:c>
      <x:c r="EB4" s="104" t="n">
        <x:f>129</x:f>
      </x:c>
      <x:c r="EC4" s="104" t="n">
        <x:f>130</x:f>
      </x:c>
      <x:c r="ED4" s="104" t="n">
        <x:f>131</x:f>
      </x:c>
      <x:c r="EE4" s="104" t="n">
        <x:f>132</x:f>
      </x:c>
      <x:c r="EF4" s="104" t="n">
        <x:f>133</x:f>
      </x:c>
      <x:c r="EG4" s="104" t="n">
        <x:f>134</x:f>
      </x:c>
      <x:c r="EH4" s="104" t="n">
        <x:f>135</x:f>
      </x:c>
      <x:c r="EI4" s="104" t="n">
        <x:f>136</x:f>
      </x:c>
      <x:c r="EJ4" s="104" t="n">
        <x:f>137</x:f>
      </x:c>
      <x:c r="EK4" s="104" t="n">
        <x:f>138</x:f>
      </x:c>
      <x:c r="EL4" s="104" t="n">
        <x:f>139</x:f>
      </x:c>
      <x:c r="EM4" s="104" t="n">
        <x:f>140</x:f>
      </x:c>
      <x:c r="EN4" s="104" t="n">
        <x:f>141</x:f>
      </x:c>
      <x:c r="EO4" s="104" t="n">
        <x:f>142</x:f>
      </x:c>
      <x:c r="EP4" s="104" t="n">
        <x:f>143</x:f>
      </x:c>
      <x:c r="EQ4" s="104" t="n">
        <x:f>144</x:f>
      </x:c>
      <x:c r="ER4" s="104" t="n">
        <x:f>145</x:f>
      </x:c>
      <x:c r="ES4" s="104" t="n">
        <x:f>146</x:f>
      </x:c>
      <x:c r="ET4" s="104" t="n">
        <x:f>147</x:f>
      </x:c>
      <x:c r="EU4" s="104" t="n">
        <x:f>148</x:f>
      </x:c>
      <x:c r="EV4" s="104" t="n">
        <x:f>149</x:f>
      </x:c>
      <x:c r="EW4" s="104" t="n">
        <x:f>150</x:f>
      </x:c>
      <x:c r="EX4" s="104" t="n">
        <x:f>151</x:f>
      </x:c>
      <x:c r="EY4" s="104" t="n">
        <x:f>152</x:f>
      </x:c>
      <x:c r="EZ4" s="104" t="n">
        <x:f>153</x:f>
      </x:c>
      <x:c r="FA4" s="104" t="n">
        <x:f>154</x:f>
      </x:c>
      <x:c r="FB4" s="104" t="n">
        <x:f>155</x:f>
      </x:c>
      <x:c r="FC4" s="104" t="n">
        <x:f>156</x:f>
      </x:c>
      <x:c r="FD4" s="104" t="n">
        <x:f>157</x:f>
      </x:c>
      <x:c r="FE4" s="104" t="n">
        <x:f>158</x:f>
      </x:c>
      <x:c r="FF4" s="104" t="n">
        <x:f>159</x:f>
      </x:c>
      <x:c r="FG4" s="104" t="n">
        <x:f>160</x:f>
      </x:c>
      <x:c r="FH4" s="104" t="n">
        <x:f>161</x:f>
      </x:c>
      <x:c r="FI4" s="104" t="n">
        <x:f>162</x:f>
      </x:c>
      <x:c r="FJ4" s="104" t="n">
        <x:f>163</x:f>
      </x:c>
      <x:c r="FK4" s="104" t="n">
        <x:f>164</x:f>
      </x:c>
      <x:c r="FL4" s="104" t="n">
        <x:f>165</x:f>
      </x:c>
      <x:c r="FM4" s="104" t="n">
        <x:f>166</x:f>
      </x:c>
      <x:c r="FN4" s="104" t="n">
        <x:f>167</x:f>
      </x:c>
      <x:c r="FO4" s="104" t="n">
        <x:f>168</x:f>
      </x:c>
      <x:c r="FP4" s="104" t="n">
        <x:f>169</x:f>
      </x:c>
      <x:c r="FQ4" s="104" t="n">
        <x:f>170</x:f>
      </x:c>
      <x:c r="FR4" s="104" t="n">
        <x:f>171</x:f>
      </x:c>
      <x:c r="FS4" s="104" t="n">
        <x:f>172</x:f>
      </x:c>
      <x:c r="FT4" s="104" t="n">
        <x:f>173</x:f>
      </x:c>
      <x:c r="FU4" s="104" t="n">
        <x:f>174</x:f>
      </x:c>
      <x:c r="FV4" s="104" t="n">
        <x:f>175</x:f>
      </x:c>
      <x:c r="FW4" s="104" t="n">
        <x:f>176</x:f>
      </x:c>
      <x:c r="FX4" s="104" t="n">
        <x:f>177</x:f>
      </x:c>
      <x:c r="FY4" s="104" t="n">
        <x:f>178</x:f>
      </x:c>
      <x:c r="FZ4" s="104" t="n">
        <x:f>179</x:f>
      </x:c>
      <x:c r="GA4" s="104" t="n">
        <x:f>180</x:f>
      </x:c>
    </x:row>
    <x:row r="6" ht="21" customHeight="1">
      <x:c r="A6" s="52" t="str">
        <x:v>ОЧЕРЕДЬ 1</x:v>
      </x:c>
      <x:c r="B6" s="53" t="str">
        <x:v>ОЧЕРЕДЬ 1</x:v>
      </x:c>
      <x:c r="C6" s="53" t="str">
        <x:v>ОЧЕРЕДЬ 1</x:v>
      </x:c>
      <x:c r="D6" s="53" t="str">
        <x:v>ОЧЕРЕДЬ 1</x:v>
      </x:c>
      <x:c r="E6" s="53" t="str">
        <x:v>ОЧЕРЕДЬ 1</x:v>
      </x:c>
      <x:c r="F6" s="53" t="str">
        <x:v>ОЧЕРЕДЬ 1</x:v>
      </x:c>
      <x:c r="G6" s="53" t="str">
        <x:v>ОЧЕРЕДЬ 1</x:v>
      </x:c>
      <x:c r="H6" s="53" t="str">
        <x:v>ОЧЕРЕДЬ 1</x:v>
      </x:c>
      <x:c r="I6" s="53" t="str">
        <x:v>ОЧЕРЕДЬ 1</x:v>
      </x:c>
      <x:c r="J6" s="53" t="str">
        <x:v>ОЧЕРЕДЬ 1</x:v>
      </x:c>
      <x:c r="K6" s="53" t="str">
        <x:v>ОЧЕРЕДЬ 1</x:v>
      </x:c>
      <x:c r="L6" s="53" t="str">
        <x:v>ОЧЕРЕДЬ 1</x:v>
      </x:c>
      <x:c r="M6" s="53" t="str">
        <x:v>ОЧЕРЕДЬ 1</x:v>
      </x:c>
      <x:c r="N6" s="53" t="str">
        <x:v>ОЧЕРЕДЬ 1</x:v>
      </x:c>
      <x:c r="O6" s="53" t="str">
        <x:v>ОЧЕРЕДЬ 1</x:v>
      </x:c>
      <x:c r="P6" s="53" t="str">
        <x:v>ОЧЕРЕДЬ 1</x:v>
      </x:c>
      <x:c r="Q6" s="53" t="str">
        <x:v>ОЧЕРЕДЬ 1</x:v>
      </x:c>
      <x:c r="R6" s="53" t="str">
        <x:v>ОЧЕРЕДЬ 1</x:v>
      </x:c>
      <x:c r="S6" s="53" t="str">
        <x:v>ОЧЕРЕДЬ 1</x:v>
      </x:c>
      <x:c r="T6" s="53" t="str">
        <x:v>ОЧЕРЕДЬ 1</x:v>
      </x:c>
      <x:c r="U6" s="53" t="str">
        <x:v>ОЧЕРЕДЬ 1</x:v>
      </x:c>
      <x:c r="V6" s="53" t="str">
        <x:v>ОЧЕРЕДЬ 1</x:v>
      </x:c>
      <x:c r="W6" s="53" t="str">
        <x:v>ОЧЕРЕДЬ 1</x:v>
      </x:c>
      <x:c r="X6" s="53" t="str">
        <x:v>ОЧЕРЕДЬ 1</x:v>
      </x:c>
      <x:c r="Y6" s="53" t="str">
        <x:v>ОЧЕРЕДЬ 1</x:v>
      </x:c>
      <x:c r="Z6" s="53" t="str">
        <x:v>ОЧЕРЕДЬ 1</x:v>
      </x:c>
      <x:c r="AA6" s="53" t="str">
        <x:v>ОЧЕРЕДЬ 1</x:v>
      </x:c>
      <x:c r="AB6" s="53" t="str">
        <x:v>ОЧЕРЕДЬ 1</x:v>
      </x:c>
      <x:c r="AC6" s="53" t="str">
        <x:v>ОЧЕРЕДЬ 1</x:v>
      </x:c>
      <x:c r="AD6" s="53" t="str">
        <x:v>ОЧЕРЕДЬ 1</x:v>
      </x:c>
      <x:c r="AE6" s="53" t="str">
        <x:v>ОЧЕРЕДЬ 1</x:v>
      </x:c>
      <x:c r="AF6" s="53" t="str">
        <x:v>ОЧЕРЕДЬ 1</x:v>
      </x:c>
      <x:c r="AG6" s="53" t="str">
        <x:v>ОЧЕРЕДЬ 1</x:v>
      </x:c>
      <x:c r="AH6" s="53" t="str">
        <x:v>ОЧЕРЕДЬ 1</x:v>
      </x:c>
      <x:c r="AI6" s="53" t="str">
        <x:v>ОЧЕРЕДЬ 1</x:v>
      </x:c>
      <x:c r="AJ6" s="53" t="str">
        <x:v>ОЧЕРЕДЬ 1</x:v>
      </x:c>
      <x:c r="AK6" s="53" t="str">
        <x:v>ОЧЕРЕДЬ 1</x:v>
      </x:c>
      <x:c r="AL6" s="53" t="str">
        <x:v>ОЧЕРЕДЬ 1</x:v>
      </x:c>
      <x:c r="AM6" s="53" t="str">
        <x:v>ОЧЕРЕДЬ 1</x:v>
      </x:c>
      <x:c r="AN6" s="53" t="str">
        <x:v>ОЧЕРЕДЬ 1</x:v>
      </x:c>
      <x:c r="AO6" s="53" t="str">
        <x:v>ОЧЕРЕДЬ 1</x:v>
      </x:c>
      <x:c r="AP6" s="53" t="str">
        <x:v>ОЧЕРЕДЬ 1</x:v>
      </x:c>
      <x:c r="AQ6" s="53" t="str">
        <x:v>ОЧЕРЕДЬ 1</x:v>
      </x:c>
      <x:c r="AR6" s="53" t="str">
        <x:v>ОЧЕРЕДЬ 1</x:v>
      </x:c>
      <x:c r="AS6" s="53" t="str">
        <x:v>ОЧЕРЕДЬ 1</x:v>
      </x:c>
      <x:c r="AT6" s="53" t="str">
        <x:v>ОЧЕРЕДЬ 1</x:v>
      </x:c>
      <x:c r="AU6" s="53" t="str">
        <x:v>ОЧЕРЕДЬ 1</x:v>
      </x:c>
      <x:c r="AV6" s="53" t="str">
        <x:v>ОЧЕРЕДЬ 1</x:v>
      </x:c>
      <x:c r="AW6" s="53" t="str">
        <x:v>ОЧЕРЕДЬ 1</x:v>
      </x:c>
      <x:c r="AX6" s="53" t="str">
        <x:v>ОЧЕРЕДЬ 1</x:v>
      </x:c>
      <x:c r="AY6" s="53" t="str">
        <x:v>ОЧЕРЕДЬ 1</x:v>
      </x:c>
      <x:c r="AZ6" s="53" t="str">
        <x:v>ОЧЕРЕДЬ 1</x:v>
      </x:c>
      <x:c r="BA6" s="53" t="str">
        <x:v>ОЧЕРЕДЬ 1</x:v>
      </x:c>
      <x:c r="BB6" s="53" t="str">
        <x:v>ОЧЕРЕДЬ 1</x:v>
      </x:c>
      <x:c r="BC6" s="53" t="str">
        <x:v>ОЧЕРЕДЬ 1</x:v>
      </x:c>
      <x:c r="BD6" s="53" t="str">
        <x:v>ОЧЕРЕДЬ 1</x:v>
      </x:c>
      <x:c r="BE6" s="53" t="str">
        <x:v>ОЧЕРЕДЬ 1</x:v>
      </x:c>
      <x:c r="BF6" s="53" t="str">
        <x:v>ОЧЕРЕДЬ 1</x:v>
      </x:c>
      <x:c r="BG6" s="53" t="str">
        <x:v>ОЧЕРЕДЬ 1</x:v>
      </x:c>
      <x:c r="BH6" s="53" t="str">
        <x:v>ОЧЕРЕДЬ 1</x:v>
      </x:c>
      <x:c r="BI6" s="53" t="str">
        <x:v>ОЧЕРЕДЬ 1</x:v>
      </x:c>
      <x:c r="BJ6" s="53" t="str">
        <x:v>ОЧЕРЕДЬ 1</x:v>
      </x:c>
      <x:c r="BK6" s="53" t="str">
        <x:v>ОЧЕРЕДЬ 1</x:v>
      </x:c>
      <x:c r="BL6" s="53" t="str">
        <x:v>ОЧЕРЕДЬ 1</x:v>
      </x:c>
      <x:c r="BM6" s="53" t="str">
        <x:v>ОЧЕРЕДЬ 1</x:v>
      </x:c>
      <x:c r="BN6" s="53" t="str">
        <x:v>ОЧЕРЕДЬ 1</x:v>
      </x:c>
      <x:c r="BO6" s="53" t="str">
        <x:v>ОЧЕРЕДЬ 1</x:v>
      </x:c>
      <x:c r="BP6" s="53" t="str">
        <x:v>ОЧЕРЕДЬ 1</x:v>
      </x:c>
      <x:c r="BQ6" s="53" t="str">
        <x:v>ОЧЕРЕДЬ 1</x:v>
      </x:c>
      <x:c r="BR6" s="53" t="str">
        <x:v>ОЧЕРЕДЬ 1</x:v>
      </x:c>
      <x:c r="BS6" s="53" t="str">
        <x:v>ОЧЕРЕДЬ 1</x:v>
      </x:c>
      <x:c r="BT6" s="53" t="str">
        <x:v>ОЧЕРЕДЬ 1</x:v>
      </x:c>
      <x:c r="BU6" s="53" t="str">
        <x:v>ОЧЕРЕДЬ 1</x:v>
      </x:c>
      <x:c r="BV6" s="53" t="str">
        <x:v>ОЧЕРЕДЬ 1</x:v>
      </x:c>
      <x:c r="BW6" s="53" t="str">
        <x:v>ОЧЕРЕДЬ 1</x:v>
      </x:c>
      <x:c r="BX6" s="53" t="str">
        <x:v>ОЧЕРЕДЬ 1</x:v>
      </x:c>
      <x:c r="BY6" s="53" t="str">
        <x:v>ОЧЕРЕДЬ 1</x:v>
      </x:c>
      <x:c r="BZ6" s="53" t="str">
        <x:v>ОЧЕРЕДЬ 1</x:v>
      </x:c>
      <x:c r="CA6" s="53" t="str">
        <x:v>ОЧЕРЕДЬ 1</x:v>
      </x:c>
      <x:c r="CB6" s="53" t="str">
        <x:v>ОЧЕРЕДЬ 1</x:v>
      </x:c>
      <x:c r="CC6" s="53" t="str">
        <x:v>ОЧЕРЕДЬ 1</x:v>
      </x:c>
      <x:c r="CD6" s="53" t="str">
        <x:v>ОЧЕРЕДЬ 1</x:v>
      </x:c>
      <x:c r="CE6" s="53" t="str">
        <x:v>ОЧЕРЕДЬ 1</x:v>
      </x:c>
      <x:c r="CF6" s="53" t="str">
        <x:v>ОЧЕРЕДЬ 1</x:v>
      </x:c>
      <x:c r="CG6" s="53" t="str">
        <x:v>ОЧЕРЕДЬ 1</x:v>
      </x:c>
      <x:c r="CH6" s="53" t="str">
        <x:v>ОЧЕРЕДЬ 1</x:v>
      </x:c>
      <x:c r="CI6" s="53" t="str">
        <x:v>ОЧЕРЕДЬ 1</x:v>
      </x:c>
      <x:c r="CJ6" s="53" t="str">
        <x:v>ОЧЕРЕДЬ 1</x:v>
      </x:c>
      <x:c r="CK6" s="53" t="str">
        <x:v>ОЧЕРЕДЬ 1</x:v>
      </x:c>
      <x:c r="CL6" s="53" t="str">
        <x:v>ОЧЕРЕДЬ 1</x:v>
      </x:c>
      <x:c r="CM6" s="53" t="str">
        <x:v>ОЧЕРЕДЬ 1</x:v>
      </x:c>
      <x:c r="CN6" s="53" t="str">
        <x:v>ОЧЕРЕДЬ 1</x:v>
      </x:c>
      <x:c r="CO6" s="53" t="str">
        <x:v>ОЧЕРЕДЬ 1</x:v>
      </x:c>
      <x:c r="CP6" s="53" t="str">
        <x:v>ОЧЕРЕДЬ 1</x:v>
      </x:c>
      <x:c r="CQ6" s="53" t="str">
        <x:v>ОЧЕРЕДЬ 1</x:v>
      </x:c>
      <x:c r="CR6" s="53" t="str">
        <x:v>ОЧЕРЕДЬ 1</x:v>
      </x:c>
      <x:c r="CS6" s="53" t="str">
        <x:v>ОЧЕРЕДЬ 1</x:v>
      </x:c>
      <x:c r="CT6" s="53" t="str">
        <x:v>ОЧЕРЕДЬ 1</x:v>
      </x:c>
      <x:c r="CU6" s="53" t="str">
        <x:v>ОЧЕРЕДЬ 1</x:v>
      </x:c>
      <x:c r="CV6" s="53" t="str">
        <x:v>ОЧЕРЕДЬ 1</x:v>
      </x:c>
      <x:c r="CW6" s="53" t="str">
        <x:v>ОЧЕРЕДЬ 1</x:v>
      </x:c>
      <x:c r="CX6" s="53" t="str">
        <x:v>ОЧЕРЕДЬ 1</x:v>
      </x:c>
      <x:c r="CY6" s="53" t="str">
        <x:v>ОЧЕРЕДЬ 1</x:v>
      </x:c>
      <x:c r="CZ6" s="53" t="str">
        <x:v>ОЧЕРЕДЬ 1</x:v>
      </x:c>
      <x:c r="DA6" s="53" t="str">
        <x:v>ОЧЕРЕДЬ 1</x:v>
      </x:c>
      <x:c r="DB6" s="53" t="str">
        <x:v>ОЧЕРЕДЬ 1</x:v>
      </x:c>
      <x:c r="DC6" s="53" t="str">
        <x:v>ОЧЕРЕДЬ 1</x:v>
      </x:c>
      <x:c r="DD6" s="53" t="str">
        <x:v>ОЧЕРЕДЬ 1</x:v>
      </x:c>
      <x:c r="DE6" s="53" t="str">
        <x:v>ОЧЕРЕДЬ 1</x:v>
      </x:c>
      <x:c r="DF6" s="53" t="str">
        <x:v>ОЧЕРЕДЬ 1</x:v>
      </x:c>
      <x:c r="DG6" s="53" t="str">
        <x:v>ОЧЕРЕДЬ 1</x:v>
      </x:c>
      <x:c r="DH6" s="53" t="str">
        <x:v>ОЧЕРЕДЬ 1</x:v>
      </x:c>
      <x:c r="DI6" s="53" t="str">
        <x:v>ОЧЕРЕДЬ 1</x:v>
      </x:c>
      <x:c r="DJ6" s="53" t="str">
        <x:v>ОЧЕРЕДЬ 1</x:v>
      </x:c>
      <x:c r="DK6" s="53" t="str">
        <x:v>ОЧЕРЕДЬ 1</x:v>
      </x:c>
      <x:c r="DL6" s="53" t="str">
        <x:v>ОЧЕРЕДЬ 1</x:v>
      </x:c>
      <x:c r="DM6" s="53" t="str">
        <x:v>ОЧЕРЕДЬ 1</x:v>
      </x:c>
      <x:c r="DN6" s="53" t="str">
        <x:v>ОЧЕРЕДЬ 1</x:v>
      </x:c>
      <x:c r="DO6" s="53" t="str">
        <x:v>ОЧЕРЕДЬ 1</x:v>
      </x:c>
      <x:c r="DP6" s="53" t="str">
        <x:v>ОЧЕРЕДЬ 1</x:v>
      </x:c>
      <x:c r="DQ6" s="53" t="str">
        <x:v>ОЧЕРЕДЬ 1</x:v>
      </x:c>
      <x:c r="DR6" s="53" t="str">
        <x:v>ОЧЕРЕДЬ 1</x:v>
      </x:c>
      <x:c r="DS6" s="54" t="str">
        <x:v>ОЧЕРЕДЬ 1</x:v>
      </x:c>
      <x:c r="DT6" s="54" t="str"/>
      <x:c r="DU6" s="54" t="str"/>
      <x:c r="DV6" s="54" t="str"/>
      <x:c r="DW6" s="54" t="str"/>
      <x:c r="DX6" s="54" t="str"/>
      <x:c r="DY6" s="54" t="str"/>
      <x:c r="DZ6" s="54" t="str"/>
      <x:c r="EA6" s="54" t="str"/>
      <x:c r="EB6" s="54" t="str"/>
      <x:c r="EC6" s="54" t="str"/>
      <x:c r="ED6" s="54" t="str"/>
      <x:c r="EE6" s="54" t="str"/>
      <x:c r="EF6" s="54" t="str"/>
      <x:c r="EG6" s="54" t="str"/>
      <x:c r="EH6" s="54" t="str"/>
      <x:c r="EI6" s="54" t="str"/>
      <x:c r="EJ6" s="54" t="str"/>
      <x:c r="EK6" s="54" t="str"/>
      <x:c r="EL6" s="54" t="str"/>
      <x:c r="EM6" s="54" t="str"/>
      <x:c r="EN6" s="54" t="str"/>
      <x:c r="EO6" s="54" t="str"/>
      <x:c r="EP6" s="54" t="str"/>
      <x:c r="EQ6" s="54" t="str"/>
      <x:c r="ER6" s="54" t="str"/>
      <x:c r="ES6" s="54" t="str"/>
      <x:c r="ET6" s="54" t="str"/>
      <x:c r="EU6" s="54" t="str"/>
      <x:c r="EV6" s="54" t="str"/>
      <x:c r="EW6" s="54" t="str"/>
      <x:c r="EX6" s="54" t="str"/>
      <x:c r="EY6" s="54" t="str"/>
      <x:c r="EZ6" s="54" t="str"/>
      <x:c r="FA6" s="54" t="str"/>
      <x:c r="FB6" s="54" t="str"/>
      <x:c r="FC6" s="54" t="str"/>
      <x:c r="FD6" s="54" t="str"/>
      <x:c r="FE6" s="54" t="str"/>
      <x:c r="FF6" s="54" t="str"/>
      <x:c r="FG6" s="54" t="str"/>
      <x:c r="FH6" s="54" t="str"/>
      <x:c r="FI6" s="54" t="str"/>
      <x:c r="FJ6" s="54" t="str"/>
      <x:c r="FK6" s="54" t="str"/>
      <x:c r="FL6" s="54" t="str"/>
      <x:c r="FM6" s="54" t="str"/>
      <x:c r="FN6" s="54" t="str"/>
      <x:c r="FO6" s="54" t="str"/>
      <x:c r="FP6" s="54" t="str"/>
      <x:c r="FQ6" s="54" t="str"/>
      <x:c r="FR6" s="54" t="str"/>
      <x:c r="FS6" s="54" t="str"/>
      <x:c r="FT6" s="54" t="str"/>
      <x:c r="FU6" s="54" t="str"/>
      <x:c r="FV6" s="54" t="str"/>
      <x:c r="FW6" s="54" t="str"/>
      <x:c r="FX6" s="54" t="str"/>
      <x:c r="FY6" s="54" t="str"/>
      <x:c r="FZ6" s="54" t="str"/>
      <x:c r="GA6" s="54" t="str"/>
    </x:row>
    <x:row r="7">
      <x:c r="A7" t="str">
        <x:v>Старт продаж</x:v>
      </x:c>
      <x:c r="B7" s="106" t="n">
        <x:f>EDATE('Вводные'!$D$88,'Вводные'!$E$88+'Вводные'!$G$88+'Вводные'!$H$9)</x:f>
      </x:c>
      <x:c r="C7" t="str">
        <x:v>дата</x:v>
      </x:c>
    </x:row>
    <x:row r="8">
      <x:c r="A8" t="str">
        <x:v>РВЭ</x:v>
      </x:c>
      <x:c r="B8" s="106" t="n">
        <x:f>EDATE('Вводные'!$D$88,'Вводные'!$E$88+'Вводные'!$F$88+'Вводные'!$H$9)</x:f>
      </x:c>
      <x:c r="C8" t="str">
        <x:v>дата</x:v>
      </x:c>
    </x:row>
    <x:row r="9">
      <x:c r="A9" t="str">
        <x:v>Флаг продаж до РВЭ</x:v>
      </x:c>
      <x:c r="B9"/>
      <x:c r="C9" t="str">
        <x:v>0/1</x:v>
      </x:c>
      <x:c r="D9" t="n">
        <x:f>--AND(D$3&gt;=$B$7,D$3&lt;$B$8,D$3&lt;EDATE($B$7,MAX(1,'Вводные'!$H$88)),'Вводные'!$B$88="Да")</x:f>
      </x:c>
      <x:c r="E9" t="n">
        <x:f>--AND(E$3&gt;=$B$7,E$3&lt;$B$8,E$3&lt;EDATE($B$7,MAX(1,'Вводные'!$H$88)),'Вводные'!$B$88="Да")</x:f>
      </x:c>
      <x:c r="F9" t="n">
        <x:f>--AND(F$3&gt;=$B$7,F$3&lt;$B$8,F$3&lt;EDATE($B$7,MAX(1,'Вводные'!$H$88)),'Вводные'!$B$88="Да")</x:f>
      </x:c>
      <x:c r="G9" t="n">
        <x:f>--AND(G$3&gt;=$B$7,G$3&lt;$B$8,G$3&lt;EDATE($B$7,MAX(1,'Вводные'!$H$88)),'Вводные'!$B$88="Да")</x:f>
      </x:c>
      <x:c r="H9" t="n">
        <x:f>--AND(H$3&gt;=$B$7,H$3&lt;$B$8,H$3&lt;EDATE($B$7,MAX(1,'Вводные'!$H$88)),'Вводные'!$B$88="Да")</x:f>
      </x:c>
      <x:c r="I9" t="n">
        <x:f>--AND(I$3&gt;=$B$7,I$3&lt;$B$8,I$3&lt;EDATE($B$7,MAX(1,'Вводные'!$H$88)),'Вводные'!$B$88="Да")</x:f>
      </x:c>
      <x:c r="J9" t="n">
        <x:f>--AND(J$3&gt;=$B$7,J$3&lt;$B$8,J$3&lt;EDATE($B$7,MAX(1,'Вводные'!$H$88)),'Вводные'!$B$88="Да")</x:f>
      </x:c>
      <x:c r="K9" t="n">
        <x:f>--AND(K$3&gt;=$B$7,K$3&lt;$B$8,K$3&lt;EDATE($B$7,MAX(1,'Вводные'!$H$88)),'Вводные'!$B$88="Да")</x:f>
      </x:c>
      <x:c r="L9" t="n">
        <x:f>--AND(L$3&gt;=$B$7,L$3&lt;$B$8,L$3&lt;EDATE($B$7,MAX(1,'Вводные'!$H$88)),'Вводные'!$B$88="Да")</x:f>
      </x:c>
      <x:c r="M9" t="n">
        <x:f>--AND(M$3&gt;=$B$7,M$3&lt;$B$8,M$3&lt;EDATE($B$7,MAX(1,'Вводные'!$H$88)),'Вводные'!$B$88="Да")</x:f>
      </x:c>
      <x:c r="N9" t="n">
        <x:f>--AND(N$3&gt;=$B$7,N$3&lt;$B$8,N$3&lt;EDATE($B$7,MAX(1,'Вводные'!$H$88)),'Вводные'!$B$88="Да")</x:f>
      </x:c>
      <x:c r="O9" t="n">
        <x:f>--AND(O$3&gt;=$B$7,O$3&lt;$B$8,O$3&lt;EDATE($B$7,MAX(1,'Вводные'!$H$88)),'Вводные'!$B$88="Да")</x:f>
      </x:c>
      <x:c r="P9" t="n">
        <x:f>--AND(P$3&gt;=$B$7,P$3&lt;$B$8,P$3&lt;EDATE($B$7,MAX(1,'Вводные'!$H$88)),'Вводные'!$B$88="Да")</x:f>
      </x:c>
      <x:c r="Q9" t="n">
        <x:f>--AND(Q$3&gt;=$B$7,Q$3&lt;$B$8,Q$3&lt;EDATE($B$7,MAX(1,'Вводные'!$H$88)),'Вводные'!$B$88="Да")</x:f>
      </x:c>
      <x:c r="R9" t="n">
        <x:f>--AND(R$3&gt;=$B$7,R$3&lt;$B$8,R$3&lt;EDATE($B$7,MAX(1,'Вводные'!$H$88)),'Вводные'!$B$88="Да")</x:f>
      </x:c>
      <x:c r="S9" t="n">
        <x:f>--AND(S$3&gt;=$B$7,S$3&lt;$B$8,S$3&lt;EDATE($B$7,MAX(1,'Вводные'!$H$88)),'Вводные'!$B$88="Да")</x:f>
      </x:c>
      <x:c r="T9" t="n">
        <x:f>--AND(T$3&gt;=$B$7,T$3&lt;$B$8,T$3&lt;EDATE($B$7,MAX(1,'Вводные'!$H$88)),'Вводные'!$B$88="Да")</x:f>
      </x:c>
      <x:c r="U9" t="n">
        <x:f>--AND(U$3&gt;=$B$7,U$3&lt;$B$8,U$3&lt;EDATE($B$7,MAX(1,'Вводные'!$H$88)),'Вводные'!$B$88="Да")</x:f>
      </x:c>
      <x:c r="V9" t="n">
        <x:f>--AND(V$3&gt;=$B$7,V$3&lt;$B$8,V$3&lt;EDATE($B$7,MAX(1,'Вводные'!$H$88)),'Вводные'!$B$88="Да")</x:f>
      </x:c>
      <x:c r="W9" t="n">
        <x:f>--AND(W$3&gt;=$B$7,W$3&lt;$B$8,W$3&lt;EDATE($B$7,MAX(1,'Вводные'!$H$88)),'Вводные'!$B$88="Да")</x:f>
      </x:c>
      <x:c r="X9" t="n">
        <x:f>--AND(X$3&gt;=$B$7,X$3&lt;$B$8,X$3&lt;EDATE($B$7,MAX(1,'Вводные'!$H$88)),'Вводные'!$B$88="Да")</x:f>
      </x:c>
      <x:c r="Y9" t="n">
        <x:f>--AND(Y$3&gt;=$B$7,Y$3&lt;$B$8,Y$3&lt;EDATE($B$7,MAX(1,'Вводные'!$H$88)),'Вводные'!$B$88="Да")</x:f>
      </x:c>
      <x:c r="Z9" t="n">
        <x:f>--AND(Z$3&gt;=$B$7,Z$3&lt;$B$8,Z$3&lt;EDATE($B$7,MAX(1,'Вводные'!$H$88)),'Вводные'!$B$88="Да")</x:f>
      </x:c>
      <x:c r="AA9" t="n">
        <x:f>--AND(AA$3&gt;=$B$7,AA$3&lt;$B$8,AA$3&lt;EDATE($B$7,MAX(1,'Вводные'!$H$88)),'Вводные'!$B$88="Да")</x:f>
      </x:c>
      <x:c r="AB9" t="n">
        <x:f>--AND(AB$3&gt;=$B$7,AB$3&lt;$B$8,AB$3&lt;EDATE($B$7,MAX(1,'Вводные'!$H$88)),'Вводные'!$B$88="Да")</x:f>
      </x:c>
      <x:c r="AC9" t="n">
        <x:f>--AND(AC$3&gt;=$B$7,AC$3&lt;$B$8,AC$3&lt;EDATE($B$7,MAX(1,'Вводные'!$H$88)),'Вводные'!$B$88="Да")</x:f>
      </x:c>
      <x:c r="AD9" t="n">
        <x:f>--AND(AD$3&gt;=$B$7,AD$3&lt;$B$8,AD$3&lt;EDATE($B$7,MAX(1,'Вводные'!$H$88)),'Вводные'!$B$88="Да")</x:f>
      </x:c>
      <x:c r="AE9" t="n">
        <x:f>--AND(AE$3&gt;=$B$7,AE$3&lt;$B$8,AE$3&lt;EDATE($B$7,MAX(1,'Вводные'!$H$88)),'Вводные'!$B$88="Да")</x:f>
      </x:c>
      <x:c r="AF9" t="n">
        <x:f>--AND(AF$3&gt;=$B$7,AF$3&lt;$B$8,AF$3&lt;EDATE($B$7,MAX(1,'Вводные'!$H$88)),'Вводные'!$B$88="Да")</x:f>
      </x:c>
      <x:c r="AG9" t="n">
        <x:f>--AND(AG$3&gt;=$B$7,AG$3&lt;$B$8,AG$3&lt;EDATE($B$7,MAX(1,'Вводные'!$H$88)),'Вводные'!$B$88="Да")</x:f>
      </x:c>
      <x:c r="AH9" t="n">
        <x:f>--AND(AH$3&gt;=$B$7,AH$3&lt;$B$8,AH$3&lt;EDATE($B$7,MAX(1,'Вводные'!$H$88)),'Вводные'!$B$88="Да")</x:f>
      </x:c>
      <x:c r="AI9" t="n">
        <x:f>--AND(AI$3&gt;=$B$7,AI$3&lt;$B$8,AI$3&lt;EDATE($B$7,MAX(1,'Вводные'!$H$88)),'Вводные'!$B$88="Да")</x:f>
      </x:c>
      <x:c r="AJ9" t="n">
        <x:f>--AND(AJ$3&gt;=$B$7,AJ$3&lt;$B$8,AJ$3&lt;EDATE($B$7,MAX(1,'Вводные'!$H$88)),'Вводные'!$B$88="Да")</x:f>
      </x:c>
      <x:c r="AK9" t="n">
        <x:f>--AND(AK$3&gt;=$B$7,AK$3&lt;$B$8,AK$3&lt;EDATE($B$7,MAX(1,'Вводные'!$H$88)),'Вводные'!$B$88="Да")</x:f>
      </x:c>
      <x:c r="AL9" t="n">
        <x:f>--AND(AL$3&gt;=$B$7,AL$3&lt;$B$8,AL$3&lt;EDATE($B$7,MAX(1,'Вводные'!$H$88)),'Вводные'!$B$88="Да")</x:f>
      </x:c>
      <x:c r="AM9" t="n">
        <x:f>--AND(AM$3&gt;=$B$7,AM$3&lt;$B$8,AM$3&lt;EDATE($B$7,MAX(1,'Вводные'!$H$88)),'Вводные'!$B$88="Да")</x:f>
      </x:c>
      <x:c r="AN9" t="n">
        <x:f>--AND(AN$3&gt;=$B$7,AN$3&lt;$B$8,AN$3&lt;EDATE($B$7,MAX(1,'Вводные'!$H$88)),'Вводные'!$B$88="Да")</x:f>
      </x:c>
      <x:c r="AO9" t="n">
        <x:f>--AND(AO$3&gt;=$B$7,AO$3&lt;$B$8,AO$3&lt;EDATE($B$7,MAX(1,'Вводные'!$H$88)),'Вводные'!$B$88="Да")</x:f>
      </x:c>
      <x:c r="AP9" t="n">
        <x:f>--AND(AP$3&gt;=$B$7,AP$3&lt;$B$8,AP$3&lt;EDATE($B$7,MAX(1,'Вводные'!$H$88)),'Вводные'!$B$88="Да")</x:f>
      </x:c>
      <x:c r="AQ9" t="n">
        <x:f>--AND(AQ$3&gt;=$B$7,AQ$3&lt;$B$8,AQ$3&lt;EDATE($B$7,MAX(1,'Вводные'!$H$88)),'Вводные'!$B$88="Да")</x:f>
      </x:c>
      <x:c r="AR9" t="n">
        <x:f>--AND(AR$3&gt;=$B$7,AR$3&lt;$B$8,AR$3&lt;EDATE($B$7,MAX(1,'Вводные'!$H$88)),'Вводные'!$B$88="Да")</x:f>
      </x:c>
      <x:c r="AS9" t="n">
        <x:f>--AND(AS$3&gt;=$B$7,AS$3&lt;$B$8,AS$3&lt;EDATE($B$7,MAX(1,'Вводные'!$H$88)),'Вводные'!$B$88="Да")</x:f>
      </x:c>
      <x:c r="AT9" t="n">
        <x:f>--AND(AT$3&gt;=$B$7,AT$3&lt;$B$8,AT$3&lt;EDATE($B$7,MAX(1,'Вводные'!$H$88)),'Вводные'!$B$88="Да")</x:f>
      </x:c>
      <x:c r="AU9" t="n">
        <x:f>--AND(AU$3&gt;=$B$7,AU$3&lt;$B$8,AU$3&lt;EDATE($B$7,MAX(1,'Вводные'!$H$88)),'Вводные'!$B$88="Да")</x:f>
      </x:c>
      <x:c r="AV9" t="n">
        <x:f>--AND(AV$3&gt;=$B$7,AV$3&lt;$B$8,AV$3&lt;EDATE($B$7,MAX(1,'Вводные'!$H$88)),'Вводные'!$B$88="Да")</x:f>
      </x:c>
      <x:c r="AW9" t="n">
        <x:f>--AND(AW$3&gt;=$B$7,AW$3&lt;$B$8,AW$3&lt;EDATE($B$7,MAX(1,'Вводные'!$H$88)),'Вводные'!$B$88="Да")</x:f>
      </x:c>
      <x:c r="AX9" t="n">
        <x:f>--AND(AX$3&gt;=$B$7,AX$3&lt;$B$8,AX$3&lt;EDATE($B$7,MAX(1,'Вводные'!$H$88)),'Вводные'!$B$88="Да")</x:f>
      </x:c>
      <x:c r="AY9" t="n">
        <x:f>--AND(AY$3&gt;=$B$7,AY$3&lt;$B$8,AY$3&lt;EDATE($B$7,MAX(1,'Вводные'!$H$88)),'Вводные'!$B$88="Да")</x:f>
      </x:c>
      <x:c r="AZ9" t="n">
        <x:f>--AND(AZ$3&gt;=$B$7,AZ$3&lt;$B$8,AZ$3&lt;EDATE($B$7,MAX(1,'Вводные'!$H$88)),'Вводные'!$B$88="Да")</x:f>
      </x:c>
      <x:c r="BA9" t="n">
        <x:f>--AND(BA$3&gt;=$B$7,BA$3&lt;$B$8,BA$3&lt;EDATE($B$7,MAX(1,'Вводные'!$H$88)),'Вводные'!$B$88="Да")</x:f>
      </x:c>
      <x:c r="BB9" t="n">
        <x:f>--AND(BB$3&gt;=$B$7,BB$3&lt;$B$8,BB$3&lt;EDATE($B$7,MAX(1,'Вводные'!$H$88)),'Вводные'!$B$88="Да")</x:f>
      </x:c>
      <x:c r="BC9" t="n">
        <x:f>--AND(BC$3&gt;=$B$7,BC$3&lt;$B$8,BC$3&lt;EDATE($B$7,MAX(1,'Вводные'!$H$88)),'Вводные'!$B$88="Да")</x:f>
      </x:c>
      <x:c r="BD9" t="n">
        <x:f>--AND(BD$3&gt;=$B$7,BD$3&lt;$B$8,BD$3&lt;EDATE($B$7,MAX(1,'Вводные'!$H$88)),'Вводные'!$B$88="Да")</x:f>
      </x:c>
      <x:c r="BE9" t="n">
        <x:f>--AND(BE$3&gt;=$B$7,BE$3&lt;$B$8,BE$3&lt;EDATE($B$7,MAX(1,'Вводные'!$H$88)),'Вводные'!$B$88="Да")</x:f>
      </x:c>
      <x:c r="BF9" t="n">
        <x:f>--AND(BF$3&gt;=$B$7,BF$3&lt;$B$8,BF$3&lt;EDATE($B$7,MAX(1,'Вводные'!$H$88)),'Вводные'!$B$88="Да")</x:f>
      </x:c>
      <x:c r="BG9" t="n">
        <x:f>--AND(BG$3&gt;=$B$7,BG$3&lt;$B$8,BG$3&lt;EDATE($B$7,MAX(1,'Вводные'!$H$88)),'Вводные'!$B$88="Да")</x:f>
      </x:c>
      <x:c r="BH9" t="n">
        <x:f>--AND(BH$3&gt;=$B$7,BH$3&lt;$B$8,BH$3&lt;EDATE($B$7,MAX(1,'Вводные'!$H$88)),'Вводные'!$B$88="Да")</x:f>
      </x:c>
      <x:c r="BI9" t="n">
        <x:f>--AND(BI$3&gt;=$B$7,BI$3&lt;$B$8,BI$3&lt;EDATE($B$7,MAX(1,'Вводные'!$H$88)),'Вводные'!$B$88="Да")</x:f>
      </x:c>
      <x:c r="BJ9" t="n">
        <x:f>--AND(BJ$3&gt;=$B$7,BJ$3&lt;$B$8,BJ$3&lt;EDATE($B$7,MAX(1,'Вводные'!$H$88)),'Вводные'!$B$88="Да")</x:f>
      </x:c>
      <x:c r="BK9" t="n">
        <x:f>--AND(BK$3&gt;=$B$7,BK$3&lt;$B$8,BK$3&lt;EDATE($B$7,MAX(1,'Вводные'!$H$88)),'Вводные'!$B$88="Да")</x:f>
      </x:c>
      <x:c r="BL9" t="n">
        <x:f>--AND(BL$3&gt;=$B$7,BL$3&lt;$B$8,BL$3&lt;EDATE($B$7,MAX(1,'Вводные'!$H$88)),'Вводные'!$B$88="Да")</x:f>
      </x:c>
      <x:c r="BM9" t="n">
        <x:f>--AND(BM$3&gt;=$B$7,BM$3&lt;$B$8,BM$3&lt;EDATE($B$7,MAX(1,'Вводные'!$H$88)),'Вводные'!$B$88="Да")</x:f>
      </x:c>
      <x:c r="BN9" t="n">
        <x:f>--AND(BN$3&gt;=$B$7,BN$3&lt;$B$8,BN$3&lt;EDATE($B$7,MAX(1,'Вводные'!$H$88)),'Вводные'!$B$88="Да")</x:f>
      </x:c>
      <x:c r="BO9" t="n">
        <x:f>--AND(BO$3&gt;=$B$7,BO$3&lt;$B$8,BO$3&lt;EDATE($B$7,MAX(1,'Вводные'!$H$88)),'Вводные'!$B$88="Да")</x:f>
      </x:c>
      <x:c r="BP9" t="n">
        <x:f>--AND(BP$3&gt;=$B$7,BP$3&lt;$B$8,BP$3&lt;EDATE($B$7,MAX(1,'Вводные'!$H$88)),'Вводные'!$B$88="Да")</x:f>
      </x:c>
      <x:c r="BQ9" t="n">
        <x:f>--AND(BQ$3&gt;=$B$7,BQ$3&lt;$B$8,BQ$3&lt;EDATE($B$7,MAX(1,'Вводные'!$H$88)),'Вводные'!$B$88="Да")</x:f>
      </x:c>
      <x:c r="BR9" t="n">
        <x:f>--AND(BR$3&gt;=$B$7,BR$3&lt;$B$8,BR$3&lt;EDATE($B$7,MAX(1,'Вводные'!$H$88)),'Вводные'!$B$88="Да")</x:f>
      </x:c>
      <x:c r="BS9" t="n">
        <x:f>--AND(BS$3&gt;=$B$7,BS$3&lt;$B$8,BS$3&lt;EDATE($B$7,MAX(1,'Вводные'!$H$88)),'Вводные'!$B$88="Да")</x:f>
      </x:c>
      <x:c r="BT9" t="n">
        <x:f>--AND(BT$3&gt;=$B$7,BT$3&lt;$B$8,BT$3&lt;EDATE($B$7,MAX(1,'Вводные'!$H$88)),'Вводные'!$B$88="Да")</x:f>
      </x:c>
      <x:c r="BU9" t="n">
        <x:f>--AND(BU$3&gt;=$B$7,BU$3&lt;$B$8,BU$3&lt;EDATE($B$7,MAX(1,'Вводные'!$H$88)),'Вводные'!$B$88="Да")</x:f>
      </x:c>
      <x:c r="BV9" t="n">
        <x:f>--AND(BV$3&gt;=$B$7,BV$3&lt;$B$8,BV$3&lt;EDATE($B$7,MAX(1,'Вводные'!$H$88)),'Вводные'!$B$88="Да")</x:f>
      </x:c>
      <x:c r="BW9" t="n">
        <x:f>--AND(BW$3&gt;=$B$7,BW$3&lt;$B$8,BW$3&lt;EDATE($B$7,MAX(1,'Вводные'!$H$88)),'Вводные'!$B$88="Да")</x:f>
      </x:c>
      <x:c r="BX9" t="n">
        <x:f>--AND(BX$3&gt;=$B$7,BX$3&lt;$B$8,BX$3&lt;EDATE($B$7,MAX(1,'Вводные'!$H$88)),'Вводные'!$B$88="Да")</x:f>
      </x:c>
      <x:c r="BY9" t="n">
        <x:f>--AND(BY$3&gt;=$B$7,BY$3&lt;$B$8,BY$3&lt;EDATE($B$7,MAX(1,'Вводные'!$H$88)),'Вводные'!$B$88="Да")</x:f>
      </x:c>
      <x:c r="BZ9" t="n">
        <x:f>--AND(BZ$3&gt;=$B$7,BZ$3&lt;$B$8,BZ$3&lt;EDATE($B$7,MAX(1,'Вводные'!$H$88)),'Вводные'!$B$88="Да")</x:f>
      </x:c>
      <x:c r="CA9" t="n">
        <x:f>--AND(CA$3&gt;=$B$7,CA$3&lt;$B$8,CA$3&lt;EDATE($B$7,MAX(1,'Вводные'!$H$88)),'Вводные'!$B$88="Да")</x:f>
      </x:c>
      <x:c r="CB9" t="n">
        <x:f>--AND(CB$3&gt;=$B$7,CB$3&lt;$B$8,CB$3&lt;EDATE($B$7,MAX(1,'Вводные'!$H$88)),'Вводные'!$B$88="Да")</x:f>
      </x:c>
      <x:c r="CC9" t="n">
        <x:f>--AND(CC$3&gt;=$B$7,CC$3&lt;$B$8,CC$3&lt;EDATE($B$7,MAX(1,'Вводные'!$H$88)),'Вводные'!$B$88="Да")</x:f>
      </x:c>
      <x:c r="CD9" t="n">
        <x:f>--AND(CD$3&gt;=$B$7,CD$3&lt;$B$8,CD$3&lt;EDATE($B$7,MAX(1,'Вводные'!$H$88)),'Вводные'!$B$88="Да")</x:f>
      </x:c>
      <x:c r="CE9" t="n">
        <x:f>--AND(CE$3&gt;=$B$7,CE$3&lt;$B$8,CE$3&lt;EDATE($B$7,MAX(1,'Вводные'!$H$88)),'Вводные'!$B$88="Да")</x:f>
      </x:c>
      <x:c r="CF9" t="n">
        <x:f>--AND(CF$3&gt;=$B$7,CF$3&lt;$B$8,CF$3&lt;EDATE($B$7,MAX(1,'Вводные'!$H$88)),'Вводные'!$B$88="Да")</x:f>
      </x:c>
      <x:c r="CG9" t="n">
        <x:f>--AND(CG$3&gt;=$B$7,CG$3&lt;$B$8,CG$3&lt;EDATE($B$7,MAX(1,'Вводные'!$H$88)),'Вводные'!$B$88="Да")</x:f>
      </x:c>
      <x:c r="CH9" t="n">
        <x:f>--AND(CH$3&gt;=$B$7,CH$3&lt;$B$8,CH$3&lt;EDATE($B$7,MAX(1,'Вводные'!$H$88)),'Вводные'!$B$88="Да")</x:f>
      </x:c>
      <x:c r="CI9" t="n">
        <x:f>--AND(CI$3&gt;=$B$7,CI$3&lt;$B$8,CI$3&lt;EDATE($B$7,MAX(1,'Вводные'!$H$88)),'Вводные'!$B$88="Да")</x:f>
      </x:c>
      <x:c r="CJ9" t="n">
        <x:f>--AND(CJ$3&gt;=$B$7,CJ$3&lt;$B$8,CJ$3&lt;EDATE($B$7,MAX(1,'Вводные'!$H$88)),'Вводные'!$B$88="Да")</x:f>
      </x:c>
      <x:c r="CK9" t="n">
        <x:f>--AND(CK$3&gt;=$B$7,CK$3&lt;$B$8,CK$3&lt;EDATE($B$7,MAX(1,'Вводные'!$H$88)),'Вводные'!$B$88="Да")</x:f>
      </x:c>
      <x:c r="CL9" t="n">
        <x:f>--AND(CL$3&gt;=$B$7,CL$3&lt;$B$8,CL$3&lt;EDATE($B$7,MAX(1,'Вводные'!$H$88)),'Вводные'!$B$88="Да")</x:f>
      </x:c>
      <x:c r="CM9" t="n">
        <x:f>--AND(CM$3&gt;=$B$7,CM$3&lt;$B$8,CM$3&lt;EDATE($B$7,MAX(1,'Вводные'!$H$88)),'Вводные'!$B$88="Да")</x:f>
      </x:c>
      <x:c r="CN9" t="n">
        <x:f>--AND(CN$3&gt;=$B$7,CN$3&lt;$B$8,CN$3&lt;EDATE($B$7,MAX(1,'Вводные'!$H$88)),'Вводные'!$B$88="Да")</x:f>
      </x:c>
      <x:c r="CO9" t="n">
        <x:f>--AND(CO$3&gt;=$B$7,CO$3&lt;$B$8,CO$3&lt;EDATE($B$7,MAX(1,'Вводные'!$H$88)),'Вводные'!$B$88="Да")</x:f>
      </x:c>
      <x:c r="CP9" t="n">
        <x:f>--AND(CP$3&gt;=$B$7,CP$3&lt;$B$8,CP$3&lt;EDATE($B$7,MAX(1,'Вводные'!$H$88)),'Вводные'!$B$88="Да")</x:f>
      </x:c>
      <x:c r="CQ9" t="n">
        <x:f>--AND(CQ$3&gt;=$B$7,CQ$3&lt;$B$8,CQ$3&lt;EDATE($B$7,MAX(1,'Вводные'!$H$88)),'Вводные'!$B$88="Да")</x:f>
      </x:c>
      <x:c r="CR9" t="n">
        <x:f>--AND(CR$3&gt;=$B$7,CR$3&lt;$B$8,CR$3&lt;EDATE($B$7,MAX(1,'Вводные'!$H$88)),'Вводные'!$B$88="Да")</x:f>
      </x:c>
      <x:c r="CS9" t="n">
        <x:f>--AND(CS$3&gt;=$B$7,CS$3&lt;$B$8,CS$3&lt;EDATE($B$7,MAX(1,'Вводные'!$H$88)),'Вводные'!$B$88="Да")</x:f>
      </x:c>
      <x:c r="CT9" t="n">
        <x:f>--AND(CT$3&gt;=$B$7,CT$3&lt;$B$8,CT$3&lt;EDATE($B$7,MAX(1,'Вводные'!$H$88)),'Вводные'!$B$88="Да")</x:f>
      </x:c>
      <x:c r="CU9" t="n">
        <x:f>--AND(CU$3&gt;=$B$7,CU$3&lt;$B$8,CU$3&lt;EDATE($B$7,MAX(1,'Вводные'!$H$88)),'Вводные'!$B$88="Да")</x:f>
      </x:c>
      <x:c r="CV9" t="n">
        <x:f>--AND(CV$3&gt;=$B$7,CV$3&lt;$B$8,CV$3&lt;EDATE($B$7,MAX(1,'Вводные'!$H$88)),'Вводные'!$B$88="Да")</x:f>
      </x:c>
      <x:c r="CW9" t="n">
        <x:f>--AND(CW$3&gt;=$B$7,CW$3&lt;$B$8,CW$3&lt;EDATE($B$7,MAX(1,'Вводные'!$H$88)),'Вводные'!$B$88="Да")</x:f>
      </x:c>
      <x:c r="CX9" t="n">
        <x:f>--AND(CX$3&gt;=$B$7,CX$3&lt;$B$8,CX$3&lt;EDATE($B$7,MAX(1,'Вводные'!$H$88)),'Вводные'!$B$88="Да")</x:f>
      </x:c>
      <x:c r="CY9" t="n">
        <x:f>--AND(CY$3&gt;=$B$7,CY$3&lt;$B$8,CY$3&lt;EDATE($B$7,MAX(1,'Вводные'!$H$88)),'Вводные'!$B$88="Да")</x:f>
      </x:c>
      <x:c r="CZ9" t="n">
        <x:f>--AND(CZ$3&gt;=$B$7,CZ$3&lt;$B$8,CZ$3&lt;EDATE($B$7,MAX(1,'Вводные'!$H$88)),'Вводные'!$B$88="Да")</x:f>
      </x:c>
      <x:c r="DA9" t="n">
        <x:f>--AND(DA$3&gt;=$B$7,DA$3&lt;$B$8,DA$3&lt;EDATE($B$7,MAX(1,'Вводные'!$H$88)),'Вводные'!$B$88="Да")</x:f>
      </x:c>
      <x:c r="DB9" t="n">
        <x:f>--AND(DB$3&gt;=$B$7,DB$3&lt;$B$8,DB$3&lt;EDATE($B$7,MAX(1,'Вводные'!$H$88)),'Вводные'!$B$88="Да")</x:f>
      </x:c>
      <x:c r="DC9" t="n">
        <x:f>--AND(DC$3&gt;=$B$7,DC$3&lt;$B$8,DC$3&lt;EDATE($B$7,MAX(1,'Вводные'!$H$88)),'Вводные'!$B$88="Да")</x:f>
      </x:c>
      <x:c r="DD9" t="n">
        <x:f>--AND(DD$3&gt;=$B$7,DD$3&lt;$B$8,DD$3&lt;EDATE($B$7,MAX(1,'Вводные'!$H$88)),'Вводные'!$B$88="Да")</x:f>
      </x:c>
      <x:c r="DE9" t="n">
        <x:f>--AND(DE$3&gt;=$B$7,DE$3&lt;$B$8,DE$3&lt;EDATE($B$7,MAX(1,'Вводные'!$H$88)),'Вводные'!$B$88="Да")</x:f>
      </x:c>
      <x:c r="DF9" t="n">
        <x:f>--AND(DF$3&gt;=$B$7,DF$3&lt;$B$8,DF$3&lt;EDATE($B$7,MAX(1,'Вводные'!$H$88)),'Вводные'!$B$88="Да")</x:f>
      </x:c>
      <x:c r="DG9" t="n">
        <x:f>--AND(DG$3&gt;=$B$7,DG$3&lt;$B$8,DG$3&lt;EDATE($B$7,MAX(1,'Вводные'!$H$88)),'Вводные'!$B$88="Да")</x:f>
      </x:c>
      <x:c r="DH9" t="n">
        <x:f>--AND(DH$3&gt;=$B$7,DH$3&lt;$B$8,DH$3&lt;EDATE($B$7,MAX(1,'Вводные'!$H$88)),'Вводные'!$B$88="Да")</x:f>
      </x:c>
      <x:c r="DI9" t="n">
        <x:f>--AND(DI$3&gt;=$B$7,DI$3&lt;$B$8,DI$3&lt;EDATE($B$7,MAX(1,'Вводные'!$H$88)),'Вводные'!$B$88="Да")</x:f>
      </x:c>
      <x:c r="DJ9" t="n">
        <x:f>--AND(DJ$3&gt;=$B$7,DJ$3&lt;$B$8,DJ$3&lt;EDATE($B$7,MAX(1,'Вводные'!$H$88)),'Вводные'!$B$88="Да")</x:f>
      </x:c>
      <x:c r="DK9" t="n">
        <x:f>--AND(DK$3&gt;=$B$7,DK$3&lt;$B$8,DK$3&lt;EDATE($B$7,MAX(1,'Вводные'!$H$88)),'Вводные'!$B$88="Да")</x:f>
      </x:c>
      <x:c r="DL9" t="n">
        <x:f>--AND(DL$3&gt;=$B$7,DL$3&lt;$B$8,DL$3&lt;EDATE($B$7,MAX(1,'Вводные'!$H$88)),'Вводные'!$B$88="Да")</x:f>
      </x:c>
      <x:c r="DM9" t="n">
        <x:f>--AND(DM$3&gt;=$B$7,DM$3&lt;$B$8,DM$3&lt;EDATE($B$7,MAX(1,'Вводные'!$H$88)),'Вводные'!$B$88="Да")</x:f>
      </x:c>
      <x:c r="DN9" t="n">
        <x:f>--AND(DN$3&gt;=$B$7,DN$3&lt;$B$8,DN$3&lt;EDATE($B$7,MAX(1,'Вводные'!$H$88)),'Вводные'!$B$88="Да")</x:f>
      </x:c>
      <x:c r="DO9" t="n">
        <x:f>--AND(DO$3&gt;=$B$7,DO$3&lt;$B$8,DO$3&lt;EDATE($B$7,MAX(1,'Вводные'!$H$88)),'Вводные'!$B$88="Да")</x:f>
      </x:c>
      <x:c r="DP9" t="n">
        <x:f>--AND(DP$3&gt;=$B$7,DP$3&lt;$B$8,DP$3&lt;EDATE($B$7,MAX(1,'Вводные'!$H$88)),'Вводные'!$B$88="Да")</x:f>
      </x:c>
      <x:c r="DQ9" t="n">
        <x:f>--AND(DQ$3&gt;=$B$7,DQ$3&lt;$B$8,DQ$3&lt;EDATE($B$7,MAX(1,'Вводные'!$H$88)),'Вводные'!$B$88="Да")</x:f>
      </x:c>
      <x:c r="DR9" t="n">
        <x:f>--AND(DR$3&gt;=$B$7,DR$3&lt;$B$8,DR$3&lt;EDATE($B$7,MAX(1,'Вводные'!$H$88)),'Вводные'!$B$88="Да")</x:f>
      </x:c>
      <x:c r="DS9" t="n">
        <x:f>--AND(DS$3&gt;=$B$7,DS$3&lt;$B$8,DS$3&lt;EDATE($B$7,MAX(1,'Вводные'!$H$88)),'Вводные'!$B$88="Да")</x:f>
      </x:c>
      <x:c r="DT9" t="n">
        <x:f>--AND(DT$3&gt;=$B$7,DT$3&lt;$B$8,DT$3&lt;EDATE($B$7,MAX(1,'Вводные'!$H$88)),'Вводные'!$B$88="Да")</x:f>
      </x:c>
      <x:c r="DU9" t="n">
        <x:f>--AND(DU$3&gt;=$B$7,DU$3&lt;$B$8,DU$3&lt;EDATE($B$7,MAX(1,'Вводные'!$H$88)),'Вводные'!$B$88="Да")</x:f>
      </x:c>
      <x:c r="DV9" t="n">
        <x:f>--AND(DV$3&gt;=$B$7,DV$3&lt;$B$8,DV$3&lt;EDATE($B$7,MAX(1,'Вводные'!$H$88)),'Вводные'!$B$88="Да")</x:f>
      </x:c>
      <x:c r="DW9" t="n">
        <x:f>--AND(DW$3&gt;=$B$7,DW$3&lt;$B$8,DW$3&lt;EDATE($B$7,MAX(1,'Вводные'!$H$88)),'Вводные'!$B$88="Да")</x:f>
      </x:c>
      <x:c r="DX9" t="n">
        <x:f>--AND(DX$3&gt;=$B$7,DX$3&lt;$B$8,DX$3&lt;EDATE($B$7,MAX(1,'Вводные'!$H$88)),'Вводные'!$B$88="Да")</x:f>
      </x:c>
      <x:c r="DY9" t="n">
        <x:f>--AND(DY$3&gt;=$B$7,DY$3&lt;$B$8,DY$3&lt;EDATE($B$7,MAX(1,'Вводные'!$H$88)),'Вводные'!$B$88="Да")</x:f>
      </x:c>
      <x:c r="DZ9" t="n">
        <x:f>--AND(DZ$3&gt;=$B$7,DZ$3&lt;$B$8,DZ$3&lt;EDATE($B$7,MAX(1,'Вводные'!$H$88)),'Вводные'!$B$88="Да")</x:f>
      </x:c>
      <x:c r="EA9" t="n">
        <x:f>--AND(EA$3&gt;=$B$7,EA$3&lt;$B$8,EA$3&lt;EDATE($B$7,MAX(1,'Вводные'!$H$88)),'Вводные'!$B$88="Да")</x:f>
      </x:c>
      <x:c r="EB9" t="n">
        <x:f>--AND(EB$3&gt;=$B$7,EB$3&lt;$B$8,EB$3&lt;EDATE($B$7,MAX(1,'Вводные'!$H$88)),'Вводные'!$B$88="Да")</x:f>
      </x:c>
      <x:c r="EC9" t="n">
        <x:f>--AND(EC$3&gt;=$B$7,EC$3&lt;$B$8,EC$3&lt;EDATE($B$7,MAX(1,'Вводные'!$H$88)),'Вводные'!$B$88="Да")</x:f>
      </x:c>
      <x:c r="ED9" t="n">
        <x:f>--AND(ED$3&gt;=$B$7,ED$3&lt;$B$8,ED$3&lt;EDATE($B$7,MAX(1,'Вводные'!$H$88)),'Вводные'!$B$88="Да")</x:f>
      </x:c>
      <x:c r="EE9" t="n">
        <x:f>--AND(EE$3&gt;=$B$7,EE$3&lt;$B$8,EE$3&lt;EDATE($B$7,MAX(1,'Вводные'!$H$88)),'Вводные'!$B$88="Да")</x:f>
      </x:c>
      <x:c r="EF9" t="n">
        <x:f>--AND(EF$3&gt;=$B$7,EF$3&lt;$B$8,EF$3&lt;EDATE($B$7,MAX(1,'Вводные'!$H$88)),'Вводные'!$B$88="Да")</x:f>
      </x:c>
      <x:c r="EG9" t="n">
        <x:f>--AND(EG$3&gt;=$B$7,EG$3&lt;$B$8,EG$3&lt;EDATE($B$7,MAX(1,'Вводные'!$H$88)),'Вводные'!$B$88="Да")</x:f>
      </x:c>
      <x:c r="EH9" t="n">
        <x:f>--AND(EH$3&gt;=$B$7,EH$3&lt;$B$8,EH$3&lt;EDATE($B$7,MAX(1,'Вводные'!$H$88)),'Вводные'!$B$88="Да")</x:f>
      </x:c>
      <x:c r="EI9" t="n">
        <x:f>--AND(EI$3&gt;=$B$7,EI$3&lt;$B$8,EI$3&lt;EDATE($B$7,MAX(1,'Вводные'!$H$88)),'Вводные'!$B$88="Да")</x:f>
      </x:c>
      <x:c r="EJ9" t="n">
        <x:f>--AND(EJ$3&gt;=$B$7,EJ$3&lt;$B$8,EJ$3&lt;EDATE($B$7,MAX(1,'Вводные'!$H$88)),'Вводные'!$B$88="Да")</x:f>
      </x:c>
      <x:c r="EK9" t="n">
        <x:f>--AND(EK$3&gt;=$B$7,EK$3&lt;$B$8,EK$3&lt;EDATE($B$7,MAX(1,'Вводные'!$H$88)),'Вводные'!$B$88="Да")</x:f>
      </x:c>
      <x:c r="EL9" t="n">
        <x:f>--AND(EL$3&gt;=$B$7,EL$3&lt;$B$8,EL$3&lt;EDATE($B$7,MAX(1,'Вводные'!$H$88)),'Вводные'!$B$88="Да")</x:f>
      </x:c>
      <x:c r="EM9" t="n">
        <x:f>--AND(EM$3&gt;=$B$7,EM$3&lt;$B$8,EM$3&lt;EDATE($B$7,MAX(1,'Вводные'!$H$88)),'Вводные'!$B$88="Да")</x:f>
      </x:c>
      <x:c r="EN9" t="n">
        <x:f>--AND(EN$3&gt;=$B$7,EN$3&lt;$B$8,EN$3&lt;EDATE($B$7,MAX(1,'Вводные'!$H$88)),'Вводные'!$B$88="Да")</x:f>
      </x:c>
      <x:c r="EO9" t="n">
        <x:f>--AND(EO$3&gt;=$B$7,EO$3&lt;$B$8,EO$3&lt;EDATE($B$7,MAX(1,'Вводные'!$H$88)),'Вводные'!$B$88="Да")</x:f>
      </x:c>
      <x:c r="EP9" t="n">
        <x:f>--AND(EP$3&gt;=$B$7,EP$3&lt;$B$8,EP$3&lt;EDATE($B$7,MAX(1,'Вводные'!$H$88)),'Вводные'!$B$88="Да")</x:f>
      </x:c>
      <x:c r="EQ9" t="n">
        <x:f>--AND(EQ$3&gt;=$B$7,EQ$3&lt;$B$8,EQ$3&lt;EDATE($B$7,MAX(1,'Вводные'!$H$88)),'Вводные'!$B$88="Да")</x:f>
      </x:c>
      <x:c r="ER9" t="n">
        <x:f>--AND(ER$3&gt;=$B$7,ER$3&lt;$B$8,ER$3&lt;EDATE($B$7,MAX(1,'Вводные'!$H$88)),'Вводные'!$B$88="Да")</x:f>
      </x:c>
      <x:c r="ES9" t="n">
        <x:f>--AND(ES$3&gt;=$B$7,ES$3&lt;$B$8,ES$3&lt;EDATE($B$7,MAX(1,'Вводные'!$H$88)),'Вводные'!$B$88="Да")</x:f>
      </x:c>
      <x:c r="ET9" t="n">
        <x:f>--AND(ET$3&gt;=$B$7,ET$3&lt;$B$8,ET$3&lt;EDATE($B$7,MAX(1,'Вводные'!$H$88)),'Вводные'!$B$88="Да")</x:f>
      </x:c>
      <x:c r="EU9" t="n">
        <x:f>--AND(EU$3&gt;=$B$7,EU$3&lt;$B$8,EU$3&lt;EDATE($B$7,MAX(1,'Вводные'!$H$88)),'Вводные'!$B$88="Да")</x:f>
      </x:c>
      <x:c r="EV9" t="n">
        <x:f>--AND(EV$3&gt;=$B$7,EV$3&lt;$B$8,EV$3&lt;EDATE($B$7,MAX(1,'Вводные'!$H$88)),'Вводные'!$B$88="Да")</x:f>
      </x:c>
      <x:c r="EW9" t="n">
        <x:f>--AND(EW$3&gt;=$B$7,EW$3&lt;$B$8,EW$3&lt;EDATE($B$7,MAX(1,'Вводные'!$H$88)),'Вводные'!$B$88="Да")</x:f>
      </x:c>
      <x:c r="EX9" t="n">
        <x:f>--AND(EX$3&gt;=$B$7,EX$3&lt;$B$8,EX$3&lt;EDATE($B$7,MAX(1,'Вводные'!$H$88)),'Вводные'!$B$88="Да")</x:f>
      </x:c>
      <x:c r="EY9" t="n">
        <x:f>--AND(EY$3&gt;=$B$7,EY$3&lt;$B$8,EY$3&lt;EDATE($B$7,MAX(1,'Вводные'!$H$88)),'Вводные'!$B$88="Да")</x:f>
      </x:c>
      <x:c r="EZ9" t="n">
        <x:f>--AND(EZ$3&gt;=$B$7,EZ$3&lt;$B$8,EZ$3&lt;EDATE($B$7,MAX(1,'Вводные'!$H$88)),'Вводные'!$B$88="Да")</x:f>
      </x:c>
      <x:c r="FA9" t="n">
        <x:f>--AND(FA$3&gt;=$B$7,FA$3&lt;$B$8,FA$3&lt;EDATE($B$7,MAX(1,'Вводные'!$H$88)),'Вводные'!$B$88="Да")</x:f>
      </x:c>
      <x:c r="FB9" t="n">
        <x:f>--AND(FB$3&gt;=$B$7,FB$3&lt;$B$8,FB$3&lt;EDATE($B$7,MAX(1,'Вводные'!$H$88)),'Вводные'!$B$88="Да")</x:f>
      </x:c>
      <x:c r="FC9" t="n">
        <x:f>--AND(FC$3&gt;=$B$7,FC$3&lt;$B$8,FC$3&lt;EDATE($B$7,MAX(1,'Вводные'!$H$88)),'Вводные'!$B$88="Да")</x:f>
      </x:c>
      <x:c r="FD9" t="n">
        <x:f>--AND(FD$3&gt;=$B$7,FD$3&lt;$B$8,FD$3&lt;EDATE($B$7,MAX(1,'Вводные'!$H$88)),'Вводные'!$B$88="Да")</x:f>
      </x:c>
      <x:c r="FE9" t="n">
        <x:f>--AND(FE$3&gt;=$B$7,FE$3&lt;$B$8,FE$3&lt;EDATE($B$7,MAX(1,'Вводные'!$H$88)),'Вводные'!$B$88="Да")</x:f>
      </x:c>
      <x:c r="FF9" t="n">
        <x:f>--AND(FF$3&gt;=$B$7,FF$3&lt;$B$8,FF$3&lt;EDATE($B$7,MAX(1,'Вводные'!$H$88)),'Вводные'!$B$88="Да")</x:f>
      </x:c>
      <x:c r="FG9" t="n">
        <x:f>--AND(FG$3&gt;=$B$7,FG$3&lt;$B$8,FG$3&lt;EDATE($B$7,MAX(1,'Вводные'!$H$88)),'Вводные'!$B$88="Да")</x:f>
      </x:c>
      <x:c r="FH9" t="n">
        <x:f>--AND(FH$3&gt;=$B$7,FH$3&lt;$B$8,FH$3&lt;EDATE($B$7,MAX(1,'Вводные'!$H$88)),'Вводные'!$B$88="Да")</x:f>
      </x:c>
      <x:c r="FI9" t="n">
        <x:f>--AND(FI$3&gt;=$B$7,FI$3&lt;$B$8,FI$3&lt;EDATE($B$7,MAX(1,'Вводные'!$H$88)),'Вводные'!$B$88="Да")</x:f>
      </x:c>
      <x:c r="FJ9" t="n">
        <x:f>--AND(FJ$3&gt;=$B$7,FJ$3&lt;$B$8,FJ$3&lt;EDATE($B$7,MAX(1,'Вводные'!$H$88)),'Вводные'!$B$88="Да")</x:f>
      </x:c>
      <x:c r="FK9" t="n">
        <x:f>--AND(FK$3&gt;=$B$7,FK$3&lt;$B$8,FK$3&lt;EDATE($B$7,MAX(1,'Вводные'!$H$88)),'Вводные'!$B$88="Да")</x:f>
      </x:c>
      <x:c r="FL9" t="n">
        <x:f>--AND(FL$3&gt;=$B$7,FL$3&lt;$B$8,FL$3&lt;EDATE($B$7,MAX(1,'Вводные'!$H$88)),'Вводные'!$B$88="Да")</x:f>
      </x:c>
      <x:c r="FM9" t="n">
        <x:f>--AND(FM$3&gt;=$B$7,FM$3&lt;$B$8,FM$3&lt;EDATE($B$7,MAX(1,'Вводные'!$H$88)),'Вводные'!$B$88="Да")</x:f>
      </x:c>
      <x:c r="FN9" t="n">
        <x:f>--AND(FN$3&gt;=$B$7,FN$3&lt;$B$8,FN$3&lt;EDATE($B$7,MAX(1,'Вводные'!$H$88)),'Вводные'!$B$88="Да")</x:f>
      </x:c>
      <x:c r="FO9" t="n">
        <x:f>--AND(FO$3&gt;=$B$7,FO$3&lt;$B$8,FO$3&lt;EDATE($B$7,MAX(1,'Вводные'!$H$88)),'Вводные'!$B$88="Да")</x:f>
      </x:c>
      <x:c r="FP9" t="n">
        <x:f>--AND(FP$3&gt;=$B$7,FP$3&lt;$B$8,FP$3&lt;EDATE($B$7,MAX(1,'Вводные'!$H$88)),'Вводные'!$B$88="Да")</x:f>
      </x:c>
      <x:c r="FQ9" t="n">
        <x:f>--AND(FQ$3&gt;=$B$7,FQ$3&lt;$B$8,FQ$3&lt;EDATE($B$7,MAX(1,'Вводные'!$H$88)),'Вводные'!$B$88="Да")</x:f>
      </x:c>
      <x:c r="FR9" t="n">
        <x:f>--AND(FR$3&gt;=$B$7,FR$3&lt;$B$8,FR$3&lt;EDATE($B$7,MAX(1,'Вводные'!$H$88)),'Вводные'!$B$88="Да")</x:f>
      </x:c>
      <x:c r="FS9" t="n">
        <x:f>--AND(FS$3&gt;=$B$7,FS$3&lt;$B$8,FS$3&lt;EDATE($B$7,MAX(1,'Вводные'!$H$88)),'Вводные'!$B$88="Да")</x:f>
      </x:c>
      <x:c r="FT9" t="n">
        <x:f>--AND(FT$3&gt;=$B$7,FT$3&lt;$B$8,FT$3&lt;EDATE($B$7,MAX(1,'Вводные'!$H$88)),'Вводные'!$B$88="Да")</x:f>
      </x:c>
      <x:c r="FU9" t="n">
        <x:f>--AND(FU$3&gt;=$B$7,FU$3&lt;$B$8,FU$3&lt;EDATE($B$7,MAX(1,'Вводные'!$H$88)),'Вводные'!$B$88="Да")</x:f>
      </x:c>
      <x:c r="FV9" t="n">
        <x:f>--AND(FV$3&gt;=$B$7,FV$3&lt;$B$8,FV$3&lt;EDATE($B$7,MAX(1,'Вводные'!$H$88)),'Вводные'!$B$88="Да")</x:f>
      </x:c>
      <x:c r="FW9" t="n">
        <x:f>--AND(FW$3&gt;=$B$7,FW$3&lt;$B$8,FW$3&lt;EDATE($B$7,MAX(1,'Вводные'!$H$88)),'Вводные'!$B$88="Да")</x:f>
      </x:c>
      <x:c r="FX9" t="n">
        <x:f>--AND(FX$3&gt;=$B$7,FX$3&lt;$B$8,FX$3&lt;EDATE($B$7,MAX(1,'Вводные'!$H$88)),'Вводные'!$B$88="Да")</x:f>
      </x:c>
      <x:c r="FY9" t="n">
        <x:f>--AND(FY$3&gt;=$B$7,FY$3&lt;$B$8,FY$3&lt;EDATE($B$7,MAX(1,'Вводные'!$H$88)),'Вводные'!$B$88="Да")</x:f>
      </x:c>
      <x:c r="FZ9" t="n">
        <x:f>--AND(FZ$3&gt;=$B$7,FZ$3&lt;$B$8,FZ$3&lt;EDATE($B$7,MAX(1,'Вводные'!$H$88)),'Вводные'!$B$88="Да")</x:f>
      </x:c>
      <x:c r="GA9" t="n">
        <x:f>--AND(GA$3&gt;=$B$7,GA$3&lt;$B$8,GA$3&lt;EDATE($B$7,MAX(1,'Вводные'!$H$88)),'Вводные'!$B$88="Да")</x:f>
      </x:c>
    </x:row>
    <x:row r="10">
      <x:c r="A10" t="str">
        <x:v>Вес темпа продаж</x:v>
      </x:c>
      <x:c r="B10"/>
      <x:c r="C10" t="str">
        <x:v>вес</x:v>
      </x:c>
      <x:c r="D10" t="n">
        <x:f>IF(AND(D$3&gt;=$B$7,D$3&lt;EDATE($B$7,MAX(1,'Вводные'!$H$88)),'Вводные'!$B$88="Да"),(1+'Вводные'!$AD$88*'Вводные'!$H$7*MIN(1,(12*(YEAR(D$3)-YEAR($B$7))+MONTH(D$3)-MONTH($B$7))/MAX(1,12*(YEAR($B$8)-YEAR($B$7))+MONTH($B$8)-MONTH($B$7))))*(1+IF(MONTH(D$3)=1,'Вводные'!$B$67,IF(AND(MONTH(D$3)&gt;=5,MONTH(D$3)&lt;=8),'Вводные'!$B$70,0))),0)</x:f>
      </x:c>
      <x:c r="E10" t="n">
        <x:f>IF(AND(E$3&gt;=$B$7,E$3&lt;EDATE($B$7,MAX(1,'Вводные'!$H$88)),'Вводные'!$B$88="Да"),(1+'Вводные'!$AD$88*'Вводные'!$H$7*MIN(1,(12*(YEAR(E$3)-YEAR($B$7))+MONTH(E$3)-MONTH($B$7))/MAX(1,12*(YEAR($B$8)-YEAR($B$7))+MONTH($B$8)-MONTH($B$7))))*(1+IF(MONTH(E$3)=1,'Вводные'!$B$67,IF(AND(MONTH(E$3)&gt;=5,MONTH(E$3)&lt;=8),'Вводные'!$B$70,0))),0)</x:f>
      </x:c>
      <x:c r="F10" t="n">
        <x:f>IF(AND(F$3&gt;=$B$7,F$3&lt;EDATE($B$7,MAX(1,'Вводные'!$H$88)),'Вводные'!$B$88="Да"),(1+'Вводные'!$AD$88*'Вводные'!$H$7*MIN(1,(12*(YEAR(F$3)-YEAR($B$7))+MONTH(F$3)-MONTH($B$7))/MAX(1,12*(YEAR($B$8)-YEAR($B$7))+MONTH($B$8)-MONTH($B$7))))*(1+IF(MONTH(F$3)=1,'Вводные'!$B$67,IF(AND(MONTH(F$3)&gt;=5,MONTH(F$3)&lt;=8),'Вводные'!$B$70,0))),0)</x:f>
      </x:c>
      <x:c r="G10" t="n">
        <x:f>IF(AND(G$3&gt;=$B$7,G$3&lt;EDATE($B$7,MAX(1,'Вводные'!$H$88)),'Вводные'!$B$88="Да"),(1+'Вводные'!$AD$88*'Вводные'!$H$7*MIN(1,(12*(YEAR(G$3)-YEAR($B$7))+MONTH(G$3)-MONTH($B$7))/MAX(1,12*(YEAR($B$8)-YEAR($B$7))+MONTH($B$8)-MONTH($B$7))))*(1+IF(MONTH(G$3)=1,'Вводные'!$B$67,IF(AND(MONTH(G$3)&gt;=5,MONTH(G$3)&lt;=8),'Вводные'!$B$70,0))),0)</x:f>
      </x:c>
      <x:c r="H10" t="n">
        <x:f>IF(AND(H$3&gt;=$B$7,H$3&lt;EDATE($B$7,MAX(1,'Вводные'!$H$88)),'Вводные'!$B$88="Да"),(1+'Вводные'!$AD$88*'Вводные'!$H$7*MIN(1,(12*(YEAR(H$3)-YEAR($B$7))+MONTH(H$3)-MONTH($B$7))/MAX(1,12*(YEAR($B$8)-YEAR($B$7))+MONTH($B$8)-MONTH($B$7))))*(1+IF(MONTH(H$3)=1,'Вводные'!$B$67,IF(AND(MONTH(H$3)&gt;=5,MONTH(H$3)&lt;=8),'Вводные'!$B$70,0))),0)</x:f>
      </x:c>
      <x:c r="I10" t="n">
        <x:f>IF(AND(I$3&gt;=$B$7,I$3&lt;EDATE($B$7,MAX(1,'Вводные'!$H$88)),'Вводные'!$B$88="Да"),(1+'Вводные'!$AD$88*'Вводные'!$H$7*MIN(1,(12*(YEAR(I$3)-YEAR($B$7))+MONTH(I$3)-MONTH($B$7))/MAX(1,12*(YEAR($B$8)-YEAR($B$7))+MONTH($B$8)-MONTH($B$7))))*(1+IF(MONTH(I$3)=1,'Вводные'!$B$67,IF(AND(MONTH(I$3)&gt;=5,MONTH(I$3)&lt;=8),'Вводные'!$B$70,0))),0)</x:f>
      </x:c>
      <x:c r="J10" t="n">
        <x:f>IF(AND(J$3&gt;=$B$7,J$3&lt;EDATE($B$7,MAX(1,'Вводные'!$H$88)),'Вводные'!$B$88="Да"),(1+'Вводные'!$AD$88*'Вводные'!$H$7*MIN(1,(12*(YEAR(J$3)-YEAR($B$7))+MONTH(J$3)-MONTH($B$7))/MAX(1,12*(YEAR($B$8)-YEAR($B$7))+MONTH($B$8)-MONTH($B$7))))*(1+IF(MONTH(J$3)=1,'Вводные'!$B$67,IF(AND(MONTH(J$3)&gt;=5,MONTH(J$3)&lt;=8),'Вводные'!$B$70,0))),0)</x:f>
      </x:c>
      <x:c r="K10" t="n">
        <x:f>IF(AND(K$3&gt;=$B$7,K$3&lt;EDATE($B$7,MAX(1,'Вводные'!$H$88)),'Вводные'!$B$88="Да"),(1+'Вводные'!$AD$88*'Вводные'!$H$7*MIN(1,(12*(YEAR(K$3)-YEAR($B$7))+MONTH(K$3)-MONTH($B$7))/MAX(1,12*(YEAR($B$8)-YEAR($B$7))+MONTH($B$8)-MONTH($B$7))))*(1+IF(MONTH(K$3)=1,'Вводные'!$B$67,IF(AND(MONTH(K$3)&gt;=5,MONTH(K$3)&lt;=8),'Вводные'!$B$70,0))),0)</x:f>
      </x:c>
      <x:c r="L10" t="n">
        <x:f>IF(AND(L$3&gt;=$B$7,L$3&lt;EDATE($B$7,MAX(1,'Вводные'!$H$88)),'Вводные'!$B$88="Да"),(1+'Вводные'!$AD$88*'Вводные'!$H$7*MIN(1,(12*(YEAR(L$3)-YEAR($B$7))+MONTH(L$3)-MONTH($B$7))/MAX(1,12*(YEAR($B$8)-YEAR($B$7))+MONTH($B$8)-MONTH($B$7))))*(1+IF(MONTH(L$3)=1,'Вводные'!$B$67,IF(AND(MONTH(L$3)&gt;=5,MONTH(L$3)&lt;=8),'Вводные'!$B$70,0))),0)</x:f>
      </x:c>
      <x:c r="M10" t="n">
        <x:f>IF(AND(M$3&gt;=$B$7,M$3&lt;EDATE($B$7,MAX(1,'Вводные'!$H$88)),'Вводные'!$B$88="Да"),(1+'Вводные'!$AD$88*'Вводные'!$H$7*MIN(1,(12*(YEAR(M$3)-YEAR($B$7))+MONTH(M$3)-MONTH($B$7))/MAX(1,12*(YEAR($B$8)-YEAR($B$7))+MONTH($B$8)-MONTH($B$7))))*(1+IF(MONTH(M$3)=1,'Вводные'!$B$67,IF(AND(MONTH(M$3)&gt;=5,MONTH(M$3)&lt;=8),'Вводные'!$B$70,0))),0)</x:f>
      </x:c>
      <x:c r="N10" t="n">
        <x:f>IF(AND(N$3&gt;=$B$7,N$3&lt;EDATE($B$7,MAX(1,'Вводные'!$H$88)),'Вводные'!$B$88="Да"),(1+'Вводные'!$AD$88*'Вводные'!$H$7*MIN(1,(12*(YEAR(N$3)-YEAR($B$7))+MONTH(N$3)-MONTH($B$7))/MAX(1,12*(YEAR($B$8)-YEAR($B$7))+MONTH($B$8)-MONTH($B$7))))*(1+IF(MONTH(N$3)=1,'Вводные'!$B$67,IF(AND(MONTH(N$3)&gt;=5,MONTH(N$3)&lt;=8),'Вводные'!$B$70,0))),0)</x:f>
      </x:c>
      <x:c r="O10" t="n">
        <x:f>IF(AND(O$3&gt;=$B$7,O$3&lt;EDATE($B$7,MAX(1,'Вводные'!$H$88)),'Вводные'!$B$88="Да"),(1+'Вводные'!$AD$88*'Вводные'!$H$7*MIN(1,(12*(YEAR(O$3)-YEAR($B$7))+MONTH(O$3)-MONTH($B$7))/MAX(1,12*(YEAR($B$8)-YEAR($B$7))+MONTH($B$8)-MONTH($B$7))))*(1+IF(MONTH(O$3)=1,'Вводные'!$B$67,IF(AND(MONTH(O$3)&gt;=5,MONTH(O$3)&lt;=8),'Вводные'!$B$70,0))),0)</x:f>
      </x:c>
      <x:c r="P10" t="n">
        <x:f>IF(AND(P$3&gt;=$B$7,P$3&lt;EDATE($B$7,MAX(1,'Вводные'!$H$88)),'Вводные'!$B$88="Да"),(1+'Вводные'!$AD$88*'Вводные'!$H$7*MIN(1,(12*(YEAR(P$3)-YEAR($B$7))+MONTH(P$3)-MONTH($B$7))/MAX(1,12*(YEAR($B$8)-YEAR($B$7))+MONTH($B$8)-MONTH($B$7))))*(1+IF(MONTH(P$3)=1,'Вводные'!$B$67,IF(AND(MONTH(P$3)&gt;=5,MONTH(P$3)&lt;=8),'Вводные'!$B$70,0))),0)</x:f>
      </x:c>
      <x:c r="Q10" t="n">
        <x:f>IF(AND(Q$3&gt;=$B$7,Q$3&lt;EDATE($B$7,MAX(1,'Вводные'!$H$88)),'Вводные'!$B$88="Да"),(1+'Вводные'!$AD$88*'Вводные'!$H$7*MIN(1,(12*(YEAR(Q$3)-YEAR($B$7))+MONTH(Q$3)-MONTH($B$7))/MAX(1,12*(YEAR($B$8)-YEAR($B$7))+MONTH($B$8)-MONTH($B$7))))*(1+IF(MONTH(Q$3)=1,'Вводные'!$B$67,IF(AND(MONTH(Q$3)&gt;=5,MONTH(Q$3)&lt;=8),'Вводные'!$B$70,0))),0)</x:f>
      </x:c>
      <x:c r="R10" t="n">
        <x:f>IF(AND(R$3&gt;=$B$7,R$3&lt;EDATE($B$7,MAX(1,'Вводные'!$H$88)),'Вводные'!$B$88="Да"),(1+'Вводные'!$AD$88*'Вводные'!$H$7*MIN(1,(12*(YEAR(R$3)-YEAR($B$7))+MONTH(R$3)-MONTH($B$7))/MAX(1,12*(YEAR($B$8)-YEAR($B$7))+MONTH($B$8)-MONTH($B$7))))*(1+IF(MONTH(R$3)=1,'Вводные'!$B$67,IF(AND(MONTH(R$3)&gt;=5,MONTH(R$3)&lt;=8),'Вводные'!$B$70,0))),0)</x:f>
      </x:c>
      <x:c r="S10" t="n">
        <x:f>IF(AND(S$3&gt;=$B$7,S$3&lt;EDATE($B$7,MAX(1,'Вводные'!$H$88)),'Вводные'!$B$88="Да"),(1+'Вводные'!$AD$88*'Вводные'!$H$7*MIN(1,(12*(YEAR(S$3)-YEAR($B$7))+MONTH(S$3)-MONTH($B$7))/MAX(1,12*(YEAR($B$8)-YEAR($B$7))+MONTH($B$8)-MONTH($B$7))))*(1+IF(MONTH(S$3)=1,'Вводные'!$B$67,IF(AND(MONTH(S$3)&gt;=5,MONTH(S$3)&lt;=8),'Вводные'!$B$70,0))),0)</x:f>
      </x:c>
      <x:c r="T10" t="n">
        <x:f>IF(AND(T$3&gt;=$B$7,T$3&lt;EDATE($B$7,MAX(1,'Вводные'!$H$88)),'Вводные'!$B$88="Да"),(1+'Вводные'!$AD$88*'Вводные'!$H$7*MIN(1,(12*(YEAR(T$3)-YEAR($B$7))+MONTH(T$3)-MONTH($B$7))/MAX(1,12*(YEAR($B$8)-YEAR($B$7))+MONTH($B$8)-MONTH($B$7))))*(1+IF(MONTH(T$3)=1,'Вводные'!$B$67,IF(AND(MONTH(T$3)&gt;=5,MONTH(T$3)&lt;=8),'Вводные'!$B$70,0))),0)</x:f>
      </x:c>
      <x:c r="U10" t="n">
        <x:f>IF(AND(U$3&gt;=$B$7,U$3&lt;EDATE($B$7,MAX(1,'Вводные'!$H$88)),'Вводные'!$B$88="Да"),(1+'Вводные'!$AD$88*'Вводные'!$H$7*MIN(1,(12*(YEAR(U$3)-YEAR($B$7))+MONTH(U$3)-MONTH($B$7))/MAX(1,12*(YEAR($B$8)-YEAR($B$7))+MONTH($B$8)-MONTH($B$7))))*(1+IF(MONTH(U$3)=1,'Вводные'!$B$67,IF(AND(MONTH(U$3)&gt;=5,MONTH(U$3)&lt;=8),'Вводные'!$B$70,0))),0)</x:f>
      </x:c>
      <x:c r="V10" t="n">
        <x:f>IF(AND(V$3&gt;=$B$7,V$3&lt;EDATE($B$7,MAX(1,'Вводные'!$H$88)),'Вводные'!$B$88="Да"),(1+'Вводные'!$AD$88*'Вводные'!$H$7*MIN(1,(12*(YEAR(V$3)-YEAR($B$7))+MONTH(V$3)-MONTH($B$7))/MAX(1,12*(YEAR($B$8)-YEAR($B$7))+MONTH($B$8)-MONTH($B$7))))*(1+IF(MONTH(V$3)=1,'Вводные'!$B$67,IF(AND(MONTH(V$3)&gt;=5,MONTH(V$3)&lt;=8),'Вводные'!$B$70,0))),0)</x:f>
      </x:c>
      <x:c r="W10" t="n">
        <x:f>IF(AND(W$3&gt;=$B$7,W$3&lt;EDATE($B$7,MAX(1,'Вводные'!$H$88)),'Вводные'!$B$88="Да"),(1+'Вводные'!$AD$88*'Вводные'!$H$7*MIN(1,(12*(YEAR(W$3)-YEAR($B$7))+MONTH(W$3)-MONTH($B$7))/MAX(1,12*(YEAR($B$8)-YEAR($B$7))+MONTH($B$8)-MONTH($B$7))))*(1+IF(MONTH(W$3)=1,'Вводные'!$B$67,IF(AND(MONTH(W$3)&gt;=5,MONTH(W$3)&lt;=8),'Вводные'!$B$70,0))),0)</x:f>
      </x:c>
      <x:c r="X10" t="n">
        <x:f>IF(AND(X$3&gt;=$B$7,X$3&lt;EDATE($B$7,MAX(1,'Вводные'!$H$88)),'Вводные'!$B$88="Да"),(1+'Вводные'!$AD$88*'Вводные'!$H$7*MIN(1,(12*(YEAR(X$3)-YEAR($B$7))+MONTH(X$3)-MONTH($B$7))/MAX(1,12*(YEAR($B$8)-YEAR($B$7))+MONTH($B$8)-MONTH($B$7))))*(1+IF(MONTH(X$3)=1,'Вводные'!$B$67,IF(AND(MONTH(X$3)&gt;=5,MONTH(X$3)&lt;=8),'Вводные'!$B$70,0))),0)</x:f>
      </x:c>
      <x:c r="Y10" t="n">
        <x:f>IF(AND(Y$3&gt;=$B$7,Y$3&lt;EDATE($B$7,MAX(1,'Вводные'!$H$88)),'Вводные'!$B$88="Да"),(1+'Вводные'!$AD$88*'Вводные'!$H$7*MIN(1,(12*(YEAR(Y$3)-YEAR($B$7))+MONTH(Y$3)-MONTH($B$7))/MAX(1,12*(YEAR($B$8)-YEAR($B$7))+MONTH($B$8)-MONTH($B$7))))*(1+IF(MONTH(Y$3)=1,'Вводные'!$B$67,IF(AND(MONTH(Y$3)&gt;=5,MONTH(Y$3)&lt;=8),'Вводные'!$B$70,0))),0)</x:f>
      </x:c>
      <x:c r="Z10" t="n">
        <x:f>IF(AND(Z$3&gt;=$B$7,Z$3&lt;EDATE($B$7,MAX(1,'Вводные'!$H$88)),'Вводные'!$B$88="Да"),(1+'Вводные'!$AD$88*'Вводные'!$H$7*MIN(1,(12*(YEAR(Z$3)-YEAR($B$7))+MONTH(Z$3)-MONTH($B$7))/MAX(1,12*(YEAR($B$8)-YEAR($B$7))+MONTH($B$8)-MONTH($B$7))))*(1+IF(MONTH(Z$3)=1,'Вводные'!$B$67,IF(AND(MONTH(Z$3)&gt;=5,MONTH(Z$3)&lt;=8),'Вводные'!$B$70,0))),0)</x:f>
      </x:c>
      <x:c r="AA10" t="n">
        <x:f>IF(AND(AA$3&gt;=$B$7,AA$3&lt;EDATE($B$7,MAX(1,'Вводные'!$H$88)),'Вводные'!$B$88="Да"),(1+'Вводные'!$AD$88*'Вводные'!$H$7*MIN(1,(12*(YEAR(AA$3)-YEAR($B$7))+MONTH(AA$3)-MONTH($B$7))/MAX(1,12*(YEAR($B$8)-YEAR($B$7))+MONTH($B$8)-MONTH($B$7))))*(1+IF(MONTH(AA$3)=1,'Вводные'!$B$67,IF(AND(MONTH(AA$3)&gt;=5,MONTH(AA$3)&lt;=8),'Вводные'!$B$70,0))),0)</x:f>
      </x:c>
      <x:c r="AB10" t="n">
        <x:f>IF(AND(AB$3&gt;=$B$7,AB$3&lt;EDATE($B$7,MAX(1,'Вводные'!$H$88)),'Вводные'!$B$88="Да"),(1+'Вводные'!$AD$88*'Вводные'!$H$7*MIN(1,(12*(YEAR(AB$3)-YEAR($B$7))+MONTH(AB$3)-MONTH($B$7))/MAX(1,12*(YEAR($B$8)-YEAR($B$7))+MONTH($B$8)-MONTH($B$7))))*(1+IF(MONTH(AB$3)=1,'Вводные'!$B$67,IF(AND(MONTH(AB$3)&gt;=5,MONTH(AB$3)&lt;=8),'Вводные'!$B$70,0))),0)</x:f>
      </x:c>
      <x:c r="AC10" t="n">
        <x:f>IF(AND(AC$3&gt;=$B$7,AC$3&lt;EDATE($B$7,MAX(1,'Вводные'!$H$88)),'Вводные'!$B$88="Да"),(1+'Вводные'!$AD$88*'Вводные'!$H$7*MIN(1,(12*(YEAR(AC$3)-YEAR($B$7))+MONTH(AC$3)-MONTH($B$7))/MAX(1,12*(YEAR($B$8)-YEAR($B$7))+MONTH($B$8)-MONTH($B$7))))*(1+IF(MONTH(AC$3)=1,'Вводные'!$B$67,IF(AND(MONTH(AC$3)&gt;=5,MONTH(AC$3)&lt;=8),'Вводные'!$B$70,0))),0)</x:f>
      </x:c>
      <x:c r="AD10" t="n">
        <x:f>IF(AND(AD$3&gt;=$B$7,AD$3&lt;EDATE($B$7,MAX(1,'Вводные'!$H$88)),'Вводные'!$B$88="Да"),(1+'Вводные'!$AD$88*'Вводные'!$H$7*MIN(1,(12*(YEAR(AD$3)-YEAR($B$7))+MONTH(AD$3)-MONTH($B$7))/MAX(1,12*(YEAR($B$8)-YEAR($B$7))+MONTH($B$8)-MONTH($B$7))))*(1+IF(MONTH(AD$3)=1,'Вводные'!$B$67,IF(AND(MONTH(AD$3)&gt;=5,MONTH(AD$3)&lt;=8),'Вводные'!$B$70,0))),0)</x:f>
      </x:c>
      <x:c r="AE10" t="n">
        <x:f>IF(AND(AE$3&gt;=$B$7,AE$3&lt;EDATE($B$7,MAX(1,'Вводные'!$H$88)),'Вводные'!$B$88="Да"),(1+'Вводные'!$AD$88*'Вводные'!$H$7*MIN(1,(12*(YEAR(AE$3)-YEAR($B$7))+MONTH(AE$3)-MONTH($B$7))/MAX(1,12*(YEAR($B$8)-YEAR($B$7))+MONTH($B$8)-MONTH($B$7))))*(1+IF(MONTH(AE$3)=1,'Вводные'!$B$67,IF(AND(MONTH(AE$3)&gt;=5,MONTH(AE$3)&lt;=8),'Вводные'!$B$70,0))),0)</x:f>
      </x:c>
      <x:c r="AF10" t="n">
        <x:f>IF(AND(AF$3&gt;=$B$7,AF$3&lt;EDATE($B$7,MAX(1,'Вводные'!$H$88)),'Вводные'!$B$88="Да"),(1+'Вводные'!$AD$88*'Вводные'!$H$7*MIN(1,(12*(YEAR(AF$3)-YEAR($B$7))+MONTH(AF$3)-MONTH($B$7))/MAX(1,12*(YEAR($B$8)-YEAR($B$7))+MONTH($B$8)-MONTH($B$7))))*(1+IF(MONTH(AF$3)=1,'Вводные'!$B$67,IF(AND(MONTH(AF$3)&gt;=5,MONTH(AF$3)&lt;=8),'Вводные'!$B$70,0))),0)</x:f>
      </x:c>
      <x:c r="AG10" t="n">
        <x:f>IF(AND(AG$3&gt;=$B$7,AG$3&lt;EDATE($B$7,MAX(1,'Вводные'!$H$88)),'Вводные'!$B$88="Да"),(1+'Вводные'!$AD$88*'Вводные'!$H$7*MIN(1,(12*(YEAR(AG$3)-YEAR($B$7))+MONTH(AG$3)-MONTH($B$7))/MAX(1,12*(YEAR($B$8)-YEAR($B$7))+MONTH($B$8)-MONTH($B$7))))*(1+IF(MONTH(AG$3)=1,'Вводные'!$B$67,IF(AND(MONTH(AG$3)&gt;=5,MONTH(AG$3)&lt;=8),'Вводные'!$B$70,0))),0)</x:f>
      </x:c>
      <x:c r="AH10" t="n">
        <x:f>IF(AND(AH$3&gt;=$B$7,AH$3&lt;EDATE($B$7,MAX(1,'Вводные'!$H$88)),'Вводные'!$B$88="Да"),(1+'Вводные'!$AD$88*'Вводные'!$H$7*MIN(1,(12*(YEAR(AH$3)-YEAR($B$7))+MONTH(AH$3)-MONTH($B$7))/MAX(1,12*(YEAR($B$8)-YEAR($B$7))+MONTH($B$8)-MONTH($B$7))))*(1+IF(MONTH(AH$3)=1,'Вводные'!$B$67,IF(AND(MONTH(AH$3)&gt;=5,MONTH(AH$3)&lt;=8),'Вводные'!$B$70,0))),0)</x:f>
      </x:c>
      <x:c r="AI10" t="n">
        <x:f>IF(AND(AI$3&gt;=$B$7,AI$3&lt;EDATE($B$7,MAX(1,'Вводные'!$H$88)),'Вводные'!$B$88="Да"),(1+'Вводные'!$AD$88*'Вводные'!$H$7*MIN(1,(12*(YEAR(AI$3)-YEAR($B$7))+MONTH(AI$3)-MONTH($B$7))/MAX(1,12*(YEAR($B$8)-YEAR($B$7))+MONTH($B$8)-MONTH($B$7))))*(1+IF(MONTH(AI$3)=1,'Вводные'!$B$67,IF(AND(MONTH(AI$3)&gt;=5,MONTH(AI$3)&lt;=8),'Вводные'!$B$70,0))),0)</x:f>
      </x:c>
      <x:c r="AJ10" t="n">
        <x:f>IF(AND(AJ$3&gt;=$B$7,AJ$3&lt;EDATE($B$7,MAX(1,'Вводные'!$H$88)),'Вводные'!$B$88="Да"),(1+'Вводные'!$AD$88*'Вводные'!$H$7*MIN(1,(12*(YEAR(AJ$3)-YEAR($B$7))+MONTH(AJ$3)-MONTH($B$7))/MAX(1,12*(YEAR($B$8)-YEAR($B$7))+MONTH($B$8)-MONTH($B$7))))*(1+IF(MONTH(AJ$3)=1,'Вводные'!$B$67,IF(AND(MONTH(AJ$3)&gt;=5,MONTH(AJ$3)&lt;=8),'Вводные'!$B$70,0))),0)</x:f>
      </x:c>
      <x:c r="AK10" t="n">
        <x:f>IF(AND(AK$3&gt;=$B$7,AK$3&lt;EDATE($B$7,MAX(1,'Вводные'!$H$88)),'Вводные'!$B$88="Да"),(1+'Вводные'!$AD$88*'Вводные'!$H$7*MIN(1,(12*(YEAR(AK$3)-YEAR($B$7))+MONTH(AK$3)-MONTH($B$7))/MAX(1,12*(YEAR($B$8)-YEAR($B$7))+MONTH($B$8)-MONTH($B$7))))*(1+IF(MONTH(AK$3)=1,'Вводные'!$B$67,IF(AND(MONTH(AK$3)&gt;=5,MONTH(AK$3)&lt;=8),'Вводные'!$B$70,0))),0)</x:f>
      </x:c>
      <x:c r="AL10" t="n">
        <x:f>IF(AND(AL$3&gt;=$B$7,AL$3&lt;EDATE($B$7,MAX(1,'Вводные'!$H$88)),'Вводные'!$B$88="Да"),(1+'Вводные'!$AD$88*'Вводные'!$H$7*MIN(1,(12*(YEAR(AL$3)-YEAR($B$7))+MONTH(AL$3)-MONTH($B$7))/MAX(1,12*(YEAR($B$8)-YEAR($B$7))+MONTH($B$8)-MONTH($B$7))))*(1+IF(MONTH(AL$3)=1,'Вводные'!$B$67,IF(AND(MONTH(AL$3)&gt;=5,MONTH(AL$3)&lt;=8),'Вводные'!$B$70,0))),0)</x:f>
      </x:c>
      <x:c r="AM10" t="n">
        <x:f>IF(AND(AM$3&gt;=$B$7,AM$3&lt;EDATE($B$7,MAX(1,'Вводные'!$H$88)),'Вводные'!$B$88="Да"),(1+'Вводные'!$AD$88*'Вводные'!$H$7*MIN(1,(12*(YEAR(AM$3)-YEAR($B$7))+MONTH(AM$3)-MONTH($B$7))/MAX(1,12*(YEAR($B$8)-YEAR($B$7))+MONTH($B$8)-MONTH($B$7))))*(1+IF(MONTH(AM$3)=1,'Вводные'!$B$67,IF(AND(MONTH(AM$3)&gt;=5,MONTH(AM$3)&lt;=8),'Вводные'!$B$70,0))),0)</x:f>
      </x:c>
      <x:c r="AN10" t="n">
        <x:f>IF(AND(AN$3&gt;=$B$7,AN$3&lt;EDATE($B$7,MAX(1,'Вводные'!$H$88)),'Вводные'!$B$88="Да"),(1+'Вводные'!$AD$88*'Вводные'!$H$7*MIN(1,(12*(YEAR(AN$3)-YEAR($B$7))+MONTH(AN$3)-MONTH($B$7))/MAX(1,12*(YEAR($B$8)-YEAR($B$7))+MONTH($B$8)-MONTH($B$7))))*(1+IF(MONTH(AN$3)=1,'Вводные'!$B$67,IF(AND(MONTH(AN$3)&gt;=5,MONTH(AN$3)&lt;=8),'Вводные'!$B$70,0))),0)</x:f>
      </x:c>
      <x:c r="AO10" t="n">
        <x:f>IF(AND(AO$3&gt;=$B$7,AO$3&lt;EDATE($B$7,MAX(1,'Вводные'!$H$88)),'Вводные'!$B$88="Да"),(1+'Вводные'!$AD$88*'Вводные'!$H$7*MIN(1,(12*(YEAR(AO$3)-YEAR($B$7))+MONTH(AO$3)-MONTH($B$7))/MAX(1,12*(YEAR($B$8)-YEAR($B$7))+MONTH($B$8)-MONTH($B$7))))*(1+IF(MONTH(AO$3)=1,'Вводные'!$B$67,IF(AND(MONTH(AO$3)&gt;=5,MONTH(AO$3)&lt;=8),'Вводные'!$B$70,0))),0)</x:f>
      </x:c>
      <x:c r="AP10" t="n">
        <x:f>IF(AND(AP$3&gt;=$B$7,AP$3&lt;EDATE($B$7,MAX(1,'Вводные'!$H$88)),'Вводные'!$B$88="Да"),(1+'Вводные'!$AD$88*'Вводные'!$H$7*MIN(1,(12*(YEAR(AP$3)-YEAR($B$7))+MONTH(AP$3)-MONTH($B$7))/MAX(1,12*(YEAR($B$8)-YEAR($B$7))+MONTH($B$8)-MONTH($B$7))))*(1+IF(MONTH(AP$3)=1,'Вводные'!$B$67,IF(AND(MONTH(AP$3)&gt;=5,MONTH(AP$3)&lt;=8),'Вводные'!$B$70,0))),0)</x:f>
      </x:c>
      <x:c r="AQ10" t="n">
        <x:f>IF(AND(AQ$3&gt;=$B$7,AQ$3&lt;EDATE($B$7,MAX(1,'Вводные'!$H$88)),'Вводные'!$B$88="Да"),(1+'Вводные'!$AD$88*'Вводные'!$H$7*MIN(1,(12*(YEAR(AQ$3)-YEAR($B$7))+MONTH(AQ$3)-MONTH($B$7))/MAX(1,12*(YEAR($B$8)-YEAR($B$7))+MONTH($B$8)-MONTH($B$7))))*(1+IF(MONTH(AQ$3)=1,'Вводные'!$B$67,IF(AND(MONTH(AQ$3)&gt;=5,MONTH(AQ$3)&lt;=8),'Вводные'!$B$70,0))),0)</x:f>
      </x:c>
      <x:c r="AR10" t="n">
        <x:f>IF(AND(AR$3&gt;=$B$7,AR$3&lt;EDATE($B$7,MAX(1,'Вводные'!$H$88)),'Вводные'!$B$88="Да"),(1+'Вводные'!$AD$88*'Вводные'!$H$7*MIN(1,(12*(YEAR(AR$3)-YEAR($B$7))+MONTH(AR$3)-MONTH($B$7))/MAX(1,12*(YEAR($B$8)-YEAR($B$7))+MONTH($B$8)-MONTH($B$7))))*(1+IF(MONTH(AR$3)=1,'Вводные'!$B$67,IF(AND(MONTH(AR$3)&gt;=5,MONTH(AR$3)&lt;=8),'Вводные'!$B$70,0))),0)</x:f>
      </x:c>
      <x:c r="AS10" t="n">
        <x:f>IF(AND(AS$3&gt;=$B$7,AS$3&lt;EDATE($B$7,MAX(1,'Вводные'!$H$88)),'Вводные'!$B$88="Да"),(1+'Вводные'!$AD$88*'Вводные'!$H$7*MIN(1,(12*(YEAR(AS$3)-YEAR($B$7))+MONTH(AS$3)-MONTH($B$7))/MAX(1,12*(YEAR($B$8)-YEAR($B$7))+MONTH($B$8)-MONTH($B$7))))*(1+IF(MONTH(AS$3)=1,'Вводные'!$B$67,IF(AND(MONTH(AS$3)&gt;=5,MONTH(AS$3)&lt;=8),'Вводные'!$B$70,0))),0)</x:f>
      </x:c>
      <x:c r="AT10" t="n">
        <x:f>IF(AND(AT$3&gt;=$B$7,AT$3&lt;EDATE($B$7,MAX(1,'Вводные'!$H$88)),'Вводные'!$B$88="Да"),(1+'Вводные'!$AD$88*'Вводные'!$H$7*MIN(1,(12*(YEAR(AT$3)-YEAR($B$7))+MONTH(AT$3)-MONTH($B$7))/MAX(1,12*(YEAR($B$8)-YEAR($B$7))+MONTH($B$8)-MONTH($B$7))))*(1+IF(MONTH(AT$3)=1,'Вводные'!$B$67,IF(AND(MONTH(AT$3)&gt;=5,MONTH(AT$3)&lt;=8),'Вводные'!$B$70,0))),0)</x:f>
      </x:c>
      <x:c r="AU10" t="n">
        <x:f>IF(AND(AU$3&gt;=$B$7,AU$3&lt;EDATE($B$7,MAX(1,'Вводные'!$H$88)),'Вводные'!$B$88="Да"),(1+'Вводные'!$AD$88*'Вводные'!$H$7*MIN(1,(12*(YEAR(AU$3)-YEAR($B$7))+MONTH(AU$3)-MONTH($B$7))/MAX(1,12*(YEAR($B$8)-YEAR($B$7))+MONTH($B$8)-MONTH($B$7))))*(1+IF(MONTH(AU$3)=1,'Вводные'!$B$67,IF(AND(MONTH(AU$3)&gt;=5,MONTH(AU$3)&lt;=8),'Вводные'!$B$70,0))),0)</x:f>
      </x:c>
      <x:c r="AV10" t="n">
        <x:f>IF(AND(AV$3&gt;=$B$7,AV$3&lt;EDATE($B$7,MAX(1,'Вводные'!$H$88)),'Вводные'!$B$88="Да"),(1+'Вводные'!$AD$88*'Вводные'!$H$7*MIN(1,(12*(YEAR(AV$3)-YEAR($B$7))+MONTH(AV$3)-MONTH($B$7))/MAX(1,12*(YEAR($B$8)-YEAR($B$7))+MONTH($B$8)-MONTH($B$7))))*(1+IF(MONTH(AV$3)=1,'Вводные'!$B$67,IF(AND(MONTH(AV$3)&gt;=5,MONTH(AV$3)&lt;=8),'Вводные'!$B$70,0))),0)</x:f>
      </x:c>
      <x:c r="AW10" t="n">
        <x:f>IF(AND(AW$3&gt;=$B$7,AW$3&lt;EDATE($B$7,MAX(1,'Вводные'!$H$88)),'Вводные'!$B$88="Да"),(1+'Вводные'!$AD$88*'Вводные'!$H$7*MIN(1,(12*(YEAR(AW$3)-YEAR($B$7))+MONTH(AW$3)-MONTH($B$7))/MAX(1,12*(YEAR($B$8)-YEAR($B$7))+MONTH($B$8)-MONTH($B$7))))*(1+IF(MONTH(AW$3)=1,'Вводные'!$B$67,IF(AND(MONTH(AW$3)&gt;=5,MONTH(AW$3)&lt;=8),'Вводные'!$B$70,0))),0)</x:f>
      </x:c>
      <x:c r="AX10" t="n">
        <x:f>IF(AND(AX$3&gt;=$B$7,AX$3&lt;EDATE($B$7,MAX(1,'Вводные'!$H$88)),'Вводные'!$B$88="Да"),(1+'Вводные'!$AD$88*'Вводные'!$H$7*MIN(1,(12*(YEAR(AX$3)-YEAR($B$7))+MONTH(AX$3)-MONTH($B$7))/MAX(1,12*(YEAR($B$8)-YEAR($B$7))+MONTH($B$8)-MONTH($B$7))))*(1+IF(MONTH(AX$3)=1,'Вводные'!$B$67,IF(AND(MONTH(AX$3)&gt;=5,MONTH(AX$3)&lt;=8),'Вводные'!$B$70,0))),0)</x:f>
      </x:c>
      <x:c r="AY10" t="n">
        <x:f>IF(AND(AY$3&gt;=$B$7,AY$3&lt;EDATE($B$7,MAX(1,'Вводные'!$H$88)),'Вводные'!$B$88="Да"),(1+'Вводные'!$AD$88*'Вводные'!$H$7*MIN(1,(12*(YEAR(AY$3)-YEAR($B$7))+MONTH(AY$3)-MONTH($B$7))/MAX(1,12*(YEAR($B$8)-YEAR($B$7))+MONTH($B$8)-MONTH($B$7))))*(1+IF(MONTH(AY$3)=1,'Вводные'!$B$67,IF(AND(MONTH(AY$3)&gt;=5,MONTH(AY$3)&lt;=8),'Вводные'!$B$70,0))),0)</x:f>
      </x:c>
      <x:c r="AZ10" t="n">
        <x:f>IF(AND(AZ$3&gt;=$B$7,AZ$3&lt;EDATE($B$7,MAX(1,'Вводные'!$H$88)),'Вводные'!$B$88="Да"),(1+'Вводные'!$AD$88*'Вводные'!$H$7*MIN(1,(12*(YEAR(AZ$3)-YEAR($B$7))+MONTH(AZ$3)-MONTH($B$7))/MAX(1,12*(YEAR($B$8)-YEAR($B$7))+MONTH($B$8)-MONTH($B$7))))*(1+IF(MONTH(AZ$3)=1,'Вводные'!$B$67,IF(AND(MONTH(AZ$3)&gt;=5,MONTH(AZ$3)&lt;=8),'Вводные'!$B$70,0))),0)</x:f>
      </x:c>
      <x:c r="BA10" t="n">
        <x:f>IF(AND(BA$3&gt;=$B$7,BA$3&lt;EDATE($B$7,MAX(1,'Вводные'!$H$88)),'Вводные'!$B$88="Да"),(1+'Вводные'!$AD$88*'Вводные'!$H$7*MIN(1,(12*(YEAR(BA$3)-YEAR($B$7))+MONTH(BA$3)-MONTH($B$7))/MAX(1,12*(YEAR($B$8)-YEAR($B$7))+MONTH($B$8)-MONTH($B$7))))*(1+IF(MONTH(BA$3)=1,'Вводные'!$B$67,IF(AND(MONTH(BA$3)&gt;=5,MONTH(BA$3)&lt;=8),'Вводные'!$B$70,0))),0)</x:f>
      </x:c>
      <x:c r="BB10" t="n">
        <x:f>IF(AND(BB$3&gt;=$B$7,BB$3&lt;EDATE($B$7,MAX(1,'Вводные'!$H$88)),'Вводные'!$B$88="Да"),(1+'Вводные'!$AD$88*'Вводные'!$H$7*MIN(1,(12*(YEAR(BB$3)-YEAR($B$7))+MONTH(BB$3)-MONTH($B$7))/MAX(1,12*(YEAR($B$8)-YEAR($B$7))+MONTH($B$8)-MONTH($B$7))))*(1+IF(MONTH(BB$3)=1,'Вводные'!$B$67,IF(AND(MONTH(BB$3)&gt;=5,MONTH(BB$3)&lt;=8),'Вводные'!$B$70,0))),0)</x:f>
      </x:c>
      <x:c r="BC10" t="n">
        <x:f>IF(AND(BC$3&gt;=$B$7,BC$3&lt;EDATE($B$7,MAX(1,'Вводные'!$H$88)),'Вводные'!$B$88="Да"),(1+'Вводные'!$AD$88*'Вводные'!$H$7*MIN(1,(12*(YEAR(BC$3)-YEAR($B$7))+MONTH(BC$3)-MONTH($B$7))/MAX(1,12*(YEAR($B$8)-YEAR($B$7))+MONTH($B$8)-MONTH($B$7))))*(1+IF(MONTH(BC$3)=1,'Вводные'!$B$67,IF(AND(MONTH(BC$3)&gt;=5,MONTH(BC$3)&lt;=8),'Вводные'!$B$70,0))),0)</x:f>
      </x:c>
      <x:c r="BD10" t="n">
        <x:f>IF(AND(BD$3&gt;=$B$7,BD$3&lt;EDATE($B$7,MAX(1,'Вводные'!$H$88)),'Вводные'!$B$88="Да"),(1+'Вводные'!$AD$88*'Вводные'!$H$7*MIN(1,(12*(YEAR(BD$3)-YEAR($B$7))+MONTH(BD$3)-MONTH($B$7))/MAX(1,12*(YEAR($B$8)-YEAR($B$7))+MONTH($B$8)-MONTH($B$7))))*(1+IF(MONTH(BD$3)=1,'Вводные'!$B$67,IF(AND(MONTH(BD$3)&gt;=5,MONTH(BD$3)&lt;=8),'Вводные'!$B$70,0))),0)</x:f>
      </x:c>
      <x:c r="BE10" t="n">
        <x:f>IF(AND(BE$3&gt;=$B$7,BE$3&lt;EDATE($B$7,MAX(1,'Вводные'!$H$88)),'Вводные'!$B$88="Да"),(1+'Вводные'!$AD$88*'Вводные'!$H$7*MIN(1,(12*(YEAR(BE$3)-YEAR($B$7))+MONTH(BE$3)-MONTH($B$7))/MAX(1,12*(YEAR($B$8)-YEAR($B$7))+MONTH($B$8)-MONTH($B$7))))*(1+IF(MONTH(BE$3)=1,'Вводные'!$B$67,IF(AND(MONTH(BE$3)&gt;=5,MONTH(BE$3)&lt;=8),'Вводные'!$B$70,0))),0)</x:f>
      </x:c>
      <x:c r="BF10" t="n">
        <x:f>IF(AND(BF$3&gt;=$B$7,BF$3&lt;EDATE($B$7,MAX(1,'Вводные'!$H$88)),'Вводные'!$B$88="Да"),(1+'Вводные'!$AD$88*'Вводные'!$H$7*MIN(1,(12*(YEAR(BF$3)-YEAR($B$7))+MONTH(BF$3)-MONTH($B$7))/MAX(1,12*(YEAR($B$8)-YEAR($B$7))+MONTH($B$8)-MONTH($B$7))))*(1+IF(MONTH(BF$3)=1,'Вводные'!$B$67,IF(AND(MONTH(BF$3)&gt;=5,MONTH(BF$3)&lt;=8),'Вводные'!$B$70,0))),0)</x:f>
      </x:c>
      <x:c r="BG10" t="n">
        <x:f>IF(AND(BG$3&gt;=$B$7,BG$3&lt;EDATE($B$7,MAX(1,'Вводные'!$H$88)),'Вводные'!$B$88="Да"),(1+'Вводные'!$AD$88*'Вводные'!$H$7*MIN(1,(12*(YEAR(BG$3)-YEAR($B$7))+MONTH(BG$3)-MONTH($B$7))/MAX(1,12*(YEAR($B$8)-YEAR($B$7))+MONTH($B$8)-MONTH($B$7))))*(1+IF(MONTH(BG$3)=1,'Вводные'!$B$67,IF(AND(MONTH(BG$3)&gt;=5,MONTH(BG$3)&lt;=8),'Вводные'!$B$70,0))),0)</x:f>
      </x:c>
      <x:c r="BH10" t="n">
        <x:f>IF(AND(BH$3&gt;=$B$7,BH$3&lt;EDATE($B$7,MAX(1,'Вводные'!$H$88)),'Вводные'!$B$88="Да"),(1+'Вводные'!$AD$88*'Вводные'!$H$7*MIN(1,(12*(YEAR(BH$3)-YEAR($B$7))+MONTH(BH$3)-MONTH($B$7))/MAX(1,12*(YEAR($B$8)-YEAR($B$7))+MONTH($B$8)-MONTH($B$7))))*(1+IF(MONTH(BH$3)=1,'Вводные'!$B$67,IF(AND(MONTH(BH$3)&gt;=5,MONTH(BH$3)&lt;=8),'Вводные'!$B$70,0))),0)</x:f>
      </x:c>
      <x:c r="BI10" t="n">
        <x:f>IF(AND(BI$3&gt;=$B$7,BI$3&lt;EDATE($B$7,MAX(1,'Вводные'!$H$88)),'Вводные'!$B$88="Да"),(1+'Вводные'!$AD$88*'Вводные'!$H$7*MIN(1,(12*(YEAR(BI$3)-YEAR($B$7))+MONTH(BI$3)-MONTH($B$7))/MAX(1,12*(YEAR($B$8)-YEAR($B$7))+MONTH($B$8)-MONTH($B$7))))*(1+IF(MONTH(BI$3)=1,'Вводные'!$B$67,IF(AND(MONTH(BI$3)&gt;=5,MONTH(BI$3)&lt;=8),'Вводные'!$B$70,0))),0)</x:f>
      </x:c>
      <x:c r="BJ10" t="n">
        <x:f>IF(AND(BJ$3&gt;=$B$7,BJ$3&lt;EDATE($B$7,MAX(1,'Вводные'!$H$88)),'Вводные'!$B$88="Да"),(1+'Вводные'!$AD$88*'Вводные'!$H$7*MIN(1,(12*(YEAR(BJ$3)-YEAR($B$7))+MONTH(BJ$3)-MONTH($B$7))/MAX(1,12*(YEAR($B$8)-YEAR($B$7))+MONTH($B$8)-MONTH($B$7))))*(1+IF(MONTH(BJ$3)=1,'Вводные'!$B$67,IF(AND(MONTH(BJ$3)&gt;=5,MONTH(BJ$3)&lt;=8),'Вводные'!$B$70,0))),0)</x:f>
      </x:c>
      <x:c r="BK10" t="n">
        <x:f>IF(AND(BK$3&gt;=$B$7,BK$3&lt;EDATE($B$7,MAX(1,'Вводные'!$H$88)),'Вводные'!$B$88="Да"),(1+'Вводные'!$AD$88*'Вводные'!$H$7*MIN(1,(12*(YEAR(BK$3)-YEAR($B$7))+MONTH(BK$3)-MONTH($B$7))/MAX(1,12*(YEAR($B$8)-YEAR($B$7))+MONTH($B$8)-MONTH($B$7))))*(1+IF(MONTH(BK$3)=1,'Вводные'!$B$67,IF(AND(MONTH(BK$3)&gt;=5,MONTH(BK$3)&lt;=8),'Вводные'!$B$70,0))),0)</x:f>
      </x:c>
      <x:c r="BL10" t="n">
        <x:f>IF(AND(BL$3&gt;=$B$7,BL$3&lt;EDATE($B$7,MAX(1,'Вводные'!$H$88)),'Вводные'!$B$88="Да"),(1+'Вводные'!$AD$88*'Вводные'!$H$7*MIN(1,(12*(YEAR(BL$3)-YEAR($B$7))+MONTH(BL$3)-MONTH($B$7))/MAX(1,12*(YEAR($B$8)-YEAR($B$7))+MONTH($B$8)-MONTH($B$7))))*(1+IF(MONTH(BL$3)=1,'Вводные'!$B$67,IF(AND(MONTH(BL$3)&gt;=5,MONTH(BL$3)&lt;=8),'Вводные'!$B$70,0))),0)</x:f>
      </x:c>
      <x:c r="BM10" t="n">
        <x:f>IF(AND(BM$3&gt;=$B$7,BM$3&lt;EDATE($B$7,MAX(1,'Вводные'!$H$88)),'Вводные'!$B$88="Да"),(1+'Вводные'!$AD$88*'Вводные'!$H$7*MIN(1,(12*(YEAR(BM$3)-YEAR($B$7))+MONTH(BM$3)-MONTH($B$7))/MAX(1,12*(YEAR($B$8)-YEAR($B$7))+MONTH($B$8)-MONTH($B$7))))*(1+IF(MONTH(BM$3)=1,'Вводные'!$B$67,IF(AND(MONTH(BM$3)&gt;=5,MONTH(BM$3)&lt;=8),'Вводные'!$B$70,0))),0)</x:f>
      </x:c>
      <x:c r="BN10" t="n">
        <x:f>IF(AND(BN$3&gt;=$B$7,BN$3&lt;EDATE($B$7,MAX(1,'Вводные'!$H$88)),'Вводные'!$B$88="Да"),(1+'Вводные'!$AD$88*'Вводные'!$H$7*MIN(1,(12*(YEAR(BN$3)-YEAR($B$7))+MONTH(BN$3)-MONTH($B$7))/MAX(1,12*(YEAR($B$8)-YEAR($B$7))+MONTH($B$8)-MONTH($B$7))))*(1+IF(MONTH(BN$3)=1,'Вводные'!$B$67,IF(AND(MONTH(BN$3)&gt;=5,MONTH(BN$3)&lt;=8),'Вводные'!$B$70,0))),0)</x:f>
      </x:c>
      <x:c r="BO10" t="n">
        <x:f>IF(AND(BO$3&gt;=$B$7,BO$3&lt;EDATE($B$7,MAX(1,'Вводные'!$H$88)),'Вводные'!$B$88="Да"),(1+'Вводные'!$AD$88*'Вводные'!$H$7*MIN(1,(12*(YEAR(BO$3)-YEAR($B$7))+MONTH(BO$3)-MONTH($B$7))/MAX(1,12*(YEAR($B$8)-YEAR($B$7))+MONTH($B$8)-MONTH($B$7))))*(1+IF(MONTH(BO$3)=1,'Вводные'!$B$67,IF(AND(MONTH(BO$3)&gt;=5,MONTH(BO$3)&lt;=8),'Вводные'!$B$70,0))),0)</x:f>
      </x:c>
      <x:c r="BP10" t="n">
        <x:f>IF(AND(BP$3&gt;=$B$7,BP$3&lt;EDATE($B$7,MAX(1,'Вводные'!$H$88)),'Вводные'!$B$88="Да"),(1+'Вводные'!$AD$88*'Вводные'!$H$7*MIN(1,(12*(YEAR(BP$3)-YEAR($B$7))+MONTH(BP$3)-MONTH($B$7))/MAX(1,12*(YEAR($B$8)-YEAR($B$7))+MONTH($B$8)-MONTH($B$7))))*(1+IF(MONTH(BP$3)=1,'Вводные'!$B$67,IF(AND(MONTH(BP$3)&gt;=5,MONTH(BP$3)&lt;=8),'Вводные'!$B$70,0))),0)</x:f>
      </x:c>
      <x:c r="BQ10" t="n">
        <x:f>IF(AND(BQ$3&gt;=$B$7,BQ$3&lt;EDATE($B$7,MAX(1,'Вводные'!$H$88)),'Вводные'!$B$88="Да"),(1+'Вводные'!$AD$88*'Вводные'!$H$7*MIN(1,(12*(YEAR(BQ$3)-YEAR($B$7))+MONTH(BQ$3)-MONTH($B$7))/MAX(1,12*(YEAR($B$8)-YEAR($B$7))+MONTH($B$8)-MONTH($B$7))))*(1+IF(MONTH(BQ$3)=1,'Вводные'!$B$67,IF(AND(MONTH(BQ$3)&gt;=5,MONTH(BQ$3)&lt;=8),'Вводные'!$B$70,0))),0)</x:f>
      </x:c>
      <x:c r="BR10" t="n">
        <x:f>IF(AND(BR$3&gt;=$B$7,BR$3&lt;EDATE($B$7,MAX(1,'Вводные'!$H$88)),'Вводные'!$B$88="Да"),(1+'Вводные'!$AD$88*'Вводные'!$H$7*MIN(1,(12*(YEAR(BR$3)-YEAR($B$7))+MONTH(BR$3)-MONTH($B$7))/MAX(1,12*(YEAR($B$8)-YEAR($B$7))+MONTH($B$8)-MONTH($B$7))))*(1+IF(MONTH(BR$3)=1,'Вводные'!$B$67,IF(AND(MONTH(BR$3)&gt;=5,MONTH(BR$3)&lt;=8),'Вводные'!$B$70,0))),0)</x:f>
      </x:c>
      <x:c r="BS10" t="n">
        <x:f>IF(AND(BS$3&gt;=$B$7,BS$3&lt;EDATE($B$7,MAX(1,'Вводные'!$H$88)),'Вводные'!$B$88="Да"),(1+'Вводные'!$AD$88*'Вводные'!$H$7*MIN(1,(12*(YEAR(BS$3)-YEAR($B$7))+MONTH(BS$3)-MONTH($B$7))/MAX(1,12*(YEAR($B$8)-YEAR($B$7))+MONTH($B$8)-MONTH($B$7))))*(1+IF(MONTH(BS$3)=1,'Вводные'!$B$67,IF(AND(MONTH(BS$3)&gt;=5,MONTH(BS$3)&lt;=8),'Вводные'!$B$70,0))),0)</x:f>
      </x:c>
      <x:c r="BT10" t="n">
        <x:f>IF(AND(BT$3&gt;=$B$7,BT$3&lt;EDATE($B$7,MAX(1,'Вводные'!$H$88)),'Вводные'!$B$88="Да"),(1+'Вводные'!$AD$88*'Вводные'!$H$7*MIN(1,(12*(YEAR(BT$3)-YEAR($B$7))+MONTH(BT$3)-MONTH($B$7))/MAX(1,12*(YEAR($B$8)-YEAR($B$7))+MONTH($B$8)-MONTH($B$7))))*(1+IF(MONTH(BT$3)=1,'Вводные'!$B$67,IF(AND(MONTH(BT$3)&gt;=5,MONTH(BT$3)&lt;=8),'Вводные'!$B$70,0))),0)</x:f>
      </x:c>
      <x:c r="BU10" t="n">
        <x:f>IF(AND(BU$3&gt;=$B$7,BU$3&lt;EDATE($B$7,MAX(1,'Вводные'!$H$88)),'Вводные'!$B$88="Да"),(1+'Вводные'!$AD$88*'Вводные'!$H$7*MIN(1,(12*(YEAR(BU$3)-YEAR($B$7))+MONTH(BU$3)-MONTH($B$7))/MAX(1,12*(YEAR($B$8)-YEAR($B$7))+MONTH($B$8)-MONTH($B$7))))*(1+IF(MONTH(BU$3)=1,'Вводные'!$B$67,IF(AND(MONTH(BU$3)&gt;=5,MONTH(BU$3)&lt;=8),'Вводные'!$B$70,0))),0)</x:f>
      </x:c>
      <x:c r="BV10" t="n">
        <x:f>IF(AND(BV$3&gt;=$B$7,BV$3&lt;EDATE($B$7,MAX(1,'Вводные'!$H$88)),'Вводные'!$B$88="Да"),(1+'Вводные'!$AD$88*'Вводные'!$H$7*MIN(1,(12*(YEAR(BV$3)-YEAR($B$7))+MONTH(BV$3)-MONTH($B$7))/MAX(1,12*(YEAR($B$8)-YEAR($B$7))+MONTH($B$8)-MONTH($B$7))))*(1+IF(MONTH(BV$3)=1,'Вводные'!$B$67,IF(AND(MONTH(BV$3)&gt;=5,MONTH(BV$3)&lt;=8),'Вводные'!$B$70,0))),0)</x:f>
      </x:c>
      <x:c r="BW10" t="n">
        <x:f>IF(AND(BW$3&gt;=$B$7,BW$3&lt;EDATE($B$7,MAX(1,'Вводные'!$H$88)),'Вводные'!$B$88="Да"),(1+'Вводные'!$AD$88*'Вводные'!$H$7*MIN(1,(12*(YEAR(BW$3)-YEAR($B$7))+MONTH(BW$3)-MONTH($B$7))/MAX(1,12*(YEAR($B$8)-YEAR($B$7))+MONTH($B$8)-MONTH($B$7))))*(1+IF(MONTH(BW$3)=1,'Вводные'!$B$67,IF(AND(MONTH(BW$3)&gt;=5,MONTH(BW$3)&lt;=8),'Вводные'!$B$70,0))),0)</x:f>
      </x:c>
      <x:c r="BX10" t="n">
        <x:f>IF(AND(BX$3&gt;=$B$7,BX$3&lt;EDATE($B$7,MAX(1,'Вводные'!$H$88)),'Вводные'!$B$88="Да"),(1+'Вводные'!$AD$88*'Вводные'!$H$7*MIN(1,(12*(YEAR(BX$3)-YEAR($B$7))+MONTH(BX$3)-MONTH($B$7))/MAX(1,12*(YEAR($B$8)-YEAR($B$7))+MONTH($B$8)-MONTH($B$7))))*(1+IF(MONTH(BX$3)=1,'Вводные'!$B$67,IF(AND(MONTH(BX$3)&gt;=5,MONTH(BX$3)&lt;=8),'Вводные'!$B$70,0))),0)</x:f>
      </x:c>
      <x:c r="BY10" t="n">
        <x:f>IF(AND(BY$3&gt;=$B$7,BY$3&lt;EDATE($B$7,MAX(1,'Вводные'!$H$88)),'Вводные'!$B$88="Да"),(1+'Вводные'!$AD$88*'Вводные'!$H$7*MIN(1,(12*(YEAR(BY$3)-YEAR($B$7))+MONTH(BY$3)-MONTH($B$7))/MAX(1,12*(YEAR($B$8)-YEAR($B$7))+MONTH($B$8)-MONTH($B$7))))*(1+IF(MONTH(BY$3)=1,'Вводные'!$B$67,IF(AND(MONTH(BY$3)&gt;=5,MONTH(BY$3)&lt;=8),'Вводные'!$B$70,0))),0)</x:f>
      </x:c>
      <x:c r="BZ10" t="n">
        <x:f>IF(AND(BZ$3&gt;=$B$7,BZ$3&lt;EDATE($B$7,MAX(1,'Вводные'!$H$88)),'Вводные'!$B$88="Да"),(1+'Вводные'!$AD$88*'Вводные'!$H$7*MIN(1,(12*(YEAR(BZ$3)-YEAR($B$7))+MONTH(BZ$3)-MONTH($B$7))/MAX(1,12*(YEAR($B$8)-YEAR($B$7))+MONTH($B$8)-MONTH($B$7))))*(1+IF(MONTH(BZ$3)=1,'Вводные'!$B$67,IF(AND(MONTH(BZ$3)&gt;=5,MONTH(BZ$3)&lt;=8),'Вводные'!$B$70,0))),0)</x:f>
      </x:c>
      <x:c r="CA10" t="n">
        <x:f>IF(AND(CA$3&gt;=$B$7,CA$3&lt;EDATE($B$7,MAX(1,'Вводные'!$H$88)),'Вводные'!$B$88="Да"),(1+'Вводные'!$AD$88*'Вводные'!$H$7*MIN(1,(12*(YEAR(CA$3)-YEAR($B$7))+MONTH(CA$3)-MONTH($B$7))/MAX(1,12*(YEAR($B$8)-YEAR($B$7))+MONTH($B$8)-MONTH($B$7))))*(1+IF(MONTH(CA$3)=1,'Вводные'!$B$67,IF(AND(MONTH(CA$3)&gt;=5,MONTH(CA$3)&lt;=8),'Вводные'!$B$70,0))),0)</x:f>
      </x:c>
      <x:c r="CB10" t="n">
        <x:f>IF(AND(CB$3&gt;=$B$7,CB$3&lt;EDATE($B$7,MAX(1,'Вводные'!$H$88)),'Вводные'!$B$88="Да"),(1+'Вводные'!$AD$88*'Вводные'!$H$7*MIN(1,(12*(YEAR(CB$3)-YEAR($B$7))+MONTH(CB$3)-MONTH($B$7))/MAX(1,12*(YEAR($B$8)-YEAR($B$7))+MONTH($B$8)-MONTH($B$7))))*(1+IF(MONTH(CB$3)=1,'Вводные'!$B$67,IF(AND(MONTH(CB$3)&gt;=5,MONTH(CB$3)&lt;=8),'Вводные'!$B$70,0))),0)</x:f>
      </x:c>
      <x:c r="CC10" t="n">
        <x:f>IF(AND(CC$3&gt;=$B$7,CC$3&lt;EDATE($B$7,MAX(1,'Вводные'!$H$88)),'Вводные'!$B$88="Да"),(1+'Вводные'!$AD$88*'Вводные'!$H$7*MIN(1,(12*(YEAR(CC$3)-YEAR($B$7))+MONTH(CC$3)-MONTH($B$7))/MAX(1,12*(YEAR($B$8)-YEAR($B$7))+MONTH($B$8)-MONTH($B$7))))*(1+IF(MONTH(CC$3)=1,'Вводные'!$B$67,IF(AND(MONTH(CC$3)&gt;=5,MONTH(CC$3)&lt;=8),'Вводные'!$B$70,0))),0)</x:f>
      </x:c>
      <x:c r="CD10" t="n">
        <x:f>IF(AND(CD$3&gt;=$B$7,CD$3&lt;EDATE($B$7,MAX(1,'Вводные'!$H$88)),'Вводные'!$B$88="Да"),(1+'Вводные'!$AD$88*'Вводные'!$H$7*MIN(1,(12*(YEAR(CD$3)-YEAR($B$7))+MONTH(CD$3)-MONTH($B$7))/MAX(1,12*(YEAR($B$8)-YEAR($B$7))+MONTH($B$8)-MONTH($B$7))))*(1+IF(MONTH(CD$3)=1,'Вводные'!$B$67,IF(AND(MONTH(CD$3)&gt;=5,MONTH(CD$3)&lt;=8),'Вводные'!$B$70,0))),0)</x:f>
      </x:c>
      <x:c r="CE10" t="n">
        <x:f>IF(AND(CE$3&gt;=$B$7,CE$3&lt;EDATE($B$7,MAX(1,'Вводные'!$H$88)),'Вводные'!$B$88="Да"),(1+'Вводные'!$AD$88*'Вводные'!$H$7*MIN(1,(12*(YEAR(CE$3)-YEAR($B$7))+MONTH(CE$3)-MONTH($B$7))/MAX(1,12*(YEAR($B$8)-YEAR($B$7))+MONTH($B$8)-MONTH($B$7))))*(1+IF(MONTH(CE$3)=1,'Вводные'!$B$67,IF(AND(MONTH(CE$3)&gt;=5,MONTH(CE$3)&lt;=8),'Вводные'!$B$70,0))),0)</x:f>
      </x:c>
      <x:c r="CF10" t="n">
        <x:f>IF(AND(CF$3&gt;=$B$7,CF$3&lt;EDATE($B$7,MAX(1,'Вводные'!$H$88)),'Вводные'!$B$88="Да"),(1+'Вводные'!$AD$88*'Вводные'!$H$7*MIN(1,(12*(YEAR(CF$3)-YEAR($B$7))+MONTH(CF$3)-MONTH($B$7))/MAX(1,12*(YEAR($B$8)-YEAR($B$7))+MONTH($B$8)-MONTH($B$7))))*(1+IF(MONTH(CF$3)=1,'Вводные'!$B$67,IF(AND(MONTH(CF$3)&gt;=5,MONTH(CF$3)&lt;=8),'Вводные'!$B$70,0))),0)</x:f>
      </x:c>
      <x:c r="CG10" t="n">
        <x:f>IF(AND(CG$3&gt;=$B$7,CG$3&lt;EDATE($B$7,MAX(1,'Вводные'!$H$88)),'Вводные'!$B$88="Да"),(1+'Вводные'!$AD$88*'Вводные'!$H$7*MIN(1,(12*(YEAR(CG$3)-YEAR($B$7))+MONTH(CG$3)-MONTH($B$7))/MAX(1,12*(YEAR($B$8)-YEAR($B$7))+MONTH($B$8)-MONTH($B$7))))*(1+IF(MONTH(CG$3)=1,'Вводные'!$B$67,IF(AND(MONTH(CG$3)&gt;=5,MONTH(CG$3)&lt;=8),'Вводные'!$B$70,0))),0)</x:f>
      </x:c>
      <x:c r="CH10" t="n">
        <x:f>IF(AND(CH$3&gt;=$B$7,CH$3&lt;EDATE($B$7,MAX(1,'Вводные'!$H$88)),'Вводные'!$B$88="Да"),(1+'Вводные'!$AD$88*'Вводные'!$H$7*MIN(1,(12*(YEAR(CH$3)-YEAR($B$7))+MONTH(CH$3)-MONTH($B$7))/MAX(1,12*(YEAR($B$8)-YEAR($B$7))+MONTH($B$8)-MONTH($B$7))))*(1+IF(MONTH(CH$3)=1,'Вводные'!$B$67,IF(AND(MONTH(CH$3)&gt;=5,MONTH(CH$3)&lt;=8),'Вводные'!$B$70,0))),0)</x:f>
      </x:c>
      <x:c r="CI10" t="n">
        <x:f>IF(AND(CI$3&gt;=$B$7,CI$3&lt;EDATE($B$7,MAX(1,'Вводные'!$H$88)),'Вводные'!$B$88="Да"),(1+'Вводные'!$AD$88*'Вводные'!$H$7*MIN(1,(12*(YEAR(CI$3)-YEAR($B$7))+MONTH(CI$3)-MONTH($B$7))/MAX(1,12*(YEAR($B$8)-YEAR($B$7))+MONTH($B$8)-MONTH($B$7))))*(1+IF(MONTH(CI$3)=1,'Вводные'!$B$67,IF(AND(MONTH(CI$3)&gt;=5,MONTH(CI$3)&lt;=8),'Вводные'!$B$70,0))),0)</x:f>
      </x:c>
      <x:c r="CJ10" t="n">
        <x:f>IF(AND(CJ$3&gt;=$B$7,CJ$3&lt;EDATE($B$7,MAX(1,'Вводные'!$H$88)),'Вводные'!$B$88="Да"),(1+'Вводные'!$AD$88*'Вводные'!$H$7*MIN(1,(12*(YEAR(CJ$3)-YEAR($B$7))+MONTH(CJ$3)-MONTH($B$7))/MAX(1,12*(YEAR($B$8)-YEAR($B$7))+MONTH($B$8)-MONTH($B$7))))*(1+IF(MONTH(CJ$3)=1,'Вводные'!$B$67,IF(AND(MONTH(CJ$3)&gt;=5,MONTH(CJ$3)&lt;=8),'Вводные'!$B$70,0))),0)</x:f>
      </x:c>
      <x:c r="CK10" t="n">
        <x:f>IF(AND(CK$3&gt;=$B$7,CK$3&lt;EDATE($B$7,MAX(1,'Вводные'!$H$88)),'Вводные'!$B$88="Да"),(1+'Вводные'!$AD$88*'Вводные'!$H$7*MIN(1,(12*(YEAR(CK$3)-YEAR($B$7))+MONTH(CK$3)-MONTH($B$7))/MAX(1,12*(YEAR($B$8)-YEAR($B$7))+MONTH($B$8)-MONTH($B$7))))*(1+IF(MONTH(CK$3)=1,'Вводные'!$B$67,IF(AND(MONTH(CK$3)&gt;=5,MONTH(CK$3)&lt;=8),'Вводные'!$B$70,0))),0)</x:f>
      </x:c>
      <x:c r="CL10" t="n">
        <x:f>IF(AND(CL$3&gt;=$B$7,CL$3&lt;EDATE($B$7,MAX(1,'Вводные'!$H$88)),'Вводные'!$B$88="Да"),(1+'Вводные'!$AD$88*'Вводные'!$H$7*MIN(1,(12*(YEAR(CL$3)-YEAR($B$7))+MONTH(CL$3)-MONTH($B$7))/MAX(1,12*(YEAR($B$8)-YEAR($B$7))+MONTH($B$8)-MONTH($B$7))))*(1+IF(MONTH(CL$3)=1,'Вводные'!$B$67,IF(AND(MONTH(CL$3)&gt;=5,MONTH(CL$3)&lt;=8),'Вводные'!$B$70,0))),0)</x:f>
      </x:c>
      <x:c r="CM10" t="n">
        <x:f>IF(AND(CM$3&gt;=$B$7,CM$3&lt;EDATE($B$7,MAX(1,'Вводные'!$H$88)),'Вводные'!$B$88="Да"),(1+'Вводные'!$AD$88*'Вводные'!$H$7*MIN(1,(12*(YEAR(CM$3)-YEAR($B$7))+MONTH(CM$3)-MONTH($B$7))/MAX(1,12*(YEAR($B$8)-YEAR($B$7))+MONTH($B$8)-MONTH($B$7))))*(1+IF(MONTH(CM$3)=1,'Вводные'!$B$67,IF(AND(MONTH(CM$3)&gt;=5,MONTH(CM$3)&lt;=8),'Вводные'!$B$70,0))),0)</x:f>
      </x:c>
      <x:c r="CN10" t="n">
        <x:f>IF(AND(CN$3&gt;=$B$7,CN$3&lt;EDATE($B$7,MAX(1,'Вводные'!$H$88)),'Вводные'!$B$88="Да"),(1+'Вводные'!$AD$88*'Вводные'!$H$7*MIN(1,(12*(YEAR(CN$3)-YEAR($B$7))+MONTH(CN$3)-MONTH($B$7))/MAX(1,12*(YEAR($B$8)-YEAR($B$7))+MONTH($B$8)-MONTH($B$7))))*(1+IF(MONTH(CN$3)=1,'Вводные'!$B$67,IF(AND(MONTH(CN$3)&gt;=5,MONTH(CN$3)&lt;=8),'Вводные'!$B$70,0))),0)</x:f>
      </x:c>
      <x:c r="CO10" t="n">
        <x:f>IF(AND(CO$3&gt;=$B$7,CO$3&lt;EDATE($B$7,MAX(1,'Вводные'!$H$88)),'Вводные'!$B$88="Да"),(1+'Вводные'!$AD$88*'Вводные'!$H$7*MIN(1,(12*(YEAR(CO$3)-YEAR($B$7))+MONTH(CO$3)-MONTH($B$7))/MAX(1,12*(YEAR($B$8)-YEAR($B$7))+MONTH($B$8)-MONTH($B$7))))*(1+IF(MONTH(CO$3)=1,'Вводные'!$B$67,IF(AND(MONTH(CO$3)&gt;=5,MONTH(CO$3)&lt;=8),'Вводные'!$B$70,0))),0)</x:f>
      </x:c>
      <x:c r="CP10" t="n">
        <x:f>IF(AND(CP$3&gt;=$B$7,CP$3&lt;EDATE($B$7,MAX(1,'Вводные'!$H$88)),'Вводные'!$B$88="Да"),(1+'Вводные'!$AD$88*'Вводные'!$H$7*MIN(1,(12*(YEAR(CP$3)-YEAR($B$7))+MONTH(CP$3)-MONTH($B$7))/MAX(1,12*(YEAR($B$8)-YEAR($B$7))+MONTH($B$8)-MONTH($B$7))))*(1+IF(MONTH(CP$3)=1,'Вводные'!$B$67,IF(AND(MONTH(CP$3)&gt;=5,MONTH(CP$3)&lt;=8),'Вводные'!$B$70,0))),0)</x:f>
      </x:c>
      <x:c r="CQ10" t="n">
        <x:f>IF(AND(CQ$3&gt;=$B$7,CQ$3&lt;EDATE($B$7,MAX(1,'Вводные'!$H$88)),'Вводные'!$B$88="Да"),(1+'Вводные'!$AD$88*'Вводные'!$H$7*MIN(1,(12*(YEAR(CQ$3)-YEAR($B$7))+MONTH(CQ$3)-MONTH($B$7))/MAX(1,12*(YEAR($B$8)-YEAR($B$7))+MONTH($B$8)-MONTH($B$7))))*(1+IF(MONTH(CQ$3)=1,'Вводные'!$B$67,IF(AND(MONTH(CQ$3)&gt;=5,MONTH(CQ$3)&lt;=8),'Вводные'!$B$70,0))),0)</x:f>
      </x:c>
      <x:c r="CR10" t="n">
        <x:f>IF(AND(CR$3&gt;=$B$7,CR$3&lt;EDATE($B$7,MAX(1,'Вводные'!$H$88)),'Вводные'!$B$88="Да"),(1+'Вводные'!$AD$88*'Вводные'!$H$7*MIN(1,(12*(YEAR(CR$3)-YEAR($B$7))+MONTH(CR$3)-MONTH($B$7))/MAX(1,12*(YEAR($B$8)-YEAR($B$7))+MONTH($B$8)-MONTH($B$7))))*(1+IF(MONTH(CR$3)=1,'Вводные'!$B$67,IF(AND(MONTH(CR$3)&gt;=5,MONTH(CR$3)&lt;=8),'Вводные'!$B$70,0))),0)</x:f>
      </x:c>
      <x:c r="CS10" t="n">
        <x:f>IF(AND(CS$3&gt;=$B$7,CS$3&lt;EDATE($B$7,MAX(1,'Вводные'!$H$88)),'Вводные'!$B$88="Да"),(1+'Вводные'!$AD$88*'Вводные'!$H$7*MIN(1,(12*(YEAR(CS$3)-YEAR($B$7))+MONTH(CS$3)-MONTH($B$7))/MAX(1,12*(YEAR($B$8)-YEAR($B$7))+MONTH($B$8)-MONTH($B$7))))*(1+IF(MONTH(CS$3)=1,'Вводные'!$B$67,IF(AND(MONTH(CS$3)&gt;=5,MONTH(CS$3)&lt;=8),'Вводные'!$B$70,0))),0)</x:f>
      </x:c>
      <x:c r="CT10" t="n">
        <x:f>IF(AND(CT$3&gt;=$B$7,CT$3&lt;EDATE($B$7,MAX(1,'Вводные'!$H$88)),'Вводные'!$B$88="Да"),(1+'Вводные'!$AD$88*'Вводные'!$H$7*MIN(1,(12*(YEAR(CT$3)-YEAR($B$7))+MONTH(CT$3)-MONTH($B$7))/MAX(1,12*(YEAR($B$8)-YEAR($B$7))+MONTH($B$8)-MONTH($B$7))))*(1+IF(MONTH(CT$3)=1,'Вводные'!$B$67,IF(AND(MONTH(CT$3)&gt;=5,MONTH(CT$3)&lt;=8),'Вводные'!$B$70,0))),0)</x:f>
      </x:c>
      <x:c r="CU10" t="n">
        <x:f>IF(AND(CU$3&gt;=$B$7,CU$3&lt;EDATE($B$7,MAX(1,'Вводные'!$H$88)),'Вводные'!$B$88="Да"),(1+'Вводные'!$AD$88*'Вводные'!$H$7*MIN(1,(12*(YEAR(CU$3)-YEAR($B$7))+MONTH(CU$3)-MONTH($B$7))/MAX(1,12*(YEAR($B$8)-YEAR($B$7))+MONTH($B$8)-MONTH($B$7))))*(1+IF(MONTH(CU$3)=1,'Вводные'!$B$67,IF(AND(MONTH(CU$3)&gt;=5,MONTH(CU$3)&lt;=8),'Вводные'!$B$70,0))),0)</x:f>
      </x:c>
      <x:c r="CV10" t="n">
        <x:f>IF(AND(CV$3&gt;=$B$7,CV$3&lt;EDATE($B$7,MAX(1,'Вводные'!$H$88)),'Вводные'!$B$88="Да"),(1+'Вводные'!$AD$88*'Вводные'!$H$7*MIN(1,(12*(YEAR(CV$3)-YEAR($B$7))+MONTH(CV$3)-MONTH($B$7))/MAX(1,12*(YEAR($B$8)-YEAR($B$7))+MONTH($B$8)-MONTH($B$7))))*(1+IF(MONTH(CV$3)=1,'Вводные'!$B$67,IF(AND(MONTH(CV$3)&gt;=5,MONTH(CV$3)&lt;=8),'Вводные'!$B$70,0))),0)</x:f>
      </x:c>
      <x:c r="CW10" t="n">
        <x:f>IF(AND(CW$3&gt;=$B$7,CW$3&lt;EDATE($B$7,MAX(1,'Вводные'!$H$88)),'Вводные'!$B$88="Да"),(1+'Вводные'!$AD$88*'Вводные'!$H$7*MIN(1,(12*(YEAR(CW$3)-YEAR($B$7))+MONTH(CW$3)-MONTH($B$7))/MAX(1,12*(YEAR($B$8)-YEAR($B$7))+MONTH($B$8)-MONTH($B$7))))*(1+IF(MONTH(CW$3)=1,'Вводные'!$B$67,IF(AND(MONTH(CW$3)&gt;=5,MONTH(CW$3)&lt;=8),'Вводные'!$B$70,0))),0)</x:f>
      </x:c>
      <x:c r="CX10" t="n">
        <x:f>IF(AND(CX$3&gt;=$B$7,CX$3&lt;EDATE($B$7,MAX(1,'Вводные'!$H$88)),'Вводные'!$B$88="Да"),(1+'Вводные'!$AD$88*'Вводные'!$H$7*MIN(1,(12*(YEAR(CX$3)-YEAR($B$7))+MONTH(CX$3)-MONTH($B$7))/MAX(1,12*(YEAR($B$8)-YEAR($B$7))+MONTH($B$8)-MONTH($B$7))))*(1+IF(MONTH(CX$3)=1,'Вводные'!$B$67,IF(AND(MONTH(CX$3)&gt;=5,MONTH(CX$3)&lt;=8),'Вводные'!$B$70,0))),0)</x:f>
      </x:c>
      <x:c r="CY10" t="n">
        <x:f>IF(AND(CY$3&gt;=$B$7,CY$3&lt;EDATE($B$7,MAX(1,'Вводные'!$H$88)),'Вводные'!$B$88="Да"),(1+'Вводные'!$AD$88*'Вводные'!$H$7*MIN(1,(12*(YEAR(CY$3)-YEAR($B$7))+MONTH(CY$3)-MONTH($B$7))/MAX(1,12*(YEAR($B$8)-YEAR($B$7))+MONTH($B$8)-MONTH($B$7))))*(1+IF(MONTH(CY$3)=1,'Вводные'!$B$67,IF(AND(MONTH(CY$3)&gt;=5,MONTH(CY$3)&lt;=8),'Вводные'!$B$70,0))),0)</x:f>
      </x:c>
      <x:c r="CZ10" t="n">
        <x:f>IF(AND(CZ$3&gt;=$B$7,CZ$3&lt;EDATE($B$7,MAX(1,'Вводные'!$H$88)),'Вводные'!$B$88="Да"),(1+'Вводные'!$AD$88*'Вводные'!$H$7*MIN(1,(12*(YEAR(CZ$3)-YEAR($B$7))+MONTH(CZ$3)-MONTH($B$7))/MAX(1,12*(YEAR($B$8)-YEAR($B$7))+MONTH($B$8)-MONTH($B$7))))*(1+IF(MONTH(CZ$3)=1,'Вводные'!$B$67,IF(AND(MONTH(CZ$3)&gt;=5,MONTH(CZ$3)&lt;=8),'Вводные'!$B$70,0))),0)</x:f>
      </x:c>
      <x:c r="DA10" t="n">
        <x:f>IF(AND(DA$3&gt;=$B$7,DA$3&lt;EDATE($B$7,MAX(1,'Вводные'!$H$88)),'Вводные'!$B$88="Да"),(1+'Вводные'!$AD$88*'Вводные'!$H$7*MIN(1,(12*(YEAR(DA$3)-YEAR($B$7))+MONTH(DA$3)-MONTH($B$7))/MAX(1,12*(YEAR($B$8)-YEAR($B$7))+MONTH($B$8)-MONTH($B$7))))*(1+IF(MONTH(DA$3)=1,'Вводные'!$B$67,IF(AND(MONTH(DA$3)&gt;=5,MONTH(DA$3)&lt;=8),'Вводные'!$B$70,0))),0)</x:f>
      </x:c>
      <x:c r="DB10" t="n">
        <x:f>IF(AND(DB$3&gt;=$B$7,DB$3&lt;EDATE($B$7,MAX(1,'Вводные'!$H$88)),'Вводные'!$B$88="Да"),(1+'Вводные'!$AD$88*'Вводные'!$H$7*MIN(1,(12*(YEAR(DB$3)-YEAR($B$7))+MONTH(DB$3)-MONTH($B$7))/MAX(1,12*(YEAR($B$8)-YEAR($B$7))+MONTH($B$8)-MONTH($B$7))))*(1+IF(MONTH(DB$3)=1,'Вводные'!$B$67,IF(AND(MONTH(DB$3)&gt;=5,MONTH(DB$3)&lt;=8),'Вводные'!$B$70,0))),0)</x:f>
      </x:c>
      <x:c r="DC10" t="n">
        <x:f>IF(AND(DC$3&gt;=$B$7,DC$3&lt;EDATE($B$7,MAX(1,'Вводные'!$H$88)),'Вводные'!$B$88="Да"),(1+'Вводные'!$AD$88*'Вводные'!$H$7*MIN(1,(12*(YEAR(DC$3)-YEAR($B$7))+MONTH(DC$3)-MONTH($B$7))/MAX(1,12*(YEAR($B$8)-YEAR($B$7))+MONTH($B$8)-MONTH($B$7))))*(1+IF(MONTH(DC$3)=1,'Вводные'!$B$67,IF(AND(MONTH(DC$3)&gt;=5,MONTH(DC$3)&lt;=8),'Вводные'!$B$70,0))),0)</x:f>
      </x:c>
      <x:c r="DD10" t="n">
        <x:f>IF(AND(DD$3&gt;=$B$7,DD$3&lt;EDATE($B$7,MAX(1,'Вводные'!$H$88)),'Вводные'!$B$88="Да"),(1+'Вводные'!$AD$88*'Вводные'!$H$7*MIN(1,(12*(YEAR(DD$3)-YEAR($B$7))+MONTH(DD$3)-MONTH($B$7))/MAX(1,12*(YEAR($B$8)-YEAR($B$7))+MONTH($B$8)-MONTH($B$7))))*(1+IF(MONTH(DD$3)=1,'Вводные'!$B$67,IF(AND(MONTH(DD$3)&gt;=5,MONTH(DD$3)&lt;=8),'Вводные'!$B$70,0))),0)</x:f>
      </x:c>
      <x:c r="DE10" t="n">
        <x:f>IF(AND(DE$3&gt;=$B$7,DE$3&lt;EDATE($B$7,MAX(1,'Вводные'!$H$88)),'Вводные'!$B$88="Да"),(1+'Вводные'!$AD$88*'Вводные'!$H$7*MIN(1,(12*(YEAR(DE$3)-YEAR($B$7))+MONTH(DE$3)-MONTH($B$7))/MAX(1,12*(YEAR($B$8)-YEAR($B$7))+MONTH($B$8)-MONTH($B$7))))*(1+IF(MONTH(DE$3)=1,'Вводные'!$B$67,IF(AND(MONTH(DE$3)&gt;=5,MONTH(DE$3)&lt;=8),'Вводные'!$B$70,0))),0)</x:f>
      </x:c>
      <x:c r="DF10" t="n">
        <x:f>IF(AND(DF$3&gt;=$B$7,DF$3&lt;EDATE($B$7,MAX(1,'Вводные'!$H$88)),'Вводные'!$B$88="Да"),(1+'Вводные'!$AD$88*'Вводные'!$H$7*MIN(1,(12*(YEAR(DF$3)-YEAR($B$7))+MONTH(DF$3)-MONTH($B$7))/MAX(1,12*(YEAR($B$8)-YEAR($B$7))+MONTH($B$8)-MONTH($B$7))))*(1+IF(MONTH(DF$3)=1,'Вводные'!$B$67,IF(AND(MONTH(DF$3)&gt;=5,MONTH(DF$3)&lt;=8),'Вводные'!$B$70,0))),0)</x:f>
      </x:c>
      <x:c r="DG10" t="n">
        <x:f>IF(AND(DG$3&gt;=$B$7,DG$3&lt;EDATE($B$7,MAX(1,'Вводные'!$H$88)),'Вводные'!$B$88="Да"),(1+'Вводные'!$AD$88*'Вводные'!$H$7*MIN(1,(12*(YEAR(DG$3)-YEAR($B$7))+MONTH(DG$3)-MONTH($B$7))/MAX(1,12*(YEAR($B$8)-YEAR($B$7))+MONTH($B$8)-MONTH($B$7))))*(1+IF(MONTH(DG$3)=1,'Вводные'!$B$67,IF(AND(MONTH(DG$3)&gt;=5,MONTH(DG$3)&lt;=8),'Вводные'!$B$70,0))),0)</x:f>
      </x:c>
      <x:c r="DH10" t="n">
        <x:f>IF(AND(DH$3&gt;=$B$7,DH$3&lt;EDATE($B$7,MAX(1,'Вводные'!$H$88)),'Вводные'!$B$88="Да"),(1+'Вводные'!$AD$88*'Вводные'!$H$7*MIN(1,(12*(YEAR(DH$3)-YEAR($B$7))+MONTH(DH$3)-MONTH($B$7))/MAX(1,12*(YEAR($B$8)-YEAR($B$7))+MONTH($B$8)-MONTH($B$7))))*(1+IF(MONTH(DH$3)=1,'Вводные'!$B$67,IF(AND(MONTH(DH$3)&gt;=5,MONTH(DH$3)&lt;=8),'Вводные'!$B$70,0))),0)</x:f>
      </x:c>
      <x:c r="DI10" t="n">
        <x:f>IF(AND(DI$3&gt;=$B$7,DI$3&lt;EDATE($B$7,MAX(1,'Вводные'!$H$88)),'Вводные'!$B$88="Да"),(1+'Вводные'!$AD$88*'Вводные'!$H$7*MIN(1,(12*(YEAR(DI$3)-YEAR($B$7))+MONTH(DI$3)-MONTH($B$7))/MAX(1,12*(YEAR($B$8)-YEAR($B$7))+MONTH($B$8)-MONTH($B$7))))*(1+IF(MONTH(DI$3)=1,'Вводные'!$B$67,IF(AND(MONTH(DI$3)&gt;=5,MONTH(DI$3)&lt;=8),'Вводные'!$B$70,0))),0)</x:f>
      </x:c>
      <x:c r="DJ10" t="n">
        <x:f>IF(AND(DJ$3&gt;=$B$7,DJ$3&lt;EDATE($B$7,MAX(1,'Вводные'!$H$88)),'Вводные'!$B$88="Да"),(1+'Вводные'!$AD$88*'Вводные'!$H$7*MIN(1,(12*(YEAR(DJ$3)-YEAR($B$7))+MONTH(DJ$3)-MONTH($B$7))/MAX(1,12*(YEAR($B$8)-YEAR($B$7))+MONTH($B$8)-MONTH($B$7))))*(1+IF(MONTH(DJ$3)=1,'Вводные'!$B$67,IF(AND(MONTH(DJ$3)&gt;=5,MONTH(DJ$3)&lt;=8),'Вводные'!$B$70,0))),0)</x:f>
      </x:c>
      <x:c r="DK10" t="n">
        <x:f>IF(AND(DK$3&gt;=$B$7,DK$3&lt;EDATE($B$7,MAX(1,'Вводные'!$H$88)),'Вводные'!$B$88="Да"),(1+'Вводные'!$AD$88*'Вводные'!$H$7*MIN(1,(12*(YEAR(DK$3)-YEAR($B$7))+MONTH(DK$3)-MONTH($B$7))/MAX(1,12*(YEAR($B$8)-YEAR($B$7))+MONTH($B$8)-MONTH($B$7))))*(1+IF(MONTH(DK$3)=1,'Вводные'!$B$67,IF(AND(MONTH(DK$3)&gt;=5,MONTH(DK$3)&lt;=8),'Вводные'!$B$70,0))),0)</x:f>
      </x:c>
      <x:c r="DL10" t="n">
        <x:f>IF(AND(DL$3&gt;=$B$7,DL$3&lt;EDATE($B$7,MAX(1,'Вводные'!$H$88)),'Вводные'!$B$88="Да"),(1+'Вводные'!$AD$88*'Вводные'!$H$7*MIN(1,(12*(YEAR(DL$3)-YEAR($B$7))+MONTH(DL$3)-MONTH($B$7))/MAX(1,12*(YEAR($B$8)-YEAR($B$7))+MONTH($B$8)-MONTH($B$7))))*(1+IF(MONTH(DL$3)=1,'Вводные'!$B$67,IF(AND(MONTH(DL$3)&gt;=5,MONTH(DL$3)&lt;=8),'Вводные'!$B$70,0))),0)</x:f>
      </x:c>
      <x:c r="DM10" t="n">
        <x:f>IF(AND(DM$3&gt;=$B$7,DM$3&lt;EDATE($B$7,MAX(1,'Вводные'!$H$88)),'Вводные'!$B$88="Да"),(1+'Вводные'!$AD$88*'Вводные'!$H$7*MIN(1,(12*(YEAR(DM$3)-YEAR($B$7))+MONTH(DM$3)-MONTH($B$7))/MAX(1,12*(YEAR($B$8)-YEAR($B$7))+MONTH($B$8)-MONTH($B$7))))*(1+IF(MONTH(DM$3)=1,'Вводные'!$B$67,IF(AND(MONTH(DM$3)&gt;=5,MONTH(DM$3)&lt;=8),'Вводные'!$B$70,0))),0)</x:f>
      </x:c>
      <x:c r="DN10" t="n">
        <x:f>IF(AND(DN$3&gt;=$B$7,DN$3&lt;EDATE($B$7,MAX(1,'Вводные'!$H$88)),'Вводные'!$B$88="Да"),(1+'Вводные'!$AD$88*'Вводные'!$H$7*MIN(1,(12*(YEAR(DN$3)-YEAR($B$7))+MONTH(DN$3)-MONTH($B$7))/MAX(1,12*(YEAR($B$8)-YEAR($B$7))+MONTH($B$8)-MONTH($B$7))))*(1+IF(MONTH(DN$3)=1,'Вводные'!$B$67,IF(AND(MONTH(DN$3)&gt;=5,MONTH(DN$3)&lt;=8),'Вводные'!$B$70,0))),0)</x:f>
      </x:c>
      <x:c r="DO10" t="n">
        <x:f>IF(AND(DO$3&gt;=$B$7,DO$3&lt;EDATE($B$7,MAX(1,'Вводные'!$H$88)),'Вводные'!$B$88="Да"),(1+'Вводные'!$AD$88*'Вводные'!$H$7*MIN(1,(12*(YEAR(DO$3)-YEAR($B$7))+MONTH(DO$3)-MONTH($B$7))/MAX(1,12*(YEAR($B$8)-YEAR($B$7))+MONTH($B$8)-MONTH($B$7))))*(1+IF(MONTH(DO$3)=1,'Вводные'!$B$67,IF(AND(MONTH(DO$3)&gt;=5,MONTH(DO$3)&lt;=8),'Вводные'!$B$70,0))),0)</x:f>
      </x:c>
      <x:c r="DP10" t="n">
        <x:f>IF(AND(DP$3&gt;=$B$7,DP$3&lt;EDATE($B$7,MAX(1,'Вводные'!$H$88)),'Вводные'!$B$88="Да"),(1+'Вводные'!$AD$88*'Вводные'!$H$7*MIN(1,(12*(YEAR(DP$3)-YEAR($B$7))+MONTH(DP$3)-MONTH($B$7))/MAX(1,12*(YEAR($B$8)-YEAR($B$7))+MONTH($B$8)-MONTH($B$7))))*(1+IF(MONTH(DP$3)=1,'Вводные'!$B$67,IF(AND(MONTH(DP$3)&gt;=5,MONTH(DP$3)&lt;=8),'Вводные'!$B$70,0))),0)</x:f>
      </x:c>
      <x:c r="DQ10" t="n">
        <x:f>IF(AND(DQ$3&gt;=$B$7,DQ$3&lt;EDATE($B$7,MAX(1,'Вводные'!$H$88)),'Вводные'!$B$88="Да"),(1+'Вводные'!$AD$88*'Вводные'!$H$7*MIN(1,(12*(YEAR(DQ$3)-YEAR($B$7))+MONTH(DQ$3)-MONTH($B$7))/MAX(1,12*(YEAR($B$8)-YEAR($B$7))+MONTH($B$8)-MONTH($B$7))))*(1+IF(MONTH(DQ$3)=1,'Вводные'!$B$67,IF(AND(MONTH(DQ$3)&gt;=5,MONTH(DQ$3)&lt;=8),'Вводные'!$B$70,0))),0)</x:f>
      </x:c>
      <x:c r="DR10" t="n">
        <x:f>IF(AND(DR$3&gt;=$B$7,DR$3&lt;EDATE($B$7,MAX(1,'Вводные'!$H$88)),'Вводные'!$B$88="Да"),(1+'Вводные'!$AD$88*'Вводные'!$H$7*MIN(1,(12*(YEAR(DR$3)-YEAR($B$7))+MONTH(DR$3)-MONTH($B$7))/MAX(1,12*(YEAR($B$8)-YEAR($B$7))+MONTH($B$8)-MONTH($B$7))))*(1+IF(MONTH(DR$3)=1,'Вводные'!$B$67,IF(AND(MONTH(DR$3)&gt;=5,MONTH(DR$3)&lt;=8),'Вводные'!$B$70,0))),0)</x:f>
      </x:c>
      <x:c r="DS10" t="n">
        <x:f>IF(AND(DS$3&gt;=$B$7,DS$3&lt;EDATE($B$7,MAX(1,'Вводные'!$H$88)),'Вводные'!$B$88="Да"),(1+'Вводные'!$AD$88*'Вводные'!$H$7*MIN(1,(12*(YEAR(DS$3)-YEAR($B$7))+MONTH(DS$3)-MONTH($B$7))/MAX(1,12*(YEAR($B$8)-YEAR($B$7))+MONTH($B$8)-MONTH($B$7))))*(1+IF(MONTH(DS$3)=1,'Вводные'!$B$67,IF(AND(MONTH(DS$3)&gt;=5,MONTH(DS$3)&lt;=8),'Вводные'!$B$70,0))),0)</x:f>
      </x:c>
      <x:c r="DT10" t="n">
        <x:f>IF(AND(DT$3&gt;=$B$7,DT$3&lt;EDATE($B$7,MAX(1,'Вводные'!$H$88)),'Вводные'!$B$88="Да"),(1+'Вводные'!$AD$88*'Вводные'!$H$7*MIN(1,(12*(YEAR(DT$3)-YEAR($B$7))+MONTH(DT$3)-MONTH($B$7))/MAX(1,12*(YEAR($B$8)-YEAR($B$7))+MONTH($B$8)-MONTH($B$7))))*(1+IF(MONTH(DT$3)=1,'Вводные'!$B$67,IF(AND(MONTH(DT$3)&gt;=5,MONTH(DT$3)&lt;=8),'Вводные'!$B$70,0))),0)</x:f>
      </x:c>
      <x:c r="DU10" t="n">
        <x:f>IF(AND(DU$3&gt;=$B$7,DU$3&lt;EDATE($B$7,MAX(1,'Вводные'!$H$88)),'Вводные'!$B$88="Да"),(1+'Вводные'!$AD$88*'Вводные'!$H$7*MIN(1,(12*(YEAR(DU$3)-YEAR($B$7))+MONTH(DU$3)-MONTH($B$7))/MAX(1,12*(YEAR($B$8)-YEAR($B$7))+MONTH($B$8)-MONTH($B$7))))*(1+IF(MONTH(DU$3)=1,'Вводные'!$B$67,IF(AND(MONTH(DU$3)&gt;=5,MONTH(DU$3)&lt;=8),'Вводные'!$B$70,0))),0)</x:f>
      </x:c>
      <x:c r="DV10" t="n">
        <x:f>IF(AND(DV$3&gt;=$B$7,DV$3&lt;EDATE($B$7,MAX(1,'Вводные'!$H$88)),'Вводные'!$B$88="Да"),(1+'Вводные'!$AD$88*'Вводные'!$H$7*MIN(1,(12*(YEAR(DV$3)-YEAR($B$7))+MONTH(DV$3)-MONTH($B$7))/MAX(1,12*(YEAR($B$8)-YEAR($B$7))+MONTH($B$8)-MONTH($B$7))))*(1+IF(MONTH(DV$3)=1,'Вводные'!$B$67,IF(AND(MONTH(DV$3)&gt;=5,MONTH(DV$3)&lt;=8),'Вводные'!$B$70,0))),0)</x:f>
      </x:c>
      <x:c r="DW10" t="n">
        <x:f>IF(AND(DW$3&gt;=$B$7,DW$3&lt;EDATE($B$7,MAX(1,'Вводные'!$H$88)),'Вводные'!$B$88="Да"),(1+'Вводные'!$AD$88*'Вводные'!$H$7*MIN(1,(12*(YEAR(DW$3)-YEAR($B$7))+MONTH(DW$3)-MONTH($B$7))/MAX(1,12*(YEAR($B$8)-YEAR($B$7))+MONTH($B$8)-MONTH($B$7))))*(1+IF(MONTH(DW$3)=1,'Вводные'!$B$67,IF(AND(MONTH(DW$3)&gt;=5,MONTH(DW$3)&lt;=8),'Вводные'!$B$70,0))),0)</x:f>
      </x:c>
      <x:c r="DX10" t="n">
        <x:f>IF(AND(DX$3&gt;=$B$7,DX$3&lt;EDATE($B$7,MAX(1,'Вводные'!$H$88)),'Вводные'!$B$88="Да"),(1+'Вводные'!$AD$88*'Вводные'!$H$7*MIN(1,(12*(YEAR(DX$3)-YEAR($B$7))+MONTH(DX$3)-MONTH($B$7))/MAX(1,12*(YEAR($B$8)-YEAR($B$7))+MONTH($B$8)-MONTH($B$7))))*(1+IF(MONTH(DX$3)=1,'Вводные'!$B$67,IF(AND(MONTH(DX$3)&gt;=5,MONTH(DX$3)&lt;=8),'Вводные'!$B$70,0))),0)</x:f>
      </x:c>
      <x:c r="DY10" t="n">
        <x:f>IF(AND(DY$3&gt;=$B$7,DY$3&lt;EDATE($B$7,MAX(1,'Вводные'!$H$88)),'Вводные'!$B$88="Да"),(1+'Вводные'!$AD$88*'Вводные'!$H$7*MIN(1,(12*(YEAR(DY$3)-YEAR($B$7))+MONTH(DY$3)-MONTH($B$7))/MAX(1,12*(YEAR($B$8)-YEAR($B$7))+MONTH($B$8)-MONTH($B$7))))*(1+IF(MONTH(DY$3)=1,'Вводные'!$B$67,IF(AND(MONTH(DY$3)&gt;=5,MONTH(DY$3)&lt;=8),'Вводные'!$B$70,0))),0)</x:f>
      </x:c>
      <x:c r="DZ10" t="n">
        <x:f>IF(AND(DZ$3&gt;=$B$7,DZ$3&lt;EDATE($B$7,MAX(1,'Вводные'!$H$88)),'Вводные'!$B$88="Да"),(1+'Вводные'!$AD$88*'Вводные'!$H$7*MIN(1,(12*(YEAR(DZ$3)-YEAR($B$7))+MONTH(DZ$3)-MONTH($B$7))/MAX(1,12*(YEAR($B$8)-YEAR($B$7))+MONTH($B$8)-MONTH($B$7))))*(1+IF(MONTH(DZ$3)=1,'Вводные'!$B$67,IF(AND(MONTH(DZ$3)&gt;=5,MONTH(DZ$3)&lt;=8),'Вводные'!$B$70,0))),0)</x:f>
      </x:c>
      <x:c r="EA10" t="n">
        <x:f>IF(AND(EA$3&gt;=$B$7,EA$3&lt;EDATE($B$7,MAX(1,'Вводные'!$H$88)),'Вводные'!$B$88="Да"),(1+'Вводные'!$AD$88*'Вводные'!$H$7*MIN(1,(12*(YEAR(EA$3)-YEAR($B$7))+MONTH(EA$3)-MONTH($B$7))/MAX(1,12*(YEAR($B$8)-YEAR($B$7))+MONTH($B$8)-MONTH($B$7))))*(1+IF(MONTH(EA$3)=1,'Вводные'!$B$67,IF(AND(MONTH(EA$3)&gt;=5,MONTH(EA$3)&lt;=8),'Вводные'!$B$70,0))),0)</x:f>
      </x:c>
      <x:c r="EB10" t="n">
        <x:f>IF(AND(EB$3&gt;=$B$7,EB$3&lt;EDATE($B$7,MAX(1,'Вводные'!$H$88)),'Вводные'!$B$88="Да"),(1+'Вводные'!$AD$88*'Вводные'!$H$7*MIN(1,(12*(YEAR(EB$3)-YEAR($B$7))+MONTH(EB$3)-MONTH($B$7))/MAX(1,12*(YEAR($B$8)-YEAR($B$7))+MONTH($B$8)-MONTH($B$7))))*(1+IF(MONTH(EB$3)=1,'Вводные'!$B$67,IF(AND(MONTH(EB$3)&gt;=5,MONTH(EB$3)&lt;=8),'Вводные'!$B$70,0))),0)</x:f>
      </x:c>
      <x:c r="EC10" t="n">
        <x:f>IF(AND(EC$3&gt;=$B$7,EC$3&lt;EDATE($B$7,MAX(1,'Вводные'!$H$88)),'Вводные'!$B$88="Да"),(1+'Вводные'!$AD$88*'Вводные'!$H$7*MIN(1,(12*(YEAR(EC$3)-YEAR($B$7))+MONTH(EC$3)-MONTH($B$7))/MAX(1,12*(YEAR($B$8)-YEAR($B$7))+MONTH($B$8)-MONTH($B$7))))*(1+IF(MONTH(EC$3)=1,'Вводные'!$B$67,IF(AND(MONTH(EC$3)&gt;=5,MONTH(EC$3)&lt;=8),'Вводные'!$B$70,0))),0)</x:f>
      </x:c>
      <x:c r="ED10" t="n">
        <x:f>IF(AND(ED$3&gt;=$B$7,ED$3&lt;EDATE($B$7,MAX(1,'Вводные'!$H$88)),'Вводные'!$B$88="Да"),(1+'Вводные'!$AD$88*'Вводные'!$H$7*MIN(1,(12*(YEAR(ED$3)-YEAR($B$7))+MONTH(ED$3)-MONTH($B$7))/MAX(1,12*(YEAR($B$8)-YEAR($B$7))+MONTH($B$8)-MONTH($B$7))))*(1+IF(MONTH(ED$3)=1,'Вводные'!$B$67,IF(AND(MONTH(ED$3)&gt;=5,MONTH(ED$3)&lt;=8),'Вводные'!$B$70,0))),0)</x:f>
      </x:c>
      <x:c r="EE10" t="n">
        <x:f>IF(AND(EE$3&gt;=$B$7,EE$3&lt;EDATE($B$7,MAX(1,'Вводные'!$H$88)),'Вводные'!$B$88="Да"),(1+'Вводные'!$AD$88*'Вводные'!$H$7*MIN(1,(12*(YEAR(EE$3)-YEAR($B$7))+MONTH(EE$3)-MONTH($B$7))/MAX(1,12*(YEAR($B$8)-YEAR($B$7))+MONTH($B$8)-MONTH($B$7))))*(1+IF(MONTH(EE$3)=1,'Вводные'!$B$67,IF(AND(MONTH(EE$3)&gt;=5,MONTH(EE$3)&lt;=8),'Вводные'!$B$70,0))),0)</x:f>
      </x:c>
      <x:c r="EF10" t="n">
        <x:f>IF(AND(EF$3&gt;=$B$7,EF$3&lt;EDATE($B$7,MAX(1,'Вводные'!$H$88)),'Вводные'!$B$88="Да"),(1+'Вводные'!$AD$88*'Вводные'!$H$7*MIN(1,(12*(YEAR(EF$3)-YEAR($B$7))+MONTH(EF$3)-MONTH($B$7))/MAX(1,12*(YEAR($B$8)-YEAR($B$7))+MONTH($B$8)-MONTH($B$7))))*(1+IF(MONTH(EF$3)=1,'Вводные'!$B$67,IF(AND(MONTH(EF$3)&gt;=5,MONTH(EF$3)&lt;=8),'Вводные'!$B$70,0))),0)</x:f>
      </x:c>
      <x:c r="EG10" t="n">
        <x:f>IF(AND(EG$3&gt;=$B$7,EG$3&lt;EDATE($B$7,MAX(1,'Вводные'!$H$88)),'Вводные'!$B$88="Да"),(1+'Вводные'!$AD$88*'Вводные'!$H$7*MIN(1,(12*(YEAR(EG$3)-YEAR($B$7))+MONTH(EG$3)-MONTH($B$7))/MAX(1,12*(YEAR($B$8)-YEAR($B$7))+MONTH($B$8)-MONTH($B$7))))*(1+IF(MONTH(EG$3)=1,'Вводные'!$B$67,IF(AND(MONTH(EG$3)&gt;=5,MONTH(EG$3)&lt;=8),'Вводные'!$B$70,0))),0)</x:f>
      </x:c>
      <x:c r="EH10" t="n">
        <x:f>IF(AND(EH$3&gt;=$B$7,EH$3&lt;EDATE($B$7,MAX(1,'Вводные'!$H$88)),'Вводные'!$B$88="Да"),(1+'Вводные'!$AD$88*'Вводные'!$H$7*MIN(1,(12*(YEAR(EH$3)-YEAR($B$7))+MONTH(EH$3)-MONTH($B$7))/MAX(1,12*(YEAR($B$8)-YEAR($B$7))+MONTH($B$8)-MONTH($B$7))))*(1+IF(MONTH(EH$3)=1,'Вводные'!$B$67,IF(AND(MONTH(EH$3)&gt;=5,MONTH(EH$3)&lt;=8),'Вводные'!$B$70,0))),0)</x:f>
      </x:c>
      <x:c r="EI10" t="n">
        <x:f>IF(AND(EI$3&gt;=$B$7,EI$3&lt;EDATE($B$7,MAX(1,'Вводные'!$H$88)),'Вводные'!$B$88="Да"),(1+'Вводные'!$AD$88*'Вводные'!$H$7*MIN(1,(12*(YEAR(EI$3)-YEAR($B$7))+MONTH(EI$3)-MONTH($B$7))/MAX(1,12*(YEAR($B$8)-YEAR($B$7))+MONTH($B$8)-MONTH($B$7))))*(1+IF(MONTH(EI$3)=1,'Вводные'!$B$67,IF(AND(MONTH(EI$3)&gt;=5,MONTH(EI$3)&lt;=8),'Вводные'!$B$70,0))),0)</x:f>
      </x:c>
      <x:c r="EJ10" t="n">
        <x:f>IF(AND(EJ$3&gt;=$B$7,EJ$3&lt;EDATE($B$7,MAX(1,'Вводные'!$H$88)),'Вводные'!$B$88="Да"),(1+'Вводные'!$AD$88*'Вводные'!$H$7*MIN(1,(12*(YEAR(EJ$3)-YEAR($B$7))+MONTH(EJ$3)-MONTH($B$7))/MAX(1,12*(YEAR($B$8)-YEAR($B$7))+MONTH($B$8)-MONTH($B$7))))*(1+IF(MONTH(EJ$3)=1,'Вводные'!$B$67,IF(AND(MONTH(EJ$3)&gt;=5,MONTH(EJ$3)&lt;=8),'Вводные'!$B$70,0))),0)</x:f>
      </x:c>
      <x:c r="EK10" t="n">
        <x:f>IF(AND(EK$3&gt;=$B$7,EK$3&lt;EDATE($B$7,MAX(1,'Вводные'!$H$88)),'Вводные'!$B$88="Да"),(1+'Вводные'!$AD$88*'Вводные'!$H$7*MIN(1,(12*(YEAR(EK$3)-YEAR($B$7))+MONTH(EK$3)-MONTH($B$7))/MAX(1,12*(YEAR($B$8)-YEAR($B$7))+MONTH($B$8)-MONTH($B$7))))*(1+IF(MONTH(EK$3)=1,'Вводные'!$B$67,IF(AND(MONTH(EK$3)&gt;=5,MONTH(EK$3)&lt;=8),'Вводные'!$B$70,0))),0)</x:f>
      </x:c>
      <x:c r="EL10" t="n">
        <x:f>IF(AND(EL$3&gt;=$B$7,EL$3&lt;EDATE($B$7,MAX(1,'Вводные'!$H$88)),'Вводные'!$B$88="Да"),(1+'Вводные'!$AD$88*'Вводные'!$H$7*MIN(1,(12*(YEAR(EL$3)-YEAR($B$7))+MONTH(EL$3)-MONTH($B$7))/MAX(1,12*(YEAR($B$8)-YEAR($B$7))+MONTH($B$8)-MONTH($B$7))))*(1+IF(MONTH(EL$3)=1,'Вводные'!$B$67,IF(AND(MONTH(EL$3)&gt;=5,MONTH(EL$3)&lt;=8),'Вводные'!$B$70,0))),0)</x:f>
      </x:c>
      <x:c r="EM10" t="n">
        <x:f>IF(AND(EM$3&gt;=$B$7,EM$3&lt;EDATE($B$7,MAX(1,'Вводные'!$H$88)),'Вводные'!$B$88="Да"),(1+'Вводные'!$AD$88*'Вводные'!$H$7*MIN(1,(12*(YEAR(EM$3)-YEAR($B$7))+MONTH(EM$3)-MONTH($B$7))/MAX(1,12*(YEAR($B$8)-YEAR($B$7))+MONTH($B$8)-MONTH($B$7))))*(1+IF(MONTH(EM$3)=1,'Вводные'!$B$67,IF(AND(MONTH(EM$3)&gt;=5,MONTH(EM$3)&lt;=8),'Вводные'!$B$70,0))),0)</x:f>
      </x:c>
      <x:c r="EN10" t="n">
        <x:f>IF(AND(EN$3&gt;=$B$7,EN$3&lt;EDATE($B$7,MAX(1,'Вводные'!$H$88)),'Вводные'!$B$88="Да"),(1+'Вводные'!$AD$88*'Вводные'!$H$7*MIN(1,(12*(YEAR(EN$3)-YEAR($B$7))+MONTH(EN$3)-MONTH($B$7))/MAX(1,12*(YEAR($B$8)-YEAR($B$7))+MONTH($B$8)-MONTH($B$7))))*(1+IF(MONTH(EN$3)=1,'Вводные'!$B$67,IF(AND(MONTH(EN$3)&gt;=5,MONTH(EN$3)&lt;=8),'Вводные'!$B$70,0))),0)</x:f>
      </x:c>
      <x:c r="EO10" t="n">
        <x:f>IF(AND(EO$3&gt;=$B$7,EO$3&lt;EDATE($B$7,MAX(1,'Вводные'!$H$88)),'Вводные'!$B$88="Да"),(1+'Вводные'!$AD$88*'Вводные'!$H$7*MIN(1,(12*(YEAR(EO$3)-YEAR($B$7))+MONTH(EO$3)-MONTH($B$7))/MAX(1,12*(YEAR($B$8)-YEAR($B$7))+MONTH($B$8)-MONTH($B$7))))*(1+IF(MONTH(EO$3)=1,'Вводные'!$B$67,IF(AND(MONTH(EO$3)&gt;=5,MONTH(EO$3)&lt;=8),'Вводные'!$B$70,0))),0)</x:f>
      </x:c>
      <x:c r="EP10" t="n">
        <x:f>IF(AND(EP$3&gt;=$B$7,EP$3&lt;EDATE($B$7,MAX(1,'Вводные'!$H$88)),'Вводные'!$B$88="Да"),(1+'Вводные'!$AD$88*'Вводные'!$H$7*MIN(1,(12*(YEAR(EP$3)-YEAR($B$7))+MONTH(EP$3)-MONTH($B$7))/MAX(1,12*(YEAR($B$8)-YEAR($B$7))+MONTH($B$8)-MONTH($B$7))))*(1+IF(MONTH(EP$3)=1,'Вводные'!$B$67,IF(AND(MONTH(EP$3)&gt;=5,MONTH(EP$3)&lt;=8),'Вводные'!$B$70,0))),0)</x:f>
      </x:c>
      <x:c r="EQ10" t="n">
        <x:f>IF(AND(EQ$3&gt;=$B$7,EQ$3&lt;EDATE($B$7,MAX(1,'Вводные'!$H$88)),'Вводные'!$B$88="Да"),(1+'Вводные'!$AD$88*'Вводные'!$H$7*MIN(1,(12*(YEAR(EQ$3)-YEAR($B$7))+MONTH(EQ$3)-MONTH($B$7))/MAX(1,12*(YEAR($B$8)-YEAR($B$7))+MONTH($B$8)-MONTH($B$7))))*(1+IF(MONTH(EQ$3)=1,'Вводные'!$B$67,IF(AND(MONTH(EQ$3)&gt;=5,MONTH(EQ$3)&lt;=8),'Вводные'!$B$70,0))),0)</x:f>
      </x:c>
      <x:c r="ER10" t="n">
        <x:f>IF(AND(ER$3&gt;=$B$7,ER$3&lt;EDATE($B$7,MAX(1,'Вводные'!$H$88)),'Вводные'!$B$88="Да"),(1+'Вводные'!$AD$88*'Вводные'!$H$7*MIN(1,(12*(YEAR(ER$3)-YEAR($B$7))+MONTH(ER$3)-MONTH($B$7))/MAX(1,12*(YEAR($B$8)-YEAR($B$7))+MONTH($B$8)-MONTH($B$7))))*(1+IF(MONTH(ER$3)=1,'Вводные'!$B$67,IF(AND(MONTH(ER$3)&gt;=5,MONTH(ER$3)&lt;=8),'Вводные'!$B$70,0))),0)</x:f>
      </x:c>
      <x:c r="ES10" t="n">
        <x:f>IF(AND(ES$3&gt;=$B$7,ES$3&lt;EDATE($B$7,MAX(1,'Вводные'!$H$88)),'Вводные'!$B$88="Да"),(1+'Вводные'!$AD$88*'Вводные'!$H$7*MIN(1,(12*(YEAR(ES$3)-YEAR($B$7))+MONTH(ES$3)-MONTH($B$7))/MAX(1,12*(YEAR($B$8)-YEAR($B$7))+MONTH($B$8)-MONTH($B$7))))*(1+IF(MONTH(ES$3)=1,'Вводные'!$B$67,IF(AND(MONTH(ES$3)&gt;=5,MONTH(ES$3)&lt;=8),'Вводные'!$B$70,0))),0)</x:f>
      </x:c>
      <x:c r="ET10" t="n">
        <x:f>IF(AND(ET$3&gt;=$B$7,ET$3&lt;EDATE($B$7,MAX(1,'Вводные'!$H$88)),'Вводные'!$B$88="Да"),(1+'Вводные'!$AD$88*'Вводные'!$H$7*MIN(1,(12*(YEAR(ET$3)-YEAR($B$7))+MONTH(ET$3)-MONTH($B$7))/MAX(1,12*(YEAR($B$8)-YEAR($B$7))+MONTH($B$8)-MONTH($B$7))))*(1+IF(MONTH(ET$3)=1,'Вводные'!$B$67,IF(AND(MONTH(ET$3)&gt;=5,MONTH(ET$3)&lt;=8),'Вводные'!$B$70,0))),0)</x:f>
      </x:c>
      <x:c r="EU10" t="n">
        <x:f>IF(AND(EU$3&gt;=$B$7,EU$3&lt;EDATE($B$7,MAX(1,'Вводные'!$H$88)),'Вводные'!$B$88="Да"),(1+'Вводные'!$AD$88*'Вводные'!$H$7*MIN(1,(12*(YEAR(EU$3)-YEAR($B$7))+MONTH(EU$3)-MONTH($B$7))/MAX(1,12*(YEAR($B$8)-YEAR($B$7))+MONTH($B$8)-MONTH($B$7))))*(1+IF(MONTH(EU$3)=1,'Вводные'!$B$67,IF(AND(MONTH(EU$3)&gt;=5,MONTH(EU$3)&lt;=8),'Вводные'!$B$70,0))),0)</x:f>
      </x:c>
      <x:c r="EV10" t="n">
        <x:f>IF(AND(EV$3&gt;=$B$7,EV$3&lt;EDATE($B$7,MAX(1,'Вводные'!$H$88)),'Вводные'!$B$88="Да"),(1+'Вводные'!$AD$88*'Вводные'!$H$7*MIN(1,(12*(YEAR(EV$3)-YEAR($B$7))+MONTH(EV$3)-MONTH($B$7))/MAX(1,12*(YEAR($B$8)-YEAR($B$7))+MONTH($B$8)-MONTH($B$7))))*(1+IF(MONTH(EV$3)=1,'Вводные'!$B$67,IF(AND(MONTH(EV$3)&gt;=5,MONTH(EV$3)&lt;=8),'Вводные'!$B$70,0))),0)</x:f>
      </x:c>
      <x:c r="EW10" t="n">
        <x:f>IF(AND(EW$3&gt;=$B$7,EW$3&lt;EDATE($B$7,MAX(1,'Вводные'!$H$88)),'Вводные'!$B$88="Да"),(1+'Вводные'!$AD$88*'Вводные'!$H$7*MIN(1,(12*(YEAR(EW$3)-YEAR($B$7))+MONTH(EW$3)-MONTH($B$7))/MAX(1,12*(YEAR($B$8)-YEAR($B$7))+MONTH($B$8)-MONTH($B$7))))*(1+IF(MONTH(EW$3)=1,'Вводные'!$B$67,IF(AND(MONTH(EW$3)&gt;=5,MONTH(EW$3)&lt;=8),'Вводные'!$B$70,0))),0)</x:f>
      </x:c>
      <x:c r="EX10" t="n">
        <x:f>IF(AND(EX$3&gt;=$B$7,EX$3&lt;EDATE($B$7,MAX(1,'Вводные'!$H$88)),'Вводные'!$B$88="Да"),(1+'Вводные'!$AD$88*'Вводные'!$H$7*MIN(1,(12*(YEAR(EX$3)-YEAR($B$7))+MONTH(EX$3)-MONTH($B$7))/MAX(1,12*(YEAR($B$8)-YEAR($B$7))+MONTH($B$8)-MONTH($B$7))))*(1+IF(MONTH(EX$3)=1,'Вводные'!$B$67,IF(AND(MONTH(EX$3)&gt;=5,MONTH(EX$3)&lt;=8),'Вводные'!$B$70,0))),0)</x:f>
      </x:c>
      <x:c r="EY10" t="n">
        <x:f>IF(AND(EY$3&gt;=$B$7,EY$3&lt;EDATE($B$7,MAX(1,'Вводные'!$H$88)),'Вводные'!$B$88="Да"),(1+'Вводные'!$AD$88*'Вводные'!$H$7*MIN(1,(12*(YEAR(EY$3)-YEAR($B$7))+MONTH(EY$3)-MONTH($B$7))/MAX(1,12*(YEAR($B$8)-YEAR($B$7))+MONTH($B$8)-MONTH($B$7))))*(1+IF(MONTH(EY$3)=1,'Вводные'!$B$67,IF(AND(MONTH(EY$3)&gt;=5,MONTH(EY$3)&lt;=8),'Вводные'!$B$70,0))),0)</x:f>
      </x:c>
      <x:c r="EZ10" t="n">
        <x:f>IF(AND(EZ$3&gt;=$B$7,EZ$3&lt;EDATE($B$7,MAX(1,'Вводные'!$H$88)),'Вводные'!$B$88="Да"),(1+'Вводные'!$AD$88*'Вводные'!$H$7*MIN(1,(12*(YEAR(EZ$3)-YEAR($B$7))+MONTH(EZ$3)-MONTH($B$7))/MAX(1,12*(YEAR($B$8)-YEAR($B$7))+MONTH($B$8)-MONTH($B$7))))*(1+IF(MONTH(EZ$3)=1,'Вводные'!$B$67,IF(AND(MONTH(EZ$3)&gt;=5,MONTH(EZ$3)&lt;=8),'Вводные'!$B$70,0))),0)</x:f>
      </x:c>
      <x:c r="FA10" t="n">
        <x:f>IF(AND(FA$3&gt;=$B$7,FA$3&lt;EDATE($B$7,MAX(1,'Вводные'!$H$88)),'Вводные'!$B$88="Да"),(1+'Вводные'!$AD$88*'Вводные'!$H$7*MIN(1,(12*(YEAR(FA$3)-YEAR($B$7))+MONTH(FA$3)-MONTH($B$7))/MAX(1,12*(YEAR($B$8)-YEAR($B$7))+MONTH($B$8)-MONTH($B$7))))*(1+IF(MONTH(FA$3)=1,'Вводные'!$B$67,IF(AND(MONTH(FA$3)&gt;=5,MONTH(FA$3)&lt;=8),'Вводные'!$B$70,0))),0)</x:f>
      </x:c>
      <x:c r="FB10" t="n">
        <x:f>IF(AND(FB$3&gt;=$B$7,FB$3&lt;EDATE($B$7,MAX(1,'Вводные'!$H$88)),'Вводные'!$B$88="Да"),(1+'Вводные'!$AD$88*'Вводные'!$H$7*MIN(1,(12*(YEAR(FB$3)-YEAR($B$7))+MONTH(FB$3)-MONTH($B$7))/MAX(1,12*(YEAR($B$8)-YEAR($B$7))+MONTH($B$8)-MONTH($B$7))))*(1+IF(MONTH(FB$3)=1,'Вводные'!$B$67,IF(AND(MONTH(FB$3)&gt;=5,MONTH(FB$3)&lt;=8),'Вводные'!$B$70,0))),0)</x:f>
      </x:c>
      <x:c r="FC10" t="n">
        <x:f>IF(AND(FC$3&gt;=$B$7,FC$3&lt;EDATE($B$7,MAX(1,'Вводные'!$H$88)),'Вводные'!$B$88="Да"),(1+'Вводные'!$AD$88*'Вводные'!$H$7*MIN(1,(12*(YEAR(FC$3)-YEAR($B$7))+MONTH(FC$3)-MONTH($B$7))/MAX(1,12*(YEAR($B$8)-YEAR($B$7))+MONTH($B$8)-MONTH($B$7))))*(1+IF(MONTH(FC$3)=1,'Вводные'!$B$67,IF(AND(MONTH(FC$3)&gt;=5,MONTH(FC$3)&lt;=8),'Вводные'!$B$70,0))),0)</x:f>
      </x:c>
      <x:c r="FD10" t="n">
        <x:f>IF(AND(FD$3&gt;=$B$7,FD$3&lt;EDATE($B$7,MAX(1,'Вводные'!$H$88)),'Вводные'!$B$88="Да"),(1+'Вводные'!$AD$88*'Вводные'!$H$7*MIN(1,(12*(YEAR(FD$3)-YEAR($B$7))+MONTH(FD$3)-MONTH($B$7))/MAX(1,12*(YEAR($B$8)-YEAR($B$7))+MONTH($B$8)-MONTH($B$7))))*(1+IF(MONTH(FD$3)=1,'Вводные'!$B$67,IF(AND(MONTH(FD$3)&gt;=5,MONTH(FD$3)&lt;=8),'Вводные'!$B$70,0))),0)</x:f>
      </x:c>
      <x:c r="FE10" t="n">
        <x:f>IF(AND(FE$3&gt;=$B$7,FE$3&lt;EDATE($B$7,MAX(1,'Вводные'!$H$88)),'Вводные'!$B$88="Да"),(1+'Вводные'!$AD$88*'Вводные'!$H$7*MIN(1,(12*(YEAR(FE$3)-YEAR($B$7))+MONTH(FE$3)-MONTH($B$7))/MAX(1,12*(YEAR($B$8)-YEAR($B$7))+MONTH($B$8)-MONTH($B$7))))*(1+IF(MONTH(FE$3)=1,'Вводные'!$B$67,IF(AND(MONTH(FE$3)&gt;=5,MONTH(FE$3)&lt;=8),'Вводные'!$B$70,0))),0)</x:f>
      </x:c>
      <x:c r="FF10" t="n">
        <x:f>IF(AND(FF$3&gt;=$B$7,FF$3&lt;EDATE($B$7,MAX(1,'Вводные'!$H$88)),'Вводные'!$B$88="Да"),(1+'Вводные'!$AD$88*'Вводные'!$H$7*MIN(1,(12*(YEAR(FF$3)-YEAR($B$7))+MONTH(FF$3)-MONTH($B$7))/MAX(1,12*(YEAR($B$8)-YEAR($B$7))+MONTH($B$8)-MONTH($B$7))))*(1+IF(MONTH(FF$3)=1,'Вводные'!$B$67,IF(AND(MONTH(FF$3)&gt;=5,MONTH(FF$3)&lt;=8),'Вводные'!$B$70,0))),0)</x:f>
      </x:c>
      <x:c r="FG10" t="n">
        <x:f>IF(AND(FG$3&gt;=$B$7,FG$3&lt;EDATE($B$7,MAX(1,'Вводные'!$H$88)),'Вводные'!$B$88="Да"),(1+'Вводные'!$AD$88*'Вводные'!$H$7*MIN(1,(12*(YEAR(FG$3)-YEAR($B$7))+MONTH(FG$3)-MONTH($B$7))/MAX(1,12*(YEAR($B$8)-YEAR($B$7))+MONTH($B$8)-MONTH($B$7))))*(1+IF(MONTH(FG$3)=1,'Вводные'!$B$67,IF(AND(MONTH(FG$3)&gt;=5,MONTH(FG$3)&lt;=8),'Вводные'!$B$70,0))),0)</x:f>
      </x:c>
      <x:c r="FH10" t="n">
        <x:f>IF(AND(FH$3&gt;=$B$7,FH$3&lt;EDATE($B$7,MAX(1,'Вводные'!$H$88)),'Вводные'!$B$88="Да"),(1+'Вводные'!$AD$88*'Вводные'!$H$7*MIN(1,(12*(YEAR(FH$3)-YEAR($B$7))+MONTH(FH$3)-MONTH($B$7))/MAX(1,12*(YEAR($B$8)-YEAR($B$7))+MONTH($B$8)-MONTH($B$7))))*(1+IF(MONTH(FH$3)=1,'Вводные'!$B$67,IF(AND(MONTH(FH$3)&gt;=5,MONTH(FH$3)&lt;=8),'Вводные'!$B$70,0))),0)</x:f>
      </x:c>
      <x:c r="FI10" t="n">
        <x:f>IF(AND(FI$3&gt;=$B$7,FI$3&lt;EDATE($B$7,MAX(1,'Вводные'!$H$88)),'Вводные'!$B$88="Да"),(1+'Вводные'!$AD$88*'Вводные'!$H$7*MIN(1,(12*(YEAR(FI$3)-YEAR($B$7))+MONTH(FI$3)-MONTH($B$7))/MAX(1,12*(YEAR($B$8)-YEAR($B$7))+MONTH($B$8)-MONTH($B$7))))*(1+IF(MONTH(FI$3)=1,'Вводные'!$B$67,IF(AND(MONTH(FI$3)&gt;=5,MONTH(FI$3)&lt;=8),'Вводные'!$B$70,0))),0)</x:f>
      </x:c>
      <x:c r="FJ10" t="n">
        <x:f>IF(AND(FJ$3&gt;=$B$7,FJ$3&lt;EDATE($B$7,MAX(1,'Вводные'!$H$88)),'Вводные'!$B$88="Да"),(1+'Вводные'!$AD$88*'Вводные'!$H$7*MIN(1,(12*(YEAR(FJ$3)-YEAR($B$7))+MONTH(FJ$3)-MONTH($B$7))/MAX(1,12*(YEAR($B$8)-YEAR($B$7))+MONTH($B$8)-MONTH($B$7))))*(1+IF(MONTH(FJ$3)=1,'Вводные'!$B$67,IF(AND(MONTH(FJ$3)&gt;=5,MONTH(FJ$3)&lt;=8),'Вводные'!$B$70,0))),0)</x:f>
      </x:c>
      <x:c r="FK10" t="n">
        <x:f>IF(AND(FK$3&gt;=$B$7,FK$3&lt;EDATE($B$7,MAX(1,'Вводные'!$H$88)),'Вводные'!$B$88="Да"),(1+'Вводные'!$AD$88*'Вводные'!$H$7*MIN(1,(12*(YEAR(FK$3)-YEAR($B$7))+MONTH(FK$3)-MONTH($B$7))/MAX(1,12*(YEAR($B$8)-YEAR($B$7))+MONTH($B$8)-MONTH($B$7))))*(1+IF(MONTH(FK$3)=1,'Вводные'!$B$67,IF(AND(MONTH(FK$3)&gt;=5,MONTH(FK$3)&lt;=8),'Вводные'!$B$70,0))),0)</x:f>
      </x:c>
      <x:c r="FL10" t="n">
        <x:f>IF(AND(FL$3&gt;=$B$7,FL$3&lt;EDATE($B$7,MAX(1,'Вводные'!$H$88)),'Вводные'!$B$88="Да"),(1+'Вводные'!$AD$88*'Вводные'!$H$7*MIN(1,(12*(YEAR(FL$3)-YEAR($B$7))+MONTH(FL$3)-MONTH($B$7))/MAX(1,12*(YEAR($B$8)-YEAR($B$7))+MONTH($B$8)-MONTH($B$7))))*(1+IF(MONTH(FL$3)=1,'Вводные'!$B$67,IF(AND(MONTH(FL$3)&gt;=5,MONTH(FL$3)&lt;=8),'Вводные'!$B$70,0))),0)</x:f>
      </x:c>
      <x:c r="FM10" t="n">
        <x:f>IF(AND(FM$3&gt;=$B$7,FM$3&lt;EDATE($B$7,MAX(1,'Вводные'!$H$88)),'Вводные'!$B$88="Да"),(1+'Вводные'!$AD$88*'Вводные'!$H$7*MIN(1,(12*(YEAR(FM$3)-YEAR($B$7))+MONTH(FM$3)-MONTH($B$7))/MAX(1,12*(YEAR($B$8)-YEAR($B$7))+MONTH($B$8)-MONTH($B$7))))*(1+IF(MONTH(FM$3)=1,'Вводные'!$B$67,IF(AND(MONTH(FM$3)&gt;=5,MONTH(FM$3)&lt;=8),'Вводные'!$B$70,0))),0)</x:f>
      </x:c>
      <x:c r="FN10" t="n">
        <x:f>IF(AND(FN$3&gt;=$B$7,FN$3&lt;EDATE($B$7,MAX(1,'Вводные'!$H$88)),'Вводные'!$B$88="Да"),(1+'Вводные'!$AD$88*'Вводные'!$H$7*MIN(1,(12*(YEAR(FN$3)-YEAR($B$7))+MONTH(FN$3)-MONTH($B$7))/MAX(1,12*(YEAR($B$8)-YEAR($B$7))+MONTH($B$8)-MONTH($B$7))))*(1+IF(MONTH(FN$3)=1,'Вводные'!$B$67,IF(AND(MONTH(FN$3)&gt;=5,MONTH(FN$3)&lt;=8),'Вводные'!$B$70,0))),0)</x:f>
      </x:c>
      <x:c r="FO10" t="n">
        <x:f>IF(AND(FO$3&gt;=$B$7,FO$3&lt;EDATE($B$7,MAX(1,'Вводные'!$H$88)),'Вводные'!$B$88="Да"),(1+'Вводные'!$AD$88*'Вводные'!$H$7*MIN(1,(12*(YEAR(FO$3)-YEAR($B$7))+MONTH(FO$3)-MONTH($B$7))/MAX(1,12*(YEAR($B$8)-YEAR($B$7))+MONTH($B$8)-MONTH($B$7))))*(1+IF(MONTH(FO$3)=1,'Вводные'!$B$67,IF(AND(MONTH(FO$3)&gt;=5,MONTH(FO$3)&lt;=8),'Вводные'!$B$70,0))),0)</x:f>
      </x:c>
      <x:c r="FP10" t="n">
        <x:f>IF(AND(FP$3&gt;=$B$7,FP$3&lt;EDATE($B$7,MAX(1,'Вводные'!$H$88)),'Вводные'!$B$88="Да"),(1+'Вводные'!$AD$88*'Вводные'!$H$7*MIN(1,(12*(YEAR(FP$3)-YEAR($B$7))+MONTH(FP$3)-MONTH($B$7))/MAX(1,12*(YEAR($B$8)-YEAR($B$7))+MONTH($B$8)-MONTH($B$7))))*(1+IF(MONTH(FP$3)=1,'Вводные'!$B$67,IF(AND(MONTH(FP$3)&gt;=5,MONTH(FP$3)&lt;=8),'Вводные'!$B$70,0))),0)</x:f>
      </x:c>
      <x:c r="FQ10" t="n">
        <x:f>IF(AND(FQ$3&gt;=$B$7,FQ$3&lt;EDATE($B$7,MAX(1,'Вводные'!$H$88)),'Вводные'!$B$88="Да"),(1+'Вводные'!$AD$88*'Вводные'!$H$7*MIN(1,(12*(YEAR(FQ$3)-YEAR($B$7))+MONTH(FQ$3)-MONTH($B$7))/MAX(1,12*(YEAR($B$8)-YEAR($B$7))+MONTH($B$8)-MONTH($B$7))))*(1+IF(MONTH(FQ$3)=1,'Вводные'!$B$67,IF(AND(MONTH(FQ$3)&gt;=5,MONTH(FQ$3)&lt;=8),'Вводные'!$B$70,0))),0)</x:f>
      </x:c>
      <x:c r="FR10" t="n">
        <x:f>IF(AND(FR$3&gt;=$B$7,FR$3&lt;EDATE($B$7,MAX(1,'Вводные'!$H$88)),'Вводные'!$B$88="Да"),(1+'Вводные'!$AD$88*'Вводные'!$H$7*MIN(1,(12*(YEAR(FR$3)-YEAR($B$7))+MONTH(FR$3)-MONTH($B$7))/MAX(1,12*(YEAR($B$8)-YEAR($B$7))+MONTH($B$8)-MONTH($B$7))))*(1+IF(MONTH(FR$3)=1,'Вводные'!$B$67,IF(AND(MONTH(FR$3)&gt;=5,MONTH(FR$3)&lt;=8),'Вводные'!$B$70,0))),0)</x:f>
      </x:c>
      <x:c r="FS10" t="n">
        <x:f>IF(AND(FS$3&gt;=$B$7,FS$3&lt;EDATE($B$7,MAX(1,'Вводные'!$H$88)),'Вводные'!$B$88="Да"),(1+'Вводные'!$AD$88*'Вводные'!$H$7*MIN(1,(12*(YEAR(FS$3)-YEAR($B$7))+MONTH(FS$3)-MONTH($B$7))/MAX(1,12*(YEAR($B$8)-YEAR($B$7))+MONTH($B$8)-MONTH($B$7))))*(1+IF(MONTH(FS$3)=1,'Вводные'!$B$67,IF(AND(MONTH(FS$3)&gt;=5,MONTH(FS$3)&lt;=8),'Вводные'!$B$70,0))),0)</x:f>
      </x:c>
      <x:c r="FT10" t="n">
        <x:f>IF(AND(FT$3&gt;=$B$7,FT$3&lt;EDATE($B$7,MAX(1,'Вводные'!$H$88)),'Вводные'!$B$88="Да"),(1+'Вводные'!$AD$88*'Вводные'!$H$7*MIN(1,(12*(YEAR(FT$3)-YEAR($B$7))+MONTH(FT$3)-MONTH($B$7))/MAX(1,12*(YEAR($B$8)-YEAR($B$7))+MONTH($B$8)-MONTH($B$7))))*(1+IF(MONTH(FT$3)=1,'Вводные'!$B$67,IF(AND(MONTH(FT$3)&gt;=5,MONTH(FT$3)&lt;=8),'Вводные'!$B$70,0))),0)</x:f>
      </x:c>
      <x:c r="FU10" t="n">
        <x:f>IF(AND(FU$3&gt;=$B$7,FU$3&lt;EDATE($B$7,MAX(1,'Вводные'!$H$88)),'Вводные'!$B$88="Да"),(1+'Вводные'!$AD$88*'Вводные'!$H$7*MIN(1,(12*(YEAR(FU$3)-YEAR($B$7))+MONTH(FU$3)-MONTH($B$7))/MAX(1,12*(YEAR($B$8)-YEAR($B$7))+MONTH($B$8)-MONTH($B$7))))*(1+IF(MONTH(FU$3)=1,'Вводные'!$B$67,IF(AND(MONTH(FU$3)&gt;=5,MONTH(FU$3)&lt;=8),'Вводные'!$B$70,0))),0)</x:f>
      </x:c>
      <x:c r="FV10" t="n">
        <x:f>IF(AND(FV$3&gt;=$B$7,FV$3&lt;EDATE($B$7,MAX(1,'Вводные'!$H$88)),'Вводные'!$B$88="Да"),(1+'Вводные'!$AD$88*'Вводные'!$H$7*MIN(1,(12*(YEAR(FV$3)-YEAR($B$7))+MONTH(FV$3)-MONTH($B$7))/MAX(1,12*(YEAR($B$8)-YEAR($B$7))+MONTH($B$8)-MONTH($B$7))))*(1+IF(MONTH(FV$3)=1,'Вводные'!$B$67,IF(AND(MONTH(FV$3)&gt;=5,MONTH(FV$3)&lt;=8),'Вводные'!$B$70,0))),0)</x:f>
      </x:c>
      <x:c r="FW10" t="n">
        <x:f>IF(AND(FW$3&gt;=$B$7,FW$3&lt;EDATE($B$7,MAX(1,'Вводные'!$H$88)),'Вводные'!$B$88="Да"),(1+'Вводные'!$AD$88*'Вводные'!$H$7*MIN(1,(12*(YEAR(FW$3)-YEAR($B$7))+MONTH(FW$3)-MONTH($B$7))/MAX(1,12*(YEAR($B$8)-YEAR($B$7))+MONTH($B$8)-MONTH($B$7))))*(1+IF(MONTH(FW$3)=1,'Вводные'!$B$67,IF(AND(MONTH(FW$3)&gt;=5,MONTH(FW$3)&lt;=8),'Вводные'!$B$70,0))),0)</x:f>
      </x:c>
      <x:c r="FX10" t="n">
        <x:f>IF(AND(FX$3&gt;=$B$7,FX$3&lt;EDATE($B$7,MAX(1,'Вводные'!$H$88)),'Вводные'!$B$88="Да"),(1+'Вводные'!$AD$88*'Вводные'!$H$7*MIN(1,(12*(YEAR(FX$3)-YEAR($B$7))+MONTH(FX$3)-MONTH($B$7))/MAX(1,12*(YEAR($B$8)-YEAR($B$7))+MONTH($B$8)-MONTH($B$7))))*(1+IF(MONTH(FX$3)=1,'Вводные'!$B$67,IF(AND(MONTH(FX$3)&gt;=5,MONTH(FX$3)&lt;=8),'Вводные'!$B$70,0))),0)</x:f>
      </x:c>
      <x:c r="FY10" t="n">
        <x:f>IF(AND(FY$3&gt;=$B$7,FY$3&lt;EDATE($B$7,MAX(1,'Вводные'!$H$88)),'Вводные'!$B$88="Да"),(1+'Вводные'!$AD$88*'Вводные'!$H$7*MIN(1,(12*(YEAR(FY$3)-YEAR($B$7))+MONTH(FY$3)-MONTH($B$7))/MAX(1,12*(YEAR($B$8)-YEAR($B$7))+MONTH($B$8)-MONTH($B$7))))*(1+IF(MONTH(FY$3)=1,'Вводные'!$B$67,IF(AND(MONTH(FY$3)&gt;=5,MONTH(FY$3)&lt;=8),'Вводные'!$B$70,0))),0)</x:f>
      </x:c>
      <x:c r="FZ10" t="n">
        <x:f>IF(AND(FZ$3&gt;=$B$7,FZ$3&lt;EDATE($B$7,MAX(1,'Вводные'!$H$88)),'Вводные'!$B$88="Да"),(1+'Вводные'!$AD$88*'Вводные'!$H$7*MIN(1,(12*(YEAR(FZ$3)-YEAR($B$7))+MONTH(FZ$3)-MONTH($B$7))/MAX(1,12*(YEAR($B$8)-YEAR($B$7))+MONTH($B$8)-MONTH($B$7))))*(1+IF(MONTH(FZ$3)=1,'Вводные'!$B$67,IF(AND(MONTH(FZ$3)&gt;=5,MONTH(FZ$3)&lt;=8),'Вводные'!$B$70,0))),0)</x:f>
      </x:c>
      <x:c r="GA10" t="n">
        <x:f>IF(AND(GA$3&gt;=$B$7,GA$3&lt;EDATE($B$7,MAX(1,'Вводные'!$H$88)),'Вводные'!$B$88="Да"),(1+'Вводные'!$AD$88*'Вводные'!$H$7*MIN(1,(12*(YEAR(GA$3)-YEAR($B$7))+MONTH(GA$3)-MONTH($B$7))/MAX(1,12*(YEAR($B$8)-YEAR($B$7))+MONTH($B$8)-MONTH($B$7))))*(1+IF(MONTH(GA$3)=1,'Вводные'!$B$67,IF(AND(MONTH(GA$3)&gt;=5,MONTH(GA$3)&lt;=8),'Вводные'!$B$70,0))),0)</x:f>
      </x:c>
    </x:row>
    <x:row r="11">
      <x:c r="A11" t="str">
        <x:v>Нормированный вес до РВЭ</x:v>
      </x:c>
      <x:c r="B11" t="n">
        <x:f>SUM(D11:GA11)</x:f>
      </x:c>
      <x:c r="C11" t="str">
        <x:v>%</x:v>
      </x:c>
      <x:c r="D11" s="35" t="n">
        <x:f>IFERROR(D10*D9/SUMPRODUCT($D10:$GA10,$D9:$GA9),0)</x:f>
      </x:c>
      <x:c r="E11" s="35" t="n">
        <x:f>IFERROR(E10*E9/SUMPRODUCT($D10:$GA10,$D9:$GA9),0)</x:f>
      </x:c>
      <x:c r="F11" s="35" t="n">
        <x:f>IFERROR(F10*F9/SUMPRODUCT($D10:$GA10,$D9:$GA9),0)</x:f>
      </x:c>
      <x:c r="G11" s="35" t="n">
        <x:f>IFERROR(G10*G9/SUMPRODUCT($D10:$GA10,$D9:$GA9),0)</x:f>
      </x:c>
      <x:c r="H11" s="35" t="n">
        <x:f>IFERROR(H10*H9/SUMPRODUCT($D10:$GA10,$D9:$GA9),0)</x:f>
      </x:c>
      <x:c r="I11" s="35" t="n">
        <x:f>IFERROR(I10*I9/SUMPRODUCT($D10:$GA10,$D9:$GA9),0)</x:f>
      </x:c>
      <x:c r="J11" s="35" t="n">
        <x:f>IFERROR(J10*J9/SUMPRODUCT($D10:$GA10,$D9:$GA9),0)</x:f>
      </x:c>
      <x:c r="K11" s="35" t="n">
        <x:f>IFERROR(K10*K9/SUMPRODUCT($D10:$GA10,$D9:$GA9),0)</x:f>
      </x:c>
      <x:c r="L11" s="35" t="n">
        <x:f>IFERROR(L10*L9/SUMPRODUCT($D10:$GA10,$D9:$GA9),0)</x:f>
      </x:c>
      <x:c r="M11" s="35" t="n">
        <x:f>IFERROR(M10*M9/SUMPRODUCT($D10:$GA10,$D9:$GA9),0)</x:f>
      </x:c>
      <x:c r="N11" s="35" t="n">
        <x:f>IFERROR(N10*N9/SUMPRODUCT($D10:$GA10,$D9:$GA9),0)</x:f>
      </x:c>
      <x:c r="O11" s="35" t="n">
        <x:f>IFERROR(O10*O9/SUMPRODUCT($D10:$GA10,$D9:$GA9),0)</x:f>
      </x:c>
      <x:c r="P11" s="35" t="n">
        <x:f>IFERROR(P10*P9/SUMPRODUCT($D10:$GA10,$D9:$GA9),0)</x:f>
      </x:c>
      <x:c r="Q11" s="35" t="n">
        <x:f>IFERROR(Q10*Q9/SUMPRODUCT($D10:$GA10,$D9:$GA9),0)</x:f>
      </x:c>
      <x:c r="R11" s="35" t="n">
        <x:f>IFERROR(R10*R9/SUMPRODUCT($D10:$GA10,$D9:$GA9),0)</x:f>
      </x:c>
      <x:c r="S11" s="35" t="n">
        <x:f>IFERROR(S10*S9/SUMPRODUCT($D10:$GA10,$D9:$GA9),0)</x:f>
      </x:c>
      <x:c r="T11" s="35" t="n">
        <x:f>IFERROR(T10*T9/SUMPRODUCT($D10:$GA10,$D9:$GA9),0)</x:f>
      </x:c>
      <x:c r="U11" s="35" t="n">
        <x:f>IFERROR(U10*U9/SUMPRODUCT($D10:$GA10,$D9:$GA9),0)</x:f>
      </x:c>
      <x:c r="V11" s="35" t="n">
        <x:f>IFERROR(V10*V9/SUMPRODUCT($D10:$GA10,$D9:$GA9),0)</x:f>
      </x:c>
      <x:c r="W11" s="35" t="n">
        <x:f>IFERROR(W10*W9/SUMPRODUCT($D10:$GA10,$D9:$GA9),0)</x:f>
      </x:c>
      <x:c r="X11" s="35" t="n">
        <x:f>IFERROR(X10*X9/SUMPRODUCT($D10:$GA10,$D9:$GA9),0)</x:f>
      </x:c>
      <x:c r="Y11" s="35" t="n">
        <x:f>IFERROR(Y10*Y9/SUMPRODUCT($D10:$GA10,$D9:$GA9),0)</x:f>
      </x:c>
      <x:c r="Z11" s="35" t="n">
        <x:f>IFERROR(Z10*Z9/SUMPRODUCT($D10:$GA10,$D9:$GA9),0)</x:f>
      </x:c>
      <x:c r="AA11" s="35" t="n">
        <x:f>IFERROR(AA10*AA9/SUMPRODUCT($D10:$GA10,$D9:$GA9),0)</x:f>
      </x:c>
      <x:c r="AB11" s="35" t="n">
        <x:f>IFERROR(AB10*AB9/SUMPRODUCT($D10:$GA10,$D9:$GA9),0)</x:f>
      </x:c>
      <x:c r="AC11" s="35" t="n">
        <x:f>IFERROR(AC10*AC9/SUMPRODUCT($D10:$GA10,$D9:$GA9),0)</x:f>
      </x:c>
      <x:c r="AD11" s="35" t="n">
        <x:f>IFERROR(AD10*AD9/SUMPRODUCT($D10:$GA10,$D9:$GA9),0)</x:f>
      </x:c>
      <x:c r="AE11" s="35" t="n">
        <x:f>IFERROR(AE10*AE9/SUMPRODUCT($D10:$GA10,$D9:$GA9),0)</x:f>
      </x:c>
      <x:c r="AF11" s="35" t="n">
        <x:f>IFERROR(AF10*AF9/SUMPRODUCT($D10:$GA10,$D9:$GA9),0)</x:f>
      </x:c>
      <x:c r="AG11" s="35" t="n">
        <x:f>IFERROR(AG10*AG9/SUMPRODUCT($D10:$GA10,$D9:$GA9),0)</x:f>
      </x:c>
      <x:c r="AH11" s="35" t="n">
        <x:f>IFERROR(AH10*AH9/SUMPRODUCT($D10:$GA10,$D9:$GA9),0)</x:f>
      </x:c>
      <x:c r="AI11" s="35" t="n">
        <x:f>IFERROR(AI10*AI9/SUMPRODUCT($D10:$GA10,$D9:$GA9),0)</x:f>
      </x:c>
      <x:c r="AJ11" s="35" t="n">
        <x:f>IFERROR(AJ10*AJ9/SUMPRODUCT($D10:$GA10,$D9:$GA9),0)</x:f>
      </x:c>
      <x:c r="AK11" s="35" t="n">
        <x:f>IFERROR(AK10*AK9/SUMPRODUCT($D10:$GA10,$D9:$GA9),0)</x:f>
      </x:c>
      <x:c r="AL11" s="35" t="n">
        <x:f>IFERROR(AL10*AL9/SUMPRODUCT($D10:$GA10,$D9:$GA9),0)</x:f>
      </x:c>
      <x:c r="AM11" s="35" t="n">
        <x:f>IFERROR(AM10*AM9/SUMPRODUCT($D10:$GA10,$D9:$GA9),0)</x:f>
      </x:c>
      <x:c r="AN11" s="35" t="n">
        <x:f>IFERROR(AN10*AN9/SUMPRODUCT($D10:$GA10,$D9:$GA9),0)</x:f>
      </x:c>
      <x:c r="AO11" s="35" t="n">
        <x:f>IFERROR(AO10*AO9/SUMPRODUCT($D10:$GA10,$D9:$GA9),0)</x:f>
      </x:c>
      <x:c r="AP11" s="35" t="n">
        <x:f>IFERROR(AP10*AP9/SUMPRODUCT($D10:$GA10,$D9:$GA9),0)</x:f>
      </x:c>
      <x:c r="AQ11" s="35" t="n">
        <x:f>IFERROR(AQ10*AQ9/SUMPRODUCT($D10:$GA10,$D9:$GA9),0)</x:f>
      </x:c>
      <x:c r="AR11" s="35" t="n">
        <x:f>IFERROR(AR10*AR9/SUMPRODUCT($D10:$GA10,$D9:$GA9),0)</x:f>
      </x:c>
      <x:c r="AS11" s="35" t="n">
        <x:f>IFERROR(AS10*AS9/SUMPRODUCT($D10:$GA10,$D9:$GA9),0)</x:f>
      </x:c>
      <x:c r="AT11" s="35" t="n">
        <x:f>IFERROR(AT10*AT9/SUMPRODUCT($D10:$GA10,$D9:$GA9),0)</x:f>
      </x:c>
      <x:c r="AU11" s="35" t="n">
        <x:f>IFERROR(AU10*AU9/SUMPRODUCT($D10:$GA10,$D9:$GA9),0)</x:f>
      </x:c>
      <x:c r="AV11" s="35" t="n">
        <x:f>IFERROR(AV10*AV9/SUMPRODUCT($D10:$GA10,$D9:$GA9),0)</x:f>
      </x:c>
      <x:c r="AW11" s="35" t="n">
        <x:f>IFERROR(AW10*AW9/SUMPRODUCT($D10:$GA10,$D9:$GA9),0)</x:f>
      </x:c>
      <x:c r="AX11" s="35" t="n">
        <x:f>IFERROR(AX10*AX9/SUMPRODUCT($D10:$GA10,$D9:$GA9),0)</x:f>
      </x:c>
      <x:c r="AY11" s="35" t="n">
        <x:f>IFERROR(AY10*AY9/SUMPRODUCT($D10:$GA10,$D9:$GA9),0)</x:f>
      </x:c>
      <x:c r="AZ11" s="35" t="n">
        <x:f>IFERROR(AZ10*AZ9/SUMPRODUCT($D10:$GA10,$D9:$GA9),0)</x:f>
      </x:c>
      <x:c r="BA11" s="35" t="n">
        <x:f>IFERROR(BA10*BA9/SUMPRODUCT($D10:$GA10,$D9:$GA9),0)</x:f>
      </x:c>
      <x:c r="BB11" s="35" t="n">
        <x:f>IFERROR(BB10*BB9/SUMPRODUCT($D10:$GA10,$D9:$GA9),0)</x:f>
      </x:c>
      <x:c r="BC11" s="35" t="n">
        <x:f>IFERROR(BC10*BC9/SUMPRODUCT($D10:$GA10,$D9:$GA9),0)</x:f>
      </x:c>
      <x:c r="BD11" s="35" t="n">
        <x:f>IFERROR(BD10*BD9/SUMPRODUCT($D10:$GA10,$D9:$GA9),0)</x:f>
      </x:c>
      <x:c r="BE11" s="35" t="n">
        <x:f>IFERROR(BE10*BE9/SUMPRODUCT($D10:$GA10,$D9:$GA9),0)</x:f>
      </x:c>
      <x:c r="BF11" s="35" t="n">
        <x:f>IFERROR(BF10*BF9/SUMPRODUCT($D10:$GA10,$D9:$GA9),0)</x:f>
      </x:c>
      <x:c r="BG11" s="35" t="n">
        <x:f>IFERROR(BG10*BG9/SUMPRODUCT($D10:$GA10,$D9:$GA9),0)</x:f>
      </x:c>
      <x:c r="BH11" s="35" t="n">
        <x:f>IFERROR(BH10*BH9/SUMPRODUCT($D10:$GA10,$D9:$GA9),0)</x:f>
      </x:c>
      <x:c r="BI11" s="35" t="n">
        <x:f>IFERROR(BI10*BI9/SUMPRODUCT($D10:$GA10,$D9:$GA9),0)</x:f>
      </x:c>
      <x:c r="BJ11" s="35" t="n">
        <x:f>IFERROR(BJ10*BJ9/SUMPRODUCT($D10:$GA10,$D9:$GA9),0)</x:f>
      </x:c>
      <x:c r="BK11" s="35" t="n">
        <x:f>IFERROR(BK10*BK9/SUMPRODUCT($D10:$GA10,$D9:$GA9),0)</x:f>
      </x:c>
      <x:c r="BL11" s="35" t="n">
        <x:f>IFERROR(BL10*BL9/SUMPRODUCT($D10:$GA10,$D9:$GA9),0)</x:f>
      </x:c>
      <x:c r="BM11" s="35" t="n">
        <x:f>IFERROR(BM10*BM9/SUMPRODUCT($D10:$GA10,$D9:$GA9),0)</x:f>
      </x:c>
      <x:c r="BN11" s="35" t="n">
        <x:f>IFERROR(BN10*BN9/SUMPRODUCT($D10:$GA10,$D9:$GA9),0)</x:f>
      </x:c>
      <x:c r="BO11" s="35" t="n">
        <x:f>IFERROR(BO10*BO9/SUMPRODUCT($D10:$GA10,$D9:$GA9),0)</x:f>
      </x:c>
      <x:c r="BP11" s="35" t="n">
        <x:f>IFERROR(BP10*BP9/SUMPRODUCT($D10:$GA10,$D9:$GA9),0)</x:f>
      </x:c>
      <x:c r="BQ11" s="35" t="n">
        <x:f>IFERROR(BQ10*BQ9/SUMPRODUCT($D10:$GA10,$D9:$GA9),0)</x:f>
      </x:c>
      <x:c r="BR11" s="35" t="n">
        <x:f>IFERROR(BR10*BR9/SUMPRODUCT($D10:$GA10,$D9:$GA9),0)</x:f>
      </x:c>
      <x:c r="BS11" s="35" t="n">
        <x:f>IFERROR(BS10*BS9/SUMPRODUCT($D10:$GA10,$D9:$GA9),0)</x:f>
      </x:c>
      <x:c r="BT11" s="35" t="n">
        <x:f>IFERROR(BT10*BT9/SUMPRODUCT($D10:$GA10,$D9:$GA9),0)</x:f>
      </x:c>
      <x:c r="BU11" s="35" t="n">
        <x:f>IFERROR(BU10*BU9/SUMPRODUCT($D10:$GA10,$D9:$GA9),0)</x:f>
      </x:c>
      <x:c r="BV11" s="35" t="n">
        <x:f>IFERROR(BV10*BV9/SUMPRODUCT($D10:$GA10,$D9:$GA9),0)</x:f>
      </x:c>
      <x:c r="BW11" s="35" t="n">
        <x:f>IFERROR(BW10*BW9/SUMPRODUCT($D10:$GA10,$D9:$GA9),0)</x:f>
      </x:c>
      <x:c r="BX11" s="35" t="n">
        <x:f>IFERROR(BX10*BX9/SUMPRODUCT($D10:$GA10,$D9:$GA9),0)</x:f>
      </x:c>
      <x:c r="BY11" s="35" t="n">
        <x:f>IFERROR(BY10*BY9/SUMPRODUCT($D10:$GA10,$D9:$GA9),0)</x:f>
      </x:c>
      <x:c r="BZ11" s="35" t="n">
        <x:f>IFERROR(BZ10*BZ9/SUMPRODUCT($D10:$GA10,$D9:$GA9),0)</x:f>
      </x:c>
      <x:c r="CA11" s="35" t="n">
        <x:f>IFERROR(CA10*CA9/SUMPRODUCT($D10:$GA10,$D9:$GA9),0)</x:f>
      </x:c>
      <x:c r="CB11" s="35" t="n">
        <x:f>IFERROR(CB10*CB9/SUMPRODUCT($D10:$GA10,$D9:$GA9),0)</x:f>
      </x:c>
      <x:c r="CC11" s="35" t="n">
        <x:f>IFERROR(CC10*CC9/SUMPRODUCT($D10:$GA10,$D9:$GA9),0)</x:f>
      </x:c>
      <x:c r="CD11" s="35" t="n">
        <x:f>IFERROR(CD10*CD9/SUMPRODUCT($D10:$GA10,$D9:$GA9),0)</x:f>
      </x:c>
      <x:c r="CE11" s="35" t="n">
        <x:f>IFERROR(CE10*CE9/SUMPRODUCT($D10:$GA10,$D9:$GA9),0)</x:f>
      </x:c>
      <x:c r="CF11" s="35" t="n">
        <x:f>IFERROR(CF10*CF9/SUMPRODUCT($D10:$GA10,$D9:$GA9),0)</x:f>
      </x:c>
      <x:c r="CG11" s="35" t="n">
        <x:f>IFERROR(CG10*CG9/SUMPRODUCT($D10:$GA10,$D9:$GA9),0)</x:f>
      </x:c>
      <x:c r="CH11" s="35" t="n">
        <x:f>IFERROR(CH10*CH9/SUMPRODUCT($D10:$GA10,$D9:$GA9),0)</x:f>
      </x:c>
      <x:c r="CI11" s="35" t="n">
        <x:f>IFERROR(CI10*CI9/SUMPRODUCT($D10:$GA10,$D9:$GA9),0)</x:f>
      </x:c>
      <x:c r="CJ11" s="35" t="n">
        <x:f>IFERROR(CJ10*CJ9/SUMPRODUCT($D10:$GA10,$D9:$GA9),0)</x:f>
      </x:c>
      <x:c r="CK11" s="35" t="n">
        <x:f>IFERROR(CK10*CK9/SUMPRODUCT($D10:$GA10,$D9:$GA9),0)</x:f>
      </x:c>
      <x:c r="CL11" s="35" t="n">
        <x:f>IFERROR(CL10*CL9/SUMPRODUCT($D10:$GA10,$D9:$GA9),0)</x:f>
      </x:c>
      <x:c r="CM11" s="35" t="n">
        <x:f>IFERROR(CM10*CM9/SUMPRODUCT($D10:$GA10,$D9:$GA9),0)</x:f>
      </x:c>
      <x:c r="CN11" s="35" t="n">
        <x:f>IFERROR(CN10*CN9/SUMPRODUCT($D10:$GA10,$D9:$GA9),0)</x:f>
      </x:c>
      <x:c r="CO11" s="35" t="n">
        <x:f>IFERROR(CO10*CO9/SUMPRODUCT($D10:$GA10,$D9:$GA9),0)</x:f>
      </x:c>
      <x:c r="CP11" s="35" t="n">
        <x:f>IFERROR(CP10*CP9/SUMPRODUCT($D10:$GA10,$D9:$GA9),0)</x:f>
      </x:c>
      <x:c r="CQ11" s="35" t="n">
        <x:f>IFERROR(CQ10*CQ9/SUMPRODUCT($D10:$GA10,$D9:$GA9),0)</x:f>
      </x:c>
      <x:c r="CR11" s="35" t="n">
        <x:f>IFERROR(CR10*CR9/SUMPRODUCT($D10:$GA10,$D9:$GA9),0)</x:f>
      </x:c>
      <x:c r="CS11" s="35" t="n">
        <x:f>IFERROR(CS10*CS9/SUMPRODUCT($D10:$GA10,$D9:$GA9),0)</x:f>
      </x:c>
      <x:c r="CT11" s="35" t="n">
        <x:f>IFERROR(CT10*CT9/SUMPRODUCT($D10:$GA10,$D9:$GA9),0)</x:f>
      </x:c>
      <x:c r="CU11" s="35" t="n">
        <x:f>IFERROR(CU10*CU9/SUMPRODUCT($D10:$GA10,$D9:$GA9),0)</x:f>
      </x:c>
      <x:c r="CV11" s="35" t="n">
        <x:f>IFERROR(CV10*CV9/SUMPRODUCT($D10:$GA10,$D9:$GA9),0)</x:f>
      </x:c>
      <x:c r="CW11" s="35" t="n">
        <x:f>IFERROR(CW10*CW9/SUMPRODUCT($D10:$GA10,$D9:$GA9),0)</x:f>
      </x:c>
      <x:c r="CX11" s="35" t="n">
        <x:f>IFERROR(CX10*CX9/SUMPRODUCT($D10:$GA10,$D9:$GA9),0)</x:f>
      </x:c>
      <x:c r="CY11" s="35" t="n">
        <x:f>IFERROR(CY10*CY9/SUMPRODUCT($D10:$GA10,$D9:$GA9),0)</x:f>
      </x:c>
      <x:c r="CZ11" s="35" t="n">
        <x:f>IFERROR(CZ10*CZ9/SUMPRODUCT($D10:$GA10,$D9:$GA9),0)</x:f>
      </x:c>
      <x:c r="DA11" s="35" t="n">
        <x:f>IFERROR(DA10*DA9/SUMPRODUCT($D10:$GA10,$D9:$GA9),0)</x:f>
      </x:c>
      <x:c r="DB11" s="35" t="n">
        <x:f>IFERROR(DB10*DB9/SUMPRODUCT($D10:$GA10,$D9:$GA9),0)</x:f>
      </x:c>
      <x:c r="DC11" s="35" t="n">
        <x:f>IFERROR(DC10*DC9/SUMPRODUCT($D10:$GA10,$D9:$GA9),0)</x:f>
      </x:c>
      <x:c r="DD11" s="35" t="n">
        <x:f>IFERROR(DD10*DD9/SUMPRODUCT($D10:$GA10,$D9:$GA9),0)</x:f>
      </x:c>
      <x:c r="DE11" s="35" t="n">
        <x:f>IFERROR(DE10*DE9/SUMPRODUCT($D10:$GA10,$D9:$GA9),0)</x:f>
      </x:c>
      <x:c r="DF11" s="35" t="n">
        <x:f>IFERROR(DF10*DF9/SUMPRODUCT($D10:$GA10,$D9:$GA9),0)</x:f>
      </x:c>
      <x:c r="DG11" s="35" t="n">
        <x:f>IFERROR(DG10*DG9/SUMPRODUCT($D10:$GA10,$D9:$GA9),0)</x:f>
      </x:c>
      <x:c r="DH11" s="35" t="n">
        <x:f>IFERROR(DH10*DH9/SUMPRODUCT($D10:$GA10,$D9:$GA9),0)</x:f>
      </x:c>
      <x:c r="DI11" s="35" t="n">
        <x:f>IFERROR(DI10*DI9/SUMPRODUCT($D10:$GA10,$D9:$GA9),0)</x:f>
      </x:c>
      <x:c r="DJ11" s="35" t="n">
        <x:f>IFERROR(DJ10*DJ9/SUMPRODUCT($D10:$GA10,$D9:$GA9),0)</x:f>
      </x:c>
      <x:c r="DK11" s="35" t="n">
        <x:f>IFERROR(DK10*DK9/SUMPRODUCT($D10:$GA10,$D9:$GA9),0)</x:f>
      </x:c>
      <x:c r="DL11" s="35" t="n">
        <x:f>IFERROR(DL10*DL9/SUMPRODUCT($D10:$GA10,$D9:$GA9),0)</x:f>
      </x:c>
      <x:c r="DM11" s="35" t="n">
        <x:f>IFERROR(DM10*DM9/SUMPRODUCT($D10:$GA10,$D9:$GA9),0)</x:f>
      </x:c>
      <x:c r="DN11" s="35" t="n">
        <x:f>IFERROR(DN10*DN9/SUMPRODUCT($D10:$GA10,$D9:$GA9),0)</x:f>
      </x:c>
      <x:c r="DO11" s="35" t="n">
        <x:f>IFERROR(DO10*DO9/SUMPRODUCT($D10:$GA10,$D9:$GA9),0)</x:f>
      </x:c>
      <x:c r="DP11" s="35" t="n">
        <x:f>IFERROR(DP10*DP9/SUMPRODUCT($D10:$GA10,$D9:$GA9),0)</x:f>
      </x:c>
      <x:c r="DQ11" s="35" t="n">
        <x:f>IFERROR(DQ10*DQ9/SUMPRODUCT($D10:$GA10,$D9:$GA9),0)</x:f>
      </x:c>
      <x:c r="DR11" s="35" t="n">
        <x:f>IFERROR(DR10*DR9/SUMPRODUCT($D10:$GA10,$D9:$GA9),0)</x:f>
      </x:c>
      <x:c r="DS11" s="35" t="n">
        <x:f>IFERROR(DS10*DS9/SUMPRODUCT($D10:$GA10,$D9:$GA9),0)</x:f>
      </x:c>
      <x:c r="DT11" s="35" t="n">
        <x:f>IFERROR(DT10*DT9/SUMPRODUCT($D10:$GA10,$D9:$GA9),0)</x:f>
      </x:c>
      <x:c r="DU11" s="35" t="n">
        <x:f>IFERROR(DU10*DU9/SUMPRODUCT($D10:$GA10,$D9:$GA9),0)</x:f>
      </x:c>
      <x:c r="DV11" s="35" t="n">
        <x:f>IFERROR(DV10*DV9/SUMPRODUCT($D10:$GA10,$D9:$GA9),0)</x:f>
      </x:c>
      <x:c r="DW11" s="35" t="n">
        <x:f>IFERROR(DW10*DW9/SUMPRODUCT($D10:$GA10,$D9:$GA9),0)</x:f>
      </x:c>
      <x:c r="DX11" s="35" t="n">
        <x:f>IFERROR(DX10*DX9/SUMPRODUCT($D10:$GA10,$D9:$GA9),0)</x:f>
      </x:c>
      <x:c r="DY11" s="35" t="n">
        <x:f>IFERROR(DY10*DY9/SUMPRODUCT($D10:$GA10,$D9:$GA9),0)</x:f>
      </x:c>
      <x:c r="DZ11" s="35" t="n">
        <x:f>IFERROR(DZ10*DZ9/SUMPRODUCT($D10:$GA10,$D9:$GA9),0)</x:f>
      </x:c>
      <x:c r="EA11" s="35" t="n">
        <x:f>IFERROR(EA10*EA9/SUMPRODUCT($D10:$GA10,$D9:$GA9),0)</x:f>
      </x:c>
      <x:c r="EB11" s="35" t="n">
        <x:f>IFERROR(EB10*EB9/SUMPRODUCT($D10:$GA10,$D9:$GA9),0)</x:f>
      </x:c>
      <x:c r="EC11" s="35" t="n">
        <x:f>IFERROR(EC10*EC9/SUMPRODUCT($D10:$GA10,$D9:$GA9),0)</x:f>
      </x:c>
      <x:c r="ED11" s="35" t="n">
        <x:f>IFERROR(ED10*ED9/SUMPRODUCT($D10:$GA10,$D9:$GA9),0)</x:f>
      </x:c>
      <x:c r="EE11" s="35" t="n">
        <x:f>IFERROR(EE10*EE9/SUMPRODUCT($D10:$GA10,$D9:$GA9),0)</x:f>
      </x:c>
      <x:c r="EF11" s="35" t="n">
        <x:f>IFERROR(EF10*EF9/SUMPRODUCT($D10:$GA10,$D9:$GA9),0)</x:f>
      </x:c>
      <x:c r="EG11" s="35" t="n">
        <x:f>IFERROR(EG10*EG9/SUMPRODUCT($D10:$GA10,$D9:$GA9),0)</x:f>
      </x:c>
      <x:c r="EH11" s="35" t="n">
        <x:f>IFERROR(EH10*EH9/SUMPRODUCT($D10:$GA10,$D9:$GA9),0)</x:f>
      </x:c>
      <x:c r="EI11" s="35" t="n">
        <x:f>IFERROR(EI10*EI9/SUMPRODUCT($D10:$GA10,$D9:$GA9),0)</x:f>
      </x:c>
      <x:c r="EJ11" s="35" t="n">
        <x:f>IFERROR(EJ10*EJ9/SUMPRODUCT($D10:$GA10,$D9:$GA9),0)</x:f>
      </x:c>
      <x:c r="EK11" s="35" t="n">
        <x:f>IFERROR(EK10*EK9/SUMPRODUCT($D10:$GA10,$D9:$GA9),0)</x:f>
      </x:c>
      <x:c r="EL11" s="35" t="n">
        <x:f>IFERROR(EL10*EL9/SUMPRODUCT($D10:$GA10,$D9:$GA9),0)</x:f>
      </x:c>
      <x:c r="EM11" s="35" t="n">
        <x:f>IFERROR(EM10*EM9/SUMPRODUCT($D10:$GA10,$D9:$GA9),0)</x:f>
      </x:c>
      <x:c r="EN11" s="35" t="n">
        <x:f>IFERROR(EN10*EN9/SUMPRODUCT($D10:$GA10,$D9:$GA9),0)</x:f>
      </x:c>
      <x:c r="EO11" s="35" t="n">
        <x:f>IFERROR(EO10*EO9/SUMPRODUCT($D10:$GA10,$D9:$GA9),0)</x:f>
      </x:c>
      <x:c r="EP11" s="35" t="n">
        <x:f>IFERROR(EP10*EP9/SUMPRODUCT($D10:$GA10,$D9:$GA9),0)</x:f>
      </x:c>
      <x:c r="EQ11" s="35" t="n">
        <x:f>IFERROR(EQ10*EQ9/SUMPRODUCT($D10:$GA10,$D9:$GA9),0)</x:f>
      </x:c>
      <x:c r="ER11" s="35" t="n">
        <x:f>IFERROR(ER10*ER9/SUMPRODUCT($D10:$GA10,$D9:$GA9),0)</x:f>
      </x:c>
      <x:c r="ES11" s="35" t="n">
        <x:f>IFERROR(ES10*ES9/SUMPRODUCT($D10:$GA10,$D9:$GA9),0)</x:f>
      </x:c>
      <x:c r="ET11" s="35" t="n">
        <x:f>IFERROR(ET10*ET9/SUMPRODUCT($D10:$GA10,$D9:$GA9),0)</x:f>
      </x:c>
      <x:c r="EU11" s="35" t="n">
        <x:f>IFERROR(EU10*EU9/SUMPRODUCT($D10:$GA10,$D9:$GA9),0)</x:f>
      </x:c>
      <x:c r="EV11" s="35" t="n">
        <x:f>IFERROR(EV10*EV9/SUMPRODUCT($D10:$GA10,$D9:$GA9),0)</x:f>
      </x:c>
      <x:c r="EW11" s="35" t="n">
        <x:f>IFERROR(EW10*EW9/SUMPRODUCT($D10:$GA10,$D9:$GA9),0)</x:f>
      </x:c>
      <x:c r="EX11" s="35" t="n">
        <x:f>IFERROR(EX10*EX9/SUMPRODUCT($D10:$GA10,$D9:$GA9),0)</x:f>
      </x:c>
      <x:c r="EY11" s="35" t="n">
        <x:f>IFERROR(EY10*EY9/SUMPRODUCT($D10:$GA10,$D9:$GA9),0)</x:f>
      </x:c>
      <x:c r="EZ11" s="35" t="n">
        <x:f>IFERROR(EZ10*EZ9/SUMPRODUCT($D10:$GA10,$D9:$GA9),0)</x:f>
      </x:c>
      <x:c r="FA11" s="35" t="n">
        <x:f>IFERROR(FA10*FA9/SUMPRODUCT($D10:$GA10,$D9:$GA9),0)</x:f>
      </x:c>
      <x:c r="FB11" s="35" t="n">
        <x:f>IFERROR(FB10*FB9/SUMPRODUCT($D10:$GA10,$D9:$GA9),0)</x:f>
      </x:c>
      <x:c r="FC11" s="35" t="n">
        <x:f>IFERROR(FC10*FC9/SUMPRODUCT($D10:$GA10,$D9:$GA9),0)</x:f>
      </x:c>
      <x:c r="FD11" s="35" t="n">
        <x:f>IFERROR(FD10*FD9/SUMPRODUCT($D10:$GA10,$D9:$GA9),0)</x:f>
      </x:c>
      <x:c r="FE11" s="35" t="n">
        <x:f>IFERROR(FE10*FE9/SUMPRODUCT($D10:$GA10,$D9:$GA9),0)</x:f>
      </x:c>
      <x:c r="FF11" s="35" t="n">
        <x:f>IFERROR(FF10*FF9/SUMPRODUCT($D10:$GA10,$D9:$GA9),0)</x:f>
      </x:c>
      <x:c r="FG11" s="35" t="n">
        <x:f>IFERROR(FG10*FG9/SUMPRODUCT($D10:$GA10,$D9:$GA9),0)</x:f>
      </x:c>
      <x:c r="FH11" s="35" t="n">
        <x:f>IFERROR(FH10*FH9/SUMPRODUCT($D10:$GA10,$D9:$GA9),0)</x:f>
      </x:c>
      <x:c r="FI11" s="35" t="n">
        <x:f>IFERROR(FI10*FI9/SUMPRODUCT($D10:$GA10,$D9:$GA9),0)</x:f>
      </x:c>
      <x:c r="FJ11" s="35" t="n">
        <x:f>IFERROR(FJ10*FJ9/SUMPRODUCT($D10:$GA10,$D9:$GA9),0)</x:f>
      </x:c>
      <x:c r="FK11" s="35" t="n">
        <x:f>IFERROR(FK10*FK9/SUMPRODUCT($D10:$GA10,$D9:$GA9),0)</x:f>
      </x:c>
      <x:c r="FL11" s="35" t="n">
        <x:f>IFERROR(FL10*FL9/SUMPRODUCT($D10:$GA10,$D9:$GA9),0)</x:f>
      </x:c>
      <x:c r="FM11" s="35" t="n">
        <x:f>IFERROR(FM10*FM9/SUMPRODUCT($D10:$GA10,$D9:$GA9),0)</x:f>
      </x:c>
      <x:c r="FN11" s="35" t="n">
        <x:f>IFERROR(FN10*FN9/SUMPRODUCT($D10:$GA10,$D9:$GA9),0)</x:f>
      </x:c>
      <x:c r="FO11" s="35" t="n">
        <x:f>IFERROR(FO10*FO9/SUMPRODUCT($D10:$GA10,$D9:$GA9),0)</x:f>
      </x:c>
      <x:c r="FP11" s="35" t="n">
        <x:f>IFERROR(FP10*FP9/SUMPRODUCT($D10:$GA10,$D9:$GA9),0)</x:f>
      </x:c>
      <x:c r="FQ11" s="35" t="n">
        <x:f>IFERROR(FQ10*FQ9/SUMPRODUCT($D10:$GA10,$D9:$GA9),0)</x:f>
      </x:c>
      <x:c r="FR11" s="35" t="n">
        <x:f>IFERROR(FR10*FR9/SUMPRODUCT($D10:$GA10,$D9:$GA9),0)</x:f>
      </x:c>
      <x:c r="FS11" s="35" t="n">
        <x:f>IFERROR(FS10*FS9/SUMPRODUCT($D10:$GA10,$D9:$GA9),0)</x:f>
      </x:c>
      <x:c r="FT11" s="35" t="n">
        <x:f>IFERROR(FT10*FT9/SUMPRODUCT($D10:$GA10,$D9:$GA9),0)</x:f>
      </x:c>
      <x:c r="FU11" s="35" t="n">
        <x:f>IFERROR(FU10*FU9/SUMPRODUCT($D10:$GA10,$D9:$GA9),0)</x:f>
      </x:c>
      <x:c r="FV11" s="35" t="n">
        <x:f>IFERROR(FV10*FV9/SUMPRODUCT($D10:$GA10,$D9:$GA9),0)</x:f>
      </x:c>
      <x:c r="FW11" s="35" t="n">
        <x:f>IFERROR(FW10*FW9/SUMPRODUCT($D10:$GA10,$D9:$GA9),0)</x:f>
      </x:c>
      <x:c r="FX11" s="35" t="n">
        <x:f>IFERROR(FX10*FX9/SUMPRODUCT($D10:$GA10,$D9:$GA9),0)</x:f>
      </x:c>
      <x:c r="FY11" s="35" t="n">
        <x:f>IFERROR(FY10*FY9/SUMPRODUCT($D10:$GA10,$D9:$GA9),0)</x:f>
      </x:c>
      <x:c r="FZ11" s="35" t="n">
        <x:f>IFERROR(FZ10*FZ9/SUMPRODUCT($D10:$GA10,$D9:$GA9),0)</x:f>
      </x:c>
      <x:c r="GA11" s="35" t="n">
        <x:f>IFERROR(GA10*GA9/SUMPRODUCT($D10:$GA10,$D9:$GA9),0)</x:f>
      </x:c>
    </x:row>
    <x:row r="12">
      <x:c r="A12" t="str">
        <x:v>Флаг продаж после РВЭ</x:v>
      </x:c>
      <x:c r="B12"/>
      <x:c r="C12" t="str">
        <x:v>0/1</x:v>
      </x:c>
      <x:c r="D12" s="35" t="n">
        <x:f>--AND(D$3&gt;=MAX($B$7,$B$8),D$3&lt;EDATE($B$7,MAX(1,'Вводные'!$H$88)),'Вводные'!$B$88="Да")</x:f>
      </x:c>
      <x:c r="E12" s="35" t="n">
        <x:f>--AND(E$3&gt;=MAX($B$7,$B$8),E$3&lt;EDATE($B$7,MAX(1,'Вводные'!$H$88)),'Вводные'!$B$88="Да")</x:f>
      </x:c>
      <x:c r="F12" s="35" t="n">
        <x:f>--AND(F$3&gt;=MAX($B$7,$B$8),F$3&lt;EDATE($B$7,MAX(1,'Вводные'!$H$88)),'Вводные'!$B$88="Да")</x:f>
      </x:c>
      <x:c r="G12" s="35" t="n">
        <x:f>--AND(G$3&gt;=MAX($B$7,$B$8),G$3&lt;EDATE($B$7,MAX(1,'Вводные'!$H$88)),'Вводные'!$B$88="Да")</x:f>
      </x:c>
      <x:c r="H12" s="35" t="n">
        <x:f>--AND(H$3&gt;=MAX($B$7,$B$8),H$3&lt;EDATE($B$7,MAX(1,'Вводные'!$H$88)),'Вводные'!$B$88="Да")</x:f>
      </x:c>
      <x:c r="I12" s="35" t="n">
        <x:f>--AND(I$3&gt;=MAX($B$7,$B$8),I$3&lt;EDATE($B$7,MAX(1,'Вводные'!$H$88)),'Вводные'!$B$88="Да")</x:f>
      </x:c>
      <x:c r="J12" s="35" t="n">
        <x:f>--AND(J$3&gt;=MAX($B$7,$B$8),J$3&lt;EDATE($B$7,MAX(1,'Вводные'!$H$88)),'Вводные'!$B$88="Да")</x:f>
      </x:c>
      <x:c r="K12" s="35" t="n">
        <x:f>--AND(K$3&gt;=MAX($B$7,$B$8),K$3&lt;EDATE($B$7,MAX(1,'Вводные'!$H$88)),'Вводные'!$B$88="Да")</x:f>
      </x:c>
      <x:c r="L12" s="35" t="n">
        <x:f>--AND(L$3&gt;=MAX($B$7,$B$8),L$3&lt;EDATE($B$7,MAX(1,'Вводные'!$H$88)),'Вводные'!$B$88="Да")</x:f>
      </x:c>
      <x:c r="M12" s="35" t="n">
        <x:f>--AND(M$3&gt;=MAX($B$7,$B$8),M$3&lt;EDATE($B$7,MAX(1,'Вводные'!$H$88)),'Вводные'!$B$88="Да")</x:f>
      </x:c>
      <x:c r="N12" s="35" t="n">
        <x:f>--AND(N$3&gt;=MAX($B$7,$B$8),N$3&lt;EDATE($B$7,MAX(1,'Вводные'!$H$88)),'Вводные'!$B$88="Да")</x:f>
      </x:c>
      <x:c r="O12" s="35" t="n">
        <x:f>--AND(O$3&gt;=MAX($B$7,$B$8),O$3&lt;EDATE($B$7,MAX(1,'Вводные'!$H$88)),'Вводные'!$B$88="Да")</x:f>
      </x:c>
      <x:c r="P12" s="35" t="n">
        <x:f>--AND(P$3&gt;=MAX($B$7,$B$8),P$3&lt;EDATE($B$7,MAX(1,'Вводные'!$H$88)),'Вводные'!$B$88="Да")</x:f>
      </x:c>
      <x:c r="Q12" s="35" t="n">
        <x:f>--AND(Q$3&gt;=MAX($B$7,$B$8),Q$3&lt;EDATE($B$7,MAX(1,'Вводные'!$H$88)),'Вводные'!$B$88="Да")</x:f>
      </x:c>
      <x:c r="R12" s="35" t="n">
        <x:f>--AND(R$3&gt;=MAX($B$7,$B$8),R$3&lt;EDATE($B$7,MAX(1,'Вводные'!$H$88)),'Вводные'!$B$88="Да")</x:f>
      </x:c>
      <x:c r="S12" s="35" t="n">
        <x:f>--AND(S$3&gt;=MAX($B$7,$B$8),S$3&lt;EDATE($B$7,MAX(1,'Вводные'!$H$88)),'Вводные'!$B$88="Да")</x:f>
      </x:c>
      <x:c r="T12" s="35" t="n">
        <x:f>--AND(T$3&gt;=MAX($B$7,$B$8),T$3&lt;EDATE($B$7,MAX(1,'Вводные'!$H$88)),'Вводные'!$B$88="Да")</x:f>
      </x:c>
      <x:c r="U12" s="35" t="n">
        <x:f>--AND(U$3&gt;=MAX($B$7,$B$8),U$3&lt;EDATE($B$7,MAX(1,'Вводные'!$H$88)),'Вводные'!$B$88="Да")</x:f>
      </x:c>
      <x:c r="V12" s="35" t="n">
        <x:f>--AND(V$3&gt;=MAX($B$7,$B$8),V$3&lt;EDATE($B$7,MAX(1,'Вводные'!$H$88)),'Вводные'!$B$88="Да")</x:f>
      </x:c>
      <x:c r="W12" s="35" t="n">
        <x:f>--AND(W$3&gt;=MAX($B$7,$B$8),W$3&lt;EDATE($B$7,MAX(1,'Вводные'!$H$88)),'Вводные'!$B$88="Да")</x:f>
      </x:c>
      <x:c r="X12" s="35" t="n">
        <x:f>--AND(X$3&gt;=MAX($B$7,$B$8),X$3&lt;EDATE($B$7,MAX(1,'Вводные'!$H$88)),'Вводные'!$B$88="Да")</x:f>
      </x:c>
      <x:c r="Y12" s="35" t="n">
        <x:f>--AND(Y$3&gt;=MAX($B$7,$B$8),Y$3&lt;EDATE($B$7,MAX(1,'Вводные'!$H$88)),'Вводные'!$B$88="Да")</x:f>
      </x:c>
      <x:c r="Z12" s="35" t="n">
        <x:f>--AND(Z$3&gt;=MAX($B$7,$B$8),Z$3&lt;EDATE($B$7,MAX(1,'Вводные'!$H$88)),'Вводные'!$B$88="Да")</x:f>
      </x:c>
      <x:c r="AA12" s="35" t="n">
        <x:f>--AND(AA$3&gt;=MAX($B$7,$B$8),AA$3&lt;EDATE($B$7,MAX(1,'Вводные'!$H$88)),'Вводные'!$B$88="Да")</x:f>
      </x:c>
      <x:c r="AB12" s="35" t="n">
        <x:f>--AND(AB$3&gt;=MAX($B$7,$B$8),AB$3&lt;EDATE($B$7,MAX(1,'Вводные'!$H$88)),'Вводные'!$B$88="Да")</x:f>
      </x:c>
      <x:c r="AC12" s="35" t="n">
        <x:f>--AND(AC$3&gt;=MAX($B$7,$B$8),AC$3&lt;EDATE($B$7,MAX(1,'Вводные'!$H$88)),'Вводные'!$B$88="Да")</x:f>
      </x:c>
      <x:c r="AD12" s="35" t="n">
        <x:f>--AND(AD$3&gt;=MAX($B$7,$B$8),AD$3&lt;EDATE($B$7,MAX(1,'Вводные'!$H$88)),'Вводные'!$B$88="Да")</x:f>
      </x:c>
      <x:c r="AE12" s="35" t="n">
        <x:f>--AND(AE$3&gt;=MAX($B$7,$B$8),AE$3&lt;EDATE($B$7,MAX(1,'Вводные'!$H$88)),'Вводные'!$B$88="Да")</x:f>
      </x:c>
      <x:c r="AF12" s="35" t="n">
        <x:f>--AND(AF$3&gt;=MAX($B$7,$B$8),AF$3&lt;EDATE($B$7,MAX(1,'Вводные'!$H$88)),'Вводные'!$B$88="Да")</x:f>
      </x:c>
      <x:c r="AG12" s="35" t="n">
        <x:f>--AND(AG$3&gt;=MAX($B$7,$B$8),AG$3&lt;EDATE($B$7,MAX(1,'Вводные'!$H$88)),'Вводные'!$B$88="Да")</x:f>
      </x:c>
      <x:c r="AH12" s="35" t="n">
        <x:f>--AND(AH$3&gt;=MAX($B$7,$B$8),AH$3&lt;EDATE($B$7,MAX(1,'Вводные'!$H$88)),'Вводные'!$B$88="Да")</x:f>
      </x:c>
      <x:c r="AI12" s="35" t="n">
        <x:f>--AND(AI$3&gt;=MAX($B$7,$B$8),AI$3&lt;EDATE($B$7,MAX(1,'Вводные'!$H$88)),'Вводные'!$B$88="Да")</x:f>
      </x:c>
      <x:c r="AJ12" s="35" t="n">
        <x:f>--AND(AJ$3&gt;=MAX($B$7,$B$8),AJ$3&lt;EDATE($B$7,MAX(1,'Вводные'!$H$88)),'Вводные'!$B$88="Да")</x:f>
      </x:c>
      <x:c r="AK12" s="35" t="n">
        <x:f>--AND(AK$3&gt;=MAX($B$7,$B$8),AK$3&lt;EDATE($B$7,MAX(1,'Вводные'!$H$88)),'Вводные'!$B$88="Да")</x:f>
      </x:c>
      <x:c r="AL12" s="35" t="n">
        <x:f>--AND(AL$3&gt;=MAX($B$7,$B$8),AL$3&lt;EDATE($B$7,MAX(1,'Вводные'!$H$88)),'Вводные'!$B$88="Да")</x:f>
      </x:c>
      <x:c r="AM12" s="35" t="n">
        <x:f>--AND(AM$3&gt;=MAX($B$7,$B$8),AM$3&lt;EDATE($B$7,MAX(1,'Вводные'!$H$88)),'Вводные'!$B$88="Да")</x:f>
      </x:c>
      <x:c r="AN12" s="35" t="n">
        <x:f>--AND(AN$3&gt;=MAX($B$7,$B$8),AN$3&lt;EDATE($B$7,MAX(1,'Вводные'!$H$88)),'Вводные'!$B$88="Да")</x:f>
      </x:c>
      <x:c r="AO12" s="35" t="n">
        <x:f>--AND(AO$3&gt;=MAX($B$7,$B$8),AO$3&lt;EDATE($B$7,MAX(1,'Вводные'!$H$88)),'Вводные'!$B$88="Да")</x:f>
      </x:c>
      <x:c r="AP12" s="35" t="n">
        <x:f>--AND(AP$3&gt;=MAX($B$7,$B$8),AP$3&lt;EDATE($B$7,MAX(1,'Вводные'!$H$88)),'Вводные'!$B$88="Да")</x:f>
      </x:c>
      <x:c r="AQ12" s="35" t="n">
        <x:f>--AND(AQ$3&gt;=MAX($B$7,$B$8),AQ$3&lt;EDATE($B$7,MAX(1,'Вводные'!$H$88)),'Вводные'!$B$88="Да")</x:f>
      </x:c>
      <x:c r="AR12" s="35" t="n">
        <x:f>--AND(AR$3&gt;=MAX($B$7,$B$8),AR$3&lt;EDATE($B$7,MAX(1,'Вводные'!$H$88)),'Вводные'!$B$88="Да")</x:f>
      </x:c>
      <x:c r="AS12" s="35" t="n">
        <x:f>--AND(AS$3&gt;=MAX($B$7,$B$8),AS$3&lt;EDATE($B$7,MAX(1,'Вводные'!$H$88)),'Вводные'!$B$88="Да")</x:f>
      </x:c>
      <x:c r="AT12" s="35" t="n">
        <x:f>--AND(AT$3&gt;=MAX($B$7,$B$8),AT$3&lt;EDATE($B$7,MAX(1,'Вводные'!$H$88)),'Вводные'!$B$88="Да")</x:f>
      </x:c>
      <x:c r="AU12" s="35" t="n">
        <x:f>--AND(AU$3&gt;=MAX($B$7,$B$8),AU$3&lt;EDATE($B$7,MAX(1,'Вводные'!$H$88)),'Вводные'!$B$88="Да")</x:f>
      </x:c>
      <x:c r="AV12" s="35" t="n">
        <x:f>--AND(AV$3&gt;=MAX($B$7,$B$8),AV$3&lt;EDATE($B$7,MAX(1,'Вводные'!$H$88)),'Вводные'!$B$88="Да")</x:f>
      </x:c>
      <x:c r="AW12" s="35" t="n">
        <x:f>--AND(AW$3&gt;=MAX($B$7,$B$8),AW$3&lt;EDATE($B$7,MAX(1,'Вводные'!$H$88)),'Вводные'!$B$88="Да")</x:f>
      </x:c>
      <x:c r="AX12" s="35" t="n">
        <x:f>--AND(AX$3&gt;=MAX($B$7,$B$8),AX$3&lt;EDATE($B$7,MAX(1,'Вводные'!$H$88)),'Вводные'!$B$88="Да")</x:f>
      </x:c>
      <x:c r="AY12" s="35" t="n">
        <x:f>--AND(AY$3&gt;=MAX($B$7,$B$8),AY$3&lt;EDATE($B$7,MAX(1,'Вводные'!$H$88)),'Вводные'!$B$88="Да")</x:f>
      </x:c>
      <x:c r="AZ12" s="35" t="n">
        <x:f>--AND(AZ$3&gt;=MAX($B$7,$B$8),AZ$3&lt;EDATE($B$7,MAX(1,'Вводные'!$H$88)),'Вводные'!$B$88="Да")</x:f>
      </x:c>
      <x:c r="BA12" s="35" t="n">
        <x:f>--AND(BA$3&gt;=MAX($B$7,$B$8),BA$3&lt;EDATE($B$7,MAX(1,'Вводные'!$H$88)),'Вводные'!$B$88="Да")</x:f>
      </x:c>
      <x:c r="BB12" s="35" t="n">
        <x:f>--AND(BB$3&gt;=MAX($B$7,$B$8),BB$3&lt;EDATE($B$7,MAX(1,'Вводные'!$H$88)),'Вводные'!$B$88="Да")</x:f>
      </x:c>
      <x:c r="BC12" s="35" t="n">
        <x:f>--AND(BC$3&gt;=MAX($B$7,$B$8),BC$3&lt;EDATE($B$7,MAX(1,'Вводные'!$H$88)),'Вводные'!$B$88="Да")</x:f>
      </x:c>
      <x:c r="BD12" s="35" t="n">
        <x:f>--AND(BD$3&gt;=MAX($B$7,$B$8),BD$3&lt;EDATE($B$7,MAX(1,'Вводные'!$H$88)),'Вводные'!$B$88="Да")</x:f>
      </x:c>
      <x:c r="BE12" s="35" t="n">
        <x:f>--AND(BE$3&gt;=MAX($B$7,$B$8),BE$3&lt;EDATE($B$7,MAX(1,'Вводные'!$H$88)),'Вводные'!$B$88="Да")</x:f>
      </x:c>
      <x:c r="BF12" s="35" t="n">
        <x:f>--AND(BF$3&gt;=MAX($B$7,$B$8),BF$3&lt;EDATE($B$7,MAX(1,'Вводные'!$H$88)),'Вводные'!$B$88="Да")</x:f>
      </x:c>
      <x:c r="BG12" s="35" t="n">
        <x:f>--AND(BG$3&gt;=MAX($B$7,$B$8),BG$3&lt;EDATE($B$7,MAX(1,'Вводные'!$H$88)),'Вводные'!$B$88="Да")</x:f>
      </x:c>
      <x:c r="BH12" s="35" t="n">
        <x:f>--AND(BH$3&gt;=MAX($B$7,$B$8),BH$3&lt;EDATE($B$7,MAX(1,'Вводные'!$H$88)),'Вводные'!$B$88="Да")</x:f>
      </x:c>
      <x:c r="BI12" s="35" t="n">
        <x:f>--AND(BI$3&gt;=MAX($B$7,$B$8),BI$3&lt;EDATE($B$7,MAX(1,'Вводные'!$H$88)),'Вводные'!$B$88="Да")</x:f>
      </x:c>
      <x:c r="BJ12" s="35" t="n">
        <x:f>--AND(BJ$3&gt;=MAX($B$7,$B$8),BJ$3&lt;EDATE($B$7,MAX(1,'Вводные'!$H$88)),'Вводные'!$B$88="Да")</x:f>
      </x:c>
      <x:c r="BK12" s="35" t="n">
        <x:f>--AND(BK$3&gt;=MAX($B$7,$B$8),BK$3&lt;EDATE($B$7,MAX(1,'Вводные'!$H$88)),'Вводные'!$B$88="Да")</x:f>
      </x:c>
      <x:c r="BL12" s="35" t="n">
        <x:f>--AND(BL$3&gt;=MAX($B$7,$B$8),BL$3&lt;EDATE($B$7,MAX(1,'Вводные'!$H$88)),'Вводные'!$B$88="Да")</x:f>
      </x:c>
      <x:c r="BM12" s="35" t="n">
        <x:f>--AND(BM$3&gt;=MAX($B$7,$B$8),BM$3&lt;EDATE($B$7,MAX(1,'Вводные'!$H$88)),'Вводные'!$B$88="Да")</x:f>
      </x:c>
      <x:c r="BN12" s="35" t="n">
        <x:f>--AND(BN$3&gt;=MAX($B$7,$B$8),BN$3&lt;EDATE($B$7,MAX(1,'Вводные'!$H$88)),'Вводные'!$B$88="Да")</x:f>
      </x:c>
      <x:c r="BO12" s="35" t="n">
        <x:f>--AND(BO$3&gt;=MAX($B$7,$B$8),BO$3&lt;EDATE($B$7,MAX(1,'Вводные'!$H$88)),'Вводные'!$B$88="Да")</x:f>
      </x:c>
      <x:c r="BP12" s="35" t="n">
        <x:f>--AND(BP$3&gt;=MAX($B$7,$B$8),BP$3&lt;EDATE($B$7,MAX(1,'Вводные'!$H$88)),'Вводные'!$B$88="Да")</x:f>
      </x:c>
      <x:c r="BQ12" s="35" t="n">
        <x:f>--AND(BQ$3&gt;=MAX($B$7,$B$8),BQ$3&lt;EDATE($B$7,MAX(1,'Вводные'!$H$88)),'Вводные'!$B$88="Да")</x:f>
      </x:c>
      <x:c r="BR12" s="35" t="n">
        <x:f>--AND(BR$3&gt;=MAX($B$7,$B$8),BR$3&lt;EDATE($B$7,MAX(1,'Вводные'!$H$88)),'Вводные'!$B$88="Да")</x:f>
      </x:c>
      <x:c r="BS12" s="35" t="n">
        <x:f>--AND(BS$3&gt;=MAX($B$7,$B$8),BS$3&lt;EDATE($B$7,MAX(1,'Вводные'!$H$88)),'Вводные'!$B$88="Да")</x:f>
      </x:c>
      <x:c r="BT12" s="35" t="n">
        <x:f>--AND(BT$3&gt;=MAX($B$7,$B$8),BT$3&lt;EDATE($B$7,MAX(1,'Вводные'!$H$88)),'Вводные'!$B$88="Да")</x:f>
      </x:c>
      <x:c r="BU12" s="35" t="n">
        <x:f>--AND(BU$3&gt;=MAX($B$7,$B$8),BU$3&lt;EDATE($B$7,MAX(1,'Вводные'!$H$88)),'Вводные'!$B$88="Да")</x:f>
      </x:c>
      <x:c r="BV12" s="35" t="n">
        <x:f>--AND(BV$3&gt;=MAX($B$7,$B$8),BV$3&lt;EDATE($B$7,MAX(1,'Вводные'!$H$88)),'Вводные'!$B$88="Да")</x:f>
      </x:c>
      <x:c r="BW12" s="35" t="n">
        <x:f>--AND(BW$3&gt;=MAX($B$7,$B$8),BW$3&lt;EDATE($B$7,MAX(1,'Вводные'!$H$88)),'Вводные'!$B$88="Да")</x:f>
      </x:c>
      <x:c r="BX12" s="35" t="n">
        <x:f>--AND(BX$3&gt;=MAX($B$7,$B$8),BX$3&lt;EDATE($B$7,MAX(1,'Вводные'!$H$88)),'Вводные'!$B$88="Да")</x:f>
      </x:c>
      <x:c r="BY12" s="35" t="n">
        <x:f>--AND(BY$3&gt;=MAX($B$7,$B$8),BY$3&lt;EDATE($B$7,MAX(1,'Вводные'!$H$88)),'Вводные'!$B$88="Да")</x:f>
      </x:c>
      <x:c r="BZ12" s="35" t="n">
        <x:f>--AND(BZ$3&gt;=MAX($B$7,$B$8),BZ$3&lt;EDATE($B$7,MAX(1,'Вводные'!$H$88)),'Вводные'!$B$88="Да")</x:f>
      </x:c>
      <x:c r="CA12" s="35" t="n">
        <x:f>--AND(CA$3&gt;=MAX($B$7,$B$8),CA$3&lt;EDATE($B$7,MAX(1,'Вводные'!$H$88)),'Вводные'!$B$88="Да")</x:f>
      </x:c>
      <x:c r="CB12" s="35" t="n">
        <x:f>--AND(CB$3&gt;=MAX($B$7,$B$8),CB$3&lt;EDATE($B$7,MAX(1,'Вводные'!$H$88)),'Вводные'!$B$88="Да")</x:f>
      </x:c>
      <x:c r="CC12" s="35" t="n">
        <x:f>--AND(CC$3&gt;=MAX($B$7,$B$8),CC$3&lt;EDATE($B$7,MAX(1,'Вводные'!$H$88)),'Вводные'!$B$88="Да")</x:f>
      </x:c>
      <x:c r="CD12" s="35" t="n">
        <x:f>--AND(CD$3&gt;=MAX($B$7,$B$8),CD$3&lt;EDATE($B$7,MAX(1,'Вводные'!$H$88)),'Вводные'!$B$88="Да")</x:f>
      </x:c>
      <x:c r="CE12" s="35" t="n">
        <x:f>--AND(CE$3&gt;=MAX($B$7,$B$8),CE$3&lt;EDATE($B$7,MAX(1,'Вводные'!$H$88)),'Вводные'!$B$88="Да")</x:f>
      </x:c>
      <x:c r="CF12" s="35" t="n">
        <x:f>--AND(CF$3&gt;=MAX($B$7,$B$8),CF$3&lt;EDATE($B$7,MAX(1,'Вводные'!$H$88)),'Вводные'!$B$88="Да")</x:f>
      </x:c>
      <x:c r="CG12" s="35" t="n">
        <x:f>--AND(CG$3&gt;=MAX($B$7,$B$8),CG$3&lt;EDATE($B$7,MAX(1,'Вводные'!$H$88)),'Вводные'!$B$88="Да")</x:f>
      </x:c>
      <x:c r="CH12" s="35" t="n">
        <x:f>--AND(CH$3&gt;=MAX($B$7,$B$8),CH$3&lt;EDATE($B$7,MAX(1,'Вводные'!$H$88)),'Вводные'!$B$88="Да")</x:f>
      </x:c>
      <x:c r="CI12" s="35" t="n">
        <x:f>--AND(CI$3&gt;=MAX($B$7,$B$8),CI$3&lt;EDATE($B$7,MAX(1,'Вводные'!$H$88)),'Вводные'!$B$88="Да")</x:f>
      </x:c>
      <x:c r="CJ12" s="35" t="n">
        <x:f>--AND(CJ$3&gt;=MAX($B$7,$B$8),CJ$3&lt;EDATE($B$7,MAX(1,'Вводные'!$H$88)),'Вводные'!$B$88="Да")</x:f>
      </x:c>
      <x:c r="CK12" s="35" t="n">
        <x:f>--AND(CK$3&gt;=MAX($B$7,$B$8),CK$3&lt;EDATE($B$7,MAX(1,'Вводные'!$H$88)),'Вводные'!$B$88="Да")</x:f>
      </x:c>
      <x:c r="CL12" s="35" t="n">
        <x:f>--AND(CL$3&gt;=MAX($B$7,$B$8),CL$3&lt;EDATE($B$7,MAX(1,'Вводные'!$H$88)),'Вводные'!$B$88="Да")</x:f>
      </x:c>
      <x:c r="CM12" s="35" t="n">
        <x:f>--AND(CM$3&gt;=MAX($B$7,$B$8),CM$3&lt;EDATE($B$7,MAX(1,'Вводные'!$H$88)),'Вводные'!$B$88="Да")</x:f>
      </x:c>
      <x:c r="CN12" s="35" t="n">
        <x:f>--AND(CN$3&gt;=MAX($B$7,$B$8),CN$3&lt;EDATE($B$7,MAX(1,'Вводные'!$H$88)),'Вводные'!$B$88="Да")</x:f>
      </x:c>
      <x:c r="CO12" s="35" t="n">
        <x:f>--AND(CO$3&gt;=MAX($B$7,$B$8),CO$3&lt;EDATE($B$7,MAX(1,'Вводные'!$H$88)),'Вводные'!$B$88="Да")</x:f>
      </x:c>
      <x:c r="CP12" s="35" t="n">
        <x:f>--AND(CP$3&gt;=MAX($B$7,$B$8),CP$3&lt;EDATE($B$7,MAX(1,'Вводные'!$H$88)),'Вводные'!$B$88="Да")</x:f>
      </x:c>
      <x:c r="CQ12" s="35" t="n">
        <x:f>--AND(CQ$3&gt;=MAX($B$7,$B$8),CQ$3&lt;EDATE($B$7,MAX(1,'Вводные'!$H$88)),'Вводные'!$B$88="Да")</x:f>
      </x:c>
      <x:c r="CR12" s="35" t="n">
        <x:f>--AND(CR$3&gt;=MAX($B$7,$B$8),CR$3&lt;EDATE($B$7,MAX(1,'Вводные'!$H$88)),'Вводные'!$B$88="Да")</x:f>
      </x:c>
      <x:c r="CS12" s="35" t="n">
        <x:f>--AND(CS$3&gt;=MAX($B$7,$B$8),CS$3&lt;EDATE($B$7,MAX(1,'Вводные'!$H$88)),'Вводные'!$B$88="Да")</x:f>
      </x:c>
      <x:c r="CT12" s="35" t="n">
        <x:f>--AND(CT$3&gt;=MAX($B$7,$B$8),CT$3&lt;EDATE($B$7,MAX(1,'Вводные'!$H$88)),'Вводные'!$B$88="Да")</x:f>
      </x:c>
      <x:c r="CU12" s="35" t="n">
        <x:f>--AND(CU$3&gt;=MAX($B$7,$B$8),CU$3&lt;EDATE($B$7,MAX(1,'Вводные'!$H$88)),'Вводные'!$B$88="Да")</x:f>
      </x:c>
      <x:c r="CV12" s="35" t="n">
        <x:f>--AND(CV$3&gt;=MAX($B$7,$B$8),CV$3&lt;EDATE($B$7,MAX(1,'Вводные'!$H$88)),'Вводные'!$B$88="Да")</x:f>
      </x:c>
      <x:c r="CW12" s="35" t="n">
        <x:f>--AND(CW$3&gt;=MAX($B$7,$B$8),CW$3&lt;EDATE($B$7,MAX(1,'Вводные'!$H$88)),'Вводные'!$B$88="Да")</x:f>
      </x:c>
      <x:c r="CX12" s="35" t="n">
        <x:f>--AND(CX$3&gt;=MAX($B$7,$B$8),CX$3&lt;EDATE($B$7,MAX(1,'Вводные'!$H$88)),'Вводные'!$B$88="Да")</x:f>
      </x:c>
      <x:c r="CY12" s="35" t="n">
        <x:f>--AND(CY$3&gt;=MAX($B$7,$B$8),CY$3&lt;EDATE($B$7,MAX(1,'Вводные'!$H$88)),'Вводные'!$B$88="Да")</x:f>
      </x:c>
      <x:c r="CZ12" s="35" t="n">
        <x:f>--AND(CZ$3&gt;=MAX($B$7,$B$8),CZ$3&lt;EDATE($B$7,MAX(1,'Вводные'!$H$88)),'Вводные'!$B$88="Да")</x:f>
      </x:c>
      <x:c r="DA12" s="35" t="n">
        <x:f>--AND(DA$3&gt;=MAX($B$7,$B$8),DA$3&lt;EDATE($B$7,MAX(1,'Вводные'!$H$88)),'Вводные'!$B$88="Да")</x:f>
      </x:c>
      <x:c r="DB12" s="35" t="n">
        <x:f>--AND(DB$3&gt;=MAX($B$7,$B$8),DB$3&lt;EDATE($B$7,MAX(1,'Вводные'!$H$88)),'Вводные'!$B$88="Да")</x:f>
      </x:c>
      <x:c r="DC12" s="35" t="n">
        <x:f>--AND(DC$3&gt;=MAX($B$7,$B$8),DC$3&lt;EDATE($B$7,MAX(1,'Вводные'!$H$88)),'Вводные'!$B$88="Да")</x:f>
      </x:c>
      <x:c r="DD12" s="35" t="n">
        <x:f>--AND(DD$3&gt;=MAX($B$7,$B$8),DD$3&lt;EDATE($B$7,MAX(1,'Вводные'!$H$88)),'Вводные'!$B$88="Да")</x:f>
      </x:c>
      <x:c r="DE12" s="35" t="n">
        <x:f>--AND(DE$3&gt;=MAX($B$7,$B$8),DE$3&lt;EDATE($B$7,MAX(1,'Вводные'!$H$88)),'Вводные'!$B$88="Да")</x:f>
      </x:c>
      <x:c r="DF12" s="35" t="n">
        <x:f>--AND(DF$3&gt;=MAX($B$7,$B$8),DF$3&lt;EDATE($B$7,MAX(1,'Вводные'!$H$88)),'Вводные'!$B$88="Да")</x:f>
      </x:c>
      <x:c r="DG12" s="35" t="n">
        <x:f>--AND(DG$3&gt;=MAX($B$7,$B$8),DG$3&lt;EDATE($B$7,MAX(1,'Вводные'!$H$88)),'Вводные'!$B$88="Да")</x:f>
      </x:c>
      <x:c r="DH12" s="35" t="n">
        <x:f>--AND(DH$3&gt;=MAX($B$7,$B$8),DH$3&lt;EDATE($B$7,MAX(1,'Вводные'!$H$88)),'Вводные'!$B$88="Да")</x:f>
      </x:c>
      <x:c r="DI12" s="35" t="n">
        <x:f>--AND(DI$3&gt;=MAX($B$7,$B$8),DI$3&lt;EDATE($B$7,MAX(1,'Вводные'!$H$88)),'Вводные'!$B$88="Да")</x:f>
      </x:c>
      <x:c r="DJ12" s="35" t="n">
        <x:f>--AND(DJ$3&gt;=MAX($B$7,$B$8),DJ$3&lt;EDATE($B$7,MAX(1,'Вводные'!$H$88)),'Вводные'!$B$88="Да")</x:f>
      </x:c>
      <x:c r="DK12" s="35" t="n">
        <x:f>--AND(DK$3&gt;=MAX($B$7,$B$8),DK$3&lt;EDATE($B$7,MAX(1,'Вводные'!$H$88)),'Вводные'!$B$88="Да")</x:f>
      </x:c>
      <x:c r="DL12" s="35" t="n">
        <x:f>--AND(DL$3&gt;=MAX($B$7,$B$8),DL$3&lt;EDATE($B$7,MAX(1,'Вводные'!$H$88)),'Вводные'!$B$88="Да")</x:f>
      </x:c>
      <x:c r="DM12" s="35" t="n">
        <x:f>--AND(DM$3&gt;=MAX($B$7,$B$8),DM$3&lt;EDATE($B$7,MAX(1,'Вводные'!$H$88)),'Вводные'!$B$88="Да")</x:f>
      </x:c>
      <x:c r="DN12" s="35" t="n">
        <x:f>--AND(DN$3&gt;=MAX($B$7,$B$8),DN$3&lt;EDATE($B$7,MAX(1,'Вводные'!$H$88)),'Вводные'!$B$88="Да")</x:f>
      </x:c>
      <x:c r="DO12" s="35" t="n">
        <x:f>--AND(DO$3&gt;=MAX($B$7,$B$8),DO$3&lt;EDATE($B$7,MAX(1,'Вводные'!$H$88)),'Вводные'!$B$88="Да")</x:f>
      </x:c>
      <x:c r="DP12" s="35" t="n">
        <x:f>--AND(DP$3&gt;=MAX($B$7,$B$8),DP$3&lt;EDATE($B$7,MAX(1,'Вводные'!$H$88)),'Вводные'!$B$88="Да")</x:f>
      </x:c>
      <x:c r="DQ12" s="35" t="n">
        <x:f>--AND(DQ$3&gt;=MAX($B$7,$B$8),DQ$3&lt;EDATE($B$7,MAX(1,'Вводные'!$H$88)),'Вводные'!$B$88="Да")</x:f>
      </x:c>
      <x:c r="DR12" s="35" t="n">
        <x:f>--AND(DR$3&gt;=MAX($B$7,$B$8),DR$3&lt;EDATE($B$7,MAX(1,'Вводные'!$H$88)),'Вводные'!$B$88="Да")</x:f>
      </x:c>
      <x:c r="DS12" s="35" t="n">
        <x:f>--AND(DS$3&gt;=MAX($B$7,$B$8),DS$3&lt;EDATE($B$7,MAX(1,'Вводные'!$H$88)),'Вводные'!$B$88="Да")</x:f>
      </x:c>
      <x:c r="DT12" s="35" t="n">
        <x:f>--AND(DT$3&gt;=MAX($B$7,$B$8),DT$3&lt;EDATE($B$7,MAX(1,'Вводные'!$H$88)),'Вводные'!$B$88="Да")</x:f>
      </x:c>
      <x:c r="DU12" s="35" t="n">
        <x:f>--AND(DU$3&gt;=MAX($B$7,$B$8),DU$3&lt;EDATE($B$7,MAX(1,'Вводные'!$H$88)),'Вводные'!$B$88="Да")</x:f>
      </x:c>
      <x:c r="DV12" s="35" t="n">
        <x:f>--AND(DV$3&gt;=MAX($B$7,$B$8),DV$3&lt;EDATE($B$7,MAX(1,'Вводные'!$H$88)),'Вводные'!$B$88="Да")</x:f>
      </x:c>
      <x:c r="DW12" s="35" t="n">
        <x:f>--AND(DW$3&gt;=MAX($B$7,$B$8),DW$3&lt;EDATE($B$7,MAX(1,'Вводные'!$H$88)),'Вводные'!$B$88="Да")</x:f>
      </x:c>
      <x:c r="DX12" s="35" t="n">
        <x:f>--AND(DX$3&gt;=MAX($B$7,$B$8),DX$3&lt;EDATE($B$7,MAX(1,'Вводные'!$H$88)),'Вводные'!$B$88="Да")</x:f>
      </x:c>
      <x:c r="DY12" s="35" t="n">
        <x:f>--AND(DY$3&gt;=MAX($B$7,$B$8),DY$3&lt;EDATE($B$7,MAX(1,'Вводные'!$H$88)),'Вводные'!$B$88="Да")</x:f>
      </x:c>
      <x:c r="DZ12" s="35" t="n">
        <x:f>--AND(DZ$3&gt;=MAX($B$7,$B$8),DZ$3&lt;EDATE($B$7,MAX(1,'Вводные'!$H$88)),'Вводные'!$B$88="Да")</x:f>
      </x:c>
      <x:c r="EA12" s="35" t="n">
        <x:f>--AND(EA$3&gt;=MAX($B$7,$B$8),EA$3&lt;EDATE($B$7,MAX(1,'Вводные'!$H$88)),'Вводные'!$B$88="Да")</x:f>
      </x:c>
      <x:c r="EB12" s="35" t="n">
        <x:f>--AND(EB$3&gt;=MAX($B$7,$B$8),EB$3&lt;EDATE($B$7,MAX(1,'Вводные'!$H$88)),'Вводные'!$B$88="Да")</x:f>
      </x:c>
      <x:c r="EC12" s="35" t="n">
        <x:f>--AND(EC$3&gt;=MAX($B$7,$B$8),EC$3&lt;EDATE($B$7,MAX(1,'Вводные'!$H$88)),'Вводные'!$B$88="Да")</x:f>
      </x:c>
      <x:c r="ED12" s="35" t="n">
        <x:f>--AND(ED$3&gt;=MAX($B$7,$B$8),ED$3&lt;EDATE($B$7,MAX(1,'Вводные'!$H$88)),'Вводные'!$B$88="Да")</x:f>
      </x:c>
      <x:c r="EE12" s="35" t="n">
        <x:f>--AND(EE$3&gt;=MAX($B$7,$B$8),EE$3&lt;EDATE($B$7,MAX(1,'Вводные'!$H$88)),'Вводные'!$B$88="Да")</x:f>
      </x:c>
      <x:c r="EF12" s="35" t="n">
        <x:f>--AND(EF$3&gt;=MAX($B$7,$B$8),EF$3&lt;EDATE($B$7,MAX(1,'Вводные'!$H$88)),'Вводные'!$B$88="Да")</x:f>
      </x:c>
      <x:c r="EG12" s="35" t="n">
        <x:f>--AND(EG$3&gt;=MAX($B$7,$B$8),EG$3&lt;EDATE($B$7,MAX(1,'Вводные'!$H$88)),'Вводные'!$B$88="Да")</x:f>
      </x:c>
      <x:c r="EH12" s="35" t="n">
        <x:f>--AND(EH$3&gt;=MAX($B$7,$B$8),EH$3&lt;EDATE($B$7,MAX(1,'Вводные'!$H$88)),'Вводные'!$B$88="Да")</x:f>
      </x:c>
      <x:c r="EI12" s="35" t="n">
        <x:f>--AND(EI$3&gt;=MAX($B$7,$B$8),EI$3&lt;EDATE($B$7,MAX(1,'Вводные'!$H$88)),'Вводные'!$B$88="Да")</x:f>
      </x:c>
      <x:c r="EJ12" s="35" t="n">
        <x:f>--AND(EJ$3&gt;=MAX($B$7,$B$8),EJ$3&lt;EDATE($B$7,MAX(1,'Вводные'!$H$88)),'Вводные'!$B$88="Да")</x:f>
      </x:c>
      <x:c r="EK12" s="35" t="n">
        <x:f>--AND(EK$3&gt;=MAX($B$7,$B$8),EK$3&lt;EDATE($B$7,MAX(1,'Вводные'!$H$88)),'Вводные'!$B$88="Да")</x:f>
      </x:c>
      <x:c r="EL12" s="35" t="n">
        <x:f>--AND(EL$3&gt;=MAX($B$7,$B$8),EL$3&lt;EDATE($B$7,MAX(1,'Вводные'!$H$88)),'Вводные'!$B$88="Да")</x:f>
      </x:c>
      <x:c r="EM12" s="35" t="n">
        <x:f>--AND(EM$3&gt;=MAX($B$7,$B$8),EM$3&lt;EDATE($B$7,MAX(1,'Вводные'!$H$88)),'Вводные'!$B$88="Да")</x:f>
      </x:c>
      <x:c r="EN12" s="35" t="n">
        <x:f>--AND(EN$3&gt;=MAX($B$7,$B$8),EN$3&lt;EDATE($B$7,MAX(1,'Вводные'!$H$88)),'Вводные'!$B$88="Да")</x:f>
      </x:c>
      <x:c r="EO12" s="35" t="n">
        <x:f>--AND(EO$3&gt;=MAX($B$7,$B$8),EO$3&lt;EDATE($B$7,MAX(1,'Вводные'!$H$88)),'Вводные'!$B$88="Да")</x:f>
      </x:c>
      <x:c r="EP12" s="35" t="n">
        <x:f>--AND(EP$3&gt;=MAX($B$7,$B$8),EP$3&lt;EDATE($B$7,MAX(1,'Вводные'!$H$88)),'Вводные'!$B$88="Да")</x:f>
      </x:c>
      <x:c r="EQ12" s="35" t="n">
        <x:f>--AND(EQ$3&gt;=MAX($B$7,$B$8),EQ$3&lt;EDATE($B$7,MAX(1,'Вводные'!$H$88)),'Вводные'!$B$88="Да")</x:f>
      </x:c>
      <x:c r="ER12" s="35" t="n">
        <x:f>--AND(ER$3&gt;=MAX($B$7,$B$8),ER$3&lt;EDATE($B$7,MAX(1,'Вводные'!$H$88)),'Вводные'!$B$88="Да")</x:f>
      </x:c>
      <x:c r="ES12" s="35" t="n">
        <x:f>--AND(ES$3&gt;=MAX($B$7,$B$8),ES$3&lt;EDATE($B$7,MAX(1,'Вводные'!$H$88)),'Вводные'!$B$88="Да")</x:f>
      </x:c>
      <x:c r="ET12" s="35" t="n">
        <x:f>--AND(ET$3&gt;=MAX($B$7,$B$8),ET$3&lt;EDATE($B$7,MAX(1,'Вводные'!$H$88)),'Вводные'!$B$88="Да")</x:f>
      </x:c>
      <x:c r="EU12" s="35" t="n">
        <x:f>--AND(EU$3&gt;=MAX($B$7,$B$8),EU$3&lt;EDATE($B$7,MAX(1,'Вводные'!$H$88)),'Вводные'!$B$88="Да")</x:f>
      </x:c>
      <x:c r="EV12" s="35" t="n">
        <x:f>--AND(EV$3&gt;=MAX($B$7,$B$8),EV$3&lt;EDATE($B$7,MAX(1,'Вводные'!$H$88)),'Вводные'!$B$88="Да")</x:f>
      </x:c>
      <x:c r="EW12" s="35" t="n">
        <x:f>--AND(EW$3&gt;=MAX($B$7,$B$8),EW$3&lt;EDATE($B$7,MAX(1,'Вводные'!$H$88)),'Вводные'!$B$88="Да")</x:f>
      </x:c>
      <x:c r="EX12" s="35" t="n">
        <x:f>--AND(EX$3&gt;=MAX($B$7,$B$8),EX$3&lt;EDATE($B$7,MAX(1,'Вводные'!$H$88)),'Вводные'!$B$88="Да")</x:f>
      </x:c>
      <x:c r="EY12" s="35" t="n">
        <x:f>--AND(EY$3&gt;=MAX($B$7,$B$8),EY$3&lt;EDATE($B$7,MAX(1,'Вводные'!$H$88)),'Вводные'!$B$88="Да")</x:f>
      </x:c>
      <x:c r="EZ12" s="35" t="n">
        <x:f>--AND(EZ$3&gt;=MAX($B$7,$B$8),EZ$3&lt;EDATE($B$7,MAX(1,'Вводные'!$H$88)),'Вводные'!$B$88="Да")</x:f>
      </x:c>
      <x:c r="FA12" s="35" t="n">
        <x:f>--AND(FA$3&gt;=MAX($B$7,$B$8),FA$3&lt;EDATE($B$7,MAX(1,'Вводные'!$H$88)),'Вводные'!$B$88="Да")</x:f>
      </x:c>
      <x:c r="FB12" s="35" t="n">
        <x:f>--AND(FB$3&gt;=MAX($B$7,$B$8),FB$3&lt;EDATE($B$7,MAX(1,'Вводные'!$H$88)),'Вводные'!$B$88="Да")</x:f>
      </x:c>
      <x:c r="FC12" s="35" t="n">
        <x:f>--AND(FC$3&gt;=MAX($B$7,$B$8),FC$3&lt;EDATE($B$7,MAX(1,'Вводные'!$H$88)),'Вводные'!$B$88="Да")</x:f>
      </x:c>
      <x:c r="FD12" s="35" t="n">
        <x:f>--AND(FD$3&gt;=MAX($B$7,$B$8),FD$3&lt;EDATE($B$7,MAX(1,'Вводные'!$H$88)),'Вводные'!$B$88="Да")</x:f>
      </x:c>
      <x:c r="FE12" s="35" t="n">
        <x:f>--AND(FE$3&gt;=MAX($B$7,$B$8),FE$3&lt;EDATE($B$7,MAX(1,'Вводные'!$H$88)),'Вводные'!$B$88="Да")</x:f>
      </x:c>
      <x:c r="FF12" s="35" t="n">
        <x:f>--AND(FF$3&gt;=MAX($B$7,$B$8),FF$3&lt;EDATE($B$7,MAX(1,'Вводные'!$H$88)),'Вводные'!$B$88="Да")</x:f>
      </x:c>
      <x:c r="FG12" s="35" t="n">
        <x:f>--AND(FG$3&gt;=MAX($B$7,$B$8),FG$3&lt;EDATE($B$7,MAX(1,'Вводные'!$H$88)),'Вводные'!$B$88="Да")</x:f>
      </x:c>
      <x:c r="FH12" s="35" t="n">
        <x:f>--AND(FH$3&gt;=MAX($B$7,$B$8),FH$3&lt;EDATE($B$7,MAX(1,'Вводные'!$H$88)),'Вводные'!$B$88="Да")</x:f>
      </x:c>
      <x:c r="FI12" s="35" t="n">
        <x:f>--AND(FI$3&gt;=MAX($B$7,$B$8),FI$3&lt;EDATE($B$7,MAX(1,'Вводные'!$H$88)),'Вводные'!$B$88="Да")</x:f>
      </x:c>
      <x:c r="FJ12" s="35" t="n">
        <x:f>--AND(FJ$3&gt;=MAX($B$7,$B$8),FJ$3&lt;EDATE($B$7,MAX(1,'Вводные'!$H$88)),'Вводные'!$B$88="Да")</x:f>
      </x:c>
      <x:c r="FK12" s="35" t="n">
        <x:f>--AND(FK$3&gt;=MAX($B$7,$B$8),FK$3&lt;EDATE($B$7,MAX(1,'Вводные'!$H$88)),'Вводные'!$B$88="Да")</x:f>
      </x:c>
      <x:c r="FL12" s="35" t="n">
        <x:f>--AND(FL$3&gt;=MAX($B$7,$B$8),FL$3&lt;EDATE($B$7,MAX(1,'Вводные'!$H$88)),'Вводные'!$B$88="Да")</x:f>
      </x:c>
      <x:c r="FM12" s="35" t="n">
        <x:f>--AND(FM$3&gt;=MAX($B$7,$B$8),FM$3&lt;EDATE($B$7,MAX(1,'Вводные'!$H$88)),'Вводные'!$B$88="Да")</x:f>
      </x:c>
      <x:c r="FN12" s="35" t="n">
        <x:f>--AND(FN$3&gt;=MAX($B$7,$B$8),FN$3&lt;EDATE($B$7,MAX(1,'Вводные'!$H$88)),'Вводные'!$B$88="Да")</x:f>
      </x:c>
      <x:c r="FO12" s="35" t="n">
        <x:f>--AND(FO$3&gt;=MAX($B$7,$B$8),FO$3&lt;EDATE($B$7,MAX(1,'Вводные'!$H$88)),'Вводные'!$B$88="Да")</x:f>
      </x:c>
      <x:c r="FP12" s="35" t="n">
        <x:f>--AND(FP$3&gt;=MAX($B$7,$B$8),FP$3&lt;EDATE($B$7,MAX(1,'Вводные'!$H$88)),'Вводные'!$B$88="Да")</x:f>
      </x:c>
      <x:c r="FQ12" s="35" t="n">
        <x:f>--AND(FQ$3&gt;=MAX($B$7,$B$8),FQ$3&lt;EDATE($B$7,MAX(1,'Вводные'!$H$88)),'Вводные'!$B$88="Да")</x:f>
      </x:c>
      <x:c r="FR12" s="35" t="n">
        <x:f>--AND(FR$3&gt;=MAX($B$7,$B$8),FR$3&lt;EDATE($B$7,MAX(1,'Вводные'!$H$88)),'Вводные'!$B$88="Да")</x:f>
      </x:c>
      <x:c r="FS12" s="35" t="n">
        <x:f>--AND(FS$3&gt;=MAX($B$7,$B$8),FS$3&lt;EDATE($B$7,MAX(1,'Вводные'!$H$88)),'Вводные'!$B$88="Да")</x:f>
      </x:c>
      <x:c r="FT12" s="35" t="n">
        <x:f>--AND(FT$3&gt;=MAX($B$7,$B$8),FT$3&lt;EDATE($B$7,MAX(1,'Вводные'!$H$88)),'Вводные'!$B$88="Да")</x:f>
      </x:c>
      <x:c r="FU12" s="35" t="n">
        <x:f>--AND(FU$3&gt;=MAX($B$7,$B$8),FU$3&lt;EDATE($B$7,MAX(1,'Вводные'!$H$88)),'Вводные'!$B$88="Да")</x:f>
      </x:c>
      <x:c r="FV12" s="35" t="n">
        <x:f>--AND(FV$3&gt;=MAX($B$7,$B$8),FV$3&lt;EDATE($B$7,MAX(1,'Вводные'!$H$88)),'Вводные'!$B$88="Да")</x:f>
      </x:c>
      <x:c r="FW12" s="35" t="n">
        <x:f>--AND(FW$3&gt;=MAX($B$7,$B$8),FW$3&lt;EDATE($B$7,MAX(1,'Вводные'!$H$88)),'Вводные'!$B$88="Да")</x:f>
      </x:c>
      <x:c r="FX12" s="35" t="n">
        <x:f>--AND(FX$3&gt;=MAX($B$7,$B$8),FX$3&lt;EDATE($B$7,MAX(1,'Вводные'!$H$88)),'Вводные'!$B$88="Да")</x:f>
      </x:c>
      <x:c r="FY12" s="35" t="n">
        <x:f>--AND(FY$3&gt;=MAX($B$7,$B$8),FY$3&lt;EDATE($B$7,MAX(1,'Вводные'!$H$88)),'Вводные'!$B$88="Да")</x:f>
      </x:c>
      <x:c r="FZ12" s="35" t="n">
        <x:f>--AND(FZ$3&gt;=MAX($B$7,$B$8),FZ$3&lt;EDATE($B$7,MAX(1,'Вводные'!$H$88)),'Вводные'!$B$88="Да")</x:f>
      </x:c>
      <x:c r="GA12" s="35" t="n">
        <x:f>--AND(GA$3&gt;=MAX($B$7,$B$8),GA$3&lt;EDATE($B$7,MAX(1,'Вводные'!$H$88)),'Вводные'!$B$88="Да")</x:f>
      </x:c>
    </x:row>
    <x:row r="13">
      <x:c r="A13" t="str">
        <x:v>Нормированный вес после РВЭ</x:v>
      </x:c>
      <x:c r="B13" t="n">
        <x:f>SUM(D13:GA13)</x:f>
      </x:c>
      <x:c r="C13" t="str">
        <x:v>%</x:v>
      </x:c>
      <x:c r="D13" s="35" t="n">
        <x:f>IFERROR(D10*D12/SUMPRODUCT($D10:$GA10,$D12:$GA12),0)</x:f>
      </x:c>
      <x:c r="E13" s="35" t="n">
        <x:f>IFERROR(E10*E12/SUMPRODUCT($D10:$GA10,$D12:$GA12),0)</x:f>
      </x:c>
      <x:c r="F13" s="35" t="n">
        <x:f>IFERROR(F10*F12/SUMPRODUCT($D10:$GA10,$D12:$GA12),0)</x:f>
      </x:c>
      <x:c r="G13" s="35" t="n">
        <x:f>IFERROR(G10*G12/SUMPRODUCT($D10:$GA10,$D12:$GA12),0)</x:f>
      </x:c>
      <x:c r="H13" s="35" t="n">
        <x:f>IFERROR(H10*H12/SUMPRODUCT($D10:$GA10,$D12:$GA12),0)</x:f>
      </x:c>
      <x:c r="I13" s="35" t="n">
        <x:f>IFERROR(I10*I12/SUMPRODUCT($D10:$GA10,$D12:$GA12),0)</x:f>
      </x:c>
      <x:c r="J13" s="35" t="n">
        <x:f>IFERROR(J10*J12/SUMPRODUCT($D10:$GA10,$D12:$GA12),0)</x:f>
      </x:c>
      <x:c r="K13" s="35" t="n">
        <x:f>IFERROR(K10*K12/SUMPRODUCT($D10:$GA10,$D12:$GA12),0)</x:f>
      </x:c>
      <x:c r="L13" s="35" t="n">
        <x:f>IFERROR(L10*L12/SUMPRODUCT($D10:$GA10,$D12:$GA12),0)</x:f>
      </x:c>
      <x:c r="M13" s="35" t="n">
        <x:f>IFERROR(M10*M12/SUMPRODUCT($D10:$GA10,$D12:$GA12),0)</x:f>
      </x:c>
      <x:c r="N13" s="35" t="n">
        <x:f>IFERROR(N10*N12/SUMPRODUCT($D10:$GA10,$D12:$GA12),0)</x:f>
      </x:c>
      <x:c r="O13" s="35" t="n">
        <x:f>IFERROR(O10*O12/SUMPRODUCT($D10:$GA10,$D12:$GA12),0)</x:f>
      </x:c>
      <x:c r="P13" s="35" t="n">
        <x:f>IFERROR(P10*P12/SUMPRODUCT($D10:$GA10,$D12:$GA12),0)</x:f>
      </x:c>
      <x:c r="Q13" s="35" t="n">
        <x:f>IFERROR(Q10*Q12/SUMPRODUCT($D10:$GA10,$D12:$GA12),0)</x:f>
      </x:c>
      <x:c r="R13" s="35" t="n">
        <x:f>IFERROR(R10*R12/SUMPRODUCT($D10:$GA10,$D12:$GA12),0)</x:f>
      </x:c>
      <x:c r="S13" s="35" t="n">
        <x:f>IFERROR(S10*S12/SUMPRODUCT($D10:$GA10,$D12:$GA12),0)</x:f>
      </x:c>
      <x:c r="T13" s="35" t="n">
        <x:f>IFERROR(T10*T12/SUMPRODUCT($D10:$GA10,$D12:$GA12),0)</x:f>
      </x:c>
      <x:c r="U13" s="35" t="n">
        <x:f>IFERROR(U10*U12/SUMPRODUCT($D10:$GA10,$D12:$GA12),0)</x:f>
      </x:c>
      <x:c r="V13" s="35" t="n">
        <x:f>IFERROR(V10*V12/SUMPRODUCT($D10:$GA10,$D12:$GA12),0)</x:f>
      </x:c>
      <x:c r="W13" s="35" t="n">
        <x:f>IFERROR(W10*W12/SUMPRODUCT($D10:$GA10,$D12:$GA12),0)</x:f>
      </x:c>
      <x:c r="X13" s="35" t="n">
        <x:f>IFERROR(X10*X12/SUMPRODUCT($D10:$GA10,$D12:$GA12),0)</x:f>
      </x:c>
      <x:c r="Y13" s="35" t="n">
        <x:f>IFERROR(Y10*Y12/SUMPRODUCT($D10:$GA10,$D12:$GA12),0)</x:f>
      </x:c>
      <x:c r="Z13" s="35" t="n">
        <x:f>IFERROR(Z10*Z12/SUMPRODUCT($D10:$GA10,$D12:$GA12),0)</x:f>
      </x:c>
      <x:c r="AA13" s="35" t="n">
        <x:f>IFERROR(AA10*AA12/SUMPRODUCT($D10:$GA10,$D12:$GA12),0)</x:f>
      </x:c>
      <x:c r="AB13" s="35" t="n">
        <x:f>IFERROR(AB10*AB12/SUMPRODUCT($D10:$GA10,$D12:$GA12),0)</x:f>
      </x:c>
      <x:c r="AC13" s="35" t="n">
        <x:f>IFERROR(AC10*AC12/SUMPRODUCT($D10:$GA10,$D12:$GA12),0)</x:f>
      </x:c>
      <x:c r="AD13" s="35" t="n">
        <x:f>IFERROR(AD10*AD12/SUMPRODUCT($D10:$GA10,$D12:$GA12),0)</x:f>
      </x:c>
      <x:c r="AE13" s="35" t="n">
        <x:f>IFERROR(AE10*AE12/SUMPRODUCT($D10:$GA10,$D12:$GA12),0)</x:f>
      </x:c>
      <x:c r="AF13" s="35" t="n">
        <x:f>IFERROR(AF10*AF12/SUMPRODUCT($D10:$GA10,$D12:$GA12),0)</x:f>
      </x:c>
      <x:c r="AG13" s="35" t="n">
        <x:f>IFERROR(AG10*AG12/SUMPRODUCT($D10:$GA10,$D12:$GA12),0)</x:f>
      </x:c>
      <x:c r="AH13" s="35" t="n">
        <x:f>IFERROR(AH10*AH12/SUMPRODUCT($D10:$GA10,$D12:$GA12),0)</x:f>
      </x:c>
      <x:c r="AI13" s="35" t="n">
        <x:f>IFERROR(AI10*AI12/SUMPRODUCT($D10:$GA10,$D12:$GA12),0)</x:f>
      </x:c>
      <x:c r="AJ13" s="35" t="n">
        <x:f>IFERROR(AJ10*AJ12/SUMPRODUCT($D10:$GA10,$D12:$GA12),0)</x:f>
      </x:c>
      <x:c r="AK13" s="35" t="n">
        <x:f>IFERROR(AK10*AK12/SUMPRODUCT($D10:$GA10,$D12:$GA12),0)</x:f>
      </x:c>
      <x:c r="AL13" s="35" t="n">
        <x:f>IFERROR(AL10*AL12/SUMPRODUCT($D10:$GA10,$D12:$GA12),0)</x:f>
      </x:c>
      <x:c r="AM13" s="35" t="n">
        <x:f>IFERROR(AM10*AM12/SUMPRODUCT($D10:$GA10,$D12:$GA12),0)</x:f>
      </x:c>
      <x:c r="AN13" s="35" t="n">
        <x:f>IFERROR(AN10*AN12/SUMPRODUCT($D10:$GA10,$D12:$GA12),0)</x:f>
      </x:c>
      <x:c r="AO13" s="35" t="n">
        <x:f>IFERROR(AO10*AO12/SUMPRODUCT($D10:$GA10,$D12:$GA12),0)</x:f>
      </x:c>
      <x:c r="AP13" s="35" t="n">
        <x:f>IFERROR(AP10*AP12/SUMPRODUCT($D10:$GA10,$D12:$GA12),0)</x:f>
      </x:c>
      <x:c r="AQ13" s="35" t="n">
        <x:f>IFERROR(AQ10*AQ12/SUMPRODUCT($D10:$GA10,$D12:$GA12),0)</x:f>
      </x:c>
      <x:c r="AR13" s="35" t="n">
        <x:f>IFERROR(AR10*AR12/SUMPRODUCT($D10:$GA10,$D12:$GA12),0)</x:f>
      </x:c>
      <x:c r="AS13" s="35" t="n">
        <x:f>IFERROR(AS10*AS12/SUMPRODUCT($D10:$GA10,$D12:$GA12),0)</x:f>
      </x:c>
      <x:c r="AT13" s="35" t="n">
        <x:f>IFERROR(AT10*AT12/SUMPRODUCT($D10:$GA10,$D12:$GA12),0)</x:f>
      </x:c>
      <x:c r="AU13" s="35" t="n">
        <x:f>IFERROR(AU10*AU12/SUMPRODUCT($D10:$GA10,$D12:$GA12),0)</x:f>
      </x:c>
      <x:c r="AV13" s="35" t="n">
        <x:f>IFERROR(AV10*AV12/SUMPRODUCT($D10:$GA10,$D12:$GA12),0)</x:f>
      </x:c>
      <x:c r="AW13" s="35" t="n">
        <x:f>IFERROR(AW10*AW12/SUMPRODUCT($D10:$GA10,$D12:$GA12),0)</x:f>
      </x:c>
      <x:c r="AX13" s="35" t="n">
        <x:f>IFERROR(AX10*AX12/SUMPRODUCT($D10:$GA10,$D12:$GA12),0)</x:f>
      </x:c>
      <x:c r="AY13" s="35" t="n">
        <x:f>IFERROR(AY10*AY12/SUMPRODUCT($D10:$GA10,$D12:$GA12),0)</x:f>
      </x:c>
      <x:c r="AZ13" s="35" t="n">
        <x:f>IFERROR(AZ10*AZ12/SUMPRODUCT($D10:$GA10,$D12:$GA12),0)</x:f>
      </x:c>
      <x:c r="BA13" s="35" t="n">
        <x:f>IFERROR(BA10*BA12/SUMPRODUCT($D10:$GA10,$D12:$GA12),0)</x:f>
      </x:c>
      <x:c r="BB13" s="35" t="n">
        <x:f>IFERROR(BB10*BB12/SUMPRODUCT($D10:$GA10,$D12:$GA12),0)</x:f>
      </x:c>
      <x:c r="BC13" s="35" t="n">
        <x:f>IFERROR(BC10*BC12/SUMPRODUCT($D10:$GA10,$D12:$GA12),0)</x:f>
      </x:c>
      <x:c r="BD13" s="35" t="n">
        <x:f>IFERROR(BD10*BD12/SUMPRODUCT($D10:$GA10,$D12:$GA12),0)</x:f>
      </x:c>
      <x:c r="BE13" s="35" t="n">
        <x:f>IFERROR(BE10*BE12/SUMPRODUCT($D10:$GA10,$D12:$GA12),0)</x:f>
      </x:c>
      <x:c r="BF13" s="35" t="n">
        <x:f>IFERROR(BF10*BF12/SUMPRODUCT($D10:$GA10,$D12:$GA12),0)</x:f>
      </x:c>
      <x:c r="BG13" s="35" t="n">
        <x:f>IFERROR(BG10*BG12/SUMPRODUCT($D10:$GA10,$D12:$GA12),0)</x:f>
      </x:c>
      <x:c r="BH13" s="35" t="n">
        <x:f>IFERROR(BH10*BH12/SUMPRODUCT($D10:$GA10,$D12:$GA12),0)</x:f>
      </x:c>
      <x:c r="BI13" s="35" t="n">
        <x:f>IFERROR(BI10*BI12/SUMPRODUCT($D10:$GA10,$D12:$GA12),0)</x:f>
      </x:c>
      <x:c r="BJ13" s="35" t="n">
        <x:f>IFERROR(BJ10*BJ12/SUMPRODUCT($D10:$GA10,$D12:$GA12),0)</x:f>
      </x:c>
      <x:c r="BK13" s="35" t="n">
        <x:f>IFERROR(BK10*BK12/SUMPRODUCT($D10:$GA10,$D12:$GA12),0)</x:f>
      </x:c>
      <x:c r="BL13" s="35" t="n">
        <x:f>IFERROR(BL10*BL12/SUMPRODUCT($D10:$GA10,$D12:$GA12),0)</x:f>
      </x:c>
      <x:c r="BM13" s="35" t="n">
        <x:f>IFERROR(BM10*BM12/SUMPRODUCT($D10:$GA10,$D12:$GA12),0)</x:f>
      </x:c>
      <x:c r="BN13" s="35" t="n">
        <x:f>IFERROR(BN10*BN12/SUMPRODUCT($D10:$GA10,$D12:$GA12),0)</x:f>
      </x:c>
      <x:c r="BO13" s="35" t="n">
        <x:f>IFERROR(BO10*BO12/SUMPRODUCT($D10:$GA10,$D12:$GA12),0)</x:f>
      </x:c>
      <x:c r="BP13" s="35" t="n">
        <x:f>IFERROR(BP10*BP12/SUMPRODUCT($D10:$GA10,$D12:$GA12),0)</x:f>
      </x:c>
      <x:c r="BQ13" s="35" t="n">
        <x:f>IFERROR(BQ10*BQ12/SUMPRODUCT($D10:$GA10,$D12:$GA12),0)</x:f>
      </x:c>
      <x:c r="BR13" s="35" t="n">
        <x:f>IFERROR(BR10*BR12/SUMPRODUCT($D10:$GA10,$D12:$GA12),0)</x:f>
      </x:c>
      <x:c r="BS13" s="35" t="n">
        <x:f>IFERROR(BS10*BS12/SUMPRODUCT($D10:$GA10,$D12:$GA12),0)</x:f>
      </x:c>
      <x:c r="BT13" s="35" t="n">
        <x:f>IFERROR(BT10*BT12/SUMPRODUCT($D10:$GA10,$D12:$GA12),0)</x:f>
      </x:c>
      <x:c r="BU13" s="35" t="n">
        <x:f>IFERROR(BU10*BU12/SUMPRODUCT($D10:$GA10,$D12:$GA12),0)</x:f>
      </x:c>
      <x:c r="BV13" s="35" t="n">
        <x:f>IFERROR(BV10*BV12/SUMPRODUCT($D10:$GA10,$D12:$GA12),0)</x:f>
      </x:c>
      <x:c r="BW13" s="35" t="n">
        <x:f>IFERROR(BW10*BW12/SUMPRODUCT($D10:$GA10,$D12:$GA12),0)</x:f>
      </x:c>
      <x:c r="BX13" s="35" t="n">
        <x:f>IFERROR(BX10*BX12/SUMPRODUCT($D10:$GA10,$D12:$GA12),0)</x:f>
      </x:c>
      <x:c r="BY13" s="35" t="n">
        <x:f>IFERROR(BY10*BY12/SUMPRODUCT($D10:$GA10,$D12:$GA12),0)</x:f>
      </x:c>
      <x:c r="BZ13" s="35" t="n">
        <x:f>IFERROR(BZ10*BZ12/SUMPRODUCT($D10:$GA10,$D12:$GA12),0)</x:f>
      </x:c>
      <x:c r="CA13" s="35" t="n">
        <x:f>IFERROR(CA10*CA12/SUMPRODUCT($D10:$GA10,$D12:$GA12),0)</x:f>
      </x:c>
      <x:c r="CB13" s="35" t="n">
        <x:f>IFERROR(CB10*CB12/SUMPRODUCT($D10:$GA10,$D12:$GA12),0)</x:f>
      </x:c>
      <x:c r="CC13" s="35" t="n">
        <x:f>IFERROR(CC10*CC12/SUMPRODUCT($D10:$GA10,$D12:$GA12),0)</x:f>
      </x:c>
      <x:c r="CD13" s="35" t="n">
        <x:f>IFERROR(CD10*CD12/SUMPRODUCT($D10:$GA10,$D12:$GA12),0)</x:f>
      </x:c>
      <x:c r="CE13" s="35" t="n">
        <x:f>IFERROR(CE10*CE12/SUMPRODUCT($D10:$GA10,$D12:$GA12),0)</x:f>
      </x:c>
      <x:c r="CF13" s="35" t="n">
        <x:f>IFERROR(CF10*CF12/SUMPRODUCT($D10:$GA10,$D12:$GA12),0)</x:f>
      </x:c>
      <x:c r="CG13" s="35" t="n">
        <x:f>IFERROR(CG10*CG12/SUMPRODUCT($D10:$GA10,$D12:$GA12),0)</x:f>
      </x:c>
      <x:c r="CH13" s="35" t="n">
        <x:f>IFERROR(CH10*CH12/SUMPRODUCT($D10:$GA10,$D12:$GA12),0)</x:f>
      </x:c>
      <x:c r="CI13" s="35" t="n">
        <x:f>IFERROR(CI10*CI12/SUMPRODUCT($D10:$GA10,$D12:$GA12),0)</x:f>
      </x:c>
      <x:c r="CJ13" s="35" t="n">
        <x:f>IFERROR(CJ10*CJ12/SUMPRODUCT($D10:$GA10,$D12:$GA12),0)</x:f>
      </x:c>
      <x:c r="CK13" s="35" t="n">
        <x:f>IFERROR(CK10*CK12/SUMPRODUCT($D10:$GA10,$D12:$GA12),0)</x:f>
      </x:c>
      <x:c r="CL13" s="35" t="n">
        <x:f>IFERROR(CL10*CL12/SUMPRODUCT($D10:$GA10,$D12:$GA12),0)</x:f>
      </x:c>
      <x:c r="CM13" s="35" t="n">
        <x:f>IFERROR(CM10*CM12/SUMPRODUCT($D10:$GA10,$D12:$GA12),0)</x:f>
      </x:c>
      <x:c r="CN13" s="35" t="n">
        <x:f>IFERROR(CN10*CN12/SUMPRODUCT($D10:$GA10,$D12:$GA12),0)</x:f>
      </x:c>
      <x:c r="CO13" s="35" t="n">
        <x:f>IFERROR(CO10*CO12/SUMPRODUCT($D10:$GA10,$D12:$GA12),0)</x:f>
      </x:c>
      <x:c r="CP13" s="35" t="n">
        <x:f>IFERROR(CP10*CP12/SUMPRODUCT($D10:$GA10,$D12:$GA12),0)</x:f>
      </x:c>
      <x:c r="CQ13" s="35" t="n">
        <x:f>IFERROR(CQ10*CQ12/SUMPRODUCT($D10:$GA10,$D12:$GA12),0)</x:f>
      </x:c>
      <x:c r="CR13" s="35" t="n">
        <x:f>IFERROR(CR10*CR12/SUMPRODUCT($D10:$GA10,$D12:$GA12),0)</x:f>
      </x:c>
      <x:c r="CS13" s="35" t="n">
        <x:f>IFERROR(CS10*CS12/SUMPRODUCT($D10:$GA10,$D12:$GA12),0)</x:f>
      </x:c>
      <x:c r="CT13" s="35" t="n">
        <x:f>IFERROR(CT10*CT12/SUMPRODUCT($D10:$GA10,$D12:$GA12),0)</x:f>
      </x:c>
      <x:c r="CU13" s="35" t="n">
        <x:f>IFERROR(CU10*CU12/SUMPRODUCT($D10:$GA10,$D12:$GA12),0)</x:f>
      </x:c>
      <x:c r="CV13" s="35" t="n">
        <x:f>IFERROR(CV10*CV12/SUMPRODUCT($D10:$GA10,$D12:$GA12),0)</x:f>
      </x:c>
      <x:c r="CW13" s="35" t="n">
        <x:f>IFERROR(CW10*CW12/SUMPRODUCT($D10:$GA10,$D12:$GA12),0)</x:f>
      </x:c>
      <x:c r="CX13" s="35" t="n">
        <x:f>IFERROR(CX10*CX12/SUMPRODUCT($D10:$GA10,$D12:$GA12),0)</x:f>
      </x:c>
      <x:c r="CY13" s="35" t="n">
        <x:f>IFERROR(CY10*CY12/SUMPRODUCT($D10:$GA10,$D12:$GA12),0)</x:f>
      </x:c>
      <x:c r="CZ13" s="35" t="n">
        <x:f>IFERROR(CZ10*CZ12/SUMPRODUCT($D10:$GA10,$D12:$GA12),0)</x:f>
      </x:c>
      <x:c r="DA13" s="35" t="n">
        <x:f>IFERROR(DA10*DA12/SUMPRODUCT($D10:$GA10,$D12:$GA12),0)</x:f>
      </x:c>
      <x:c r="DB13" s="35" t="n">
        <x:f>IFERROR(DB10*DB12/SUMPRODUCT($D10:$GA10,$D12:$GA12),0)</x:f>
      </x:c>
      <x:c r="DC13" s="35" t="n">
        <x:f>IFERROR(DC10*DC12/SUMPRODUCT($D10:$GA10,$D12:$GA12),0)</x:f>
      </x:c>
      <x:c r="DD13" s="35" t="n">
        <x:f>IFERROR(DD10*DD12/SUMPRODUCT($D10:$GA10,$D12:$GA12),0)</x:f>
      </x:c>
      <x:c r="DE13" s="35" t="n">
        <x:f>IFERROR(DE10*DE12/SUMPRODUCT($D10:$GA10,$D12:$GA12),0)</x:f>
      </x:c>
      <x:c r="DF13" s="35" t="n">
        <x:f>IFERROR(DF10*DF12/SUMPRODUCT($D10:$GA10,$D12:$GA12),0)</x:f>
      </x:c>
      <x:c r="DG13" s="35" t="n">
        <x:f>IFERROR(DG10*DG12/SUMPRODUCT($D10:$GA10,$D12:$GA12),0)</x:f>
      </x:c>
      <x:c r="DH13" s="35" t="n">
        <x:f>IFERROR(DH10*DH12/SUMPRODUCT($D10:$GA10,$D12:$GA12),0)</x:f>
      </x:c>
      <x:c r="DI13" s="35" t="n">
        <x:f>IFERROR(DI10*DI12/SUMPRODUCT($D10:$GA10,$D12:$GA12),0)</x:f>
      </x:c>
      <x:c r="DJ13" s="35" t="n">
        <x:f>IFERROR(DJ10*DJ12/SUMPRODUCT($D10:$GA10,$D12:$GA12),0)</x:f>
      </x:c>
      <x:c r="DK13" s="35" t="n">
        <x:f>IFERROR(DK10*DK12/SUMPRODUCT($D10:$GA10,$D12:$GA12),0)</x:f>
      </x:c>
      <x:c r="DL13" s="35" t="n">
        <x:f>IFERROR(DL10*DL12/SUMPRODUCT($D10:$GA10,$D12:$GA12),0)</x:f>
      </x:c>
      <x:c r="DM13" s="35" t="n">
        <x:f>IFERROR(DM10*DM12/SUMPRODUCT($D10:$GA10,$D12:$GA12),0)</x:f>
      </x:c>
      <x:c r="DN13" s="35" t="n">
        <x:f>IFERROR(DN10*DN12/SUMPRODUCT($D10:$GA10,$D12:$GA12),0)</x:f>
      </x:c>
      <x:c r="DO13" s="35" t="n">
        <x:f>IFERROR(DO10*DO12/SUMPRODUCT($D10:$GA10,$D12:$GA12),0)</x:f>
      </x:c>
      <x:c r="DP13" s="35" t="n">
        <x:f>IFERROR(DP10*DP12/SUMPRODUCT($D10:$GA10,$D12:$GA12),0)</x:f>
      </x:c>
      <x:c r="DQ13" s="35" t="n">
        <x:f>IFERROR(DQ10*DQ12/SUMPRODUCT($D10:$GA10,$D12:$GA12),0)</x:f>
      </x:c>
      <x:c r="DR13" s="35" t="n">
        <x:f>IFERROR(DR10*DR12/SUMPRODUCT($D10:$GA10,$D12:$GA12),0)</x:f>
      </x:c>
      <x:c r="DS13" s="35" t="n">
        <x:f>IFERROR(DS10*DS12/SUMPRODUCT($D10:$GA10,$D12:$GA12),0)</x:f>
      </x:c>
      <x:c r="DT13" s="35" t="n">
        <x:f>IFERROR(DT10*DT12/SUMPRODUCT($D10:$GA10,$D12:$GA12),0)</x:f>
      </x:c>
      <x:c r="DU13" s="35" t="n">
        <x:f>IFERROR(DU10*DU12/SUMPRODUCT($D10:$GA10,$D12:$GA12),0)</x:f>
      </x:c>
      <x:c r="DV13" s="35" t="n">
        <x:f>IFERROR(DV10*DV12/SUMPRODUCT($D10:$GA10,$D12:$GA12),0)</x:f>
      </x:c>
      <x:c r="DW13" s="35" t="n">
        <x:f>IFERROR(DW10*DW12/SUMPRODUCT($D10:$GA10,$D12:$GA12),0)</x:f>
      </x:c>
      <x:c r="DX13" s="35" t="n">
        <x:f>IFERROR(DX10*DX12/SUMPRODUCT($D10:$GA10,$D12:$GA12),0)</x:f>
      </x:c>
      <x:c r="DY13" s="35" t="n">
        <x:f>IFERROR(DY10*DY12/SUMPRODUCT($D10:$GA10,$D12:$GA12),0)</x:f>
      </x:c>
      <x:c r="DZ13" s="35" t="n">
        <x:f>IFERROR(DZ10*DZ12/SUMPRODUCT($D10:$GA10,$D12:$GA12),0)</x:f>
      </x:c>
      <x:c r="EA13" s="35" t="n">
        <x:f>IFERROR(EA10*EA12/SUMPRODUCT($D10:$GA10,$D12:$GA12),0)</x:f>
      </x:c>
      <x:c r="EB13" s="35" t="n">
        <x:f>IFERROR(EB10*EB12/SUMPRODUCT($D10:$GA10,$D12:$GA12),0)</x:f>
      </x:c>
      <x:c r="EC13" s="35" t="n">
        <x:f>IFERROR(EC10*EC12/SUMPRODUCT($D10:$GA10,$D12:$GA12),0)</x:f>
      </x:c>
      <x:c r="ED13" s="35" t="n">
        <x:f>IFERROR(ED10*ED12/SUMPRODUCT($D10:$GA10,$D12:$GA12),0)</x:f>
      </x:c>
      <x:c r="EE13" s="35" t="n">
        <x:f>IFERROR(EE10*EE12/SUMPRODUCT($D10:$GA10,$D12:$GA12),0)</x:f>
      </x:c>
      <x:c r="EF13" s="35" t="n">
        <x:f>IFERROR(EF10*EF12/SUMPRODUCT($D10:$GA10,$D12:$GA12),0)</x:f>
      </x:c>
      <x:c r="EG13" s="35" t="n">
        <x:f>IFERROR(EG10*EG12/SUMPRODUCT($D10:$GA10,$D12:$GA12),0)</x:f>
      </x:c>
      <x:c r="EH13" s="35" t="n">
        <x:f>IFERROR(EH10*EH12/SUMPRODUCT($D10:$GA10,$D12:$GA12),0)</x:f>
      </x:c>
      <x:c r="EI13" s="35" t="n">
        <x:f>IFERROR(EI10*EI12/SUMPRODUCT($D10:$GA10,$D12:$GA12),0)</x:f>
      </x:c>
      <x:c r="EJ13" s="35" t="n">
        <x:f>IFERROR(EJ10*EJ12/SUMPRODUCT($D10:$GA10,$D12:$GA12),0)</x:f>
      </x:c>
      <x:c r="EK13" s="35" t="n">
        <x:f>IFERROR(EK10*EK12/SUMPRODUCT($D10:$GA10,$D12:$GA12),0)</x:f>
      </x:c>
      <x:c r="EL13" s="35" t="n">
        <x:f>IFERROR(EL10*EL12/SUMPRODUCT($D10:$GA10,$D12:$GA12),0)</x:f>
      </x:c>
      <x:c r="EM13" s="35" t="n">
        <x:f>IFERROR(EM10*EM12/SUMPRODUCT($D10:$GA10,$D12:$GA12),0)</x:f>
      </x:c>
      <x:c r="EN13" s="35" t="n">
        <x:f>IFERROR(EN10*EN12/SUMPRODUCT($D10:$GA10,$D12:$GA12),0)</x:f>
      </x:c>
      <x:c r="EO13" s="35" t="n">
        <x:f>IFERROR(EO10*EO12/SUMPRODUCT($D10:$GA10,$D12:$GA12),0)</x:f>
      </x:c>
      <x:c r="EP13" s="35" t="n">
        <x:f>IFERROR(EP10*EP12/SUMPRODUCT($D10:$GA10,$D12:$GA12),0)</x:f>
      </x:c>
      <x:c r="EQ13" s="35" t="n">
        <x:f>IFERROR(EQ10*EQ12/SUMPRODUCT($D10:$GA10,$D12:$GA12),0)</x:f>
      </x:c>
      <x:c r="ER13" s="35" t="n">
        <x:f>IFERROR(ER10*ER12/SUMPRODUCT($D10:$GA10,$D12:$GA12),0)</x:f>
      </x:c>
      <x:c r="ES13" s="35" t="n">
        <x:f>IFERROR(ES10*ES12/SUMPRODUCT($D10:$GA10,$D12:$GA12),0)</x:f>
      </x:c>
      <x:c r="ET13" s="35" t="n">
        <x:f>IFERROR(ET10*ET12/SUMPRODUCT($D10:$GA10,$D12:$GA12),0)</x:f>
      </x:c>
      <x:c r="EU13" s="35" t="n">
        <x:f>IFERROR(EU10*EU12/SUMPRODUCT($D10:$GA10,$D12:$GA12),0)</x:f>
      </x:c>
      <x:c r="EV13" s="35" t="n">
        <x:f>IFERROR(EV10*EV12/SUMPRODUCT($D10:$GA10,$D12:$GA12),0)</x:f>
      </x:c>
      <x:c r="EW13" s="35" t="n">
        <x:f>IFERROR(EW10*EW12/SUMPRODUCT($D10:$GA10,$D12:$GA12),0)</x:f>
      </x:c>
      <x:c r="EX13" s="35" t="n">
        <x:f>IFERROR(EX10*EX12/SUMPRODUCT($D10:$GA10,$D12:$GA12),0)</x:f>
      </x:c>
      <x:c r="EY13" s="35" t="n">
        <x:f>IFERROR(EY10*EY12/SUMPRODUCT($D10:$GA10,$D12:$GA12),0)</x:f>
      </x:c>
      <x:c r="EZ13" s="35" t="n">
        <x:f>IFERROR(EZ10*EZ12/SUMPRODUCT($D10:$GA10,$D12:$GA12),0)</x:f>
      </x:c>
      <x:c r="FA13" s="35" t="n">
        <x:f>IFERROR(FA10*FA12/SUMPRODUCT($D10:$GA10,$D12:$GA12),0)</x:f>
      </x:c>
      <x:c r="FB13" s="35" t="n">
        <x:f>IFERROR(FB10*FB12/SUMPRODUCT($D10:$GA10,$D12:$GA12),0)</x:f>
      </x:c>
      <x:c r="FC13" s="35" t="n">
        <x:f>IFERROR(FC10*FC12/SUMPRODUCT($D10:$GA10,$D12:$GA12),0)</x:f>
      </x:c>
      <x:c r="FD13" s="35" t="n">
        <x:f>IFERROR(FD10*FD12/SUMPRODUCT($D10:$GA10,$D12:$GA12),0)</x:f>
      </x:c>
      <x:c r="FE13" s="35" t="n">
        <x:f>IFERROR(FE10*FE12/SUMPRODUCT($D10:$GA10,$D12:$GA12),0)</x:f>
      </x:c>
      <x:c r="FF13" s="35" t="n">
        <x:f>IFERROR(FF10*FF12/SUMPRODUCT($D10:$GA10,$D12:$GA12),0)</x:f>
      </x:c>
      <x:c r="FG13" s="35" t="n">
        <x:f>IFERROR(FG10*FG12/SUMPRODUCT($D10:$GA10,$D12:$GA12),0)</x:f>
      </x:c>
      <x:c r="FH13" s="35" t="n">
        <x:f>IFERROR(FH10*FH12/SUMPRODUCT($D10:$GA10,$D12:$GA12),0)</x:f>
      </x:c>
      <x:c r="FI13" s="35" t="n">
        <x:f>IFERROR(FI10*FI12/SUMPRODUCT($D10:$GA10,$D12:$GA12),0)</x:f>
      </x:c>
      <x:c r="FJ13" s="35" t="n">
        <x:f>IFERROR(FJ10*FJ12/SUMPRODUCT($D10:$GA10,$D12:$GA12),0)</x:f>
      </x:c>
      <x:c r="FK13" s="35" t="n">
        <x:f>IFERROR(FK10*FK12/SUMPRODUCT($D10:$GA10,$D12:$GA12),0)</x:f>
      </x:c>
      <x:c r="FL13" s="35" t="n">
        <x:f>IFERROR(FL10*FL12/SUMPRODUCT($D10:$GA10,$D12:$GA12),0)</x:f>
      </x:c>
      <x:c r="FM13" s="35" t="n">
        <x:f>IFERROR(FM10*FM12/SUMPRODUCT($D10:$GA10,$D12:$GA12),0)</x:f>
      </x:c>
      <x:c r="FN13" s="35" t="n">
        <x:f>IFERROR(FN10*FN12/SUMPRODUCT($D10:$GA10,$D12:$GA12),0)</x:f>
      </x:c>
      <x:c r="FO13" s="35" t="n">
        <x:f>IFERROR(FO10*FO12/SUMPRODUCT($D10:$GA10,$D12:$GA12),0)</x:f>
      </x:c>
      <x:c r="FP13" s="35" t="n">
        <x:f>IFERROR(FP10*FP12/SUMPRODUCT($D10:$GA10,$D12:$GA12),0)</x:f>
      </x:c>
      <x:c r="FQ13" s="35" t="n">
        <x:f>IFERROR(FQ10*FQ12/SUMPRODUCT($D10:$GA10,$D12:$GA12),0)</x:f>
      </x:c>
      <x:c r="FR13" s="35" t="n">
        <x:f>IFERROR(FR10*FR12/SUMPRODUCT($D10:$GA10,$D12:$GA12),0)</x:f>
      </x:c>
      <x:c r="FS13" s="35" t="n">
        <x:f>IFERROR(FS10*FS12/SUMPRODUCT($D10:$GA10,$D12:$GA12),0)</x:f>
      </x:c>
      <x:c r="FT13" s="35" t="n">
        <x:f>IFERROR(FT10*FT12/SUMPRODUCT($D10:$GA10,$D12:$GA12),0)</x:f>
      </x:c>
      <x:c r="FU13" s="35" t="n">
        <x:f>IFERROR(FU10*FU12/SUMPRODUCT($D10:$GA10,$D12:$GA12),0)</x:f>
      </x:c>
      <x:c r="FV13" s="35" t="n">
        <x:f>IFERROR(FV10*FV12/SUMPRODUCT($D10:$GA10,$D12:$GA12),0)</x:f>
      </x:c>
      <x:c r="FW13" s="35" t="n">
        <x:f>IFERROR(FW10*FW12/SUMPRODUCT($D10:$GA10,$D12:$GA12),0)</x:f>
      </x:c>
      <x:c r="FX13" s="35" t="n">
        <x:f>IFERROR(FX10*FX12/SUMPRODUCT($D10:$GA10,$D12:$GA12),0)</x:f>
      </x:c>
      <x:c r="FY13" s="35" t="n">
        <x:f>IFERROR(FY10*FY12/SUMPRODUCT($D10:$GA10,$D12:$GA12),0)</x:f>
      </x:c>
      <x:c r="FZ13" s="35" t="n">
        <x:f>IFERROR(FZ10*FZ12/SUMPRODUCT($D10:$GA10,$D12:$GA12),0)</x:f>
      </x:c>
      <x:c r="GA13" s="35" t="n">
        <x:f>IFERROR(GA10*GA12/SUMPRODUCT($D10:$GA10,$D12:$GA12),0)</x:f>
      </x:c>
    </x:row>
    <x:row r="14">
      <x:c r="A14" t="str">
        <x:v>Квартиры — объём</x:v>
      </x:c>
      <x:c r="B14" t="n">
        <x:f>SUM(D14:GA14)</x:f>
      </x:c>
      <x:c r="C14" t="str">
        <x:v>м²</x:v>
      </x:c>
      <x:c r="D14" s="107" t="n">
        <x:f>'Вводные'!$L$88*((IF(SUM($D9:$GA9)=0,0,IF(SUM($D12:$GA12)=0,1,'Вводные'!$B$63)))*D11+(1-(IF(SUM($D9:$GA9)=0,0,IF(SUM($D12:$GA12)=0,1,'Вводные'!$B$63))))*D13)</x:f>
      </x:c>
      <x:c r="E14" s="107" t="n">
        <x:f>'Вводные'!$L$88*((IF(SUM($D9:$GA9)=0,0,IF(SUM($D12:$GA12)=0,1,'Вводные'!$B$63)))*E11+(1-(IF(SUM($D9:$GA9)=0,0,IF(SUM($D12:$GA12)=0,1,'Вводные'!$B$63))))*E13)</x:f>
      </x:c>
      <x:c r="F14" s="107" t="n">
        <x:f>'Вводные'!$L$88*((IF(SUM($D9:$GA9)=0,0,IF(SUM($D12:$GA12)=0,1,'Вводные'!$B$63)))*F11+(1-(IF(SUM($D9:$GA9)=0,0,IF(SUM($D12:$GA12)=0,1,'Вводные'!$B$63))))*F13)</x:f>
      </x:c>
      <x:c r="G14" s="107" t="n">
        <x:f>'Вводные'!$L$88*((IF(SUM($D9:$GA9)=0,0,IF(SUM($D12:$GA12)=0,1,'Вводные'!$B$63)))*G11+(1-(IF(SUM($D9:$GA9)=0,0,IF(SUM($D12:$GA12)=0,1,'Вводные'!$B$63))))*G13)</x:f>
      </x:c>
      <x:c r="H14" s="107" t="n">
        <x:f>'Вводные'!$L$88*((IF(SUM($D9:$GA9)=0,0,IF(SUM($D12:$GA12)=0,1,'Вводные'!$B$63)))*H11+(1-(IF(SUM($D9:$GA9)=0,0,IF(SUM($D12:$GA12)=0,1,'Вводные'!$B$63))))*H13)</x:f>
      </x:c>
      <x:c r="I14" s="107" t="n">
        <x:f>'Вводные'!$L$88*((IF(SUM($D9:$GA9)=0,0,IF(SUM($D12:$GA12)=0,1,'Вводные'!$B$63)))*I11+(1-(IF(SUM($D9:$GA9)=0,0,IF(SUM($D12:$GA12)=0,1,'Вводные'!$B$63))))*I13)</x:f>
      </x:c>
      <x:c r="J14" s="107" t="n">
        <x:f>'Вводные'!$L$88*((IF(SUM($D9:$GA9)=0,0,IF(SUM($D12:$GA12)=0,1,'Вводные'!$B$63)))*J11+(1-(IF(SUM($D9:$GA9)=0,0,IF(SUM($D12:$GA12)=0,1,'Вводные'!$B$63))))*J13)</x:f>
      </x:c>
      <x:c r="K14" s="107" t="n">
        <x:f>'Вводные'!$L$88*((IF(SUM($D9:$GA9)=0,0,IF(SUM($D12:$GA12)=0,1,'Вводные'!$B$63)))*K11+(1-(IF(SUM($D9:$GA9)=0,0,IF(SUM($D12:$GA12)=0,1,'Вводные'!$B$63))))*K13)</x:f>
      </x:c>
      <x:c r="L14" s="107" t="n">
        <x:f>'Вводные'!$L$88*((IF(SUM($D9:$GA9)=0,0,IF(SUM($D12:$GA12)=0,1,'Вводные'!$B$63)))*L11+(1-(IF(SUM($D9:$GA9)=0,0,IF(SUM($D12:$GA12)=0,1,'Вводные'!$B$63))))*L13)</x:f>
      </x:c>
      <x:c r="M14" s="107" t="n">
        <x:f>'Вводные'!$L$88*((IF(SUM($D9:$GA9)=0,0,IF(SUM($D12:$GA12)=0,1,'Вводные'!$B$63)))*M11+(1-(IF(SUM($D9:$GA9)=0,0,IF(SUM($D12:$GA12)=0,1,'Вводные'!$B$63))))*M13)</x:f>
      </x:c>
      <x:c r="N14" s="107" t="n">
        <x:f>'Вводные'!$L$88*((IF(SUM($D9:$GA9)=0,0,IF(SUM($D12:$GA12)=0,1,'Вводные'!$B$63)))*N11+(1-(IF(SUM($D9:$GA9)=0,0,IF(SUM($D12:$GA12)=0,1,'Вводные'!$B$63))))*N13)</x:f>
      </x:c>
      <x:c r="O14" s="107" t="n">
        <x:f>'Вводные'!$L$88*((IF(SUM($D9:$GA9)=0,0,IF(SUM($D12:$GA12)=0,1,'Вводные'!$B$63)))*O11+(1-(IF(SUM($D9:$GA9)=0,0,IF(SUM($D12:$GA12)=0,1,'Вводные'!$B$63))))*O13)</x:f>
      </x:c>
      <x:c r="P14" s="107" t="n">
        <x:f>'Вводные'!$L$88*((IF(SUM($D9:$GA9)=0,0,IF(SUM($D12:$GA12)=0,1,'Вводные'!$B$63)))*P11+(1-(IF(SUM($D9:$GA9)=0,0,IF(SUM($D12:$GA12)=0,1,'Вводные'!$B$63))))*P13)</x:f>
      </x:c>
      <x:c r="Q14" s="107" t="n">
        <x:f>'Вводные'!$L$88*((IF(SUM($D9:$GA9)=0,0,IF(SUM($D12:$GA12)=0,1,'Вводные'!$B$63)))*Q11+(1-(IF(SUM($D9:$GA9)=0,0,IF(SUM($D12:$GA12)=0,1,'Вводные'!$B$63))))*Q13)</x:f>
      </x:c>
      <x:c r="R14" s="107" t="n">
        <x:f>'Вводные'!$L$88*((IF(SUM($D9:$GA9)=0,0,IF(SUM($D12:$GA12)=0,1,'Вводные'!$B$63)))*R11+(1-(IF(SUM($D9:$GA9)=0,0,IF(SUM($D12:$GA12)=0,1,'Вводные'!$B$63))))*R13)</x:f>
      </x:c>
      <x:c r="S14" s="107" t="n">
        <x:f>'Вводные'!$L$88*((IF(SUM($D9:$GA9)=0,0,IF(SUM($D12:$GA12)=0,1,'Вводные'!$B$63)))*S11+(1-(IF(SUM($D9:$GA9)=0,0,IF(SUM($D12:$GA12)=0,1,'Вводные'!$B$63))))*S13)</x:f>
      </x:c>
      <x:c r="T14" s="107" t="n">
        <x:f>'Вводные'!$L$88*((IF(SUM($D9:$GA9)=0,0,IF(SUM($D12:$GA12)=0,1,'Вводные'!$B$63)))*T11+(1-(IF(SUM($D9:$GA9)=0,0,IF(SUM($D12:$GA12)=0,1,'Вводные'!$B$63))))*T13)</x:f>
      </x:c>
      <x:c r="U14" s="107" t="n">
        <x:f>'Вводные'!$L$88*((IF(SUM($D9:$GA9)=0,0,IF(SUM($D12:$GA12)=0,1,'Вводные'!$B$63)))*U11+(1-(IF(SUM($D9:$GA9)=0,0,IF(SUM($D12:$GA12)=0,1,'Вводные'!$B$63))))*U13)</x:f>
      </x:c>
      <x:c r="V14" s="107" t="n">
        <x:f>'Вводные'!$L$88*((IF(SUM($D9:$GA9)=0,0,IF(SUM($D12:$GA12)=0,1,'Вводные'!$B$63)))*V11+(1-(IF(SUM($D9:$GA9)=0,0,IF(SUM($D12:$GA12)=0,1,'Вводные'!$B$63))))*V13)</x:f>
      </x:c>
      <x:c r="W14" s="107" t="n">
        <x:f>'Вводные'!$L$88*((IF(SUM($D9:$GA9)=0,0,IF(SUM($D12:$GA12)=0,1,'Вводные'!$B$63)))*W11+(1-(IF(SUM($D9:$GA9)=0,0,IF(SUM($D12:$GA12)=0,1,'Вводные'!$B$63))))*W13)</x:f>
      </x:c>
      <x:c r="X14" s="107" t="n">
        <x:f>'Вводные'!$L$88*((IF(SUM($D9:$GA9)=0,0,IF(SUM($D12:$GA12)=0,1,'Вводные'!$B$63)))*X11+(1-(IF(SUM($D9:$GA9)=0,0,IF(SUM($D12:$GA12)=0,1,'Вводные'!$B$63))))*X13)</x:f>
      </x:c>
      <x:c r="Y14" s="107" t="n">
        <x:f>'Вводные'!$L$88*((IF(SUM($D9:$GA9)=0,0,IF(SUM($D12:$GA12)=0,1,'Вводные'!$B$63)))*Y11+(1-(IF(SUM($D9:$GA9)=0,0,IF(SUM($D12:$GA12)=0,1,'Вводные'!$B$63))))*Y13)</x:f>
      </x:c>
      <x:c r="Z14" s="107" t="n">
        <x:f>'Вводные'!$L$88*((IF(SUM($D9:$GA9)=0,0,IF(SUM($D12:$GA12)=0,1,'Вводные'!$B$63)))*Z11+(1-(IF(SUM($D9:$GA9)=0,0,IF(SUM($D12:$GA12)=0,1,'Вводные'!$B$63))))*Z13)</x:f>
      </x:c>
      <x:c r="AA14" s="107" t="n">
        <x:f>'Вводные'!$L$88*((IF(SUM($D9:$GA9)=0,0,IF(SUM($D12:$GA12)=0,1,'Вводные'!$B$63)))*AA11+(1-(IF(SUM($D9:$GA9)=0,0,IF(SUM($D12:$GA12)=0,1,'Вводные'!$B$63))))*AA13)</x:f>
      </x:c>
      <x:c r="AB14" s="107" t="n">
        <x:f>'Вводные'!$L$88*((IF(SUM($D9:$GA9)=0,0,IF(SUM($D12:$GA12)=0,1,'Вводные'!$B$63)))*AB11+(1-(IF(SUM($D9:$GA9)=0,0,IF(SUM($D12:$GA12)=0,1,'Вводные'!$B$63))))*AB13)</x:f>
      </x:c>
      <x:c r="AC14" s="107" t="n">
        <x:f>'Вводные'!$L$88*((IF(SUM($D9:$GA9)=0,0,IF(SUM($D12:$GA12)=0,1,'Вводные'!$B$63)))*AC11+(1-(IF(SUM($D9:$GA9)=0,0,IF(SUM($D12:$GA12)=0,1,'Вводные'!$B$63))))*AC13)</x:f>
      </x:c>
      <x:c r="AD14" s="107" t="n">
        <x:f>'Вводные'!$L$88*((IF(SUM($D9:$GA9)=0,0,IF(SUM($D12:$GA12)=0,1,'Вводные'!$B$63)))*AD11+(1-(IF(SUM($D9:$GA9)=0,0,IF(SUM($D12:$GA12)=0,1,'Вводные'!$B$63))))*AD13)</x:f>
      </x:c>
      <x:c r="AE14" s="107" t="n">
        <x:f>'Вводные'!$L$88*((IF(SUM($D9:$GA9)=0,0,IF(SUM($D12:$GA12)=0,1,'Вводные'!$B$63)))*AE11+(1-(IF(SUM($D9:$GA9)=0,0,IF(SUM($D12:$GA12)=0,1,'Вводные'!$B$63))))*AE13)</x:f>
      </x:c>
      <x:c r="AF14" s="107" t="n">
        <x:f>'Вводные'!$L$88*((IF(SUM($D9:$GA9)=0,0,IF(SUM($D12:$GA12)=0,1,'Вводные'!$B$63)))*AF11+(1-(IF(SUM($D9:$GA9)=0,0,IF(SUM($D12:$GA12)=0,1,'Вводные'!$B$63))))*AF13)</x:f>
      </x:c>
      <x:c r="AG14" s="107" t="n">
        <x:f>'Вводные'!$L$88*((IF(SUM($D9:$GA9)=0,0,IF(SUM($D12:$GA12)=0,1,'Вводные'!$B$63)))*AG11+(1-(IF(SUM($D9:$GA9)=0,0,IF(SUM($D12:$GA12)=0,1,'Вводные'!$B$63))))*AG13)</x:f>
      </x:c>
      <x:c r="AH14" s="107" t="n">
        <x:f>'Вводные'!$L$88*((IF(SUM($D9:$GA9)=0,0,IF(SUM($D12:$GA12)=0,1,'Вводные'!$B$63)))*AH11+(1-(IF(SUM($D9:$GA9)=0,0,IF(SUM($D12:$GA12)=0,1,'Вводные'!$B$63))))*AH13)</x:f>
      </x:c>
      <x:c r="AI14" s="107" t="n">
        <x:f>'Вводные'!$L$88*((IF(SUM($D9:$GA9)=0,0,IF(SUM($D12:$GA12)=0,1,'Вводные'!$B$63)))*AI11+(1-(IF(SUM($D9:$GA9)=0,0,IF(SUM($D12:$GA12)=0,1,'Вводные'!$B$63))))*AI13)</x:f>
      </x:c>
      <x:c r="AJ14" s="107" t="n">
        <x:f>'Вводные'!$L$88*((IF(SUM($D9:$GA9)=0,0,IF(SUM($D12:$GA12)=0,1,'Вводные'!$B$63)))*AJ11+(1-(IF(SUM($D9:$GA9)=0,0,IF(SUM($D12:$GA12)=0,1,'Вводные'!$B$63))))*AJ13)</x:f>
      </x:c>
      <x:c r="AK14" s="107" t="n">
        <x:f>'Вводные'!$L$88*((IF(SUM($D9:$GA9)=0,0,IF(SUM($D12:$GA12)=0,1,'Вводные'!$B$63)))*AK11+(1-(IF(SUM($D9:$GA9)=0,0,IF(SUM($D12:$GA12)=0,1,'Вводные'!$B$63))))*AK13)</x:f>
      </x:c>
      <x:c r="AL14" s="107" t="n">
        <x:f>'Вводные'!$L$88*((IF(SUM($D9:$GA9)=0,0,IF(SUM($D12:$GA12)=0,1,'Вводные'!$B$63)))*AL11+(1-(IF(SUM($D9:$GA9)=0,0,IF(SUM($D12:$GA12)=0,1,'Вводные'!$B$63))))*AL13)</x:f>
      </x:c>
      <x:c r="AM14" s="107" t="n">
        <x:f>'Вводные'!$L$88*((IF(SUM($D9:$GA9)=0,0,IF(SUM($D12:$GA12)=0,1,'Вводные'!$B$63)))*AM11+(1-(IF(SUM($D9:$GA9)=0,0,IF(SUM($D12:$GA12)=0,1,'Вводные'!$B$63))))*AM13)</x:f>
      </x:c>
      <x:c r="AN14" s="107" t="n">
        <x:f>'Вводные'!$L$88*((IF(SUM($D9:$GA9)=0,0,IF(SUM($D12:$GA12)=0,1,'Вводные'!$B$63)))*AN11+(1-(IF(SUM($D9:$GA9)=0,0,IF(SUM($D12:$GA12)=0,1,'Вводные'!$B$63))))*AN13)</x:f>
      </x:c>
      <x:c r="AO14" s="107" t="n">
        <x:f>'Вводные'!$L$88*((IF(SUM($D9:$GA9)=0,0,IF(SUM($D12:$GA12)=0,1,'Вводные'!$B$63)))*AO11+(1-(IF(SUM($D9:$GA9)=0,0,IF(SUM($D12:$GA12)=0,1,'Вводные'!$B$63))))*AO13)</x:f>
      </x:c>
      <x:c r="AP14" s="107" t="n">
        <x:f>'Вводные'!$L$88*((IF(SUM($D9:$GA9)=0,0,IF(SUM($D12:$GA12)=0,1,'Вводные'!$B$63)))*AP11+(1-(IF(SUM($D9:$GA9)=0,0,IF(SUM($D12:$GA12)=0,1,'Вводные'!$B$63))))*AP13)</x:f>
      </x:c>
      <x:c r="AQ14" s="107" t="n">
        <x:f>'Вводные'!$L$88*((IF(SUM($D9:$GA9)=0,0,IF(SUM($D12:$GA12)=0,1,'Вводные'!$B$63)))*AQ11+(1-(IF(SUM($D9:$GA9)=0,0,IF(SUM($D12:$GA12)=0,1,'Вводные'!$B$63))))*AQ13)</x:f>
      </x:c>
      <x:c r="AR14" s="107" t="n">
        <x:f>'Вводные'!$L$88*((IF(SUM($D9:$GA9)=0,0,IF(SUM($D12:$GA12)=0,1,'Вводные'!$B$63)))*AR11+(1-(IF(SUM($D9:$GA9)=0,0,IF(SUM($D12:$GA12)=0,1,'Вводные'!$B$63))))*AR13)</x:f>
      </x:c>
      <x:c r="AS14" s="107" t="n">
        <x:f>'Вводные'!$L$88*((IF(SUM($D9:$GA9)=0,0,IF(SUM($D12:$GA12)=0,1,'Вводные'!$B$63)))*AS11+(1-(IF(SUM($D9:$GA9)=0,0,IF(SUM($D12:$GA12)=0,1,'Вводные'!$B$63))))*AS13)</x:f>
      </x:c>
      <x:c r="AT14" s="107" t="n">
        <x:f>'Вводные'!$L$88*((IF(SUM($D9:$GA9)=0,0,IF(SUM($D12:$GA12)=0,1,'Вводные'!$B$63)))*AT11+(1-(IF(SUM($D9:$GA9)=0,0,IF(SUM($D12:$GA12)=0,1,'Вводные'!$B$63))))*AT13)</x:f>
      </x:c>
      <x:c r="AU14" s="107" t="n">
        <x:f>'Вводные'!$L$88*((IF(SUM($D9:$GA9)=0,0,IF(SUM($D12:$GA12)=0,1,'Вводные'!$B$63)))*AU11+(1-(IF(SUM($D9:$GA9)=0,0,IF(SUM($D12:$GA12)=0,1,'Вводные'!$B$63))))*AU13)</x:f>
      </x:c>
      <x:c r="AV14" s="107" t="n">
        <x:f>'Вводные'!$L$88*((IF(SUM($D9:$GA9)=0,0,IF(SUM($D12:$GA12)=0,1,'Вводные'!$B$63)))*AV11+(1-(IF(SUM($D9:$GA9)=0,0,IF(SUM($D12:$GA12)=0,1,'Вводные'!$B$63))))*AV13)</x:f>
      </x:c>
      <x:c r="AW14" s="107" t="n">
        <x:f>'Вводные'!$L$88*((IF(SUM($D9:$GA9)=0,0,IF(SUM($D12:$GA12)=0,1,'Вводные'!$B$63)))*AW11+(1-(IF(SUM($D9:$GA9)=0,0,IF(SUM($D12:$GA12)=0,1,'Вводные'!$B$63))))*AW13)</x:f>
      </x:c>
      <x:c r="AX14" s="107" t="n">
        <x:f>'Вводные'!$L$88*((IF(SUM($D9:$GA9)=0,0,IF(SUM($D12:$GA12)=0,1,'Вводные'!$B$63)))*AX11+(1-(IF(SUM($D9:$GA9)=0,0,IF(SUM($D12:$GA12)=0,1,'Вводные'!$B$63))))*AX13)</x:f>
      </x:c>
      <x:c r="AY14" s="107" t="n">
        <x:f>'Вводные'!$L$88*((IF(SUM($D9:$GA9)=0,0,IF(SUM($D12:$GA12)=0,1,'Вводные'!$B$63)))*AY11+(1-(IF(SUM($D9:$GA9)=0,0,IF(SUM($D12:$GA12)=0,1,'Вводные'!$B$63))))*AY13)</x:f>
      </x:c>
      <x:c r="AZ14" s="107" t="n">
        <x:f>'Вводные'!$L$88*((IF(SUM($D9:$GA9)=0,0,IF(SUM($D12:$GA12)=0,1,'Вводные'!$B$63)))*AZ11+(1-(IF(SUM($D9:$GA9)=0,0,IF(SUM($D12:$GA12)=0,1,'Вводные'!$B$63))))*AZ13)</x:f>
      </x:c>
      <x:c r="BA14" s="107" t="n">
        <x:f>'Вводные'!$L$88*((IF(SUM($D9:$GA9)=0,0,IF(SUM($D12:$GA12)=0,1,'Вводные'!$B$63)))*BA11+(1-(IF(SUM($D9:$GA9)=0,0,IF(SUM($D12:$GA12)=0,1,'Вводные'!$B$63))))*BA13)</x:f>
      </x:c>
      <x:c r="BB14" s="107" t="n">
        <x:f>'Вводные'!$L$88*((IF(SUM($D9:$GA9)=0,0,IF(SUM($D12:$GA12)=0,1,'Вводные'!$B$63)))*BB11+(1-(IF(SUM($D9:$GA9)=0,0,IF(SUM($D12:$GA12)=0,1,'Вводные'!$B$63))))*BB13)</x:f>
      </x:c>
      <x:c r="BC14" s="107" t="n">
        <x:f>'Вводные'!$L$88*((IF(SUM($D9:$GA9)=0,0,IF(SUM($D12:$GA12)=0,1,'Вводные'!$B$63)))*BC11+(1-(IF(SUM($D9:$GA9)=0,0,IF(SUM($D12:$GA12)=0,1,'Вводные'!$B$63))))*BC13)</x:f>
      </x:c>
      <x:c r="BD14" s="107" t="n">
        <x:f>'Вводные'!$L$88*((IF(SUM($D9:$GA9)=0,0,IF(SUM($D12:$GA12)=0,1,'Вводные'!$B$63)))*BD11+(1-(IF(SUM($D9:$GA9)=0,0,IF(SUM($D12:$GA12)=0,1,'Вводные'!$B$63))))*BD13)</x:f>
      </x:c>
      <x:c r="BE14" s="107" t="n">
        <x:f>'Вводные'!$L$88*((IF(SUM($D9:$GA9)=0,0,IF(SUM($D12:$GA12)=0,1,'Вводные'!$B$63)))*BE11+(1-(IF(SUM($D9:$GA9)=0,0,IF(SUM($D12:$GA12)=0,1,'Вводные'!$B$63))))*BE13)</x:f>
      </x:c>
      <x:c r="BF14" s="107" t="n">
        <x:f>'Вводные'!$L$88*((IF(SUM($D9:$GA9)=0,0,IF(SUM($D12:$GA12)=0,1,'Вводные'!$B$63)))*BF11+(1-(IF(SUM($D9:$GA9)=0,0,IF(SUM($D12:$GA12)=0,1,'Вводные'!$B$63))))*BF13)</x:f>
      </x:c>
      <x:c r="BG14" s="107" t="n">
        <x:f>'Вводные'!$L$88*((IF(SUM($D9:$GA9)=0,0,IF(SUM($D12:$GA12)=0,1,'Вводные'!$B$63)))*BG11+(1-(IF(SUM($D9:$GA9)=0,0,IF(SUM($D12:$GA12)=0,1,'Вводные'!$B$63))))*BG13)</x:f>
      </x:c>
      <x:c r="BH14" s="107" t="n">
        <x:f>'Вводные'!$L$88*((IF(SUM($D9:$GA9)=0,0,IF(SUM($D12:$GA12)=0,1,'Вводные'!$B$63)))*BH11+(1-(IF(SUM($D9:$GA9)=0,0,IF(SUM($D12:$GA12)=0,1,'Вводные'!$B$63))))*BH13)</x:f>
      </x:c>
      <x:c r="BI14" s="107" t="n">
        <x:f>'Вводные'!$L$88*((IF(SUM($D9:$GA9)=0,0,IF(SUM($D12:$GA12)=0,1,'Вводные'!$B$63)))*BI11+(1-(IF(SUM($D9:$GA9)=0,0,IF(SUM($D12:$GA12)=0,1,'Вводные'!$B$63))))*BI13)</x:f>
      </x:c>
      <x:c r="BJ14" s="107" t="n">
        <x:f>'Вводные'!$L$88*((IF(SUM($D9:$GA9)=0,0,IF(SUM($D12:$GA12)=0,1,'Вводные'!$B$63)))*BJ11+(1-(IF(SUM($D9:$GA9)=0,0,IF(SUM($D12:$GA12)=0,1,'Вводные'!$B$63))))*BJ13)</x:f>
      </x:c>
      <x:c r="BK14" s="107" t="n">
        <x:f>'Вводные'!$L$88*((IF(SUM($D9:$GA9)=0,0,IF(SUM($D12:$GA12)=0,1,'Вводные'!$B$63)))*BK11+(1-(IF(SUM($D9:$GA9)=0,0,IF(SUM($D12:$GA12)=0,1,'Вводные'!$B$63))))*BK13)</x:f>
      </x:c>
      <x:c r="BL14" s="107" t="n">
        <x:f>'Вводные'!$L$88*((IF(SUM($D9:$GA9)=0,0,IF(SUM($D12:$GA12)=0,1,'Вводные'!$B$63)))*BL11+(1-(IF(SUM($D9:$GA9)=0,0,IF(SUM($D12:$GA12)=0,1,'Вводные'!$B$63))))*BL13)</x:f>
      </x:c>
      <x:c r="BM14" s="107" t="n">
        <x:f>'Вводные'!$L$88*((IF(SUM($D9:$GA9)=0,0,IF(SUM($D12:$GA12)=0,1,'Вводные'!$B$63)))*BM11+(1-(IF(SUM($D9:$GA9)=0,0,IF(SUM($D12:$GA12)=0,1,'Вводные'!$B$63))))*BM13)</x:f>
      </x:c>
      <x:c r="BN14" s="107" t="n">
        <x:f>'Вводные'!$L$88*((IF(SUM($D9:$GA9)=0,0,IF(SUM($D12:$GA12)=0,1,'Вводные'!$B$63)))*BN11+(1-(IF(SUM($D9:$GA9)=0,0,IF(SUM($D12:$GA12)=0,1,'Вводные'!$B$63))))*BN13)</x:f>
      </x:c>
      <x:c r="BO14" s="107" t="n">
        <x:f>'Вводные'!$L$88*((IF(SUM($D9:$GA9)=0,0,IF(SUM($D12:$GA12)=0,1,'Вводные'!$B$63)))*BO11+(1-(IF(SUM($D9:$GA9)=0,0,IF(SUM($D12:$GA12)=0,1,'Вводные'!$B$63))))*BO13)</x:f>
      </x:c>
      <x:c r="BP14" s="107" t="n">
        <x:f>'Вводные'!$L$88*((IF(SUM($D9:$GA9)=0,0,IF(SUM($D12:$GA12)=0,1,'Вводные'!$B$63)))*BP11+(1-(IF(SUM($D9:$GA9)=0,0,IF(SUM($D12:$GA12)=0,1,'Вводные'!$B$63))))*BP13)</x:f>
      </x:c>
      <x:c r="BQ14" s="107" t="n">
        <x:f>'Вводные'!$L$88*((IF(SUM($D9:$GA9)=0,0,IF(SUM($D12:$GA12)=0,1,'Вводные'!$B$63)))*BQ11+(1-(IF(SUM($D9:$GA9)=0,0,IF(SUM($D12:$GA12)=0,1,'Вводные'!$B$63))))*BQ13)</x:f>
      </x:c>
      <x:c r="BR14" s="107" t="n">
        <x:f>'Вводные'!$L$88*((IF(SUM($D9:$GA9)=0,0,IF(SUM($D12:$GA12)=0,1,'Вводные'!$B$63)))*BR11+(1-(IF(SUM($D9:$GA9)=0,0,IF(SUM($D12:$GA12)=0,1,'Вводные'!$B$63))))*BR13)</x:f>
      </x:c>
      <x:c r="BS14" s="107" t="n">
        <x:f>'Вводные'!$L$88*((IF(SUM($D9:$GA9)=0,0,IF(SUM($D12:$GA12)=0,1,'Вводные'!$B$63)))*BS11+(1-(IF(SUM($D9:$GA9)=0,0,IF(SUM($D12:$GA12)=0,1,'Вводные'!$B$63))))*BS13)</x:f>
      </x:c>
      <x:c r="BT14" s="107" t="n">
        <x:f>'Вводные'!$L$88*((IF(SUM($D9:$GA9)=0,0,IF(SUM($D12:$GA12)=0,1,'Вводные'!$B$63)))*BT11+(1-(IF(SUM($D9:$GA9)=0,0,IF(SUM($D12:$GA12)=0,1,'Вводные'!$B$63))))*BT13)</x:f>
      </x:c>
      <x:c r="BU14" s="107" t="n">
        <x:f>'Вводные'!$L$88*((IF(SUM($D9:$GA9)=0,0,IF(SUM($D12:$GA12)=0,1,'Вводные'!$B$63)))*BU11+(1-(IF(SUM($D9:$GA9)=0,0,IF(SUM($D12:$GA12)=0,1,'Вводные'!$B$63))))*BU13)</x:f>
      </x:c>
      <x:c r="BV14" s="107" t="n">
        <x:f>'Вводные'!$L$88*((IF(SUM($D9:$GA9)=0,0,IF(SUM($D12:$GA12)=0,1,'Вводные'!$B$63)))*BV11+(1-(IF(SUM($D9:$GA9)=0,0,IF(SUM($D12:$GA12)=0,1,'Вводные'!$B$63))))*BV13)</x:f>
      </x:c>
      <x:c r="BW14" s="107" t="n">
        <x:f>'Вводные'!$L$88*((IF(SUM($D9:$GA9)=0,0,IF(SUM($D12:$GA12)=0,1,'Вводные'!$B$63)))*BW11+(1-(IF(SUM($D9:$GA9)=0,0,IF(SUM($D12:$GA12)=0,1,'Вводные'!$B$63))))*BW13)</x:f>
      </x:c>
      <x:c r="BX14" s="107" t="n">
        <x:f>'Вводные'!$L$88*((IF(SUM($D9:$GA9)=0,0,IF(SUM($D12:$GA12)=0,1,'Вводные'!$B$63)))*BX11+(1-(IF(SUM($D9:$GA9)=0,0,IF(SUM($D12:$GA12)=0,1,'Вводные'!$B$63))))*BX13)</x:f>
      </x:c>
      <x:c r="BY14" s="107" t="n">
        <x:f>'Вводные'!$L$88*((IF(SUM($D9:$GA9)=0,0,IF(SUM($D12:$GA12)=0,1,'Вводные'!$B$63)))*BY11+(1-(IF(SUM($D9:$GA9)=0,0,IF(SUM($D12:$GA12)=0,1,'Вводные'!$B$63))))*BY13)</x:f>
      </x:c>
      <x:c r="BZ14" s="107" t="n">
        <x:f>'Вводные'!$L$88*((IF(SUM($D9:$GA9)=0,0,IF(SUM($D12:$GA12)=0,1,'Вводные'!$B$63)))*BZ11+(1-(IF(SUM($D9:$GA9)=0,0,IF(SUM($D12:$GA12)=0,1,'Вводные'!$B$63))))*BZ13)</x:f>
      </x:c>
      <x:c r="CA14" s="107" t="n">
        <x:f>'Вводные'!$L$88*((IF(SUM($D9:$GA9)=0,0,IF(SUM($D12:$GA12)=0,1,'Вводные'!$B$63)))*CA11+(1-(IF(SUM($D9:$GA9)=0,0,IF(SUM($D12:$GA12)=0,1,'Вводные'!$B$63))))*CA13)</x:f>
      </x:c>
      <x:c r="CB14" s="107" t="n">
        <x:f>'Вводные'!$L$88*((IF(SUM($D9:$GA9)=0,0,IF(SUM($D12:$GA12)=0,1,'Вводные'!$B$63)))*CB11+(1-(IF(SUM($D9:$GA9)=0,0,IF(SUM($D12:$GA12)=0,1,'Вводные'!$B$63))))*CB13)</x:f>
      </x:c>
      <x:c r="CC14" s="107" t="n">
        <x:f>'Вводные'!$L$88*((IF(SUM($D9:$GA9)=0,0,IF(SUM($D12:$GA12)=0,1,'Вводные'!$B$63)))*CC11+(1-(IF(SUM($D9:$GA9)=0,0,IF(SUM($D12:$GA12)=0,1,'Вводные'!$B$63))))*CC13)</x:f>
      </x:c>
      <x:c r="CD14" s="107" t="n">
        <x:f>'Вводные'!$L$88*((IF(SUM($D9:$GA9)=0,0,IF(SUM($D12:$GA12)=0,1,'Вводные'!$B$63)))*CD11+(1-(IF(SUM($D9:$GA9)=0,0,IF(SUM($D12:$GA12)=0,1,'Вводные'!$B$63))))*CD13)</x:f>
      </x:c>
      <x:c r="CE14" s="107" t="n">
        <x:f>'Вводные'!$L$88*((IF(SUM($D9:$GA9)=0,0,IF(SUM($D12:$GA12)=0,1,'Вводные'!$B$63)))*CE11+(1-(IF(SUM($D9:$GA9)=0,0,IF(SUM($D12:$GA12)=0,1,'Вводные'!$B$63))))*CE13)</x:f>
      </x:c>
      <x:c r="CF14" s="107" t="n">
        <x:f>'Вводные'!$L$88*((IF(SUM($D9:$GA9)=0,0,IF(SUM($D12:$GA12)=0,1,'Вводные'!$B$63)))*CF11+(1-(IF(SUM($D9:$GA9)=0,0,IF(SUM($D12:$GA12)=0,1,'Вводные'!$B$63))))*CF13)</x:f>
      </x:c>
      <x:c r="CG14" s="107" t="n">
        <x:f>'Вводные'!$L$88*((IF(SUM($D9:$GA9)=0,0,IF(SUM($D12:$GA12)=0,1,'Вводные'!$B$63)))*CG11+(1-(IF(SUM($D9:$GA9)=0,0,IF(SUM($D12:$GA12)=0,1,'Вводные'!$B$63))))*CG13)</x:f>
      </x:c>
      <x:c r="CH14" s="107" t="n">
        <x:f>'Вводные'!$L$88*((IF(SUM($D9:$GA9)=0,0,IF(SUM($D12:$GA12)=0,1,'Вводные'!$B$63)))*CH11+(1-(IF(SUM($D9:$GA9)=0,0,IF(SUM($D12:$GA12)=0,1,'Вводные'!$B$63))))*CH13)</x:f>
      </x:c>
      <x:c r="CI14" s="107" t="n">
        <x:f>'Вводные'!$L$88*((IF(SUM($D9:$GA9)=0,0,IF(SUM($D12:$GA12)=0,1,'Вводные'!$B$63)))*CI11+(1-(IF(SUM($D9:$GA9)=0,0,IF(SUM($D12:$GA12)=0,1,'Вводные'!$B$63))))*CI13)</x:f>
      </x:c>
      <x:c r="CJ14" s="107" t="n">
        <x:f>'Вводные'!$L$88*((IF(SUM($D9:$GA9)=0,0,IF(SUM($D12:$GA12)=0,1,'Вводные'!$B$63)))*CJ11+(1-(IF(SUM($D9:$GA9)=0,0,IF(SUM($D12:$GA12)=0,1,'Вводные'!$B$63))))*CJ13)</x:f>
      </x:c>
      <x:c r="CK14" s="107" t="n">
        <x:f>'Вводные'!$L$88*((IF(SUM($D9:$GA9)=0,0,IF(SUM($D12:$GA12)=0,1,'Вводные'!$B$63)))*CK11+(1-(IF(SUM($D9:$GA9)=0,0,IF(SUM($D12:$GA12)=0,1,'Вводные'!$B$63))))*CK13)</x:f>
      </x:c>
      <x:c r="CL14" s="107" t="n">
        <x:f>'Вводные'!$L$88*((IF(SUM($D9:$GA9)=0,0,IF(SUM($D12:$GA12)=0,1,'Вводные'!$B$63)))*CL11+(1-(IF(SUM($D9:$GA9)=0,0,IF(SUM($D12:$GA12)=0,1,'Вводные'!$B$63))))*CL13)</x:f>
      </x:c>
      <x:c r="CM14" s="107" t="n">
        <x:f>'Вводные'!$L$88*((IF(SUM($D9:$GA9)=0,0,IF(SUM($D12:$GA12)=0,1,'Вводные'!$B$63)))*CM11+(1-(IF(SUM($D9:$GA9)=0,0,IF(SUM($D12:$GA12)=0,1,'Вводные'!$B$63))))*CM13)</x:f>
      </x:c>
      <x:c r="CN14" s="107" t="n">
        <x:f>'Вводные'!$L$88*((IF(SUM($D9:$GA9)=0,0,IF(SUM($D12:$GA12)=0,1,'Вводные'!$B$63)))*CN11+(1-(IF(SUM($D9:$GA9)=0,0,IF(SUM($D12:$GA12)=0,1,'Вводные'!$B$63))))*CN13)</x:f>
      </x:c>
      <x:c r="CO14" s="107" t="n">
        <x:f>'Вводные'!$L$88*((IF(SUM($D9:$GA9)=0,0,IF(SUM($D12:$GA12)=0,1,'Вводные'!$B$63)))*CO11+(1-(IF(SUM($D9:$GA9)=0,0,IF(SUM($D12:$GA12)=0,1,'Вводные'!$B$63))))*CO13)</x:f>
      </x:c>
      <x:c r="CP14" s="107" t="n">
        <x:f>'Вводные'!$L$88*((IF(SUM($D9:$GA9)=0,0,IF(SUM($D12:$GA12)=0,1,'Вводные'!$B$63)))*CP11+(1-(IF(SUM($D9:$GA9)=0,0,IF(SUM($D12:$GA12)=0,1,'Вводные'!$B$63))))*CP13)</x:f>
      </x:c>
      <x:c r="CQ14" s="107" t="n">
        <x:f>'Вводные'!$L$88*((IF(SUM($D9:$GA9)=0,0,IF(SUM($D12:$GA12)=0,1,'Вводные'!$B$63)))*CQ11+(1-(IF(SUM($D9:$GA9)=0,0,IF(SUM($D12:$GA12)=0,1,'Вводные'!$B$63))))*CQ13)</x:f>
      </x:c>
      <x:c r="CR14" s="107" t="n">
        <x:f>'Вводные'!$L$88*((IF(SUM($D9:$GA9)=0,0,IF(SUM($D12:$GA12)=0,1,'Вводные'!$B$63)))*CR11+(1-(IF(SUM($D9:$GA9)=0,0,IF(SUM($D12:$GA12)=0,1,'Вводные'!$B$63))))*CR13)</x:f>
      </x:c>
      <x:c r="CS14" s="107" t="n">
        <x:f>'Вводные'!$L$88*((IF(SUM($D9:$GA9)=0,0,IF(SUM($D12:$GA12)=0,1,'Вводные'!$B$63)))*CS11+(1-(IF(SUM($D9:$GA9)=0,0,IF(SUM($D12:$GA12)=0,1,'Вводные'!$B$63))))*CS13)</x:f>
      </x:c>
      <x:c r="CT14" s="107" t="n">
        <x:f>'Вводные'!$L$88*((IF(SUM($D9:$GA9)=0,0,IF(SUM($D12:$GA12)=0,1,'Вводные'!$B$63)))*CT11+(1-(IF(SUM($D9:$GA9)=0,0,IF(SUM($D12:$GA12)=0,1,'Вводные'!$B$63))))*CT13)</x:f>
      </x:c>
      <x:c r="CU14" s="107" t="n">
        <x:f>'Вводные'!$L$88*((IF(SUM($D9:$GA9)=0,0,IF(SUM($D12:$GA12)=0,1,'Вводные'!$B$63)))*CU11+(1-(IF(SUM($D9:$GA9)=0,0,IF(SUM($D12:$GA12)=0,1,'Вводные'!$B$63))))*CU13)</x:f>
      </x:c>
      <x:c r="CV14" s="107" t="n">
        <x:f>'Вводные'!$L$88*((IF(SUM($D9:$GA9)=0,0,IF(SUM($D12:$GA12)=0,1,'Вводные'!$B$63)))*CV11+(1-(IF(SUM($D9:$GA9)=0,0,IF(SUM($D12:$GA12)=0,1,'Вводные'!$B$63))))*CV13)</x:f>
      </x:c>
      <x:c r="CW14" s="107" t="n">
        <x:f>'Вводные'!$L$88*((IF(SUM($D9:$GA9)=0,0,IF(SUM($D12:$GA12)=0,1,'Вводные'!$B$63)))*CW11+(1-(IF(SUM($D9:$GA9)=0,0,IF(SUM($D12:$GA12)=0,1,'Вводные'!$B$63))))*CW13)</x:f>
      </x:c>
      <x:c r="CX14" s="107" t="n">
        <x:f>'Вводные'!$L$88*((IF(SUM($D9:$GA9)=0,0,IF(SUM($D12:$GA12)=0,1,'Вводные'!$B$63)))*CX11+(1-(IF(SUM($D9:$GA9)=0,0,IF(SUM($D12:$GA12)=0,1,'Вводные'!$B$63))))*CX13)</x:f>
      </x:c>
      <x:c r="CY14" s="107" t="n">
        <x:f>'Вводные'!$L$88*((IF(SUM($D9:$GA9)=0,0,IF(SUM($D12:$GA12)=0,1,'Вводные'!$B$63)))*CY11+(1-(IF(SUM($D9:$GA9)=0,0,IF(SUM($D12:$GA12)=0,1,'Вводные'!$B$63))))*CY13)</x:f>
      </x:c>
      <x:c r="CZ14" s="107" t="n">
        <x:f>'Вводные'!$L$88*((IF(SUM($D9:$GA9)=0,0,IF(SUM($D12:$GA12)=0,1,'Вводные'!$B$63)))*CZ11+(1-(IF(SUM($D9:$GA9)=0,0,IF(SUM($D12:$GA12)=0,1,'Вводные'!$B$63))))*CZ13)</x:f>
      </x:c>
      <x:c r="DA14" s="107" t="n">
        <x:f>'Вводные'!$L$88*((IF(SUM($D9:$GA9)=0,0,IF(SUM($D12:$GA12)=0,1,'Вводные'!$B$63)))*DA11+(1-(IF(SUM($D9:$GA9)=0,0,IF(SUM($D12:$GA12)=0,1,'Вводные'!$B$63))))*DA13)</x:f>
      </x:c>
      <x:c r="DB14" s="107" t="n">
        <x:f>'Вводные'!$L$88*((IF(SUM($D9:$GA9)=0,0,IF(SUM($D12:$GA12)=0,1,'Вводные'!$B$63)))*DB11+(1-(IF(SUM($D9:$GA9)=0,0,IF(SUM($D12:$GA12)=0,1,'Вводные'!$B$63))))*DB13)</x:f>
      </x:c>
      <x:c r="DC14" s="107" t="n">
        <x:f>'Вводные'!$L$88*((IF(SUM($D9:$GA9)=0,0,IF(SUM($D12:$GA12)=0,1,'Вводные'!$B$63)))*DC11+(1-(IF(SUM($D9:$GA9)=0,0,IF(SUM($D12:$GA12)=0,1,'Вводные'!$B$63))))*DC13)</x:f>
      </x:c>
      <x:c r="DD14" s="107" t="n">
        <x:f>'Вводные'!$L$88*((IF(SUM($D9:$GA9)=0,0,IF(SUM($D12:$GA12)=0,1,'Вводные'!$B$63)))*DD11+(1-(IF(SUM($D9:$GA9)=0,0,IF(SUM($D12:$GA12)=0,1,'Вводные'!$B$63))))*DD13)</x:f>
      </x:c>
      <x:c r="DE14" s="107" t="n">
        <x:f>'Вводные'!$L$88*((IF(SUM($D9:$GA9)=0,0,IF(SUM($D12:$GA12)=0,1,'Вводные'!$B$63)))*DE11+(1-(IF(SUM($D9:$GA9)=0,0,IF(SUM($D12:$GA12)=0,1,'Вводные'!$B$63))))*DE13)</x:f>
      </x:c>
      <x:c r="DF14" s="107" t="n">
        <x:f>'Вводные'!$L$88*((IF(SUM($D9:$GA9)=0,0,IF(SUM($D12:$GA12)=0,1,'Вводные'!$B$63)))*DF11+(1-(IF(SUM($D9:$GA9)=0,0,IF(SUM($D12:$GA12)=0,1,'Вводные'!$B$63))))*DF13)</x:f>
      </x:c>
      <x:c r="DG14" s="107" t="n">
        <x:f>'Вводные'!$L$88*((IF(SUM($D9:$GA9)=0,0,IF(SUM($D12:$GA12)=0,1,'Вводные'!$B$63)))*DG11+(1-(IF(SUM($D9:$GA9)=0,0,IF(SUM($D12:$GA12)=0,1,'Вводные'!$B$63))))*DG13)</x:f>
      </x:c>
      <x:c r="DH14" s="107" t="n">
        <x:f>'Вводные'!$L$88*((IF(SUM($D9:$GA9)=0,0,IF(SUM($D12:$GA12)=0,1,'Вводные'!$B$63)))*DH11+(1-(IF(SUM($D9:$GA9)=0,0,IF(SUM($D12:$GA12)=0,1,'Вводные'!$B$63))))*DH13)</x:f>
      </x:c>
      <x:c r="DI14" s="107" t="n">
        <x:f>'Вводные'!$L$88*((IF(SUM($D9:$GA9)=0,0,IF(SUM($D12:$GA12)=0,1,'Вводные'!$B$63)))*DI11+(1-(IF(SUM($D9:$GA9)=0,0,IF(SUM($D12:$GA12)=0,1,'Вводные'!$B$63))))*DI13)</x:f>
      </x:c>
      <x:c r="DJ14" s="107" t="n">
        <x:f>'Вводные'!$L$88*((IF(SUM($D9:$GA9)=0,0,IF(SUM($D12:$GA12)=0,1,'Вводные'!$B$63)))*DJ11+(1-(IF(SUM($D9:$GA9)=0,0,IF(SUM($D12:$GA12)=0,1,'Вводные'!$B$63))))*DJ13)</x:f>
      </x:c>
      <x:c r="DK14" s="107" t="n">
        <x:f>'Вводные'!$L$88*((IF(SUM($D9:$GA9)=0,0,IF(SUM($D12:$GA12)=0,1,'Вводные'!$B$63)))*DK11+(1-(IF(SUM($D9:$GA9)=0,0,IF(SUM($D12:$GA12)=0,1,'Вводные'!$B$63))))*DK13)</x:f>
      </x:c>
      <x:c r="DL14" s="107" t="n">
        <x:f>'Вводные'!$L$88*((IF(SUM($D9:$GA9)=0,0,IF(SUM($D12:$GA12)=0,1,'Вводные'!$B$63)))*DL11+(1-(IF(SUM($D9:$GA9)=0,0,IF(SUM($D12:$GA12)=0,1,'Вводные'!$B$63))))*DL13)</x:f>
      </x:c>
      <x:c r="DM14" s="107" t="n">
        <x:f>'Вводные'!$L$88*((IF(SUM($D9:$GA9)=0,0,IF(SUM($D12:$GA12)=0,1,'Вводные'!$B$63)))*DM11+(1-(IF(SUM($D9:$GA9)=0,0,IF(SUM($D12:$GA12)=0,1,'Вводные'!$B$63))))*DM13)</x:f>
      </x:c>
      <x:c r="DN14" s="107" t="n">
        <x:f>'Вводные'!$L$88*((IF(SUM($D9:$GA9)=0,0,IF(SUM($D12:$GA12)=0,1,'Вводные'!$B$63)))*DN11+(1-(IF(SUM($D9:$GA9)=0,0,IF(SUM($D12:$GA12)=0,1,'Вводные'!$B$63))))*DN13)</x:f>
      </x:c>
      <x:c r="DO14" s="107" t="n">
        <x:f>'Вводные'!$L$88*((IF(SUM($D9:$GA9)=0,0,IF(SUM($D12:$GA12)=0,1,'Вводные'!$B$63)))*DO11+(1-(IF(SUM($D9:$GA9)=0,0,IF(SUM($D12:$GA12)=0,1,'Вводные'!$B$63))))*DO13)</x:f>
      </x:c>
      <x:c r="DP14" s="107" t="n">
        <x:f>'Вводные'!$L$88*((IF(SUM($D9:$GA9)=0,0,IF(SUM($D12:$GA12)=0,1,'Вводные'!$B$63)))*DP11+(1-(IF(SUM($D9:$GA9)=0,0,IF(SUM($D12:$GA12)=0,1,'Вводные'!$B$63))))*DP13)</x:f>
      </x:c>
      <x:c r="DQ14" s="107" t="n">
        <x:f>'Вводные'!$L$88*((IF(SUM($D9:$GA9)=0,0,IF(SUM($D12:$GA12)=0,1,'Вводные'!$B$63)))*DQ11+(1-(IF(SUM($D9:$GA9)=0,0,IF(SUM($D12:$GA12)=0,1,'Вводные'!$B$63))))*DQ13)</x:f>
      </x:c>
      <x:c r="DR14" s="107" t="n">
        <x:f>'Вводные'!$L$88*((IF(SUM($D9:$GA9)=0,0,IF(SUM($D12:$GA12)=0,1,'Вводные'!$B$63)))*DR11+(1-(IF(SUM($D9:$GA9)=0,0,IF(SUM($D12:$GA12)=0,1,'Вводные'!$B$63))))*DR13)</x:f>
      </x:c>
      <x:c r="DS14" s="107" t="n">
        <x:f>'Вводные'!$L$88*((IF(SUM($D9:$GA9)=0,0,IF(SUM($D12:$GA12)=0,1,'Вводные'!$B$63)))*DS11+(1-(IF(SUM($D9:$GA9)=0,0,IF(SUM($D12:$GA12)=0,1,'Вводные'!$B$63))))*DS13)</x:f>
      </x:c>
      <x:c r="DT14" s="107" t="n">
        <x:f>'Вводные'!$L$88*((IF(SUM($D9:$GA9)=0,0,IF(SUM($D12:$GA12)=0,1,'Вводные'!$B$63)))*DT11+(1-(IF(SUM($D9:$GA9)=0,0,IF(SUM($D12:$GA12)=0,1,'Вводные'!$B$63))))*DT13)</x:f>
      </x:c>
      <x:c r="DU14" s="107" t="n">
        <x:f>'Вводные'!$L$88*((IF(SUM($D9:$GA9)=0,0,IF(SUM($D12:$GA12)=0,1,'Вводные'!$B$63)))*DU11+(1-(IF(SUM($D9:$GA9)=0,0,IF(SUM($D12:$GA12)=0,1,'Вводные'!$B$63))))*DU13)</x:f>
      </x:c>
      <x:c r="DV14" s="107" t="n">
        <x:f>'Вводные'!$L$88*((IF(SUM($D9:$GA9)=0,0,IF(SUM($D12:$GA12)=0,1,'Вводные'!$B$63)))*DV11+(1-(IF(SUM($D9:$GA9)=0,0,IF(SUM($D12:$GA12)=0,1,'Вводные'!$B$63))))*DV13)</x:f>
      </x:c>
      <x:c r="DW14" s="107" t="n">
        <x:f>'Вводные'!$L$88*((IF(SUM($D9:$GA9)=0,0,IF(SUM($D12:$GA12)=0,1,'Вводные'!$B$63)))*DW11+(1-(IF(SUM($D9:$GA9)=0,0,IF(SUM($D12:$GA12)=0,1,'Вводные'!$B$63))))*DW13)</x:f>
      </x:c>
      <x:c r="DX14" s="107" t="n">
        <x:f>'Вводные'!$L$88*((IF(SUM($D9:$GA9)=0,0,IF(SUM($D12:$GA12)=0,1,'Вводные'!$B$63)))*DX11+(1-(IF(SUM($D9:$GA9)=0,0,IF(SUM($D12:$GA12)=0,1,'Вводные'!$B$63))))*DX13)</x:f>
      </x:c>
      <x:c r="DY14" s="107" t="n">
        <x:f>'Вводные'!$L$88*((IF(SUM($D9:$GA9)=0,0,IF(SUM($D12:$GA12)=0,1,'Вводные'!$B$63)))*DY11+(1-(IF(SUM($D9:$GA9)=0,0,IF(SUM($D12:$GA12)=0,1,'Вводные'!$B$63))))*DY13)</x:f>
      </x:c>
      <x:c r="DZ14" s="107" t="n">
        <x:f>'Вводные'!$L$88*((IF(SUM($D9:$GA9)=0,0,IF(SUM($D12:$GA12)=0,1,'Вводные'!$B$63)))*DZ11+(1-(IF(SUM($D9:$GA9)=0,0,IF(SUM($D12:$GA12)=0,1,'Вводные'!$B$63))))*DZ13)</x:f>
      </x:c>
      <x:c r="EA14" s="107" t="n">
        <x:f>'Вводные'!$L$88*((IF(SUM($D9:$GA9)=0,0,IF(SUM($D12:$GA12)=0,1,'Вводные'!$B$63)))*EA11+(1-(IF(SUM($D9:$GA9)=0,0,IF(SUM($D12:$GA12)=0,1,'Вводные'!$B$63))))*EA13)</x:f>
      </x:c>
      <x:c r="EB14" s="107" t="n">
        <x:f>'Вводные'!$L$88*((IF(SUM($D9:$GA9)=0,0,IF(SUM($D12:$GA12)=0,1,'Вводные'!$B$63)))*EB11+(1-(IF(SUM($D9:$GA9)=0,0,IF(SUM($D12:$GA12)=0,1,'Вводные'!$B$63))))*EB13)</x:f>
      </x:c>
      <x:c r="EC14" s="107" t="n">
        <x:f>'Вводные'!$L$88*((IF(SUM($D9:$GA9)=0,0,IF(SUM($D12:$GA12)=0,1,'Вводные'!$B$63)))*EC11+(1-(IF(SUM($D9:$GA9)=0,0,IF(SUM($D12:$GA12)=0,1,'Вводные'!$B$63))))*EC13)</x:f>
      </x:c>
      <x:c r="ED14" s="107" t="n">
        <x:f>'Вводные'!$L$88*((IF(SUM($D9:$GA9)=0,0,IF(SUM($D12:$GA12)=0,1,'Вводные'!$B$63)))*ED11+(1-(IF(SUM($D9:$GA9)=0,0,IF(SUM($D12:$GA12)=0,1,'Вводные'!$B$63))))*ED13)</x:f>
      </x:c>
      <x:c r="EE14" s="107" t="n">
        <x:f>'Вводные'!$L$88*((IF(SUM($D9:$GA9)=0,0,IF(SUM($D12:$GA12)=0,1,'Вводные'!$B$63)))*EE11+(1-(IF(SUM($D9:$GA9)=0,0,IF(SUM($D12:$GA12)=0,1,'Вводные'!$B$63))))*EE13)</x:f>
      </x:c>
      <x:c r="EF14" s="107" t="n">
        <x:f>'Вводные'!$L$88*((IF(SUM($D9:$GA9)=0,0,IF(SUM($D12:$GA12)=0,1,'Вводные'!$B$63)))*EF11+(1-(IF(SUM($D9:$GA9)=0,0,IF(SUM($D12:$GA12)=0,1,'Вводные'!$B$63))))*EF13)</x:f>
      </x:c>
      <x:c r="EG14" s="107" t="n">
        <x:f>'Вводные'!$L$88*((IF(SUM($D9:$GA9)=0,0,IF(SUM($D12:$GA12)=0,1,'Вводные'!$B$63)))*EG11+(1-(IF(SUM($D9:$GA9)=0,0,IF(SUM($D12:$GA12)=0,1,'Вводные'!$B$63))))*EG13)</x:f>
      </x:c>
      <x:c r="EH14" s="107" t="n">
        <x:f>'Вводные'!$L$88*((IF(SUM($D9:$GA9)=0,0,IF(SUM($D12:$GA12)=0,1,'Вводные'!$B$63)))*EH11+(1-(IF(SUM($D9:$GA9)=0,0,IF(SUM($D12:$GA12)=0,1,'Вводные'!$B$63))))*EH13)</x:f>
      </x:c>
      <x:c r="EI14" s="107" t="n">
        <x:f>'Вводные'!$L$88*((IF(SUM($D9:$GA9)=0,0,IF(SUM($D12:$GA12)=0,1,'Вводные'!$B$63)))*EI11+(1-(IF(SUM($D9:$GA9)=0,0,IF(SUM($D12:$GA12)=0,1,'Вводные'!$B$63))))*EI13)</x:f>
      </x:c>
      <x:c r="EJ14" s="107" t="n">
        <x:f>'Вводные'!$L$88*((IF(SUM($D9:$GA9)=0,0,IF(SUM($D12:$GA12)=0,1,'Вводные'!$B$63)))*EJ11+(1-(IF(SUM($D9:$GA9)=0,0,IF(SUM($D12:$GA12)=0,1,'Вводные'!$B$63))))*EJ13)</x:f>
      </x:c>
      <x:c r="EK14" s="107" t="n">
        <x:f>'Вводные'!$L$88*((IF(SUM($D9:$GA9)=0,0,IF(SUM($D12:$GA12)=0,1,'Вводные'!$B$63)))*EK11+(1-(IF(SUM($D9:$GA9)=0,0,IF(SUM($D12:$GA12)=0,1,'Вводные'!$B$63))))*EK13)</x:f>
      </x:c>
      <x:c r="EL14" s="107" t="n">
        <x:f>'Вводные'!$L$88*((IF(SUM($D9:$GA9)=0,0,IF(SUM($D12:$GA12)=0,1,'Вводные'!$B$63)))*EL11+(1-(IF(SUM($D9:$GA9)=0,0,IF(SUM($D12:$GA12)=0,1,'Вводные'!$B$63))))*EL13)</x:f>
      </x:c>
      <x:c r="EM14" s="107" t="n">
        <x:f>'Вводные'!$L$88*((IF(SUM($D9:$GA9)=0,0,IF(SUM($D12:$GA12)=0,1,'Вводные'!$B$63)))*EM11+(1-(IF(SUM($D9:$GA9)=0,0,IF(SUM($D12:$GA12)=0,1,'Вводные'!$B$63))))*EM13)</x:f>
      </x:c>
      <x:c r="EN14" s="107" t="n">
        <x:f>'Вводные'!$L$88*((IF(SUM($D9:$GA9)=0,0,IF(SUM($D12:$GA12)=0,1,'Вводные'!$B$63)))*EN11+(1-(IF(SUM($D9:$GA9)=0,0,IF(SUM($D12:$GA12)=0,1,'Вводные'!$B$63))))*EN13)</x:f>
      </x:c>
      <x:c r="EO14" s="107" t="n">
        <x:f>'Вводные'!$L$88*((IF(SUM($D9:$GA9)=0,0,IF(SUM($D12:$GA12)=0,1,'Вводные'!$B$63)))*EO11+(1-(IF(SUM($D9:$GA9)=0,0,IF(SUM($D12:$GA12)=0,1,'Вводные'!$B$63))))*EO13)</x:f>
      </x:c>
      <x:c r="EP14" s="107" t="n">
        <x:f>'Вводные'!$L$88*((IF(SUM($D9:$GA9)=0,0,IF(SUM($D12:$GA12)=0,1,'Вводные'!$B$63)))*EP11+(1-(IF(SUM($D9:$GA9)=0,0,IF(SUM($D12:$GA12)=0,1,'Вводные'!$B$63))))*EP13)</x:f>
      </x:c>
      <x:c r="EQ14" s="107" t="n">
        <x:f>'Вводные'!$L$88*((IF(SUM($D9:$GA9)=0,0,IF(SUM($D12:$GA12)=0,1,'Вводные'!$B$63)))*EQ11+(1-(IF(SUM($D9:$GA9)=0,0,IF(SUM($D12:$GA12)=0,1,'Вводные'!$B$63))))*EQ13)</x:f>
      </x:c>
      <x:c r="ER14" s="107" t="n">
        <x:f>'Вводные'!$L$88*((IF(SUM($D9:$GA9)=0,0,IF(SUM($D12:$GA12)=0,1,'Вводные'!$B$63)))*ER11+(1-(IF(SUM($D9:$GA9)=0,0,IF(SUM($D12:$GA12)=0,1,'Вводные'!$B$63))))*ER13)</x:f>
      </x:c>
      <x:c r="ES14" s="107" t="n">
        <x:f>'Вводные'!$L$88*((IF(SUM($D9:$GA9)=0,0,IF(SUM($D12:$GA12)=0,1,'Вводные'!$B$63)))*ES11+(1-(IF(SUM($D9:$GA9)=0,0,IF(SUM($D12:$GA12)=0,1,'Вводные'!$B$63))))*ES13)</x:f>
      </x:c>
      <x:c r="ET14" s="107" t="n">
        <x:f>'Вводные'!$L$88*((IF(SUM($D9:$GA9)=0,0,IF(SUM($D12:$GA12)=0,1,'Вводные'!$B$63)))*ET11+(1-(IF(SUM($D9:$GA9)=0,0,IF(SUM($D12:$GA12)=0,1,'Вводные'!$B$63))))*ET13)</x:f>
      </x:c>
      <x:c r="EU14" s="107" t="n">
        <x:f>'Вводные'!$L$88*((IF(SUM($D9:$GA9)=0,0,IF(SUM($D12:$GA12)=0,1,'Вводные'!$B$63)))*EU11+(1-(IF(SUM($D9:$GA9)=0,0,IF(SUM($D12:$GA12)=0,1,'Вводные'!$B$63))))*EU13)</x:f>
      </x:c>
      <x:c r="EV14" s="107" t="n">
        <x:f>'Вводные'!$L$88*((IF(SUM($D9:$GA9)=0,0,IF(SUM($D12:$GA12)=0,1,'Вводные'!$B$63)))*EV11+(1-(IF(SUM($D9:$GA9)=0,0,IF(SUM($D12:$GA12)=0,1,'Вводные'!$B$63))))*EV13)</x:f>
      </x:c>
      <x:c r="EW14" s="107" t="n">
        <x:f>'Вводные'!$L$88*((IF(SUM($D9:$GA9)=0,0,IF(SUM($D12:$GA12)=0,1,'Вводные'!$B$63)))*EW11+(1-(IF(SUM($D9:$GA9)=0,0,IF(SUM($D12:$GA12)=0,1,'Вводные'!$B$63))))*EW13)</x:f>
      </x:c>
      <x:c r="EX14" s="107" t="n">
        <x:f>'Вводные'!$L$88*((IF(SUM($D9:$GA9)=0,0,IF(SUM($D12:$GA12)=0,1,'Вводные'!$B$63)))*EX11+(1-(IF(SUM($D9:$GA9)=0,0,IF(SUM($D12:$GA12)=0,1,'Вводные'!$B$63))))*EX13)</x:f>
      </x:c>
      <x:c r="EY14" s="107" t="n">
        <x:f>'Вводные'!$L$88*((IF(SUM($D9:$GA9)=0,0,IF(SUM($D12:$GA12)=0,1,'Вводные'!$B$63)))*EY11+(1-(IF(SUM($D9:$GA9)=0,0,IF(SUM($D12:$GA12)=0,1,'Вводные'!$B$63))))*EY13)</x:f>
      </x:c>
      <x:c r="EZ14" s="107" t="n">
        <x:f>'Вводные'!$L$88*((IF(SUM($D9:$GA9)=0,0,IF(SUM($D12:$GA12)=0,1,'Вводные'!$B$63)))*EZ11+(1-(IF(SUM($D9:$GA9)=0,0,IF(SUM($D12:$GA12)=0,1,'Вводные'!$B$63))))*EZ13)</x:f>
      </x:c>
      <x:c r="FA14" s="107" t="n">
        <x:f>'Вводные'!$L$88*((IF(SUM($D9:$GA9)=0,0,IF(SUM($D12:$GA12)=0,1,'Вводные'!$B$63)))*FA11+(1-(IF(SUM($D9:$GA9)=0,0,IF(SUM($D12:$GA12)=0,1,'Вводные'!$B$63))))*FA13)</x:f>
      </x:c>
      <x:c r="FB14" s="107" t="n">
        <x:f>'Вводные'!$L$88*((IF(SUM($D9:$GA9)=0,0,IF(SUM($D12:$GA12)=0,1,'Вводные'!$B$63)))*FB11+(1-(IF(SUM($D9:$GA9)=0,0,IF(SUM($D12:$GA12)=0,1,'Вводные'!$B$63))))*FB13)</x:f>
      </x:c>
      <x:c r="FC14" s="107" t="n">
        <x:f>'Вводные'!$L$88*((IF(SUM($D9:$GA9)=0,0,IF(SUM($D12:$GA12)=0,1,'Вводные'!$B$63)))*FC11+(1-(IF(SUM($D9:$GA9)=0,0,IF(SUM($D12:$GA12)=0,1,'Вводные'!$B$63))))*FC13)</x:f>
      </x:c>
      <x:c r="FD14" s="107" t="n">
        <x:f>'Вводные'!$L$88*((IF(SUM($D9:$GA9)=0,0,IF(SUM($D12:$GA12)=0,1,'Вводные'!$B$63)))*FD11+(1-(IF(SUM($D9:$GA9)=0,0,IF(SUM($D12:$GA12)=0,1,'Вводные'!$B$63))))*FD13)</x:f>
      </x:c>
      <x:c r="FE14" s="107" t="n">
        <x:f>'Вводные'!$L$88*((IF(SUM($D9:$GA9)=0,0,IF(SUM($D12:$GA12)=0,1,'Вводные'!$B$63)))*FE11+(1-(IF(SUM($D9:$GA9)=0,0,IF(SUM($D12:$GA12)=0,1,'Вводные'!$B$63))))*FE13)</x:f>
      </x:c>
      <x:c r="FF14" s="107" t="n">
        <x:f>'Вводные'!$L$88*((IF(SUM($D9:$GA9)=0,0,IF(SUM($D12:$GA12)=0,1,'Вводные'!$B$63)))*FF11+(1-(IF(SUM($D9:$GA9)=0,0,IF(SUM($D12:$GA12)=0,1,'Вводные'!$B$63))))*FF13)</x:f>
      </x:c>
      <x:c r="FG14" s="107" t="n">
        <x:f>'Вводные'!$L$88*((IF(SUM($D9:$GA9)=0,0,IF(SUM($D12:$GA12)=0,1,'Вводные'!$B$63)))*FG11+(1-(IF(SUM($D9:$GA9)=0,0,IF(SUM($D12:$GA12)=0,1,'Вводные'!$B$63))))*FG13)</x:f>
      </x:c>
      <x:c r="FH14" s="107" t="n">
        <x:f>'Вводные'!$L$88*((IF(SUM($D9:$GA9)=0,0,IF(SUM($D12:$GA12)=0,1,'Вводные'!$B$63)))*FH11+(1-(IF(SUM($D9:$GA9)=0,0,IF(SUM($D12:$GA12)=0,1,'Вводные'!$B$63))))*FH13)</x:f>
      </x:c>
      <x:c r="FI14" s="107" t="n">
        <x:f>'Вводные'!$L$88*((IF(SUM($D9:$GA9)=0,0,IF(SUM($D12:$GA12)=0,1,'Вводные'!$B$63)))*FI11+(1-(IF(SUM($D9:$GA9)=0,0,IF(SUM($D12:$GA12)=0,1,'Вводные'!$B$63))))*FI13)</x:f>
      </x:c>
      <x:c r="FJ14" s="107" t="n">
        <x:f>'Вводные'!$L$88*((IF(SUM($D9:$GA9)=0,0,IF(SUM($D12:$GA12)=0,1,'Вводные'!$B$63)))*FJ11+(1-(IF(SUM($D9:$GA9)=0,0,IF(SUM($D12:$GA12)=0,1,'Вводные'!$B$63))))*FJ13)</x:f>
      </x:c>
      <x:c r="FK14" s="107" t="n">
        <x:f>'Вводные'!$L$88*((IF(SUM($D9:$GA9)=0,0,IF(SUM($D12:$GA12)=0,1,'Вводные'!$B$63)))*FK11+(1-(IF(SUM($D9:$GA9)=0,0,IF(SUM($D12:$GA12)=0,1,'Вводные'!$B$63))))*FK13)</x:f>
      </x:c>
      <x:c r="FL14" s="107" t="n">
        <x:f>'Вводные'!$L$88*((IF(SUM($D9:$GA9)=0,0,IF(SUM($D12:$GA12)=0,1,'Вводные'!$B$63)))*FL11+(1-(IF(SUM($D9:$GA9)=0,0,IF(SUM($D12:$GA12)=0,1,'Вводные'!$B$63))))*FL13)</x:f>
      </x:c>
      <x:c r="FM14" s="107" t="n">
        <x:f>'Вводные'!$L$88*((IF(SUM($D9:$GA9)=0,0,IF(SUM($D12:$GA12)=0,1,'Вводные'!$B$63)))*FM11+(1-(IF(SUM($D9:$GA9)=0,0,IF(SUM($D12:$GA12)=0,1,'Вводные'!$B$63))))*FM13)</x:f>
      </x:c>
      <x:c r="FN14" s="107" t="n">
        <x:f>'Вводные'!$L$88*((IF(SUM($D9:$GA9)=0,0,IF(SUM($D12:$GA12)=0,1,'Вводные'!$B$63)))*FN11+(1-(IF(SUM($D9:$GA9)=0,0,IF(SUM($D12:$GA12)=0,1,'Вводные'!$B$63))))*FN13)</x:f>
      </x:c>
      <x:c r="FO14" s="107" t="n">
        <x:f>'Вводные'!$L$88*((IF(SUM($D9:$GA9)=0,0,IF(SUM($D12:$GA12)=0,1,'Вводные'!$B$63)))*FO11+(1-(IF(SUM($D9:$GA9)=0,0,IF(SUM($D12:$GA12)=0,1,'Вводные'!$B$63))))*FO13)</x:f>
      </x:c>
      <x:c r="FP14" s="107" t="n">
        <x:f>'Вводные'!$L$88*((IF(SUM($D9:$GA9)=0,0,IF(SUM($D12:$GA12)=0,1,'Вводные'!$B$63)))*FP11+(1-(IF(SUM($D9:$GA9)=0,0,IF(SUM($D12:$GA12)=0,1,'Вводные'!$B$63))))*FP13)</x:f>
      </x:c>
      <x:c r="FQ14" s="107" t="n">
        <x:f>'Вводные'!$L$88*((IF(SUM($D9:$GA9)=0,0,IF(SUM($D12:$GA12)=0,1,'Вводные'!$B$63)))*FQ11+(1-(IF(SUM($D9:$GA9)=0,0,IF(SUM($D12:$GA12)=0,1,'Вводные'!$B$63))))*FQ13)</x:f>
      </x:c>
      <x:c r="FR14" s="107" t="n">
        <x:f>'Вводные'!$L$88*((IF(SUM($D9:$GA9)=0,0,IF(SUM($D12:$GA12)=0,1,'Вводные'!$B$63)))*FR11+(1-(IF(SUM($D9:$GA9)=0,0,IF(SUM($D12:$GA12)=0,1,'Вводные'!$B$63))))*FR13)</x:f>
      </x:c>
      <x:c r="FS14" s="107" t="n">
        <x:f>'Вводные'!$L$88*((IF(SUM($D9:$GA9)=0,0,IF(SUM($D12:$GA12)=0,1,'Вводные'!$B$63)))*FS11+(1-(IF(SUM($D9:$GA9)=0,0,IF(SUM($D12:$GA12)=0,1,'Вводные'!$B$63))))*FS13)</x:f>
      </x:c>
      <x:c r="FT14" s="107" t="n">
        <x:f>'Вводные'!$L$88*((IF(SUM($D9:$GA9)=0,0,IF(SUM($D12:$GA12)=0,1,'Вводные'!$B$63)))*FT11+(1-(IF(SUM($D9:$GA9)=0,0,IF(SUM($D12:$GA12)=0,1,'Вводные'!$B$63))))*FT13)</x:f>
      </x:c>
      <x:c r="FU14" s="107" t="n">
        <x:f>'Вводные'!$L$88*((IF(SUM($D9:$GA9)=0,0,IF(SUM($D12:$GA12)=0,1,'Вводные'!$B$63)))*FU11+(1-(IF(SUM($D9:$GA9)=0,0,IF(SUM($D12:$GA12)=0,1,'Вводные'!$B$63))))*FU13)</x:f>
      </x:c>
      <x:c r="FV14" s="107" t="n">
        <x:f>'Вводные'!$L$88*((IF(SUM($D9:$GA9)=0,0,IF(SUM($D12:$GA12)=0,1,'Вводные'!$B$63)))*FV11+(1-(IF(SUM($D9:$GA9)=0,0,IF(SUM($D12:$GA12)=0,1,'Вводные'!$B$63))))*FV13)</x:f>
      </x:c>
      <x:c r="FW14" s="107" t="n">
        <x:f>'Вводные'!$L$88*((IF(SUM($D9:$GA9)=0,0,IF(SUM($D12:$GA12)=0,1,'Вводные'!$B$63)))*FW11+(1-(IF(SUM($D9:$GA9)=0,0,IF(SUM($D12:$GA12)=0,1,'Вводные'!$B$63))))*FW13)</x:f>
      </x:c>
      <x:c r="FX14" s="107" t="n">
        <x:f>'Вводные'!$L$88*((IF(SUM($D9:$GA9)=0,0,IF(SUM($D12:$GA12)=0,1,'Вводные'!$B$63)))*FX11+(1-(IF(SUM($D9:$GA9)=0,0,IF(SUM($D12:$GA12)=0,1,'Вводные'!$B$63))))*FX13)</x:f>
      </x:c>
      <x:c r="FY14" s="107" t="n">
        <x:f>'Вводные'!$L$88*((IF(SUM($D9:$GA9)=0,0,IF(SUM($D12:$GA12)=0,1,'Вводные'!$B$63)))*FY11+(1-(IF(SUM($D9:$GA9)=0,0,IF(SUM($D12:$GA12)=0,1,'Вводные'!$B$63))))*FY13)</x:f>
      </x:c>
      <x:c r="FZ14" s="107" t="n">
        <x:f>'Вводные'!$L$88*((IF(SUM($D9:$GA9)=0,0,IF(SUM($D12:$GA12)=0,1,'Вводные'!$B$63)))*FZ11+(1-(IF(SUM($D9:$GA9)=0,0,IF(SUM($D12:$GA12)=0,1,'Вводные'!$B$63))))*FZ13)</x:f>
      </x:c>
      <x:c r="GA14" s="107" t="n">
        <x:f>'Вводные'!$L$88*((IF(SUM($D9:$GA9)=0,0,IF(SUM($D12:$GA12)=0,1,'Вводные'!$B$63)))*GA11+(1-(IF(SUM($D9:$GA9)=0,0,IF(SUM($D12:$GA12)=0,1,'Вводные'!$B$63))))*GA13)</x:f>
      </x:c>
    </x:row>
    <x:row r="15">
      <x:c r="A15" t="str">
        <x:v>Квартиры — цена</x:v>
      </x:c>
      <x:c r="B15" t="n">
        <x:f>IFERROR(B16*1000/B14,0)</x:f>
      </x:c>
      <x:c r="C15" t="str">
        <x:v>тыс. ₽/м²</x:v>
      </x:c>
      <x:c r="D15" s="107" t="n">
        <x:f>IF(D14=0,0,'Вводные'!$B$59*'Вводные'!$S$88*'Вводные'!$H$5*'Вводные'!$AG$88*(1+'Вводные'!$B$64)^MAX(0,MIN((12*(YEAR(D$3)-YEAR($B$7))+MONTH(D$3)-MONTH($B$7)),(12*(YEAR($B$8)-YEAR($B$7))+MONTH($B$8)-MONTH($B$7))))*(1+'Вводные'!$B$65)^MAX(0,(12*(YEAR(D$3)-YEAR($B$8))+MONTH(D$3)-MONTH($B$8))))</x:f>
      </x:c>
      <x:c r="E15" s="107" t="n">
        <x:f>IF(E14=0,0,'Вводные'!$B$59*'Вводные'!$S$88*'Вводные'!$H$5*'Вводные'!$AG$88*(1+'Вводные'!$B$64)^MAX(0,MIN((12*(YEAR(E$3)-YEAR($B$7))+MONTH(E$3)-MONTH($B$7)),(12*(YEAR($B$8)-YEAR($B$7))+MONTH($B$8)-MONTH($B$7))))*(1+'Вводные'!$B$65)^MAX(0,(12*(YEAR(E$3)-YEAR($B$8))+MONTH(E$3)-MONTH($B$8))))</x:f>
      </x:c>
      <x:c r="F15" s="107" t="n">
        <x:f>IF(F14=0,0,'Вводные'!$B$59*'Вводные'!$S$88*'Вводные'!$H$5*'Вводные'!$AG$88*(1+'Вводные'!$B$64)^MAX(0,MIN((12*(YEAR(F$3)-YEAR($B$7))+MONTH(F$3)-MONTH($B$7)),(12*(YEAR($B$8)-YEAR($B$7))+MONTH($B$8)-MONTH($B$7))))*(1+'Вводные'!$B$65)^MAX(0,(12*(YEAR(F$3)-YEAR($B$8))+MONTH(F$3)-MONTH($B$8))))</x:f>
      </x:c>
      <x:c r="G15" s="107" t="n">
        <x:f>IF(G14=0,0,'Вводные'!$B$59*'Вводные'!$S$88*'Вводные'!$H$5*'Вводные'!$AG$88*(1+'Вводные'!$B$64)^MAX(0,MIN((12*(YEAR(G$3)-YEAR($B$7))+MONTH(G$3)-MONTH($B$7)),(12*(YEAR($B$8)-YEAR($B$7))+MONTH($B$8)-MONTH($B$7))))*(1+'Вводные'!$B$65)^MAX(0,(12*(YEAR(G$3)-YEAR($B$8))+MONTH(G$3)-MONTH($B$8))))</x:f>
      </x:c>
      <x:c r="H15" s="107" t="n">
        <x:f>IF(H14=0,0,'Вводные'!$B$59*'Вводные'!$S$88*'Вводные'!$H$5*'Вводные'!$AG$88*(1+'Вводные'!$B$64)^MAX(0,MIN((12*(YEAR(H$3)-YEAR($B$7))+MONTH(H$3)-MONTH($B$7)),(12*(YEAR($B$8)-YEAR($B$7))+MONTH($B$8)-MONTH($B$7))))*(1+'Вводные'!$B$65)^MAX(0,(12*(YEAR(H$3)-YEAR($B$8))+MONTH(H$3)-MONTH($B$8))))</x:f>
      </x:c>
      <x:c r="I15" s="107" t="n">
        <x:f>IF(I14=0,0,'Вводные'!$B$59*'Вводные'!$S$88*'Вводные'!$H$5*'Вводные'!$AG$88*(1+'Вводные'!$B$64)^MAX(0,MIN((12*(YEAR(I$3)-YEAR($B$7))+MONTH(I$3)-MONTH($B$7)),(12*(YEAR($B$8)-YEAR($B$7))+MONTH($B$8)-MONTH($B$7))))*(1+'Вводные'!$B$65)^MAX(0,(12*(YEAR(I$3)-YEAR($B$8))+MONTH(I$3)-MONTH($B$8))))</x:f>
      </x:c>
      <x:c r="J15" s="107" t="n">
        <x:f>IF(J14=0,0,'Вводные'!$B$59*'Вводные'!$S$88*'Вводные'!$H$5*'Вводные'!$AG$88*(1+'Вводные'!$B$64)^MAX(0,MIN((12*(YEAR(J$3)-YEAR($B$7))+MONTH(J$3)-MONTH($B$7)),(12*(YEAR($B$8)-YEAR($B$7))+MONTH($B$8)-MONTH($B$7))))*(1+'Вводные'!$B$65)^MAX(0,(12*(YEAR(J$3)-YEAR($B$8))+MONTH(J$3)-MONTH($B$8))))</x:f>
      </x:c>
      <x:c r="K15" s="107" t="n">
        <x:f>IF(K14=0,0,'Вводные'!$B$59*'Вводные'!$S$88*'Вводные'!$H$5*'Вводные'!$AG$88*(1+'Вводные'!$B$64)^MAX(0,MIN((12*(YEAR(K$3)-YEAR($B$7))+MONTH(K$3)-MONTH($B$7)),(12*(YEAR($B$8)-YEAR($B$7))+MONTH($B$8)-MONTH($B$7))))*(1+'Вводные'!$B$65)^MAX(0,(12*(YEAR(K$3)-YEAR($B$8))+MONTH(K$3)-MONTH($B$8))))</x:f>
      </x:c>
      <x:c r="L15" s="107" t="n">
        <x:f>IF(L14=0,0,'Вводные'!$B$59*'Вводные'!$S$88*'Вводные'!$H$5*'Вводные'!$AG$88*(1+'Вводные'!$B$64)^MAX(0,MIN((12*(YEAR(L$3)-YEAR($B$7))+MONTH(L$3)-MONTH($B$7)),(12*(YEAR($B$8)-YEAR($B$7))+MONTH($B$8)-MONTH($B$7))))*(1+'Вводные'!$B$65)^MAX(0,(12*(YEAR(L$3)-YEAR($B$8))+MONTH(L$3)-MONTH($B$8))))</x:f>
      </x:c>
      <x:c r="M15" s="107" t="n">
        <x:f>IF(M14=0,0,'Вводные'!$B$59*'Вводные'!$S$88*'Вводные'!$H$5*'Вводные'!$AG$88*(1+'Вводные'!$B$64)^MAX(0,MIN((12*(YEAR(M$3)-YEAR($B$7))+MONTH(M$3)-MONTH($B$7)),(12*(YEAR($B$8)-YEAR($B$7))+MONTH($B$8)-MONTH($B$7))))*(1+'Вводные'!$B$65)^MAX(0,(12*(YEAR(M$3)-YEAR($B$8))+MONTH(M$3)-MONTH($B$8))))</x:f>
      </x:c>
      <x:c r="N15" s="107" t="n">
        <x:f>IF(N14=0,0,'Вводные'!$B$59*'Вводные'!$S$88*'Вводные'!$H$5*'Вводные'!$AG$88*(1+'Вводные'!$B$64)^MAX(0,MIN((12*(YEAR(N$3)-YEAR($B$7))+MONTH(N$3)-MONTH($B$7)),(12*(YEAR($B$8)-YEAR($B$7))+MONTH($B$8)-MONTH($B$7))))*(1+'Вводные'!$B$65)^MAX(0,(12*(YEAR(N$3)-YEAR($B$8))+MONTH(N$3)-MONTH($B$8))))</x:f>
      </x:c>
      <x:c r="O15" s="107" t="n">
        <x:f>IF(O14=0,0,'Вводные'!$B$59*'Вводные'!$S$88*'Вводные'!$H$5*'Вводные'!$AG$88*(1+'Вводные'!$B$64)^MAX(0,MIN((12*(YEAR(O$3)-YEAR($B$7))+MONTH(O$3)-MONTH($B$7)),(12*(YEAR($B$8)-YEAR($B$7))+MONTH($B$8)-MONTH($B$7))))*(1+'Вводные'!$B$65)^MAX(0,(12*(YEAR(O$3)-YEAR($B$8))+MONTH(O$3)-MONTH($B$8))))</x:f>
      </x:c>
      <x:c r="P15" s="107" t="n">
        <x:f>IF(P14=0,0,'Вводные'!$B$59*'Вводные'!$S$88*'Вводные'!$H$5*'Вводные'!$AG$88*(1+'Вводные'!$B$64)^MAX(0,MIN((12*(YEAR(P$3)-YEAR($B$7))+MONTH(P$3)-MONTH($B$7)),(12*(YEAR($B$8)-YEAR($B$7))+MONTH($B$8)-MONTH($B$7))))*(1+'Вводные'!$B$65)^MAX(0,(12*(YEAR(P$3)-YEAR($B$8))+MONTH(P$3)-MONTH($B$8))))</x:f>
      </x:c>
      <x:c r="Q15" s="107" t="n">
        <x:f>IF(Q14=0,0,'Вводные'!$B$59*'Вводные'!$S$88*'Вводные'!$H$5*'Вводные'!$AG$88*(1+'Вводные'!$B$64)^MAX(0,MIN((12*(YEAR(Q$3)-YEAR($B$7))+MONTH(Q$3)-MONTH($B$7)),(12*(YEAR($B$8)-YEAR($B$7))+MONTH($B$8)-MONTH($B$7))))*(1+'Вводные'!$B$65)^MAX(0,(12*(YEAR(Q$3)-YEAR($B$8))+MONTH(Q$3)-MONTH($B$8))))</x:f>
      </x:c>
      <x:c r="R15" s="107" t="n">
        <x:f>IF(R14=0,0,'Вводные'!$B$59*'Вводные'!$S$88*'Вводные'!$H$5*'Вводные'!$AG$88*(1+'Вводные'!$B$64)^MAX(0,MIN((12*(YEAR(R$3)-YEAR($B$7))+MONTH(R$3)-MONTH($B$7)),(12*(YEAR($B$8)-YEAR($B$7))+MONTH($B$8)-MONTH($B$7))))*(1+'Вводные'!$B$65)^MAX(0,(12*(YEAR(R$3)-YEAR($B$8))+MONTH(R$3)-MONTH($B$8))))</x:f>
      </x:c>
      <x:c r="S15" s="107" t="n">
        <x:f>IF(S14=0,0,'Вводные'!$B$59*'Вводные'!$S$88*'Вводные'!$H$5*'Вводные'!$AG$88*(1+'Вводные'!$B$64)^MAX(0,MIN((12*(YEAR(S$3)-YEAR($B$7))+MONTH(S$3)-MONTH($B$7)),(12*(YEAR($B$8)-YEAR($B$7))+MONTH($B$8)-MONTH($B$7))))*(1+'Вводные'!$B$65)^MAX(0,(12*(YEAR(S$3)-YEAR($B$8))+MONTH(S$3)-MONTH($B$8))))</x:f>
      </x:c>
      <x:c r="T15" s="107" t="n">
        <x:f>IF(T14=0,0,'Вводные'!$B$59*'Вводные'!$S$88*'Вводные'!$H$5*'Вводные'!$AG$88*(1+'Вводные'!$B$64)^MAX(0,MIN((12*(YEAR(T$3)-YEAR($B$7))+MONTH(T$3)-MONTH($B$7)),(12*(YEAR($B$8)-YEAR($B$7))+MONTH($B$8)-MONTH($B$7))))*(1+'Вводные'!$B$65)^MAX(0,(12*(YEAR(T$3)-YEAR($B$8))+MONTH(T$3)-MONTH($B$8))))</x:f>
      </x:c>
      <x:c r="U15" s="107" t="n">
        <x:f>IF(U14=0,0,'Вводные'!$B$59*'Вводные'!$S$88*'Вводные'!$H$5*'Вводные'!$AG$88*(1+'Вводные'!$B$64)^MAX(0,MIN((12*(YEAR(U$3)-YEAR($B$7))+MONTH(U$3)-MONTH($B$7)),(12*(YEAR($B$8)-YEAR($B$7))+MONTH($B$8)-MONTH($B$7))))*(1+'Вводные'!$B$65)^MAX(0,(12*(YEAR(U$3)-YEAR($B$8))+MONTH(U$3)-MONTH($B$8))))</x:f>
      </x:c>
      <x:c r="V15" s="107" t="n">
        <x:f>IF(V14=0,0,'Вводные'!$B$59*'Вводные'!$S$88*'Вводные'!$H$5*'Вводные'!$AG$88*(1+'Вводные'!$B$64)^MAX(0,MIN((12*(YEAR(V$3)-YEAR($B$7))+MONTH(V$3)-MONTH($B$7)),(12*(YEAR($B$8)-YEAR($B$7))+MONTH($B$8)-MONTH($B$7))))*(1+'Вводные'!$B$65)^MAX(0,(12*(YEAR(V$3)-YEAR($B$8))+MONTH(V$3)-MONTH($B$8))))</x:f>
      </x:c>
      <x:c r="W15" s="107" t="n">
        <x:f>IF(W14=0,0,'Вводные'!$B$59*'Вводные'!$S$88*'Вводные'!$H$5*'Вводные'!$AG$88*(1+'Вводные'!$B$64)^MAX(0,MIN((12*(YEAR(W$3)-YEAR($B$7))+MONTH(W$3)-MONTH($B$7)),(12*(YEAR($B$8)-YEAR($B$7))+MONTH($B$8)-MONTH($B$7))))*(1+'Вводные'!$B$65)^MAX(0,(12*(YEAR(W$3)-YEAR($B$8))+MONTH(W$3)-MONTH($B$8))))</x:f>
      </x:c>
      <x:c r="X15" s="107" t="n">
        <x:f>IF(X14=0,0,'Вводные'!$B$59*'Вводные'!$S$88*'Вводные'!$H$5*'Вводные'!$AG$88*(1+'Вводные'!$B$64)^MAX(0,MIN((12*(YEAR(X$3)-YEAR($B$7))+MONTH(X$3)-MONTH($B$7)),(12*(YEAR($B$8)-YEAR($B$7))+MONTH($B$8)-MONTH($B$7))))*(1+'Вводные'!$B$65)^MAX(0,(12*(YEAR(X$3)-YEAR($B$8))+MONTH(X$3)-MONTH($B$8))))</x:f>
      </x:c>
      <x:c r="Y15" s="107" t="n">
        <x:f>IF(Y14=0,0,'Вводные'!$B$59*'Вводные'!$S$88*'Вводные'!$H$5*'Вводные'!$AG$88*(1+'Вводные'!$B$64)^MAX(0,MIN((12*(YEAR(Y$3)-YEAR($B$7))+MONTH(Y$3)-MONTH($B$7)),(12*(YEAR($B$8)-YEAR($B$7))+MONTH($B$8)-MONTH($B$7))))*(1+'Вводные'!$B$65)^MAX(0,(12*(YEAR(Y$3)-YEAR($B$8))+MONTH(Y$3)-MONTH($B$8))))</x:f>
      </x:c>
      <x:c r="Z15" s="107" t="n">
        <x:f>IF(Z14=0,0,'Вводные'!$B$59*'Вводные'!$S$88*'Вводные'!$H$5*'Вводные'!$AG$88*(1+'Вводные'!$B$64)^MAX(0,MIN((12*(YEAR(Z$3)-YEAR($B$7))+MONTH(Z$3)-MONTH($B$7)),(12*(YEAR($B$8)-YEAR($B$7))+MONTH($B$8)-MONTH($B$7))))*(1+'Вводные'!$B$65)^MAX(0,(12*(YEAR(Z$3)-YEAR($B$8))+MONTH(Z$3)-MONTH($B$8))))</x:f>
      </x:c>
      <x:c r="AA15" s="107" t="n">
        <x:f>IF(AA14=0,0,'Вводные'!$B$59*'Вводные'!$S$88*'Вводные'!$H$5*'Вводные'!$AG$88*(1+'Вводные'!$B$64)^MAX(0,MIN((12*(YEAR(AA$3)-YEAR($B$7))+MONTH(AA$3)-MONTH($B$7)),(12*(YEAR($B$8)-YEAR($B$7))+MONTH($B$8)-MONTH($B$7))))*(1+'Вводные'!$B$65)^MAX(0,(12*(YEAR(AA$3)-YEAR($B$8))+MONTH(AA$3)-MONTH($B$8))))</x:f>
      </x:c>
      <x:c r="AB15" s="107" t="n">
        <x:f>IF(AB14=0,0,'Вводные'!$B$59*'Вводные'!$S$88*'Вводные'!$H$5*'Вводные'!$AG$88*(1+'Вводные'!$B$64)^MAX(0,MIN((12*(YEAR(AB$3)-YEAR($B$7))+MONTH(AB$3)-MONTH($B$7)),(12*(YEAR($B$8)-YEAR($B$7))+MONTH($B$8)-MONTH($B$7))))*(1+'Вводные'!$B$65)^MAX(0,(12*(YEAR(AB$3)-YEAR($B$8))+MONTH(AB$3)-MONTH($B$8))))</x:f>
      </x:c>
      <x:c r="AC15" s="107" t="n">
        <x:f>IF(AC14=0,0,'Вводные'!$B$59*'Вводные'!$S$88*'Вводные'!$H$5*'Вводные'!$AG$88*(1+'Вводные'!$B$64)^MAX(0,MIN((12*(YEAR(AC$3)-YEAR($B$7))+MONTH(AC$3)-MONTH($B$7)),(12*(YEAR($B$8)-YEAR($B$7))+MONTH($B$8)-MONTH($B$7))))*(1+'Вводные'!$B$65)^MAX(0,(12*(YEAR(AC$3)-YEAR($B$8))+MONTH(AC$3)-MONTH($B$8))))</x:f>
      </x:c>
      <x:c r="AD15" s="107" t="n">
        <x:f>IF(AD14=0,0,'Вводные'!$B$59*'Вводные'!$S$88*'Вводные'!$H$5*'Вводные'!$AG$88*(1+'Вводные'!$B$64)^MAX(0,MIN((12*(YEAR(AD$3)-YEAR($B$7))+MONTH(AD$3)-MONTH($B$7)),(12*(YEAR($B$8)-YEAR($B$7))+MONTH($B$8)-MONTH($B$7))))*(1+'Вводные'!$B$65)^MAX(0,(12*(YEAR(AD$3)-YEAR($B$8))+MONTH(AD$3)-MONTH($B$8))))</x:f>
      </x:c>
      <x:c r="AE15" s="107" t="n">
        <x:f>IF(AE14=0,0,'Вводные'!$B$59*'Вводные'!$S$88*'Вводные'!$H$5*'Вводные'!$AG$88*(1+'Вводные'!$B$64)^MAX(0,MIN((12*(YEAR(AE$3)-YEAR($B$7))+MONTH(AE$3)-MONTH($B$7)),(12*(YEAR($B$8)-YEAR($B$7))+MONTH($B$8)-MONTH($B$7))))*(1+'Вводные'!$B$65)^MAX(0,(12*(YEAR(AE$3)-YEAR($B$8))+MONTH(AE$3)-MONTH($B$8))))</x:f>
      </x:c>
      <x:c r="AF15" s="107" t="n">
        <x:f>IF(AF14=0,0,'Вводные'!$B$59*'Вводные'!$S$88*'Вводные'!$H$5*'Вводные'!$AG$88*(1+'Вводные'!$B$64)^MAX(0,MIN((12*(YEAR(AF$3)-YEAR($B$7))+MONTH(AF$3)-MONTH($B$7)),(12*(YEAR($B$8)-YEAR($B$7))+MONTH($B$8)-MONTH($B$7))))*(1+'Вводные'!$B$65)^MAX(0,(12*(YEAR(AF$3)-YEAR($B$8))+MONTH(AF$3)-MONTH($B$8))))</x:f>
      </x:c>
      <x:c r="AG15" s="107" t="n">
        <x:f>IF(AG14=0,0,'Вводные'!$B$59*'Вводные'!$S$88*'Вводные'!$H$5*'Вводные'!$AG$88*(1+'Вводные'!$B$64)^MAX(0,MIN((12*(YEAR(AG$3)-YEAR($B$7))+MONTH(AG$3)-MONTH($B$7)),(12*(YEAR($B$8)-YEAR($B$7))+MONTH($B$8)-MONTH($B$7))))*(1+'Вводные'!$B$65)^MAX(0,(12*(YEAR(AG$3)-YEAR($B$8))+MONTH(AG$3)-MONTH($B$8))))</x:f>
      </x:c>
      <x:c r="AH15" s="107" t="n">
        <x:f>IF(AH14=0,0,'Вводные'!$B$59*'Вводные'!$S$88*'Вводные'!$H$5*'Вводные'!$AG$88*(1+'Вводные'!$B$64)^MAX(0,MIN((12*(YEAR(AH$3)-YEAR($B$7))+MONTH(AH$3)-MONTH($B$7)),(12*(YEAR($B$8)-YEAR($B$7))+MONTH($B$8)-MONTH($B$7))))*(1+'Вводные'!$B$65)^MAX(0,(12*(YEAR(AH$3)-YEAR($B$8))+MONTH(AH$3)-MONTH($B$8))))</x:f>
      </x:c>
      <x:c r="AI15" s="107" t="n">
        <x:f>IF(AI14=0,0,'Вводные'!$B$59*'Вводные'!$S$88*'Вводные'!$H$5*'Вводные'!$AG$88*(1+'Вводные'!$B$64)^MAX(0,MIN((12*(YEAR(AI$3)-YEAR($B$7))+MONTH(AI$3)-MONTH($B$7)),(12*(YEAR($B$8)-YEAR($B$7))+MONTH($B$8)-MONTH($B$7))))*(1+'Вводные'!$B$65)^MAX(0,(12*(YEAR(AI$3)-YEAR($B$8))+MONTH(AI$3)-MONTH($B$8))))</x:f>
      </x:c>
      <x:c r="AJ15" s="107" t="n">
        <x:f>IF(AJ14=0,0,'Вводные'!$B$59*'Вводные'!$S$88*'Вводные'!$H$5*'Вводные'!$AG$88*(1+'Вводные'!$B$64)^MAX(0,MIN((12*(YEAR(AJ$3)-YEAR($B$7))+MONTH(AJ$3)-MONTH($B$7)),(12*(YEAR($B$8)-YEAR($B$7))+MONTH($B$8)-MONTH($B$7))))*(1+'Вводные'!$B$65)^MAX(0,(12*(YEAR(AJ$3)-YEAR($B$8))+MONTH(AJ$3)-MONTH($B$8))))</x:f>
      </x:c>
      <x:c r="AK15" s="107" t="n">
        <x:f>IF(AK14=0,0,'Вводные'!$B$59*'Вводные'!$S$88*'Вводные'!$H$5*'Вводные'!$AG$88*(1+'Вводные'!$B$64)^MAX(0,MIN((12*(YEAR(AK$3)-YEAR($B$7))+MONTH(AK$3)-MONTH($B$7)),(12*(YEAR($B$8)-YEAR($B$7))+MONTH($B$8)-MONTH($B$7))))*(1+'Вводные'!$B$65)^MAX(0,(12*(YEAR(AK$3)-YEAR($B$8))+MONTH(AK$3)-MONTH($B$8))))</x:f>
      </x:c>
      <x:c r="AL15" s="107" t="n">
        <x:f>IF(AL14=0,0,'Вводные'!$B$59*'Вводные'!$S$88*'Вводные'!$H$5*'Вводные'!$AG$88*(1+'Вводные'!$B$64)^MAX(0,MIN((12*(YEAR(AL$3)-YEAR($B$7))+MONTH(AL$3)-MONTH($B$7)),(12*(YEAR($B$8)-YEAR($B$7))+MONTH($B$8)-MONTH($B$7))))*(1+'Вводные'!$B$65)^MAX(0,(12*(YEAR(AL$3)-YEAR($B$8))+MONTH(AL$3)-MONTH($B$8))))</x:f>
      </x:c>
      <x:c r="AM15" s="107" t="n">
        <x:f>IF(AM14=0,0,'Вводные'!$B$59*'Вводные'!$S$88*'Вводные'!$H$5*'Вводные'!$AG$88*(1+'Вводные'!$B$64)^MAX(0,MIN((12*(YEAR(AM$3)-YEAR($B$7))+MONTH(AM$3)-MONTH($B$7)),(12*(YEAR($B$8)-YEAR($B$7))+MONTH($B$8)-MONTH($B$7))))*(1+'Вводные'!$B$65)^MAX(0,(12*(YEAR(AM$3)-YEAR($B$8))+MONTH(AM$3)-MONTH($B$8))))</x:f>
      </x:c>
      <x:c r="AN15" s="107" t="n">
        <x:f>IF(AN14=0,0,'Вводные'!$B$59*'Вводные'!$S$88*'Вводные'!$H$5*'Вводные'!$AG$88*(1+'Вводные'!$B$64)^MAX(0,MIN((12*(YEAR(AN$3)-YEAR($B$7))+MONTH(AN$3)-MONTH($B$7)),(12*(YEAR($B$8)-YEAR($B$7))+MONTH($B$8)-MONTH($B$7))))*(1+'Вводные'!$B$65)^MAX(0,(12*(YEAR(AN$3)-YEAR($B$8))+MONTH(AN$3)-MONTH($B$8))))</x:f>
      </x:c>
      <x:c r="AO15" s="107" t="n">
        <x:f>IF(AO14=0,0,'Вводные'!$B$59*'Вводные'!$S$88*'Вводные'!$H$5*'Вводные'!$AG$88*(1+'Вводные'!$B$64)^MAX(0,MIN((12*(YEAR(AO$3)-YEAR($B$7))+MONTH(AO$3)-MONTH($B$7)),(12*(YEAR($B$8)-YEAR($B$7))+MONTH($B$8)-MONTH($B$7))))*(1+'Вводные'!$B$65)^MAX(0,(12*(YEAR(AO$3)-YEAR($B$8))+MONTH(AO$3)-MONTH($B$8))))</x:f>
      </x:c>
      <x:c r="AP15" s="107" t="n">
        <x:f>IF(AP14=0,0,'Вводные'!$B$59*'Вводные'!$S$88*'Вводные'!$H$5*'Вводные'!$AG$88*(1+'Вводные'!$B$64)^MAX(0,MIN((12*(YEAR(AP$3)-YEAR($B$7))+MONTH(AP$3)-MONTH($B$7)),(12*(YEAR($B$8)-YEAR($B$7))+MONTH($B$8)-MONTH($B$7))))*(1+'Вводные'!$B$65)^MAX(0,(12*(YEAR(AP$3)-YEAR($B$8))+MONTH(AP$3)-MONTH($B$8))))</x:f>
      </x:c>
      <x:c r="AQ15" s="107" t="n">
        <x:f>IF(AQ14=0,0,'Вводные'!$B$59*'Вводные'!$S$88*'Вводные'!$H$5*'Вводные'!$AG$88*(1+'Вводные'!$B$64)^MAX(0,MIN((12*(YEAR(AQ$3)-YEAR($B$7))+MONTH(AQ$3)-MONTH($B$7)),(12*(YEAR($B$8)-YEAR($B$7))+MONTH($B$8)-MONTH($B$7))))*(1+'Вводные'!$B$65)^MAX(0,(12*(YEAR(AQ$3)-YEAR($B$8))+MONTH(AQ$3)-MONTH($B$8))))</x:f>
      </x:c>
      <x:c r="AR15" s="107" t="n">
        <x:f>IF(AR14=0,0,'Вводные'!$B$59*'Вводные'!$S$88*'Вводные'!$H$5*'Вводные'!$AG$88*(1+'Вводные'!$B$64)^MAX(0,MIN((12*(YEAR(AR$3)-YEAR($B$7))+MONTH(AR$3)-MONTH($B$7)),(12*(YEAR($B$8)-YEAR($B$7))+MONTH($B$8)-MONTH($B$7))))*(1+'Вводные'!$B$65)^MAX(0,(12*(YEAR(AR$3)-YEAR($B$8))+MONTH(AR$3)-MONTH($B$8))))</x:f>
      </x:c>
      <x:c r="AS15" s="107" t="n">
        <x:f>IF(AS14=0,0,'Вводные'!$B$59*'Вводные'!$S$88*'Вводные'!$H$5*'Вводные'!$AG$88*(1+'Вводные'!$B$64)^MAX(0,MIN((12*(YEAR(AS$3)-YEAR($B$7))+MONTH(AS$3)-MONTH($B$7)),(12*(YEAR($B$8)-YEAR($B$7))+MONTH($B$8)-MONTH($B$7))))*(1+'Вводные'!$B$65)^MAX(0,(12*(YEAR(AS$3)-YEAR($B$8))+MONTH(AS$3)-MONTH($B$8))))</x:f>
      </x:c>
      <x:c r="AT15" s="107" t="n">
        <x:f>IF(AT14=0,0,'Вводные'!$B$59*'Вводные'!$S$88*'Вводные'!$H$5*'Вводные'!$AG$88*(1+'Вводные'!$B$64)^MAX(0,MIN((12*(YEAR(AT$3)-YEAR($B$7))+MONTH(AT$3)-MONTH($B$7)),(12*(YEAR($B$8)-YEAR($B$7))+MONTH($B$8)-MONTH($B$7))))*(1+'Вводные'!$B$65)^MAX(0,(12*(YEAR(AT$3)-YEAR($B$8))+MONTH(AT$3)-MONTH($B$8))))</x:f>
      </x:c>
      <x:c r="AU15" s="107" t="n">
        <x:f>IF(AU14=0,0,'Вводные'!$B$59*'Вводные'!$S$88*'Вводные'!$H$5*'Вводные'!$AG$88*(1+'Вводные'!$B$64)^MAX(0,MIN((12*(YEAR(AU$3)-YEAR($B$7))+MONTH(AU$3)-MONTH($B$7)),(12*(YEAR($B$8)-YEAR($B$7))+MONTH($B$8)-MONTH($B$7))))*(1+'Вводные'!$B$65)^MAX(0,(12*(YEAR(AU$3)-YEAR($B$8))+MONTH(AU$3)-MONTH($B$8))))</x:f>
      </x:c>
      <x:c r="AV15" s="107" t="n">
        <x:f>IF(AV14=0,0,'Вводные'!$B$59*'Вводные'!$S$88*'Вводные'!$H$5*'Вводные'!$AG$88*(1+'Вводные'!$B$64)^MAX(0,MIN((12*(YEAR(AV$3)-YEAR($B$7))+MONTH(AV$3)-MONTH($B$7)),(12*(YEAR($B$8)-YEAR($B$7))+MONTH($B$8)-MONTH($B$7))))*(1+'Вводные'!$B$65)^MAX(0,(12*(YEAR(AV$3)-YEAR($B$8))+MONTH(AV$3)-MONTH($B$8))))</x:f>
      </x:c>
      <x:c r="AW15" s="107" t="n">
        <x:f>IF(AW14=0,0,'Вводные'!$B$59*'Вводные'!$S$88*'Вводные'!$H$5*'Вводные'!$AG$88*(1+'Вводные'!$B$64)^MAX(0,MIN((12*(YEAR(AW$3)-YEAR($B$7))+MONTH(AW$3)-MONTH($B$7)),(12*(YEAR($B$8)-YEAR($B$7))+MONTH($B$8)-MONTH($B$7))))*(1+'Вводные'!$B$65)^MAX(0,(12*(YEAR(AW$3)-YEAR($B$8))+MONTH(AW$3)-MONTH($B$8))))</x:f>
      </x:c>
      <x:c r="AX15" s="107" t="n">
        <x:f>IF(AX14=0,0,'Вводные'!$B$59*'Вводные'!$S$88*'Вводные'!$H$5*'Вводные'!$AG$88*(1+'Вводные'!$B$64)^MAX(0,MIN((12*(YEAR(AX$3)-YEAR($B$7))+MONTH(AX$3)-MONTH($B$7)),(12*(YEAR($B$8)-YEAR($B$7))+MONTH($B$8)-MONTH($B$7))))*(1+'Вводные'!$B$65)^MAX(0,(12*(YEAR(AX$3)-YEAR($B$8))+MONTH(AX$3)-MONTH($B$8))))</x:f>
      </x:c>
      <x:c r="AY15" s="107" t="n">
        <x:f>IF(AY14=0,0,'Вводные'!$B$59*'Вводные'!$S$88*'Вводные'!$H$5*'Вводные'!$AG$88*(1+'Вводные'!$B$64)^MAX(0,MIN((12*(YEAR(AY$3)-YEAR($B$7))+MONTH(AY$3)-MONTH($B$7)),(12*(YEAR($B$8)-YEAR($B$7))+MONTH($B$8)-MONTH($B$7))))*(1+'Вводные'!$B$65)^MAX(0,(12*(YEAR(AY$3)-YEAR($B$8))+MONTH(AY$3)-MONTH($B$8))))</x:f>
      </x:c>
      <x:c r="AZ15" s="107" t="n">
        <x:f>IF(AZ14=0,0,'Вводные'!$B$59*'Вводные'!$S$88*'Вводные'!$H$5*'Вводные'!$AG$88*(1+'Вводные'!$B$64)^MAX(0,MIN((12*(YEAR(AZ$3)-YEAR($B$7))+MONTH(AZ$3)-MONTH($B$7)),(12*(YEAR($B$8)-YEAR($B$7))+MONTH($B$8)-MONTH($B$7))))*(1+'Вводные'!$B$65)^MAX(0,(12*(YEAR(AZ$3)-YEAR($B$8))+MONTH(AZ$3)-MONTH($B$8))))</x:f>
      </x:c>
      <x:c r="BA15" s="107" t="n">
        <x:f>IF(BA14=0,0,'Вводные'!$B$59*'Вводные'!$S$88*'Вводные'!$H$5*'Вводные'!$AG$88*(1+'Вводные'!$B$64)^MAX(0,MIN((12*(YEAR(BA$3)-YEAR($B$7))+MONTH(BA$3)-MONTH($B$7)),(12*(YEAR($B$8)-YEAR($B$7))+MONTH($B$8)-MONTH($B$7))))*(1+'Вводные'!$B$65)^MAX(0,(12*(YEAR(BA$3)-YEAR($B$8))+MONTH(BA$3)-MONTH($B$8))))</x:f>
      </x:c>
      <x:c r="BB15" s="107" t="n">
        <x:f>IF(BB14=0,0,'Вводные'!$B$59*'Вводные'!$S$88*'Вводные'!$H$5*'Вводные'!$AG$88*(1+'Вводные'!$B$64)^MAX(0,MIN((12*(YEAR(BB$3)-YEAR($B$7))+MONTH(BB$3)-MONTH($B$7)),(12*(YEAR($B$8)-YEAR($B$7))+MONTH($B$8)-MONTH($B$7))))*(1+'Вводные'!$B$65)^MAX(0,(12*(YEAR(BB$3)-YEAR($B$8))+MONTH(BB$3)-MONTH($B$8))))</x:f>
      </x:c>
      <x:c r="BC15" s="107" t="n">
        <x:f>IF(BC14=0,0,'Вводные'!$B$59*'Вводные'!$S$88*'Вводные'!$H$5*'Вводные'!$AG$88*(1+'Вводные'!$B$64)^MAX(0,MIN((12*(YEAR(BC$3)-YEAR($B$7))+MONTH(BC$3)-MONTH($B$7)),(12*(YEAR($B$8)-YEAR($B$7))+MONTH($B$8)-MONTH($B$7))))*(1+'Вводные'!$B$65)^MAX(0,(12*(YEAR(BC$3)-YEAR($B$8))+MONTH(BC$3)-MONTH($B$8))))</x:f>
      </x:c>
      <x:c r="BD15" s="107" t="n">
        <x:f>IF(BD14=0,0,'Вводные'!$B$59*'Вводные'!$S$88*'Вводные'!$H$5*'Вводные'!$AG$88*(1+'Вводные'!$B$64)^MAX(0,MIN((12*(YEAR(BD$3)-YEAR($B$7))+MONTH(BD$3)-MONTH($B$7)),(12*(YEAR($B$8)-YEAR($B$7))+MONTH($B$8)-MONTH($B$7))))*(1+'Вводные'!$B$65)^MAX(0,(12*(YEAR(BD$3)-YEAR($B$8))+MONTH(BD$3)-MONTH($B$8))))</x:f>
      </x:c>
      <x:c r="BE15" s="107" t="n">
        <x:f>IF(BE14=0,0,'Вводные'!$B$59*'Вводные'!$S$88*'Вводные'!$H$5*'Вводные'!$AG$88*(1+'Вводные'!$B$64)^MAX(0,MIN((12*(YEAR(BE$3)-YEAR($B$7))+MONTH(BE$3)-MONTH($B$7)),(12*(YEAR($B$8)-YEAR($B$7))+MONTH($B$8)-MONTH($B$7))))*(1+'Вводные'!$B$65)^MAX(0,(12*(YEAR(BE$3)-YEAR($B$8))+MONTH(BE$3)-MONTH($B$8))))</x:f>
      </x:c>
      <x:c r="BF15" s="107" t="n">
        <x:f>IF(BF14=0,0,'Вводные'!$B$59*'Вводные'!$S$88*'Вводные'!$H$5*'Вводные'!$AG$88*(1+'Вводные'!$B$64)^MAX(0,MIN((12*(YEAR(BF$3)-YEAR($B$7))+MONTH(BF$3)-MONTH($B$7)),(12*(YEAR($B$8)-YEAR($B$7))+MONTH($B$8)-MONTH($B$7))))*(1+'Вводные'!$B$65)^MAX(0,(12*(YEAR(BF$3)-YEAR($B$8))+MONTH(BF$3)-MONTH($B$8))))</x:f>
      </x:c>
      <x:c r="BG15" s="107" t="n">
        <x:f>IF(BG14=0,0,'Вводные'!$B$59*'Вводные'!$S$88*'Вводные'!$H$5*'Вводные'!$AG$88*(1+'Вводные'!$B$64)^MAX(0,MIN((12*(YEAR(BG$3)-YEAR($B$7))+MONTH(BG$3)-MONTH($B$7)),(12*(YEAR($B$8)-YEAR($B$7))+MONTH($B$8)-MONTH($B$7))))*(1+'Вводные'!$B$65)^MAX(0,(12*(YEAR(BG$3)-YEAR($B$8))+MONTH(BG$3)-MONTH($B$8))))</x:f>
      </x:c>
      <x:c r="BH15" s="107" t="n">
        <x:f>IF(BH14=0,0,'Вводные'!$B$59*'Вводные'!$S$88*'Вводные'!$H$5*'Вводные'!$AG$88*(1+'Вводные'!$B$64)^MAX(0,MIN((12*(YEAR(BH$3)-YEAR($B$7))+MONTH(BH$3)-MONTH($B$7)),(12*(YEAR($B$8)-YEAR($B$7))+MONTH($B$8)-MONTH($B$7))))*(1+'Вводные'!$B$65)^MAX(0,(12*(YEAR(BH$3)-YEAR($B$8))+MONTH(BH$3)-MONTH($B$8))))</x:f>
      </x:c>
      <x:c r="BI15" s="107" t="n">
        <x:f>IF(BI14=0,0,'Вводные'!$B$59*'Вводные'!$S$88*'Вводные'!$H$5*'Вводные'!$AG$88*(1+'Вводные'!$B$64)^MAX(0,MIN((12*(YEAR(BI$3)-YEAR($B$7))+MONTH(BI$3)-MONTH($B$7)),(12*(YEAR($B$8)-YEAR($B$7))+MONTH($B$8)-MONTH($B$7))))*(1+'Вводные'!$B$65)^MAX(0,(12*(YEAR(BI$3)-YEAR($B$8))+MONTH(BI$3)-MONTH($B$8))))</x:f>
      </x:c>
      <x:c r="BJ15" s="107" t="n">
        <x:f>IF(BJ14=0,0,'Вводные'!$B$59*'Вводные'!$S$88*'Вводные'!$H$5*'Вводные'!$AG$88*(1+'Вводные'!$B$64)^MAX(0,MIN((12*(YEAR(BJ$3)-YEAR($B$7))+MONTH(BJ$3)-MONTH($B$7)),(12*(YEAR($B$8)-YEAR($B$7))+MONTH($B$8)-MONTH($B$7))))*(1+'Вводные'!$B$65)^MAX(0,(12*(YEAR(BJ$3)-YEAR($B$8))+MONTH(BJ$3)-MONTH($B$8))))</x:f>
      </x:c>
      <x:c r="BK15" s="107" t="n">
        <x:f>IF(BK14=0,0,'Вводные'!$B$59*'Вводные'!$S$88*'Вводные'!$H$5*'Вводные'!$AG$88*(1+'Вводные'!$B$64)^MAX(0,MIN((12*(YEAR(BK$3)-YEAR($B$7))+MONTH(BK$3)-MONTH($B$7)),(12*(YEAR($B$8)-YEAR($B$7))+MONTH($B$8)-MONTH($B$7))))*(1+'Вводные'!$B$65)^MAX(0,(12*(YEAR(BK$3)-YEAR($B$8))+MONTH(BK$3)-MONTH($B$8))))</x:f>
      </x:c>
      <x:c r="BL15" s="107" t="n">
        <x:f>IF(BL14=0,0,'Вводные'!$B$59*'Вводные'!$S$88*'Вводные'!$H$5*'Вводные'!$AG$88*(1+'Вводные'!$B$64)^MAX(0,MIN((12*(YEAR(BL$3)-YEAR($B$7))+MONTH(BL$3)-MONTH($B$7)),(12*(YEAR($B$8)-YEAR($B$7))+MONTH($B$8)-MONTH($B$7))))*(1+'Вводные'!$B$65)^MAX(0,(12*(YEAR(BL$3)-YEAR($B$8))+MONTH(BL$3)-MONTH($B$8))))</x:f>
      </x:c>
      <x:c r="BM15" s="107" t="n">
        <x:f>IF(BM14=0,0,'Вводные'!$B$59*'Вводные'!$S$88*'Вводные'!$H$5*'Вводные'!$AG$88*(1+'Вводные'!$B$64)^MAX(0,MIN((12*(YEAR(BM$3)-YEAR($B$7))+MONTH(BM$3)-MONTH($B$7)),(12*(YEAR($B$8)-YEAR($B$7))+MONTH($B$8)-MONTH($B$7))))*(1+'Вводные'!$B$65)^MAX(0,(12*(YEAR(BM$3)-YEAR($B$8))+MONTH(BM$3)-MONTH($B$8))))</x:f>
      </x:c>
      <x:c r="BN15" s="107" t="n">
        <x:f>IF(BN14=0,0,'Вводные'!$B$59*'Вводные'!$S$88*'Вводные'!$H$5*'Вводные'!$AG$88*(1+'Вводные'!$B$64)^MAX(0,MIN((12*(YEAR(BN$3)-YEAR($B$7))+MONTH(BN$3)-MONTH($B$7)),(12*(YEAR($B$8)-YEAR($B$7))+MONTH($B$8)-MONTH($B$7))))*(1+'Вводные'!$B$65)^MAX(0,(12*(YEAR(BN$3)-YEAR($B$8))+MONTH(BN$3)-MONTH($B$8))))</x:f>
      </x:c>
      <x:c r="BO15" s="107" t="n">
        <x:f>IF(BO14=0,0,'Вводные'!$B$59*'Вводные'!$S$88*'Вводные'!$H$5*'Вводные'!$AG$88*(1+'Вводные'!$B$64)^MAX(0,MIN((12*(YEAR(BO$3)-YEAR($B$7))+MONTH(BO$3)-MONTH($B$7)),(12*(YEAR($B$8)-YEAR($B$7))+MONTH($B$8)-MONTH($B$7))))*(1+'Вводные'!$B$65)^MAX(0,(12*(YEAR(BO$3)-YEAR($B$8))+MONTH(BO$3)-MONTH($B$8))))</x:f>
      </x:c>
      <x:c r="BP15" s="107" t="n">
        <x:f>IF(BP14=0,0,'Вводные'!$B$59*'Вводные'!$S$88*'Вводные'!$H$5*'Вводные'!$AG$88*(1+'Вводные'!$B$64)^MAX(0,MIN((12*(YEAR(BP$3)-YEAR($B$7))+MONTH(BP$3)-MONTH($B$7)),(12*(YEAR($B$8)-YEAR($B$7))+MONTH($B$8)-MONTH($B$7))))*(1+'Вводные'!$B$65)^MAX(0,(12*(YEAR(BP$3)-YEAR($B$8))+MONTH(BP$3)-MONTH($B$8))))</x:f>
      </x:c>
      <x:c r="BQ15" s="107" t="n">
        <x:f>IF(BQ14=0,0,'Вводные'!$B$59*'Вводные'!$S$88*'Вводные'!$H$5*'Вводные'!$AG$88*(1+'Вводные'!$B$64)^MAX(0,MIN((12*(YEAR(BQ$3)-YEAR($B$7))+MONTH(BQ$3)-MONTH($B$7)),(12*(YEAR($B$8)-YEAR($B$7))+MONTH($B$8)-MONTH($B$7))))*(1+'Вводные'!$B$65)^MAX(0,(12*(YEAR(BQ$3)-YEAR($B$8))+MONTH(BQ$3)-MONTH($B$8))))</x:f>
      </x:c>
      <x:c r="BR15" s="107" t="n">
        <x:f>IF(BR14=0,0,'Вводные'!$B$59*'Вводные'!$S$88*'Вводные'!$H$5*'Вводные'!$AG$88*(1+'Вводные'!$B$64)^MAX(0,MIN((12*(YEAR(BR$3)-YEAR($B$7))+MONTH(BR$3)-MONTH($B$7)),(12*(YEAR($B$8)-YEAR($B$7))+MONTH($B$8)-MONTH($B$7))))*(1+'Вводные'!$B$65)^MAX(0,(12*(YEAR(BR$3)-YEAR($B$8))+MONTH(BR$3)-MONTH($B$8))))</x:f>
      </x:c>
      <x:c r="BS15" s="107" t="n">
        <x:f>IF(BS14=0,0,'Вводные'!$B$59*'Вводные'!$S$88*'Вводные'!$H$5*'Вводные'!$AG$88*(1+'Вводные'!$B$64)^MAX(0,MIN((12*(YEAR(BS$3)-YEAR($B$7))+MONTH(BS$3)-MONTH($B$7)),(12*(YEAR($B$8)-YEAR($B$7))+MONTH($B$8)-MONTH($B$7))))*(1+'Вводные'!$B$65)^MAX(0,(12*(YEAR(BS$3)-YEAR($B$8))+MONTH(BS$3)-MONTH($B$8))))</x:f>
      </x:c>
      <x:c r="BT15" s="107" t="n">
        <x:f>IF(BT14=0,0,'Вводные'!$B$59*'Вводные'!$S$88*'Вводные'!$H$5*'Вводные'!$AG$88*(1+'Вводные'!$B$64)^MAX(0,MIN((12*(YEAR(BT$3)-YEAR($B$7))+MONTH(BT$3)-MONTH($B$7)),(12*(YEAR($B$8)-YEAR($B$7))+MONTH($B$8)-MONTH($B$7))))*(1+'Вводные'!$B$65)^MAX(0,(12*(YEAR(BT$3)-YEAR($B$8))+MONTH(BT$3)-MONTH($B$8))))</x:f>
      </x:c>
      <x:c r="BU15" s="107" t="n">
        <x:f>IF(BU14=0,0,'Вводные'!$B$59*'Вводные'!$S$88*'Вводные'!$H$5*'Вводные'!$AG$88*(1+'Вводные'!$B$64)^MAX(0,MIN((12*(YEAR(BU$3)-YEAR($B$7))+MONTH(BU$3)-MONTH($B$7)),(12*(YEAR($B$8)-YEAR($B$7))+MONTH($B$8)-MONTH($B$7))))*(1+'Вводные'!$B$65)^MAX(0,(12*(YEAR(BU$3)-YEAR($B$8))+MONTH(BU$3)-MONTH($B$8))))</x:f>
      </x:c>
      <x:c r="BV15" s="107" t="n">
        <x:f>IF(BV14=0,0,'Вводные'!$B$59*'Вводные'!$S$88*'Вводные'!$H$5*'Вводные'!$AG$88*(1+'Вводные'!$B$64)^MAX(0,MIN((12*(YEAR(BV$3)-YEAR($B$7))+MONTH(BV$3)-MONTH($B$7)),(12*(YEAR($B$8)-YEAR($B$7))+MONTH($B$8)-MONTH($B$7))))*(1+'Вводные'!$B$65)^MAX(0,(12*(YEAR(BV$3)-YEAR($B$8))+MONTH(BV$3)-MONTH($B$8))))</x:f>
      </x:c>
      <x:c r="BW15" s="107" t="n">
        <x:f>IF(BW14=0,0,'Вводные'!$B$59*'Вводные'!$S$88*'Вводные'!$H$5*'Вводные'!$AG$88*(1+'Вводные'!$B$64)^MAX(0,MIN((12*(YEAR(BW$3)-YEAR($B$7))+MONTH(BW$3)-MONTH($B$7)),(12*(YEAR($B$8)-YEAR($B$7))+MONTH($B$8)-MONTH($B$7))))*(1+'Вводные'!$B$65)^MAX(0,(12*(YEAR(BW$3)-YEAR($B$8))+MONTH(BW$3)-MONTH($B$8))))</x:f>
      </x:c>
      <x:c r="BX15" s="107" t="n">
        <x:f>IF(BX14=0,0,'Вводные'!$B$59*'Вводные'!$S$88*'Вводные'!$H$5*'Вводные'!$AG$88*(1+'Вводные'!$B$64)^MAX(0,MIN((12*(YEAR(BX$3)-YEAR($B$7))+MONTH(BX$3)-MONTH($B$7)),(12*(YEAR($B$8)-YEAR($B$7))+MONTH($B$8)-MONTH($B$7))))*(1+'Вводные'!$B$65)^MAX(0,(12*(YEAR(BX$3)-YEAR($B$8))+MONTH(BX$3)-MONTH($B$8))))</x:f>
      </x:c>
      <x:c r="BY15" s="107" t="n">
        <x:f>IF(BY14=0,0,'Вводные'!$B$59*'Вводные'!$S$88*'Вводные'!$H$5*'Вводные'!$AG$88*(1+'Вводные'!$B$64)^MAX(0,MIN((12*(YEAR(BY$3)-YEAR($B$7))+MONTH(BY$3)-MONTH($B$7)),(12*(YEAR($B$8)-YEAR($B$7))+MONTH($B$8)-MONTH($B$7))))*(1+'Вводные'!$B$65)^MAX(0,(12*(YEAR(BY$3)-YEAR($B$8))+MONTH(BY$3)-MONTH($B$8))))</x:f>
      </x:c>
      <x:c r="BZ15" s="107" t="n">
        <x:f>IF(BZ14=0,0,'Вводные'!$B$59*'Вводные'!$S$88*'Вводные'!$H$5*'Вводные'!$AG$88*(1+'Вводные'!$B$64)^MAX(0,MIN((12*(YEAR(BZ$3)-YEAR($B$7))+MONTH(BZ$3)-MONTH($B$7)),(12*(YEAR($B$8)-YEAR($B$7))+MONTH($B$8)-MONTH($B$7))))*(1+'Вводные'!$B$65)^MAX(0,(12*(YEAR(BZ$3)-YEAR($B$8))+MONTH(BZ$3)-MONTH($B$8))))</x:f>
      </x:c>
      <x:c r="CA15" s="107" t="n">
        <x:f>IF(CA14=0,0,'Вводные'!$B$59*'Вводные'!$S$88*'Вводные'!$H$5*'Вводные'!$AG$88*(1+'Вводные'!$B$64)^MAX(0,MIN((12*(YEAR(CA$3)-YEAR($B$7))+MONTH(CA$3)-MONTH($B$7)),(12*(YEAR($B$8)-YEAR($B$7))+MONTH($B$8)-MONTH($B$7))))*(1+'Вводные'!$B$65)^MAX(0,(12*(YEAR(CA$3)-YEAR($B$8))+MONTH(CA$3)-MONTH($B$8))))</x:f>
      </x:c>
      <x:c r="CB15" s="107" t="n">
        <x:f>IF(CB14=0,0,'Вводные'!$B$59*'Вводные'!$S$88*'Вводные'!$H$5*'Вводные'!$AG$88*(1+'Вводные'!$B$64)^MAX(0,MIN((12*(YEAR(CB$3)-YEAR($B$7))+MONTH(CB$3)-MONTH($B$7)),(12*(YEAR($B$8)-YEAR($B$7))+MONTH($B$8)-MONTH($B$7))))*(1+'Вводные'!$B$65)^MAX(0,(12*(YEAR(CB$3)-YEAR($B$8))+MONTH(CB$3)-MONTH($B$8))))</x:f>
      </x:c>
      <x:c r="CC15" s="107" t="n">
        <x:f>IF(CC14=0,0,'Вводные'!$B$59*'Вводные'!$S$88*'Вводные'!$H$5*'Вводные'!$AG$88*(1+'Вводные'!$B$64)^MAX(0,MIN((12*(YEAR(CC$3)-YEAR($B$7))+MONTH(CC$3)-MONTH($B$7)),(12*(YEAR($B$8)-YEAR($B$7))+MONTH($B$8)-MONTH($B$7))))*(1+'Вводные'!$B$65)^MAX(0,(12*(YEAR(CC$3)-YEAR($B$8))+MONTH(CC$3)-MONTH($B$8))))</x:f>
      </x:c>
      <x:c r="CD15" s="107" t="n">
        <x:f>IF(CD14=0,0,'Вводные'!$B$59*'Вводные'!$S$88*'Вводные'!$H$5*'Вводные'!$AG$88*(1+'Вводные'!$B$64)^MAX(0,MIN((12*(YEAR(CD$3)-YEAR($B$7))+MONTH(CD$3)-MONTH($B$7)),(12*(YEAR($B$8)-YEAR($B$7))+MONTH($B$8)-MONTH($B$7))))*(1+'Вводные'!$B$65)^MAX(0,(12*(YEAR(CD$3)-YEAR($B$8))+MONTH(CD$3)-MONTH($B$8))))</x:f>
      </x:c>
      <x:c r="CE15" s="107" t="n">
        <x:f>IF(CE14=0,0,'Вводные'!$B$59*'Вводные'!$S$88*'Вводные'!$H$5*'Вводные'!$AG$88*(1+'Вводные'!$B$64)^MAX(0,MIN((12*(YEAR(CE$3)-YEAR($B$7))+MONTH(CE$3)-MONTH($B$7)),(12*(YEAR($B$8)-YEAR($B$7))+MONTH($B$8)-MONTH($B$7))))*(1+'Вводные'!$B$65)^MAX(0,(12*(YEAR(CE$3)-YEAR($B$8))+MONTH(CE$3)-MONTH($B$8))))</x:f>
      </x:c>
      <x:c r="CF15" s="107" t="n">
        <x:f>IF(CF14=0,0,'Вводные'!$B$59*'Вводные'!$S$88*'Вводные'!$H$5*'Вводные'!$AG$88*(1+'Вводные'!$B$64)^MAX(0,MIN((12*(YEAR(CF$3)-YEAR($B$7))+MONTH(CF$3)-MONTH($B$7)),(12*(YEAR($B$8)-YEAR($B$7))+MONTH($B$8)-MONTH($B$7))))*(1+'Вводные'!$B$65)^MAX(0,(12*(YEAR(CF$3)-YEAR($B$8))+MONTH(CF$3)-MONTH($B$8))))</x:f>
      </x:c>
      <x:c r="CG15" s="107" t="n">
        <x:f>IF(CG14=0,0,'Вводные'!$B$59*'Вводные'!$S$88*'Вводные'!$H$5*'Вводные'!$AG$88*(1+'Вводные'!$B$64)^MAX(0,MIN((12*(YEAR(CG$3)-YEAR($B$7))+MONTH(CG$3)-MONTH($B$7)),(12*(YEAR($B$8)-YEAR($B$7))+MONTH($B$8)-MONTH($B$7))))*(1+'Вводные'!$B$65)^MAX(0,(12*(YEAR(CG$3)-YEAR($B$8))+MONTH(CG$3)-MONTH($B$8))))</x:f>
      </x:c>
      <x:c r="CH15" s="107" t="n">
        <x:f>IF(CH14=0,0,'Вводные'!$B$59*'Вводные'!$S$88*'Вводные'!$H$5*'Вводные'!$AG$88*(1+'Вводные'!$B$64)^MAX(0,MIN((12*(YEAR(CH$3)-YEAR($B$7))+MONTH(CH$3)-MONTH($B$7)),(12*(YEAR($B$8)-YEAR($B$7))+MONTH($B$8)-MONTH($B$7))))*(1+'Вводные'!$B$65)^MAX(0,(12*(YEAR(CH$3)-YEAR($B$8))+MONTH(CH$3)-MONTH($B$8))))</x:f>
      </x:c>
      <x:c r="CI15" s="107" t="n">
        <x:f>IF(CI14=0,0,'Вводные'!$B$59*'Вводные'!$S$88*'Вводные'!$H$5*'Вводные'!$AG$88*(1+'Вводные'!$B$64)^MAX(0,MIN((12*(YEAR(CI$3)-YEAR($B$7))+MONTH(CI$3)-MONTH($B$7)),(12*(YEAR($B$8)-YEAR($B$7))+MONTH($B$8)-MONTH($B$7))))*(1+'Вводные'!$B$65)^MAX(0,(12*(YEAR(CI$3)-YEAR($B$8))+MONTH(CI$3)-MONTH($B$8))))</x:f>
      </x:c>
      <x:c r="CJ15" s="107" t="n">
        <x:f>IF(CJ14=0,0,'Вводные'!$B$59*'Вводные'!$S$88*'Вводные'!$H$5*'Вводные'!$AG$88*(1+'Вводные'!$B$64)^MAX(0,MIN((12*(YEAR(CJ$3)-YEAR($B$7))+MONTH(CJ$3)-MONTH($B$7)),(12*(YEAR($B$8)-YEAR($B$7))+MONTH($B$8)-MONTH($B$7))))*(1+'Вводные'!$B$65)^MAX(0,(12*(YEAR(CJ$3)-YEAR($B$8))+MONTH(CJ$3)-MONTH($B$8))))</x:f>
      </x:c>
      <x:c r="CK15" s="107" t="n">
        <x:f>IF(CK14=0,0,'Вводные'!$B$59*'Вводные'!$S$88*'Вводные'!$H$5*'Вводные'!$AG$88*(1+'Вводные'!$B$64)^MAX(0,MIN((12*(YEAR(CK$3)-YEAR($B$7))+MONTH(CK$3)-MONTH($B$7)),(12*(YEAR($B$8)-YEAR($B$7))+MONTH($B$8)-MONTH($B$7))))*(1+'Вводные'!$B$65)^MAX(0,(12*(YEAR(CK$3)-YEAR($B$8))+MONTH(CK$3)-MONTH($B$8))))</x:f>
      </x:c>
      <x:c r="CL15" s="107" t="n">
        <x:f>IF(CL14=0,0,'Вводные'!$B$59*'Вводные'!$S$88*'Вводные'!$H$5*'Вводные'!$AG$88*(1+'Вводные'!$B$64)^MAX(0,MIN((12*(YEAR(CL$3)-YEAR($B$7))+MONTH(CL$3)-MONTH($B$7)),(12*(YEAR($B$8)-YEAR($B$7))+MONTH($B$8)-MONTH($B$7))))*(1+'Вводные'!$B$65)^MAX(0,(12*(YEAR(CL$3)-YEAR($B$8))+MONTH(CL$3)-MONTH($B$8))))</x:f>
      </x:c>
      <x:c r="CM15" s="107" t="n">
        <x:f>IF(CM14=0,0,'Вводные'!$B$59*'Вводные'!$S$88*'Вводные'!$H$5*'Вводные'!$AG$88*(1+'Вводные'!$B$64)^MAX(0,MIN((12*(YEAR(CM$3)-YEAR($B$7))+MONTH(CM$3)-MONTH($B$7)),(12*(YEAR($B$8)-YEAR($B$7))+MONTH($B$8)-MONTH($B$7))))*(1+'Вводные'!$B$65)^MAX(0,(12*(YEAR(CM$3)-YEAR($B$8))+MONTH(CM$3)-MONTH($B$8))))</x:f>
      </x:c>
      <x:c r="CN15" s="107" t="n">
        <x:f>IF(CN14=0,0,'Вводные'!$B$59*'Вводные'!$S$88*'Вводные'!$H$5*'Вводные'!$AG$88*(1+'Вводные'!$B$64)^MAX(0,MIN((12*(YEAR(CN$3)-YEAR($B$7))+MONTH(CN$3)-MONTH($B$7)),(12*(YEAR($B$8)-YEAR($B$7))+MONTH($B$8)-MONTH($B$7))))*(1+'Вводные'!$B$65)^MAX(0,(12*(YEAR(CN$3)-YEAR($B$8))+MONTH(CN$3)-MONTH($B$8))))</x:f>
      </x:c>
      <x:c r="CO15" s="107" t="n">
        <x:f>IF(CO14=0,0,'Вводные'!$B$59*'Вводные'!$S$88*'Вводные'!$H$5*'Вводные'!$AG$88*(1+'Вводные'!$B$64)^MAX(0,MIN((12*(YEAR(CO$3)-YEAR($B$7))+MONTH(CO$3)-MONTH($B$7)),(12*(YEAR($B$8)-YEAR($B$7))+MONTH($B$8)-MONTH($B$7))))*(1+'Вводные'!$B$65)^MAX(0,(12*(YEAR(CO$3)-YEAR($B$8))+MONTH(CO$3)-MONTH($B$8))))</x:f>
      </x:c>
      <x:c r="CP15" s="107" t="n">
        <x:f>IF(CP14=0,0,'Вводные'!$B$59*'Вводные'!$S$88*'Вводные'!$H$5*'Вводные'!$AG$88*(1+'Вводные'!$B$64)^MAX(0,MIN((12*(YEAR(CP$3)-YEAR($B$7))+MONTH(CP$3)-MONTH($B$7)),(12*(YEAR($B$8)-YEAR($B$7))+MONTH($B$8)-MONTH($B$7))))*(1+'Вводные'!$B$65)^MAX(0,(12*(YEAR(CP$3)-YEAR($B$8))+MONTH(CP$3)-MONTH($B$8))))</x:f>
      </x:c>
      <x:c r="CQ15" s="107" t="n">
        <x:f>IF(CQ14=0,0,'Вводные'!$B$59*'Вводные'!$S$88*'Вводные'!$H$5*'Вводные'!$AG$88*(1+'Вводные'!$B$64)^MAX(0,MIN((12*(YEAR(CQ$3)-YEAR($B$7))+MONTH(CQ$3)-MONTH($B$7)),(12*(YEAR($B$8)-YEAR($B$7))+MONTH($B$8)-MONTH($B$7))))*(1+'Вводные'!$B$65)^MAX(0,(12*(YEAR(CQ$3)-YEAR($B$8))+MONTH(CQ$3)-MONTH($B$8))))</x:f>
      </x:c>
      <x:c r="CR15" s="107" t="n">
        <x:f>IF(CR14=0,0,'Вводные'!$B$59*'Вводные'!$S$88*'Вводные'!$H$5*'Вводные'!$AG$88*(1+'Вводные'!$B$64)^MAX(0,MIN((12*(YEAR(CR$3)-YEAR($B$7))+MONTH(CR$3)-MONTH($B$7)),(12*(YEAR($B$8)-YEAR($B$7))+MONTH($B$8)-MONTH($B$7))))*(1+'Вводные'!$B$65)^MAX(0,(12*(YEAR(CR$3)-YEAR($B$8))+MONTH(CR$3)-MONTH($B$8))))</x:f>
      </x:c>
      <x:c r="CS15" s="107" t="n">
        <x:f>IF(CS14=0,0,'Вводные'!$B$59*'Вводные'!$S$88*'Вводные'!$H$5*'Вводные'!$AG$88*(1+'Вводные'!$B$64)^MAX(0,MIN((12*(YEAR(CS$3)-YEAR($B$7))+MONTH(CS$3)-MONTH($B$7)),(12*(YEAR($B$8)-YEAR($B$7))+MONTH($B$8)-MONTH($B$7))))*(1+'Вводные'!$B$65)^MAX(0,(12*(YEAR(CS$3)-YEAR($B$8))+MONTH(CS$3)-MONTH($B$8))))</x:f>
      </x:c>
      <x:c r="CT15" s="107" t="n">
        <x:f>IF(CT14=0,0,'Вводные'!$B$59*'Вводные'!$S$88*'Вводные'!$H$5*'Вводные'!$AG$88*(1+'Вводные'!$B$64)^MAX(0,MIN((12*(YEAR(CT$3)-YEAR($B$7))+MONTH(CT$3)-MONTH($B$7)),(12*(YEAR($B$8)-YEAR($B$7))+MONTH($B$8)-MONTH($B$7))))*(1+'Вводные'!$B$65)^MAX(0,(12*(YEAR(CT$3)-YEAR($B$8))+MONTH(CT$3)-MONTH($B$8))))</x:f>
      </x:c>
      <x:c r="CU15" s="107" t="n">
        <x:f>IF(CU14=0,0,'Вводные'!$B$59*'Вводные'!$S$88*'Вводные'!$H$5*'Вводные'!$AG$88*(1+'Вводные'!$B$64)^MAX(0,MIN((12*(YEAR(CU$3)-YEAR($B$7))+MONTH(CU$3)-MONTH($B$7)),(12*(YEAR($B$8)-YEAR($B$7))+MONTH($B$8)-MONTH($B$7))))*(1+'Вводные'!$B$65)^MAX(0,(12*(YEAR(CU$3)-YEAR($B$8))+MONTH(CU$3)-MONTH($B$8))))</x:f>
      </x:c>
      <x:c r="CV15" s="107" t="n">
        <x:f>IF(CV14=0,0,'Вводные'!$B$59*'Вводные'!$S$88*'Вводные'!$H$5*'Вводные'!$AG$88*(1+'Вводные'!$B$64)^MAX(0,MIN((12*(YEAR(CV$3)-YEAR($B$7))+MONTH(CV$3)-MONTH($B$7)),(12*(YEAR($B$8)-YEAR($B$7))+MONTH($B$8)-MONTH($B$7))))*(1+'Вводные'!$B$65)^MAX(0,(12*(YEAR(CV$3)-YEAR($B$8))+MONTH(CV$3)-MONTH($B$8))))</x:f>
      </x:c>
      <x:c r="CW15" s="107" t="n">
        <x:f>IF(CW14=0,0,'Вводные'!$B$59*'Вводные'!$S$88*'Вводные'!$H$5*'Вводные'!$AG$88*(1+'Вводные'!$B$64)^MAX(0,MIN((12*(YEAR(CW$3)-YEAR($B$7))+MONTH(CW$3)-MONTH($B$7)),(12*(YEAR($B$8)-YEAR($B$7))+MONTH($B$8)-MONTH($B$7))))*(1+'Вводные'!$B$65)^MAX(0,(12*(YEAR(CW$3)-YEAR($B$8))+MONTH(CW$3)-MONTH($B$8))))</x:f>
      </x:c>
      <x:c r="CX15" s="107" t="n">
        <x:f>IF(CX14=0,0,'Вводные'!$B$59*'Вводные'!$S$88*'Вводные'!$H$5*'Вводные'!$AG$88*(1+'Вводные'!$B$64)^MAX(0,MIN((12*(YEAR(CX$3)-YEAR($B$7))+MONTH(CX$3)-MONTH($B$7)),(12*(YEAR($B$8)-YEAR($B$7))+MONTH($B$8)-MONTH($B$7))))*(1+'Вводные'!$B$65)^MAX(0,(12*(YEAR(CX$3)-YEAR($B$8))+MONTH(CX$3)-MONTH($B$8))))</x:f>
      </x:c>
      <x:c r="CY15" s="107" t="n">
        <x:f>IF(CY14=0,0,'Вводные'!$B$59*'Вводные'!$S$88*'Вводные'!$H$5*'Вводные'!$AG$88*(1+'Вводные'!$B$64)^MAX(0,MIN((12*(YEAR(CY$3)-YEAR($B$7))+MONTH(CY$3)-MONTH($B$7)),(12*(YEAR($B$8)-YEAR($B$7))+MONTH($B$8)-MONTH($B$7))))*(1+'Вводные'!$B$65)^MAX(0,(12*(YEAR(CY$3)-YEAR($B$8))+MONTH(CY$3)-MONTH($B$8))))</x:f>
      </x:c>
      <x:c r="CZ15" s="107" t="n">
        <x:f>IF(CZ14=0,0,'Вводные'!$B$59*'Вводные'!$S$88*'Вводные'!$H$5*'Вводные'!$AG$88*(1+'Вводные'!$B$64)^MAX(0,MIN((12*(YEAR(CZ$3)-YEAR($B$7))+MONTH(CZ$3)-MONTH($B$7)),(12*(YEAR($B$8)-YEAR($B$7))+MONTH($B$8)-MONTH($B$7))))*(1+'Вводные'!$B$65)^MAX(0,(12*(YEAR(CZ$3)-YEAR($B$8))+MONTH(CZ$3)-MONTH($B$8))))</x:f>
      </x:c>
      <x:c r="DA15" s="107" t="n">
        <x:f>IF(DA14=0,0,'Вводные'!$B$59*'Вводные'!$S$88*'Вводные'!$H$5*'Вводные'!$AG$88*(1+'Вводные'!$B$64)^MAX(0,MIN((12*(YEAR(DA$3)-YEAR($B$7))+MONTH(DA$3)-MONTH($B$7)),(12*(YEAR($B$8)-YEAR($B$7))+MONTH($B$8)-MONTH($B$7))))*(1+'Вводные'!$B$65)^MAX(0,(12*(YEAR(DA$3)-YEAR($B$8))+MONTH(DA$3)-MONTH($B$8))))</x:f>
      </x:c>
      <x:c r="DB15" s="107" t="n">
        <x:f>IF(DB14=0,0,'Вводные'!$B$59*'Вводные'!$S$88*'Вводные'!$H$5*'Вводные'!$AG$88*(1+'Вводные'!$B$64)^MAX(0,MIN((12*(YEAR(DB$3)-YEAR($B$7))+MONTH(DB$3)-MONTH($B$7)),(12*(YEAR($B$8)-YEAR($B$7))+MONTH($B$8)-MONTH($B$7))))*(1+'Вводные'!$B$65)^MAX(0,(12*(YEAR(DB$3)-YEAR($B$8))+MONTH(DB$3)-MONTH($B$8))))</x:f>
      </x:c>
      <x:c r="DC15" s="107" t="n">
        <x:f>IF(DC14=0,0,'Вводные'!$B$59*'Вводные'!$S$88*'Вводные'!$H$5*'Вводные'!$AG$88*(1+'Вводные'!$B$64)^MAX(0,MIN((12*(YEAR(DC$3)-YEAR($B$7))+MONTH(DC$3)-MONTH($B$7)),(12*(YEAR($B$8)-YEAR($B$7))+MONTH($B$8)-MONTH($B$7))))*(1+'Вводные'!$B$65)^MAX(0,(12*(YEAR(DC$3)-YEAR($B$8))+MONTH(DC$3)-MONTH($B$8))))</x:f>
      </x:c>
      <x:c r="DD15" s="107" t="n">
        <x:f>IF(DD14=0,0,'Вводные'!$B$59*'Вводные'!$S$88*'Вводные'!$H$5*'Вводные'!$AG$88*(1+'Вводные'!$B$64)^MAX(0,MIN((12*(YEAR(DD$3)-YEAR($B$7))+MONTH(DD$3)-MONTH($B$7)),(12*(YEAR($B$8)-YEAR($B$7))+MONTH($B$8)-MONTH($B$7))))*(1+'Вводные'!$B$65)^MAX(0,(12*(YEAR(DD$3)-YEAR($B$8))+MONTH(DD$3)-MONTH($B$8))))</x:f>
      </x:c>
      <x:c r="DE15" s="107" t="n">
        <x:f>IF(DE14=0,0,'Вводные'!$B$59*'Вводные'!$S$88*'Вводные'!$H$5*'Вводные'!$AG$88*(1+'Вводные'!$B$64)^MAX(0,MIN((12*(YEAR(DE$3)-YEAR($B$7))+MONTH(DE$3)-MONTH($B$7)),(12*(YEAR($B$8)-YEAR($B$7))+MONTH($B$8)-MONTH($B$7))))*(1+'Вводные'!$B$65)^MAX(0,(12*(YEAR(DE$3)-YEAR($B$8))+MONTH(DE$3)-MONTH($B$8))))</x:f>
      </x:c>
      <x:c r="DF15" s="107" t="n">
        <x:f>IF(DF14=0,0,'Вводные'!$B$59*'Вводные'!$S$88*'Вводные'!$H$5*'Вводные'!$AG$88*(1+'Вводные'!$B$64)^MAX(0,MIN((12*(YEAR(DF$3)-YEAR($B$7))+MONTH(DF$3)-MONTH($B$7)),(12*(YEAR($B$8)-YEAR($B$7))+MONTH($B$8)-MONTH($B$7))))*(1+'Вводные'!$B$65)^MAX(0,(12*(YEAR(DF$3)-YEAR($B$8))+MONTH(DF$3)-MONTH($B$8))))</x:f>
      </x:c>
      <x:c r="DG15" s="107" t="n">
        <x:f>IF(DG14=0,0,'Вводные'!$B$59*'Вводные'!$S$88*'Вводные'!$H$5*'Вводные'!$AG$88*(1+'Вводные'!$B$64)^MAX(0,MIN((12*(YEAR(DG$3)-YEAR($B$7))+MONTH(DG$3)-MONTH($B$7)),(12*(YEAR($B$8)-YEAR($B$7))+MONTH($B$8)-MONTH($B$7))))*(1+'Вводные'!$B$65)^MAX(0,(12*(YEAR(DG$3)-YEAR($B$8))+MONTH(DG$3)-MONTH($B$8))))</x:f>
      </x:c>
      <x:c r="DH15" s="107" t="n">
        <x:f>IF(DH14=0,0,'Вводные'!$B$59*'Вводные'!$S$88*'Вводные'!$H$5*'Вводные'!$AG$88*(1+'Вводные'!$B$64)^MAX(0,MIN((12*(YEAR(DH$3)-YEAR($B$7))+MONTH(DH$3)-MONTH($B$7)),(12*(YEAR($B$8)-YEAR($B$7))+MONTH($B$8)-MONTH($B$7))))*(1+'Вводные'!$B$65)^MAX(0,(12*(YEAR(DH$3)-YEAR($B$8))+MONTH(DH$3)-MONTH($B$8))))</x:f>
      </x:c>
      <x:c r="DI15" s="107" t="n">
        <x:f>IF(DI14=0,0,'Вводные'!$B$59*'Вводные'!$S$88*'Вводные'!$H$5*'Вводные'!$AG$88*(1+'Вводные'!$B$64)^MAX(0,MIN((12*(YEAR(DI$3)-YEAR($B$7))+MONTH(DI$3)-MONTH($B$7)),(12*(YEAR($B$8)-YEAR($B$7))+MONTH($B$8)-MONTH($B$7))))*(1+'Вводные'!$B$65)^MAX(0,(12*(YEAR(DI$3)-YEAR($B$8))+MONTH(DI$3)-MONTH($B$8))))</x:f>
      </x:c>
      <x:c r="DJ15" s="107" t="n">
        <x:f>IF(DJ14=0,0,'Вводные'!$B$59*'Вводные'!$S$88*'Вводные'!$H$5*'Вводные'!$AG$88*(1+'Вводные'!$B$64)^MAX(0,MIN((12*(YEAR(DJ$3)-YEAR($B$7))+MONTH(DJ$3)-MONTH($B$7)),(12*(YEAR($B$8)-YEAR($B$7))+MONTH($B$8)-MONTH($B$7))))*(1+'Вводные'!$B$65)^MAX(0,(12*(YEAR(DJ$3)-YEAR($B$8))+MONTH(DJ$3)-MONTH($B$8))))</x:f>
      </x:c>
      <x:c r="DK15" s="107" t="n">
        <x:f>IF(DK14=0,0,'Вводные'!$B$59*'Вводные'!$S$88*'Вводные'!$H$5*'Вводные'!$AG$88*(1+'Вводные'!$B$64)^MAX(0,MIN((12*(YEAR(DK$3)-YEAR($B$7))+MONTH(DK$3)-MONTH($B$7)),(12*(YEAR($B$8)-YEAR($B$7))+MONTH($B$8)-MONTH($B$7))))*(1+'Вводные'!$B$65)^MAX(0,(12*(YEAR(DK$3)-YEAR($B$8))+MONTH(DK$3)-MONTH($B$8))))</x:f>
      </x:c>
      <x:c r="DL15" s="107" t="n">
        <x:f>IF(DL14=0,0,'Вводные'!$B$59*'Вводные'!$S$88*'Вводные'!$H$5*'Вводные'!$AG$88*(1+'Вводные'!$B$64)^MAX(0,MIN((12*(YEAR(DL$3)-YEAR($B$7))+MONTH(DL$3)-MONTH($B$7)),(12*(YEAR($B$8)-YEAR($B$7))+MONTH($B$8)-MONTH($B$7))))*(1+'Вводные'!$B$65)^MAX(0,(12*(YEAR(DL$3)-YEAR($B$8))+MONTH(DL$3)-MONTH($B$8))))</x:f>
      </x:c>
      <x:c r="DM15" s="107" t="n">
        <x:f>IF(DM14=0,0,'Вводные'!$B$59*'Вводные'!$S$88*'Вводные'!$H$5*'Вводные'!$AG$88*(1+'Вводные'!$B$64)^MAX(0,MIN((12*(YEAR(DM$3)-YEAR($B$7))+MONTH(DM$3)-MONTH($B$7)),(12*(YEAR($B$8)-YEAR($B$7))+MONTH($B$8)-MONTH($B$7))))*(1+'Вводные'!$B$65)^MAX(0,(12*(YEAR(DM$3)-YEAR($B$8))+MONTH(DM$3)-MONTH($B$8))))</x:f>
      </x:c>
      <x:c r="DN15" s="107" t="n">
        <x:f>IF(DN14=0,0,'Вводные'!$B$59*'Вводные'!$S$88*'Вводные'!$H$5*'Вводные'!$AG$88*(1+'Вводные'!$B$64)^MAX(0,MIN((12*(YEAR(DN$3)-YEAR($B$7))+MONTH(DN$3)-MONTH($B$7)),(12*(YEAR($B$8)-YEAR($B$7))+MONTH($B$8)-MONTH($B$7))))*(1+'Вводные'!$B$65)^MAX(0,(12*(YEAR(DN$3)-YEAR($B$8))+MONTH(DN$3)-MONTH($B$8))))</x:f>
      </x:c>
      <x:c r="DO15" s="107" t="n">
        <x:f>IF(DO14=0,0,'Вводные'!$B$59*'Вводные'!$S$88*'Вводные'!$H$5*'Вводные'!$AG$88*(1+'Вводные'!$B$64)^MAX(0,MIN((12*(YEAR(DO$3)-YEAR($B$7))+MONTH(DO$3)-MONTH($B$7)),(12*(YEAR($B$8)-YEAR($B$7))+MONTH($B$8)-MONTH($B$7))))*(1+'Вводные'!$B$65)^MAX(0,(12*(YEAR(DO$3)-YEAR($B$8))+MONTH(DO$3)-MONTH($B$8))))</x:f>
      </x:c>
      <x:c r="DP15" s="107" t="n">
        <x:f>IF(DP14=0,0,'Вводные'!$B$59*'Вводные'!$S$88*'Вводные'!$H$5*'Вводные'!$AG$88*(1+'Вводные'!$B$64)^MAX(0,MIN((12*(YEAR(DP$3)-YEAR($B$7))+MONTH(DP$3)-MONTH($B$7)),(12*(YEAR($B$8)-YEAR($B$7))+MONTH($B$8)-MONTH($B$7))))*(1+'Вводные'!$B$65)^MAX(0,(12*(YEAR(DP$3)-YEAR($B$8))+MONTH(DP$3)-MONTH($B$8))))</x:f>
      </x:c>
      <x:c r="DQ15" s="107" t="n">
        <x:f>IF(DQ14=0,0,'Вводные'!$B$59*'Вводные'!$S$88*'Вводные'!$H$5*'Вводные'!$AG$88*(1+'Вводные'!$B$64)^MAX(0,MIN((12*(YEAR(DQ$3)-YEAR($B$7))+MONTH(DQ$3)-MONTH($B$7)),(12*(YEAR($B$8)-YEAR($B$7))+MONTH($B$8)-MONTH($B$7))))*(1+'Вводные'!$B$65)^MAX(0,(12*(YEAR(DQ$3)-YEAR($B$8))+MONTH(DQ$3)-MONTH($B$8))))</x:f>
      </x:c>
      <x:c r="DR15" s="107" t="n">
        <x:f>IF(DR14=0,0,'Вводные'!$B$59*'Вводные'!$S$88*'Вводные'!$H$5*'Вводные'!$AG$88*(1+'Вводные'!$B$64)^MAX(0,MIN((12*(YEAR(DR$3)-YEAR($B$7))+MONTH(DR$3)-MONTH($B$7)),(12*(YEAR($B$8)-YEAR($B$7))+MONTH($B$8)-MONTH($B$7))))*(1+'Вводные'!$B$65)^MAX(0,(12*(YEAR(DR$3)-YEAR($B$8))+MONTH(DR$3)-MONTH($B$8))))</x:f>
      </x:c>
      <x:c r="DS15" s="107" t="n">
        <x:f>IF(DS14=0,0,'Вводные'!$B$59*'Вводные'!$S$88*'Вводные'!$H$5*'Вводные'!$AG$88*(1+'Вводные'!$B$64)^MAX(0,MIN((12*(YEAR(DS$3)-YEAR($B$7))+MONTH(DS$3)-MONTH($B$7)),(12*(YEAR($B$8)-YEAR($B$7))+MONTH($B$8)-MONTH($B$7))))*(1+'Вводные'!$B$65)^MAX(0,(12*(YEAR(DS$3)-YEAR($B$8))+MONTH(DS$3)-MONTH($B$8))))</x:f>
      </x:c>
      <x:c r="DT15" s="107" t="n">
        <x:f>IF(DT14=0,0,'Вводные'!$B$59*'Вводные'!$S$88*'Вводные'!$H$5*'Вводные'!$AG$88*(1+'Вводные'!$B$64)^MAX(0,MIN((12*(YEAR(DT$3)-YEAR($B$7))+MONTH(DT$3)-MONTH($B$7)),(12*(YEAR($B$8)-YEAR($B$7))+MONTH($B$8)-MONTH($B$7))))*(1+'Вводные'!$B$65)^MAX(0,(12*(YEAR(DT$3)-YEAR($B$8))+MONTH(DT$3)-MONTH($B$8))))</x:f>
      </x:c>
      <x:c r="DU15" s="107" t="n">
        <x:f>IF(DU14=0,0,'Вводные'!$B$59*'Вводные'!$S$88*'Вводные'!$H$5*'Вводные'!$AG$88*(1+'Вводные'!$B$64)^MAX(0,MIN((12*(YEAR(DU$3)-YEAR($B$7))+MONTH(DU$3)-MONTH($B$7)),(12*(YEAR($B$8)-YEAR($B$7))+MONTH($B$8)-MONTH($B$7))))*(1+'Вводные'!$B$65)^MAX(0,(12*(YEAR(DU$3)-YEAR($B$8))+MONTH(DU$3)-MONTH($B$8))))</x:f>
      </x:c>
      <x:c r="DV15" s="107" t="n">
        <x:f>IF(DV14=0,0,'Вводные'!$B$59*'Вводные'!$S$88*'Вводные'!$H$5*'Вводные'!$AG$88*(1+'Вводные'!$B$64)^MAX(0,MIN((12*(YEAR(DV$3)-YEAR($B$7))+MONTH(DV$3)-MONTH($B$7)),(12*(YEAR($B$8)-YEAR($B$7))+MONTH($B$8)-MONTH($B$7))))*(1+'Вводные'!$B$65)^MAX(0,(12*(YEAR(DV$3)-YEAR($B$8))+MONTH(DV$3)-MONTH($B$8))))</x:f>
      </x:c>
      <x:c r="DW15" s="107" t="n">
        <x:f>IF(DW14=0,0,'Вводные'!$B$59*'Вводные'!$S$88*'Вводные'!$H$5*'Вводные'!$AG$88*(1+'Вводные'!$B$64)^MAX(0,MIN((12*(YEAR(DW$3)-YEAR($B$7))+MONTH(DW$3)-MONTH($B$7)),(12*(YEAR($B$8)-YEAR($B$7))+MONTH($B$8)-MONTH($B$7))))*(1+'Вводные'!$B$65)^MAX(0,(12*(YEAR(DW$3)-YEAR($B$8))+MONTH(DW$3)-MONTH($B$8))))</x:f>
      </x:c>
      <x:c r="DX15" s="107" t="n">
        <x:f>IF(DX14=0,0,'Вводные'!$B$59*'Вводные'!$S$88*'Вводные'!$H$5*'Вводные'!$AG$88*(1+'Вводные'!$B$64)^MAX(0,MIN((12*(YEAR(DX$3)-YEAR($B$7))+MONTH(DX$3)-MONTH($B$7)),(12*(YEAR($B$8)-YEAR($B$7))+MONTH($B$8)-MONTH($B$7))))*(1+'Вводные'!$B$65)^MAX(0,(12*(YEAR(DX$3)-YEAR($B$8))+MONTH(DX$3)-MONTH($B$8))))</x:f>
      </x:c>
      <x:c r="DY15" s="107" t="n">
        <x:f>IF(DY14=0,0,'Вводные'!$B$59*'Вводные'!$S$88*'Вводные'!$H$5*'Вводные'!$AG$88*(1+'Вводные'!$B$64)^MAX(0,MIN((12*(YEAR(DY$3)-YEAR($B$7))+MONTH(DY$3)-MONTH($B$7)),(12*(YEAR($B$8)-YEAR($B$7))+MONTH($B$8)-MONTH($B$7))))*(1+'Вводные'!$B$65)^MAX(0,(12*(YEAR(DY$3)-YEAR($B$8))+MONTH(DY$3)-MONTH($B$8))))</x:f>
      </x:c>
      <x:c r="DZ15" s="107" t="n">
        <x:f>IF(DZ14=0,0,'Вводные'!$B$59*'Вводные'!$S$88*'Вводные'!$H$5*'Вводные'!$AG$88*(1+'Вводные'!$B$64)^MAX(0,MIN((12*(YEAR(DZ$3)-YEAR($B$7))+MONTH(DZ$3)-MONTH($B$7)),(12*(YEAR($B$8)-YEAR($B$7))+MONTH($B$8)-MONTH($B$7))))*(1+'Вводные'!$B$65)^MAX(0,(12*(YEAR(DZ$3)-YEAR($B$8))+MONTH(DZ$3)-MONTH($B$8))))</x:f>
      </x:c>
      <x:c r="EA15" s="107" t="n">
        <x:f>IF(EA14=0,0,'Вводные'!$B$59*'Вводные'!$S$88*'Вводные'!$H$5*'Вводные'!$AG$88*(1+'Вводные'!$B$64)^MAX(0,MIN((12*(YEAR(EA$3)-YEAR($B$7))+MONTH(EA$3)-MONTH($B$7)),(12*(YEAR($B$8)-YEAR($B$7))+MONTH($B$8)-MONTH($B$7))))*(1+'Вводные'!$B$65)^MAX(0,(12*(YEAR(EA$3)-YEAR($B$8))+MONTH(EA$3)-MONTH($B$8))))</x:f>
      </x:c>
      <x:c r="EB15" s="107" t="n">
        <x:f>IF(EB14=0,0,'Вводные'!$B$59*'Вводные'!$S$88*'Вводные'!$H$5*'Вводные'!$AG$88*(1+'Вводные'!$B$64)^MAX(0,MIN((12*(YEAR(EB$3)-YEAR($B$7))+MONTH(EB$3)-MONTH($B$7)),(12*(YEAR($B$8)-YEAR($B$7))+MONTH($B$8)-MONTH($B$7))))*(1+'Вводные'!$B$65)^MAX(0,(12*(YEAR(EB$3)-YEAR($B$8))+MONTH(EB$3)-MONTH($B$8))))</x:f>
      </x:c>
      <x:c r="EC15" s="107" t="n">
        <x:f>IF(EC14=0,0,'Вводные'!$B$59*'Вводные'!$S$88*'Вводные'!$H$5*'Вводные'!$AG$88*(1+'Вводные'!$B$64)^MAX(0,MIN((12*(YEAR(EC$3)-YEAR($B$7))+MONTH(EC$3)-MONTH($B$7)),(12*(YEAR($B$8)-YEAR($B$7))+MONTH($B$8)-MONTH($B$7))))*(1+'Вводные'!$B$65)^MAX(0,(12*(YEAR(EC$3)-YEAR($B$8))+MONTH(EC$3)-MONTH($B$8))))</x:f>
      </x:c>
      <x:c r="ED15" s="107" t="n">
        <x:f>IF(ED14=0,0,'Вводные'!$B$59*'Вводные'!$S$88*'Вводные'!$H$5*'Вводные'!$AG$88*(1+'Вводные'!$B$64)^MAX(0,MIN((12*(YEAR(ED$3)-YEAR($B$7))+MONTH(ED$3)-MONTH($B$7)),(12*(YEAR($B$8)-YEAR($B$7))+MONTH($B$8)-MONTH($B$7))))*(1+'Вводные'!$B$65)^MAX(0,(12*(YEAR(ED$3)-YEAR($B$8))+MONTH(ED$3)-MONTH($B$8))))</x:f>
      </x:c>
      <x:c r="EE15" s="107" t="n">
        <x:f>IF(EE14=0,0,'Вводные'!$B$59*'Вводные'!$S$88*'Вводные'!$H$5*'Вводные'!$AG$88*(1+'Вводные'!$B$64)^MAX(0,MIN((12*(YEAR(EE$3)-YEAR($B$7))+MONTH(EE$3)-MONTH($B$7)),(12*(YEAR($B$8)-YEAR($B$7))+MONTH($B$8)-MONTH($B$7))))*(1+'Вводные'!$B$65)^MAX(0,(12*(YEAR(EE$3)-YEAR($B$8))+MONTH(EE$3)-MONTH($B$8))))</x:f>
      </x:c>
      <x:c r="EF15" s="107" t="n">
        <x:f>IF(EF14=0,0,'Вводные'!$B$59*'Вводные'!$S$88*'Вводные'!$H$5*'Вводные'!$AG$88*(1+'Вводные'!$B$64)^MAX(0,MIN((12*(YEAR(EF$3)-YEAR($B$7))+MONTH(EF$3)-MONTH($B$7)),(12*(YEAR($B$8)-YEAR($B$7))+MONTH($B$8)-MONTH($B$7))))*(1+'Вводные'!$B$65)^MAX(0,(12*(YEAR(EF$3)-YEAR($B$8))+MONTH(EF$3)-MONTH($B$8))))</x:f>
      </x:c>
      <x:c r="EG15" s="107" t="n">
        <x:f>IF(EG14=0,0,'Вводные'!$B$59*'Вводные'!$S$88*'Вводные'!$H$5*'Вводные'!$AG$88*(1+'Вводные'!$B$64)^MAX(0,MIN((12*(YEAR(EG$3)-YEAR($B$7))+MONTH(EG$3)-MONTH($B$7)),(12*(YEAR($B$8)-YEAR($B$7))+MONTH($B$8)-MONTH($B$7))))*(1+'Вводные'!$B$65)^MAX(0,(12*(YEAR(EG$3)-YEAR($B$8))+MONTH(EG$3)-MONTH($B$8))))</x:f>
      </x:c>
      <x:c r="EH15" s="107" t="n">
        <x:f>IF(EH14=0,0,'Вводные'!$B$59*'Вводные'!$S$88*'Вводные'!$H$5*'Вводные'!$AG$88*(1+'Вводные'!$B$64)^MAX(0,MIN((12*(YEAR(EH$3)-YEAR($B$7))+MONTH(EH$3)-MONTH($B$7)),(12*(YEAR($B$8)-YEAR($B$7))+MONTH($B$8)-MONTH($B$7))))*(1+'Вводные'!$B$65)^MAX(0,(12*(YEAR(EH$3)-YEAR($B$8))+MONTH(EH$3)-MONTH($B$8))))</x:f>
      </x:c>
      <x:c r="EI15" s="107" t="n">
        <x:f>IF(EI14=0,0,'Вводные'!$B$59*'Вводные'!$S$88*'Вводные'!$H$5*'Вводные'!$AG$88*(1+'Вводные'!$B$64)^MAX(0,MIN((12*(YEAR(EI$3)-YEAR($B$7))+MONTH(EI$3)-MONTH($B$7)),(12*(YEAR($B$8)-YEAR($B$7))+MONTH($B$8)-MONTH($B$7))))*(1+'Вводные'!$B$65)^MAX(0,(12*(YEAR(EI$3)-YEAR($B$8))+MONTH(EI$3)-MONTH($B$8))))</x:f>
      </x:c>
      <x:c r="EJ15" s="107" t="n">
        <x:f>IF(EJ14=0,0,'Вводные'!$B$59*'Вводные'!$S$88*'Вводные'!$H$5*'Вводные'!$AG$88*(1+'Вводные'!$B$64)^MAX(0,MIN((12*(YEAR(EJ$3)-YEAR($B$7))+MONTH(EJ$3)-MONTH($B$7)),(12*(YEAR($B$8)-YEAR($B$7))+MONTH($B$8)-MONTH($B$7))))*(1+'Вводные'!$B$65)^MAX(0,(12*(YEAR(EJ$3)-YEAR($B$8))+MONTH(EJ$3)-MONTH($B$8))))</x:f>
      </x:c>
      <x:c r="EK15" s="107" t="n">
        <x:f>IF(EK14=0,0,'Вводные'!$B$59*'Вводные'!$S$88*'Вводные'!$H$5*'Вводные'!$AG$88*(1+'Вводные'!$B$64)^MAX(0,MIN((12*(YEAR(EK$3)-YEAR($B$7))+MONTH(EK$3)-MONTH($B$7)),(12*(YEAR($B$8)-YEAR($B$7))+MONTH($B$8)-MONTH($B$7))))*(1+'Вводные'!$B$65)^MAX(0,(12*(YEAR(EK$3)-YEAR($B$8))+MONTH(EK$3)-MONTH($B$8))))</x:f>
      </x:c>
      <x:c r="EL15" s="107" t="n">
        <x:f>IF(EL14=0,0,'Вводные'!$B$59*'Вводные'!$S$88*'Вводные'!$H$5*'Вводные'!$AG$88*(1+'Вводные'!$B$64)^MAX(0,MIN((12*(YEAR(EL$3)-YEAR($B$7))+MONTH(EL$3)-MONTH($B$7)),(12*(YEAR($B$8)-YEAR($B$7))+MONTH($B$8)-MONTH($B$7))))*(1+'Вводные'!$B$65)^MAX(0,(12*(YEAR(EL$3)-YEAR($B$8))+MONTH(EL$3)-MONTH($B$8))))</x:f>
      </x:c>
      <x:c r="EM15" s="107" t="n">
        <x:f>IF(EM14=0,0,'Вводные'!$B$59*'Вводные'!$S$88*'Вводные'!$H$5*'Вводные'!$AG$88*(1+'Вводные'!$B$64)^MAX(0,MIN((12*(YEAR(EM$3)-YEAR($B$7))+MONTH(EM$3)-MONTH($B$7)),(12*(YEAR($B$8)-YEAR($B$7))+MONTH($B$8)-MONTH($B$7))))*(1+'Вводные'!$B$65)^MAX(0,(12*(YEAR(EM$3)-YEAR($B$8))+MONTH(EM$3)-MONTH($B$8))))</x:f>
      </x:c>
      <x:c r="EN15" s="107" t="n">
        <x:f>IF(EN14=0,0,'Вводные'!$B$59*'Вводные'!$S$88*'Вводные'!$H$5*'Вводные'!$AG$88*(1+'Вводные'!$B$64)^MAX(0,MIN((12*(YEAR(EN$3)-YEAR($B$7))+MONTH(EN$3)-MONTH($B$7)),(12*(YEAR($B$8)-YEAR($B$7))+MONTH($B$8)-MONTH($B$7))))*(1+'Вводные'!$B$65)^MAX(0,(12*(YEAR(EN$3)-YEAR($B$8))+MONTH(EN$3)-MONTH($B$8))))</x:f>
      </x:c>
      <x:c r="EO15" s="107" t="n">
        <x:f>IF(EO14=0,0,'Вводные'!$B$59*'Вводные'!$S$88*'Вводные'!$H$5*'Вводные'!$AG$88*(1+'Вводные'!$B$64)^MAX(0,MIN((12*(YEAR(EO$3)-YEAR($B$7))+MONTH(EO$3)-MONTH($B$7)),(12*(YEAR($B$8)-YEAR($B$7))+MONTH($B$8)-MONTH($B$7))))*(1+'Вводные'!$B$65)^MAX(0,(12*(YEAR(EO$3)-YEAR($B$8))+MONTH(EO$3)-MONTH($B$8))))</x:f>
      </x:c>
      <x:c r="EP15" s="107" t="n">
        <x:f>IF(EP14=0,0,'Вводные'!$B$59*'Вводные'!$S$88*'Вводные'!$H$5*'Вводные'!$AG$88*(1+'Вводные'!$B$64)^MAX(0,MIN((12*(YEAR(EP$3)-YEAR($B$7))+MONTH(EP$3)-MONTH($B$7)),(12*(YEAR($B$8)-YEAR($B$7))+MONTH($B$8)-MONTH($B$7))))*(1+'Вводные'!$B$65)^MAX(0,(12*(YEAR(EP$3)-YEAR($B$8))+MONTH(EP$3)-MONTH($B$8))))</x:f>
      </x:c>
      <x:c r="EQ15" s="107" t="n">
        <x:f>IF(EQ14=0,0,'Вводные'!$B$59*'Вводные'!$S$88*'Вводные'!$H$5*'Вводные'!$AG$88*(1+'Вводные'!$B$64)^MAX(0,MIN((12*(YEAR(EQ$3)-YEAR($B$7))+MONTH(EQ$3)-MONTH($B$7)),(12*(YEAR($B$8)-YEAR($B$7))+MONTH($B$8)-MONTH($B$7))))*(1+'Вводные'!$B$65)^MAX(0,(12*(YEAR(EQ$3)-YEAR($B$8))+MONTH(EQ$3)-MONTH($B$8))))</x:f>
      </x:c>
      <x:c r="ER15" s="107" t="n">
        <x:f>IF(ER14=0,0,'Вводные'!$B$59*'Вводные'!$S$88*'Вводные'!$H$5*'Вводные'!$AG$88*(1+'Вводные'!$B$64)^MAX(0,MIN((12*(YEAR(ER$3)-YEAR($B$7))+MONTH(ER$3)-MONTH($B$7)),(12*(YEAR($B$8)-YEAR($B$7))+MONTH($B$8)-MONTH($B$7))))*(1+'Вводные'!$B$65)^MAX(0,(12*(YEAR(ER$3)-YEAR($B$8))+MONTH(ER$3)-MONTH($B$8))))</x:f>
      </x:c>
      <x:c r="ES15" s="107" t="n">
        <x:f>IF(ES14=0,0,'Вводные'!$B$59*'Вводные'!$S$88*'Вводные'!$H$5*'Вводные'!$AG$88*(1+'Вводные'!$B$64)^MAX(0,MIN((12*(YEAR(ES$3)-YEAR($B$7))+MONTH(ES$3)-MONTH($B$7)),(12*(YEAR($B$8)-YEAR($B$7))+MONTH($B$8)-MONTH($B$7))))*(1+'Вводные'!$B$65)^MAX(0,(12*(YEAR(ES$3)-YEAR($B$8))+MONTH(ES$3)-MONTH($B$8))))</x:f>
      </x:c>
      <x:c r="ET15" s="107" t="n">
        <x:f>IF(ET14=0,0,'Вводные'!$B$59*'Вводные'!$S$88*'Вводные'!$H$5*'Вводные'!$AG$88*(1+'Вводные'!$B$64)^MAX(0,MIN((12*(YEAR(ET$3)-YEAR($B$7))+MONTH(ET$3)-MONTH($B$7)),(12*(YEAR($B$8)-YEAR($B$7))+MONTH($B$8)-MONTH($B$7))))*(1+'Вводные'!$B$65)^MAX(0,(12*(YEAR(ET$3)-YEAR($B$8))+MONTH(ET$3)-MONTH($B$8))))</x:f>
      </x:c>
      <x:c r="EU15" s="107" t="n">
        <x:f>IF(EU14=0,0,'Вводные'!$B$59*'Вводные'!$S$88*'Вводные'!$H$5*'Вводные'!$AG$88*(1+'Вводные'!$B$64)^MAX(0,MIN((12*(YEAR(EU$3)-YEAR($B$7))+MONTH(EU$3)-MONTH($B$7)),(12*(YEAR($B$8)-YEAR($B$7))+MONTH($B$8)-MONTH($B$7))))*(1+'Вводные'!$B$65)^MAX(0,(12*(YEAR(EU$3)-YEAR($B$8))+MONTH(EU$3)-MONTH($B$8))))</x:f>
      </x:c>
      <x:c r="EV15" s="107" t="n">
        <x:f>IF(EV14=0,0,'Вводные'!$B$59*'Вводные'!$S$88*'Вводные'!$H$5*'Вводные'!$AG$88*(1+'Вводные'!$B$64)^MAX(0,MIN((12*(YEAR(EV$3)-YEAR($B$7))+MONTH(EV$3)-MONTH($B$7)),(12*(YEAR($B$8)-YEAR($B$7))+MONTH($B$8)-MONTH($B$7))))*(1+'Вводные'!$B$65)^MAX(0,(12*(YEAR(EV$3)-YEAR($B$8))+MONTH(EV$3)-MONTH($B$8))))</x:f>
      </x:c>
      <x:c r="EW15" s="107" t="n">
        <x:f>IF(EW14=0,0,'Вводные'!$B$59*'Вводные'!$S$88*'Вводные'!$H$5*'Вводные'!$AG$88*(1+'Вводные'!$B$64)^MAX(0,MIN((12*(YEAR(EW$3)-YEAR($B$7))+MONTH(EW$3)-MONTH($B$7)),(12*(YEAR($B$8)-YEAR($B$7))+MONTH($B$8)-MONTH($B$7))))*(1+'Вводные'!$B$65)^MAX(0,(12*(YEAR(EW$3)-YEAR($B$8))+MONTH(EW$3)-MONTH($B$8))))</x:f>
      </x:c>
      <x:c r="EX15" s="107" t="n">
        <x:f>IF(EX14=0,0,'Вводные'!$B$59*'Вводные'!$S$88*'Вводные'!$H$5*'Вводные'!$AG$88*(1+'Вводные'!$B$64)^MAX(0,MIN((12*(YEAR(EX$3)-YEAR($B$7))+MONTH(EX$3)-MONTH($B$7)),(12*(YEAR($B$8)-YEAR($B$7))+MONTH($B$8)-MONTH($B$7))))*(1+'Вводные'!$B$65)^MAX(0,(12*(YEAR(EX$3)-YEAR($B$8))+MONTH(EX$3)-MONTH($B$8))))</x:f>
      </x:c>
      <x:c r="EY15" s="107" t="n">
        <x:f>IF(EY14=0,0,'Вводные'!$B$59*'Вводные'!$S$88*'Вводные'!$H$5*'Вводные'!$AG$88*(1+'Вводные'!$B$64)^MAX(0,MIN((12*(YEAR(EY$3)-YEAR($B$7))+MONTH(EY$3)-MONTH($B$7)),(12*(YEAR($B$8)-YEAR($B$7))+MONTH($B$8)-MONTH($B$7))))*(1+'Вводные'!$B$65)^MAX(0,(12*(YEAR(EY$3)-YEAR($B$8))+MONTH(EY$3)-MONTH($B$8))))</x:f>
      </x:c>
      <x:c r="EZ15" s="107" t="n">
        <x:f>IF(EZ14=0,0,'Вводные'!$B$59*'Вводные'!$S$88*'Вводные'!$H$5*'Вводные'!$AG$88*(1+'Вводные'!$B$64)^MAX(0,MIN((12*(YEAR(EZ$3)-YEAR($B$7))+MONTH(EZ$3)-MONTH($B$7)),(12*(YEAR($B$8)-YEAR($B$7))+MONTH($B$8)-MONTH($B$7))))*(1+'Вводные'!$B$65)^MAX(0,(12*(YEAR(EZ$3)-YEAR($B$8))+MONTH(EZ$3)-MONTH($B$8))))</x:f>
      </x:c>
      <x:c r="FA15" s="107" t="n">
        <x:f>IF(FA14=0,0,'Вводные'!$B$59*'Вводные'!$S$88*'Вводные'!$H$5*'Вводные'!$AG$88*(1+'Вводные'!$B$64)^MAX(0,MIN((12*(YEAR(FA$3)-YEAR($B$7))+MONTH(FA$3)-MONTH($B$7)),(12*(YEAR($B$8)-YEAR($B$7))+MONTH($B$8)-MONTH($B$7))))*(1+'Вводные'!$B$65)^MAX(0,(12*(YEAR(FA$3)-YEAR($B$8))+MONTH(FA$3)-MONTH($B$8))))</x:f>
      </x:c>
      <x:c r="FB15" s="107" t="n">
        <x:f>IF(FB14=0,0,'Вводные'!$B$59*'Вводные'!$S$88*'Вводные'!$H$5*'Вводные'!$AG$88*(1+'Вводные'!$B$64)^MAX(0,MIN((12*(YEAR(FB$3)-YEAR($B$7))+MONTH(FB$3)-MONTH($B$7)),(12*(YEAR($B$8)-YEAR($B$7))+MONTH($B$8)-MONTH($B$7))))*(1+'Вводные'!$B$65)^MAX(0,(12*(YEAR(FB$3)-YEAR($B$8))+MONTH(FB$3)-MONTH($B$8))))</x:f>
      </x:c>
      <x:c r="FC15" s="107" t="n">
        <x:f>IF(FC14=0,0,'Вводные'!$B$59*'Вводные'!$S$88*'Вводные'!$H$5*'Вводные'!$AG$88*(1+'Вводные'!$B$64)^MAX(0,MIN((12*(YEAR(FC$3)-YEAR($B$7))+MONTH(FC$3)-MONTH($B$7)),(12*(YEAR($B$8)-YEAR($B$7))+MONTH($B$8)-MONTH($B$7))))*(1+'Вводные'!$B$65)^MAX(0,(12*(YEAR(FC$3)-YEAR($B$8))+MONTH(FC$3)-MONTH($B$8))))</x:f>
      </x:c>
      <x:c r="FD15" s="107" t="n">
        <x:f>IF(FD14=0,0,'Вводные'!$B$59*'Вводные'!$S$88*'Вводные'!$H$5*'Вводные'!$AG$88*(1+'Вводные'!$B$64)^MAX(0,MIN((12*(YEAR(FD$3)-YEAR($B$7))+MONTH(FD$3)-MONTH($B$7)),(12*(YEAR($B$8)-YEAR($B$7))+MONTH($B$8)-MONTH($B$7))))*(1+'Вводные'!$B$65)^MAX(0,(12*(YEAR(FD$3)-YEAR($B$8))+MONTH(FD$3)-MONTH($B$8))))</x:f>
      </x:c>
      <x:c r="FE15" s="107" t="n">
        <x:f>IF(FE14=0,0,'Вводные'!$B$59*'Вводные'!$S$88*'Вводные'!$H$5*'Вводные'!$AG$88*(1+'Вводные'!$B$64)^MAX(0,MIN((12*(YEAR(FE$3)-YEAR($B$7))+MONTH(FE$3)-MONTH($B$7)),(12*(YEAR($B$8)-YEAR($B$7))+MONTH($B$8)-MONTH($B$7))))*(1+'Вводные'!$B$65)^MAX(0,(12*(YEAR(FE$3)-YEAR($B$8))+MONTH(FE$3)-MONTH($B$8))))</x:f>
      </x:c>
      <x:c r="FF15" s="107" t="n">
        <x:f>IF(FF14=0,0,'Вводные'!$B$59*'Вводные'!$S$88*'Вводные'!$H$5*'Вводные'!$AG$88*(1+'Вводные'!$B$64)^MAX(0,MIN((12*(YEAR(FF$3)-YEAR($B$7))+MONTH(FF$3)-MONTH($B$7)),(12*(YEAR($B$8)-YEAR($B$7))+MONTH($B$8)-MONTH($B$7))))*(1+'Вводные'!$B$65)^MAX(0,(12*(YEAR(FF$3)-YEAR($B$8))+MONTH(FF$3)-MONTH($B$8))))</x:f>
      </x:c>
      <x:c r="FG15" s="107" t="n">
        <x:f>IF(FG14=0,0,'Вводные'!$B$59*'Вводные'!$S$88*'Вводные'!$H$5*'Вводные'!$AG$88*(1+'Вводные'!$B$64)^MAX(0,MIN((12*(YEAR(FG$3)-YEAR($B$7))+MONTH(FG$3)-MONTH($B$7)),(12*(YEAR($B$8)-YEAR($B$7))+MONTH($B$8)-MONTH($B$7))))*(1+'Вводные'!$B$65)^MAX(0,(12*(YEAR(FG$3)-YEAR($B$8))+MONTH(FG$3)-MONTH($B$8))))</x:f>
      </x:c>
      <x:c r="FH15" s="107" t="n">
        <x:f>IF(FH14=0,0,'Вводные'!$B$59*'Вводные'!$S$88*'Вводные'!$H$5*'Вводные'!$AG$88*(1+'Вводные'!$B$64)^MAX(0,MIN((12*(YEAR(FH$3)-YEAR($B$7))+MONTH(FH$3)-MONTH($B$7)),(12*(YEAR($B$8)-YEAR($B$7))+MONTH($B$8)-MONTH($B$7))))*(1+'Вводные'!$B$65)^MAX(0,(12*(YEAR(FH$3)-YEAR($B$8))+MONTH(FH$3)-MONTH($B$8))))</x:f>
      </x:c>
      <x:c r="FI15" s="107" t="n">
        <x:f>IF(FI14=0,0,'Вводные'!$B$59*'Вводные'!$S$88*'Вводные'!$H$5*'Вводные'!$AG$88*(1+'Вводные'!$B$64)^MAX(0,MIN((12*(YEAR(FI$3)-YEAR($B$7))+MONTH(FI$3)-MONTH($B$7)),(12*(YEAR($B$8)-YEAR($B$7))+MONTH($B$8)-MONTH($B$7))))*(1+'Вводные'!$B$65)^MAX(0,(12*(YEAR(FI$3)-YEAR($B$8))+MONTH(FI$3)-MONTH($B$8))))</x:f>
      </x:c>
      <x:c r="FJ15" s="107" t="n">
        <x:f>IF(FJ14=0,0,'Вводные'!$B$59*'Вводные'!$S$88*'Вводные'!$H$5*'Вводные'!$AG$88*(1+'Вводные'!$B$64)^MAX(0,MIN((12*(YEAR(FJ$3)-YEAR($B$7))+MONTH(FJ$3)-MONTH($B$7)),(12*(YEAR($B$8)-YEAR($B$7))+MONTH($B$8)-MONTH($B$7))))*(1+'Вводные'!$B$65)^MAX(0,(12*(YEAR(FJ$3)-YEAR($B$8))+MONTH(FJ$3)-MONTH($B$8))))</x:f>
      </x:c>
      <x:c r="FK15" s="107" t="n">
        <x:f>IF(FK14=0,0,'Вводные'!$B$59*'Вводные'!$S$88*'Вводные'!$H$5*'Вводные'!$AG$88*(1+'Вводные'!$B$64)^MAX(0,MIN((12*(YEAR(FK$3)-YEAR($B$7))+MONTH(FK$3)-MONTH($B$7)),(12*(YEAR($B$8)-YEAR($B$7))+MONTH($B$8)-MONTH($B$7))))*(1+'Вводные'!$B$65)^MAX(0,(12*(YEAR(FK$3)-YEAR($B$8))+MONTH(FK$3)-MONTH($B$8))))</x:f>
      </x:c>
      <x:c r="FL15" s="107" t="n">
        <x:f>IF(FL14=0,0,'Вводные'!$B$59*'Вводные'!$S$88*'Вводные'!$H$5*'Вводные'!$AG$88*(1+'Вводные'!$B$64)^MAX(0,MIN((12*(YEAR(FL$3)-YEAR($B$7))+MONTH(FL$3)-MONTH($B$7)),(12*(YEAR($B$8)-YEAR($B$7))+MONTH($B$8)-MONTH($B$7))))*(1+'Вводные'!$B$65)^MAX(0,(12*(YEAR(FL$3)-YEAR($B$8))+MONTH(FL$3)-MONTH($B$8))))</x:f>
      </x:c>
      <x:c r="FM15" s="107" t="n">
        <x:f>IF(FM14=0,0,'Вводные'!$B$59*'Вводные'!$S$88*'Вводные'!$H$5*'Вводные'!$AG$88*(1+'Вводные'!$B$64)^MAX(0,MIN((12*(YEAR(FM$3)-YEAR($B$7))+MONTH(FM$3)-MONTH($B$7)),(12*(YEAR($B$8)-YEAR($B$7))+MONTH($B$8)-MONTH($B$7))))*(1+'Вводные'!$B$65)^MAX(0,(12*(YEAR(FM$3)-YEAR($B$8))+MONTH(FM$3)-MONTH($B$8))))</x:f>
      </x:c>
      <x:c r="FN15" s="107" t="n">
        <x:f>IF(FN14=0,0,'Вводные'!$B$59*'Вводные'!$S$88*'Вводные'!$H$5*'Вводные'!$AG$88*(1+'Вводные'!$B$64)^MAX(0,MIN((12*(YEAR(FN$3)-YEAR($B$7))+MONTH(FN$3)-MONTH($B$7)),(12*(YEAR($B$8)-YEAR($B$7))+MONTH($B$8)-MONTH($B$7))))*(1+'Вводные'!$B$65)^MAX(0,(12*(YEAR(FN$3)-YEAR($B$8))+MONTH(FN$3)-MONTH($B$8))))</x:f>
      </x:c>
      <x:c r="FO15" s="107" t="n">
        <x:f>IF(FO14=0,0,'Вводные'!$B$59*'Вводные'!$S$88*'Вводные'!$H$5*'Вводные'!$AG$88*(1+'Вводные'!$B$64)^MAX(0,MIN((12*(YEAR(FO$3)-YEAR($B$7))+MONTH(FO$3)-MONTH($B$7)),(12*(YEAR($B$8)-YEAR($B$7))+MONTH($B$8)-MONTH($B$7))))*(1+'Вводные'!$B$65)^MAX(0,(12*(YEAR(FO$3)-YEAR($B$8))+MONTH(FO$3)-MONTH($B$8))))</x:f>
      </x:c>
      <x:c r="FP15" s="107" t="n">
        <x:f>IF(FP14=0,0,'Вводные'!$B$59*'Вводные'!$S$88*'Вводные'!$H$5*'Вводные'!$AG$88*(1+'Вводные'!$B$64)^MAX(0,MIN((12*(YEAR(FP$3)-YEAR($B$7))+MONTH(FP$3)-MONTH($B$7)),(12*(YEAR($B$8)-YEAR($B$7))+MONTH($B$8)-MONTH($B$7))))*(1+'Вводные'!$B$65)^MAX(0,(12*(YEAR(FP$3)-YEAR($B$8))+MONTH(FP$3)-MONTH($B$8))))</x:f>
      </x:c>
      <x:c r="FQ15" s="107" t="n">
        <x:f>IF(FQ14=0,0,'Вводные'!$B$59*'Вводные'!$S$88*'Вводные'!$H$5*'Вводные'!$AG$88*(1+'Вводные'!$B$64)^MAX(0,MIN((12*(YEAR(FQ$3)-YEAR($B$7))+MONTH(FQ$3)-MONTH($B$7)),(12*(YEAR($B$8)-YEAR($B$7))+MONTH($B$8)-MONTH($B$7))))*(1+'Вводные'!$B$65)^MAX(0,(12*(YEAR(FQ$3)-YEAR($B$8))+MONTH(FQ$3)-MONTH($B$8))))</x:f>
      </x:c>
      <x:c r="FR15" s="107" t="n">
        <x:f>IF(FR14=0,0,'Вводные'!$B$59*'Вводные'!$S$88*'Вводные'!$H$5*'Вводные'!$AG$88*(1+'Вводные'!$B$64)^MAX(0,MIN((12*(YEAR(FR$3)-YEAR($B$7))+MONTH(FR$3)-MONTH($B$7)),(12*(YEAR($B$8)-YEAR($B$7))+MONTH($B$8)-MONTH($B$7))))*(1+'Вводные'!$B$65)^MAX(0,(12*(YEAR(FR$3)-YEAR($B$8))+MONTH(FR$3)-MONTH($B$8))))</x:f>
      </x:c>
      <x:c r="FS15" s="107" t="n">
        <x:f>IF(FS14=0,0,'Вводные'!$B$59*'Вводные'!$S$88*'Вводные'!$H$5*'Вводные'!$AG$88*(1+'Вводные'!$B$64)^MAX(0,MIN((12*(YEAR(FS$3)-YEAR($B$7))+MONTH(FS$3)-MONTH($B$7)),(12*(YEAR($B$8)-YEAR($B$7))+MONTH($B$8)-MONTH($B$7))))*(1+'Вводные'!$B$65)^MAX(0,(12*(YEAR(FS$3)-YEAR($B$8))+MONTH(FS$3)-MONTH($B$8))))</x:f>
      </x:c>
      <x:c r="FT15" s="107" t="n">
        <x:f>IF(FT14=0,0,'Вводные'!$B$59*'Вводные'!$S$88*'Вводные'!$H$5*'Вводные'!$AG$88*(1+'Вводные'!$B$64)^MAX(0,MIN((12*(YEAR(FT$3)-YEAR($B$7))+MONTH(FT$3)-MONTH($B$7)),(12*(YEAR($B$8)-YEAR($B$7))+MONTH($B$8)-MONTH($B$7))))*(1+'Вводные'!$B$65)^MAX(0,(12*(YEAR(FT$3)-YEAR($B$8))+MONTH(FT$3)-MONTH($B$8))))</x:f>
      </x:c>
      <x:c r="FU15" s="107" t="n">
        <x:f>IF(FU14=0,0,'Вводные'!$B$59*'Вводные'!$S$88*'Вводные'!$H$5*'Вводные'!$AG$88*(1+'Вводные'!$B$64)^MAX(0,MIN((12*(YEAR(FU$3)-YEAR($B$7))+MONTH(FU$3)-MONTH($B$7)),(12*(YEAR($B$8)-YEAR($B$7))+MONTH($B$8)-MONTH($B$7))))*(1+'Вводные'!$B$65)^MAX(0,(12*(YEAR(FU$3)-YEAR($B$8))+MONTH(FU$3)-MONTH($B$8))))</x:f>
      </x:c>
      <x:c r="FV15" s="107" t="n">
        <x:f>IF(FV14=0,0,'Вводные'!$B$59*'Вводные'!$S$88*'Вводные'!$H$5*'Вводные'!$AG$88*(1+'Вводные'!$B$64)^MAX(0,MIN((12*(YEAR(FV$3)-YEAR($B$7))+MONTH(FV$3)-MONTH($B$7)),(12*(YEAR($B$8)-YEAR($B$7))+MONTH($B$8)-MONTH($B$7))))*(1+'Вводные'!$B$65)^MAX(0,(12*(YEAR(FV$3)-YEAR($B$8))+MONTH(FV$3)-MONTH($B$8))))</x:f>
      </x:c>
      <x:c r="FW15" s="107" t="n">
        <x:f>IF(FW14=0,0,'Вводные'!$B$59*'Вводные'!$S$88*'Вводные'!$H$5*'Вводные'!$AG$88*(1+'Вводные'!$B$64)^MAX(0,MIN((12*(YEAR(FW$3)-YEAR($B$7))+MONTH(FW$3)-MONTH($B$7)),(12*(YEAR($B$8)-YEAR($B$7))+MONTH($B$8)-MONTH($B$7))))*(1+'Вводные'!$B$65)^MAX(0,(12*(YEAR(FW$3)-YEAR($B$8))+MONTH(FW$3)-MONTH($B$8))))</x:f>
      </x:c>
      <x:c r="FX15" s="107" t="n">
        <x:f>IF(FX14=0,0,'Вводные'!$B$59*'Вводные'!$S$88*'Вводные'!$H$5*'Вводные'!$AG$88*(1+'Вводные'!$B$64)^MAX(0,MIN((12*(YEAR(FX$3)-YEAR($B$7))+MONTH(FX$3)-MONTH($B$7)),(12*(YEAR($B$8)-YEAR($B$7))+MONTH($B$8)-MONTH($B$7))))*(1+'Вводные'!$B$65)^MAX(0,(12*(YEAR(FX$3)-YEAR($B$8))+MONTH(FX$3)-MONTH($B$8))))</x:f>
      </x:c>
      <x:c r="FY15" s="107" t="n">
        <x:f>IF(FY14=0,0,'Вводные'!$B$59*'Вводные'!$S$88*'Вводные'!$H$5*'Вводные'!$AG$88*(1+'Вводные'!$B$64)^MAX(0,MIN((12*(YEAR(FY$3)-YEAR($B$7))+MONTH(FY$3)-MONTH($B$7)),(12*(YEAR($B$8)-YEAR($B$7))+MONTH($B$8)-MONTH($B$7))))*(1+'Вводные'!$B$65)^MAX(0,(12*(YEAR(FY$3)-YEAR($B$8))+MONTH(FY$3)-MONTH($B$8))))</x:f>
      </x:c>
      <x:c r="FZ15" s="107" t="n">
        <x:f>IF(FZ14=0,0,'Вводные'!$B$59*'Вводные'!$S$88*'Вводные'!$H$5*'Вводные'!$AG$88*(1+'Вводные'!$B$64)^MAX(0,MIN((12*(YEAR(FZ$3)-YEAR($B$7))+MONTH(FZ$3)-MONTH($B$7)),(12*(YEAR($B$8)-YEAR($B$7))+MONTH($B$8)-MONTH($B$7))))*(1+'Вводные'!$B$65)^MAX(0,(12*(YEAR(FZ$3)-YEAR($B$8))+MONTH(FZ$3)-MONTH($B$8))))</x:f>
      </x:c>
      <x:c r="GA15" s="107" t="n">
        <x:f>IF(GA14=0,0,'Вводные'!$B$59*'Вводные'!$S$88*'Вводные'!$H$5*'Вводные'!$AG$88*(1+'Вводные'!$B$64)^MAX(0,MIN((12*(YEAR(GA$3)-YEAR($B$7))+MONTH(GA$3)-MONTH($B$7)),(12*(YEAR($B$8)-YEAR($B$7))+MONTH($B$8)-MONTH($B$7))))*(1+'Вводные'!$B$65)^MAX(0,(12*(YEAR(GA$3)-YEAR($B$8))+MONTH(GA$3)-MONTH($B$8))))</x:f>
      </x:c>
    </x:row>
    <x:row r="16">
      <x:c r="A16" t="str">
        <x:v>Квартиры — выручка</x:v>
      </x:c>
      <x:c r="B16" t="n">
        <x:f>SUM(D16:GA16)</x:f>
      </x:c>
      <x:c r="C16" t="str">
        <x:v>млн ₽</x:v>
      </x:c>
      <x:c r="D16" s="107" t="n">
        <x:f>D14*D15/1000</x:f>
      </x:c>
      <x:c r="E16" s="107" t="n">
        <x:f>E14*E15/1000</x:f>
      </x:c>
      <x:c r="F16" s="107" t="n">
        <x:f>F14*F15/1000</x:f>
      </x:c>
      <x:c r="G16" s="107" t="n">
        <x:f>G14*G15/1000</x:f>
      </x:c>
      <x:c r="H16" s="107" t="n">
        <x:f>H14*H15/1000</x:f>
      </x:c>
      <x:c r="I16" s="107" t="n">
        <x:f>I14*I15/1000</x:f>
      </x:c>
      <x:c r="J16" s="107" t="n">
        <x:f>J14*J15/1000</x:f>
      </x:c>
      <x:c r="K16" s="107" t="n">
        <x:f>K14*K15/1000</x:f>
      </x:c>
      <x:c r="L16" s="107" t="n">
        <x:f>L14*L15/1000</x:f>
      </x:c>
      <x:c r="M16" s="107" t="n">
        <x:f>M14*M15/1000</x:f>
      </x:c>
      <x:c r="N16" s="107" t="n">
        <x:f>N14*N15/1000</x:f>
      </x:c>
      <x:c r="O16" s="107" t="n">
        <x:f>O14*O15/1000</x:f>
      </x:c>
      <x:c r="P16" s="107" t="n">
        <x:f>P14*P15/1000</x:f>
      </x:c>
      <x:c r="Q16" s="107" t="n">
        <x:f>Q14*Q15/1000</x:f>
      </x:c>
      <x:c r="R16" s="107" t="n">
        <x:f>R14*R15/1000</x:f>
      </x:c>
      <x:c r="S16" s="107" t="n">
        <x:f>S14*S15/1000</x:f>
      </x:c>
      <x:c r="T16" s="107" t="n">
        <x:f>T14*T15/1000</x:f>
      </x:c>
      <x:c r="U16" s="107" t="n">
        <x:f>U14*U15/1000</x:f>
      </x:c>
      <x:c r="V16" s="107" t="n">
        <x:f>V14*V15/1000</x:f>
      </x:c>
      <x:c r="W16" s="107" t="n">
        <x:f>W14*W15/1000</x:f>
      </x:c>
      <x:c r="X16" s="107" t="n">
        <x:f>X14*X15/1000</x:f>
      </x:c>
      <x:c r="Y16" s="107" t="n">
        <x:f>Y14*Y15/1000</x:f>
      </x:c>
      <x:c r="Z16" s="107" t="n">
        <x:f>Z14*Z15/1000</x:f>
      </x:c>
      <x:c r="AA16" s="107" t="n">
        <x:f>AA14*AA15/1000</x:f>
      </x:c>
      <x:c r="AB16" s="107" t="n">
        <x:f>AB14*AB15/1000</x:f>
      </x:c>
      <x:c r="AC16" s="107" t="n">
        <x:f>AC14*AC15/1000</x:f>
      </x:c>
      <x:c r="AD16" s="107" t="n">
        <x:f>AD14*AD15/1000</x:f>
      </x:c>
      <x:c r="AE16" s="107" t="n">
        <x:f>AE14*AE15/1000</x:f>
      </x:c>
      <x:c r="AF16" s="107" t="n">
        <x:f>AF14*AF15/1000</x:f>
      </x:c>
      <x:c r="AG16" s="107" t="n">
        <x:f>AG14*AG15/1000</x:f>
      </x:c>
      <x:c r="AH16" s="107" t="n">
        <x:f>AH14*AH15/1000</x:f>
      </x:c>
      <x:c r="AI16" s="107" t="n">
        <x:f>AI14*AI15/1000</x:f>
      </x:c>
      <x:c r="AJ16" s="107" t="n">
        <x:f>AJ14*AJ15/1000</x:f>
      </x:c>
      <x:c r="AK16" s="107" t="n">
        <x:f>AK14*AK15/1000</x:f>
      </x:c>
      <x:c r="AL16" s="107" t="n">
        <x:f>AL14*AL15/1000</x:f>
      </x:c>
      <x:c r="AM16" s="107" t="n">
        <x:f>AM14*AM15/1000</x:f>
      </x:c>
      <x:c r="AN16" s="107" t="n">
        <x:f>AN14*AN15/1000</x:f>
      </x:c>
      <x:c r="AO16" s="107" t="n">
        <x:f>AO14*AO15/1000</x:f>
      </x:c>
      <x:c r="AP16" s="107" t="n">
        <x:f>AP14*AP15/1000</x:f>
      </x:c>
      <x:c r="AQ16" s="107" t="n">
        <x:f>AQ14*AQ15/1000</x:f>
      </x:c>
      <x:c r="AR16" s="107" t="n">
        <x:f>AR14*AR15/1000</x:f>
      </x:c>
      <x:c r="AS16" s="107" t="n">
        <x:f>AS14*AS15/1000</x:f>
      </x:c>
      <x:c r="AT16" s="107" t="n">
        <x:f>AT14*AT15/1000</x:f>
      </x:c>
      <x:c r="AU16" s="107" t="n">
        <x:f>AU14*AU15/1000</x:f>
      </x:c>
      <x:c r="AV16" s="107" t="n">
        <x:f>AV14*AV15/1000</x:f>
      </x:c>
      <x:c r="AW16" s="107" t="n">
        <x:f>AW14*AW15/1000</x:f>
      </x:c>
      <x:c r="AX16" s="107" t="n">
        <x:f>AX14*AX15/1000</x:f>
      </x:c>
      <x:c r="AY16" s="107" t="n">
        <x:f>AY14*AY15/1000</x:f>
      </x:c>
      <x:c r="AZ16" s="107" t="n">
        <x:f>AZ14*AZ15/1000</x:f>
      </x:c>
      <x:c r="BA16" s="107" t="n">
        <x:f>BA14*BA15/1000</x:f>
      </x:c>
      <x:c r="BB16" s="107" t="n">
        <x:f>BB14*BB15/1000</x:f>
      </x:c>
      <x:c r="BC16" s="107" t="n">
        <x:f>BC14*BC15/1000</x:f>
      </x:c>
      <x:c r="BD16" s="107" t="n">
        <x:f>BD14*BD15/1000</x:f>
      </x:c>
      <x:c r="BE16" s="107" t="n">
        <x:f>BE14*BE15/1000</x:f>
      </x:c>
      <x:c r="BF16" s="107" t="n">
        <x:f>BF14*BF15/1000</x:f>
      </x:c>
      <x:c r="BG16" s="107" t="n">
        <x:f>BG14*BG15/1000</x:f>
      </x:c>
      <x:c r="BH16" s="107" t="n">
        <x:f>BH14*BH15/1000</x:f>
      </x:c>
      <x:c r="BI16" s="107" t="n">
        <x:f>BI14*BI15/1000</x:f>
      </x:c>
      <x:c r="BJ16" s="107" t="n">
        <x:f>BJ14*BJ15/1000</x:f>
      </x:c>
      <x:c r="BK16" s="107" t="n">
        <x:f>BK14*BK15/1000</x:f>
      </x:c>
      <x:c r="BL16" s="107" t="n">
        <x:f>BL14*BL15/1000</x:f>
      </x:c>
      <x:c r="BM16" s="107" t="n">
        <x:f>BM14*BM15/1000</x:f>
      </x:c>
      <x:c r="BN16" s="107" t="n">
        <x:f>BN14*BN15/1000</x:f>
      </x:c>
      <x:c r="BO16" s="107" t="n">
        <x:f>BO14*BO15/1000</x:f>
      </x:c>
      <x:c r="BP16" s="107" t="n">
        <x:f>BP14*BP15/1000</x:f>
      </x:c>
      <x:c r="BQ16" s="107" t="n">
        <x:f>BQ14*BQ15/1000</x:f>
      </x:c>
      <x:c r="BR16" s="107" t="n">
        <x:f>BR14*BR15/1000</x:f>
      </x:c>
      <x:c r="BS16" s="107" t="n">
        <x:f>BS14*BS15/1000</x:f>
      </x:c>
      <x:c r="BT16" s="107" t="n">
        <x:f>BT14*BT15/1000</x:f>
      </x:c>
      <x:c r="BU16" s="107" t="n">
        <x:f>BU14*BU15/1000</x:f>
      </x:c>
      <x:c r="BV16" s="107" t="n">
        <x:f>BV14*BV15/1000</x:f>
      </x:c>
      <x:c r="BW16" s="107" t="n">
        <x:f>BW14*BW15/1000</x:f>
      </x:c>
      <x:c r="BX16" s="107" t="n">
        <x:f>BX14*BX15/1000</x:f>
      </x:c>
      <x:c r="BY16" s="107" t="n">
        <x:f>BY14*BY15/1000</x:f>
      </x:c>
      <x:c r="BZ16" s="107" t="n">
        <x:f>BZ14*BZ15/1000</x:f>
      </x:c>
      <x:c r="CA16" s="107" t="n">
        <x:f>CA14*CA15/1000</x:f>
      </x:c>
      <x:c r="CB16" s="107" t="n">
        <x:f>CB14*CB15/1000</x:f>
      </x:c>
      <x:c r="CC16" s="107" t="n">
        <x:f>CC14*CC15/1000</x:f>
      </x:c>
      <x:c r="CD16" s="107" t="n">
        <x:f>CD14*CD15/1000</x:f>
      </x:c>
      <x:c r="CE16" s="107" t="n">
        <x:f>CE14*CE15/1000</x:f>
      </x:c>
      <x:c r="CF16" s="107" t="n">
        <x:f>CF14*CF15/1000</x:f>
      </x:c>
      <x:c r="CG16" s="107" t="n">
        <x:f>CG14*CG15/1000</x:f>
      </x:c>
      <x:c r="CH16" s="107" t="n">
        <x:f>CH14*CH15/1000</x:f>
      </x:c>
      <x:c r="CI16" s="107" t="n">
        <x:f>CI14*CI15/1000</x:f>
      </x:c>
      <x:c r="CJ16" s="107" t="n">
        <x:f>CJ14*CJ15/1000</x:f>
      </x:c>
      <x:c r="CK16" s="107" t="n">
        <x:f>CK14*CK15/1000</x:f>
      </x:c>
      <x:c r="CL16" s="107" t="n">
        <x:f>CL14*CL15/1000</x:f>
      </x:c>
      <x:c r="CM16" s="107" t="n">
        <x:f>CM14*CM15/1000</x:f>
      </x:c>
      <x:c r="CN16" s="107" t="n">
        <x:f>CN14*CN15/1000</x:f>
      </x:c>
      <x:c r="CO16" s="107" t="n">
        <x:f>CO14*CO15/1000</x:f>
      </x:c>
      <x:c r="CP16" s="107" t="n">
        <x:f>CP14*CP15/1000</x:f>
      </x:c>
      <x:c r="CQ16" s="107" t="n">
        <x:f>CQ14*CQ15/1000</x:f>
      </x:c>
      <x:c r="CR16" s="107" t="n">
        <x:f>CR14*CR15/1000</x:f>
      </x:c>
      <x:c r="CS16" s="107" t="n">
        <x:f>CS14*CS15/1000</x:f>
      </x:c>
      <x:c r="CT16" s="107" t="n">
        <x:f>CT14*CT15/1000</x:f>
      </x:c>
      <x:c r="CU16" s="107" t="n">
        <x:f>CU14*CU15/1000</x:f>
      </x:c>
      <x:c r="CV16" s="107" t="n">
        <x:f>CV14*CV15/1000</x:f>
      </x:c>
      <x:c r="CW16" s="107" t="n">
        <x:f>CW14*CW15/1000</x:f>
      </x:c>
      <x:c r="CX16" s="107" t="n">
        <x:f>CX14*CX15/1000</x:f>
      </x:c>
      <x:c r="CY16" s="107" t="n">
        <x:f>CY14*CY15/1000</x:f>
      </x:c>
      <x:c r="CZ16" s="107" t="n">
        <x:f>CZ14*CZ15/1000</x:f>
      </x:c>
      <x:c r="DA16" s="107" t="n">
        <x:f>DA14*DA15/1000</x:f>
      </x:c>
      <x:c r="DB16" s="107" t="n">
        <x:f>DB14*DB15/1000</x:f>
      </x:c>
      <x:c r="DC16" s="107" t="n">
        <x:f>DC14*DC15/1000</x:f>
      </x:c>
      <x:c r="DD16" s="107" t="n">
        <x:f>DD14*DD15/1000</x:f>
      </x:c>
      <x:c r="DE16" s="107" t="n">
        <x:f>DE14*DE15/1000</x:f>
      </x:c>
      <x:c r="DF16" s="107" t="n">
        <x:f>DF14*DF15/1000</x:f>
      </x:c>
      <x:c r="DG16" s="107" t="n">
        <x:f>DG14*DG15/1000</x:f>
      </x:c>
      <x:c r="DH16" s="107" t="n">
        <x:f>DH14*DH15/1000</x:f>
      </x:c>
      <x:c r="DI16" s="107" t="n">
        <x:f>DI14*DI15/1000</x:f>
      </x:c>
      <x:c r="DJ16" s="107" t="n">
        <x:f>DJ14*DJ15/1000</x:f>
      </x:c>
      <x:c r="DK16" s="107" t="n">
        <x:f>DK14*DK15/1000</x:f>
      </x:c>
      <x:c r="DL16" s="107" t="n">
        <x:f>DL14*DL15/1000</x:f>
      </x:c>
      <x:c r="DM16" s="107" t="n">
        <x:f>DM14*DM15/1000</x:f>
      </x:c>
      <x:c r="DN16" s="107" t="n">
        <x:f>DN14*DN15/1000</x:f>
      </x:c>
      <x:c r="DO16" s="107" t="n">
        <x:f>DO14*DO15/1000</x:f>
      </x:c>
      <x:c r="DP16" s="107" t="n">
        <x:f>DP14*DP15/1000</x:f>
      </x:c>
      <x:c r="DQ16" s="107" t="n">
        <x:f>DQ14*DQ15/1000</x:f>
      </x:c>
      <x:c r="DR16" s="107" t="n">
        <x:f>DR14*DR15/1000</x:f>
      </x:c>
      <x:c r="DS16" s="107" t="n">
        <x:f>DS14*DS15/1000</x:f>
      </x:c>
      <x:c r="DT16" s="107" t="n">
        <x:f>DT14*DT15/1000</x:f>
      </x:c>
      <x:c r="DU16" s="107" t="n">
        <x:f>DU14*DU15/1000</x:f>
      </x:c>
      <x:c r="DV16" s="107" t="n">
        <x:f>DV14*DV15/1000</x:f>
      </x:c>
      <x:c r="DW16" s="107" t="n">
        <x:f>DW14*DW15/1000</x:f>
      </x:c>
      <x:c r="DX16" s="107" t="n">
        <x:f>DX14*DX15/1000</x:f>
      </x:c>
      <x:c r="DY16" s="107" t="n">
        <x:f>DY14*DY15/1000</x:f>
      </x:c>
      <x:c r="DZ16" s="107" t="n">
        <x:f>DZ14*DZ15/1000</x:f>
      </x:c>
      <x:c r="EA16" s="107" t="n">
        <x:f>EA14*EA15/1000</x:f>
      </x:c>
      <x:c r="EB16" s="107" t="n">
        <x:f>EB14*EB15/1000</x:f>
      </x:c>
      <x:c r="EC16" s="107" t="n">
        <x:f>EC14*EC15/1000</x:f>
      </x:c>
      <x:c r="ED16" s="107" t="n">
        <x:f>ED14*ED15/1000</x:f>
      </x:c>
      <x:c r="EE16" s="107" t="n">
        <x:f>EE14*EE15/1000</x:f>
      </x:c>
      <x:c r="EF16" s="107" t="n">
        <x:f>EF14*EF15/1000</x:f>
      </x:c>
      <x:c r="EG16" s="107" t="n">
        <x:f>EG14*EG15/1000</x:f>
      </x:c>
      <x:c r="EH16" s="107" t="n">
        <x:f>EH14*EH15/1000</x:f>
      </x:c>
      <x:c r="EI16" s="107" t="n">
        <x:f>EI14*EI15/1000</x:f>
      </x:c>
      <x:c r="EJ16" s="107" t="n">
        <x:f>EJ14*EJ15/1000</x:f>
      </x:c>
      <x:c r="EK16" s="107" t="n">
        <x:f>EK14*EK15/1000</x:f>
      </x:c>
      <x:c r="EL16" s="107" t="n">
        <x:f>EL14*EL15/1000</x:f>
      </x:c>
      <x:c r="EM16" s="107" t="n">
        <x:f>EM14*EM15/1000</x:f>
      </x:c>
      <x:c r="EN16" s="107" t="n">
        <x:f>EN14*EN15/1000</x:f>
      </x:c>
      <x:c r="EO16" s="107" t="n">
        <x:f>EO14*EO15/1000</x:f>
      </x:c>
      <x:c r="EP16" s="107" t="n">
        <x:f>EP14*EP15/1000</x:f>
      </x:c>
      <x:c r="EQ16" s="107" t="n">
        <x:f>EQ14*EQ15/1000</x:f>
      </x:c>
      <x:c r="ER16" s="107" t="n">
        <x:f>ER14*ER15/1000</x:f>
      </x:c>
      <x:c r="ES16" s="107" t="n">
        <x:f>ES14*ES15/1000</x:f>
      </x:c>
      <x:c r="ET16" s="107" t="n">
        <x:f>ET14*ET15/1000</x:f>
      </x:c>
      <x:c r="EU16" s="107" t="n">
        <x:f>EU14*EU15/1000</x:f>
      </x:c>
      <x:c r="EV16" s="107" t="n">
        <x:f>EV14*EV15/1000</x:f>
      </x:c>
      <x:c r="EW16" s="107" t="n">
        <x:f>EW14*EW15/1000</x:f>
      </x:c>
      <x:c r="EX16" s="107" t="n">
        <x:f>EX14*EX15/1000</x:f>
      </x:c>
      <x:c r="EY16" s="107" t="n">
        <x:f>EY14*EY15/1000</x:f>
      </x:c>
      <x:c r="EZ16" s="107" t="n">
        <x:f>EZ14*EZ15/1000</x:f>
      </x:c>
      <x:c r="FA16" s="107" t="n">
        <x:f>FA14*FA15/1000</x:f>
      </x:c>
      <x:c r="FB16" s="107" t="n">
        <x:f>FB14*FB15/1000</x:f>
      </x:c>
      <x:c r="FC16" s="107" t="n">
        <x:f>FC14*FC15/1000</x:f>
      </x:c>
      <x:c r="FD16" s="107" t="n">
        <x:f>FD14*FD15/1000</x:f>
      </x:c>
      <x:c r="FE16" s="107" t="n">
        <x:f>FE14*FE15/1000</x:f>
      </x:c>
      <x:c r="FF16" s="107" t="n">
        <x:f>FF14*FF15/1000</x:f>
      </x:c>
      <x:c r="FG16" s="107" t="n">
        <x:f>FG14*FG15/1000</x:f>
      </x:c>
      <x:c r="FH16" s="107" t="n">
        <x:f>FH14*FH15/1000</x:f>
      </x:c>
      <x:c r="FI16" s="107" t="n">
        <x:f>FI14*FI15/1000</x:f>
      </x:c>
      <x:c r="FJ16" s="107" t="n">
        <x:f>FJ14*FJ15/1000</x:f>
      </x:c>
      <x:c r="FK16" s="107" t="n">
        <x:f>FK14*FK15/1000</x:f>
      </x:c>
      <x:c r="FL16" s="107" t="n">
        <x:f>FL14*FL15/1000</x:f>
      </x:c>
      <x:c r="FM16" s="107" t="n">
        <x:f>FM14*FM15/1000</x:f>
      </x:c>
      <x:c r="FN16" s="107" t="n">
        <x:f>FN14*FN15/1000</x:f>
      </x:c>
      <x:c r="FO16" s="107" t="n">
        <x:f>FO14*FO15/1000</x:f>
      </x:c>
      <x:c r="FP16" s="107" t="n">
        <x:f>FP14*FP15/1000</x:f>
      </x:c>
      <x:c r="FQ16" s="107" t="n">
        <x:f>FQ14*FQ15/1000</x:f>
      </x:c>
      <x:c r="FR16" s="107" t="n">
        <x:f>FR14*FR15/1000</x:f>
      </x:c>
      <x:c r="FS16" s="107" t="n">
        <x:f>FS14*FS15/1000</x:f>
      </x:c>
      <x:c r="FT16" s="107" t="n">
        <x:f>FT14*FT15/1000</x:f>
      </x:c>
      <x:c r="FU16" s="107" t="n">
        <x:f>FU14*FU15/1000</x:f>
      </x:c>
      <x:c r="FV16" s="107" t="n">
        <x:f>FV14*FV15/1000</x:f>
      </x:c>
      <x:c r="FW16" s="107" t="n">
        <x:f>FW14*FW15/1000</x:f>
      </x:c>
      <x:c r="FX16" s="107" t="n">
        <x:f>FX14*FX15/1000</x:f>
      </x:c>
      <x:c r="FY16" s="107" t="n">
        <x:f>FY14*FY15/1000</x:f>
      </x:c>
      <x:c r="FZ16" s="107" t="n">
        <x:f>FZ14*FZ15/1000</x:f>
      </x:c>
      <x:c r="GA16" s="107" t="n">
        <x:f>GA14*GA15/1000</x:f>
      </x:c>
    </x:row>
    <x:row r="17">
      <x:c r="A17" t="str">
        <x:v>Коммерция — объём</x:v>
      </x:c>
      <x:c r="B17" t="n">
        <x:f>SUM(D17:GA17)</x:f>
      </x:c>
      <x:c r="C17" t="str">
        <x:v>м²</x:v>
      </x:c>
      <x:c r="D17" s="107" t="n">
        <x:f>'Вводные'!$M$88*((IF(SUM($D9:$GA9)=0,0,IF(SUM($D12:$GA12)=0,1,'Вводные'!$B$63)))*D11+(1-(IF(SUM($D9:$GA9)=0,0,IF(SUM($D12:$GA12)=0,1,'Вводные'!$B$63))))*D13)</x:f>
      </x:c>
      <x:c r="E17" s="107" t="n">
        <x:f>'Вводные'!$M$88*((IF(SUM($D9:$GA9)=0,0,IF(SUM($D12:$GA12)=0,1,'Вводные'!$B$63)))*E11+(1-(IF(SUM($D9:$GA9)=0,0,IF(SUM($D12:$GA12)=0,1,'Вводные'!$B$63))))*E13)</x:f>
      </x:c>
      <x:c r="F17" s="107" t="n">
        <x:f>'Вводные'!$M$88*((IF(SUM($D9:$GA9)=0,0,IF(SUM($D12:$GA12)=0,1,'Вводные'!$B$63)))*F11+(1-(IF(SUM($D9:$GA9)=0,0,IF(SUM($D12:$GA12)=0,1,'Вводные'!$B$63))))*F13)</x:f>
      </x:c>
      <x:c r="G17" s="107" t="n">
        <x:f>'Вводные'!$M$88*((IF(SUM($D9:$GA9)=0,0,IF(SUM($D12:$GA12)=0,1,'Вводные'!$B$63)))*G11+(1-(IF(SUM($D9:$GA9)=0,0,IF(SUM($D12:$GA12)=0,1,'Вводные'!$B$63))))*G13)</x:f>
      </x:c>
      <x:c r="H17" s="107" t="n">
        <x:f>'Вводные'!$M$88*((IF(SUM($D9:$GA9)=0,0,IF(SUM($D12:$GA12)=0,1,'Вводные'!$B$63)))*H11+(1-(IF(SUM($D9:$GA9)=0,0,IF(SUM($D12:$GA12)=0,1,'Вводные'!$B$63))))*H13)</x:f>
      </x:c>
      <x:c r="I17" s="107" t="n">
        <x:f>'Вводные'!$M$88*((IF(SUM($D9:$GA9)=0,0,IF(SUM($D12:$GA12)=0,1,'Вводные'!$B$63)))*I11+(1-(IF(SUM($D9:$GA9)=0,0,IF(SUM($D12:$GA12)=0,1,'Вводные'!$B$63))))*I13)</x:f>
      </x:c>
      <x:c r="J17" s="107" t="n">
        <x:f>'Вводные'!$M$88*((IF(SUM($D9:$GA9)=0,0,IF(SUM($D12:$GA12)=0,1,'Вводные'!$B$63)))*J11+(1-(IF(SUM($D9:$GA9)=0,0,IF(SUM($D12:$GA12)=0,1,'Вводные'!$B$63))))*J13)</x:f>
      </x:c>
      <x:c r="K17" s="107" t="n">
        <x:f>'Вводные'!$M$88*((IF(SUM($D9:$GA9)=0,0,IF(SUM($D12:$GA12)=0,1,'Вводные'!$B$63)))*K11+(1-(IF(SUM($D9:$GA9)=0,0,IF(SUM($D12:$GA12)=0,1,'Вводные'!$B$63))))*K13)</x:f>
      </x:c>
      <x:c r="L17" s="107" t="n">
        <x:f>'Вводные'!$M$88*((IF(SUM($D9:$GA9)=0,0,IF(SUM($D12:$GA12)=0,1,'Вводные'!$B$63)))*L11+(1-(IF(SUM($D9:$GA9)=0,0,IF(SUM($D12:$GA12)=0,1,'Вводные'!$B$63))))*L13)</x:f>
      </x:c>
      <x:c r="M17" s="107" t="n">
        <x:f>'Вводные'!$M$88*((IF(SUM($D9:$GA9)=0,0,IF(SUM($D12:$GA12)=0,1,'Вводные'!$B$63)))*M11+(1-(IF(SUM($D9:$GA9)=0,0,IF(SUM($D12:$GA12)=0,1,'Вводные'!$B$63))))*M13)</x:f>
      </x:c>
      <x:c r="N17" s="107" t="n">
        <x:f>'Вводные'!$M$88*((IF(SUM($D9:$GA9)=0,0,IF(SUM($D12:$GA12)=0,1,'Вводные'!$B$63)))*N11+(1-(IF(SUM($D9:$GA9)=0,0,IF(SUM($D12:$GA12)=0,1,'Вводные'!$B$63))))*N13)</x:f>
      </x:c>
      <x:c r="O17" s="107" t="n">
        <x:f>'Вводные'!$M$88*((IF(SUM($D9:$GA9)=0,0,IF(SUM($D12:$GA12)=0,1,'Вводные'!$B$63)))*O11+(1-(IF(SUM($D9:$GA9)=0,0,IF(SUM($D12:$GA12)=0,1,'Вводные'!$B$63))))*O13)</x:f>
      </x:c>
      <x:c r="P17" s="107" t="n">
        <x:f>'Вводные'!$M$88*((IF(SUM($D9:$GA9)=0,0,IF(SUM($D12:$GA12)=0,1,'Вводные'!$B$63)))*P11+(1-(IF(SUM($D9:$GA9)=0,0,IF(SUM($D12:$GA12)=0,1,'Вводные'!$B$63))))*P13)</x:f>
      </x:c>
      <x:c r="Q17" s="107" t="n">
        <x:f>'Вводные'!$M$88*((IF(SUM($D9:$GA9)=0,0,IF(SUM($D12:$GA12)=0,1,'Вводные'!$B$63)))*Q11+(1-(IF(SUM($D9:$GA9)=0,0,IF(SUM($D12:$GA12)=0,1,'Вводные'!$B$63))))*Q13)</x:f>
      </x:c>
      <x:c r="R17" s="107" t="n">
        <x:f>'Вводные'!$M$88*((IF(SUM($D9:$GA9)=0,0,IF(SUM($D12:$GA12)=0,1,'Вводные'!$B$63)))*R11+(1-(IF(SUM($D9:$GA9)=0,0,IF(SUM($D12:$GA12)=0,1,'Вводные'!$B$63))))*R13)</x:f>
      </x:c>
      <x:c r="S17" s="107" t="n">
        <x:f>'Вводные'!$M$88*((IF(SUM($D9:$GA9)=0,0,IF(SUM($D12:$GA12)=0,1,'Вводные'!$B$63)))*S11+(1-(IF(SUM($D9:$GA9)=0,0,IF(SUM($D12:$GA12)=0,1,'Вводные'!$B$63))))*S13)</x:f>
      </x:c>
      <x:c r="T17" s="107" t="n">
        <x:f>'Вводные'!$M$88*((IF(SUM($D9:$GA9)=0,0,IF(SUM($D12:$GA12)=0,1,'Вводные'!$B$63)))*T11+(1-(IF(SUM($D9:$GA9)=0,0,IF(SUM($D12:$GA12)=0,1,'Вводные'!$B$63))))*T13)</x:f>
      </x:c>
      <x:c r="U17" s="107" t="n">
        <x:f>'Вводные'!$M$88*((IF(SUM($D9:$GA9)=0,0,IF(SUM($D12:$GA12)=0,1,'Вводные'!$B$63)))*U11+(1-(IF(SUM($D9:$GA9)=0,0,IF(SUM($D12:$GA12)=0,1,'Вводные'!$B$63))))*U13)</x:f>
      </x:c>
      <x:c r="V17" s="107" t="n">
        <x:f>'Вводные'!$M$88*((IF(SUM($D9:$GA9)=0,0,IF(SUM($D12:$GA12)=0,1,'Вводные'!$B$63)))*V11+(1-(IF(SUM($D9:$GA9)=0,0,IF(SUM($D12:$GA12)=0,1,'Вводные'!$B$63))))*V13)</x:f>
      </x:c>
      <x:c r="W17" s="107" t="n">
        <x:f>'Вводные'!$M$88*((IF(SUM($D9:$GA9)=0,0,IF(SUM($D12:$GA12)=0,1,'Вводные'!$B$63)))*W11+(1-(IF(SUM($D9:$GA9)=0,0,IF(SUM($D12:$GA12)=0,1,'Вводные'!$B$63))))*W13)</x:f>
      </x:c>
      <x:c r="X17" s="107" t="n">
        <x:f>'Вводные'!$M$88*((IF(SUM($D9:$GA9)=0,0,IF(SUM($D12:$GA12)=0,1,'Вводные'!$B$63)))*X11+(1-(IF(SUM($D9:$GA9)=0,0,IF(SUM($D12:$GA12)=0,1,'Вводные'!$B$63))))*X13)</x:f>
      </x:c>
      <x:c r="Y17" s="107" t="n">
        <x:f>'Вводные'!$M$88*((IF(SUM($D9:$GA9)=0,0,IF(SUM($D12:$GA12)=0,1,'Вводные'!$B$63)))*Y11+(1-(IF(SUM($D9:$GA9)=0,0,IF(SUM($D12:$GA12)=0,1,'Вводные'!$B$63))))*Y13)</x:f>
      </x:c>
      <x:c r="Z17" s="107" t="n">
        <x:f>'Вводные'!$M$88*((IF(SUM($D9:$GA9)=0,0,IF(SUM($D12:$GA12)=0,1,'Вводные'!$B$63)))*Z11+(1-(IF(SUM($D9:$GA9)=0,0,IF(SUM($D12:$GA12)=0,1,'Вводные'!$B$63))))*Z13)</x:f>
      </x:c>
      <x:c r="AA17" s="107" t="n">
        <x:f>'Вводные'!$M$88*((IF(SUM($D9:$GA9)=0,0,IF(SUM($D12:$GA12)=0,1,'Вводные'!$B$63)))*AA11+(1-(IF(SUM($D9:$GA9)=0,0,IF(SUM($D12:$GA12)=0,1,'Вводные'!$B$63))))*AA13)</x:f>
      </x:c>
      <x:c r="AB17" s="107" t="n">
        <x:f>'Вводные'!$M$88*((IF(SUM($D9:$GA9)=0,0,IF(SUM($D12:$GA12)=0,1,'Вводные'!$B$63)))*AB11+(1-(IF(SUM($D9:$GA9)=0,0,IF(SUM($D12:$GA12)=0,1,'Вводные'!$B$63))))*AB13)</x:f>
      </x:c>
      <x:c r="AC17" s="107" t="n">
        <x:f>'Вводные'!$M$88*((IF(SUM($D9:$GA9)=0,0,IF(SUM($D12:$GA12)=0,1,'Вводные'!$B$63)))*AC11+(1-(IF(SUM($D9:$GA9)=0,0,IF(SUM($D12:$GA12)=0,1,'Вводные'!$B$63))))*AC13)</x:f>
      </x:c>
      <x:c r="AD17" s="107" t="n">
        <x:f>'Вводные'!$M$88*((IF(SUM($D9:$GA9)=0,0,IF(SUM($D12:$GA12)=0,1,'Вводные'!$B$63)))*AD11+(1-(IF(SUM($D9:$GA9)=0,0,IF(SUM($D12:$GA12)=0,1,'Вводные'!$B$63))))*AD13)</x:f>
      </x:c>
      <x:c r="AE17" s="107" t="n">
        <x:f>'Вводные'!$M$88*((IF(SUM($D9:$GA9)=0,0,IF(SUM($D12:$GA12)=0,1,'Вводные'!$B$63)))*AE11+(1-(IF(SUM($D9:$GA9)=0,0,IF(SUM($D12:$GA12)=0,1,'Вводные'!$B$63))))*AE13)</x:f>
      </x:c>
      <x:c r="AF17" s="107" t="n">
        <x:f>'Вводные'!$M$88*((IF(SUM($D9:$GA9)=0,0,IF(SUM($D12:$GA12)=0,1,'Вводные'!$B$63)))*AF11+(1-(IF(SUM($D9:$GA9)=0,0,IF(SUM($D12:$GA12)=0,1,'Вводные'!$B$63))))*AF13)</x:f>
      </x:c>
      <x:c r="AG17" s="107" t="n">
        <x:f>'Вводные'!$M$88*((IF(SUM($D9:$GA9)=0,0,IF(SUM($D12:$GA12)=0,1,'Вводные'!$B$63)))*AG11+(1-(IF(SUM($D9:$GA9)=0,0,IF(SUM($D12:$GA12)=0,1,'Вводные'!$B$63))))*AG13)</x:f>
      </x:c>
      <x:c r="AH17" s="107" t="n">
        <x:f>'Вводные'!$M$88*((IF(SUM($D9:$GA9)=0,0,IF(SUM($D12:$GA12)=0,1,'Вводные'!$B$63)))*AH11+(1-(IF(SUM($D9:$GA9)=0,0,IF(SUM($D12:$GA12)=0,1,'Вводные'!$B$63))))*AH13)</x:f>
      </x:c>
      <x:c r="AI17" s="107" t="n">
        <x:f>'Вводные'!$M$88*((IF(SUM($D9:$GA9)=0,0,IF(SUM($D12:$GA12)=0,1,'Вводные'!$B$63)))*AI11+(1-(IF(SUM($D9:$GA9)=0,0,IF(SUM($D12:$GA12)=0,1,'Вводные'!$B$63))))*AI13)</x:f>
      </x:c>
      <x:c r="AJ17" s="107" t="n">
        <x:f>'Вводные'!$M$88*((IF(SUM($D9:$GA9)=0,0,IF(SUM($D12:$GA12)=0,1,'Вводные'!$B$63)))*AJ11+(1-(IF(SUM($D9:$GA9)=0,0,IF(SUM($D12:$GA12)=0,1,'Вводные'!$B$63))))*AJ13)</x:f>
      </x:c>
      <x:c r="AK17" s="107" t="n">
        <x:f>'Вводные'!$M$88*((IF(SUM($D9:$GA9)=0,0,IF(SUM($D12:$GA12)=0,1,'Вводные'!$B$63)))*AK11+(1-(IF(SUM($D9:$GA9)=0,0,IF(SUM($D12:$GA12)=0,1,'Вводные'!$B$63))))*AK13)</x:f>
      </x:c>
      <x:c r="AL17" s="107" t="n">
        <x:f>'Вводные'!$M$88*((IF(SUM($D9:$GA9)=0,0,IF(SUM($D12:$GA12)=0,1,'Вводные'!$B$63)))*AL11+(1-(IF(SUM($D9:$GA9)=0,0,IF(SUM($D12:$GA12)=0,1,'Вводные'!$B$63))))*AL13)</x:f>
      </x:c>
      <x:c r="AM17" s="107" t="n">
        <x:f>'Вводные'!$M$88*((IF(SUM($D9:$GA9)=0,0,IF(SUM($D12:$GA12)=0,1,'Вводные'!$B$63)))*AM11+(1-(IF(SUM($D9:$GA9)=0,0,IF(SUM($D12:$GA12)=0,1,'Вводные'!$B$63))))*AM13)</x:f>
      </x:c>
      <x:c r="AN17" s="107" t="n">
        <x:f>'Вводные'!$M$88*((IF(SUM($D9:$GA9)=0,0,IF(SUM($D12:$GA12)=0,1,'Вводные'!$B$63)))*AN11+(1-(IF(SUM($D9:$GA9)=0,0,IF(SUM($D12:$GA12)=0,1,'Вводные'!$B$63))))*AN13)</x:f>
      </x:c>
      <x:c r="AO17" s="107" t="n">
        <x:f>'Вводные'!$M$88*((IF(SUM($D9:$GA9)=0,0,IF(SUM($D12:$GA12)=0,1,'Вводные'!$B$63)))*AO11+(1-(IF(SUM($D9:$GA9)=0,0,IF(SUM($D12:$GA12)=0,1,'Вводные'!$B$63))))*AO13)</x:f>
      </x:c>
      <x:c r="AP17" s="107" t="n">
        <x:f>'Вводные'!$M$88*((IF(SUM($D9:$GA9)=0,0,IF(SUM($D12:$GA12)=0,1,'Вводные'!$B$63)))*AP11+(1-(IF(SUM($D9:$GA9)=0,0,IF(SUM($D12:$GA12)=0,1,'Вводные'!$B$63))))*AP13)</x:f>
      </x:c>
      <x:c r="AQ17" s="107" t="n">
        <x:f>'Вводные'!$M$88*((IF(SUM($D9:$GA9)=0,0,IF(SUM($D12:$GA12)=0,1,'Вводные'!$B$63)))*AQ11+(1-(IF(SUM($D9:$GA9)=0,0,IF(SUM($D12:$GA12)=0,1,'Вводные'!$B$63))))*AQ13)</x:f>
      </x:c>
      <x:c r="AR17" s="107" t="n">
        <x:f>'Вводные'!$M$88*((IF(SUM($D9:$GA9)=0,0,IF(SUM($D12:$GA12)=0,1,'Вводные'!$B$63)))*AR11+(1-(IF(SUM($D9:$GA9)=0,0,IF(SUM($D12:$GA12)=0,1,'Вводные'!$B$63))))*AR13)</x:f>
      </x:c>
      <x:c r="AS17" s="107" t="n">
        <x:f>'Вводные'!$M$88*((IF(SUM($D9:$GA9)=0,0,IF(SUM($D12:$GA12)=0,1,'Вводные'!$B$63)))*AS11+(1-(IF(SUM($D9:$GA9)=0,0,IF(SUM($D12:$GA12)=0,1,'Вводные'!$B$63))))*AS13)</x:f>
      </x:c>
      <x:c r="AT17" s="107" t="n">
        <x:f>'Вводные'!$M$88*((IF(SUM($D9:$GA9)=0,0,IF(SUM($D12:$GA12)=0,1,'Вводные'!$B$63)))*AT11+(1-(IF(SUM($D9:$GA9)=0,0,IF(SUM($D12:$GA12)=0,1,'Вводные'!$B$63))))*AT13)</x:f>
      </x:c>
      <x:c r="AU17" s="107" t="n">
        <x:f>'Вводные'!$M$88*((IF(SUM($D9:$GA9)=0,0,IF(SUM($D12:$GA12)=0,1,'Вводные'!$B$63)))*AU11+(1-(IF(SUM($D9:$GA9)=0,0,IF(SUM($D12:$GA12)=0,1,'Вводные'!$B$63))))*AU13)</x:f>
      </x:c>
      <x:c r="AV17" s="107" t="n">
        <x:f>'Вводные'!$M$88*((IF(SUM($D9:$GA9)=0,0,IF(SUM($D12:$GA12)=0,1,'Вводные'!$B$63)))*AV11+(1-(IF(SUM($D9:$GA9)=0,0,IF(SUM($D12:$GA12)=0,1,'Вводные'!$B$63))))*AV13)</x:f>
      </x:c>
      <x:c r="AW17" s="107" t="n">
        <x:f>'Вводные'!$M$88*((IF(SUM($D9:$GA9)=0,0,IF(SUM($D12:$GA12)=0,1,'Вводные'!$B$63)))*AW11+(1-(IF(SUM($D9:$GA9)=0,0,IF(SUM($D12:$GA12)=0,1,'Вводные'!$B$63))))*AW13)</x:f>
      </x:c>
      <x:c r="AX17" s="107" t="n">
        <x:f>'Вводные'!$M$88*((IF(SUM($D9:$GA9)=0,0,IF(SUM($D12:$GA12)=0,1,'Вводные'!$B$63)))*AX11+(1-(IF(SUM($D9:$GA9)=0,0,IF(SUM($D12:$GA12)=0,1,'Вводные'!$B$63))))*AX13)</x:f>
      </x:c>
      <x:c r="AY17" s="107" t="n">
        <x:f>'Вводные'!$M$88*((IF(SUM($D9:$GA9)=0,0,IF(SUM($D12:$GA12)=0,1,'Вводные'!$B$63)))*AY11+(1-(IF(SUM($D9:$GA9)=0,0,IF(SUM($D12:$GA12)=0,1,'Вводные'!$B$63))))*AY13)</x:f>
      </x:c>
      <x:c r="AZ17" s="107" t="n">
        <x:f>'Вводные'!$M$88*((IF(SUM($D9:$GA9)=0,0,IF(SUM($D12:$GA12)=0,1,'Вводные'!$B$63)))*AZ11+(1-(IF(SUM($D9:$GA9)=0,0,IF(SUM($D12:$GA12)=0,1,'Вводные'!$B$63))))*AZ13)</x:f>
      </x:c>
      <x:c r="BA17" s="107" t="n">
        <x:f>'Вводные'!$M$88*((IF(SUM($D9:$GA9)=0,0,IF(SUM($D12:$GA12)=0,1,'Вводные'!$B$63)))*BA11+(1-(IF(SUM($D9:$GA9)=0,0,IF(SUM($D12:$GA12)=0,1,'Вводные'!$B$63))))*BA13)</x:f>
      </x:c>
      <x:c r="BB17" s="107" t="n">
        <x:f>'Вводные'!$M$88*((IF(SUM($D9:$GA9)=0,0,IF(SUM($D12:$GA12)=0,1,'Вводные'!$B$63)))*BB11+(1-(IF(SUM($D9:$GA9)=0,0,IF(SUM($D12:$GA12)=0,1,'Вводные'!$B$63))))*BB13)</x:f>
      </x:c>
      <x:c r="BC17" s="107" t="n">
        <x:f>'Вводные'!$M$88*((IF(SUM($D9:$GA9)=0,0,IF(SUM($D12:$GA12)=0,1,'Вводные'!$B$63)))*BC11+(1-(IF(SUM($D9:$GA9)=0,0,IF(SUM($D12:$GA12)=0,1,'Вводные'!$B$63))))*BC13)</x:f>
      </x:c>
      <x:c r="BD17" s="107" t="n">
        <x:f>'Вводные'!$M$88*((IF(SUM($D9:$GA9)=0,0,IF(SUM($D12:$GA12)=0,1,'Вводные'!$B$63)))*BD11+(1-(IF(SUM($D9:$GA9)=0,0,IF(SUM($D12:$GA12)=0,1,'Вводные'!$B$63))))*BD13)</x:f>
      </x:c>
      <x:c r="BE17" s="107" t="n">
        <x:f>'Вводные'!$M$88*((IF(SUM($D9:$GA9)=0,0,IF(SUM($D12:$GA12)=0,1,'Вводные'!$B$63)))*BE11+(1-(IF(SUM($D9:$GA9)=0,0,IF(SUM($D12:$GA12)=0,1,'Вводные'!$B$63))))*BE13)</x:f>
      </x:c>
      <x:c r="BF17" s="107" t="n">
        <x:f>'Вводные'!$M$88*((IF(SUM($D9:$GA9)=0,0,IF(SUM($D12:$GA12)=0,1,'Вводные'!$B$63)))*BF11+(1-(IF(SUM($D9:$GA9)=0,0,IF(SUM($D12:$GA12)=0,1,'Вводные'!$B$63))))*BF13)</x:f>
      </x:c>
      <x:c r="BG17" s="107" t="n">
        <x:f>'Вводные'!$M$88*((IF(SUM($D9:$GA9)=0,0,IF(SUM($D12:$GA12)=0,1,'Вводные'!$B$63)))*BG11+(1-(IF(SUM($D9:$GA9)=0,0,IF(SUM($D12:$GA12)=0,1,'Вводные'!$B$63))))*BG13)</x:f>
      </x:c>
      <x:c r="BH17" s="107" t="n">
        <x:f>'Вводные'!$M$88*((IF(SUM($D9:$GA9)=0,0,IF(SUM($D12:$GA12)=0,1,'Вводные'!$B$63)))*BH11+(1-(IF(SUM($D9:$GA9)=0,0,IF(SUM($D12:$GA12)=0,1,'Вводные'!$B$63))))*BH13)</x:f>
      </x:c>
      <x:c r="BI17" s="107" t="n">
        <x:f>'Вводные'!$M$88*((IF(SUM($D9:$GA9)=0,0,IF(SUM($D12:$GA12)=0,1,'Вводные'!$B$63)))*BI11+(1-(IF(SUM($D9:$GA9)=0,0,IF(SUM($D12:$GA12)=0,1,'Вводные'!$B$63))))*BI13)</x:f>
      </x:c>
      <x:c r="BJ17" s="107" t="n">
        <x:f>'Вводные'!$M$88*((IF(SUM($D9:$GA9)=0,0,IF(SUM($D12:$GA12)=0,1,'Вводные'!$B$63)))*BJ11+(1-(IF(SUM($D9:$GA9)=0,0,IF(SUM($D12:$GA12)=0,1,'Вводные'!$B$63))))*BJ13)</x:f>
      </x:c>
      <x:c r="BK17" s="107" t="n">
        <x:f>'Вводные'!$M$88*((IF(SUM($D9:$GA9)=0,0,IF(SUM($D12:$GA12)=0,1,'Вводные'!$B$63)))*BK11+(1-(IF(SUM($D9:$GA9)=0,0,IF(SUM($D12:$GA12)=0,1,'Вводные'!$B$63))))*BK13)</x:f>
      </x:c>
      <x:c r="BL17" s="107" t="n">
        <x:f>'Вводные'!$M$88*((IF(SUM($D9:$GA9)=0,0,IF(SUM($D12:$GA12)=0,1,'Вводные'!$B$63)))*BL11+(1-(IF(SUM($D9:$GA9)=0,0,IF(SUM($D12:$GA12)=0,1,'Вводные'!$B$63))))*BL13)</x:f>
      </x:c>
      <x:c r="BM17" s="107" t="n">
        <x:f>'Вводные'!$M$88*((IF(SUM($D9:$GA9)=0,0,IF(SUM($D12:$GA12)=0,1,'Вводные'!$B$63)))*BM11+(1-(IF(SUM($D9:$GA9)=0,0,IF(SUM($D12:$GA12)=0,1,'Вводные'!$B$63))))*BM13)</x:f>
      </x:c>
      <x:c r="BN17" s="107" t="n">
        <x:f>'Вводные'!$M$88*((IF(SUM($D9:$GA9)=0,0,IF(SUM($D12:$GA12)=0,1,'Вводные'!$B$63)))*BN11+(1-(IF(SUM($D9:$GA9)=0,0,IF(SUM($D12:$GA12)=0,1,'Вводные'!$B$63))))*BN13)</x:f>
      </x:c>
      <x:c r="BO17" s="107" t="n">
        <x:f>'Вводные'!$M$88*((IF(SUM($D9:$GA9)=0,0,IF(SUM($D12:$GA12)=0,1,'Вводные'!$B$63)))*BO11+(1-(IF(SUM($D9:$GA9)=0,0,IF(SUM($D12:$GA12)=0,1,'Вводные'!$B$63))))*BO13)</x:f>
      </x:c>
      <x:c r="BP17" s="107" t="n">
        <x:f>'Вводные'!$M$88*((IF(SUM($D9:$GA9)=0,0,IF(SUM($D12:$GA12)=0,1,'Вводные'!$B$63)))*BP11+(1-(IF(SUM($D9:$GA9)=0,0,IF(SUM($D12:$GA12)=0,1,'Вводные'!$B$63))))*BP13)</x:f>
      </x:c>
      <x:c r="BQ17" s="107" t="n">
        <x:f>'Вводные'!$M$88*((IF(SUM($D9:$GA9)=0,0,IF(SUM($D12:$GA12)=0,1,'Вводные'!$B$63)))*BQ11+(1-(IF(SUM($D9:$GA9)=0,0,IF(SUM($D12:$GA12)=0,1,'Вводные'!$B$63))))*BQ13)</x:f>
      </x:c>
      <x:c r="BR17" s="107" t="n">
        <x:f>'Вводные'!$M$88*((IF(SUM($D9:$GA9)=0,0,IF(SUM($D12:$GA12)=0,1,'Вводные'!$B$63)))*BR11+(1-(IF(SUM($D9:$GA9)=0,0,IF(SUM($D12:$GA12)=0,1,'Вводные'!$B$63))))*BR13)</x:f>
      </x:c>
      <x:c r="BS17" s="107" t="n">
        <x:f>'Вводные'!$M$88*((IF(SUM($D9:$GA9)=0,0,IF(SUM($D12:$GA12)=0,1,'Вводные'!$B$63)))*BS11+(1-(IF(SUM($D9:$GA9)=0,0,IF(SUM($D12:$GA12)=0,1,'Вводные'!$B$63))))*BS13)</x:f>
      </x:c>
      <x:c r="BT17" s="107" t="n">
        <x:f>'Вводные'!$M$88*((IF(SUM($D9:$GA9)=0,0,IF(SUM($D12:$GA12)=0,1,'Вводные'!$B$63)))*BT11+(1-(IF(SUM($D9:$GA9)=0,0,IF(SUM($D12:$GA12)=0,1,'Вводные'!$B$63))))*BT13)</x:f>
      </x:c>
      <x:c r="BU17" s="107" t="n">
        <x:f>'Вводные'!$M$88*((IF(SUM($D9:$GA9)=0,0,IF(SUM($D12:$GA12)=0,1,'Вводные'!$B$63)))*BU11+(1-(IF(SUM($D9:$GA9)=0,0,IF(SUM($D12:$GA12)=0,1,'Вводные'!$B$63))))*BU13)</x:f>
      </x:c>
      <x:c r="BV17" s="107" t="n">
        <x:f>'Вводные'!$M$88*((IF(SUM($D9:$GA9)=0,0,IF(SUM($D12:$GA12)=0,1,'Вводные'!$B$63)))*BV11+(1-(IF(SUM($D9:$GA9)=0,0,IF(SUM($D12:$GA12)=0,1,'Вводные'!$B$63))))*BV13)</x:f>
      </x:c>
      <x:c r="BW17" s="107" t="n">
        <x:f>'Вводные'!$M$88*((IF(SUM($D9:$GA9)=0,0,IF(SUM($D12:$GA12)=0,1,'Вводные'!$B$63)))*BW11+(1-(IF(SUM($D9:$GA9)=0,0,IF(SUM($D12:$GA12)=0,1,'Вводные'!$B$63))))*BW13)</x:f>
      </x:c>
      <x:c r="BX17" s="107" t="n">
        <x:f>'Вводные'!$M$88*((IF(SUM($D9:$GA9)=0,0,IF(SUM($D12:$GA12)=0,1,'Вводные'!$B$63)))*BX11+(1-(IF(SUM($D9:$GA9)=0,0,IF(SUM($D12:$GA12)=0,1,'Вводные'!$B$63))))*BX13)</x:f>
      </x:c>
      <x:c r="BY17" s="107" t="n">
        <x:f>'Вводные'!$M$88*((IF(SUM($D9:$GA9)=0,0,IF(SUM($D12:$GA12)=0,1,'Вводные'!$B$63)))*BY11+(1-(IF(SUM($D9:$GA9)=0,0,IF(SUM($D12:$GA12)=0,1,'Вводные'!$B$63))))*BY13)</x:f>
      </x:c>
      <x:c r="BZ17" s="107" t="n">
        <x:f>'Вводные'!$M$88*((IF(SUM($D9:$GA9)=0,0,IF(SUM($D12:$GA12)=0,1,'Вводные'!$B$63)))*BZ11+(1-(IF(SUM($D9:$GA9)=0,0,IF(SUM($D12:$GA12)=0,1,'Вводные'!$B$63))))*BZ13)</x:f>
      </x:c>
      <x:c r="CA17" s="107" t="n">
        <x:f>'Вводные'!$M$88*((IF(SUM($D9:$GA9)=0,0,IF(SUM($D12:$GA12)=0,1,'Вводные'!$B$63)))*CA11+(1-(IF(SUM($D9:$GA9)=0,0,IF(SUM($D12:$GA12)=0,1,'Вводные'!$B$63))))*CA13)</x:f>
      </x:c>
      <x:c r="CB17" s="107" t="n">
        <x:f>'Вводные'!$M$88*((IF(SUM($D9:$GA9)=0,0,IF(SUM($D12:$GA12)=0,1,'Вводные'!$B$63)))*CB11+(1-(IF(SUM($D9:$GA9)=0,0,IF(SUM($D12:$GA12)=0,1,'Вводные'!$B$63))))*CB13)</x:f>
      </x:c>
      <x:c r="CC17" s="107" t="n">
        <x:f>'Вводные'!$M$88*((IF(SUM($D9:$GA9)=0,0,IF(SUM($D12:$GA12)=0,1,'Вводные'!$B$63)))*CC11+(1-(IF(SUM($D9:$GA9)=0,0,IF(SUM($D12:$GA12)=0,1,'Вводные'!$B$63))))*CC13)</x:f>
      </x:c>
      <x:c r="CD17" s="107" t="n">
        <x:f>'Вводные'!$M$88*((IF(SUM($D9:$GA9)=0,0,IF(SUM($D12:$GA12)=0,1,'Вводные'!$B$63)))*CD11+(1-(IF(SUM($D9:$GA9)=0,0,IF(SUM($D12:$GA12)=0,1,'Вводные'!$B$63))))*CD13)</x:f>
      </x:c>
      <x:c r="CE17" s="107" t="n">
        <x:f>'Вводные'!$M$88*((IF(SUM($D9:$GA9)=0,0,IF(SUM($D12:$GA12)=0,1,'Вводные'!$B$63)))*CE11+(1-(IF(SUM($D9:$GA9)=0,0,IF(SUM($D12:$GA12)=0,1,'Вводные'!$B$63))))*CE13)</x:f>
      </x:c>
      <x:c r="CF17" s="107" t="n">
        <x:f>'Вводные'!$M$88*((IF(SUM($D9:$GA9)=0,0,IF(SUM($D12:$GA12)=0,1,'Вводные'!$B$63)))*CF11+(1-(IF(SUM($D9:$GA9)=0,0,IF(SUM($D12:$GA12)=0,1,'Вводные'!$B$63))))*CF13)</x:f>
      </x:c>
      <x:c r="CG17" s="107" t="n">
        <x:f>'Вводные'!$M$88*((IF(SUM($D9:$GA9)=0,0,IF(SUM($D12:$GA12)=0,1,'Вводные'!$B$63)))*CG11+(1-(IF(SUM($D9:$GA9)=0,0,IF(SUM($D12:$GA12)=0,1,'Вводные'!$B$63))))*CG13)</x:f>
      </x:c>
      <x:c r="CH17" s="107" t="n">
        <x:f>'Вводные'!$M$88*((IF(SUM($D9:$GA9)=0,0,IF(SUM($D12:$GA12)=0,1,'Вводные'!$B$63)))*CH11+(1-(IF(SUM($D9:$GA9)=0,0,IF(SUM($D12:$GA12)=0,1,'Вводные'!$B$63))))*CH13)</x:f>
      </x:c>
      <x:c r="CI17" s="107" t="n">
        <x:f>'Вводные'!$M$88*((IF(SUM($D9:$GA9)=0,0,IF(SUM($D12:$GA12)=0,1,'Вводные'!$B$63)))*CI11+(1-(IF(SUM($D9:$GA9)=0,0,IF(SUM($D12:$GA12)=0,1,'Вводные'!$B$63))))*CI13)</x:f>
      </x:c>
      <x:c r="CJ17" s="107" t="n">
        <x:f>'Вводные'!$M$88*((IF(SUM($D9:$GA9)=0,0,IF(SUM($D12:$GA12)=0,1,'Вводные'!$B$63)))*CJ11+(1-(IF(SUM($D9:$GA9)=0,0,IF(SUM($D12:$GA12)=0,1,'Вводные'!$B$63))))*CJ13)</x:f>
      </x:c>
      <x:c r="CK17" s="107" t="n">
        <x:f>'Вводные'!$M$88*((IF(SUM($D9:$GA9)=0,0,IF(SUM($D12:$GA12)=0,1,'Вводные'!$B$63)))*CK11+(1-(IF(SUM($D9:$GA9)=0,0,IF(SUM($D12:$GA12)=0,1,'Вводные'!$B$63))))*CK13)</x:f>
      </x:c>
      <x:c r="CL17" s="107" t="n">
        <x:f>'Вводные'!$M$88*((IF(SUM($D9:$GA9)=0,0,IF(SUM($D12:$GA12)=0,1,'Вводные'!$B$63)))*CL11+(1-(IF(SUM($D9:$GA9)=0,0,IF(SUM($D12:$GA12)=0,1,'Вводные'!$B$63))))*CL13)</x:f>
      </x:c>
      <x:c r="CM17" s="107" t="n">
        <x:f>'Вводные'!$M$88*((IF(SUM($D9:$GA9)=0,0,IF(SUM($D12:$GA12)=0,1,'Вводные'!$B$63)))*CM11+(1-(IF(SUM($D9:$GA9)=0,0,IF(SUM($D12:$GA12)=0,1,'Вводные'!$B$63))))*CM13)</x:f>
      </x:c>
      <x:c r="CN17" s="107" t="n">
        <x:f>'Вводные'!$M$88*((IF(SUM($D9:$GA9)=0,0,IF(SUM($D12:$GA12)=0,1,'Вводные'!$B$63)))*CN11+(1-(IF(SUM($D9:$GA9)=0,0,IF(SUM($D12:$GA12)=0,1,'Вводные'!$B$63))))*CN13)</x:f>
      </x:c>
      <x:c r="CO17" s="107" t="n">
        <x:f>'Вводные'!$M$88*((IF(SUM($D9:$GA9)=0,0,IF(SUM($D12:$GA12)=0,1,'Вводные'!$B$63)))*CO11+(1-(IF(SUM($D9:$GA9)=0,0,IF(SUM($D12:$GA12)=0,1,'Вводные'!$B$63))))*CO13)</x:f>
      </x:c>
      <x:c r="CP17" s="107" t="n">
        <x:f>'Вводные'!$M$88*((IF(SUM($D9:$GA9)=0,0,IF(SUM($D12:$GA12)=0,1,'Вводные'!$B$63)))*CP11+(1-(IF(SUM($D9:$GA9)=0,0,IF(SUM($D12:$GA12)=0,1,'Вводные'!$B$63))))*CP13)</x:f>
      </x:c>
      <x:c r="CQ17" s="107" t="n">
        <x:f>'Вводные'!$M$88*((IF(SUM($D9:$GA9)=0,0,IF(SUM($D12:$GA12)=0,1,'Вводные'!$B$63)))*CQ11+(1-(IF(SUM($D9:$GA9)=0,0,IF(SUM($D12:$GA12)=0,1,'Вводные'!$B$63))))*CQ13)</x:f>
      </x:c>
      <x:c r="CR17" s="107" t="n">
        <x:f>'Вводные'!$M$88*((IF(SUM($D9:$GA9)=0,0,IF(SUM($D12:$GA12)=0,1,'Вводные'!$B$63)))*CR11+(1-(IF(SUM($D9:$GA9)=0,0,IF(SUM($D12:$GA12)=0,1,'Вводные'!$B$63))))*CR13)</x:f>
      </x:c>
      <x:c r="CS17" s="107" t="n">
        <x:f>'Вводные'!$M$88*((IF(SUM($D9:$GA9)=0,0,IF(SUM($D12:$GA12)=0,1,'Вводные'!$B$63)))*CS11+(1-(IF(SUM($D9:$GA9)=0,0,IF(SUM($D12:$GA12)=0,1,'Вводные'!$B$63))))*CS13)</x:f>
      </x:c>
      <x:c r="CT17" s="107" t="n">
        <x:f>'Вводные'!$M$88*((IF(SUM($D9:$GA9)=0,0,IF(SUM($D12:$GA12)=0,1,'Вводные'!$B$63)))*CT11+(1-(IF(SUM($D9:$GA9)=0,0,IF(SUM($D12:$GA12)=0,1,'Вводные'!$B$63))))*CT13)</x:f>
      </x:c>
      <x:c r="CU17" s="107" t="n">
        <x:f>'Вводные'!$M$88*((IF(SUM($D9:$GA9)=0,0,IF(SUM($D12:$GA12)=0,1,'Вводные'!$B$63)))*CU11+(1-(IF(SUM($D9:$GA9)=0,0,IF(SUM($D12:$GA12)=0,1,'Вводные'!$B$63))))*CU13)</x:f>
      </x:c>
      <x:c r="CV17" s="107" t="n">
        <x:f>'Вводные'!$M$88*((IF(SUM($D9:$GA9)=0,0,IF(SUM($D12:$GA12)=0,1,'Вводные'!$B$63)))*CV11+(1-(IF(SUM($D9:$GA9)=0,0,IF(SUM($D12:$GA12)=0,1,'Вводные'!$B$63))))*CV13)</x:f>
      </x:c>
      <x:c r="CW17" s="107" t="n">
        <x:f>'Вводные'!$M$88*((IF(SUM($D9:$GA9)=0,0,IF(SUM($D12:$GA12)=0,1,'Вводные'!$B$63)))*CW11+(1-(IF(SUM($D9:$GA9)=0,0,IF(SUM($D12:$GA12)=0,1,'Вводные'!$B$63))))*CW13)</x:f>
      </x:c>
      <x:c r="CX17" s="107" t="n">
        <x:f>'Вводные'!$M$88*((IF(SUM($D9:$GA9)=0,0,IF(SUM($D12:$GA12)=0,1,'Вводные'!$B$63)))*CX11+(1-(IF(SUM($D9:$GA9)=0,0,IF(SUM($D12:$GA12)=0,1,'Вводные'!$B$63))))*CX13)</x:f>
      </x:c>
      <x:c r="CY17" s="107" t="n">
        <x:f>'Вводные'!$M$88*((IF(SUM($D9:$GA9)=0,0,IF(SUM($D12:$GA12)=0,1,'Вводные'!$B$63)))*CY11+(1-(IF(SUM($D9:$GA9)=0,0,IF(SUM($D12:$GA12)=0,1,'Вводные'!$B$63))))*CY13)</x:f>
      </x:c>
      <x:c r="CZ17" s="107" t="n">
        <x:f>'Вводные'!$M$88*((IF(SUM($D9:$GA9)=0,0,IF(SUM($D12:$GA12)=0,1,'Вводные'!$B$63)))*CZ11+(1-(IF(SUM($D9:$GA9)=0,0,IF(SUM($D12:$GA12)=0,1,'Вводные'!$B$63))))*CZ13)</x:f>
      </x:c>
      <x:c r="DA17" s="107" t="n">
        <x:f>'Вводные'!$M$88*((IF(SUM($D9:$GA9)=0,0,IF(SUM($D12:$GA12)=0,1,'Вводные'!$B$63)))*DA11+(1-(IF(SUM($D9:$GA9)=0,0,IF(SUM($D12:$GA12)=0,1,'Вводные'!$B$63))))*DA13)</x:f>
      </x:c>
      <x:c r="DB17" s="107" t="n">
        <x:f>'Вводные'!$M$88*((IF(SUM($D9:$GA9)=0,0,IF(SUM($D12:$GA12)=0,1,'Вводные'!$B$63)))*DB11+(1-(IF(SUM($D9:$GA9)=0,0,IF(SUM($D12:$GA12)=0,1,'Вводные'!$B$63))))*DB13)</x:f>
      </x:c>
      <x:c r="DC17" s="107" t="n">
        <x:f>'Вводные'!$M$88*((IF(SUM($D9:$GA9)=0,0,IF(SUM($D12:$GA12)=0,1,'Вводные'!$B$63)))*DC11+(1-(IF(SUM($D9:$GA9)=0,0,IF(SUM($D12:$GA12)=0,1,'Вводные'!$B$63))))*DC13)</x:f>
      </x:c>
      <x:c r="DD17" s="107" t="n">
        <x:f>'Вводные'!$M$88*((IF(SUM($D9:$GA9)=0,0,IF(SUM($D12:$GA12)=0,1,'Вводные'!$B$63)))*DD11+(1-(IF(SUM($D9:$GA9)=0,0,IF(SUM($D12:$GA12)=0,1,'Вводные'!$B$63))))*DD13)</x:f>
      </x:c>
      <x:c r="DE17" s="107" t="n">
        <x:f>'Вводные'!$M$88*((IF(SUM($D9:$GA9)=0,0,IF(SUM($D12:$GA12)=0,1,'Вводные'!$B$63)))*DE11+(1-(IF(SUM($D9:$GA9)=0,0,IF(SUM($D12:$GA12)=0,1,'Вводные'!$B$63))))*DE13)</x:f>
      </x:c>
      <x:c r="DF17" s="107" t="n">
        <x:f>'Вводные'!$M$88*((IF(SUM($D9:$GA9)=0,0,IF(SUM($D12:$GA12)=0,1,'Вводные'!$B$63)))*DF11+(1-(IF(SUM($D9:$GA9)=0,0,IF(SUM($D12:$GA12)=0,1,'Вводные'!$B$63))))*DF13)</x:f>
      </x:c>
      <x:c r="DG17" s="107" t="n">
        <x:f>'Вводные'!$M$88*((IF(SUM($D9:$GA9)=0,0,IF(SUM($D12:$GA12)=0,1,'Вводные'!$B$63)))*DG11+(1-(IF(SUM($D9:$GA9)=0,0,IF(SUM($D12:$GA12)=0,1,'Вводные'!$B$63))))*DG13)</x:f>
      </x:c>
      <x:c r="DH17" s="107" t="n">
        <x:f>'Вводные'!$M$88*((IF(SUM($D9:$GA9)=0,0,IF(SUM($D12:$GA12)=0,1,'Вводные'!$B$63)))*DH11+(1-(IF(SUM($D9:$GA9)=0,0,IF(SUM($D12:$GA12)=0,1,'Вводные'!$B$63))))*DH13)</x:f>
      </x:c>
      <x:c r="DI17" s="107" t="n">
        <x:f>'Вводные'!$M$88*((IF(SUM($D9:$GA9)=0,0,IF(SUM($D12:$GA12)=0,1,'Вводные'!$B$63)))*DI11+(1-(IF(SUM($D9:$GA9)=0,0,IF(SUM($D12:$GA12)=0,1,'Вводные'!$B$63))))*DI13)</x:f>
      </x:c>
      <x:c r="DJ17" s="107" t="n">
        <x:f>'Вводные'!$M$88*((IF(SUM($D9:$GA9)=0,0,IF(SUM($D12:$GA12)=0,1,'Вводные'!$B$63)))*DJ11+(1-(IF(SUM($D9:$GA9)=0,0,IF(SUM($D12:$GA12)=0,1,'Вводные'!$B$63))))*DJ13)</x:f>
      </x:c>
      <x:c r="DK17" s="107" t="n">
        <x:f>'Вводные'!$M$88*((IF(SUM($D9:$GA9)=0,0,IF(SUM($D12:$GA12)=0,1,'Вводные'!$B$63)))*DK11+(1-(IF(SUM($D9:$GA9)=0,0,IF(SUM($D12:$GA12)=0,1,'Вводные'!$B$63))))*DK13)</x:f>
      </x:c>
      <x:c r="DL17" s="107" t="n">
        <x:f>'Вводные'!$M$88*((IF(SUM($D9:$GA9)=0,0,IF(SUM($D12:$GA12)=0,1,'Вводные'!$B$63)))*DL11+(1-(IF(SUM($D9:$GA9)=0,0,IF(SUM($D12:$GA12)=0,1,'Вводные'!$B$63))))*DL13)</x:f>
      </x:c>
      <x:c r="DM17" s="107" t="n">
        <x:f>'Вводные'!$M$88*((IF(SUM($D9:$GA9)=0,0,IF(SUM($D12:$GA12)=0,1,'Вводные'!$B$63)))*DM11+(1-(IF(SUM($D9:$GA9)=0,0,IF(SUM($D12:$GA12)=0,1,'Вводные'!$B$63))))*DM13)</x:f>
      </x:c>
      <x:c r="DN17" s="107" t="n">
        <x:f>'Вводные'!$M$88*((IF(SUM($D9:$GA9)=0,0,IF(SUM($D12:$GA12)=0,1,'Вводные'!$B$63)))*DN11+(1-(IF(SUM($D9:$GA9)=0,0,IF(SUM($D12:$GA12)=0,1,'Вводные'!$B$63))))*DN13)</x:f>
      </x:c>
      <x:c r="DO17" s="107" t="n">
        <x:f>'Вводные'!$M$88*((IF(SUM($D9:$GA9)=0,0,IF(SUM($D12:$GA12)=0,1,'Вводные'!$B$63)))*DO11+(1-(IF(SUM($D9:$GA9)=0,0,IF(SUM($D12:$GA12)=0,1,'Вводные'!$B$63))))*DO13)</x:f>
      </x:c>
      <x:c r="DP17" s="107" t="n">
        <x:f>'Вводные'!$M$88*((IF(SUM($D9:$GA9)=0,0,IF(SUM($D12:$GA12)=0,1,'Вводные'!$B$63)))*DP11+(1-(IF(SUM($D9:$GA9)=0,0,IF(SUM($D12:$GA12)=0,1,'Вводные'!$B$63))))*DP13)</x:f>
      </x:c>
      <x:c r="DQ17" s="107" t="n">
        <x:f>'Вводные'!$M$88*((IF(SUM($D9:$GA9)=0,0,IF(SUM($D12:$GA12)=0,1,'Вводные'!$B$63)))*DQ11+(1-(IF(SUM($D9:$GA9)=0,0,IF(SUM($D12:$GA12)=0,1,'Вводные'!$B$63))))*DQ13)</x:f>
      </x:c>
      <x:c r="DR17" s="107" t="n">
        <x:f>'Вводные'!$M$88*((IF(SUM($D9:$GA9)=0,0,IF(SUM($D12:$GA12)=0,1,'Вводные'!$B$63)))*DR11+(1-(IF(SUM($D9:$GA9)=0,0,IF(SUM($D12:$GA12)=0,1,'Вводные'!$B$63))))*DR13)</x:f>
      </x:c>
      <x:c r="DS17" s="107" t="n">
        <x:f>'Вводные'!$M$88*((IF(SUM($D9:$GA9)=0,0,IF(SUM($D12:$GA12)=0,1,'Вводные'!$B$63)))*DS11+(1-(IF(SUM($D9:$GA9)=0,0,IF(SUM($D12:$GA12)=0,1,'Вводные'!$B$63))))*DS13)</x:f>
      </x:c>
      <x:c r="DT17" s="107" t="n">
        <x:f>'Вводные'!$M$88*((IF(SUM($D9:$GA9)=0,0,IF(SUM($D12:$GA12)=0,1,'Вводные'!$B$63)))*DT11+(1-(IF(SUM($D9:$GA9)=0,0,IF(SUM($D12:$GA12)=0,1,'Вводные'!$B$63))))*DT13)</x:f>
      </x:c>
      <x:c r="DU17" s="107" t="n">
        <x:f>'Вводные'!$M$88*((IF(SUM($D9:$GA9)=0,0,IF(SUM($D12:$GA12)=0,1,'Вводные'!$B$63)))*DU11+(1-(IF(SUM($D9:$GA9)=0,0,IF(SUM($D12:$GA12)=0,1,'Вводные'!$B$63))))*DU13)</x:f>
      </x:c>
      <x:c r="DV17" s="107" t="n">
        <x:f>'Вводные'!$M$88*((IF(SUM($D9:$GA9)=0,0,IF(SUM($D12:$GA12)=0,1,'Вводные'!$B$63)))*DV11+(1-(IF(SUM($D9:$GA9)=0,0,IF(SUM($D12:$GA12)=0,1,'Вводные'!$B$63))))*DV13)</x:f>
      </x:c>
      <x:c r="DW17" s="107" t="n">
        <x:f>'Вводные'!$M$88*((IF(SUM($D9:$GA9)=0,0,IF(SUM($D12:$GA12)=0,1,'Вводные'!$B$63)))*DW11+(1-(IF(SUM($D9:$GA9)=0,0,IF(SUM($D12:$GA12)=0,1,'Вводные'!$B$63))))*DW13)</x:f>
      </x:c>
      <x:c r="DX17" s="107" t="n">
        <x:f>'Вводные'!$M$88*((IF(SUM($D9:$GA9)=0,0,IF(SUM($D12:$GA12)=0,1,'Вводные'!$B$63)))*DX11+(1-(IF(SUM($D9:$GA9)=0,0,IF(SUM($D12:$GA12)=0,1,'Вводные'!$B$63))))*DX13)</x:f>
      </x:c>
      <x:c r="DY17" s="107" t="n">
        <x:f>'Вводные'!$M$88*((IF(SUM($D9:$GA9)=0,0,IF(SUM($D12:$GA12)=0,1,'Вводные'!$B$63)))*DY11+(1-(IF(SUM($D9:$GA9)=0,0,IF(SUM($D12:$GA12)=0,1,'Вводные'!$B$63))))*DY13)</x:f>
      </x:c>
      <x:c r="DZ17" s="107" t="n">
        <x:f>'Вводные'!$M$88*((IF(SUM($D9:$GA9)=0,0,IF(SUM($D12:$GA12)=0,1,'Вводные'!$B$63)))*DZ11+(1-(IF(SUM($D9:$GA9)=0,0,IF(SUM($D12:$GA12)=0,1,'Вводные'!$B$63))))*DZ13)</x:f>
      </x:c>
      <x:c r="EA17" s="107" t="n">
        <x:f>'Вводные'!$M$88*((IF(SUM($D9:$GA9)=0,0,IF(SUM($D12:$GA12)=0,1,'Вводные'!$B$63)))*EA11+(1-(IF(SUM($D9:$GA9)=0,0,IF(SUM($D12:$GA12)=0,1,'Вводные'!$B$63))))*EA13)</x:f>
      </x:c>
      <x:c r="EB17" s="107" t="n">
        <x:f>'Вводные'!$M$88*((IF(SUM($D9:$GA9)=0,0,IF(SUM($D12:$GA12)=0,1,'Вводные'!$B$63)))*EB11+(1-(IF(SUM($D9:$GA9)=0,0,IF(SUM($D12:$GA12)=0,1,'Вводные'!$B$63))))*EB13)</x:f>
      </x:c>
      <x:c r="EC17" s="107" t="n">
        <x:f>'Вводные'!$M$88*((IF(SUM($D9:$GA9)=0,0,IF(SUM($D12:$GA12)=0,1,'Вводные'!$B$63)))*EC11+(1-(IF(SUM($D9:$GA9)=0,0,IF(SUM($D12:$GA12)=0,1,'Вводные'!$B$63))))*EC13)</x:f>
      </x:c>
      <x:c r="ED17" s="107" t="n">
        <x:f>'Вводные'!$M$88*((IF(SUM($D9:$GA9)=0,0,IF(SUM($D12:$GA12)=0,1,'Вводные'!$B$63)))*ED11+(1-(IF(SUM($D9:$GA9)=0,0,IF(SUM($D12:$GA12)=0,1,'Вводные'!$B$63))))*ED13)</x:f>
      </x:c>
      <x:c r="EE17" s="107" t="n">
        <x:f>'Вводные'!$M$88*((IF(SUM($D9:$GA9)=0,0,IF(SUM($D12:$GA12)=0,1,'Вводные'!$B$63)))*EE11+(1-(IF(SUM($D9:$GA9)=0,0,IF(SUM($D12:$GA12)=0,1,'Вводные'!$B$63))))*EE13)</x:f>
      </x:c>
      <x:c r="EF17" s="107" t="n">
        <x:f>'Вводные'!$M$88*((IF(SUM($D9:$GA9)=0,0,IF(SUM($D12:$GA12)=0,1,'Вводные'!$B$63)))*EF11+(1-(IF(SUM($D9:$GA9)=0,0,IF(SUM($D12:$GA12)=0,1,'Вводные'!$B$63))))*EF13)</x:f>
      </x:c>
      <x:c r="EG17" s="107" t="n">
        <x:f>'Вводные'!$M$88*((IF(SUM($D9:$GA9)=0,0,IF(SUM($D12:$GA12)=0,1,'Вводные'!$B$63)))*EG11+(1-(IF(SUM($D9:$GA9)=0,0,IF(SUM($D12:$GA12)=0,1,'Вводные'!$B$63))))*EG13)</x:f>
      </x:c>
      <x:c r="EH17" s="107" t="n">
        <x:f>'Вводные'!$M$88*((IF(SUM($D9:$GA9)=0,0,IF(SUM($D12:$GA12)=0,1,'Вводные'!$B$63)))*EH11+(1-(IF(SUM($D9:$GA9)=0,0,IF(SUM($D12:$GA12)=0,1,'Вводные'!$B$63))))*EH13)</x:f>
      </x:c>
      <x:c r="EI17" s="107" t="n">
        <x:f>'Вводные'!$M$88*((IF(SUM($D9:$GA9)=0,0,IF(SUM($D12:$GA12)=0,1,'Вводные'!$B$63)))*EI11+(1-(IF(SUM($D9:$GA9)=0,0,IF(SUM($D12:$GA12)=0,1,'Вводные'!$B$63))))*EI13)</x:f>
      </x:c>
      <x:c r="EJ17" s="107" t="n">
        <x:f>'Вводные'!$M$88*((IF(SUM($D9:$GA9)=0,0,IF(SUM($D12:$GA12)=0,1,'Вводные'!$B$63)))*EJ11+(1-(IF(SUM($D9:$GA9)=0,0,IF(SUM($D12:$GA12)=0,1,'Вводные'!$B$63))))*EJ13)</x:f>
      </x:c>
      <x:c r="EK17" s="107" t="n">
        <x:f>'Вводные'!$M$88*((IF(SUM($D9:$GA9)=0,0,IF(SUM($D12:$GA12)=0,1,'Вводные'!$B$63)))*EK11+(1-(IF(SUM($D9:$GA9)=0,0,IF(SUM($D12:$GA12)=0,1,'Вводные'!$B$63))))*EK13)</x:f>
      </x:c>
      <x:c r="EL17" s="107" t="n">
        <x:f>'Вводные'!$M$88*((IF(SUM($D9:$GA9)=0,0,IF(SUM($D12:$GA12)=0,1,'Вводные'!$B$63)))*EL11+(1-(IF(SUM($D9:$GA9)=0,0,IF(SUM($D12:$GA12)=0,1,'Вводные'!$B$63))))*EL13)</x:f>
      </x:c>
      <x:c r="EM17" s="107" t="n">
        <x:f>'Вводные'!$M$88*((IF(SUM($D9:$GA9)=0,0,IF(SUM($D12:$GA12)=0,1,'Вводные'!$B$63)))*EM11+(1-(IF(SUM($D9:$GA9)=0,0,IF(SUM($D12:$GA12)=0,1,'Вводные'!$B$63))))*EM13)</x:f>
      </x:c>
      <x:c r="EN17" s="107" t="n">
        <x:f>'Вводные'!$M$88*((IF(SUM($D9:$GA9)=0,0,IF(SUM($D12:$GA12)=0,1,'Вводные'!$B$63)))*EN11+(1-(IF(SUM($D9:$GA9)=0,0,IF(SUM($D12:$GA12)=0,1,'Вводные'!$B$63))))*EN13)</x:f>
      </x:c>
      <x:c r="EO17" s="107" t="n">
        <x:f>'Вводные'!$M$88*((IF(SUM($D9:$GA9)=0,0,IF(SUM($D12:$GA12)=0,1,'Вводные'!$B$63)))*EO11+(1-(IF(SUM($D9:$GA9)=0,0,IF(SUM($D12:$GA12)=0,1,'Вводные'!$B$63))))*EO13)</x:f>
      </x:c>
      <x:c r="EP17" s="107" t="n">
        <x:f>'Вводные'!$M$88*((IF(SUM($D9:$GA9)=0,0,IF(SUM($D12:$GA12)=0,1,'Вводные'!$B$63)))*EP11+(1-(IF(SUM($D9:$GA9)=0,0,IF(SUM($D12:$GA12)=0,1,'Вводные'!$B$63))))*EP13)</x:f>
      </x:c>
      <x:c r="EQ17" s="107" t="n">
        <x:f>'Вводные'!$M$88*((IF(SUM($D9:$GA9)=0,0,IF(SUM($D12:$GA12)=0,1,'Вводные'!$B$63)))*EQ11+(1-(IF(SUM($D9:$GA9)=0,0,IF(SUM($D12:$GA12)=0,1,'Вводные'!$B$63))))*EQ13)</x:f>
      </x:c>
      <x:c r="ER17" s="107" t="n">
        <x:f>'Вводные'!$M$88*((IF(SUM($D9:$GA9)=0,0,IF(SUM($D12:$GA12)=0,1,'Вводные'!$B$63)))*ER11+(1-(IF(SUM($D9:$GA9)=0,0,IF(SUM($D12:$GA12)=0,1,'Вводные'!$B$63))))*ER13)</x:f>
      </x:c>
      <x:c r="ES17" s="107" t="n">
        <x:f>'Вводные'!$M$88*((IF(SUM($D9:$GA9)=0,0,IF(SUM($D12:$GA12)=0,1,'Вводные'!$B$63)))*ES11+(1-(IF(SUM($D9:$GA9)=0,0,IF(SUM($D12:$GA12)=0,1,'Вводные'!$B$63))))*ES13)</x:f>
      </x:c>
      <x:c r="ET17" s="107" t="n">
        <x:f>'Вводные'!$M$88*((IF(SUM($D9:$GA9)=0,0,IF(SUM($D12:$GA12)=0,1,'Вводные'!$B$63)))*ET11+(1-(IF(SUM($D9:$GA9)=0,0,IF(SUM($D12:$GA12)=0,1,'Вводные'!$B$63))))*ET13)</x:f>
      </x:c>
      <x:c r="EU17" s="107" t="n">
        <x:f>'Вводные'!$M$88*((IF(SUM($D9:$GA9)=0,0,IF(SUM($D12:$GA12)=0,1,'Вводные'!$B$63)))*EU11+(1-(IF(SUM($D9:$GA9)=0,0,IF(SUM($D12:$GA12)=0,1,'Вводные'!$B$63))))*EU13)</x:f>
      </x:c>
      <x:c r="EV17" s="107" t="n">
        <x:f>'Вводные'!$M$88*((IF(SUM($D9:$GA9)=0,0,IF(SUM($D12:$GA12)=0,1,'Вводные'!$B$63)))*EV11+(1-(IF(SUM($D9:$GA9)=0,0,IF(SUM($D12:$GA12)=0,1,'Вводные'!$B$63))))*EV13)</x:f>
      </x:c>
      <x:c r="EW17" s="107" t="n">
        <x:f>'Вводные'!$M$88*((IF(SUM($D9:$GA9)=0,0,IF(SUM($D12:$GA12)=0,1,'Вводные'!$B$63)))*EW11+(1-(IF(SUM($D9:$GA9)=0,0,IF(SUM($D12:$GA12)=0,1,'Вводные'!$B$63))))*EW13)</x:f>
      </x:c>
      <x:c r="EX17" s="107" t="n">
        <x:f>'Вводные'!$M$88*((IF(SUM($D9:$GA9)=0,0,IF(SUM($D12:$GA12)=0,1,'Вводные'!$B$63)))*EX11+(1-(IF(SUM($D9:$GA9)=0,0,IF(SUM($D12:$GA12)=0,1,'Вводные'!$B$63))))*EX13)</x:f>
      </x:c>
      <x:c r="EY17" s="107" t="n">
        <x:f>'Вводные'!$M$88*((IF(SUM($D9:$GA9)=0,0,IF(SUM($D12:$GA12)=0,1,'Вводные'!$B$63)))*EY11+(1-(IF(SUM($D9:$GA9)=0,0,IF(SUM($D12:$GA12)=0,1,'Вводные'!$B$63))))*EY13)</x:f>
      </x:c>
      <x:c r="EZ17" s="107" t="n">
        <x:f>'Вводные'!$M$88*((IF(SUM($D9:$GA9)=0,0,IF(SUM($D12:$GA12)=0,1,'Вводные'!$B$63)))*EZ11+(1-(IF(SUM($D9:$GA9)=0,0,IF(SUM($D12:$GA12)=0,1,'Вводные'!$B$63))))*EZ13)</x:f>
      </x:c>
      <x:c r="FA17" s="107" t="n">
        <x:f>'Вводные'!$M$88*((IF(SUM($D9:$GA9)=0,0,IF(SUM($D12:$GA12)=0,1,'Вводные'!$B$63)))*FA11+(1-(IF(SUM($D9:$GA9)=0,0,IF(SUM($D12:$GA12)=0,1,'Вводные'!$B$63))))*FA13)</x:f>
      </x:c>
      <x:c r="FB17" s="107" t="n">
        <x:f>'Вводные'!$M$88*((IF(SUM($D9:$GA9)=0,0,IF(SUM($D12:$GA12)=0,1,'Вводные'!$B$63)))*FB11+(1-(IF(SUM($D9:$GA9)=0,0,IF(SUM($D12:$GA12)=0,1,'Вводные'!$B$63))))*FB13)</x:f>
      </x:c>
      <x:c r="FC17" s="107" t="n">
        <x:f>'Вводные'!$M$88*((IF(SUM($D9:$GA9)=0,0,IF(SUM($D12:$GA12)=0,1,'Вводные'!$B$63)))*FC11+(1-(IF(SUM($D9:$GA9)=0,0,IF(SUM($D12:$GA12)=0,1,'Вводные'!$B$63))))*FC13)</x:f>
      </x:c>
      <x:c r="FD17" s="107" t="n">
        <x:f>'Вводные'!$M$88*((IF(SUM($D9:$GA9)=0,0,IF(SUM($D12:$GA12)=0,1,'Вводные'!$B$63)))*FD11+(1-(IF(SUM($D9:$GA9)=0,0,IF(SUM($D12:$GA12)=0,1,'Вводные'!$B$63))))*FD13)</x:f>
      </x:c>
      <x:c r="FE17" s="107" t="n">
        <x:f>'Вводные'!$M$88*((IF(SUM($D9:$GA9)=0,0,IF(SUM($D12:$GA12)=0,1,'Вводные'!$B$63)))*FE11+(1-(IF(SUM($D9:$GA9)=0,0,IF(SUM($D12:$GA12)=0,1,'Вводные'!$B$63))))*FE13)</x:f>
      </x:c>
      <x:c r="FF17" s="107" t="n">
        <x:f>'Вводные'!$M$88*((IF(SUM($D9:$GA9)=0,0,IF(SUM($D12:$GA12)=0,1,'Вводные'!$B$63)))*FF11+(1-(IF(SUM($D9:$GA9)=0,0,IF(SUM($D12:$GA12)=0,1,'Вводные'!$B$63))))*FF13)</x:f>
      </x:c>
      <x:c r="FG17" s="107" t="n">
        <x:f>'Вводные'!$M$88*((IF(SUM($D9:$GA9)=0,0,IF(SUM($D12:$GA12)=0,1,'Вводные'!$B$63)))*FG11+(1-(IF(SUM($D9:$GA9)=0,0,IF(SUM($D12:$GA12)=0,1,'Вводные'!$B$63))))*FG13)</x:f>
      </x:c>
      <x:c r="FH17" s="107" t="n">
        <x:f>'Вводные'!$M$88*((IF(SUM($D9:$GA9)=0,0,IF(SUM($D12:$GA12)=0,1,'Вводные'!$B$63)))*FH11+(1-(IF(SUM($D9:$GA9)=0,0,IF(SUM($D12:$GA12)=0,1,'Вводные'!$B$63))))*FH13)</x:f>
      </x:c>
      <x:c r="FI17" s="107" t="n">
        <x:f>'Вводные'!$M$88*((IF(SUM($D9:$GA9)=0,0,IF(SUM($D12:$GA12)=0,1,'Вводные'!$B$63)))*FI11+(1-(IF(SUM($D9:$GA9)=0,0,IF(SUM($D12:$GA12)=0,1,'Вводные'!$B$63))))*FI13)</x:f>
      </x:c>
      <x:c r="FJ17" s="107" t="n">
        <x:f>'Вводные'!$M$88*((IF(SUM($D9:$GA9)=0,0,IF(SUM($D12:$GA12)=0,1,'Вводные'!$B$63)))*FJ11+(1-(IF(SUM($D9:$GA9)=0,0,IF(SUM($D12:$GA12)=0,1,'Вводные'!$B$63))))*FJ13)</x:f>
      </x:c>
      <x:c r="FK17" s="107" t="n">
        <x:f>'Вводные'!$M$88*((IF(SUM($D9:$GA9)=0,0,IF(SUM($D12:$GA12)=0,1,'Вводные'!$B$63)))*FK11+(1-(IF(SUM($D9:$GA9)=0,0,IF(SUM($D12:$GA12)=0,1,'Вводные'!$B$63))))*FK13)</x:f>
      </x:c>
      <x:c r="FL17" s="107" t="n">
        <x:f>'Вводные'!$M$88*((IF(SUM($D9:$GA9)=0,0,IF(SUM($D12:$GA12)=0,1,'Вводные'!$B$63)))*FL11+(1-(IF(SUM($D9:$GA9)=0,0,IF(SUM($D12:$GA12)=0,1,'Вводные'!$B$63))))*FL13)</x:f>
      </x:c>
      <x:c r="FM17" s="107" t="n">
        <x:f>'Вводные'!$M$88*((IF(SUM($D9:$GA9)=0,0,IF(SUM($D12:$GA12)=0,1,'Вводные'!$B$63)))*FM11+(1-(IF(SUM($D9:$GA9)=0,0,IF(SUM($D12:$GA12)=0,1,'Вводные'!$B$63))))*FM13)</x:f>
      </x:c>
      <x:c r="FN17" s="107" t="n">
        <x:f>'Вводные'!$M$88*((IF(SUM($D9:$GA9)=0,0,IF(SUM($D12:$GA12)=0,1,'Вводные'!$B$63)))*FN11+(1-(IF(SUM($D9:$GA9)=0,0,IF(SUM($D12:$GA12)=0,1,'Вводные'!$B$63))))*FN13)</x:f>
      </x:c>
      <x:c r="FO17" s="107" t="n">
        <x:f>'Вводные'!$M$88*((IF(SUM($D9:$GA9)=0,0,IF(SUM($D12:$GA12)=0,1,'Вводные'!$B$63)))*FO11+(1-(IF(SUM($D9:$GA9)=0,0,IF(SUM($D12:$GA12)=0,1,'Вводные'!$B$63))))*FO13)</x:f>
      </x:c>
      <x:c r="FP17" s="107" t="n">
        <x:f>'Вводные'!$M$88*((IF(SUM($D9:$GA9)=0,0,IF(SUM($D12:$GA12)=0,1,'Вводные'!$B$63)))*FP11+(1-(IF(SUM($D9:$GA9)=0,0,IF(SUM($D12:$GA12)=0,1,'Вводные'!$B$63))))*FP13)</x:f>
      </x:c>
      <x:c r="FQ17" s="107" t="n">
        <x:f>'Вводные'!$M$88*((IF(SUM($D9:$GA9)=0,0,IF(SUM($D12:$GA12)=0,1,'Вводные'!$B$63)))*FQ11+(1-(IF(SUM($D9:$GA9)=0,0,IF(SUM($D12:$GA12)=0,1,'Вводные'!$B$63))))*FQ13)</x:f>
      </x:c>
      <x:c r="FR17" s="107" t="n">
        <x:f>'Вводные'!$M$88*((IF(SUM($D9:$GA9)=0,0,IF(SUM($D12:$GA12)=0,1,'Вводные'!$B$63)))*FR11+(1-(IF(SUM($D9:$GA9)=0,0,IF(SUM($D12:$GA12)=0,1,'Вводные'!$B$63))))*FR13)</x:f>
      </x:c>
      <x:c r="FS17" s="107" t="n">
        <x:f>'Вводные'!$M$88*((IF(SUM($D9:$GA9)=0,0,IF(SUM($D12:$GA12)=0,1,'Вводные'!$B$63)))*FS11+(1-(IF(SUM($D9:$GA9)=0,0,IF(SUM($D12:$GA12)=0,1,'Вводные'!$B$63))))*FS13)</x:f>
      </x:c>
      <x:c r="FT17" s="107" t="n">
        <x:f>'Вводные'!$M$88*((IF(SUM($D9:$GA9)=0,0,IF(SUM($D12:$GA12)=0,1,'Вводные'!$B$63)))*FT11+(1-(IF(SUM($D9:$GA9)=0,0,IF(SUM($D12:$GA12)=0,1,'Вводные'!$B$63))))*FT13)</x:f>
      </x:c>
      <x:c r="FU17" s="107" t="n">
        <x:f>'Вводные'!$M$88*((IF(SUM($D9:$GA9)=0,0,IF(SUM($D12:$GA12)=0,1,'Вводные'!$B$63)))*FU11+(1-(IF(SUM($D9:$GA9)=0,0,IF(SUM($D12:$GA12)=0,1,'Вводные'!$B$63))))*FU13)</x:f>
      </x:c>
      <x:c r="FV17" s="107" t="n">
        <x:f>'Вводные'!$M$88*((IF(SUM($D9:$GA9)=0,0,IF(SUM($D12:$GA12)=0,1,'Вводные'!$B$63)))*FV11+(1-(IF(SUM($D9:$GA9)=0,0,IF(SUM($D12:$GA12)=0,1,'Вводные'!$B$63))))*FV13)</x:f>
      </x:c>
      <x:c r="FW17" s="107" t="n">
        <x:f>'Вводные'!$M$88*((IF(SUM($D9:$GA9)=0,0,IF(SUM($D12:$GA12)=0,1,'Вводные'!$B$63)))*FW11+(1-(IF(SUM($D9:$GA9)=0,0,IF(SUM($D12:$GA12)=0,1,'Вводные'!$B$63))))*FW13)</x:f>
      </x:c>
      <x:c r="FX17" s="107" t="n">
        <x:f>'Вводные'!$M$88*((IF(SUM($D9:$GA9)=0,0,IF(SUM($D12:$GA12)=0,1,'Вводные'!$B$63)))*FX11+(1-(IF(SUM($D9:$GA9)=0,0,IF(SUM($D12:$GA12)=0,1,'Вводные'!$B$63))))*FX13)</x:f>
      </x:c>
      <x:c r="FY17" s="107" t="n">
        <x:f>'Вводные'!$M$88*((IF(SUM($D9:$GA9)=0,0,IF(SUM($D12:$GA12)=0,1,'Вводные'!$B$63)))*FY11+(1-(IF(SUM($D9:$GA9)=0,0,IF(SUM($D12:$GA12)=0,1,'Вводные'!$B$63))))*FY13)</x:f>
      </x:c>
      <x:c r="FZ17" s="107" t="n">
        <x:f>'Вводные'!$M$88*((IF(SUM($D9:$GA9)=0,0,IF(SUM($D12:$GA12)=0,1,'Вводные'!$B$63)))*FZ11+(1-(IF(SUM($D9:$GA9)=0,0,IF(SUM($D12:$GA12)=0,1,'Вводные'!$B$63))))*FZ13)</x:f>
      </x:c>
      <x:c r="GA17" s="107" t="n">
        <x:f>'Вводные'!$M$88*((IF(SUM($D9:$GA9)=0,0,IF(SUM($D12:$GA12)=0,1,'Вводные'!$B$63)))*GA11+(1-(IF(SUM($D9:$GA9)=0,0,IF(SUM($D12:$GA12)=0,1,'Вводные'!$B$63))))*GA13)</x:f>
      </x:c>
    </x:row>
    <x:row r="18">
      <x:c r="A18" t="str">
        <x:v>Коммерция — цена</x:v>
      </x:c>
      <x:c r="B18" t="n">
        <x:f>IFERROR(B19*1000/B17,0)</x:f>
      </x:c>
      <x:c r="C18" t="str">
        <x:v>тыс. ₽/м²</x:v>
      </x:c>
      <x:c r="D18" s="107" t="n">
        <x:f>IF(D17=0,0,'Вводные'!$B$60*'Вводные'!$S$88*'Вводные'!$H$5*'Вводные'!$AG$88*(1+'Вводные'!$B$64)^MAX(0,MIN((12*(YEAR(D$3)-YEAR($B$7))+MONTH(D$3)-MONTH($B$7)),(12*(YEAR($B$8)-YEAR($B$7))+MONTH($B$8)-MONTH($B$7))))*(1+'Вводные'!$B$65)^MAX(0,(12*(YEAR(D$3)-YEAR($B$8))+MONTH(D$3)-MONTH($B$8))))</x:f>
      </x:c>
      <x:c r="E18" s="107" t="n">
        <x:f>IF(E17=0,0,'Вводные'!$B$60*'Вводные'!$S$88*'Вводные'!$H$5*'Вводные'!$AG$88*(1+'Вводные'!$B$64)^MAX(0,MIN((12*(YEAR(E$3)-YEAR($B$7))+MONTH(E$3)-MONTH($B$7)),(12*(YEAR($B$8)-YEAR($B$7))+MONTH($B$8)-MONTH($B$7))))*(1+'Вводные'!$B$65)^MAX(0,(12*(YEAR(E$3)-YEAR($B$8))+MONTH(E$3)-MONTH($B$8))))</x:f>
      </x:c>
      <x:c r="F18" s="107" t="n">
        <x:f>IF(F17=0,0,'Вводные'!$B$60*'Вводные'!$S$88*'Вводные'!$H$5*'Вводные'!$AG$88*(1+'Вводные'!$B$64)^MAX(0,MIN((12*(YEAR(F$3)-YEAR($B$7))+MONTH(F$3)-MONTH($B$7)),(12*(YEAR($B$8)-YEAR($B$7))+MONTH($B$8)-MONTH($B$7))))*(1+'Вводные'!$B$65)^MAX(0,(12*(YEAR(F$3)-YEAR($B$8))+MONTH(F$3)-MONTH($B$8))))</x:f>
      </x:c>
      <x:c r="G18" s="107" t="n">
        <x:f>IF(G17=0,0,'Вводные'!$B$60*'Вводные'!$S$88*'Вводные'!$H$5*'Вводные'!$AG$88*(1+'Вводные'!$B$64)^MAX(0,MIN((12*(YEAR(G$3)-YEAR($B$7))+MONTH(G$3)-MONTH($B$7)),(12*(YEAR($B$8)-YEAR($B$7))+MONTH($B$8)-MONTH($B$7))))*(1+'Вводные'!$B$65)^MAX(0,(12*(YEAR(G$3)-YEAR($B$8))+MONTH(G$3)-MONTH($B$8))))</x:f>
      </x:c>
      <x:c r="H18" s="107" t="n">
        <x:f>IF(H17=0,0,'Вводные'!$B$60*'Вводные'!$S$88*'Вводные'!$H$5*'Вводные'!$AG$88*(1+'Вводные'!$B$64)^MAX(0,MIN((12*(YEAR(H$3)-YEAR($B$7))+MONTH(H$3)-MONTH($B$7)),(12*(YEAR($B$8)-YEAR($B$7))+MONTH($B$8)-MONTH($B$7))))*(1+'Вводные'!$B$65)^MAX(0,(12*(YEAR(H$3)-YEAR($B$8))+MONTH(H$3)-MONTH($B$8))))</x:f>
      </x:c>
      <x:c r="I18" s="107" t="n">
        <x:f>IF(I17=0,0,'Вводные'!$B$60*'Вводные'!$S$88*'Вводные'!$H$5*'Вводные'!$AG$88*(1+'Вводные'!$B$64)^MAX(0,MIN((12*(YEAR(I$3)-YEAR($B$7))+MONTH(I$3)-MONTH($B$7)),(12*(YEAR($B$8)-YEAR($B$7))+MONTH($B$8)-MONTH($B$7))))*(1+'Вводные'!$B$65)^MAX(0,(12*(YEAR(I$3)-YEAR($B$8))+MONTH(I$3)-MONTH($B$8))))</x:f>
      </x:c>
      <x:c r="J18" s="107" t="n">
        <x:f>IF(J17=0,0,'Вводные'!$B$60*'Вводные'!$S$88*'Вводные'!$H$5*'Вводные'!$AG$88*(1+'Вводные'!$B$64)^MAX(0,MIN((12*(YEAR(J$3)-YEAR($B$7))+MONTH(J$3)-MONTH($B$7)),(12*(YEAR($B$8)-YEAR($B$7))+MONTH($B$8)-MONTH($B$7))))*(1+'Вводные'!$B$65)^MAX(0,(12*(YEAR(J$3)-YEAR($B$8))+MONTH(J$3)-MONTH($B$8))))</x:f>
      </x:c>
      <x:c r="K18" s="107" t="n">
        <x:f>IF(K17=0,0,'Вводные'!$B$60*'Вводные'!$S$88*'Вводные'!$H$5*'Вводные'!$AG$88*(1+'Вводные'!$B$64)^MAX(0,MIN((12*(YEAR(K$3)-YEAR($B$7))+MONTH(K$3)-MONTH($B$7)),(12*(YEAR($B$8)-YEAR($B$7))+MONTH($B$8)-MONTH($B$7))))*(1+'Вводные'!$B$65)^MAX(0,(12*(YEAR(K$3)-YEAR($B$8))+MONTH(K$3)-MONTH($B$8))))</x:f>
      </x:c>
      <x:c r="L18" s="107" t="n">
        <x:f>IF(L17=0,0,'Вводные'!$B$60*'Вводные'!$S$88*'Вводные'!$H$5*'Вводные'!$AG$88*(1+'Вводные'!$B$64)^MAX(0,MIN((12*(YEAR(L$3)-YEAR($B$7))+MONTH(L$3)-MONTH($B$7)),(12*(YEAR($B$8)-YEAR($B$7))+MONTH($B$8)-MONTH($B$7))))*(1+'Вводные'!$B$65)^MAX(0,(12*(YEAR(L$3)-YEAR($B$8))+MONTH(L$3)-MONTH($B$8))))</x:f>
      </x:c>
      <x:c r="M18" s="107" t="n">
        <x:f>IF(M17=0,0,'Вводные'!$B$60*'Вводные'!$S$88*'Вводные'!$H$5*'Вводные'!$AG$88*(1+'Вводные'!$B$64)^MAX(0,MIN((12*(YEAR(M$3)-YEAR($B$7))+MONTH(M$3)-MONTH($B$7)),(12*(YEAR($B$8)-YEAR($B$7))+MONTH($B$8)-MONTH($B$7))))*(1+'Вводные'!$B$65)^MAX(0,(12*(YEAR(M$3)-YEAR($B$8))+MONTH(M$3)-MONTH($B$8))))</x:f>
      </x:c>
      <x:c r="N18" s="107" t="n">
        <x:f>IF(N17=0,0,'Вводные'!$B$60*'Вводные'!$S$88*'Вводные'!$H$5*'Вводные'!$AG$88*(1+'Вводные'!$B$64)^MAX(0,MIN((12*(YEAR(N$3)-YEAR($B$7))+MONTH(N$3)-MONTH($B$7)),(12*(YEAR($B$8)-YEAR($B$7))+MONTH($B$8)-MONTH($B$7))))*(1+'Вводные'!$B$65)^MAX(0,(12*(YEAR(N$3)-YEAR($B$8))+MONTH(N$3)-MONTH($B$8))))</x:f>
      </x:c>
      <x:c r="O18" s="107" t="n">
        <x:f>IF(O17=0,0,'Вводные'!$B$60*'Вводные'!$S$88*'Вводные'!$H$5*'Вводные'!$AG$88*(1+'Вводные'!$B$64)^MAX(0,MIN((12*(YEAR(O$3)-YEAR($B$7))+MONTH(O$3)-MONTH($B$7)),(12*(YEAR($B$8)-YEAR($B$7))+MONTH($B$8)-MONTH($B$7))))*(1+'Вводные'!$B$65)^MAX(0,(12*(YEAR(O$3)-YEAR($B$8))+MONTH(O$3)-MONTH($B$8))))</x:f>
      </x:c>
      <x:c r="P18" s="107" t="n">
        <x:f>IF(P17=0,0,'Вводные'!$B$60*'Вводные'!$S$88*'Вводные'!$H$5*'Вводные'!$AG$88*(1+'Вводные'!$B$64)^MAX(0,MIN((12*(YEAR(P$3)-YEAR($B$7))+MONTH(P$3)-MONTH($B$7)),(12*(YEAR($B$8)-YEAR($B$7))+MONTH($B$8)-MONTH($B$7))))*(1+'Вводные'!$B$65)^MAX(0,(12*(YEAR(P$3)-YEAR($B$8))+MONTH(P$3)-MONTH($B$8))))</x:f>
      </x:c>
      <x:c r="Q18" s="107" t="n">
        <x:f>IF(Q17=0,0,'Вводные'!$B$60*'Вводные'!$S$88*'Вводные'!$H$5*'Вводные'!$AG$88*(1+'Вводные'!$B$64)^MAX(0,MIN((12*(YEAR(Q$3)-YEAR($B$7))+MONTH(Q$3)-MONTH($B$7)),(12*(YEAR($B$8)-YEAR($B$7))+MONTH($B$8)-MONTH($B$7))))*(1+'Вводные'!$B$65)^MAX(0,(12*(YEAR(Q$3)-YEAR($B$8))+MONTH(Q$3)-MONTH($B$8))))</x:f>
      </x:c>
      <x:c r="R18" s="107" t="n">
        <x:f>IF(R17=0,0,'Вводные'!$B$60*'Вводные'!$S$88*'Вводные'!$H$5*'Вводные'!$AG$88*(1+'Вводные'!$B$64)^MAX(0,MIN((12*(YEAR(R$3)-YEAR($B$7))+MONTH(R$3)-MONTH($B$7)),(12*(YEAR($B$8)-YEAR($B$7))+MONTH($B$8)-MONTH($B$7))))*(1+'Вводные'!$B$65)^MAX(0,(12*(YEAR(R$3)-YEAR($B$8))+MONTH(R$3)-MONTH($B$8))))</x:f>
      </x:c>
      <x:c r="S18" s="107" t="n">
        <x:f>IF(S17=0,0,'Вводные'!$B$60*'Вводные'!$S$88*'Вводные'!$H$5*'Вводные'!$AG$88*(1+'Вводные'!$B$64)^MAX(0,MIN((12*(YEAR(S$3)-YEAR($B$7))+MONTH(S$3)-MONTH($B$7)),(12*(YEAR($B$8)-YEAR($B$7))+MONTH($B$8)-MONTH($B$7))))*(1+'Вводные'!$B$65)^MAX(0,(12*(YEAR(S$3)-YEAR($B$8))+MONTH(S$3)-MONTH($B$8))))</x:f>
      </x:c>
      <x:c r="T18" s="107" t="n">
        <x:f>IF(T17=0,0,'Вводные'!$B$60*'Вводные'!$S$88*'Вводные'!$H$5*'Вводные'!$AG$88*(1+'Вводные'!$B$64)^MAX(0,MIN((12*(YEAR(T$3)-YEAR($B$7))+MONTH(T$3)-MONTH($B$7)),(12*(YEAR($B$8)-YEAR($B$7))+MONTH($B$8)-MONTH($B$7))))*(1+'Вводные'!$B$65)^MAX(0,(12*(YEAR(T$3)-YEAR($B$8))+MONTH(T$3)-MONTH($B$8))))</x:f>
      </x:c>
      <x:c r="U18" s="107" t="n">
        <x:f>IF(U17=0,0,'Вводные'!$B$60*'Вводные'!$S$88*'Вводные'!$H$5*'Вводные'!$AG$88*(1+'Вводные'!$B$64)^MAX(0,MIN((12*(YEAR(U$3)-YEAR($B$7))+MONTH(U$3)-MONTH($B$7)),(12*(YEAR($B$8)-YEAR($B$7))+MONTH($B$8)-MONTH($B$7))))*(1+'Вводные'!$B$65)^MAX(0,(12*(YEAR(U$3)-YEAR($B$8))+MONTH(U$3)-MONTH($B$8))))</x:f>
      </x:c>
      <x:c r="V18" s="107" t="n">
        <x:f>IF(V17=0,0,'Вводные'!$B$60*'Вводные'!$S$88*'Вводные'!$H$5*'Вводные'!$AG$88*(1+'Вводные'!$B$64)^MAX(0,MIN((12*(YEAR(V$3)-YEAR($B$7))+MONTH(V$3)-MONTH($B$7)),(12*(YEAR($B$8)-YEAR($B$7))+MONTH($B$8)-MONTH($B$7))))*(1+'Вводные'!$B$65)^MAX(0,(12*(YEAR(V$3)-YEAR($B$8))+MONTH(V$3)-MONTH($B$8))))</x:f>
      </x:c>
      <x:c r="W18" s="107" t="n">
        <x:f>IF(W17=0,0,'Вводные'!$B$60*'Вводные'!$S$88*'Вводные'!$H$5*'Вводные'!$AG$88*(1+'Вводные'!$B$64)^MAX(0,MIN((12*(YEAR(W$3)-YEAR($B$7))+MONTH(W$3)-MONTH($B$7)),(12*(YEAR($B$8)-YEAR($B$7))+MONTH($B$8)-MONTH($B$7))))*(1+'Вводные'!$B$65)^MAX(0,(12*(YEAR(W$3)-YEAR($B$8))+MONTH(W$3)-MONTH($B$8))))</x:f>
      </x:c>
      <x:c r="X18" s="107" t="n">
        <x:f>IF(X17=0,0,'Вводные'!$B$60*'Вводные'!$S$88*'Вводные'!$H$5*'Вводные'!$AG$88*(1+'Вводные'!$B$64)^MAX(0,MIN((12*(YEAR(X$3)-YEAR($B$7))+MONTH(X$3)-MONTH($B$7)),(12*(YEAR($B$8)-YEAR($B$7))+MONTH($B$8)-MONTH($B$7))))*(1+'Вводные'!$B$65)^MAX(0,(12*(YEAR(X$3)-YEAR($B$8))+MONTH(X$3)-MONTH($B$8))))</x:f>
      </x:c>
      <x:c r="Y18" s="107" t="n">
        <x:f>IF(Y17=0,0,'Вводные'!$B$60*'Вводные'!$S$88*'Вводные'!$H$5*'Вводные'!$AG$88*(1+'Вводные'!$B$64)^MAX(0,MIN((12*(YEAR(Y$3)-YEAR($B$7))+MONTH(Y$3)-MONTH($B$7)),(12*(YEAR($B$8)-YEAR($B$7))+MONTH($B$8)-MONTH($B$7))))*(1+'Вводные'!$B$65)^MAX(0,(12*(YEAR(Y$3)-YEAR($B$8))+MONTH(Y$3)-MONTH($B$8))))</x:f>
      </x:c>
      <x:c r="Z18" s="107" t="n">
        <x:f>IF(Z17=0,0,'Вводные'!$B$60*'Вводные'!$S$88*'Вводные'!$H$5*'Вводные'!$AG$88*(1+'Вводные'!$B$64)^MAX(0,MIN((12*(YEAR(Z$3)-YEAR($B$7))+MONTH(Z$3)-MONTH($B$7)),(12*(YEAR($B$8)-YEAR($B$7))+MONTH($B$8)-MONTH($B$7))))*(1+'Вводные'!$B$65)^MAX(0,(12*(YEAR(Z$3)-YEAR($B$8))+MONTH(Z$3)-MONTH($B$8))))</x:f>
      </x:c>
      <x:c r="AA18" s="107" t="n">
        <x:f>IF(AA17=0,0,'Вводные'!$B$60*'Вводные'!$S$88*'Вводные'!$H$5*'Вводные'!$AG$88*(1+'Вводные'!$B$64)^MAX(0,MIN((12*(YEAR(AA$3)-YEAR($B$7))+MONTH(AA$3)-MONTH($B$7)),(12*(YEAR($B$8)-YEAR($B$7))+MONTH($B$8)-MONTH($B$7))))*(1+'Вводные'!$B$65)^MAX(0,(12*(YEAR(AA$3)-YEAR($B$8))+MONTH(AA$3)-MONTH($B$8))))</x:f>
      </x:c>
      <x:c r="AB18" s="107" t="n">
        <x:f>IF(AB17=0,0,'Вводные'!$B$60*'Вводные'!$S$88*'Вводные'!$H$5*'Вводные'!$AG$88*(1+'Вводные'!$B$64)^MAX(0,MIN((12*(YEAR(AB$3)-YEAR($B$7))+MONTH(AB$3)-MONTH($B$7)),(12*(YEAR($B$8)-YEAR($B$7))+MONTH($B$8)-MONTH($B$7))))*(1+'Вводные'!$B$65)^MAX(0,(12*(YEAR(AB$3)-YEAR($B$8))+MONTH(AB$3)-MONTH($B$8))))</x:f>
      </x:c>
      <x:c r="AC18" s="107" t="n">
        <x:f>IF(AC17=0,0,'Вводные'!$B$60*'Вводные'!$S$88*'Вводные'!$H$5*'Вводные'!$AG$88*(1+'Вводные'!$B$64)^MAX(0,MIN((12*(YEAR(AC$3)-YEAR($B$7))+MONTH(AC$3)-MONTH($B$7)),(12*(YEAR($B$8)-YEAR($B$7))+MONTH($B$8)-MONTH($B$7))))*(1+'Вводные'!$B$65)^MAX(0,(12*(YEAR(AC$3)-YEAR($B$8))+MONTH(AC$3)-MONTH($B$8))))</x:f>
      </x:c>
      <x:c r="AD18" s="107" t="n">
        <x:f>IF(AD17=0,0,'Вводные'!$B$60*'Вводные'!$S$88*'Вводные'!$H$5*'Вводные'!$AG$88*(1+'Вводные'!$B$64)^MAX(0,MIN((12*(YEAR(AD$3)-YEAR($B$7))+MONTH(AD$3)-MONTH($B$7)),(12*(YEAR($B$8)-YEAR($B$7))+MONTH($B$8)-MONTH($B$7))))*(1+'Вводные'!$B$65)^MAX(0,(12*(YEAR(AD$3)-YEAR($B$8))+MONTH(AD$3)-MONTH($B$8))))</x:f>
      </x:c>
      <x:c r="AE18" s="107" t="n">
        <x:f>IF(AE17=0,0,'Вводные'!$B$60*'Вводные'!$S$88*'Вводные'!$H$5*'Вводные'!$AG$88*(1+'Вводные'!$B$64)^MAX(0,MIN((12*(YEAR(AE$3)-YEAR($B$7))+MONTH(AE$3)-MONTH($B$7)),(12*(YEAR($B$8)-YEAR($B$7))+MONTH($B$8)-MONTH($B$7))))*(1+'Вводные'!$B$65)^MAX(0,(12*(YEAR(AE$3)-YEAR($B$8))+MONTH(AE$3)-MONTH($B$8))))</x:f>
      </x:c>
      <x:c r="AF18" s="107" t="n">
        <x:f>IF(AF17=0,0,'Вводные'!$B$60*'Вводные'!$S$88*'Вводные'!$H$5*'Вводные'!$AG$88*(1+'Вводные'!$B$64)^MAX(0,MIN((12*(YEAR(AF$3)-YEAR($B$7))+MONTH(AF$3)-MONTH($B$7)),(12*(YEAR($B$8)-YEAR($B$7))+MONTH($B$8)-MONTH($B$7))))*(1+'Вводные'!$B$65)^MAX(0,(12*(YEAR(AF$3)-YEAR($B$8))+MONTH(AF$3)-MONTH($B$8))))</x:f>
      </x:c>
      <x:c r="AG18" s="107" t="n">
        <x:f>IF(AG17=0,0,'Вводные'!$B$60*'Вводные'!$S$88*'Вводные'!$H$5*'Вводные'!$AG$88*(1+'Вводные'!$B$64)^MAX(0,MIN((12*(YEAR(AG$3)-YEAR($B$7))+MONTH(AG$3)-MONTH($B$7)),(12*(YEAR($B$8)-YEAR($B$7))+MONTH($B$8)-MONTH($B$7))))*(1+'Вводные'!$B$65)^MAX(0,(12*(YEAR(AG$3)-YEAR($B$8))+MONTH(AG$3)-MONTH($B$8))))</x:f>
      </x:c>
      <x:c r="AH18" s="107" t="n">
        <x:f>IF(AH17=0,0,'Вводные'!$B$60*'Вводные'!$S$88*'Вводные'!$H$5*'Вводные'!$AG$88*(1+'Вводные'!$B$64)^MAX(0,MIN((12*(YEAR(AH$3)-YEAR($B$7))+MONTH(AH$3)-MONTH($B$7)),(12*(YEAR($B$8)-YEAR($B$7))+MONTH($B$8)-MONTH($B$7))))*(1+'Вводные'!$B$65)^MAX(0,(12*(YEAR(AH$3)-YEAR($B$8))+MONTH(AH$3)-MONTH($B$8))))</x:f>
      </x:c>
      <x:c r="AI18" s="107" t="n">
        <x:f>IF(AI17=0,0,'Вводные'!$B$60*'Вводные'!$S$88*'Вводные'!$H$5*'Вводные'!$AG$88*(1+'Вводные'!$B$64)^MAX(0,MIN((12*(YEAR(AI$3)-YEAR($B$7))+MONTH(AI$3)-MONTH($B$7)),(12*(YEAR($B$8)-YEAR($B$7))+MONTH($B$8)-MONTH($B$7))))*(1+'Вводные'!$B$65)^MAX(0,(12*(YEAR(AI$3)-YEAR($B$8))+MONTH(AI$3)-MONTH($B$8))))</x:f>
      </x:c>
      <x:c r="AJ18" s="107" t="n">
        <x:f>IF(AJ17=0,0,'Вводные'!$B$60*'Вводные'!$S$88*'Вводные'!$H$5*'Вводные'!$AG$88*(1+'Вводные'!$B$64)^MAX(0,MIN((12*(YEAR(AJ$3)-YEAR($B$7))+MONTH(AJ$3)-MONTH($B$7)),(12*(YEAR($B$8)-YEAR($B$7))+MONTH($B$8)-MONTH($B$7))))*(1+'Вводные'!$B$65)^MAX(0,(12*(YEAR(AJ$3)-YEAR($B$8))+MONTH(AJ$3)-MONTH($B$8))))</x:f>
      </x:c>
      <x:c r="AK18" s="107" t="n">
        <x:f>IF(AK17=0,0,'Вводные'!$B$60*'Вводные'!$S$88*'Вводные'!$H$5*'Вводные'!$AG$88*(1+'Вводные'!$B$64)^MAX(0,MIN((12*(YEAR(AK$3)-YEAR($B$7))+MONTH(AK$3)-MONTH($B$7)),(12*(YEAR($B$8)-YEAR($B$7))+MONTH($B$8)-MONTH($B$7))))*(1+'Вводные'!$B$65)^MAX(0,(12*(YEAR(AK$3)-YEAR($B$8))+MONTH(AK$3)-MONTH($B$8))))</x:f>
      </x:c>
      <x:c r="AL18" s="107" t="n">
        <x:f>IF(AL17=0,0,'Вводные'!$B$60*'Вводные'!$S$88*'Вводные'!$H$5*'Вводные'!$AG$88*(1+'Вводные'!$B$64)^MAX(0,MIN((12*(YEAR(AL$3)-YEAR($B$7))+MONTH(AL$3)-MONTH($B$7)),(12*(YEAR($B$8)-YEAR($B$7))+MONTH($B$8)-MONTH($B$7))))*(1+'Вводные'!$B$65)^MAX(0,(12*(YEAR(AL$3)-YEAR($B$8))+MONTH(AL$3)-MONTH($B$8))))</x:f>
      </x:c>
      <x:c r="AM18" s="107" t="n">
        <x:f>IF(AM17=0,0,'Вводные'!$B$60*'Вводные'!$S$88*'Вводные'!$H$5*'Вводные'!$AG$88*(1+'Вводные'!$B$64)^MAX(0,MIN((12*(YEAR(AM$3)-YEAR($B$7))+MONTH(AM$3)-MONTH($B$7)),(12*(YEAR($B$8)-YEAR($B$7))+MONTH($B$8)-MONTH($B$7))))*(1+'Вводные'!$B$65)^MAX(0,(12*(YEAR(AM$3)-YEAR($B$8))+MONTH(AM$3)-MONTH($B$8))))</x:f>
      </x:c>
      <x:c r="AN18" s="107" t="n">
        <x:f>IF(AN17=0,0,'Вводные'!$B$60*'Вводные'!$S$88*'Вводные'!$H$5*'Вводные'!$AG$88*(1+'Вводные'!$B$64)^MAX(0,MIN((12*(YEAR(AN$3)-YEAR($B$7))+MONTH(AN$3)-MONTH($B$7)),(12*(YEAR($B$8)-YEAR($B$7))+MONTH($B$8)-MONTH($B$7))))*(1+'Вводные'!$B$65)^MAX(0,(12*(YEAR(AN$3)-YEAR($B$8))+MONTH(AN$3)-MONTH($B$8))))</x:f>
      </x:c>
      <x:c r="AO18" s="107" t="n">
        <x:f>IF(AO17=0,0,'Вводные'!$B$60*'Вводные'!$S$88*'Вводные'!$H$5*'Вводные'!$AG$88*(1+'Вводные'!$B$64)^MAX(0,MIN((12*(YEAR(AO$3)-YEAR($B$7))+MONTH(AO$3)-MONTH($B$7)),(12*(YEAR($B$8)-YEAR($B$7))+MONTH($B$8)-MONTH($B$7))))*(1+'Вводные'!$B$65)^MAX(0,(12*(YEAR(AO$3)-YEAR($B$8))+MONTH(AO$3)-MONTH($B$8))))</x:f>
      </x:c>
      <x:c r="AP18" s="107" t="n">
        <x:f>IF(AP17=0,0,'Вводные'!$B$60*'Вводные'!$S$88*'Вводные'!$H$5*'Вводные'!$AG$88*(1+'Вводные'!$B$64)^MAX(0,MIN((12*(YEAR(AP$3)-YEAR($B$7))+MONTH(AP$3)-MONTH($B$7)),(12*(YEAR($B$8)-YEAR($B$7))+MONTH($B$8)-MONTH($B$7))))*(1+'Вводные'!$B$65)^MAX(0,(12*(YEAR(AP$3)-YEAR($B$8))+MONTH(AP$3)-MONTH($B$8))))</x:f>
      </x:c>
      <x:c r="AQ18" s="107" t="n">
        <x:f>IF(AQ17=0,0,'Вводные'!$B$60*'Вводные'!$S$88*'Вводные'!$H$5*'Вводные'!$AG$88*(1+'Вводные'!$B$64)^MAX(0,MIN((12*(YEAR(AQ$3)-YEAR($B$7))+MONTH(AQ$3)-MONTH($B$7)),(12*(YEAR($B$8)-YEAR($B$7))+MONTH($B$8)-MONTH($B$7))))*(1+'Вводные'!$B$65)^MAX(0,(12*(YEAR(AQ$3)-YEAR($B$8))+MONTH(AQ$3)-MONTH($B$8))))</x:f>
      </x:c>
      <x:c r="AR18" s="107" t="n">
        <x:f>IF(AR17=0,0,'Вводные'!$B$60*'Вводные'!$S$88*'Вводные'!$H$5*'Вводные'!$AG$88*(1+'Вводные'!$B$64)^MAX(0,MIN((12*(YEAR(AR$3)-YEAR($B$7))+MONTH(AR$3)-MONTH($B$7)),(12*(YEAR($B$8)-YEAR($B$7))+MONTH($B$8)-MONTH($B$7))))*(1+'Вводные'!$B$65)^MAX(0,(12*(YEAR(AR$3)-YEAR($B$8))+MONTH(AR$3)-MONTH($B$8))))</x:f>
      </x:c>
      <x:c r="AS18" s="107" t="n">
        <x:f>IF(AS17=0,0,'Вводные'!$B$60*'Вводные'!$S$88*'Вводные'!$H$5*'Вводные'!$AG$88*(1+'Вводные'!$B$64)^MAX(0,MIN((12*(YEAR(AS$3)-YEAR($B$7))+MONTH(AS$3)-MONTH($B$7)),(12*(YEAR($B$8)-YEAR($B$7))+MONTH($B$8)-MONTH($B$7))))*(1+'Вводные'!$B$65)^MAX(0,(12*(YEAR(AS$3)-YEAR($B$8))+MONTH(AS$3)-MONTH($B$8))))</x:f>
      </x:c>
      <x:c r="AT18" s="107" t="n">
        <x:f>IF(AT17=0,0,'Вводные'!$B$60*'Вводные'!$S$88*'Вводные'!$H$5*'Вводные'!$AG$88*(1+'Вводные'!$B$64)^MAX(0,MIN((12*(YEAR(AT$3)-YEAR($B$7))+MONTH(AT$3)-MONTH($B$7)),(12*(YEAR($B$8)-YEAR($B$7))+MONTH($B$8)-MONTH($B$7))))*(1+'Вводные'!$B$65)^MAX(0,(12*(YEAR(AT$3)-YEAR($B$8))+MONTH(AT$3)-MONTH($B$8))))</x:f>
      </x:c>
      <x:c r="AU18" s="107" t="n">
        <x:f>IF(AU17=0,0,'Вводные'!$B$60*'Вводные'!$S$88*'Вводные'!$H$5*'Вводные'!$AG$88*(1+'Вводные'!$B$64)^MAX(0,MIN((12*(YEAR(AU$3)-YEAR($B$7))+MONTH(AU$3)-MONTH($B$7)),(12*(YEAR($B$8)-YEAR($B$7))+MONTH($B$8)-MONTH($B$7))))*(1+'Вводные'!$B$65)^MAX(0,(12*(YEAR(AU$3)-YEAR($B$8))+MONTH(AU$3)-MONTH($B$8))))</x:f>
      </x:c>
      <x:c r="AV18" s="107" t="n">
        <x:f>IF(AV17=0,0,'Вводные'!$B$60*'Вводные'!$S$88*'Вводные'!$H$5*'Вводные'!$AG$88*(1+'Вводные'!$B$64)^MAX(0,MIN((12*(YEAR(AV$3)-YEAR($B$7))+MONTH(AV$3)-MONTH($B$7)),(12*(YEAR($B$8)-YEAR($B$7))+MONTH($B$8)-MONTH($B$7))))*(1+'Вводные'!$B$65)^MAX(0,(12*(YEAR(AV$3)-YEAR($B$8))+MONTH(AV$3)-MONTH($B$8))))</x:f>
      </x:c>
      <x:c r="AW18" s="107" t="n">
        <x:f>IF(AW17=0,0,'Вводные'!$B$60*'Вводные'!$S$88*'Вводные'!$H$5*'Вводные'!$AG$88*(1+'Вводные'!$B$64)^MAX(0,MIN((12*(YEAR(AW$3)-YEAR($B$7))+MONTH(AW$3)-MONTH($B$7)),(12*(YEAR($B$8)-YEAR($B$7))+MONTH($B$8)-MONTH($B$7))))*(1+'Вводные'!$B$65)^MAX(0,(12*(YEAR(AW$3)-YEAR($B$8))+MONTH(AW$3)-MONTH($B$8))))</x:f>
      </x:c>
      <x:c r="AX18" s="107" t="n">
        <x:f>IF(AX17=0,0,'Вводные'!$B$60*'Вводные'!$S$88*'Вводные'!$H$5*'Вводные'!$AG$88*(1+'Вводные'!$B$64)^MAX(0,MIN((12*(YEAR(AX$3)-YEAR($B$7))+MONTH(AX$3)-MONTH($B$7)),(12*(YEAR($B$8)-YEAR($B$7))+MONTH($B$8)-MONTH($B$7))))*(1+'Вводные'!$B$65)^MAX(0,(12*(YEAR(AX$3)-YEAR($B$8))+MONTH(AX$3)-MONTH($B$8))))</x:f>
      </x:c>
      <x:c r="AY18" s="107" t="n">
        <x:f>IF(AY17=0,0,'Вводные'!$B$60*'Вводные'!$S$88*'Вводные'!$H$5*'Вводные'!$AG$88*(1+'Вводные'!$B$64)^MAX(0,MIN((12*(YEAR(AY$3)-YEAR($B$7))+MONTH(AY$3)-MONTH($B$7)),(12*(YEAR($B$8)-YEAR($B$7))+MONTH($B$8)-MONTH($B$7))))*(1+'Вводные'!$B$65)^MAX(0,(12*(YEAR(AY$3)-YEAR($B$8))+MONTH(AY$3)-MONTH($B$8))))</x:f>
      </x:c>
      <x:c r="AZ18" s="107" t="n">
        <x:f>IF(AZ17=0,0,'Вводные'!$B$60*'Вводные'!$S$88*'Вводные'!$H$5*'Вводные'!$AG$88*(1+'Вводные'!$B$64)^MAX(0,MIN((12*(YEAR(AZ$3)-YEAR($B$7))+MONTH(AZ$3)-MONTH($B$7)),(12*(YEAR($B$8)-YEAR($B$7))+MONTH($B$8)-MONTH($B$7))))*(1+'Вводные'!$B$65)^MAX(0,(12*(YEAR(AZ$3)-YEAR($B$8))+MONTH(AZ$3)-MONTH($B$8))))</x:f>
      </x:c>
      <x:c r="BA18" s="107" t="n">
        <x:f>IF(BA17=0,0,'Вводные'!$B$60*'Вводные'!$S$88*'Вводные'!$H$5*'Вводные'!$AG$88*(1+'Вводные'!$B$64)^MAX(0,MIN((12*(YEAR(BA$3)-YEAR($B$7))+MONTH(BA$3)-MONTH($B$7)),(12*(YEAR($B$8)-YEAR($B$7))+MONTH($B$8)-MONTH($B$7))))*(1+'Вводные'!$B$65)^MAX(0,(12*(YEAR(BA$3)-YEAR($B$8))+MONTH(BA$3)-MONTH($B$8))))</x:f>
      </x:c>
      <x:c r="BB18" s="107" t="n">
        <x:f>IF(BB17=0,0,'Вводные'!$B$60*'Вводные'!$S$88*'Вводные'!$H$5*'Вводные'!$AG$88*(1+'Вводные'!$B$64)^MAX(0,MIN((12*(YEAR(BB$3)-YEAR($B$7))+MONTH(BB$3)-MONTH($B$7)),(12*(YEAR($B$8)-YEAR($B$7))+MONTH($B$8)-MONTH($B$7))))*(1+'Вводные'!$B$65)^MAX(0,(12*(YEAR(BB$3)-YEAR($B$8))+MONTH(BB$3)-MONTH($B$8))))</x:f>
      </x:c>
      <x:c r="BC18" s="107" t="n">
        <x:f>IF(BC17=0,0,'Вводные'!$B$60*'Вводные'!$S$88*'Вводные'!$H$5*'Вводные'!$AG$88*(1+'Вводные'!$B$64)^MAX(0,MIN((12*(YEAR(BC$3)-YEAR($B$7))+MONTH(BC$3)-MONTH($B$7)),(12*(YEAR($B$8)-YEAR($B$7))+MONTH($B$8)-MONTH($B$7))))*(1+'Вводные'!$B$65)^MAX(0,(12*(YEAR(BC$3)-YEAR($B$8))+MONTH(BC$3)-MONTH($B$8))))</x:f>
      </x:c>
      <x:c r="BD18" s="107" t="n">
        <x:f>IF(BD17=0,0,'Вводные'!$B$60*'Вводные'!$S$88*'Вводные'!$H$5*'Вводные'!$AG$88*(1+'Вводные'!$B$64)^MAX(0,MIN((12*(YEAR(BD$3)-YEAR($B$7))+MONTH(BD$3)-MONTH($B$7)),(12*(YEAR($B$8)-YEAR($B$7))+MONTH($B$8)-MONTH($B$7))))*(1+'Вводные'!$B$65)^MAX(0,(12*(YEAR(BD$3)-YEAR($B$8))+MONTH(BD$3)-MONTH($B$8))))</x:f>
      </x:c>
      <x:c r="BE18" s="107" t="n">
        <x:f>IF(BE17=0,0,'Вводные'!$B$60*'Вводные'!$S$88*'Вводные'!$H$5*'Вводные'!$AG$88*(1+'Вводные'!$B$64)^MAX(0,MIN((12*(YEAR(BE$3)-YEAR($B$7))+MONTH(BE$3)-MONTH($B$7)),(12*(YEAR($B$8)-YEAR($B$7))+MONTH($B$8)-MONTH($B$7))))*(1+'Вводные'!$B$65)^MAX(0,(12*(YEAR(BE$3)-YEAR($B$8))+MONTH(BE$3)-MONTH($B$8))))</x:f>
      </x:c>
      <x:c r="BF18" s="107" t="n">
        <x:f>IF(BF17=0,0,'Вводные'!$B$60*'Вводные'!$S$88*'Вводные'!$H$5*'Вводные'!$AG$88*(1+'Вводные'!$B$64)^MAX(0,MIN((12*(YEAR(BF$3)-YEAR($B$7))+MONTH(BF$3)-MONTH($B$7)),(12*(YEAR($B$8)-YEAR($B$7))+MONTH($B$8)-MONTH($B$7))))*(1+'Вводные'!$B$65)^MAX(0,(12*(YEAR(BF$3)-YEAR($B$8))+MONTH(BF$3)-MONTH($B$8))))</x:f>
      </x:c>
      <x:c r="BG18" s="107" t="n">
        <x:f>IF(BG17=0,0,'Вводные'!$B$60*'Вводные'!$S$88*'Вводные'!$H$5*'Вводные'!$AG$88*(1+'Вводные'!$B$64)^MAX(0,MIN((12*(YEAR(BG$3)-YEAR($B$7))+MONTH(BG$3)-MONTH($B$7)),(12*(YEAR($B$8)-YEAR($B$7))+MONTH($B$8)-MONTH($B$7))))*(1+'Вводные'!$B$65)^MAX(0,(12*(YEAR(BG$3)-YEAR($B$8))+MONTH(BG$3)-MONTH($B$8))))</x:f>
      </x:c>
      <x:c r="BH18" s="107" t="n">
        <x:f>IF(BH17=0,0,'Вводные'!$B$60*'Вводные'!$S$88*'Вводные'!$H$5*'Вводные'!$AG$88*(1+'Вводные'!$B$64)^MAX(0,MIN((12*(YEAR(BH$3)-YEAR($B$7))+MONTH(BH$3)-MONTH($B$7)),(12*(YEAR($B$8)-YEAR($B$7))+MONTH($B$8)-MONTH($B$7))))*(1+'Вводные'!$B$65)^MAX(0,(12*(YEAR(BH$3)-YEAR($B$8))+MONTH(BH$3)-MONTH($B$8))))</x:f>
      </x:c>
      <x:c r="BI18" s="107" t="n">
        <x:f>IF(BI17=0,0,'Вводные'!$B$60*'Вводные'!$S$88*'Вводные'!$H$5*'Вводные'!$AG$88*(1+'Вводные'!$B$64)^MAX(0,MIN((12*(YEAR(BI$3)-YEAR($B$7))+MONTH(BI$3)-MONTH($B$7)),(12*(YEAR($B$8)-YEAR($B$7))+MONTH($B$8)-MONTH($B$7))))*(1+'Вводные'!$B$65)^MAX(0,(12*(YEAR(BI$3)-YEAR($B$8))+MONTH(BI$3)-MONTH($B$8))))</x:f>
      </x:c>
      <x:c r="BJ18" s="107" t="n">
        <x:f>IF(BJ17=0,0,'Вводные'!$B$60*'Вводные'!$S$88*'Вводные'!$H$5*'Вводные'!$AG$88*(1+'Вводные'!$B$64)^MAX(0,MIN((12*(YEAR(BJ$3)-YEAR($B$7))+MONTH(BJ$3)-MONTH($B$7)),(12*(YEAR($B$8)-YEAR($B$7))+MONTH($B$8)-MONTH($B$7))))*(1+'Вводные'!$B$65)^MAX(0,(12*(YEAR(BJ$3)-YEAR($B$8))+MONTH(BJ$3)-MONTH($B$8))))</x:f>
      </x:c>
      <x:c r="BK18" s="107" t="n">
        <x:f>IF(BK17=0,0,'Вводные'!$B$60*'Вводные'!$S$88*'Вводные'!$H$5*'Вводные'!$AG$88*(1+'Вводные'!$B$64)^MAX(0,MIN((12*(YEAR(BK$3)-YEAR($B$7))+MONTH(BK$3)-MONTH($B$7)),(12*(YEAR($B$8)-YEAR($B$7))+MONTH($B$8)-MONTH($B$7))))*(1+'Вводные'!$B$65)^MAX(0,(12*(YEAR(BK$3)-YEAR($B$8))+MONTH(BK$3)-MONTH($B$8))))</x:f>
      </x:c>
      <x:c r="BL18" s="107" t="n">
        <x:f>IF(BL17=0,0,'Вводные'!$B$60*'Вводные'!$S$88*'Вводные'!$H$5*'Вводные'!$AG$88*(1+'Вводные'!$B$64)^MAX(0,MIN((12*(YEAR(BL$3)-YEAR($B$7))+MONTH(BL$3)-MONTH($B$7)),(12*(YEAR($B$8)-YEAR($B$7))+MONTH($B$8)-MONTH($B$7))))*(1+'Вводные'!$B$65)^MAX(0,(12*(YEAR(BL$3)-YEAR($B$8))+MONTH(BL$3)-MONTH($B$8))))</x:f>
      </x:c>
      <x:c r="BM18" s="107" t="n">
        <x:f>IF(BM17=0,0,'Вводные'!$B$60*'Вводные'!$S$88*'Вводные'!$H$5*'Вводные'!$AG$88*(1+'Вводные'!$B$64)^MAX(0,MIN((12*(YEAR(BM$3)-YEAR($B$7))+MONTH(BM$3)-MONTH($B$7)),(12*(YEAR($B$8)-YEAR($B$7))+MONTH($B$8)-MONTH($B$7))))*(1+'Вводные'!$B$65)^MAX(0,(12*(YEAR(BM$3)-YEAR($B$8))+MONTH(BM$3)-MONTH($B$8))))</x:f>
      </x:c>
      <x:c r="BN18" s="107" t="n">
        <x:f>IF(BN17=0,0,'Вводные'!$B$60*'Вводные'!$S$88*'Вводные'!$H$5*'Вводные'!$AG$88*(1+'Вводные'!$B$64)^MAX(0,MIN((12*(YEAR(BN$3)-YEAR($B$7))+MONTH(BN$3)-MONTH($B$7)),(12*(YEAR($B$8)-YEAR($B$7))+MONTH($B$8)-MONTH($B$7))))*(1+'Вводные'!$B$65)^MAX(0,(12*(YEAR(BN$3)-YEAR($B$8))+MONTH(BN$3)-MONTH($B$8))))</x:f>
      </x:c>
      <x:c r="BO18" s="107" t="n">
        <x:f>IF(BO17=0,0,'Вводные'!$B$60*'Вводные'!$S$88*'Вводные'!$H$5*'Вводные'!$AG$88*(1+'Вводные'!$B$64)^MAX(0,MIN((12*(YEAR(BO$3)-YEAR($B$7))+MONTH(BO$3)-MONTH($B$7)),(12*(YEAR($B$8)-YEAR($B$7))+MONTH($B$8)-MONTH($B$7))))*(1+'Вводные'!$B$65)^MAX(0,(12*(YEAR(BO$3)-YEAR($B$8))+MONTH(BO$3)-MONTH($B$8))))</x:f>
      </x:c>
      <x:c r="BP18" s="107" t="n">
        <x:f>IF(BP17=0,0,'Вводные'!$B$60*'Вводные'!$S$88*'Вводные'!$H$5*'Вводные'!$AG$88*(1+'Вводные'!$B$64)^MAX(0,MIN((12*(YEAR(BP$3)-YEAR($B$7))+MONTH(BP$3)-MONTH($B$7)),(12*(YEAR($B$8)-YEAR($B$7))+MONTH($B$8)-MONTH($B$7))))*(1+'Вводные'!$B$65)^MAX(0,(12*(YEAR(BP$3)-YEAR($B$8))+MONTH(BP$3)-MONTH($B$8))))</x:f>
      </x:c>
      <x:c r="BQ18" s="107" t="n">
        <x:f>IF(BQ17=0,0,'Вводные'!$B$60*'Вводные'!$S$88*'Вводные'!$H$5*'Вводные'!$AG$88*(1+'Вводные'!$B$64)^MAX(0,MIN((12*(YEAR(BQ$3)-YEAR($B$7))+MONTH(BQ$3)-MONTH($B$7)),(12*(YEAR($B$8)-YEAR($B$7))+MONTH($B$8)-MONTH($B$7))))*(1+'Вводные'!$B$65)^MAX(0,(12*(YEAR(BQ$3)-YEAR($B$8))+MONTH(BQ$3)-MONTH($B$8))))</x:f>
      </x:c>
      <x:c r="BR18" s="107" t="n">
        <x:f>IF(BR17=0,0,'Вводные'!$B$60*'Вводные'!$S$88*'Вводные'!$H$5*'Вводные'!$AG$88*(1+'Вводные'!$B$64)^MAX(0,MIN((12*(YEAR(BR$3)-YEAR($B$7))+MONTH(BR$3)-MONTH($B$7)),(12*(YEAR($B$8)-YEAR($B$7))+MONTH($B$8)-MONTH($B$7))))*(1+'Вводные'!$B$65)^MAX(0,(12*(YEAR(BR$3)-YEAR($B$8))+MONTH(BR$3)-MONTH($B$8))))</x:f>
      </x:c>
      <x:c r="BS18" s="107" t="n">
        <x:f>IF(BS17=0,0,'Вводные'!$B$60*'Вводные'!$S$88*'Вводные'!$H$5*'Вводные'!$AG$88*(1+'Вводные'!$B$64)^MAX(0,MIN((12*(YEAR(BS$3)-YEAR($B$7))+MONTH(BS$3)-MONTH($B$7)),(12*(YEAR($B$8)-YEAR($B$7))+MONTH($B$8)-MONTH($B$7))))*(1+'Вводные'!$B$65)^MAX(0,(12*(YEAR(BS$3)-YEAR($B$8))+MONTH(BS$3)-MONTH($B$8))))</x:f>
      </x:c>
      <x:c r="BT18" s="107" t="n">
        <x:f>IF(BT17=0,0,'Вводные'!$B$60*'Вводные'!$S$88*'Вводные'!$H$5*'Вводные'!$AG$88*(1+'Вводные'!$B$64)^MAX(0,MIN((12*(YEAR(BT$3)-YEAR($B$7))+MONTH(BT$3)-MONTH($B$7)),(12*(YEAR($B$8)-YEAR($B$7))+MONTH($B$8)-MONTH($B$7))))*(1+'Вводные'!$B$65)^MAX(0,(12*(YEAR(BT$3)-YEAR($B$8))+MONTH(BT$3)-MONTH($B$8))))</x:f>
      </x:c>
      <x:c r="BU18" s="107" t="n">
        <x:f>IF(BU17=0,0,'Вводные'!$B$60*'Вводные'!$S$88*'Вводные'!$H$5*'Вводные'!$AG$88*(1+'Вводные'!$B$64)^MAX(0,MIN((12*(YEAR(BU$3)-YEAR($B$7))+MONTH(BU$3)-MONTH($B$7)),(12*(YEAR($B$8)-YEAR($B$7))+MONTH($B$8)-MONTH($B$7))))*(1+'Вводные'!$B$65)^MAX(0,(12*(YEAR(BU$3)-YEAR($B$8))+MONTH(BU$3)-MONTH($B$8))))</x:f>
      </x:c>
      <x:c r="BV18" s="107" t="n">
        <x:f>IF(BV17=0,0,'Вводные'!$B$60*'Вводные'!$S$88*'Вводные'!$H$5*'Вводные'!$AG$88*(1+'Вводные'!$B$64)^MAX(0,MIN((12*(YEAR(BV$3)-YEAR($B$7))+MONTH(BV$3)-MONTH($B$7)),(12*(YEAR($B$8)-YEAR($B$7))+MONTH($B$8)-MONTH($B$7))))*(1+'Вводные'!$B$65)^MAX(0,(12*(YEAR(BV$3)-YEAR($B$8))+MONTH(BV$3)-MONTH($B$8))))</x:f>
      </x:c>
      <x:c r="BW18" s="107" t="n">
        <x:f>IF(BW17=0,0,'Вводные'!$B$60*'Вводные'!$S$88*'Вводные'!$H$5*'Вводные'!$AG$88*(1+'Вводные'!$B$64)^MAX(0,MIN((12*(YEAR(BW$3)-YEAR($B$7))+MONTH(BW$3)-MONTH($B$7)),(12*(YEAR($B$8)-YEAR($B$7))+MONTH($B$8)-MONTH($B$7))))*(1+'Вводные'!$B$65)^MAX(0,(12*(YEAR(BW$3)-YEAR($B$8))+MONTH(BW$3)-MONTH($B$8))))</x:f>
      </x:c>
      <x:c r="BX18" s="107" t="n">
        <x:f>IF(BX17=0,0,'Вводные'!$B$60*'Вводные'!$S$88*'Вводные'!$H$5*'Вводные'!$AG$88*(1+'Вводные'!$B$64)^MAX(0,MIN((12*(YEAR(BX$3)-YEAR($B$7))+MONTH(BX$3)-MONTH($B$7)),(12*(YEAR($B$8)-YEAR($B$7))+MONTH($B$8)-MONTH($B$7))))*(1+'Вводные'!$B$65)^MAX(0,(12*(YEAR(BX$3)-YEAR($B$8))+MONTH(BX$3)-MONTH($B$8))))</x:f>
      </x:c>
      <x:c r="BY18" s="107" t="n">
        <x:f>IF(BY17=0,0,'Вводные'!$B$60*'Вводные'!$S$88*'Вводные'!$H$5*'Вводные'!$AG$88*(1+'Вводные'!$B$64)^MAX(0,MIN((12*(YEAR(BY$3)-YEAR($B$7))+MONTH(BY$3)-MONTH($B$7)),(12*(YEAR($B$8)-YEAR($B$7))+MONTH($B$8)-MONTH($B$7))))*(1+'Вводные'!$B$65)^MAX(0,(12*(YEAR(BY$3)-YEAR($B$8))+MONTH(BY$3)-MONTH($B$8))))</x:f>
      </x:c>
      <x:c r="BZ18" s="107" t="n">
        <x:f>IF(BZ17=0,0,'Вводные'!$B$60*'Вводные'!$S$88*'Вводные'!$H$5*'Вводные'!$AG$88*(1+'Вводные'!$B$64)^MAX(0,MIN((12*(YEAR(BZ$3)-YEAR($B$7))+MONTH(BZ$3)-MONTH($B$7)),(12*(YEAR($B$8)-YEAR($B$7))+MONTH($B$8)-MONTH($B$7))))*(1+'Вводные'!$B$65)^MAX(0,(12*(YEAR(BZ$3)-YEAR($B$8))+MONTH(BZ$3)-MONTH($B$8))))</x:f>
      </x:c>
      <x:c r="CA18" s="107" t="n">
        <x:f>IF(CA17=0,0,'Вводные'!$B$60*'Вводные'!$S$88*'Вводные'!$H$5*'Вводные'!$AG$88*(1+'Вводные'!$B$64)^MAX(0,MIN((12*(YEAR(CA$3)-YEAR($B$7))+MONTH(CA$3)-MONTH($B$7)),(12*(YEAR($B$8)-YEAR($B$7))+MONTH($B$8)-MONTH($B$7))))*(1+'Вводные'!$B$65)^MAX(0,(12*(YEAR(CA$3)-YEAR($B$8))+MONTH(CA$3)-MONTH($B$8))))</x:f>
      </x:c>
      <x:c r="CB18" s="107" t="n">
        <x:f>IF(CB17=0,0,'Вводные'!$B$60*'Вводные'!$S$88*'Вводные'!$H$5*'Вводные'!$AG$88*(1+'Вводные'!$B$64)^MAX(0,MIN((12*(YEAR(CB$3)-YEAR($B$7))+MONTH(CB$3)-MONTH($B$7)),(12*(YEAR($B$8)-YEAR($B$7))+MONTH($B$8)-MONTH($B$7))))*(1+'Вводные'!$B$65)^MAX(0,(12*(YEAR(CB$3)-YEAR($B$8))+MONTH(CB$3)-MONTH($B$8))))</x:f>
      </x:c>
      <x:c r="CC18" s="107" t="n">
        <x:f>IF(CC17=0,0,'Вводные'!$B$60*'Вводные'!$S$88*'Вводные'!$H$5*'Вводные'!$AG$88*(1+'Вводные'!$B$64)^MAX(0,MIN((12*(YEAR(CC$3)-YEAR($B$7))+MONTH(CC$3)-MONTH($B$7)),(12*(YEAR($B$8)-YEAR($B$7))+MONTH($B$8)-MONTH($B$7))))*(1+'Вводные'!$B$65)^MAX(0,(12*(YEAR(CC$3)-YEAR($B$8))+MONTH(CC$3)-MONTH($B$8))))</x:f>
      </x:c>
      <x:c r="CD18" s="107" t="n">
        <x:f>IF(CD17=0,0,'Вводные'!$B$60*'Вводные'!$S$88*'Вводные'!$H$5*'Вводные'!$AG$88*(1+'Вводные'!$B$64)^MAX(0,MIN((12*(YEAR(CD$3)-YEAR($B$7))+MONTH(CD$3)-MONTH($B$7)),(12*(YEAR($B$8)-YEAR($B$7))+MONTH($B$8)-MONTH($B$7))))*(1+'Вводные'!$B$65)^MAX(0,(12*(YEAR(CD$3)-YEAR($B$8))+MONTH(CD$3)-MONTH($B$8))))</x:f>
      </x:c>
      <x:c r="CE18" s="107" t="n">
        <x:f>IF(CE17=0,0,'Вводные'!$B$60*'Вводные'!$S$88*'Вводные'!$H$5*'Вводные'!$AG$88*(1+'Вводные'!$B$64)^MAX(0,MIN((12*(YEAR(CE$3)-YEAR($B$7))+MONTH(CE$3)-MONTH($B$7)),(12*(YEAR($B$8)-YEAR($B$7))+MONTH($B$8)-MONTH($B$7))))*(1+'Вводные'!$B$65)^MAX(0,(12*(YEAR(CE$3)-YEAR($B$8))+MONTH(CE$3)-MONTH($B$8))))</x:f>
      </x:c>
      <x:c r="CF18" s="107" t="n">
        <x:f>IF(CF17=0,0,'Вводные'!$B$60*'Вводные'!$S$88*'Вводные'!$H$5*'Вводные'!$AG$88*(1+'Вводные'!$B$64)^MAX(0,MIN((12*(YEAR(CF$3)-YEAR($B$7))+MONTH(CF$3)-MONTH($B$7)),(12*(YEAR($B$8)-YEAR($B$7))+MONTH($B$8)-MONTH($B$7))))*(1+'Вводные'!$B$65)^MAX(0,(12*(YEAR(CF$3)-YEAR($B$8))+MONTH(CF$3)-MONTH($B$8))))</x:f>
      </x:c>
      <x:c r="CG18" s="107" t="n">
        <x:f>IF(CG17=0,0,'Вводные'!$B$60*'Вводные'!$S$88*'Вводные'!$H$5*'Вводные'!$AG$88*(1+'Вводные'!$B$64)^MAX(0,MIN((12*(YEAR(CG$3)-YEAR($B$7))+MONTH(CG$3)-MONTH($B$7)),(12*(YEAR($B$8)-YEAR($B$7))+MONTH($B$8)-MONTH($B$7))))*(1+'Вводные'!$B$65)^MAX(0,(12*(YEAR(CG$3)-YEAR($B$8))+MONTH(CG$3)-MONTH($B$8))))</x:f>
      </x:c>
      <x:c r="CH18" s="107" t="n">
        <x:f>IF(CH17=0,0,'Вводные'!$B$60*'Вводные'!$S$88*'Вводные'!$H$5*'Вводные'!$AG$88*(1+'Вводные'!$B$64)^MAX(0,MIN((12*(YEAR(CH$3)-YEAR($B$7))+MONTH(CH$3)-MONTH($B$7)),(12*(YEAR($B$8)-YEAR($B$7))+MONTH($B$8)-MONTH($B$7))))*(1+'Вводные'!$B$65)^MAX(0,(12*(YEAR(CH$3)-YEAR($B$8))+MONTH(CH$3)-MONTH($B$8))))</x:f>
      </x:c>
      <x:c r="CI18" s="107" t="n">
        <x:f>IF(CI17=0,0,'Вводные'!$B$60*'Вводные'!$S$88*'Вводные'!$H$5*'Вводные'!$AG$88*(1+'Вводные'!$B$64)^MAX(0,MIN((12*(YEAR(CI$3)-YEAR($B$7))+MONTH(CI$3)-MONTH($B$7)),(12*(YEAR($B$8)-YEAR($B$7))+MONTH($B$8)-MONTH($B$7))))*(1+'Вводные'!$B$65)^MAX(0,(12*(YEAR(CI$3)-YEAR($B$8))+MONTH(CI$3)-MONTH($B$8))))</x:f>
      </x:c>
      <x:c r="CJ18" s="107" t="n">
        <x:f>IF(CJ17=0,0,'Вводные'!$B$60*'Вводные'!$S$88*'Вводные'!$H$5*'Вводные'!$AG$88*(1+'Вводные'!$B$64)^MAX(0,MIN((12*(YEAR(CJ$3)-YEAR($B$7))+MONTH(CJ$3)-MONTH($B$7)),(12*(YEAR($B$8)-YEAR($B$7))+MONTH($B$8)-MONTH($B$7))))*(1+'Вводные'!$B$65)^MAX(0,(12*(YEAR(CJ$3)-YEAR($B$8))+MONTH(CJ$3)-MONTH($B$8))))</x:f>
      </x:c>
      <x:c r="CK18" s="107" t="n">
        <x:f>IF(CK17=0,0,'Вводные'!$B$60*'Вводные'!$S$88*'Вводные'!$H$5*'Вводные'!$AG$88*(1+'Вводные'!$B$64)^MAX(0,MIN((12*(YEAR(CK$3)-YEAR($B$7))+MONTH(CK$3)-MONTH($B$7)),(12*(YEAR($B$8)-YEAR($B$7))+MONTH($B$8)-MONTH($B$7))))*(1+'Вводные'!$B$65)^MAX(0,(12*(YEAR(CK$3)-YEAR($B$8))+MONTH(CK$3)-MONTH($B$8))))</x:f>
      </x:c>
      <x:c r="CL18" s="107" t="n">
        <x:f>IF(CL17=0,0,'Вводные'!$B$60*'Вводные'!$S$88*'Вводные'!$H$5*'Вводные'!$AG$88*(1+'Вводные'!$B$64)^MAX(0,MIN((12*(YEAR(CL$3)-YEAR($B$7))+MONTH(CL$3)-MONTH($B$7)),(12*(YEAR($B$8)-YEAR($B$7))+MONTH($B$8)-MONTH($B$7))))*(1+'Вводные'!$B$65)^MAX(0,(12*(YEAR(CL$3)-YEAR($B$8))+MONTH(CL$3)-MONTH($B$8))))</x:f>
      </x:c>
      <x:c r="CM18" s="107" t="n">
        <x:f>IF(CM17=0,0,'Вводные'!$B$60*'Вводные'!$S$88*'Вводные'!$H$5*'Вводные'!$AG$88*(1+'Вводные'!$B$64)^MAX(0,MIN((12*(YEAR(CM$3)-YEAR($B$7))+MONTH(CM$3)-MONTH($B$7)),(12*(YEAR($B$8)-YEAR($B$7))+MONTH($B$8)-MONTH($B$7))))*(1+'Вводные'!$B$65)^MAX(0,(12*(YEAR(CM$3)-YEAR($B$8))+MONTH(CM$3)-MONTH($B$8))))</x:f>
      </x:c>
      <x:c r="CN18" s="107" t="n">
        <x:f>IF(CN17=0,0,'Вводные'!$B$60*'Вводные'!$S$88*'Вводные'!$H$5*'Вводные'!$AG$88*(1+'Вводные'!$B$64)^MAX(0,MIN((12*(YEAR(CN$3)-YEAR($B$7))+MONTH(CN$3)-MONTH($B$7)),(12*(YEAR($B$8)-YEAR($B$7))+MONTH($B$8)-MONTH($B$7))))*(1+'Вводные'!$B$65)^MAX(0,(12*(YEAR(CN$3)-YEAR($B$8))+MONTH(CN$3)-MONTH($B$8))))</x:f>
      </x:c>
      <x:c r="CO18" s="107" t="n">
        <x:f>IF(CO17=0,0,'Вводные'!$B$60*'Вводные'!$S$88*'Вводные'!$H$5*'Вводные'!$AG$88*(1+'Вводные'!$B$64)^MAX(0,MIN((12*(YEAR(CO$3)-YEAR($B$7))+MONTH(CO$3)-MONTH($B$7)),(12*(YEAR($B$8)-YEAR($B$7))+MONTH($B$8)-MONTH($B$7))))*(1+'Вводные'!$B$65)^MAX(0,(12*(YEAR(CO$3)-YEAR($B$8))+MONTH(CO$3)-MONTH($B$8))))</x:f>
      </x:c>
      <x:c r="CP18" s="107" t="n">
        <x:f>IF(CP17=0,0,'Вводные'!$B$60*'Вводные'!$S$88*'Вводные'!$H$5*'Вводные'!$AG$88*(1+'Вводные'!$B$64)^MAX(0,MIN((12*(YEAR(CP$3)-YEAR($B$7))+MONTH(CP$3)-MONTH($B$7)),(12*(YEAR($B$8)-YEAR($B$7))+MONTH($B$8)-MONTH($B$7))))*(1+'Вводные'!$B$65)^MAX(0,(12*(YEAR(CP$3)-YEAR($B$8))+MONTH(CP$3)-MONTH($B$8))))</x:f>
      </x:c>
      <x:c r="CQ18" s="107" t="n">
        <x:f>IF(CQ17=0,0,'Вводные'!$B$60*'Вводные'!$S$88*'Вводные'!$H$5*'Вводные'!$AG$88*(1+'Вводные'!$B$64)^MAX(0,MIN((12*(YEAR(CQ$3)-YEAR($B$7))+MONTH(CQ$3)-MONTH($B$7)),(12*(YEAR($B$8)-YEAR($B$7))+MONTH($B$8)-MONTH($B$7))))*(1+'Вводные'!$B$65)^MAX(0,(12*(YEAR(CQ$3)-YEAR($B$8))+MONTH(CQ$3)-MONTH($B$8))))</x:f>
      </x:c>
      <x:c r="CR18" s="107" t="n">
        <x:f>IF(CR17=0,0,'Вводные'!$B$60*'Вводные'!$S$88*'Вводные'!$H$5*'Вводные'!$AG$88*(1+'Вводные'!$B$64)^MAX(0,MIN((12*(YEAR(CR$3)-YEAR($B$7))+MONTH(CR$3)-MONTH($B$7)),(12*(YEAR($B$8)-YEAR($B$7))+MONTH($B$8)-MONTH($B$7))))*(1+'Вводные'!$B$65)^MAX(0,(12*(YEAR(CR$3)-YEAR($B$8))+MONTH(CR$3)-MONTH($B$8))))</x:f>
      </x:c>
      <x:c r="CS18" s="107" t="n">
        <x:f>IF(CS17=0,0,'Вводные'!$B$60*'Вводные'!$S$88*'Вводные'!$H$5*'Вводные'!$AG$88*(1+'Вводные'!$B$64)^MAX(0,MIN((12*(YEAR(CS$3)-YEAR($B$7))+MONTH(CS$3)-MONTH($B$7)),(12*(YEAR($B$8)-YEAR($B$7))+MONTH($B$8)-MONTH($B$7))))*(1+'Вводные'!$B$65)^MAX(0,(12*(YEAR(CS$3)-YEAR($B$8))+MONTH(CS$3)-MONTH($B$8))))</x:f>
      </x:c>
      <x:c r="CT18" s="107" t="n">
        <x:f>IF(CT17=0,0,'Вводные'!$B$60*'Вводные'!$S$88*'Вводные'!$H$5*'Вводные'!$AG$88*(1+'Вводные'!$B$64)^MAX(0,MIN((12*(YEAR(CT$3)-YEAR($B$7))+MONTH(CT$3)-MONTH($B$7)),(12*(YEAR($B$8)-YEAR($B$7))+MONTH($B$8)-MONTH($B$7))))*(1+'Вводные'!$B$65)^MAX(0,(12*(YEAR(CT$3)-YEAR($B$8))+MONTH(CT$3)-MONTH($B$8))))</x:f>
      </x:c>
      <x:c r="CU18" s="107" t="n">
        <x:f>IF(CU17=0,0,'Вводные'!$B$60*'Вводные'!$S$88*'Вводные'!$H$5*'Вводные'!$AG$88*(1+'Вводные'!$B$64)^MAX(0,MIN((12*(YEAR(CU$3)-YEAR($B$7))+MONTH(CU$3)-MONTH($B$7)),(12*(YEAR($B$8)-YEAR($B$7))+MONTH($B$8)-MONTH($B$7))))*(1+'Вводные'!$B$65)^MAX(0,(12*(YEAR(CU$3)-YEAR($B$8))+MONTH(CU$3)-MONTH($B$8))))</x:f>
      </x:c>
      <x:c r="CV18" s="107" t="n">
        <x:f>IF(CV17=0,0,'Вводные'!$B$60*'Вводные'!$S$88*'Вводные'!$H$5*'Вводные'!$AG$88*(1+'Вводные'!$B$64)^MAX(0,MIN((12*(YEAR(CV$3)-YEAR($B$7))+MONTH(CV$3)-MONTH($B$7)),(12*(YEAR($B$8)-YEAR($B$7))+MONTH($B$8)-MONTH($B$7))))*(1+'Вводные'!$B$65)^MAX(0,(12*(YEAR(CV$3)-YEAR($B$8))+MONTH(CV$3)-MONTH($B$8))))</x:f>
      </x:c>
      <x:c r="CW18" s="107" t="n">
        <x:f>IF(CW17=0,0,'Вводные'!$B$60*'Вводные'!$S$88*'Вводные'!$H$5*'Вводные'!$AG$88*(1+'Вводные'!$B$64)^MAX(0,MIN((12*(YEAR(CW$3)-YEAR($B$7))+MONTH(CW$3)-MONTH($B$7)),(12*(YEAR($B$8)-YEAR($B$7))+MONTH($B$8)-MONTH($B$7))))*(1+'Вводные'!$B$65)^MAX(0,(12*(YEAR(CW$3)-YEAR($B$8))+MONTH(CW$3)-MONTH($B$8))))</x:f>
      </x:c>
      <x:c r="CX18" s="107" t="n">
        <x:f>IF(CX17=0,0,'Вводные'!$B$60*'Вводные'!$S$88*'Вводные'!$H$5*'Вводные'!$AG$88*(1+'Вводные'!$B$64)^MAX(0,MIN((12*(YEAR(CX$3)-YEAR($B$7))+MONTH(CX$3)-MONTH($B$7)),(12*(YEAR($B$8)-YEAR($B$7))+MONTH($B$8)-MONTH($B$7))))*(1+'Вводные'!$B$65)^MAX(0,(12*(YEAR(CX$3)-YEAR($B$8))+MONTH(CX$3)-MONTH($B$8))))</x:f>
      </x:c>
      <x:c r="CY18" s="107" t="n">
        <x:f>IF(CY17=0,0,'Вводные'!$B$60*'Вводные'!$S$88*'Вводные'!$H$5*'Вводные'!$AG$88*(1+'Вводные'!$B$64)^MAX(0,MIN((12*(YEAR(CY$3)-YEAR($B$7))+MONTH(CY$3)-MONTH($B$7)),(12*(YEAR($B$8)-YEAR($B$7))+MONTH($B$8)-MONTH($B$7))))*(1+'Вводные'!$B$65)^MAX(0,(12*(YEAR(CY$3)-YEAR($B$8))+MONTH(CY$3)-MONTH($B$8))))</x:f>
      </x:c>
      <x:c r="CZ18" s="107" t="n">
        <x:f>IF(CZ17=0,0,'Вводные'!$B$60*'Вводные'!$S$88*'Вводные'!$H$5*'Вводные'!$AG$88*(1+'Вводные'!$B$64)^MAX(0,MIN((12*(YEAR(CZ$3)-YEAR($B$7))+MONTH(CZ$3)-MONTH($B$7)),(12*(YEAR($B$8)-YEAR($B$7))+MONTH($B$8)-MONTH($B$7))))*(1+'Вводные'!$B$65)^MAX(0,(12*(YEAR(CZ$3)-YEAR($B$8))+MONTH(CZ$3)-MONTH($B$8))))</x:f>
      </x:c>
      <x:c r="DA18" s="107" t="n">
        <x:f>IF(DA17=0,0,'Вводные'!$B$60*'Вводные'!$S$88*'Вводные'!$H$5*'Вводные'!$AG$88*(1+'Вводные'!$B$64)^MAX(0,MIN((12*(YEAR(DA$3)-YEAR($B$7))+MONTH(DA$3)-MONTH($B$7)),(12*(YEAR($B$8)-YEAR($B$7))+MONTH($B$8)-MONTH($B$7))))*(1+'Вводные'!$B$65)^MAX(0,(12*(YEAR(DA$3)-YEAR($B$8))+MONTH(DA$3)-MONTH($B$8))))</x:f>
      </x:c>
      <x:c r="DB18" s="107" t="n">
        <x:f>IF(DB17=0,0,'Вводные'!$B$60*'Вводные'!$S$88*'Вводные'!$H$5*'Вводные'!$AG$88*(1+'Вводные'!$B$64)^MAX(0,MIN((12*(YEAR(DB$3)-YEAR($B$7))+MONTH(DB$3)-MONTH($B$7)),(12*(YEAR($B$8)-YEAR($B$7))+MONTH($B$8)-MONTH($B$7))))*(1+'Вводные'!$B$65)^MAX(0,(12*(YEAR(DB$3)-YEAR($B$8))+MONTH(DB$3)-MONTH($B$8))))</x:f>
      </x:c>
      <x:c r="DC18" s="107" t="n">
        <x:f>IF(DC17=0,0,'Вводные'!$B$60*'Вводные'!$S$88*'Вводные'!$H$5*'Вводные'!$AG$88*(1+'Вводные'!$B$64)^MAX(0,MIN((12*(YEAR(DC$3)-YEAR($B$7))+MONTH(DC$3)-MONTH($B$7)),(12*(YEAR($B$8)-YEAR($B$7))+MONTH($B$8)-MONTH($B$7))))*(1+'Вводные'!$B$65)^MAX(0,(12*(YEAR(DC$3)-YEAR($B$8))+MONTH(DC$3)-MONTH($B$8))))</x:f>
      </x:c>
      <x:c r="DD18" s="107" t="n">
        <x:f>IF(DD17=0,0,'Вводные'!$B$60*'Вводные'!$S$88*'Вводные'!$H$5*'Вводные'!$AG$88*(1+'Вводные'!$B$64)^MAX(0,MIN((12*(YEAR(DD$3)-YEAR($B$7))+MONTH(DD$3)-MONTH($B$7)),(12*(YEAR($B$8)-YEAR($B$7))+MONTH($B$8)-MONTH($B$7))))*(1+'Вводные'!$B$65)^MAX(0,(12*(YEAR(DD$3)-YEAR($B$8))+MONTH(DD$3)-MONTH($B$8))))</x:f>
      </x:c>
      <x:c r="DE18" s="107" t="n">
        <x:f>IF(DE17=0,0,'Вводные'!$B$60*'Вводные'!$S$88*'Вводные'!$H$5*'Вводные'!$AG$88*(1+'Вводные'!$B$64)^MAX(0,MIN((12*(YEAR(DE$3)-YEAR($B$7))+MONTH(DE$3)-MONTH($B$7)),(12*(YEAR($B$8)-YEAR($B$7))+MONTH($B$8)-MONTH($B$7))))*(1+'Вводные'!$B$65)^MAX(0,(12*(YEAR(DE$3)-YEAR($B$8))+MONTH(DE$3)-MONTH($B$8))))</x:f>
      </x:c>
      <x:c r="DF18" s="107" t="n">
        <x:f>IF(DF17=0,0,'Вводные'!$B$60*'Вводные'!$S$88*'Вводные'!$H$5*'Вводные'!$AG$88*(1+'Вводные'!$B$64)^MAX(0,MIN((12*(YEAR(DF$3)-YEAR($B$7))+MONTH(DF$3)-MONTH($B$7)),(12*(YEAR($B$8)-YEAR($B$7))+MONTH($B$8)-MONTH($B$7))))*(1+'Вводные'!$B$65)^MAX(0,(12*(YEAR(DF$3)-YEAR($B$8))+MONTH(DF$3)-MONTH($B$8))))</x:f>
      </x:c>
      <x:c r="DG18" s="107" t="n">
        <x:f>IF(DG17=0,0,'Вводные'!$B$60*'Вводные'!$S$88*'Вводные'!$H$5*'Вводные'!$AG$88*(1+'Вводные'!$B$64)^MAX(0,MIN((12*(YEAR(DG$3)-YEAR($B$7))+MONTH(DG$3)-MONTH($B$7)),(12*(YEAR($B$8)-YEAR($B$7))+MONTH($B$8)-MONTH($B$7))))*(1+'Вводные'!$B$65)^MAX(0,(12*(YEAR(DG$3)-YEAR($B$8))+MONTH(DG$3)-MONTH($B$8))))</x:f>
      </x:c>
      <x:c r="DH18" s="107" t="n">
        <x:f>IF(DH17=0,0,'Вводные'!$B$60*'Вводные'!$S$88*'Вводные'!$H$5*'Вводные'!$AG$88*(1+'Вводные'!$B$64)^MAX(0,MIN((12*(YEAR(DH$3)-YEAR($B$7))+MONTH(DH$3)-MONTH($B$7)),(12*(YEAR($B$8)-YEAR($B$7))+MONTH($B$8)-MONTH($B$7))))*(1+'Вводные'!$B$65)^MAX(0,(12*(YEAR(DH$3)-YEAR($B$8))+MONTH(DH$3)-MONTH($B$8))))</x:f>
      </x:c>
      <x:c r="DI18" s="107" t="n">
        <x:f>IF(DI17=0,0,'Вводные'!$B$60*'Вводные'!$S$88*'Вводные'!$H$5*'Вводные'!$AG$88*(1+'Вводные'!$B$64)^MAX(0,MIN((12*(YEAR(DI$3)-YEAR($B$7))+MONTH(DI$3)-MONTH($B$7)),(12*(YEAR($B$8)-YEAR($B$7))+MONTH($B$8)-MONTH($B$7))))*(1+'Вводные'!$B$65)^MAX(0,(12*(YEAR(DI$3)-YEAR($B$8))+MONTH(DI$3)-MONTH($B$8))))</x:f>
      </x:c>
      <x:c r="DJ18" s="107" t="n">
        <x:f>IF(DJ17=0,0,'Вводные'!$B$60*'Вводные'!$S$88*'Вводные'!$H$5*'Вводные'!$AG$88*(1+'Вводные'!$B$64)^MAX(0,MIN((12*(YEAR(DJ$3)-YEAR($B$7))+MONTH(DJ$3)-MONTH($B$7)),(12*(YEAR($B$8)-YEAR($B$7))+MONTH($B$8)-MONTH($B$7))))*(1+'Вводные'!$B$65)^MAX(0,(12*(YEAR(DJ$3)-YEAR($B$8))+MONTH(DJ$3)-MONTH($B$8))))</x:f>
      </x:c>
      <x:c r="DK18" s="107" t="n">
        <x:f>IF(DK17=0,0,'Вводные'!$B$60*'Вводные'!$S$88*'Вводные'!$H$5*'Вводные'!$AG$88*(1+'Вводные'!$B$64)^MAX(0,MIN((12*(YEAR(DK$3)-YEAR($B$7))+MONTH(DK$3)-MONTH($B$7)),(12*(YEAR($B$8)-YEAR($B$7))+MONTH($B$8)-MONTH($B$7))))*(1+'Вводные'!$B$65)^MAX(0,(12*(YEAR(DK$3)-YEAR($B$8))+MONTH(DK$3)-MONTH($B$8))))</x:f>
      </x:c>
      <x:c r="DL18" s="107" t="n">
        <x:f>IF(DL17=0,0,'Вводные'!$B$60*'Вводные'!$S$88*'Вводные'!$H$5*'Вводные'!$AG$88*(1+'Вводные'!$B$64)^MAX(0,MIN((12*(YEAR(DL$3)-YEAR($B$7))+MONTH(DL$3)-MONTH($B$7)),(12*(YEAR($B$8)-YEAR($B$7))+MONTH($B$8)-MONTH($B$7))))*(1+'Вводные'!$B$65)^MAX(0,(12*(YEAR(DL$3)-YEAR($B$8))+MONTH(DL$3)-MONTH($B$8))))</x:f>
      </x:c>
      <x:c r="DM18" s="107" t="n">
        <x:f>IF(DM17=0,0,'Вводные'!$B$60*'Вводные'!$S$88*'Вводные'!$H$5*'Вводные'!$AG$88*(1+'Вводные'!$B$64)^MAX(0,MIN((12*(YEAR(DM$3)-YEAR($B$7))+MONTH(DM$3)-MONTH($B$7)),(12*(YEAR($B$8)-YEAR($B$7))+MONTH($B$8)-MONTH($B$7))))*(1+'Вводные'!$B$65)^MAX(0,(12*(YEAR(DM$3)-YEAR($B$8))+MONTH(DM$3)-MONTH($B$8))))</x:f>
      </x:c>
      <x:c r="DN18" s="107" t="n">
        <x:f>IF(DN17=0,0,'Вводные'!$B$60*'Вводные'!$S$88*'Вводные'!$H$5*'Вводные'!$AG$88*(1+'Вводные'!$B$64)^MAX(0,MIN((12*(YEAR(DN$3)-YEAR($B$7))+MONTH(DN$3)-MONTH($B$7)),(12*(YEAR($B$8)-YEAR($B$7))+MONTH($B$8)-MONTH($B$7))))*(1+'Вводные'!$B$65)^MAX(0,(12*(YEAR(DN$3)-YEAR($B$8))+MONTH(DN$3)-MONTH($B$8))))</x:f>
      </x:c>
      <x:c r="DO18" s="107" t="n">
        <x:f>IF(DO17=0,0,'Вводные'!$B$60*'Вводные'!$S$88*'Вводные'!$H$5*'Вводные'!$AG$88*(1+'Вводные'!$B$64)^MAX(0,MIN((12*(YEAR(DO$3)-YEAR($B$7))+MONTH(DO$3)-MONTH($B$7)),(12*(YEAR($B$8)-YEAR($B$7))+MONTH($B$8)-MONTH($B$7))))*(1+'Вводные'!$B$65)^MAX(0,(12*(YEAR(DO$3)-YEAR($B$8))+MONTH(DO$3)-MONTH($B$8))))</x:f>
      </x:c>
      <x:c r="DP18" s="107" t="n">
        <x:f>IF(DP17=0,0,'Вводные'!$B$60*'Вводные'!$S$88*'Вводные'!$H$5*'Вводные'!$AG$88*(1+'Вводные'!$B$64)^MAX(0,MIN((12*(YEAR(DP$3)-YEAR($B$7))+MONTH(DP$3)-MONTH($B$7)),(12*(YEAR($B$8)-YEAR($B$7))+MONTH($B$8)-MONTH($B$7))))*(1+'Вводные'!$B$65)^MAX(0,(12*(YEAR(DP$3)-YEAR($B$8))+MONTH(DP$3)-MONTH($B$8))))</x:f>
      </x:c>
      <x:c r="DQ18" s="107" t="n">
        <x:f>IF(DQ17=0,0,'Вводные'!$B$60*'Вводные'!$S$88*'Вводные'!$H$5*'Вводные'!$AG$88*(1+'Вводные'!$B$64)^MAX(0,MIN((12*(YEAR(DQ$3)-YEAR($B$7))+MONTH(DQ$3)-MONTH($B$7)),(12*(YEAR($B$8)-YEAR($B$7))+MONTH($B$8)-MONTH($B$7))))*(1+'Вводные'!$B$65)^MAX(0,(12*(YEAR(DQ$3)-YEAR($B$8))+MONTH(DQ$3)-MONTH($B$8))))</x:f>
      </x:c>
      <x:c r="DR18" s="107" t="n">
        <x:f>IF(DR17=0,0,'Вводные'!$B$60*'Вводные'!$S$88*'Вводные'!$H$5*'Вводные'!$AG$88*(1+'Вводные'!$B$64)^MAX(0,MIN((12*(YEAR(DR$3)-YEAR($B$7))+MONTH(DR$3)-MONTH($B$7)),(12*(YEAR($B$8)-YEAR($B$7))+MONTH($B$8)-MONTH($B$7))))*(1+'Вводные'!$B$65)^MAX(0,(12*(YEAR(DR$3)-YEAR($B$8))+MONTH(DR$3)-MONTH($B$8))))</x:f>
      </x:c>
      <x:c r="DS18" s="107" t="n">
        <x:f>IF(DS17=0,0,'Вводные'!$B$60*'Вводные'!$S$88*'Вводные'!$H$5*'Вводные'!$AG$88*(1+'Вводные'!$B$64)^MAX(0,MIN((12*(YEAR(DS$3)-YEAR($B$7))+MONTH(DS$3)-MONTH($B$7)),(12*(YEAR($B$8)-YEAR($B$7))+MONTH($B$8)-MONTH($B$7))))*(1+'Вводные'!$B$65)^MAX(0,(12*(YEAR(DS$3)-YEAR($B$8))+MONTH(DS$3)-MONTH($B$8))))</x:f>
      </x:c>
      <x:c r="DT18" s="107" t="n">
        <x:f>IF(DT17=0,0,'Вводные'!$B$60*'Вводные'!$S$88*'Вводные'!$H$5*'Вводные'!$AG$88*(1+'Вводные'!$B$64)^MAX(0,MIN((12*(YEAR(DT$3)-YEAR($B$7))+MONTH(DT$3)-MONTH($B$7)),(12*(YEAR($B$8)-YEAR($B$7))+MONTH($B$8)-MONTH($B$7))))*(1+'Вводные'!$B$65)^MAX(0,(12*(YEAR(DT$3)-YEAR($B$8))+MONTH(DT$3)-MONTH($B$8))))</x:f>
      </x:c>
      <x:c r="DU18" s="107" t="n">
        <x:f>IF(DU17=0,0,'Вводные'!$B$60*'Вводные'!$S$88*'Вводные'!$H$5*'Вводные'!$AG$88*(1+'Вводные'!$B$64)^MAX(0,MIN((12*(YEAR(DU$3)-YEAR($B$7))+MONTH(DU$3)-MONTH($B$7)),(12*(YEAR($B$8)-YEAR($B$7))+MONTH($B$8)-MONTH($B$7))))*(1+'Вводные'!$B$65)^MAX(0,(12*(YEAR(DU$3)-YEAR($B$8))+MONTH(DU$3)-MONTH($B$8))))</x:f>
      </x:c>
      <x:c r="DV18" s="107" t="n">
        <x:f>IF(DV17=0,0,'Вводные'!$B$60*'Вводные'!$S$88*'Вводные'!$H$5*'Вводные'!$AG$88*(1+'Вводные'!$B$64)^MAX(0,MIN((12*(YEAR(DV$3)-YEAR($B$7))+MONTH(DV$3)-MONTH($B$7)),(12*(YEAR($B$8)-YEAR($B$7))+MONTH($B$8)-MONTH($B$7))))*(1+'Вводные'!$B$65)^MAX(0,(12*(YEAR(DV$3)-YEAR($B$8))+MONTH(DV$3)-MONTH($B$8))))</x:f>
      </x:c>
      <x:c r="DW18" s="107" t="n">
        <x:f>IF(DW17=0,0,'Вводные'!$B$60*'Вводные'!$S$88*'Вводные'!$H$5*'Вводные'!$AG$88*(1+'Вводные'!$B$64)^MAX(0,MIN((12*(YEAR(DW$3)-YEAR($B$7))+MONTH(DW$3)-MONTH($B$7)),(12*(YEAR($B$8)-YEAR($B$7))+MONTH($B$8)-MONTH($B$7))))*(1+'Вводные'!$B$65)^MAX(0,(12*(YEAR(DW$3)-YEAR($B$8))+MONTH(DW$3)-MONTH($B$8))))</x:f>
      </x:c>
      <x:c r="DX18" s="107" t="n">
        <x:f>IF(DX17=0,0,'Вводные'!$B$60*'Вводные'!$S$88*'Вводные'!$H$5*'Вводные'!$AG$88*(1+'Вводные'!$B$64)^MAX(0,MIN((12*(YEAR(DX$3)-YEAR($B$7))+MONTH(DX$3)-MONTH($B$7)),(12*(YEAR($B$8)-YEAR($B$7))+MONTH($B$8)-MONTH($B$7))))*(1+'Вводные'!$B$65)^MAX(0,(12*(YEAR(DX$3)-YEAR($B$8))+MONTH(DX$3)-MONTH($B$8))))</x:f>
      </x:c>
      <x:c r="DY18" s="107" t="n">
        <x:f>IF(DY17=0,0,'Вводные'!$B$60*'Вводные'!$S$88*'Вводные'!$H$5*'Вводные'!$AG$88*(1+'Вводные'!$B$64)^MAX(0,MIN((12*(YEAR(DY$3)-YEAR($B$7))+MONTH(DY$3)-MONTH($B$7)),(12*(YEAR($B$8)-YEAR($B$7))+MONTH($B$8)-MONTH($B$7))))*(1+'Вводные'!$B$65)^MAX(0,(12*(YEAR(DY$3)-YEAR($B$8))+MONTH(DY$3)-MONTH($B$8))))</x:f>
      </x:c>
      <x:c r="DZ18" s="107" t="n">
        <x:f>IF(DZ17=0,0,'Вводные'!$B$60*'Вводные'!$S$88*'Вводные'!$H$5*'Вводные'!$AG$88*(1+'Вводные'!$B$64)^MAX(0,MIN((12*(YEAR(DZ$3)-YEAR($B$7))+MONTH(DZ$3)-MONTH($B$7)),(12*(YEAR($B$8)-YEAR($B$7))+MONTH($B$8)-MONTH($B$7))))*(1+'Вводные'!$B$65)^MAX(0,(12*(YEAR(DZ$3)-YEAR($B$8))+MONTH(DZ$3)-MONTH($B$8))))</x:f>
      </x:c>
      <x:c r="EA18" s="107" t="n">
        <x:f>IF(EA17=0,0,'Вводные'!$B$60*'Вводные'!$S$88*'Вводные'!$H$5*'Вводные'!$AG$88*(1+'Вводные'!$B$64)^MAX(0,MIN((12*(YEAR(EA$3)-YEAR($B$7))+MONTH(EA$3)-MONTH($B$7)),(12*(YEAR($B$8)-YEAR($B$7))+MONTH($B$8)-MONTH($B$7))))*(1+'Вводные'!$B$65)^MAX(0,(12*(YEAR(EA$3)-YEAR($B$8))+MONTH(EA$3)-MONTH($B$8))))</x:f>
      </x:c>
      <x:c r="EB18" s="107" t="n">
        <x:f>IF(EB17=0,0,'Вводные'!$B$60*'Вводные'!$S$88*'Вводные'!$H$5*'Вводные'!$AG$88*(1+'Вводные'!$B$64)^MAX(0,MIN((12*(YEAR(EB$3)-YEAR($B$7))+MONTH(EB$3)-MONTH($B$7)),(12*(YEAR($B$8)-YEAR($B$7))+MONTH($B$8)-MONTH($B$7))))*(1+'Вводные'!$B$65)^MAX(0,(12*(YEAR(EB$3)-YEAR($B$8))+MONTH(EB$3)-MONTH($B$8))))</x:f>
      </x:c>
      <x:c r="EC18" s="107" t="n">
        <x:f>IF(EC17=0,0,'Вводные'!$B$60*'Вводные'!$S$88*'Вводные'!$H$5*'Вводные'!$AG$88*(1+'Вводные'!$B$64)^MAX(0,MIN((12*(YEAR(EC$3)-YEAR($B$7))+MONTH(EC$3)-MONTH($B$7)),(12*(YEAR($B$8)-YEAR($B$7))+MONTH($B$8)-MONTH($B$7))))*(1+'Вводные'!$B$65)^MAX(0,(12*(YEAR(EC$3)-YEAR($B$8))+MONTH(EC$3)-MONTH($B$8))))</x:f>
      </x:c>
      <x:c r="ED18" s="107" t="n">
        <x:f>IF(ED17=0,0,'Вводные'!$B$60*'Вводные'!$S$88*'Вводные'!$H$5*'Вводные'!$AG$88*(1+'Вводные'!$B$64)^MAX(0,MIN((12*(YEAR(ED$3)-YEAR($B$7))+MONTH(ED$3)-MONTH($B$7)),(12*(YEAR($B$8)-YEAR($B$7))+MONTH($B$8)-MONTH($B$7))))*(1+'Вводные'!$B$65)^MAX(0,(12*(YEAR(ED$3)-YEAR($B$8))+MONTH(ED$3)-MONTH($B$8))))</x:f>
      </x:c>
      <x:c r="EE18" s="107" t="n">
        <x:f>IF(EE17=0,0,'Вводные'!$B$60*'Вводные'!$S$88*'Вводные'!$H$5*'Вводные'!$AG$88*(1+'Вводные'!$B$64)^MAX(0,MIN((12*(YEAR(EE$3)-YEAR($B$7))+MONTH(EE$3)-MONTH($B$7)),(12*(YEAR($B$8)-YEAR($B$7))+MONTH($B$8)-MONTH($B$7))))*(1+'Вводные'!$B$65)^MAX(0,(12*(YEAR(EE$3)-YEAR($B$8))+MONTH(EE$3)-MONTH($B$8))))</x:f>
      </x:c>
      <x:c r="EF18" s="107" t="n">
        <x:f>IF(EF17=0,0,'Вводные'!$B$60*'Вводные'!$S$88*'Вводные'!$H$5*'Вводные'!$AG$88*(1+'Вводные'!$B$64)^MAX(0,MIN((12*(YEAR(EF$3)-YEAR($B$7))+MONTH(EF$3)-MONTH($B$7)),(12*(YEAR($B$8)-YEAR($B$7))+MONTH($B$8)-MONTH($B$7))))*(1+'Вводные'!$B$65)^MAX(0,(12*(YEAR(EF$3)-YEAR($B$8))+MONTH(EF$3)-MONTH($B$8))))</x:f>
      </x:c>
      <x:c r="EG18" s="107" t="n">
        <x:f>IF(EG17=0,0,'Вводные'!$B$60*'Вводные'!$S$88*'Вводные'!$H$5*'Вводные'!$AG$88*(1+'Вводные'!$B$64)^MAX(0,MIN((12*(YEAR(EG$3)-YEAR($B$7))+MONTH(EG$3)-MONTH($B$7)),(12*(YEAR($B$8)-YEAR($B$7))+MONTH($B$8)-MONTH($B$7))))*(1+'Вводные'!$B$65)^MAX(0,(12*(YEAR(EG$3)-YEAR($B$8))+MONTH(EG$3)-MONTH($B$8))))</x:f>
      </x:c>
      <x:c r="EH18" s="107" t="n">
        <x:f>IF(EH17=0,0,'Вводные'!$B$60*'Вводные'!$S$88*'Вводные'!$H$5*'Вводные'!$AG$88*(1+'Вводные'!$B$64)^MAX(0,MIN((12*(YEAR(EH$3)-YEAR($B$7))+MONTH(EH$3)-MONTH($B$7)),(12*(YEAR($B$8)-YEAR($B$7))+MONTH($B$8)-MONTH($B$7))))*(1+'Вводные'!$B$65)^MAX(0,(12*(YEAR(EH$3)-YEAR($B$8))+MONTH(EH$3)-MONTH($B$8))))</x:f>
      </x:c>
      <x:c r="EI18" s="107" t="n">
        <x:f>IF(EI17=0,0,'Вводные'!$B$60*'Вводные'!$S$88*'Вводные'!$H$5*'Вводные'!$AG$88*(1+'Вводные'!$B$64)^MAX(0,MIN((12*(YEAR(EI$3)-YEAR($B$7))+MONTH(EI$3)-MONTH($B$7)),(12*(YEAR($B$8)-YEAR($B$7))+MONTH($B$8)-MONTH($B$7))))*(1+'Вводные'!$B$65)^MAX(0,(12*(YEAR(EI$3)-YEAR($B$8))+MONTH(EI$3)-MONTH($B$8))))</x:f>
      </x:c>
      <x:c r="EJ18" s="107" t="n">
        <x:f>IF(EJ17=0,0,'Вводные'!$B$60*'Вводные'!$S$88*'Вводные'!$H$5*'Вводные'!$AG$88*(1+'Вводные'!$B$64)^MAX(0,MIN((12*(YEAR(EJ$3)-YEAR($B$7))+MONTH(EJ$3)-MONTH($B$7)),(12*(YEAR($B$8)-YEAR($B$7))+MONTH($B$8)-MONTH($B$7))))*(1+'Вводные'!$B$65)^MAX(0,(12*(YEAR(EJ$3)-YEAR($B$8))+MONTH(EJ$3)-MONTH($B$8))))</x:f>
      </x:c>
      <x:c r="EK18" s="107" t="n">
        <x:f>IF(EK17=0,0,'Вводные'!$B$60*'Вводные'!$S$88*'Вводные'!$H$5*'Вводные'!$AG$88*(1+'Вводные'!$B$64)^MAX(0,MIN((12*(YEAR(EK$3)-YEAR($B$7))+MONTH(EK$3)-MONTH($B$7)),(12*(YEAR($B$8)-YEAR($B$7))+MONTH($B$8)-MONTH($B$7))))*(1+'Вводные'!$B$65)^MAX(0,(12*(YEAR(EK$3)-YEAR($B$8))+MONTH(EK$3)-MONTH($B$8))))</x:f>
      </x:c>
      <x:c r="EL18" s="107" t="n">
        <x:f>IF(EL17=0,0,'Вводные'!$B$60*'Вводные'!$S$88*'Вводные'!$H$5*'Вводные'!$AG$88*(1+'Вводные'!$B$64)^MAX(0,MIN((12*(YEAR(EL$3)-YEAR($B$7))+MONTH(EL$3)-MONTH($B$7)),(12*(YEAR($B$8)-YEAR($B$7))+MONTH($B$8)-MONTH($B$7))))*(1+'Вводные'!$B$65)^MAX(0,(12*(YEAR(EL$3)-YEAR($B$8))+MONTH(EL$3)-MONTH($B$8))))</x:f>
      </x:c>
      <x:c r="EM18" s="107" t="n">
        <x:f>IF(EM17=0,0,'Вводные'!$B$60*'Вводные'!$S$88*'Вводные'!$H$5*'Вводные'!$AG$88*(1+'Вводные'!$B$64)^MAX(0,MIN((12*(YEAR(EM$3)-YEAR($B$7))+MONTH(EM$3)-MONTH($B$7)),(12*(YEAR($B$8)-YEAR($B$7))+MONTH($B$8)-MONTH($B$7))))*(1+'Вводные'!$B$65)^MAX(0,(12*(YEAR(EM$3)-YEAR($B$8))+MONTH(EM$3)-MONTH($B$8))))</x:f>
      </x:c>
      <x:c r="EN18" s="107" t="n">
        <x:f>IF(EN17=0,0,'Вводные'!$B$60*'Вводные'!$S$88*'Вводные'!$H$5*'Вводные'!$AG$88*(1+'Вводные'!$B$64)^MAX(0,MIN((12*(YEAR(EN$3)-YEAR($B$7))+MONTH(EN$3)-MONTH($B$7)),(12*(YEAR($B$8)-YEAR($B$7))+MONTH($B$8)-MONTH($B$7))))*(1+'Вводные'!$B$65)^MAX(0,(12*(YEAR(EN$3)-YEAR($B$8))+MONTH(EN$3)-MONTH($B$8))))</x:f>
      </x:c>
      <x:c r="EO18" s="107" t="n">
        <x:f>IF(EO17=0,0,'Вводные'!$B$60*'Вводные'!$S$88*'Вводные'!$H$5*'Вводные'!$AG$88*(1+'Вводные'!$B$64)^MAX(0,MIN((12*(YEAR(EO$3)-YEAR($B$7))+MONTH(EO$3)-MONTH($B$7)),(12*(YEAR($B$8)-YEAR($B$7))+MONTH($B$8)-MONTH($B$7))))*(1+'Вводные'!$B$65)^MAX(0,(12*(YEAR(EO$3)-YEAR($B$8))+MONTH(EO$3)-MONTH($B$8))))</x:f>
      </x:c>
      <x:c r="EP18" s="107" t="n">
        <x:f>IF(EP17=0,0,'Вводные'!$B$60*'Вводные'!$S$88*'Вводные'!$H$5*'Вводные'!$AG$88*(1+'Вводные'!$B$64)^MAX(0,MIN((12*(YEAR(EP$3)-YEAR($B$7))+MONTH(EP$3)-MONTH($B$7)),(12*(YEAR($B$8)-YEAR($B$7))+MONTH($B$8)-MONTH($B$7))))*(1+'Вводные'!$B$65)^MAX(0,(12*(YEAR(EP$3)-YEAR($B$8))+MONTH(EP$3)-MONTH($B$8))))</x:f>
      </x:c>
      <x:c r="EQ18" s="107" t="n">
        <x:f>IF(EQ17=0,0,'Вводные'!$B$60*'Вводные'!$S$88*'Вводные'!$H$5*'Вводные'!$AG$88*(1+'Вводные'!$B$64)^MAX(0,MIN((12*(YEAR(EQ$3)-YEAR($B$7))+MONTH(EQ$3)-MONTH($B$7)),(12*(YEAR($B$8)-YEAR($B$7))+MONTH($B$8)-MONTH($B$7))))*(1+'Вводные'!$B$65)^MAX(0,(12*(YEAR(EQ$3)-YEAR($B$8))+MONTH(EQ$3)-MONTH($B$8))))</x:f>
      </x:c>
      <x:c r="ER18" s="107" t="n">
        <x:f>IF(ER17=0,0,'Вводные'!$B$60*'Вводные'!$S$88*'Вводные'!$H$5*'Вводные'!$AG$88*(1+'Вводные'!$B$64)^MAX(0,MIN((12*(YEAR(ER$3)-YEAR($B$7))+MONTH(ER$3)-MONTH($B$7)),(12*(YEAR($B$8)-YEAR($B$7))+MONTH($B$8)-MONTH($B$7))))*(1+'Вводные'!$B$65)^MAX(0,(12*(YEAR(ER$3)-YEAR($B$8))+MONTH(ER$3)-MONTH($B$8))))</x:f>
      </x:c>
      <x:c r="ES18" s="107" t="n">
        <x:f>IF(ES17=0,0,'Вводные'!$B$60*'Вводные'!$S$88*'Вводные'!$H$5*'Вводные'!$AG$88*(1+'Вводные'!$B$64)^MAX(0,MIN((12*(YEAR(ES$3)-YEAR($B$7))+MONTH(ES$3)-MONTH($B$7)),(12*(YEAR($B$8)-YEAR($B$7))+MONTH($B$8)-MONTH($B$7))))*(1+'Вводные'!$B$65)^MAX(0,(12*(YEAR(ES$3)-YEAR($B$8))+MONTH(ES$3)-MONTH($B$8))))</x:f>
      </x:c>
      <x:c r="ET18" s="107" t="n">
        <x:f>IF(ET17=0,0,'Вводные'!$B$60*'Вводные'!$S$88*'Вводные'!$H$5*'Вводные'!$AG$88*(1+'Вводные'!$B$64)^MAX(0,MIN((12*(YEAR(ET$3)-YEAR($B$7))+MONTH(ET$3)-MONTH($B$7)),(12*(YEAR($B$8)-YEAR($B$7))+MONTH($B$8)-MONTH($B$7))))*(1+'Вводные'!$B$65)^MAX(0,(12*(YEAR(ET$3)-YEAR($B$8))+MONTH(ET$3)-MONTH($B$8))))</x:f>
      </x:c>
      <x:c r="EU18" s="107" t="n">
        <x:f>IF(EU17=0,0,'Вводные'!$B$60*'Вводные'!$S$88*'Вводные'!$H$5*'Вводные'!$AG$88*(1+'Вводные'!$B$64)^MAX(0,MIN((12*(YEAR(EU$3)-YEAR($B$7))+MONTH(EU$3)-MONTH($B$7)),(12*(YEAR($B$8)-YEAR($B$7))+MONTH($B$8)-MONTH($B$7))))*(1+'Вводные'!$B$65)^MAX(0,(12*(YEAR(EU$3)-YEAR($B$8))+MONTH(EU$3)-MONTH($B$8))))</x:f>
      </x:c>
      <x:c r="EV18" s="107" t="n">
        <x:f>IF(EV17=0,0,'Вводные'!$B$60*'Вводные'!$S$88*'Вводные'!$H$5*'Вводные'!$AG$88*(1+'Вводные'!$B$64)^MAX(0,MIN((12*(YEAR(EV$3)-YEAR($B$7))+MONTH(EV$3)-MONTH($B$7)),(12*(YEAR($B$8)-YEAR($B$7))+MONTH($B$8)-MONTH($B$7))))*(1+'Вводные'!$B$65)^MAX(0,(12*(YEAR(EV$3)-YEAR($B$8))+MONTH(EV$3)-MONTH($B$8))))</x:f>
      </x:c>
      <x:c r="EW18" s="107" t="n">
        <x:f>IF(EW17=0,0,'Вводные'!$B$60*'Вводные'!$S$88*'Вводные'!$H$5*'Вводные'!$AG$88*(1+'Вводные'!$B$64)^MAX(0,MIN((12*(YEAR(EW$3)-YEAR($B$7))+MONTH(EW$3)-MONTH($B$7)),(12*(YEAR($B$8)-YEAR($B$7))+MONTH($B$8)-MONTH($B$7))))*(1+'Вводные'!$B$65)^MAX(0,(12*(YEAR(EW$3)-YEAR($B$8))+MONTH(EW$3)-MONTH($B$8))))</x:f>
      </x:c>
      <x:c r="EX18" s="107" t="n">
        <x:f>IF(EX17=0,0,'Вводные'!$B$60*'Вводные'!$S$88*'Вводные'!$H$5*'Вводные'!$AG$88*(1+'Вводные'!$B$64)^MAX(0,MIN((12*(YEAR(EX$3)-YEAR($B$7))+MONTH(EX$3)-MONTH($B$7)),(12*(YEAR($B$8)-YEAR($B$7))+MONTH($B$8)-MONTH($B$7))))*(1+'Вводные'!$B$65)^MAX(0,(12*(YEAR(EX$3)-YEAR($B$8))+MONTH(EX$3)-MONTH($B$8))))</x:f>
      </x:c>
      <x:c r="EY18" s="107" t="n">
        <x:f>IF(EY17=0,0,'Вводные'!$B$60*'Вводные'!$S$88*'Вводные'!$H$5*'Вводные'!$AG$88*(1+'Вводные'!$B$64)^MAX(0,MIN((12*(YEAR(EY$3)-YEAR($B$7))+MONTH(EY$3)-MONTH($B$7)),(12*(YEAR($B$8)-YEAR($B$7))+MONTH($B$8)-MONTH($B$7))))*(1+'Вводные'!$B$65)^MAX(0,(12*(YEAR(EY$3)-YEAR($B$8))+MONTH(EY$3)-MONTH($B$8))))</x:f>
      </x:c>
      <x:c r="EZ18" s="107" t="n">
        <x:f>IF(EZ17=0,0,'Вводные'!$B$60*'Вводные'!$S$88*'Вводные'!$H$5*'Вводные'!$AG$88*(1+'Вводные'!$B$64)^MAX(0,MIN((12*(YEAR(EZ$3)-YEAR($B$7))+MONTH(EZ$3)-MONTH($B$7)),(12*(YEAR($B$8)-YEAR($B$7))+MONTH($B$8)-MONTH($B$7))))*(1+'Вводные'!$B$65)^MAX(0,(12*(YEAR(EZ$3)-YEAR($B$8))+MONTH(EZ$3)-MONTH($B$8))))</x:f>
      </x:c>
      <x:c r="FA18" s="107" t="n">
        <x:f>IF(FA17=0,0,'Вводные'!$B$60*'Вводные'!$S$88*'Вводные'!$H$5*'Вводные'!$AG$88*(1+'Вводные'!$B$64)^MAX(0,MIN((12*(YEAR(FA$3)-YEAR($B$7))+MONTH(FA$3)-MONTH($B$7)),(12*(YEAR($B$8)-YEAR($B$7))+MONTH($B$8)-MONTH($B$7))))*(1+'Вводные'!$B$65)^MAX(0,(12*(YEAR(FA$3)-YEAR($B$8))+MONTH(FA$3)-MONTH($B$8))))</x:f>
      </x:c>
      <x:c r="FB18" s="107" t="n">
        <x:f>IF(FB17=0,0,'Вводные'!$B$60*'Вводные'!$S$88*'Вводные'!$H$5*'Вводные'!$AG$88*(1+'Вводные'!$B$64)^MAX(0,MIN((12*(YEAR(FB$3)-YEAR($B$7))+MONTH(FB$3)-MONTH($B$7)),(12*(YEAR($B$8)-YEAR($B$7))+MONTH($B$8)-MONTH($B$7))))*(1+'Вводные'!$B$65)^MAX(0,(12*(YEAR(FB$3)-YEAR($B$8))+MONTH(FB$3)-MONTH($B$8))))</x:f>
      </x:c>
      <x:c r="FC18" s="107" t="n">
        <x:f>IF(FC17=0,0,'Вводные'!$B$60*'Вводные'!$S$88*'Вводные'!$H$5*'Вводные'!$AG$88*(1+'Вводные'!$B$64)^MAX(0,MIN((12*(YEAR(FC$3)-YEAR($B$7))+MONTH(FC$3)-MONTH($B$7)),(12*(YEAR($B$8)-YEAR($B$7))+MONTH($B$8)-MONTH($B$7))))*(1+'Вводные'!$B$65)^MAX(0,(12*(YEAR(FC$3)-YEAR($B$8))+MONTH(FC$3)-MONTH($B$8))))</x:f>
      </x:c>
      <x:c r="FD18" s="107" t="n">
        <x:f>IF(FD17=0,0,'Вводные'!$B$60*'Вводные'!$S$88*'Вводные'!$H$5*'Вводные'!$AG$88*(1+'Вводные'!$B$64)^MAX(0,MIN((12*(YEAR(FD$3)-YEAR($B$7))+MONTH(FD$3)-MONTH($B$7)),(12*(YEAR($B$8)-YEAR($B$7))+MONTH($B$8)-MONTH($B$7))))*(1+'Вводные'!$B$65)^MAX(0,(12*(YEAR(FD$3)-YEAR($B$8))+MONTH(FD$3)-MONTH($B$8))))</x:f>
      </x:c>
      <x:c r="FE18" s="107" t="n">
        <x:f>IF(FE17=0,0,'Вводные'!$B$60*'Вводные'!$S$88*'Вводные'!$H$5*'Вводные'!$AG$88*(1+'Вводные'!$B$64)^MAX(0,MIN((12*(YEAR(FE$3)-YEAR($B$7))+MONTH(FE$3)-MONTH($B$7)),(12*(YEAR($B$8)-YEAR($B$7))+MONTH($B$8)-MONTH($B$7))))*(1+'Вводные'!$B$65)^MAX(0,(12*(YEAR(FE$3)-YEAR($B$8))+MONTH(FE$3)-MONTH($B$8))))</x:f>
      </x:c>
      <x:c r="FF18" s="107" t="n">
        <x:f>IF(FF17=0,0,'Вводные'!$B$60*'Вводные'!$S$88*'Вводные'!$H$5*'Вводные'!$AG$88*(1+'Вводные'!$B$64)^MAX(0,MIN((12*(YEAR(FF$3)-YEAR($B$7))+MONTH(FF$3)-MONTH($B$7)),(12*(YEAR($B$8)-YEAR($B$7))+MONTH($B$8)-MONTH($B$7))))*(1+'Вводные'!$B$65)^MAX(0,(12*(YEAR(FF$3)-YEAR($B$8))+MONTH(FF$3)-MONTH($B$8))))</x:f>
      </x:c>
      <x:c r="FG18" s="107" t="n">
        <x:f>IF(FG17=0,0,'Вводные'!$B$60*'Вводные'!$S$88*'Вводные'!$H$5*'Вводные'!$AG$88*(1+'Вводные'!$B$64)^MAX(0,MIN((12*(YEAR(FG$3)-YEAR($B$7))+MONTH(FG$3)-MONTH($B$7)),(12*(YEAR($B$8)-YEAR($B$7))+MONTH($B$8)-MONTH($B$7))))*(1+'Вводные'!$B$65)^MAX(0,(12*(YEAR(FG$3)-YEAR($B$8))+MONTH(FG$3)-MONTH($B$8))))</x:f>
      </x:c>
      <x:c r="FH18" s="107" t="n">
        <x:f>IF(FH17=0,0,'Вводные'!$B$60*'Вводные'!$S$88*'Вводные'!$H$5*'Вводные'!$AG$88*(1+'Вводные'!$B$64)^MAX(0,MIN((12*(YEAR(FH$3)-YEAR($B$7))+MONTH(FH$3)-MONTH($B$7)),(12*(YEAR($B$8)-YEAR($B$7))+MONTH($B$8)-MONTH($B$7))))*(1+'Вводные'!$B$65)^MAX(0,(12*(YEAR(FH$3)-YEAR($B$8))+MONTH(FH$3)-MONTH($B$8))))</x:f>
      </x:c>
      <x:c r="FI18" s="107" t="n">
        <x:f>IF(FI17=0,0,'Вводные'!$B$60*'Вводные'!$S$88*'Вводные'!$H$5*'Вводные'!$AG$88*(1+'Вводные'!$B$64)^MAX(0,MIN((12*(YEAR(FI$3)-YEAR($B$7))+MONTH(FI$3)-MONTH($B$7)),(12*(YEAR($B$8)-YEAR($B$7))+MONTH($B$8)-MONTH($B$7))))*(1+'Вводные'!$B$65)^MAX(0,(12*(YEAR(FI$3)-YEAR($B$8))+MONTH(FI$3)-MONTH($B$8))))</x:f>
      </x:c>
      <x:c r="FJ18" s="107" t="n">
        <x:f>IF(FJ17=0,0,'Вводные'!$B$60*'Вводные'!$S$88*'Вводные'!$H$5*'Вводные'!$AG$88*(1+'Вводные'!$B$64)^MAX(0,MIN((12*(YEAR(FJ$3)-YEAR($B$7))+MONTH(FJ$3)-MONTH($B$7)),(12*(YEAR($B$8)-YEAR($B$7))+MONTH($B$8)-MONTH($B$7))))*(1+'Вводные'!$B$65)^MAX(0,(12*(YEAR(FJ$3)-YEAR($B$8))+MONTH(FJ$3)-MONTH($B$8))))</x:f>
      </x:c>
      <x:c r="FK18" s="107" t="n">
        <x:f>IF(FK17=0,0,'Вводные'!$B$60*'Вводные'!$S$88*'Вводные'!$H$5*'Вводные'!$AG$88*(1+'Вводные'!$B$64)^MAX(0,MIN((12*(YEAR(FK$3)-YEAR($B$7))+MONTH(FK$3)-MONTH($B$7)),(12*(YEAR($B$8)-YEAR($B$7))+MONTH($B$8)-MONTH($B$7))))*(1+'Вводные'!$B$65)^MAX(0,(12*(YEAR(FK$3)-YEAR($B$8))+MONTH(FK$3)-MONTH($B$8))))</x:f>
      </x:c>
      <x:c r="FL18" s="107" t="n">
        <x:f>IF(FL17=0,0,'Вводные'!$B$60*'Вводные'!$S$88*'Вводные'!$H$5*'Вводные'!$AG$88*(1+'Вводные'!$B$64)^MAX(0,MIN((12*(YEAR(FL$3)-YEAR($B$7))+MONTH(FL$3)-MONTH($B$7)),(12*(YEAR($B$8)-YEAR($B$7))+MONTH($B$8)-MONTH($B$7))))*(1+'Вводные'!$B$65)^MAX(0,(12*(YEAR(FL$3)-YEAR($B$8))+MONTH(FL$3)-MONTH($B$8))))</x:f>
      </x:c>
      <x:c r="FM18" s="107" t="n">
        <x:f>IF(FM17=0,0,'Вводные'!$B$60*'Вводные'!$S$88*'Вводные'!$H$5*'Вводные'!$AG$88*(1+'Вводные'!$B$64)^MAX(0,MIN((12*(YEAR(FM$3)-YEAR($B$7))+MONTH(FM$3)-MONTH($B$7)),(12*(YEAR($B$8)-YEAR($B$7))+MONTH($B$8)-MONTH($B$7))))*(1+'Вводные'!$B$65)^MAX(0,(12*(YEAR(FM$3)-YEAR($B$8))+MONTH(FM$3)-MONTH($B$8))))</x:f>
      </x:c>
      <x:c r="FN18" s="107" t="n">
        <x:f>IF(FN17=0,0,'Вводные'!$B$60*'Вводные'!$S$88*'Вводные'!$H$5*'Вводные'!$AG$88*(1+'Вводные'!$B$64)^MAX(0,MIN((12*(YEAR(FN$3)-YEAR($B$7))+MONTH(FN$3)-MONTH($B$7)),(12*(YEAR($B$8)-YEAR($B$7))+MONTH($B$8)-MONTH($B$7))))*(1+'Вводные'!$B$65)^MAX(0,(12*(YEAR(FN$3)-YEAR($B$8))+MONTH(FN$3)-MONTH($B$8))))</x:f>
      </x:c>
      <x:c r="FO18" s="107" t="n">
        <x:f>IF(FO17=0,0,'Вводные'!$B$60*'Вводные'!$S$88*'Вводные'!$H$5*'Вводные'!$AG$88*(1+'Вводные'!$B$64)^MAX(0,MIN((12*(YEAR(FO$3)-YEAR($B$7))+MONTH(FO$3)-MONTH($B$7)),(12*(YEAR($B$8)-YEAR($B$7))+MONTH($B$8)-MONTH($B$7))))*(1+'Вводные'!$B$65)^MAX(0,(12*(YEAR(FO$3)-YEAR($B$8))+MONTH(FO$3)-MONTH($B$8))))</x:f>
      </x:c>
      <x:c r="FP18" s="107" t="n">
        <x:f>IF(FP17=0,0,'Вводные'!$B$60*'Вводные'!$S$88*'Вводные'!$H$5*'Вводные'!$AG$88*(1+'Вводные'!$B$64)^MAX(0,MIN((12*(YEAR(FP$3)-YEAR($B$7))+MONTH(FP$3)-MONTH($B$7)),(12*(YEAR($B$8)-YEAR($B$7))+MONTH($B$8)-MONTH($B$7))))*(1+'Вводные'!$B$65)^MAX(0,(12*(YEAR(FP$3)-YEAR($B$8))+MONTH(FP$3)-MONTH($B$8))))</x:f>
      </x:c>
      <x:c r="FQ18" s="107" t="n">
        <x:f>IF(FQ17=0,0,'Вводные'!$B$60*'Вводные'!$S$88*'Вводные'!$H$5*'Вводные'!$AG$88*(1+'Вводные'!$B$64)^MAX(0,MIN((12*(YEAR(FQ$3)-YEAR($B$7))+MONTH(FQ$3)-MONTH($B$7)),(12*(YEAR($B$8)-YEAR($B$7))+MONTH($B$8)-MONTH($B$7))))*(1+'Вводные'!$B$65)^MAX(0,(12*(YEAR(FQ$3)-YEAR($B$8))+MONTH(FQ$3)-MONTH($B$8))))</x:f>
      </x:c>
      <x:c r="FR18" s="107" t="n">
        <x:f>IF(FR17=0,0,'Вводные'!$B$60*'Вводные'!$S$88*'Вводные'!$H$5*'Вводные'!$AG$88*(1+'Вводные'!$B$64)^MAX(0,MIN((12*(YEAR(FR$3)-YEAR($B$7))+MONTH(FR$3)-MONTH($B$7)),(12*(YEAR($B$8)-YEAR($B$7))+MONTH($B$8)-MONTH($B$7))))*(1+'Вводные'!$B$65)^MAX(0,(12*(YEAR(FR$3)-YEAR($B$8))+MONTH(FR$3)-MONTH($B$8))))</x:f>
      </x:c>
      <x:c r="FS18" s="107" t="n">
        <x:f>IF(FS17=0,0,'Вводные'!$B$60*'Вводные'!$S$88*'Вводные'!$H$5*'Вводные'!$AG$88*(1+'Вводные'!$B$64)^MAX(0,MIN((12*(YEAR(FS$3)-YEAR($B$7))+MONTH(FS$3)-MONTH($B$7)),(12*(YEAR($B$8)-YEAR($B$7))+MONTH($B$8)-MONTH($B$7))))*(1+'Вводные'!$B$65)^MAX(0,(12*(YEAR(FS$3)-YEAR($B$8))+MONTH(FS$3)-MONTH($B$8))))</x:f>
      </x:c>
      <x:c r="FT18" s="107" t="n">
        <x:f>IF(FT17=0,0,'Вводные'!$B$60*'Вводные'!$S$88*'Вводные'!$H$5*'Вводные'!$AG$88*(1+'Вводные'!$B$64)^MAX(0,MIN((12*(YEAR(FT$3)-YEAR($B$7))+MONTH(FT$3)-MONTH($B$7)),(12*(YEAR($B$8)-YEAR($B$7))+MONTH($B$8)-MONTH($B$7))))*(1+'Вводные'!$B$65)^MAX(0,(12*(YEAR(FT$3)-YEAR($B$8))+MONTH(FT$3)-MONTH($B$8))))</x:f>
      </x:c>
      <x:c r="FU18" s="107" t="n">
        <x:f>IF(FU17=0,0,'Вводные'!$B$60*'Вводные'!$S$88*'Вводные'!$H$5*'Вводные'!$AG$88*(1+'Вводные'!$B$64)^MAX(0,MIN((12*(YEAR(FU$3)-YEAR($B$7))+MONTH(FU$3)-MONTH($B$7)),(12*(YEAR($B$8)-YEAR($B$7))+MONTH($B$8)-MONTH($B$7))))*(1+'Вводные'!$B$65)^MAX(0,(12*(YEAR(FU$3)-YEAR($B$8))+MONTH(FU$3)-MONTH($B$8))))</x:f>
      </x:c>
      <x:c r="FV18" s="107" t="n">
        <x:f>IF(FV17=0,0,'Вводные'!$B$60*'Вводные'!$S$88*'Вводные'!$H$5*'Вводные'!$AG$88*(1+'Вводные'!$B$64)^MAX(0,MIN((12*(YEAR(FV$3)-YEAR($B$7))+MONTH(FV$3)-MONTH($B$7)),(12*(YEAR($B$8)-YEAR($B$7))+MONTH($B$8)-MONTH($B$7))))*(1+'Вводные'!$B$65)^MAX(0,(12*(YEAR(FV$3)-YEAR($B$8))+MONTH(FV$3)-MONTH($B$8))))</x:f>
      </x:c>
      <x:c r="FW18" s="107" t="n">
        <x:f>IF(FW17=0,0,'Вводные'!$B$60*'Вводные'!$S$88*'Вводные'!$H$5*'Вводные'!$AG$88*(1+'Вводные'!$B$64)^MAX(0,MIN((12*(YEAR(FW$3)-YEAR($B$7))+MONTH(FW$3)-MONTH($B$7)),(12*(YEAR($B$8)-YEAR($B$7))+MONTH($B$8)-MONTH($B$7))))*(1+'Вводные'!$B$65)^MAX(0,(12*(YEAR(FW$3)-YEAR($B$8))+MONTH(FW$3)-MONTH($B$8))))</x:f>
      </x:c>
      <x:c r="FX18" s="107" t="n">
        <x:f>IF(FX17=0,0,'Вводные'!$B$60*'Вводные'!$S$88*'Вводные'!$H$5*'Вводные'!$AG$88*(1+'Вводные'!$B$64)^MAX(0,MIN((12*(YEAR(FX$3)-YEAR($B$7))+MONTH(FX$3)-MONTH($B$7)),(12*(YEAR($B$8)-YEAR($B$7))+MONTH($B$8)-MONTH($B$7))))*(1+'Вводные'!$B$65)^MAX(0,(12*(YEAR(FX$3)-YEAR($B$8))+MONTH(FX$3)-MONTH($B$8))))</x:f>
      </x:c>
      <x:c r="FY18" s="107" t="n">
        <x:f>IF(FY17=0,0,'Вводные'!$B$60*'Вводные'!$S$88*'Вводные'!$H$5*'Вводные'!$AG$88*(1+'Вводные'!$B$64)^MAX(0,MIN((12*(YEAR(FY$3)-YEAR($B$7))+MONTH(FY$3)-MONTH($B$7)),(12*(YEAR($B$8)-YEAR($B$7))+MONTH($B$8)-MONTH($B$7))))*(1+'Вводные'!$B$65)^MAX(0,(12*(YEAR(FY$3)-YEAR($B$8))+MONTH(FY$3)-MONTH($B$8))))</x:f>
      </x:c>
      <x:c r="FZ18" s="107" t="n">
        <x:f>IF(FZ17=0,0,'Вводные'!$B$60*'Вводные'!$S$88*'Вводные'!$H$5*'Вводные'!$AG$88*(1+'Вводные'!$B$64)^MAX(0,MIN((12*(YEAR(FZ$3)-YEAR($B$7))+MONTH(FZ$3)-MONTH($B$7)),(12*(YEAR($B$8)-YEAR($B$7))+MONTH($B$8)-MONTH($B$7))))*(1+'Вводные'!$B$65)^MAX(0,(12*(YEAR(FZ$3)-YEAR($B$8))+MONTH(FZ$3)-MONTH($B$8))))</x:f>
      </x:c>
      <x:c r="GA18" s="107" t="n">
        <x:f>IF(GA17=0,0,'Вводные'!$B$60*'Вводные'!$S$88*'Вводные'!$H$5*'Вводные'!$AG$88*(1+'Вводные'!$B$64)^MAX(0,MIN((12*(YEAR(GA$3)-YEAR($B$7))+MONTH(GA$3)-MONTH($B$7)),(12*(YEAR($B$8)-YEAR($B$7))+MONTH($B$8)-MONTH($B$7))))*(1+'Вводные'!$B$65)^MAX(0,(12*(YEAR(GA$3)-YEAR($B$8))+MONTH(GA$3)-MONTH($B$8))))</x:f>
      </x:c>
    </x:row>
    <x:row r="19">
      <x:c r="A19" t="str">
        <x:v>Коммерция — выручка</x:v>
      </x:c>
      <x:c r="B19" t="n">
        <x:f>SUM(D19:GA19)</x:f>
      </x:c>
      <x:c r="C19" t="str">
        <x:v>млн ₽</x:v>
      </x:c>
      <x:c r="D19" s="107" t="n">
        <x:f>D17*D18/1000</x:f>
      </x:c>
      <x:c r="E19" s="107" t="n">
        <x:f>E17*E18/1000</x:f>
      </x:c>
      <x:c r="F19" s="107" t="n">
        <x:f>F17*F18/1000</x:f>
      </x:c>
      <x:c r="G19" s="107" t="n">
        <x:f>G17*G18/1000</x:f>
      </x:c>
      <x:c r="H19" s="107" t="n">
        <x:f>H17*H18/1000</x:f>
      </x:c>
      <x:c r="I19" s="107" t="n">
        <x:f>I17*I18/1000</x:f>
      </x:c>
      <x:c r="J19" s="107" t="n">
        <x:f>J17*J18/1000</x:f>
      </x:c>
      <x:c r="K19" s="107" t="n">
        <x:f>K17*K18/1000</x:f>
      </x:c>
      <x:c r="L19" s="107" t="n">
        <x:f>L17*L18/1000</x:f>
      </x:c>
      <x:c r="M19" s="107" t="n">
        <x:f>M17*M18/1000</x:f>
      </x:c>
      <x:c r="N19" s="107" t="n">
        <x:f>N17*N18/1000</x:f>
      </x:c>
      <x:c r="O19" s="107" t="n">
        <x:f>O17*O18/1000</x:f>
      </x:c>
      <x:c r="P19" s="107" t="n">
        <x:f>P17*P18/1000</x:f>
      </x:c>
      <x:c r="Q19" s="107" t="n">
        <x:f>Q17*Q18/1000</x:f>
      </x:c>
      <x:c r="R19" s="107" t="n">
        <x:f>R17*R18/1000</x:f>
      </x:c>
      <x:c r="S19" s="107" t="n">
        <x:f>S17*S18/1000</x:f>
      </x:c>
      <x:c r="T19" s="107" t="n">
        <x:f>T17*T18/1000</x:f>
      </x:c>
      <x:c r="U19" s="107" t="n">
        <x:f>U17*U18/1000</x:f>
      </x:c>
      <x:c r="V19" s="107" t="n">
        <x:f>V17*V18/1000</x:f>
      </x:c>
      <x:c r="W19" s="107" t="n">
        <x:f>W17*W18/1000</x:f>
      </x:c>
      <x:c r="X19" s="107" t="n">
        <x:f>X17*X18/1000</x:f>
      </x:c>
      <x:c r="Y19" s="107" t="n">
        <x:f>Y17*Y18/1000</x:f>
      </x:c>
      <x:c r="Z19" s="107" t="n">
        <x:f>Z17*Z18/1000</x:f>
      </x:c>
      <x:c r="AA19" s="107" t="n">
        <x:f>AA17*AA18/1000</x:f>
      </x:c>
      <x:c r="AB19" s="107" t="n">
        <x:f>AB17*AB18/1000</x:f>
      </x:c>
      <x:c r="AC19" s="107" t="n">
        <x:f>AC17*AC18/1000</x:f>
      </x:c>
      <x:c r="AD19" s="107" t="n">
        <x:f>AD17*AD18/1000</x:f>
      </x:c>
      <x:c r="AE19" s="107" t="n">
        <x:f>AE17*AE18/1000</x:f>
      </x:c>
      <x:c r="AF19" s="107" t="n">
        <x:f>AF17*AF18/1000</x:f>
      </x:c>
      <x:c r="AG19" s="107" t="n">
        <x:f>AG17*AG18/1000</x:f>
      </x:c>
      <x:c r="AH19" s="107" t="n">
        <x:f>AH17*AH18/1000</x:f>
      </x:c>
      <x:c r="AI19" s="107" t="n">
        <x:f>AI17*AI18/1000</x:f>
      </x:c>
      <x:c r="AJ19" s="107" t="n">
        <x:f>AJ17*AJ18/1000</x:f>
      </x:c>
      <x:c r="AK19" s="107" t="n">
        <x:f>AK17*AK18/1000</x:f>
      </x:c>
      <x:c r="AL19" s="107" t="n">
        <x:f>AL17*AL18/1000</x:f>
      </x:c>
      <x:c r="AM19" s="107" t="n">
        <x:f>AM17*AM18/1000</x:f>
      </x:c>
      <x:c r="AN19" s="107" t="n">
        <x:f>AN17*AN18/1000</x:f>
      </x:c>
      <x:c r="AO19" s="107" t="n">
        <x:f>AO17*AO18/1000</x:f>
      </x:c>
      <x:c r="AP19" s="107" t="n">
        <x:f>AP17*AP18/1000</x:f>
      </x:c>
      <x:c r="AQ19" s="107" t="n">
        <x:f>AQ17*AQ18/1000</x:f>
      </x:c>
      <x:c r="AR19" s="107" t="n">
        <x:f>AR17*AR18/1000</x:f>
      </x:c>
      <x:c r="AS19" s="107" t="n">
        <x:f>AS17*AS18/1000</x:f>
      </x:c>
      <x:c r="AT19" s="107" t="n">
        <x:f>AT17*AT18/1000</x:f>
      </x:c>
      <x:c r="AU19" s="107" t="n">
        <x:f>AU17*AU18/1000</x:f>
      </x:c>
      <x:c r="AV19" s="107" t="n">
        <x:f>AV17*AV18/1000</x:f>
      </x:c>
      <x:c r="AW19" s="107" t="n">
        <x:f>AW17*AW18/1000</x:f>
      </x:c>
      <x:c r="AX19" s="107" t="n">
        <x:f>AX17*AX18/1000</x:f>
      </x:c>
      <x:c r="AY19" s="107" t="n">
        <x:f>AY17*AY18/1000</x:f>
      </x:c>
      <x:c r="AZ19" s="107" t="n">
        <x:f>AZ17*AZ18/1000</x:f>
      </x:c>
      <x:c r="BA19" s="107" t="n">
        <x:f>BA17*BA18/1000</x:f>
      </x:c>
      <x:c r="BB19" s="107" t="n">
        <x:f>BB17*BB18/1000</x:f>
      </x:c>
      <x:c r="BC19" s="107" t="n">
        <x:f>BC17*BC18/1000</x:f>
      </x:c>
      <x:c r="BD19" s="107" t="n">
        <x:f>BD17*BD18/1000</x:f>
      </x:c>
      <x:c r="BE19" s="107" t="n">
        <x:f>BE17*BE18/1000</x:f>
      </x:c>
      <x:c r="BF19" s="107" t="n">
        <x:f>BF17*BF18/1000</x:f>
      </x:c>
      <x:c r="BG19" s="107" t="n">
        <x:f>BG17*BG18/1000</x:f>
      </x:c>
      <x:c r="BH19" s="107" t="n">
        <x:f>BH17*BH18/1000</x:f>
      </x:c>
      <x:c r="BI19" s="107" t="n">
        <x:f>BI17*BI18/1000</x:f>
      </x:c>
      <x:c r="BJ19" s="107" t="n">
        <x:f>BJ17*BJ18/1000</x:f>
      </x:c>
      <x:c r="BK19" s="107" t="n">
        <x:f>BK17*BK18/1000</x:f>
      </x:c>
      <x:c r="BL19" s="107" t="n">
        <x:f>BL17*BL18/1000</x:f>
      </x:c>
      <x:c r="BM19" s="107" t="n">
        <x:f>BM17*BM18/1000</x:f>
      </x:c>
      <x:c r="BN19" s="107" t="n">
        <x:f>BN17*BN18/1000</x:f>
      </x:c>
      <x:c r="BO19" s="107" t="n">
        <x:f>BO17*BO18/1000</x:f>
      </x:c>
      <x:c r="BP19" s="107" t="n">
        <x:f>BP17*BP18/1000</x:f>
      </x:c>
      <x:c r="BQ19" s="107" t="n">
        <x:f>BQ17*BQ18/1000</x:f>
      </x:c>
      <x:c r="BR19" s="107" t="n">
        <x:f>BR17*BR18/1000</x:f>
      </x:c>
      <x:c r="BS19" s="107" t="n">
        <x:f>BS17*BS18/1000</x:f>
      </x:c>
      <x:c r="BT19" s="107" t="n">
        <x:f>BT17*BT18/1000</x:f>
      </x:c>
      <x:c r="BU19" s="107" t="n">
        <x:f>BU17*BU18/1000</x:f>
      </x:c>
      <x:c r="BV19" s="107" t="n">
        <x:f>BV17*BV18/1000</x:f>
      </x:c>
      <x:c r="BW19" s="107" t="n">
        <x:f>BW17*BW18/1000</x:f>
      </x:c>
      <x:c r="BX19" s="107" t="n">
        <x:f>BX17*BX18/1000</x:f>
      </x:c>
      <x:c r="BY19" s="107" t="n">
        <x:f>BY17*BY18/1000</x:f>
      </x:c>
      <x:c r="BZ19" s="107" t="n">
        <x:f>BZ17*BZ18/1000</x:f>
      </x:c>
      <x:c r="CA19" s="107" t="n">
        <x:f>CA17*CA18/1000</x:f>
      </x:c>
      <x:c r="CB19" s="107" t="n">
        <x:f>CB17*CB18/1000</x:f>
      </x:c>
      <x:c r="CC19" s="107" t="n">
        <x:f>CC17*CC18/1000</x:f>
      </x:c>
      <x:c r="CD19" s="107" t="n">
        <x:f>CD17*CD18/1000</x:f>
      </x:c>
      <x:c r="CE19" s="107" t="n">
        <x:f>CE17*CE18/1000</x:f>
      </x:c>
      <x:c r="CF19" s="107" t="n">
        <x:f>CF17*CF18/1000</x:f>
      </x:c>
      <x:c r="CG19" s="107" t="n">
        <x:f>CG17*CG18/1000</x:f>
      </x:c>
      <x:c r="CH19" s="107" t="n">
        <x:f>CH17*CH18/1000</x:f>
      </x:c>
      <x:c r="CI19" s="107" t="n">
        <x:f>CI17*CI18/1000</x:f>
      </x:c>
      <x:c r="CJ19" s="107" t="n">
        <x:f>CJ17*CJ18/1000</x:f>
      </x:c>
      <x:c r="CK19" s="107" t="n">
        <x:f>CK17*CK18/1000</x:f>
      </x:c>
      <x:c r="CL19" s="107" t="n">
        <x:f>CL17*CL18/1000</x:f>
      </x:c>
      <x:c r="CM19" s="107" t="n">
        <x:f>CM17*CM18/1000</x:f>
      </x:c>
      <x:c r="CN19" s="107" t="n">
        <x:f>CN17*CN18/1000</x:f>
      </x:c>
      <x:c r="CO19" s="107" t="n">
        <x:f>CO17*CO18/1000</x:f>
      </x:c>
      <x:c r="CP19" s="107" t="n">
        <x:f>CP17*CP18/1000</x:f>
      </x:c>
      <x:c r="CQ19" s="107" t="n">
        <x:f>CQ17*CQ18/1000</x:f>
      </x:c>
      <x:c r="CR19" s="107" t="n">
        <x:f>CR17*CR18/1000</x:f>
      </x:c>
      <x:c r="CS19" s="107" t="n">
        <x:f>CS17*CS18/1000</x:f>
      </x:c>
      <x:c r="CT19" s="107" t="n">
        <x:f>CT17*CT18/1000</x:f>
      </x:c>
      <x:c r="CU19" s="107" t="n">
        <x:f>CU17*CU18/1000</x:f>
      </x:c>
      <x:c r="CV19" s="107" t="n">
        <x:f>CV17*CV18/1000</x:f>
      </x:c>
      <x:c r="CW19" s="107" t="n">
        <x:f>CW17*CW18/1000</x:f>
      </x:c>
      <x:c r="CX19" s="107" t="n">
        <x:f>CX17*CX18/1000</x:f>
      </x:c>
      <x:c r="CY19" s="107" t="n">
        <x:f>CY17*CY18/1000</x:f>
      </x:c>
      <x:c r="CZ19" s="107" t="n">
        <x:f>CZ17*CZ18/1000</x:f>
      </x:c>
      <x:c r="DA19" s="107" t="n">
        <x:f>DA17*DA18/1000</x:f>
      </x:c>
      <x:c r="DB19" s="107" t="n">
        <x:f>DB17*DB18/1000</x:f>
      </x:c>
      <x:c r="DC19" s="107" t="n">
        <x:f>DC17*DC18/1000</x:f>
      </x:c>
      <x:c r="DD19" s="107" t="n">
        <x:f>DD17*DD18/1000</x:f>
      </x:c>
      <x:c r="DE19" s="107" t="n">
        <x:f>DE17*DE18/1000</x:f>
      </x:c>
      <x:c r="DF19" s="107" t="n">
        <x:f>DF17*DF18/1000</x:f>
      </x:c>
      <x:c r="DG19" s="107" t="n">
        <x:f>DG17*DG18/1000</x:f>
      </x:c>
      <x:c r="DH19" s="107" t="n">
        <x:f>DH17*DH18/1000</x:f>
      </x:c>
      <x:c r="DI19" s="107" t="n">
        <x:f>DI17*DI18/1000</x:f>
      </x:c>
      <x:c r="DJ19" s="107" t="n">
        <x:f>DJ17*DJ18/1000</x:f>
      </x:c>
      <x:c r="DK19" s="107" t="n">
        <x:f>DK17*DK18/1000</x:f>
      </x:c>
      <x:c r="DL19" s="107" t="n">
        <x:f>DL17*DL18/1000</x:f>
      </x:c>
      <x:c r="DM19" s="107" t="n">
        <x:f>DM17*DM18/1000</x:f>
      </x:c>
      <x:c r="DN19" s="107" t="n">
        <x:f>DN17*DN18/1000</x:f>
      </x:c>
      <x:c r="DO19" s="107" t="n">
        <x:f>DO17*DO18/1000</x:f>
      </x:c>
      <x:c r="DP19" s="107" t="n">
        <x:f>DP17*DP18/1000</x:f>
      </x:c>
      <x:c r="DQ19" s="107" t="n">
        <x:f>DQ17*DQ18/1000</x:f>
      </x:c>
      <x:c r="DR19" s="107" t="n">
        <x:f>DR17*DR18/1000</x:f>
      </x:c>
      <x:c r="DS19" s="107" t="n">
        <x:f>DS17*DS18/1000</x:f>
      </x:c>
      <x:c r="DT19" s="107" t="n">
        <x:f>DT17*DT18/1000</x:f>
      </x:c>
      <x:c r="DU19" s="107" t="n">
        <x:f>DU17*DU18/1000</x:f>
      </x:c>
      <x:c r="DV19" s="107" t="n">
        <x:f>DV17*DV18/1000</x:f>
      </x:c>
      <x:c r="DW19" s="107" t="n">
        <x:f>DW17*DW18/1000</x:f>
      </x:c>
      <x:c r="DX19" s="107" t="n">
        <x:f>DX17*DX18/1000</x:f>
      </x:c>
      <x:c r="DY19" s="107" t="n">
        <x:f>DY17*DY18/1000</x:f>
      </x:c>
      <x:c r="DZ19" s="107" t="n">
        <x:f>DZ17*DZ18/1000</x:f>
      </x:c>
      <x:c r="EA19" s="107" t="n">
        <x:f>EA17*EA18/1000</x:f>
      </x:c>
      <x:c r="EB19" s="107" t="n">
        <x:f>EB17*EB18/1000</x:f>
      </x:c>
      <x:c r="EC19" s="107" t="n">
        <x:f>EC17*EC18/1000</x:f>
      </x:c>
      <x:c r="ED19" s="107" t="n">
        <x:f>ED17*ED18/1000</x:f>
      </x:c>
      <x:c r="EE19" s="107" t="n">
        <x:f>EE17*EE18/1000</x:f>
      </x:c>
      <x:c r="EF19" s="107" t="n">
        <x:f>EF17*EF18/1000</x:f>
      </x:c>
      <x:c r="EG19" s="107" t="n">
        <x:f>EG17*EG18/1000</x:f>
      </x:c>
      <x:c r="EH19" s="107" t="n">
        <x:f>EH17*EH18/1000</x:f>
      </x:c>
      <x:c r="EI19" s="107" t="n">
        <x:f>EI17*EI18/1000</x:f>
      </x:c>
      <x:c r="EJ19" s="107" t="n">
        <x:f>EJ17*EJ18/1000</x:f>
      </x:c>
      <x:c r="EK19" s="107" t="n">
        <x:f>EK17*EK18/1000</x:f>
      </x:c>
      <x:c r="EL19" s="107" t="n">
        <x:f>EL17*EL18/1000</x:f>
      </x:c>
      <x:c r="EM19" s="107" t="n">
        <x:f>EM17*EM18/1000</x:f>
      </x:c>
      <x:c r="EN19" s="107" t="n">
        <x:f>EN17*EN18/1000</x:f>
      </x:c>
      <x:c r="EO19" s="107" t="n">
        <x:f>EO17*EO18/1000</x:f>
      </x:c>
      <x:c r="EP19" s="107" t="n">
        <x:f>EP17*EP18/1000</x:f>
      </x:c>
      <x:c r="EQ19" s="107" t="n">
        <x:f>EQ17*EQ18/1000</x:f>
      </x:c>
      <x:c r="ER19" s="107" t="n">
        <x:f>ER17*ER18/1000</x:f>
      </x:c>
      <x:c r="ES19" s="107" t="n">
        <x:f>ES17*ES18/1000</x:f>
      </x:c>
      <x:c r="ET19" s="107" t="n">
        <x:f>ET17*ET18/1000</x:f>
      </x:c>
      <x:c r="EU19" s="107" t="n">
        <x:f>EU17*EU18/1000</x:f>
      </x:c>
      <x:c r="EV19" s="107" t="n">
        <x:f>EV17*EV18/1000</x:f>
      </x:c>
      <x:c r="EW19" s="107" t="n">
        <x:f>EW17*EW18/1000</x:f>
      </x:c>
      <x:c r="EX19" s="107" t="n">
        <x:f>EX17*EX18/1000</x:f>
      </x:c>
      <x:c r="EY19" s="107" t="n">
        <x:f>EY17*EY18/1000</x:f>
      </x:c>
      <x:c r="EZ19" s="107" t="n">
        <x:f>EZ17*EZ18/1000</x:f>
      </x:c>
      <x:c r="FA19" s="107" t="n">
        <x:f>FA17*FA18/1000</x:f>
      </x:c>
      <x:c r="FB19" s="107" t="n">
        <x:f>FB17*FB18/1000</x:f>
      </x:c>
      <x:c r="FC19" s="107" t="n">
        <x:f>FC17*FC18/1000</x:f>
      </x:c>
      <x:c r="FD19" s="107" t="n">
        <x:f>FD17*FD18/1000</x:f>
      </x:c>
      <x:c r="FE19" s="107" t="n">
        <x:f>FE17*FE18/1000</x:f>
      </x:c>
      <x:c r="FF19" s="107" t="n">
        <x:f>FF17*FF18/1000</x:f>
      </x:c>
      <x:c r="FG19" s="107" t="n">
        <x:f>FG17*FG18/1000</x:f>
      </x:c>
      <x:c r="FH19" s="107" t="n">
        <x:f>FH17*FH18/1000</x:f>
      </x:c>
      <x:c r="FI19" s="107" t="n">
        <x:f>FI17*FI18/1000</x:f>
      </x:c>
      <x:c r="FJ19" s="107" t="n">
        <x:f>FJ17*FJ18/1000</x:f>
      </x:c>
      <x:c r="FK19" s="107" t="n">
        <x:f>FK17*FK18/1000</x:f>
      </x:c>
      <x:c r="FL19" s="107" t="n">
        <x:f>FL17*FL18/1000</x:f>
      </x:c>
      <x:c r="FM19" s="107" t="n">
        <x:f>FM17*FM18/1000</x:f>
      </x:c>
      <x:c r="FN19" s="107" t="n">
        <x:f>FN17*FN18/1000</x:f>
      </x:c>
      <x:c r="FO19" s="107" t="n">
        <x:f>FO17*FO18/1000</x:f>
      </x:c>
      <x:c r="FP19" s="107" t="n">
        <x:f>FP17*FP18/1000</x:f>
      </x:c>
      <x:c r="FQ19" s="107" t="n">
        <x:f>FQ17*FQ18/1000</x:f>
      </x:c>
      <x:c r="FR19" s="107" t="n">
        <x:f>FR17*FR18/1000</x:f>
      </x:c>
      <x:c r="FS19" s="107" t="n">
        <x:f>FS17*FS18/1000</x:f>
      </x:c>
      <x:c r="FT19" s="107" t="n">
        <x:f>FT17*FT18/1000</x:f>
      </x:c>
      <x:c r="FU19" s="107" t="n">
        <x:f>FU17*FU18/1000</x:f>
      </x:c>
      <x:c r="FV19" s="107" t="n">
        <x:f>FV17*FV18/1000</x:f>
      </x:c>
      <x:c r="FW19" s="107" t="n">
        <x:f>FW17*FW18/1000</x:f>
      </x:c>
      <x:c r="FX19" s="107" t="n">
        <x:f>FX17*FX18/1000</x:f>
      </x:c>
      <x:c r="FY19" s="107" t="n">
        <x:f>FY17*FY18/1000</x:f>
      </x:c>
      <x:c r="FZ19" s="107" t="n">
        <x:f>FZ17*FZ18/1000</x:f>
      </x:c>
      <x:c r="GA19" s="107" t="n">
        <x:f>GA17*GA18/1000</x:f>
      </x:c>
    </x:row>
    <x:row r="20">
      <x:c r="A20" t="str">
        <x:v>Паркинг — объём</x:v>
      </x:c>
      <x:c r="B20" t="n">
        <x:f>SUM(D20:GA20)</x:f>
      </x:c>
      <x:c r="C20" t="str">
        <x:v>шт.</x:v>
      </x:c>
      <x:c r="D20" s="107" t="n">
        <x:f>'Вводные'!$N$88*((IF(SUM($D9:$GA9)=0,0,IF(SUM($D12:$GA12)=0,1,'Вводные'!$B$63)))*D11+(1-(IF(SUM($D9:$GA9)=0,0,IF(SUM($D12:$GA12)=0,1,'Вводные'!$B$63))))*D13)</x:f>
      </x:c>
      <x:c r="E20" s="107" t="n">
        <x:f>'Вводные'!$N$88*((IF(SUM($D9:$GA9)=0,0,IF(SUM($D12:$GA12)=0,1,'Вводные'!$B$63)))*E11+(1-(IF(SUM($D9:$GA9)=0,0,IF(SUM($D12:$GA12)=0,1,'Вводные'!$B$63))))*E13)</x:f>
      </x:c>
      <x:c r="F20" s="107" t="n">
        <x:f>'Вводные'!$N$88*((IF(SUM($D9:$GA9)=0,0,IF(SUM($D12:$GA12)=0,1,'Вводные'!$B$63)))*F11+(1-(IF(SUM($D9:$GA9)=0,0,IF(SUM($D12:$GA12)=0,1,'Вводные'!$B$63))))*F13)</x:f>
      </x:c>
      <x:c r="G20" s="107" t="n">
        <x:f>'Вводные'!$N$88*((IF(SUM($D9:$GA9)=0,0,IF(SUM($D12:$GA12)=0,1,'Вводные'!$B$63)))*G11+(1-(IF(SUM($D9:$GA9)=0,0,IF(SUM($D12:$GA12)=0,1,'Вводные'!$B$63))))*G13)</x:f>
      </x:c>
      <x:c r="H20" s="107" t="n">
        <x:f>'Вводные'!$N$88*((IF(SUM($D9:$GA9)=0,0,IF(SUM($D12:$GA12)=0,1,'Вводные'!$B$63)))*H11+(1-(IF(SUM($D9:$GA9)=0,0,IF(SUM($D12:$GA12)=0,1,'Вводные'!$B$63))))*H13)</x:f>
      </x:c>
      <x:c r="I20" s="107" t="n">
        <x:f>'Вводные'!$N$88*((IF(SUM($D9:$GA9)=0,0,IF(SUM($D12:$GA12)=0,1,'Вводные'!$B$63)))*I11+(1-(IF(SUM($D9:$GA9)=0,0,IF(SUM($D12:$GA12)=0,1,'Вводные'!$B$63))))*I13)</x:f>
      </x:c>
      <x:c r="J20" s="107" t="n">
        <x:f>'Вводные'!$N$88*((IF(SUM($D9:$GA9)=0,0,IF(SUM($D12:$GA12)=0,1,'Вводные'!$B$63)))*J11+(1-(IF(SUM($D9:$GA9)=0,0,IF(SUM($D12:$GA12)=0,1,'Вводные'!$B$63))))*J13)</x:f>
      </x:c>
      <x:c r="K20" s="107" t="n">
        <x:f>'Вводные'!$N$88*((IF(SUM($D9:$GA9)=0,0,IF(SUM($D12:$GA12)=0,1,'Вводные'!$B$63)))*K11+(1-(IF(SUM($D9:$GA9)=0,0,IF(SUM($D12:$GA12)=0,1,'Вводные'!$B$63))))*K13)</x:f>
      </x:c>
      <x:c r="L20" s="107" t="n">
        <x:f>'Вводные'!$N$88*((IF(SUM($D9:$GA9)=0,0,IF(SUM($D12:$GA12)=0,1,'Вводные'!$B$63)))*L11+(1-(IF(SUM($D9:$GA9)=0,0,IF(SUM($D12:$GA12)=0,1,'Вводные'!$B$63))))*L13)</x:f>
      </x:c>
      <x:c r="M20" s="107" t="n">
        <x:f>'Вводные'!$N$88*((IF(SUM($D9:$GA9)=0,0,IF(SUM($D12:$GA12)=0,1,'Вводные'!$B$63)))*M11+(1-(IF(SUM($D9:$GA9)=0,0,IF(SUM($D12:$GA12)=0,1,'Вводные'!$B$63))))*M13)</x:f>
      </x:c>
      <x:c r="N20" s="107" t="n">
        <x:f>'Вводные'!$N$88*((IF(SUM($D9:$GA9)=0,0,IF(SUM($D12:$GA12)=0,1,'Вводные'!$B$63)))*N11+(1-(IF(SUM($D9:$GA9)=0,0,IF(SUM($D12:$GA12)=0,1,'Вводные'!$B$63))))*N13)</x:f>
      </x:c>
      <x:c r="O20" s="107" t="n">
        <x:f>'Вводные'!$N$88*((IF(SUM($D9:$GA9)=0,0,IF(SUM($D12:$GA12)=0,1,'Вводные'!$B$63)))*O11+(1-(IF(SUM($D9:$GA9)=0,0,IF(SUM($D12:$GA12)=0,1,'Вводные'!$B$63))))*O13)</x:f>
      </x:c>
      <x:c r="P20" s="107" t="n">
        <x:f>'Вводные'!$N$88*((IF(SUM($D9:$GA9)=0,0,IF(SUM($D12:$GA12)=0,1,'Вводные'!$B$63)))*P11+(1-(IF(SUM($D9:$GA9)=0,0,IF(SUM($D12:$GA12)=0,1,'Вводные'!$B$63))))*P13)</x:f>
      </x:c>
      <x:c r="Q20" s="107" t="n">
        <x:f>'Вводные'!$N$88*((IF(SUM($D9:$GA9)=0,0,IF(SUM($D12:$GA12)=0,1,'Вводные'!$B$63)))*Q11+(1-(IF(SUM($D9:$GA9)=0,0,IF(SUM($D12:$GA12)=0,1,'Вводные'!$B$63))))*Q13)</x:f>
      </x:c>
      <x:c r="R20" s="107" t="n">
        <x:f>'Вводные'!$N$88*((IF(SUM($D9:$GA9)=0,0,IF(SUM($D12:$GA12)=0,1,'Вводные'!$B$63)))*R11+(1-(IF(SUM($D9:$GA9)=0,0,IF(SUM($D12:$GA12)=0,1,'Вводные'!$B$63))))*R13)</x:f>
      </x:c>
      <x:c r="S20" s="107" t="n">
        <x:f>'Вводные'!$N$88*((IF(SUM($D9:$GA9)=0,0,IF(SUM($D12:$GA12)=0,1,'Вводные'!$B$63)))*S11+(1-(IF(SUM($D9:$GA9)=0,0,IF(SUM($D12:$GA12)=0,1,'Вводные'!$B$63))))*S13)</x:f>
      </x:c>
      <x:c r="T20" s="107" t="n">
        <x:f>'Вводные'!$N$88*((IF(SUM($D9:$GA9)=0,0,IF(SUM($D12:$GA12)=0,1,'Вводные'!$B$63)))*T11+(1-(IF(SUM($D9:$GA9)=0,0,IF(SUM($D12:$GA12)=0,1,'Вводные'!$B$63))))*T13)</x:f>
      </x:c>
      <x:c r="U20" s="107" t="n">
        <x:f>'Вводные'!$N$88*((IF(SUM($D9:$GA9)=0,0,IF(SUM($D12:$GA12)=0,1,'Вводные'!$B$63)))*U11+(1-(IF(SUM($D9:$GA9)=0,0,IF(SUM($D12:$GA12)=0,1,'Вводные'!$B$63))))*U13)</x:f>
      </x:c>
      <x:c r="V20" s="107" t="n">
        <x:f>'Вводные'!$N$88*((IF(SUM($D9:$GA9)=0,0,IF(SUM($D12:$GA12)=0,1,'Вводные'!$B$63)))*V11+(1-(IF(SUM($D9:$GA9)=0,0,IF(SUM($D12:$GA12)=0,1,'Вводные'!$B$63))))*V13)</x:f>
      </x:c>
      <x:c r="W20" s="107" t="n">
        <x:f>'Вводные'!$N$88*((IF(SUM($D9:$GA9)=0,0,IF(SUM($D12:$GA12)=0,1,'Вводные'!$B$63)))*W11+(1-(IF(SUM($D9:$GA9)=0,0,IF(SUM($D12:$GA12)=0,1,'Вводные'!$B$63))))*W13)</x:f>
      </x:c>
      <x:c r="X20" s="107" t="n">
        <x:f>'Вводные'!$N$88*((IF(SUM($D9:$GA9)=0,0,IF(SUM($D12:$GA12)=0,1,'Вводные'!$B$63)))*X11+(1-(IF(SUM($D9:$GA9)=0,0,IF(SUM($D12:$GA12)=0,1,'Вводные'!$B$63))))*X13)</x:f>
      </x:c>
      <x:c r="Y20" s="107" t="n">
        <x:f>'Вводные'!$N$88*((IF(SUM($D9:$GA9)=0,0,IF(SUM($D12:$GA12)=0,1,'Вводные'!$B$63)))*Y11+(1-(IF(SUM($D9:$GA9)=0,0,IF(SUM($D12:$GA12)=0,1,'Вводные'!$B$63))))*Y13)</x:f>
      </x:c>
      <x:c r="Z20" s="107" t="n">
        <x:f>'Вводные'!$N$88*((IF(SUM($D9:$GA9)=0,0,IF(SUM($D12:$GA12)=0,1,'Вводные'!$B$63)))*Z11+(1-(IF(SUM($D9:$GA9)=0,0,IF(SUM($D12:$GA12)=0,1,'Вводные'!$B$63))))*Z13)</x:f>
      </x:c>
      <x:c r="AA20" s="107" t="n">
        <x:f>'Вводные'!$N$88*((IF(SUM($D9:$GA9)=0,0,IF(SUM($D12:$GA12)=0,1,'Вводные'!$B$63)))*AA11+(1-(IF(SUM($D9:$GA9)=0,0,IF(SUM($D12:$GA12)=0,1,'Вводные'!$B$63))))*AA13)</x:f>
      </x:c>
      <x:c r="AB20" s="107" t="n">
        <x:f>'Вводные'!$N$88*((IF(SUM($D9:$GA9)=0,0,IF(SUM($D12:$GA12)=0,1,'Вводные'!$B$63)))*AB11+(1-(IF(SUM($D9:$GA9)=0,0,IF(SUM($D12:$GA12)=0,1,'Вводные'!$B$63))))*AB13)</x:f>
      </x:c>
      <x:c r="AC20" s="107" t="n">
        <x:f>'Вводные'!$N$88*((IF(SUM($D9:$GA9)=0,0,IF(SUM($D12:$GA12)=0,1,'Вводные'!$B$63)))*AC11+(1-(IF(SUM($D9:$GA9)=0,0,IF(SUM($D12:$GA12)=0,1,'Вводные'!$B$63))))*AC13)</x:f>
      </x:c>
      <x:c r="AD20" s="107" t="n">
        <x:f>'Вводные'!$N$88*((IF(SUM($D9:$GA9)=0,0,IF(SUM($D12:$GA12)=0,1,'Вводные'!$B$63)))*AD11+(1-(IF(SUM($D9:$GA9)=0,0,IF(SUM($D12:$GA12)=0,1,'Вводные'!$B$63))))*AD13)</x:f>
      </x:c>
      <x:c r="AE20" s="107" t="n">
        <x:f>'Вводные'!$N$88*((IF(SUM($D9:$GA9)=0,0,IF(SUM($D12:$GA12)=0,1,'Вводные'!$B$63)))*AE11+(1-(IF(SUM($D9:$GA9)=0,0,IF(SUM($D12:$GA12)=0,1,'Вводные'!$B$63))))*AE13)</x:f>
      </x:c>
      <x:c r="AF20" s="107" t="n">
        <x:f>'Вводные'!$N$88*((IF(SUM($D9:$GA9)=0,0,IF(SUM($D12:$GA12)=0,1,'Вводные'!$B$63)))*AF11+(1-(IF(SUM($D9:$GA9)=0,0,IF(SUM($D12:$GA12)=0,1,'Вводные'!$B$63))))*AF13)</x:f>
      </x:c>
      <x:c r="AG20" s="107" t="n">
        <x:f>'Вводные'!$N$88*((IF(SUM($D9:$GA9)=0,0,IF(SUM($D12:$GA12)=0,1,'Вводные'!$B$63)))*AG11+(1-(IF(SUM($D9:$GA9)=0,0,IF(SUM($D12:$GA12)=0,1,'Вводные'!$B$63))))*AG13)</x:f>
      </x:c>
      <x:c r="AH20" s="107" t="n">
        <x:f>'Вводные'!$N$88*((IF(SUM($D9:$GA9)=0,0,IF(SUM($D12:$GA12)=0,1,'Вводные'!$B$63)))*AH11+(1-(IF(SUM($D9:$GA9)=0,0,IF(SUM($D12:$GA12)=0,1,'Вводные'!$B$63))))*AH13)</x:f>
      </x:c>
      <x:c r="AI20" s="107" t="n">
        <x:f>'Вводные'!$N$88*((IF(SUM($D9:$GA9)=0,0,IF(SUM($D12:$GA12)=0,1,'Вводные'!$B$63)))*AI11+(1-(IF(SUM($D9:$GA9)=0,0,IF(SUM($D12:$GA12)=0,1,'Вводные'!$B$63))))*AI13)</x:f>
      </x:c>
      <x:c r="AJ20" s="107" t="n">
        <x:f>'Вводные'!$N$88*((IF(SUM($D9:$GA9)=0,0,IF(SUM($D12:$GA12)=0,1,'Вводные'!$B$63)))*AJ11+(1-(IF(SUM($D9:$GA9)=0,0,IF(SUM($D12:$GA12)=0,1,'Вводные'!$B$63))))*AJ13)</x:f>
      </x:c>
      <x:c r="AK20" s="107" t="n">
        <x:f>'Вводные'!$N$88*((IF(SUM($D9:$GA9)=0,0,IF(SUM($D12:$GA12)=0,1,'Вводные'!$B$63)))*AK11+(1-(IF(SUM($D9:$GA9)=0,0,IF(SUM($D12:$GA12)=0,1,'Вводные'!$B$63))))*AK13)</x:f>
      </x:c>
      <x:c r="AL20" s="107" t="n">
        <x:f>'Вводные'!$N$88*((IF(SUM($D9:$GA9)=0,0,IF(SUM($D12:$GA12)=0,1,'Вводные'!$B$63)))*AL11+(1-(IF(SUM($D9:$GA9)=0,0,IF(SUM($D12:$GA12)=0,1,'Вводные'!$B$63))))*AL13)</x:f>
      </x:c>
      <x:c r="AM20" s="107" t="n">
        <x:f>'Вводные'!$N$88*((IF(SUM($D9:$GA9)=0,0,IF(SUM($D12:$GA12)=0,1,'Вводные'!$B$63)))*AM11+(1-(IF(SUM($D9:$GA9)=0,0,IF(SUM($D12:$GA12)=0,1,'Вводные'!$B$63))))*AM13)</x:f>
      </x:c>
      <x:c r="AN20" s="107" t="n">
        <x:f>'Вводные'!$N$88*((IF(SUM($D9:$GA9)=0,0,IF(SUM($D12:$GA12)=0,1,'Вводные'!$B$63)))*AN11+(1-(IF(SUM($D9:$GA9)=0,0,IF(SUM($D12:$GA12)=0,1,'Вводные'!$B$63))))*AN13)</x:f>
      </x:c>
      <x:c r="AO20" s="107" t="n">
        <x:f>'Вводные'!$N$88*((IF(SUM($D9:$GA9)=0,0,IF(SUM($D12:$GA12)=0,1,'Вводные'!$B$63)))*AO11+(1-(IF(SUM($D9:$GA9)=0,0,IF(SUM($D12:$GA12)=0,1,'Вводные'!$B$63))))*AO13)</x:f>
      </x:c>
      <x:c r="AP20" s="107" t="n">
        <x:f>'Вводные'!$N$88*((IF(SUM($D9:$GA9)=0,0,IF(SUM($D12:$GA12)=0,1,'Вводные'!$B$63)))*AP11+(1-(IF(SUM($D9:$GA9)=0,0,IF(SUM($D12:$GA12)=0,1,'Вводные'!$B$63))))*AP13)</x:f>
      </x:c>
      <x:c r="AQ20" s="107" t="n">
        <x:f>'Вводные'!$N$88*((IF(SUM($D9:$GA9)=0,0,IF(SUM($D12:$GA12)=0,1,'Вводные'!$B$63)))*AQ11+(1-(IF(SUM($D9:$GA9)=0,0,IF(SUM($D12:$GA12)=0,1,'Вводные'!$B$63))))*AQ13)</x:f>
      </x:c>
      <x:c r="AR20" s="107" t="n">
        <x:f>'Вводные'!$N$88*((IF(SUM($D9:$GA9)=0,0,IF(SUM($D12:$GA12)=0,1,'Вводные'!$B$63)))*AR11+(1-(IF(SUM($D9:$GA9)=0,0,IF(SUM($D12:$GA12)=0,1,'Вводные'!$B$63))))*AR13)</x:f>
      </x:c>
      <x:c r="AS20" s="107" t="n">
        <x:f>'Вводные'!$N$88*((IF(SUM($D9:$GA9)=0,0,IF(SUM($D12:$GA12)=0,1,'Вводные'!$B$63)))*AS11+(1-(IF(SUM($D9:$GA9)=0,0,IF(SUM($D12:$GA12)=0,1,'Вводные'!$B$63))))*AS13)</x:f>
      </x:c>
      <x:c r="AT20" s="107" t="n">
        <x:f>'Вводные'!$N$88*((IF(SUM($D9:$GA9)=0,0,IF(SUM($D12:$GA12)=0,1,'Вводные'!$B$63)))*AT11+(1-(IF(SUM($D9:$GA9)=0,0,IF(SUM($D12:$GA12)=0,1,'Вводные'!$B$63))))*AT13)</x:f>
      </x:c>
      <x:c r="AU20" s="107" t="n">
        <x:f>'Вводные'!$N$88*((IF(SUM($D9:$GA9)=0,0,IF(SUM($D12:$GA12)=0,1,'Вводные'!$B$63)))*AU11+(1-(IF(SUM($D9:$GA9)=0,0,IF(SUM($D12:$GA12)=0,1,'Вводные'!$B$63))))*AU13)</x:f>
      </x:c>
      <x:c r="AV20" s="107" t="n">
        <x:f>'Вводные'!$N$88*((IF(SUM($D9:$GA9)=0,0,IF(SUM($D12:$GA12)=0,1,'Вводные'!$B$63)))*AV11+(1-(IF(SUM($D9:$GA9)=0,0,IF(SUM($D12:$GA12)=0,1,'Вводные'!$B$63))))*AV13)</x:f>
      </x:c>
      <x:c r="AW20" s="107" t="n">
        <x:f>'Вводные'!$N$88*((IF(SUM($D9:$GA9)=0,0,IF(SUM($D12:$GA12)=0,1,'Вводные'!$B$63)))*AW11+(1-(IF(SUM($D9:$GA9)=0,0,IF(SUM($D12:$GA12)=0,1,'Вводные'!$B$63))))*AW13)</x:f>
      </x:c>
      <x:c r="AX20" s="107" t="n">
        <x:f>'Вводные'!$N$88*((IF(SUM($D9:$GA9)=0,0,IF(SUM($D12:$GA12)=0,1,'Вводные'!$B$63)))*AX11+(1-(IF(SUM($D9:$GA9)=0,0,IF(SUM($D12:$GA12)=0,1,'Вводные'!$B$63))))*AX13)</x:f>
      </x:c>
      <x:c r="AY20" s="107" t="n">
        <x:f>'Вводные'!$N$88*((IF(SUM($D9:$GA9)=0,0,IF(SUM($D12:$GA12)=0,1,'Вводные'!$B$63)))*AY11+(1-(IF(SUM($D9:$GA9)=0,0,IF(SUM($D12:$GA12)=0,1,'Вводные'!$B$63))))*AY13)</x:f>
      </x:c>
      <x:c r="AZ20" s="107" t="n">
        <x:f>'Вводные'!$N$88*((IF(SUM($D9:$GA9)=0,0,IF(SUM($D12:$GA12)=0,1,'Вводные'!$B$63)))*AZ11+(1-(IF(SUM($D9:$GA9)=0,0,IF(SUM($D12:$GA12)=0,1,'Вводные'!$B$63))))*AZ13)</x:f>
      </x:c>
      <x:c r="BA20" s="107" t="n">
        <x:f>'Вводные'!$N$88*((IF(SUM($D9:$GA9)=0,0,IF(SUM($D12:$GA12)=0,1,'Вводные'!$B$63)))*BA11+(1-(IF(SUM($D9:$GA9)=0,0,IF(SUM($D12:$GA12)=0,1,'Вводные'!$B$63))))*BA13)</x:f>
      </x:c>
      <x:c r="BB20" s="107" t="n">
        <x:f>'Вводные'!$N$88*((IF(SUM($D9:$GA9)=0,0,IF(SUM($D12:$GA12)=0,1,'Вводные'!$B$63)))*BB11+(1-(IF(SUM($D9:$GA9)=0,0,IF(SUM($D12:$GA12)=0,1,'Вводные'!$B$63))))*BB13)</x:f>
      </x:c>
      <x:c r="BC20" s="107" t="n">
        <x:f>'Вводные'!$N$88*((IF(SUM($D9:$GA9)=0,0,IF(SUM($D12:$GA12)=0,1,'Вводные'!$B$63)))*BC11+(1-(IF(SUM($D9:$GA9)=0,0,IF(SUM($D12:$GA12)=0,1,'Вводные'!$B$63))))*BC13)</x:f>
      </x:c>
      <x:c r="BD20" s="107" t="n">
        <x:f>'Вводные'!$N$88*((IF(SUM($D9:$GA9)=0,0,IF(SUM($D12:$GA12)=0,1,'Вводные'!$B$63)))*BD11+(1-(IF(SUM($D9:$GA9)=0,0,IF(SUM($D12:$GA12)=0,1,'Вводные'!$B$63))))*BD13)</x:f>
      </x:c>
      <x:c r="BE20" s="107" t="n">
        <x:f>'Вводные'!$N$88*((IF(SUM($D9:$GA9)=0,0,IF(SUM($D12:$GA12)=0,1,'Вводные'!$B$63)))*BE11+(1-(IF(SUM($D9:$GA9)=0,0,IF(SUM($D12:$GA12)=0,1,'Вводные'!$B$63))))*BE13)</x:f>
      </x:c>
      <x:c r="BF20" s="107" t="n">
        <x:f>'Вводные'!$N$88*((IF(SUM($D9:$GA9)=0,0,IF(SUM($D12:$GA12)=0,1,'Вводные'!$B$63)))*BF11+(1-(IF(SUM($D9:$GA9)=0,0,IF(SUM($D12:$GA12)=0,1,'Вводные'!$B$63))))*BF13)</x:f>
      </x:c>
      <x:c r="BG20" s="107" t="n">
        <x:f>'Вводные'!$N$88*((IF(SUM($D9:$GA9)=0,0,IF(SUM($D12:$GA12)=0,1,'Вводные'!$B$63)))*BG11+(1-(IF(SUM($D9:$GA9)=0,0,IF(SUM($D12:$GA12)=0,1,'Вводные'!$B$63))))*BG13)</x:f>
      </x:c>
      <x:c r="BH20" s="107" t="n">
        <x:f>'Вводные'!$N$88*((IF(SUM($D9:$GA9)=0,0,IF(SUM($D12:$GA12)=0,1,'Вводные'!$B$63)))*BH11+(1-(IF(SUM($D9:$GA9)=0,0,IF(SUM($D12:$GA12)=0,1,'Вводные'!$B$63))))*BH13)</x:f>
      </x:c>
      <x:c r="BI20" s="107" t="n">
        <x:f>'Вводные'!$N$88*((IF(SUM($D9:$GA9)=0,0,IF(SUM($D12:$GA12)=0,1,'Вводные'!$B$63)))*BI11+(1-(IF(SUM($D9:$GA9)=0,0,IF(SUM($D12:$GA12)=0,1,'Вводные'!$B$63))))*BI13)</x:f>
      </x:c>
      <x:c r="BJ20" s="107" t="n">
        <x:f>'Вводные'!$N$88*((IF(SUM($D9:$GA9)=0,0,IF(SUM($D12:$GA12)=0,1,'Вводные'!$B$63)))*BJ11+(1-(IF(SUM($D9:$GA9)=0,0,IF(SUM($D12:$GA12)=0,1,'Вводные'!$B$63))))*BJ13)</x:f>
      </x:c>
      <x:c r="BK20" s="107" t="n">
        <x:f>'Вводные'!$N$88*((IF(SUM($D9:$GA9)=0,0,IF(SUM($D12:$GA12)=0,1,'Вводные'!$B$63)))*BK11+(1-(IF(SUM($D9:$GA9)=0,0,IF(SUM($D12:$GA12)=0,1,'Вводные'!$B$63))))*BK13)</x:f>
      </x:c>
      <x:c r="BL20" s="107" t="n">
        <x:f>'Вводные'!$N$88*((IF(SUM($D9:$GA9)=0,0,IF(SUM($D12:$GA12)=0,1,'Вводные'!$B$63)))*BL11+(1-(IF(SUM($D9:$GA9)=0,0,IF(SUM($D12:$GA12)=0,1,'Вводные'!$B$63))))*BL13)</x:f>
      </x:c>
      <x:c r="BM20" s="107" t="n">
        <x:f>'Вводные'!$N$88*((IF(SUM($D9:$GA9)=0,0,IF(SUM($D12:$GA12)=0,1,'Вводные'!$B$63)))*BM11+(1-(IF(SUM($D9:$GA9)=0,0,IF(SUM($D12:$GA12)=0,1,'Вводные'!$B$63))))*BM13)</x:f>
      </x:c>
      <x:c r="BN20" s="107" t="n">
        <x:f>'Вводные'!$N$88*((IF(SUM($D9:$GA9)=0,0,IF(SUM($D12:$GA12)=0,1,'Вводные'!$B$63)))*BN11+(1-(IF(SUM($D9:$GA9)=0,0,IF(SUM($D12:$GA12)=0,1,'Вводные'!$B$63))))*BN13)</x:f>
      </x:c>
      <x:c r="BO20" s="107" t="n">
        <x:f>'Вводные'!$N$88*((IF(SUM($D9:$GA9)=0,0,IF(SUM($D12:$GA12)=0,1,'Вводные'!$B$63)))*BO11+(1-(IF(SUM($D9:$GA9)=0,0,IF(SUM($D12:$GA12)=0,1,'Вводные'!$B$63))))*BO13)</x:f>
      </x:c>
      <x:c r="BP20" s="107" t="n">
        <x:f>'Вводные'!$N$88*((IF(SUM($D9:$GA9)=0,0,IF(SUM($D12:$GA12)=0,1,'Вводные'!$B$63)))*BP11+(1-(IF(SUM($D9:$GA9)=0,0,IF(SUM($D12:$GA12)=0,1,'Вводные'!$B$63))))*BP13)</x:f>
      </x:c>
      <x:c r="BQ20" s="107" t="n">
        <x:f>'Вводные'!$N$88*((IF(SUM($D9:$GA9)=0,0,IF(SUM($D12:$GA12)=0,1,'Вводные'!$B$63)))*BQ11+(1-(IF(SUM($D9:$GA9)=0,0,IF(SUM($D12:$GA12)=0,1,'Вводные'!$B$63))))*BQ13)</x:f>
      </x:c>
      <x:c r="BR20" s="107" t="n">
        <x:f>'Вводные'!$N$88*((IF(SUM($D9:$GA9)=0,0,IF(SUM($D12:$GA12)=0,1,'Вводные'!$B$63)))*BR11+(1-(IF(SUM($D9:$GA9)=0,0,IF(SUM($D12:$GA12)=0,1,'Вводные'!$B$63))))*BR13)</x:f>
      </x:c>
      <x:c r="BS20" s="107" t="n">
        <x:f>'Вводные'!$N$88*((IF(SUM($D9:$GA9)=0,0,IF(SUM($D12:$GA12)=0,1,'Вводные'!$B$63)))*BS11+(1-(IF(SUM($D9:$GA9)=0,0,IF(SUM($D12:$GA12)=0,1,'Вводные'!$B$63))))*BS13)</x:f>
      </x:c>
      <x:c r="BT20" s="107" t="n">
        <x:f>'Вводные'!$N$88*((IF(SUM($D9:$GA9)=0,0,IF(SUM($D12:$GA12)=0,1,'Вводные'!$B$63)))*BT11+(1-(IF(SUM($D9:$GA9)=0,0,IF(SUM($D12:$GA12)=0,1,'Вводные'!$B$63))))*BT13)</x:f>
      </x:c>
      <x:c r="BU20" s="107" t="n">
        <x:f>'Вводные'!$N$88*((IF(SUM($D9:$GA9)=0,0,IF(SUM($D12:$GA12)=0,1,'Вводные'!$B$63)))*BU11+(1-(IF(SUM($D9:$GA9)=0,0,IF(SUM($D12:$GA12)=0,1,'Вводные'!$B$63))))*BU13)</x:f>
      </x:c>
      <x:c r="BV20" s="107" t="n">
        <x:f>'Вводные'!$N$88*((IF(SUM($D9:$GA9)=0,0,IF(SUM($D12:$GA12)=0,1,'Вводные'!$B$63)))*BV11+(1-(IF(SUM($D9:$GA9)=0,0,IF(SUM($D12:$GA12)=0,1,'Вводные'!$B$63))))*BV13)</x:f>
      </x:c>
      <x:c r="BW20" s="107" t="n">
        <x:f>'Вводные'!$N$88*((IF(SUM($D9:$GA9)=0,0,IF(SUM($D12:$GA12)=0,1,'Вводные'!$B$63)))*BW11+(1-(IF(SUM($D9:$GA9)=0,0,IF(SUM($D12:$GA12)=0,1,'Вводные'!$B$63))))*BW13)</x:f>
      </x:c>
      <x:c r="BX20" s="107" t="n">
        <x:f>'Вводные'!$N$88*((IF(SUM($D9:$GA9)=0,0,IF(SUM($D12:$GA12)=0,1,'Вводные'!$B$63)))*BX11+(1-(IF(SUM($D9:$GA9)=0,0,IF(SUM($D12:$GA12)=0,1,'Вводные'!$B$63))))*BX13)</x:f>
      </x:c>
      <x:c r="BY20" s="107" t="n">
        <x:f>'Вводные'!$N$88*((IF(SUM($D9:$GA9)=0,0,IF(SUM($D12:$GA12)=0,1,'Вводные'!$B$63)))*BY11+(1-(IF(SUM($D9:$GA9)=0,0,IF(SUM($D12:$GA12)=0,1,'Вводные'!$B$63))))*BY13)</x:f>
      </x:c>
      <x:c r="BZ20" s="107" t="n">
        <x:f>'Вводные'!$N$88*((IF(SUM($D9:$GA9)=0,0,IF(SUM($D12:$GA12)=0,1,'Вводные'!$B$63)))*BZ11+(1-(IF(SUM($D9:$GA9)=0,0,IF(SUM($D12:$GA12)=0,1,'Вводные'!$B$63))))*BZ13)</x:f>
      </x:c>
      <x:c r="CA20" s="107" t="n">
        <x:f>'Вводные'!$N$88*((IF(SUM($D9:$GA9)=0,0,IF(SUM($D12:$GA12)=0,1,'Вводные'!$B$63)))*CA11+(1-(IF(SUM($D9:$GA9)=0,0,IF(SUM($D12:$GA12)=0,1,'Вводные'!$B$63))))*CA13)</x:f>
      </x:c>
      <x:c r="CB20" s="107" t="n">
        <x:f>'Вводные'!$N$88*((IF(SUM($D9:$GA9)=0,0,IF(SUM($D12:$GA12)=0,1,'Вводные'!$B$63)))*CB11+(1-(IF(SUM($D9:$GA9)=0,0,IF(SUM($D12:$GA12)=0,1,'Вводные'!$B$63))))*CB13)</x:f>
      </x:c>
      <x:c r="CC20" s="107" t="n">
        <x:f>'Вводные'!$N$88*((IF(SUM($D9:$GA9)=0,0,IF(SUM($D12:$GA12)=0,1,'Вводные'!$B$63)))*CC11+(1-(IF(SUM($D9:$GA9)=0,0,IF(SUM($D12:$GA12)=0,1,'Вводные'!$B$63))))*CC13)</x:f>
      </x:c>
      <x:c r="CD20" s="107" t="n">
        <x:f>'Вводные'!$N$88*((IF(SUM($D9:$GA9)=0,0,IF(SUM($D12:$GA12)=0,1,'Вводные'!$B$63)))*CD11+(1-(IF(SUM($D9:$GA9)=0,0,IF(SUM($D12:$GA12)=0,1,'Вводные'!$B$63))))*CD13)</x:f>
      </x:c>
      <x:c r="CE20" s="107" t="n">
        <x:f>'Вводные'!$N$88*((IF(SUM($D9:$GA9)=0,0,IF(SUM($D12:$GA12)=0,1,'Вводные'!$B$63)))*CE11+(1-(IF(SUM($D9:$GA9)=0,0,IF(SUM($D12:$GA12)=0,1,'Вводные'!$B$63))))*CE13)</x:f>
      </x:c>
      <x:c r="CF20" s="107" t="n">
        <x:f>'Вводные'!$N$88*((IF(SUM($D9:$GA9)=0,0,IF(SUM($D12:$GA12)=0,1,'Вводные'!$B$63)))*CF11+(1-(IF(SUM($D9:$GA9)=0,0,IF(SUM($D12:$GA12)=0,1,'Вводные'!$B$63))))*CF13)</x:f>
      </x:c>
      <x:c r="CG20" s="107" t="n">
        <x:f>'Вводные'!$N$88*((IF(SUM($D9:$GA9)=0,0,IF(SUM($D12:$GA12)=0,1,'Вводные'!$B$63)))*CG11+(1-(IF(SUM($D9:$GA9)=0,0,IF(SUM($D12:$GA12)=0,1,'Вводные'!$B$63))))*CG13)</x:f>
      </x:c>
      <x:c r="CH20" s="107" t="n">
        <x:f>'Вводные'!$N$88*((IF(SUM($D9:$GA9)=0,0,IF(SUM($D12:$GA12)=0,1,'Вводные'!$B$63)))*CH11+(1-(IF(SUM($D9:$GA9)=0,0,IF(SUM($D12:$GA12)=0,1,'Вводные'!$B$63))))*CH13)</x:f>
      </x:c>
      <x:c r="CI20" s="107" t="n">
        <x:f>'Вводные'!$N$88*((IF(SUM($D9:$GA9)=0,0,IF(SUM($D12:$GA12)=0,1,'Вводные'!$B$63)))*CI11+(1-(IF(SUM($D9:$GA9)=0,0,IF(SUM($D12:$GA12)=0,1,'Вводные'!$B$63))))*CI13)</x:f>
      </x:c>
      <x:c r="CJ20" s="107" t="n">
        <x:f>'Вводные'!$N$88*((IF(SUM($D9:$GA9)=0,0,IF(SUM($D12:$GA12)=0,1,'Вводные'!$B$63)))*CJ11+(1-(IF(SUM($D9:$GA9)=0,0,IF(SUM($D12:$GA12)=0,1,'Вводные'!$B$63))))*CJ13)</x:f>
      </x:c>
      <x:c r="CK20" s="107" t="n">
        <x:f>'Вводные'!$N$88*((IF(SUM($D9:$GA9)=0,0,IF(SUM($D12:$GA12)=0,1,'Вводные'!$B$63)))*CK11+(1-(IF(SUM($D9:$GA9)=0,0,IF(SUM($D12:$GA12)=0,1,'Вводные'!$B$63))))*CK13)</x:f>
      </x:c>
      <x:c r="CL20" s="107" t="n">
        <x:f>'Вводные'!$N$88*((IF(SUM($D9:$GA9)=0,0,IF(SUM($D12:$GA12)=0,1,'Вводные'!$B$63)))*CL11+(1-(IF(SUM($D9:$GA9)=0,0,IF(SUM($D12:$GA12)=0,1,'Вводные'!$B$63))))*CL13)</x:f>
      </x:c>
      <x:c r="CM20" s="107" t="n">
        <x:f>'Вводные'!$N$88*((IF(SUM($D9:$GA9)=0,0,IF(SUM($D12:$GA12)=0,1,'Вводные'!$B$63)))*CM11+(1-(IF(SUM($D9:$GA9)=0,0,IF(SUM($D12:$GA12)=0,1,'Вводные'!$B$63))))*CM13)</x:f>
      </x:c>
      <x:c r="CN20" s="107" t="n">
        <x:f>'Вводные'!$N$88*((IF(SUM($D9:$GA9)=0,0,IF(SUM($D12:$GA12)=0,1,'Вводные'!$B$63)))*CN11+(1-(IF(SUM($D9:$GA9)=0,0,IF(SUM($D12:$GA12)=0,1,'Вводные'!$B$63))))*CN13)</x:f>
      </x:c>
      <x:c r="CO20" s="107" t="n">
        <x:f>'Вводные'!$N$88*((IF(SUM($D9:$GA9)=0,0,IF(SUM($D12:$GA12)=0,1,'Вводные'!$B$63)))*CO11+(1-(IF(SUM($D9:$GA9)=0,0,IF(SUM($D12:$GA12)=0,1,'Вводные'!$B$63))))*CO13)</x:f>
      </x:c>
      <x:c r="CP20" s="107" t="n">
        <x:f>'Вводные'!$N$88*((IF(SUM($D9:$GA9)=0,0,IF(SUM($D12:$GA12)=0,1,'Вводные'!$B$63)))*CP11+(1-(IF(SUM($D9:$GA9)=0,0,IF(SUM($D12:$GA12)=0,1,'Вводные'!$B$63))))*CP13)</x:f>
      </x:c>
      <x:c r="CQ20" s="107" t="n">
        <x:f>'Вводные'!$N$88*((IF(SUM($D9:$GA9)=0,0,IF(SUM($D12:$GA12)=0,1,'Вводные'!$B$63)))*CQ11+(1-(IF(SUM($D9:$GA9)=0,0,IF(SUM($D12:$GA12)=0,1,'Вводные'!$B$63))))*CQ13)</x:f>
      </x:c>
      <x:c r="CR20" s="107" t="n">
        <x:f>'Вводные'!$N$88*((IF(SUM($D9:$GA9)=0,0,IF(SUM($D12:$GA12)=0,1,'Вводные'!$B$63)))*CR11+(1-(IF(SUM($D9:$GA9)=0,0,IF(SUM($D12:$GA12)=0,1,'Вводные'!$B$63))))*CR13)</x:f>
      </x:c>
      <x:c r="CS20" s="107" t="n">
        <x:f>'Вводные'!$N$88*((IF(SUM($D9:$GA9)=0,0,IF(SUM($D12:$GA12)=0,1,'Вводные'!$B$63)))*CS11+(1-(IF(SUM($D9:$GA9)=0,0,IF(SUM($D12:$GA12)=0,1,'Вводные'!$B$63))))*CS13)</x:f>
      </x:c>
      <x:c r="CT20" s="107" t="n">
        <x:f>'Вводные'!$N$88*((IF(SUM($D9:$GA9)=0,0,IF(SUM($D12:$GA12)=0,1,'Вводные'!$B$63)))*CT11+(1-(IF(SUM($D9:$GA9)=0,0,IF(SUM($D12:$GA12)=0,1,'Вводные'!$B$63))))*CT13)</x:f>
      </x:c>
      <x:c r="CU20" s="107" t="n">
        <x:f>'Вводные'!$N$88*((IF(SUM($D9:$GA9)=0,0,IF(SUM($D12:$GA12)=0,1,'Вводные'!$B$63)))*CU11+(1-(IF(SUM($D9:$GA9)=0,0,IF(SUM($D12:$GA12)=0,1,'Вводные'!$B$63))))*CU13)</x:f>
      </x:c>
      <x:c r="CV20" s="107" t="n">
        <x:f>'Вводные'!$N$88*((IF(SUM($D9:$GA9)=0,0,IF(SUM($D12:$GA12)=0,1,'Вводные'!$B$63)))*CV11+(1-(IF(SUM($D9:$GA9)=0,0,IF(SUM($D12:$GA12)=0,1,'Вводные'!$B$63))))*CV13)</x:f>
      </x:c>
      <x:c r="CW20" s="107" t="n">
        <x:f>'Вводные'!$N$88*((IF(SUM($D9:$GA9)=0,0,IF(SUM($D12:$GA12)=0,1,'Вводные'!$B$63)))*CW11+(1-(IF(SUM($D9:$GA9)=0,0,IF(SUM($D12:$GA12)=0,1,'Вводные'!$B$63))))*CW13)</x:f>
      </x:c>
      <x:c r="CX20" s="107" t="n">
        <x:f>'Вводные'!$N$88*((IF(SUM($D9:$GA9)=0,0,IF(SUM($D12:$GA12)=0,1,'Вводные'!$B$63)))*CX11+(1-(IF(SUM($D9:$GA9)=0,0,IF(SUM($D12:$GA12)=0,1,'Вводные'!$B$63))))*CX13)</x:f>
      </x:c>
      <x:c r="CY20" s="107" t="n">
        <x:f>'Вводные'!$N$88*((IF(SUM($D9:$GA9)=0,0,IF(SUM($D12:$GA12)=0,1,'Вводные'!$B$63)))*CY11+(1-(IF(SUM($D9:$GA9)=0,0,IF(SUM($D12:$GA12)=0,1,'Вводные'!$B$63))))*CY13)</x:f>
      </x:c>
      <x:c r="CZ20" s="107" t="n">
        <x:f>'Вводные'!$N$88*((IF(SUM($D9:$GA9)=0,0,IF(SUM($D12:$GA12)=0,1,'Вводные'!$B$63)))*CZ11+(1-(IF(SUM($D9:$GA9)=0,0,IF(SUM($D12:$GA12)=0,1,'Вводные'!$B$63))))*CZ13)</x:f>
      </x:c>
      <x:c r="DA20" s="107" t="n">
        <x:f>'Вводные'!$N$88*((IF(SUM($D9:$GA9)=0,0,IF(SUM($D12:$GA12)=0,1,'Вводные'!$B$63)))*DA11+(1-(IF(SUM($D9:$GA9)=0,0,IF(SUM($D12:$GA12)=0,1,'Вводные'!$B$63))))*DA13)</x:f>
      </x:c>
      <x:c r="DB20" s="107" t="n">
        <x:f>'Вводные'!$N$88*((IF(SUM($D9:$GA9)=0,0,IF(SUM($D12:$GA12)=0,1,'Вводные'!$B$63)))*DB11+(1-(IF(SUM($D9:$GA9)=0,0,IF(SUM($D12:$GA12)=0,1,'Вводные'!$B$63))))*DB13)</x:f>
      </x:c>
      <x:c r="DC20" s="107" t="n">
        <x:f>'Вводные'!$N$88*((IF(SUM($D9:$GA9)=0,0,IF(SUM($D12:$GA12)=0,1,'Вводные'!$B$63)))*DC11+(1-(IF(SUM($D9:$GA9)=0,0,IF(SUM($D12:$GA12)=0,1,'Вводные'!$B$63))))*DC13)</x:f>
      </x:c>
      <x:c r="DD20" s="107" t="n">
        <x:f>'Вводные'!$N$88*((IF(SUM($D9:$GA9)=0,0,IF(SUM($D12:$GA12)=0,1,'Вводные'!$B$63)))*DD11+(1-(IF(SUM($D9:$GA9)=0,0,IF(SUM($D12:$GA12)=0,1,'Вводные'!$B$63))))*DD13)</x:f>
      </x:c>
      <x:c r="DE20" s="107" t="n">
        <x:f>'Вводные'!$N$88*((IF(SUM($D9:$GA9)=0,0,IF(SUM($D12:$GA12)=0,1,'Вводные'!$B$63)))*DE11+(1-(IF(SUM($D9:$GA9)=0,0,IF(SUM($D12:$GA12)=0,1,'Вводные'!$B$63))))*DE13)</x:f>
      </x:c>
      <x:c r="DF20" s="107" t="n">
        <x:f>'Вводные'!$N$88*((IF(SUM($D9:$GA9)=0,0,IF(SUM($D12:$GA12)=0,1,'Вводные'!$B$63)))*DF11+(1-(IF(SUM($D9:$GA9)=0,0,IF(SUM($D12:$GA12)=0,1,'Вводные'!$B$63))))*DF13)</x:f>
      </x:c>
      <x:c r="DG20" s="107" t="n">
        <x:f>'Вводные'!$N$88*((IF(SUM($D9:$GA9)=0,0,IF(SUM($D12:$GA12)=0,1,'Вводные'!$B$63)))*DG11+(1-(IF(SUM($D9:$GA9)=0,0,IF(SUM($D12:$GA12)=0,1,'Вводные'!$B$63))))*DG13)</x:f>
      </x:c>
      <x:c r="DH20" s="107" t="n">
        <x:f>'Вводные'!$N$88*((IF(SUM($D9:$GA9)=0,0,IF(SUM($D12:$GA12)=0,1,'Вводные'!$B$63)))*DH11+(1-(IF(SUM($D9:$GA9)=0,0,IF(SUM($D12:$GA12)=0,1,'Вводные'!$B$63))))*DH13)</x:f>
      </x:c>
      <x:c r="DI20" s="107" t="n">
        <x:f>'Вводные'!$N$88*((IF(SUM($D9:$GA9)=0,0,IF(SUM($D12:$GA12)=0,1,'Вводные'!$B$63)))*DI11+(1-(IF(SUM($D9:$GA9)=0,0,IF(SUM($D12:$GA12)=0,1,'Вводные'!$B$63))))*DI13)</x:f>
      </x:c>
      <x:c r="DJ20" s="107" t="n">
        <x:f>'Вводные'!$N$88*((IF(SUM($D9:$GA9)=0,0,IF(SUM($D12:$GA12)=0,1,'Вводные'!$B$63)))*DJ11+(1-(IF(SUM($D9:$GA9)=0,0,IF(SUM($D12:$GA12)=0,1,'Вводные'!$B$63))))*DJ13)</x:f>
      </x:c>
      <x:c r="DK20" s="107" t="n">
        <x:f>'Вводные'!$N$88*((IF(SUM($D9:$GA9)=0,0,IF(SUM($D12:$GA12)=0,1,'Вводные'!$B$63)))*DK11+(1-(IF(SUM($D9:$GA9)=0,0,IF(SUM($D12:$GA12)=0,1,'Вводные'!$B$63))))*DK13)</x:f>
      </x:c>
      <x:c r="DL20" s="107" t="n">
        <x:f>'Вводные'!$N$88*((IF(SUM($D9:$GA9)=0,0,IF(SUM($D12:$GA12)=0,1,'Вводные'!$B$63)))*DL11+(1-(IF(SUM($D9:$GA9)=0,0,IF(SUM($D12:$GA12)=0,1,'Вводные'!$B$63))))*DL13)</x:f>
      </x:c>
      <x:c r="DM20" s="107" t="n">
        <x:f>'Вводные'!$N$88*((IF(SUM($D9:$GA9)=0,0,IF(SUM($D12:$GA12)=0,1,'Вводные'!$B$63)))*DM11+(1-(IF(SUM($D9:$GA9)=0,0,IF(SUM($D12:$GA12)=0,1,'Вводные'!$B$63))))*DM13)</x:f>
      </x:c>
      <x:c r="DN20" s="107" t="n">
        <x:f>'Вводные'!$N$88*((IF(SUM($D9:$GA9)=0,0,IF(SUM($D12:$GA12)=0,1,'Вводные'!$B$63)))*DN11+(1-(IF(SUM($D9:$GA9)=0,0,IF(SUM($D12:$GA12)=0,1,'Вводные'!$B$63))))*DN13)</x:f>
      </x:c>
      <x:c r="DO20" s="107" t="n">
        <x:f>'Вводные'!$N$88*((IF(SUM($D9:$GA9)=0,0,IF(SUM($D12:$GA12)=0,1,'Вводные'!$B$63)))*DO11+(1-(IF(SUM($D9:$GA9)=0,0,IF(SUM($D12:$GA12)=0,1,'Вводные'!$B$63))))*DO13)</x:f>
      </x:c>
      <x:c r="DP20" s="107" t="n">
        <x:f>'Вводные'!$N$88*((IF(SUM($D9:$GA9)=0,0,IF(SUM($D12:$GA12)=0,1,'Вводные'!$B$63)))*DP11+(1-(IF(SUM($D9:$GA9)=0,0,IF(SUM($D12:$GA12)=0,1,'Вводные'!$B$63))))*DP13)</x:f>
      </x:c>
      <x:c r="DQ20" s="107" t="n">
        <x:f>'Вводные'!$N$88*((IF(SUM($D9:$GA9)=0,0,IF(SUM($D12:$GA12)=0,1,'Вводные'!$B$63)))*DQ11+(1-(IF(SUM($D9:$GA9)=0,0,IF(SUM($D12:$GA12)=0,1,'Вводные'!$B$63))))*DQ13)</x:f>
      </x:c>
      <x:c r="DR20" s="107" t="n">
        <x:f>'Вводные'!$N$88*((IF(SUM($D9:$GA9)=0,0,IF(SUM($D12:$GA12)=0,1,'Вводные'!$B$63)))*DR11+(1-(IF(SUM($D9:$GA9)=0,0,IF(SUM($D12:$GA12)=0,1,'Вводные'!$B$63))))*DR13)</x:f>
      </x:c>
      <x:c r="DS20" s="107" t="n">
        <x:f>'Вводные'!$N$88*((IF(SUM($D9:$GA9)=0,0,IF(SUM($D12:$GA12)=0,1,'Вводные'!$B$63)))*DS11+(1-(IF(SUM($D9:$GA9)=0,0,IF(SUM($D12:$GA12)=0,1,'Вводные'!$B$63))))*DS13)</x:f>
      </x:c>
      <x:c r="DT20" s="107" t="n">
        <x:f>'Вводные'!$N$88*((IF(SUM($D9:$GA9)=0,0,IF(SUM($D12:$GA12)=0,1,'Вводные'!$B$63)))*DT11+(1-(IF(SUM($D9:$GA9)=0,0,IF(SUM($D12:$GA12)=0,1,'Вводные'!$B$63))))*DT13)</x:f>
      </x:c>
      <x:c r="DU20" s="107" t="n">
        <x:f>'Вводные'!$N$88*((IF(SUM($D9:$GA9)=0,0,IF(SUM($D12:$GA12)=0,1,'Вводные'!$B$63)))*DU11+(1-(IF(SUM($D9:$GA9)=0,0,IF(SUM($D12:$GA12)=0,1,'Вводные'!$B$63))))*DU13)</x:f>
      </x:c>
      <x:c r="DV20" s="107" t="n">
        <x:f>'Вводные'!$N$88*((IF(SUM($D9:$GA9)=0,0,IF(SUM($D12:$GA12)=0,1,'Вводные'!$B$63)))*DV11+(1-(IF(SUM($D9:$GA9)=0,0,IF(SUM($D12:$GA12)=0,1,'Вводные'!$B$63))))*DV13)</x:f>
      </x:c>
      <x:c r="DW20" s="107" t="n">
        <x:f>'Вводные'!$N$88*((IF(SUM($D9:$GA9)=0,0,IF(SUM($D12:$GA12)=0,1,'Вводные'!$B$63)))*DW11+(1-(IF(SUM($D9:$GA9)=0,0,IF(SUM($D12:$GA12)=0,1,'Вводные'!$B$63))))*DW13)</x:f>
      </x:c>
      <x:c r="DX20" s="107" t="n">
        <x:f>'Вводные'!$N$88*((IF(SUM($D9:$GA9)=0,0,IF(SUM($D12:$GA12)=0,1,'Вводные'!$B$63)))*DX11+(1-(IF(SUM($D9:$GA9)=0,0,IF(SUM($D12:$GA12)=0,1,'Вводные'!$B$63))))*DX13)</x:f>
      </x:c>
      <x:c r="DY20" s="107" t="n">
        <x:f>'Вводные'!$N$88*((IF(SUM($D9:$GA9)=0,0,IF(SUM($D12:$GA12)=0,1,'Вводные'!$B$63)))*DY11+(1-(IF(SUM($D9:$GA9)=0,0,IF(SUM($D12:$GA12)=0,1,'Вводные'!$B$63))))*DY13)</x:f>
      </x:c>
      <x:c r="DZ20" s="107" t="n">
        <x:f>'Вводные'!$N$88*((IF(SUM($D9:$GA9)=0,0,IF(SUM($D12:$GA12)=0,1,'Вводные'!$B$63)))*DZ11+(1-(IF(SUM($D9:$GA9)=0,0,IF(SUM($D12:$GA12)=0,1,'Вводные'!$B$63))))*DZ13)</x:f>
      </x:c>
      <x:c r="EA20" s="107" t="n">
        <x:f>'Вводные'!$N$88*((IF(SUM($D9:$GA9)=0,0,IF(SUM($D12:$GA12)=0,1,'Вводные'!$B$63)))*EA11+(1-(IF(SUM($D9:$GA9)=0,0,IF(SUM($D12:$GA12)=0,1,'Вводные'!$B$63))))*EA13)</x:f>
      </x:c>
      <x:c r="EB20" s="107" t="n">
        <x:f>'Вводные'!$N$88*((IF(SUM($D9:$GA9)=0,0,IF(SUM($D12:$GA12)=0,1,'Вводные'!$B$63)))*EB11+(1-(IF(SUM($D9:$GA9)=0,0,IF(SUM($D12:$GA12)=0,1,'Вводные'!$B$63))))*EB13)</x:f>
      </x:c>
      <x:c r="EC20" s="107" t="n">
        <x:f>'Вводные'!$N$88*((IF(SUM($D9:$GA9)=0,0,IF(SUM($D12:$GA12)=0,1,'Вводные'!$B$63)))*EC11+(1-(IF(SUM($D9:$GA9)=0,0,IF(SUM($D12:$GA12)=0,1,'Вводные'!$B$63))))*EC13)</x:f>
      </x:c>
      <x:c r="ED20" s="107" t="n">
        <x:f>'Вводные'!$N$88*((IF(SUM($D9:$GA9)=0,0,IF(SUM($D12:$GA12)=0,1,'Вводные'!$B$63)))*ED11+(1-(IF(SUM($D9:$GA9)=0,0,IF(SUM($D12:$GA12)=0,1,'Вводные'!$B$63))))*ED13)</x:f>
      </x:c>
      <x:c r="EE20" s="107" t="n">
        <x:f>'Вводные'!$N$88*((IF(SUM($D9:$GA9)=0,0,IF(SUM($D12:$GA12)=0,1,'Вводные'!$B$63)))*EE11+(1-(IF(SUM($D9:$GA9)=0,0,IF(SUM($D12:$GA12)=0,1,'Вводные'!$B$63))))*EE13)</x:f>
      </x:c>
      <x:c r="EF20" s="107" t="n">
        <x:f>'Вводные'!$N$88*((IF(SUM($D9:$GA9)=0,0,IF(SUM($D12:$GA12)=0,1,'Вводные'!$B$63)))*EF11+(1-(IF(SUM($D9:$GA9)=0,0,IF(SUM($D12:$GA12)=0,1,'Вводные'!$B$63))))*EF13)</x:f>
      </x:c>
      <x:c r="EG20" s="107" t="n">
        <x:f>'Вводные'!$N$88*((IF(SUM($D9:$GA9)=0,0,IF(SUM($D12:$GA12)=0,1,'Вводные'!$B$63)))*EG11+(1-(IF(SUM($D9:$GA9)=0,0,IF(SUM($D12:$GA12)=0,1,'Вводные'!$B$63))))*EG13)</x:f>
      </x:c>
      <x:c r="EH20" s="107" t="n">
        <x:f>'Вводные'!$N$88*((IF(SUM($D9:$GA9)=0,0,IF(SUM($D12:$GA12)=0,1,'Вводные'!$B$63)))*EH11+(1-(IF(SUM($D9:$GA9)=0,0,IF(SUM($D12:$GA12)=0,1,'Вводные'!$B$63))))*EH13)</x:f>
      </x:c>
      <x:c r="EI20" s="107" t="n">
        <x:f>'Вводные'!$N$88*((IF(SUM($D9:$GA9)=0,0,IF(SUM($D12:$GA12)=0,1,'Вводные'!$B$63)))*EI11+(1-(IF(SUM($D9:$GA9)=0,0,IF(SUM($D12:$GA12)=0,1,'Вводные'!$B$63))))*EI13)</x:f>
      </x:c>
      <x:c r="EJ20" s="107" t="n">
        <x:f>'Вводные'!$N$88*((IF(SUM($D9:$GA9)=0,0,IF(SUM($D12:$GA12)=0,1,'Вводные'!$B$63)))*EJ11+(1-(IF(SUM($D9:$GA9)=0,0,IF(SUM($D12:$GA12)=0,1,'Вводные'!$B$63))))*EJ13)</x:f>
      </x:c>
      <x:c r="EK20" s="107" t="n">
        <x:f>'Вводные'!$N$88*((IF(SUM($D9:$GA9)=0,0,IF(SUM($D12:$GA12)=0,1,'Вводные'!$B$63)))*EK11+(1-(IF(SUM($D9:$GA9)=0,0,IF(SUM($D12:$GA12)=0,1,'Вводные'!$B$63))))*EK13)</x:f>
      </x:c>
      <x:c r="EL20" s="107" t="n">
        <x:f>'Вводные'!$N$88*((IF(SUM($D9:$GA9)=0,0,IF(SUM($D12:$GA12)=0,1,'Вводные'!$B$63)))*EL11+(1-(IF(SUM($D9:$GA9)=0,0,IF(SUM($D12:$GA12)=0,1,'Вводные'!$B$63))))*EL13)</x:f>
      </x:c>
      <x:c r="EM20" s="107" t="n">
        <x:f>'Вводные'!$N$88*((IF(SUM($D9:$GA9)=0,0,IF(SUM($D12:$GA12)=0,1,'Вводные'!$B$63)))*EM11+(1-(IF(SUM($D9:$GA9)=0,0,IF(SUM($D12:$GA12)=0,1,'Вводные'!$B$63))))*EM13)</x:f>
      </x:c>
      <x:c r="EN20" s="107" t="n">
        <x:f>'Вводные'!$N$88*((IF(SUM($D9:$GA9)=0,0,IF(SUM($D12:$GA12)=0,1,'Вводные'!$B$63)))*EN11+(1-(IF(SUM($D9:$GA9)=0,0,IF(SUM($D12:$GA12)=0,1,'Вводные'!$B$63))))*EN13)</x:f>
      </x:c>
      <x:c r="EO20" s="107" t="n">
        <x:f>'Вводные'!$N$88*((IF(SUM($D9:$GA9)=0,0,IF(SUM($D12:$GA12)=0,1,'Вводные'!$B$63)))*EO11+(1-(IF(SUM($D9:$GA9)=0,0,IF(SUM($D12:$GA12)=0,1,'Вводные'!$B$63))))*EO13)</x:f>
      </x:c>
      <x:c r="EP20" s="107" t="n">
        <x:f>'Вводные'!$N$88*((IF(SUM($D9:$GA9)=0,0,IF(SUM($D12:$GA12)=0,1,'Вводные'!$B$63)))*EP11+(1-(IF(SUM($D9:$GA9)=0,0,IF(SUM($D12:$GA12)=0,1,'Вводные'!$B$63))))*EP13)</x:f>
      </x:c>
      <x:c r="EQ20" s="107" t="n">
        <x:f>'Вводные'!$N$88*((IF(SUM($D9:$GA9)=0,0,IF(SUM($D12:$GA12)=0,1,'Вводные'!$B$63)))*EQ11+(1-(IF(SUM($D9:$GA9)=0,0,IF(SUM($D12:$GA12)=0,1,'Вводные'!$B$63))))*EQ13)</x:f>
      </x:c>
      <x:c r="ER20" s="107" t="n">
        <x:f>'Вводные'!$N$88*((IF(SUM($D9:$GA9)=0,0,IF(SUM($D12:$GA12)=0,1,'Вводные'!$B$63)))*ER11+(1-(IF(SUM($D9:$GA9)=0,0,IF(SUM($D12:$GA12)=0,1,'Вводные'!$B$63))))*ER13)</x:f>
      </x:c>
      <x:c r="ES20" s="107" t="n">
        <x:f>'Вводные'!$N$88*((IF(SUM($D9:$GA9)=0,0,IF(SUM($D12:$GA12)=0,1,'Вводные'!$B$63)))*ES11+(1-(IF(SUM($D9:$GA9)=0,0,IF(SUM($D12:$GA12)=0,1,'Вводные'!$B$63))))*ES13)</x:f>
      </x:c>
      <x:c r="ET20" s="107" t="n">
        <x:f>'Вводные'!$N$88*((IF(SUM($D9:$GA9)=0,0,IF(SUM($D12:$GA12)=0,1,'Вводные'!$B$63)))*ET11+(1-(IF(SUM($D9:$GA9)=0,0,IF(SUM($D12:$GA12)=0,1,'Вводные'!$B$63))))*ET13)</x:f>
      </x:c>
      <x:c r="EU20" s="107" t="n">
        <x:f>'Вводные'!$N$88*((IF(SUM($D9:$GA9)=0,0,IF(SUM($D12:$GA12)=0,1,'Вводные'!$B$63)))*EU11+(1-(IF(SUM($D9:$GA9)=0,0,IF(SUM($D12:$GA12)=0,1,'Вводные'!$B$63))))*EU13)</x:f>
      </x:c>
      <x:c r="EV20" s="107" t="n">
        <x:f>'Вводные'!$N$88*((IF(SUM($D9:$GA9)=0,0,IF(SUM($D12:$GA12)=0,1,'Вводные'!$B$63)))*EV11+(1-(IF(SUM($D9:$GA9)=0,0,IF(SUM($D12:$GA12)=0,1,'Вводные'!$B$63))))*EV13)</x:f>
      </x:c>
      <x:c r="EW20" s="107" t="n">
        <x:f>'Вводные'!$N$88*((IF(SUM($D9:$GA9)=0,0,IF(SUM($D12:$GA12)=0,1,'Вводные'!$B$63)))*EW11+(1-(IF(SUM($D9:$GA9)=0,0,IF(SUM($D12:$GA12)=0,1,'Вводные'!$B$63))))*EW13)</x:f>
      </x:c>
      <x:c r="EX20" s="107" t="n">
        <x:f>'Вводные'!$N$88*((IF(SUM($D9:$GA9)=0,0,IF(SUM($D12:$GA12)=0,1,'Вводные'!$B$63)))*EX11+(1-(IF(SUM($D9:$GA9)=0,0,IF(SUM($D12:$GA12)=0,1,'Вводные'!$B$63))))*EX13)</x:f>
      </x:c>
      <x:c r="EY20" s="107" t="n">
        <x:f>'Вводные'!$N$88*((IF(SUM($D9:$GA9)=0,0,IF(SUM($D12:$GA12)=0,1,'Вводные'!$B$63)))*EY11+(1-(IF(SUM($D9:$GA9)=0,0,IF(SUM($D12:$GA12)=0,1,'Вводные'!$B$63))))*EY13)</x:f>
      </x:c>
      <x:c r="EZ20" s="107" t="n">
        <x:f>'Вводные'!$N$88*((IF(SUM($D9:$GA9)=0,0,IF(SUM($D12:$GA12)=0,1,'Вводные'!$B$63)))*EZ11+(1-(IF(SUM($D9:$GA9)=0,0,IF(SUM($D12:$GA12)=0,1,'Вводные'!$B$63))))*EZ13)</x:f>
      </x:c>
      <x:c r="FA20" s="107" t="n">
        <x:f>'Вводные'!$N$88*((IF(SUM($D9:$GA9)=0,0,IF(SUM($D12:$GA12)=0,1,'Вводные'!$B$63)))*FA11+(1-(IF(SUM($D9:$GA9)=0,0,IF(SUM($D12:$GA12)=0,1,'Вводные'!$B$63))))*FA13)</x:f>
      </x:c>
      <x:c r="FB20" s="107" t="n">
        <x:f>'Вводные'!$N$88*((IF(SUM($D9:$GA9)=0,0,IF(SUM($D12:$GA12)=0,1,'Вводные'!$B$63)))*FB11+(1-(IF(SUM($D9:$GA9)=0,0,IF(SUM($D12:$GA12)=0,1,'Вводные'!$B$63))))*FB13)</x:f>
      </x:c>
      <x:c r="FC20" s="107" t="n">
        <x:f>'Вводные'!$N$88*((IF(SUM($D9:$GA9)=0,0,IF(SUM($D12:$GA12)=0,1,'Вводные'!$B$63)))*FC11+(1-(IF(SUM($D9:$GA9)=0,0,IF(SUM($D12:$GA12)=0,1,'Вводные'!$B$63))))*FC13)</x:f>
      </x:c>
      <x:c r="FD20" s="107" t="n">
        <x:f>'Вводные'!$N$88*((IF(SUM($D9:$GA9)=0,0,IF(SUM($D12:$GA12)=0,1,'Вводные'!$B$63)))*FD11+(1-(IF(SUM($D9:$GA9)=0,0,IF(SUM($D12:$GA12)=0,1,'Вводные'!$B$63))))*FD13)</x:f>
      </x:c>
      <x:c r="FE20" s="107" t="n">
        <x:f>'Вводные'!$N$88*((IF(SUM($D9:$GA9)=0,0,IF(SUM($D12:$GA12)=0,1,'Вводные'!$B$63)))*FE11+(1-(IF(SUM($D9:$GA9)=0,0,IF(SUM($D12:$GA12)=0,1,'Вводные'!$B$63))))*FE13)</x:f>
      </x:c>
      <x:c r="FF20" s="107" t="n">
        <x:f>'Вводные'!$N$88*((IF(SUM($D9:$GA9)=0,0,IF(SUM($D12:$GA12)=0,1,'Вводные'!$B$63)))*FF11+(1-(IF(SUM($D9:$GA9)=0,0,IF(SUM($D12:$GA12)=0,1,'Вводные'!$B$63))))*FF13)</x:f>
      </x:c>
      <x:c r="FG20" s="107" t="n">
        <x:f>'Вводные'!$N$88*((IF(SUM($D9:$GA9)=0,0,IF(SUM($D12:$GA12)=0,1,'Вводные'!$B$63)))*FG11+(1-(IF(SUM($D9:$GA9)=0,0,IF(SUM($D12:$GA12)=0,1,'Вводные'!$B$63))))*FG13)</x:f>
      </x:c>
      <x:c r="FH20" s="107" t="n">
        <x:f>'Вводные'!$N$88*((IF(SUM($D9:$GA9)=0,0,IF(SUM($D12:$GA12)=0,1,'Вводные'!$B$63)))*FH11+(1-(IF(SUM($D9:$GA9)=0,0,IF(SUM($D12:$GA12)=0,1,'Вводные'!$B$63))))*FH13)</x:f>
      </x:c>
      <x:c r="FI20" s="107" t="n">
        <x:f>'Вводные'!$N$88*((IF(SUM($D9:$GA9)=0,0,IF(SUM($D12:$GA12)=0,1,'Вводные'!$B$63)))*FI11+(1-(IF(SUM($D9:$GA9)=0,0,IF(SUM($D12:$GA12)=0,1,'Вводные'!$B$63))))*FI13)</x:f>
      </x:c>
      <x:c r="FJ20" s="107" t="n">
        <x:f>'Вводные'!$N$88*((IF(SUM($D9:$GA9)=0,0,IF(SUM($D12:$GA12)=0,1,'Вводные'!$B$63)))*FJ11+(1-(IF(SUM($D9:$GA9)=0,0,IF(SUM($D12:$GA12)=0,1,'Вводные'!$B$63))))*FJ13)</x:f>
      </x:c>
      <x:c r="FK20" s="107" t="n">
        <x:f>'Вводные'!$N$88*((IF(SUM($D9:$GA9)=0,0,IF(SUM($D12:$GA12)=0,1,'Вводные'!$B$63)))*FK11+(1-(IF(SUM($D9:$GA9)=0,0,IF(SUM($D12:$GA12)=0,1,'Вводные'!$B$63))))*FK13)</x:f>
      </x:c>
      <x:c r="FL20" s="107" t="n">
        <x:f>'Вводные'!$N$88*((IF(SUM($D9:$GA9)=0,0,IF(SUM($D12:$GA12)=0,1,'Вводные'!$B$63)))*FL11+(1-(IF(SUM($D9:$GA9)=0,0,IF(SUM($D12:$GA12)=0,1,'Вводные'!$B$63))))*FL13)</x:f>
      </x:c>
      <x:c r="FM20" s="107" t="n">
        <x:f>'Вводные'!$N$88*((IF(SUM($D9:$GA9)=0,0,IF(SUM($D12:$GA12)=0,1,'Вводные'!$B$63)))*FM11+(1-(IF(SUM($D9:$GA9)=0,0,IF(SUM($D12:$GA12)=0,1,'Вводные'!$B$63))))*FM13)</x:f>
      </x:c>
      <x:c r="FN20" s="107" t="n">
        <x:f>'Вводные'!$N$88*((IF(SUM($D9:$GA9)=0,0,IF(SUM($D12:$GA12)=0,1,'Вводные'!$B$63)))*FN11+(1-(IF(SUM($D9:$GA9)=0,0,IF(SUM($D12:$GA12)=0,1,'Вводные'!$B$63))))*FN13)</x:f>
      </x:c>
      <x:c r="FO20" s="107" t="n">
        <x:f>'Вводные'!$N$88*((IF(SUM($D9:$GA9)=0,0,IF(SUM($D12:$GA12)=0,1,'Вводные'!$B$63)))*FO11+(1-(IF(SUM($D9:$GA9)=0,0,IF(SUM($D12:$GA12)=0,1,'Вводные'!$B$63))))*FO13)</x:f>
      </x:c>
      <x:c r="FP20" s="107" t="n">
        <x:f>'Вводные'!$N$88*((IF(SUM($D9:$GA9)=0,0,IF(SUM($D12:$GA12)=0,1,'Вводные'!$B$63)))*FP11+(1-(IF(SUM($D9:$GA9)=0,0,IF(SUM($D12:$GA12)=0,1,'Вводные'!$B$63))))*FP13)</x:f>
      </x:c>
      <x:c r="FQ20" s="107" t="n">
        <x:f>'Вводные'!$N$88*((IF(SUM($D9:$GA9)=0,0,IF(SUM($D12:$GA12)=0,1,'Вводные'!$B$63)))*FQ11+(1-(IF(SUM($D9:$GA9)=0,0,IF(SUM($D12:$GA12)=0,1,'Вводные'!$B$63))))*FQ13)</x:f>
      </x:c>
      <x:c r="FR20" s="107" t="n">
        <x:f>'Вводные'!$N$88*((IF(SUM($D9:$GA9)=0,0,IF(SUM($D12:$GA12)=0,1,'Вводные'!$B$63)))*FR11+(1-(IF(SUM($D9:$GA9)=0,0,IF(SUM($D12:$GA12)=0,1,'Вводные'!$B$63))))*FR13)</x:f>
      </x:c>
      <x:c r="FS20" s="107" t="n">
        <x:f>'Вводные'!$N$88*((IF(SUM($D9:$GA9)=0,0,IF(SUM($D12:$GA12)=0,1,'Вводные'!$B$63)))*FS11+(1-(IF(SUM($D9:$GA9)=0,0,IF(SUM($D12:$GA12)=0,1,'Вводные'!$B$63))))*FS13)</x:f>
      </x:c>
      <x:c r="FT20" s="107" t="n">
        <x:f>'Вводные'!$N$88*((IF(SUM($D9:$GA9)=0,0,IF(SUM($D12:$GA12)=0,1,'Вводные'!$B$63)))*FT11+(1-(IF(SUM($D9:$GA9)=0,0,IF(SUM($D12:$GA12)=0,1,'Вводные'!$B$63))))*FT13)</x:f>
      </x:c>
      <x:c r="FU20" s="107" t="n">
        <x:f>'Вводные'!$N$88*((IF(SUM($D9:$GA9)=0,0,IF(SUM($D12:$GA12)=0,1,'Вводные'!$B$63)))*FU11+(1-(IF(SUM($D9:$GA9)=0,0,IF(SUM($D12:$GA12)=0,1,'Вводные'!$B$63))))*FU13)</x:f>
      </x:c>
      <x:c r="FV20" s="107" t="n">
        <x:f>'Вводные'!$N$88*((IF(SUM($D9:$GA9)=0,0,IF(SUM($D12:$GA12)=0,1,'Вводные'!$B$63)))*FV11+(1-(IF(SUM($D9:$GA9)=0,0,IF(SUM($D12:$GA12)=0,1,'Вводные'!$B$63))))*FV13)</x:f>
      </x:c>
      <x:c r="FW20" s="107" t="n">
        <x:f>'Вводные'!$N$88*((IF(SUM($D9:$GA9)=0,0,IF(SUM($D12:$GA12)=0,1,'Вводные'!$B$63)))*FW11+(1-(IF(SUM($D9:$GA9)=0,0,IF(SUM($D12:$GA12)=0,1,'Вводные'!$B$63))))*FW13)</x:f>
      </x:c>
      <x:c r="FX20" s="107" t="n">
        <x:f>'Вводные'!$N$88*((IF(SUM($D9:$GA9)=0,0,IF(SUM($D12:$GA12)=0,1,'Вводные'!$B$63)))*FX11+(1-(IF(SUM($D9:$GA9)=0,0,IF(SUM($D12:$GA12)=0,1,'Вводные'!$B$63))))*FX13)</x:f>
      </x:c>
      <x:c r="FY20" s="107" t="n">
        <x:f>'Вводные'!$N$88*((IF(SUM($D9:$GA9)=0,0,IF(SUM($D12:$GA12)=0,1,'Вводные'!$B$63)))*FY11+(1-(IF(SUM($D9:$GA9)=0,0,IF(SUM($D12:$GA12)=0,1,'Вводные'!$B$63))))*FY13)</x:f>
      </x:c>
      <x:c r="FZ20" s="107" t="n">
        <x:f>'Вводные'!$N$88*((IF(SUM($D9:$GA9)=0,0,IF(SUM($D12:$GA12)=0,1,'Вводные'!$B$63)))*FZ11+(1-(IF(SUM($D9:$GA9)=0,0,IF(SUM($D12:$GA12)=0,1,'Вводные'!$B$63))))*FZ13)</x:f>
      </x:c>
      <x:c r="GA20" s="107" t="n">
        <x:f>'Вводные'!$N$88*((IF(SUM($D9:$GA9)=0,0,IF(SUM($D12:$GA12)=0,1,'Вводные'!$B$63)))*GA11+(1-(IF(SUM($D9:$GA9)=0,0,IF(SUM($D12:$GA12)=0,1,'Вводные'!$B$63))))*GA13)</x:f>
      </x:c>
    </x:row>
    <x:row r="21">
      <x:c r="A21" t="str">
        <x:v>Паркинг — цена</x:v>
      </x:c>
      <x:c r="B21" t="n">
        <x:f>IFERROR(B22*1000/B20,0)</x:f>
      </x:c>
      <x:c r="C21" t="str">
        <x:v>тыс. ₽/шт.</x:v>
      </x:c>
      <x:c r="D21" s="107" t="n">
        <x:f>IF(D20=0,0,'Вводные'!$B$61*'Вводные'!$S$88*'Вводные'!$H$5*'Вводные'!$AG$88*(1+'Вводные'!$B$64)^MAX(0,MIN((12*(YEAR(D$3)-YEAR($B$7))+MONTH(D$3)-MONTH($B$7)),(12*(YEAR($B$8)-YEAR($B$7))+MONTH($B$8)-MONTH($B$7))))*(1+'Вводные'!$B$65)^MAX(0,(12*(YEAR(D$3)-YEAR($B$8))+MONTH(D$3)-MONTH($B$8))))</x:f>
      </x:c>
      <x:c r="E21" s="107" t="n">
        <x:f>IF(E20=0,0,'Вводные'!$B$61*'Вводные'!$S$88*'Вводные'!$H$5*'Вводные'!$AG$88*(1+'Вводные'!$B$64)^MAX(0,MIN((12*(YEAR(E$3)-YEAR($B$7))+MONTH(E$3)-MONTH($B$7)),(12*(YEAR($B$8)-YEAR($B$7))+MONTH($B$8)-MONTH($B$7))))*(1+'Вводные'!$B$65)^MAX(0,(12*(YEAR(E$3)-YEAR($B$8))+MONTH(E$3)-MONTH($B$8))))</x:f>
      </x:c>
      <x:c r="F21" s="107" t="n">
        <x:f>IF(F20=0,0,'Вводные'!$B$61*'Вводные'!$S$88*'Вводные'!$H$5*'Вводные'!$AG$88*(1+'Вводные'!$B$64)^MAX(0,MIN((12*(YEAR(F$3)-YEAR($B$7))+MONTH(F$3)-MONTH($B$7)),(12*(YEAR($B$8)-YEAR($B$7))+MONTH($B$8)-MONTH($B$7))))*(1+'Вводные'!$B$65)^MAX(0,(12*(YEAR(F$3)-YEAR($B$8))+MONTH(F$3)-MONTH($B$8))))</x:f>
      </x:c>
      <x:c r="G21" s="107" t="n">
        <x:f>IF(G20=0,0,'Вводные'!$B$61*'Вводные'!$S$88*'Вводные'!$H$5*'Вводные'!$AG$88*(1+'Вводные'!$B$64)^MAX(0,MIN((12*(YEAR(G$3)-YEAR($B$7))+MONTH(G$3)-MONTH($B$7)),(12*(YEAR($B$8)-YEAR($B$7))+MONTH($B$8)-MONTH($B$7))))*(1+'Вводные'!$B$65)^MAX(0,(12*(YEAR(G$3)-YEAR($B$8))+MONTH(G$3)-MONTH($B$8))))</x:f>
      </x:c>
      <x:c r="H21" s="107" t="n">
        <x:f>IF(H20=0,0,'Вводные'!$B$61*'Вводные'!$S$88*'Вводные'!$H$5*'Вводные'!$AG$88*(1+'Вводные'!$B$64)^MAX(0,MIN((12*(YEAR(H$3)-YEAR($B$7))+MONTH(H$3)-MONTH($B$7)),(12*(YEAR($B$8)-YEAR($B$7))+MONTH($B$8)-MONTH($B$7))))*(1+'Вводные'!$B$65)^MAX(0,(12*(YEAR(H$3)-YEAR($B$8))+MONTH(H$3)-MONTH($B$8))))</x:f>
      </x:c>
      <x:c r="I21" s="107" t="n">
        <x:f>IF(I20=0,0,'Вводные'!$B$61*'Вводные'!$S$88*'Вводные'!$H$5*'Вводные'!$AG$88*(1+'Вводные'!$B$64)^MAX(0,MIN((12*(YEAR(I$3)-YEAR($B$7))+MONTH(I$3)-MONTH($B$7)),(12*(YEAR($B$8)-YEAR($B$7))+MONTH($B$8)-MONTH($B$7))))*(1+'Вводные'!$B$65)^MAX(0,(12*(YEAR(I$3)-YEAR($B$8))+MONTH(I$3)-MONTH($B$8))))</x:f>
      </x:c>
      <x:c r="J21" s="107" t="n">
        <x:f>IF(J20=0,0,'Вводные'!$B$61*'Вводные'!$S$88*'Вводные'!$H$5*'Вводные'!$AG$88*(1+'Вводные'!$B$64)^MAX(0,MIN((12*(YEAR(J$3)-YEAR($B$7))+MONTH(J$3)-MONTH($B$7)),(12*(YEAR($B$8)-YEAR($B$7))+MONTH($B$8)-MONTH($B$7))))*(1+'Вводные'!$B$65)^MAX(0,(12*(YEAR(J$3)-YEAR($B$8))+MONTH(J$3)-MONTH($B$8))))</x:f>
      </x:c>
      <x:c r="K21" s="107" t="n">
        <x:f>IF(K20=0,0,'Вводные'!$B$61*'Вводные'!$S$88*'Вводные'!$H$5*'Вводные'!$AG$88*(1+'Вводные'!$B$64)^MAX(0,MIN((12*(YEAR(K$3)-YEAR($B$7))+MONTH(K$3)-MONTH($B$7)),(12*(YEAR($B$8)-YEAR($B$7))+MONTH($B$8)-MONTH($B$7))))*(1+'Вводные'!$B$65)^MAX(0,(12*(YEAR(K$3)-YEAR($B$8))+MONTH(K$3)-MONTH($B$8))))</x:f>
      </x:c>
      <x:c r="L21" s="107" t="n">
        <x:f>IF(L20=0,0,'Вводные'!$B$61*'Вводные'!$S$88*'Вводные'!$H$5*'Вводные'!$AG$88*(1+'Вводные'!$B$64)^MAX(0,MIN((12*(YEAR(L$3)-YEAR($B$7))+MONTH(L$3)-MONTH($B$7)),(12*(YEAR($B$8)-YEAR($B$7))+MONTH($B$8)-MONTH($B$7))))*(1+'Вводные'!$B$65)^MAX(0,(12*(YEAR(L$3)-YEAR($B$8))+MONTH(L$3)-MONTH($B$8))))</x:f>
      </x:c>
      <x:c r="M21" s="107" t="n">
        <x:f>IF(M20=0,0,'Вводные'!$B$61*'Вводные'!$S$88*'Вводные'!$H$5*'Вводные'!$AG$88*(1+'Вводные'!$B$64)^MAX(0,MIN((12*(YEAR(M$3)-YEAR($B$7))+MONTH(M$3)-MONTH($B$7)),(12*(YEAR($B$8)-YEAR($B$7))+MONTH($B$8)-MONTH($B$7))))*(1+'Вводные'!$B$65)^MAX(0,(12*(YEAR(M$3)-YEAR($B$8))+MONTH(M$3)-MONTH($B$8))))</x:f>
      </x:c>
      <x:c r="N21" s="107" t="n">
        <x:f>IF(N20=0,0,'Вводные'!$B$61*'Вводные'!$S$88*'Вводные'!$H$5*'Вводные'!$AG$88*(1+'Вводные'!$B$64)^MAX(0,MIN((12*(YEAR(N$3)-YEAR($B$7))+MONTH(N$3)-MONTH($B$7)),(12*(YEAR($B$8)-YEAR($B$7))+MONTH($B$8)-MONTH($B$7))))*(1+'Вводные'!$B$65)^MAX(0,(12*(YEAR(N$3)-YEAR($B$8))+MONTH(N$3)-MONTH($B$8))))</x:f>
      </x:c>
      <x:c r="O21" s="107" t="n">
        <x:f>IF(O20=0,0,'Вводные'!$B$61*'Вводные'!$S$88*'Вводные'!$H$5*'Вводные'!$AG$88*(1+'Вводные'!$B$64)^MAX(0,MIN((12*(YEAR(O$3)-YEAR($B$7))+MONTH(O$3)-MONTH($B$7)),(12*(YEAR($B$8)-YEAR($B$7))+MONTH($B$8)-MONTH($B$7))))*(1+'Вводные'!$B$65)^MAX(0,(12*(YEAR(O$3)-YEAR($B$8))+MONTH(O$3)-MONTH($B$8))))</x:f>
      </x:c>
      <x:c r="P21" s="107" t="n">
        <x:f>IF(P20=0,0,'Вводные'!$B$61*'Вводные'!$S$88*'Вводные'!$H$5*'Вводные'!$AG$88*(1+'Вводные'!$B$64)^MAX(0,MIN((12*(YEAR(P$3)-YEAR($B$7))+MONTH(P$3)-MONTH($B$7)),(12*(YEAR($B$8)-YEAR($B$7))+MONTH($B$8)-MONTH($B$7))))*(1+'Вводные'!$B$65)^MAX(0,(12*(YEAR(P$3)-YEAR($B$8))+MONTH(P$3)-MONTH($B$8))))</x:f>
      </x:c>
      <x:c r="Q21" s="107" t="n">
        <x:f>IF(Q20=0,0,'Вводные'!$B$61*'Вводные'!$S$88*'Вводные'!$H$5*'Вводные'!$AG$88*(1+'Вводные'!$B$64)^MAX(0,MIN((12*(YEAR(Q$3)-YEAR($B$7))+MONTH(Q$3)-MONTH($B$7)),(12*(YEAR($B$8)-YEAR($B$7))+MONTH($B$8)-MONTH($B$7))))*(1+'Вводные'!$B$65)^MAX(0,(12*(YEAR(Q$3)-YEAR($B$8))+MONTH(Q$3)-MONTH($B$8))))</x:f>
      </x:c>
      <x:c r="R21" s="107" t="n">
        <x:f>IF(R20=0,0,'Вводные'!$B$61*'Вводные'!$S$88*'Вводные'!$H$5*'Вводные'!$AG$88*(1+'Вводные'!$B$64)^MAX(0,MIN((12*(YEAR(R$3)-YEAR($B$7))+MONTH(R$3)-MONTH($B$7)),(12*(YEAR($B$8)-YEAR($B$7))+MONTH($B$8)-MONTH($B$7))))*(1+'Вводные'!$B$65)^MAX(0,(12*(YEAR(R$3)-YEAR($B$8))+MONTH(R$3)-MONTH($B$8))))</x:f>
      </x:c>
      <x:c r="S21" s="107" t="n">
        <x:f>IF(S20=0,0,'Вводные'!$B$61*'Вводные'!$S$88*'Вводные'!$H$5*'Вводные'!$AG$88*(1+'Вводные'!$B$64)^MAX(0,MIN((12*(YEAR(S$3)-YEAR($B$7))+MONTH(S$3)-MONTH($B$7)),(12*(YEAR($B$8)-YEAR($B$7))+MONTH($B$8)-MONTH($B$7))))*(1+'Вводные'!$B$65)^MAX(0,(12*(YEAR(S$3)-YEAR($B$8))+MONTH(S$3)-MONTH($B$8))))</x:f>
      </x:c>
      <x:c r="T21" s="107" t="n">
        <x:f>IF(T20=0,0,'Вводные'!$B$61*'Вводные'!$S$88*'Вводные'!$H$5*'Вводные'!$AG$88*(1+'Вводные'!$B$64)^MAX(0,MIN((12*(YEAR(T$3)-YEAR($B$7))+MONTH(T$3)-MONTH($B$7)),(12*(YEAR($B$8)-YEAR($B$7))+MONTH($B$8)-MONTH($B$7))))*(1+'Вводные'!$B$65)^MAX(0,(12*(YEAR(T$3)-YEAR($B$8))+MONTH(T$3)-MONTH($B$8))))</x:f>
      </x:c>
      <x:c r="U21" s="107" t="n">
        <x:f>IF(U20=0,0,'Вводные'!$B$61*'Вводные'!$S$88*'Вводные'!$H$5*'Вводные'!$AG$88*(1+'Вводные'!$B$64)^MAX(0,MIN((12*(YEAR(U$3)-YEAR($B$7))+MONTH(U$3)-MONTH($B$7)),(12*(YEAR($B$8)-YEAR($B$7))+MONTH($B$8)-MONTH($B$7))))*(1+'Вводные'!$B$65)^MAX(0,(12*(YEAR(U$3)-YEAR($B$8))+MONTH(U$3)-MONTH($B$8))))</x:f>
      </x:c>
      <x:c r="V21" s="107" t="n">
        <x:f>IF(V20=0,0,'Вводные'!$B$61*'Вводные'!$S$88*'Вводные'!$H$5*'Вводные'!$AG$88*(1+'Вводные'!$B$64)^MAX(0,MIN((12*(YEAR(V$3)-YEAR($B$7))+MONTH(V$3)-MONTH($B$7)),(12*(YEAR($B$8)-YEAR($B$7))+MONTH($B$8)-MONTH($B$7))))*(1+'Вводные'!$B$65)^MAX(0,(12*(YEAR(V$3)-YEAR($B$8))+MONTH(V$3)-MONTH($B$8))))</x:f>
      </x:c>
      <x:c r="W21" s="107" t="n">
        <x:f>IF(W20=0,0,'Вводные'!$B$61*'Вводные'!$S$88*'Вводные'!$H$5*'Вводные'!$AG$88*(1+'Вводные'!$B$64)^MAX(0,MIN((12*(YEAR(W$3)-YEAR($B$7))+MONTH(W$3)-MONTH($B$7)),(12*(YEAR($B$8)-YEAR($B$7))+MONTH($B$8)-MONTH($B$7))))*(1+'Вводные'!$B$65)^MAX(0,(12*(YEAR(W$3)-YEAR($B$8))+MONTH(W$3)-MONTH($B$8))))</x:f>
      </x:c>
      <x:c r="X21" s="107" t="n">
        <x:f>IF(X20=0,0,'Вводные'!$B$61*'Вводные'!$S$88*'Вводные'!$H$5*'Вводные'!$AG$88*(1+'Вводные'!$B$64)^MAX(0,MIN((12*(YEAR(X$3)-YEAR($B$7))+MONTH(X$3)-MONTH($B$7)),(12*(YEAR($B$8)-YEAR($B$7))+MONTH($B$8)-MONTH($B$7))))*(1+'Вводные'!$B$65)^MAX(0,(12*(YEAR(X$3)-YEAR($B$8))+MONTH(X$3)-MONTH($B$8))))</x:f>
      </x:c>
      <x:c r="Y21" s="107" t="n">
        <x:f>IF(Y20=0,0,'Вводные'!$B$61*'Вводные'!$S$88*'Вводные'!$H$5*'Вводные'!$AG$88*(1+'Вводные'!$B$64)^MAX(0,MIN((12*(YEAR(Y$3)-YEAR($B$7))+MONTH(Y$3)-MONTH($B$7)),(12*(YEAR($B$8)-YEAR($B$7))+MONTH($B$8)-MONTH($B$7))))*(1+'Вводные'!$B$65)^MAX(0,(12*(YEAR(Y$3)-YEAR($B$8))+MONTH(Y$3)-MONTH($B$8))))</x:f>
      </x:c>
      <x:c r="Z21" s="107" t="n">
        <x:f>IF(Z20=0,0,'Вводные'!$B$61*'Вводные'!$S$88*'Вводные'!$H$5*'Вводные'!$AG$88*(1+'Вводные'!$B$64)^MAX(0,MIN((12*(YEAR(Z$3)-YEAR($B$7))+MONTH(Z$3)-MONTH($B$7)),(12*(YEAR($B$8)-YEAR($B$7))+MONTH($B$8)-MONTH($B$7))))*(1+'Вводные'!$B$65)^MAX(0,(12*(YEAR(Z$3)-YEAR($B$8))+MONTH(Z$3)-MONTH($B$8))))</x:f>
      </x:c>
      <x:c r="AA21" s="107" t="n">
        <x:f>IF(AA20=0,0,'Вводные'!$B$61*'Вводные'!$S$88*'Вводные'!$H$5*'Вводные'!$AG$88*(1+'Вводные'!$B$64)^MAX(0,MIN((12*(YEAR(AA$3)-YEAR($B$7))+MONTH(AA$3)-MONTH($B$7)),(12*(YEAR($B$8)-YEAR($B$7))+MONTH($B$8)-MONTH($B$7))))*(1+'Вводные'!$B$65)^MAX(0,(12*(YEAR(AA$3)-YEAR($B$8))+MONTH(AA$3)-MONTH($B$8))))</x:f>
      </x:c>
      <x:c r="AB21" s="107" t="n">
        <x:f>IF(AB20=0,0,'Вводные'!$B$61*'Вводные'!$S$88*'Вводные'!$H$5*'Вводные'!$AG$88*(1+'Вводные'!$B$64)^MAX(0,MIN((12*(YEAR(AB$3)-YEAR($B$7))+MONTH(AB$3)-MONTH($B$7)),(12*(YEAR($B$8)-YEAR($B$7))+MONTH($B$8)-MONTH($B$7))))*(1+'Вводные'!$B$65)^MAX(0,(12*(YEAR(AB$3)-YEAR($B$8))+MONTH(AB$3)-MONTH($B$8))))</x:f>
      </x:c>
      <x:c r="AC21" s="107" t="n">
        <x:f>IF(AC20=0,0,'Вводные'!$B$61*'Вводные'!$S$88*'Вводные'!$H$5*'Вводные'!$AG$88*(1+'Вводные'!$B$64)^MAX(0,MIN((12*(YEAR(AC$3)-YEAR($B$7))+MONTH(AC$3)-MONTH($B$7)),(12*(YEAR($B$8)-YEAR($B$7))+MONTH($B$8)-MONTH($B$7))))*(1+'Вводные'!$B$65)^MAX(0,(12*(YEAR(AC$3)-YEAR($B$8))+MONTH(AC$3)-MONTH($B$8))))</x:f>
      </x:c>
      <x:c r="AD21" s="107" t="n">
        <x:f>IF(AD20=0,0,'Вводные'!$B$61*'Вводные'!$S$88*'Вводные'!$H$5*'Вводные'!$AG$88*(1+'Вводные'!$B$64)^MAX(0,MIN((12*(YEAR(AD$3)-YEAR($B$7))+MONTH(AD$3)-MONTH($B$7)),(12*(YEAR($B$8)-YEAR($B$7))+MONTH($B$8)-MONTH($B$7))))*(1+'Вводные'!$B$65)^MAX(0,(12*(YEAR(AD$3)-YEAR($B$8))+MONTH(AD$3)-MONTH($B$8))))</x:f>
      </x:c>
      <x:c r="AE21" s="107" t="n">
        <x:f>IF(AE20=0,0,'Вводные'!$B$61*'Вводные'!$S$88*'Вводные'!$H$5*'Вводные'!$AG$88*(1+'Вводные'!$B$64)^MAX(0,MIN((12*(YEAR(AE$3)-YEAR($B$7))+MONTH(AE$3)-MONTH($B$7)),(12*(YEAR($B$8)-YEAR($B$7))+MONTH($B$8)-MONTH($B$7))))*(1+'Вводные'!$B$65)^MAX(0,(12*(YEAR(AE$3)-YEAR($B$8))+MONTH(AE$3)-MONTH($B$8))))</x:f>
      </x:c>
      <x:c r="AF21" s="107" t="n">
        <x:f>IF(AF20=0,0,'Вводные'!$B$61*'Вводные'!$S$88*'Вводные'!$H$5*'Вводные'!$AG$88*(1+'Вводные'!$B$64)^MAX(0,MIN((12*(YEAR(AF$3)-YEAR($B$7))+MONTH(AF$3)-MONTH($B$7)),(12*(YEAR($B$8)-YEAR($B$7))+MONTH($B$8)-MONTH($B$7))))*(1+'Вводные'!$B$65)^MAX(0,(12*(YEAR(AF$3)-YEAR($B$8))+MONTH(AF$3)-MONTH($B$8))))</x:f>
      </x:c>
      <x:c r="AG21" s="107" t="n">
        <x:f>IF(AG20=0,0,'Вводные'!$B$61*'Вводные'!$S$88*'Вводные'!$H$5*'Вводные'!$AG$88*(1+'Вводные'!$B$64)^MAX(0,MIN((12*(YEAR(AG$3)-YEAR($B$7))+MONTH(AG$3)-MONTH($B$7)),(12*(YEAR($B$8)-YEAR($B$7))+MONTH($B$8)-MONTH($B$7))))*(1+'Вводные'!$B$65)^MAX(0,(12*(YEAR(AG$3)-YEAR($B$8))+MONTH(AG$3)-MONTH($B$8))))</x:f>
      </x:c>
      <x:c r="AH21" s="107" t="n">
        <x:f>IF(AH20=0,0,'Вводные'!$B$61*'Вводные'!$S$88*'Вводные'!$H$5*'Вводные'!$AG$88*(1+'Вводные'!$B$64)^MAX(0,MIN((12*(YEAR(AH$3)-YEAR($B$7))+MONTH(AH$3)-MONTH($B$7)),(12*(YEAR($B$8)-YEAR($B$7))+MONTH($B$8)-MONTH($B$7))))*(1+'Вводные'!$B$65)^MAX(0,(12*(YEAR(AH$3)-YEAR($B$8))+MONTH(AH$3)-MONTH($B$8))))</x:f>
      </x:c>
      <x:c r="AI21" s="107" t="n">
        <x:f>IF(AI20=0,0,'Вводные'!$B$61*'Вводные'!$S$88*'Вводные'!$H$5*'Вводные'!$AG$88*(1+'Вводные'!$B$64)^MAX(0,MIN((12*(YEAR(AI$3)-YEAR($B$7))+MONTH(AI$3)-MONTH($B$7)),(12*(YEAR($B$8)-YEAR($B$7))+MONTH($B$8)-MONTH($B$7))))*(1+'Вводные'!$B$65)^MAX(0,(12*(YEAR(AI$3)-YEAR($B$8))+MONTH(AI$3)-MONTH($B$8))))</x:f>
      </x:c>
      <x:c r="AJ21" s="107" t="n">
        <x:f>IF(AJ20=0,0,'Вводные'!$B$61*'Вводные'!$S$88*'Вводные'!$H$5*'Вводные'!$AG$88*(1+'Вводные'!$B$64)^MAX(0,MIN((12*(YEAR(AJ$3)-YEAR($B$7))+MONTH(AJ$3)-MONTH($B$7)),(12*(YEAR($B$8)-YEAR($B$7))+MONTH($B$8)-MONTH($B$7))))*(1+'Вводные'!$B$65)^MAX(0,(12*(YEAR(AJ$3)-YEAR($B$8))+MONTH(AJ$3)-MONTH($B$8))))</x:f>
      </x:c>
      <x:c r="AK21" s="107" t="n">
        <x:f>IF(AK20=0,0,'Вводные'!$B$61*'Вводные'!$S$88*'Вводные'!$H$5*'Вводные'!$AG$88*(1+'Вводные'!$B$64)^MAX(0,MIN((12*(YEAR(AK$3)-YEAR($B$7))+MONTH(AK$3)-MONTH($B$7)),(12*(YEAR($B$8)-YEAR($B$7))+MONTH($B$8)-MONTH($B$7))))*(1+'Вводные'!$B$65)^MAX(0,(12*(YEAR(AK$3)-YEAR($B$8))+MONTH(AK$3)-MONTH($B$8))))</x:f>
      </x:c>
      <x:c r="AL21" s="107" t="n">
        <x:f>IF(AL20=0,0,'Вводные'!$B$61*'Вводные'!$S$88*'Вводные'!$H$5*'Вводные'!$AG$88*(1+'Вводные'!$B$64)^MAX(0,MIN((12*(YEAR(AL$3)-YEAR($B$7))+MONTH(AL$3)-MONTH($B$7)),(12*(YEAR($B$8)-YEAR($B$7))+MONTH($B$8)-MONTH($B$7))))*(1+'Вводные'!$B$65)^MAX(0,(12*(YEAR(AL$3)-YEAR($B$8))+MONTH(AL$3)-MONTH($B$8))))</x:f>
      </x:c>
      <x:c r="AM21" s="107" t="n">
        <x:f>IF(AM20=0,0,'Вводные'!$B$61*'Вводные'!$S$88*'Вводные'!$H$5*'Вводные'!$AG$88*(1+'Вводные'!$B$64)^MAX(0,MIN((12*(YEAR(AM$3)-YEAR($B$7))+MONTH(AM$3)-MONTH($B$7)),(12*(YEAR($B$8)-YEAR($B$7))+MONTH($B$8)-MONTH($B$7))))*(1+'Вводные'!$B$65)^MAX(0,(12*(YEAR(AM$3)-YEAR($B$8))+MONTH(AM$3)-MONTH($B$8))))</x:f>
      </x:c>
      <x:c r="AN21" s="107" t="n">
        <x:f>IF(AN20=0,0,'Вводные'!$B$61*'Вводные'!$S$88*'Вводные'!$H$5*'Вводные'!$AG$88*(1+'Вводные'!$B$64)^MAX(0,MIN((12*(YEAR(AN$3)-YEAR($B$7))+MONTH(AN$3)-MONTH($B$7)),(12*(YEAR($B$8)-YEAR($B$7))+MONTH($B$8)-MONTH($B$7))))*(1+'Вводные'!$B$65)^MAX(0,(12*(YEAR(AN$3)-YEAR($B$8))+MONTH(AN$3)-MONTH($B$8))))</x:f>
      </x:c>
      <x:c r="AO21" s="107" t="n">
        <x:f>IF(AO20=0,0,'Вводные'!$B$61*'Вводные'!$S$88*'Вводные'!$H$5*'Вводные'!$AG$88*(1+'Вводные'!$B$64)^MAX(0,MIN((12*(YEAR(AO$3)-YEAR($B$7))+MONTH(AO$3)-MONTH($B$7)),(12*(YEAR($B$8)-YEAR($B$7))+MONTH($B$8)-MONTH($B$7))))*(1+'Вводные'!$B$65)^MAX(0,(12*(YEAR(AO$3)-YEAR($B$8))+MONTH(AO$3)-MONTH($B$8))))</x:f>
      </x:c>
      <x:c r="AP21" s="107" t="n">
        <x:f>IF(AP20=0,0,'Вводные'!$B$61*'Вводные'!$S$88*'Вводные'!$H$5*'Вводные'!$AG$88*(1+'Вводные'!$B$64)^MAX(0,MIN((12*(YEAR(AP$3)-YEAR($B$7))+MONTH(AP$3)-MONTH($B$7)),(12*(YEAR($B$8)-YEAR($B$7))+MONTH($B$8)-MONTH($B$7))))*(1+'Вводные'!$B$65)^MAX(0,(12*(YEAR(AP$3)-YEAR($B$8))+MONTH(AP$3)-MONTH($B$8))))</x:f>
      </x:c>
      <x:c r="AQ21" s="107" t="n">
        <x:f>IF(AQ20=0,0,'Вводные'!$B$61*'Вводные'!$S$88*'Вводные'!$H$5*'Вводные'!$AG$88*(1+'Вводные'!$B$64)^MAX(0,MIN((12*(YEAR(AQ$3)-YEAR($B$7))+MONTH(AQ$3)-MONTH($B$7)),(12*(YEAR($B$8)-YEAR($B$7))+MONTH($B$8)-MONTH($B$7))))*(1+'Вводные'!$B$65)^MAX(0,(12*(YEAR(AQ$3)-YEAR($B$8))+MONTH(AQ$3)-MONTH($B$8))))</x:f>
      </x:c>
      <x:c r="AR21" s="107" t="n">
        <x:f>IF(AR20=0,0,'Вводные'!$B$61*'Вводные'!$S$88*'Вводные'!$H$5*'Вводные'!$AG$88*(1+'Вводные'!$B$64)^MAX(0,MIN((12*(YEAR(AR$3)-YEAR($B$7))+MONTH(AR$3)-MONTH($B$7)),(12*(YEAR($B$8)-YEAR($B$7))+MONTH($B$8)-MONTH($B$7))))*(1+'Вводные'!$B$65)^MAX(0,(12*(YEAR(AR$3)-YEAR($B$8))+MONTH(AR$3)-MONTH($B$8))))</x:f>
      </x:c>
      <x:c r="AS21" s="107" t="n">
        <x:f>IF(AS20=0,0,'Вводные'!$B$61*'Вводные'!$S$88*'Вводные'!$H$5*'Вводные'!$AG$88*(1+'Вводные'!$B$64)^MAX(0,MIN((12*(YEAR(AS$3)-YEAR($B$7))+MONTH(AS$3)-MONTH($B$7)),(12*(YEAR($B$8)-YEAR($B$7))+MONTH($B$8)-MONTH($B$7))))*(1+'Вводные'!$B$65)^MAX(0,(12*(YEAR(AS$3)-YEAR($B$8))+MONTH(AS$3)-MONTH($B$8))))</x:f>
      </x:c>
      <x:c r="AT21" s="107" t="n">
        <x:f>IF(AT20=0,0,'Вводные'!$B$61*'Вводные'!$S$88*'Вводные'!$H$5*'Вводные'!$AG$88*(1+'Вводные'!$B$64)^MAX(0,MIN((12*(YEAR(AT$3)-YEAR($B$7))+MONTH(AT$3)-MONTH($B$7)),(12*(YEAR($B$8)-YEAR($B$7))+MONTH($B$8)-MONTH($B$7))))*(1+'Вводные'!$B$65)^MAX(0,(12*(YEAR(AT$3)-YEAR($B$8))+MONTH(AT$3)-MONTH($B$8))))</x:f>
      </x:c>
      <x:c r="AU21" s="107" t="n">
        <x:f>IF(AU20=0,0,'Вводные'!$B$61*'Вводные'!$S$88*'Вводные'!$H$5*'Вводные'!$AG$88*(1+'Вводные'!$B$64)^MAX(0,MIN((12*(YEAR(AU$3)-YEAR($B$7))+MONTH(AU$3)-MONTH($B$7)),(12*(YEAR($B$8)-YEAR($B$7))+MONTH($B$8)-MONTH($B$7))))*(1+'Вводные'!$B$65)^MAX(0,(12*(YEAR(AU$3)-YEAR($B$8))+MONTH(AU$3)-MONTH($B$8))))</x:f>
      </x:c>
      <x:c r="AV21" s="107" t="n">
        <x:f>IF(AV20=0,0,'Вводные'!$B$61*'Вводные'!$S$88*'Вводные'!$H$5*'Вводные'!$AG$88*(1+'Вводные'!$B$64)^MAX(0,MIN((12*(YEAR(AV$3)-YEAR($B$7))+MONTH(AV$3)-MONTH($B$7)),(12*(YEAR($B$8)-YEAR($B$7))+MONTH($B$8)-MONTH($B$7))))*(1+'Вводные'!$B$65)^MAX(0,(12*(YEAR(AV$3)-YEAR($B$8))+MONTH(AV$3)-MONTH($B$8))))</x:f>
      </x:c>
      <x:c r="AW21" s="107" t="n">
        <x:f>IF(AW20=0,0,'Вводные'!$B$61*'Вводные'!$S$88*'Вводные'!$H$5*'Вводные'!$AG$88*(1+'Вводные'!$B$64)^MAX(0,MIN((12*(YEAR(AW$3)-YEAR($B$7))+MONTH(AW$3)-MONTH($B$7)),(12*(YEAR($B$8)-YEAR($B$7))+MONTH($B$8)-MONTH($B$7))))*(1+'Вводные'!$B$65)^MAX(0,(12*(YEAR(AW$3)-YEAR($B$8))+MONTH(AW$3)-MONTH($B$8))))</x:f>
      </x:c>
      <x:c r="AX21" s="107" t="n">
        <x:f>IF(AX20=0,0,'Вводные'!$B$61*'Вводные'!$S$88*'Вводные'!$H$5*'Вводные'!$AG$88*(1+'Вводные'!$B$64)^MAX(0,MIN((12*(YEAR(AX$3)-YEAR($B$7))+MONTH(AX$3)-MONTH($B$7)),(12*(YEAR($B$8)-YEAR($B$7))+MONTH($B$8)-MONTH($B$7))))*(1+'Вводные'!$B$65)^MAX(0,(12*(YEAR(AX$3)-YEAR($B$8))+MONTH(AX$3)-MONTH($B$8))))</x:f>
      </x:c>
      <x:c r="AY21" s="107" t="n">
        <x:f>IF(AY20=0,0,'Вводные'!$B$61*'Вводные'!$S$88*'Вводные'!$H$5*'Вводные'!$AG$88*(1+'Вводные'!$B$64)^MAX(0,MIN((12*(YEAR(AY$3)-YEAR($B$7))+MONTH(AY$3)-MONTH($B$7)),(12*(YEAR($B$8)-YEAR($B$7))+MONTH($B$8)-MONTH($B$7))))*(1+'Вводные'!$B$65)^MAX(0,(12*(YEAR(AY$3)-YEAR($B$8))+MONTH(AY$3)-MONTH($B$8))))</x:f>
      </x:c>
      <x:c r="AZ21" s="107" t="n">
        <x:f>IF(AZ20=0,0,'Вводные'!$B$61*'Вводные'!$S$88*'Вводные'!$H$5*'Вводные'!$AG$88*(1+'Вводные'!$B$64)^MAX(0,MIN((12*(YEAR(AZ$3)-YEAR($B$7))+MONTH(AZ$3)-MONTH($B$7)),(12*(YEAR($B$8)-YEAR($B$7))+MONTH($B$8)-MONTH($B$7))))*(1+'Вводные'!$B$65)^MAX(0,(12*(YEAR(AZ$3)-YEAR($B$8))+MONTH(AZ$3)-MONTH($B$8))))</x:f>
      </x:c>
      <x:c r="BA21" s="107" t="n">
        <x:f>IF(BA20=0,0,'Вводные'!$B$61*'Вводные'!$S$88*'Вводные'!$H$5*'Вводные'!$AG$88*(1+'Вводные'!$B$64)^MAX(0,MIN((12*(YEAR(BA$3)-YEAR($B$7))+MONTH(BA$3)-MONTH($B$7)),(12*(YEAR($B$8)-YEAR($B$7))+MONTH($B$8)-MONTH($B$7))))*(1+'Вводные'!$B$65)^MAX(0,(12*(YEAR(BA$3)-YEAR($B$8))+MONTH(BA$3)-MONTH($B$8))))</x:f>
      </x:c>
      <x:c r="BB21" s="107" t="n">
        <x:f>IF(BB20=0,0,'Вводные'!$B$61*'Вводные'!$S$88*'Вводные'!$H$5*'Вводные'!$AG$88*(1+'Вводные'!$B$64)^MAX(0,MIN((12*(YEAR(BB$3)-YEAR($B$7))+MONTH(BB$3)-MONTH($B$7)),(12*(YEAR($B$8)-YEAR($B$7))+MONTH($B$8)-MONTH($B$7))))*(1+'Вводные'!$B$65)^MAX(0,(12*(YEAR(BB$3)-YEAR($B$8))+MONTH(BB$3)-MONTH($B$8))))</x:f>
      </x:c>
      <x:c r="BC21" s="107" t="n">
        <x:f>IF(BC20=0,0,'Вводные'!$B$61*'Вводные'!$S$88*'Вводные'!$H$5*'Вводные'!$AG$88*(1+'Вводные'!$B$64)^MAX(0,MIN((12*(YEAR(BC$3)-YEAR($B$7))+MONTH(BC$3)-MONTH($B$7)),(12*(YEAR($B$8)-YEAR($B$7))+MONTH($B$8)-MONTH($B$7))))*(1+'Вводные'!$B$65)^MAX(0,(12*(YEAR(BC$3)-YEAR($B$8))+MONTH(BC$3)-MONTH($B$8))))</x:f>
      </x:c>
      <x:c r="BD21" s="107" t="n">
        <x:f>IF(BD20=0,0,'Вводные'!$B$61*'Вводные'!$S$88*'Вводные'!$H$5*'Вводные'!$AG$88*(1+'Вводные'!$B$64)^MAX(0,MIN((12*(YEAR(BD$3)-YEAR($B$7))+MONTH(BD$3)-MONTH($B$7)),(12*(YEAR($B$8)-YEAR($B$7))+MONTH($B$8)-MONTH($B$7))))*(1+'Вводные'!$B$65)^MAX(0,(12*(YEAR(BD$3)-YEAR($B$8))+MONTH(BD$3)-MONTH($B$8))))</x:f>
      </x:c>
      <x:c r="BE21" s="107" t="n">
        <x:f>IF(BE20=0,0,'Вводные'!$B$61*'Вводные'!$S$88*'Вводные'!$H$5*'Вводные'!$AG$88*(1+'Вводные'!$B$64)^MAX(0,MIN((12*(YEAR(BE$3)-YEAR($B$7))+MONTH(BE$3)-MONTH($B$7)),(12*(YEAR($B$8)-YEAR($B$7))+MONTH($B$8)-MONTH($B$7))))*(1+'Вводные'!$B$65)^MAX(0,(12*(YEAR(BE$3)-YEAR($B$8))+MONTH(BE$3)-MONTH($B$8))))</x:f>
      </x:c>
      <x:c r="BF21" s="107" t="n">
        <x:f>IF(BF20=0,0,'Вводные'!$B$61*'Вводные'!$S$88*'Вводные'!$H$5*'Вводные'!$AG$88*(1+'Вводные'!$B$64)^MAX(0,MIN((12*(YEAR(BF$3)-YEAR($B$7))+MONTH(BF$3)-MONTH($B$7)),(12*(YEAR($B$8)-YEAR($B$7))+MONTH($B$8)-MONTH($B$7))))*(1+'Вводные'!$B$65)^MAX(0,(12*(YEAR(BF$3)-YEAR($B$8))+MONTH(BF$3)-MONTH($B$8))))</x:f>
      </x:c>
      <x:c r="BG21" s="107" t="n">
        <x:f>IF(BG20=0,0,'Вводные'!$B$61*'Вводные'!$S$88*'Вводные'!$H$5*'Вводные'!$AG$88*(1+'Вводные'!$B$64)^MAX(0,MIN((12*(YEAR(BG$3)-YEAR($B$7))+MONTH(BG$3)-MONTH($B$7)),(12*(YEAR($B$8)-YEAR($B$7))+MONTH($B$8)-MONTH($B$7))))*(1+'Вводные'!$B$65)^MAX(0,(12*(YEAR(BG$3)-YEAR($B$8))+MONTH(BG$3)-MONTH($B$8))))</x:f>
      </x:c>
      <x:c r="BH21" s="107" t="n">
        <x:f>IF(BH20=0,0,'Вводные'!$B$61*'Вводные'!$S$88*'Вводные'!$H$5*'Вводные'!$AG$88*(1+'Вводные'!$B$64)^MAX(0,MIN((12*(YEAR(BH$3)-YEAR($B$7))+MONTH(BH$3)-MONTH($B$7)),(12*(YEAR($B$8)-YEAR($B$7))+MONTH($B$8)-MONTH($B$7))))*(1+'Вводные'!$B$65)^MAX(0,(12*(YEAR(BH$3)-YEAR($B$8))+MONTH(BH$3)-MONTH($B$8))))</x:f>
      </x:c>
      <x:c r="BI21" s="107" t="n">
        <x:f>IF(BI20=0,0,'Вводные'!$B$61*'Вводные'!$S$88*'Вводные'!$H$5*'Вводные'!$AG$88*(1+'Вводные'!$B$64)^MAX(0,MIN((12*(YEAR(BI$3)-YEAR($B$7))+MONTH(BI$3)-MONTH($B$7)),(12*(YEAR($B$8)-YEAR($B$7))+MONTH($B$8)-MONTH($B$7))))*(1+'Вводные'!$B$65)^MAX(0,(12*(YEAR(BI$3)-YEAR($B$8))+MONTH(BI$3)-MONTH($B$8))))</x:f>
      </x:c>
      <x:c r="BJ21" s="107" t="n">
        <x:f>IF(BJ20=0,0,'Вводные'!$B$61*'Вводные'!$S$88*'Вводные'!$H$5*'Вводные'!$AG$88*(1+'Вводные'!$B$64)^MAX(0,MIN((12*(YEAR(BJ$3)-YEAR($B$7))+MONTH(BJ$3)-MONTH($B$7)),(12*(YEAR($B$8)-YEAR($B$7))+MONTH($B$8)-MONTH($B$7))))*(1+'Вводные'!$B$65)^MAX(0,(12*(YEAR(BJ$3)-YEAR($B$8))+MONTH(BJ$3)-MONTH($B$8))))</x:f>
      </x:c>
      <x:c r="BK21" s="107" t="n">
        <x:f>IF(BK20=0,0,'Вводные'!$B$61*'Вводные'!$S$88*'Вводные'!$H$5*'Вводные'!$AG$88*(1+'Вводные'!$B$64)^MAX(0,MIN((12*(YEAR(BK$3)-YEAR($B$7))+MONTH(BK$3)-MONTH($B$7)),(12*(YEAR($B$8)-YEAR($B$7))+MONTH($B$8)-MONTH($B$7))))*(1+'Вводные'!$B$65)^MAX(0,(12*(YEAR(BK$3)-YEAR($B$8))+MONTH(BK$3)-MONTH($B$8))))</x:f>
      </x:c>
      <x:c r="BL21" s="107" t="n">
        <x:f>IF(BL20=0,0,'Вводные'!$B$61*'Вводные'!$S$88*'Вводные'!$H$5*'Вводные'!$AG$88*(1+'Вводные'!$B$64)^MAX(0,MIN((12*(YEAR(BL$3)-YEAR($B$7))+MONTH(BL$3)-MONTH($B$7)),(12*(YEAR($B$8)-YEAR($B$7))+MONTH($B$8)-MONTH($B$7))))*(1+'Вводные'!$B$65)^MAX(0,(12*(YEAR(BL$3)-YEAR($B$8))+MONTH(BL$3)-MONTH($B$8))))</x:f>
      </x:c>
      <x:c r="BM21" s="107" t="n">
        <x:f>IF(BM20=0,0,'Вводные'!$B$61*'Вводные'!$S$88*'Вводные'!$H$5*'Вводные'!$AG$88*(1+'Вводные'!$B$64)^MAX(0,MIN((12*(YEAR(BM$3)-YEAR($B$7))+MONTH(BM$3)-MONTH($B$7)),(12*(YEAR($B$8)-YEAR($B$7))+MONTH($B$8)-MONTH($B$7))))*(1+'Вводные'!$B$65)^MAX(0,(12*(YEAR(BM$3)-YEAR($B$8))+MONTH(BM$3)-MONTH($B$8))))</x:f>
      </x:c>
      <x:c r="BN21" s="107" t="n">
        <x:f>IF(BN20=0,0,'Вводные'!$B$61*'Вводные'!$S$88*'Вводные'!$H$5*'Вводные'!$AG$88*(1+'Вводные'!$B$64)^MAX(0,MIN((12*(YEAR(BN$3)-YEAR($B$7))+MONTH(BN$3)-MONTH($B$7)),(12*(YEAR($B$8)-YEAR($B$7))+MONTH($B$8)-MONTH($B$7))))*(1+'Вводные'!$B$65)^MAX(0,(12*(YEAR(BN$3)-YEAR($B$8))+MONTH(BN$3)-MONTH($B$8))))</x:f>
      </x:c>
      <x:c r="BO21" s="107" t="n">
        <x:f>IF(BO20=0,0,'Вводные'!$B$61*'Вводные'!$S$88*'Вводные'!$H$5*'Вводные'!$AG$88*(1+'Вводные'!$B$64)^MAX(0,MIN((12*(YEAR(BO$3)-YEAR($B$7))+MONTH(BO$3)-MONTH($B$7)),(12*(YEAR($B$8)-YEAR($B$7))+MONTH($B$8)-MONTH($B$7))))*(1+'Вводные'!$B$65)^MAX(0,(12*(YEAR(BO$3)-YEAR($B$8))+MONTH(BO$3)-MONTH($B$8))))</x:f>
      </x:c>
      <x:c r="BP21" s="107" t="n">
        <x:f>IF(BP20=0,0,'Вводные'!$B$61*'Вводные'!$S$88*'Вводные'!$H$5*'Вводные'!$AG$88*(1+'Вводные'!$B$64)^MAX(0,MIN((12*(YEAR(BP$3)-YEAR($B$7))+MONTH(BP$3)-MONTH($B$7)),(12*(YEAR($B$8)-YEAR($B$7))+MONTH($B$8)-MONTH($B$7))))*(1+'Вводные'!$B$65)^MAX(0,(12*(YEAR(BP$3)-YEAR($B$8))+MONTH(BP$3)-MONTH($B$8))))</x:f>
      </x:c>
      <x:c r="BQ21" s="107" t="n">
        <x:f>IF(BQ20=0,0,'Вводные'!$B$61*'Вводные'!$S$88*'Вводные'!$H$5*'Вводные'!$AG$88*(1+'Вводные'!$B$64)^MAX(0,MIN((12*(YEAR(BQ$3)-YEAR($B$7))+MONTH(BQ$3)-MONTH($B$7)),(12*(YEAR($B$8)-YEAR($B$7))+MONTH($B$8)-MONTH($B$7))))*(1+'Вводные'!$B$65)^MAX(0,(12*(YEAR(BQ$3)-YEAR($B$8))+MONTH(BQ$3)-MONTH($B$8))))</x:f>
      </x:c>
      <x:c r="BR21" s="107" t="n">
        <x:f>IF(BR20=0,0,'Вводные'!$B$61*'Вводные'!$S$88*'Вводные'!$H$5*'Вводные'!$AG$88*(1+'Вводные'!$B$64)^MAX(0,MIN((12*(YEAR(BR$3)-YEAR($B$7))+MONTH(BR$3)-MONTH($B$7)),(12*(YEAR($B$8)-YEAR($B$7))+MONTH($B$8)-MONTH($B$7))))*(1+'Вводные'!$B$65)^MAX(0,(12*(YEAR(BR$3)-YEAR($B$8))+MONTH(BR$3)-MONTH($B$8))))</x:f>
      </x:c>
      <x:c r="BS21" s="107" t="n">
        <x:f>IF(BS20=0,0,'Вводные'!$B$61*'Вводные'!$S$88*'Вводные'!$H$5*'Вводные'!$AG$88*(1+'Вводные'!$B$64)^MAX(0,MIN((12*(YEAR(BS$3)-YEAR($B$7))+MONTH(BS$3)-MONTH($B$7)),(12*(YEAR($B$8)-YEAR($B$7))+MONTH($B$8)-MONTH($B$7))))*(1+'Вводные'!$B$65)^MAX(0,(12*(YEAR(BS$3)-YEAR($B$8))+MONTH(BS$3)-MONTH($B$8))))</x:f>
      </x:c>
      <x:c r="BT21" s="107" t="n">
        <x:f>IF(BT20=0,0,'Вводные'!$B$61*'Вводные'!$S$88*'Вводные'!$H$5*'Вводные'!$AG$88*(1+'Вводные'!$B$64)^MAX(0,MIN((12*(YEAR(BT$3)-YEAR($B$7))+MONTH(BT$3)-MONTH($B$7)),(12*(YEAR($B$8)-YEAR($B$7))+MONTH($B$8)-MONTH($B$7))))*(1+'Вводные'!$B$65)^MAX(0,(12*(YEAR(BT$3)-YEAR($B$8))+MONTH(BT$3)-MONTH($B$8))))</x:f>
      </x:c>
      <x:c r="BU21" s="107" t="n">
        <x:f>IF(BU20=0,0,'Вводные'!$B$61*'Вводные'!$S$88*'Вводные'!$H$5*'Вводные'!$AG$88*(1+'Вводные'!$B$64)^MAX(0,MIN((12*(YEAR(BU$3)-YEAR($B$7))+MONTH(BU$3)-MONTH($B$7)),(12*(YEAR($B$8)-YEAR($B$7))+MONTH($B$8)-MONTH($B$7))))*(1+'Вводные'!$B$65)^MAX(0,(12*(YEAR(BU$3)-YEAR($B$8))+MONTH(BU$3)-MONTH($B$8))))</x:f>
      </x:c>
      <x:c r="BV21" s="107" t="n">
        <x:f>IF(BV20=0,0,'Вводные'!$B$61*'Вводные'!$S$88*'Вводные'!$H$5*'Вводные'!$AG$88*(1+'Вводные'!$B$64)^MAX(0,MIN((12*(YEAR(BV$3)-YEAR($B$7))+MONTH(BV$3)-MONTH($B$7)),(12*(YEAR($B$8)-YEAR($B$7))+MONTH($B$8)-MONTH($B$7))))*(1+'Вводные'!$B$65)^MAX(0,(12*(YEAR(BV$3)-YEAR($B$8))+MONTH(BV$3)-MONTH($B$8))))</x:f>
      </x:c>
      <x:c r="BW21" s="107" t="n">
        <x:f>IF(BW20=0,0,'Вводные'!$B$61*'Вводные'!$S$88*'Вводные'!$H$5*'Вводные'!$AG$88*(1+'Вводные'!$B$64)^MAX(0,MIN((12*(YEAR(BW$3)-YEAR($B$7))+MONTH(BW$3)-MONTH($B$7)),(12*(YEAR($B$8)-YEAR($B$7))+MONTH($B$8)-MONTH($B$7))))*(1+'Вводные'!$B$65)^MAX(0,(12*(YEAR(BW$3)-YEAR($B$8))+MONTH(BW$3)-MONTH($B$8))))</x:f>
      </x:c>
      <x:c r="BX21" s="107" t="n">
        <x:f>IF(BX20=0,0,'Вводные'!$B$61*'Вводные'!$S$88*'Вводные'!$H$5*'Вводные'!$AG$88*(1+'Вводные'!$B$64)^MAX(0,MIN((12*(YEAR(BX$3)-YEAR($B$7))+MONTH(BX$3)-MONTH($B$7)),(12*(YEAR($B$8)-YEAR($B$7))+MONTH($B$8)-MONTH($B$7))))*(1+'Вводные'!$B$65)^MAX(0,(12*(YEAR(BX$3)-YEAR($B$8))+MONTH(BX$3)-MONTH($B$8))))</x:f>
      </x:c>
      <x:c r="BY21" s="107" t="n">
        <x:f>IF(BY20=0,0,'Вводные'!$B$61*'Вводные'!$S$88*'Вводные'!$H$5*'Вводные'!$AG$88*(1+'Вводные'!$B$64)^MAX(0,MIN((12*(YEAR(BY$3)-YEAR($B$7))+MONTH(BY$3)-MONTH($B$7)),(12*(YEAR($B$8)-YEAR($B$7))+MONTH($B$8)-MONTH($B$7))))*(1+'Вводные'!$B$65)^MAX(0,(12*(YEAR(BY$3)-YEAR($B$8))+MONTH(BY$3)-MONTH($B$8))))</x:f>
      </x:c>
      <x:c r="BZ21" s="107" t="n">
        <x:f>IF(BZ20=0,0,'Вводные'!$B$61*'Вводные'!$S$88*'Вводные'!$H$5*'Вводные'!$AG$88*(1+'Вводные'!$B$64)^MAX(0,MIN((12*(YEAR(BZ$3)-YEAR($B$7))+MONTH(BZ$3)-MONTH($B$7)),(12*(YEAR($B$8)-YEAR($B$7))+MONTH($B$8)-MONTH($B$7))))*(1+'Вводные'!$B$65)^MAX(0,(12*(YEAR(BZ$3)-YEAR($B$8))+MONTH(BZ$3)-MONTH($B$8))))</x:f>
      </x:c>
      <x:c r="CA21" s="107" t="n">
        <x:f>IF(CA20=0,0,'Вводные'!$B$61*'Вводные'!$S$88*'Вводные'!$H$5*'Вводные'!$AG$88*(1+'Вводные'!$B$64)^MAX(0,MIN((12*(YEAR(CA$3)-YEAR($B$7))+MONTH(CA$3)-MONTH($B$7)),(12*(YEAR($B$8)-YEAR($B$7))+MONTH($B$8)-MONTH($B$7))))*(1+'Вводные'!$B$65)^MAX(0,(12*(YEAR(CA$3)-YEAR($B$8))+MONTH(CA$3)-MONTH($B$8))))</x:f>
      </x:c>
      <x:c r="CB21" s="107" t="n">
        <x:f>IF(CB20=0,0,'Вводные'!$B$61*'Вводные'!$S$88*'Вводные'!$H$5*'Вводные'!$AG$88*(1+'Вводные'!$B$64)^MAX(0,MIN((12*(YEAR(CB$3)-YEAR($B$7))+MONTH(CB$3)-MONTH($B$7)),(12*(YEAR($B$8)-YEAR($B$7))+MONTH($B$8)-MONTH($B$7))))*(1+'Вводные'!$B$65)^MAX(0,(12*(YEAR(CB$3)-YEAR($B$8))+MONTH(CB$3)-MONTH($B$8))))</x:f>
      </x:c>
      <x:c r="CC21" s="107" t="n">
        <x:f>IF(CC20=0,0,'Вводные'!$B$61*'Вводные'!$S$88*'Вводные'!$H$5*'Вводные'!$AG$88*(1+'Вводные'!$B$64)^MAX(0,MIN((12*(YEAR(CC$3)-YEAR($B$7))+MONTH(CC$3)-MONTH($B$7)),(12*(YEAR($B$8)-YEAR($B$7))+MONTH($B$8)-MONTH($B$7))))*(1+'Вводные'!$B$65)^MAX(0,(12*(YEAR(CC$3)-YEAR($B$8))+MONTH(CC$3)-MONTH($B$8))))</x:f>
      </x:c>
      <x:c r="CD21" s="107" t="n">
        <x:f>IF(CD20=0,0,'Вводные'!$B$61*'Вводные'!$S$88*'Вводные'!$H$5*'Вводные'!$AG$88*(1+'Вводные'!$B$64)^MAX(0,MIN((12*(YEAR(CD$3)-YEAR($B$7))+MONTH(CD$3)-MONTH($B$7)),(12*(YEAR($B$8)-YEAR($B$7))+MONTH($B$8)-MONTH($B$7))))*(1+'Вводные'!$B$65)^MAX(0,(12*(YEAR(CD$3)-YEAR($B$8))+MONTH(CD$3)-MONTH($B$8))))</x:f>
      </x:c>
      <x:c r="CE21" s="107" t="n">
        <x:f>IF(CE20=0,0,'Вводные'!$B$61*'Вводные'!$S$88*'Вводные'!$H$5*'Вводные'!$AG$88*(1+'Вводные'!$B$64)^MAX(0,MIN((12*(YEAR(CE$3)-YEAR($B$7))+MONTH(CE$3)-MONTH($B$7)),(12*(YEAR($B$8)-YEAR($B$7))+MONTH($B$8)-MONTH($B$7))))*(1+'Вводные'!$B$65)^MAX(0,(12*(YEAR(CE$3)-YEAR($B$8))+MONTH(CE$3)-MONTH($B$8))))</x:f>
      </x:c>
      <x:c r="CF21" s="107" t="n">
        <x:f>IF(CF20=0,0,'Вводные'!$B$61*'Вводные'!$S$88*'Вводные'!$H$5*'Вводные'!$AG$88*(1+'Вводные'!$B$64)^MAX(0,MIN((12*(YEAR(CF$3)-YEAR($B$7))+MONTH(CF$3)-MONTH($B$7)),(12*(YEAR($B$8)-YEAR($B$7))+MONTH($B$8)-MONTH($B$7))))*(1+'Вводные'!$B$65)^MAX(0,(12*(YEAR(CF$3)-YEAR($B$8))+MONTH(CF$3)-MONTH($B$8))))</x:f>
      </x:c>
      <x:c r="CG21" s="107" t="n">
        <x:f>IF(CG20=0,0,'Вводные'!$B$61*'Вводные'!$S$88*'Вводные'!$H$5*'Вводные'!$AG$88*(1+'Вводные'!$B$64)^MAX(0,MIN((12*(YEAR(CG$3)-YEAR($B$7))+MONTH(CG$3)-MONTH($B$7)),(12*(YEAR($B$8)-YEAR($B$7))+MONTH($B$8)-MONTH($B$7))))*(1+'Вводные'!$B$65)^MAX(0,(12*(YEAR(CG$3)-YEAR($B$8))+MONTH(CG$3)-MONTH($B$8))))</x:f>
      </x:c>
      <x:c r="CH21" s="107" t="n">
        <x:f>IF(CH20=0,0,'Вводные'!$B$61*'Вводные'!$S$88*'Вводные'!$H$5*'Вводные'!$AG$88*(1+'Вводные'!$B$64)^MAX(0,MIN((12*(YEAR(CH$3)-YEAR($B$7))+MONTH(CH$3)-MONTH($B$7)),(12*(YEAR($B$8)-YEAR($B$7))+MONTH($B$8)-MONTH($B$7))))*(1+'Вводные'!$B$65)^MAX(0,(12*(YEAR(CH$3)-YEAR($B$8))+MONTH(CH$3)-MONTH($B$8))))</x:f>
      </x:c>
      <x:c r="CI21" s="107" t="n">
        <x:f>IF(CI20=0,0,'Вводные'!$B$61*'Вводные'!$S$88*'Вводные'!$H$5*'Вводные'!$AG$88*(1+'Вводные'!$B$64)^MAX(0,MIN((12*(YEAR(CI$3)-YEAR($B$7))+MONTH(CI$3)-MONTH($B$7)),(12*(YEAR($B$8)-YEAR($B$7))+MONTH($B$8)-MONTH($B$7))))*(1+'Вводные'!$B$65)^MAX(0,(12*(YEAR(CI$3)-YEAR($B$8))+MONTH(CI$3)-MONTH($B$8))))</x:f>
      </x:c>
      <x:c r="CJ21" s="107" t="n">
        <x:f>IF(CJ20=0,0,'Вводные'!$B$61*'Вводные'!$S$88*'Вводные'!$H$5*'Вводные'!$AG$88*(1+'Вводные'!$B$64)^MAX(0,MIN((12*(YEAR(CJ$3)-YEAR($B$7))+MONTH(CJ$3)-MONTH($B$7)),(12*(YEAR($B$8)-YEAR($B$7))+MONTH($B$8)-MONTH($B$7))))*(1+'Вводные'!$B$65)^MAX(0,(12*(YEAR(CJ$3)-YEAR($B$8))+MONTH(CJ$3)-MONTH($B$8))))</x:f>
      </x:c>
      <x:c r="CK21" s="107" t="n">
        <x:f>IF(CK20=0,0,'Вводные'!$B$61*'Вводные'!$S$88*'Вводные'!$H$5*'Вводные'!$AG$88*(1+'Вводные'!$B$64)^MAX(0,MIN((12*(YEAR(CK$3)-YEAR($B$7))+MONTH(CK$3)-MONTH($B$7)),(12*(YEAR($B$8)-YEAR($B$7))+MONTH($B$8)-MONTH($B$7))))*(1+'Вводные'!$B$65)^MAX(0,(12*(YEAR(CK$3)-YEAR($B$8))+MONTH(CK$3)-MONTH($B$8))))</x:f>
      </x:c>
      <x:c r="CL21" s="107" t="n">
        <x:f>IF(CL20=0,0,'Вводные'!$B$61*'Вводные'!$S$88*'Вводные'!$H$5*'Вводные'!$AG$88*(1+'Вводные'!$B$64)^MAX(0,MIN((12*(YEAR(CL$3)-YEAR($B$7))+MONTH(CL$3)-MONTH($B$7)),(12*(YEAR($B$8)-YEAR($B$7))+MONTH($B$8)-MONTH($B$7))))*(1+'Вводные'!$B$65)^MAX(0,(12*(YEAR(CL$3)-YEAR($B$8))+MONTH(CL$3)-MONTH($B$8))))</x:f>
      </x:c>
      <x:c r="CM21" s="107" t="n">
        <x:f>IF(CM20=0,0,'Вводные'!$B$61*'Вводные'!$S$88*'Вводные'!$H$5*'Вводные'!$AG$88*(1+'Вводные'!$B$64)^MAX(0,MIN((12*(YEAR(CM$3)-YEAR($B$7))+MONTH(CM$3)-MONTH($B$7)),(12*(YEAR($B$8)-YEAR($B$7))+MONTH($B$8)-MONTH($B$7))))*(1+'Вводные'!$B$65)^MAX(0,(12*(YEAR(CM$3)-YEAR($B$8))+MONTH(CM$3)-MONTH($B$8))))</x:f>
      </x:c>
      <x:c r="CN21" s="107" t="n">
        <x:f>IF(CN20=0,0,'Вводные'!$B$61*'Вводные'!$S$88*'Вводные'!$H$5*'Вводные'!$AG$88*(1+'Вводные'!$B$64)^MAX(0,MIN((12*(YEAR(CN$3)-YEAR($B$7))+MONTH(CN$3)-MONTH($B$7)),(12*(YEAR($B$8)-YEAR($B$7))+MONTH($B$8)-MONTH($B$7))))*(1+'Вводные'!$B$65)^MAX(0,(12*(YEAR(CN$3)-YEAR($B$8))+MONTH(CN$3)-MONTH($B$8))))</x:f>
      </x:c>
      <x:c r="CO21" s="107" t="n">
        <x:f>IF(CO20=0,0,'Вводные'!$B$61*'Вводные'!$S$88*'Вводные'!$H$5*'Вводные'!$AG$88*(1+'Вводные'!$B$64)^MAX(0,MIN((12*(YEAR(CO$3)-YEAR($B$7))+MONTH(CO$3)-MONTH($B$7)),(12*(YEAR($B$8)-YEAR($B$7))+MONTH($B$8)-MONTH($B$7))))*(1+'Вводные'!$B$65)^MAX(0,(12*(YEAR(CO$3)-YEAR($B$8))+MONTH(CO$3)-MONTH($B$8))))</x:f>
      </x:c>
      <x:c r="CP21" s="107" t="n">
        <x:f>IF(CP20=0,0,'Вводные'!$B$61*'Вводные'!$S$88*'Вводные'!$H$5*'Вводные'!$AG$88*(1+'Вводные'!$B$64)^MAX(0,MIN((12*(YEAR(CP$3)-YEAR($B$7))+MONTH(CP$3)-MONTH($B$7)),(12*(YEAR($B$8)-YEAR($B$7))+MONTH($B$8)-MONTH($B$7))))*(1+'Вводные'!$B$65)^MAX(0,(12*(YEAR(CP$3)-YEAR($B$8))+MONTH(CP$3)-MONTH($B$8))))</x:f>
      </x:c>
      <x:c r="CQ21" s="107" t="n">
        <x:f>IF(CQ20=0,0,'Вводные'!$B$61*'Вводные'!$S$88*'Вводные'!$H$5*'Вводные'!$AG$88*(1+'Вводные'!$B$64)^MAX(0,MIN((12*(YEAR(CQ$3)-YEAR($B$7))+MONTH(CQ$3)-MONTH($B$7)),(12*(YEAR($B$8)-YEAR($B$7))+MONTH($B$8)-MONTH($B$7))))*(1+'Вводные'!$B$65)^MAX(0,(12*(YEAR(CQ$3)-YEAR($B$8))+MONTH(CQ$3)-MONTH($B$8))))</x:f>
      </x:c>
      <x:c r="CR21" s="107" t="n">
        <x:f>IF(CR20=0,0,'Вводные'!$B$61*'Вводные'!$S$88*'Вводные'!$H$5*'Вводные'!$AG$88*(1+'Вводные'!$B$64)^MAX(0,MIN((12*(YEAR(CR$3)-YEAR($B$7))+MONTH(CR$3)-MONTH($B$7)),(12*(YEAR($B$8)-YEAR($B$7))+MONTH($B$8)-MONTH($B$7))))*(1+'Вводные'!$B$65)^MAX(0,(12*(YEAR(CR$3)-YEAR($B$8))+MONTH(CR$3)-MONTH($B$8))))</x:f>
      </x:c>
      <x:c r="CS21" s="107" t="n">
        <x:f>IF(CS20=0,0,'Вводные'!$B$61*'Вводные'!$S$88*'Вводные'!$H$5*'Вводные'!$AG$88*(1+'Вводные'!$B$64)^MAX(0,MIN((12*(YEAR(CS$3)-YEAR($B$7))+MONTH(CS$3)-MONTH($B$7)),(12*(YEAR($B$8)-YEAR($B$7))+MONTH($B$8)-MONTH($B$7))))*(1+'Вводные'!$B$65)^MAX(0,(12*(YEAR(CS$3)-YEAR($B$8))+MONTH(CS$3)-MONTH($B$8))))</x:f>
      </x:c>
      <x:c r="CT21" s="107" t="n">
        <x:f>IF(CT20=0,0,'Вводные'!$B$61*'Вводные'!$S$88*'Вводные'!$H$5*'Вводные'!$AG$88*(1+'Вводные'!$B$64)^MAX(0,MIN((12*(YEAR(CT$3)-YEAR($B$7))+MONTH(CT$3)-MONTH($B$7)),(12*(YEAR($B$8)-YEAR($B$7))+MONTH($B$8)-MONTH($B$7))))*(1+'Вводные'!$B$65)^MAX(0,(12*(YEAR(CT$3)-YEAR($B$8))+MONTH(CT$3)-MONTH($B$8))))</x:f>
      </x:c>
      <x:c r="CU21" s="107" t="n">
        <x:f>IF(CU20=0,0,'Вводные'!$B$61*'Вводные'!$S$88*'Вводные'!$H$5*'Вводные'!$AG$88*(1+'Вводные'!$B$64)^MAX(0,MIN((12*(YEAR(CU$3)-YEAR($B$7))+MONTH(CU$3)-MONTH($B$7)),(12*(YEAR($B$8)-YEAR($B$7))+MONTH($B$8)-MONTH($B$7))))*(1+'Вводные'!$B$65)^MAX(0,(12*(YEAR(CU$3)-YEAR($B$8))+MONTH(CU$3)-MONTH($B$8))))</x:f>
      </x:c>
      <x:c r="CV21" s="107" t="n">
        <x:f>IF(CV20=0,0,'Вводные'!$B$61*'Вводные'!$S$88*'Вводные'!$H$5*'Вводные'!$AG$88*(1+'Вводные'!$B$64)^MAX(0,MIN((12*(YEAR(CV$3)-YEAR($B$7))+MONTH(CV$3)-MONTH($B$7)),(12*(YEAR($B$8)-YEAR($B$7))+MONTH($B$8)-MONTH($B$7))))*(1+'Вводные'!$B$65)^MAX(0,(12*(YEAR(CV$3)-YEAR($B$8))+MONTH(CV$3)-MONTH($B$8))))</x:f>
      </x:c>
      <x:c r="CW21" s="107" t="n">
        <x:f>IF(CW20=0,0,'Вводные'!$B$61*'Вводные'!$S$88*'Вводные'!$H$5*'Вводные'!$AG$88*(1+'Вводные'!$B$64)^MAX(0,MIN((12*(YEAR(CW$3)-YEAR($B$7))+MONTH(CW$3)-MONTH($B$7)),(12*(YEAR($B$8)-YEAR($B$7))+MONTH($B$8)-MONTH($B$7))))*(1+'Вводные'!$B$65)^MAX(0,(12*(YEAR(CW$3)-YEAR($B$8))+MONTH(CW$3)-MONTH($B$8))))</x:f>
      </x:c>
      <x:c r="CX21" s="107" t="n">
        <x:f>IF(CX20=0,0,'Вводные'!$B$61*'Вводные'!$S$88*'Вводные'!$H$5*'Вводные'!$AG$88*(1+'Вводные'!$B$64)^MAX(0,MIN((12*(YEAR(CX$3)-YEAR($B$7))+MONTH(CX$3)-MONTH($B$7)),(12*(YEAR($B$8)-YEAR($B$7))+MONTH($B$8)-MONTH($B$7))))*(1+'Вводные'!$B$65)^MAX(0,(12*(YEAR(CX$3)-YEAR($B$8))+MONTH(CX$3)-MONTH($B$8))))</x:f>
      </x:c>
      <x:c r="CY21" s="107" t="n">
        <x:f>IF(CY20=0,0,'Вводные'!$B$61*'Вводные'!$S$88*'Вводные'!$H$5*'Вводные'!$AG$88*(1+'Вводные'!$B$64)^MAX(0,MIN((12*(YEAR(CY$3)-YEAR($B$7))+MONTH(CY$3)-MONTH($B$7)),(12*(YEAR($B$8)-YEAR($B$7))+MONTH($B$8)-MONTH($B$7))))*(1+'Вводные'!$B$65)^MAX(0,(12*(YEAR(CY$3)-YEAR($B$8))+MONTH(CY$3)-MONTH($B$8))))</x:f>
      </x:c>
      <x:c r="CZ21" s="107" t="n">
        <x:f>IF(CZ20=0,0,'Вводные'!$B$61*'Вводные'!$S$88*'Вводные'!$H$5*'Вводные'!$AG$88*(1+'Вводные'!$B$64)^MAX(0,MIN((12*(YEAR(CZ$3)-YEAR($B$7))+MONTH(CZ$3)-MONTH($B$7)),(12*(YEAR($B$8)-YEAR($B$7))+MONTH($B$8)-MONTH($B$7))))*(1+'Вводные'!$B$65)^MAX(0,(12*(YEAR(CZ$3)-YEAR($B$8))+MONTH(CZ$3)-MONTH($B$8))))</x:f>
      </x:c>
      <x:c r="DA21" s="107" t="n">
        <x:f>IF(DA20=0,0,'Вводные'!$B$61*'Вводные'!$S$88*'Вводные'!$H$5*'Вводные'!$AG$88*(1+'Вводные'!$B$64)^MAX(0,MIN((12*(YEAR(DA$3)-YEAR($B$7))+MONTH(DA$3)-MONTH($B$7)),(12*(YEAR($B$8)-YEAR($B$7))+MONTH($B$8)-MONTH($B$7))))*(1+'Вводные'!$B$65)^MAX(0,(12*(YEAR(DA$3)-YEAR($B$8))+MONTH(DA$3)-MONTH($B$8))))</x:f>
      </x:c>
      <x:c r="DB21" s="107" t="n">
        <x:f>IF(DB20=0,0,'Вводные'!$B$61*'Вводные'!$S$88*'Вводные'!$H$5*'Вводные'!$AG$88*(1+'Вводные'!$B$64)^MAX(0,MIN((12*(YEAR(DB$3)-YEAR($B$7))+MONTH(DB$3)-MONTH($B$7)),(12*(YEAR($B$8)-YEAR($B$7))+MONTH($B$8)-MONTH($B$7))))*(1+'Вводные'!$B$65)^MAX(0,(12*(YEAR(DB$3)-YEAR($B$8))+MONTH(DB$3)-MONTH($B$8))))</x:f>
      </x:c>
      <x:c r="DC21" s="107" t="n">
        <x:f>IF(DC20=0,0,'Вводные'!$B$61*'Вводные'!$S$88*'Вводные'!$H$5*'Вводные'!$AG$88*(1+'Вводные'!$B$64)^MAX(0,MIN((12*(YEAR(DC$3)-YEAR($B$7))+MONTH(DC$3)-MONTH($B$7)),(12*(YEAR($B$8)-YEAR($B$7))+MONTH($B$8)-MONTH($B$7))))*(1+'Вводные'!$B$65)^MAX(0,(12*(YEAR(DC$3)-YEAR($B$8))+MONTH(DC$3)-MONTH($B$8))))</x:f>
      </x:c>
      <x:c r="DD21" s="107" t="n">
        <x:f>IF(DD20=0,0,'Вводные'!$B$61*'Вводные'!$S$88*'Вводные'!$H$5*'Вводные'!$AG$88*(1+'Вводные'!$B$64)^MAX(0,MIN((12*(YEAR(DD$3)-YEAR($B$7))+MONTH(DD$3)-MONTH($B$7)),(12*(YEAR($B$8)-YEAR($B$7))+MONTH($B$8)-MONTH($B$7))))*(1+'Вводные'!$B$65)^MAX(0,(12*(YEAR(DD$3)-YEAR($B$8))+MONTH(DD$3)-MONTH($B$8))))</x:f>
      </x:c>
      <x:c r="DE21" s="107" t="n">
        <x:f>IF(DE20=0,0,'Вводные'!$B$61*'Вводные'!$S$88*'Вводные'!$H$5*'Вводные'!$AG$88*(1+'Вводные'!$B$64)^MAX(0,MIN((12*(YEAR(DE$3)-YEAR($B$7))+MONTH(DE$3)-MONTH($B$7)),(12*(YEAR($B$8)-YEAR($B$7))+MONTH($B$8)-MONTH($B$7))))*(1+'Вводные'!$B$65)^MAX(0,(12*(YEAR(DE$3)-YEAR($B$8))+MONTH(DE$3)-MONTH($B$8))))</x:f>
      </x:c>
      <x:c r="DF21" s="107" t="n">
        <x:f>IF(DF20=0,0,'Вводные'!$B$61*'Вводные'!$S$88*'Вводные'!$H$5*'Вводные'!$AG$88*(1+'Вводные'!$B$64)^MAX(0,MIN((12*(YEAR(DF$3)-YEAR($B$7))+MONTH(DF$3)-MONTH($B$7)),(12*(YEAR($B$8)-YEAR($B$7))+MONTH($B$8)-MONTH($B$7))))*(1+'Вводные'!$B$65)^MAX(0,(12*(YEAR(DF$3)-YEAR($B$8))+MONTH(DF$3)-MONTH($B$8))))</x:f>
      </x:c>
      <x:c r="DG21" s="107" t="n">
        <x:f>IF(DG20=0,0,'Вводные'!$B$61*'Вводные'!$S$88*'Вводные'!$H$5*'Вводные'!$AG$88*(1+'Вводные'!$B$64)^MAX(0,MIN((12*(YEAR(DG$3)-YEAR($B$7))+MONTH(DG$3)-MONTH($B$7)),(12*(YEAR($B$8)-YEAR($B$7))+MONTH($B$8)-MONTH($B$7))))*(1+'Вводные'!$B$65)^MAX(0,(12*(YEAR(DG$3)-YEAR($B$8))+MONTH(DG$3)-MONTH($B$8))))</x:f>
      </x:c>
      <x:c r="DH21" s="107" t="n">
        <x:f>IF(DH20=0,0,'Вводные'!$B$61*'Вводные'!$S$88*'Вводные'!$H$5*'Вводные'!$AG$88*(1+'Вводные'!$B$64)^MAX(0,MIN((12*(YEAR(DH$3)-YEAR($B$7))+MONTH(DH$3)-MONTH($B$7)),(12*(YEAR($B$8)-YEAR($B$7))+MONTH($B$8)-MONTH($B$7))))*(1+'Вводные'!$B$65)^MAX(0,(12*(YEAR(DH$3)-YEAR($B$8))+MONTH(DH$3)-MONTH($B$8))))</x:f>
      </x:c>
      <x:c r="DI21" s="107" t="n">
        <x:f>IF(DI20=0,0,'Вводные'!$B$61*'Вводные'!$S$88*'Вводные'!$H$5*'Вводные'!$AG$88*(1+'Вводные'!$B$64)^MAX(0,MIN((12*(YEAR(DI$3)-YEAR($B$7))+MONTH(DI$3)-MONTH($B$7)),(12*(YEAR($B$8)-YEAR($B$7))+MONTH($B$8)-MONTH($B$7))))*(1+'Вводные'!$B$65)^MAX(0,(12*(YEAR(DI$3)-YEAR($B$8))+MONTH(DI$3)-MONTH($B$8))))</x:f>
      </x:c>
      <x:c r="DJ21" s="107" t="n">
        <x:f>IF(DJ20=0,0,'Вводные'!$B$61*'Вводные'!$S$88*'Вводные'!$H$5*'Вводные'!$AG$88*(1+'Вводные'!$B$64)^MAX(0,MIN((12*(YEAR(DJ$3)-YEAR($B$7))+MONTH(DJ$3)-MONTH($B$7)),(12*(YEAR($B$8)-YEAR($B$7))+MONTH($B$8)-MONTH($B$7))))*(1+'Вводные'!$B$65)^MAX(0,(12*(YEAR(DJ$3)-YEAR($B$8))+MONTH(DJ$3)-MONTH($B$8))))</x:f>
      </x:c>
      <x:c r="DK21" s="107" t="n">
        <x:f>IF(DK20=0,0,'Вводные'!$B$61*'Вводные'!$S$88*'Вводные'!$H$5*'Вводные'!$AG$88*(1+'Вводные'!$B$64)^MAX(0,MIN((12*(YEAR(DK$3)-YEAR($B$7))+MONTH(DK$3)-MONTH($B$7)),(12*(YEAR($B$8)-YEAR($B$7))+MONTH($B$8)-MONTH($B$7))))*(1+'Вводные'!$B$65)^MAX(0,(12*(YEAR(DK$3)-YEAR($B$8))+MONTH(DK$3)-MONTH($B$8))))</x:f>
      </x:c>
      <x:c r="DL21" s="107" t="n">
        <x:f>IF(DL20=0,0,'Вводные'!$B$61*'Вводные'!$S$88*'Вводные'!$H$5*'Вводные'!$AG$88*(1+'Вводные'!$B$64)^MAX(0,MIN((12*(YEAR(DL$3)-YEAR($B$7))+MONTH(DL$3)-MONTH($B$7)),(12*(YEAR($B$8)-YEAR($B$7))+MONTH($B$8)-MONTH($B$7))))*(1+'Вводные'!$B$65)^MAX(0,(12*(YEAR(DL$3)-YEAR($B$8))+MONTH(DL$3)-MONTH($B$8))))</x:f>
      </x:c>
      <x:c r="DM21" s="107" t="n">
        <x:f>IF(DM20=0,0,'Вводные'!$B$61*'Вводные'!$S$88*'Вводные'!$H$5*'Вводные'!$AG$88*(1+'Вводные'!$B$64)^MAX(0,MIN((12*(YEAR(DM$3)-YEAR($B$7))+MONTH(DM$3)-MONTH($B$7)),(12*(YEAR($B$8)-YEAR($B$7))+MONTH($B$8)-MONTH($B$7))))*(1+'Вводные'!$B$65)^MAX(0,(12*(YEAR(DM$3)-YEAR($B$8))+MONTH(DM$3)-MONTH($B$8))))</x:f>
      </x:c>
      <x:c r="DN21" s="107" t="n">
        <x:f>IF(DN20=0,0,'Вводные'!$B$61*'Вводные'!$S$88*'Вводные'!$H$5*'Вводные'!$AG$88*(1+'Вводные'!$B$64)^MAX(0,MIN((12*(YEAR(DN$3)-YEAR($B$7))+MONTH(DN$3)-MONTH($B$7)),(12*(YEAR($B$8)-YEAR($B$7))+MONTH($B$8)-MONTH($B$7))))*(1+'Вводные'!$B$65)^MAX(0,(12*(YEAR(DN$3)-YEAR($B$8))+MONTH(DN$3)-MONTH($B$8))))</x:f>
      </x:c>
      <x:c r="DO21" s="107" t="n">
        <x:f>IF(DO20=0,0,'Вводные'!$B$61*'Вводные'!$S$88*'Вводные'!$H$5*'Вводные'!$AG$88*(1+'Вводные'!$B$64)^MAX(0,MIN((12*(YEAR(DO$3)-YEAR($B$7))+MONTH(DO$3)-MONTH($B$7)),(12*(YEAR($B$8)-YEAR($B$7))+MONTH($B$8)-MONTH($B$7))))*(1+'Вводные'!$B$65)^MAX(0,(12*(YEAR(DO$3)-YEAR($B$8))+MONTH(DO$3)-MONTH($B$8))))</x:f>
      </x:c>
      <x:c r="DP21" s="107" t="n">
        <x:f>IF(DP20=0,0,'Вводные'!$B$61*'Вводные'!$S$88*'Вводные'!$H$5*'Вводные'!$AG$88*(1+'Вводные'!$B$64)^MAX(0,MIN((12*(YEAR(DP$3)-YEAR($B$7))+MONTH(DP$3)-MONTH($B$7)),(12*(YEAR($B$8)-YEAR($B$7))+MONTH($B$8)-MONTH($B$7))))*(1+'Вводные'!$B$65)^MAX(0,(12*(YEAR(DP$3)-YEAR($B$8))+MONTH(DP$3)-MONTH($B$8))))</x:f>
      </x:c>
      <x:c r="DQ21" s="107" t="n">
        <x:f>IF(DQ20=0,0,'Вводные'!$B$61*'Вводные'!$S$88*'Вводные'!$H$5*'Вводные'!$AG$88*(1+'Вводные'!$B$64)^MAX(0,MIN((12*(YEAR(DQ$3)-YEAR($B$7))+MONTH(DQ$3)-MONTH($B$7)),(12*(YEAR($B$8)-YEAR($B$7))+MONTH($B$8)-MONTH($B$7))))*(1+'Вводные'!$B$65)^MAX(0,(12*(YEAR(DQ$3)-YEAR($B$8))+MONTH(DQ$3)-MONTH($B$8))))</x:f>
      </x:c>
      <x:c r="DR21" s="107" t="n">
        <x:f>IF(DR20=0,0,'Вводные'!$B$61*'Вводные'!$S$88*'Вводные'!$H$5*'Вводные'!$AG$88*(1+'Вводные'!$B$64)^MAX(0,MIN((12*(YEAR(DR$3)-YEAR($B$7))+MONTH(DR$3)-MONTH($B$7)),(12*(YEAR($B$8)-YEAR($B$7))+MONTH($B$8)-MONTH($B$7))))*(1+'Вводные'!$B$65)^MAX(0,(12*(YEAR(DR$3)-YEAR($B$8))+MONTH(DR$3)-MONTH($B$8))))</x:f>
      </x:c>
      <x:c r="DS21" s="107" t="n">
        <x:f>IF(DS20=0,0,'Вводные'!$B$61*'Вводные'!$S$88*'Вводные'!$H$5*'Вводные'!$AG$88*(1+'Вводные'!$B$64)^MAX(0,MIN((12*(YEAR(DS$3)-YEAR($B$7))+MONTH(DS$3)-MONTH($B$7)),(12*(YEAR($B$8)-YEAR($B$7))+MONTH($B$8)-MONTH($B$7))))*(1+'Вводные'!$B$65)^MAX(0,(12*(YEAR(DS$3)-YEAR($B$8))+MONTH(DS$3)-MONTH($B$8))))</x:f>
      </x:c>
      <x:c r="DT21" s="107" t="n">
        <x:f>IF(DT20=0,0,'Вводные'!$B$61*'Вводные'!$S$88*'Вводные'!$H$5*'Вводные'!$AG$88*(1+'Вводные'!$B$64)^MAX(0,MIN((12*(YEAR(DT$3)-YEAR($B$7))+MONTH(DT$3)-MONTH($B$7)),(12*(YEAR($B$8)-YEAR($B$7))+MONTH($B$8)-MONTH($B$7))))*(1+'Вводные'!$B$65)^MAX(0,(12*(YEAR(DT$3)-YEAR($B$8))+MONTH(DT$3)-MONTH($B$8))))</x:f>
      </x:c>
      <x:c r="DU21" s="107" t="n">
        <x:f>IF(DU20=0,0,'Вводные'!$B$61*'Вводные'!$S$88*'Вводные'!$H$5*'Вводные'!$AG$88*(1+'Вводные'!$B$64)^MAX(0,MIN((12*(YEAR(DU$3)-YEAR($B$7))+MONTH(DU$3)-MONTH($B$7)),(12*(YEAR($B$8)-YEAR($B$7))+MONTH($B$8)-MONTH($B$7))))*(1+'Вводные'!$B$65)^MAX(0,(12*(YEAR(DU$3)-YEAR($B$8))+MONTH(DU$3)-MONTH($B$8))))</x:f>
      </x:c>
      <x:c r="DV21" s="107" t="n">
        <x:f>IF(DV20=0,0,'Вводные'!$B$61*'Вводные'!$S$88*'Вводные'!$H$5*'Вводные'!$AG$88*(1+'Вводные'!$B$64)^MAX(0,MIN((12*(YEAR(DV$3)-YEAR($B$7))+MONTH(DV$3)-MONTH($B$7)),(12*(YEAR($B$8)-YEAR($B$7))+MONTH($B$8)-MONTH($B$7))))*(1+'Вводные'!$B$65)^MAX(0,(12*(YEAR(DV$3)-YEAR($B$8))+MONTH(DV$3)-MONTH($B$8))))</x:f>
      </x:c>
      <x:c r="DW21" s="107" t="n">
        <x:f>IF(DW20=0,0,'Вводные'!$B$61*'Вводные'!$S$88*'Вводные'!$H$5*'Вводные'!$AG$88*(1+'Вводные'!$B$64)^MAX(0,MIN((12*(YEAR(DW$3)-YEAR($B$7))+MONTH(DW$3)-MONTH($B$7)),(12*(YEAR($B$8)-YEAR($B$7))+MONTH($B$8)-MONTH($B$7))))*(1+'Вводные'!$B$65)^MAX(0,(12*(YEAR(DW$3)-YEAR($B$8))+MONTH(DW$3)-MONTH($B$8))))</x:f>
      </x:c>
      <x:c r="DX21" s="107" t="n">
        <x:f>IF(DX20=0,0,'Вводные'!$B$61*'Вводные'!$S$88*'Вводные'!$H$5*'Вводные'!$AG$88*(1+'Вводные'!$B$64)^MAX(0,MIN((12*(YEAR(DX$3)-YEAR($B$7))+MONTH(DX$3)-MONTH($B$7)),(12*(YEAR($B$8)-YEAR($B$7))+MONTH($B$8)-MONTH($B$7))))*(1+'Вводные'!$B$65)^MAX(0,(12*(YEAR(DX$3)-YEAR($B$8))+MONTH(DX$3)-MONTH($B$8))))</x:f>
      </x:c>
      <x:c r="DY21" s="107" t="n">
        <x:f>IF(DY20=0,0,'Вводные'!$B$61*'Вводные'!$S$88*'Вводные'!$H$5*'Вводные'!$AG$88*(1+'Вводные'!$B$64)^MAX(0,MIN((12*(YEAR(DY$3)-YEAR($B$7))+MONTH(DY$3)-MONTH($B$7)),(12*(YEAR($B$8)-YEAR($B$7))+MONTH($B$8)-MONTH($B$7))))*(1+'Вводные'!$B$65)^MAX(0,(12*(YEAR(DY$3)-YEAR($B$8))+MONTH(DY$3)-MONTH($B$8))))</x:f>
      </x:c>
      <x:c r="DZ21" s="107" t="n">
        <x:f>IF(DZ20=0,0,'Вводные'!$B$61*'Вводные'!$S$88*'Вводные'!$H$5*'Вводные'!$AG$88*(1+'Вводные'!$B$64)^MAX(0,MIN((12*(YEAR(DZ$3)-YEAR($B$7))+MONTH(DZ$3)-MONTH($B$7)),(12*(YEAR($B$8)-YEAR($B$7))+MONTH($B$8)-MONTH($B$7))))*(1+'Вводные'!$B$65)^MAX(0,(12*(YEAR(DZ$3)-YEAR($B$8))+MONTH(DZ$3)-MONTH($B$8))))</x:f>
      </x:c>
      <x:c r="EA21" s="107" t="n">
        <x:f>IF(EA20=0,0,'Вводные'!$B$61*'Вводные'!$S$88*'Вводные'!$H$5*'Вводные'!$AG$88*(1+'Вводные'!$B$64)^MAX(0,MIN((12*(YEAR(EA$3)-YEAR($B$7))+MONTH(EA$3)-MONTH($B$7)),(12*(YEAR($B$8)-YEAR($B$7))+MONTH($B$8)-MONTH($B$7))))*(1+'Вводные'!$B$65)^MAX(0,(12*(YEAR(EA$3)-YEAR($B$8))+MONTH(EA$3)-MONTH($B$8))))</x:f>
      </x:c>
      <x:c r="EB21" s="107" t="n">
        <x:f>IF(EB20=0,0,'Вводные'!$B$61*'Вводные'!$S$88*'Вводные'!$H$5*'Вводные'!$AG$88*(1+'Вводные'!$B$64)^MAX(0,MIN((12*(YEAR(EB$3)-YEAR($B$7))+MONTH(EB$3)-MONTH($B$7)),(12*(YEAR($B$8)-YEAR($B$7))+MONTH($B$8)-MONTH($B$7))))*(1+'Вводные'!$B$65)^MAX(0,(12*(YEAR(EB$3)-YEAR($B$8))+MONTH(EB$3)-MONTH($B$8))))</x:f>
      </x:c>
      <x:c r="EC21" s="107" t="n">
        <x:f>IF(EC20=0,0,'Вводные'!$B$61*'Вводные'!$S$88*'Вводные'!$H$5*'Вводные'!$AG$88*(1+'Вводные'!$B$64)^MAX(0,MIN((12*(YEAR(EC$3)-YEAR($B$7))+MONTH(EC$3)-MONTH($B$7)),(12*(YEAR($B$8)-YEAR($B$7))+MONTH($B$8)-MONTH($B$7))))*(1+'Вводные'!$B$65)^MAX(0,(12*(YEAR(EC$3)-YEAR($B$8))+MONTH(EC$3)-MONTH($B$8))))</x:f>
      </x:c>
      <x:c r="ED21" s="107" t="n">
        <x:f>IF(ED20=0,0,'Вводные'!$B$61*'Вводные'!$S$88*'Вводные'!$H$5*'Вводные'!$AG$88*(1+'Вводные'!$B$64)^MAX(0,MIN((12*(YEAR(ED$3)-YEAR($B$7))+MONTH(ED$3)-MONTH($B$7)),(12*(YEAR($B$8)-YEAR($B$7))+MONTH($B$8)-MONTH($B$7))))*(1+'Вводные'!$B$65)^MAX(0,(12*(YEAR(ED$3)-YEAR($B$8))+MONTH(ED$3)-MONTH($B$8))))</x:f>
      </x:c>
      <x:c r="EE21" s="107" t="n">
        <x:f>IF(EE20=0,0,'Вводные'!$B$61*'Вводные'!$S$88*'Вводные'!$H$5*'Вводные'!$AG$88*(1+'Вводные'!$B$64)^MAX(0,MIN((12*(YEAR(EE$3)-YEAR($B$7))+MONTH(EE$3)-MONTH($B$7)),(12*(YEAR($B$8)-YEAR($B$7))+MONTH($B$8)-MONTH($B$7))))*(1+'Вводные'!$B$65)^MAX(0,(12*(YEAR(EE$3)-YEAR($B$8))+MONTH(EE$3)-MONTH($B$8))))</x:f>
      </x:c>
      <x:c r="EF21" s="107" t="n">
        <x:f>IF(EF20=0,0,'Вводные'!$B$61*'Вводные'!$S$88*'Вводные'!$H$5*'Вводные'!$AG$88*(1+'Вводные'!$B$64)^MAX(0,MIN((12*(YEAR(EF$3)-YEAR($B$7))+MONTH(EF$3)-MONTH($B$7)),(12*(YEAR($B$8)-YEAR($B$7))+MONTH($B$8)-MONTH($B$7))))*(1+'Вводные'!$B$65)^MAX(0,(12*(YEAR(EF$3)-YEAR($B$8))+MONTH(EF$3)-MONTH($B$8))))</x:f>
      </x:c>
      <x:c r="EG21" s="107" t="n">
        <x:f>IF(EG20=0,0,'Вводные'!$B$61*'Вводные'!$S$88*'Вводные'!$H$5*'Вводные'!$AG$88*(1+'Вводные'!$B$64)^MAX(0,MIN((12*(YEAR(EG$3)-YEAR($B$7))+MONTH(EG$3)-MONTH($B$7)),(12*(YEAR($B$8)-YEAR($B$7))+MONTH($B$8)-MONTH($B$7))))*(1+'Вводные'!$B$65)^MAX(0,(12*(YEAR(EG$3)-YEAR($B$8))+MONTH(EG$3)-MONTH($B$8))))</x:f>
      </x:c>
      <x:c r="EH21" s="107" t="n">
        <x:f>IF(EH20=0,0,'Вводные'!$B$61*'Вводные'!$S$88*'Вводные'!$H$5*'Вводные'!$AG$88*(1+'Вводные'!$B$64)^MAX(0,MIN((12*(YEAR(EH$3)-YEAR($B$7))+MONTH(EH$3)-MONTH($B$7)),(12*(YEAR($B$8)-YEAR($B$7))+MONTH($B$8)-MONTH($B$7))))*(1+'Вводные'!$B$65)^MAX(0,(12*(YEAR(EH$3)-YEAR($B$8))+MONTH(EH$3)-MONTH($B$8))))</x:f>
      </x:c>
      <x:c r="EI21" s="107" t="n">
        <x:f>IF(EI20=0,0,'Вводные'!$B$61*'Вводные'!$S$88*'Вводные'!$H$5*'Вводные'!$AG$88*(1+'Вводные'!$B$64)^MAX(0,MIN((12*(YEAR(EI$3)-YEAR($B$7))+MONTH(EI$3)-MONTH($B$7)),(12*(YEAR($B$8)-YEAR($B$7))+MONTH($B$8)-MONTH($B$7))))*(1+'Вводные'!$B$65)^MAX(0,(12*(YEAR(EI$3)-YEAR($B$8))+MONTH(EI$3)-MONTH($B$8))))</x:f>
      </x:c>
      <x:c r="EJ21" s="107" t="n">
        <x:f>IF(EJ20=0,0,'Вводные'!$B$61*'Вводные'!$S$88*'Вводные'!$H$5*'Вводные'!$AG$88*(1+'Вводные'!$B$64)^MAX(0,MIN((12*(YEAR(EJ$3)-YEAR($B$7))+MONTH(EJ$3)-MONTH($B$7)),(12*(YEAR($B$8)-YEAR($B$7))+MONTH($B$8)-MONTH($B$7))))*(1+'Вводные'!$B$65)^MAX(0,(12*(YEAR(EJ$3)-YEAR($B$8))+MONTH(EJ$3)-MONTH($B$8))))</x:f>
      </x:c>
      <x:c r="EK21" s="107" t="n">
        <x:f>IF(EK20=0,0,'Вводные'!$B$61*'Вводные'!$S$88*'Вводные'!$H$5*'Вводные'!$AG$88*(1+'Вводные'!$B$64)^MAX(0,MIN((12*(YEAR(EK$3)-YEAR($B$7))+MONTH(EK$3)-MONTH($B$7)),(12*(YEAR($B$8)-YEAR($B$7))+MONTH($B$8)-MONTH($B$7))))*(1+'Вводные'!$B$65)^MAX(0,(12*(YEAR(EK$3)-YEAR($B$8))+MONTH(EK$3)-MONTH($B$8))))</x:f>
      </x:c>
      <x:c r="EL21" s="107" t="n">
        <x:f>IF(EL20=0,0,'Вводные'!$B$61*'Вводные'!$S$88*'Вводные'!$H$5*'Вводные'!$AG$88*(1+'Вводные'!$B$64)^MAX(0,MIN((12*(YEAR(EL$3)-YEAR($B$7))+MONTH(EL$3)-MONTH($B$7)),(12*(YEAR($B$8)-YEAR($B$7))+MONTH($B$8)-MONTH($B$7))))*(1+'Вводные'!$B$65)^MAX(0,(12*(YEAR(EL$3)-YEAR($B$8))+MONTH(EL$3)-MONTH($B$8))))</x:f>
      </x:c>
      <x:c r="EM21" s="107" t="n">
        <x:f>IF(EM20=0,0,'Вводные'!$B$61*'Вводные'!$S$88*'Вводные'!$H$5*'Вводные'!$AG$88*(1+'Вводные'!$B$64)^MAX(0,MIN((12*(YEAR(EM$3)-YEAR($B$7))+MONTH(EM$3)-MONTH($B$7)),(12*(YEAR($B$8)-YEAR($B$7))+MONTH($B$8)-MONTH($B$7))))*(1+'Вводные'!$B$65)^MAX(0,(12*(YEAR(EM$3)-YEAR($B$8))+MONTH(EM$3)-MONTH($B$8))))</x:f>
      </x:c>
      <x:c r="EN21" s="107" t="n">
        <x:f>IF(EN20=0,0,'Вводные'!$B$61*'Вводные'!$S$88*'Вводные'!$H$5*'Вводные'!$AG$88*(1+'Вводные'!$B$64)^MAX(0,MIN((12*(YEAR(EN$3)-YEAR($B$7))+MONTH(EN$3)-MONTH($B$7)),(12*(YEAR($B$8)-YEAR($B$7))+MONTH($B$8)-MONTH($B$7))))*(1+'Вводные'!$B$65)^MAX(0,(12*(YEAR(EN$3)-YEAR($B$8))+MONTH(EN$3)-MONTH($B$8))))</x:f>
      </x:c>
      <x:c r="EO21" s="107" t="n">
        <x:f>IF(EO20=0,0,'Вводные'!$B$61*'Вводные'!$S$88*'Вводные'!$H$5*'Вводные'!$AG$88*(1+'Вводные'!$B$64)^MAX(0,MIN((12*(YEAR(EO$3)-YEAR($B$7))+MONTH(EO$3)-MONTH($B$7)),(12*(YEAR($B$8)-YEAR($B$7))+MONTH($B$8)-MONTH($B$7))))*(1+'Вводные'!$B$65)^MAX(0,(12*(YEAR(EO$3)-YEAR($B$8))+MONTH(EO$3)-MONTH($B$8))))</x:f>
      </x:c>
      <x:c r="EP21" s="107" t="n">
        <x:f>IF(EP20=0,0,'Вводные'!$B$61*'Вводные'!$S$88*'Вводные'!$H$5*'Вводные'!$AG$88*(1+'Вводные'!$B$64)^MAX(0,MIN((12*(YEAR(EP$3)-YEAR($B$7))+MONTH(EP$3)-MONTH($B$7)),(12*(YEAR($B$8)-YEAR($B$7))+MONTH($B$8)-MONTH($B$7))))*(1+'Вводные'!$B$65)^MAX(0,(12*(YEAR(EP$3)-YEAR($B$8))+MONTH(EP$3)-MONTH($B$8))))</x:f>
      </x:c>
      <x:c r="EQ21" s="107" t="n">
        <x:f>IF(EQ20=0,0,'Вводные'!$B$61*'Вводные'!$S$88*'Вводные'!$H$5*'Вводные'!$AG$88*(1+'Вводные'!$B$64)^MAX(0,MIN((12*(YEAR(EQ$3)-YEAR($B$7))+MONTH(EQ$3)-MONTH($B$7)),(12*(YEAR($B$8)-YEAR($B$7))+MONTH($B$8)-MONTH($B$7))))*(1+'Вводные'!$B$65)^MAX(0,(12*(YEAR(EQ$3)-YEAR($B$8))+MONTH(EQ$3)-MONTH($B$8))))</x:f>
      </x:c>
      <x:c r="ER21" s="107" t="n">
        <x:f>IF(ER20=0,0,'Вводные'!$B$61*'Вводные'!$S$88*'Вводные'!$H$5*'Вводные'!$AG$88*(1+'Вводные'!$B$64)^MAX(0,MIN((12*(YEAR(ER$3)-YEAR($B$7))+MONTH(ER$3)-MONTH($B$7)),(12*(YEAR($B$8)-YEAR($B$7))+MONTH($B$8)-MONTH($B$7))))*(1+'Вводные'!$B$65)^MAX(0,(12*(YEAR(ER$3)-YEAR($B$8))+MONTH(ER$3)-MONTH($B$8))))</x:f>
      </x:c>
      <x:c r="ES21" s="107" t="n">
        <x:f>IF(ES20=0,0,'Вводные'!$B$61*'Вводные'!$S$88*'Вводные'!$H$5*'Вводные'!$AG$88*(1+'Вводные'!$B$64)^MAX(0,MIN((12*(YEAR(ES$3)-YEAR($B$7))+MONTH(ES$3)-MONTH($B$7)),(12*(YEAR($B$8)-YEAR($B$7))+MONTH($B$8)-MONTH($B$7))))*(1+'Вводные'!$B$65)^MAX(0,(12*(YEAR(ES$3)-YEAR($B$8))+MONTH(ES$3)-MONTH($B$8))))</x:f>
      </x:c>
      <x:c r="ET21" s="107" t="n">
        <x:f>IF(ET20=0,0,'Вводные'!$B$61*'Вводные'!$S$88*'Вводные'!$H$5*'Вводные'!$AG$88*(1+'Вводные'!$B$64)^MAX(0,MIN((12*(YEAR(ET$3)-YEAR($B$7))+MONTH(ET$3)-MONTH($B$7)),(12*(YEAR($B$8)-YEAR($B$7))+MONTH($B$8)-MONTH($B$7))))*(1+'Вводные'!$B$65)^MAX(0,(12*(YEAR(ET$3)-YEAR($B$8))+MONTH(ET$3)-MONTH($B$8))))</x:f>
      </x:c>
      <x:c r="EU21" s="107" t="n">
        <x:f>IF(EU20=0,0,'Вводные'!$B$61*'Вводные'!$S$88*'Вводные'!$H$5*'Вводные'!$AG$88*(1+'Вводные'!$B$64)^MAX(0,MIN((12*(YEAR(EU$3)-YEAR($B$7))+MONTH(EU$3)-MONTH($B$7)),(12*(YEAR($B$8)-YEAR($B$7))+MONTH($B$8)-MONTH($B$7))))*(1+'Вводные'!$B$65)^MAX(0,(12*(YEAR(EU$3)-YEAR($B$8))+MONTH(EU$3)-MONTH($B$8))))</x:f>
      </x:c>
      <x:c r="EV21" s="107" t="n">
        <x:f>IF(EV20=0,0,'Вводные'!$B$61*'Вводные'!$S$88*'Вводные'!$H$5*'Вводные'!$AG$88*(1+'Вводные'!$B$64)^MAX(0,MIN((12*(YEAR(EV$3)-YEAR($B$7))+MONTH(EV$3)-MONTH($B$7)),(12*(YEAR($B$8)-YEAR($B$7))+MONTH($B$8)-MONTH($B$7))))*(1+'Вводные'!$B$65)^MAX(0,(12*(YEAR(EV$3)-YEAR($B$8))+MONTH(EV$3)-MONTH($B$8))))</x:f>
      </x:c>
      <x:c r="EW21" s="107" t="n">
        <x:f>IF(EW20=0,0,'Вводные'!$B$61*'Вводные'!$S$88*'Вводные'!$H$5*'Вводные'!$AG$88*(1+'Вводные'!$B$64)^MAX(0,MIN((12*(YEAR(EW$3)-YEAR($B$7))+MONTH(EW$3)-MONTH($B$7)),(12*(YEAR($B$8)-YEAR($B$7))+MONTH($B$8)-MONTH($B$7))))*(1+'Вводные'!$B$65)^MAX(0,(12*(YEAR(EW$3)-YEAR($B$8))+MONTH(EW$3)-MONTH($B$8))))</x:f>
      </x:c>
      <x:c r="EX21" s="107" t="n">
        <x:f>IF(EX20=0,0,'Вводные'!$B$61*'Вводные'!$S$88*'Вводные'!$H$5*'Вводные'!$AG$88*(1+'Вводные'!$B$64)^MAX(0,MIN((12*(YEAR(EX$3)-YEAR($B$7))+MONTH(EX$3)-MONTH($B$7)),(12*(YEAR($B$8)-YEAR($B$7))+MONTH($B$8)-MONTH($B$7))))*(1+'Вводные'!$B$65)^MAX(0,(12*(YEAR(EX$3)-YEAR($B$8))+MONTH(EX$3)-MONTH($B$8))))</x:f>
      </x:c>
      <x:c r="EY21" s="107" t="n">
        <x:f>IF(EY20=0,0,'Вводные'!$B$61*'Вводные'!$S$88*'Вводные'!$H$5*'Вводные'!$AG$88*(1+'Вводные'!$B$64)^MAX(0,MIN((12*(YEAR(EY$3)-YEAR($B$7))+MONTH(EY$3)-MONTH($B$7)),(12*(YEAR($B$8)-YEAR($B$7))+MONTH($B$8)-MONTH($B$7))))*(1+'Вводные'!$B$65)^MAX(0,(12*(YEAR(EY$3)-YEAR($B$8))+MONTH(EY$3)-MONTH($B$8))))</x:f>
      </x:c>
      <x:c r="EZ21" s="107" t="n">
        <x:f>IF(EZ20=0,0,'Вводные'!$B$61*'Вводные'!$S$88*'Вводные'!$H$5*'Вводные'!$AG$88*(1+'Вводные'!$B$64)^MAX(0,MIN((12*(YEAR(EZ$3)-YEAR($B$7))+MONTH(EZ$3)-MONTH($B$7)),(12*(YEAR($B$8)-YEAR($B$7))+MONTH($B$8)-MONTH($B$7))))*(1+'Вводные'!$B$65)^MAX(0,(12*(YEAR(EZ$3)-YEAR($B$8))+MONTH(EZ$3)-MONTH($B$8))))</x:f>
      </x:c>
      <x:c r="FA21" s="107" t="n">
        <x:f>IF(FA20=0,0,'Вводные'!$B$61*'Вводные'!$S$88*'Вводные'!$H$5*'Вводные'!$AG$88*(1+'Вводные'!$B$64)^MAX(0,MIN((12*(YEAR(FA$3)-YEAR($B$7))+MONTH(FA$3)-MONTH($B$7)),(12*(YEAR($B$8)-YEAR($B$7))+MONTH($B$8)-MONTH($B$7))))*(1+'Вводные'!$B$65)^MAX(0,(12*(YEAR(FA$3)-YEAR($B$8))+MONTH(FA$3)-MONTH($B$8))))</x:f>
      </x:c>
      <x:c r="FB21" s="107" t="n">
        <x:f>IF(FB20=0,0,'Вводные'!$B$61*'Вводные'!$S$88*'Вводные'!$H$5*'Вводные'!$AG$88*(1+'Вводные'!$B$64)^MAX(0,MIN((12*(YEAR(FB$3)-YEAR($B$7))+MONTH(FB$3)-MONTH($B$7)),(12*(YEAR($B$8)-YEAR($B$7))+MONTH($B$8)-MONTH($B$7))))*(1+'Вводные'!$B$65)^MAX(0,(12*(YEAR(FB$3)-YEAR($B$8))+MONTH(FB$3)-MONTH($B$8))))</x:f>
      </x:c>
      <x:c r="FC21" s="107" t="n">
        <x:f>IF(FC20=0,0,'Вводные'!$B$61*'Вводные'!$S$88*'Вводные'!$H$5*'Вводные'!$AG$88*(1+'Вводные'!$B$64)^MAX(0,MIN((12*(YEAR(FC$3)-YEAR($B$7))+MONTH(FC$3)-MONTH($B$7)),(12*(YEAR($B$8)-YEAR($B$7))+MONTH($B$8)-MONTH($B$7))))*(1+'Вводные'!$B$65)^MAX(0,(12*(YEAR(FC$3)-YEAR($B$8))+MONTH(FC$3)-MONTH($B$8))))</x:f>
      </x:c>
      <x:c r="FD21" s="107" t="n">
        <x:f>IF(FD20=0,0,'Вводные'!$B$61*'Вводные'!$S$88*'Вводные'!$H$5*'Вводные'!$AG$88*(1+'Вводные'!$B$64)^MAX(0,MIN((12*(YEAR(FD$3)-YEAR($B$7))+MONTH(FD$3)-MONTH($B$7)),(12*(YEAR($B$8)-YEAR($B$7))+MONTH($B$8)-MONTH($B$7))))*(1+'Вводные'!$B$65)^MAX(0,(12*(YEAR(FD$3)-YEAR($B$8))+MONTH(FD$3)-MONTH($B$8))))</x:f>
      </x:c>
      <x:c r="FE21" s="107" t="n">
        <x:f>IF(FE20=0,0,'Вводные'!$B$61*'Вводные'!$S$88*'Вводные'!$H$5*'Вводные'!$AG$88*(1+'Вводные'!$B$64)^MAX(0,MIN((12*(YEAR(FE$3)-YEAR($B$7))+MONTH(FE$3)-MONTH($B$7)),(12*(YEAR($B$8)-YEAR($B$7))+MONTH($B$8)-MONTH($B$7))))*(1+'Вводные'!$B$65)^MAX(0,(12*(YEAR(FE$3)-YEAR($B$8))+MONTH(FE$3)-MONTH($B$8))))</x:f>
      </x:c>
      <x:c r="FF21" s="107" t="n">
        <x:f>IF(FF20=0,0,'Вводные'!$B$61*'Вводные'!$S$88*'Вводные'!$H$5*'Вводные'!$AG$88*(1+'Вводные'!$B$64)^MAX(0,MIN((12*(YEAR(FF$3)-YEAR($B$7))+MONTH(FF$3)-MONTH($B$7)),(12*(YEAR($B$8)-YEAR($B$7))+MONTH($B$8)-MONTH($B$7))))*(1+'Вводные'!$B$65)^MAX(0,(12*(YEAR(FF$3)-YEAR($B$8))+MONTH(FF$3)-MONTH($B$8))))</x:f>
      </x:c>
      <x:c r="FG21" s="107" t="n">
        <x:f>IF(FG20=0,0,'Вводные'!$B$61*'Вводные'!$S$88*'Вводные'!$H$5*'Вводные'!$AG$88*(1+'Вводные'!$B$64)^MAX(0,MIN((12*(YEAR(FG$3)-YEAR($B$7))+MONTH(FG$3)-MONTH($B$7)),(12*(YEAR($B$8)-YEAR($B$7))+MONTH($B$8)-MONTH($B$7))))*(1+'Вводные'!$B$65)^MAX(0,(12*(YEAR(FG$3)-YEAR($B$8))+MONTH(FG$3)-MONTH($B$8))))</x:f>
      </x:c>
      <x:c r="FH21" s="107" t="n">
        <x:f>IF(FH20=0,0,'Вводные'!$B$61*'Вводные'!$S$88*'Вводные'!$H$5*'Вводные'!$AG$88*(1+'Вводные'!$B$64)^MAX(0,MIN((12*(YEAR(FH$3)-YEAR($B$7))+MONTH(FH$3)-MONTH($B$7)),(12*(YEAR($B$8)-YEAR($B$7))+MONTH($B$8)-MONTH($B$7))))*(1+'Вводные'!$B$65)^MAX(0,(12*(YEAR(FH$3)-YEAR($B$8))+MONTH(FH$3)-MONTH($B$8))))</x:f>
      </x:c>
      <x:c r="FI21" s="107" t="n">
        <x:f>IF(FI20=0,0,'Вводные'!$B$61*'Вводные'!$S$88*'Вводные'!$H$5*'Вводные'!$AG$88*(1+'Вводные'!$B$64)^MAX(0,MIN((12*(YEAR(FI$3)-YEAR($B$7))+MONTH(FI$3)-MONTH($B$7)),(12*(YEAR($B$8)-YEAR($B$7))+MONTH($B$8)-MONTH($B$7))))*(1+'Вводные'!$B$65)^MAX(0,(12*(YEAR(FI$3)-YEAR($B$8))+MONTH(FI$3)-MONTH($B$8))))</x:f>
      </x:c>
      <x:c r="FJ21" s="107" t="n">
        <x:f>IF(FJ20=0,0,'Вводные'!$B$61*'Вводные'!$S$88*'Вводные'!$H$5*'Вводные'!$AG$88*(1+'Вводные'!$B$64)^MAX(0,MIN((12*(YEAR(FJ$3)-YEAR($B$7))+MONTH(FJ$3)-MONTH($B$7)),(12*(YEAR($B$8)-YEAR($B$7))+MONTH($B$8)-MONTH($B$7))))*(1+'Вводные'!$B$65)^MAX(0,(12*(YEAR(FJ$3)-YEAR($B$8))+MONTH(FJ$3)-MONTH($B$8))))</x:f>
      </x:c>
      <x:c r="FK21" s="107" t="n">
        <x:f>IF(FK20=0,0,'Вводные'!$B$61*'Вводные'!$S$88*'Вводные'!$H$5*'Вводные'!$AG$88*(1+'Вводные'!$B$64)^MAX(0,MIN((12*(YEAR(FK$3)-YEAR($B$7))+MONTH(FK$3)-MONTH($B$7)),(12*(YEAR($B$8)-YEAR($B$7))+MONTH($B$8)-MONTH($B$7))))*(1+'Вводные'!$B$65)^MAX(0,(12*(YEAR(FK$3)-YEAR($B$8))+MONTH(FK$3)-MONTH($B$8))))</x:f>
      </x:c>
      <x:c r="FL21" s="107" t="n">
        <x:f>IF(FL20=0,0,'Вводные'!$B$61*'Вводные'!$S$88*'Вводные'!$H$5*'Вводные'!$AG$88*(1+'Вводные'!$B$64)^MAX(0,MIN((12*(YEAR(FL$3)-YEAR($B$7))+MONTH(FL$3)-MONTH($B$7)),(12*(YEAR($B$8)-YEAR($B$7))+MONTH($B$8)-MONTH($B$7))))*(1+'Вводные'!$B$65)^MAX(0,(12*(YEAR(FL$3)-YEAR($B$8))+MONTH(FL$3)-MONTH($B$8))))</x:f>
      </x:c>
      <x:c r="FM21" s="107" t="n">
        <x:f>IF(FM20=0,0,'Вводные'!$B$61*'Вводные'!$S$88*'Вводные'!$H$5*'Вводные'!$AG$88*(1+'Вводные'!$B$64)^MAX(0,MIN((12*(YEAR(FM$3)-YEAR($B$7))+MONTH(FM$3)-MONTH($B$7)),(12*(YEAR($B$8)-YEAR($B$7))+MONTH($B$8)-MONTH($B$7))))*(1+'Вводные'!$B$65)^MAX(0,(12*(YEAR(FM$3)-YEAR($B$8))+MONTH(FM$3)-MONTH($B$8))))</x:f>
      </x:c>
      <x:c r="FN21" s="107" t="n">
        <x:f>IF(FN20=0,0,'Вводные'!$B$61*'Вводные'!$S$88*'Вводные'!$H$5*'Вводные'!$AG$88*(1+'Вводные'!$B$64)^MAX(0,MIN((12*(YEAR(FN$3)-YEAR($B$7))+MONTH(FN$3)-MONTH($B$7)),(12*(YEAR($B$8)-YEAR($B$7))+MONTH($B$8)-MONTH($B$7))))*(1+'Вводные'!$B$65)^MAX(0,(12*(YEAR(FN$3)-YEAR($B$8))+MONTH(FN$3)-MONTH($B$8))))</x:f>
      </x:c>
      <x:c r="FO21" s="107" t="n">
        <x:f>IF(FO20=0,0,'Вводные'!$B$61*'Вводные'!$S$88*'Вводные'!$H$5*'Вводные'!$AG$88*(1+'Вводные'!$B$64)^MAX(0,MIN((12*(YEAR(FO$3)-YEAR($B$7))+MONTH(FO$3)-MONTH($B$7)),(12*(YEAR($B$8)-YEAR($B$7))+MONTH($B$8)-MONTH($B$7))))*(1+'Вводные'!$B$65)^MAX(0,(12*(YEAR(FO$3)-YEAR($B$8))+MONTH(FO$3)-MONTH($B$8))))</x:f>
      </x:c>
      <x:c r="FP21" s="107" t="n">
        <x:f>IF(FP20=0,0,'Вводные'!$B$61*'Вводные'!$S$88*'Вводные'!$H$5*'Вводные'!$AG$88*(1+'Вводные'!$B$64)^MAX(0,MIN((12*(YEAR(FP$3)-YEAR($B$7))+MONTH(FP$3)-MONTH($B$7)),(12*(YEAR($B$8)-YEAR($B$7))+MONTH($B$8)-MONTH($B$7))))*(1+'Вводные'!$B$65)^MAX(0,(12*(YEAR(FP$3)-YEAR($B$8))+MONTH(FP$3)-MONTH($B$8))))</x:f>
      </x:c>
      <x:c r="FQ21" s="107" t="n">
        <x:f>IF(FQ20=0,0,'Вводные'!$B$61*'Вводные'!$S$88*'Вводные'!$H$5*'Вводные'!$AG$88*(1+'Вводные'!$B$64)^MAX(0,MIN((12*(YEAR(FQ$3)-YEAR($B$7))+MONTH(FQ$3)-MONTH($B$7)),(12*(YEAR($B$8)-YEAR($B$7))+MONTH($B$8)-MONTH($B$7))))*(1+'Вводные'!$B$65)^MAX(0,(12*(YEAR(FQ$3)-YEAR($B$8))+MONTH(FQ$3)-MONTH($B$8))))</x:f>
      </x:c>
      <x:c r="FR21" s="107" t="n">
        <x:f>IF(FR20=0,0,'Вводные'!$B$61*'Вводные'!$S$88*'Вводные'!$H$5*'Вводные'!$AG$88*(1+'Вводные'!$B$64)^MAX(0,MIN((12*(YEAR(FR$3)-YEAR($B$7))+MONTH(FR$3)-MONTH($B$7)),(12*(YEAR($B$8)-YEAR($B$7))+MONTH($B$8)-MONTH($B$7))))*(1+'Вводные'!$B$65)^MAX(0,(12*(YEAR(FR$3)-YEAR($B$8))+MONTH(FR$3)-MONTH($B$8))))</x:f>
      </x:c>
      <x:c r="FS21" s="107" t="n">
        <x:f>IF(FS20=0,0,'Вводные'!$B$61*'Вводные'!$S$88*'Вводные'!$H$5*'Вводные'!$AG$88*(1+'Вводные'!$B$64)^MAX(0,MIN((12*(YEAR(FS$3)-YEAR($B$7))+MONTH(FS$3)-MONTH($B$7)),(12*(YEAR($B$8)-YEAR($B$7))+MONTH($B$8)-MONTH($B$7))))*(1+'Вводные'!$B$65)^MAX(0,(12*(YEAR(FS$3)-YEAR($B$8))+MONTH(FS$3)-MONTH($B$8))))</x:f>
      </x:c>
      <x:c r="FT21" s="107" t="n">
        <x:f>IF(FT20=0,0,'Вводные'!$B$61*'Вводные'!$S$88*'Вводные'!$H$5*'Вводные'!$AG$88*(1+'Вводные'!$B$64)^MAX(0,MIN((12*(YEAR(FT$3)-YEAR($B$7))+MONTH(FT$3)-MONTH($B$7)),(12*(YEAR($B$8)-YEAR($B$7))+MONTH($B$8)-MONTH($B$7))))*(1+'Вводные'!$B$65)^MAX(0,(12*(YEAR(FT$3)-YEAR($B$8))+MONTH(FT$3)-MONTH($B$8))))</x:f>
      </x:c>
      <x:c r="FU21" s="107" t="n">
        <x:f>IF(FU20=0,0,'Вводные'!$B$61*'Вводные'!$S$88*'Вводные'!$H$5*'Вводные'!$AG$88*(1+'Вводные'!$B$64)^MAX(0,MIN((12*(YEAR(FU$3)-YEAR($B$7))+MONTH(FU$3)-MONTH($B$7)),(12*(YEAR($B$8)-YEAR($B$7))+MONTH($B$8)-MONTH($B$7))))*(1+'Вводные'!$B$65)^MAX(0,(12*(YEAR(FU$3)-YEAR($B$8))+MONTH(FU$3)-MONTH($B$8))))</x:f>
      </x:c>
      <x:c r="FV21" s="107" t="n">
        <x:f>IF(FV20=0,0,'Вводные'!$B$61*'Вводные'!$S$88*'Вводные'!$H$5*'Вводные'!$AG$88*(1+'Вводные'!$B$64)^MAX(0,MIN((12*(YEAR(FV$3)-YEAR($B$7))+MONTH(FV$3)-MONTH($B$7)),(12*(YEAR($B$8)-YEAR($B$7))+MONTH($B$8)-MONTH($B$7))))*(1+'Вводные'!$B$65)^MAX(0,(12*(YEAR(FV$3)-YEAR($B$8))+MONTH(FV$3)-MONTH($B$8))))</x:f>
      </x:c>
      <x:c r="FW21" s="107" t="n">
        <x:f>IF(FW20=0,0,'Вводные'!$B$61*'Вводные'!$S$88*'Вводные'!$H$5*'Вводные'!$AG$88*(1+'Вводные'!$B$64)^MAX(0,MIN((12*(YEAR(FW$3)-YEAR($B$7))+MONTH(FW$3)-MONTH($B$7)),(12*(YEAR($B$8)-YEAR($B$7))+MONTH($B$8)-MONTH($B$7))))*(1+'Вводные'!$B$65)^MAX(0,(12*(YEAR(FW$3)-YEAR($B$8))+MONTH(FW$3)-MONTH($B$8))))</x:f>
      </x:c>
      <x:c r="FX21" s="107" t="n">
        <x:f>IF(FX20=0,0,'Вводные'!$B$61*'Вводные'!$S$88*'Вводные'!$H$5*'Вводные'!$AG$88*(1+'Вводные'!$B$64)^MAX(0,MIN((12*(YEAR(FX$3)-YEAR($B$7))+MONTH(FX$3)-MONTH($B$7)),(12*(YEAR($B$8)-YEAR($B$7))+MONTH($B$8)-MONTH($B$7))))*(1+'Вводные'!$B$65)^MAX(0,(12*(YEAR(FX$3)-YEAR($B$8))+MONTH(FX$3)-MONTH($B$8))))</x:f>
      </x:c>
      <x:c r="FY21" s="107" t="n">
        <x:f>IF(FY20=0,0,'Вводные'!$B$61*'Вводные'!$S$88*'Вводные'!$H$5*'Вводные'!$AG$88*(1+'Вводные'!$B$64)^MAX(0,MIN((12*(YEAR(FY$3)-YEAR($B$7))+MONTH(FY$3)-MONTH($B$7)),(12*(YEAR($B$8)-YEAR($B$7))+MONTH($B$8)-MONTH($B$7))))*(1+'Вводные'!$B$65)^MAX(0,(12*(YEAR(FY$3)-YEAR($B$8))+MONTH(FY$3)-MONTH($B$8))))</x:f>
      </x:c>
      <x:c r="FZ21" s="107" t="n">
        <x:f>IF(FZ20=0,0,'Вводные'!$B$61*'Вводные'!$S$88*'Вводные'!$H$5*'Вводные'!$AG$88*(1+'Вводные'!$B$64)^MAX(0,MIN((12*(YEAR(FZ$3)-YEAR($B$7))+MONTH(FZ$3)-MONTH($B$7)),(12*(YEAR($B$8)-YEAR($B$7))+MONTH($B$8)-MONTH($B$7))))*(1+'Вводные'!$B$65)^MAX(0,(12*(YEAR(FZ$3)-YEAR($B$8))+MONTH(FZ$3)-MONTH($B$8))))</x:f>
      </x:c>
      <x:c r="GA21" s="107" t="n">
        <x:f>IF(GA20=0,0,'Вводные'!$B$61*'Вводные'!$S$88*'Вводные'!$H$5*'Вводные'!$AG$88*(1+'Вводные'!$B$64)^MAX(0,MIN((12*(YEAR(GA$3)-YEAR($B$7))+MONTH(GA$3)-MONTH($B$7)),(12*(YEAR($B$8)-YEAR($B$7))+MONTH($B$8)-MONTH($B$7))))*(1+'Вводные'!$B$65)^MAX(0,(12*(YEAR(GA$3)-YEAR($B$8))+MONTH(GA$3)-MONTH($B$8))))</x:f>
      </x:c>
    </x:row>
    <x:row r="22">
      <x:c r="A22" t="str">
        <x:v>Паркинг — выручка</x:v>
      </x:c>
      <x:c r="B22" t="n">
        <x:f>SUM(D22:GA22)</x:f>
      </x:c>
      <x:c r="C22" t="str">
        <x:v>млн ₽</x:v>
      </x:c>
      <x:c r="D22" s="107" t="n">
        <x:f>D20*D21/1000</x:f>
      </x:c>
      <x:c r="E22" s="107" t="n">
        <x:f>E20*E21/1000</x:f>
      </x:c>
      <x:c r="F22" s="107" t="n">
        <x:f>F20*F21/1000</x:f>
      </x:c>
      <x:c r="G22" s="107" t="n">
        <x:f>G20*G21/1000</x:f>
      </x:c>
      <x:c r="H22" s="107" t="n">
        <x:f>H20*H21/1000</x:f>
      </x:c>
      <x:c r="I22" s="107" t="n">
        <x:f>I20*I21/1000</x:f>
      </x:c>
      <x:c r="J22" s="107" t="n">
        <x:f>J20*J21/1000</x:f>
      </x:c>
      <x:c r="K22" s="107" t="n">
        <x:f>K20*K21/1000</x:f>
      </x:c>
      <x:c r="L22" s="107" t="n">
        <x:f>L20*L21/1000</x:f>
      </x:c>
      <x:c r="M22" s="107" t="n">
        <x:f>M20*M21/1000</x:f>
      </x:c>
      <x:c r="N22" s="107" t="n">
        <x:f>N20*N21/1000</x:f>
      </x:c>
      <x:c r="O22" s="107" t="n">
        <x:f>O20*O21/1000</x:f>
      </x:c>
      <x:c r="P22" s="107" t="n">
        <x:f>P20*P21/1000</x:f>
      </x:c>
      <x:c r="Q22" s="107" t="n">
        <x:f>Q20*Q21/1000</x:f>
      </x:c>
      <x:c r="R22" s="107" t="n">
        <x:f>R20*R21/1000</x:f>
      </x:c>
      <x:c r="S22" s="107" t="n">
        <x:f>S20*S21/1000</x:f>
      </x:c>
      <x:c r="T22" s="107" t="n">
        <x:f>T20*T21/1000</x:f>
      </x:c>
      <x:c r="U22" s="107" t="n">
        <x:f>U20*U21/1000</x:f>
      </x:c>
      <x:c r="V22" s="107" t="n">
        <x:f>V20*V21/1000</x:f>
      </x:c>
      <x:c r="W22" s="107" t="n">
        <x:f>W20*W21/1000</x:f>
      </x:c>
      <x:c r="X22" s="107" t="n">
        <x:f>X20*X21/1000</x:f>
      </x:c>
      <x:c r="Y22" s="107" t="n">
        <x:f>Y20*Y21/1000</x:f>
      </x:c>
      <x:c r="Z22" s="107" t="n">
        <x:f>Z20*Z21/1000</x:f>
      </x:c>
      <x:c r="AA22" s="107" t="n">
        <x:f>AA20*AA21/1000</x:f>
      </x:c>
      <x:c r="AB22" s="107" t="n">
        <x:f>AB20*AB21/1000</x:f>
      </x:c>
      <x:c r="AC22" s="107" t="n">
        <x:f>AC20*AC21/1000</x:f>
      </x:c>
      <x:c r="AD22" s="107" t="n">
        <x:f>AD20*AD21/1000</x:f>
      </x:c>
      <x:c r="AE22" s="107" t="n">
        <x:f>AE20*AE21/1000</x:f>
      </x:c>
      <x:c r="AF22" s="107" t="n">
        <x:f>AF20*AF21/1000</x:f>
      </x:c>
      <x:c r="AG22" s="107" t="n">
        <x:f>AG20*AG21/1000</x:f>
      </x:c>
      <x:c r="AH22" s="107" t="n">
        <x:f>AH20*AH21/1000</x:f>
      </x:c>
      <x:c r="AI22" s="107" t="n">
        <x:f>AI20*AI21/1000</x:f>
      </x:c>
      <x:c r="AJ22" s="107" t="n">
        <x:f>AJ20*AJ21/1000</x:f>
      </x:c>
      <x:c r="AK22" s="107" t="n">
        <x:f>AK20*AK21/1000</x:f>
      </x:c>
      <x:c r="AL22" s="107" t="n">
        <x:f>AL20*AL21/1000</x:f>
      </x:c>
      <x:c r="AM22" s="107" t="n">
        <x:f>AM20*AM21/1000</x:f>
      </x:c>
      <x:c r="AN22" s="107" t="n">
        <x:f>AN20*AN21/1000</x:f>
      </x:c>
      <x:c r="AO22" s="107" t="n">
        <x:f>AO20*AO21/1000</x:f>
      </x:c>
      <x:c r="AP22" s="107" t="n">
        <x:f>AP20*AP21/1000</x:f>
      </x:c>
      <x:c r="AQ22" s="107" t="n">
        <x:f>AQ20*AQ21/1000</x:f>
      </x:c>
      <x:c r="AR22" s="107" t="n">
        <x:f>AR20*AR21/1000</x:f>
      </x:c>
      <x:c r="AS22" s="107" t="n">
        <x:f>AS20*AS21/1000</x:f>
      </x:c>
      <x:c r="AT22" s="107" t="n">
        <x:f>AT20*AT21/1000</x:f>
      </x:c>
      <x:c r="AU22" s="107" t="n">
        <x:f>AU20*AU21/1000</x:f>
      </x:c>
      <x:c r="AV22" s="107" t="n">
        <x:f>AV20*AV21/1000</x:f>
      </x:c>
      <x:c r="AW22" s="107" t="n">
        <x:f>AW20*AW21/1000</x:f>
      </x:c>
      <x:c r="AX22" s="107" t="n">
        <x:f>AX20*AX21/1000</x:f>
      </x:c>
      <x:c r="AY22" s="107" t="n">
        <x:f>AY20*AY21/1000</x:f>
      </x:c>
      <x:c r="AZ22" s="107" t="n">
        <x:f>AZ20*AZ21/1000</x:f>
      </x:c>
      <x:c r="BA22" s="107" t="n">
        <x:f>BA20*BA21/1000</x:f>
      </x:c>
      <x:c r="BB22" s="107" t="n">
        <x:f>BB20*BB21/1000</x:f>
      </x:c>
      <x:c r="BC22" s="107" t="n">
        <x:f>BC20*BC21/1000</x:f>
      </x:c>
      <x:c r="BD22" s="107" t="n">
        <x:f>BD20*BD21/1000</x:f>
      </x:c>
      <x:c r="BE22" s="107" t="n">
        <x:f>BE20*BE21/1000</x:f>
      </x:c>
      <x:c r="BF22" s="107" t="n">
        <x:f>BF20*BF21/1000</x:f>
      </x:c>
      <x:c r="BG22" s="107" t="n">
        <x:f>BG20*BG21/1000</x:f>
      </x:c>
      <x:c r="BH22" s="107" t="n">
        <x:f>BH20*BH21/1000</x:f>
      </x:c>
      <x:c r="BI22" s="107" t="n">
        <x:f>BI20*BI21/1000</x:f>
      </x:c>
      <x:c r="BJ22" s="107" t="n">
        <x:f>BJ20*BJ21/1000</x:f>
      </x:c>
      <x:c r="BK22" s="107" t="n">
        <x:f>BK20*BK21/1000</x:f>
      </x:c>
      <x:c r="BL22" s="107" t="n">
        <x:f>BL20*BL21/1000</x:f>
      </x:c>
      <x:c r="BM22" s="107" t="n">
        <x:f>BM20*BM21/1000</x:f>
      </x:c>
      <x:c r="BN22" s="107" t="n">
        <x:f>BN20*BN21/1000</x:f>
      </x:c>
      <x:c r="BO22" s="107" t="n">
        <x:f>BO20*BO21/1000</x:f>
      </x:c>
      <x:c r="BP22" s="107" t="n">
        <x:f>BP20*BP21/1000</x:f>
      </x:c>
      <x:c r="BQ22" s="107" t="n">
        <x:f>BQ20*BQ21/1000</x:f>
      </x:c>
      <x:c r="BR22" s="107" t="n">
        <x:f>BR20*BR21/1000</x:f>
      </x:c>
      <x:c r="BS22" s="107" t="n">
        <x:f>BS20*BS21/1000</x:f>
      </x:c>
      <x:c r="BT22" s="107" t="n">
        <x:f>BT20*BT21/1000</x:f>
      </x:c>
      <x:c r="BU22" s="107" t="n">
        <x:f>BU20*BU21/1000</x:f>
      </x:c>
      <x:c r="BV22" s="107" t="n">
        <x:f>BV20*BV21/1000</x:f>
      </x:c>
      <x:c r="BW22" s="107" t="n">
        <x:f>BW20*BW21/1000</x:f>
      </x:c>
      <x:c r="BX22" s="107" t="n">
        <x:f>BX20*BX21/1000</x:f>
      </x:c>
      <x:c r="BY22" s="107" t="n">
        <x:f>BY20*BY21/1000</x:f>
      </x:c>
      <x:c r="BZ22" s="107" t="n">
        <x:f>BZ20*BZ21/1000</x:f>
      </x:c>
      <x:c r="CA22" s="107" t="n">
        <x:f>CA20*CA21/1000</x:f>
      </x:c>
      <x:c r="CB22" s="107" t="n">
        <x:f>CB20*CB21/1000</x:f>
      </x:c>
      <x:c r="CC22" s="107" t="n">
        <x:f>CC20*CC21/1000</x:f>
      </x:c>
      <x:c r="CD22" s="107" t="n">
        <x:f>CD20*CD21/1000</x:f>
      </x:c>
      <x:c r="CE22" s="107" t="n">
        <x:f>CE20*CE21/1000</x:f>
      </x:c>
      <x:c r="CF22" s="107" t="n">
        <x:f>CF20*CF21/1000</x:f>
      </x:c>
      <x:c r="CG22" s="107" t="n">
        <x:f>CG20*CG21/1000</x:f>
      </x:c>
      <x:c r="CH22" s="107" t="n">
        <x:f>CH20*CH21/1000</x:f>
      </x:c>
      <x:c r="CI22" s="107" t="n">
        <x:f>CI20*CI21/1000</x:f>
      </x:c>
      <x:c r="CJ22" s="107" t="n">
        <x:f>CJ20*CJ21/1000</x:f>
      </x:c>
      <x:c r="CK22" s="107" t="n">
        <x:f>CK20*CK21/1000</x:f>
      </x:c>
      <x:c r="CL22" s="107" t="n">
        <x:f>CL20*CL21/1000</x:f>
      </x:c>
      <x:c r="CM22" s="107" t="n">
        <x:f>CM20*CM21/1000</x:f>
      </x:c>
      <x:c r="CN22" s="107" t="n">
        <x:f>CN20*CN21/1000</x:f>
      </x:c>
      <x:c r="CO22" s="107" t="n">
        <x:f>CO20*CO21/1000</x:f>
      </x:c>
      <x:c r="CP22" s="107" t="n">
        <x:f>CP20*CP21/1000</x:f>
      </x:c>
      <x:c r="CQ22" s="107" t="n">
        <x:f>CQ20*CQ21/1000</x:f>
      </x:c>
      <x:c r="CR22" s="107" t="n">
        <x:f>CR20*CR21/1000</x:f>
      </x:c>
      <x:c r="CS22" s="107" t="n">
        <x:f>CS20*CS21/1000</x:f>
      </x:c>
      <x:c r="CT22" s="107" t="n">
        <x:f>CT20*CT21/1000</x:f>
      </x:c>
      <x:c r="CU22" s="107" t="n">
        <x:f>CU20*CU21/1000</x:f>
      </x:c>
      <x:c r="CV22" s="107" t="n">
        <x:f>CV20*CV21/1000</x:f>
      </x:c>
      <x:c r="CW22" s="107" t="n">
        <x:f>CW20*CW21/1000</x:f>
      </x:c>
      <x:c r="CX22" s="107" t="n">
        <x:f>CX20*CX21/1000</x:f>
      </x:c>
      <x:c r="CY22" s="107" t="n">
        <x:f>CY20*CY21/1000</x:f>
      </x:c>
      <x:c r="CZ22" s="107" t="n">
        <x:f>CZ20*CZ21/1000</x:f>
      </x:c>
      <x:c r="DA22" s="107" t="n">
        <x:f>DA20*DA21/1000</x:f>
      </x:c>
      <x:c r="DB22" s="107" t="n">
        <x:f>DB20*DB21/1000</x:f>
      </x:c>
      <x:c r="DC22" s="107" t="n">
        <x:f>DC20*DC21/1000</x:f>
      </x:c>
      <x:c r="DD22" s="107" t="n">
        <x:f>DD20*DD21/1000</x:f>
      </x:c>
      <x:c r="DE22" s="107" t="n">
        <x:f>DE20*DE21/1000</x:f>
      </x:c>
      <x:c r="DF22" s="107" t="n">
        <x:f>DF20*DF21/1000</x:f>
      </x:c>
      <x:c r="DG22" s="107" t="n">
        <x:f>DG20*DG21/1000</x:f>
      </x:c>
      <x:c r="DH22" s="107" t="n">
        <x:f>DH20*DH21/1000</x:f>
      </x:c>
      <x:c r="DI22" s="107" t="n">
        <x:f>DI20*DI21/1000</x:f>
      </x:c>
      <x:c r="DJ22" s="107" t="n">
        <x:f>DJ20*DJ21/1000</x:f>
      </x:c>
      <x:c r="DK22" s="107" t="n">
        <x:f>DK20*DK21/1000</x:f>
      </x:c>
      <x:c r="DL22" s="107" t="n">
        <x:f>DL20*DL21/1000</x:f>
      </x:c>
      <x:c r="DM22" s="107" t="n">
        <x:f>DM20*DM21/1000</x:f>
      </x:c>
      <x:c r="DN22" s="107" t="n">
        <x:f>DN20*DN21/1000</x:f>
      </x:c>
      <x:c r="DO22" s="107" t="n">
        <x:f>DO20*DO21/1000</x:f>
      </x:c>
      <x:c r="DP22" s="107" t="n">
        <x:f>DP20*DP21/1000</x:f>
      </x:c>
      <x:c r="DQ22" s="107" t="n">
        <x:f>DQ20*DQ21/1000</x:f>
      </x:c>
      <x:c r="DR22" s="107" t="n">
        <x:f>DR20*DR21/1000</x:f>
      </x:c>
      <x:c r="DS22" s="107" t="n">
        <x:f>DS20*DS21/1000</x:f>
      </x:c>
      <x:c r="DT22" s="107" t="n">
        <x:f>DT20*DT21/1000</x:f>
      </x:c>
      <x:c r="DU22" s="107" t="n">
        <x:f>DU20*DU21/1000</x:f>
      </x:c>
      <x:c r="DV22" s="107" t="n">
        <x:f>DV20*DV21/1000</x:f>
      </x:c>
      <x:c r="DW22" s="107" t="n">
        <x:f>DW20*DW21/1000</x:f>
      </x:c>
      <x:c r="DX22" s="107" t="n">
        <x:f>DX20*DX21/1000</x:f>
      </x:c>
      <x:c r="DY22" s="107" t="n">
        <x:f>DY20*DY21/1000</x:f>
      </x:c>
      <x:c r="DZ22" s="107" t="n">
        <x:f>DZ20*DZ21/1000</x:f>
      </x:c>
      <x:c r="EA22" s="107" t="n">
        <x:f>EA20*EA21/1000</x:f>
      </x:c>
      <x:c r="EB22" s="107" t="n">
        <x:f>EB20*EB21/1000</x:f>
      </x:c>
      <x:c r="EC22" s="107" t="n">
        <x:f>EC20*EC21/1000</x:f>
      </x:c>
      <x:c r="ED22" s="107" t="n">
        <x:f>ED20*ED21/1000</x:f>
      </x:c>
      <x:c r="EE22" s="107" t="n">
        <x:f>EE20*EE21/1000</x:f>
      </x:c>
      <x:c r="EF22" s="107" t="n">
        <x:f>EF20*EF21/1000</x:f>
      </x:c>
      <x:c r="EG22" s="107" t="n">
        <x:f>EG20*EG21/1000</x:f>
      </x:c>
      <x:c r="EH22" s="107" t="n">
        <x:f>EH20*EH21/1000</x:f>
      </x:c>
      <x:c r="EI22" s="107" t="n">
        <x:f>EI20*EI21/1000</x:f>
      </x:c>
      <x:c r="EJ22" s="107" t="n">
        <x:f>EJ20*EJ21/1000</x:f>
      </x:c>
      <x:c r="EK22" s="107" t="n">
        <x:f>EK20*EK21/1000</x:f>
      </x:c>
      <x:c r="EL22" s="107" t="n">
        <x:f>EL20*EL21/1000</x:f>
      </x:c>
      <x:c r="EM22" s="107" t="n">
        <x:f>EM20*EM21/1000</x:f>
      </x:c>
      <x:c r="EN22" s="107" t="n">
        <x:f>EN20*EN21/1000</x:f>
      </x:c>
      <x:c r="EO22" s="107" t="n">
        <x:f>EO20*EO21/1000</x:f>
      </x:c>
      <x:c r="EP22" s="107" t="n">
        <x:f>EP20*EP21/1000</x:f>
      </x:c>
      <x:c r="EQ22" s="107" t="n">
        <x:f>EQ20*EQ21/1000</x:f>
      </x:c>
      <x:c r="ER22" s="107" t="n">
        <x:f>ER20*ER21/1000</x:f>
      </x:c>
      <x:c r="ES22" s="107" t="n">
        <x:f>ES20*ES21/1000</x:f>
      </x:c>
      <x:c r="ET22" s="107" t="n">
        <x:f>ET20*ET21/1000</x:f>
      </x:c>
      <x:c r="EU22" s="107" t="n">
        <x:f>EU20*EU21/1000</x:f>
      </x:c>
      <x:c r="EV22" s="107" t="n">
        <x:f>EV20*EV21/1000</x:f>
      </x:c>
      <x:c r="EW22" s="107" t="n">
        <x:f>EW20*EW21/1000</x:f>
      </x:c>
      <x:c r="EX22" s="107" t="n">
        <x:f>EX20*EX21/1000</x:f>
      </x:c>
      <x:c r="EY22" s="107" t="n">
        <x:f>EY20*EY21/1000</x:f>
      </x:c>
      <x:c r="EZ22" s="107" t="n">
        <x:f>EZ20*EZ21/1000</x:f>
      </x:c>
      <x:c r="FA22" s="107" t="n">
        <x:f>FA20*FA21/1000</x:f>
      </x:c>
      <x:c r="FB22" s="107" t="n">
        <x:f>FB20*FB21/1000</x:f>
      </x:c>
      <x:c r="FC22" s="107" t="n">
        <x:f>FC20*FC21/1000</x:f>
      </x:c>
      <x:c r="FD22" s="107" t="n">
        <x:f>FD20*FD21/1000</x:f>
      </x:c>
      <x:c r="FE22" s="107" t="n">
        <x:f>FE20*FE21/1000</x:f>
      </x:c>
      <x:c r="FF22" s="107" t="n">
        <x:f>FF20*FF21/1000</x:f>
      </x:c>
      <x:c r="FG22" s="107" t="n">
        <x:f>FG20*FG21/1000</x:f>
      </x:c>
      <x:c r="FH22" s="107" t="n">
        <x:f>FH20*FH21/1000</x:f>
      </x:c>
      <x:c r="FI22" s="107" t="n">
        <x:f>FI20*FI21/1000</x:f>
      </x:c>
      <x:c r="FJ22" s="107" t="n">
        <x:f>FJ20*FJ21/1000</x:f>
      </x:c>
      <x:c r="FK22" s="107" t="n">
        <x:f>FK20*FK21/1000</x:f>
      </x:c>
      <x:c r="FL22" s="107" t="n">
        <x:f>FL20*FL21/1000</x:f>
      </x:c>
      <x:c r="FM22" s="107" t="n">
        <x:f>FM20*FM21/1000</x:f>
      </x:c>
      <x:c r="FN22" s="107" t="n">
        <x:f>FN20*FN21/1000</x:f>
      </x:c>
      <x:c r="FO22" s="107" t="n">
        <x:f>FO20*FO21/1000</x:f>
      </x:c>
      <x:c r="FP22" s="107" t="n">
        <x:f>FP20*FP21/1000</x:f>
      </x:c>
      <x:c r="FQ22" s="107" t="n">
        <x:f>FQ20*FQ21/1000</x:f>
      </x:c>
      <x:c r="FR22" s="107" t="n">
        <x:f>FR20*FR21/1000</x:f>
      </x:c>
      <x:c r="FS22" s="107" t="n">
        <x:f>FS20*FS21/1000</x:f>
      </x:c>
      <x:c r="FT22" s="107" t="n">
        <x:f>FT20*FT21/1000</x:f>
      </x:c>
      <x:c r="FU22" s="107" t="n">
        <x:f>FU20*FU21/1000</x:f>
      </x:c>
      <x:c r="FV22" s="107" t="n">
        <x:f>FV20*FV21/1000</x:f>
      </x:c>
      <x:c r="FW22" s="107" t="n">
        <x:f>FW20*FW21/1000</x:f>
      </x:c>
      <x:c r="FX22" s="107" t="n">
        <x:f>FX20*FX21/1000</x:f>
      </x:c>
      <x:c r="FY22" s="107" t="n">
        <x:f>FY20*FY21/1000</x:f>
      </x:c>
      <x:c r="FZ22" s="107" t="n">
        <x:f>FZ20*FZ21/1000</x:f>
      </x:c>
      <x:c r="GA22" s="107" t="n">
        <x:f>GA20*GA21/1000</x:f>
      </x:c>
    </x:row>
    <x:row r="23">
      <x:c r="A23" t="str">
        <x:v>Кладовые — объём</x:v>
      </x:c>
      <x:c r="B23" t="n">
        <x:f>SUM(D23:GA23)</x:f>
      </x:c>
      <x:c r="C23" t="str">
        <x:v>шт.</x:v>
      </x:c>
      <x:c r="D23" s="107" t="n">
        <x:f>'Вводные'!$O$88*((IF(SUM($D9:$GA9)=0,0,IF(SUM($D12:$GA12)=0,1,'Вводные'!$B$63)))*D11+(1-(IF(SUM($D9:$GA9)=0,0,IF(SUM($D12:$GA12)=0,1,'Вводные'!$B$63))))*D13)</x:f>
      </x:c>
      <x:c r="E23" s="107" t="n">
        <x:f>'Вводные'!$O$88*((IF(SUM($D9:$GA9)=0,0,IF(SUM($D12:$GA12)=0,1,'Вводные'!$B$63)))*E11+(1-(IF(SUM($D9:$GA9)=0,0,IF(SUM($D12:$GA12)=0,1,'Вводные'!$B$63))))*E13)</x:f>
      </x:c>
      <x:c r="F23" s="107" t="n">
        <x:f>'Вводные'!$O$88*((IF(SUM($D9:$GA9)=0,0,IF(SUM($D12:$GA12)=0,1,'Вводные'!$B$63)))*F11+(1-(IF(SUM($D9:$GA9)=0,0,IF(SUM($D12:$GA12)=0,1,'Вводные'!$B$63))))*F13)</x:f>
      </x:c>
      <x:c r="G23" s="107" t="n">
        <x:f>'Вводные'!$O$88*((IF(SUM($D9:$GA9)=0,0,IF(SUM($D12:$GA12)=0,1,'Вводные'!$B$63)))*G11+(1-(IF(SUM($D9:$GA9)=0,0,IF(SUM($D12:$GA12)=0,1,'Вводные'!$B$63))))*G13)</x:f>
      </x:c>
      <x:c r="H23" s="107" t="n">
        <x:f>'Вводные'!$O$88*((IF(SUM($D9:$GA9)=0,0,IF(SUM($D12:$GA12)=0,1,'Вводные'!$B$63)))*H11+(1-(IF(SUM($D9:$GA9)=0,0,IF(SUM($D12:$GA12)=0,1,'Вводные'!$B$63))))*H13)</x:f>
      </x:c>
      <x:c r="I23" s="107" t="n">
        <x:f>'Вводные'!$O$88*((IF(SUM($D9:$GA9)=0,0,IF(SUM($D12:$GA12)=0,1,'Вводные'!$B$63)))*I11+(1-(IF(SUM($D9:$GA9)=0,0,IF(SUM($D12:$GA12)=0,1,'Вводные'!$B$63))))*I13)</x:f>
      </x:c>
      <x:c r="J23" s="107" t="n">
        <x:f>'Вводные'!$O$88*((IF(SUM($D9:$GA9)=0,0,IF(SUM($D12:$GA12)=0,1,'Вводные'!$B$63)))*J11+(1-(IF(SUM($D9:$GA9)=0,0,IF(SUM($D12:$GA12)=0,1,'Вводные'!$B$63))))*J13)</x:f>
      </x:c>
      <x:c r="K23" s="107" t="n">
        <x:f>'Вводные'!$O$88*((IF(SUM($D9:$GA9)=0,0,IF(SUM($D12:$GA12)=0,1,'Вводные'!$B$63)))*K11+(1-(IF(SUM($D9:$GA9)=0,0,IF(SUM($D12:$GA12)=0,1,'Вводные'!$B$63))))*K13)</x:f>
      </x:c>
      <x:c r="L23" s="107" t="n">
        <x:f>'Вводные'!$O$88*((IF(SUM($D9:$GA9)=0,0,IF(SUM($D12:$GA12)=0,1,'Вводные'!$B$63)))*L11+(1-(IF(SUM($D9:$GA9)=0,0,IF(SUM($D12:$GA12)=0,1,'Вводные'!$B$63))))*L13)</x:f>
      </x:c>
      <x:c r="M23" s="107" t="n">
        <x:f>'Вводные'!$O$88*((IF(SUM($D9:$GA9)=0,0,IF(SUM($D12:$GA12)=0,1,'Вводные'!$B$63)))*M11+(1-(IF(SUM($D9:$GA9)=0,0,IF(SUM($D12:$GA12)=0,1,'Вводные'!$B$63))))*M13)</x:f>
      </x:c>
      <x:c r="N23" s="107" t="n">
        <x:f>'Вводные'!$O$88*((IF(SUM($D9:$GA9)=0,0,IF(SUM($D12:$GA12)=0,1,'Вводные'!$B$63)))*N11+(1-(IF(SUM($D9:$GA9)=0,0,IF(SUM($D12:$GA12)=0,1,'Вводные'!$B$63))))*N13)</x:f>
      </x:c>
      <x:c r="O23" s="107" t="n">
        <x:f>'Вводные'!$O$88*((IF(SUM($D9:$GA9)=0,0,IF(SUM($D12:$GA12)=0,1,'Вводные'!$B$63)))*O11+(1-(IF(SUM($D9:$GA9)=0,0,IF(SUM($D12:$GA12)=0,1,'Вводные'!$B$63))))*O13)</x:f>
      </x:c>
      <x:c r="P23" s="107" t="n">
        <x:f>'Вводные'!$O$88*((IF(SUM($D9:$GA9)=0,0,IF(SUM($D12:$GA12)=0,1,'Вводные'!$B$63)))*P11+(1-(IF(SUM($D9:$GA9)=0,0,IF(SUM($D12:$GA12)=0,1,'Вводные'!$B$63))))*P13)</x:f>
      </x:c>
      <x:c r="Q23" s="107" t="n">
        <x:f>'Вводные'!$O$88*((IF(SUM($D9:$GA9)=0,0,IF(SUM($D12:$GA12)=0,1,'Вводные'!$B$63)))*Q11+(1-(IF(SUM($D9:$GA9)=0,0,IF(SUM($D12:$GA12)=0,1,'Вводные'!$B$63))))*Q13)</x:f>
      </x:c>
      <x:c r="R23" s="107" t="n">
        <x:f>'Вводные'!$O$88*((IF(SUM($D9:$GA9)=0,0,IF(SUM($D12:$GA12)=0,1,'Вводные'!$B$63)))*R11+(1-(IF(SUM($D9:$GA9)=0,0,IF(SUM($D12:$GA12)=0,1,'Вводные'!$B$63))))*R13)</x:f>
      </x:c>
      <x:c r="S23" s="107" t="n">
        <x:f>'Вводные'!$O$88*((IF(SUM($D9:$GA9)=0,0,IF(SUM($D12:$GA12)=0,1,'Вводные'!$B$63)))*S11+(1-(IF(SUM($D9:$GA9)=0,0,IF(SUM($D12:$GA12)=0,1,'Вводные'!$B$63))))*S13)</x:f>
      </x:c>
      <x:c r="T23" s="107" t="n">
        <x:f>'Вводные'!$O$88*((IF(SUM($D9:$GA9)=0,0,IF(SUM($D12:$GA12)=0,1,'Вводные'!$B$63)))*T11+(1-(IF(SUM($D9:$GA9)=0,0,IF(SUM($D12:$GA12)=0,1,'Вводные'!$B$63))))*T13)</x:f>
      </x:c>
      <x:c r="U23" s="107" t="n">
        <x:f>'Вводные'!$O$88*((IF(SUM($D9:$GA9)=0,0,IF(SUM($D12:$GA12)=0,1,'Вводные'!$B$63)))*U11+(1-(IF(SUM($D9:$GA9)=0,0,IF(SUM($D12:$GA12)=0,1,'Вводные'!$B$63))))*U13)</x:f>
      </x:c>
      <x:c r="V23" s="107" t="n">
        <x:f>'Вводные'!$O$88*((IF(SUM($D9:$GA9)=0,0,IF(SUM($D12:$GA12)=0,1,'Вводные'!$B$63)))*V11+(1-(IF(SUM($D9:$GA9)=0,0,IF(SUM($D12:$GA12)=0,1,'Вводные'!$B$63))))*V13)</x:f>
      </x:c>
      <x:c r="W23" s="107" t="n">
        <x:f>'Вводные'!$O$88*((IF(SUM($D9:$GA9)=0,0,IF(SUM($D12:$GA12)=0,1,'Вводные'!$B$63)))*W11+(1-(IF(SUM($D9:$GA9)=0,0,IF(SUM($D12:$GA12)=0,1,'Вводные'!$B$63))))*W13)</x:f>
      </x:c>
      <x:c r="X23" s="107" t="n">
        <x:f>'Вводные'!$O$88*((IF(SUM($D9:$GA9)=0,0,IF(SUM($D12:$GA12)=0,1,'Вводные'!$B$63)))*X11+(1-(IF(SUM($D9:$GA9)=0,0,IF(SUM($D12:$GA12)=0,1,'Вводные'!$B$63))))*X13)</x:f>
      </x:c>
      <x:c r="Y23" s="107" t="n">
        <x:f>'Вводные'!$O$88*((IF(SUM($D9:$GA9)=0,0,IF(SUM($D12:$GA12)=0,1,'Вводные'!$B$63)))*Y11+(1-(IF(SUM($D9:$GA9)=0,0,IF(SUM($D12:$GA12)=0,1,'Вводные'!$B$63))))*Y13)</x:f>
      </x:c>
      <x:c r="Z23" s="107" t="n">
        <x:f>'Вводные'!$O$88*((IF(SUM($D9:$GA9)=0,0,IF(SUM($D12:$GA12)=0,1,'Вводные'!$B$63)))*Z11+(1-(IF(SUM($D9:$GA9)=0,0,IF(SUM($D12:$GA12)=0,1,'Вводные'!$B$63))))*Z13)</x:f>
      </x:c>
      <x:c r="AA23" s="107" t="n">
        <x:f>'Вводные'!$O$88*((IF(SUM($D9:$GA9)=0,0,IF(SUM($D12:$GA12)=0,1,'Вводные'!$B$63)))*AA11+(1-(IF(SUM($D9:$GA9)=0,0,IF(SUM($D12:$GA12)=0,1,'Вводные'!$B$63))))*AA13)</x:f>
      </x:c>
      <x:c r="AB23" s="107" t="n">
        <x:f>'Вводные'!$O$88*((IF(SUM($D9:$GA9)=0,0,IF(SUM($D12:$GA12)=0,1,'Вводные'!$B$63)))*AB11+(1-(IF(SUM($D9:$GA9)=0,0,IF(SUM($D12:$GA12)=0,1,'Вводные'!$B$63))))*AB13)</x:f>
      </x:c>
      <x:c r="AC23" s="107" t="n">
        <x:f>'Вводные'!$O$88*((IF(SUM($D9:$GA9)=0,0,IF(SUM($D12:$GA12)=0,1,'Вводные'!$B$63)))*AC11+(1-(IF(SUM($D9:$GA9)=0,0,IF(SUM($D12:$GA12)=0,1,'Вводные'!$B$63))))*AC13)</x:f>
      </x:c>
      <x:c r="AD23" s="107" t="n">
        <x:f>'Вводные'!$O$88*((IF(SUM($D9:$GA9)=0,0,IF(SUM($D12:$GA12)=0,1,'Вводные'!$B$63)))*AD11+(1-(IF(SUM($D9:$GA9)=0,0,IF(SUM($D12:$GA12)=0,1,'Вводные'!$B$63))))*AD13)</x:f>
      </x:c>
      <x:c r="AE23" s="107" t="n">
        <x:f>'Вводные'!$O$88*((IF(SUM($D9:$GA9)=0,0,IF(SUM($D12:$GA12)=0,1,'Вводные'!$B$63)))*AE11+(1-(IF(SUM($D9:$GA9)=0,0,IF(SUM($D12:$GA12)=0,1,'Вводные'!$B$63))))*AE13)</x:f>
      </x:c>
      <x:c r="AF23" s="107" t="n">
        <x:f>'Вводные'!$O$88*((IF(SUM($D9:$GA9)=0,0,IF(SUM($D12:$GA12)=0,1,'Вводные'!$B$63)))*AF11+(1-(IF(SUM($D9:$GA9)=0,0,IF(SUM($D12:$GA12)=0,1,'Вводные'!$B$63))))*AF13)</x:f>
      </x:c>
      <x:c r="AG23" s="107" t="n">
        <x:f>'Вводные'!$O$88*((IF(SUM($D9:$GA9)=0,0,IF(SUM($D12:$GA12)=0,1,'Вводные'!$B$63)))*AG11+(1-(IF(SUM($D9:$GA9)=0,0,IF(SUM($D12:$GA12)=0,1,'Вводные'!$B$63))))*AG13)</x:f>
      </x:c>
      <x:c r="AH23" s="107" t="n">
        <x:f>'Вводные'!$O$88*((IF(SUM($D9:$GA9)=0,0,IF(SUM($D12:$GA12)=0,1,'Вводные'!$B$63)))*AH11+(1-(IF(SUM($D9:$GA9)=0,0,IF(SUM($D12:$GA12)=0,1,'Вводные'!$B$63))))*AH13)</x:f>
      </x:c>
      <x:c r="AI23" s="107" t="n">
        <x:f>'Вводные'!$O$88*((IF(SUM($D9:$GA9)=0,0,IF(SUM($D12:$GA12)=0,1,'Вводные'!$B$63)))*AI11+(1-(IF(SUM($D9:$GA9)=0,0,IF(SUM($D12:$GA12)=0,1,'Вводные'!$B$63))))*AI13)</x:f>
      </x:c>
      <x:c r="AJ23" s="107" t="n">
        <x:f>'Вводные'!$O$88*((IF(SUM($D9:$GA9)=0,0,IF(SUM($D12:$GA12)=0,1,'Вводные'!$B$63)))*AJ11+(1-(IF(SUM($D9:$GA9)=0,0,IF(SUM($D12:$GA12)=0,1,'Вводные'!$B$63))))*AJ13)</x:f>
      </x:c>
      <x:c r="AK23" s="107" t="n">
        <x:f>'Вводные'!$O$88*((IF(SUM($D9:$GA9)=0,0,IF(SUM($D12:$GA12)=0,1,'Вводные'!$B$63)))*AK11+(1-(IF(SUM($D9:$GA9)=0,0,IF(SUM($D12:$GA12)=0,1,'Вводные'!$B$63))))*AK13)</x:f>
      </x:c>
      <x:c r="AL23" s="107" t="n">
        <x:f>'Вводные'!$O$88*((IF(SUM($D9:$GA9)=0,0,IF(SUM($D12:$GA12)=0,1,'Вводные'!$B$63)))*AL11+(1-(IF(SUM($D9:$GA9)=0,0,IF(SUM($D12:$GA12)=0,1,'Вводные'!$B$63))))*AL13)</x:f>
      </x:c>
      <x:c r="AM23" s="107" t="n">
        <x:f>'Вводные'!$O$88*((IF(SUM($D9:$GA9)=0,0,IF(SUM($D12:$GA12)=0,1,'Вводные'!$B$63)))*AM11+(1-(IF(SUM($D9:$GA9)=0,0,IF(SUM($D12:$GA12)=0,1,'Вводные'!$B$63))))*AM13)</x:f>
      </x:c>
      <x:c r="AN23" s="107" t="n">
        <x:f>'Вводные'!$O$88*((IF(SUM($D9:$GA9)=0,0,IF(SUM($D12:$GA12)=0,1,'Вводные'!$B$63)))*AN11+(1-(IF(SUM($D9:$GA9)=0,0,IF(SUM($D12:$GA12)=0,1,'Вводные'!$B$63))))*AN13)</x:f>
      </x:c>
      <x:c r="AO23" s="107" t="n">
        <x:f>'Вводные'!$O$88*((IF(SUM($D9:$GA9)=0,0,IF(SUM($D12:$GA12)=0,1,'Вводные'!$B$63)))*AO11+(1-(IF(SUM($D9:$GA9)=0,0,IF(SUM($D12:$GA12)=0,1,'Вводные'!$B$63))))*AO13)</x:f>
      </x:c>
      <x:c r="AP23" s="107" t="n">
        <x:f>'Вводные'!$O$88*((IF(SUM($D9:$GA9)=0,0,IF(SUM($D12:$GA12)=0,1,'Вводные'!$B$63)))*AP11+(1-(IF(SUM($D9:$GA9)=0,0,IF(SUM($D12:$GA12)=0,1,'Вводные'!$B$63))))*AP13)</x:f>
      </x:c>
      <x:c r="AQ23" s="107" t="n">
        <x:f>'Вводные'!$O$88*((IF(SUM($D9:$GA9)=0,0,IF(SUM($D12:$GA12)=0,1,'Вводные'!$B$63)))*AQ11+(1-(IF(SUM($D9:$GA9)=0,0,IF(SUM($D12:$GA12)=0,1,'Вводные'!$B$63))))*AQ13)</x:f>
      </x:c>
      <x:c r="AR23" s="107" t="n">
        <x:f>'Вводные'!$O$88*((IF(SUM($D9:$GA9)=0,0,IF(SUM($D12:$GA12)=0,1,'Вводные'!$B$63)))*AR11+(1-(IF(SUM($D9:$GA9)=0,0,IF(SUM($D12:$GA12)=0,1,'Вводные'!$B$63))))*AR13)</x:f>
      </x:c>
      <x:c r="AS23" s="107" t="n">
        <x:f>'Вводные'!$O$88*((IF(SUM($D9:$GA9)=0,0,IF(SUM($D12:$GA12)=0,1,'Вводные'!$B$63)))*AS11+(1-(IF(SUM($D9:$GA9)=0,0,IF(SUM($D12:$GA12)=0,1,'Вводные'!$B$63))))*AS13)</x:f>
      </x:c>
      <x:c r="AT23" s="107" t="n">
        <x:f>'Вводные'!$O$88*((IF(SUM($D9:$GA9)=0,0,IF(SUM($D12:$GA12)=0,1,'Вводные'!$B$63)))*AT11+(1-(IF(SUM($D9:$GA9)=0,0,IF(SUM($D12:$GA12)=0,1,'Вводные'!$B$63))))*AT13)</x:f>
      </x:c>
      <x:c r="AU23" s="107" t="n">
        <x:f>'Вводные'!$O$88*((IF(SUM($D9:$GA9)=0,0,IF(SUM($D12:$GA12)=0,1,'Вводные'!$B$63)))*AU11+(1-(IF(SUM($D9:$GA9)=0,0,IF(SUM($D12:$GA12)=0,1,'Вводные'!$B$63))))*AU13)</x:f>
      </x:c>
      <x:c r="AV23" s="107" t="n">
        <x:f>'Вводные'!$O$88*((IF(SUM($D9:$GA9)=0,0,IF(SUM($D12:$GA12)=0,1,'Вводные'!$B$63)))*AV11+(1-(IF(SUM($D9:$GA9)=0,0,IF(SUM($D12:$GA12)=0,1,'Вводные'!$B$63))))*AV13)</x:f>
      </x:c>
      <x:c r="AW23" s="107" t="n">
        <x:f>'Вводные'!$O$88*((IF(SUM($D9:$GA9)=0,0,IF(SUM($D12:$GA12)=0,1,'Вводные'!$B$63)))*AW11+(1-(IF(SUM($D9:$GA9)=0,0,IF(SUM($D12:$GA12)=0,1,'Вводные'!$B$63))))*AW13)</x:f>
      </x:c>
      <x:c r="AX23" s="107" t="n">
        <x:f>'Вводные'!$O$88*((IF(SUM($D9:$GA9)=0,0,IF(SUM($D12:$GA12)=0,1,'Вводные'!$B$63)))*AX11+(1-(IF(SUM($D9:$GA9)=0,0,IF(SUM($D12:$GA12)=0,1,'Вводные'!$B$63))))*AX13)</x:f>
      </x:c>
      <x:c r="AY23" s="107" t="n">
        <x:f>'Вводные'!$O$88*((IF(SUM($D9:$GA9)=0,0,IF(SUM($D12:$GA12)=0,1,'Вводные'!$B$63)))*AY11+(1-(IF(SUM($D9:$GA9)=0,0,IF(SUM($D12:$GA12)=0,1,'Вводные'!$B$63))))*AY13)</x:f>
      </x:c>
      <x:c r="AZ23" s="107" t="n">
        <x:f>'Вводные'!$O$88*((IF(SUM($D9:$GA9)=0,0,IF(SUM($D12:$GA12)=0,1,'Вводные'!$B$63)))*AZ11+(1-(IF(SUM($D9:$GA9)=0,0,IF(SUM($D12:$GA12)=0,1,'Вводные'!$B$63))))*AZ13)</x:f>
      </x:c>
      <x:c r="BA23" s="107" t="n">
        <x:f>'Вводные'!$O$88*((IF(SUM($D9:$GA9)=0,0,IF(SUM($D12:$GA12)=0,1,'Вводные'!$B$63)))*BA11+(1-(IF(SUM($D9:$GA9)=0,0,IF(SUM($D12:$GA12)=0,1,'Вводные'!$B$63))))*BA13)</x:f>
      </x:c>
      <x:c r="BB23" s="107" t="n">
        <x:f>'Вводные'!$O$88*((IF(SUM($D9:$GA9)=0,0,IF(SUM($D12:$GA12)=0,1,'Вводные'!$B$63)))*BB11+(1-(IF(SUM($D9:$GA9)=0,0,IF(SUM($D12:$GA12)=0,1,'Вводные'!$B$63))))*BB13)</x:f>
      </x:c>
      <x:c r="BC23" s="107" t="n">
        <x:f>'Вводные'!$O$88*((IF(SUM($D9:$GA9)=0,0,IF(SUM($D12:$GA12)=0,1,'Вводные'!$B$63)))*BC11+(1-(IF(SUM($D9:$GA9)=0,0,IF(SUM($D12:$GA12)=0,1,'Вводные'!$B$63))))*BC13)</x:f>
      </x:c>
      <x:c r="BD23" s="107" t="n">
        <x:f>'Вводные'!$O$88*((IF(SUM($D9:$GA9)=0,0,IF(SUM($D12:$GA12)=0,1,'Вводные'!$B$63)))*BD11+(1-(IF(SUM($D9:$GA9)=0,0,IF(SUM($D12:$GA12)=0,1,'Вводные'!$B$63))))*BD13)</x:f>
      </x:c>
      <x:c r="BE23" s="107" t="n">
        <x:f>'Вводные'!$O$88*((IF(SUM($D9:$GA9)=0,0,IF(SUM($D12:$GA12)=0,1,'Вводные'!$B$63)))*BE11+(1-(IF(SUM($D9:$GA9)=0,0,IF(SUM($D12:$GA12)=0,1,'Вводные'!$B$63))))*BE13)</x:f>
      </x:c>
      <x:c r="BF23" s="107" t="n">
        <x:f>'Вводные'!$O$88*((IF(SUM($D9:$GA9)=0,0,IF(SUM($D12:$GA12)=0,1,'Вводные'!$B$63)))*BF11+(1-(IF(SUM($D9:$GA9)=0,0,IF(SUM($D12:$GA12)=0,1,'Вводные'!$B$63))))*BF13)</x:f>
      </x:c>
      <x:c r="BG23" s="107" t="n">
        <x:f>'Вводные'!$O$88*((IF(SUM($D9:$GA9)=0,0,IF(SUM($D12:$GA12)=0,1,'Вводные'!$B$63)))*BG11+(1-(IF(SUM($D9:$GA9)=0,0,IF(SUM($D12:$GA12)=0,1,'Вводные'!$B$63))))*BG13)</x:f>
      </x:c>
      <x:c r="BH23" s="107" t="n">
        <x:f>'Вводные'!$O$88*((IF(SUM($D9:$GA9)=0,0,IF(SUM($D12:$GA12)=0,1,'Вводные'!$B$63)))*BH11+(1-(IF(SUM($D9:$GA9)=0,0,IF(SUM($D12:$GA12)=0,1,'Вводные'!$B$63))))*BH13)</x:f>
      </x:c>
      <x:c r="BI23" s="107" t="n">
        <x:f>'Вводные'!$O$88*((IF(SUM($D9:$GA9)=0,0,IF(SUM($D12:$GA12)=0,1,'Вводные'!$B$63)))*BI11+(1-(IF(SUM($D9:$GA9)=0,0,IF(SUM($D12:$GA12)=0,1,'Вводные'!$B$63))))*BI13)</x:f>
      </x:c>
      <x:c r="BJ23" s="107" t="n">
        <x:f>'Вводные'!$O$88*((IF(SUM($D9:$GA9)=0,0,IF(SUM($D12:$GA12)=0,1,'Вводные'!$B$63)))*BJ11+(1-(IF(SUM($D9:$GA9)=0,0,IF(SUM($D12:$GA12)=0,1,'Вводные'!$B$63))))*BJ13)</x:f>
      </x:c>
      <x:c r="BK23" s="107" t="n">
        <x:f>'Вводные'!$O$88*((IF(SUM($D9:$GA9)=0,0,IF(SUM($D12:$GA12)=0,1,'Вводные'!$B$63)))*BK11+(1-(IF(SUM($D9:$GA9)=0,0,IF(SUM($D12:$GA12)=0,1,'Вводные'!$B$63))))*BK13)</x:f>
      </x:c>
      <x:c r="BL23" s="107" t="n">
        <x:f>'Вводные'!$O$88*((IF(SUM($D9:$GA9)=0,0,IF(SUM($D12:$GA12)=0,1,'Вводные'!$B$63)))*BL11+(1-(IF(SUM($D9:$GA9)=0,0,IF(SUM($D12:$GA12)=0,1,'Вводные'!$B$63))))*BL13)</x:f>
      </x:c>
      <x:c r="BM23" s="107" t="n">
        <x:f>'Вводные'!$O$88*((IF(SUM($D9:$GA9)=0,0,IF(SUM($D12:$GA12)=0,1,'Вводные'!$B$63)))*BM11+(1-(IF(SUM($D9:$GA9)=0,0,IF(SUM($D12:$GA12)=0,1,'Вводные'!$B$63))))*BM13)</x:f>
      </x:c>
      <x:c r="BN23" s="107" t="n">
        <x:f>'Вводные'!$O$88*((IF(SUM($D9:$GA9)=0,0,IF(SUM($D12:$GA12)=0,1,'Вводные'!$B$63)))*BN11+(1-(IF(SUM($D9:$GA9)=0,0,IF(SUM($D12:$GA12)=0,1,'Вводные'!$B$63))))*BN13)</x:f>
      </x:c>
      <x:c r="BO23" s="107" t="n">
        <x:f>'Вводные'!$O$88*((IF(SUM($D9:$GA9)=0,0,IF(SUM($D12:$GA12)=0,1,'Вводные'!$B$63)))*BO11+(1-(IF(SUM($D9:$GA9)=0,0,IF(SUM($D12:$GA12)=0,1,'Вводные'!$B$63))))*BO13)</x:f>
      </x:c>
      <x:c r="BP23" s="107" t="n">
        <x:f>'Вводные'!$O$88*((IF(SUM($D9:$GA9)=0,0,IF(SUM($D12:$GA12)=0,1,'Вводные'!$B$63)))*BP11+(1-(IF(SUM($D9:$GA9)=0,0,IF(SUM($D12:$GA12)=0,1,'Вводные'!$B$63))))*BP13)</x:f>
      </x:c>
      <x:c r="BQ23" s="107" t="n">
        <x:f>'Вводные'!$O$88*((IF(SUM($D9:$GA9)=0,0,IF(SUM($D12:$GA12)=0,1,'Вводные'!$B$63)))*BQ11+(1-(IF(SUM($D9:$GA9)=0,0,IF(SUM($D12:$GA12)=0,1,'Вводные'!$B$63))))*BQ13)</x:f>
      </x:c>
      <x:c r="BR23" s="107" t="n">
        <x:f>'Вводные'!$O$88*((IF(SUM($D9:$GA9)=0,0,IF(SUM($D12:$GA12)=0,1,'Вводные'!$B$63)))*BR11+(1-(IF(SUM($D9:$GA9)=0,0,IF(SUM($D12:$GA12)=0,1,'Вводные'!$B$63))))*BR13)</x:f>
      </x:c>
      <x:c r="BS23" s="107" t="n">
        <x:f>'Вводные'!$O$88*((IF(SUM($D9:$GA9)=0,0,IF(SUM($D12:$GA12)=0,1,'Вводные'!$B$63)))*BS11+(1-(IF(SUM($D9:$GA9)=0,0,IF(SUM($D12:$GA12)=0,1,'Вводные'!$B$63))))*BS13)</x:f>
      </x:c>
      <x:c r="BT23" s="107" t="n">
        <x:f>'Вводные'!$O$88*((IF(SUM($D9:$GA9)=0,0,IF(SUM($D12:$GA12)=0,1,'Вводные'!$B$63)))*BT11+(1-(IF(SUM($D9:$GA9)=0,0,IF(SUM($D12:$GA12)=0,1,'Вводные'!$B$63))))*BT13)</x:f>
      </x:c>
      <x:c r="BU23" s="107" t="n">
        <x:f>'Вводные'!$O$88*((IF(SUM($D9:$GA9)=0,0,IF(SUM($D12:$GA12)=0,1,'Вводные'!$B$63)))*BU11+(1-(IF(SUM($D9:$GA9)=0,0,IF(SUM($D12:$GA12)=0,1,'Вводные'!$B$63))))*BU13)</x:f>
      </x:c>
      <x:c r="BV23" s="107" t="n">
        <x:f>'Вводные'!$O$88*((IF(SUM($D9:$GA9)=0,0,IF(SUM($D12:$GA12)=0,1,'Вводные'!$B$63)))*BV11+(1-(IF(SUM($D9:$GA9)=0,0,IF(SUM($D12:$GA12)=0,1,'Вводные'!$B$63))))*BV13)</x:f>
      </x:c>
      <x:c r="BW23" s="107" t="n">
        <x:f>'Вводные'!$O$88*((IF(SUM($D9:$GA9)=0,0,IF(SUM($D12:$GA12)=0,1,'Вводные'!$B$63)))*BW11+(1-(IF(SUM($D9:$GA9)=0,0,IF(SUM($D12:$GA12)=0,1,'Вводные'!$B$63))))*BW13)</x:f>
      </x:c>
      <x:c r="BX23" s="107" t="n">
        <x:f>'Вводные'!$O$88*((IF(SUM($D9:$GA9)=0,0,IF(SUM($D12:$GA12)=0,1,'Вводные'!$B$63)))*BX11+(1-(IF(SUM($D9:$GA9)=0,0,IF(SUM($D12:$GA12)=0,1,'Вводные'!$B$63))))*BX13)</x:f>
      </x:c>
      <x:c r="BY23" s="107" t="n">
        <x:f>'Вводные'!$O$88*((IF(SUM($D9:$GA9)=0,0,IF(SUM($D12:$GA12)=0,1,'Вводные'!$B$63)))*BY11+(1-(IF(SUM($D9:$GA9)=0,0,IF(SUM($D12:$GA12)=0,1,'Вводные'!$B$63))))*BY13)</x:f>
      </x:c>
      <x:c r="BZ23" s="107" t="n">
        <x:f>'Вводные'!$O$88*((IF(SUM($D9:$GA9)=0,0,IF(SUM($D12:$GA12)=0,1,'Вводные'!$B$63)))*BZ11+(1-(IF(SUM($D9:$GA9)=0,0,IF(SUM($D12:$GA12)=0,1,'Вводные'!$B$63))))*BZ13)</x:f>
      </x:c>
      <x:c r="CA23" s="107" t="n">
        <x:f>'Вводные'!$O$88*((IF(SUM($D9:$GA9)=0,0,IF(SUM($D12:$GA12)=0,1,'Вводные'!$B$63)))*CA11+(1-(IF(SUM($D9:$GA9)=0,0,IF(SUM($D12:$GA12)=0,1,'Вводные'!$B$63))))*CA13)</x:f>
      </x:c>
      <x:c r="CB23" s="107" t="n">
        <x:f>'Вводные'!$O$88*((IF(SUM($D9:$GA9)=0,0,IF(SUM($D12:$GA12)=0,1,'Вводные'!$B$63)))*CB11+(1-(IF(SUM($D9:$GA9)=0,0,IF(SUM($D12:$GA12)=0,1,'Вводные'!$B$63))))*CB13)</x:f>
      </x:c>
      <x:c r="CC23" s="107" t="n">
        <x:f>'Вводные'!$O$88*((IF(SUM($D9:$GA9)=0,0,IF(SUM($D12:$GA12)=0,1,'Вводные'!$B$63)))*CC11+(1-(IF(SUM($D9:$GA9)=0,0,IF(SUM($D12:$GA12)=0,1,'Вводные'!$B$63))))*CC13)</x:f>
      </x:c>
      <x:c r="CD23" s="107" t="n">
        <x:f>'Вводные'!$O$88*((IF(SUM($D9:$GA9)=0,0,IF(SUM($D12:$GA12)=0,1,'Вводные'!$B$63)))*CD11+(1-(IF(SUM($D9:$GA9)=0,0,IF(SUM($D12:$GA12)=0,1,'Вводные'!$B$63))))*CD13)</x:f>
      </x:c>
      <x:c r="CE23" s="107" t="n">
        <x:f>'Вводные'!$O$88*((IF(SUM($D9:$GA9)=0,0,IF(SUM($D12:$GA12)=0,1,'Вводные'!$B$63)))*CE11+(1-(IF(SUM($D9:$GA9)=0,0,IF(SUM($D12:$GA12)=0,1,'Вводные'!$B$63))))*CE13)</x:f>
      </x:c>
      <x:c r="CF23" s="107" t="n">
        <x:f>'Вводные'!$O$88*((IF(SUM($D9:$GA9)=0,0,IF(SUM($D12:$GA12)=0,1,'Вводные'!$B$63)))*CF11+(1-(IF(SUM($D9:$GA9)=0,0,IF(SUM($D12:$GA12)=0,1,'Вводные'!$B$63))))*CF13)</x:f>
      </x:c>
      <x:c r="CG23" s="107" t="n">
        <x:f>'Вводные'!$O$88*((IF(SUM($D9:$GA9)=0,0,IF(SUM($D12:$GA12)=0,1,'Вводные'!$B$63)))*CG11+(1-(IF(SUM($D9:$GA9)=0,0,IF(SUM($D12:$GA12)=0,1,'Вводные'!$B$63))))*CG13)</x:f>
      </x:c>
      <x:c r="CH23" s="107" t="n">
        <x:f>'Вводные'!$O$88*((IF(SUM($D9:$GA9)=0,0,IF(SUM($D12:$GA12)=0,1,'Вводные'!$B$63)))*CH11+(1-(IF(SUM($D9:$GA9)=0,0,IF(SUM($D12:$GA12)=0,1,'Вводные'!$B$63))))*CH13)</x:f>
      </x:c>
      <x:c r="CI23" s="107" t="n">
        <x:f>'Вводные'!$O$88*((IF(SUM($D9:$GA9)=0,0,IF(SUM($D12:$GA12)=0,1,'Вводные'!$B$63)))*CI11+(1-(IF(SUM($D9:$GA9)=0,0,IF(SUM($D12:$GA12)=0,1,'Вводные'!$B$63))))*CI13)</x:f>
      </x:c>
      <x:c r="CJ23" s="107" t="n">
        <x:f>'Вводные'!$O$88*((IF(SUM($D9:$GA9)=0,0,IF(SUM($D12:$GA12)=0,1,'Вводные'!$B$63)))*CJ11+(1-(IF(SUM($D9:$GA9)=0,0,IF(SUM($D12:$GA12)=0,1,'Вводные'!$B$63))))*CJ13)</x:f>
      </x:c>
      <x:c r="CK23" s="107" t="n">
        <x:f>'Вводные'!$O$88*((IF(SUM($D9:$GA9)=0,0,IF(SUM($D12:$GA12)=0,1,'Вводные'!$B$63)))*CK11+(1-(IF(SUM($D9:$GA9)=0,0,IF(SUM($D12:$GA12)=0,1,'Вводные'!$B$63))))*CK13)</x:f>
      </x:c>
      <x:c r="CL23" s="107" t="n">
        <x:f>'Вводные'!$O$88*((IF(SUM($D9:$GA9)=0,0,IF(SUM($D12:$GA12)=0,1,'Вводные'!$B$63)))*CL11+(1-(IF(SUM($D9:$GA9)=0,0,IF(SUM($D12:$GA12)=0,1,'Вводные'!$B$63))))*CL13)</x:f>
      </x:c>
      <x:c r="CM23" s="107" t="n">
        <x:f>'Вводные'!$O$88*((IF(SUM($D9:$GA9)=0,0,IF(SUM($D12:$GA12)=0,1,'Вводные'!$B$63)))*CM11+(1-(IF(SUM($D9:$GA9)=0,0,IF(SUM($D12:$GA12)=0,1,'Вводные'!$B$63))))*CM13)</x:f>
      </x:c>
      <x:c r="CN23" s="107" t="n">
        <x:f>'Вводные'!$O$88*((IF(SUM($D9:$GA9)=0,0,IF(SUM($D12:$GA12)=0,1,'Вводные'!$B$63)))*CN11+(1-(IF(SUM($D9:$GA9)=0,0,IF(SUM($D12:$GA12)=0,1,'Вводные'!$B$63))))*CN13)</x:f>
      </x:c>
      <x:c r="CO23" s="107" t="n">
        <x:f>'Вводные'!$O$88*((IF(SUM($D9:$GA9)=0,0,IF(SUM($D12:$GA12)=0,1,'Вводные'!$B$63)))*CO11+(1-(IF(SUM($D9:$GA9)=0,0,IF(SUM($D12:$GA12)=0,1,'Вводные'!$B$63))))*CO13)</x:f>
      </x:c>
      <x:c r="CP23" s="107" t="n">
        <x:f>'Вводные'!$O$88*((IF(SUM($D9:$GA9)=0,0,IF(SUM($D12:$GA12)=0,1,'Вводные'!$B$63)))*CP11+(1-(IF(SUM($D9:$GA9)=0,0,IF(SUM($D12:$GA12)=0,1,'Вводные'!$B$63))))*CP13)</x:f>
      </x:c>
      <x:c r="CQ23" s="107" t="n">
        <x:f>'Вводные'!$O$88*((IF(SUM($D9:$GA9)=0,0,IF(SUM($D12:$GA12)=0,1,'Вводные'!$B$63)))*CQ11+(1-(IF(SUM($D9:$GA9)=0,0,IF(SUM($D12:$GA12)=0,1,'Вводные'!$B$63))))*CQ13)</x:f>
      </x:c>
      <x:c r="CR23" s="107" t="n">
        <x:f>'Вводные'!$O$88*((IF(SUM($D9:$GA9)=0,0,IF(SUM($D12:$GA12)=0,1,'Вводные'!$B$63)))*CR11+(1-(IF(SUM($D9:$GA9)=0,0,IF(SUM($D12:$GA12)=0,1,'Вводные'!$B$63))))*CR13)</x:f>
      </x:c>
      <x:c r="CS23" s="107" t="n">
        <x:f>'Вводные'!$O$88*((IF(SUM($D9:$GA9)=0,0,IF(SUM($D12:$GA12)=0,1,'Вводные'!$B$63)))*CS11+(1-(IF(SUM($D9:$GA9)=0,0,IF(SUM($D12:$GA12)=0,1,'Вводные'!$B$63))))*CS13)</x:f>
      </x:c>
      <x:c r="CT23" s="107" t="n">
        <x:f>'Вводные'!$O$88*((IF(SUM($D9:$GA9)=0,0,IF(SUM($D12:$GA12)=0,1,'Вводные'!$B$63)))*CT11+(1-(IF(SUM($D9:$GA9)=0,0,IF(SUM($D12:$GA12)=0,1,'Вводные'!$B$63))))*CT13)</x:f>
      </x:c>
      <x:c r="CU23" s="107" t="n">
        <x:f>'Вводные'!$O$88*((IF(SUM($D9:$GA9)=0,0,IF(SUM($D12:$GA12)=0,1,'Вводные'!$B$63)))*CU11+(1-(IF(SUM($D9:$GA9)=0,0,IF(SUM($D12:$GA12)=0,1,'Вводные'!$B$63))))*CU13)</x:f>
      </x:c>
      <x:c r="CV23" s="107" t="n">
        <x:f>'Вводные'!$O$88*((IF(SUM($D9:$GA9)=0,0,IF(SUM($D12:$GA12)=0,1,'Вводные'!$B$63)))*CV11+(1-(IF(SUM($D9:$GA9)=0,0,IF(SUM($D12:$GA12)=0,1,'Вводные'!$B$63))))*CV13)</x:f>
      </x:c>
      <x:c r="CW23" s="107" t="n">
        <x:f>'Вводные'!$O$88*((IF(SUM($D9:$GA9)=0,0,IF(SUM($D12:$GA12)=0,1,'Вводные'!$B$63)))*CW11+(1-(IF(SUM($D9:$GA9)=0,0,IF(SUM($D12:$GA12)=0,1,'Вводные'!$B$63))))*CW13)</x:f>
      </x:c>
      <x:c r="CX23" s="107" t="n">
        <x:f>'Вводные'!$O$88*((IF(SUM($D9:$GA9)=0,0,IF(SUM($D12:$GA12)=0,1,'Вводные'!$B$63)))*CX11+(1-(IF(SUM($D9:$GA9)=0,0,IF(SUM($D12:$GA12)=0,1,'Вводные'!$B$63))))*CX13)</x:f>
      </x:c>
      <x:c r="CY23" s="107" t="n">
        <x:f>'Вводные'!$O$88*((IF(SUM($D9:$GA9)=0,0,IF(SUM($D12:$GA12)=0,1,'Вводные'!$B$63)))*CY11+(1-(IF(SUM($D9:$GA9)=0,0,IF(SUM($D12:$GA12)=0,1,'Вводные'!$B$63))))*CY13)</x:f>
      </x:c>
      <x:c r="CZ23" s="107" t="n">
        <x:f>'Вводные'!$O$88*((IF(SUM($D9:$GA9)=0,0,IF(SUM($D12:$GA12)=0,1,'Вводные'!$B$63)))*CZ11+(1-(IF(SUM($D9:$GA9)=0,0,IF(SUM($D12:$GA12)=0,1,'Вводные'!$B$63))))*CZ13)</x:f>
      </x:c>
      <x:c r="DA23" s="107" t="n">
        <x:f>'Вводные'!$O$88*((IF(SUM($D9:$GA9)=0,0,IF(SUM($D12:$GA12)=0,1,'Вводные'!$B$63)))*DA11+(1-(IF(SUM($D9:$GA9)=0,0,IF(SUM($D12:$GA12)=0,1,'Вводные'!$B$63))))*DA13)</x:f>
      </x:c>
      <x:c r="DB23" s="107" t="n">
        <x:f>'Вводные'!$O$88*((IF(SUM($D9:$GA9)=0,0,IF(SUM($D12:$GA12)=0,1,'Вводные'!$B$63)))*DB11+(1-(IF(SUM($D9:$GA9)=0,0,IF(SUM($D12:$GA12)=0,1,'Вводные'!$B$63))))*DB13)</x:f>
      </x:c>
      <x:c r="DC23" s="107" t="n">
        <x:f>'Вводные'!$O$88*((IF(SUM($D9:$GA9)=0,0,IF(SUM($D12:$GA12)=0,1,'Вводные'!$B$63)))*DC11+(1-(IF(SUM($D9:$GA9)=0,0,IF(SUM($D12:$GA12)=0,1,'Вводные'!$B$63))))*DC13)</x:f>
      </x:c>
      <x:c r="DD23" s="107" t="n">
        <x:f>'Вводные'!$O$88*((IF(SUM($D9:$GA9)=0,0,IF(SUM($D12:$GA12)=0,1,'Вводные'!$B$63)))*DD11+(1-(IF(SUM($D9:$GA9)=0,0,IF(SUM($D12:$GA12)=0,1,'Вводные'!$B$63))))*DD13)</x:f>
      </x:c>
      <x:c r="DE23" s="107" t="n">
        <x:f>'Вводные'!$O$88*((IF(SUM($D9:$GA9)=0,0,IF(SUM($D12:$GA12)=0,1,'Вводные'!$B$63)))*DE11+(1-(IF(SUM($D9:$GA9)=0,0,IF(SUM($D12:$GA12)=0,1,'Вводные'!$B$63))))*DE13)</x:f>
      </x:c>
      <x:c r="DF23" s="107" t="n">
        <x:f>'Вводные'!$O$88*((IF(SUM($D9:$GA9)=0,0,IF(SUM($D12:$GA12)=0,1,'Вводные'!$B$63)))*DF11+(1-(IF(SUM($D9:$GA9)=0,0,IF(SUM($D12:$GA12)=0,1,'Вводные'!$B$63))))*DF13)</x:f>
      </x:c>
      <x:c r="DG23" s="107" t="n">
        <x:f>'Вводные'!$O$88*((IF(SUM($D9:$GA9)=0,0,IF(SUM($D12:$GA12)=0,1,'Вводные'!$B$63)))*DG11+(1-(IF(SUM($D9:$GA9)=0,0,IF(SUM($D12:$GA12)=0,1,'Вводные'!$B$63))))*DG13)</x:f>
      </x:c>
      <x:c r="DH23" s="107" t="n">
        <x:f>'Вводные'!$O$88*((IF(SUM($D9:$GA9)=0,0,IF(SUM($D12:$GA12)=0,1,'Вводные'!$B$63)))*DH11+(1-(IF(SUM($D9:$GA9)=0,0,IF(SUM($D12:$GA12)=0,1,'Вводные'!$B$63))))*DH13)</x:f>
      </x:c>
      <x:c r="DI23" s="107" t="n">
        <x:f>'Вводные'!$O$88*((IF(SUM($D9:$GA9)=0,0,IF(SUM($D12:$GA12)=0,1,'Вводные'!$B$63)))*DI11+(1-(IF(SUM($D9:$GA9)=0,0,IF(SUM($D12:$GA12)=0,1,'Вводные'!$B$63))))*DI13)</x:f>
      </x:c>
      <x:c r="DJ23" s="107" t="n">
        <x:f>'Вводные'!$O$88*((IF(SUM($D9:$GA9)=0,0,IF(SUM($D12:$GA12)=0,1,'Вводные'!$B$63)))*DJ11+(1-(IF(SUM($D9:$GA9)=0,0,IF(SUM($D12:$GA12)=0,1,'Вводные'!$B$63))))*DJ13)</x:f>
      </x:c>
      <x:c r="DK23" s="107" t="n">
        <x:f>'Вводные'!$O$88*((IF(SUM($D9:$GA9)=0,0,IF(SUM($D12:$GA12)=0,1,'Вводные'!$B$63)))*DK11+(1-(IF(SUM($D9:$GA9)=0,0,IF(SUM($D12:$GA12)=0,1,'Вводные'!$B$63))))*DK13)</x:f>
      </x:c>
      <x:c r="DL23" s="107" t="n">
        <x:f>'Вводные'!$O$88*((IF(SUM($D9:$GA9)=0,0,IF(SUM($D12:$GA12)=0,1,'Вводные'!$B$63)))*DL11+(1-(IF(SUM($D9:$GA9)=0,0,IF(SUM($D12:$GA12)=0,1,'Вводные'!$B$63))))*DL13)</x:f>
      </x:c>
      <x:c r="DM23" s="107" t="n">
        <x:f>'Вводные'!$O$88*((IF(SUM($D9:$GA9)=0,0,IF(SUM($D12:$GA12)=0,1,'Вводные'!$B$63)))*DM11+(1-(IF(SUM($D9:$GA9)=0,0,IF(SUM($D12:$GA12)=0,1,'Вводные'!$B$63))))*DM13)</x:f>
      </x:c>
      <x:c r="DN23" s="107" t="n">
        <x:f>'Вводные'!$O$88*((IF(SUM($D9:$GA9)=0,0,IF(SUM($D12:$GA12)=0,1,'Вводные'!$B$63)))*DN11+(1-(IF(SUM($D9:$GA9)=0,0,IF(SUM($D12:$GA12)=0,1,'Вводные'!$B$63))))*DN13)</x:f>
      </x:c>
      <x:c r="DO23" s="107" t="n">
        <x:f>'Вводные'!$O$88*((IF(SUM($D9:$GA9)=0,0,IF(SUM($D12:$GA12)=0,1,'Вводные'!$B$63)))*DO11+(1-(IF(SUM($D9:$GA9)=0,0,IF(SUM($D12:$GA12)=0,1,'Вводные'!$B$63))))*DO13)</x:f>
      </x:c>
      <x:c r="DP23" s="107" t="n">
        <x:f>'Вводные'!$O$88*((IF(SUM($D9:$GA9)=0,0,IF(SUM($D12:$GA12)=0,1,'Вводные'!$B$63)))*DP11+(1-(IF(SUM($D9:$GA9)=0,0,IF(SUM($D12:$GA12)=0,1,'Вводные'!$B$63))))*DP13)</x:f>
      </x:c>
      <x:c r="DQ23" s="107" t="n">
        <x:f>'Вводные'!$O$88*((IF(SUM($D9:$GA9)=0,0,IF(SUM($D12:$GA12)=0,1,'Вводные'!$B$63)))*DQ11+(1-(IF(SUM($D9:$GA9)=0,0,IF(SUM($D12:$GA12)=0,1,'Вводные'!$B$63))))*DQ13)</x:f>
      </x:c>
      <x:c r="DR23" s="107" t="n">
        <x:f>'Вводные'!$O$88*((IF(SUM($D9:$GA9)=0,0,IF(SUM($D12:$GA12)=0,1,'Вводные'!$B$63)))*DR11+(1-(IF(SUM($D9:$GA9)=0,0,IF(SUM($D12:$GA12)=0,1,'Вводные'!$B$63))))*DR13)</x:f>
      </x:c>
      <x:c r="DS23" s="107" t="n">
        <x:f>'Вводные'!$O$88*((IF(SUM($D9:$GA9)=0,0,IF(SUM($D12:$GA12)=0,1,'Вводные'!$B$63)))*DS11+(1-(IF(SUM($D9:$GA9)=0,0,IF(SUM($D12:$GA12)=0,1,'Вводные'!$B$63))))*DS13)</x:f>
      </x:c>
      <x:c r="DT23" s="107" t="n">
        <x:f>'Вводные'!$O$88*((IF(SUM($D9:$GA9)=0,0,IF(SUM($D12:$GA12)=0,1,'Вводные'!$B$63)))*DT11+(1-(IF(SUM($D9:$GA9)=0,0,IF(SUM($D12:$GA12)=0,1,'Вводные'!$B$63))))*DT13)</x:f>
      </x:c>
      <x:c r="DU23" s="107" t="n">
        <x:f>'Вводные'!$O$88*((IF(SUM($D9:$GA9)=0,0,IF(SUM($D12:$GA12)=0,1,'Вводные'!$B$63)))*DU11+(1-(IF(SUM($D9:$GA9)=0,0,IF(SUM($D12:$GA12)=0,1,'Вводные'!$B$63))))*DU13)</x:f>
      </x:c>
      <x:c r="DV23" s="107" t="n">
        <x:f>'Вводные'!$O$88*((IF(SUM($D9:$GA9)=0,0,IF(SUM($D12:$GA12)=0,1,'Вводные'!$B$63)))*DV11+(1-(IF(SUM($D9:$GA9)=0,0,IF(SUM($D12:$GA12)=0,1,'Вводные'!$B$63))))*DV13)</x:f>
      </x:c>
      <x:c r="DW23" s="107" t="n">
        <x:f>'Вводные'!$O$88*((IF(SUM($D9:$GA9)=0,0,IF(SUM($D12:$GA12)=0,1,'Вводные'!$B$63)))*DW11+(1-(IF(SUM($D9:$GA9)=0,0,IF(SUM($D12:$GA12)=0,1,'Вводные'!$B$63))))*DW13)</x:f>
      </x:c>
      <x:c r="DX23" s="107" t="n">
        <x:f>'Вводные'!$O$88*((IF(SUM($D9:$GA9)=0,0,IF(SUM($D12:$GA12)=0,1,'Вводные'!$B$63)))*DX11+(1-(IF(SUM($D9:$GA9)=0,0,IF(SUM($D12:$GA12)=0,1,'Вводные'!$B$63))))*DX13)</x:f>
      </x:c>
      <x:c r="DY23" s="107" t="n">
        <x:f>'Вводные'!$O$88*((IF(SUM($D9:$GA9)=0,0,IF(SUM($D12:$GA12)=0,1,'Вводные'!$B$63)))*DY11+(1-(IF(SUM($D9:$GA9)=0,0,IF(SUM($D12:$GA12)=0,1,'Вводные'!$B$63))))*DY13)</x:f>
      </x:c>
      <x:c r="DZ23" s="107" t="n">
        <x:f>'Вводные'!$O$88*((IF(SUM($D9:$GA9)=0,0,IF(SUM($D12:$GA12)=0,1,'Вводные'!$B$63)))*DZ11+(1-(IF(SUM($D9:$GA9)=0,0,IF(SUM($D12:$GA12)=0,1,'Вводные'!$B$63))))*DZ13)</x:f>
      </x:c>
      <x:c r="EA23" s="107" t="n">
        <x:f>'Вводные'!$O$88*((IF(SUM($D9:$GA9)=0,0,IF(SUM($D12:$GA12)=0,1,'Вводные'!$B$63)))*EA11+(1-(IF(SUM($D9:$GA9)=0,0,IF(SUM($D12:$GA12)=0,1,'Вводные'!$B$63))))*EA13)</x:f>
      </x:c>
      <x:c r="EB23" s="107" t="n">
        <x:f>'Вводные'!$O$88*((IF(SUM($D9:$GA9)=0,0,IF(SUM($D12:$GA12)=0,1,'Вводные'!$B$63)))*EB11+(1-(IF(SUM($D9:$GA9)=0,0,IF(SUM($D12:$GA12)=0,1,'Вводные'!$B$63))))*EB13)</x:f>
      </x:c>
      <x:c r="EC23" s="107" t="n">
        <x:f>'Вводные'!$O$88*((IF(SUM($D9:$GA9)=0,0,IF(SUM($D12:$GA12)=0,1,'Вводные'!$B$63)))*EC11+(1-(IF(SUM($D9:$GA9)=0,0,IF(SUM($D12:$GA12)=0,1,'Вводные'!$B$63))))*EC13)</x:f>
      </x:c>
      <x:c r="ED23" s="107" t="n">
        <x:f>'Вводные'!$O$88*((IF(SUM($D9:$GA9)=0,0,IF(SUM($D12:$GA12)=0,1,'Вводные'!$B$63)))*ED11+(1-(IF(SUM($D9:$GA9)=0,0,IF(SUM($D12:$GA12)=0,1,'Вводные'!$B$63))))*ED13)</x:f>
      </x:c>
      <x:c r="EE23" s="107" t="n">
        <x:f>'Вводные'!$O$88*((IF(SUM($D9:$GA9)=0,0,IF(SUM($D12:$GA12)=0,1,'Вводные'!$B$63)))*EE11+(1-(IF(SUM($D9:$GA9)=0,0,IF(SUM($D12:$GA12)=0,1,'Вводные'!$B$63))))*EE13)</x:f>
      </x:c>
      <x:c r="EF23" s="107" t="n">
        <x:f>'Вводные'!$O$88*((IF(SUM($D9:$GA9)=0,0,IF(SUM($D12:$GA12)=0,1,'Вводные'!$B$63)))*EF11+(1-(IF(SUM($D9:$GA9)=0,0,IF(SUM($D12:$GA12)=0,1,'Вводные'!$B$63))))*EF13)</x:f>
      </x:c>
      <x:c r="EG23" s="107" t="n">
        <x:f>'Вводные'!$O$88*((IF(SUM($D9:$GA9)=0,0,IF(SUM($D12:$GA12)=0,1,'Вводные'!$B$63)))*EG11+(1-(IF(SUM($D9:$GA9)=0,0,IF(SUM($D12:$GA12)=0,1,'Вводные'!$B$63))))*EG13)</x:f>
      </x:c>
      <x:c r="EH23" s="107" t="n">
        <x:f>'Вводные'!$O$88*((IF(SUM($D9:$GA9)=0,0,IF(SUM($D12:$GA12)=0,1,'Вводные'!$B$63)))*EH11+(1-(IF(SUM($D9:$GA9)=0,0,IF(SUM($D12:$GA12)=0,1,'Вводные'!$B$63))))*EH13)</x:f>
      </x:c>
      <x:c r="EI23" s="107" t="n">
        <x:f>'Вводные'!$O$88*((IF(SUM($D9:$GA9)=0,0,IF(SUM($D12:$GA12)=0,1,'Вводные'!$B$63)))*EI11+(1-(IF(SUM($D9:$GA9)=0,0,IF(SUM($D12:$GA12)=0,1,'Вводные'!$B$63))))*EI13)</x:f>
      </x:c>
      <x:c r="EJ23" s="107" t="n">
        <x:f>'Вводные'!$O$88*((IF(SUM($D9:$GA9)=0,0,IF(SUM($D12:$GA12)=0,1,'Вводные'!$B$63)))*EJ11+(1-(IF(SUM($D9:$GA9)=0,0,IF(SUM($D12:$GA12)=0,1,'Вводные'!$B$63))))*EJ13)</x:f>
      </x:c>
      <x:c r="EK23" s="107" t="n">
        <x:f>'Вводные'!$O$88*((IF(SUM($D9:$GA9)=0,0,IF(SUM($D12:$GA12)=0,1,'Вводные'!$B$63)))*EK11+(1-(IF(SUM($D9:$GA9)=0,0,IF(SUM($D12:$GA12)=0,1,'Вводные'!$B$63))))*EK13)</x:f>
      </x:c>
      <x:c r="EL23" s="107" t="n">
        <x:f>'Вводные'!$O$88*((IF(SUM($D9:$GA9)=0,0,IF(SUM($D12:$GA12)=0,1,'Вводные'!$B$63)))*EL11+(1-(IF(SUM($D9:$GA9)=0,0,IF(SUM($D12:$GA12)=0,1,'Вводные'!$B$63))))*EL13)</x:f>
      </x:c>
      <x:c r="EM23" s="107" t="n">
        <x:f>'Вводные'!$O$88*((IF(SUM($D9:$GA9)=0,0,IF(SUM($D12:$GA12)=0,1,'Вводные'!$B$63)))*EM11+(1-(IF(SUM($D9:$GA9)=0,0,IF(SUM($D12:$GA12)=0,1,'Вводные'!$B$63))))*EM13)</x:f>
      </x:c>
      <x:c r="EN23" s="107" t="n">
        <x:f>'Вводные'!$O$88*((IF(SUM($D9:$GA9)=0,0,IF(SUM($D12:$GA12)=0,1,'Вводные'!$B$63)))*EN11+(1-(IF(SUM($D9:$GA9)=0,0,IF(SUM($D12:$GA12)=0,1,'Вводные'!$B$63))))*EN13)</x:f>
      </x:c>
      <x:c r="EO23" s="107" t="n">
        <x:f>'Вводные'!$O$88*((IF(SUM($D9:$GA9)=0,0,IF(SUM($D12:$GA12)=0,1,'Вводные'!$B$63)))*EO11+(1-(IF(SUM($D9:$GA9)=0,0,IF(SUM($D12:$GA12)=0,1,'Вводные'!$B$63))))*EO13)</x:f>
      </x:c>
      <x:c r="EP23" s="107" t="n">
        <x:f>'Вводные'!$O$88*((IF(SUM($D9:$GA9)=0,0,IF(SUM($D12:$GA12)=0,1,'Вводные'!$B$63)))*EP11+(1-(IF(SUM($D9:$GA9)=0,0,IF(SUM($D12:$GA12)=0,1,'Вводные'!$B$63))))*EP13)</x:f>
      </x:c>
      <x:c r="EQ23" s="107" t="n">
        <x:f>'Вводные'!$O$88*((IF(SUM($D9:$GA9)=0,0,IF(SUM($D12:$GA12)=0,1,'Вводные'!$B$63)))*EQ11+(1-(IF(SUM($D9:$GA9)=0,0,IF(SUM($D12:$GA12)=0,1,'Вводные'!$B$63))))*EQ13)</x:f>
      </x:c>
      <x:c r="ER23" s="107" t="n">
        <x:f>'Вводные'!$O$88*((IF(SUM($D9:$GA9)=0,0,IF(SUM($D12:$GA12)=0,1,'Вводные'!$B$63)))*ER11+(1-(IF(SUM($D9:$GA9)=0,0,IF(SUM($D12:$GA12)=0,1,'Вводные'!$B$63))))*ER13)</x:f>
      </x:c>
      <x:c r="ES23" s="107" t="n">
        <x:f>'Вводные'!$O$88*((IF(SUM($D9:$GA9)=0,0,IF(SUM($D12:$GA12)=0,1,'Вводные'!$B$63)))*ES11+(1-(IF(SUM($D9:$GA9)=0,0,IF(SUM($D12:$GA12)=0,1,'Вводные'!$B$63))))*ES13)</x:f>
      </x:c>
      <x:c r="ET23" s="107" t="n">
        <x:f>'Вводные'!$O$88*((IF(SUM($D9:$GA9)=0,0,IF(SUM($D12:$GA12)=0,1,'Вводные'!$B$63)))*ET11+(1-(IF(SUM($D9:$GA9)=0,0,IF(SUM($D12:$GA12)=0,1,'Вводные'!$B$63))))*ET13)</x:f>
      </x:c>
      <x:c r="EU23" s="107" t="n">
        <x:f>'Вводные'!$O$88*((IF(SUM($D9:$GA9)=0,0,IF(SUM($D12:$GA12)=0,1,'Вводные'!$B$63)))*EU11+(1-(IF(SUM($D9:$GA9)=0,0,IF(SUM($D12:$GA12)=0,1,'Вводные'!$B$63))))*EU13)</x:f>
      </x:c>
      <x:c r="EV23" s="107" t="n">
        <x:f>'Вводные'!$O$88*((IF(SUM($D9:$GA9)=0,0,IF(SUM($D12:$GA12)=0,1,'Вводные'!$B$63)))*EV11+(1-(IF(SUM($D9:$GA9)=0,0,IF(SUM($D12:$GA12)=0,1,'Вводные'!$B$63))))*EV13)</x:f>
      </x:c>
      <x:c r="EW23" s="107" t="n">
        <x:f>'Вводные'!$O$88*((IF(SUM($D9:$GA9)=0,0,IF(SUM($D12:$GA12)=0,1,'Вводные'!$B$63)))*EW11+(1-(IF(SUM($D9:$GA9)=0,0,IF(SUM($D12:$GA12)=0,1,'Вводные'!$B$63))))*EW13)</x:f>
      </x:c>
      <x:c r="EX23" s="107" t="n">
        <x:f>'Вводные'!$O$88*((IF(SUM($D9:$GA9)=0,0,IF(SUM($D12:$GA12)=0,1,'Вводные'!$B$63)))*EX11+(1-(IF(SUM($D9:$GA9)=0,0,IF(SUM($D12:$GA12)=0,1,'Вводные'!$B$63))))*EX13)</x:f>
      </x:c>
      <x:c r="EY23" s="107" t="n">
        <x:f>'Вводные'!$O$88*((IF(SUM($D9:$GA9)=0,0,IF(SUM($D12:$GA12)=0,1,'Вводные'!$B$63)))*EY11+(1-(IF(SUM($D9:$GA9)=0,0,IF(SUM($D12:$GA12)=0,1,'Вводные'!$B$63))))*EY13)</x:f>
      </x:c>
      <x:c r="EZ23" s="107" t="n">
        <x:f>'Вводные'!$O$88*((IF(SUM($D9:$GA9)=0,0,IF(SUM($D12:$GA12)=0,1,'Вводные'!$B$63)))*EZ11+(1-(IF(SUM($D9:$GA9)=0,0,IF(SUM($D12:$GA12)=0,1,'Вводные'!$B$63))))*EZ13)</x:f>
      </x:c>
      <x:c r="FA23" s="107" t="n">
        <x:f>'Вводные'!$O$88*((IF(SUM($D9:$GA9)=0,0,IF(SUM($D12:$GA12)=0,1,'Вводные'!$B$63)))*FA11+(1-(IF(SUM($D9:$GA9)=0,0,IF(SUM($D12:$GA12)=0,1,'Вводные'!$B$63))))*FA13)</x:f>
      </x:c>
      <x:c r="FB23" s="107" t="n">
        <x:f>'Вводные'!$O$88*((IF(SUM($D9:$GA9)=0,0,IF(SUM($D12:$GA12)=0,1,'Вводные'!$B$63)))*FB11+(1-(IF(SUM($D9:$GA9)=0,0,IF(SUM($D12:$GA12)=0,1,'Вводные'!$B$63))))*FB13)</x:f>
      </x:c>
      <x:c r="FC23" s="107" t="n">
        <x:f>'Вводные'!$O$88*((IF(SUM($D9:$GA9)=0,0,IF(SUM($D12:$GA12)=0,1,'Вводные'!$B$63)))*FC11+(1-(IF(SUM($D9:$GA9)=0,0,IF(SUM($D12:$GA12)=0,1,'Вводные'!$B$63))))*FC13)</x:f>
      </x:c>
      <x:c r="FD23" s="107" t="n">
        <x:f>'Вводные'!$O$88*((IF(SUM($D9:$GA9)=0,0,IF(SUM($D12:$GA12)=0,1,'Вводные'!$B$63)))*FD11+(1-(IF(SUM($D9:$GA9)=0,0,IF(SUM($D12:$GA12)=0,1,'Вводные'!$B$63))))*FD13)</x:f>
      </x:c>
      <x:c r="FE23" s="107" t="n">
        <x:f>'Вводные'!$O$88*((IF(SUM($D9:$GA9)=0,0,IF(SUM($D12:$GA12)=0,1,'Вводные'!$B$63)))*FE11+(1-(IF(SUM($D9:$GA9)=0,0,IF(SUM($D12:$GA12)=0,1,'Вводные'!$B$63))))*FE13)</x:f>
      </x:c>
      <x:c r="FF23" s="107" t="n">
        <x:f>'Вводные'!$O$88*((IF(SUM($D9:$GA9)=0,0,IF(SUM($D12:$GA12)=0,1,'Вводные'!$B$63)))*FF11+(1-(IF(SUM($D9:$GA9)=0,0,IF(SUM($D12:$GA12)=0,1,'Вводные'!$B$63))))*FF13)</x:f>
      </x:c>
      <x:c r="FG23" s="107" t="n">
        <x:f>'Вводные'!$O$88*((IF(SUM($D9:$GA9)=0,0,IF(SUM($D12:$GA12)=0,1,'Вводные'!$B$63)))*FG11+(1-(IF(SUM($D9:$GA9)=0,0,IF(SUM($D12:$GA12)=0,1,'Вводные'!$B$63))))*FG13)</x:f>
      </x:c>
      <x:c r="FH23" s="107" t="n">
        <x:f>'Вводные'!$O$88*((IF(SUM($D9:$GA9)=0,0,IF(SUM($D12:$GA12)=0,1,'Вводные'!$B$63)))*FH11+(1-(IF(SUM($D9:$GA9)=0,0,IF(SUM($D12:$GA12)=0,1,'Вводные'!$B$63))))*FH13)</x:f>
      </x:c>
      <x:c r="FI23" s="107" t="n">
        <x:f>'Вводные'!$O$88*((IF(SUM($D9:$GA9)=0,0,IF(SUM($D12:$GA12)=0,1,'Вводные'!$B$63)))*FI11+(1-(IF(SUM($D9:$GA9)=0,0,IF(SUM($D12:$GA12)=0,1,'Вводные'!$B$63))))*FI13)</x:f>
      </x:c>
      <x:c r="FJ23" s="107" t="n">
        <x:f>'Вводные'!$O$88*((IF(SUM($D9:$GA9)=0,0,IF(SUM($D12:$GA12)=0,1,'Вводные'!$B$63)))*FJ11+(1-(IF(SUM($D9:$GA9)=0,0,IF(SUM($D12:$GA12)=0,1,'Вводные'!$B$63))))*FJ13)</x:f>
      </x:c>
      <x:c r="FK23" s="107" t="n">
        <x:f>'Вводные'!$O$88*((IF(SUM($D9:$GA9)=0,0,IF(SUM($D12:$GA12)=0,1,'Вводные'!$B$63)))*FK11+(1-(IF(SUM($D9:$GA9)=0,0,IF(SUM($D12:$GA12)=0,1,'Вводные'!$B$63))))*FK13)</x:f>
      </x:c>
      <x:c r="FL23" s="107" t="n">
        <x:f>'Вводные'!$O$88*((IF(SUM($D9:$GA9)=0,0,IF(SUM($D12:$GA12)=0,1,'Вводные'!$B$63)))*FL11+(1-(IF(SUM($D9:$GA9)=0,0,IF(SUM($D12:$GA12)=0,1,'Вводные'!$B$63))))*FL13)</x:f>
      </x:c>
      <x:c r="FM23" s="107" t="n">
        <x:f>'Вводные'!$O$88*((IF(SUM($D9:$GA9)=0,0,IF(SUM($D12:$GA12)=0,1,'Вводные'!$B$63)))*FM11+(1-(IF(SUM($D9:$GA9)=0,0,IF(SUM($D12:$GA12)=0,1,'Вводные'!$B$63))))*FM13)</x:f>
      </x:c>
      <x:c r="FN23" s="107" t="n">
        <x:f>'Вводные'!$O$88*((IF(SUM($D9:$GA9)=0,0,IF(SUM($D12:$GA12)=0,1,'Вводные'!$B$63)))*FN11+(1-(IF(SUM($D9:$GA9)=0,0,IF(SUM($D12:$GA12)=0,1,'Вводные'!$B$63))))*FN13)</x:f>
      </x:c>
      <x:c r="FO23" s="107" t="n">
        <x:f>'Вводные'!$O$88*((IF(SUM($D9:$GA9)=0,0,IF(SUM($D12:$GA12)=0,1,'Вводные'!$B$63)))*FO11+(1-(IF(SUM($D9:$GA9)=0,0,IF(SUM($D12:$GA12)=0,1,'Вводные'!$B$63))))*FO13)</x:f>
      </x:c>
      <x:c r="FP23" s="107" t="n">
        <x:f>'Вводные'!$O$88*((IF(SUM($D9:$GA9)=0,0,IF(SUM($D12:$GA12)=0,1,'Вводные'!$B$63)))*FP11+(1-(IF(SUM($D9:$GA9)=0,0,IF(SUM($D12:$GA12)=0,1,'Вводные'!$B$63))))*FP13)</x:f>
      </x:c>
      <x:c r="FQ23" s="107" t="n">
        <x:f>'Вводные'!$O$88*((IF(SUM($D9:$GA9)=0,0,IF(SUM($D12:$GA12)=0,1,'Вводные'!$B$63)))*FQ11+(1-(IF(SUM($D9:$GA9)=0,0,IF(SUM($D12:$GA12)=0,1,'Вводные'!$B$63))))*FQ13)</x:f>
      </x:c>
      <x:c r="FR23" s="107" t="n">
        <x:f>'Вводные'!$O$88*((IF(SUM($D9:$GA9)=0,0,IF(SUM($D12:$GA12)=0,1,'Вводные'!$B$63)))*FR11+(1-(IF(SUM($D9:$GA9)=0,0,IF(SUM($D12:$GA12)=0,1,'Вводные'!$B$63))))*FR13)</x:f>
      </x:c>
      <x:c r="FS23" s="107" t="n">
        <x:f>'Вводные'!$O$88*((IF(SUM($D9:$GA9)=0,0,IF(SUM($D12:$GA12)=0,1,'Вводные'!$B$63)))*FS11+(1-(IF(SUM($D9:$GA9)=0,0,IF(SUM($D12:$GA12)=0,1,'Вводные'!$B$63))))*FS13)</x:f>
      </x:c>
      <x:c r="FT23" s="107" t="n">
        <x:f>'Вводные'!$O$88*((IF(SUM($D9:$GA9)=0,0,IF(SUM($D12:$GA12)=0,1,'Вводные'!$B$63)))*FT11+(1-(IF(SUM($D9:$GA9)=0,0,IF(SUM($D12:$GA12)=0,1,'Вводные'!$B$63))))*FT13)</x:f>
      </x:c>
      <x:c r="FU23" s="107" t="n">
        <x:f>'Вводные'!$O$88*((IF(SUM($D9:$GA9)=0,0,IF(SUM($D12:$GA12)=0,1,'Вводные'!$B$63)))*FU11+(1-(IF(SUM($D9:$GA9)=0,0,IF(SUM($D12:$GA12)=0,1,'Вводные'!$B$63))))*FU13)</x:f>
      </x:c>
      <x:c r="FV23" s="107" t="n">
        <x:f>'Вводные'!$O$88*((IF(SUM($D9:$GA9)=0,0,IF(SUM($D12:$GA12)=0,1,'Вводные'!$B$63)))*FV11+(1-(IF(SUM($D9:$GA9)=0,0,IF(SUM($D12:$GA12)=0,1,'Вводные'!$B$63))))*FV13)</x:f>
      </x:c>
      <x:c r="FW23" s="107" t="n">
        <x:f>'Вводные'!$O$88*((IF(SUM($D9:$GA9)=0,0,IF(SUM($D12:$GA12)=0,1,'Вводные'!$B$63)))*FW11+(1-(IF(SUM($D9:$GA9)=0,0,IF(SUM($D12:$GA12)=0,1,'Вводные'!$B$63))))*FW13)</x:f>
      </x:c>
      <x:c r="FX23" s="107" t="n">
        <x:f>'Вводные'!$O$88*((IF(SUM($D9:$GA9)=0,0,IF(SUM($D12:$GA12)=0,1,'Вводные'!$B$63)))*FX11+(1-(IF(SUM($D9:$GA9)=0,0,IF(SUM($D12:$GA12)=0,1,'Вводные'!$B$63))))*FX13)</x:f>
      </x:c>
      <x:c r="FY23" s="107" t="n">
        <x:f>'Вводные'!$O$88*((IF(SUM($D9:$GA9)=0,0,IF(SUM($D12:$GA12)=0,1,'Вводные'!$B$63)))*FY11+(1-(IF(SUM($D9:$GA9)=0,0,IF(SUM($D12:$GA12)=0,1,'Вводные'!$B$63))))*FY13)</x:f>
      </x:c>
      <x:c r="FZ23" s="107" t="n">
        <x:f>'Вводные'!$O$88*((IF(SUM($D9:$GA9)=0,0,IF(SUM($D12:$GA12)=0,1,'Вводные'!$B$63)))*FZ11+(1-(IF(SUM($D9:$GA9)=0,0,IF(SUM($D12:$GA12)=0,1,'Вводные'!$B$63))))*FZ13)</x:f>
      </x:c>
      <x:c r="GA23" s="107" t="n">
        <x:f>'Вводные'!$O$88*((IF(SUM($D9:$GA9)=0,0,IF(SUM($D12:$GA12)=0,1,'Вводные'!$B$63)))*GA11+(1-(IF(SUM($D9:$GA9)=0,0,IF(SUM($D12:$GA12)=0,1,'Вводные'!$B$63))))*GA13)</x:f>
      </x:c>
    </x:row>
    <x:row r="24">
      <x:c r="A24" t="str">
        <x:v>Кладовые — цена</x:v>
      </x:c>
      <x:c r="B24" t="n">
        <x:f>IFERROR(B25*1000/B23,0)</x:f>
      </x:c>
      <x:c r="C24" t="str">
        <x:v>тыс. ₽/шт.</x:v>
      </x:c>
      <x:c r="D24" s="107" t="n">
        <x:f>IF(D23=0,0,'Вводные'!$B$62*'Вводные'!$S$88*'Вводные'!$H$5*'Вводные'!$AG$88*(1+'Вводные'!$B$64)^MAX(0,MIN((12*(YEAR(D$3)-YEAR($B$7))+MONTH(D$3)-MONTH($B$7)),(12*(YEAR($B$8)-YEAR($B$7))+MONTH($B$8)-MONTH($B$7))))*(1+'Вводные'!$B$65)^MAX(0,(12*(YEAR(D$3)-YEAR($B$8))+MONTH(D$3)-MONTH($B$8))))</x:f>
      </x:c>
      <x:c r="E24" s="107" t="n">
        <x:f>IF(E23=0,0,'Вводные'!$B$62*'Вводные'!$S$88*'Вводные'!$H$5*'Вводные'!$AG$88*(1+'Вводные'!$B$64)^MAX(0,MIN((12*(YEAR(E$3)-YEAR($B$7))+MONTH(E$3)-MONTH($B$7)),(12*(YEAR($B$8)-YEAR($B$7))+MONTH($B$8)-MONTH($B$7))))*(1+'Вводные'!$B$65)^MAX(0,(12*(YEAR(E$3)-YEAR($B$8))+MONTH(E$3)-MONTH($B$8))))</x:f>
      </x:c>
      <x:c r="F24" s="107" t="n">
        <x:f>IF(F23=0,0,'Вводные'!$B$62*'Вводные'!$S$88*'Вводные'!$H$5*'Вводные'!$AG$88*(1+'Вводные'!$B$64)^MAX(0,MIN((12*(YEAR(F$3)-YEAR($B$7))+MONTH(F$3)-MONTH($B$7)),(12*(YEAR($B$8)-YEAR($B$7))+MONTH($B$8)-MONTH($B$7))))*(1+'Вводные'!$B$65)^MAX(0,(12*(YEAR(F$3)-YEAR($B$8))+MONTH(F$3)-MONTH($B$8))))</x:f>
      </x:c>
      <x:c r="G24" s="107" t="n">
        <x:f>IF(G23=0,0,'Вводные'!$B$62*'Вводные'!$S$88*'Вводные'!$H$5*'Вводные'!$AG$88*(1+'Вводные'!$B$64)^MAX(0,MIN((12*(YEAR(G$3)-YEAR($B$7))+MONTH(G$3)-MONTH($B$7)),(12*(YEAR($B$8)-YEAR($B$7))+MONTH($B$8)-MONTH($B$7))))*(1+'Вводные'!$B$65)^MAX(0,(12*(YEAR(G$3)-YEAR($B$8))+MONTH(G$3)-MONTH($B$8))))</x:f>
      </x:c>
      <x:c r="H24" s="107" t="n">
        <x:f>IF(H23=0,0,'Вводные'!$B$62*'Вводные'!$S$88*'Вводные'!$H$5*'Вводные'!$AG$88*(1+'Вводные'!$B$64)^MAX(0,MIN((12*(YEAR(H$3)-YEAR($B$7))+MONTH(H$3)-MONTH($B$7)),(12*(YEAR($B$8)-YEAR($B$7))+MONTH($B$8)-MONTH($B$7))))*(1+'Вводные'!$B$65)^MAX(0,(12*(YEAR(H$3)-YEAR($B$8))+MONTH(H$3)-MONTH($B$8))))</x:f>
      </x:c>
      <x:c r="I24" s="107" t="n">
        <x:f>IF(I23=0,0,'Вводные'!$B$62*'Вводные'!$S$88*'Вводные'!$H$5*'Вводные'!$AG$88*(1+'Вводные'!$B$64)^MAX(0,MIN((12*(YEAR(I$3)-YEAR($B$7))+MONTH(I$3)-MONTH($B$7)),(12*(YEAR($B$8)-YEAR($B$7))+MONTH($B$8)-MONTH($B$7))))*(1+'Вводные'!$B$65)^MAX(0,(12*(YEAR(I$3)-YEAR($B$8))+MONTH(I$3)-MONTH($B$8))))</x:f>
      </x:c>
      <x:c r="J24" s="107" t="n">
        <x:f>IF(J23=0,0,'Вводные'!$B$62*'Вводные'!$S$88*'Вводные'!$H$5*'Вводные'!$AG$88*(1+'Вводные'!$B$64)^MAX(0,MIN((12*(YEAR(J$3)-YEAR($B$7))+MONTH(J$3)-MONTH($B$7)),(12*(YEAR($B$8)-YEAR($B$7))+MONTH($B$8)-MONTH($B$7))))*(1+'Вводные'!$B$65)^MAX(0,(12*(YEAR(J$3)-YEAR($B$8))+MONTH(J$3)-MONTH($B$8))))</x:f>
      </x:c>
      <x:c r="K24" s="107" t="n">
        <x:f>IF(K23=0,0,'Вводные'!$B$62*'Вводные'!$S$88*'Вводные'!$H$5*'Вводные'!$AG$88*(1+'Вводные'!$B$64)^MAX(0,MIN((12*(YEAR(K$3)-YEAR($B$7))+MONTH(K$3)-MONTH($B$7)),(12*(YEAR($B$8)-YEAR($B$7))+MONTH($B$8)-MONTH($B$7))))*(1+'Вводные'!$B$65)^MAX(0,(12*(YEAR(K$3)-YEAR($B$8))+MONTH(K$3)-MONTH($B$8))))</x:f>
      </x:c>
      <x:c r="L24" s="107" t="n">
        <x:f>IF(L23=0,0,'Вводные'!$B$62*'Вводные'!$S$88*'Вводные'!$H$5*'Вводные'!$AG$88*(1+'Вводные'!$B$64)^MAX(0,MIN((12*(YEAR(L$3)-YEAR($B$7))+MONTH(L$3)-MONTH($B$7)),(12*(YEAR($B$8)-YEAR($B$7))+MONTH($B$8)-MONTH($B$7))))*(1+'Вводные'!$B$65)^MAX(0,(12*(YEAR(L$3)-YEAR($B$8))+MONTH(L$3)-MONTH($B$8))))</x:f>
      </x:c>
      <x:c r="M24" s="107" t="n">
        <x:f>IF(M23=0,0,'Вводные'!$B$62*'Вводные'!$S$88*'Вводные'!$H$5*'Вводные'!$AG$88*(1+'Вводные'!$B$64)^MAX(0,MIN((12*(YEAR(M$3)-YEAR($B$7))+MONTH(M$3)-MONTH($B$7)),(12*(YEAR($B$8)-YEAR($B$7))+MONTH($B$8)-MONTH($B$7))))*(1+'Вводные'!$B$65)^MAX(0,(12*(YEAR(M$3)-YEAR($B$8))+MONTH(M$3)-MONTH($B$8))))</x:f>
      </x:c>
      <x:c r="N24" s="107" t="n">
        <x:f>IF(N23=0,0,'Вводные'!$B$62*'Вводные'!$S$88*'Вводные'!$H$5*'Вводные'!$AG$88*(1+'Вводные'!$B$64)^MAX(0,MIN((12*(YEAR(N$3)-YEAR($B$7))+MONTH(N$3)-MONTH($B$7)),(12*(YEAR($B$8)-YEAR($B$7))+MONTH($B$8)-MONTH($B$7))))*(1+'Вводные'!$B$65)^MAX(0,(12*(YEAR(N$3)-YEAR($B$8))+MONTH(N$3)-MONTH($B$8))))</x:f>
      </x:c>
      <x:c r="O24" s="107" t="n">
        <x:f>IF(O23=0,0,'Вводные'!$B$62*'Вводные'!$S$88*'Вводные'!$H$5*'Вводные'!$AG$88*(1+'Вводные'!$B$64)^MAX(0,MIN((12*(YEAR(O$3)-YEAR($B$7))+MONTH(O$3)-MONTH($B$7)),(12*(YEAR($B$8)-YEAR($B$7))+MONTH($B$8)-MONTH($B$7))))*(1+'Вводные'!$B$65)^MAX(0,(12*(YEAR(O$3)-YEAR($B$8))+MONTH(O$3)-MONTH($B$8))))</x:f>
      </x:c>
      <x:c r="P24" s="107" t="n">
        <x:f>IF(P23=0,0,'Вводные'!$B$62*'Вводные'!$S$88*'Вводные'!$H$5*'Вводные'!$AG$88*(1+'Вводные'!$B$64)^MAX(0,MIN((12*(YEAR(P$3)-YEAR($B$7))+MONTH(P$3)-MONTH($B$7)),(12*(YEAR($B$8)-YEAR($B$7))+MONTH($B$8)-MONTH($B$7))))*(1+'Вводные'!$B$65)^MAX(0,(12*(YEAR(P$3)-YEAR($B$8))+MONTH(P$3)-MONTH($B$8))))</x:f>
      </x:c>
      <x:c r="Q24" s="107" t="n">
        <x:f>IF(Q23=0,0,'Вводные'!$B$62*'Вводные'!$S$88*'Вводные'!$H$5*'Вводные'!$AG$88*(1+'Вводные'!$B$64)^MAX(0,MIN((12*(YEAR(Q$3)-YEAR($B$7))+MONTH(Q$3)-MONTH($B$7)),(12*(YEAR($B$8)-YEAR($B$7))+MONTH($B$8)-MONTH($B$7))))*(1+'Вводные'!$B$65)^MAX(0,(12*(YEAR(Q$3)-YEAR($B$8))+MONTH(Q$3)-MONTH($B$8))))</x:f>
      </x:c>
      <x:c r="R24" s="107" t="n">
        <x:f>IF(R23=0,0,'Вводные'!$B$62*'Вводные'!$S$88*'Вводные'!$H$5*'Вводные'!$AG$88*(1+'Вводные'!$B$64)^MAX(0,MIN((12*(YEAR(R$3)-YEAR($B$7))+MONTH(R$3)-MONTH($B$7)),(12*(YEAR($B$8)-YEAR($B$7))+MONTH($B$8)-MONTH($B$7))))*(1+'Вводные'!$B$65)^MAX(0,(12*(YEAR(R$3)-YEAR($B$8))+MONTH(R$3)-MONTH($B$8))))</x:f>
      </x:c>
      <x:c r="S24" s="107" t="n">
        <x:f>IF(S23=0,0,'Вводные'!$B$62*'Вводные'!$S$88*'Вводные'!$H$5*'Вводные'!$AG$88*(1+'Вводные'!$B$64)^MAX(0,MIN((12*(YEAR(S$3)-YEAR($B$7))+MONTH(S$3)-MONTH($B$7)),(12*(YEAR($B$8)-YEAR($B$7))+MONTH($B$8)-MONTH($B$7))))*(1+'Вводные'!$B$65)^MAX(0,(12*(YEAR(S$3)-YEAR($B$8))+MONTH(S$3)-MONTH($B$8))))</x:f>
      </x:c>
      <x:c r="T24" s="107" t="n">
        <x:f>IF(T23=0,0,'Вводные'!$B$62*'Вводные'!$S$88*'Вводные'!$H$5*'Вводные'!$AG$88*(1+'Вводные'!$B$64)^MAX(0,MIN((12*(YEAR(T$3)-YEAR($B$7))+MONTH(T$3)-MONTH($B$7)),(12*(YEAR($B$8)-YEAR($B$7))+MONTH($B$8)-MONTH($B$7))))*(1+'Вводные'!$B$65)^MAX(0,(12*(YEAR(T$3)-YEAR($B$8))+MONTH(T$3)-MONTH($B$8))))</x:f>
      </x:c>
      <x:c r="U24" s="107" t="n">
        <x:f>IF(U23=0,0,'Вводные'!$B$62*'Вводные'!$S$88*'Вводные'!$H$5*'Вводные'!$AG$88*(1+'Вводные'!$B$64)^MAX(0,MIN((12*(YEAR(U$3)-YEAR($B$7))+MONTH(U$3)-MONTH($B$7)),(12*(YEAR($B$8)-YEAR($B$7))+MONTH($B$8)-MONTH($B$7))))*(1+'Вводные'!$B$65)^MAX(0,(12*(YEAR(U$3)-YEAR($B$8))+MONTH(U$3)-MONTH($B$8))))</x:f>
      </x:c>
      <x:c r="V24" s="107" t="n">
        <x:f>IF(V23=0,0,'Вводные'!$B$62*'Вводные'!$S$88*'Вводные'!$H$5*'Вводные'!$AG$88*(1+'Вводные'!$B$64)^MAX(0,MIN((12*(YEAR(V$3)-YEAR($B$7))+MONTH(V$3)-MONTH($B$7)),(12*(YEAR($B$8)-YEAR($B$7))+MONTH($B$8)-MONTH($B$7))))*(1+'Вводные'!$B$65)^MAX(0,(12*(YEAR(V$3)-YEAR($B$8))+MONTH(V$3)-MONTH($B$8))))</x:f>
      </x:c>
      <x:c r="W24" s="107" t="n">
        <x:f>IF(W23=0,0,'Вводные'!$B$62*'Вводные'!$S$88*'Вводные'!$H$5*'Вводные'!$AG$88*(1+'Вводные'!$B$64)^MAX(0,MIN((12*(YEAR(W$3)-YEAR($B$7))+MONTH(W$3)-MONTH($B$7)),(12*(YEAR($B$8)-YEAR($B$7))+MONTH($B$8)-MONTH($B$7))))*(1+'Вводные'!$B$65)^MAX(0,(12*(YEAR(W$3)-YEAR($B$8))+MONTH(W$3)-MONTH($B$8))))</x:f>
      </x:c>
      <x:c r="X24" s="107" t="n">
        <x:f>IF(X23=0,0,'Вводные'!$B$62*'Вводные'!$S$88*'Вводные'!$H$5*'Вводные'!$AG$88*(1+'Вводные'!$B$64)^MAX(0,MIN((12*(YEAR(X$3)-YEAR($B$7))+MONTH(X$3)-MONTH($B$7)),(12*(YEAR($B$8)-YEAR($B$7))+MONTH($B$8)-MONTH($B$7))))*(1+'Вводные'!$B$65)^MAX(0,(12*(YEAR(X$3)-YEAR($B$8))+MONTH(X$3)-MONTH($B$8))))</x:f>
      </x:c>
      <x:c r="Y24" s="107" t="n">
        <x:f>IF(Y23=0,0,'Вводные'!$B$62*'Вводные'!$S$88*'Вводные'!$H$5*'Вводные'!$AG$88*(1+'Вводные'!$B$64)^MAX(0,MIN((12*(YEAR(Y$3)-YEAR($B$7))+MONTH(Y$3)-MONTH($B$7)),(12*(YEAR($B$8)-YEAR($B$7))+MONTH($B$8)-MONTH($B$7))))*(1+'Вводные'!$B$65)^MAX(0,(12*(YEAR(Y$3)-YEAR($B$8))+MONTH(Y$3)-MONTH($B$8))))</x:f>
      </x:c>
      <x:c r="Z24" s="107" t="n">
        <x:f>IF(Z23=0,0,'Вводные'!$B$62*'Вводные'!$S$88*'Вводные'!$H$5*'Вводные'!$AG$88*(1+'Вводные'!$B$64)^MAX(0,MIN((12*(YEAR(Z$3)-YEAR($B$7))+MONTH(Z$3)-MONTH($B$7)),(12*(YEAR($B$8)-YEAR($B$7))+MONTH($B$8)-MONTH($B$7))))*(1+'Вводные'!$B$65)^MAX(0,(12*(YEAR(Z$3)-YEAR($B$8))+MONTH(Z$3)-MONTH($B$8))))</x:f>
      </x:c>
      <x:c r="AA24" s="107" t="n">
        <x:f>IF(AA23=0,0,'Вводные'!$B$62*'Вводные'!$S$88*'Вводные'!$H$5*'Вводные'!$AG$88*(1+'Вводные'!$B$64)^MAX(0,MIN((12*(YEAR(AA$3)-YEAR($B$7))+MONTH(AA$3)-MONTH($B$7)),(12*(YEAR($B$8)-YEAR($B$7))+MONTH($B$8)-MONTH($B$7))))*(1+'Вводные'!$B$65)^MAX(0,(12*(YEAR(AA$3)-YEAR($B$8))+MONTH(AA$3)-MONTH($B$8))))</x:f>
      </x:c>
      <x:c r="AB24" s="107" t="n">
        <x:f>IF(AB23=0,0,'Вводные'!$B$62*'Вводные'!$S$88*'Вводные'!$H$5*'Вводные'!$AG$88*(1+'Вводные'!$B$64)^MAX(0,MIN((12*(YEAR(AB$3)-YEAR($B$7))+MONTH(AB$3)-MONTH($B$7)),(12*(YEAR($B$8)-YEAR($B$7))+MONTH($B$8)-MONTH($B$7))))*(1+'Вводные'!$B$65)^MAX(0,(12*(YEAR(AB$3)-YEAR($B$8))+MONTH(AB$3)-MONTH($B$8))))</x:f>
      </x:c>
      <x:c r="AC24" s="107" t="n">
        <x:f>IF(AC23=0,0,'Вводные'!$B$62*'Вводные'!$S$88*'Вводные'!$H$5*'Вводные'!$AG$88*(1+'Вводные'!$B$64)^MAX(0,MIN((12*(YEAR(AC$3)-YEAR($B$7))+MONTH(AC$3)-MONTH($B$7)),(12*(YEAR($B$8)-YEAR($B$7))+MONTH($B$8)-MONTH($B$7))))*(1+'Вводные'!$B$65)^MAX(0,(12*(YEAR(AC$3)-YEAR($B$8))+MONTH(AC$3)-MONTH($B$8))))</x:f>
      </x:c>
      <x:c r="AD24" s="107" t="n">
        <x:f>IF(AD23=0,0,'Вводные'!$B$62*'Вводные'!$S$88*'Вводные'!$H$5*'Вводные'!$AG$88*(1+'Вводные'!$B$64)^MAX(0,MIN((12*(YEAR(AD$3)-YEAR($B$7))+MONTH(AD$3)-MONTH($B$7)),(12*(YEAR($B$8)-YEAR($B$7))+MONTH($B$8)-MONTH($B$7))))*(1+'Вводные'!$B$65)^MAX(0,(12*(YEAR(AD$3)-YEAR($B$8))+MONTH(AD$3)-MONTH($B$8))))</x:f>
      </x:c>
      <x:c r="AE24" s="107" t="n">
        <x:f>IF(AE23=0,0,'Вводные'!$B$62*'Вводные'!$S$88*'Вводные'!$H$5*'Вводные'!$AG$88*(1+'Вводные'!$B$64)^MAX(0,MIN((12*(YEAR(AE$3)-YEAR($B$7))+MONTH(AE$3)-MONTH($B$7)),(12*(YEAR($B$8)-YEAR($B$7))+MONTH($B$8)-MONTH($B$7))))*(1+'Вводные'!$B$65)^MAX(0,(12*(YEAR(AE$3)-YEAR($B$8))+MONTH(AE$3)-MONTH($B$8))))</x:f>
      </x:c>
      <x:c r="AF24" s="107" t="n">
        <x:f>IF(AF23=0,0,'Вводные'!$B$62*'Вводные'!$S$88*'Вводные'!$H$5*'Вводные'!$AG$88*(1+'Вводные'!$B$64)^MAX(0,MIN((12*(YEAR(AF$3)-YEAR($B$7))+MONTH(AF$3)-MONTH($B$7)),(12*(YEAR($B$8)-YEAR($B$7))+MONTH($B$8)-MONTH($B$7))))*(1+'Вводные'!$B$65)^MAX(0,(12*(YEAR(AF$3)-YEAR($B$8))+MONTH(AF$3)-MONTH($B$8))))</x:f>
      </x:c>
      <x:c r="AG24" s="107" t="n">
        <x:f>IF(AG23=0,0,'Вводные'!$B$62*'Вводные'!$S$88*'Вводные'!$H$5*'Вводные'!$AG$88*(1+'Вводные'!$B$64)^MAX(0,MIN((12*(YEAR(AG$3)-YEAR($B$7))+MONTH(AG$3)-MONTH($B$7)),(12*(YEAR($B$8)-YEAR($B$7))+MONTH($B$8)-MONTH($B$7))))*(1+'Вводные'!$B$65)^MAX(0,(12*(YEAR(AG$3)-YEAR($B$8))+MONTH(AG$3)-MONTH($B$8))))</x:f>
      </x:c>
      <x:c r="AH24" s="107" t="n">
        <x:f>IF(AH23=0,0,'Вводные'!$B$62*'Вводные'!$S$88*'Вводные'!$H$5*'Вводные'!$AG$88*(1+'Вводные'!$B$64)^MAX(0,MIN((12*(YEAR(AH$3)-YEAR($B$7))+MONTH(AH$3)-MONTH($B$7)),(12*(YEAR($B$8)-YEAR($B$7))+MONTH($B$8)-MONTH($B$7))))*(1+'Вводные'!$B$65)^MAX(0,(12*(YEAR(AH$3)-YEAR($B$8))+MONTH(AH$3)-MONTH($B$8))))</x:f>
      </x:c>
      <x:c r="AI24" s="107" t="n">
        <x:f>IF(AI23=0,0,'Вводные'!$B$62*'Вводные'!$S$88*'Вводные'!$H$5*'Вводные'!$AG$88*(1+'Вводные'!$B$64)^MAX(0,MIN((12*(YEAR(AI$3)-YEAR($B$7))+MONTH(AI$3)-MONTH($B$7)),(12*(YEAR($B$8)-YEAR($B$7))+MONTH($B$8)-MONTH($B$7))))*(1+'Вводные'!$B$65)^MAX(0,(12*(YEAR(AI$3)-YEAR($B$8))+MONTH(AI$3)-MONTH($B$8))))</x:f>
      </x:c>
      <x:c r="AJ24" s="107" t="n">
        <x:f>IF(AJ23=0,0,'Вводные'!$B$62*'Вводные'!$S$88*'Вводные'!$H$5*'Вводные'!$AG$88*(1+'Вводные'!$B$64)^MAX(0,MIN((12*(YEAR(AJ$3)-YEAR($B$7))+MONTH(AJ$3)-MONTH($B$7)),(12*(YEAR($B$8)-YEAR($B$7))+MONTH($B$8)-MONTH($B$7))))*(1+'Вводные'!$B$65)^MAX(0,(12*(YEAR(AJ$3)-YEAR($B$8))+MONTH(AJ$3)-MONTH($B$8))))</x:f>
      </x:c>
      <x:c r="AK24" s="107" t="n">
        <x:f>IF(AK23=0,0,'Вводные'!$B$62*'Вводные'!$S$88*'Вводные'!$H$5*'Вводные'!$AG$88*(1+'Вводные'!$B$64)^MAX(0,MIN((12*(YEAR(AK$3)-YEAR($B$7))+MONTH(AK$3)-MONTH($B$7)),(12*(YEAR($B$8)-YEAR($B$7))+MONTH($B$8)-MONTH($B$7))))*(1+'Вводные'!$B$65)^MAX(0,(12*(YEAR(AK$3)-YEAR($B$8))+MONTH(AK$3)-MONTH($B$8))))</x:f>
      </x:c>
      <x:c r="AL24" s="107" t="n">
        <x:f>IF(AL23=0,0,'Вводные'!$B$62*'Вводные'!$S$88*'Вводные'!$H$5*'Вводные'!$AG$88*(1+'Вводные'!$B$64)^MAX(0,MIN((12*(YEAR(AL$3)-YEAR($B$7))+MONTH(AL$3)-MONTH($B$7)),(12*(YEAR($B$8)-YEAR($B$7))+MONTH($B$8)-MONTH($B$7))))*(1+'Вводные'!$B$65)^MAX(0,(12*(YEAR(AL$3)-YEAR($B$8))+MONTH(AL$3)-MONTH($B$8))))</x:f>
      </x:c>
      <x:c r="AM24" s="107" t="n">
        <x:f>IF(AM23=0,0,'Вводные'!$B$62*'Вводные'!$S$88*'Вводные'!$H$5*'Вводные'!$AG$88*(1+'Вводные'!$B$64)^MAX(0,MIN((12*(YEAR(AM$3)-YEAR($B$7))+MONTH(AM$3)-MONTH($B$7)),(12*(YEAR($B$8)-YEAR($B$7))+MONTH($B$8)-MONTH($B$7))))*(1+'Вводные'!$B$65)^MAX(0,(12*(YEAR(AM$3)-YEAR($B$8))+MONTH(AM$3)-MONTH($B$8))))</x:f>
      </x:c>
      <x:c r="AN24" s="107" t="n">
        <x:f>IF(AN23=0,0,'Вводные'!$B$62*'Вводные'!$S$88*'Вводные'!$H$5*'Вводные'!$AG$88*(1+'Вводные'!$B$64)^MAX(0,MIN((12*(YEAR(AN$3)-YEAR($B$7))+MONTH(AN$3)-MONTH($B$7)),(12*(YEAR($B$8)-YEAR($B$7))+MONTH($B$8)-MONTH($B$7))))*(1+'Вводные'!$B$65)^MAX(0,(12*(YEAR(AN$3)-YEAR($B$8))+MONTH(AN$3)-MONTH($B$8))))</x:f>
      </x:c>
      <x:c r="AO24" s="107" t="n">
        <x:f>IF(AO23=0,0,'Вводные'!$B$62*'Вводные'!$S$88*'Вводные'!$H$5*'Вводные'!$AG$88*(1+'Вводные'!$B$64)^MAX(0,MIN((12*(YEAR(AO$3)-YEAR($B$7))+MONTH(AO$3)-MONTH($B$7)),(12*(YEAR($B$8)-YEAR($B$7))+MONTH($B$8)-MONTH($B$7))))*(1+'Вводные'!$B$65)^MAX(0,(12*(YEAR(AO$3)-YEAR($B$8))+MONTH(AO$3)-MONTH($B$8))))</x:f>
      </x:c>
      <x:c r="AP24" s="107" t="n">
        <x:f>IF(AP23=0,0,'Вводные'!$B$62*'Вводные'!$S$88*'Вводные'!$H$5*'Вводные'!$AG$88*(1+'Вводные'!$B$64)^MAX(0,MIN((12*(YEAR(AP$3)-YEAR($B$7))+MONTH(AP$3)-MONTH($B$7)),(12*(YEAR($B$8)-YEAR($B$7))+MONTH($B$8)-MONTH($B$7))))*(1+'Вводные'!$B$65)^MAX(0,(12*(YEAR(AP$3)-YEAR($B$8))+MONTH(AP$3)-MONTH($B$8))))</x:f>
      </x:c>
      <x:c r="AQ24" s="107" t="n">
        <x:f>IF(AQ23=0,0,'Вводные'!$B$62*'Вводные'!$S$88*'Вводные'!$H$5*'Вводные'!$AG$88*(1+'Вводные'!$B$64)^MAX(0,MIN((12*(YEAR(AQ$3)-YEAR($B$7))+MONTH(AQ$3)-MONTH($B$7)),(12*(YEAR($B$8)-YEAR($B$7))+MONTH($B$8)-MONTH($B$7))))*(1+'Вводные'!$B$65)^MAX(0,(12*(YEAR(AQ$3)-YEAR($B$8))+MONTH(AQ$3)-MONTH($B$8))))</x:f>
      </x:c>
      <x:c r="AR24" s="107" t="n">
        <x:f>IF(AR23=0,0,'Вводные'!$B$62*'Вводные'!$S$88*'Вводные'!$H$5*'Вводные'!$AG$88*(1+'Вводные'!$B$64)^MAX(0,MIN((12*(YEAR(AR$3)-YEAR($B$7))+MONTH(AR$3)-MONTH($B$7)),(12*(YEAR($B$8)-YEAR($B$7))+MONTH($B$8)-MONTH($B$7))))*(1+'Вводные'!$B$65)^MAX(0,(12*(YEAR(AR$3)-YEAR($B$8))+MONTH(AR$3)-MONTH($B$8))))</x:f>
      </x:c>
      <x:c r="AS24" s="107" t="n">
        <x:f>IF(AS23=0,0,'Вводные'!$B$62*'Вводные'!$S$88*'Вводные'!$H$5*'Вводные'!$AG$88*(1+'Вводные'!$B$64)^MAX(0,MIN((12*(YEAR(AS$3)-YEAR($B$7))+MONTH(AS$3)-MONTH($B$7)),(12*(YEAR($B$8)-YEAR($B$7))+MONTH($B$8)-MONTH($B$7))))*(1+'Вводные'!$B$65)^MAX(0,(12*(YEAR(AS$3)-YEAR($B$8))+MONTH(AS$3)-MONTH($B$8))))</x:f>
      </x:c>
      <x:c r="AT24" s="107" t="n">
        <x:f>IF(AT23=0,0,'Вводные'!$B$62*'Вводные'!$S$88*'Вводные'!$H$5*'Вводные'!$AG$88*(1+'Вводные'!$B$64)^MAX(0,MIN((12*(YEAR(AT$3)-YEAR($B$7))+MONTH(AT$3)-MONTH($B$7)),(12*(YEAR($B$8)-YEAR($B$7))+MONTH($B$8)-MONTH($B$7))))*(1+'Вводные'!$B$65)^MAX(0,(12*(YEAR(AT$3)-YEAR($B$8))+MONTH(AT$3)-MONTH($B$8))))</x:f>
      </x:c>
      <x:c r="AU24" s="107" t="n">
        <x:f>IF(AU23=0,0,'Вводные'!$B$62*'Вводные'!$S$88*'Вводные'!$H$5*'Вводные'!$AG$88*(1+'Вводные'!$B$64)^MAX(0,MIN((12*(YEAR(AU$3)-YEAR($B$7))+MONTH(AU$3)-MONTH($B$7)),(12*(YEAR($B$8)-YEAR($B$7))+MONTH($B$8)-MONTH($B$7))))*(1+'Вводные'!$B$65)^MAX(0,(12*(YEAR(AU$3)-YEAR($B$8))+MONTH(AU$3)-MONTH($B$8))))</x:f>
      </x:c>
      <x:c r="AV24" s="107" t="n">
        <x:f>IF(AV23=0,0,'Вводные'!$B$62*'Вводные'!$S$88*'Вводные'!$H$5*'Вводные'!$AG$88*(1+'Вводные'!$B$64)^MAX(0,MIN((12*(YEAR(AV$3)-YEAR($B$7))+MONTH(AV$3)-MONTH($B$7)),(12*(YEAR($B$8)-YEAR($B$7))+MONTH($B$8)-MONTH($B$7))))*(1+'Вводные'!$B$65)^MAX(0,(12*(YEAR(AV$3)-YEAR($B$8))+MONTH(AV$3)-MONTH($B$8))))</x:f>
      </x:c>
      <x:c r="AW24" s="107" t="n">
        <x:f>IF(AW23=0,0,'Вводные'!$B$62*'Вводные'!$S$88*'Вводные'!$H$5*'Вводные'!$AG$88*(1+'Вводные'!$B$64)^MAX(0,MIN((12*(YEAR(AW$3)-YEAR($B$7))+MONTH(AW$3)-MONTH($B$7)),(12*(YEAR($B$8)-YEAR($B$7))+MONTH($B$8)-MONTH($B$7))))*(1+'Вводные'!$B$65)^MAX(0,(12*(YEAR(AW$3)-YEAR($B$8))+MONTH(AW$3)-MONTH($B$8))))</x:f>
      </x:c>
      <x:c r="AX24" s="107" t="n">
        <x:f>IF(AX23=0,0,'Вводные'!$B$62*'Вводные'!$S$88*'Вводные'!$H$5*'Вводные'!$AG$88*(1+'Вводные'!$B$64)^MAX(0,MIN((12*(YEAR(AX$3)-YEAR($B$7))+MONTH(AX$3)-MONTH($B$7)),(12*(YEAR($B$8)-YEAR($B$7))+MONTH($B$8)-MONTH($B$7))))*(1+'Вводные'!$B$65)^MAX(0,(12*(YEAR(AX$3)-YEAR($B$8))+MONTH(AX$3)-MONTH($B$8))))</x:f>
      </x:c>
      <x:c r="AY24" s="107" t="n">
        <x:f>IF(AY23=0,0,'Вводные'!$B$62*'Вводные'!$S$88*'Вводные'!$H$5*'Вводные'!$AG$88*(1+'Вводные'!$B$64)^MAX(0,MIN((12*(YEAR(AY$3)-YEAR($B$7))+MONTH(AY$3)-MONTH($B$7)),(12*(YEAR($B$8)-YEAR($B$7))+MONTH($B$8)-MONTH($B$7))))*(1+'Вводные'!$B$65)^MAX(0,(12*(YEAR(AY$3)-YEAR($B$8))+MONTH(AY$3)-MONTH($B$8))))</x:f>
      </x:c>
      <x:c r="AZ24" s="107" t="n">
        <x:f>IF(AZ23=0,0,'Вводные'!$B$62*'Вводные'!$S$88*'Вводные'!$H$5*'Вводные'!$AG$88*(1+'Вводные'!$B$64)^MAX(0,MIN((12*(YEAR(AZ$3)-YEAR($B$7))+MONTH(AZ$3)-MONTH($B$7)),(12*(YEAR($B$8)-YEAR($B$7))+MONTH($B$8)-MONTH($B$7))))*(1+'Вводные'!$B$65)^MAX(0,(12*(YEAR(AZ$3)-YEAR($B$8))+MONTH(AZ$3)-MONTH($B$8))))</x:f>
      </x:c>
      <x:c r="BA24" s="107" t="n">
        <x:f>IF(BA23=0,0,'Вводные'!$B$62*'Вводные'!$S$88*'Вводные'!$H$5*'Вводные'!$AG$88*(1+'Вводные'!$B$64)^MAX(0,MIN((12*(YEAR(BA$3)-YEAR($B$7))+MONTH(BA$3)-MONTH($B$7)),(12*(YEAR($B$8)-YEAR($B$7))+MONTH($B$8)-MONTH($B$7))))*(1+'Вводные'!$B$65)^MAX(0,(12*(YEAR(BA$3)-YEAR($B$8))+MONTH(BA$3)-MONTH($B$8))))</x:f>
      </x:c>
      <x:c r="BB24" s="107" t="n">
        <x:f>IF(BB23=0,0,'Вводные'!$B$62*'Вводные'!$S$88*'Вводные'!$H$5*'Вводные'!$AG$88*(1+'Вводные'!$B$64)^MAX(0,MIN((12*(YEAR(BB$3)-YEAR($B$7))+MONTH(BB$3)-MONTH($B$7)),(12*(YEAR($B$8)-YEAR($B$7))+MONTH($B$8)-MONTH($B$7))))*(1+'Вводные'!$B$65)^MAX(0,(12*(YEAR(BB$3)-YEAR($B$8))+MONTH(BB$3)-MONTH($B$8))))</x:f>
      </x:c>
      <x:c r="BC24" s="107" t="n">
        <x:f>IF(BC23=0,0,'Вводные'!$B$62*'Вводные'!$S$88*'Вводные'!$H$5*'Вводные'!$AG$88*(1+'Вводные'!$B$64)^MAX(0,MIN((12*(YEAR(BC$3)-YEAR($B$7))+MONTH(BC$3)-MONTH($B$7)),(12*(YEAR($B$8)-YEAR($B$7))+MONTH($B$8)-MONTH($B$7))))*(1+'Вводные'!$B$65)^MAX(0,(12*(YEAR(BC$3)-YEAR($B$8))+MONTH(BC$3)-MONTH($B$8))))</x:f>
      </x:c>
      <x:c r="BD24" s="107" t="n">
        <x:f>IF(BD23=0,0,'Вводные'!$B$62*'Вводные'!$S$88*'Вводные'!$H$5*'Вводные'!$AG$88*(1+'Вводные'!$B$64)^MAX(0,MIN((12*(YEAR(BD$3)-YEAR($B$7))+MONTH(BD$3)-MONTH($B$7)),(12*(YEAR($B$8)-YEAR($B$7))+MONTH($B$8)-MONTH($B$7))))*(1+'Вводные'!$B$65)^MAX(0,(12*(YEAR(BD$3)-YEAR($B$8))+MONTH(BD$3)-MONTH($B$8))))</x:f>
      </x:c>
      <x:c r="BE24" s="107" t="n">
        <x:f>IF(BE23=0,0,'Вводные'!$B$62*'Вводные'!$S$88*'Вводные'!$H$5*'Вводные'!$AG$88*(1+'Вводные'!$B$64)^MAX(0,MIN((12*(YEAR(BE$3)-YEAR($B$7))+MONTH(BE$3)-MONTH($B$7)),(12*(YEAR($B$8)-YEAR($B$7))+MONTH($B$8)-MONTH($B$7))))*(1+'Вводные'!$B$65)^MAX(0,(12*(YEAR(BE$3)-YEAR($B$8))+MONTH(BE$3)-MONTH($B$8))))</x:f>
      </x:c>
      <x:c r="BF24" s="107" t="n">
        <x:f>IF(BF23=0,0,'Вводные'!$B$62*'Вводные'!$S$88*'Вводные'!$H$5*'Вводные'!$AG$88*(1+'Вводные'!$B$64)^MAX(0,MIN((12*(YEAR(BF$3)-YEAR($B$7))+MONTH(BF$3)-MONTH($B$7)),(12*(YEAR($B$8)-YEAR($B$7))+MONTH($B$8)-MONTH($B$7))))*(1+'Вводные'!$B$65)^MAX(0,(12*(YEAR(BF$3)-YEAR($B$8))+MONTH(BF$3)-MONTH($B$8))))</x:f>
      </x:c>
      <x:c r="BG24" s="107" t="n">
        <x:f>IF(BG23=0,0,'Вводные'!$B$62*'Вводные'!$S$88*'Вводные'!$H$5*'Вводные'!$AG$88*(1+'Вводные'!$B$64)^MAX(0,MIN((12*(YEAR(BG$3)-YEAR($B$7))+MONTH(BG$3)-MONTH($B$7)),(12*(YEAR($B$8)-YEAR($B$7))+MONTH($B$8)-MONTH($B$7))))*(1+'Вводные'!$B$65)^MAX(0,(12*(YEAR(BG$3)-YEAR($B$8))+MONTH(BG$3)-MONTH($B$8))))</x:f>
      </x:c>
      <x:c r="BH24" s="107" t="n">
        <x:f>IF(BH23=0,0,'Вводные'!$B$62*'Вводные'!$S$88*'Вводные'!$H$5*'Вводные'!$AG$88*(1+'Вводные'!$B$64)^MAX(0,MIN((12*(YEAR(BH$3)-YEAR($B$7))+MONTH(BH$3)-MONTH($B$7)),(12*(YEAR($B$8)-YEAR($B$7))+MONTH($B$8)-MONTH($B$7))))*(1+'Вводные'!$B$65)^MAX(0,(12*(YEAR(BH$3)-YEAR($B$8))+MONTH(BH$3)-MONTH($B$8))))</x:f>
      </x:c>
      <x:c r="BI24" s="107" t="n">
        <x:f>IF(BI23=0,0,'Вводные'!$B$62*'Вводные'!$S$88*'Вводные'!$H$5*'Вводные'!$AG$88*(1+'Вводные'!$B$64)^MAX(0,MIN((12*(YEAR(BI$3)-YEAR($B$7))+MONTH(BI$3)-MONTH($B$7)),(12*(YEAR($B$8)-YEAR($B$7))+MONTH($B$8)-MONTH($B$7))))*(1+'Вводные'!$B$65)^MAX(0,(12*(YEAR(BI$3)-YEAR($B$8))+MONTH(BI$3)-MONTH($B$8))))</x:f>
      </x:c>
      <x:c r="BJ24" s="107" t="n">
        <x:f>IF(BJ23=0,0,'Вводные'!$B$62*'Вводные'!$S$88*'Вводные'!$H$5*'Вводные'!$AG$88*(1+'Вводные'!$B$64)^MAX(0,MIN((12*(YEAR(BJ$3)-YEAR($B$7))+MONTH(BJ$3)-MONTH($B$7)),(12*(YEAR($B$8)-YEAR($B$7))+MONTH($B$8)-MONTH($B$7))))*(1+'Вводные'!$B$65)^MAX(0,(12*(YEAR(BJ$3)-YEAR($B$8))+MONTH(BJ$3)-MONTH($B$8))))</x:f>
      </x:c>
      <x:c r="BK24" s="107" t="n">
        <x:f>IF(BK23=0,0,'Вводные'!$B$62*'Вводные'!$S$88*'Вводные'!$H$5*'Вводные'!$AG$88*(1+'Вводные'!$B$64)^MAX(0,MIN((12*(YEAR(BK$3)-YEAR($B$7))+MONTH(BK$3)-MONTH($B$7)),(12*(YEAR($B$8)-YEAR($B$7))+MONTH($B$8)-MONTH($B$7))))*(1+'Вводные'!$B$65)^MAX(0,(12*(YEAR(BK$3)-YEAR($B$8))+MONTH(BK$3)-MONTH($B$8))))</x:f>
      </x:c>
      <x:c r="BL24" s="107" t="n">
        <x:f>IF(BL23=0,0,'Вводные'!$B$62*'Вводные'!$S$88*'Вводные'!$H$5*'Вводные'!$AG$88*(1+'Вводные'!$B$64)^MAX(0,MIN((12*(YEAR(BL$3)-YEAR($B$7))+MONTH(BL$3)-MONTH($B$7)),(12*(YEAR($B$8)-YEAR($B$7))+MONTH($B$8)-MONTH($B$7))))*(1+'Вводные'!$B$65)^MAX(0,(12*(YEAR(BL$3)-YEAR($B$8))+MONTH(BL$3)-MONTH($B$8))))</x:f>
      </x:c>
      <x:c r="BM24" s="107" t="n">
        <x:f>IF(BM23=0,0,'Вводные'!$B$62*'Вводные'!$S$88*'Вводные'!$H$5*'Вводные'!$AG$88*(1+'Вводные'!$B$64)^MAX(0,MIN((12*(YEAR(BM$3)-YEAR($B$7))+MONTH(BM$3)-MONTH($B$7)),(12*(YEAR($B$8)-YEAR($B$7))+MONTH($B$8)-MONTH($B$7))))*(1+'Вводные'!$B$65)^MAX(0,(12*(YEAR(BM$3)-YEAR($B$8))+MONTH(BM$3)-MONTH($B$8))))</x:f>
      </x:c>
      <x:c r="BN24" s="107" t="n">
        <x:f>IF(BN23=0,0,'Вводные'!$B$62*'Вводные'!$S$88*'Вводные'!$H$5*'Вводные'!$AG$88*(1+'Вводные'!$B$64)^MAX(0,MIN((12*(YEAR(BN$3)-YEAR($B$7))+MONTH(BN$3)-MONTH($B$7)),(12*(YEAR($B$8)-YEAR($B$7))+MONTH($B$8)-MONTH($B$7))))*(1+'Вводные'!$B$65)^MAX(0,(12*(YEAR(BN$3)-YEAR($B$8))+MONTH(BN$3)-MONTH($B$8))))</x:f>
      </x:c>
      <x:c r="BO24" s="107" t="n">
        <x:f>IF(BO23=0,0,'Вводные'!$B$62*'Вводные'!$S$88*'Вводные'!$H$5*'Вводные'!$AG$88*(1+'Вводные'!$B$64)^MAX(0,MIN((12*(YEAR(BO$3)-YEAR($B$7))+MONTH(BO$3)-MONTH($B$7)),(12*(YEAR($B$8)-YEAR($B$7))+MONTH($B$8)-MONTH($B$7))))*(1+'Вводные'!$B$65)^MAX(0,(12*(YEAR(BO$3)-YEAR($B$8))+MONTH(BO$3)-MONTH($B$8))))</x:f>
      </x:c>
      <x:c r="BP24" s="107" t="n">
        <x:f>IF(BP23=0,0,'Вводные'!$B$62*'Вводные'!$S$88*'Вводные'!$H$5*'Вводные'!$AG$88*(1+'Вводные'!$B$64)^MAX(0,MIN((12*(YEAR(BP$3)-YEAR($B$7))+MONTH(BP$3)-MONTH($B$7)),(12*(YEAR($B$8)-YEAR($B$7))+MONTH($B$8)-MONTH($B$7))))*(1+'Вводные'!$B$65)^MAX(0,(12*(YEAR(BP$3)-YEAR($B$8))+MONTH(BP$3)-MONTH($B$8))))</x:f>
      </x:c>
      <x:c r="BQ24" s="107" t="n">
        <x:f>IF(BQ23=0,0,'Вводные'!$B$62*'Вводные'!$S$88*'Вводные'!$H$5*'Вводные'!$AG$88*(1+'Вводные'!$B$64)^MAX(0,MIN((12*(YEAR(BQ$3)-YEAR($B$7))+MONTH(BQ$3)-MONTH($B$7)),(12*(YEAR($B$8)-YEAR($B$7))+MONTH($B$8)-MONTH($B$7))))*(1+'Вводные'!$B$65)^MAX(0,(12*(YEAR(BQ$3)-YEAR($B$8))+MONTH(BQ$3)-MONTH($B$8))))</x:f>
      </x:c>
      <x:c r="BR24" s="107" t="n">
        <x:f>IF(BR23=0,0,'Вводные'!$B$62*'Вводные'!$S$88*'Вводные'!$H$5*'Вводные'!$AG$88*(1+'Вводные'!$B$64)^MAX(0,MIN((12*(YEAR(BR$3)-YEAR($B$7))+MONTH(BR$3)-MONTH($B$7)),(12*(YEAR($B$8)-YEAR($B$7))+MONTH($B$8)-MONTH($B$7))))*(1+'Вводные'!$B$65)^MAX(0,(12*(YEAR(BR$3)-YEAR($B$8))+MONTH(BR$3)-MONTH($B$8))))</x:f>
      </x:c>
      <x:c r="BS24" s="107" t="n">
        <x:f>IF(BS23=0,0,'Вводные'!$B$62*'Вводные'!$S$88*'Вводные'!$H$5*'Вводные'!$AG$88*(1+'Вводные'!$B$64)^MAX(0,MIN((12*(YEAR(BS$3)-YEAR($B$7))+MONTH(BS$3)-MONTH($B$7)),(12*(YEAR($B$8)-YEAR($B$7))+MONTH($B$8)-MONTH($B$7))))*(1+'Вводные'!$B$65)^MAX(0,(12*(YEAR(BS$3)-YEAR($B$8))+MONTH(BS$3)-MONTH($B$8))))</x:f>
      </x:c>
      <x:c r="BT24" s="107" t="n">
        <x:f>IF(BT23=0,0,'Вводные'!$B$62*'Вводные'!$S$88*'Вводные'!$H$5*'Вводные'!$AG$88*(1+'Вводные'!$B$64)^MAX(0,MIN((12*(YEAR(BT$3)-YEAR($B$7))+MONTH(BT$3)-MONTH($B$7)),(12*(YEAR($B$8)-YEAR($B$7))+MONTH($B$8)-MONTH($B$7))))*(1+'Вводные'!$B$65)^MAX(0,(12*(YEAR(BT$3)-YEAR($B$8))+MONTH(BT$3)-MONTH($B$8))))</x:f>
      </x:c>
      <x:c r="BU24" s="107" t="n">
        <x:f>IF(BU23=0,0,'Вводные'!$B$62*'Вводные'!$S$88*'Вводные'!$H$5*'Вводные'!$AG$88*(1+'Вводные'!$B$64)^MAX(0,MIN((12*(YEAR(BU$3)-YEAR($B$7))+MONTH(BU$3)-MONTH($B$7)),(12*(YEAR($B$8)-YEAR($B$7))+MONTH($B$8)-MONTH($B$7))))*(1+'Вводные'!$B$65)^MAX(0,(12*(YEAR(BU$3)-YEAR($B$8))+MONTH(BU$3)-MONTH($B$8))))</x:f>
      </x:c>
      <x:c r="BV24" s="107" t="n">
        <x:f>IF(BV23=0,0,'Вводные'!$B$62*'Вводные'!$S$88*'Вводные'!$H$5*'Вводные'!$AG$88*(1+'Вводные'!$B$64)^MAX(0,MIN((12*(YEAR(BV$3)-YEAR($B$7))+MONTH(BV$3)-MONTH($B$7)),(12*(YEAR($B$8)-YEAR($B$7))+MONTH($B$8)-MONTH($B$7))))*(1+'Вводные'!$B$65)^MAX(0,(12*(YEAR(BV$3)-YEAR($B$8))+MONTH(BV$3)-MONTH($B$8))))</x:f>
      </x:c>
      <x:c r="BW24" s="107" t="n">
        <x:f>IF(BW23=0,0,'Вводные'!$B$62*'Вводные'!$S$88*'Вводные'!$H$5*'Вводные'!$AG$88*(1+'Вводные'!$B$64)^MAX(0,MIN((12*(YEAR(BW$3)-YEAR($B$7))+MONTH(BW$3)-MONTH($B$7)),(12*(YEAR($B$8)-YEAR($B$7))+MONTH($B$8)-MONTH($B$7))))*(1+'Вводные'!$B$65)^MAX(0,(12*(YEAR(BW$3)-YEAR($B$8))+MONTH(BW$3)-MONTH($B$8))))</x:f>
      </x:c>
      <x:c r="BX24" s="107" t="n">
        <x:f>IF(BX23=0,0,'Вводные'!$B$62*'Вводные'!$S$88*'Вводные'!$H$5*'Вводные'!$AG$88*(1+'Вводные'!$B$64)^MAX(0,MIN((12*(YEAR(BX$3)-YEAR($B$7))+MONTH(BX$3)-MONTH($B$7)),(12*(YEAR($B$8)-YEAR($B$7))+MONTH($B$8)-MONTH($B$7))))*(1+'Вводные'!$B$65)^MAX(0,(12*(YEAR(BX$3)-YEAR($B$8))+MONTH(BX$3)-MONTH($B$8))))</x:f>
      </x:c>
      <x:c r="BY24" s="107" t="n">
        <x:f>IF(BY23=0,0,'Вводные'!$B$62*'Вводные'!$S$88*'Вводные'!$H$5*'Вводные'!$AG$88*(1+'Вводные'!$B$64)^MAX(0,MIN((12*(YEAR(BY$3)-YEAR($B$7))+MONTH(BY$3)-MONTH($B$7)),(12*(YEAR($B$8)-YEAR($B$7))+MONTH($B$8)-MONTH($B$7))))*(1+'Вводные'!$B$65)^MAX(0,(12*(YEAR(BY$3)-YEAR($B$8))+MONTH(BY$3)-MONTH($B$8))))</x:f>
      </x:c>
      <x:c r="BZ24" s="107" t="n">
        <x:f>IF(BZ23=0,0,'Вводные'!$B$62*'Вводные'!$S$88*'Вводные'!$H$5*'Вводные'!$AG$88*(1+'Вводные'!$B$64)^MAX(0,MIN((12*(YEAR(BZ$3)-YEAR($B$7))+MONTH(BZ$3)-MONTH($B$7)),(12*(YEAR($B$8)-YEAR($B$7))+MONTH($B$8)-MONTH($B$7))))*(1+'Вводные'!$B$65)^MAX(0,(12*(YEAR(BZ$3)-YEAR($B$8))+MONTH(BZ$3)-MONTH($B$8))))</x:f>
      </x:c>
      <x:c r="CA24" s="107" t="n">
        <x:f>IF(CA23=0,0,'Вводные'!$B$62*'Вводные'!$S$88*'Вводные'!$H$5*'Вводные'!$AG$88*(1+'Вводные'!$B$64)^MAX(0,MIN((12*(YEAR(CA$3)-YEAR($B$7))+MONTH(CA$3)-MONTH($B$7)),(12*(YEAR($B$8)-YEAR($B$7))+MONTH($B$8)-MONTH($B$7))))*(1+'Вводные'!$B$65)^MAX(0,(12*(YEAR(CA$3)-YEAR($B$8))+MONTH(CA$3)-MONTH($B$8))))</x:f>
      </x:c>
      <x:c r="CB24" s="107" t="n">
        <x:f>IF(CB23=0,0,'Вводные'!$B$62*'Вводные'!$S$88*'Вводные'!$H$5*'Вводные'!$AG$88*(1+'Вводные'!$B$64)^MAX(0,MIN((12*(YEAR(CB$3)-YEAR($B$7))+MONTH(CB$3)-MONTH($B$7)),(12*(YEAR($B$8)-YEAR($B$7))+MONTH($B$8)-MONTH($B$7))))*(1+'Вводные'!$B$65)^MAX(0,(12*(YEAR(CB$3)-YEAR($B$8))+MONTH(CB$3)-MONTH($B$8))))</x:f>
      </x:c>
      <x:c r="CC24" s="107" t="n">
        <x:f>IF(CC23=0,0,'Вводные'!$B$62*'Вводные'!$S$88*'Вводные'!$H$5*'Вводные'!$AG$88*(1+'Вводные'!$B$64)^MAX(0,MIN((12*(YEAR(CC$3)-YEAR($B$7))+MONTH(CC$3)-MONTH($B$7)),(12*(YEAR($B$8)-YEAR($B$7))+MONTH($B$8)-MONTH($B$7))))*(1+'Вводные'!$B$65)^MAX(0,(12*(YEAR(CC$3)-YEAR($B$8))+MONTH(CC$3)-MONTH($B$8))))</x:f>
      </x:c>
      <x:c r="CD24" s="107" t="n">
        <x:f>IF(CD23=0,0,'Вводные'!$B$62*'Вводные'!$S$88*'Вводные'!$H$5*'Вводные'!$AG$88*(1+'Вводные'!$B$64)^MAX(0,MIN((12*(YEAR(CD$3)-YEAR($B$7))+MONTH(CD$3)-MONTH($B$7)),(12*(YEAR($B$8)-YEAR($B$7))+MONTH($B$8)-MONTH($B$7))))*(1+'Вводные'!$B$65)^MAX(0,(12*(YEAR(CD$3)-YEAR($B$8))+MONTH(CD$3)-MONTH($B$8))))</x:f>
      </x:c>
      <x:c r="CE24" s="107" t="n">
        <x:f>IF(CE23=0,0,'Вводные'!$B$62*'Вводные'!$S$88*'Вводные'!$H$5*'Вводные'!$AG$88*(1+'Вводные'!$B$64)^MAX(0,MIN((12*(YEAR(CE$3)-YEAR($B$7))+MONTH(CE$3)-MONTH($B$7)),(12*(YEAR($B$8)-YEAR($B$7))+MONTH($B$8)-MONTH($B$7))))*(1+'Вводные'!$B$65)^MAX(0,(12*(YEAR(CE$3)-YEAR($B$8))+MONTH(CE$3)-MONTH($B$8))))</x:f>
      </x:c>
      <x:c r="CF24" s="107" t="n">
        <x:f>IF(CF23=0,0,'Вводные'!$B$62*'Вводные'!$S$88*'Вводные'!$H$5*'Вводные'!$AG$88*(1+'Вводные'!$B$64)^MAX(0,MIN((12*(YEAR(CF$3)-YEAR($B$7))+MONTH(CF$3)-MONTH($B$7)),(12*(YEAR($B$8)-YEAR($B$7))+MONTH($B$8)-MONTH($B$7))))*(1+'Вводные'!$B$65)^MAX(0,(12*(YEAR(CF$3)-YEAR($B$8))+MONTH(CF$3)-MONTH($B$8))))</x:f>
      </x:c>
      <x:c r="CG24" s="107" t="n">
        <x:f>IF(CG23=0,0,'Вводные'!$B$62*'Вводные'!$S$88*'Вводные'!$H$5*'Вводные'!$AG$88*(1+'Вводные'!$B$64)^MAX(0,MIN((12*(YEAR(CG$3)-YEAR($B$7))+MONTH(CG$3)-MONTH($B$7)),(12*(YEAR($B$8)-YEAR($B$7))+MONTH($B$8)-MONTH($B$7))))*(1+'Вводные'!$B$65)^MAX(0,(12*(YEAR(CG$3)-YEAR($B$8))+MONTH(CG$3)-MONTH($B$8))))</x:f>
      </x:c>
      <x:c r="CH24" s="107" t="n">
        <x:f>IF(CH23=0,0,'Вводные'!$B$62*'Вводные'!$S$88*'Вводные'!$H$5*'Вводные'!$AG$88*(1+'Вводные'!$B$64)^MAX(0,MIN((12*(YEAR(CH$3)-YEAR($B$7))+MONTH(CH$3)-MONTH($B$7)),(12*(YEAR($B$8)-YEAR($B$7))+MONTH($B$8)-MONTH($B$7))))*(1+'Вводные'!$B$65)^MAX(0,(12*(YEAR(CH$3)-YEAR($B$8))+MONTH(CH$3)-MONTH($B$8))))</x:f>
      </x:c>
      <x:c r="CI24" s="107" t="n">
        <x:f>IF(CI23=0,0,'Вводные'!$B$62*'Вводные'!$S$88*'Вводные'!$H$5*'Вводные'!$AG$88*(1+'Вводные'!$B$64)^MAX(0,MIN((12*(YEAR(CI$3)-YEAR($B$7))+MONTH(CI$3)-MONTH($B$7)),(12*(YEAR($B$8)-YEAR($B$7))+MONTH($B$8)-MONTH($B$7))))*(1+'Вводные'!$B$65)^MAX(0,(12*(YEAR(CI$3)-YEAR($B$8))+MONTH(CI$3)-MONTH($B$8))))</x:f>
      </x:c>
      <x:c r="CJ24" s="107" t="n">
        <x:f>IF(CJ23=0,0,'Вводные'!$B$62*'Вводные'!$S$88*'Вводные'!$H$5*'Вводные'!$AG$88*(1+'Вводные'!$B$64)^MAX(0,MIN((12*(YEAR(CJ$3)-YEAR($B$7))+MONTH(CJ$3)-MONTH($B$7)),(12*(YEAR($B$8)-YEAR($B$7))+MONTH($B$8)-MONTH($B$7))))*(1+'Вводные'!$B$65)^MAX(0,(12*(YEAR(CJ$3)-YEAR($B$8))+MONTH(CJ$3)-MONTH($B$8))))</x:f>
      </x:c>
      <x:c r="CK24" s="107" t="n">
        <x:f>IF(CK23=0,0,'Вводные'!$B$62*'Вводные'!$S$88*'Вводные'!$H$5*'Вводные'!$AG$88*(1+'Вводные'!$B$64)^MAX(0,MIN((12*(YEAR(CK$3)-YEAR($B$7))+MONTH(CK$3)-MONTH($B$7)),(12*(YEAR($B$8)-YEAR($B$7))+MONTH($B$8)-MONTH($B$7))))*(1+'Вводные'!$B$65)^MAX(0,(12*(YEAR(CK$3)-YEAR($B$8))+MONTH(CK$3)-MONTH($B$8))))</x:f>
      </x:c>
      <x:c r="CL24" s="107" t="n">
        <x:f>IF(CL23=0,0,'Вводные'!$B$62*'Вводные'!$S$88*'Вводные'!$H$5*'Вводные'!$AG$88*(1+'Вводные'!$B$64)^MAX(0,MIN((12*(YEAR(CL$3)-YEAR($B$7))+MONTH(CL$3)-MONTH($B$7)),(12*(YEAR($B$8)-YEAR($B$7))+MONTH($B$8)-MONTH($B$7))))*(1+'Вводные'!$B$65)^MAX(0,(12*(YEAR(CL$3)-YEAR($B$8))+MONTH(CL$3)-MONTH($B$8))))</x:f>
      </x:c>
      <x:c r="CM24" s="107" t="n">
        <x:f>IF(CM23=0,0,'Вводные'!$B$62*'Вводные'!$S$88*'Вводные'!$H$5*'Вводные'!$AG$88*(1+'Вводные'!$B$64)^MAX(0,MIN((12*(YEAR(CM$3)-YEAR($B$7))+MONTH(CM$3)-MONTH($B$7)),(12*(YEAR($B$8)-YEAR($B$7))+MONTH($B$8)-MONTH($B$7))))*(1+'Вводные'!$B$65)^MAX(0,(12*(YEAR(CM$3)-YEAR($B$8))+MONTH(CM$3)-MONTH($B$8))))</x:f>
      </x:c>
      <x:c r="CN24" s="107" t="n">
        <x:f>IF(CN23=0,0,'Вводные'!$B$62*'Вводные'!$S$88*'Вводные'!$H$5*'Вводные'!$AG$88*(1+'Вводные'!$B$64)^MAX(0,MIN((12*(YEAR(CN$3)-YEAR($B$7))+MONTH(CN$3)-MONTH($B$7)),(12*(YEAR($B$8)-YEAR($B$7))+MONTH($B$8)-MONTH($B$7))))*(1+'Вводные'!$B$65)^MAX(0,(12*(YEAR(CN$3)-YEAR($B$8))+MONTH(CN$3)-MONTH($B$8))))</x:f>
      </x:c>
      <x:c r="CO24" s="107" t="n">
        <x:f>IF(CO23=0,0,'Вводные'!$B$62*'Вводные'!$S$88*'Вводные'!$H$5*'Вводные'!$AG$88*(1+'Вводные'!$B$64)^MAX(0,MIN((12*(YEAR(CO$3)-YEAR($B$7))+MONTH(CO$3)-MONTH($B$7)),(12*(YEAR($B$8)-YEAR($B$7))+MONTH($B$8)-MONTH($B$7))))*(1+'Вводные'!$B$65)^MAX(0,(12*(YEAR(CO$3)-YEAR($B$8))+MONTH(CO$3)-MONTH($B$8))))</x:f>
      </x:c>
      <x:c r="CP24" s="107" t="n">
        <x:f>IF(CP23=0,0,'Вводные'!$B$62*'Вводные'!$S$88*'Вводные'!$H$5*'Вводные'!$AG$88*(1+'Вводные'!$B$64)^MAX(0,MIN((12*(YEAR(CP$3)-YEAR($B$7))+MONTH(CP$3)-MONTH($B$7)),(12*(YEAR($B$8)-YEAR($B$7))+MONTH($B$8)-MONTH($B$7))))*(1+'Вводные'!$B$65)^MAX(0,(12*(YEAR(CP$3)-YEAR($B$8))+MONTH(CP$3)-MONTH($B$8))))</x:f>
      </x:c>
      <x:c r="CQ24" s="107" t="n">
        <x:f>IF(CQ23=0,0,'Вводные'!$B$62*'Вводные'!$S$88*'Вводные'!$H$5*'Вводные'!$AG$88*(1+'Вводные'!$B$64)^MAX(0,MIN((12*(YEAR(CQ$3)-YEAR($B$7))+MONTH(CQ$3)-MONTH($B$7)),(12*(YEAR($B$8)-YEAR($B$7))+MONTH($B$8)-MONTH($B$7))))*(1+'Вводные'!$B$65)^MAX(0,(12*(YEAR(CQ$3)-YEAR($B$8))+MONTH(CQ$3)-MONTH($B$8))))</x:f>
      </x:c>
      <x:c r="CR24" s="107" t="n">
        <x:f>IF(CR23=0,0,'Вводные'!$B$62*'Вводные'!$S$88*'Вводные'!$H$5*'Вводные'!$AG$88*(1+'Вводные'!$B$64)^MAX(0,MIN((12*(YEAR(CR$3)-YEAR($B$7))+MONTH(CR$3)-MONTH($B$7)),(12*(YEAR($B$8)-YEAR($B$7))+MONTH($B$8)-MONTH($B$7))))*(1+'Вводные'!$B$65)^MAX(0,(12*(YEAR(CR$3)-YEAR($B$8))+MONTH(CR$3)-MONTH($B$8))))</x:f>
      </x:c>
      <x:c r="CS24" s="107" t="n">
        <x:f>IF(CS23=0,0,'Вводные'!$B$62*'Вводные'!$S$88*'Вводные'!$H$5*'Вводные'!$AG$88*(1+'Вводные'!$B$64)^MAX(0,MIN((12*(YEAR(CS$3)-YEAR($B$7))+MONTH(CS$3)-MONTH($B$7)),(12*(YEAR($B$8)-YEAR($B$7))+MONTH($B$8)-MONTH($B$7))))*(1+'Вводные'!$B$65)^MAX(0,(12*(YEAR(CS$3)-YEAR($B$8))+MONTH(CS$3)-MONTH($B$8))))</x:f>
      </x:c>
      <x:c r="CT24" s="107" t="n">
        <x:f>IF(CT23=0,0,'Вводные'!$B$62*'Вводные'!$S$88*'Вводные'!$H$5*'Вводные'!$AG$88*(1+'Вводные'!$B$64)^MAX(0,MIN((12*(YEAR(CT$3)-YEAR($B$7))+MONTH(CT$3)-MONTH($B$7)),(12*(YEAR($B$8)-YEAR($B$7))+MONTH($B$8)-MONTH($B$7))))*(1+'Вводные'!$B$65)^MAX(0,(12*(YEAR(CT$3)-YEAR($B$8))+MONTH(CT$3)-MONTH($B$8))))</x:f>
      </x:c>
      <x:c r="CU24" s="107" t="n">
        <x:f>IF(CU23=0,0,'Вводные'!$B$62*'Вводные'!$S$88*'Вводные'!$H$5*'Вводные'!$AG$88*(1+'Вводные'!$B$64)^MAX(0,MIN((12*(YEAR(CU$3)-YEAR($B$7))+MONTH(CU$3)-MONTH($B$7)),(12*(YEAR($B$8)-YEAR($B$7))+MONTH($B$8)-MONTH($B$7))))*(1+'Вводные'!$B$65)^MAX(0,(12*(YEAR(CU$3)-YEAR($B$8))+MONTH(CU$3)-MONTH($B$8))))</x:f>
      </x:c>
      <x:c r="CV24" s="107" t="n">
        <x:f>IF(CV23=0,0,'Вводные'!$B$62*'Вводные'!$S$88*'Вводные'!$H$5*'Вводные'!$AG$88*(1+'Вводные'!$B$64)^MAX(0,MIN((12*(YEAR(CV$3)-YEAR($B$7))+MONTH(CV$3)-MONTH($B$7)),(12*(YEAR($B$8)-YEAR($B$7))+MONTH($B$8)-MONTH($B$7))))*(1+'Вводные'!$B$65)^MAX(0,(12*(YEAR(CV$3)-YEAR($B$8))+MONTH(CV$3)-MONTH($B$8))))</x:f>
      </x:c>
      <x:c r="CW24" s="107" t="n">
        <x:f>IF(CW23=0,0,'Вводные'!$B$62*'Вводные'!$S$88*'Вводные'!$H$5*'Вводные'!$AG$88*(1+'Вводные'!$B$64)^MAX(0,MIN((12*(YEAR(CW$3)-YEAR($B$7))+MONTH(CW$3)-MONTH($B$7)),(12*(YEAR($B$8)-YEAR($B$7))+MONTH($B$8)-MONTH($B$7))))*(1+'Вводные'!$B$65)^MAX(0,(12*(YEAR(CW$3)-YEAR($B$8))+MONTH(CW$3)-MONTH($B$8))))</x:f>
      </x:c>
      <x:c r="CX24" s="107" t="n">
        <x:f>IF(CX23=0,0,'Вводные'!$B$62*'Вводные'!$S$88*'Вводные'!$H$5*'Вводные'!$AG$88*(1+'Вводные'!$B$64)^MAX(0,MIN((12*(YEAR(CX$3)-YEAR($B$7))+MONTH(CX$3)-MONTH($B$7)),(12*(YEAR($B$8)-YEAR($B$7))+MONTH($B$8)-MONTH($B$7))))*(1+'Вводные'!$B$65)^MAX(0,(12*(YEAR(CX$3)-YEAR($B$8))+MONTH(CX$3)-MONTH($B$8))))</x:f>
      </x:c>
      <x:c r="CY24" s="107" t="n">
        <x:f>IF(CY23=0,0,'Вводные'!$B$62*'Вводные'!$S$88*'Вводные'!$H$5*'Вводные'!$AG$88*(1+'Вводные'!$B$64)^MAX(0,MIN((12*(YEAR(CY$3)-YEAR($B$7))+MONTH(CY$3)-MONTH($B$7)),(12*(YEAR($B$8)-YEAR($B$7))+MONTH($B$8)-MONTH($B$7))))*(1+'Вводные'!$B$65)^MAX(0,(12*(YEAR(CY$3)-YEAR($B$8))+MONTH(CY$3)-MONTH($B$8))))</x:f>
      </x:c>
      <x:c r="CZ24" s="107" t="n">
        <x:f>IF(CZ23=0,0,'Вводные'!$B$62*'Вводные'!$S$88*'Вводные'!$H$5*'Вводные'!$AG$88*(1+'Вводные'!$B$64)^MAX(0,MIN((12*(YEAR(CZ$3)-YEAR($B$7))+MONTH(CZ$3)-MONTH($B$7)),(12*(YEAR($B$8)-YEAR($B$7))+MONTH($B$8)-MONTH($B$7))))*(1+'Вводные'!$B$65)^MAX(0,(12*(YEAR(CZ$3)-YEAR($B$8))+MONTH(CZ$3)-MONTH($B$8))))</x:f>
      </x:c>
      <x:c r="DA24" s="107" t="n">
        <x:f>IF(DA23=0,0,'Вводные'!$B$62*'Вводные'!$S$88*'Вводные'!$H$5*'Вводные'!$AG$88*(1+'Вводные'!$B$64)^MAX(0,MIN((12*(YEAR(DA$3)-YEAR($B$7))+MONTH(DA$3)-MONTH($B$7)),(12*(YEAR($B$8)-YEAR($B$7))+MONTH($B$8)-MONTH($B$7))))*(1+'Вводные'!$B$65)^MAX(0,(12*(YEAR(DA$3)-YEAR($B$8))+MONTH(DA$3)-MONTH($B$8))))</x:f>
      </x:c>
      <x:c r="DB24" s="107" t="n">
        <x:f>IF(DB23=0,0,'Вводные'!$B$62*'Вводные'!$S$88*'Вводные'!$H$5*'Вводные'!$AG$88*(1+'Вводные'!$B$64)^MAX(0,MIN((12*(YEAR(DB$3)-YEAR($B$7))+MONTH(DB$3)-MONTH($B$7)),(12*(YEAR($B$8)-YEAR($B$7))+MONTH($B$8)-MONTH($B$7))))*(1+'Вводные'!$B$65)^MAX(0,(12*(YEAR(DB$3)-YEAR($B$8))+MONTH(DB$3)-MONTH($B$8))))</x:f>
      </x:c>
      <x:c r="DC24" s="107" t="n">
        <x:f>IF(DC23=0,0,'Вводные'!$B$62*'Вводные'!$S$88*'Вводные'!$H$5*'Вводные'!$AG$88*(1+'Вводные'!$B$64)^MAX(0,MIN((12*(YEAR(DC$3)-YEAR($B$7))+MONTH(DC$3)-MONTH($B$7)),(12*(YEAR($B$8)-YEAR($B$7))+MONTH($B$8)-MONTH($B$7))))*(1+'Вводные'!$B$65)^MAX(0,(12*(YEAR(DC$3)-YEAR($B$8))+MONTH(DC$3)-MONTH($B$8))))</x:f>
      </x:c>
      <x:c r="DD24" s="107" t="n">
        <x:f>IF(DD23=0,0,'Вводные'!$B$62*'Вводные'!$S$88*'Вводные'!$H$5*'Вводные'!$AG$88*(1+'Вводные'!$B$64)^MAX(0,MIN((12*(YEAR(DD$3)-YEAR($B$7))+MONTH(DD$3)-MONTH($B$7)),(12*(YEAR($B$8)-YEAR($B$7))+MONTH($B$8)-MONTH($B$7))))*(1+'Вводные'!$B$65)^MAX(0,(12*(YEAR(DD$3)-YEAR($B$8))+MONTH(DD$3)-MONTH($B$8))))</x:f>
      </x:c>
      <x:c r="DE24" s="107" t="n">
        <x:f>IF(DE23=0,0,'Вводные'!$B$62*'Вводные'!$S$88*'Вводные'!$H$5*'Вводные'!$AG$88*(1+'Вводные'!$B$64)^MAX(0,MIN((12*(YEAR(DE$3)-YEAR($B$7))+MONTH(DE$3)-MONTH($B$7)),(12*(YEAR($B$8)-YEAR($B$7))+MONTH($B$8)-MONTH($B$7))))*(1+'Вводные'!$B$65)^MAX(0,(12*(YEAR(DE$3)-YEAR($B$8))+MONTH(DE$3)-MONTH($B$8))))</x:f>
      </x:c>
      <x:c r="DF24" s="107" t="n">
        <x:f>IF(DF23=0,0,'Вводные'!$B$62*'Вводные'!$S$88*'Вводные'!$H$5*'Вводные'!$AG$88*(1+'Вводные'!$B$64)^MAX(0,MIN((12*(YEAR(DF$3)-YEAR($B$7))+MONTH(DF$3)-MONTH($B$7)),(12*(YEAR($B$8)-YEAR($B$7))+MONTH($B$8)-MONTH($B$7))))*(1+'Вводные'!$B$65)^MAX(0,(12*(YEAR(DF$3)-YEAR($B$8))+MONTH(DF$3)-MONTH($B$8))))</x:f>
      </x:c>
      <x:c r="DG24" s="107" t="n">
        <x:f>IF(DG23=0,0,'Вводные'!$B$62*'Вводные'!$S$88*'Вводные'!$H$5*'Вводные'!$AG$88*(1+'Вводные'!$B$64)^MAX(0,MIN((12*(YEAR(DG$3)-YEAR($B$7))+MONTH(DG$3)-MONTH($B$7)),(12*(YEAR($B$8)-YEAR($B$7))+MONTH($B$8)-MONTH($B$7))))*(1+'Вводные'!$B$65)^MAX(0,(12*(YEAR(DG$3)-YEAR($B$8))+MONTH(DG$3)-MONTH($B$8))))</x:f>
      </x:c>
      <x:c r="DH24" s="107" t="n">
        <x:f>IF(DH23=0,0,'Вводные'!$B$62*'Вводные'!$S$88*'Вводные'!$H$5*'Вводные'!$AG$88*(1+'Вводные'!$B$64)^MAX(0,MIN((12*(YEAR(DH$3)-YEAR($B$7))+MONTH(DH$3)-MONTH($B$7)),(12*(YEAR($B$8)-YEAR($B$7))+MONTH($B$8)-MONTH($B$7))))*(1+'Вводные'!$B$65)^MAX(0,(12*(YEAR(DH$3)-YEAR($B$8))+MONTH(DH$3)-MONTH($B$8))))</x:f>
      </x:c>
      <x:c r="DI24" s="107" t="n">
        <x:f>IF(DI23=0,0,'Вводные'!$B$62*'Вводные'!$S$88*'Вводные'!$H$5*'Вводные'!$AG$88*(1+'Вводные'!$B$64)^MAX(0,MIN((12*(YEAR(DI$3)-YEAR($B$7))+MONTH(DI$3)-MONTH($B$7)),(12*(YEAR($B$8)-YEAR($B$7))+MONTH($B$8)-MONTH($B$7))))*(1+'Вводные'!$B$65)^MAX(0,(12*(YEAR(DI$3)-YEAR($B$8))+MONTH(DI$3)-MONTH($B$8))))</x:f>
      </x:c>
      <x:c r="DJ24" s="107" t="n">
        <x:f>IF(DJ23=0,0,'Вводные'!$B$62*'Вводные'!$S$88*'Вводные'!$H$5*'Вводные'!$AG$88*(1+'Вводные'!$B$64)^MAX(0,MIN((12*(YEAR(DJ$3)-YEAR($B$7))+MONTH(DJ$3)-MONTH($B$7)),(12*(YEAR($B$8)-YEAR($B$7))+MONTH($B$8)-MONTH($B$7))))*(1+'Вводные'!$B$65)^MAX(0,(12*(YEAR(DJ$3)-YEAR($B$8))+MONTH(DJ$3)-MONTH($B$8))))</x:f>
      </x:c>
      <x:c r="DK24" s="107" t="n">
        <x:f>IF(DK23=0,0,'Вводные'!$B$62*'Вводные'!$S$88*'Вводные'!$H$5*'Вводные'!$AG$88*(1+'Вводные'!$B$64)^MAX(0,MIN((12*(YEAR(DK$3)-YEAR($B$7))+MONTH(DK$3)-MONTH($B$7)),(12*(YEAR($B$8)-YEAR($B$7))+MONTH($B$8)-MONTH($B$7))))*(1+'Вводные'!$B$65)^MAX(0,(12*(YEAR(DK$3)-YEAR($B$8))+MONTH(DK$3)-MONTH($B$8))))</x:f>
      </x:c>
      <x:c r="DL24" s="107" t="n">
        <x:f>IF(DL23=0,0,'Вводные'!$B$62*'Вводные'!$S$88*'Вводные'!$H$5*'Вводные'!$AG$88*(1+'Вводные'!$B$64)^MAX(0,MIN((12*(YEAR(DL$3)-YEAR($B$7))+MONTH(DL$3)-MONTH($B$7)),(12*(YEAR($B$8)-YEAR($B$7))+MONTH($B$8)-MONTH($B$7))))*(1+'Вводные'!$B$65)^MAX(0,(12*(YEAR(DL$3)-YEAR($B$8))+MONTH(DL$3)-MONTH($B$8))))</x:f>
      </x:c>
      <x:c r="DM24" s="107" t="n">
        <x:f>IF(DM23=0,0,'Вводные'!$B$62*'Вводные'!$S$88*'Вводные'!$H$5*'Вводные'!$AG$88*(1+'Вводные'!$B$64)^MAX(0,MIN((12*(YEAR(DM$3)-YEAR($B$7))+MONTH(DM$3)-MONTH($B$7)),(12*(YEAR($B$8)-YEAR($B$7))+MONTH($B$8)-MONTH($B$7))))*(1+'Вводные'!$B$65)^MAX(0,(12*(YEAR(DM$3)-YEAR($B$8))+MONTH(DM$3)-MONTH($B$8))))</x:f>
      </x:c>
      <x:c r="DN24" s="107" t="n">
        <x:f>IF(DN23=0,0,'Вводные'!$B$62*'Вводные'!$S$88*'Вводные'!$H$5*'Вводные'!$AG$88*(1+'Вводные'!$B$64)^MAX(0,MIN((12*(YEAR(DN$3)-YEAR($B$7))+MONTH(DN$3)-MONTH($B$7)),(12*(YEAR($B$8)-YEAR($B$7))+MONTH($B$8)-MONTH($B$7))))*(1+'Вводные'!$B$65)^MAX(0,(12*(YEAR(DN$3)-YEAR($B$8))+MONTH(DN$3)-MONTH($B$8))))</x:f>
      </x:c>
      <x:c r="DO24" s="107" t="n">
        <x:f>IF(DO23=0,0,'Вводные'!$B$62*'Вводные'!$S$88*'Вводные'!$H$5*'Вводные'!$AG$88*(1+'Вводные'!$B$64)^MAX(0,MIN((12*(YEAR(DO$3)-YEAR($B$7))+MONTH(DO$3)-MONTH($B$7)),(12*(YEAR($B$8)-YEAR($B$7))+MONTH($B$8)-MONTH($B$7))))*(1+'Вводные'!$B$65)^MAX(0,(12*(YEAR(DO$3)-YEAR($B$8))+MONTH(DO$3)-MONTH($B$8))))</x:f>
      </x:c>
      <x:c r="DP24" s="107" t="n">
        <x:f>IF(DP23=0,0,'Вводные'!$B$62*'Вводные'!$S$88*'Вводные'!$H$5*'Вводные'!$AG$88*(1+'Вводные'!$B$64)^MAX(0,MIN((12*(YEAR(DP$3)-YEAR($B$7))+MONTH(DP$3)-MONTH($B$7)),(12*(YEAR($B$8)-YEAR($B$7))+MONTH($B$8)-MONTH($B$7))))*(1+'Вводные'!$B$65)^MAX(0,(12*(YEAR(DP$3)-YEAR($B$8))+MONTH(DP$3)-MONTH($B$8))))</x:f>
      </x:c>
      <x:c r="DQ24" s="107" t="n">
        <x:f>IF(DQ23=0,0,'Вводные'!$B$62*'Вводные'!$S$88*'Вводные'!$H$5*'Вводные'!$AG$88*(1+'Вводные'!$B$64)^MAX(0,MIN((12*(YEAR(DQ$3)-YEAR($B$7))+MONTH(DQ$3)-MONTH($B$7)),(12*(YEAR($B$8)-YEAR($B$7))+MONTH($B$8)-MONTH($B$7))))*(1+'Вводные'!$B$65)^MAX(0,(12*(YEAR(DQ$3)-YEAR($B$8))+MONTH(DQ$3)-MONTH($B$8))))</x:f>
      </x:c>
      <x:c r="DR24" s="107" t="n">
        <x:f>IF(DR23=0,0,'Вводные'!$B$62*'Вводные'!$S$88*'Вводные'!$H$5*'Вводные'!$AG$88*(1+'Вводные'!$B$64)^MAX(0,MIN((12*(YEAR(DR$3)-YEAR($B$7))+MONTH(DR$3)-MONTH($B$7)),(12*(YEAR($B$8)-YEAR($B$7))+MONTH($B$8)-MONTH($B$7))))*(1+'Вводные'!$B$65)^MAX(0,(12*(YEAR(DR$3)-YEAR($B$8))+MONTH(DR$3)-MONTH($B$8))))</x:f>
      </x:c>
      <x:c r="DS24" s="107" t="n">
        <x:f>IF(DS23=0,0,'Вводные'!$B$62*'Вводные'!$S$88*'Вводные'!$H$5*'Вводные'!$AG$88*(1+'Вводные'!$B$64)^MAX(0,MIN((12*(YEAR(DS$3)-YEAR($B$7))+MONTH(DS$3)-MONTH($B$7)),(12*(YEAR($B$8)-YEAR($B$7))+MONTH($B$8)-MONTH($B$7))))*(1+'Вводные'!$B$65)^MAX(0,(12*(YEAR(DS$3)-YEAR($B$8))+MONTH(DS$3)-MONTH($B$8))))</x:f>
      </x:c>
      <x:c r="DT24" s="107" t="n">
        <x:f>IF(DT23=0,0,'Вводные'!$B$62*'Вводные'!$S$88*'Вводные'!$H$5*'Вводные'!$AG$88*(1+'Вводные'!$B$64)^MAX(0,MIN((12*(YEAR(DT$3)-YEAR($B$7))+MONTH(DT$3)-MONTH($B$7)),(12*(YEAR($B$8)-YEAR($B$7))+MONTH($B$8)-MONTH($B$7))))*(1+'Вводные'!$B$65)^MAX(0,(12*(YEAR(DT$3)-YEAR($B$8))+MONTH(DT$3)-MONTH($B$8))))</x:f>
      </x:c>
      <x:c r="DU24" s="107" t="n">
        <x:f>IF(DU23=0,0,'Вводные'!$B$62*'Вводные'!$S$88*'Вводные'!$H$5*'Вводные'!$AG$88*(1+'Вводные'!$B$64)^MAX(0,MIN((12*(YEAR(DU$3)-YEAR($B$7))+MONTH(DU$3)-MONTH($B$7)),(12*(YEAR($B$8)-YEAR($B$7))+MONTH($B$8)-MONTH($B$7))))*(1+'Вводные'!$B$65)^MAX(0,(12*(YEAR(DU$3)-YEAR($B$8))+MONTH(DU$3)-MONTH($B$8))))</x:f>
      </x:c>
      <x:c r="DV24" s="107" t="n">
        <x:f>IF(DV23=0,0,'Вводные'!$B$62*'Вводные'!$S$88*'Вводные'!$H$5*'Вводные'!$AG$88*(1+'Вводные'!$B$64)^MAX(0,MIN((12*(YEAR(DV$3)-YEAR($B$7))+MONTH(DV$3)-MONTH($B$7)),(12*(YEAR($B$8)-YEAR($B$7))+MONTH($B$8)-MONTH($B$7))))*(1+'Вводные'!$B$65)^MAX(0,(12*(YEAR(DV$3)-YEAR($B$8))+MONTH(DV$3)-MONTH($B$8))))</x:f>
      </x:c>
      <x:c r="DW24" s="107" t="n">
        <x:f>IF(DW23=0,0,'Вводные'!$B$62*'Вводные'!$S$88*'Вводные'!$H$5*'Вводные'!$AG$88*(1+'Вводные'!$B$64)^MAX(0,MIN((12*(YEAR(DW$3)-YEAR($B$7))+MONTH(DW$3)-MONTH($B$7)),(12*(YEAR($B$8)-YEAR($B$7))+MONTH($B$8)-MONTH($B$7))))*(1+'Вводные'!$B$65)^MAX(0,(12*(YEAR(DW$3)-YEAR($B$8))+MONTH(DW$3)-MONTH($B$8))))</x:f>
      </x:c>
      <x:c r="DX24" s="107" t="n">
        <x:f>IF(DX23=0,0,'Вводные'!$B$62*'Вводные'!$S$88*'Вводные'!$H$5*'Вводные'!$AG$88*(1+'Вводные'!$B$64)^MAX(0,MIN((12*(YEAR(DX$3)-YEAR($B$7))+MONTH(DX$3)-MONTH($B$7)),(12*(YEAR($B$8)-YEAR($B$7))+MONTH($B$8)-MONTH($B$7))))*(1+'Вводные'!$B$65)^MAX(0,(12*(YEAR(DX$3)-YEAR($B$8))+MONTH(DX$3)-MONTH($B$8))))</x:f>
      </x:c>
      <x:c r="DY24" s="107" t="n">
        <x:f>IF(DY23=0,0,'Вводные'!$B$62*'Вводные'!$S$88*'Вводные'!$H$5*'Вводные'!$AG$88*(1+'Вводные'!$B$64)^MAX(0,MIN((12*(YEAR(DY$3)-YEAR($B$7))+MONTH(DY$3)-MONTH($B$7)),(12*(YEAR($B$8)-YEAR($B$7))+MONTH($B$8)-MONTH($B$7))))*(1+'Вводные'!$B$65)^MAX(0,(12*(YEAR(DY$3)-YEAR($B$8))+MONTH(DY$3)-MONTH($B$8))))</x:f>
      </x:c>
      <x:c r="DZ24" s="107" t="n">
        <x:f>IF(DZ23=0,0,'Вводные'!$B$62*'Вводные'!$S$88*'Вводные'!$H$5*'Вводные'!$AG$88*(1+'Вводные'!$B$64)^MAX(0,MIN((12*(YEAR(DZ$3)-YEAR($B$7))+MONTH(DZ$3)-MONTH($B$7)),(12*(YEAR($B$8)-YEAR($B$7))+MONTH($B$8)-MONTH($B$7))))*(1+'Вводные'!$B$65)^MAX(0,(12*(YEAR(DZ$3)-YEAR($B$8))+MONTH(DZ$3)-MONTH($B$8))))</x:f>
      </x:c>
      <x:c r="EA24" s="107" t="n">
        <x:f>IF(EA23=0,0,'Вводные'!$B$62*'Вводные'!$S$88*'Вводные'!$H$5*'Вводные'!$AG$88*(1+'Вводные'!$B$64)^MAX(0,MIN((12*(YEAR(EA$3)-YEAR($B$7))+MONTH(EA$3)-MONTH($B$7)),(12*(YEAR($B$8)-YEAR($B$7))+MONTH($B$8)-MONTH($B$7))))*(1+'Вводные'!$B$65)^MAX(0,(12*(YEAR(EA$3)-YEAR($B$8))+MONTH(EA$3)-MONTH($B$8))))</x:f>
      </x:c>
      <x:c r="EB24" s="107" t="n">
        <x:f>IF(EB23=0,0,'Вводные'!$B$62*'Вводные'!$S$88*'Вводные'!$H$5*'Вводные'!$AG$88*(1+'Вводные'!$B$64)^MAX(0,MIN((12*(YEAR(EB$3)-YEAR($B$7))+MONTH(EB$3)-MONTH($B$7)),(12*(YEAR($B$8)-YEAR($B$7))+MONTH($B$8)-MONTH($B$7))))*(1+'Вводные'!$B$65)^MAX(0,(12*(YEAR(EB$3)-YEAR($B$8))+MONTH(EB$3)-MONTH($B$8))))</x:f>
      </x:c>
      <x:c r="EC24" s="107" t="n">
        <x:f>IF(EC23=0,0,'Вводные'!$B$62*'Вводные'!$S$88*'Вводные'!$H$5*'Вводные'!$AG$88*(1+'Вводные'!$B$64)^MAX(0,MIN((12*(YEAR(EC$3)-YEAR($B$7))+MONTH(EC$3)-MONTH($B$7)),(12*(YEAR($B$8)-YEAR($B$7))+MONTH($B$8)-MONTH($B$7))))*(1+'Вводные'!$B$65)^MAX(0,(12*(YEAR(EC$3)-YEAR($B$8))+MONTH(EC$3)-MONTH($B$8))))</x:f>
      </x:c>
      <x:c r="ED24" s="107" t="n">
        <x:f>IF(ED23=0,0,'Вводные'!$B$62*'Вводные'!$S$88*'Вводные'!$H$5*'Вводные'!$AG$88*(1+'Вводные'!$B$64)^MAX(0,MIN((12*(YEAR(ED$3)-YEAR($B$7))+MONTH(ED$3)-MONTH($B$7)),(12*(YEAR($B$8)-YEAR($B$7))+MONTH($B$8)-MONTH($B$7))))*(1+'Вводные'!$B$65)^MAX(0,(12*(YEAR(ED$3)-YEAR($B$8))+MONTH(ED$3)-MONTH($B$8))))</x:f>
      </x:c>
      <x:c r="EE24" s="107" t="n">
        <x:f>IF(EE23=0,0,'Вводные'!$B$62*'Вводные'!$S$88*'Вводные'!$H$5*'Вводные'!$AG$88*(1+'Вводные'!$B$64)^MAX(0,MIN((12*(YEAR(EE$3)-YEAR($B$7))+MONTH(EE$3)-MONTH($B$7)),(12*(YEAR($B$8)-YEAR($B$7))+MONTH($B$8)-MONTH($B$7))))*(1+'Вводные'!$B$65)^MAX(0,(12*(YEAR(EE$3)-YEAR($B$8))+MONTH(EE$3)-MONTH($B$8))))</x:f>
      </x:c>
      <x:c r="EF24" s="107" t="n">
        <x:f>IF(EF23=0,0,'Вводные'!$B$62*'Вводные'!$S$88*'Вводные'!$H$5*'Вводные'!$AG$88*(1+'Вводные'!$B$64)^MAX(0,MIN((12*(YEAR(EF$3)-YEAR($B$7))+MONTH(EF$3)-MONTH($B$7)),(12*(YEAR($B$8)-YEAR($B$7))+MONTH($B$8)-MONTH($B$7))))*(1+'Вводные'!$B$65)^MAX(0,(12*(YEAR(EF$3)-YEAR($B$8))+MONTH(EF$3)-MONTH($B$8))))</x:f>
      </x:c>
      <x:c r="EG24" s="107" t="n">
        <x:f>IF(EG23=0,0,'Вводные'!$B$62*'Вводные'!$S$88*'Вводные'!$H$5*'Вводные'!$AG$88*(1+'Вводные'!$B$64)^MAX(0,MIN((12*(YEAR(EG$3)-YEAR($B$7))+MONTH(EG$3)-MONTH($B$7)),(12*(YEAR($B$8)-YEAR($B$7))+MONTH($B$8)-MONTH($B$7))))*(1+'Вводные'!$B$65)^MAX(0,(12*(YEAR(EG$3)-YEAR($B$8))+MONTH(EG$3)-MONTH($B$8))))</x:f>
      </x:c>
      <x:c r="EH24" s="107" t="n">
        <x:f>IF(EH23=0,0,'Вводные'!$B$62*'Вводные'!$S$88*'Вводные'!$H$5*'Вводные'!$AG$88*(1+'Вводные'!$B$64)^MAX(0,MIN((12*(YEAR(EH$3)-YEAR($B$7))+MONTH(EH$3)-MONTH($B$7)),(12*(YEAR($B$8)-YEAR($B$7))+MONTH($B$8)-MONTH($B$7))))*(1+'Вводные'!$B$65)^MAX(0,(12*(YEAR(EH$3)-YEAR($B$8))+MONTH(EH$3)-MONTH($B$8))))</x:f>
      </x:c>
      <x:c r="EI24" s="107" t="n">
        <x:f>IF(EI23=0,0,'Вводные'!$B$62*'Вводные'!$S$88*'Вводные'!$H$5*'Вводные'!$AG$88*(1+'Вводные'!$B$64)^MAX(0,MIN((12*(YEAR(EI$3)-YEAR($B$7))+MONTH(EI$3)-MONTH($B$7)),(12*(YEAR($B$8)-YEAR($B$7))+MONTH($B$8)-MONTH($B$7))))*(1+'Вводные'!$B$65)^MAX(0,(12*(YEAR(EI$3)-YEAR($B$8))+MONTH(EI$3)-MONTH($B$8))))</x:f>
      </x:c>
      <x:c r="EJ24" s="107" t="n">
        <x:f>IF(EJ23=0,0,'Вводные'!$B$62*'Вводные'!$S$88*'Вводные'!$H$5*'Вводные'!$AG$88*(1+'Вводные'!$B$64)^MAX(0,MIN((12*(YEAR(EJ$3)-YEAR($B$7))+MONTH(EJ$3)-MONTH($B$7)),(12*(YEAR($B$8)-YEAR($B$7))+MONTH($B$8)-MONTH($B$7))))*(1+'Вводные'!$B$65)^MAX(0,(12*(YEAR(EJ$3)-YEAR($B$8))+MONTH(EJ$3)-MONTH($B$8))))</x:f>
      </x:c>
      <x:c r="EK24" s="107" t="n">
        <x:f>IF(EK23=0,0,'Вводные'!$B$62*'Вводные'!$S$88*'Вводные'!$H$5*'Вводные'!$AG$88*(1+'Вводные'!$B$64)^MAX(0,MIN((12*(YEAR(EK$3)-YEAR($B$7))+MONTH(EK$3)-MONTH($B$7)),(12*(YEAR($B$8)-YEAR($B$7))+MONTH($B$8)-MONTH($B$7))))*(1+'Вводные'!$B$65)^MAX(0,(12*(YEAR(EK$3)-YEAR($B$8))+MONTH(EK$3)-MONTH($B$8))))</x:f>
      </x:c>
      <x:c r="EL24" s="107" t="n">
        <x:f>IF(EL23=0,0,'Вводные'!$B$62*'Вводные'!$S$88*'Вводные'!$H$5*'Вводные'!$AG$88*(1+'Вводные'!$B$64)^MAX(0,MIN((12*(YEAR(EL$3)-YEAR($B$7))+MONTH(EL$3)-MONTH($B$7)),(12*(YEAR($B$8)-YEAR($B$7))+MONTH($B$8)-MONTH($B$7))))*(1+'Вводные'!$B$65)^MAX(0,(12*(YEAR(EL$3)-YEAR($B$8))+MONTH(EL$3)-MONTH($B$8))))</x:f>
      </x:c>
      <x:c r="EM24" s="107" t="n">
        <x:f>IF(EM23=0,0,'Вводные'!$B$62*'Вводные'!$S$88*'Вводные'!$H$5*'Вводные'!$AG$88*(1+'Вводные'!$B$64)^MAX(0,MIN((12*(YEAR(EM$3)-YEAR($B$7))+MONTH(EM$3)-MONTH($B$7)),(12*(YEAR($B$8)-YEAR($B$7))+MONTH($B$8)-MONTH($B$7))))*(1+'Вводные'!$B$65)^MAX(0,(12*(YEAR(EM$3)-YEAR($B$8))+MONTH(EM$3)-MONTH($B$8))))</x:f>
      </x:c>
      <x:c r="EN24" s="107" t="n">
        <x:f>IF(EN23=0,0,'Вводные'!$B$62*'Вводные'!$S$88*'Вводные'!$H$5*'Вводные'!$AG$88*(1+'Вводные'!$B$64)^MAX(0,MIN((12*(YEAR(EN$3)-YEAR($B$7))+MONTH(EN$3)-MONTH($B$7)),(12*(YEAR($B$8)-YEAR($B$7))+MONTH($B$8)-MONTH($B$7))))*(1+'Вводные'!$B$65)^MAX(0,(12*(YEAR(EN$3)-YEAR($B$8))+MONTH(EN$3)-MONTH($B$8))))</x:f>
      </x:c>
      <x:c r="EO24" s="107" t="n">
        <x:f>IF(EO23=0,0,'Вводные'!$B$62*'Вводные'!$S$88*'Вводные'!$H$5*'Вводные'!$AG$88*(1+'Вводные'!$B$64)^MAX(0,MIN((12*(YEAR(EO$3)-YEAR($B$7))+MONTH(EO$3)-MONTH($B$7)),(12*(YEAR($B$8)-YEAR($B$7))+MONTH($B$8)-MONTH($B$7))))*(1+'Вводные'!$B$65)^MAX(0,(12*(YEAR(EO$3)-YEAR($B$8))+MONTH(EO$3)-MONTH($B$8))))</x:f>
      </x:c>
      <x:c r="EP24" s="107" t="n">
        <x:f>IF(EP23=0,0,'Вводные'!$B$62*'Вводные'!$S$88*'Вводные'!$H$5*'Вводные'!$AG$88*(1+'Вводные'!$B$64)^MAX(0,MIN((12*(YEAR(EP$3)-YEAR($B$7))+MONTH(EP$3)-MONTH($B$7)),(12*(YEAR($B$8)-YEAR($B$7))+MONTH($B$8)-MONTH($B$7))))*(1+'Вводные'!$B$65)^MAX(0,(12*(YEAR(EP$3)-YEAR($B$8))+MONTH(EP$3)-MONTH($B$8))))</x:f>
      </x:c>
      <x:c r="EQ24" s="107" t="n">
        <x:f>IF(EQ23=0,0,'Вводные'!$B$62*'Вводные'!$S$88*'Вводные'!$H$5*'Вводные'!$AG$88*(1+'Вводные'!$B$64)^MAX(0,MIN((12*(YEAR(EQ$3)-YEAR($B$7))+MONTH(EQ$3)-MONTH($B$7)),(12*(YEAR($B$8)-YEAR($B$7))+MONTH($B$8)-MONTH($B$7))))*(1+'Вводные'!$B$65)^MAX(0,(12*(YEAR(EQ$3)-YEAR($B$8))+MONTH(EQ$3)-MONTH($B$8))))</x:f>
      </x:c>
      <x:c r="ER24" s="107" t="n">
        <x:f>IF(ER23=0,0,'Вводные'!$B$62*'Вводные'!$S$88*'Вводные'!$H$5*'Вводные'!$AG$88*(1+'Вводные'!$B$64)^MAX(0,MIN((12*(YEAR(ER$3)-YEAR($B$7))+MONTH(ER$3)-MONTH($B$7)),(12*(YEAR($B$8)-YEAR($B$7))+MONTH($B$8)-MONTH($B$7))))*(1+'Вводные'!$B$65)^MAX(0,(12*(YEAR(ER$3)-YEAR($B$8))+MONTH(ER$3)-MONTH($B$8))))</x:f>
      </x:c>
      <x:c r="ES24" s="107" t="n">
        <x:f>IF(ES23=0,0,'Вводные'!$B$62*'Вводные'!$S$88*'Вводные'!$H$5*'Вводные'!$AG$88*(1+'Вводные'!$B$64)^MAX(0,MIN((12*(YEAR(ES$3)-YEAR($B$7))+MONTH(ES$3)-MONTH($B$7)),(12*(YEAR($B$8)-YEAR($B$7))+MONTH($B$8)-MONTH($B$7))))*(1+'Вводные'!$B$65)^MAX(0,(12*(YEAR(ES$3)-YEAR($B$8))+MONTH(ES$3)-MONTH($B$8))))</x:f>
      </x:c>
      <x:c r="ET24" s="107" t="n">
        <x:f>IF(ET23=0,0,'Вводные'!$B$62*'Вводные'!$S$88*'Вводные'!$H$5*'Вводные'!$AG$88*(1+'Вводные'!$B$64)^MAX(0,MIN((12*(YEAR(ET$3)-YEAR($B$7))+MONTH(ET$3)-MONTH($B$7)),(12*(YEAR($B$8)-YEAR($B$7))+MONTH($B$8)-MONTH($B$7))))*(1+'Вводные'!$B$65)^MAX(0,(12*(YEAR(ET$3)-YEAR($B$8))+MONTH(ET$3)-MONTH($B$8))))</x:f>
      </x:c>
      <x:c r="EU24" s="107" t="n">
        <x:f>IF(EU23=0,0,'Вводные'!$B$62*'Вводные'!$S$88*'Вводные'!$H$5*'Вводные'!$AG$88*(1+'Вводные'!$B$64)^MAX(0,MIN((12*(YEAR(EU$3)-YEAR($B$7))+MONTH(EU$3)-MONTH($B$7)),(12*(YEAR($B$8)-YEAR($B$7))+MONTH($B$8)-MONTH($B$7))))*(1+'Вводные'!$B$65)^MAX(0,(12*(YEAR(EU$3)-YEAR($B$8))+MONTH(EU$3)-MONTH($B$8))))</x:f>
      </x:c>
      <x:c r="EV24" s="107" t="n">
        <x:f>IF(EV23=0,0,'Вводные'!$B$62*'Вводные'!$S$88*'Вводные'!$H$5*'Вводные'!$AG$88*(1+'Вводные'!$B$64)^MAX(0,MIN((12*(YEAR(EV$3)-YEAR($B$7))+MONTH(EV$3)-MONTH($B$7)),(12*(YEAR($B$8)-YEAR($B$7))+MONTH($B$8)-MONTH($B$7))))*(1+'Вводные'!$B$65)^MAX(0,(12*(YEAR(EV$3)-YEAR($B$8))+MONTH(EV$3)-MONTH($B$8))))</x:f>
      </x:c>
      <x:c r="EW24" s="107" t="n">
        <x:f>IF(EW23=0,0,'Вводные'!$B$62*'Вводные'!$S$88*'Вводные'!$H$5*'Вводные'!$AG$88*(1+'Вводные'!$B$64)^MAX(0,MIN((12*(YEAR(EW$3)-YEAR($B$7))+MONTH(EW$3)-MONTH($B$7)),(12*(YEAR($B$8)-YEAR($B$7))+MONTH($B$8)-MONTH($B$7))))*(1+'Вводные'!$B$65)^MAX(0,(12*(YEAR(EW$3)-YEAR($B$8))+MONTH(EW$3)-MONTH($B$8))))</x:f>
      </x:c>
      <x:c r="EX24" s="107" t="n">
        <x:f>IF(EX23=0,0,'Вводные'!$B$62*'Вводные'!$S$88*'Вводные'!$H$5*'Вводные'!$AG$88*(1+'Вводные'!$B$64)^MAX(0,MIN((12*(YEAR(EX$3)-YEAR($B$7))+MONTH(EX$3)-MONTH($B$7)),(12*(YEAR($B$8)-YEAR($B$7))+MONTH($B$8)-MONTH($B$7))))*(1+'Вводные'!$B$65)^MAX(0,(12*(YEAR(EX$3)-YEAR($B$8))+MONTH(EX$3)-MONTH($B$8))))</x:f>
      </x:c>
      <x:c r="EY24" s="107" t="n">
        <x:f>IF(EY23=0,0,'Вводные'!$B$62*'Вводные'!$S$88*'Вводные'!$H$5*'Вводные'!$AG$88*(1+'Вводные'!$B$64)^MAX(0,MIN((12*(YEAR(EY$3)-YEAR($B$7))+MONTH(EY$3)-MONTH($B$7)),(12*(YEAR($B$8)-YEAR($B$7))+MONTH($B$8)-MONTH($B$7))))*(1+'Вводные'!$B$65)^MAX(0,(12*(YEAR(EY$3)-YEAR($B$8))+MONTH(EY$3)-MONTH($B$8))))</x:f>
      </x:c>
      <x:c r="EZ24" s="107" t="n">
        <x:f>IF(EZ23=0,0,'Вводные'!$B$62*'Вводные'!$S$88*'Вводные'!$H$5*'Вводные'!$AG$88*(1+'Вводные'!$B$64)^MAX(0,MIN((12*(YEAR(EZ$3)-YEAR($B$7))+MONTH(EZ$3)-MONTH($B$7)),(12*(YEAR($B$8)-YEAR($B$7))+MONTH($B$8)-MONTH($B$7))))*(1+'Вводные'!$B$65)^MAX(0,(12*(YEAR(EZ$3)-YEAR($B$8))+MONTH(EZ$3)-MONTH($B$8))))</x:f>
      </x:c>
      <x:c r="FA24" s="107" t="n">
        <x:f>IF(FA23=0,0,'Вводные'!$B$62*'Вводные'!$S$88*'Вводные'!$H$5*'Вводные'!$AG$88*(1+'Вводные'!$B$64)^MAX(0,MIN((12*(YEAR(FA$3)-YEAR($B$7))+MONTH(FA$3)-MONTH($B$7)),(12*(YEAR($B$8)-YEAR($B$7))+MONTH($B$8)-MONTH($B$7))))*(1+'Вводные'!$B$65)^MAX(0,(12*(YEAR(FA$3)-YEAR($B$8))+MONTH(FA$3)-MONTH($B$8))))</x:f>
      </x:c>
      <x:c r="FB24" s="107" t="n">
        <x:f>IF(FB23=0,0,'Вводные'!$B$62*'Вводные'!$S$88*'Вводные'!$H$5*'Вводные'!$AG$88*(1+'Вводные'!$B$64)^MAX(0,MIN((12*(YEAR(FB$3)-YEAR($B$7))+MONTH(FB$3)-MONTH($B$7)),(12*(YEAR($B$8)-YEAR($B$7))+MONTH($B$8)-MONTH($B$7))))*(1+'Вводные'!$B$65)^MAX(0,(12*(YEAR(FB$3)-YEAR($B$8))+MONTH(FB$3)-MONTH($B$8))))</x:f>
      </x:c>
      <x:c r="FC24" s="107" t="n">
        <x:f>IF(FC23=0,0,'Вводные'!$B$62*'Вводные'!$S$88*'Вводные'!$H$5*'Вводные'!$AG$88*(1+'Вводные'!$B$64)^MAX(0,MIN((12*(YEAR(FC$3)-YEAR($B$7))+MONTH(FC$3)-MONTH($B$7)),(12*(YEAR($B$8)-YEAR($B$7))+MONTH($B$8)-MONTH($B$7))))*(1+'Вводные'!$B$65)^MAX(0,(12*(YEAR(FC$3)-YEAR($B$8))+MONTH(FC$3)-MONTH($B$8))))</x:f>
      </x:c>
      <x:c r="FD24" s="107" t="n">
        <x:f>IF(FD23=0,0,'Вводные'!$B$62*'Вводные'!$S$88*'Вводные'!$H$5*'Вводные'!$AG$88*(1+'Вводные'!$B$64)^MAX(0,MIN((12*(YEAR(FD$3)-YEAR($B$7))+MONTH(FD$3)-MONTH($B$7)),(12*(YEAR($B$8)-YEAR($B$7))+MONTH($B$8)-MONTH($B$7))))*(1+'Вводные'!$B$65)^MAX(0,(12*(YEAR(FD$3)-YEAR($B$8))+MONTH(FD$3)-MONTH($B$8))))</x:f>
      </x:c>
      <x:c r="FE24" s="107" t="n">
        <x:f>IF(FE23=0,0,'Вводные'!$B$62*'Вводные'!$S$88*'Вводные'!$H$5*'Вводные'!$AG$88*(1+'Вводные'!$B$64)^MAX(0,MIN((12*(YEAR(FE$3)-YEAR($B$7))+MONTH(FE$3)-MONTH($B$7)),(12*(YEAR($B$8)-YEAR($B$7))+MONTH($B$8)-MONTH($B$7))))*(1+'Вводные'!$B$65)^MAX(0,(12*(YEAR(FE$3)-YEAR($B$8))+MONTH(FE$3)-MONTH($B$8))))</x:f>
      </x:c>
      <x:c r="FF24" s="107" t="n">
        <x:f>IF(FF23=0,0,'Вводные'!$B$62*'Вводные'!$S$88*'Вводные'!$H$5*'Вводные'!$AG$88*(1+'Вводные'!$B$64)^MAX(0,MIN((12*(YEAR(FF$3)-YEAR($B$7))+MONTH(FF$3)-MONTH($B$7)),(12*(YEAR($B$8)-YEAR($B$7))+MONTH($B$8)-MONTH($B$7))))*(1+'Вводные'!$B$65)^MAX(0,(12*(YEAR(FF$3)-YEAR($B$8))+MONTH(FF$3)-MONTH($B$8))))</x:f>
      </x:c>
      <x:c r="FG24" s="107" t="n">
        <x:f>IF(FG23=0,0,'Вводные'!$B$62*'Вводные'!$S$88*'Вводные'!$H$5*'Вводные'!$AG$88*(1+'Вводные'!$B$64)^MAX(0,MIN((12*(YEAR(FG$3)-YEAR($B$7))+MONTH(FG$3)-MONTH($B$7)),(12*(YEAR($B$8)-YEAR($B$7))+MONTH($B$8)-MONTH($B$7))))*(1+'Вводные'!$B$65)^MAX(0,(12*(YEAR(FG$3)-YEAR($B$8))+MONTH(FG$3)-MONTH($B$8))))</x:f>
      </x:c>
      <x:c r="FH24" s="107" t="n">
        <x:f>IF(FH23=0,0,'Вводные'!$B$62*'Вводные'!$S$88*'Вводные'!$H$5*'Вводные'!$AG$88*(1+'Вводные'!$B$64)^MAX(0,MIN((12*(YEAR(FH$3)-YEAR($B$7))+MONTH(FH$3)-MONTH($B$7)),(12*(YEAR($B$8)-YEAR($B$7))+MONTH($B$8)-MONTH($B$7))))*(1+'Вводные'!$B$65)^MAX(0,(12*(YEAR(FH$3)-YEAR($B$8))+MONTH(FH$3)-MONTH($B$8))))</x:f>
      </x:c>
      <x:c r="FI24" s="107" t="n">
        <x:f>IF(FI23=0,0,'Вводные'!$B$62*'Вводные'!$S$88*'Вводные'!$H$5*'Вводные'!$AG$88*(1+'Вводные'!$B$64)^MAX(0,MIN((12*(YEAR(FI$3)-YEAR($B$7))+MONTH(FI$3)-MONTH($B$7)),(12*(YEAR($B$8)-YEAR($B$7))+MONTH($B$8)-MONTH($B$7))))*(1+'Вводные'!$B$65)^MAX(0,(12*(YEAR(FI$3)-YEAR($B$8))+MONTH(FI$3)-MONTH($B$8))))</x:f>
      </x:c>
      <x:c r="FJ24" s="107" t="n">
        <x:f>IF(FJ23=0,0,'Вводные'!$B$62*'Вводные'!$S$88*'Вводные'!$H$5*'Вводные'!$AG$88*(1+'Вводные'!$B$64)^MAX(0,MIN((12*(YEAR(FJ$3)-YEAR($B$7))+MONTH(FJ$3)-MONTH($B$7)),(12*(YEAR($B$8)-YEAR($B$7))+MONTH($B$8)-MONTH($B$7))))*(1+'Вводные'!$B$65)^MAX(0,(12*(YEAR(FJ$3)-YEAR($B$8))+MONTH(FJ$3)-MONTH($B$8))))</x:f>
      </x:c>
      <x:c r="FK24" s="107" t="n">
        <x:f>IF(FK23=0,0,'Вводные'!$B$62*'Вводные'!$S$88*'Вводные'!$H$5*'Вводные'!$AG$88*(1+'Вводные'!$B$64)^MAX(0,MIN((12*(YEAR(FK$3)-YEAR($B$7))+MONTH(FK$3)-MONTH($B$7)),(12*(YEAR($B$8)-YEAR($B$7))+MONTH($B$8)-MONTH($B$7))))*(1+'Вводные'!$B$65)^MAX(0,(12*(YEAR(FK$3)-YEAR($B$8))+MONTH(FK$3)-MONTH($B$8))))</x:f>
      </x:c>
      <x:c r="FL24" s="107" t="n">
        <x:f>IF(FL23=0,0,'Вводные'!$B$62*'Вводные'!$S$88*'Вводные'!$H$5*'Вводные'!$AG$88*(1+'Вводные'!$B$64)^MAX(0,MIN((12*(YEAR(FL$3)-YEAR($B$7))+MONTH(FL$3)-MONTH($B$7)),(12*(YEAR($B$8)-YEAR($B$7))+MONTH($B$8)-MONTH($B$7))))*(1+'Вводные'!$B$65)^MAX(0,(12*(YEAR(FL$3)-YEAR($B$8))+MONTH(FL$3)-MONTH($B$8))))</x:f>
      </x:c>
      <x:c r="FM24" s="107" t="n">
        <x:f>IF(FM23=0,0,'Вводные'!$B$62*'Вводные'!$S$88*'Вводные'!$H$5*'Вводные'!$AG$88*(1+'Вводные'!$B$64)^MAX(0,MIN((12*(YEAR(FM$3)-YEAR($B$7))+MONTH(FM$3)-MONTH($B$7)),(12*(YEAR($B$8)-YEAR($B$7))+MONTH($B$8)-MONTH($B$7))))*(1+'Вводные'!$B$65)^MAX(0,(12*(YEAR(FM$3)-YEAR($B$8))+MONTH(FM$3)-MONTH($B$8))))</x:f>
      </x:c>
      <x:c r="FN24" s="107" t="n">
        <x:f>IF(FN23=0,0,'Вводные'!$B$62*'Вводные'!$S$88*'Вводные'!$H$5*'Вводные'!$AG$88*(1+'Вводные'!$B$64)^MAX(0,MIN((12*(YEAR(FN$3)-YEAR($B$7))+MONTH(FN$3)-MONTH($B$7)),(12*(YEAR($B$8)-YEAR($B$7))+MONTH($B$8)-MONTH($B$7))))*(1+'Вводные'!$B$65)^MAX(0,(12*(YEAR(FN$3)-YEAR($B$8))+MONTH(FN$3)-MONTH($B$8))))</x:f>
      </x:c>
      <x:c r="FO24" s="107" t="n">
        <x:f>IF(FO23=0,0,'Вводные'!$B$62*'Вводные'!$S$88*'Вводные'!$H$5*'Вводные'!$AG$88*(1+'Вводные'!$B$64)^MAX(0,MIN((12*(YEAR(FO$3)-YEAR($B$7))+MONTH(FO$3)-MONTH($B$7)),(12*(YEAR($B$8)-YEAR($B$7))+MONTH($B$8)-MONTH($B$7))))*(1+'Вводные'!$B$65)^MAX(0,(12*(YEAR(FO$3)-YEAR($B$8))+MONTH(FO$3)-MONTH($B$8))))</x:f>
      </x:c>
      <x:c r="FP24" s="107" t="n">
        <x:f>IF(FP23=0,0,'Вводные'!$B$62*'Вводные'!$S$88*'Вводные'!$H$5*'Вводные'!$AG$88*(1+'Вводные'!$B$64)^MAX(0,MIN((12*(YEAR(FP$3)-YEAR($B$7))+MONTH(FP$3)-MONTH($B$7)),(12*(YEAR($B$8)-YEAR($B$7))+MONTH($B$8)-MONTH($B$7))))*(1+'Вводные'!$B$65)^MAX(0,(12*(YEAR(FP$3)-YEAR($B$8))+MONTH(FP$3)-MONTH($B$8))))</x:f>
      </x:c>
      <x:c r="FQ24" s="107" t="n">
        <x:f>IF(FQ23=0,0,'Вводные'!$B$62*'Вводные'!$S$88*'Вводные'!$H$5*'Вводные'!$AG$88*(1+'Вводные'!$B$64)^MAX(0,MIN((12*(YEAR(FQ$3)-YEAR($B$7))+MONTH(FQ$3)-MONTH($B$7)),(12*(YEAR($B$8)-YEAR($B$7))+MONTH($B$8)-MONTH($B$7))))*(1+'Вводные'!$B$65)^MAX(0,(12*(YEAR(FQ$3)-YEAR($B$8))+MONTH(FQ$3)-MONTH($B$8))))</x:f>
      </x:c>
      <x:c r="FR24" s="107" t="n">
        <x:f>IF(FR23=0,0,'Вводные'!$B$62*'Вводные'!$S$88*'Вводные'!$H$5*'Вводные'!$AG$88*(1+'Вводные'!$B$64)^MAX(0,MIN((12*(YEAR(FR$3)-YEAR($B$7))+MONTH(FR$3)-MONTH($B$7)),(12*(YEAR($B$8)-YEAR($B$7))+MONTH($B$8)-MONTH($B$7))))*(1+'Вводные'!$B$65)^MAX(0,(12*(YEAR(FR$3)-YEAR($B$8))+MONTH(FR$3)-MONTH($B$8))))</x:f>
      </x:c>
      <x:c r="FS24" s="107" t="n">
        <x:f>IF(FS23=0,0,'Вводные'!$B$62*'Вводные'!$S$88*'Вводные'!$H$5*'Вводные'!$AG$88*(1+'Вводные'!$B$64)^MAX(0,MIN((12*(YEAR(FS$3)-YEAR($B$7))+MONTH(FS$3)-MONTH($B$7)),(12*(YEAR($B$8)-YEAR($B$7))+MONTH($B$8)-MONTH($B$7))))*(1+'Вводные'!$B$65)^MAX(0,(12*(YEAR(FS$3)-YEAR($B$8))+MONTH(FS$3)-MONTH($B$8))))</x:f>
      </x:c>
      <x:c r="FT24" s="107" t="n">
        <x:f>IF(FT23=0,0,'Вводные'!$B$62*'Вводные'!$S$88*'Вводные'!$H$5*'Вводные'!$AG$88*(1+'Вводные'!$B$64)^MAX(0,MIN((12*(YEAR(FT$3)-YEAR($B$7))+MONTH(FT$3)-MONTH($B$7)),(12*(YEAR($B$8)-YEAR($B$7))+MONTH($B$8)-MONTH($B$7))))*(1+'Вводные'!$B$65)^MAX(0,(12*(YEAR(FT$3)-YEAR($B$8))+MONTH(FT$3)-MONTH($B$8))))</x:f>
      </x:c>
      <x:c r="FU24" s="107" t="n">
        <x:f>IF(FU23=0,0,'Вводные'!$B$62*'Вводные'!$S$88*'Вводные'!$H$5*'Вводные'!$AG$88*(1+'Вводные'!$B$64)^MAX(0,MIN((12*(YEAR(FU$3)-YEAR($B$7))+MONTH(FU$3)-MONTH($B$7)),(12*(YEAR($B$8)-YEAR($B$7))+MONTH($B$8)-MONTH($B$7))))*(1+'Вводные'!$B$65)^MAX(0,(12*(YEAR(FU$3)-YEAR($B$8))+MONTH(FU$3)-MONTH($B$8))))</x:f>
      </x:c>
      <x:c r="FV24" s="107" t="n">
        <x:f>IF(FV23=0,0,'Вводные'!$B$62*'Вводные'!$S$88*'Вводные'!$H$5*'Вводные'!$AG$88*(1+'Вводные'!$B$64)^MAX(0,MIN((12*(YEAR(FV$3)-YEAR($B$7))+MONTH(FV$3)-MONTH($B$7)),(12*(YEAR($B$8)-YEAR($B$7))+MONTH($B$8)-MONTH($B$7))))*(1+'Вводные'!$B$65)^MAX(0,(12*(YEAR(FV$3)-YEAR($B$8))+MONTH(FV$3)-MONTH($B$8))))</x:f>
      </x:c>
      <x:c r="FW24" s="107" t="n">
        <x:f>IF(FW23=0,0,'Вводные'!$B$62*'Вводные'!$S$88*'Вводные'!$H$5*'Вводные'!$AG$88*(1+'Вводные'!$B$64)^MAX(0,MIN((12*(YEAR(FW$3)-YEAR($B$7))+MONTH(FW$3)-MONTH($B$7)),(12*(YEAR($B$8)-YEAR($B$7))+MONTH($B$8)-MONTH($B$7))))*(1+'Вводные'!$B$65)^MAX(0,(12*(YEAR(FW$3)-YEAR($B$8))+MONTH(FW$3)-MONTH($B$8))))</x:f>
      </x:c>
      <x:c r="FX24" s="107" t="n">
        <x:f>IF(FX23=0,0,'Вводные'!$B$62*'Вводные'!$S$88*'Вводные'!$H$5*'Вводные'!$AG$88*(1+'Вводные'!$B$64)^MAX(0,MIN((12*(YEAR(FX$3)-YEAR($B$7))+MONTH(FX$3)-MONTH($B$7)),(12*(YEAR($B$8)-YEAR($B$7))+MONTH($B$8)-MONTH($B$7))))*(1+'Вводные'!$B$65)^MAX(0,(12*(YEAR(FX$3)-YEAR($B$8))+MONTH(FX$3)-MONTH($B$8))))</x:f>
      </x:c>
      <x:c r="FY24" s="107" t="n">
        <x:f>IF(FY23=0,0,'Вводные'!$B$62*'Вводные'!$S$88*'Вводные'!$H$5*'Вводные'!$AG$88*(1+'Вводные'!$B$64)^MAX(0,MIN((12*(YEAR(FY$3)-YEAR($B$7))+MONTH(FY$3)-MONTH($B$7)),(12*(YEAR($B$8)-YEAR($B$7))+MONTH($B$8)-MONTH($B$7))))*(1+'Вводные'!$B$65)^MAX(0,(12*(YEAR(FY$3)-YEAR($B$8))+MONTH(FY$3)-MONTH($B$8))))</x:f>
      </x:c>
      <x:c r="FZ24" s="107" t="n">
        <x:f>IF(FZ23=0,0,'Вводные'!$B$62*'Вводные'!$S$88*'Вводные'!$H$5*'Вводные'!$AG$88*(1+'Вводные'!$B$64)^MAX(0,MIN((12*(YEAR(FZ$3)-YEAR($B$7))+MONTH(FZ$3)-MONTH($B$7)),(12*(YEAR($B$8)-YEAR($B$7))+MONTH($B$8)-MONTH($B$7))))*(1+'Вводные'!$B$65)^MAX(0,(12*(YEAR(FZ$3)-YEAR($B$8))+MONTH(FZ$3)-MONTH($B$8))))</x:f>
      </x:c>
      <x:c r="GA24" s="107" t="n">
        <x:f>IF(GA23=0,0,'Вводные'!$B$62*'Вводные'!$S$88*'Вводные'!$H$5*'Вводные'!$AG$88*(1+'Вводные'!$B$64)^MAX(0,MIN((12*(YEAR(GA$3)-YEAR($B$7))+MONTH(GA$3)-MONTH($B$7)),(12*(YEAR($B$8)-YEAR($B$7))+MONTH($B$8)-MONTH($B$7))))*(1+'Вводные'!$B$65)^MAX(0,(12*(YEAR(GA$3)-YEAR($B$8))+MONTH(GA$3)-MONTH($B$8))))</x:f>
      </x:c>
    </x:row>
    <x:row r="25">
      <x:c r="A25" t="str">
        <x:v>Кладовые — выручка</x:v>
      </x:c>
      <x:c r="B25" t="n">
        <x:f>SUM(D25:GA25)</x:f>
      </x:c>
      <x:c r="C25" t="str">
        <x:v>млн ₽</x:v>
      </x:c>
      <x:c r="D25" s="107" t="n">
        <x:f>D23*D24/1000</x:f>
      </x:c>
      <x:c r="E25" s="107" t="n">
        <x:f>E23*E24/1000</x:f>
      </x:c>
      <x:c r="F25" s="107" t="n">
        <x:f>F23*F24/1000</x:f>
      </x:c>
      <x:c r="G25" s="107" t="n">
        <x:f>G23*G24/1000</x:f>
      </x:c>
      <x:c r="H25" s="107" t="n">
        <x:f>H23*H24/1000</x:f>
      </x:c>
      <x:c r="I25" s="107" t="n">
        <x:f>I23*I24/1000</x:f>
      </x:c>
      <x:c r="J25" s="107" t="n">
        <x:f>J23*J24/1000</x:f>
      </x:c>
      <x:c r="K25" s="107" t="n">
        <x:f>K23*K24/1000</x:f>
      </x:c>
      <x:c r="L25" s="107" t="n">
        <x:f>L23*L24/1000</x:f>
      </x:c>
      <x:c r="M25" s="107" t="n">
        <x:f>M23*M24/1000</x:f>
      </x:c>
      <x:c r="N25" s="107" t="n">
        <x:f>N23*N24/1000</x:f>
      </x:c>
      <x:c r="O25" s="107" t="n">
        <x:f>O23*O24/1000</x:f>
      </x:c>
      <x:c r="P25" s="107" t="n">
        <x:f>P23*P24/1000</x:f>
      </x:c>
      <x:c r="Q25" s="107" t="n">
        <x:f>Q23*Q24/1000</x:f>
      </x:c>
      <x:c r="R25" s="107" t="n">
        <x:f>R23*R24/1000</x:f>
      </x:c>
      <x:c r="S25" s="107" t="n">
        <x:f>S23*S24/1000</x:f>
      </x:c>
      <x:c r="T25" s="107" t="n">
        <x:f>T23*T24/1000</x:f>
      </x:c>
      <x:c r="U25" s="107" t="n">
        <x:f>U23*U24/1000</x:f>
      </x:c>
      <x:c r="V25" s="107" t="n">
        <x:f>V23*V24/1000</x:f>
      </x:c>
      <x:c r="W25" s="107" t="n">
        <x:f>W23*W24/1000</x:f>
      </x:c>
      <x:c r="X25" s="107" t="n">
        <x:f>X23*X24/1000</x:f>
      </x:c>
      <x:c r="Y25" s="107" t="n">
        <x:f>Y23*Y24/1000</x:f>
      </x:c>
      <x:c r="Z25" s="107" t="n">
        <x:f>Z23*Z24/1000</x:f>
      </x:c>
      <x:c r="AA25" s="107" t="n">
        <x:f>AA23*AA24/1000</x:f>
      </x:c>
      <x:c r="AB25" s="107" t="n">
        <x:f>AB23*AB24/1000</x:f>
      </x:c>
      <x:c r="AC25" s="107" t="n">
        <x:f>AC23*AC24/1000</x:f>
      </x:c>
      <x:c r="AD25" s="107" t="n">
        <x:f>AD23*AD24/1000</x:f>
      </x:c>
      <x:c r="AE25" s="107" t="n">
        <x:f>AE23*AE24/1000</x:f>
      </x:c>
      <x:c r="AF25" s="107" t="n">
        <x:f>AF23*AF24/1000</x:f>
      </x:c>
      <x:c r="AG25" s="107" t="n">
        <x:f>AG23*AG24/1000</x:f>
      </x:c>
      <x:c r="AH25" s="107" t="n">
        <x:f>AH23*AH24/1000</x:f>
      </x:c>
      <x:c r="AI25" s="107" t="n">
        <x:f>AI23*AI24/1000</x:f>
      </x:c>
      <x:c r="AJ25" s="107" t="n">
        <x:f>AJ23*AJ24/1000</x:f>
      </x:c>
      <x:c r="AK25" s="107" t="n">
        <x:f>AK23*AK24/1000</x:f>
      </x:c>
      <x:c r="AL25" s="107" t="n">
        <x:f>AL23*AL24/1000</x:f>
      </x:c>
      <x:c r="AM25" s="107" t="n">
        <x:f>AM23*AM24/1000</x:f>
      </x:c>
      <x:c r="AN25" s="107" t="n">
        <x:f>AN23*AN24/1000</x:f>
      </x:c>
      <x:c r="AO25" s="107" t="n">
        <x:f>AO23*AO24/1000</x:f>
      </x:c>
      <x:c r="AP25" s="107" t="n">
        <x:f>AP23*AP24/1000</x:f>
      </x:c>
      <x:c r="AQ25" s="107" t="n">
        <x:f>AQ23*AQ24/1000</x:f>
      </x:c>
      <x:c r="AR25" s="107" t="n">
        <x:f>AR23*AR24/1000</x:f>
      </x:c>
      <x:c r="AS25" s="107" t="n">
        <x:f>AS23*AS24/1000</x:f>
      </x:c>
      <x:c r="AT25" s="107" t="n">
        <x:f>AT23*AT24/1000</x:f>
      </x:c>
      <x:c r="AU25" s="107" t="n">
        <x:f>AU23*AU24/1000</x:f>
      </x:c>
      <x:c r="AV25" s="107" t="n">
        <x:f>AV23*AV24/1000</x:f>
      </x:c>
      <x:c r="AW25" s="107" t="n">
        <x:f>AW23*AW24/1000</x:f>
      </x:c>
      <x:c r="AX25" s="107" t="n">
        <x:f>AX23*AX24/1000</x:f>
      </x:c>
      <x:c r="AY25" s="107" t="n">
        <x:f>AY23*AY24/1000</x:f>
      </x:c>
      <x:c r="AZ25" s="107" t="n">
        <x:f>AZ23*AZ24/1000</x:f>
      </x:c>
      <x:c r="BA25" s="107" t="n">
        <x:f>BA23*BA24/1000</x:f>
      </x:c>
      <x:c r="BB25" s="107" t="n">
        <x:f>BB23*BB24/1000</x:f>
      </x:c>
      <x:c r="BC25" s="107" t="n">
        <x:f>BC23*BC24/1000</x:f>
      </x:c>
      <x:c r="BD25" s="107" t="n">
        <x:f>BD23*BD24/1000</x:f>
      </x:c>
      <x:c r="BE25" s="107" t="n">
        <x:f>BE23*BE24/1000</x:f>
      </x:c>
      <x:c r="BF25" s="107" t="n">
        <x:f>BF23*BF24/1000</x:f>
      </x:c>
      <x:c r="BG25" s="107" t="n">
        <x:f>BG23*BG24/1000</x:f>
      </x:c>
      <x:c r="BH25" s="107" t="n">
        <x:f>BH23*BH24/1000</x:f>
      </x:c>
      <x:c r="BI25" s="107" t="n">
        <x:f>BI23*BI24/1000</x:f>
      </x:c>
      <x:c r="BJ25" s="107" t="n">
        <x:f>BJ23*BJ24/1000</x:f>
      </x:c>
      <x:c r="BK25" s="107" t="n">
        <x:f>BK23*BK24/1000</x:f>
      </x:c>
      <x:c r="BL25" s="107" t="n">
        <x:f>BL23*BL24/1000</x:f>
      </x:c>
      <x:c r="BM25" s="107" t="n">
        <x:f>BM23*BM24/1000</x:f>
      </x:c>
      <x:c r="BN25" s="107" t="n">
        <x:f>BN23*BN24/1000</x:f>
      </x:c>
      <x:c r="BO25" s="107" t="n">
        <x:f>BO23*BO24/1000</x:f>
      </x:c>
      <x:c r="BP25" s="107" t="n">
        <x:f>BP23*BP24/1000</x:f>
      </x:c>
      <x:c r="BQ25" s="107" t="n">
        <x:f>BQ23*BQ24/1000</x:f>
      </x:c>
      <x:c r="BR25" s="107" t="n">
        <x:f>BR23*BR24/1000</x:f>
      </x:c>
      <x:c r="BS25" s="107" t="n">
        <x:f>BS23*BS24/1000</x:f>
      </x:c>
      <x:c r="BT25" s="107" t="n">
        <x:f>BT23*BT24/1000</x:f>
      </x:c>
      <x:c r="BU25" s="107" t="n">
        <x:f>BU23*BU24/1000</x:f>
      </x:c>
      <x:c r="BV25" s="107" t="n">
        <x:f>BV23*BV24/1000</x:f>
      </x:c>
      <x:c r="BW25" s="107" t="n">
        <x:f>BW23*BW24/1000</x:f>
      </x:c>
      <x:c r="BX25" s="107" t="n">
        <x:f>BX23*BX24/1000</x:f>
      </x:c>
      <x:c r="BY25" s="107" t="n">
        <x:f>BY23*BY24/1000</x:f>
      </x:c>
      <x:c r="BZ25" s="107" t="n">
        <x:f>BZ23*BZ24/1000</x:f>
      </x:c>
      <x:c r="CA25" s="107" t="n">
        <x:f>CA23*CA24/1000</x:f>
      </x:c>
      <x:c r="CB25" s="107" t="n">
        <x:f>CB23*CB24/1000</x:f>
      </x:c>
      <x:c r="CC25" s="107" t="n">
        <x:f>CC23*CC24/1000</x:f>
      </x:c>
      <x:c r="CD25" s="107" t="n">
        <x:f>CD23*CD24/1000</x:f>
      </x:c>
      <x:c r="CE25" s="107" t="n">
        <x:f>CE23*CE24/1000</x:f>
      </x:c>
      <x:c r="CF25" s="107" t="n">
        <x:f>CF23*CF24/1000</x:f>
      </x:c>
      <x:c r="CG25" s="107" t="n">
        <x:f>CG23*CG24/1000</x:f>
      </x:c>
      <x:c r="CH25" s="107" t="n">
        <x:f>CH23*CH24/1000</x:f>
      </x:c>
      <x:c r="CI25" s="107" t="n">
        <x:f>CI23*CI24/1000</x:f>
      </x:c>
      <x:c r="CJ25" s="107" t="n">
        <x:f>CJ23*CJ24/1000</x:f>
      </x:c>
      <x:c r="CK25" s="107" t="n">
        <x:f>CK23*CK24/1000</x:f>
      </x:c>
      <x:c r="CL25" s="107" t="n">
        <x:f>CL23*CL24/1000</x:f>
      </x:c>
      <x:c r="CM25" s="107" t="n">
        <x:f>CM23*CM24/1000</x:f>
      </x:c>
      <x:c r="CN25" s="107" t="n">
        <x:f>CN23*CN24/1000</x:f>
      </x:c>
      <x:c r="CO25" s="107" t="n">
        <x:f>CO23*CO24/1000</x:f>
      </x:c>
      <x:c r="CP25" s="107" t="n">
        <x:f>CP23*CP24/1000</x:f>
      </x:c>
      <x:c r="CQ25" s="107" t="n">
        <x:f>CQ23*CQ24/1000</x:f>
      </x:c>
      <x:c r="CR25" s="107" t="n">
        <x:f>CR23*CR24/1000</x:f>
      </x:c>
      <x:c r="CS25" s="107" t="n">
        <x:f>CS23*CS24/1000</x:f>
      </x:c>
      <x:c r="CT25" s="107" t="n">
        <x:f>CT23*CT24/1000</x:f>
      </x:c>
      <x:c r="CU25" s="107" t="n">
        <x:f>CU23*CU24/1000</x:f>
      </x:c>
      <x:c r="CV25" s="107" t="n">
        <x:f>CV23*CV24/1000</x:f>
      </x:c>
      <x:c r="CW25" s="107" t="n">
        <x:f>CW23*CW24/1000</x:f>
      </x:c>
      <x:c r="CX25" s="107" t="n">
        <x:f>CX23*CX24/1000</x:f>
      </x:c>
      <x:c r="CY25" s="107" t="n">
        <x:f>CY23*CY24/1000</x:f>
      </x:c>
      <x:c r="CZ25" s="107" t="n">
        <x:f>CZ23*CZ24/1000</x:f>
      </x:c>
      <x:c r="DA25" s="107" t="n">
        <x:f>DA23*DA24/1000</x:f>
      </x:c>
      <x:c r="DB25" s="107" t="n">
        <x:f>DB23*DB24/1000</x:f>
      </x:c>
      <x:c r="DC25" s="107" t="n">
        <x:f>DC23*DC24/1000</x:f>
      </x:c>
      <x:c r="DD25" s="107" t="n">
        <x:f>DD23*DD24/1000</x:f>
      </x:c>
      <x:c r="DE25" s="107" t="n">
        <x:f>DE23*DE24/1000</x:f>
      </x:c>
      <x:c r="DF25" s="107" t="n">
        <x:f>DF23*DF24/1000</x:f>
      </x:c>
      <x:c r="DG25" s="107" t="n">
        <x:f>DG23*DG24/1000</x:f>
      </x:c>
      <x:c r="DH25" s="107" t="n">
        <x:f>DH23*DH24/1000</x:f>
      </x:c>
      <x:c r="DI25" s="107" t="n">
        <x:f>DI23*DI24/1000</x:f>
      </x:c>
      <x:c r="DJ25" s="107" t="n">
        <x:f>DJ23*DJ24/1000</x:f>
      </x:c>
      <x:c r="DK25" s="107" t="n">
        <x:f>DK23*DK24/1000</x:f>
      </x:c>
      <x:c r="DL25" s="107" t="n">
        <x:f>DL23*DL24/1000</x:f>
      </x:c>
      <x:c r="DM25" s="107" t="n">
        <x:f>DM23*DM24/1000</x:f>
      </x:c>
      <x:c r="DN25" s="107" t="n">
        <x:f>DN23*DN24/1000</x:f>
      </x:c>
      <x:c r="DO25" s="107" t="n">
        <x:f>DO23*DO24/1000</x:f>
      </x:c>
      <x:c r="DP25" s="107" t="n">
        <x:f>DP23*DP24/1000</x:f>
      </x:c>
      <x:c r="DQ25" s="107" t="n">
        <x:f>DQ23*DQ24/1000</x:f>
      </x:c>
      <x:c r="DR25" s="107" t="n">
        <x:f>DR23*DR24/1000</x:f>
      </x:c>
      <x:c r="DS25" s="107" t="n">
        <x:f>DS23*DS24/1000</x:f>
      </x:c>
      <x:c r="DT25" s="107" t="n">
        <x:f>DT23*DT24/1000</x:f>
      </x:c>
      <x:c r="DU25" s="107" t="n">
        <x:f>DU23*DU24/1000</x:f>
      </x:c>
      <x:c r="DV25" s="107" t="n">
        <x:f>DV23*DV24/1000</x:f>
      </x:c>
      <x:c r="DW25" s="107" t="n">
        <x:f>DW23*DW24/1000</x:f>
      </x:c>
      <x:c r="DX25" s="107" t="n">
        <x:f>DX23*DX24/1000</x:f>
      </x:c>
      <x:c r="DY25" s="107" t="n">
        <x:f>DY23*DY24/1000</x:f>
      </x:c>
      <x:c r="DZ25" s="107" t="n">
        <x:f>DZ23*DZ24/1000</x:f>
      </x:c>
      <x:c r="EA25" s="107" t="n">
        <x:f>EA23*EA24/1000</x:f>
      </x:c>
      <x:c r="EB25" s="107" t="n">
        <x:f>EB23*EB24/1000</x:f>
      </x:c>
      <x:c r="EC25" s="107" t="n">
        <x:f>EC23*EC24/1000</x:f>
      </x:c>
      <x:c r="ED25" s="107" t="n">
        <x:f>ED23*ED24/1000</x:f>
      </x:c>
      <x:c r="EE25" s="107" t="n">
        <x:f>EE23*EE24/1000</x:f>
      </x:c>
      <x:c r="EF25" s="107" t="n">
        <x:f>EF23*EF24/1000</x:f>
      </x:c>
      <x:c r="EG25" s="107" t="n">
        <x:f>EG23*EG24/1000</x:f>
      </x:c>
      <x:c r="EH25" s="107" t="n">
        <x:f>EH23*EH24/1000</x:f>
      </x:c>
      <x:c r="EI25" s="107" t="n">
        <x:f>EI23*EI24/1000</x:f>
      </x:c>
      <x:c r="EJ25" s="107" t="n">
        <x:f>EJ23*EJ24/1000</x:f>
      </x:c>
      <x:c r="EK25" s="107" t="n">
        <x:f>EK23*EK24/1000</x:f>
      </x:c>
      <x:c r="EL25" s="107" t="n">
        <x:f>EL23*EL24/1000</x:f>
      </x:c>
      <x:c r="EM25" s="107" t="n">
        <x:f>EM23*EM24/1000</x:f>
      </x:c>
      <x:c r="EN25" s="107" t="n">
        <x:f>EN23*EN24/1000</x:f>
      </x:c>
      <x:c r="EO25" s="107" t="n">
        <x:f>EO23*EO24/1000</x:f>
      </x:c>
      <x:c r="EP25" s="107" t="n">
        <x:f>EP23*EP24/1000</x:f>
      </x:c>
      <x:c r="EQ25" s="107" t="n">
        <x:f>EQ23*EQ24/1000</x:f>
      </x:c>
      <x:c r="ER25" s="107" t="n">
        <x:f>ER23*ER24/1000</x:f>
      </x:c>
      <x:c r="ES25" s="107" t="n">
        <x:f>ES23*ES24/1000</x:f>
      </x:c>
      <x:c r="ET25" s="107" t="n">
        <x:f>ET23*ET24/1000</x:f>
      </x:c>
      <x:c r="EU25" s="107" t="n">
        <x:f>EU23*EU24/1000</x:f>
      </x:c>
      <x:c r="EV25" s="107" t="n">
        <x:f>EV23*EV24/1000</x:f>
      </x:c>
      <x:c r="EW25" s="107" t="n">
        <x:f>EW23*EW24/1000</x:f>
      </x:c>
      <x:c r="EX25" s="107" t="n">
        <x:f>EX23*EX24/1000</x:f>
      </x:c>
      <x:c r="EY25" s="107" t="n">
        <x:f>EY23*EY24/1000</x:f>
      </x:c>
      <x:c r="EZ25" s="107" t="n">
        <x:f>EZ23*EZ24/1000</x:f>
      </x:c>
      <x:c r="FA25" s="107" t="n">
        <x:f>FA23*FA24/1000</x:f>
      </x:c>
      <x:c r="FB25" s="107" t="n">
        <x:f>FB23*FB24/1000</x:f>
      </x:c>
      <x:c r="FC25" s="107" t="n">
        <x:f>FC23*FC24/1000</x:f>
      </x:c>
      <x:c r="FD25" s="107" t="n">
        <x:f>FD23*FD24/1000</x:f>
      </x:c>
      <x:c r="FE25" s="107" t="n">
        <x:f>FE23*FE24/1000</x:f>
      </x:c>
      <x:c r="FF25" s="107" t="n">
        <x:f>FF23*FF24/1000</x:f>
      </x:c>
      <x:c r="FG25" s="107" t="n">
        <x:f>FG23*FG24/1000</x:f>
      </x:c>
      <x:c r="FH25" s="107" t="n">
        <x:f>FH23*FH24/1000</x:f>
      </x:c>
      <x:c r="FI25" s="107" t="n">
        <x:f>FI23*FI24/1000</x:f>
      </x:c>
      <x:c r="FJ25" s="107" t="n">
        <x:f>FJ23*FJ24/1000</x:f>
      </x:c>
      <x:c r="FK25" s="107" t="n">
        <x:f>FK23*FK24/1000</x:f>
      </x:c>
      <x:c r="FL25" s="107" t="n">
        <x:f>FL23*FL24/1000</x:f>
      </x:c>
      <x:c r="FM25" s="107" t="n">
        <x:f>FM23*FM24/1000</x:f>
      </x:c>
      <x:c r="FN25" s="107" t="n">
        <x:f>FN23*FN24/1000</x:f>
      </x:c>
      <x:c r="FO25" s="107" t="n">
        <x:f>FO23*FO24/1000</x:f>
      </x:c>
      <x:c r="FP25" s="107" t="n">
        <x:f>FP23*FP24/1000</x:f>
      </x:c>
      <x:c r="FQ25" s="107" t="n">
        <x:f>FQ23*FQ24/1000</x:f>
      </x:c>
      <x:c r="FR25" s="107" t="n">
        <x:f>FR23*FR24/1000</x:f>
      </x:c>
      <x:c r="FS25" s="107" t="n">
        <x:f>FS23*FS24/1000</x:f>
      </x:c>
      <x:c r="FT25" s="107" t="n">
        <x:f>FT23*FT24/1000</x:f>
      </x:c>
      <x:c r="FU25" s="107" t="n">
        <x:f>FU23*FU24/1000</x:f>
      </x:c>
      <x:c r="FV25" s="107" t="n">
        <x:f>FV23*FV24/1000</x:f>
      </x:c>
      <x:c r="FW25" s="107" t="n">
        <x:f>FW23*FW24/1000</x:f>
      </x:c>
      <x:c r="FX25" s="107" t="n">
        <x:f>FX23*FX24/1000</x:f>
      </x:c>
      <x:c r="FY25" s="107" t="n">
        <x:f>FY23*FY24/1000</x:f>
      </x:c>
      <x:c r="FZ25" s="107" t="n">
        <x:f>FZ23*FZ24/1000</x:f>
      </x:c>
      <x:c r="GA25" s="107" t="n">
        <x:f>GA23*GA24/1000</x:f>
      </x:c>
    </x:row>
    <x:row r="26">
      <x:c r="A26" s="113" t="str">
        <x:v>ВЫРУЧКА ОЧЕРЕДИ</x:v>
      </x:c>
      <x:c r="B26" s="113" t="n">
        <x:f>SUM(D26:GA26)</x:f>
      </x:c>
      <x:c r="C26" s="113" t="str">
        <x:v>млн ₽</x:v>
      </x:c>
      <x:c r="D26" s="113" t="n">
        <x:f>SUM(D16,D19,D22,D25)</x:f>
      </x:c>
      <x:c r="E26" s="113" t="n">
        <x:f>SUM(E16,E19,E22,E25)</x:f>
      </x:c>
      <x:c r="F26" s="113" t="n">
        <x:f>SUM(F16,F19,F22,F25)</x:f>
      </x:c>
      <x:c r="G26" s="113" t="n">
        <x:f>SUM(G16,G19,G22,G25)</x:f>
      </x:c>
      <x:c r="H26" s="113" t="n">
        <x:f>SUM(H16,H19,H22,H25)</x:f>
      </x:c>
      <x:c r="I26" s="113" t="n">
        <x:f>SUM(I16,I19,I22,I25)</x:f>
      </x:c>
      <x:c r="J26" s="113" t="n">
        <x:f>SUM(J16,J19,J22,J25)</x:f>
      </x:c>
      <x:c r="K26" s="113" t="n">
        <x:f>SUM(K16,K19,K22,K25)</x:f>
      </x:c>
      <x:c r="L26" s="113" t="n">
        <x:f>SUM(L16,L19,L22,L25)</x:f>
      </x:c>
      <x:c r="M26" s="113" t="n">
        <x:f>SUM(M16,M19,M22,M25)</x:f>
      </x:c>
      <x:c r="N26" s="113" t="n">
        <x:f>SUM(N16,N19,N22,N25)</x:f>
      </x:c>
      <x:c r="O26" s="113" t="n">
        <x:f>SUM(O16,O19,O22,O25)</x:f>
      </x:c>
      <x:c r="P26" s="113" t="n">
        <x:f>SUM(P16,P19,P22,P25)</x:f>
      </x:c>
      <x:c r="Q26" s="113" t="n">
        <x:f>SUM(Q16,Q19,Q22,Q25)</x:f>
      </x:c>
      <x:c r="R26" s="113" t="n">
        <x:f>SUM(R16,R19,R22,R25)</x:f>
      </x:c>
      <x:c r="S26" s="113" t="n">
        <x:f>SUM(S16,S19,S22,S25)</x:f>
      </x:c>
      <x:c r="T26" s="113" t="n">
        <x:f>SUM(T16,T19,T22,T25)</x:f>
      </x:c>
      <x:c r="U26" s="113" t="n">
        <x:f>SUM(U16,U19,U22,U25)</x:f>
      </x:c>
      <x:c r="V26" s="113" t="n">
        <x:f>SUM(V16,V19,V22,V25)</x:f>
      </x:c>
      <x:c r="W26" s="113" t="n">
        <x:f>SUM(W16,W19,W22,W25)</x:f>
      </x:c>
      <x:c r="X26" s="113" t="n">
        <x:f>SUM(X16,X19,X22,X25)</x:f>
      </x:c>
      <x:c r="Y26" s="113" t="n">
        <x:f>SUM(Y16,Y19,Y22,Y25)</x:f>
      </x:c>
      <x:c r="Z26" s="113" t="n">
        <x:f>SUM(Z16,Z19,Z22,Z25)</x:f>
      </x:c>
      <x:c r="AA26" s="113" t="n">
        <x:f>SUM(AA16,AA19,AA22,AA25)</x:f>
      </x:c>
      <x:c r="AB26" s="113" t="n">
        <x:f>SUM(AB16,AB19,AB22,AB25)</x:f>
      </x:c>
      <x:c r="AC26" s="113" t="n">
        <x:f>SUM(AC16,AC19,AC22,AC25)</x:f>
      </x:c>
      <x:c r="AD26" s="113" t="n">
        <x:f>SUM(AD16,AD19,AD22,AD25)</x:f>
      </x:c>
      <x:c r="AE26" s="113" t="n">
        <x:f>SUM(AE16,AE19,AE22,AE25)</x:f>
      </x:c>
      <x:c r="AF26" s="113" t="n">
        <x:f>SUM(AF16,AF19,AF22,AF25)</x:f>
      </x:c>
      <x:c r="AG26" s="113" t="n">
        <x:f>SUM(AG16,AG19,AG22,AG25)</x:f>
      </x:c>
      <x:c r="AH26" s="113" t="n">
        <x:f>SUM(AH16,AH19,AH22,AH25)</x:f>
      </x:c>
      <x:c r="AI26" s="113" t="n">
        <x:f>SUM(AI16,AI19,AI22,AI25)</x:f>
      </x:c>
      <x:c r="AJ26" s="113" t="n">
        <x:f>SUM(AJ16,AJ19,AJ22,AJ25)</x:f>
      </x:c>
      <x:c r="AK26" s="113" t="n">
        <x:f>SUM(AK16,AK19,AK22,AK25)</x:f>
      </x:c>
      <x:c r="AL26" s="113" t="n">
        <x:f>SUM(AL16,AL19,AL22,AL25)</x:f>
      </x:c>
      <x:c r="AM26" s="113" t="n">
        <x:f>SUM(AM16,AM19,AM22,AM25)</x:f>
      </x:c>
      <x:c r="AN26" s="113" t="n">
        <x:f>SUM(AN16,AN19,AN22,AN25)</x:f>
      </x:c>
      <x:c r="AO26" s="113" t="n">
        <x:f>SUM(AO16,AO19,AO22,AO25)</x:f>
      </x:c>
      <x:c r="AP26" s="113" t="n">
        <x:f>SUM(AP16,AP19,AP22,AP25)</x:f>
      </x:c>
      <x:c r="AQ26" s="113" t="n">
        <x:f>SUM(AQ16,AQ19,AQ22,AQ25)</x:f>
      </x:c>
      <x:c r="AR26" s="113" t="n">
        <x:f>SUM(AR16,AR19,AR22,AR25)</x:f>
      </x:c>
      <x:c r="AS26" s="113" t="n">
        <x:f>SUM(AS16,AS19,AS22,AS25)</x:f>
      </x:c>
      <x:c r="AT26" s="113" t="n">
        <x:f>SUM(AT16,AT19,AT22,AT25)</x:f>
      </x:c>
      <x:c r="AU26" s="113" t="n">
        <x:f>SUM(AU16,AU19,AU22,AU25)</x:f>
      </x:c>
      <x:c r="AV26" s="113" t="n">
        <x:f>SUM(AV16,AV19,AV22,AV25)</x:f>
      </x:c>
      <x:c r="AW26" s="113" t="n">
        <x:f>SUM(AW16,AW19,AW22,AW25)</x:f>
      </x:c>
      <x:c r="AX26" s="113" t="n">
        <x:f>SUM(AX16,AX19,AX22,AX25)</x:f>
      </x:c>
      <x:c r="AY26" s="113" t="n">
        <x:f>SUM(AY16,AY19,AY22,AY25)</x:f>
      </x:c>
      <x:c r="AZ26" s="113" t="n">
        <x:f>SUM(AZ16,AZ19,AZ22,AZ25)</x:f>
      </x:c>
      <x:c r="BA26" s="113" t="n">
        <x:f>SUM(BA16,BA19,BA22,BA25)</x:f>
      </x:c>
      <x:c r="BB26" s="113" t="n">
        <x:f>SUM(BB16,BB19,BB22,BB25)</x:f>
      </x:c>
      <x:c r="BC26" s="113" t="n">
        <x:f>SUM(BC16,BC19,BC22,BC25)</x:f>
      </x:c>
      <x:c r="BD26" s="113" t="n">
        <x:f>SUM(BD16,BD19,BD22,BD25)</x:f>
      </x:c>
      <x:c r="BE26" s="113" t="n">
        <x:f>SUM(BE16,BE19,BE22,BE25)</x:f>
      </x:c>
      <x:c r="BF26" s="113" t="n">
        <x:f>SUM(BF16,BF19,BF22,BF25)</x:f>
      </x:c>
      <x:c r="BG26" s="113" t="n">
        <x:f>SUM(BG16,BG19,BG22,BG25)</x:f>
      </x:c>
      <x:c r="BH26" s="113" t="n">
        <x:f>SUM(BH16,BH19,BH22,BH25)</x:f>
      </x:c>
      <x:c r="BI26" s="113" t="n">
        <x:f>SUM(BI16,BI19,BI22,BI25)</x:f>
      </x:c>
      <x:c r="BJ26" s="113" t="n">
        <x:f>SUM(BJ16,BJ19,BJ22,BJ25)</x:f>
      </x:c>
      <x:c r="BK26" s="113" t="n">
        <x:f>SUM(BK16,BK19,BK22,BK25)</x:f>
      </x:c>
      <x:c r="BL26" s="113" t="n">
        <x:f>SUM(BL16,BL19,BL22,BL25)</x:f>
      </x:c>
      <x:c r="BM26" s="113" t="n">
        <x:f>SUM(BM16,BM19,BM22,BM25)</x:f>
      </x:c>
      <x:c r="BN26" s="113" t="n">
        <x:f>SUM(BN16,BN19,BN22,BN25)</x:f>
      </x:c>
      <x:c r="BO26" s="113" t="n">
        <x:f>SUM(BO16,BO19,BO22,BO25)</x:f>
      </x:c>
      <x:c r="BP26" s="113" t="n">
        <x:f>SUM(BP16,BP19,BP22,BP25)</x:f>
      </x:c>
      <x:c r="BQ26" s="113" t="n">
        <x:f>SUM(BQ16,BQ19,BQ22,BQ25)</x:f>
      </x:c>
      <x:c r="BR26" s="113" t="n">
        <x:f>SUM(BR16,BR19,BR22,BR25)</x:f>
      </x:c>
      <x:c r="BS26" s="113" t="n">
        <x:f>SUM(BS16,BS19,BS22,BS25)</x:f>
      </x:c>
      <x:c r="BT26" s="113" t="n">
        <x:f>SUM(BT16,BT19,BT22,BT25)</x:f>
      </x:c>
      <x:c r="BU26" s="113" t="n">
        <x:f>SUM(BU16,BU19,BU22,BU25)</x:f>
      </x:c>
      <x:c r="BV26" s="113" t="n">
        <x:f>SUM(BV16,BV19,BV22,BV25)</x:f>
      </x:c>
      <x:c r="BW26" s="113" t="n">
        <x:f>SUM(BW16,BW19,BW22,BW25)</x:f>
      </x:c>
      <x:c r="BX26" s="113" t="n">
        <x:f>SUM(BX16,BX19,BX22,BX25)</x:f>
      </x:c>
      <x:c r="BY26" s="113" t="n">
        <x:f>SUM(BY16,BY19,BY22,BY25)</x:f>
      </x:c>
      <x:c r="BZ26" s="113" t="n">
        <x:f>SUM(BZ16,BZ19,BZ22,BZ25)</x:f>
      </x:c>
      <x:c r="CA26" s="113" t="n">
        <x:f>SUM(CA16,CA19,CA22,CA25)</x:f>
      </x:c>
      <x:c r="CB26" s="113" t="n">
        <x:f>SUM(CB16,CB19,CB22,CB25)</x:f>
      </x:c>
      <x:c r="CC26" s="113" t="n">
        <x:f>SUM(CC16,CC19,CC22,CC25)</x:f>
      </x:c>
      <x:c r="CD26" s="113" t="n">
        <x:f>SUM(CD16,CD19,CD22,CD25)</x:f>
      </x:c>
      <x:c r="CE26" s="113" t="n">
        <x:f>SUM(CE16,CE19,CE22,CE25)</x:f>
      </x:c>
      <x:c r="CF26" s="113" t="n">
        <x:f>SUM(CF16,CF19,CF22,CF25)</x:f>
      </x:c>
      <x:c r="CG26" s="113" t="n">
        <x:f>SUM(CG16,CG19,CG22,CG25)</x:f>
      </x:c>
      <x:c r="CH26" s="113" t="n">
        <x:f>SUM(CH16,CH19,CH22,CH25)</x:f>
      </x:c>
      <x:c r="CI26" s="113" t="n">
        <x:f>SUM(CI16,CI19,CI22,CI25)</x:f>
      </x:c>
      <x:c r="CJ26" s="113" t="n">
        <x:f>SUM(CJ16,CJ19,CJ22,CJ25)</x:f>
      </x:c>
      <x:c r="CK26" s="113" t="n">
        <x:f>SUM(CK16,CK19,CK22,CK25)</x:f>
      </x:c>
      <x:c r="CL26" s="113" t="n">
        <x:f>SUM(CL16,CL19,CL22,CL25)</x:f>
      </x:c>
      <x:c r="CM26" s="113" t="n">
        <x:f>SUM(CM16,CM19,CM22,CM25)</x:f>
      </x:c>
      <x:c r="CN26" s="113" t="n">
        <x:f>SUM(CN16,CN19,CN22,CN25)</x:f>
      </x:c>
      <x:c r="CO26" s="113" t="n">
        <x:f>SUM(CO16,CO19,CO22,CO25)</x:f>
      </x:c>
      <x:c r="CP26" s="113" t="n">
        <x:f>SUM(CP16,CP19,CP22,CP25)</x:f>
      </x:c>
      <x:c r="CQ26" s="113" t="n">
        <x:f>SUM(CQ16,CQ19,CQ22,CQ25)</x:f>
      </x:c>
      <x:c r="CR26" s="113" t="n">
        <x:f>SUM(CR16,CR19,CR22,CR25)</x:f>
      </x:c>
      <x:c r="CS26" s="113" t="n">
        <x:f>SUM(CS16,CS19,CS22,CS25)</x:f>
      </x:c>
      <x:c r="CT26" s="113" t="n">
        <x:f>SUM(CT16,CT19,CT22,CT25)</x:f>
      </x:c>
      <x:c r="CU26" s="113" t="n">
        <x:f>SUM(CU16,CU19,CU22,CU25)</x:f>
      </x:c>
      <x:c r="CV26" s="113" t="n">
        <x:f>SUM(CV16,CV19,CV22,CV25)</x:f>
      </x:c>
      <x:c r="CW26" s="113" t="n">
        <x:f>SUM(CW16,CW19,CW22,CW25)</x:f>
      </x:c>
      <x:c r="CX26" s="113" t="n">
        <x:f>SUM(CX16,CX19,CX22,CX25)</x:f>
      </x:c>
      <x:c r="CY26" s="113" t="n">
        <x:f>SUM(CY16,CY19,CY22,CY25)</x:f>
      </x:c>
      <x:c r="CZ26" s="113" t="n">
        <x:f>SUM(CZ16,CZ19,CZ22,CZ25)</x:f>
      </x:c>
      <x:c r="DA26" s="113" t="n">
        <x:f>SUM(DA16,DA19,DA22,DA25)</x:f>
      </x:c>
      <x:c r="DB26" s="113" t="n">
        <x:f>SUM(DB16,DB19,DB22,DB25)</x:f>
      </x:c>
      <x:c r="DC26" s="113" t="n">
        <x:f>SUM(DC16,DC19,DC22,DC25)</x:f>
      </x:c>
      <x:c r="DD26" s="113" t="n">
        <x:f>SUM(DD16,DD19,DD22,DD25)</x:f>
      </x:c>
      <x:c r="DE26" s="113" t="n">
        <x:f>SUM(DE16,DE19,DE22,DE25)</x:f>
      </x:c>
      <x:c r="DF26" s="113" t="n">
        <x:f>SUM(DF16,DF19,DF22,DF25)</x:f>
      </x:c>
      <x:c r="DG26" s="113" t="n">
        <x:f>SUM(DG16,DG19,DG22,DG25)</x:f>
      </x:c>
      <x:c r="DH26" s="113" t="n">
        <x:f>SUM(DH16,DH19,DH22,DH25)</x:f>
      </x:c>
      <x:c r="DI26" s="113" t="n">
        <x:f>SUM(DI16,DI19,DI22,DI25)</x:f>
      </x:c>
      <x:c r="DJ26" s="113" t="n">
        <x:f>SUM(DJ16,DJ19,DJ22,DJ25)</x:f>
      </x:c>
      <x:c r="DK26" s="113" t="n">
        <x:f>SUM(DK16,DK19,DK22,DK25)</x:f>
      </x:c>
      <x:c r="DL26" s="113" t="n">
        <x:f>SUM(DL16,DL19,DL22,DL25)</x:f>
      </x:c>
      <x:c r="DM26" s="113" t="n">
        <x:f>SUM(DM16,DM19,DM22,DM25)</x:f>
      </x:c>
      <x:c r="DN26" s="113" t="n">
        <x:f>SUM(DN16,DN19,DN22,DN25)</x:f>
      </x:c>
      <x:c r="DO26" s="113" t="n">
        <x:f>SUM(DO16,DO19,DO22,DO25)</x:f>
      </x:c>
      <x:c r="DP26" s="113" t="n">
        <x:f>SUM(DP16,DP19,DP22,DP25)</x:f>
      </x:c>
      <x:c r="DQ26" s="113" t="n">
        <x:f>SUM(DQ16,DQ19,DQ22,DQ25)</x:f>
      </x:c>
      <x:c r="DR26" s="113" t="n">
        <x:f>SUM(DR16,DR19,DR22,DR25)</x:f>
      </x:c>
      <x:c r="DS26" s="113" t="n">
        <x:f>SUM(DS16,DS19,DS22,DS25)</x:f>
      </x:c>
      <x:c r="DT26" s="113" t="n">
        <x:f>SUM(DT16,DT19,DT22,DT25)</x:f>
      </x:c>
      <x:c r="DU26" s="113" t="n">
        <x:f>SUM(DU16,DU19,DU22,DU25)</x:f>
      </x:c>
      <x:c r="DV26" s="113" t="n">
        <x:f>SUM(DV16,DV19,DV22,DV25)</x:f>
      </x:c>
      <x:c r="DW26" s="113" t="n">
        <x:f>SUM(DW16,DW19,DW22,DW25)</x:f>
      </x:c>
      <x:c r="DX26" s="113" t="n">
        <x:f>SUM(DX16,DX19,DX22,DX25)</x:f>
      </x:c>
      <x:c r="DY26" s="113" t="n">
        <x:f>SUM(DY16,DY19,DY22,DY25)</x:f>
      </x:c>
      <x:c r="DZ26" s="113" t="n">
        <x:f>SUM(DZ16,DZ19,DZ22,DZ25)</x:f>
      </x:c>
      <x:c r="EA26" s="113" t="n">
        <x:f>SUM(EA16,EA19,EA22,EA25)</x:f>
      </x:c>
      <x:c r="EB26" s="113" t="n">
        <x:f>SUM(EB16,EB19,EB22,EB25)</x:f>
      </x:c>
      <x:c r="EC26" s="113" t="n">
        <x:f>SUM(EC16,EC19,EC22,EC25)</x:f>
      </x:c>
      <x:c r="ED26" s="113" t="n">
        <x:f>SUM(ED16,ED19,ED22,ED25)</x:f>
      </x:c>
      <x:c r="EE26" s="113" t="n">
        <x:f>SUM(EE16,EE19,EE22,EE25)</x:f>
      </x:c>
      <x:c r="EF26" s="113" t="n">
        <x:f>SUM(EF16,EF19,EF22,EF25)</x:f>
      </x:c>
      <x:c r="EG26" s="113" t="n">
        <x:f>SUM(EG16,EG19,EG22,EG25)</x:f>
      </x:c>
      <x:c r="EH26" s="113" t="n">
        <x:f>SUM(EH16,EH19,EH22,EH25)</x:f>
      </x:c>
      <x:c r="EI26" s="113" t="n">
        <x:f>SUM(EI16,EI19,EI22,EI25)</x:f>
      </x:c>
      <x:c r="EJ26" s="113" t="n">
        <x:f>SUM(EJ16,EJ19,EJ22,EJ25)</x:f>
      </x:c>
      <x:c r="EK26" s="113" t="n">
        <x:f>SUM(EK16,EK19,EK22,EK25)</x:f>
      </x:c>
      <x:c r="EL26" s="113" t="n">
        <x:f>SUM(EL16,EL19,EL22,EL25)</x:f>
      </x:c>
      <x:c r="EM26" s="113" t="n">
        <x:f>SUM(EM16,EM19,EM22,EM25)</x:f>
      </x:c>
      <x:c r="EN26" s="113" t="n">
        <x:f>SUM(EN16,EN19,EN22,EN25)</x:f>
      </x:c>
      <x:c r="EO26" s="113" t="n">
        <x:f>SUM(EO16,EO19,EO22,EO25)</x:f>
      </x:c>
      <x:c r="EP26" s="113" t="n">
        <x:f>SUM(EP16,EP19,EP22,EP25)</x:f>
      </x:c>
      <x:c r="EQ26" s="113" t="n">
        <x:f>SUM(EQ16,EQ19,EQ22,EQ25)</x:f>
      </x:c>
      <x:c r="ER26" s="113" t="n">
        <x:f>SUM(ER16,ER19,ER22,ER25)</x:f>
      </x:c>
      <x:c r="ES26" s="113" t="n">
        <x:f>SUM(ES16,ES19,ES22,ES25)</x:f>
      </x:c>
      <x:c r="ET26" s="113" t="n">
        <x:f>SUM(ET16,ET19,ET22,ET25)</x:f>
      </x:c>
      <x:c r="EU26" s="113" t="n">
        <x:f>SUM(EU16,EU19,EU22,EU25)</x:f>
      </x:c>
      <x:c r="EV26" s="113" t="n">
        <x:f>SUM(EV16,EV19,EV22,EV25)</x:f>
      </x:c>
      <x:c r="EW26" s="113" t="n">
        <x:f>SUM(EW16,EW19,EW22,EW25)</x:f>
      </x:c>
      <x:c r="EX26" s="113" t="n">
        <x:f>SUM(EX16,EX19,EX22,EX25)</x:f>
      </x:c>
      <x:c r="EY26" s="113" t="n">
        <x:f>SUM(EY16,EY19,EY22,EY25)</x:f>
      </x:c>
      <x:c r="EZ26" s="113" t="n">
        <x:f>SUM(EZ16,EZ19,EZ22,EZ25)</x:f>
      </x:c>
      <x:c r="FA26" s="113" t="n">
        <x:f>SUM(FA16,FA19,FA22,FA25)</x:f>
      </x:c>
      <x:c r="FB26" s="113" t="n">
        <x:f>SUM(FB16,FB19,FB22,FB25)</x:f>
      </x:c>
      <x:c r="FC26" s="113" t="n">
        <x:f>SUM(FC16,FC19,FC22,FC25)</x:f>
      </x:c>
      <x:c r="FD26" s="113" t="n">
        <x:f>SUM(FD16,FD19,FD22,FD25)</x:f>
      </x:c>
      <x:c r="FE26" s="113" t="n">
        <x:f>SUM(FE16,FE19,FE22,FE25)</x:f>
      </x:c>
      <x:c r="FF26" s="113" t="n">
        <x:f>SUM(FF16,FF19,FF22,FF25)</x:f>
      </x:c>
      <x:c r="FG26" s="113" t="n">
        <x:f>SUM(FG16,FG19,FG22,FG25)</x:f>
      </x:c>
      <x:c r="FH26" s="113" t="n">
        <x:f>SUM(FH16,FH19,FH22,FH25)</x:f>
      </x:c>
      <x:c r="FI26" s="113" t="n">
        <x:f>SUM(FI16,FI19,FI22,FI25)</x:f>
      </x:c>
      <x:c r="FJ26" s="113" t="n">
        <x:f>SUM(FJ16,FJ19,FJ22,FJ25)</x:f>
      </x:c>
      <x:c r="FK26" s="113" t="n">
        <x:f>SUM(FK16,FK19,FK22,FK25)</x:f>
      </x:c>
      <x:c r="FL26" s="113" t="n">
        <x:f>SUM(FL16,FL19,FL22,FL25)</x:f>
      </x:c>
      <x:c r="FM26" s="113" t="n">
        <x:f>SUM(FM16,FM19,FM22,FM25)</x:f>
      </x:c>
      <x:c r="FN26" s="113" t="n">
        <x:f>SUM(FN16,FN19,FN22,FN25)</x:f>
      </x:c>
      <x:c r="FO26" s="113" t="n">
        <x:f>SUM(FO16,FO19,FO22,FO25)</x:f>
      </x:c>
      <x:c r="FP26" s="113" t="n">
        <x:f>SUM(FP16,FP19,FP22,FP25)</x:f>
      </x:c>
      <x:c r="FQ26" s="113" t="n">
        <x:f>SUM(FQ16,FQ19,FQ22,FQ25)</x:f>
      </x:c>
      <x:c r="FR26" s="113" t="n">
        <x:f>SUM(FR16,FR19,FR22,FR25)</x:f>
      </x:c>
      <x:c r="FS26" s="113" t="n">
        <x:f>SUM(FS16,FS19,FS22,FS25)</x:f>
      </x:c>
      <x:c r="FT26" s="113" t="n">
        <x:f>SUM(FT16,FT19,FT22,FT25)</x:f>
      </x:c>
      <x:c r="FU26" s="113" t="n">
        <x:f>SUM(FU16,FU19,FU22,FU25)</x:f>
      </x:c>
      <x:c r="FV26" s="113" t="n">
        <x:f>SUM(FV16,FV19,FV22,FV25)</x:f>
      </x:c>
      <x:c r="FW26" s="113" t="n">
        <x:f>SUM(FW16,FW19,FW22,FW25)</x:f>
      </x:c>
      <x:c r="FX26" s="113" t="n">
        <x:f>SUM(FX16,FX19,FX22,FX25)</x:f>
      </x:c>
      <x:c r="FY26" s="113" t="n">
        <x:f>SUM(FY16,FY19,FY22,FY25)</x:f>
      </x:c>
      <x:c r="FZ26" s="113" t="n">
        <x:f>SUM(FZ16,FZ19,FZ22,FZ25)</x:f>
      </x:c>
      <x:c r="GA26" s="113" t="n">
        <x:f>SUM(GA16,GA19,GA22,GA25)</x:f>
      </x:c>
    </x:row>
    <x:row r="29" ht="21" customHeight="1">
      <x:c r="A29" s="52" t="str">
        <x:v>ОЧЕРЕДЬ 2</x:v>
      </x:c>
      <x:c r="B29" s="53" t="str">
        <x:v>ОЧЕРЕДЬ 2</x:v>
      </x:c>
      <x:c r="C29" s="53" t="str">
        <x:v>ОЧЕРЕДЬ 2</x:v>
      </x:c>
      <x:c r="D29" s="53" t="str">
        <x:v>ОЧЕРЕДЬ 2</x:v>
      </x:c>
      <x:c r="E29" s="53" t="str">
        <x:v>ОЧЕРЕДЬ 2</x:v>
      </x:c>
      <x:c r="F29" s="53" t="str">
        <x:v>ОЧЕРЕДЬ 2</x:v>
      </x:c>
      <x:c r="G29" s="53" t="str">
        <x:v>ОЧЕРЕДЬ 2</x:v>
      </x:c>
      <x:c r="H29" s="53" t="str">
        <x:v>ОЧЕРЕДЬ 2</x:v>
      </x:c>
      <x:c r="I29" s="53" t="str">
        <x:v>ОЧЕРЕДЬ 2</x:v>
      </x:c>
      <x:c r="J29" s="53" t="str">
        <x:v>ОЧЕРЕДЬ 2</x:v>
      </x:c>
      <x:c r="K29" s="53" t="str">
        <x:v>ОЧЕРЕДЬ 2</x:v>
      </x:c>
      <x:c r="L29" s="53" t="str">
        <x:v>ОЧЕРЕДЬ 2</x:v>
      </x:c>
      <x:c r="M29" s="53" t="str">
        <x:v>ОЧЕРЕДЬ 2</x:v>
      </x:c>
      <x:c r="N29" s="53" t="str">
        <x:v>ОЧЕРЕДЬ 2</x:v>
      </x:c>
      <x:c r="O29" s="53" t="str">
        <x:v>ОЧЕРЕДЬ 2</x:v>
      </x:c>
      <x:c r="P29" s="53" t="str">
        <x:v>ОЧЕРЕДЬ 2</x:v>
      </x:c>
      <x:c r="Q29" s="53" t="str">
        <x:v>ОЧЕРЕДЬ 2</x:v>
      </x:c>
      <x:c r="R29" s="53" t="str">
        <x:v>ОЧЕРЕДЬ 2</x:v>
      </x:c>
      <x:c r="S29" s="53" t="str">
        <x:v>ОЧЕРЕДЬ 2</x:v>
      </x:c>
      <x:c r="T29" s="53" t="str">
        <x:v>ОЧЕРЕДЬ 2</x:v>
      </x:c>
      <x:c r="U29" s="53" t="str">
        <x:v>ОЧЕРЕДЬ 2</x:v>
      </x:c>
      <x:c r="V29" s="53" t="str">
        <x:v>ОЧЕРЕДЬ 2</x:v>
      </x:c>
      <x:c r="W29" s="53" t="str">
        <x:v>ОЧЕРЕДЬ 2</x:v>
      </x:c>
      <x:c r="X29" s="53" t="str">
        <x:v>ОЧЕРЕДЬ 2</x:v>
      </x:c>
      <x:c r="Y29" s="53" t="str">
        <x:v>ОЧЕРЕДЬ 2</x:v>
      </x:c>
      <x:c r="Z29" s="53" t="str">
        <x:v>ОЧЕРЕДЬ 2</x:v>
      </x:c>
      <x:c r="AA29" s="53" t="str">
        <x:v>ОЧЕРЕДЬ 2</x:v>
      </x:c>
      <x:c r="AB29" s="53" t="str">
        <x:v>ОЧЕРЕДЬ 2</x:v>
      </x:c>
      <x:c r="AC29" s="53" t="str">
        <x:v>ОЧЕРЕДЬ 2</x:v>
      </x:c>
      <x:c r="AD29" s="53" t="str">
        <x:v>ОЧЕРЕДЬ 2</x:v>
      </x:c>
      <x:c r="AE29" s="53" t="str">
        <x:v>ОЧЕРЕДЬ 2</x:v>
      </x:c>
      <x:c r="AF29" s="53" t="str">
        <x:v>ОЧЕРЕДЬ 2</x:v>
      </x:c>
      <x:c r="AG29" s="53" t="str">
        <x:v>ОЧЕРЕДЬ 2</x:v>
      </x:c>
      <x:c r="AH29" s="53" t="str">
        <x:v>ОЧЕРЕДЬ 2</x:v>
      </x:c>
      <x:c r="AI29" s="53" t="str">
        <x:v>ОЧЕРЕДЬ 2</x:v>
      </x:c>
      <x:c r="AJ29" s="53" t="str">
        <x:v>ОЧЕРЕДЬ 2</x:v>
      </x:c>
      <x:c r="AK29" s="53" t="str">
        <x:v>ОЧЕРЕДЬ 2</x:v>
      </x:c>
      <x:c r="AL29" s="53" t="str">
        <x:v>ОЧЕРЕДЬ 2</x:v>
      </x:c>
      <x:c r="AM29" s="53" t="str">
        <x:v>ОЧЕРЕДЬ 2</x:v>
      </x:c>
      <x:c r="AN29" s="53" t="str">
        <x:v>ОЧЕРЕДЬ 2</x:v>
      </x:c>
      <x:c r="AO29" s="53" t="str">
        <x:v>ОЧЕРЕДЬ 2</x:v>
      </x:c>
      <x:c r="AP29" s="53" t="str">
        <x:v>ОЧЕРЕДЬ 2</x:v>
      </x:c>
      <x:c r="AQ29" s="53" t="str">
        <x:v>ОЧЕРЕДЬ 2</x:v>
      </x:c>
      <x:c r="AR29" s="53" t="str">
        <x:v>ОЧЕРЕДЬ 2</x:v>
      </x:c>
      <x:c r="AS29" s="53" t="str">
        <x:v>ОЧЕРЕДЬ 2</x:v>
      </x:c>
      <x:c r="AT29" s="53" t="str">
        <x:v>ОЧЕРЕДЬ 2</x:v>
      </x:c>
      <x:c r="AU29" s="53" t="str">
        <x:v>ОЧЕРЕДЬ 2</x:v>
      </x:c>
      <x:c r="AV29" s="53" t="str">
        <x:v>ОЧЕРЕДЬ 2</x:v>
      </x:c>
      <x:c r="AW29" s="53" t="str">
        <x:v>ОЧЕРЕДЬ 2</x:v>
      </x:c>
      <x:c r="AX29" s="53" t="str">
        <x:v>ОЧЕРЕДЬ 2</x:v>
      </x:c>
      <x:c r="AY29" s="53" t="str">
        <x:v>ОЧЕРЕДЬ 2</x:v>
      </x:c>
      <x:c r="AZ29" s="53" t="str">
        <x:v>ОЧЕРЕДЬ 2</x:v>
      </x:c>
      <x:c r="BA29" s="53" t="str">
        <x:v>ОЧЕРЕДЬ 2</x:v>
      </x:c>
      <x:c r="BB29" s="53" t="str">
        <x:v>ОЧЕРЕДЬ 2</x:v>
      </x:c>
      <x:c r="BC29" s="53" t="str">
        <x:v>ОЧЕРЕДЬ 2</x:v>
      </x:c>
      <x:c r="BD29" s="53" t="str">
        <x:v>ОЧЕРЕДЬ 2</x:v>
      </x:c>
      <x:c r="BE29" s="53" t="str">
        <x:v>ОЧЕРЕДЬ 2</x:v>
      </x:c>
      <x:c r="BF29" s="53" t="str">
        <x:v>ОЧЕРЕДЬ 2</x:v>
      </x:c>
      <x:c r="BG29" s="53" t="str">
        <x:v>ОЧЕРЕДЬ 2</x:v>
      </x:c>
      <x:c r="BH29" s="53" t="str">
        <x:v>ОЧЕРЕДЬ 2</x:v>
      </x:c>
      <x:c r="BI29" s="53" t="str">
        <x:v>ОЧЕРЕДЬ 2</x:v>
      </x:c>
      <x:c r="BJ29" s="53" t="str">
        <x:v>ОЧЕРЕДЬ 2</x:v>
      </x:c>
      <x:c r="BK29" s="53" t="str">
        <x:v>ОЧЕРЕДЬ 2</x:v>
      </x:c>
      <x:c r="BL29" s="53" t="str">
        <x:v>ОЧЕРЕДЬ 2</x:v>
      </x:c>
      <x:c r="BM29" s="53" t="str">
        <x:v>ОЧЕРЕДЬ 2</x:v>
      </x:c>
      <x:c r="BN29" s="53" t="str">
        <x:v>ОЧЕРЕДЬ 2</x:v>
      </x:c>
      <x:c r="BO29" s="53" t="str">
        <x:v>ОЧЕРЕДЬ 2</x:v>
      </x:c>
      <x:c r="BP29" s="53" t="str">
        <x:v>ОЧЕРЕДЬ 2</x:v>
      </x:c>
      <x:c r="BQ29" s="53" t="str">
        <x:v>ОЧЕРЕДЬ 2</x:v>
      </x:c>
      <x:c r="BR29" s="53" t="str">
        <x:v>ОЧЕРЕДЬ 2</x:v>
      </x:c>
      <x:c r="BS29" s="53" t="str">
        <x:v>ОЧЕРЕДЬ 2</x:v>
      </x:c>
      <x:c r="BT29" s="53" t="str">
        <x:v>ОЧЕРЕДЬ 2</x:v>
      </x:c>
      <x:c r="BU29" s="53" t="str">
        <x:v>ОЧЕРЕДЬ 2</x:v>
      </x:c>
      <x:c r="BV29" s="53" t="str">
        <x:v>ОЧЕРЕДЬ 2</x:v>
      </x:c>
      <x:c r="BW29" s="53" t="str">
        <x:v>ОЧЕРЕДЬ 2</x:v>
      </x:c>
      <x:c r="BX29" s="53" t="str">
        <x:v>ОЧЕРЕДЬ 2</x:v>
      </x:c>
      <x:c r="BY29" s="53" t="str">
        <x:v>ОЧЕРЕДЬ 2</x:v>
      </x:c>
      <x:c r="BZ29" s="53" t="str">
        <x:v>ОЧЕРЕДЬ 2</x:v>
      </x:c>
      <x:c r="CA29" s="53" t="str">
        <x:v>ОЧЕРЕДЬ 2</x:v>
      </x:c>
      <x:c r="CB29" s="53" t="str">
        <x:v>ОЧЕРЕДЬ 2</x:v>
      </x:c>
      <x:c r="CC29" s="53" t="str">
        <x:v>ОЧЕРЕДЬ 2</x:v>
      </x:c>
      <x:c r="CD29" s="53" t="str">
        <x:v>ОЧЕРЕДЬ 2</x:v>
      </x:c>
      <x:c r="CE29" s="53" t="str">
        <x:v>ОЧЕРЕДЬ 2</x:v>
      </x:c>
      <x:c r="CF29" s="53" t="str">
        <x:v>ОЧЕРЕДЬ 2</x:v>
      </x:c>
      <x:c r="CG29" s="53" t="str">
        <x:v>ОЧЕРЕДЬ 2</x:v>
      </x:c>
      <x:c r="CH29" s="53" t="str">
        <x:v>ОЧЕРЕДЬ 2</x:v>
      </x:c>
      <x:c r="CI29" s="53" t="str">
        <x:v>ОЧЕРЕДЬ 2</x:v>
      </x:c>
      <x:c r="CJ29" s="53" t="str">
        <x:v>ОЧЕРЕДЬ 2</x:v>
      </x:c>
      <x:c r="CK29" s="53" t="str">
        <x:v>ОЧЕРЕДЬ 2</x:v>
      </x:c>
      <x:c r="CL29" s="53" t="str">
        <x:v>ОЧЕРЕДЬ 2</x:v>
      </x:c>
      <x:c r="CM29" s="53" t="str">
        <x:v>ОЧЕРЕДЬ 2</x:v>
      </x:c>
      <x:c r="CN29" s="53" t="str">
        <x:v>ОЧЕРЕДЬ 2</x:v>
      </x:c>
      <x:c r="CO29" s="53" t="str">
        <x:v>ОЧЕРЕДЬ 2</x:v>
      </x:c>
      <x:c r="CP29" s="53" t="str">
        <x:v>ОЧЕРЕДЬ 2</x:v>
      </x:c>
      <x:c r="CQ29" s="53" t="str">
        <x:v>ОЧЕРЕДЬ 2</x:v>
      </x:c>
      <x:c r="CR29" s="53" t="str">
        <x:v>ОЧЕРЕДЬ 2</x:v>
      </x:c>
      <x:c r="CS29" s="53" t="str">
        <x:v>ОЧЕРЕДЬ 2</x:v>
      </x:c>
      <x:c r="CT29" s="53" t="str">
        <x:v>ОЧЕРЕДЬ 2</x:v>
      </x:c>
      <x:c r="CU29" s="53" t="str">
        <x:v>ОЧЕРЕДЬ 2</x:v>
      </x:c>
      <x:c r="CV29" s="53" t="str">
        <x:v>ОЧЕРЕДЬ 2</x:v>
      </x:c>
      <x:c r="CW29" s="53" t="str">
        <x:v>ОЧЕРЕДЬ 2</x:v>
      </x:c>
      <x:c r="CX29" s="53" t="str">
        <x:v>ОЧЕРЕДЬ 2</x:v>
      </x:c>
      <x:c r="CY29" s="53" t="str">
        <x:v>ОЧЕРЕДЬ 2</x:v>
      </x:c>
      <x:c r="CZ29" s="53" t="str">
        <x:v>ОЧЕРЕДЬ 2</x:v>
      </x:c>
      <x:c r="DA29" s="53" t="str">
        <x:v>ОЧЕРЕДЬ 2</x:v>
      </x:c>
      <x:c r="DB29" s="53" t="str">
        <x:v>ОЧЕРЕДЬ 2</x:v>
      </x:c>
      <x:c r="DC29" s="53" t="str">
        <x:v>ОЧЕРЕДЬ 2</x:v>
      </x:c>
      <x:c r="DD29" s="53" t="str">
        <x:v>ОЧЕРЕДЬ 2</x:v>
      </x:c>
      <x:c r="DE29" s="53" t="str">
        <x:v>ОЧЕРЕДЬ 2</x:v>
      </x:c>
      <x:c r="DF29" s="53" t="str">
        <x:v>ОЧЕРЕДЬ 2</x:v>
      </x:c>
      <x:c r="DG29" s="53" t="str">
        <x:v>ОЧЕРЕДЬ 2</x:v>
      </x:c>
      <x:c r="DH29" s="53" t="str">
        <x:v>ОЧЕРЕДЬ 2</x:v>
      </x:c>
      <x:c r="DI29" s="53" t="str">
        <x:v>ОЧЕРЕДЬ 2</x:v>
      </x:c>
      <x:c r="DJ29" s="53" t="str">
        <x:v>ОЧЕРЕДЬ 2</x:v>
      </x:c>
      <x:c r="DK29" s="53" t="str">
        <x:v>ОЧЕРЕДЬ 2</x:v>
      </x:c>
      <x:c r="DL29" s="53" t="str">
        <x:v>ОЧЕРЕДЬ 2</x:v>
      </x:c>
      <x:c r="DM29" s="53" t="str">
        <x:v>ОЧЕРЕДЬ 2</x:v>
      </x:c>
      <x:c r="DN29" s="53" t="str">
        <x:v>ОЧЕРЕДЬ 2</x:v>
      </x:c>
      <x:c r="DO29" s="53" t="str">
        <x:v>ОЧЕРЕДЬ 2</x:v>
      </x:c>
      <x:c r="DP29" s="53" t="str">
        <x:v>ОЧЕРЕДЬ 2</x:v>
      </x:c>
      <x:c r="DQ29" s="53" t="str">
        <x:v>ОЧЕРЕДЬ 2</x:v>
      </x:c>
      <x:c r="DR29" s="53" t="str">
        <x:v>ОЧЕРЕДЬ 2</x:v>
      </x:c>
      <x:c r="DS29" s="54" t="str">
        <x:v>ОЧЕРЕДЬ 2</x:v>
      </x:c>
      <x:c r="DT29" s="54" t="str"/>
      <x:c r="DU29" s="54" t="str"/>
      <x:c r="DV29" s="54" t="str"/>
      <x:c r="DW29" s="54" t="str"/>
      <x:c r="DX29" s="54" t="str"/>
      <x:c r="DY29" s="54" t="str"/>
      <x:c r="DZ29" s="54" t="str"/>
      <x:c r="EA29" s="54" t="str"/>
      <x:c r="EB29" s="54" t="str"/>
      <x:c r="EC29" s="54" t="str"/>
      <x:c r="ED29" s="54" t="str"/>
      <x:c r="EE29" s="54" t="str"/>
      <x:c r="EF29" s="54" t="str"/>
      <x:c r="EG29" s="54" t="str"/>
      <x:c r="EH29" s="54" t="str"/>
      <x:c r="EI29" s="54" t="str"/>
      <x:c r="EJ29" s="54" t="str"/>
      <x:c r="EK29" s="54" t="str"/>
      <x:c r="EL29" s="54" t="str"/>
      <x:c r="EM29" s="54" t="str"/>
      <x:c r="EN29" s="54" t="str"/>
      <x:c r="EO29" s="54" t="str"/>
      <x:c r="EP29" s="54" t="str"/>
      <x:c r="EQ29" s="54" t="str"/>
      <x:c r="ER29" s="54" t="str"/>
      <x:c r="ES29" s="54" t="str"/>
      <x:c r="ET29" s="54" t="str"/>
      <x:c r="EU29" s="54" t="str"/>
      <x:c r="EV29" s="54" t="str"/>
      <x:c r="EW29" s="54" t="str"/>
      <x:c r="EX29" s="54" t="str"/>
      <x:c r="EY29" s="54" t="str"/>
      <x:c r="EZ29" s="54" t="str"/>
      <x:c r="FA29" s="54" t="str"/>
      <x:c r="FB29" s="54" t="str"/>
      <x:c r="FC29" s="54" t="str"/>
      <x:c r="FD29" s="54" t="str"/>
      <x:c r="FE29" s="54" t="str"/>
      <x:c r="FF29" s="54" t="str"/>
      <x:c r="FG29" s="54" t="str"/>
      <x:c r="FH29" s="54" t="str"/>
      <x:c r="FI29" s="54" t="str"/>
      <x:c r="FJ29" s="54" t="str"/>
      <x:c r="FK29" s="54" t="str"/>
      <x:c r="FL29" s="54" t="str"/>
      <x:c r="FM29" s="54" t="str"/>
      <x:c r="FN29" s="54" t="str"/>
      <x:c r="FO29" s="54" t="str"/>
      <x:c r="FP29" s="54" t="str"/>
      <x:c r="FQ29" s="54" t="str"/>
      <x:c r="FR29" s="54" t="str"/>
      <x:c r="FS29" s="54" t="str"/>
      <x:c r="FT29" s="54" t="str"/>
      <x:c r="FU29" s="54" t="str"/>
      <x:c r="FV29" s="54" t="str"/>
      <x:c r="FW29" s="54" t="str"/>
      <x:c r="FX29" s="54" t="str"/>
      <x:c r="FY29" s="54" t="str"/>
      <x:c r="FZ29" s="54" t="str"/>
      <x:c r="GA29" s="54" t="str"/>
    </x:row>
    <x:row r="30">
      <x:c r="A30" t="str">
        <x:v>Старт продаж</x:v>
      </x:c>
      <x:c r="B30" s="106" t="n">
        <x:f>EDATE('Вводные'!$D$89,'Вводные'!$E$89+'Вводные'!$G$89+'Вводные'!$H$9)</x:f>
      </x:c>
      <x:c r="C30" t="str">
        <x:v>дата</x:v>
      </x:c>
    </x:row>
    <x:row r="31">
      <x:c r="A31" t="str">
        <x:v>РВЭ</x:v>
      </x:c>
      <x:c r="B31" s="106" t="n">
        <x:f>EDATE('Вводные'!$D$89,'Вводные'!$E$89+'Вводные'!$F$89+'Вводные'!$H$9)</x:f>
      </x:c>
      <x:c r="C31" t="str">
        <x:v>дата</x:v>
      </x:c>
    </x:row>
    <x:row r="32">
      <x:c r="A32" t="str">
        <x:v>Флаг продаж до РВЭ</x:v>
      </x:c>
      <x:c r="B32"/>
      <x:c r="C32" t="str">
        <x:v>0/1</x:v>
      </x:c>
      <x:c r="D32" t="n">
        <x:f>--AND(D$3&gt;=$B$30,D$3&lt;$B$31,D$3&lt;EDATE($B$30,MAX(1,'Вводные'!$H$89)),'Вводные'!$B$89="Да")</x:f>
      </x:c>
      <x:c r="E32" t="n">
        <x:f>--AND(E$3&gt;=$B$30,E$3&lt;$B$31,E$3&lt;EDATE($B$30,MAX(1,'Вводные'!$H$89)),'Вводные'!$B$89="Да")</x:f>
      </x:c>
      <x:c r="F32" t="n">
        <x:f>--AND(F$3&gt;=$B$30,F$3&lt;$B$31,F$3&lt;EDATE($B$30,MAX(1,'Вводные'!$H$89)),'Вводные'!$B$89="Да")</x:f>
      </x:c>
      <x:c r="G32" t="n">
        <x:f>--AND(G$3&gt;=$B$30,G$3&lt;$B$31,G$3&lt;EDATE($B$30,MAX(1,'Вводные'!$H$89)),'Вводные'!$B$89="Да")</x:f>
      </x:c>
      <x:c r="H32" t="n">
        <x:f>--AND(H$3&gt;=$B$30,H$3&lt;$B$31,H$3&lt;EDATE($B$30,MAX(1,'Вводные'!$H$89)),'Вводные'!$B$89="Да")</x:f>
      </x:c>
      <x:c r="I32" t="n">
        <x:f>--AND(I$3&gt;=$B$30,I$3&lt;$B$31,I$3&lt;EDATE($B$30,MAX(1,'Вводные'!$H$89)),'Вводные'!$B$89="Да")</x:f>
      </x:c>
      <x:c r="J32" t="n">
        <x:f>--AND(J$3&gt;=$B$30,J$3&lt;$B$31,J$3&lt;EDATE($B$30,MAX(1,'Вводные'!$H$89)),'Вводные'!$B$89="Да")</x:f>
      </x:c>
      <x:c r="K32" t="n">
        <x:f>--AND(K$3&gt;=$B$30,K$3&lt;$B$31,K$3&lt;EDATE($B$30,MAX(1,'Вводные'!$H$89)),'Вводные'!$B$89="Да")</x:f>
      </x:c>
      <x:c r="L32" t="n">
        <x:f>--AND(L$3&gt;=$B$30,L$3&lt;$B$31,L$3&lt;EDATE($B$30,MAX(1,'Вводные'!$H$89)),'Вводные'!$B$89="Да")</x:f>
      </x:c>
      <x:c r="M32" t="n">
        <x:f>--AND(M$3&gt;=$B$30,M$3&lt;$B$31,M$3&lt;EDATE($B$30,MAX(1,'Вводные'!$H$89)),'Вводные'!$B$89="Да")</x:f>
      </x:c>
      <x:c r="N32" t="n">
        <x:f>--AND(N$3&gt;=$B$30,N$3&lt;$B$31,N$3&lt;EDATE($B$30,MAX(1,'Вводные'!$H$89)),'Вводные'!$B$89="Да")</x:f>
      </x:c>
      <x:c r="O32" t="n">
        <x:f>--AND(O$3&gt;=$B$30,O$3&lt;$B$31,O$3&lt;EDATE($B$30,MAX(1,'Вводные'!$H$89)),'Вводные'!$B$89="Да")</x:f>
      </x:c>
      <x:c r="P32" t="n">
        <x:f>--AND(P$3&gt;=$B$30,P$3&lt;$B$31,P$3&lt;EDATE($B$30,MAX(1,'Вводные'!$H$89)),'Вводные'!$B$89="Да")</x:f>
      </x:c>
      <x:c r="Q32" t="n">
        <x:f>--AND(Q$3&gt;=$B$30,Q$3&lt;$B$31,Q$3&lt;EDATE($B$30,MAX(1,'Вводные'!$H$89)),'Вводные'!$B$89="Да")</x:f>
      </x:c>
      <x:c r="R32" t="n">
        <x:f>--AND(R$3&gt;=$B$30,R$3&lt;$B$31,R$3&lt;EDATE($B$30,MAX(1,'Вводные'!$H$89)),'Вводные'!$B$89="Да")</x:f>
      </x:c>
      <x:c r="S32" t="n">
        <x:f>--AND(S$3&gt;=$B$30,S$3&lt;$B$31,S$3&lt;EDATE($B$30,MAX(1,'Вводные'!$H$89)),'Вводные'!$B$89="Да")</x:f>
      </x:c>
      <x:c r="T32" t="n">
        <x:f>--AND(T$3&gt;=$B$30,T$3&lt;$B$31,T$3&lt;EDATE($B$30,MAX(1,'Вводные'!$H$89)),'Вводные'!$B$89="Да")</x:f>
      </x:c>
      <x:c r="U32" t="n">
        <x:f>--AND(U$3&gt;=$B$30,U$3&lt;$B$31,U$3&lt;EDATE($B$30,MAX(1,'Вводные'!$H$89)),'Вводные'!$B$89="Да")</x:f>
      </x:c>
      <x:c r="V32" t="n">
        <x:f>--AND(V$3&gt;=$B$30,V$3&lt;$B$31,V$3&lt;EDATE($B$30,MAX(1,'Вводные'!$H$89)),'Вводные'!$B$89="Да")</x:f>
      </x:c>
      <x:c r="W32" t="n">
        <x:f>--AND(W$3&gt;=$B$30,W$3&lt;$B$31,W$3&lt;EDATE($B$30,MAX(1,'Вводные'!$H$89)),'Вводные'!$B$89="Да")</x:f>
      </x:c>
      <x:c r="X32" t="n">
        <x:f>--AND(X$3&gt;=$B$30,X$3&lt;$B$31,X$3&lt;EDATE($B$30,MAX(1,'Вводные'!$H$89)),'Вводные'!$B$89="Да")</x:f>
      </x:c>
      <x:c r="Y32" t="n">
        <x:f>--AND(Y$3&gt;=$B$30,Y$3&lt;$B$31,Y$3&lt;EDATE($B$30,MAX(1,'Вводные'!$H$89)),'Вводные'!$B$89="Да")</x:f>
      </x:c>
      <x:c r="Z32" t="n">
        <x:f>--AND(Z$3&gt;=$B$30,Z$3&lt;$B$31,Z$3&lt;EDATE($B$30,MAX(1,'Вводные'!$H$89)),'Вводные'!$B$89="Да")</x:f>
      </x:c>
      <x:c r="AA32" t="n">
        <x:f>--AND(AA$3&gt;=$B$30,AA$3&lt;$B$31,AA$3&lt;EDATE($B$30,MAX(1,'Вводные'!$H$89)),'Вводные'!$B$89="Да")</x:f>
      </x:c>
      <x:c r="AB32" t="n">
        <x:f>--AND(AB$3&gt;=$B$30,AB$3&lt;$B$31,AB$3&lt;EDATE($B$30,MAX(1,'Вводные'!$H$89)),'Вводные'!$B$89="Да")</x:f>
      </x:c>
      <x:c r="AC32" t="n">
        <x:f>--AND(AC$3&gt;=$B$30,AC$3&lt;$B$31,AC$3&lt;EDATE($B$30,MAX(1,'Вводные'!$H$89)),'Вводные'!$B$89="Да")</x:f>
      </x:c>
      <x:c r="AD32" t="n">
        <x:f>--AND(AD$3&gt;=$B$30,AD$3&lt;$B$31,AD$3&lt;EDATE($B$30,MAX(1,'Вводные'!$H$89)),'Вводные'!$B$89="Да")</x:f>
      </x:c>
      <x:c r="AE32" t="n">
        <x:f>--AND(AE$3&gt;=$B$30,AE$3&lt;$B$31,AE$3&lt;EDATE($B$30,MAX(1,'Вводные'!$H$89)),'Вводные'!$B$89="Да")</x:f>
      </x:c>
      <x:c r="AF32" t="n">
        <x:f>--AND(AF$3&gt;=$B$30,AF$3&lt;$B$31,AF$3&lt;EDATE($B$30,MAX(1,'Вводные'!$H$89)),'Вводные'!$B$89="Да")</x:f>
      </x:c>
      <x:c r="AG32" t="n">
        <x:f>--AND(AG$3&gt;=$B$30,AG$3&lt;$B$31,AG$3&lt;EDATE($B$30,MAX(1,'Вводные'!$H$89)),'Вводные'!$B$89="Да")</x:f>
      </x:c>
      <x:c r="AH32" t="n">
        <x:f>--AND(AH$3&gt;=$B$30,AH$3&lt;$B$31,AH$3&lt;EDATE($B$30,MAX(1,'Вводные'!$H$89)),'Вводные'!$B$89="Да")</x:f>
      </x:c>
      <x:c r="AI32" t="n">
        <x:f>--AND(AI$3&gt;=$B$30,AI$3&lt;$B$31,AI$3&lt;EDATE($B$30,MAX(1,'Вводные'!$H$89)),'Вводные'!$B$89="Да")</x:f>
      </x:c>
      <x:c r="AJ32" t="n">
        <x:f>--AND(AJ$3&gt;=$B$30,AJ$3&lt;$B$31,AJ$3&lt;EDATE($B$30,MAX(1,'Вводные'!$H$89)),'Вводные'!$B$89="Да")</x:f>
      </x:c>
      <x:c r="AK32" t="n">
        <x:f>--AND(AK$3&gt;=$B$30,AK$3&lt;$B$31,AK$3&lt;EDATE($B$30,MAX(1,'Вводные'!$H$89)),'Вводные'!$B$89="Да")</x:f>
      </x:c>
      <x:c r="AL32" t="n">
        <x:f>--AND(AL$3&gt;=$B$30,AL$3&lt;$B$31,AL$3&lt;EDATE($B$30,MAX(1,'Вводные'!$H$89)),'Вводные'!$B$89="Да")</x:f>
      </x:c>
      <x:c r="AM32" t="n">
        <x:f>--AND(AM$3&gt;=$B$30,AM$3&lt;$B$31,AM$3&lt;EDATE($B$30,MAX(1,'Вводные'!$H$89)),'Вводные'!$B$89="Да")</x:f>
      </x:c>
      <x:c r="AN32" t="n">
        <x:f>--AND(AN$3&gt;=$B$30,AN$3&lt;$B$31,AN$3&lt;EDATE($B$30,MAX(1,'Вводные'!$H$89)),'Вводные'!$B$89="Да")</x:f>
      </x:c>
      <x:c r="AO32" t="n">
        <x:f>--AND(AO$3&gt;=$B$30,AO$3&lt;$B$31,AO$3&lt;EDATE($B$30,MAX(1,'Вводные'!$H$89)),'Вводные'!$B$89="Да")</x:f>
      </x:c>
      <x:c r="AP32" t="n">
        <x:f>--AND(AP$3&gt;=$B$30,AP$3&lt;$B$31,AP$3&lt;EDATE($B$30,MAX(1,'Вводные'!$H$89)),'Вводные'!$B$89="Да")</x:f>
      </x:c>
      <x:c r="AQ32" t="n">
        <x:f>--AND(AQ$3&gt;=$B$30,AQ$3&lt;$B$31,AQ$3&lt;EDATE($B$30,MAX(1,'Вводные'!$H$89)),'Вводные'!$B$89="Да")</x:f>
      </x:c>
      <x:c r="AR32" t="n">
        <x:f>--AND(AR$3&gt;=$B$30,AR$3&lt;$B$31,AR$3&lt;EDATE($B$30,MAX(1,'Вводные'!$H$89)),'Вводные'!$B$89="Да")</x:f>
      </x:c>
      <x:c r="AS32" t="n">
        <x:f>--AND(AS$3&gt;=$B$30,AS$3&lt;$B$31,AS$3&lt;EDATE($B$30,MAX(1,'Вводные'!$H$89)),'Вводные'!$B$89="Да")</x:f>
      </x:c>
      <x:c r="AT32" t="n">
        <x:f>--AND(AT$3&gt;=$B$30,AT$3&lt;$B$31,AT$3&lt;EDATE($B$30,MAX(1,'Вводные'!$H$89)),'Вводные'!$B$89="Да")</x:f>
      </x:c>
      <x:c r="AU32" t="n">
        <x:f>--AND(AU$3&gt;=$B$30,AU$3&lt;$B$31,AU$3&lt;EDATE($B$30,MAX(1,'Вводные'!$H$89)),'Вводные'!$B$89="Да")</x:f>
      </x:c>
      <x:c r="AV32" t="n">
        <x:f>--AND(AV$3&gt;=$B$30,AV$3&lt;$B$31,AV$3&lt;EDATE($B$30,MAX(1,'Вводные'!$H$89)),'Вводные'!$B$89="Да")</x:f>
      </x:c>
      <x:c r="AW32" t="n">
        <x:f>--AND(AW$3&gt;=$B$30,AW$3&lt;$B$31,AW$3&lt;EDATE($B$30,MAX(1,'Вводные'!$H$89)),'Вводные'!$B$89="Да")</x:f>
      </x:c>
      <x:c r="AX32" t="n">
        <x:f>--AND(AX$3&gt;=$B$30,AX$3&lt;$B$31,AX$3&lt;EDATE($B$30,MAX(1,'Вводные'!$H$89)),'Вводные'!$B$89="Да")</x:f>
      </x:c>
      <x:c r="AY32" t="n">
        <x:f>--AND(AY$3&gt;=$B$30,AY$3&lt;$B$31,AY$3&lt;EDATE($B$30,MAX(1,'Вводные'!$H$89)),'Вводные'!$B$89="Да")</x:f>
      </x:c>
      <x:c r="AZ32" t="n">
        <x:f>--AND(AZ$3&gt;=$B$30,AZ$3&lt;$B$31,AZ$3&lt;EDATE($B$30,MAX(1,'Вводные'!$H$89)),'Вводные'!$B$89="Да")</x:f>
      </x:c>
      <x:c r="BA32" t="n">
        <x:f>--AND(BA$3&gt;=$B$30,BA$3&lt;$B$31,BA$3&lt;EDATE($B$30,MAX(1,'Вводные'!$H$89)),'Вводные'!$B$89="Да")</x:f>
      </x:c>
      <x:c r="BB32" t="n">
        <x:f>--AND(BB$3&gt;=$B$30,BB$3&lt;$B$31,BB$3&lt;EDATE($B$30,MAX(1,'Вводные'!$H$89)),'Вводные'!$B$89="Да")</x:f>
      </x:c>
      <x:c r="BC32" t="n">
        <x:f>--AND(BC$3&gt;=$B$30,BC$3&lt;$B$31,BC$3&lt;EDATE($B$30,MAX(1,'Вводные'!$H$89)),'Вводные'!$B$89="Да")</x:f>
      </x:c>
      <x:c r="BD32" t="n">
        <x:f>--AND(BD$3&gt;=$B$30,BD$3&lt;$B$31,BD$3&lt;EDATE($B$30,MAX(1,'Вводные'!$H$89)),'Вводные'!$B$89="Да")</x:f>
      </x:c>
      <x:c r="BE32" t="n">
        <x:f>--AND(BE$3&gt;=$B$30,BE$3&lt;$B$31,BE$3&lt;EDATE($B$30,MAX(1,'Вводные'!$H$89)),'Вводные'!$B$89="Да")</x:f>
      </x:c>
      <x:c r="BF32" t="n">
        <x:f>--AND(BF$3&gt;=$B$30,BF$3&lt;$B$31,BF$3&lt;EDATE($B$30,MAX(1,'Вводные'!$H$89)),'Вводные'!$B$89="Да")</x:f>
      </x:c>
      <x:c r="BG32" t="n">
        <x:f>--AND(BG$3&gt;=$B$30,BG$3&lt;$B$31,BG$3&lt;EDATE($B$30,MAX(1,'Вводные'!$H$89)),'Вводные'!$B$89="Да")</x:f>
      </x:c>
      <x:c r="BH32" t="n">
        <x:f>--AND(BH$3&gt;=$B$30,BH$3&lt;$B$31,BH$3&lt;EDATE($B$30,MAX(1,'Вводные'!$H$89)),'Вводные'!$B$89="Да")</x:f>
      </x:c>
      <x:c r="BI32" t="n">
        <x:f>--AND(BI$3&gt;=$B$30,BI$3&lt;$B$31,BI$3&lt;EDATE($B$30,MAX(1,'Вводные'!$H$89)),'Вводные'!$B$89="Да")</x:f>
      </x:c>
      <x:c r="BJ32" t="n">
        <x:f>--AND(BJ$3&gt;=$B$30,BJ$3&lt;$B$31,BJ$3&lt;EDATE($B$30,MAX(1,'Вводные'!$H$89)),'Вводные'!$B$89="Да")</x:f>
      </x:c>
      <x:c r="BK32" t="n">
        <x:f>--AND(BK$3&gt;=$B$30,BK$3&lt;$B$31,BK$3&lt;EDATE($B$30,MAX(1,'Вводные'!$H$89)),'Вводные'!$B$89="Да")</x:f>
      </x:c>
      <x:c r="BL32" t="n">
        <x:f>--AND(BL$3&gt;=$B$30,BL$3&lt;$B$31,BL$3&lt;EDATE($B$30,MAX(1,'Вводные'!$H$89)),'Вводные'!$B$89="Да")</x:f>
      </x:c>
      <x:c r="BM32" t="n">
        <x:f>--AND(BM$3&gt;=$B$30,BM$3&lt;$B$31,BM$3&lt;EDATE($B$30,MAX(1,'Вводные'!$H$89)),'Вводные'!$B$89="Да")</x:f>
      </x:c>
      <x:c r="BN32" t="n">
        <x:f>--AND(BN$3&gt;=$B$30,BN$3&lt;$B$31,BN$3&lt;EDATE($B$30,MAX(1,'Вводные'!$H$89)),'Вводные'!$B$89="Да")</x:f>
      </x:c>
      <x:c r="BO32" t="n">
        <x:f>--AND(BO$3&gt;=$B$30,BO$3&lt;$B$31,BO$3&lt;EDATE($B$30,MAX(1,'Вводные'!$H$89)),'Вводные'!$B$89="Да")</x:f>
      </x:c>
      <x:c r="BP32" t="n">
        <x:f>--AND(BP$3&gt;=$B$30,BP$3&lt;$B$31,BP$3&lt;EDATE($B$30,MAX(1,'Вводные'!$H$89)),'Вводные'!$B$89="Да")</x:f>
      </x:c>
      <x:c r="BQ32" t="n">
        <x:f>--AND(BQ$3&gt;=$B$30,BQ$3&lt;$B$31,BQ$3&lt;EDATE($B$30,MAX(1,'Вводные'!$H$89)),'Вводные'!$B$89="Да")</x:f>
      </x:c>
      <x:c r="BR32" t="n">
        <x:f>--AND(BR$3&gt;=$B$30,BR$3&lt;$B$31,BR$3&lt;EDATE($B$30,MAX(1,'Вводные'!$H$89)),'Вводные'!$B$89="Да")</x:f>
      </x:c>
      <x:c r="BS32" t="n">
        <x:f>--AND(BS$3&gt;=$B$30,BS$3&lt;$B$31,BS$3&lt;EDATE($B$30,MAX(1,'Вводные'!$H$89)),'Вводные'!$B$89="Да")</x:f>
      </x:c>
      <x:c r="BT32" t="n">
        <x:f>--AND(BT$3&gt;=$B$30,BT$3&lt;$B$31,BT$3&lt;EDATE($B$30,MAX(1,'Вводные'!$H$89)),'Вводные'!$B$89="Да")</x:f>
      </x:c>
      <x:c r="BU32" t="n">
        <x:f>--AND(BU$3&gt;=$B$30,BU$3&lt;$B$31,BU$3&lt;EDATE($B$30,MAX(1,'Вводные'!$H$89)),'Вводные'!$B$89="Да")</x:f>
      </x:c>
      <x:c r="BV32" t="n">
        <x:f>--AND(BV$3&gt;=$B$30,BV$3&lt;$B$31,BV$3&lt;EDATE($B$30,MAX(1,'Вводные'!$H$89)),'Вводные'!$B$89="Да")</x:f>
      </x:c>
      <x:c r="BW32" t="n">
        <x:f>--AND(BW$3&gt;=$B$30,BW$3&lt;$B$31,BW$3&lt;EDATE($B$30,MAX(1,'Вводные'!$H$89)),'Вводные'!$B$89="Да")</x:f>
      </x:c>
      <x:c r="BX32" t="n">
        <x:f>--AND(BX$3&gt;=$B$30,BX$3&lt;$B$31,BX$3&lt;EDATE($B$30,MAX(1,'Вводные'!$H$89)),'Вводные'!$B$89="Да")</x:f>
      </x:c>
      <x:c r="BY32" t="n">
        <x:f>--AND(BY$3&gt;=$B$30,BY$3&lt;$B$31,BY$3&lt;EDATE($B$30,MAX(1,'Вводные'!$H$89)),'Вводные'!$B$89="Да")</x:f>
      </x:c>
      <x:c r="BZ32" t="n">
        <x:f>--AND(BZ$3&gt;=$B$30,BZ$3&lt;$B$31,BZ$3&lt;EDATE($B$30,MAX(1,'Вводные'!$H$89)),'Вводные'!$B$89="Да")</x:f>
      </x:c>
      <x:c r="CA32" t="n">
        <x:f>--AND(CA$3&gt;=$B$30,CA$3&lt;$B$31,CA$3&lt;EDATE($B$30,MAX(1,'Вводные'!$H$89)),'Вводные'!$B$89="Да")</x:f>
      </x:c>
      <x:c r="CB32" t="n">
        <x:f>--AND(CB$3&gt;=$B$30,CB$3&lt;$B$31,CB$3&lt;EDATE($B$30,MAX(1,'Вводные'!$H$89)),'Вводные'!$B$89="Да")</x:f>
      </x:c>
      <x:c r="CC32" t="n">
        <x:f>--AND(CC$3&gt;=$B$30,CC$3&lt;$B$31,CC$3&lt;EDATE($B$30,MAX(1,'Вводные'!$H$89)),'Вводные'!$B$89="Да")</x:f>
      </x:c>
      <x:c r="CD32" t="n">
        <x:f>--AND(CD$3&gt;=$B$30,CD$3&lt;$B$31,CD$3&lt;EDATE($B$30,MAX(1,'Вводные'!$H$89)),'Вводные'!$B$89="Да")</x:f>
      </x:c>
      <x:c r="CE32" t="n">
        <x:f>--AND(CE$3&gt;=$B$30,CE$3&lt;$B$31,CE$3&lt;EDATE($B$30,MAX(1,'Вводные'!$H$89)),'Вводные'!$B$89="Да")</x:f>
      </x:c>
      <x:c r="CF32" t="n">
        <x:f>--AND(CF$3&gt;=$B$30,CF$3&lt;$B$31,CF$3&lt;EDATE($B$30,MAX(1,'Вводные'!$H$89)),'Вводные'!$B$89="Да")</x:f>
      </x:c>
      <x:c r="CG32" t="n">
        <x:f>--AND(CG$3&gt;=$B$30,CG$3&lt;$B$31,CG$3&lt;EDATE($B$30,MAX(1,'Вводные'!$H$89)),'Вводные'!$B$89="Да")</x:f>
      </x:c>
      <x:c r="CH32" t="n">
        <x:f>--AND(CH$3&gt;=$B$30,CH$3&lt;$B$31,CH$3&lt;EDATE($B$30,MAX(1,'Вводные'!$H$89)),'Вводные'!$B$89="Да")</x:f>
      </x:c>
      <x:c r="CI32" t="n">
        <x:f>--AND(CI$3&gt;=$B$30,CI$3&lt;$B$31,CI$3&lt;EDATE($B$30,MAX(1,'Вводные'!$H$89)),'Вводные'!$B$89="Да")</x:f>
      </x:c>
      <x:c r="CJ32" t="n">
        <x:f>--AND(CJ$3&gt;=$B$30,CJ$3&lt;$B$31,CJ$3&lt;EDATE($B$30,MAX(1,'Вводные'!$H$89)),'Вводные'!$B$89="Да")</x:f>
      </x:c>
      <x:c r="CK32" t="n">
        <x:f>--AND(CK$3&gt;=$B$30,CK$3&lt;$B$31,CK$3&lt;EDATE($B$30,MAX(1,'Вводные'!$H$89)),'Вводные'!$B$89="Да")</x:f>
      </x:c>
      <x:c r="CL32" t="n">
        <x:f>--AND(CL$3&gt;=$B$30,CL$3&lt;$B$31,CL$3&lt;EDATE($B$30,MAX(1,'Вводные'!$H$89)),'Вводные'!$B$89="Да")</x:f>
      </x:c>
      <x:c r="CM32" t="n">
        <x:f>--AND(CM$3&gt;=$B$30,CM$3&lt;$B$31,CM$3&lt;EDATE($B$30,MAX(1,'Вводные'!$H$89)),'Вводные'!$B$89="Да")</x:f>
      </x:c>
      <x:c r="CN32" t="n">
        <x:f>--AND(CN$3&gt;=$B$30,CN$3&lt;$B$31,CN$3&lt;EDATE($B$30,MAX(1,'Вводные'!$H$89)),'Вводные'!$B$89="Да")</x:f>
      </x:c>
      <x:c r="CO32" t="n">
        <x:f>--AND(CO$3&gt;=$B$30,CO$3&lt;$B$31,CO$3&lt;EDATE($B$30,MAX(1,'Вводные'!$H$89)),'Вводные'!$B$89="Да")</x:f>
      </x:c>
      <x:c r="CP32" t="n">
        <x:f>--AND(CP$3&gt;=$B$30,CP$3&lt;$B$31,CP$3&lt;EDATE($B$30,MAX(1,'Вводные'!$H$89)),'Вводные'!$B$89="Да")</x:f>
      </x:c>
      <x:c r="CQ32" t="n">
        <x:f>--AND(CQ$3&gt;=$B$30,CQ$3&lt;$B$31,CQ$3&lt;EDATE($B$30,MAX(1,'Вводные'!$H$89)),'Вводные'!$B$89="Да")</x:f>
      </x:c>
      <x:c r="CR32" t="n">
        <x:f>--AND(CR$3&gt;=$B$30,CR$3&lt;$B$31,CR$3&lt;EDATE($B$30,MAX(1,'Вводные'!$H$89)),'Вводные'!$B$89="Да")</x:f>
      </x:c>
      <x:c r="CS32" t="n">
        <x:f>--AND(CS$3&gt;=$B$30,CS$3&lt;$B$31,CS$3&lt;EDATE($B$30,MAX(1,'Вводные'!$H$89)),'Вводные'!$B$89="Да")</x:f>
      </x:c>
      <x:c r="CT32" t="n">
        <x:f>--AND(CT$3&gt;=$B$30,CT$3&lt;$B$31,CT$3&lt;EDATE($B$30,MAX(1,'Вводные'!$H$89)),'Вводные'!$B$89="Да")</x:f>
      </x:c>
      <x:c r="CU32" t="n">
        <x:f>--AND(CU$3&gt;=$B$30,CU$3&lt;$B$31,CU$3&lt;EDATE($B$30,MAX(1,'Вводные'!$H$89)),'Вводные'!$B$89="Да")</x:f>
      </x:c>
      <x:c r="CV32" t="n">
        <x:f>--AND(CV$3&gt;=$B$30,CV$3&lt;$B$31,CV$3&lt;EDATE($B$30,MAX(1,'Вводные'!$H$89)),'Вводные'!$B$89="Да")</x:f>
      </x:c>
      <x:c r="CW32" t="n">
        <x:f>--AND(CW$3&gt;=$B$30,CW$3&lt;$B$31,CW$3&lt;EDATE($B$30,MAX(1,'Вводные'!$H$89)),'Вводные'!$B$89="Да")</x:f>
      </x:c>
      <x:c r="CX32" t="n">
        <x:f>--AND(CX$3&gt;=$B$30,CX$3&lt;$B$31,CX$3&lt;EDATE($B$30,MAX(1,'Вводные'!$H$89)),'Вводные'!$B$89="Да")</x:f>
      </x:c>
      <x:c r="CY32" t="n">
        <x:f>--AND(CY$3&gt;=$B$30,CY$3&lt;$B$31,CY$3&lt;EDATE($B$30,MAX(1,'Вводные'!$H$89)),'Вводные'!$B$89="Да")</x:f>
      </x:c>
      <x:c r="CZ32" t="n">
        <x:f>--AND(CZ$3&gt;=$B$30,CZ$3&lt;$B$31,CZ$3&lt;EDATE($B$30,MAX(1,'Вводные'!$H$89)),'Вводные'!$B$89="Да")</x:f>
      </x:c>
      <x:c r="DA32" t="n">
        <x:f>--AND(DA$3&gt;=$B$30,DA$3&lt;$B$31,DA$3&lt;EDATE($B$30,MAX(1,'Вводные'!$H$89)),'Вводные'!$B$89="Да")</x:f>
      </x:c>
      <x:c r="DB32" t="n">
        <x:f>--AND(DB$3&gt;=$B$30,DB$3&lt;$B$31,DB$3&lt;EDATE($B$30,MAX(1,'Вводные'!$H$89)),'Вводные'!$B$89="Да")</x:f>
      </x:c>
      <x:c r="DC32" t="n">
        <x:f>--AND(DC$3&gt;=$B$30,DC$3&lt;$B$31,DC$3&lt;EDATE($B$30,MAX(1,'Вводные'!$H$89)),'Вводные'!$B$89="Да")</x:f>
      </x:c>
      <x:c r="DD32" t="n">
        <x:f>--AND(DD$3&gt;=$B$30,DD$3&lt;$B$31,DD$3&lt;EDATE($B$30,MAX(1,'Вводные'!$H$89)),'Вводные'!$B$89="Да")</x:f>
      </x:c>
      <x:c r="DE32" t="n">
        <x:f>--AND(DE$3&gt;=$B$30,DE$3&lt;$B$31,DE$3&lt;EDATE($B$30,MAX(1,'Вводные'!$H$89)),'Вводные'!$B$89="Да")</x:f>
      </x:c>
      <x:c r="DF32" t="n">
        <x:f>--AND(DF$3&gt;=$B$30,DF$3&lt;$B$31,DF$3&lt;EDATE($B$30,MAX(1,'Вводные'!$H$89)),'Вводные'!$B$89="Да")</x:f>
      </x:c>
      <x:c r="DG32" t="n">
        <x:f>--AND(DG$3&gt;=$B$30,DG$3&lt;$B$31,DG$3&lt;EDATE($B$30,MAX(1,'Вводные'!$H$89)),'Вводные'!$B$89="Да")</x:f>
      </x:c>
      <x:c r="DH32" t="n">
        <x:f>--AND(DH$3&gt;=$B$30,DH$3&lt;$B$31,DH$3&lt;EDATE($B$30,MAX(1,'Вводные'!$H$89)),'Вводные'!$B$89="Да")</x:f>
      </x:c>
      <x:c r="DI32" t="n">
        <x:f>--AND(DI$3&gt;=$B$30,DI$3&lt;$B$31,DI$3&lt;EDATE($B$30,MAX(1,'Вводные'!$H$89)),'Вводные'!$B$89="Да")</x:f>
      </x:c>
      <x:c r="DJ32" t="n">
        <x:f>--AND(DJ$3&gt;=$B$30,DJ$3&lt;$B$31,DJ$3&lt;EDATE($B$30,MAX(1,'Вводные'!$H$89)),'Вводные'!$B$89="Да")</x:f>
      </x:c>
      <x:c r="DK32" t="n">
        <x:f>--AND(DK$3&gt;=$B$30,DK$3&lt;$B$31,DK$3&lt;EDATE($B$30,MAX(1,'Вводные'!$H$89)),'Вводные'!$B$89="Да")</x:f>
      </x:c>
      <x:c r="DL32" t="n">
        <x:f>--AND(DL$3&gt;=$B$30,DL$3&lt;$B$31,DL$3&lt;EDATE($B$30,MAX(1,'Вводные'!$H$89)),'Вводные'!$B$89="Да")</x:f>
      </x:c>
      <x:c r="DM32" t="n">
        <x:f>--AND(DM$3&gt;=$B$30,DM$3&lt;$B$31,DM$3&lt;EDATE($B$30,MAX(1,'Вводные'!$H$89)),'Вводные'!$B$89="Да")</x:f>
      </x:c>
      <x:c r="DN32" t="n">
        <x:f>--AND(DN$3&gt;=$B$30,DN$3&lt;$B$31,DN$3&lt;EDATE($B$30,MAX(1,'Вводные'!$H$89)),'Вводные'!$B$89="Да")</x:f>
      </x:c>
      <x:c r="DO32" t="n">
        <x:f>--AND(DO$3&gt;=$B$30,DO$3&lt;$B$31,DO$3&lt;EDATE($B$30,MAX(1,'Вводные'!$H$89)),'Вводные'!$B$89="Да")</x:f>
      </x:c>
      <x:c r="DP32" t="n">
        <x:f>--AND(DP$3&gt;=$B$30,DP$3&lt;$B$31,DP$3&lt;EDATE($B$30,MAX(1,'Вводные'!$H$89)),'Вводные'!$B$89="Да")</x:f>
      </x:c>
      <x:c r="DQ32" t="n">
        <x:f>--AND(DQ$3&gt;=$B$30,DQ$3&lt;$B$31,DQ$3&lt;EDATE($B$30,MAX(1,'Вводные'!$H$89)),'Вводные'!$B$89="Да")</x:f>
      </x:c>
      <x:c r="DR32" t="n">
        <x:f>--AND(DR$3&gt;=$B$30,DR$3&lt;$B$31,DR$3&lt;EDATE($B$30,MAX(1,'Вводные'!$H$89)),'Вводные'!$B$89="Да")</x:f>
      </x:c>
      <x:c r="DS32" t="n">
        <x:f>--AND(DS$3&gt;=$B$30,DS$3&lt;$B$31,DS$3&lt;EDATE($B$30,MAX(1,'Вводные'!$H$89)),'Вводные'!$B$89="Да")</x:f>
      </x:c>
      <x:c r="DT32" t="n">
        <x:f>--AND(DT$3&gt;=$B$30,DT$3&lt;$B$31,DT$3&lt;EDATE($B$30,MAX(1,'Вводные'!$H$89)),'Вводные'!$B$89="Да")</x:f>
      </x:c>
      <x:c r="DU32" t="n">
        <x:f>--AND(DU$3&gt;=$B$30,DU$3&lt;$B$31,DU$3&lt;EDATE($B$30,MAX(1,'Вводные'!$H$89)),'Вводные'!$B$89="Да")</x:f>
      </x:c>
      <x:c r="DV32" t="n">
        <x:f>--AND(DV$3&gt;=$B$30,DV$3&lt;$B$31,DV$3&lt;EDATE($B$30,MAX(1,'Вводные'!$H$89)),'Вводные'!$B$89="Да")</x:f>
      </x:c>
      <x:c r="DW32" t="n">
        <x:f>--AND(DW$3&gt;=$B$30,DW$3&lt;$B$31,DW$3&lt;EDATE($B$30,MAX(1,'Вводные'!$H$89)),'Вводные'!$B$89="Да")</x:f>
      </x:c>
      <x:c r="DX32" t="n">
        <x:f>--AND(DX$3&gt;=$B$30,DX$3&lt;$B$31,DX$3&lt;EDATE($B$30,MAX(1,'Вводные'!$H$89)),'Вводные'!$B$89="Да")</x:f>
      </x:c>
      <x:c r="DY32" t="n">
        <x:f>--AND(DY$3&gt;=$B$30,DY$3&lt;$B$31,DY$3&lt;EDATE($B$30,MAX(1,'Вводные'!$H$89)),'Вводные'!$B$89="Да")</x:f>
      </x:c>
      <x:c r="DZ32" t="n">
        <x:f>--AND(DZ$3&gt;=$B$30,DZ$3&lt;$B$31,DZ$3&lt;EDATE($B$30,MAX(1,'Вводные'!$H$89)),'Вводные'!$B$89="Да")</x:f>
      </x:c>
      <x:c r="EA32" t="n">
        <x:f>--AND(EA$3&gt;=$B$30,EA$3&lt;$B$31,EA$3&lt;EDATE($B$30,MAX(1,'Вводные'!$H$89)),'Вводные'!$B$89="Да")</x:f>
      </x:c>
      <x:c r="EB32" t="n">
        <x:f>--AND(EB$3&gt;=$B$30,EB$3&lt;$B$31,EB$3&lt;EDATE($B$30,MAX(1,'Вводные'!$H$89)),'Вводные'!$B$89="Да")</x:f>
      </x:c>
      <x:c r="EC32" t="n">
        <x:f>--AND(EC$3&gt;=$B$30,EC$3&lt;$B$31,EC$3&lt;EDATE($B$30,MAX(1,'Вводные'!$H$89)),'Вводные'!$B$89="Да")</x:f>
      </x:c>
      <x:c r="ED32" t="n">
        <x:f>--AND(ED$3&gt;=$B$30,ED$3&lt;$B$31,ED$3&lt;EDATE($B$30,MAX(1,'Вводные'!$H$89)),'Вводные'!$B$89="Да")</x:f>
      </x:c>
      <x:c r="EE32" t="n">
        <x:f>--AND(EE$3&gt;=$B$30,EE$3&lt;$B$31,EE$3&lt;EDATE($B$30,MAX(1,'Вводные'!$H$89)),'Вводные'!$B$89="Да")</x:f>
      </x:c>
      <x:c r="EF32" t="n">
        <x:f>--AND(EF$3&gt;=$B$30,EF$3&lt;$B$31,EF$3&lt;EDATE($B$30,MAX(1,'Вводные'!$H$89)),'Вводные'!$B$89="Да")</x:f>
      </x:c>
      <x:c r="EG32" t="n">
        <x:f>--AND(EG$3&gt;=$B$30,EG$3&lt;$B$31,EG$3&lt;EDATE($B$30,MAX(1,'Вводные'!$H$89)),'Вводные'!$B$89="Да")</x:f>
      </x:c>
      <x:c r="EH32" t="n">
        <x:f>--AND(EH$3&gt;=$B$30,EH$3&lt;$B$31,EH$3&lt;EDATE($B$30,MAX(1,'Вводные'!$H$89)),'Вводные'!$B$89="Да")</x:f>
      </x:c>
      <x:c r="EI32" t="n">
        <x:f>--AND(EI$3&gt;=$B$30,EI$3&lt;$B$31,EI$3&lt;EDATE($B$30,MAX(1,'Вводные'!$H$89)),'Вводные'!$B$89="Да")</x:f>
      </x:c>
      <x:c r="EJ32" t="n">
        <x:f>--AND(EJ$3&gt;=$B$30,EJ$3&lt;$B$31,EJ$3&lt;EDATE($B$30,MAX(1,'Вводные'!$H$89)),'Вводные'!$B$89="Да")</x:f>
      </x:c>
      <x:c r="EK32" t="n">
        <x:f>--AND(EK$3&gt;=$B$30,EK$3&lt;$B$31,EK$3&lt;EDATE($B$30,MAX(1,'Вводные'!$H$89)),'Вводные'!$B$89="Да")</x:f>
      </x:c>
      <x:c r="EL32" t="n">
        <x:f>--AND(EL$3&gt;=$B$30,EL$3&lt;$B$31,EL$3&lt;EDATE($B$30,MAX(1,'Вводные'!$H$89)),'Вводные'!$B$89="Да")</x:f>
      </x:c>
      <x:c r="EM32" t="n">
        <x:f>--AND(EM$3&gt;=$B$30,EM$3&lt;$B$31,EM$3&lt;EDATE($B$30,MAX(1,'Вводные'!$H$89)),'Вводные'!$B$89="Да")</x:f>
      </x:c>
      <x:c r="EN32" t="n">
        <x:f>--AND(EN$3&gt;=$B$30,EN$3&lt;$B$31,EN$3&lt;EDATE($B$30,MAX(1,'Вводные'!$H$89)),'Вводные'!$B$89="Да")</x:f>
      </x:c>
      <x:c r="EO32" t="n">
        <x:f>--AND(EO$3&gt;=$B$30,EO$3&lt;$B$31,EO$3&lt;EDATE($B$30,MAX(1,'Вводные'!$H$89)),'Вводные'!$B$89="Да")</x:f>
      </x:c>
      <x:c r="EP32" t="n">
        <x:f>--AND(EP$3&gt;=$B$30,EP$3&lt;$B$31,EP$3&lt;EDATE($B$30,MAX(1,'Вводные'!$H$89)),'Вводные'!$B$89="Да")</x:f>
      </x:c>
      <x:c r="EQ32" t="n">
        <x:f>--AND(EQ$3&gt;=$B$30,EQ$3&lt;$B$31,EQ$3&lt;EDATE($B$30,MAX(1,'Вводные'!$H$89)),'Вводные'!$B$89="Да")</x:f>
      </x:c>
      <x:c r="ER32" t="n">
        <x:f>--AND(ER$3&gt;=$B$30,ER$3&lt;$B$31,ER$3&lt;EDATE($B$30,MAX(1,'Вводные'!$H$89)),'Вводные'!$B$89="Да")</x:f>
      </x:c>
      <x:c r="ES32" t="n">
        <x:f>--AND(ES$3&gt;=$B$30,ES$3&lt;$B$31,ES$3&lt;EDATE($B$30,MAX(1,'Вводные'!$H$89)),'Вводные'!$B$89="Да")</x:f>
      </x:c>
      <x:c r="ET32" t="n">
        <x:f>--AND(ET$3&gt;=$B$30,ET$3&lt;$B$31,ET$3&lt;EDATE($B$30,MAX(1,'Вводные'!$H$89)),'Вводные'!$B$89="Да")</x:f>
      </x:c>
      <x:c r="EU32" t="n">
        <x:f>--AND(EU$3&gt;=$B$30,EU$3&lt;$B$31,EU$3&lt;EDATE($B$30,MAX(1,'Вводные'!$H$89)),'Вводные'!$B$89="Да")</x:f>
      </x:c>
      <x:c r="EV32" t="n">
        <x:f>--AND(EV$3&gt;=$B$30,EV$3&lt;$B$31,EV$3&lt;EDATE($B$30,MAX(1,'Вводные'!$H$89)),'Вводные'!$B$89="Да")</x:f>
      </x:c>
      <x:c r="EW32" t="n">
        <x:f>--AND(EW$3&gt;=$B$30,EW$3&lt;$B$31,EW$3&lt;EDATE($B$30,MAX(1,'Вводные'!$H$89)),'Вводные'!$B$89="Да")</x:f>
      </x:c>
      <x:c r="EX32" t="n">
        <x:f>--AND(EX$3&gt;=$B$30,EX$3&lt;$B$31,EX$3&lt;EDATE($B$30,MAX(1,'Вводные'!$H$89)),'Вводные'!$B$89="Да")</x:f>
      </x:c>
      <x:c r="EY32" t="n">
        <x:f>--AND(EY$3&gt;=$B$30,EY$3&lt;$B$31,EY$3&lt;EDATE($B$30,MAX(1,'Вводные'!$H$89)),'Вводные'!$B$89="Да")</x:f>
      </x:c>
      <x:c r="EZ32" t="n">
        <x:f>--AND(EZ$3&gt;=$B$30,EZ$3&lt;$B$31,EZ$3&lt;EDATE($B$30,MAX(1,'Вводные'!$H$89)),'Вводные'!$B$89="Да")</x:f>
      </x:c>
      <x:c r="FA32" t="n">
        <x:f>--AND(FA$3&gt;=$B$30,FA$3&lt;$B$31,FA$3&lt;EDATE($B$30,MAX(1,'Вводные'!$H$89)),'Вводные'!$B$89="Да")</x:f>
      </x:c>
      <x:c r="FB32" t="n">
        <x:f>--AND(FB$3&gt;=$B$30,FB$3&lt;$B$31,FB$3&lt;EDATE($B$30,MAX(1,'Вводные'!$H$89)),'Вводные'!$B$89="Да")</x:f>
      </x:c>
      <x:c r="FC32" t="n">
        <x:f>--AND(FC$3&gt;=$B$30,FC$3&lt;$B$31,FC$3&lt;EDATE($B$30,MAX(1,'Вводные'!$H$89)),'Вводные'!$B$89="Да")</x:f>
      </x:c>
      <x:c r="FD32" t="n">
        <x:f>--AND(FD$3&gt;=$B$30,FD$3&lt;$B$31,FD$3&lt;EDATE($B$30,MAX(1,'Вводные'!$H$89)),'Вводные'!$B$89="Да")</x:f>
      </x:c>
      <x:c r="FE32" t="n">
        <x:f>--AND(FE$3&gt;=$B$30,FE$3&lt;$B$31,FE$3&lt;EDATE($B$30,MAX(1,'Вводные'!$H$89)),'Вводные'!$B$89="Да")</x:f>
      </x:c>
      <x:c r="FF32" t="n">
        <x:f>--AND(FF$3&gt;=$B$30,FF$3&lt;$B$31,FF$3&lt;EDATE($B$30,MAX(1,'Вводные'!$H$89)),'Вводные'!$B$89="Да")</x:f>
      </x:c>
      <x:c r="FG32" t="n">
        <x:f>--AND(FG$3&gt;=$B$30,FG$3&lt;$B$31,FG$3&lt;EDATE($B$30,MAX(1,'Вводные'!$H$89)),'Вводные'!$B$89="Да")</x:f>
      </x:c>
      <x:c r="FH32" t="n">
        <x:f>--AND(FH$3&gt;=$B$30,FH$3&lt;$B$31,FH$3&lt;EDATE($B$30,MAX(1,'Вводные'!$H$89)),'Вводные'!$B$89="Да")</x:f>
      </x:c>
      <x:c r="FI32" t="n">
        <x:f>--AND(FI$3&gt;=$B$30,FI$3&lt;$B$31,FI$3&lt;EDATE($B$30,MAX(1,'Вводные'!$H$89)),'Вводные'!$B$89="Да")</x:f>
      </x:c>
      <x:c r="FJ32" t="n">
        <x:f>--AND(FJ$3&gt;=$B$30,FJ$3&lt;$B$31,FJ$3&lt;EDATE($B$30,MAX(1,'Вводные'!$H$89)),'Вводные'!$B$89="Да")</x:f>
      </x:c>
      <x:c r="FK32" t="n">
        <x:f>--AND(FK$3&gt;=$B$30,FK$3&lt;$B$31,FK$3&lt;EDATE($B$30,MAX(1,'Вводные'!$H$89)),'Вводные'!$B$89="Да")</x:f>
      </x:c>
      <x:c r="FL32" t="n">
        <x:f>--AND(FL$3&gt;=$B$30,FL$3&lt;$B$31,FL$3&lt;EDATE($B$30,MAX(1,'Вводные'!$H$89)),'Вводные'!$B$89="Да")</x:f>
      </x:c>
      <x:c r="FM32" t="n">
        <x:f>--AND(FM$3&gt;=$B$30,FM$3&lt;$B$31,FM$3&lt;EDATE($B$30,MAX(1,'Вводные'!$H$89)),'Вводные'!$B$89="Да")</x:f>
      </x:c>
      <x:c r="FN32" t="n">
        <x:f>--AND(FN$3&gt;=$B$30,FN$3&lt;$B$31,FN$3&lt;EDATE($B$30,MAX(1,'Вводные'!$H$89)),'Вводные'!$B$89="Да")</x:f>
      </x:c>
      <x:c r="FO32" t="n">
        <x:f>--AND(FO$3&gt;=$B$30,FO$3&lt;$B$31,FO$3&lt;EDATE($B$30,MAX(1,'Вводные'!$H$89)),'Вводные'!$B$89="Да")</x:f>
      </x:c>
      <x:c r="FP32" t="n">
        <x:f>--AND(FP$3&gt;=$B$30,FP$3&lt;$B$31,FP$3&lt;EDATE($B$30,MAX(1,'Вводные'!$H$89)),'Вводные'!$B$89="Да")</x:f>
      </x:c>
      <x:c r="FQ32" t="n">
        <x:f>--AND(FQ$3&gt;=$B$30,FQ$3&lt;$B$31,FQ$3&lt;EDATE($B$30,MAX(1,'Вводные'!$H$89)),'Вводные'!$B$89="Да")</x:f>
      </x:c>
      <x:c r="FR32" t="n">
        <x:f>--AND(FR$3&gt;=$B$30,FR$3&lt;$B$31,FR$3&lt;EDATE($B$30,MAX(1,'Вводные'!$H$89)),'Вводные'!$B$89="Да")</x:f>
      </x:c>
      <x:c r="FS32" t="n">
        <x:f>--AND(FS$3&gt;=$B$30,FS$3&lt;$B$31,FS$3&lt;EDATE($B$30,MAX(1,'Вводные'!$H$89)),'Вводные'!$B$89="Да")</x:f>
      </x:c>
      <x:c r="FT32" t="n">
        <x:f>--AND(FT$3&gt;=$B$30,FT$3&lt;$B$31,FT$3&lt;EDATE($B$30,MAX(1,'Вводные'!$H$89)),'Вводные'!$B$89="Да")</x:f>
      </x:c>
      <x:c r="FU32" t="n">
        <x:f>--AND(FU$3&gt;=$B$30,FU$3&lt;$B$31,FU$3&lt;EDATE($B$30,MAX(1,'Вводные'!$H$89)),'Вводные'!$B$89="Да")</x:f>
      </x:c>
      <x:c r="FV32" t="n">
        <x:f>--AND(FV$3&gt;=$B$30,FV$3&lt;$B$31,FV$3&lt;EDATE($B$30,MAX(1,'Вводные'!$H$89)),'Вводные'!$B$89="Да")</x:f>
      </x:c>
      <x:c r="FW32" t="n">
        <x:f>--AND(FW$3&gt;=$B$30,FW$3&lt;$B$31,FW$3&lt;EDATE($B$30,MAX(1,'Вводные'!$H$89)),'Вводные'!$B$89="Да")</x:f>
      </x:c>
      <x:c r="FX32" t="n">
        <x:f>--AND(FX$3&gt;=$B$30,FX$3&lt;$B$31,FX$3&lt;EDATE($B$30,MAX(1,'Вводные'!$H$89)),'Вводные'!$B$89="Да")</x:f>
      </x:c>
      <x:c r="FY32" t="n">
        <x:f>--AND(FY$3&gt;=$B$30,FY$3&lt;$B$31,FY$3&lt;EDATE($B$30,MAX(1,'Вводные'!$H$89)),'Вводные'!$B$89="Да")</x:f>
      </x:c>
      <x:c r="FZ32" t="n">
        <x:f>--AND(FZ$3&gt;=$B$30,FZ$3&lt;$B$31,FZ$3&lt;EDATE($B$30,MAX(1,'Вводные'!$H$89)),'Вводные'!$B$89="Да")</x:f>
      </x:c>
      <x:c r="GA32" t="n">
        <x:f>--AND(GA$3&gt;=$B$30,GA$3&lt;$B$31,GA$3&lt;EDATE($B$30,MAX(1,'Вводные'!$H$89)),'Вводные'!$B$89="Да")</x:f>
      </x:c>
    </x:row>
    <x:row r="33">
      <x:c r="A33" t="str">
        <x:v>Вес темпа продаж</x:v>
      </x:c>
      <x:c r="B33"/>
      <x:c r="C33" t="str">
        <x:v>вес</x:v>
      </x:c>
      <x:c r="D33" t="n">
        <x:f>IF(AND(D$3&gt;=$B$30,D$3&lt;EDATE($B$30,MAX(1,'Вводные'!$H$89)),'Вводные'!$B$89="Да"),(1+'Вводные'!$AD$89*'Вводные'!$H$7*MIN(1,(12*(YEAR(D$3)-YEAR($B$30))+MONTH(D$3)-MONTH($B$30))/MAX(1,12*(YEAR($B$31)-YEAR($B$30))+MONTH($B$31)-MONTH($B$30))))*(1+IF(MONTH(D$3)=1,'Вводные'!$B$67,IF(AND(MONTH(D$3)&gt;=5,MONTH(D$3)&lt;=8),'Вводные'!$B$70,0))),0)</x:f>
      </x:c>
      <x:c r="E33" t="n">
        <x:f>IF(AND(E$3&gt;=$B$30,E$3&lt;EDATE($B$30,MAX(1,'Вводные'!$H$89)),'Вводные'!$B$89="Да"),(1+'Вводные'!$AD$89*'Вводные'!$H$7*MIN(1,(12*(YEAR(E$3)-YEAR($B$30))+MONTH(E$3)-MONTH($B$30))/MAX(1,12*(YEAR($B$31)-YEAR($B$30))+MONTH($B$31)-MONTH($B$30))))*(1+IF(MONTH(E$3)=1,'Вводные'!$B$67,IF(AND(MONTH(E$3)&gt;=5,MONTH(E$3)&lt;=8),'Вводные'!$B$70,0))),0)</x:f>
      </x:c>
      <x:c r="F33" t="n">
        <x:f>IF(AND(F$3&gt;=$B$30,F$3&lt;EDATE($B$30,MAX(1,'Вводные'!$H$89)),'Вводные'!$B$89="Да"),(1+'Вводные'!$AD$89*'Вводные'!$H$7*MIN(1,(12*(YEAR(F$3)-YEAR($B$30))+MONTH(F$3)-MONTH($B$30))/MAX(1,12*(YEAR($B$31)-YEAR($B$30))+MONTH($B$31)-MONTH($B$30))))*(1+IF(MONTH(F$3)=1,'Вводные'!$B$67,IF(AND(MONTH(F$3)&gt;=5,MONTH(F$3)&lt;=8),'Вводные'!$B$70,0))),0)</x:f>
      </x:c>
      <x:c r="G33" t="n">
        <x:f>IF(AND(G$3&gt;=$B$30,G$3&lt;EDATE($B$30,MAX(1,'Вводные'!$H$89)),'Вводные'!$B$89="Да"),(1+'Вводные'!$AD$89*'Вводные'!$H$7*MIN(1,(12*(YEAR(G$3)-YEAR($B$30))+MONTH(G$3)-MONTH($B$30))/MAX(1,12*(YEAR($B$31)-YEAR($B$30))+MONTH($B$31)-MONTH($B$30))))*(1+IF(MONTH(G$3)=1,'Вводные'!$B$67,IF(AND(MONTH(G$3)&gt;=5,MONTH(G$3)&lt;=8),'Вводные'!$B$70,0))),0)</x:f>
      </x:c>
      <x:c r="H33" t="n">
        <x:f>IF(AND(H$3&gt;=$B$30,H$3&lt;EDATE($B$30,MAX(1,'Вводные'!$H$89)),'Вводные'!$B$89="Да"),(1+'Вводные'!$AD$89*'Вводные'!$H$7*MIN(1,(12*(YEAR(H$3)-YEAR($B$30))+MONTH(H$3)-MONTH($B$30))/MAX(1,12*(YEAR($B$31)-YEAR($B$30))+MONTH($B$31)-MONTH($B$30))))*(1+IF(MONTH(H$3)=1,'Вводные'!$B$67,IF(AND(MONTH(H$3)&gt;=5,MONTH(H$3)&lt;=8),'Вводные'!$B$70,0))),0)</x:f>
      </x:c>
      <x:c r="I33" t="n">
        <x:f>IF(AND(I$3&gt;=$B$30,I$3&lt;EDATE($B$30,MAX(1,'Вводные'!$H$89)),'Вводные'!$B$89="Да"),(1+'Вводные'!$AD$89*'Вводные'!$H$7*MIN(1,(12*(YEAR(I$3)-YEAR($B$30))+MONTH(I$3)-MONTH($B$30))/MAX(1,12*(YEAR($B$31)-YEAR($B$30))+MONTH($B$31)-MONTH($B$30))))*(1+IF(MONTH(I$3)=1,'Вводные'!$B$67,IF(AND(MONTH(I$3)&gt;=5,MONTH(I$3)&lt;=8),'Вводные'!$B$70,0))),0)</x:f>
      </x:c>
      <x:c r="J33" t="n">
        <x:f>IF(AND(J$3&gt;=$B$30,J$3&lt;EDATE($B$30,MAX(1,'Вводные'!$H$89)),'Вводные'!$B$89="Да"),(1+'Вводные'!$AD$89*'Вводные'!$H$7*MIN(1,(12*(YEAR(J$3)-YEAR($B$30))+MONTH(J$3)-MONTH($B$30))/MAX(1,12*(YEAR($B$31)-YEAR($B$30))+MONTH($B$31)-MONTH($B$30))))*(1+IF(MONTH(J$3)=1,'Вводные'!$B$67,IF(AND(MONTH(J$3)&gt;=5,MONTH(J$3)&lt;=8),'Вводные'!$B$70,0))),0)</x:f>
      </x:c>
      <x:c r="K33" t="n">
        <x:f>IF(AND(K$3&gt;=$B$30,K$3&lt;EDATE($B$30,MAX(1,'Вводные'!$H$89)),'Вводные'!$B$89="Да"),(1+'Вводные'!$AD$89*'Вводные'!$H$7*MIN(1,(12*(YEAR(K$3)-YEAR($B$30))+MONTH(K$3)-MONTH($B$30))/MAX(1,12*(YEAR($B$31)-YEAR($B$30))+MONTH($B$31)-MONTH($B$30))))*(1+IF(MONTH(K$3)=1,'Вводные'!$B$67,IF(AND(MONTH(K$3)&gt;=5,MONTH(K$3)&lt;=8),'Вводные'!$B$70,0))),0)</x:f>
      </x:c>
      <x:c r="L33" t="n">
        <x:f>IF(AND(L$3&gt;=$B$30,L$3&lt;EDATE($B$30,MAX(1,'Вводные'!$H$89)),'Вводные'!$B$89="Да"),(1+'Вводные'!$AD$89*'Вводные'!$H$7*MIN(1,(12*(YEAR(L$3)-YEAR($B$30))+MONTH(L$3)-MONTH($B$30))/MAX(1,12*(YEAR($B$31)-YEAR($B$30))+MONTH($B$31)-MONTH($B$30))))*(1+IF(MONTH(L$3)=1,'Вводные'!$B$67,IF(AND(MONTH(L$3)&gt;=5,MONTH(L$3)&lt;=8),'Вводные'!$B$70,0))),0)</x:f>
      </x:c>
      <x:c r="M33" t="n">
        <x:f>IF(AND(M$3&gt;=$B$30,M$3&lt;EDATE($B$30,MAX(1,'Вводные'!$H$89)),'Вводные'!$B$89="Да"),(1+'Вводные'!$AD$89*'Вводные'!$H$7*MIN(1,(12*(YEAR(M$3)-YEAR($B$30))+MONTH(M$3)-MONTH($B$30))/MAX(1,12*(YEAR($B$31)-YEAR($B$30))+MONTH($B$31)-MONTH($B$30))))*(1+IF(MONTH(M$3)=1,'Вводные'!$B$67,IF(AND(MONTH(M$3)&gt;=5,MONTH(M$3)&lt;=8),'Вводные'!$B$70,0))),0)</x:f>
      </x:c>
      <x:c r="N33" t="n">
        <x:f>IF(AND(N$3&gt;=$B$30,N$3&lt;EDATE($B$30,MAX(1,'Вводные'!$H$89)),'Вводные'!$B$89="Да"),(1+'Вводные'!$AD$89*'Вводные'!$H$7*MIN(1,(12*(YEAR(N$3)-YEAR($B$30))+MONTH(N$3)-MONTH($B$30))/MAX(1,12*(YEAR($B$31)-YEAR($B$30))+MONTH($B$31)-MONTH($B$30))))*(1+IF(MONTH(N$3)=1,'Вводные'!$B$67,IF(AND(MONTH(N$3)&gt;=5,MONTH(N$3)&lt;=8),'Вводные'!$B$70,0))),0)</x:f>
      </x:c>
      <x:c r="O33" t="n">
        <x:f>IF(AND(O$3&gt;=$B$30,O$3&lt;EDATE($B$30,MAX(1,'Вводные'!$H$89)),'Вводные'!$B$89="Да"),(1+'Вводные'!$AD$89*'Вводные'!$H$7*MIN(1,(12*(YEAR(O$3)-YEAR($B$30))+MONTH(O$3)-MONTH($B$30))/MAX(1,12*(YEAR($B$31)-YEAR($B$30))+MONTH($B$31)-MONTH($B$30))))*(1+IF(MONTH(O$3)=1,'Вводные'!$B$67,IF(AND(MONTH(O$3)&gt;=5,MONTH(O$3)&lt;=8),'Вводные'!$B$70,0))),0)</x:f>
      </x:c>
      <x:c r="P33" t="n">
        <x:f>IF(AND(P$3&gt;=$B$30,P$3&lt;EDATE($B$30,MAX(1,'Вводные'!$H$89)),'Вводные'!$B$89="Да"),(1+'Вводные'!$AD$89*'Вводные'!$H$7*MIN(1,(12*(YEAR(P$3)-YEAR($B$30))+MONTH(P$3)-MONTH($B$30))/MAX(1,12*(YEAR($B$31)-YEAR($B$30))+MONTH($B$31)-MONTH($B$30))))*(1+IF(MONTH(P$3)=1,'Вводные'!$B$67,IF(AND(MONTH(P$3)&gt;=5,MONTH(P$3)&lt;=8),'Вводные'!$B$70,0))),0)</x:f>
      </x:c>
      <x:c r="Q33" t="n">
        <x:f>IF(AND(Q$3&gt;=$B$30,Q$3&lt;EDATE($B$30,MAX(1,'Вводные'!$H$89)),'Вводные'!$B$89="Да"),(1+'Вводные'!$AD$89*'Вводные'!$H$7*MIN(1,(12*(YEAR(Q$3)-YEAR($B$30))+MONTH(Q$3)-MONTH($B$30))/MAX(1,12*(YEAR($B$31)-YEAR($B$30))+MONTH($B$31)-MONTH($B$30))))*(1+IF(MONTH(Q$3)=1,'Вводные'!$B$67,IF(AND(MONTH(Q$3)&gt;=5,MONTH(Q$3)&lt;=8),'Вводные'!$B$70,0))),0)</x:f>
      </x:c>
      <x:c r="R33" t="n">
        <x:f>IF(AND(R$3&gt;=$B$30,R$3&lt;EDATE($B$30,MAX(1,'Вводные'!$H$89)),'Вводные'!$B$89="Да"),(1+'Вводные'!$AD$89*'Вводные'!$H$7*MIN(1,(12*(YEAR(R$3)-YEAR($B$30))+MONTH(R$3)-MONTH($B$30))/MAX(1,12*(YEAR($B$31)-YEAR($B$30))+MONTH($B$31)-MONTH($B$30))))*(1+IF(MONTH(R$3)=1,'Вводные'!$B$67,IF(AND(MONTH(R$3)&gt;=5,MONTH(R$3)&lt;=8),'Вводные'!$B$70,0))),0)</x:f>
      </x:c>
      <x:c r="S33" t="n">
        <x:f>IF(AND(S$3&gt;=$B$30,S$3&lt;EDATE($B$30,MAX(1,'Вводные'!$H$89)),'Вводные'!$B$89="Да"),(1+'Вводные'!$AD$89*'Вводные'!$H$7*MIN(1,(12*(YEAR(S$3)-YEAR($B$30))+MONTH(S$3)-MONTH($B$30))/MAX(1,12*(YEAR($B$31)-YEAR($B$30))+MONTH($B$31)-MONTH($B$30))))*(1+IF(MONTH(S$3)=1,'Вводные'!$B$67,IF(AND(MONTH(S$3)&gt;=5,MONTH(S$3)&lt;=8),'Вводные'!$B$70,0))),0)</x:f>
      </x:c>
      <x:c r="T33" t="n">
        <x:f>IF(AND(T$3&gt;=$B$30,T$3&lt;EDATE($B$30,MAX(1,'Вводные'!$H$89)),'Вводные'!$B$89="Да"),(1+'Вводные'!$AD$89*'Вводные'!$H$7*MIN(1,(12*(YEAR(T$3)-YEAR($B$30))+MONTH(T$3)-MONTH($B$30))/MAX(1,12*(YEAR($B$31)-YEAR($B$30))+MONTH($B$31)-MONTH($B$30))))*(1+IF(MONTH(T$3)=1,'Вводные'!$B$67,IF(AND(MONTH(T$3)&gt;=5,MONTH(T$3)&lt;=8),'Вводные'!$B$70,0))),0)</x:f>
      </x:c>
      <x:c r="U33" t="n">
        <x:f>IF(AND(U$3&gt;=$B$30,U$3&lt;EDATE($B$30,MAX(1,'Вводные'!$H$89)),'Вводные'!$B$89="Да"),(1+'Вводные'!$AD$89*'Вводные'!$H$7*MIN(1,(12*(YEAR(U$3)-YEAR($B$30))+MONTH(U$3)-MONTH($B$30))/MAX(1,12*(YEAR($B$31)-YEAR($B$30))+MONTH($B$31)-MONTH($B$30))))*(1+IF(MONTH(U$3)=1,'Вводные'!$B$67,IF(AND(MONTH(U$3)&gt;=5,MONTH(U$3)&lt;=8),'Вводные'!$B$70,0))),0)</x:f>
      </x:c>
      <x:c r="V33" t="n">
        <x:f>IF(AND(V$3&gt;=$B$30,V$3&lt;EDATE($B$30,MAX(1,'Вводные'!$H$89)),'Вводные'!$B$89="Да"),(1+'Вводные'!$AD$89*'Вводные'!$H$7*MIN(1,(12*(YEAR(V$3)-YEAR($B$30))+MONTH(V$3)-MONTH($B$30))/MAX(1,12*(YEAR($B$31)-YEAR($B$30))+MONTH($B$31)-MONTH($B$30))))*(1+IF(MONTH(V$3)=1,'Вводные'!$B$67,IF(AND(MONTH(V$3)&gt;=5,MONTH(V$3)&lt;=8),'Вводные'!$B$70,0))),0)</x:f>
      </x:c>
      <x:c r="W33" t="n">
        <x:f>IF(AND(W$3&gt;=$B$30,W$3&lt;EDATE($B$30,MAX(1,'Вводные'!$H$89)),'Вводные'!$B$89="Да"),(1+'Вводные'!$AD$89*'Вводные'!$H$7*MIN(1,(12*(YEAR(W$3)-YEAR($B$30))+MONTH(W$3)-MONTH($B$30))/MAX(1,12*(YEAR($B$31)-YEAR($B$30))+MONTH($B$31)-MONTH($B$30))))*(1+IF(MONTH(W$3)=1,'Вводные'!$B$67,IF(AND(MONTH(W$3)&gt;=5,MONTH(W$3)&lt;=8),'Вводные'!$B$70,0))),0)</x:f>
      </x:c>
      <x:c r="X33" t="n">
        <x:f>IF(AND(X$3&gt;=$B$30,X$3&lt;EDATE($B$30,MAX(1,'Вводные'!$H$89)),'Вводные'!$B$89="Да"),(1+'Вводные'!$AD$89*'Вводные'!$H$7*MIN(1,(12*(YEAR(X$3)-YEAR($B$30))+MONTH(X$3)-MONTH($B$30))/MAX(1,12*(YEAR($B$31)-YEAR($B$30))+MONTH($B$31)-MONTH($B$30))))*(1+IF(MONTH(X$3)=1,'Вводные'!$B$67,IF(AND(MONTH(X$3)&gt;=5,MONTH(X$3)&lt;=8),'Вводные'!$B$70,0))),0)</x:f>
      </x:c>
      <x:c r="Y33" t="n">
        <x:f>IF(AND(Y$3&gt;=$B$30,Y$3&lt;EDATE($B$30,MAX(1,'Вводные'!$H$89)),'Вводные'!$B$89="Да"),(1+'Вводные'!$AD$89*'Вводные'!$H$7*MIN(1,(12*(YEAR(Y$3)-YEAR($B$30))+MONTH(Y$3)-MONTH($B$30))/MAX(1,12*(YEAR($B$31)-YEAR($B$30))+MONTH($B$31)-MONTH($B$30))))*(1+IF(MONTH(Y$3)=1,'Вводные'!$B$67,IF(AND(MONTH(Y$3)&gt;=5,MONTH(Y$3)&lt;=8),'Вводные'!$B$70,0))),0)</x:f>
      </x:c>
      <x:c r="Z33" t="n">
        <x:f>IF(AND(Z$3&gt;=$B$30,Z$3&lt;EDATE($B$30,MAX(1,'Вводные'!$H$89)),'Вводные'!$B$89="Да"),(1+'Вводные'!$AD$89*'Вводные'!$H$7*MIN(1,(12*(YEAR(Z$3)-YEAR($B$30))+MONTH(Z$3)-MONTH($B$30))/MAX(1,12*(YEAR($B$31)-YEAR($B$30))+MONTH($B$31)-MONTH($B$30))))*(1+IF(MONTH(Z$3)=1,'Вводные'!$B$67,IF(AND(MONTH(Z$3)&gt;=5,MONTH(Z$3)&lt;=8),'Вводные'!$B$70,0))),0)</x:f>
      </x:c>
      <x:c r="AA33" t="n">
        <x:f>IF(AND(AA$3&gt;=$B$30,AA$3&lt;EDATE($B$30,MAX(1,'Вводные'!$H$89)),'Вводные'!$B$89="Да"),(1+'Вводные'!$AD$89*'Вводные'!$H$7*MIN(1,(12*(YEAR(AA$3)-YEAR($B$30))+MONTH(AA$3)-MONTH($B$30))/MAX(1,12*(YEAR($B$31)-YEAR($B$30))+MONTH($B$31)-MONTH($B$30))))*(1+IF(MONTH(AA$3)=1,'Вводные'!$B$67,IF(AND(MONTH(AA$3)&gt;=5,MONTH(AA$3)&lt;=8),'Вводные'!$B$70,0))),0)</x:f>
      </x:c>
      <x:c r="AB33" t="n">
        <x:f>IF(AND(AB$3&gt;=$B$30,AB$3&lt;EDATE($B$30,MAX(1,'Вводные'!$H$89)),'Вводные'!$B$89="Да"),(1+'Вводные'!$AD$89*'Вводные'!$H$7*MIN(1,(12*(YEAR(AB$3)-YEAR($B$30))+MONTH(AB$3)-MONTH($B$30))/MAX(1,12*(YEAR($B$31)-YEAR($B$30))+MONTH($B$31)-MONTH($B$30))))*(1+IF(MONTH(AB$3)=1,'Вводные'!$B$67,IF(AND(MONTH(AB$3)&gt;=5,MONTH(AB$3)&lt;=8),'Вводные'!$B$70,0))),0)</x:f>
      </x:c>
      <x:c r="AC33" t="n">
        <x:f>IF(AND(AC$3&gt;=$B$30,AC$3&lt;EDATE($B$30,MAX(1,'Вводные'!$H$89)),'Вводные'!$B$89="Да"),(1+'Вводные'!$AD$89*'Вводные'!$H$7*MIN(1,(12*(YEAR(AC$3)-YEAR($B$30))+MONTH(AC$3)-MONTH($B$30))/MAX(1,12*(YEAR($B$31)-YEAR($B$30))+MONTH($B$31)-MONTH($B$30))))*(1+IF(MONTH(AC$3)=1,'Вводные'!$B$67,IF(AND(MONTH(AC$3)&gt;=5,MONTH(AC$3)&lt;=8),'Вводные'!$B$70,0))),0)</x:f>
      </x:c>
      <x:c r="AD33" t="n">
        <x:f>IF(AND(AD$3&gt;=$B$30,AD$3&lt;EDATE($B$30,MAX(1,'Вводные'!$H$89)),'Вводные'!$B$89="Да"),(1+'Вводные'!$AD$89*'Вводные'!$H$7*MIN(1,(12*(YEAR(AD$3)-YEAR($B$30))+MONTH(AD$3)-MONTH($B$30))/MAX(1,12*(YEAR($B$31)-YEAR($B$30))+MONTH($B$31)-MONTH($B$30))))*(1+IF(MONTH(AD$3)=1,'Вводные'!$B$67,IF(AND(MONTH(AD$3)&gt;=5,MONTH(AD$3)&lt;=8),'Вводные'!$B$70,0))),0)</x:f>
      </x:c>
      <x:c r="AE33" t="n">
        <x:f>IF(AND(AE$3&gt;=$B$30,AE$3&lt;EDATE($B$30,MAX(1,'Вводные'!$H$89)),'Вводные'!$B$89="Да"),(1+'Вводные'!$AD$89*'Вводные'!$H$7*MIN(1,(12*(YEAR(AE$3)-YEAR($B$30))+MONTH(AE$3)-MONTH($B$30))/MAX(1,12*(YEAR($B$31)-YEAR($B$30))+MONTH($B$31)-MONTH($B$30))))*(1+IF(MONTH(AE$3)=1,'Вводные'!$B$67,IF(AND(MONTH(AE$3)&gt;=5,MONTH(AE$3)&lt;=8),'Вводные'!$B$70,0))),0)</x:f>
      </x:c>
      <x:c r="AF33" t="n">
        <x:f>IF(AND(AF$3&gt;=$B$30,AF$3&lt;EDATE($B$30,MAX(1,'Вводные'!$H$89)),'Вводные'!$B$89="Да"),(1+'Вводные'!$AD$89*'Вводные'!$H$7*MIN(1,(12*(YEAR(AF$3)-YEAR($B$30))+MONTH(AF$3)-MONTH($B$30))/MAX(1,12*(YEAR($B$31)-YEAR($B$30))+MONTH($B$31)-MONTH($B$30))))*(1+IF(MONTH(AF$3)=1,'Вводные'!$B$67,IF(AND(MONTH(AF$3)&gt;=5,MONTH(AF$3)&lt;=8),'Вводные'!$B$70,0))),0)</x:f>
      </x:c>
      <x:c r="AG33" t="n">
        <x:f>IF(AND(AG$3&gt;=$B$30,AG$3&lt;EDATE($B$30,MAX(1,'Вводные'!$H$89)),'Вводные'!$B$89="Да"),(1+'Вводные'!$AD$89*'Вводные'!$H$7*MIN(1,(12*(YEAR(AG$3)-YEAR($B$30))+MONTH(AG$3)-MONTH($B$30))/MAX(1,12*(YEAR($B$31)-YEAR($B$30))+MONTH($B$31)-MONTH($B$30))))*(1+IF(MONTH(AG$3)=1,'Вводные'!$B$67,IF(AND(MONTH(AG$3)&gt;=5,MONTH(AG$3)&lt;=8),'Вводные'!$B$70,0))),0)</x:f>
      </x:c>
      <x:c r="AH33" t="n">
        <x:f>IF(AND(AH$3&gt;=$B$30,AH$3&lt;EDATE($B$30,MAX(1,'Вводные'!$H$89)),'Вводные'!$B$89="Да"),(1+'Вводные'!$AD$89*'Вводные'!$H$7*MIN(1,(12*(YEAR(AH$3)-YEAR($B$30))+MONTH(AH$3)-MONTH($B$30))/MAX(1,12*(YEAR($B$31)-YEAR($B$30))+MONTH($B$31)-MONTH($B$30))))*(1+IF(MONTH(AH$3)=1,'Вводные'!$B$67,IF(AND(MONTH(AH$3)&gt;=5,MONTH(AH$3)&lt;=8),'Вводные'!$B$70,0))),0)</x:f>
      </x:c>
      <x:c r="AI33" t="n">
        <x:f>IF(AND(AI$3&gt;=$B$30,AI$3&lt;EDATE($B$30,MAX(1,'Вводные'!$H$89)),'Вводные'!$B$89="Да"),(1+'Вводные'!$AD$89*'Вводные'!$H$7*MIN(1,(12*(YEAR(AI$3)-YEAR($B$30))+MONTH(AI$3)-MONTH($B$30))/MAX(1,12*(YEAR($B$31)-YEAR($B$30))+MONTH($B$31)-MONTH($B$30))))*(1+IF(MONTH(AI$3)=1,'Вводные'!$B$67,IF(AND(MONTH(AI$3)&gt;=5,MONTH(AI$3)&lt;=8),'Вводные'!$B$70,0))),0)</x:f>
      </x:c>
      <x:c r="AJ33" t="n">
        <x:f>IF(AND(AJ$3&gt;=$B$30,AJ$3&lt;EDATE($B$30,MAX(1,'Вводные'!$H$89)),'Вводные'!$B$89="Да"),(1+'Вводные'!$AD$89*'Вводные'!$H$7*MIN(1,(12*(YEAR(AJ$3)-YEAR($B$30))+MONTH(AJ$3)-MONTH($B$30))/MAX(1,12*(YEAR($B$31)-YEAR($B$30))+MONTH($B$31)-MONTH($B$30))))*(1+IF(MONTH(AJ$3)=1,'Вводные'!$B$67,IF(AND(MONTH(AJ$3)&gt;=5,MONTH(AJ$3)&lt;=8),'Вводные'!$B$70,0))),0)</x:f>
      </x:c>
      <x:c r="AK33" t="n">
        <x:f>IF(AND(AK$3&gt;=$B$30,AK$3&lt;EDATE($B$30,MAX(1,'Вводные'!$H$89)),'Вводные'!$B$89="Да"),(1+'Вводные'!$AD$89*'Вводные'!$H$7*MIN(1,(12*(YEAR(AK$3)-YEAR($B$30))+MONTH(AK$3)-MONTH($B$30))/MAX(1,12*(YEAR($B$31)-YEAR($B$30))+MONTH($B$31)-MONTH($B$30))))*(1+IF(MONTH(AK$3)=1,'Вводные'!$B$67,IF(AND(MONTH(AK$3)&gt;=5,MONTH(AK$3)&lt;=8),'Вводные'!$B$70,0))),0)</x:f>
      </x:c>
      <x:c r="AL33" t="n">
        <x:f>IF(AND(AL$3&gt;=$B$30,AL$3&lt;EDATE($B$30,MAX(1,'Вводные'!$H$89)),'Вводные'!$B$89="Да"),(1+'Вводные'!$AD$89*'Вводные'!$H$7*MIN(1,(12*(YEAR(AL$3)-YEAR($B$30))+MONTH(AL$3)-MONTH($B$30))/MAX(1,12*(YEAR($B$31)-YEAR($B$30))+MONTH($B$31)-MONTH($B$30))))*(1+IF(MONTH(AL$3)=1,'Вводные'!$B$67,IF(AND(MONTH(AL$3)&gt;=5,MONTH(AL$3)&lt;=8),'Вводные'!$B$70,0))),0)</x:f>
      </x:c>
      <x:c r="AM33" t="n">
        <x:f>IF(AND(AM$3&gt;=$B$30,AM$3&lt;EDATE($B$30,MAX(1,'Вводные'!$H$89)),'Вводные'!$B$89="Да"),(1+'Вводные'!$AD$89*'Вводные'!$H$7*MIN(1,(12*(YEAR(AM$3)-YEAR($B$30))+MONTH(AM$3)-MONTH($B$30))/MAX(1,12*(YEAR($B$31)-YEAR($B$30))+MONTH($B$31)-MONTH($B$30))))*(1+IF(MONTH(AM$3)=1,'Вводные'!$B$67,IF(AND(MONTH(AM$3)&gt;=5,MONTH(AM$3)&lt;=8),'Вводные'!$B$70,0))),0)</x:f>
      </x:c>
      <x:c r="AN33" t="n">
        <x:f>IF(AND(AN$3&gt;=$B$30,AN$3&lt;EDATE($B$30,MAX(1,'Вводные'!$H$89)),'Вводные'!$B$89="Да"),(1+'Вводные'!$AD$89*'Вводные'!$H$7*MIN(1,(12*(YEAR(AN$3)-YEAR($B$30))+MONTH(AN$3)-MONTH($B$30))/MAX(1,12*(YEAR($B$31)-YEAR($B$30))+MONTH($B$31)-MONTH($B$30))))*(1+IF(MONTH(AN$3)=1,'Вводные'!$B$67,IF(AND(MONTH(AN$3)&gt;=5,MONTH(AN$3)&lt;=8),'Вводные'!$B$70,0))),0)</x:f>
      </x:c>
      <x:c r="AO33" t="n">
        <x:f>IF(AND(AO$3&gt;=$B$30,AO$3&lt;EDATE($B$30,MAX(1,'Вводные'!$H$89)),'Вводные'!$B$89="Да"),(1+'Вводные'!$AD$89*'Вводные'!$H$7*MIN(1,(12*(YEAR(AO$3)-YEAR($B$30))+MONTH(AO$3)-MONTH($B$30))/MAX(1,12*(YEAR($B$31)-YEAR($B$30))+MONTH($B$31)-MONTH($B$30))))*(1+IF(MONTH(AO$3)=1,'Вводные'!$B$67,IF(AND(MONTH(AO$3)&gt;=5,MONTH(AO$3)&lt;=8),'Вводные'!$B$70,0))),0)</x:f>
      </x:c>
      <x:c r="AP33" t="n">
        <x:f>IF(AND(AP$3&gt;=$B$30,AP$3&lt;EDATE($B$30,MAX(1,'Вводные'!$H$89)),'Вводные'!$B$89="Да"),(1+'Вводные'!$AD$89*'Вводные'!$H$7*MIN(1,(12*(YEAR(AP$3)-YEAR($B$30))+MONTH(AP$3)-MONTH($B$30))/MAX(1,12*(YEAR($B$31)-YEAR($B$30))+MONTH($B$31)-MONTH($B$30))))*(1+IF(MONTH(AP$3)=1,'Вводные'!$B$67,IF(AND(MONTH(AP$3)&gt;=5,MONTH(AP$3)&lt;=8),'Вводные'!$B$70,0))),0)</x:f>
      </x:c>
      <x:c r="AQ33" t="n">
        <x:f>IF(AND(AQ$3&gt;=$B$30,AQ$3&lt;EDATE($B$30,MAX(1,'Вводные'!$H$89)),'Вводные'!$B$89="Да"),(1+'Вводные'!$AD$89*'Вводные'!$H$7*MIN(1,(12*(YEAR(AQ$3)-YEAR($B$30))+MONTH(AQ$3)-MONTH($B$30))/MAX(1,12*(YEAR($B$31)-YEAR($B$30))+MONTH($B$31)-MONTH($B$30))))*(1+IF(MONTH(AQ$3)=1,'Вводные'!$B$67,IF(AND(MONTH(AQ$3)&gt;=5,MONTH(AQ$3)&lt;=8),'Вводные'!$B$70,0))),0)</x:f>
      </x:c>
      <x:c r="AR33" t="n">
        <x:f>IF(AND(AR$3&gt;=$B$30,AR$3&lt;EDATE($B$30,MAX(1,'Вводные'!$H$89)),'Вводные'!$B$89="Да"),(1+'Вводные'!$AD$89*'Вводные'!$H$7*MIN(1,(12*(YEAR(AR$3)-YEAR($B$30))+MONTH(AR$3)-MONTH($B$30))/MAX(1,12*(YEAR($B$31)-YEAR($B$30))+MONTH($B$31)-MONTH($B$30))))*(1+IF(MONTH(AR$3)=1,'Вводные'!$B$67,IF(AND(MONTH(AR$3)&gt;=5,MONTH(AR$3)&lt;=8),'Вводные'!$B$70,0))),0)</x:f>
      </x:c>
      <x:c r="AS33" t="n">
        <x:f>IF(AND(AS$3&gt;=$B$30,AS$3&lt;EDATE($B$30,MAX(1,'Вводные'!$H$89)),'Вводные'!$B$89="Да"),(1+'Вводные'!$AD$89*'Вводные'!$H$7*MIN(1,(12*(YEAR(AS$3)-YEAR($B$30))+MONTH(AS$3)-MONTH($B$30))/MAX(1,12*(YEAR($B$31)-YEAR($B$30))+MONTH($B$31)-MONTH($B$30))))*(1+IF(MONTH(AS$3)=1,'Вводные'!$B$67,IF(AND(MONTH(AS$3)&gt;=5,MONTH(AS$3)&lt;=8),'Вводные'!$B$70,0))),0)</x:f>
      </x:c>
      <x:c r="AT33" t="n">
        <x:f>IF(AND(AT$3&gt;=$B$30,AT$3&lt;EDATE($B$30,MAX(1,'Вводные'!$H$89)),'Вводные'!$B$89="Да"),(1+'Вводные'!$AD$89*'Вводные'!$H$7*MIN(1,(12*(YEAR(AT$3)-YEAR($B$30))+MONTH(AT$3)-MONTH($B$30))/MAX(1,12*(YEAR($B$31)-YEAR($B$30))+MONTH($B$31)-MONTH($B$30))))*(1+IF(MONTH(AT$3)=1,'Вводные'!$B$67,IF(AND(MONTH(AT$3)&gt;=5,MONTH(AT$3)&lt;=8),'Вводные'!$B$70,0))),0)</x:f>
      </x:c>
      <x:c r="AU33" t="n">
        <x:f>IF(AND(AU$3&gt;=$B$30,AU$3&lt;EDATE($B$30,MAX(1,'Вводные'!$H$89)),'Вводные'!$B$89="Да"),(1+'Вводные'!$AD$89*'Вводные'!$H$7*MIN(1,(12*(YEAR(AU$3)-YEAR($B$30))+MONTH(AU$3)-MONTH($B$30))/MAX(1,12*(YEAR($B$31)-YEAR($B$30))+MONTH($B$31)-MONTH($B$30))))*(1+IF(MONTH(AU$3)=1,'Вводные'!$B$67,IF(AND(MONTH(AU$3)&gt;=5,MONTH(AU$3)&lt;=8),'Вводные'!$B$70,0))),0)</x:f>
      </x:c>
      <x:c r="AV33" t="n">
        <x:f>IF(AND(AV$3&gt;=$B$30,AV$3&lt;EDATE($B$30,MAX(1,'Вводные'!$H$89)),'Вводные'!$B$89="Да"),(1+'Вводные'!$AD$89*'Вводные'!$H$7*MIN(1,(12*(YEAR(AV$3)-YEAR($B$30))+MONTH(AV$3)-MONTH($B$30))/MAX(1,12*(YEAR($B$31)-YEAR($B$30))+MONTH($B$31)-MONTH($B$30))))*(1+IF(MONTH(AV$3)=1,'Вводные'!$B$67,IF(AND(MONTH(AV$3)&gt;=5,MONTH(AV$3)&lt;=8),'Вводные'!$B$70,0))),0)</x:f>
      </x:c>
      <x:c r="AW33" t="n">
        <x:f>IF(AND(AW$3&gt;=$B$30,AW$3&lt;EDATE($B$30,MAX(1,'Вводные'!$H$89)),'Вводные'!$B$89="Да"),(1+'Вводные'!$AD$89*'Вводные'!$H$7*MIN(1,(12*(YEAR(AW$3)-YEAR($B$30))+MONTH(AW$3)-MONTH($B$30))/MAX(1,12*(YEAR($B$31)-YEAR($B$30))+MONTH($B$31)-MONTH($B$30))))*(1+IF(MONTH(AW$3)=1,'Вводные'!$B$67,IF(AND(MONTH(AW$3)&gt;=5,MONTH(AW$3)&lt;=8),'Вводные'!$B$70,0))),0)</x:f>
      </x:c>
      <x:c r="AX33" t="n">
        <x:f>IF(AND(AX$3&gt;=$B$30,AX$3&lt;EDATE($B$30,MAX(1,'Вводные'!$H$89)),'Вводные'!$B$89="Да"),(1+'Вводные'!$AD$89*'Вводные'!$H$7*MIN(1,(12*(YEAR(AX$3)-YEAR($B$30))+MONTH(AX$3)-MONTH($B$30))/MAX(1,12*(YEAR($B$31)-YEAR($B$30))+MONTH($B$31)-MONTH($B$30))))*(1+IF(MONTH(AX$3)=1,'Вводные'!$B$67,IF(AND(MONTH(AX$3)&gt;=5,MONTH(AX$3)&lt;=8),'Вводные'!$B$70,0))),0)</x:f>
      </x:c>
      <x:c r="AY33" t="n">
        <x:f>IF(AND(AY$3&gt;=$B$30,AY$3&lt;EDATE($B$30,MAX(1,'Вводные'!$H$89)),'Вводные'!$B$89="Да"),(1+'Вводные'!$AD$89*'Вводные'!$H$7*MIN(1,(12*(YEAR(AY$3)-YEAR($B$30))+MONTH(AY$3)-MONTH($B$30))/MAX(1,12*(YEAR($B$31)-YEAR($B$30))+MONTH($B$31)-MONTH($B$30))))*(1+IF(MONTH(AY$3)=1,'Вводные'!$B$67,IF(AND(MONTH(AY$3)&gt;=5,MONTH(AY$3)&lt;=8),'Вводные'!$B$70,0))),0)</x:f>
      </x:c>
      <x:c r="AZ33" t="n">
        <x:f>IF(AND(AZ$3&gt;=$B$30,AZ$3&lt;EDATE($B$30,MAX(1,'Вводные'!$H$89)),'Вводные'!$B$89="Да"),(1+'Вводные'!$AD$89*'Вводные'!$H$7*MIN(1,(12*(YEAR(AZ$3)-YEAR($B$30))+MONTH(AZ$3)-MONTH($B$30))/MAX(1,12*(YEAR($B$31)-YEAR($B$30))+MONTH($B$31)-MONTH($B$30))))*(1+IF(MONTH(AZ$3)=1,'Вводные'!$B$67,IF(AND(MONTH(AZ$3)&gt;=5,MONTH(AZ$3)&lt;=8),'Вводные'!$B$70,0))),0)</x:f>
      </x:c>
      <x:c r="BA33" t="n">
        <x:f>IF(AND(BA$3&gt;=$B$30,BA$3&lt;EDATE($B$30,MAX(1,'Вводные'!$H$89)),'Вводные'!$B$89="Да"),(1+'Вводные'!$AD$89*'Вводные'!$H$7*MIN(1,(12*(YEAR(BA$3)-YEAR($B$30))+MONTH(BA$3)-MONTH($B$30))/MAX(1,12*(YEAR($B$31)-YEAR($B$30))+MONTH($B$31)-MONTH($B$30))))*(1+IF(MONTH(BA$3)=1,'Вводные'!$B$67,IF(AND(MONTH(BA$3)&gt;=5,MONTH(BA$3)&lt;=8),'Вводные'!$B$70,0))),0)</x:f>
      </x:c>
      <x:c r="BB33" t="n">
        <x:f>IF(AND(BB$3&gt;=$B$30,BB$3&lt;EDATE($B$30,MAX(1,'Вводные'!$H$89)),'Вводные'!$B$89="Да"),(1+'Вводные'!$AD$89*'Вводные'!$H$7*MIN(1,(12*(YEAR(BB$3)-YEAR($B$30))+MONTH(BB$3)-MONTH($B$30))/MAX(1,12*(YEAR($B$31)-YEAR($B$30))+MONTH($B$31)-MONTH($B$30))))*(1+IF(MONTH(BB$3)=1,'Вводные'!$B$67,IF(AND(MONTH(BB$3)&gt;=5,MONTH(BB$3)&lt;=8),'Вводные'!$B$70,0))),0)</x:f>
      </x:c>
      <x:c r="BC33" t="n">
        <x:f>IF(AND(BC$3&gt;=$B$30,BC$3&lt;EDATE($B$30,MAX(1,'Вводные'!$H$89)),'Вводные'!$B$89="Да"),(1+'Вводные'!$AD$89*'Вводные'!$H$7*MIN(1,(12*(YEAR(BC$3)-YEAR($B$30))+MONTH(BC$3)-MONTH($B$30))/MAX(1,12*(YEAR($B$31)-YEAR($B$30))+MONTH($B$31)-MONTH($B$30))))*(1+IF(MONTH(BC$3)=1,'Вводные'!$B$67,IF(AND(MONTH(BC$3)&gt;=5,MONTH(BC$3)&lt;=8),'Вводные'!$B$70,0))),0)</x:f>
      </x:c>
      <x:c r="BD33" t="n">
        <x:f>IF(AND(BD$3&gt;=$B$30,BD$3&lt;EDATE($B$30,MAX(1,'Вводные'!$H$89)),'Вводные'!$B$89="Да"),(1+'Вводные'!$AD$89*'Вводные'!$H$7*MIN(1,(12*(YEAR(BD$3)-YEAR($B$30))+MONTH(BD$3)-MONTH($B$30))/MAX(1,12*(YEAR($B$31)-YEAR($B$30))+MONTH($B$31)-MONTH($B$30))))*(1+IF(MONTH(BD$3)=1,'Вводные'!$B$67,IF(AND(MONTH(BD$3)&gt;=5,MONTH(BD$3)&lt;=8),'Вводные'!$B$70,0))),0)</x:f>
      </x:c>
      <x:c r="BE33" t="n">
        <x:f>IF(AND(BE$3&gt;=$B$30,BE$3&lt;EDATE($B$30,MAX(1,'Вводные'!$H$89)),'Вводные'!$B$89="Да"),(1+'Вводные'!$AD$89*'Вводные'!$H$7*MIN(1,(12*(YEAR(BE$3)-YEAR($B$30))+MONTH(BE$3)-MONTH($B$30))/MAX(1,12*(YEAR($B$31)-YEAR($B$30))+MONTH($B$31)-MONTH($B$30))))*(1+IF(MONTH(BE$3)=1,'Вводные'!$B$67,IF(AND(MONTH(BE$3)&gt;=5,MONTH(BE$3)&lt;=8),'Вводные'!$B$70,0))),0)</x:f>
      </x:c>
      <x:c r="BF33" t="n">
        <x:f>IF(AND(BF$3&gt;=$B$30,BF$3&lt;EDATE($B$30,MAX(1,'Вводные'!$H$89)),'Вводные'!$B$89="Да"),(1+'Вводные'!$AD$89*'Вводные'!$H$7*MIN(1,(12*(YEAR(BF$3)-YEAR($B$30))+MONTH(BF$3)-MONTH($B$30))/MAX(1,12*(YEAR($B$31)-YEAR($B$30))+MONTH($B$31)-MONTH($B$30))))*(1+IF(MONTH(BF$3)=1,'Вводные'!$B$67,IF(AND(MONTH(BF$3)&gt;=5,MONTH(BF$3)&lt;=8),'Вводные'!$B$70,0))),0)</x:f>
      </x:c>
      <x:c r="BG33" t="n">
        <x:f>IF(AND(BG$3&gt;=$B$30,BG$3&lt;EDATE($B$30,MAX(1,'Вводные'!$H$89)),'Вводные'!$B$89="Да"),(1+'Вводные'!$AD$89*'Вводные'!$H$7*MIN(1,(12*(YEAR(BG$3)-YEAR($B$30))+MONTH(BG$3)-MONTH($B$30))/MAX(1,12*(YEAR($B$31)-YEAR($B$30))+MONTH($B$31)-MONTH($B$30))))*(1+IF(MONTH(BG$3)=1,'Вводные'!$B$67,IF(AND(MONTH(BG$3)&gt;=5,MONTH(BG$3)&lt;=8),'Вводные'!$B$70,0))),0)</x:f>
      </x:c>
      <x:c r="BH33" t="n">
        <x:f>IF(AND(BH$3&gt;=$B$30,BH$3&lt;EDATE($B$30,MAX(1,'Вводные'!$H$89)),'Вводные'!$B$89="Да"),(1+'Вводные'!$AD$89*'Вводные'!$H$7*MIN(1,(12*(YEAR(BH$3)-YEAR($B$30))+MONTH(BH$3)-MONTH($B$30))/MAX(1,12*(YEAR($B$31)-YEAR($B$30))+MONTH($B$31)-MONTH($B$30))))*(1+IF(MONTH(BH$3)=1,'Вводные'!$B$67,IF(AND(MONTH(BH$3)&gt;=5,MONTH(BH$3)&lt;=8),'Вводные'!$B$70,0))),0)</x:f>
      </x:c>
      <x:c r="BI33" t="n">
        <x:f>IF(AND(BI$3&gt;=$B$30,BI$3&lt;EDATE($B$30,MAX(1,'Вводные'!$H$89)),'Вводные'!$B$89="Да"),(1+'Вводные'!$AD$89*'Вводные'!$H$7*MIN(1,(12*(YEAR(BI$3)-YEAR($B$30))+MONTH(BI$3)-MONTH($B$30))/MAX(1,12*(YEAR($B$31)-YEAR($B$30))+MONTH($B$31)-MONTH($B$30))))*(1+IF(MONTH(BI$3)=1,'Вводные'!$B$67,IF(AND(MONTH(BI$3)&gt;=5,MONTH(BI$3)&lt;=8),'Вводные'!$B$70,0))),0)</x:f>
      </x:c>
      <x:c r="BJ33" t="n">
        <x:f>IF(AND(BJ$3&gt;=$B$30,BJ$3&lt;EDATE($B$30,MAX(1,'Вводные'!$H$89)),'Вводные'!$B$89="Да"),(1+'Вводные'!$AD$89*'Вводные'!$H$7*MIN(1,(12*(YEAR(BJ$3)-YEAR($B$30))+MONTH(BJ$3)-MONTH($B$30))/MAX(1,12*(YEAR($B$31)-YEAR($B$30))+MONTH($B$31)-MONTH($B$30))))*(1+IF(MONTH(BJ$3)=1,'Вводные'!$B$67,IF(AND(MONTH(BJ$3)&gt;=5,MONTH(BJ$3)&lt;=8),'Вводные'!$B$70,0))),0)</x:f>
      </x:c>
      <x:c r="BK33" t="n">
        <x:f>IF(AND(BK$3&gt;=$B$30,BK$3&lt;EDATE($B$30,MAX(1,'Вводные'!$H$89)),'Вводные'!$B$89="Да"),(1+'Вводные'!$AD$89*'Вводные'!$H$7*MIN(1,(12*(YEAR(BK$3)-YEAR($B$30))+MONTH(BK$3)-MONTH($B$30))/MAX(1,12*(YEAR($B$31)-YEAR($B$30))+MONTH($B$31)-MONTH($B$30))))*(1+IF(MONTH(BK$3)=1,'Вводные'!$B$67,IF(AND(MONTH(BK$3)&gt;=5,MONTH(BK$3)&lt;=8),'Вводные'!$B$70,0))),0)</x:f>
      </x:c>
      <x:c r="BL33" t="n">
        <x:f>IF(AND(BL$3&gt;=$B$30,BL$3&lt;EDATE($B$30,MAX(1,'Вводные'!$H$89)),'Вводные'!$B$89="Да"),(1+'Вводные'!$AD$89*'Вводные'!$H$7*MIN(1,(12*(YEAR(BL$3)-YEAR($B$30))+MONTH(BL$3)-MONTH($B$30))/MAX(1,12*(YEAR($B$31)-YEAR($B$30))+MONTH($B$31)-MONTH($B$30))))*(1+IF(MONTH(BL$3)=1,'Вводные'!$B$67,IF(AND(MONTH(BL$3)&gt;=5,MONTH(BL$3)&lt;=8),'Вводные'!$B$70,0))),0)</x:f>
      </x:c>
      <x:c r="BM33" t="n">
        <x:f>IF(AND(BM$3&gt;=$B$30,BM$3&lt;EDATE($B$30,MAX(1,'Вводные'!$H$89)),'Вводные'!$B$89="Да"),(1+'Вводные'!$AD$89*'Вводные'!$H$7*MIN(1,(12*(YEAR(BM$3)-YEAR($B$30))+MONTH(BM$3)-MONTH($B$30))/MAX(1,12*(YEAR($B$31)-YEAR($B$30))+MONTH($B$31)-MONTH($B$30))))*(1+IF(MONTH(BM$3)=1,'Вводные'!$B$67,IF(AND(MONTH(BM$3)&gt;=5,MONTH(BM$3)&lt;=8),'Вводные'!$B$70,0))),0)</x:f>
      </x:c>
      <x:c r="BN33" t="n">
        <x:f>IF(AND(BN$3&gt;=$B$30,BN$3&lt;EDATE($B$30,MAX(1,'Вводные'!$H$89)),'Вводные'!$B$89="Да"),(1+'Вводные'!$AD$89*'Вводные'!$H$7*MIN(1,(12*(YEAR(BN$3)-YEAR($B$30))+MONTH(BN$3)-MONTH($B$30))/MAX(1,12*(YEAR($B$31)-YEAR($B$30))+MONTH($B$31)-MONTH($B$30))))*(1+IF(MONTH(BN$3)=1,'Вводные'!$B$67,IF(AND(MONTH(BN$3)&gt;=5,MONTH(BN$3)&lt;=8),'Вводные'!$B$70,0))),0)</x:f>
      </x:c>
      <x:c r="BO33" t="n">
        <x:f>IF(AND(BO$3&gt;=$B$30,BO$3&lt;EDATE($B$30,MAX(1,'Вводные'!$H$89)),'Вводные'!$B$89="Да"),(1+'Вводные'!$AD$89*'Вводные'!$H$7*MIN(1,(12*(YEAR(BO$3)-YEAR($B$30))+MONTH(BO$3)-MONTH($B$30))/MAX(1,12*(YEAR($B$31)-YEAR($B$30))+MONTH($B$31)-MONTH($B$30))))*(1+IF(MONTH(BO$3)=1,'Вводные'!$B$67,IF(AND(MONTH(BO$3)&gt;=5,MONTH(BO$3)&lt;=8),'Вводные'!$B$70,0))),0)</x:f>
      </x:c>
      <x:c r="BP33" t="n">
        <x:f>IF(AND(BP$3&gt;=$B$30,BP$3&lt;EDATE($B$30,MAX(1,'Вводные'!$H$89)),'Вводные'!$B$89="Да"),(1+'Вводные'!$AD$89*'Вводные'!$H$7*MIN(1,(12*(YEAR(BP$3)-YEAR($B$30))+MONTH(BP$3)-MONTH($B$30))/MAX(1,12*(YEAR($B$31)-YEAR($B$30))+MONTH($B$31)-MONTH($B$30))))*(1+IF(MONTH(BP$3)=1,'Вводные'!$B$67,IF(AND(MONTH(BP$3)&gt;=5,MONTH(BP$3)&lt;=8),'Вводные'!$B$70,0))),0)</x:f>
      </x:c>
      <x:c r="BQ33" t="n">
        <x:f>IF(AND(BQ$3&gt;=$B$30,BQ$3&lt;EDATE($B$30,MAX(1,'Вводные'!$H$89)),'Вводные'!$B$89="Да"),(1+'Вводные'!$AD$89*'Вводные'!$H$7*MIN(1,(12*(YEAR(BQ$3)-YEAR($B$30))+MONTH(BQ$3)-MONTH($B$30))/MAX(1,12*(YEAR($B$31)-YEAR($B$30))+MONTH($B$31)-MONTH($B$30))))*(1+IF(MONTH(BQ$3)=1,'Вводные'!$B$67,IF(AND(MONTH(BQ$3)&gt;=5,MONTH(BQ$3)&lt;=8),'Вводные'!$B$70,0))),0)</x:f>
      </x:c>
      <x:c r="BR33" t="n">
        <x:f>IF(AND(BR$3&gt;=$B$30,BR$3&lt;EDATE($B$30,MAX(1,'Вводные'!$H$89)),'Вводные'!$B$89="Да"),(1+'Вводные'!$AD$89*'Вводные'!$H$7*MIN(1,(12*(YEAR(BR$3)-YEAR($B$30))+MONTH(BR$3)-MONTH($B$30))/MAX(1,12*(YEAR($B$31)-YEAR($B$30))+MONTH($B$31)-MONTH($B$30))))*(1+IF(MONTH(BR$3)=1,'Вводные'!$B$67,IF(AND(MONTH(BR$3)&gt;=5,MONTH(BR$3)&lt;=8),'Вводные'!$B$70,0))),0)</x:f>
      </x:c>
      <x:c r="BS33" t="n">
        <x:f>IF(AND(BS$3&gt;=$B$30,BS$3&lt;EDATE($B$30,MAX(1,'Вводные'!$H$89)),'Вводные'!$B$89="Да"),(1+'Вводные'!$AD$89*'Вводные'!$H$7*MIN(1,(12*(YEAR(BS$3)-YEAR($B$30))+MONTH(BS$3)-MONTH($B$30))/MAX(1,12*(YEAR($B$31)-YEAR($B$30))+MONTH($B$31)-MONTH($B$30))))*(1+IF(MONTH(BS$3)=1,'Вводные'!$B$67,IF(AND(MONTH(BS$3)&gt;=5,MONTH(BS$3)&lt;=8),'Вводные'!$B$70,0))),0)</x:f>
      </x:c>
      <x:c r="BT33" t="n">
        <x:f>IF(AND(BT$3&gt;=$B$30,BT$3&lt;EDATE($B$30,MAX(1,'Вводные'!$H$89)),'Вводные'!$B$89="Да"),(1+'Вводные'!$AD$89*'Вводные'!$H$7*MIN(1,(12*(YEAR(BT$3)-YEAR($B$30))+MONTH(BT$3)-MONTH($B$30))/MAX(1,12*(YEAR($B$31)-YEAR($B$30))+MONTH($B$31)-MONTH($B$30))))*(1+IF(MONTH(BT$3)=1,'Вводные'!$B$67,IF(AND(MONTH(BT$3)&gt;=5,MONTH(BT$3)&lt;=8),'Вводные'!$B$70,0))),0)</x:f>
      </x:c>
      <x:c r="BU33" t="n">
        <x:f>IF(AND(BU$3&gt;=$B$30,BU$3&lt;EDATE($B$30,MAX(1,'Вводные'!$H$89)),'Вводные'!$B$89="Да"),(1+'Вводные'!$AD$89*'Вводные'!$H$7*MIN(1,(12*(YEAR(BU$3)-YEAR($B$30))+MONTH(BU$3)-MONTH($B$30))/MAX(1,12*(YEAR($B$31)-YEAR($B$30))+MONTH($B$31)-MONTH($B$30))))*(1+IF(MONTH(BU$3)=1,'Вводные'!$B$67,IF(AND(MONTH(BU$3)&gt;=5,MONTH(BU$3)&lt;=8),'Вводные'!$B$70,0))),0)</x:f>
      </x:c>
      <x:c r="BV33" t="n">
        <x:f>IF(AND(BV$3&gt;=$B$30,BV$3&lt;EDATE($B$30,MAX(1,'Вводные'!$H$89)),'Вводные'!$B$89="Да"),(1+'Вводные'!$AD$89*'Вводные'!$H$7*MIN(1,(12*(YEAR(BV$3)-YEAR($B$30))+MONTH(BV$3)-MONTH($B$30))/MAX(1,12*(YEAR($B$31)-YEAR($B$30))+MONTH($B$31)-MONTH($B$30))))*(1+IF(MONTH(BV$3)=1,'Вводные'!$B$67,IF(AND(MONTH(BV$3)&gt;=5,MONTH(BV$3)&lt;=8),'Вводные'!$B$70,0))),0)</x:f>
      </x:c>
      <x:c r="BW33" t="n">
        <x:f>IF(AND(BW$3&gt;=$B$30,BW$3&lt;EDATE($B$30,MAX(1,'Вводные'!$H$89)),'Вводные'!$B$89="Да"),(1+'Вводные'!$AD$89*'Вводные'!$H$7*MIN(1,(12*(YEAR(BW$3)-YEAR($B$30))+MONTH(BW$3)-MONTH($B$30))/MAX(1,12*(YEAR($B$31)-YEAR($B$30))+MONTH($B$31)-MONTH($B$30))))*(1+IF(MONTH(BW$3)=1,'Вводные'!$B$67,IF(AND(MONTH(BW$3)&gt;=5,MONTH(BW$3)&lt;=8),'Вводные'!$B$70,0))),0)</x:f>
      </x:c>
      <x:c r="BX33" t="n">
        <x:f>IF(AND(BX$3&gt;=$B$30,BX$3&lt;EDATE($B$30,MAX(1,'Вводные'!$H$89)),'Вводные'!$B$89="Да"),(1+'Вводные'!$AD$89*'Вводные'!$H$7*MIN(1,(12*(YEAR(BX$3)-YEAR($B$30))+MONTH(BX$3)-MONTH($B$30))/MAX(1,12*(YEAR($B$31)-YEAR($B$30))+MONTH($B$31)-MONTH($B$30))))*(1+IF(MONTH(BX$3)=1,'Вводные'!$B$67,IF(AND(MONTH(BX$3)&gt;=5,MONTH(BX$3)&lt;=8),'Вводные'!$B$70,0))),0)</x:f>
      </x:c>
      <x:c r="BY33" t="n">
        <x:f>IF(AND(BY$3&gt;=$B$30,BY$3&lt;EDATE($B$30,MAX(1,'Вводные'!$H$89)),'Вводные'!$B$89="Да"),(1+'Вводные'!$AD$89*'Вводные'!$H$7*MIN(1,(12*(YEAR(BY$3)-YEAR($B$30))+MONTH(BY$3)-MONTH($B$30))/MAX(1,12*(YEAR($B$31)-YEAR($B$30))+MONTH($B$31)-MONTH($B$30))))*(1+IF(MONTH(BY$3)=1,'Вводные'!$B$67,IF(AND(MONTH(BY$3)&gt;=5,MONTH(BY$3)&lt;=8),'Вводные'!$B$70,0))),0)</x:f>
      </x:c>
      <x:c r="BZ33" t="n">
        <x:f>IF(AND(BZ$3&gt;=$B$30,BZ$3&lt;EDATE($B$30,MAX(1,'Вводные'!$H$89)),'Вводные'!$B$89="Да"),(1+'Вводные'!$AD$89*'Вводные'!$H$7*MIN(1,(12*(YEAR(BZ$3)-YEAR($B$30))+MONTH(BZ$3)-MONTH($B$30))/MAX(1,12*(YEAR($B$31)-YEAR($B$30))+MONTH($B$31)-MONTH($B$30))))*(1+IF(MONTH(BZ$3)=1,'Вводные'!$B$67,IF(AND(MONTH(BZ$3)&gt;=5,MONTH(BZ$3)&lt;=8),'Вводные'!$B$70,0))),0)</x:f>
      </x:c>
      <x:c r="CA33" t="n">
        <x:f>IF(AND(CA$3&gt;=$B$30,CA$3&lt;EDATE($B$30,MAX(1,'Вводные'!$H$89)),'Вводные'!$B$89="Да"),(1+'Вводные'!$AD$89*'Вводные'!$H$7*MIN(1,(12*(YEAR(CA$3)-YEAR($B$30))+MONTH(CA$3)-MONTH($B$30))/MAX(1,12*(YEAR($B$31)-YEAR($B$30))+MONTH($B$31)-MONTH($B$30))))*(1+IF(MONTH(CA$3)=1,'Вводные'!$B$67,IF(AND(MONTH(CA$3)&gt;=5,MONTH(CA$3)&lt;=8),'Вводные'!$B$70,0))),0)</x:f>
      </x:c>
      <x:c r="CB33" t="n">
        <x:f>IF(AND(CB$3&gt;=$B$30,CB$3&lt;EDATE($B$30,MAX(1,'Вводные'!$H$89)),'Вводные'!$B$89="Да"),(1+'Вводные'!$AD$89*'Вводные'!$H$7*MIN(1,(12*(YEAR(CB$3)-YEAR($B$30))+MONTH(CB$3)-MONTH($B$30))/MAX(1,12*(YEAR($B$31)-YEAR($B$30))+MONTH($B$31)-MONTH($B$30))))*(1+IF(MONTH(CB$3)=1,'Вводные'!$B$67,IF(AND(MONTH(CB$3)&gt;=5,MONTH(CB$3)&lt;=8),'Вводные'!$B$70,0))),0)</x:f>
      </x:c>
      <x:c r="CC33" t="n">
        <x:f>IF(AND(CC$3&gt;=$B$30,CC$3&lt;EDATE($B$30,MAX(1,'Вводные'!$H$89)),'Вводные'!$B$89="Да"),(1+'Вводные'!$AD$89*'Вводные'!$H$7*MIN(1,(12*(YEAR(CC$3)-YEAR($B$30))+MONTH(CC$3)-MONTH($B$30))/MAX(1,12*(YEAR($B$31)-YEAR($B$30))+MONTH($B$31)-MONTH($B$30))))*(1+IF(MONTH(CC$3)=1,'Вводные'!$B$67,IF(AND(MONTH(CC$3)&gt;=5,MONTH(CC$3)&lt;=8),'Вводные'!$B$70,0))),0)</x:f>
      </x:c>
      <x:c r="CD33" t="n">
        <x:f>IF(AND(CD$3&gt;=$B$30,CD$3&lt;EDATE($B$30,MAX(1,'Вводные'!$H$89)),'Вводные'!$B$89="Да"),(1+'Вводные'!$AD$89*'Вводные'!$H$7*MIN(1,(12*(YEAR(CD$3)-YEAR($B$30))+MONTH(CD$3)-MONTH($B$30))/MAX(1,12*(YEAR($B$31)-YEAR($B$30))+MONTH($B$31)-MONTH($B$30))))*(1+IF(MONTH(CD$3)=1,'Вводные'!$B$67,IF(AND(MONTH(CD$3)&gt;=5,MONTH(CD$3)&lt;=8),'Вводные'!$B$70,0))),0)</x:f>
      </x:c>
      <x:c r="CE33" t="n">
        <x:f>IF(AND(CE$3&gt;=$B$30,CE$3&lt;EDATE($B$30,MAX(1,'Вводные'!$H$89)),'Вводные'!$B$89="Да"),(1+'Вводные'!$AD$89*'Вводные'!$H$7*MIN(1,(12*(YEAR(CE$3)-YEAR($B$30))+MONTH(CE$3)-MONTH($B$30))/MAX(1,12*(YEAR($B$31)-YEAR($B$30))+MONTH($B$31)-MONTH($B$30))))*(1+IF(MONTH(CE$3)=1,'Вводные'!$B$67,IF(AND(MONTH(CE$3)&gt;=5,MONTH(CE$3)&lt;=8),'Вводные'!$B$70,0))),0)</x:f>
      </x:c>
      <x:c r="CF33" t="n">
        <x:f>IF(AND(CF$3&gt;=$B$30,CF$3&lt;EDATE($B$30,MAX(1,'Вводные'!$H$89)),'Вводные'!$B$89="Да"),(1+'Вводные'!$AD$89*'Вводные'!$H$7*MIN(1,(12*(YEAR(CF$3)-YEAR($B$30))+MONTH(CF$3)-MONTH($B$30))/MAX(1,12*(YEAR($B$31)-YEAR($B$30))+MONTH($B$31)-MONTH($B$30))))*(1+IF(MONTH(CF$3)=1,'Вводные'!$B$67,IF(AND(MONTH(CF$3)&gt;=5,MONTH(CF$3)&lt;=8),'Вводные'!$B$70,0))),0)</x:f>
      </x:c>
      <x:c r="CG33" t="n">
        <x:f>IF(AND(CG$3&gt;=$B$30,CG$3&lt;EDATE($B$30,MAX(1,'Вводные'!$H$89)),'Вводные'!$B$89="Да"),(1+'Вводные'!$AD$89*'Вводные'!$H$7*MIN(1,(12*(YEAR(CG$3)-YEAR($B$30))+MONTH(CG$3)-MONTH($B$30))/MAX(1,12*(YEAR($B$31)-YEAR($B$30))+MONTH($B$31)-MONTH($B$30))))*(1+IF(MONTH(CG$3)=1,'Вводные'!$B$67,IF(AND(MONTH(CG$3)&gt;=5,MONTH(CG$3)&lt;=8),'Вводные'!$B$70,0))),0)</x:f>
      </x:c>
      <x:c r="CH33" t="n">
        <x:f>IF(AND(CH$3&gt;=$B$30,CH$3&lt;EDATE($B$30,MAX(1,'Вводные'!$H$89)),'Вводные'!$B$89="Да"),(1+'Вводные'!$AD$89*'Вводные'!$H$7*MIN(1,(12*(YEAR(CH$3)-YEAR($B$30))+MONTH(CH$3)-MONTH($B$30))/MAX(1,12*(YEAR($B$31)-YEAR($B$30))+MONTH($B$31)-MONTH($B$30))))*(1+IF(MONTH(CH$3)=1,'Вводные'!$B$67,IF(AND(MONTH(CH$3)&gt;=5,MONTH(CH$3)&lt;=8),'Вводные'!$B$70,0))),0)</x:f>
      </x:c>
      <x:c r="CI33" t="n">
        <x:f>IF(AND(CI$3&gt;=$B$30,CI$3&lt;EDATE($B$30,MAX(1,'Вводные'!$H$89)),'Вводные'!$B$89="Да"),(1+'Вводные'!$AD$89*'Вводные'!$H$7*MIN(1,(12*(YEAR(CI$3)-YEAR($B$30))+MONTH(CI$3)-MONTH($B$30))/MAX(1,12*(YEAR($B$31)-YEAR($B$30))+MONTH($B$31)-MONTH($B$30))))*(1+IF(MONTH(CI$3)=1,'Вводные'!$B$67,IF(AND(MONTH(CI$3)&gt;=5,MONTH(CI$3)&lt;=8),'Вводные'!$B$70,0))),0)</x:f>
      </x:c>
      <x:c r="CJ33" t="n">
        <x:f>IF(AND(CJ$3&gt;=$B$30,CJ$3&lt;EDATE($B$30,MAX(1,'Вводные'!$H$89)),'Вводные'!$B$89="Да"),(1+'Вводные'!$AD$89*'Вводные'!$H$7*MIN(1,(12*(YEAR(CJ$3)-YEAR($B$30))+MONTH(CJ$3)-MONTH($B$30))/MAX(1,12*(YEAR($B$31)-YEAR($B$30))+MONTH($B$31)-MONTH($B$30))))*(1+IF(MONTH(CJ$3)=1,'Вводные'!$B$67,IF(AND(MONTH(CJ$3)&gt;=5,MONTH(CJ$3)&lt;=8),'Вводные'!$B$70,0))),0)</x:f>
      </x:c>
      <x:c r="CK33" t="n">
        <x:f>IF(AND(CK$3&gt;=$B$30,CK$3&lt;EDATE($B$30,MAX(1,'Вводные'!$H$89)),'Вводные'!$B$89="Да"),(1+'Вводные'!$AD$89*'Вводные'!$H$7*MIN(1,(12*(YEAR(CK$3)-YEAR($B$30))+MONTH(CK$3)-MONTH($B$30))/MAX(1,12*(YEAR($B$31)-YEAR($B$30))+MONTH($B$31)-MONTH($B$30))))*(1+IF(MONTH(CK$3)=1,'Вводные'!$B$67,IF(AND(MONTH(CK$3)&gt;=5,MONTH(CK$3)&lt;=8),'Вводные'!$B$70,0))),0)</x:f>
      </x:c>
      <x:c r="CL33" t="n">
        <x:f>IF(AND(CL$3&gt;=$B$30,CL$3&lt;EDATE($B$30,MAX(1,'Вводные'!$H$89)),'Вводные'!$B$89="Да"),(1+'Вводные'!$AD$89*'Вводные'!$H$7*MIN(1,(12*(YEAR(CL$3)-YEAR($B$30))+MONTH(CL$3)-MONTH($B$30))/MAX(1,12*(YEAR($B$31)-YEAR($B$30))+MONTH($B$31)-MONTH($B$30))))*(1+IF(MONTH(CL$3)=1,'Вводные'!$B$67,IF(AND(MONTH(CL$3)&gt;=5,MONTH(CL$3)&lt;=8),'Вводные'!$B$70,0))),0)</x:f>
      </x:c>
      <x:c r="CM33" t="n">
        <x:f>IF(AND(CM$3&gt;=$B$30,CM$3&lt;EDATE($B$30,MAX(1,'Вводные'!$H$89)),'Вводные'!$B$89="Да"),(1+'Вводные'!$AD$89*'Вводные'!$H$7*MIN(1,(12*(YEAR(CM$3)-YEAR($B$30))+MONTH(CM$3)-MONTH($B$30))/MAX(1,12*(YEAR($B$31)-YEAR($B$30))+MONTH($B$31)-MONTH($B$30))))*(1+IF(MONTH(CM$3)=1,'Вводные'!$B$67,IF(AND(MONTH(CM$3)&gt;=5,MONTH(CM$3)&lt;=8),'Вводные'!$B$70,0))),0)</x:f>
      </x:c>
      <x:c r="CN33" t="n">
        <x:f>IF(AND(CN$3&gt;=$B$30,CN$3&lt;EDATE($B$30,MAX(1,'Вводные'!$H$89)),'Вводные'!$B$89="Да"),(1+'Вводные'!$AD$89*'Вводные'!$H$7*MIN(1,(12*(YEAR(CN$3)-YEAR($B$30))+MONTH(CN$3)-MONTH($B$30))/MAX(1,12*(YEAR($B$31)-YEAR($B$30))+MONTH($B$31)-MONTH($B$30))))*(1+IF(MONTH(CN$3)=1,'Вводные'!$B$67,IF(AND(MONTH(CN$3)&gt;=5,MONTH(CN$3)&lt;=8),'Вводные'!$B$70,0))),0)</x:f>
      </x:c>
      <x:c r="CO33" t="n">
        <x:f>IF(AND(CO$3&gt;=$B$30,CO$3&lt;EDATE($B$30,MAX(1,'Вводные'!$H$89)),'Вводные'!$B$89="Да"),(1+'Вводные'!$AD$89*'Вводные'!$H$7*MIN(1,(12*(YEAR(CO$3)-YEAR($B$30))+MONTH(CO$3)-MONTH($B$30))/MAX(1,12*(YEAR($B$31)-YEAR($B$30))+MONTH($B$31)-MONTH($B$30))))*(1+IF(MONTH(CO$3)=1,'Вводные'!$B$67,IF(AND(MONTH(CO$3)&gt;=5,MONTH(CO$3)&lt;=8),'Вводные'!$B$70,0))),0)</x:f>
      </x:c>
      <x:c r="CP33" t="n">
        <x:f>IF(AND(CP$3&gt;=$B$30,CP$3&lt;EDATE($B$30,MAX(1,'Вводные'!$H$89)),'Вводные'!$B$89="Да"),(1+'Вводные'!$AD$89*'Вводные'!$H$7*MIN(1,(12*(YEAR(CP$3)-YEAR($B$30))+MONTH(CP$3)-MONTH($B$30))/MAX(1,12*(YEAR($B$31)-YEAR($B$30))+MONTH($B$31)-MONTH($B$30))))*(1+IF(MONTH(CP$3)=1,'Вводные'!$B$67,IF(AND(MONTH(CP$3)&gt;=5,MONTH(CP$3)&lt;=8),'Вводные'!$B$70,0))),0)</x:f>
      </x:c>
      <x:c r="CQ33" t="n">
        <x:f>IF(AND(CQ$3&gt;=$B$30,CQ$3&lt;EDATE($B$30,MAX(1,'Вводные'!$H$89)),'Вводные'!$B$89="Да"),(1+'Вводные'!$AD$89*'Вводные'!$H$7*MIN(1,(12*(YEAR(CQ$3)-YEAR($B$30))+MONTH(CQ$3)-MONTH($B$30))/MAX(1,12*(YEAR($B$31)-YEAR($B$30))+MONTH($B$31)-MONTH($B$30))))*(1+IF(MONTH(CQ$3)=1,'Вводные'!$B$67,IF(AND(MONTH(CQ$3)&gt;=5,MONTH(CQ$3)&lt;=8),'Вводные'!$B$70,0))),0)</x:f>
      </x:c>
      <x:c r="CR33" t="n">
        <x:f>IF(AND(CR$3&gt;=$B$30,CR$3&lt;EDATE($B$30,MAX(1,'Вводные'!$H$89)),'Вводные'!$B$89="Да"),(1+'Вводные'!$AD$89*'Вводные'!$H$7*MIN(1,(12*(YEAR(CR$3)-YEAR($B$30))+MONTH(CR$3)-MONTH($B$30))/MAX(1,12*(YEAR($B$31)-YEAR($B$30))+MONTH($B$31)-MONTH($B$30))))*(1+IF(MONTH(CR$3)=1,'Вводные'!$B$67,IF(AND(MONTH(CR$3)&gt;=5,MONTH(CR$3)&lt;=8),'Вводные'!$B$70,0))),0)</x:f>
      </x:c>
      <x:c r="CS33" t="n">
        <x:f>IF(AND(CS$3&gt;=$B$30,CS$3&lt;EDATE($B$30,MAX(1,'Вводные'!$H$89)),'Вводные'!$B$89="Да"),(1+'Вводные'!$AD$89*'Вводные'!$H$7*MIN(1,(12*(YEAR(CS$3)-YEAR($B$30))+MONTH(CS$3)-MONTH($B$30))/MAX(1,12*(YEAR($B$31)-YEAR($B$30))+MONTH($B$31)-MONTH($B$30))))*(1+IF(MONTH(CS$3)=1,'Вводные'!$B$67,IF(AND(MONTH(CS$3)&gt;=5,MONTH(CS$3)&lt;=8),'Вводные'!$B$70,0))),0)</x:f>
      </x:c>
      <x:c r="CT33" t="n">
        <x:f>IF(AND(CT$3&gt;=$B$30,CT$3&lt;EDATE($B$30,MAX(1,'Вводные'!$H$89)),'Вводные'!$B$89="Да"),(1+'Вводные'!$AD$89*'Вводные'!$H$7*MIN(1,(12*(YEAR(CT$3)-YEAR($B$30))+MONTH(CT$3)-MONTH($B$30))/MAX(1,12*(YEAR($B$31)-YEAR($B$30))+MONTH($B$31)-MONTH($B$30))))*(1+IF(MONTH(CT$3)=1,'Вводные'!$B$67,IF(AND(MONTH(CT$3)&gt;=5,MONTH(CT$3)&lt;=8),'Вводные'!$B$70,0))),0)</x:f>
      </x:c>
      <x:c r="CU33" t="n">
        <x:f>IF(AND(CU$3&gt;=$B$30,CU$3&lt;EDATE($B$30,MAX(1,'Вводные'!$H$89)),'Вводные'!$B$89="Да"),(1+'Вводные'!$AD$89*'Вводные'!$H$7*MIN(1,(12*(YEAR(CU$3)-YEAR($B$30))+MONTH(CU$3)-MONTH($B$30))/MAX(1,12*(YEAR($B$31)-YEAR($B$30))+MONTH($B$31)-MONTH($B$30))))*(1+IF(MONTH(CU$3)=1,'Вводные'!$B$67,IF(AND(MONTH(CU$3)&gt;=5,MONTH(CU$3)&lt;=8),'Вводные'!$B$70,0))),0)</x:f>
      </x:c>
      <x:c r="CV33" t="n">
        <x:f>IF(AND(CV$3&gt;=$B$30,CV$3&lt;EDATE($B$30,MAX(1,'Вводные'!$H$89)),'Вводные'!$B$89="Да"),(1+'Вводные'!$AD$89*'Вводные'!$H$7*MIN(1,(12*(YEAR(CV$3)-YEAR($B$30))+MONTH(CV$3)-MONTH($B$30))/MAX(1,12*(YEAR($B$31)-YEAR($B$30))+MONTH($B$31)-MONTH($B$30))))*(1+IF(MONTH(CV$3)=1,'Вводные'!$B$67,IF(AND(MONTH(CV$3)&gt;=5,MONTH(CV$3)&lt;=8),'Вводные'!$B$70,0))),0)</x:f>
      </x:c>
      <x:c r="CW33" t="n">
        <x:f>IF(AND(CW$3&gt;=$B$30,CW$3&lt;EDATE($B$30,MAX(1,'Вводные'!$H$89)),'Вводные'!$B$89="Да"),(1+'Вводные'!$AD$89*'Вводные'!$H$7*MIN(1,(12*(YEAR(CW$3)-YEAR($B$30))+MONTH(CW$3)-MONTH($B$30))/MAX(1,12*(YEAR($B$31)-YEAR($B$30))+MONTH($B$31)-MONTH($B$30))))*(1+IF(MONTH(CW$3)=1,'Вводные'!$B$67,IF(AND(MONTH(CW$3)&gt;=5,MONTH(CW$3)&lt;=8),'Вводные'!$B$70,0))),0)</x:f>
      </x:c>
      <x:c r="CX33" t="n">
        <x:f>IF(AND(CX$3&gt;=$B$30,CX$3&lt;EDATE($B$30,MAX(1,'Вводные'!$H$89)),'Вводные'!$B$89="Да"),(1+'Вводные'!$AD$89*'Вводные'!$H$7*MIN(1,(12*(YEAR(CX$3)-YEAR($B$30))+MONTH(CX$3)-MONTH($B$30))/MAX(1,12*(YEAR($B$31)-YEAR($B$30))+MONTH($B$31)-MONTH($B$30))))*(1+IF(MONTH(CX$3)=1,'Вводные'!$B$67,IF(AND(MONTH(CX$3)&gt;=5,MONTH(CX$3)&lt;=8),'Вводные'!$B$70,0))),0)</x:f>
      </x:c>
      <x:c r="CY33" t="n">
        <x:f>IF(AND(CY$3&gt;=$B$30,CY$3&lt;EDATE($B$30,MAX(1,'Вводные'!$H$89)),'Вводные'!$B$89="Да"),(1+'Вводные'!$AD$89*'Вводные'!$H$7*MIN(1,(12*(YEAR(CY$3)-YEAR($B$30))+MONTH(CY$3)-MONTH($B$30))/MAX(1,12*(YEAR($B$31)-YEAR($B$30))+MONTH($B$31)-MONTH($B$30))))*(1+IF(MONTH(CY$3)=1,'Вводные'!$B$67,IF(AND(MONTH(CY$3)&gt;=5,MONTH(CY$3)&lt;=8),'Вводные'!$B$70,0))),0)</x:f>
      </x:c>
      <x:c r="CZ33" t="n">
        <x:f>IF(AND(CZ$3&gt;=$B$30,CZ$3&lt;EDATE($B$30,MAX(1,'Вводные'!$H$89)),'Вводные'!$B$89="Да"),(1+'Вводные'!$AD$89*'Вводные'!$H$7*MIN(1,(12*(YEAR(CZ$3)-YEAR($B$30))+MONTH(CZ$3)-MONTH($B$30))/MAX(1,12*(YEAR($B$31)-YEAR($B$30))+MONTH($B$31)-MONTH($B$30))))*(1+IF(MONTH(CZ$3)=1,'Вводные'!$B$67,IF(AND(MONTH(CZ$3)&gt;=5,MONTH(CZ$3)&lt;=8),'Вводные'!$B$70,0))),0)</x:f>
      </x:c>
      <x:c r="DA33" t="n">
        <x:f>IF(AND(DA$3&gt;=$B$30,DA$3&lt;EDATE($B$30,MAX(1,'Вводные'!$H$89)),'Вводные'!$B$89="Да"),(1+'Вводные'!$AD$89*'Вводные'!$H$7*MIN(1,(12*(YEAR(DA$3)-YEAR($B$30))+MONTH(DA$3)-MONTH($B$30))/MAX(1,12*(YEAR($B$31)-YEAR($B$30))+MONTH($B$31)-MONTH($B$30))))*(1+IF(MONTH(DA$3)=1,'Вводные'!$B$67,IF(AND(MONTH(DA$3)&gt;=5,MONTH(DA$3)&lt;=8),'Вводные'!$B$70,0))),0)</x:f>
      </x:c>
      <x:c r="DB33" t="n">
        <x:f>IF(AND(DB$3&gt;=$B$30,DB$3&lt;EDATE($B$30,MAX(1,'Вводные'!$H$89)),'Вводные'!$B$89="Да"),(1+'Вводные'!$AD$89*'Вводные'!$H$7*MIN(1,(12*(YEAR(DB$3)-YEAR($B$30))+MONTH(DB$3)-MONTH($B$30))/MAX(1,12*(YEAR($B$31)-YEAR($B$30))+MONTH($B$31)-MONTH($B$30))))*(1+IF(MONTH(DB$3)=1,'Вводные'!$B$67,IF(AND(MONTH(DB$3)&gt;=5,MONTH(DB$3)&lt;=8),'Вводные'!$B$70,0))),0)</x:f>
      </x:c>
      <x:c r="DC33" t="n">
        <x:f>IF(AND(DC$3&gt;=$B$30,DC$3&lt;EDATE($B$30,MAX(1,'Вводные'!$H$89)),'Вводные'!$B$89="Да"),(1+'Вводные'!$AD$89*'Вводные'!$H$7*MIN(1,(12*(YEAR(DC$3)-YEAR($B$30))+MONTH(DC$3)-MONTH($B$30))/MAX(1,12*(YEAR($B$31)-YEAR($B$30))+MONTH($B$31)-MONTH($B$30))))*(1+IF(MONTH(DC$3)=1,'Вводные'!$B$67,IF(AND(MONTH(DC$3)&gt;=5,MONTH(DC$3)&lt;=8),'Вводные'!$B$70,0))),0)</x:f>
      </x:c>
      <x:c r="DD33" t="n">
        <x:f>IF(AND(DD$3&gt;=$B$30,DD$3&lt;EDATE($B$30,MAX(1,'Вводные'!$H$89)),'Вводные'!$B$89="Да"),(1+'Вводные'!$AD$89*'Вводные'!$H$7*MIN(1,(12*(YEAR(DD$3)-YEAR($B$30))+MONTH(DD$3)-MONTH($B$30))/MAX(1,12*(YEAR($B$31)-YEAR($B$30))+MONTH($B$31)-MONTH($B$30))))*(1+IF(MONTH(DD$3)=1,'Вводные'!$B$67,IF(AND(MONTH(DD$3)&gt;=5,MONTH(DD$3)&lt;=8),'Вводные'!$B$70,0))),0)</x:f>
      </x:c>
      <x:c r="DE33" t="n">
        <x:f>IF(AND(DE$3&gt;=$B$30,DE$3&lt;EDATE($B$30,MAX(1,'Вводные'!$H$89)),'Вводные'!$B$89="Да"),(1+'Вводные'!$AD$89*'Вводные'!$H$7*MIN(1,(12*(YEAR(DE$3)-YEAR($B$30))+MONTH(DE$3)-MONTH($B$30))/MAX(1,12*(YEAR($B$31)-YEAR($B$30))+MONTH($B$31)-MONTH($B$30))))*(1+IF(MONTH(DE$3)=1,'Вводные'!$B$67,IF(AND(MONTH(DE$3)&gt;=5,MONTH(DE$3)&lt;=8),'Вводные'!$B$70,0))),0)</x:f>
      </x:c>
      <x:c r="DF33" t="n">
        <x:f>IF(AND(DF$3&gt;=$B$30,DF$3&lt;EDATE($B$30,MAX(1,'Вводные'!$H$89)),'Вводные'!$B$89="Да"),(1+'Вводные'!$AD$89*'Вводные'!$H$7*MIN(1,(12*(YEAR(DF$3)-YEAR($B$30))+MONTH(DF$3)-MONTH($B$30))/MAX(1,12*(YEAR($B$31)-YEAR($B$30))+MONTH($B$31)-MONTH($B$30))))*(1+IF(MONTH(DF$3)=1,'Вводные'!$B$67,IF(AND(MONTH(DF$3)&gt;=5,MONTH(DF$3)&lt;=8),'Вводные'!$B$70,0))),0)</x:f>
      </x:c>
      <x:c r="DG33" t="n">
        <x:f>IF(AND(DG$3&gt;=$B$30,DG$3&lt;EDATE($B$30,MAX(1,'Вводные'!$H$89)),'Вводные'!$B$89="Да"),(1+'Вводные'!$AD$89*'Вводные'!$H$7*MIN(1,(12*(YEAR(DG$3)-YEAR($B$30))+MONTH(DG$3)-MONTH($B$30))/MAX(1,12*(YEAR($B$31)-YEAR($B$30))+MONTH($B$31)-MONTH($B$30))))*(1+IF(MONTH(DG$3)=1,'Вводные'!$B$67,IF(AND(MONTH(DG$3)&gt;=5,MONTH(DG$3)&lt;=8),'Вводные'!$B$70,0))),0)</x:f>
      </x:c>
      <x:c r="DH33" t="n">
        <x:f>IF(AND(DH$3&gt;=$B$30,DH$3&lt;EDATE($B$30,MAX(1,'Вводные'!$H$89)),'Вводные'!$B$89="Да"),(1+'Вводные'!$AD$89*'Вводные'!$H$7*MIN(1,(12*(YEAR(DH$3)-YEAR($B$30))+MONTH(DH$3)-MONTH($B$30))/MAX(1,12*(YEAR($B$31)-YEAR($B$30))+MONTH($B$31)-MONTH($B$30))))*(1+IF(MONTH(DH$3)=1,'Вводные'!$B$67,IF(AND(MONTH(DH$3)&gt;=5,MONTH(DH$3)&lt;=8),'Вводные'!$B$70,0))),0)</x:f>
      </x:c>
      <x:c r="DI33" t="n">
        <x:f>IF(AND(DI$3&gt;=$B$30,DI$3&lt;EDATE($B$30,MAX(1,'Вводные'!$H$89)),'Вводные'!$B$89="Да"),(1+'Вводные'!$AD$89*'Вводные'!$H$7*MIN(1,(12*(YEAR(DI$3)-YEAR($B$30))+MONTH(DI$3)-MONTH($B$30))/MAX(1,12*(YEAR($B$31)-YEAR($B$30))+MONTH($B$31)-MONTH($B$30))))*(1+IF(MONTH(DI$3)=1,'Вводные'!$B$67,IF(AND(MONTH(DI$3)&gt;=5,MONTH(DI$3)&lt;=8),'Вводные'!$B$70,0))),0)</x:f>
      </x:c>
      <x:c r="DJ33" t="n">
        <x:f>IF(AND(DJ$3&gt;=$B$30,DJ$3&lt;EDATE($B$30,MAX(1,'Вводные'!$H$89)),'Вводные'!$B$89="Да"),(1+'Вводные'!$AD$89*'Вводные'!$H$7*MIN(1,(12*(YEAR(DJ$3)-YEAR($B$30))+MONTH(DJ$3)-MONTH($B$30))/MAX(1,12*(YEAR($B$31)-YEAR($B$30))+MONTH($B$31)-MONTH($B$30))))*(1+IF(MONTH(DJ$3)=1,'Вводные'!$B$67,IF(AND(MONTH(DJ$3)&gt;=5,MONTH(DJ$3)&lt;=8),'Вводные'!$B$70,0))),0)</x:f>
      </x:c>
      <x:c r="DK33" t="n">
        <x:f>IF(AND(DK$3&gt;=$B$30,DK$3&lt;EDATE($B$30,MAX(1,'Вводные'!$H$89)),'Вводные'!$B$89="Да"),(1+'Вводные'!$AD$89*'Вводные'!$H$7*MIN(1,(12*(YEAR(DK$3)-YEAR($B$30))+MONTH(DK$3)-MONTH($B$30))/MAX(1,12*(YEAR($B$31)-YEAR($B$30))+MONTH($B$31)-MONTH($B$30))))*(1+IF(MONTH(DK$3)=1,'Вводные'!$B$67,IF(AND(MONTH(DK$3)&gt;=5,MONTH(DK$3)&lt;=8),'Вводные'!$B$70,0))),0)</x:f>
      </x:c>
      <x:c r="DL33" t="n">
        <x:f>IF(AND(DL$3&gt;=$B$30,DL$3&lt;EDATE($B$30,MAX(1,'Вводные'!$H$89)),'Вводные'!$B$89="Да"),(1+'Вводные'!$AD$89*'Вводные'!$H$7*MIN(1,(12*(YEAR(DL$3)-YEAR($B$30))+MONTH(DL$3)-MONTH($B$30))/MAX(1,12*(YEAR($B$31)-YEAR($B$30))+MONTH($B$31)-MONTH($B$30))))*(1+IF(MONTH(DL$3)=1,'Вводные'!$B$67,IF(AND(MONTH(DL$3)&gt;=5,MONTH(DL$3)&lt;=8),'Вводные'!$B$70,0))),0)</x:f>
      </x:c>
      <x:c r="DM33" t="n">
        <x:f>IF(AND(DM$3&gt;=$B$30,DM$3&lt;EDATE($B$30,MAX(1,'Вводные'!$H$89)),'Вводные'!$B$89="Да"),(1+'Вводные'!$AD$89*'Вводные'!$H$7*MIN(1,(12*(YEAR(DM$3)-YEAR($B$30))+MONTH(DM$3)-MONTH($B$30))/MAX(1,12*(YEAR($B$31)-YEAR($B$30))+MONTH($B$31)-MONTH($B$30))))*(1+IF(MONTH(DM$3)=1,'Вводные'!$B$67,IF(AND(MONTH(DM$3)&gt;=5,MONTH(DM$3)&lt;=8),'Вводные'!$B$70,0))),0)</x:f>
      </x:c>
      <x:c r="DN33" t="n">
        <x:f>IF(AND(DN$3&gt;=$B$30,DN$3&lt;EDATE($B$30,MAX(1,'Вводные'!$H$89)),'Вводные'!$B$89="Да"),(1+'Вводные'!$AD$89*'Вводные'!$H$7*MIN(1,(12*(YEAR(DN$3)-YEAR($B$30))+MONTH(DN$3)-MONTH($B$30))/MAX(1,12*(YEAR($B$31)-YEAR($B$30))+MONTH($B$31)-MONTH($B$30))))*(1+IF(MONTH(DN$3)=1,'Вводные'!$B$67,IF(AND(MONTH(DN$3)&gt;=5,MONTH(DN$3)&lt;=8),'Вводные'!$B$70,0))),0)</x:f>
      </x:c>
      <x:c r="DO33" t="n">
        <x:f>IF(AND(DO$3&gt;=$B$30,DO$3&lt;EDATE($B$30,MAX(1,'Вводные'!$H$89)),'Вводные'!$B$89="Да"),(1+'Вводные'!$AD$89*'Вводные'!$H$7*MIN(1,(12*(YEAR(DO$3)-YEAR($B$30))+MONTH(DO$3)-MONTH($B$30))/MAX(1,12*(YEAR($B$31)-YEAR($B$30))+MONTH($B$31)-MONTH($B$30))))*(1+IF(MONTH(DO$3)=1,'Вводные'!$B$67,IF(AND(MONTH(DO$3)&gt;=5,MONTH(DO$3)&lt;=8),'Вводные'!$B$70,0))),0)</x:f>
      </x:c>
      <x:c r="DP33" t="n">
        <x:f>IF(AND(DP$3&gt;=$B$30,DP$3&lt;EDATE($B$30,MAX(1,'Вводные'!$H$89)),'Вводные'!$B$89="Да"),(1+'Вводные'!$AD$89*'Вводные'!$H$7*MIN(1,(12*(YEAR(DP$3)-YEAR($B$30))+MONTH(DP$3)-MONTH($B$30))/MAX(1,12*(YEAR($B$31)-YEAR($B$30))+MONTH($B$31)-MONTH($B$30))))*(1+IF(MONTH(DP$3)=1,'Вводные'!$B$67,IF(AND(MONTH(DP$3)&gt;=5,MONTH(DP$3)&lt;=8),'Вводные'!$B$70,0))),0)</x:f>
      </x:c>
      <x:c r="DQ33" t="n">
        <x:f>IF(AND(DQ$3&gt;=$B$30,DQ$3&lt;EDATE($B$30,MAX(1,'Вводные'!$H$89)),'Вводные'!$B$89="Да"),(1+'Вводные'!$AD$89*'Вводные'!$H$7*MIN(1,(12*(YEAR(DQ$3)-YEAR($B$30))+MONTH(DQ$3)-MONTH($B$30))/MAX(1,12*(YEAR($B$31)-YEAR($B$30))+MONTH($B$31)-MONTH($B$30))))*(1+IF(MONTH(DQ$3)=1,'Вводные'!$B$67,IF(AND(MONTH(DQ$3)&gt;=5,MONTH(DQ$3)&lt;=8),'Вводные'!$B$70,0))),0)</x:f>
      </x:c>
      <x:c r="DR33" t="n">
        <x:f>IF(AND(DR$3&gt;=$B$30,DR$3&lt;EDATE($B$30,MAX(1,'Вводные'!$H$89)),'Вводные'!$B$89="Да"),(1+'Вводные'!$AD$89*'Вводные'!$H$7*MIN(1,(12*(YEAR(DR$3)-YEAR($B$30))+MONTH(DR$3)-MONTH($B$30))/MAX(1,12*(YEAR($B$31)-YEAR($B$30))+MONTH($B$31)-MONTH($B$30))))*(1+IF(MONTH(DR$3)=1,'Вводные'!$B$67,IF(AND(MONTH(DR$3)&gt;=5,MONTH(DR$3)&lt;=8),'Вводные'!$B$70,0))),0)</x:f>
      </x:c>
      <x:c r="DS33" t="n">
        <x:f>IF(AND(DS$3&gt;=$B$30,DS$3&lt;EDATE($B$30,MAX(1,'Вводные'!$H$89)),'Вводные'!$B$89="Да"),(1+'Вводные'!$AD$89*'Вводные'!$H$7*MIN(1,(12*(YEAR(DS$3)-YEAR($B$30))+MONTH(DS$3)-MONTH($B$30))/MAX(1,12*(YEAR($B$31)-YEAR($B$30))+MONTH($B$31)-MONTH($B$30))))*(1+IF(MONTH(DS$3)=1,'Вводные'!$B$67,IF(AND(MONTH(DS$3)&gt;=5,MONTH(DS$3)&lt;=8),'Вводные'!$B$70,0))),0)</x:f>
      </x:c>
      <x:c r="DT33" t="n">
        <x:f>IF(AND(DT$3&gt;=$B$30,DT$3&lt;EDATE($B$30,MAX(1,'Вводные'!$H$89)),'Вводные'!$B$89="Да"),(1+'Вводные'!$AD$89*'Вводные'!$H$7*MIN(1,(12*(YEAR(DT$3)-YEAR($B$30))+MONTH(DT$3)-MONTH($B$30))/MAX(1,12*(YEAR($B$31)-YEAR($B$30))+MONTH($B$31)-MONTH($B$30))))*(1+IF(MONTH(DT$3)=1,'Вводные'!$B$67,IF(AND(MONTH(DT$3)&gt;=5,MONTH(DT$3)&lt;=8),'Вводные'!$B$70,0))),0)</x:f>
      </x:c>
      <x:c r="DU33" t="n">
        <x:f>IF(AND(DU$3&gt;=$B$30,DU$3&lt;EDATE($B$30,MAX(1,'Вводные'!$H$89)),'Вводные'!$B$89="Да"),(1+'Вводные'!$AD$89*'Вводные'!$H$7*MIN(1,(12*(YEAR(DU$3)-YEAR($B$30))+MONTH(DU$3)-MONTH($B$30))/MAX(1,12*(YEAR($B$31)-YEAR($B$30))+MONTH($B$31)-MONTH($B$30))))*(1+IF(MONTH(DU$3)=1,'Вводные'!$B$67,IF(AND(MONTH(DU$3)&gt;=5,MONTH(DU$3)&lt;=8),'Вводные'!$B$70,0))),0)</x:f>
      </x:c>
      <x:c r="DV33" t="n">
        <x:f>IF(AND(DV$3&gt;=$B$30,DV$3&lt;EDATE($B$30,MAX(1,'Вводные'!$H$89)),'Вводные'!$B$89="Да"),(1+'Вводные'!$AD$89*'Вводные'!$H$7*MIN(1,(12*(YEAR(DV$3)-YEAR($B$30))+MONTH(DV$3)-MONTH($B$30))/MAX(1,12*(YEAR($B$31)-YEAR($B$30))+MONTH($B$31)-MONTH($B$30))))*(1+IF(MONTH(DV$3)=1,'Вводные'!$B$67,IF(AND(MONTH(DV$3)&gt;=5,MONTH(DV$3)&lt;=8),'Вводные'!$B$70,0))),0)</x:f>
      </x:c>
      <x:c r="DW33" t="n">
        <x:f>IF(AND(DW$3&gt;=$B$30,DW$3&lt;EDATE($B$30,MAX(1,'Вводные'!$H$89)),'Вводные'!$B$89="Да"),(1+'Вводные'!$AD$89*'Вводные'!$H$7*MIN(1,(12*(YEAR(DW$3)-YEAR($B$30))+MONTH(DW$3)-MONTH($B$30))/MAX(1,12*(YEAR($B$31)-YEAR($B$30))+MONTH($B$31)-MONTH($B$30))))*(1+IF(MONTH(DW$3)=1,'Вводные'!$B$67,IF(AND(MONTH(DW$3)&gt;=5,MONTH(DW$3)&lt;=8),'Вводные'!$B$70,0))),0)</x:f>
      </x:c>
      <x:c r="DX33" t="n">
        <x:f>IF(AND(DX$3&gt;=$B$30,DX$3&lt;EDATE($B$30,MAX(1,'Вводные'!$H$89)),'Вводные'!$B$89="Да"),(1+'Вводные'!$AD$89*'Вводные'!$H$7*MIN(1,(12*(YEAR(DX$3)-YEAR($B$30))+MONTH(DX$3)-MONTH($B$30))/MAX(1,12*(YEAR($B$31)-YEAR($B$30))+MONTH($B$31)-MONTH($B$30))))*(1+IF(MONTH(DX$3)=1,'Вводные'!$B$67,IF(AND(MONTH(DX$3)&gt;=5,MONTH(DX$3)&lt;=8),'Вводные'!$B$70,0))),0)</x:f>
      </x:c>
      <x:c r="DY33" t="n">
        <x:f>IF(AND(DY$3&gt;=$B$30,DY$3&lt;EDATE($B$30,MAX(1,'Вводные'!$H$89)),'Вводные'!$B$89="Да"),(1+'Вводные'!$AD$89*'Вводные'!$H$7*MIN(1,(12*(YEAR(DY$3)-YEAR($B$30))+MONTH(DY$3)-MONTH($B$30))/MAX(1,12*(YEAR($B$31)-YEAR($B$30))+MONTH($B$31)-MONTH($B$30))))*(1+IF(MONTH(DY$3)=1,'Вводные'!$B$67,IF(AND(MONTH(DY$3)&gt;=5,MONTH(DY$3)&lt;=8),'Вводные'!$B$70,0))),0)</x:f>
      </x:c>
      <x:c r="DZ33" t="n">
        <x:f>IF(AND(DZ$3&gt;=$B$30,DZ$3&lt;EDATE($B$30,MAX(1,'Вводные'!$H$89)),'Вводные'!$B$89="Да"),(1+'Вводные'!$AD$89*'Вводные'!$H$7*MIN(1,(12*(YEAR(DZ$3)-YEAR($B$30))+MONTH(DZ$3)-MONTH($B$30))/MAX(1,12*(YEAR($B$31)-YEAR($B$30))+MONTH($B$31)-MONTH($B$30))))*(1+IF(MONTH(DZ$3)=1,'Вводные'!$B$67,IF(AND(MONTH(DZ$3)&gt;=5,MONTH(DZ$3)&lt;=8),'Вводные'!$B$70,0))),0)</x:f>
      </x:c>
      <x:c r="EA33" t="n">
        <x:f>IF(AND(EA$3&gt;=$B$30,EA$3&lt;EDATE($B$30,MAX(1,'Вводные'!$H$89)),'Вводные'!$B$89="Да"),(1+'Вводные'!$AD$89*'Вводные'!$H$7*MIN(1,(12*(YEAR(EA$3)-YEAR($B$30))+MONTH(EA$3)-MONTH($B$30))/MAX(1,12*(YEAR($B$31)-YEAR($B$30))+MONTH($B$31)-MONTH($B$30))))*(1+IF(MONTH(EA$3)=1,'Вводные'!$B$67,IF(AND(MONTH(EA$3)&gt;=5,MONTH(EA$3)&lt;=8),'Вводные'!$B$70,0))),0)</x:f>
      </x:c>
      <x:c r="EB33" t="n">
        <x:f>IF(AND(EB$3&gt;=$B$30,EB$3&lt;EDATE($B$30,MAX(1,'Вводные'!$H$89)),'Вводные'!$B$89="Да"),(1+'Вводные'!$AD$89*'Вводные'!$H$7*MIN(1,(12*(YEAR(EB$3)-YEAR($B$30))+MONTH(EB$3)-MONTH($B$30))/MAX(1,12*(YEAR($B$31)-YEAR($B$30))+MONTH($B$31)-MONTH($B$30))))*(1+IF(MONTH(EB$3)=1,'Вводные'!$B$67,IF(AND(MONTH(EB$3)&gt;=5,MONTH(EB$3)&lt;=8),'Вводные'!$B$70,0))),0)</x:f>
      </x:c>
      <x:c r="EC33" t="n">
        <x:f>IF(AND(EC$3&gt;=$B$30,EC$3&lt;EDATE($B$30,MAX(1,'Вводные'!$H$89)),'Вводные'!$B$89="Да"),(1+'Вводные'!$AD$89*'Вводные'!$H$7*MIN(1,(12*(YEAR(EC$3)-YEAR($B$30))+MONTH(EC$3)-MONTH($B$30))/MAX(1,12*(YEAR($B$31)-YEAR($B$30))+MONTH($B$31)-MONTH($B$30))))*(1+IF(MONTH(EC$3)=1,'Вводные'!$B$67,IF(AND(MONTH(EC$3)&gt;=5,MONTH(EC$3)&lt;=8),'Вводные'!$B$70,0))),0)</x:f>
      </x:c>
      <x:c r="ED33" t="n">
        <x:f>IF(AND(ED$3&gt;=$B$30,ED$3&lt;EDATE($B$30,MAX(1,'Вводные'!$H$89)),'Вводные'!$B$89="Да"),(1+'Вводные'!$AD$89*'Вводные'!$H$7*MIN(1,(12*(YEAR(ED$3)-YEAR($B$30))+MONTH(ED$3)-MONTH($B$30))/MAX(1,12*(YEAR($B$31)-YEAR($B$30))+MONTH($B$31)-MONTH($B$30))))*(1+IF(MONTH(ED$3)=1,'Вводные'!$B$67,IF(AND(MONTH(ED$3)&gt;=5,MONTH(ED$3)&lt;=8),'Вводные'!$B$70,0))),0)</x:f>
      </x:c>
      <x:c r="EE33" t="n">
        <x:f>IF(AND(EE$3&gt;=$B$30,EE$3&lt;EDATE($B$30,MAX(1,'Вводные'!$H$89)),'Вводные'!$B$89="Да"),(1+'Вводные'!$AD$89*'Вводные'!$H$7*MIN(1,(12*(YEAR(EE$3)-YEAR($B$30))+MONTH(EE$3)-MONTH($B$30))/MAX(1,12*(YEAR($B$31)-YEAR($B$30))+MONTH($B$31)-MONTH($B$30))))*(1+IF(MONTH(EE$3)=1,'Вводные'!$B$67,IF(AND(MONTH(EE$3)&gt;=5,MONTH(EE$3)&lt;=8),'Вводные'!$B$70,0))),0)</x:f>
      </x:c>
      <x:c r="EF33" t="n">
        <x:f>IF(AND(EF$3&gt;=$B$30,EF$3&lt;EDATE($B$30,MAX(1,'Вводные'!$H$89)),'Вводные'!$B$89="Да"),(1+'Вводные'!$AD$89*'Вводные'!$H$7*MIN(1,(12*(YEAR(EF$3)-YEAR($B$30))+MONTH(EF$3)-MONTH($B$30))/MAX(1,12*(YEAR($B$31)-YEAR($B$30))+MONTH($B$31)-MONTH($B$30))))*(1+IF(MONTH(EF$3)=1,'Вводные'!$B$67,IF(AND(MONTH(EF$3)&gt;=5,MONTH(EF$3)&lt;=8),'Вводные'!$B$70,0))),0)</x:f>
      </x:c>
      <x:c r="EG33" t="n">
        <x:f>IF(AND(EG$3&gt;=$B$30,EG$3&lt;EDATE($B$30,MAX(1,'Вводные'!$H$89)),'Вводные'!$B$89="Да"),(1+'Вводные'!$AD$89*'Вводные'!$H$7*MIN(1,(12*(YEAR(EG$3)-YEAR($B$30))+MONTH(EG$3)-MONTH($B$30))/MAX(1,12*(YEAR($B$31)-YEAR($B$30))+MONTH($B$31)-MONTH($B$30))))*(1+IF(MONTH(EG$3)=1,'Вводные'!$B$67,IF(AND(MONTH(EG$3)&gt;=5,MONTH(EG$3)&lt;=8),'Вводные'!$B$70,0))),0)</x:f>
      </x:c>
      <x:c r="EH33" t="n">
        <x:f>IF(AND(EH$3&gt;=$B$30,EH$3&lt;EDATE($B$30,MAX(1,'Вводные'!$H$89)),'Вводные'!$B$89="Да"),(1+'Вводные'!$AD$89*'Вводные'!$H$7*MIN(1,(12*(YEAR(EH$3)-YEAR($B$30))+MONTH(EH$3)-MONTH($B$30))/MAX(1,12*(YEAR($B$31)-YEAR($B$30))+MONTH($B$31)-MONTH($B$30))))*(1+IF(MONTH(EH$3)=1,'Вводные'!$B$67,IF(AND(MONTH(EH$3)&gt;=5,MONTH(EH$3)&lt;=8),'Вводные'!$B$70,0))),0)</x:f>
      </x:c>
      <x:c r="EI33" t="n">
        <x:f>IF(AND(EI$3&gt;=$B$30,EI$3&lt;EDATE($B$30,MAX(1,'Вводные'!$H$89)),'Вводные'!$B$89="Да"),(1+'Вводные'!$AD$89*'Вводные'!$H$7*MIN(1,(12*(YEAR(EI$3)-YEAR($B$30))+MONTH(EI$3)-MONTH($B$30))/MAX(1,12*(YEAR($B$31)-YEAR($B$30))+MONTH($B$31)-MONTH($B$30))))*(1+IF(MONTH(EI$3)=1,'Вводные'!$B$67,IF(AND(MONTH(EI$3)&gt;=5,MONTH(EI$3)&lt;=8),'Вводные'!$B$70,0))),0)</x:f>
      </x:c>
      <x:c r="EJ33" t="n">
        <x:f>IF(AND(EJ$3&gt;=$B$30,EJ$3&lt;EDATE($B$30,MAX(1,'Вводные'!$H$89)),'Вводные'!$B$89="Да"),(1+'Вводные'!$AD$89*'Вводные'!$H$7*MIN(1,(12*(YEAR(EJ$3)-YEAR($B$30))+MONTH(EJ$3)-MONTH($B$30))/MAX(1,12*(YEAR($B$31)-YEAR($B$30))+MONTH($B$31)-MONTH($B$30))))*(1+IF(MONTH(EJ$3)=1,'Вводные'!$B$67,IF(AND(MONTH(EJ$3)&gt;=5,MONTH(EJ$3)&lt;=8),'Вводные'!$B$70,0))),0)</x:f>
      </x:c>
      <x:c r="EK33" t="n">
        <x:f>IF(AND(EK$3&gt;=$B$30,EK$3&lt;EDATE($B$30,MAX(1,'Вводные'!$H$89)),'Вводные'!$B$89="Да"),(1+'Вводные'!$AD$89*'Вводные'!$H$7*MIN(1,(12*(YEAR(EK$3)-YEAR($B$30))+MONTH(EK$3)-MONTH($B$30))/MAX(1,12*(YEAR($B$31)-YEAR($B$30))+MONTH($B$31)-MONTH($B$30))))*(1+IF(MONTH(EK$3)=1,'Вводные'!$B$67,IF(AND(MONTH(EK$3)&gt;=5,MONTH(EK$3)&lt;=8),'Вводные'!$B$70,0))),0)</x:f>
      </x:c>
      <x:c r="EL33" t="n">
        <x:f>IF(AND(EL$3&gt;=$B$30,EL$3&lt;EDATE($B$30,MAX(1,'Вводные'!$H$89)),'Вводные'!$B$89="Да"),(1+'Вводные'!$AD$89*'Вводные'!$H$7*MIN(1,(12*(YEAR(EL$3)-YEAR($B$30))+MONTH(EL$3)-MONTH($B$30))/MAX(1,12*(YEAR($B$31)-YEAR($B$30))+MONTH($B$31)-MONTH($B$30))))*(1+IF(MONTH(EL$3)=1,'Вводные'!$B$67,IF(AND(MONTH(EL$3)&gt;=5,MONTH(EL$3)&lt;=8),'Вводные'!$B$70,0))),0)</x:f>
      </x:c>
      <x:c r="EM33" t="n">
        <x:f>IF(AND(EM$3&gt;=$B$30,EM$3&lt;EDATE($B$30,MAX(1,'Вводные'!$H$89)),'Вводные'!$B$89="Да"),(1+'Вводные'!$AD$89*'Вводные'!$H$7*MIN(1,(12*(YEAR(EM$3)-YEAR($B$30))+MONTH(EM$3)-MONTH($B$30))/MAX(1,12*(YEAR($B$31)-YEAR($B$30))+MONTH($B$31)-MONTH($B$30))))*(1+IF(MONTH(EM$3)=1,'Вводные'!$B$67,IF(AND(MONTH(EM$3)&gt;=5,MONTH(EM$3)&lt;=8),'Вводные'!$B$70,0))),0)</x:f>
      </x:c>
      <x:c r="EN33" t="n">
        <x:f>IF(AND(EN$3&gt;=$B$30,EN$3&lt;EDATE($B$30,MAX(1,'Вводные'!$H$89)),'Вводные'!$B$89="Да"),(1+'Вводные'!$AD$89*'Вводные'!$H$7*MIN(1,(12*(YEAR(EN$3)-YEAR($B$30))+MONTH(EN$3)-MONTH($B$30))/MAX(1,12*(YEAR($B$31)-YEAR($B$30))+MONTH($B$31)-MONTH($B$30))))*(1+IF(MONTH(EN$3)=1,'Вводные'!$B$67,IF(AND(MONTH(EN$3)&gt;=5,MONTH(EN$3)&lt;=8),'Вводные'!$B$70,0))),0)</x:f>
      </x:c>
      <x:c r="EO33" t="n">
        <x:f>IF(AND(EO$3&gt;=$B$30,EO$3&lt;EDATE($B$30,MAX(1,'Вводные'!$H$89)),'Вводные'!$B$89="Да"),(1+'Вводные'!$AD$89*'Вводные'!$H$7*MIN(1,(12*(YEAR(EO$3)-YEAR($B$30))+MONTH(EO$3)-MONTH($B$30))/MAX(1,12*(YEAR($B$31)-YEAR($B$30))+MONTH($B$31)-MONTH($B$30))))*(1+IF(MONTH(EO$3)=1,'Вводные'!$B$67,IF(AND(MONTH(EO$3)&gt;=5,MONTH(EO$3)&lt;=8),'Вводные'!$B$70,0))),0)</x:f>
      </x:c>
      <x:c r="EP33" t="n">
        <x:f>IF(AND(EP$3&gt;=$B$30,EP$3&lt;EDATE($B$30,MAX(1,'Вводные'!$H$89)),'Вводные'!$B$89="Да"),(1+'Вводные'!$AD$89*'Вводные'!$H$7*MIN(1,(12*(YEAR(EP$3)-YEAR($B$30))+MONTH(EP$3)-MONTH($B$30))/MAX(1,12*(YEAR($B$31)-YEAR($B$30))+MONTH($B$31)-MONTH($B$30))))*(1+IF(MONTH(EP$3)=1,'Вводные'!$B$67,IF(AND(MONTH(EP$3)&gt;=5,MONTH(EP$3)&lt;=8),'Вводные'!$B$70,0))),0)</x:f>
      </x:c>
      <x:c r="EQ33" t="n">
        <x:f>IF(AND(EQ$3&gt;=$B$30,EQ$3&lt;EDATE($B$30,MAX(1,'Вводные'!$H$89)),'Вводные'!$B$89="Да"),(1+'Вводные'!$AD$89*'Вводные'!$H$7*MIN(1,(12*(YEAR(EQ$3)-YEAR($B$30))+MONTH(EQ$3)-MONTH($B$30))/MAX(1,12*(YEAR($B$31)-YEAR($B$30))+MONTH($B$31)-MONTH($B$30))))*(1+IF(MONTH(EQ$3)=1,'Вводные'!$B$67,IF(AND(MONTH(EQ$3)&gt;=5,MONTH(EQ$3)&lt;=8),'Вводные'!$B$70,0))),0)</x:f>
      </x:c>
      <x:c r="ER33" t="n">
        <x:f>IF(AND(ER$3&gt;=$B$30,ER$3&lt;EDATE($B$30,MAX(1,'Вводные'!$H$89)),'Вводные'!$B$89="Да"),(1+'Вводные'!$AD$89*'Вводные'!$H$7*MIN(1,(12*(YEAR(ER$3)-YEAR($B$30))+MONTH(ER$3)-MONTH($B$30))/MAX(1,12*(YEAR($B$31)-YEAR($B$30))+MONTH($B$31)-MONTH($B$30))))*(1+IF(MONTH(ER$3)=1,'Вводные'!$B$67,IF(AND(MONTH(ER$3)&gt;=5,MONTH(ER$3)&lt;=8),'Вводные'!$B$70,0))),0)</x:f>
      </x:c>
      <x:c r="ES33" t="n">
        <x:f>IF(AND(ES$3&gt;=$B$30,ES$3&lt;EDATE($B$30,MAX(1,'Вводные'!$H$89)),'Вводные'!$B$89="Да"),(1+'Вводные'!$AD$89*'Вводные'!$H$7*MIN(1,(12*(YEAR(ES$3)-YEAR($B$30))+MONTH(ES$3)-MONTH($B$30))/MAX(1,12*(YEAR($B$31)-YEAR($B$30))+MONTH($B$31)-MONTH($B$30))))*(1+IF(MONTH(ES$3)=1,'Вводные'!$B$67,IF(AND(MONTH(ES$3)&gt;=5,MONTH(ES$3)&lt;=8),'Вводные'!$B$70,0))),0)</x:f>
      </x:c>
      <x:c r="ET33" t="n">
        <x:f>IF(AND(ET$3&gt;=$B$30,ET$3&lt;EDATE($B$30,MAX(1,'Вводные'!$H$89)),'Вводные'!$B$89="Да"),(1+'Вводные'!$AD$89*'Вводные'!$H$7*MIN(1,(12*(YEAR(ET$3)-YEAR($B$30))+MONTH(ET$3)-MONTH($B$30))/MAX(1,12*(YEAR($B$31)-YEAR($B$30))+MONTH($B$31)-MONTH($B$30))))*(1+IF(MONTH(ET$3)=1,'Вводные'!$B$67,IF(AND(MONTH(ET$3)&gt;=5,MONTH(ET$3)&lt;=8),'Вводные'!$B$70,0))),0)</x:f>
      </x:c>
      <x:c r="EU33" t="n">
        <x:f>IF(AND(EU$3&gt;=$B$30,EU$3&lt;EDATE($B$30,MAX(1,'Вводные'!$H$89)),'Вводные'!$B$89="Да"),(1+'Вводные'!$AD$89*'Вводные'!$H$7*MIN(1,(12*(YEAR(EU$3)-YEAR($B$30))+MONTH(EU$3)-MONTH($B$30))/MAX(1,12*(YEAR($B$31)-YEAR($B$30))+MONTH($B$31)-MONTH($B$30))))*(1+IF(MONTH(EU$3)=1,'Вводные'!$B$67,IF(AND(MONTH(EU$3)&gt;=5,MONTH(EU$3)&lt;=8),'Вводные'!$B$70,0))),0)</x:f>
      </x:c>
      <x:c r="EV33" t="n">
        <x:f>IF(AND(EV$3&gt;=$B$30,EV$3&lt;EDATE($B$30,MAX(1,'Вводные'!$H$89)),'Вводные'!$B$89="Да"),(1+'Вводные'!$AD$89*'Вводные'!$H$7*MIN(1,(12*(YEAR(EV$3)-YEAR($B$30))+MONTH(EV$3)-MONTH($B$30))/MAX(1,12*(YEAR($B$31)-YEAR($B$30))+MONTH($B$31)-MONTH($B$30))))*(1+IF(MONTH(EV$3)=1,'Вводные'!$B$67,IF(AND(MONTH(EV$3)&gt;=5,MONTH(EV$3)&lt;=8),'Вводные'!$B$70,0))),0)</x:f>
      </x:c>
      <x:c r="EW33" t="n">
        <x:f>IF(AND(EW$3&gt;=$B$30,EW$3&lt;EDATE($B$30,MAX(1,'Вводные'!$H$89)),'Вводные'!$B$89="Да"),(1+'Вводные'!$AD$89*'Вводные'!$H$7*MIN(1,(12*(YEAR(EW$3)-YEAR($B$30))+MONTH(EW$3)-MONTH($B$30))/MAX(1,12*(YEAR($B$31)-YEAR($B$30))+MONTH($B$31)-MONTH($B$30))))*(1+IF(MONTH(EW$3)=1,'Вводные'!$B$67,IF(AND(MONTH(EW$3)&gt;=5,MONTH(EW$3)&lt;=8),'Вводные'!$B$70,0))),0)</x:f>
      </x:c>
      <x:c r="EX33" t="n">
        <x:f>IF(AND(EX$3&gt;=$B$30,EX$3&lt;EDATE($B$30,MAX(1,'Вводные'!$H$89)),'Вводные'!$B$89="Да"),(1+'Вводные'!$AD$89*'Вводные'!$H$7*MIN(1,(12*(YEAR(EX$3)-YEAR($B$30))+MONTH(EX$3)-MONTH($B$30))/MAX(1,12*(YEAR($B$31)-YEAR($B$30))+MONTH($B$31)-MONTH($B$30))))*(1+IF(MONTH(EX$3)=1,'Вводные'!$B$67,IF(AND(MONTH(EX$3)&gt;=5,MONTH(EX$3)&lt;=8),'Вводные'!$B$70,0))),0)</x:f>
      </x:c>
      <x:c r="EY33" t="n">
        <x:f>IF(AND(EY$3&gt;=$B$30,EY$3&lt;EDATE($B$30,MAX(1,'Вводные'!$H$89)),'Вводные'!$B$89="Да"),(1+'Вводные'!$AD$89*'Вводные'!$H$7*MIN(1,(12*(YEAR(EY$3)-YEAR($B$30))+MONTH(EY$3)-MONTH($B$30))/MAX(1,12*(YEAR($B$31)-YEAR($B$30))+MONTH($B$31)-MONTH($B$30))))*(1+IF(MONTH(EY$3)=1,'Вводные'!$B$67,IF(AND(MONTH(EY$3)&gt;=5,MONTH(EY$3)&lt;=8),'Вводные'!$B$70,0))),0)</x:f>
      </x:c>
      <x:c r="EZ33" t="n">
        <x:f>IF(AND(EZ$3&gt;=$B$30,EZ$3&lt;EDATE($B$30,MAX(1,'Вводные'!$H$89)),'Вводные'!$B$89="Да"),(1+'Вводные'!$AD$89*'Вводные'!$H$7*MIN(1,(12*(YEAR(EZ$3)-YEAR($B$30))+MONTH(EZ$3)-MONTH($B$30))/MAX(1,12*(YEAR($B$31)-YEAR($B$30))+MONTH($B$31)-MONTH($B$30))))*(1+IF(MONTH(EZ$3)=1,'Вводные'!$B$67,IF(AND(MONTH(EZ$3)&gt;=5,MONTH(EZ$3)&lt;=8),'Вводные'!$B$70,0))),0)</x:f>
      </x:c>
      <x:c r="FA33" t="n">
        <x:f>IF(AND(FA$3&gt;=$B$30,FA$3&lt;EDATE($B$30,MAX(1,'Вводные'!$H$89)),'Вводные'!$B$89="Да"),(1+'Вводные'!$AD$89*'Вводные'!$H$7*MIN(1,(12*(YEAR(FA$3)-YEAR($B$30))+MONTH(FA$3)-MONTH($B$30))/MAX(1,12*(YEAR($B$31)-YEAR($B$30))+MONTH($B$31)-MONTH($B$30))))*(1+IF(MONTH(FA$3)=1,'Вводные'!$B$67,IF(AND(MONTH(FA$3)&gt;=5,MONTH(FA$3)&lt;=8),'Вводные'!$B$70,0))),0)</x:f>
      </x:c>
      <x:c r="FB33" t="n">
        <x:f>IF(AND(FB$3&gt;=$B$30,FB$3&lt;EDATE($B$30,MAX(1,'Вводные'!$H$89)),'Вводные'!$B$89="Да"),(1+'Вводные'!$AD$89*'Вводные'!$H$7*MIN(1,(12*(YEAR(FB$3)-YEAR($B$30))+MONTH(FB$3)-MONTH($B$30))/MAX(1,12*(YEAR($B$31)-YEAR($B$30))+MONTH($B$31)-MONTH($B$30))))*(1+IF(MONTH(FB$3)=1,'Вводные'!$B$67,IF(AND(MONTH(FB$3)&gt;=5,MONTH(FB$3)&lt;=8),'Вводные'!$B$70,0))),0)</x:f>
      </x:c>
      <x:c r="FC33" t="n">
        <x:f>IF(AND(FC$3&gt;=$B$30,FC$3&lt;EDATE($B$30,MAX(1,'Вводные'!$H$89)),'Вводные'!$B$89="Да"),(1+'Вводные'!$AD$89*'Вводные'!$H$7*MIN(1,(12*(YEAR(FC$3)-YEAR($B$30))+MONTH(FC$3)-MONTH($B$30))/MAX(1,12*(YEAR($B$31)-YEAR($B$30))+MONTH($B$31)-MONTH($B$30))))*(1+IF(MONTH(FC$3)=1,'Вводные'!$B$67,IF(AND(MONTH(FC$3)&gt;=5,MONTH(FC$3)&lt;=8),'Вводные'!$B$70,0))),0)</x:f>
      </x:c>
      <x:c r="FD33" t="n">
        <x:f>IF(AND(FD$3&gt;=$B$30,FD$3&lt;EDATE($B$30,MAX(1,'Вводные'!$H$89)),'Вводные'!$B$89="Да"),(1+'Вводные'!$AD$89*'Вводные'!$H$7*MIN(1,(12*(YEAR(FD$3)-YEAR($B$30))+MONTH(FD$3)-MONTH($B$30))/MAX(1,12*(YEAR($B$31)-YEAR($B$30))+MONTH($B$31)-MONTH($B$30))))*(1+IF(MONTH(FD$3)=1,'Вводные'!$B$67,IF(AND(MONTH(FD$3)&gt;=5,MONTH(FD$3)&lt;=8),'Вводные'!$B$70,0))),0)</x:f>
      </x:c>
      <x:c r="FE33" t="n">
        <x:f>IF(AND(FE$3&gt;=$B$30,FE$3&lt;EDATE($B$30,MAX(1,'Вводные'!$H$89)),'Вводные'!$B$89="Да"),(1+'Вводные'!$AD$89*'Вводные'!$H$7*MIN(1,(12*(YEAR(FE$3)-YEAR($B$30))+MONTH(FE$3)-MONTH($B$30))/MAX(1,12*(YEAR($B$31)-YEAR($B$30))+MONTH($B$31)-MONTH($B$30))))*(1+IF(MONTH(FE$3)=1,'Вводные'!$B$67,IF(AND(MONTH(FE$3)&gt;=5,MONTH(FE$3)&lt;=8),'Вводные'!$B$70,0))),0)</x:f>
      </x:c>
      <x:c r="FF33" t="n">
        <x:f>IF(AND(FF$3&gt;=$B$30,FF$3&lt;EDATE($B$30,MAX(1,'Вводные'!$H$89)),'Вводные'!$B$89="Да"),(1+'Вводные'!$AD$89*'Вводные'!$H$7*MIN(1,(12*(YEAR(FF$3)-YEAR($B$30))+MONTH(FF$3)-MONTH($B$30))/MAX(1,12*(YEAR($B$31)-YEAR($B$30))+MONTH($B$31)-MONTH($B$30))))*(1+IF(MONTH(FF$3)=1,'Вводные'!$B$67,IF(AND(MONTH(FF$3)&gt;=5,MONTH(FF$3)&lt;=8),'Вводные'!$B$70,0))),0)</x:f>
      </x:c>
      <x:c r="FG33" t="n">
        <x:f>IF(AND(FG$3&gt;=$B$30,FG$3&lt;EDATE($B$30,MAX(1,'Вводные'!$H$89)),'Вводные'!$B$89="Да"),(1+'Вводные'!$AD$89*'Вводные'!$H$7*MIN(1,(12*(YEAR(FG$3)-YEAR($B$30))+MONTH(FG$3)-MONTH($B$30))/MAX(1,12*(YEAR($B$31)-YEAR($B$30))+MONTH($B$31)-MONTH($B$30))))*(1+IF(MONTH(FG$3)=1,'Вводные'!$B$67,IF(AND(MONTH(FG$3)&gt;=5,MONTH(FG$3)&lt;=8),'Вводные'!$B$70,0))),0)</x:f>
      </x:c>
      <x:c r="FH33" t="n">
        <x:f>IF(AND(FH$3&gt;=$B$30,FH$3&lt;EDATE($B$30,MAX(1,'Вводные'!$H$89)),'Вводные'!$B$89="Да"),(1+'Вводные'!$AD$89*'Вводные'!$H$7*MIN(1,(12*(YEAR(FH$3)-YEAR($B$30))+MONTH(FH$3)-MONTH($B$30))/MAX(1,12*(YEAR($B$31)-YEAR($B$30))+MONTH($B$31)-MONTH($B$30))))*(1+IF(MONTH(FH$3)=1,'Вводные'!$B$67,IF(AND(MONTH(FH$3)&gt;=5,MONTH(FH$3)&lt;=8),'Вводные'!$B$70,0))),0)</x:f>
      </x:c>
      <x:c r="FI33" t="n">
        <x:f>IF(AND(FI$3&gt;=$B$30,FI$3&lt;EDATE($B$30,MAX(1,'Вводные'!$H$89)),'Вводные'!$B$89="Да"),(1+'Вводные'!$AD$89*'Вводные'!$H$7*MIN(1,(12*(YEAR(FI$3)-YEAR($B$30))+MONTH(FI$3)-MONTH($B$30))/MAX(1,12*(YEAR($B$31)-YEAR($B$30))+MONTH($B$31)-MONTH($B$30))))*(1+IF(MONTH(FI$3)=1,'Вводные'!$B$67,IF(AND(MONTH(FI$3)&gt;=5,MONTH(FI$3)&lt;=8),'Вводные'!$B$70,0))),0)</x:f>
      </x:c>
      <x:c r="FJ33" t="n">
        <x:f>IF(AND(FJ$3&gt;=$B$30,FJ$3&lt;EDATE($B$30,MAX(1,'Вводные'!$H$89)),'Вводные'!$B$89="Да"),(1+'Вводные'!$AD$89*'Вводные'!$H$7*MIN(1,(12*(YEAR(FJ$3)-YEAR($B$30))+MONTH(FJ$3)-MONTH($B$30))/MAX(1,12*(YEAR($B$31)-YEAR($B$30))+MONTH($B$31)-MONTH($B$30))))*(1+IF(MONTH(FJ$3)=1,'Вводные'!$B$67,IF(AND(MONTH(FJ$3)&gt;=5,MONTH(FJ$3)&lt;=8),'Вводные'!$B$70,0))),0)</x:f>
      </x:c>
      <x:c r="FK33" t="n">
        <x:f>IF(AND(FK$3&gt;=$B$30,FK$3&lt;EDATE($B$30,MAX(1,'Вводные'!$H$89)),'Вводные'!$B$89="Да"),(1+'Вводные'!$AD$89*'Вводные'!$H$7*MIN(1,(12*(YEAR(FK$3)-YEAR($B$30))+MONTH(FK$3)-MONTH($B$30))/MAX(1,12*(YEAR($B$31)-YEAR($B$30))+MONTH($B$31)-MONTH($B$30))))*(1+IF(MONTH(FK$3)=1,'Вводные'!$B$67,IF(AND(MONTH(FK$3)&gt;=5,MONTH(FK$3)&lt;=8),'Вводные'!$B$70,0))),0)</x:f>
      </x:c>
      <x:c r="FL33" t="n">
        <x:f>IF(AND(FL$3&gt;=$B$30,FL$3&lt;EDATE($B$30,MAX(1,'Вводные'!$H$89)),'Вводные'!$B$89="Да"),(1+'Вводные'!$AD$89*'Вводные'!$H$7*MIN(1,(12*(YEAR(FL$3)-YEAR($B$30))+MONTH(FL$3)-MONTH($B$30))/MAX(1,12*(YEAR($B$31)-YEAR($B$30))+MONTH($B$31)-MONTH($B$30))))*(1+IF(MONTH(FL$3)=1,'Вводные'!$B$67,IF(AND(MONTH(FL$3)&gt;=5,MONTH(FL$3)&lt;=8),'Вводные'!$B$70,0))),0)</x:f>
      </x:c>
      <x:c r="FM33" t="n">
        <x:f>IF(AND(FM$3&gt;=$B$30,FM$3&lt;EDATE($B$30,MAX(1,'Вводные'!$H$89)),'Вводные'!$B$89="Да"),(1+'Вводные'!$AD$89*'Вводные'!$H$7*MIN(1,(12*(YEAR(FM$3)-YEAR($B$30))+MONTH(FM$3)-MONTH($B$30))/MAX(1,12*(YEAR($B$31)-YEAR($B$30))+MONTH($B$31)-MONTH($B$30))))*(1+IF(MONTH(FM$3)=1,'Вводные'!$B$67,IF(AND(MONTH(FM$3)&gt;=5,MONTH(FM$3)&lt;=8),'Вводные'!$B$70,0))),0)</x:f>
      </x:c>
      <x:c r="FN33" t="n">
        <x:f>IF(AND(FN$3&gt;=$B$30,FN$3&lt;EDATE($B$30,MAX(1,'Вводные'!$H$89)),'Вводные'!$B$89="Да"),(1+'Вводные'!$AD$89*'Вводные'!$H$7*MIN(1,(12*(YEAR(FN$3)-YEAR($B$30))+MONTH(FN$3)-MONTH($B$30))/MAX(1,12*(YEAR($B$31)-YEAR($B$30))+MONTH($B$31)-MONTH($B$30))))*(1+IF(MONTH(FN$3)=1,'Вводные'!$B$67,IF(AND(MONTH(FN$3)&gt;=5,MONTH(FN$3)&lt;=8),'Вводные'!$B$70,0))),0)</x:f>
      </x:c>
      <x:c r="FO33" t="n">
        <x:f>IF(AND(FO$3&gt;=$B$30,FO$3&lt;EDATE($B$30,MAX(1,'Вводные'!$H$89)),'Вводные'!$B$89="Да"),(1+'Вводные'!$AD$89*'Вводные'!$H$7*MIN(1,(12*(YEAR(FO$3)-YEAR($B$30))+MONTH(FO$3)-MONTH($B$30))/MAX(1,12*(YEAR($B$31)-YEAR($B$30))+MONTH($B$31)-MONTH($B$30))))*(1+IF(MONTH(FO$3)=1,'Вводные'!$B$67,IF(AND(MONTH(FO$3)&gt;=5,MONTH(FO$3)&lt;=8),'Вводные'!$B$70,0))),0)</x:f>
      </x:c>
      <x:c r="FP33" t="n">
        <x:f>IF(AND(FP$3&gt;=$B$30,FP$3&lt;EDATE($B$30,MAX(1,'Вводные'!$H$89)),'Вводные'!$B$89="Да"),(1+'Вводные'!$AD$89*'Вводные'!$H$7*MIN(1,(12*(YEAR(FP$3)-YEAR($B$30))+MONTH(FP$3)-MONTH($B$30))/MAX(1,12*(YEAR($B$31)-YEAR($B$30))+MONTH($B$31)-MONTH($B$30))))*(1+IF(MONTH(FP$3)=1,'Вводные'!$B$67,IF(AND(MONTH(FP$3)&gt;=5,MONTH(FP$3)&lt;=8),'Вводные'!$B$70,0))),0)</x:f>
      </x:c>
      <x:c r="FQ33" t="n">
        <x:f>IF(AND(FQ$3&gt;=$B$30,FQ$3&lt;EDATE($B$30,MAX(1,'Вводные'!$H$89)),'Вводные'!$B$89="Да"),(1+'Вводные'!$AD$89*'Вводные'!$H$7*MIN(1,(12*(YEAR(FQ$3)-YEAR($B$30))+MONTH(FQ$3)-MONTH($B$30))/MAX(1,12*(YEAR($B$31)-YEAR($B$30))+MONTH($B$31)-MONTH($B$30))))*(1+IF(MONTH(FQ$3)=1,'Вводные'!$B$67,IF(AND(MONTH(FQ$3)&gt;=5,MONTH(FQ$3)&lt;=8),'Вводные'!$B$70,0))),0)</x:f>
      </x:c>
      <x:c r="FR33" t="n">
        <x:f>IF(AND(FR$3&gt;=$B$30,FR$3&lt;EDATE($B$30,MAX(1,'Вводные'!$H$89)),'Вводные'!$B$89="Да"),(1+'Вводные'!$AD$89*'Вводные'!$H$7*MIN(1,(12*(YEAR(FR$3)-YEAR($B$30))+MONTH(FR$3)-MONTH($B$30))/MAX(1,12*(YEAR($B$31)-YEAR($B$30))+MONTH($B$31)-MONTH($B$30))))*(1+IF(MONTH(FR$3)=1,'Вводные'!$B$67,IF(AND(MONTH(FR$3)&gt;=5,MONTH(FR$3)&lt;=8),'Вводные'!$B$70,0))),0)</x:f>
      </x:c>
      <x:c r="FS33" t="n">
        <x:f>IF(AND(FS$3&gt;=$B$30,FS$3&lt;EDATE($B$30,MAX(1,'Вводные'!$H$89)),'Вводные'!$B$89="Да"),(1+'Вводные'!$AD$89*'Вводные'!$H$7*MIN(1,(12*(YEAR(FS$3)-YEAR($B$30))+MONTH(FS$3)-MONTH($B$30))/MAX(1,12*(YEAR($B$31)-YEAR($B$30))+MONTH($B$31)-MONTH($B$30))))*(1+IF(MONTH(FS$3)=1,'Вводные'!$B$67,IF(AND(MONTH(FS$3)&gt;=5,MONTH(FS$3)&lt;=8),'Вводные'!$B$70,0))),0)</x:f>
      </x:c>
      <x:c r="FT33" t="n">
        <x:f>IF(AND(FT$3&gt;=$B$30,FT$3&lt;EDATE($B$30,MAX(1,'Вводные'!$H$89)),'Вводные'!$B$89="Да"),(1+'Вводные'!$AD$89*'Вводные'!$H$7*MIN(1,(12*(YEAR(FT$3)-YEAR($B$30))+MONTH(FT$3)-MONTH($B$30))/MAX(1,12*(YEAR($B$31)-YEAR($B$30))+MONTH($B$31)-MONTH($B$30))))*(1+IF(MONTH(FT$3)=1,'Вводные'!$B$67,IF(AND(MONTH(FT$3)&gt;=5,MONTH(FT$3)&lt;=8),'Вводные'!$B$70,0))),0)</x:f>
      </x:c>
      <x:c r="FU33" t="n">
        <x:f>IF(AND(FU$3&gt;=$B$30,FU$3&lt;EDATE($B$30,MAX(1,'Вводные'!$H$89)),'Вводные'!$B$89="Да"),(1+'Вводные'!$AD$89*'Вводные'!$H$7*MIN(1,(12*(YEAR(FU$3)-YEAR($B$30))+MONTH(FU$3)-MONTH($B$30))/MAX(1,12*(YEAR($B$31)-YEAR($B$30))+MONTH($B$31)-MONTH($B$30))))*(1+IF(MONTH(FU$3)=1,'Вводные'!$B$67,IF(AND(MONTH(FU$3)&gt;=5,MONTH(FU$3)&lt;=8),'Вводные'!$B$70,0))),0)</x:f>
      </x:c>
      <x:c r="FV33" t="n">
        <x:f>IF(AND(FV$3&gt;=$B$30,FV$3&lt;EDATE($B$30,MAX(1,'Вводные'!$H$89)),'Вводные'!$B$89="Да"),(1+'Вводные'!$AD$89*'Вводные'!$H$7*MIN(1,(12*(YEAR(FV$3)-YEAR($B$30))+MONTH(FV$3)-MONTH($B$30))/MAX(1,12*(YEAR($B$31)-YEAR($B$30))+MONTH($B$31)-MONTH($B$30))))*(1+IF(MONTH(FV$3)=1,'Вводные'!$B$67,IF(AND(MONTH(FV$3)&gt;=5,MONTH(FV$3)&lt;=8),'Вводные'!$B$70,0))),0)</x:f>
      </x:c>
      <x:c r="FW33" t="n">
        <x:f>IF(AND(FW$3&gt;=$B$30,FW$3&lt;EDATE($B$30,MAX(1,'Вводные'!$H$89)),'Вводные'!$B$89="Да"),(1+'Вводные'!$AD$89*'Вводные'!$H$7*MIN(1,(12*(YEAR(FW$3)-YEAR($B$30))+MONTH(FW$3)-MONTH($B$30))/MAX(1,12*(YEAR($B$31)-YEAR($B$30))+MONTH($B$31)-MONTH($B$30))))*(1+IF(MONTH(FW$3)=1,'Вводные'!$B$67,IF(AND(MONTH(FW$3)&gt;=5,MONTH(FW$3)&lt;=8),'Вводные'!$B$70,0))),0)</x:f>
      </x:c>
      <x:c r="FX33" t="n">
        <x:f>IF(AND(FX$3&gt;=$B$30,FX$3&lt;EDATE($B$30,MAX(1,'Вводные'!$H$89)),'Вводные'!$B$89="Да"),(1+'Вводные'!$AD$89*'Вводные'!$H$7*MIN(1,(12*(YEAR(FX$3)-YEAR($B$30))+MONTH(FX$3)-MONTH($B$30))/MAX(1,12*(YEAR($B$31)-YEAR($B$30))+MONTH($B$31)-MONTH($B$30))))*(1+IF(MONTH(FX$3)=1,'Вводные'!$B$67,IF(AND(MONTH(FX$3)&gt;=5,MONTH(FX$3)&lt;=8),'Вводные'!$B$70,0))),0)</x:f>
      </x:c>
      <x:c r="FY33" t="n">
        <x:f>IF(AND(FY$3&gt;=$B$30,FY$3&lt;EDATE($B$30,MAX(1,'Вводные'!$H$89)),'Вводные'!$B$89="Да"),(1+'Вводные'!$AD$89*'Вводные'!$H$7*MIN(1,(12*(YEAR(FY$3)-YEAR($B$30))+MONTH(FY$3)-MONTH($B$30))/MAX(1,12*(YEAR($B$31)-YEAR($B$30))+MONTH($B$31)-MONTH($B$30))))*(1+IF(MONTH(FY$3)=1,'Вводные'!$B$67,IF(AND(MONTH(FY$3)&gt;=5,MONTH(FY$3)&lt;=8),'Вводные'!$B$70,0))),0)</x:f>
      </x:c>
      <x:c r="FZ33" t="n">
        <x:f>IF(AND(FZ$3&gt;=$B$30,FZ$3&lt;EDATE($B$30,MAX(1,'Вводные'!$H$89)),'Вводные'!$B$89="Да"),(1+'Вводные'!$AD$89*'Вводные'!$H$7*MIN(1,(12*(YEAR(FZ$3)-YEAR($B$30))+MONTH(FZ$3)-MONTH($B$30))/MAX(1,12*(YEAR($B$31)-YEAR($B$30))+MONTH($B$31)-MONTH($B$30))))*(1+IF(MONTH(FZ$3)=1,'Вводные'!$B$67,IF(AND(MONTH(FZ$3)&gt;=5,MONTH(FZ$3)&lt;=8),'Вводные'!$B$70,0))),0)</x:f>
      </x:c>
      <x:c r="GA33" t="n">
        <x:f>IF(AND(GA$3&gt;=$B$30,GA$3&lt;EDATE($B$30,MAX(1,'Вводные'!$H$89)),'Вводные'!$B$89="Да"),(1+'Вводные'!$AD$89*'Вводные'!$H$7*MIN(1,(12*(YEAR(GA$3)-YEAR($B$30))+MONTH(GA$3)-MONTH($B$30))/MAX(1,12*(YEAR($B$31)-YEAR($B$30))+MONTH($B$31)-MONTH($B$30))))*(1+IF(MONTH(GA$3)=1,'Вводные'!$B$67,IF(AND(MONTH(GA$3)&gt;=5,MONTH(GA$3)&lt;=8),'Вводные'!$B$70,0))),0)</x:f>
      </x:c>
    </x:row>
    <x:row r="34">
      <x:c r="A34" t="str">
        <x:v>Нормированный вес до РВЭ</x:v>
      </x:c>
      <x:c r="B34" t="n">
        <x:f>SUM(D34:GA34)</x:f>
      </x:c>
      <x:c r="C34" t="str">
        <x:v>%</x:v>
      </x:c>
      <x:c r="D34" s="35" t="n">
        <x:f>IFERROR(D33*D32/SUMPRODUCT($D33:$GA33,$D32:$GA32),0)</x:f>
      </x:c>
      <x:c r="E34" s="35" t="n">
        <x:f>IFERROR(E33*E32/SUMPRODUCT($D33:$GA33,$D32:$GA32),0)</x:f>
      </x:c>
      <x:c r="F34" s="35" t="n">
        <x:f>IFERROR(F33*F32/SUMPRODUCT($D33:$GA33,$D32:$GA32),0)</x:f>
      </x:c>
      <x:c r="G34" s="35" t="n">
        <x:f>IFERROR(G33*G32/SUMPRODUCT($D33:$GA33,$D32:$GA32),0)</x:f>
      </x:c>
      <x:c r="H34" s="35" t="n">
        <x:f>IFERROR(H33*H32/SUMPRODUCT($D33:$GA33,$D32:$GA32),0)</x:f>
      </x:c>
      <x:c r="I34" s="35" t="n">
        <x:f>IFERROR(I33*I32/SUMPRODUCT($D33:$GA33,$D32:$GA32),0)</x:f>
      </x:c>
      <x:c r="J34" s="35" t="n">
        <x:f>IFERROR(J33*J32/SUMPRODUCT($D33:$GA33,$D32:$GA32),0)</x:f>
      </x:c>
      <x:c r="K34" s="35" t="n">
        <x:f>IFERROR(K33*K32/SUMPRODUCT($D33:$GA33,$D32:$GA32),0)</x:f>
      </x:c>
      <x:c r="L34" s="35" t="n">
        <x:f>IFERROR(L33*L32/SUMPRODUCT($D33:$GA33,$D32:$GA32),0)</x:f>
      </x:c>
      <x:c r="M34" s="35" t="n">
        <x:f>IFERROR(M33*M32/SUMPRODUCT($D33:$GA33,$D32:$GA32),0)</x:f>
      </x:c>
      <x:c r="N34" s="35" t="n">
        <x:f>IFERROR(N33*N32/SUMPRODUCT($D33:$GA33,$D32:$GA32),0)</x:f>
      </x:c>
      <x:c r="O34" s="35" t="n">
        <x:f>IFERROR(O33*O32/SUMPRODUCT($D33:$GA33,$D32:$GA32),0)</x:f>
      </x:c>
      <x:c r="P34" s="35" t="n">
        <x:f>IFERROR(P33*P32/SUMPRODUCT($D33:$GA33,$D32:$GA32),0)</x:f>
      </x:c>
      <x:c r="Q34" s="35" t="n">
        <x:f>IFERROR(Q33*Q32/SUMPRODUCT($D33:$GA33,$D32:$GA32),0)</x:f>
      </x:c>
      <x:c r="R34" s="35" t="n">
        <x:f>IFERROR(R33*R32/SUMPRODUCT($D33:$GA33,$D32:$GA32),0)</x:f>
      </x:c>
      <x:c r="S34" s="35" t="n">
        <x:f>IFERROR(S33*S32/SUMPRODUCT($D33:$GA33,$D32:$GA32),0)</x:f>
      </x:c>
      <x:c r="T34" s="35" t="n">
        <x:f>IFERROR(T33*T32/SUMPRODUCT($D33:$GA33,$D32:$GA32),0)</x:f>
      </x:c>
      <x:c r="U34" s="35" t="n">
        <x:f>IFERROR(U33*U32/SUMPRODUCT($D33:$GA33,$D32:$GA32),0)</x:f>
      </x:c>
      <x:c r="V34" s="35" t="n">
        <x:f>IFERROR(V33*V32/SUMPRODUCT($D33:$GA33,$D32:$GA32),0)</x:f>
      </x:c>
      <x:c r="W34" s="35" t="n">
        <x:f>IFERROR(W33*W32/SUMPRODUCT($D33:$GA33,$D32:$GA32),0)</x:f>
      </x:c>
      <x:c r="X34" s="35" t="n">
        <x:f>IFERROR(X33*X32/SUMPRODUCT($D33:$GA33,$D32:$GA32),0)</x:f>
      </x:c>
      <x:c r="Y34" s="35" t="n">
        <x:f>IFERROR(Y33*Y32/SUMPRODUCT($D33:$GA33,$D32:$GA32),0)</x:f>
      </x:c>
      <x:c r="Z34" s="35" t="n">
        <x:f>IFERROR(Z33*Z32/SUMPRODUCT($D33:$GA33,$D32:$GA32),0)</x:f>
      </x:c>
      <x:c r="AA34" s="35" t="n">
        <x:f>IFERROR(AA33*AA32/SUMPRODUCT($D33:$GA33,$D32:$GA32),0)</x:f>
      </x:c>
      <x:c r="AB34" s="35" t="n">
        <x:f>IFERROR(AB33*AB32/SUMPRODUCT($D33:$GA33,$D32:$GA32),0)</x:f>
      </x:c>
      <x:c r="AC34" s="35" t="n">
        <x:f>IFERROR(AC33*AC32/SUMPRODUCT($D33:$GA33,$D32:$GA32),0)</x:f>
      </x:c>
      <x:c r="AD34" s="35" t="n">
        <x:f>IFERROR(AD33*AD32/SUMPRODUCT($D33:$GA33,$D32:$GA32),0)</x:f>
      </x:c>
      <x:c r="AE34" s="35" t="n">
        <x:f>IFERROR(AE33*AE32/SUMPRODUCT($D33:$GA33,$D32:$GA32),0)</x:f>
      </x:c>
      <x:c r="AF34" s="35" t="n">
        <x:f>IFERROR(AF33*AF32/SUMPRODUCT($D33:$GA33,$D32:$GA32),0)</x:f>
      </x:c>
      <x:c r="AG34" s="35" t="n">
        <x:f>IFERROR(AG33*AG32/SUMPRODUCT($D33:$GA33,$D32:$GA32),0)</x:f>
      </x:c>
      <x:c r="AH34" s="35" t="n">
        <x:f>IFERROR(AH33*AH32/SUMPRODUCT($D33:$GA33,$D32:$GA32),0)</x:f>
      </x:c>
      <x:c r="AI34" s="35" t="n">
        <x:f>IFERROR(AI33*AI32/SUMPRODUCT($D33:$GA33,$D32:$GA32),0)</x:f>
      </x:c>
      <x:c r="AJ34" s="35" t="n">
        <x:f>IFERROR(AJ33*AJ32/SUMPRODUCT($D33:$GA33,$D32:$GA32),0)</x:f>
      </x:c>
      <x:c r="AK34" s="35" t="n">
        <x:f>IFERROR(AK33*AK32/SUMPRODUCT($D33:$GA33,$D32:$GA32),0)</x:f>
      </x:c>
      <x:c r="AL34" s="35" t="n">
        <x:f>IFERROR(AL33*AL32/SUMPRODUCT($D33:$GA33,$D32:$GA32),0)</x:f>
      </x:c>
      <x:c r="AM34" s="35" t="n">
        <x:f>IFERROR(AM33*AM32/SUMPRODUCT($D33:$GA33,$D32:$GA32),0)</x:f>
      </x:c>
      <x:c r="AN34" s="35" t="n">
        <x:f>IFERROR(AN33*AN32/SUMPRODUCT($D33:$GA33,$D32:$GA32),0)</x:f>
      </x:c>
      <x:c r="AO34" s="35" t="n">
        <x:f>IFERROR(AO33*AO32/SUMPRODUCT($D33:$GA33,$D32:$GA32),0)</x:f>
      </x:c>
      <x:c r="AP34" s="35" t="n">
        <x:f>IFERROR(AP33*AP32/SUMPRODUCT($D33:$GA33,$D32:$GA32),0)</x:f>
      </x:c>
      <x:c r="AQ34" s="35" t="n">
        <x:f>IFERROR(AQ33*AQ32/SUMPRODUCT($D33:$GA33,$D32:$GA32),0)</x:f>
      </x:c>
      <x:c r="AR34" s="35" t="n">
        <x:f>IFERROR(AR33*AR32/SUMPRODUCT($D33:$GA33,$D32:$GA32),0)</x:f>
      </x:c>
      <x:c r="AS34" s="35" t="n">
        <x:f>IFERROR(AS33*AS32/SUMPRODUCT($D33:$GA33,$D32:$GA32),0)</x:f>
      </x:c>
      <x:c r="AT34" s="35" t="n">
        <x:f>IFERROR(AT33*AT32/SUMPRODUCT($D33:$GA33,$D32:$GA32),0)</x:f>
      </x:c>
      <x:c r="AU34" s="35" t="n">
        <x:f>IFERROR(AU33*AU32/SUMPRODUCT($D33:$GA33,$D32:$GA32),0)</x:f>
      </x:c>
      <x:c r="AV34" s="35" t="n">
        <x:f>IFERROR(AV33*AV32/SUMPRODUCT($D33:$GA33,$D32:$GA32),0)</x:f>
      </x:c>
      <x:c r="AW34" s="35" t="n">
        <x:f>IFERROR(AW33*AW32/SUMPRODUCT($D33:$GA33,$D32:$GA32),0)</x:f>
      </x:c>
      <x:c r="AX34" s="35" t="n">
        <x:f>IFERROR(AX33*AX32/SUMPRODUCT($D33:$GA33,$D32:$GA32),0)</x:f>
      </x:c>
      <x:c r="AY34" s="35" t="n">
        <x:f>IFERROR(AY33*AY32/SUMPRODUCT($D33:$GA33,$D32:$GA32),0)</x:f>
      </x:c>
      <x:c r="AZ34" s="35" t="n">
        <x:f>IFERROR(AZ33*AZ32/SUMPRODUCT($D33:$GA33,$D32:$GA32),0)</x:f>
      </x:c>
      <x:c r="BA34" s="35" t="n">
        <x:f>IFERROR(BA33*BA32/SUMPRODUCT($D33:$GA33,$D32:$GA32),0)</x:f>
      </x:c>
      <x:c r="BB34" s="35" t="n">
        <x:f>IFERROR(BB33*BB32/SUMPRODUCT($D33:$GA33,$D32:$GA32),0)</x:f>
      </x:c>
      <x:c r="BC34" s="35" t="n">
        <x:f>IFERROR(BC33*BC32/SUMPRODUCT($D33:$GA33,$D32:$GA32),0)</x:f>
      </x:c>
      <x:c r="BD34" s="35" t="n">
        <x:f>IFERROR(BD33*BD32/SUMPRODUCT($D33:$GA33,$D32:$GA32),0)</x:f>
      </x:c>
      <x:c r="BE34" s="35" t="n">
        <x:f>IFERROR(BE33*BE32/SUMPRODUCT($D33:$GA33,$D32:$GA32),0)</x:f>
      </x:c>
      <x:c r="BF34" s="35" t="n">
        <x:f>IFERROR(BF33*BF32/SUMPRODUCT($D33:$GA33,$D32:$GA32),0)</x:f>
      </x:c>
      <x:c r="BG34" s="35" t="n">
        <x:f>IFERROR(BG33*BG32/SUMPRODUCT($D33:$GA33,$D32:$GA32),0)</x:f>
      </x:c>
      <x:c r="BH34" s="35" t="n">
        <x:f>IFERROR(BH33*BH32/SUMPRODUCT($D33:$GA33,$D32:$GA32),0)</x:f>
      </x:c>
      <x:c r="BI34" s="35" t="n">
        <x:f>IFERROR(BI33*BI32/SUMPRODUCT($D33:$GA33,$D32:$GA32),0)</x:f>
      </x:c>
      <x:c r="BJ34" s="35" t="n">
        <x:f>IFERROR(BJ33*BJ32/SUMPRODUCT($D33:$GA33,$D32:$GA32),0)</x:f>
      </x:c>
      <x:c r="BK34" s="35" t="n">
        <x:f>IFERROR(BK33*BK32/SUMPRODUCT($D33:$GA33,$D32:$GA32),0)</x:f>
      </x:c>
      <x:c r="BL34" s="35" t="n">
        <x:f>IFERROR(BL33*BL32/SUMPRODUCT($D33:$GA33,$D32:$GA32),0)</x:f>
      </x:c>
      <x:c r="BM34" s="35" t="n">
        <x:f>IFERROR(BM33*BM32/SUMPRODUCT($D33:$GA33,$D32:$GA32),0)</x:f>
      </x:c>
      <x:c r="BN34" s="35" t="n">
        <x:f>IFERROR(BN33*BN32/SUMPRODUCT($D33:$GA33,$D32:$GA32),0)</x:f>
      </x:c>
      <x:c r="BO34" s="35" t="n">
        <x:f>IFERROR(BO33*BO32/SUMPRODUCT($D33:$GA33,$D32:$GA32),0)</x:f>
      </x:c>
      <x:c r="BP34" s="35" t="n">
        <x:f>IFERROR(BP33*BP32/SUMPRODUCT($D33:$GA33,$D32:$GA32),0)</x:f>
      </x:c>
      <x:c r="BQ34" s="35" t="n">
        <x:f>IFERROR(BQ33*BQ32/SUMPRODUCT($D33:$GA33,$D32:$GA32),0)</x:f>
      </x:c>
      <x:c r="BR34" s="35" t="n">
        <x:f>IFERROR(BR33*BR32/SUMPRODUCT($D33:$GA33,$D32:$GA32),0)</x:f>
      </x:c>
      <x:c r="BS34" s="35" t="n">
        <x:f>IFERROR(BS33*BS32/SUMPRODUCT($D33:$GA33,$D32:$GA32),0)</x:f>
      </x:c>
      <x:c r="BT34" s="35" t="n">
        <x:f>IFERROR(BT33*BT32/SUMPRODUCT($D33:$GA33,$D32:$GA32),0)</x:f>
      </x:c>
      <x:c r="BU34" s="35" t="n">
        <x:f>IFERROR(BU33*BU32/SUMPRODUCT($D33:$GA33,$D32:$GA32),0)</x:f>
      </x:c>
      <x:c r="BV34" s="35" t="n">
        <x:f>IFERROR(BV33*BV32/SUMPRODUCT($D33:$GA33,$D32:$GA32),0)</x:f>
      </x:c>
      <x:c r="BW34" s="35" t="n">
        <x:f>IFERROR(BW33*BW32/SUMPRODUCT($D33:$GA33,$D32:$GA32),0)</x:f>
      </x:c>
      <x:c r="BX34" s="35" t="n">
        <x:f>IFERROR(BX33*BX32/SUMPRODUCT($D33:$GA33,$D32:$GA32),0)</x:f>
      </x:c>
      <x:c r="BY34" s="35" t="n">
        <x:f>IFERROR(BY33*BY32/SUMPRODUCT($D33:$GA33,$D32:$GA32),0)</x:f>
      </x:c>
      <x:c r="BZ34" s="35" t="n">
        <x:f>IFERROR(BZ33*BZ32/SUMPRODUCT($D33:$GA33,$D32:$GA32),0)</x:f>
      </x:c>
      <x:c r="CA34" s="35" t="n">
        <x:f>IFERROR(CA33*CA32/SUMPRODUCT($D33:$GA33,$D32:$GA32),0)</x:f>
      </x:c>
      <x:c r="CB34" s="35" t="n">
        <x:f>IFERROR(CB33*CB32/SUMPRODUCT($D33:$GA33,$D32:$GA32),0)</x:f>
      </x:c>
      <x:c r="CC34" s="35" t="n">
        <x:f>IFERROR(CC33*CC32/SUMPRODUCT($D33:$GA33,$D32:$GA32),0)</x:f>
      </x:c>
      <x:c r="CD34" s="35" t="n">
        <x:f>IFERROR(CD33*CD32/SUMPRODUCT($D33:$GA33,$D32:$GA32),0)</x:f>
      </x:c>
      <x:c r="CE34" s="35" t="n">
        <x:f>IFERROR(CE33*CE32/SUMPRODUCT($D33:$GA33,$D32:$GA32),0)</x:f>
      </x:c>
      <x:c r="CF34" s="35" t="n">
        <x:f>IFERROR(CF33*CF32/SUMPRODUCT($D33:$GA33,$D32:$GA32),0)</x:f>
      </x:c>
      <x:c r="CG34" s="35" t="n">
        <x:f>IFERROR(CG33*CG32/SUMPRODUCT($D33:$GA33,$D32:$GA32),0)</x:f>
      </x:c>
      <x:c r="CH34" s="35" t="n">
        <x:f>IFERROR(CH33*CH32/SUMPRODUCT($D33:$GA33,$D32:$GA32),0)</x:f>
      </x:c>
      <x:c r="CI34" s="35" t="n">
        <x:f>IFERROR(CI33*CI32/SUMPRODUCT($D33:$GA33,$D32:$GA32),0)</x:f>
      </x:c>
      <x:c r="CJ34" s="35" t="n">
        <x:f>IFERROR(CJ33*CJ32/SUMPRODUCT($D33:$GA33,$D32:$GA32),0)</x:f>
      </x:c>
      <x:c r="CK34" s="35" t="n">
        <x:f>IFERROR(CK33*CK32/SUMPRODUCT($D33:$GA33,$D32:$GA32),0)</x:f>
      </x:c>
      <x:c r="CL34" s="35" t="n">
        <x:f>IFERROR(CL33*CL32/SUMPRODUCT($D33:$GA33,$D32:$GA32),0)</x:f>
      </x:c>
      <x:c r="CM34" s="35" t="n">
        <x:f>IFERROR(CM33*CM32/SUMPRODUCT($D33:$GA33,$D32:$GA32),0)</x:f>
      </x:c>
      <x:c r="CN34" s="35" t="n">
        <x:f>IFERROR(CN33*CN32/SUMPRODUCT($D33:$GA33,$D32:$GA32),0)</x:f>
      </x:c>
      <x:c r="CO34" s="35" t="n">
        <x:f>IFERROR(CO33*CO32/SUMPRODUCT($D33:$GA33,$D32:$GA32),0)</x:f>
      </x:c>
      <x:c r="CP34" s="35" t="n">
        <x:f>IFERROR(CP33*CP32/SUMPRODUCT($D33:$GA33,$D32:$GA32),0)</x:f>
      </x:c>
      <x:c r="CQ34" s="35" t="n">
        <x:f>IFERROR(CQ33*CQ32/SUMPRODUCT($D33:$GA33,$D32:$GA32),0)</x:f>
      </x:c>
      <x:c r="CR34" s="35" t="n">
        <x:f>IFERROR(CR33*CR32/SUMPRODUCT($D33:$GA33,$D32:$GA32),0)</x:f>
      </x:c>
      <x:c r="CS34" s="35" t="n">
        <x:f>IFERROR(CS33*CS32/SUMPRODUCT($D33:$GA33,$D32:$GA32),0)</x:f>
      </x:c>
      <x:c r="CT34" s="35" t="n">
        <x:f>IFERROR(CT33*CT32/SUMPRODUCT($D33:$GA33,$D32:$GA32),0)</x:f>
      </x:c>
      <x:c r="CU34" s="35" t="n">
        <x:f>IFERROR(CU33*CU32/SUMPRODUCT($D33:$GA33,$D32:$GA32),0)</x:f>
      </x:c>
      <x:c r="CV34" s="35" t="n">
        <x:f>IFERROR(CV33*CV32/SUMPRODUCT($D33:$GA33,$D32:$GA32),0)</x:f>
      </x:c>
      <x:c r="CW34" s="35" t="n">
        <x:f>IFERROR(CW33*CW32/SUMPRODUCT($D33:$GA33,$D32:$GA32),0)</x:f>
      </x:c>
      <x:c r="CX34" s="35" t="n">
        <x:f>IFERROR(CX33*CX32/SUMPRODUCT($D33:$GA33,$D32:$GA32),0)</x:f>
      </x:c>
      <x:c r="CY34" s="35" t="n">
        <x:f>IFERROR(CY33*CY32/SUMPRODUCT($D33:$GA33,$D32:$GA32),0)</x:f>
      </x:c>
      <x:c r="CZ34" s="35" t="n">
        <x:f>IFERROR(CZ33*CZ32/SUMPRODUCT($D33:$GA33,$D32:$GA32),0)</x:f>
      </x:c>
      <x:c r="DA34" s="35" t="n">
        <x:f>IFERROR(DA33*DA32/SUMPRODUCT($D33:$GA33,$D32:$GA32),0)</x:f>
      </x:c>
      <x:c r="DB34" s="35" t="n">
        <x:f>IFERROR(DB33*DB32/SUMPRODUCT($D33:$GA33,$D32:$GA32),0)</x:f>
      </x:c>
      <x:c r="DC34" s="35" t="n">
        <x:f>IFERROR(DC33*DC32/SUMPRODUCT($D33:$GA33,$D32:$GA32),0)</x:f>
      </x:c>
      <x:c r="DD34" s="35" t="n">
        <x:f>IFERROR(DD33*DD32/SUMPRODUCT($D33:$GA33,$D32:$GA32),0)</x:f>
      </x:c>
      <x:c r="DE34" s="35" t="n">
        <x:f>IFERROR(DE33*DE32/SUMPRODUCT($D33:$GA33,$D32:$GA32),0)</x:f>
      </x:c>
      <x:c r="DF34" s="35" t="n">
        <x:f>IFERROR(DF33*DF32/SUMPRODUCT($D33:$GA33,$D32:$GA32),0)</x:f>
      </x:c>
      <x:c r="DG34" s="35" t="n">
        <x:f>IFERROR(DG33*DG32/SUMPRODUCT($D33:$GA33,$D32:$GA32),0)</x:f>
      </x:c>
      <x:c r="DH34" s="35" t="n">
        <x:f>IFERROR(DH33*DH32/SUMPRODUCT($D33:$GA33,$D32:$GA32),0)</x:f>
      </x:c>
      <x:c r="DI34" s="35" t="n">
        <x:f>IFERROR(DI33*DI32/SUMPRODUCT($D33:$GA33,$D32:$GA32),0)</x:f>
      </x:c>
      <x:c r="DJ34" s="35" t="n">
        <x:f>IFERROR(DJ33*DJ32/SUMPRODUCT($D33:$GA33,$D32:$GA32),0)</x:f>
      </x:c>
      <x:c r="DK34" s="35" t="n">
        <x:f>IFERROR(DK33*DK32/SUMPRODUCT($D33:$GA33,$D32:$GA32),0)</x:f>
      </x:c>
      <x:c r="DL34" s="35" t="n">
        <x:f>IFERROR(DL33*DL32/SUMPRODUCT($D33:$GA33,$D32:$GA32),0)</x:f>
      </x:c>
      <x:c r="DM34" s="35" t="n">
        <x:f>IFERROR(DM33*DM32/SUMPRODUCT($D33:$GA33,$D32:$GA32),0)</x:f>
      </x:c>
      <x:c r="DN34" s="35" t="n">
        <x:f>IFERROR(DN33*DN32/SUMPRODUCT($D33:$GA33,$D32:$GA32),0)</x:f>
      </x:c>
      <x:c r="DO34" s="35" t="n">
        <x:f>IFERROR(DO33*DO32/SUMPRODUCT($D33:$GA33,$D32:$GA32),0)</x:f>
      </x:c>
      <x:c r="DP34" s="35" t="n">
        <x:f>IFERROR(DP33*DP32/SUMPRODUCT($D33:$GA33,$D32:$GA32),0)</x:f>
      </x:c>
      <x:c r="DQ34" s="35" t="n">
        <x:f>IFERROR(DQ33*DQ32/SUMPRODUCT($D33:$GA33,$D32:$GA32),0)</x:f>
      </x:c>
      <x:c r="DR34" s="35" t="n">
        <x:f>IFERROR(DR33*DR32/SUMPRODUCT($D33:$GA33,$D32:$GA32),0)</x:f>
      </x:c>
      <x:c r="DS34" s="35" t="n">
        <x:f>IFERROR(DS33*DS32/SUMPRODUCT($D33:$GA33,$D32:$GA32),0)</x:f>
      </x:c>
      <x:c r="DT34" s="35" t="n">
        <x:f>IFERROR(DT33*DT32/SUMPRODUCT($D33:$GA33,$D32:$GA32),0)</x:f>
      </x:c>
      <x:c r="DU34" s="35" t="n">
        <x:f>IFERROR(DU33*DU32/SUMPRODUCT($D33:$GA33,$D32:$GA32),0)</x:f>
      </x:c>
      <x:c r="DV34" s="35" t="n">
        <x:f>IFERROR(DV33*DV32/SUMPRODUCT($D33:$GA33,$D32:$GA32),0)</x:f>
      </x:c>
      <x:c r="DW34" s="35" t="n">
        <x:f>IFERROR(DW33*DW32/SUMPRODUCT($D33:$GA33,$D32:$GA32),0)</x:f>
      </x:c>
      <x:c r="DX34" s="35" t="n">
        <x:f>IFERROR(DX33*DX32/SUMPRODUCT($D33:$GA33,$D32:$GA32),0)</x:f>
      </x:c>
      <x:c r="DY34" s="35" t="n">
        <x:f>IFERROR(DY33*DY32/SUMPRODUCT($D33:$GA33,$D32:$GA32),0)</x:f>
      </x:c>
      <x:c r="DZ34" s="35" t="n">
        <x:f>IFERROR(DZ33*DZ32/SUMPRODUCT($D33:$GA33,$D32:$GA32),0)</x:f>
      </x:c>
      <x:c r="EA34" s="35" t="n">
        <x:f>IFERROR(EA33*EA32/SUMPRODUCT($D33:$GA33,$D32:$GA32),0)</x:f>
      </x:c>
      <x:c r="EB34" s="35" t="n">
        <x:f>IFERROR(EB33*EB32/SUMPRODUCT($D33:$GA33,$D32:$GA32),0)</x:f>
      </x:c>
      <x:c r="EC34" s="35" t="n">
        <x:f>IFERROR(EC33*EC32/SUMPRODUCT($D33:$GA33,$D32:$GA32),0)</x:f>
      </x:c>
      <x:c r="ED34" s="35" t="n">
        <x:f>IFERROR(ED33*ED32/SUMPRODUCT($D33:$GA33,$D32:$GA32),0)</x:f>
      </x:c>
      <x:c r="EE34" s="35" t="n">
        <x:f>IFERROR(EE33*EE32/SUMPRODUCT($D33:$GA33,$D32:$GA32),0)</x:f>
      </x:c>
      <x:c r="EF34" s="35" t="n">
        <x:f>IFERROR(EF33*EF32/SUMPRODUCT($D33:$GA33,$D32:$GA32),0)</x:f>
      </x:c>
      <x:c r="EG34" s="35" t="n">
        <x:f>IFERROR(EG33*EG32/SUMPRODUCT($D33:$GA33,$D32:$GA32),0)</x:f>
      </x:c>
      <x:c r="EH34" s="35" t="n">
        <x:f>IFERROR(EH33*EH32/SUMPRODUCT($D33:$GA33,$D32:$GA32),0)</x:f>
      </x:c>
      <x:c r="EI34" s="35" t="n">
        <x:f>IFERROR(EI33*EI32/SUMPRODUCT($D33:$GA33,$D32:$GA32),0)</x:f>
      </x:c>
      <x:c r="EJ34" s="35" t="n">
        <x:f>IFERROR(EJ33*EJ32/SUMPRODUCT($D33:$GA33,$D32:$GA32),0)</x:f>
      </x:c>
      <x:c r="EK34" s="35" t="n">
        <x:f>IFERROR(EK33*EK32/SUMPRODUCT($D33:$GA33,$D32:$GA32),0)</x:f>
      </x:c>
      <x:c r="EL34" s="35" t="n">
        <x:f>IFERROR(EL33*EL32/SUMPRODUCT($D33:$GA33,$D32:$GA32),0)</x:f>
      </x:c>
      <x:c r="EM34" s="35" t="n">
        <x:f>IFERROR(EM33*EM32/SUMPRODUCT($D33:$GA33,$D32:$GA32),0)</x:f>
      </x:c>
      <x:c r="EN34" s="35" t="n">
        <x:f>IFERROR(EN33*EN32/SUMPRODUCT($D33:$GA33,$D32:$GA32),0)</x:f>
      </x:c>
      <x:c r="EO34" s="35" t="n">
        <x:f>IFERROR(EO33*EO32/SUMPRODUCT($D33:$GA33,$D32:$GA32),0)</x:f>
      </x:c>
      <x:c r="EP34" s="35" t="n">
        <x:f>IFERROR(EP33*EP32/SUMPRODUCT($D33:$GA33,$D32:$GA32),0)</x:f>
      </x:c>
      <x:c r="EQ34" s="35" t="n">
        <x:f>IFERROR(EQ33*EQ32/SUMPRODUCT($D33:$GA33,$D32:$GA32),0)</x:f>
      </x:c>
      <x:c r="ER34" s="35" t="n">
        <x:f>IFERROR(ER33*ER32/SUMPRODUCT($D33:$GA33,$D32:$GA32),0)</x:f>
      </x:c>
      <x:c r="ES34" s="35" t="n">
        <x:f>IFERROR(ES33*ES32/SUMPRODUCT($D33:$GA33,$D32:$GA32),0)</x:f>
      </x:c>
      <x:c r="ET34" s="35" t="n">
        <x:f>IFERROR(ET33*ET32/SUMPRODUCT($D33:$GA33,$D32:$GA32),0)</x:f>
      </x:c>
      <x:c r="EU34" s="35" t="n">
        <x:f>IFERROR(EU33*EU32/SUMPRODUCT($D33:$GA33,$D32:$GA32),0)</x:f>
      </x:c>
      <x:c r="EV34" s="35" t="n">
        <x:f>IFERROR(EV33*EV32/SUMPRODUCT($D33:$GA33,$D32:$GA32),0)</x:f>
      </x:c>
      <x:c r="EW34" s="35" t="n">
        <x:f>IFERROR(EW33*EW32/SUMPRODUCT($D33:$GA33,$D32:$GA32),0)</x:f>
      </x:c>
      <x:c r="EX34" s="35" t="n">
        <x:f>IFERROR(EX33*EX32/SUMPRODUCT($D33:$GA33,$D32:$GA32),0)</x:f>
      </x:c>
      <x:c r="EY34" s="35" t="n">
        <x:f>IFERROR(EY33*EY32/SUMPRODUCT($D33:$GA33,$D32:$GA32),0)</x:f>
      </x:c>
      <x:c r="EZ34" s="35" t="n">
        <x:f>IFERROR(EZ33*EZ32/SUMPRODUCT($D33:$GA33,$D32:$GA32),0)</x:f>
      </x:c>
      <x:c r="FA34" s="35" t="n">
        <x:f>IFERROR(FA33*FA32/SUMPRODUCT($D33:$GA33,$D32:$GA32),0)</x:f>
      </x:c>
      <x:c r="FB34" s="35" t="n">
        <x:f>IFERROR(FB33*FB32/SUMPRODUCT($D33:$GA33,$D32:$GA32),0)</x:f>
      </x:c>
      <x:c r="FC34" s="35" t="n">
        <x:f>IFERROR(FC33*FC32/SUMPRODUCT($D33:$GA33,$D32:$GA32),0)</x:f>
      </x:c>
      <x:c r="FD34" s="35" t="n">
        <x:f>IFERROR(FD33*FD32/SUMPRODUCT($D33:$GA33,$D32:$GA32),0)</x:f>
      </x:c>
      <x:c r="FE34" s="35" t="n">
        <x:f>IFERROR(FE33*FE32/SUMPRODUCT($D33:$GA33,$D32:$GA32),0)</x:f>
      </x:c>
      <x:c r="FF34" s="35" t="n">
        <x:f>IFERROR(FF33*FF32/SUMPRODUCT($D33:$GA33,$D32:$GA32),0)</x:f>
      </x:c>
      <x:c r="FG34" s="35" t="n">
        <x:f>IFERROR(FG33*FG32/SUMPRODUCT($D33:$GA33,$D32:$GA32),0)</x:f>
      </x:c>
      <x:c r="FH34" s="35" t="n">
        <x:f>IFERROR(FH33*FH32/SUMPRODUCT($D33:$GA33,$D32:$GA32),0)</x:f>
      </x:c>
      <x:c r="FI34" s="35" t="n">
        <x:f>IFERROR(FI33*FI32/SUMPRODUCT($D33:$GA33,$D32:$GA32),0)</x:f>
      </x:c>
      <x:c r="FJ34" s="35" t="n">
        <x:f>IFERROR(FJ33*FJ32/SUMPRODUCT($D33:$GA33,$D32:$GA32),0)</x:f>
      </x:c>
      <x:c r="FK34" s="35" t="n">
        <x:f>IFERROR(FK33*FK32/SUMPRODUCT($D33:$GA33,$D32:$GA32),0)</x:f>
      </x:c>
      <x:c r="FL34" s="35" t="n">
        <x:f>IFERROR(FL33*FL32/SUMPRODUCT($D33:$GA33,$D32:$GA32),0)</x:f>
      </x:c>
      <x:c r="FM34" s="35" t="n">
        <x:f>IFERROR(FM33*FM32/SUMPRODUCT($D33:$GA33,$D32:$GA32),0)</x:f>
      </x:c>
      <x:c r="FN34" s="35" t="n">
        <x:f>IFERROR(FN33*FN32/SUMPRODUCT($D33:$GA33,$D32:$GA32),0)</x:f>
      </x:c>
      <x:c r="FO34" s="35" t="n">
        <x:f>IFERROR(FO33*FO32/SUMPRODUCT($D33:$GA33,$D32:$GA32),0)</x:f>
      </x:c>
      <x:c r="FP34" s="35" t="n">
        <x:f>IFERROR(FP33*FP32/SUMPRODUCT($D33:$GA33,$D32:$GA32),0)</x:f>
      </x:c>
      <x:c r="FQ34" s="35" t="n">
        <x:f>IFERROR(FQ33*FQ32/SUMPRODUCT($D33:$GA33,$D32:$GA32),0)</x:f>
      </x:c>
      <x:c r="FR34" s="35" t="n">
        <x:f>IFERROR(FR33*FR32/SUMPRODUCT($D33:$GA33,$D32:$GA32),0)</x:f>
      </x:c>
      <x:c r="FS34" s="35" t="n">
        <x:f>IFERROR(FS33*FS32/SUMPRODUCT($D33:$GA33,$D32:$GA32),0)</x:f>
      </x:c>
      <x:c r="FT34" s="35" t="n">
        <x:f>IFERROR(FT33*FT32/SUMPRODUCT($D33:$GA33,$D32:$GA32),0)</x:f>
      </x:c>
      <x:c r="FU34" s="35" t="n">
        <x:f>IFERROR(FU33*FU32/SUMPRODUCT($D33:$GA33,$D32:$GA32),0)</x:f>
      </x:c>
      <x:c r="FV34" s="35" t="n">
        <x:f>IFERROR(FV33*FV32/SUMPRODUCT($D33:$GA33,$D32:$GA32),0)</x:f>
      </x:c>
      <x:c r="FW34" s="35" t="n">
        <x:f>IFERROR(FW33*FW32/SUMPRODUCT($D33:$GA33,$D32:$GA32),0)</x:f>
      </x:c>
      <x:c r="FX34" s="35" t="n">
        <x:f>IFERROR(FX33*FX32/SUMPRODUCT($D33:$GA33,$D32:$GA32),0)</x:f>
      </x:c>
      <x:c r="FY34" s="35" t="n">
        <x:f>IFERROR(FY33*FY32/SUMPRODUCT($D33:$GA33,$D32:$GA32),0)</x:f>
      </x:c>
      <x:c r="FZ34" s="35" t="n">
        <x:f>IFERROR(FZ33*FZ32/SUMPRODUCT($D33:$GA33,$D32:$GA32),0)</x:f>
      </x:c>
      <x:c r="GA34" s="35" t="n">
        <x:f>IFERROR(GA33*GA32/SUMPRODUCT($D33:$GA33,$D32:$GA32),0)</x:f>
      </x:c>
    </x:row>
    <x:row r="35">
      <x:c r="A35" t="str">
        <x:v>Флаг продаж после РВЭ</x:v>
      </x:c>
      <x:c r="B35"/>
      <x:c r="C35" t="str">
        <x:v>0/1</x:v>
      </x:c>
      <x:c r="D35" s="35" t="n">
        <x:f>--AND(D$3&gt;=MAX($B$30,$B$31),D$3&lt;EDATE($B$30,MAX(1,'Вводные'!$H$89)),'Вводные'!$B$89="Да")</x:f>
      </x:c>
      <x:c r="E35" s="35" t="n">
        <x:f>--AND(E$3&gt;=MAX($B$30,$B$31),E$3&lt;EDATE($B$30,MAX(1,'Вводные'!$H$89)),'Вводные'!$B$89="Да")</x:f>
      </x:c>
      <x:c r="F35" s="35" t="n">
        <x:f>--AND(F$3&gt;=MAX($B$30,$B$31),F$3&lt;EDATE($B$30,MAX(1,'Вводные'!$H$89)),'Вводные'!$B$89="Да")</x:f>
      </x:c>
      <x:c r="G35" s="35" t="n">
        <x:f>--AND(G$3&gt;=MAX($B$30,$B$31),G$3&lt;EDATE($B$30,MAX(1,'Вводные'!$H$89)),'Вводные'!$B$89="Да")</x:f>
      </x:c>
      <x:c r="H35" s="35" t="n">
        <x:f>--AND(H$3&gt;=MAX($B$30,$B$31),H$3&lt;EDATE($B$30,MAX(1,'Вводные'!$H$89)),'Вводные'!$B$89="Да")</x:f>
      </x:c>
      <x:c r="I35" s="35" t="n">
        <x:f>--AND(I$3&gt;=MAX($B$30,$B$31),I$3&lt;EDATE($B$30,MAX(1,'Вводные'!$H$89)),'Вводные'!$B$89="Да")</x:f>
      </x:c>
      <x:c r="J35" s="35" t="n">
        <x:f>--AND(J$3&gt;=MAX($B$30,$B$31),J$3&lt;EDATE($B$30,MAX(1,'Вводные'!$H$89)),'Вводные'!$B$89="Да")</x:f>
      </x:c>
      <x:c r="K35" s="35" t="n">
        <x:f>--AND(K$3&gt;=MAX($B$30,$B$31),K$3&lt;EDATE($B$30,MAX(1,'Вводные'!$H$89)),'Вводные'!$B$89="Да")</x:f>
      </x:c>
      <x:c r="L35" s="35" t="n">
        <x:f>--AND(L$3&gt;=MAX($B$30,$B$31),L$3&lt;EDATE($B$30,MAX(1,'Вводные'!$H$89)),'Вводные'!$B$89="Да")</x:f>
      </x:c>
      <x:c r="M35" s="35" t="n">
        <x:f>--AND(M$3&gt;=MAX($B$30,$B$31),M$3&lt;EDATE($B$30,MAX(1,'Вводные'!$H$89)),'Вводные'!$B$89="Да")</x:f>
      </x:c>
      <x:c r="N35" s="35" t="n">
        <x:f>--AND(N$3&gt;=MAX($B$30,$B$31),N$3&lt;EDATE($B$30,MAX(1,'Вводные'!$H$89)),'Вводные'!$B$89="Да")</x:f>
      </x:c>
      <x:c r="O35" s="35" t="n">
        <x:f>--AND(O$3&gt;=MAX($B$30,$B$31),O$3&lt;EDATE($B$30,MAX(1,'Вводные'!$H$89)),'Вводные'!$B$89="Да")</x:f>
      </x:c>
      <x:c r="P35" s="35" t="n">
        <x:f>--AND(P$3&gt;=MAX($B$30,$B$31),P$3&lt;EDATE($B$30,MAX(1,'Вводные'!$H$89)),'Вводные'!$B$89="Да")</x:f>
      </x:c>
      <x:c r="Q35" s="35" t="n">
        <x:f>--AND(Q$3&gt;=MAX($B$30,$B$31),Q$3&lt;EDATE($B$30,MAX(1,'Вводные'!$H$89)),'Вводные'!$B$89="Да")</x:f>
      </x:c>
      <x:c r="R35" s="35" t="n">
        <x:f>--AND(R$3&gt;=MAX($B$30,$B$31),R$3&lt;EDATE($B$30,MAX(1,'Вводные'!$H$89)),'Вводные'!$B$89="Да")</x:f>
      </x:c>
      <x:c r="S35" s="35" t="n">
        <x:f>--AND(S$3&gt;=MAX($B$30,$B$31),S$3&lt;EDATE($B$30,MAX(1,'Вводные'!$H$89)),'Вводные'!$B$89="Да")</x:f>
      </x:c>
      <x:c r="T35" s="35" t="n">
        <x:f>--AND(T$3&gt;=MAX($B$30,$B$31),T$3&lt;EDATE($B$30,MAX(1,'Вводные'!$H$89)),'Вводные'!$B$89="Да")</x:f>
      </x:c>
      <x:c r="U35" s="35" t="n">
        <x:f>--AND(U$3&gt;=MAX($B$30,$B$31),U$3&lt;EDATE($B$30,MAX(1,'Вводные'!$H$89)),'Вводные'!$B$89="Да")</x:f>
      </x:c>
      <x:c r="V35" s="35" t="n">
        <x:f>--AND(V$3&gt;=MAX($B$30,$B$31),V$3&lt;EDATE($B$30,MAX(1,'Вводные'!$H$89)),'Вводные'!$B$89="Да")</x:f>
      </x:c>
      <x:c r="W35" s="35" t="n">
        <x:f>--AND(W$3&gt;=MAX($B$30,$B$31),W$3&lt;EDATE($B$30,MAX(1,'Вводные'!$H$89)),'Вводные'!$B$89="Да")</x:f>
      </x:c>
      <x:c r="X35" s="35" t="n">
        <x:f>--AND(X$3&gt;=MAX($B$30,$B$31),X$3&lt;EDATE($B$30,MAX(1,'Вводные'!$H$89)),'Вводные'!$B$89="Да")</x:f>
      </x:c>
      <x:c r="Y35" s="35" t="n">
        <x:f>--AND(Y$3&gt;=MAX($B$30,$B$31),Y$3&lt;EDATE($B$30,MAX(1,'Вводные'!$H$89)),'Вводные'!$B$89="Да")</x:f>
      </x:c>
      <x:c r="Z35" s="35" t="n">
        <x:f>--AND(Z$3&gt;=MAX($B$30,$B$31),Z$3&lt;EDATE($B$30,MAX(1,'Вводные'!$H$89)),'Вводные'!$B$89="Да")</x:f>
      </x:c>
      <x:c r="AA35" s="35" t="n">
        <x:f>--AND(AA$3&gt;=MAX($B$30,$B$31),AA$3&lt;EDATE($B$30,MAX(1,'Вводные'!$H$89)),'Вводные'!$B$89="Да")</x:f>
      </x:c>
      <x:c r="AB35" s="35" t="n">
        <x:f>--AND(AB$3&gt;=MAX($B$30,$B$31),AB$3&lt;EDATE($B$30,MAX(1,'Вводные'!$H$89)),'Вводные'!$B$89="Да")</x:f>
      </x:c>
      <x:c r="AC35" s="35" t="n">
        <x:f>--AND(AC$3&gt;=MAX($B$30,$B$31),AC$3&lt;EDATE($B$30,MAX(1,'Вводные'!$H$89)),'Вводные'!$B$89="Да")</x:f>
      </x:c>
      <x:c r="AD35" s="35" t="n">
        <x:f>--AND(AD$3&gt;=MAX($B$30,$B$31),AD$3&lt;EDATE($B$30,MAX(1,'Вводные'!$H$89)),'Вводные'!$B$89="Да")</x:f>
      </x:c>
      <x:c r="AE35" s="35" t="n">
        <x:f>--AND(AE$3&gt;=MAX($B$30,$B$31),AE$3&lt;EDATE($B$30,MAX(1,'Вводные'!$H$89)),'Вводные'!$B$89="Да")</x:f>
      </x:c>
      <x:c r="AF35" s="35" t="n">
        <x:f>--AND(AF$3&gt;=MAX($B$30,$B$31),AF$3&lt;EDATE($B$30,MAX(1,'Вводные'!$H$89)),'Вводные'!$B$89="Да")</x:f>
      </x:c>
      <x:c r="AG35" s="35" t="n">
        <x:f>--AND(AG$3&gt;=MAX($B$30,$B$31),AG$3&lt;EDATE($B$30,MAX(1,'Вводные'!$H$89)),'Вводные'!$B$89="Да")</x:f>
      </x:c>
      <x:c r="AH35" s="35" t="n">
        <x:f>--AND(AH$3&gt;=MAX($B$30,$B$31),AH$3&lt;EDATE($B$30,MAX(1,'Вводные'!$H$89)),'Вводные'!$B$89="Да")</x:f>
      </x:c>
      <x:c r="AI35" s="35" t="n">
        <x:f>--AND(AI$3&gt;=MAX($B$30,$B$31),AI$3&lt;EDATE($B$30,MAX(1,'Вводные'!$H$89)),'Вводные'!$B$89="Да")</x:f>
      </x:c>
      <x:c r="AJ35" s="35" t="n">
        <x:f>--AND(AJ$3&gt;=MAX($B$30,$B$31),AJ$3&lt;EDATE($B$30,MAX(1,'Вводные'!$H$89)),'Вводные'!$B$89="Да")</x:f>
      </x:c>
      <x:c r="AK35" s="35" t="n">
        <x:f>--AND(AK$3&gt;=MAX($B$30,$B$31),AK$3&lt;EDATE($B$30,MAX(1,'Вводные'!$H$89)),'Вводные'!$B$89="Да")</x:f>
      </x:c>
      <x:c r="AL35" s="35" t="n">
        <x:f>--AND(AL$3&gt;=MAX($B$30,$B$31),AL$3&lt;EDATE($B$30,MAX(1,'Вводные'!$H$89)),'Вводные'!$B$89="Да")</x:f>
      </x:c>
      <x:c r="AM35" s="35" t="n">
        <x:f>--AND(AM$3&gt;=MAX($B$30,$B$31),AM$3&lt;EDATE($B$30,MAX(1,'Вводные'!$H$89)),'Вводные'!$B$89="Да")</x:f>
      </x:c>
      <x:c r="AN35" s="35" t="n">
        <x:f>--AND(AN$3&gt;=MAX($B$30,$B$31),AN$3&lt;EDATE($B$30,MAX(1,'Вводные'!$H$89)),'Вводные'!$B$89="Да")</x:f>
      </x:c>
      <x:c r="AO35" s="35" t="n">
        <x:f>--AND(AO$3&gt;=MAX($B$30,$B$31),AO$3&lt;EDATE($B$30,MAX(1,'Вводные'!$H$89)),'Вводные'!$B$89="Да")</x:f>
      </x:c>
      <x:c r="AP35" s="35" t="n">
        <x:f>--AND(AP$3&gt;=MAX($B$30,$B$31),AP$3&lt;EDATE($B$30,MAX(1,'Вводные'!$H$89)),'Вводные'!$B$89="Да")</x:f>
      </x:c>
      <x:c r="AQ35" s="35" t="n">
        <x:f>--AND(AQ$3&gt;=MAX($B$30,$B$31),AQ$3&lt;EDATE($B$30,MAX(1,'Вводные'!$H$89)),'Вводные'!$B$89="Да")</x:f>
      </x:c>
      <x:c r="AR35" s="35" t="n">
        <x:f>--AND(AR$3&gt;=MAX($B$30,$B$31),AR$3&lt;EDATE($B$30,MAX(1,'Вводные'!$H$89)),'Вводные'!$B$89="Да")</x:f>
      </x:c>
      <x:c r="AS35" s="35" t="n">
        <x:f>--AND(AS$3&gt;=MAX($B$30,$B$31),AS$3&lt;EDATE($B$30,MAX(1,'Вводные'!$H$89)),'Вводные'!$B$89="Да")</x:f>
      </x:c>
      <x:c r="AT35" s="35" t="n">
        <x:f>--AND(AT$3&gt;=MAX($B$30,$B$31),AT$3&lt;EDATE($B$30,MAX(1,'Вводные'!$H$89)),'Вводные'!$B$89="Да")</x:f>
      </x:c>
      <x:c r="AU35" s="35" t="n">
        <x:f>--AND(AU$3&gt;=MAX($B$30,$B$31),AU$3&lt;EDATE($B$30,MAX(1,'Вводные'!$H$89)),'Вводные'!$B$89="Да")</x:f>
      </x:c>
      <x:c r="AV35" s="35" t="n">
        <x:f>--AND(AV$3&gt;=MAX($B$30,$B$31),AV$3&lt;EDATE($B$30,MAX(1,'Вводные'!$H$89)),'Вводные'!$B$89="Да")</x:f>
      </x:c>
      <x:c r="AW35" s="35" t="n">
        <x:f>--AND(AW$3&gt;=MAX($B$30,$B$31),AW$3&lt;EDATE($B$30,MAX(1,'Вводные'!$H$89)),'Вводные'!$B$89="Да")</x:f>
      </x:c>
      <x:c r="AX35" s="35" t="n">
        <x:f>--AND(AX$3&gt;=MAX($B$30,$B$31),AX$3&lt;EDATE($B$30,MAX(1,'Вводные'!$H$89)),'Вводные'!$B$89="Да")</x:f>
      </x:c>
      <x:c r="AY35" s="35" t="n">
        <x:f>--AND(AY$3&gt;=MAX($B$30,$B$31),AY$3&lt;EDATE($B$30,MAX(1,'Вводные'!$H$89)),'Вводные'!$B$89="Да")</x:f>
      </x:c>
      <x:c r="AZ35" s="35" t="n">
        <x:f>--AND(AZ$3&gt;=MAX($B$30,$B$31),AZ$3&lt;EDATE($B$30,MAX(1,'Вводные'!$H$89)),'Вводные'!$B$89="Да")</x:f>
      </x:c>
      <x:c r="BA35" s="35" t="n">
        <x:f>--AND(BA$3&gt;=MAX($B$30,$B$31),BA$3&lt;EDATE($B$30,MAX(1,'Вводные'!$H$89)),'Вводные'!$B$89="Да")</x:f>
      </x:c>
      <x:c r="BB35" s="35" t="n">
        <x:f>--AND(BB$3&gt;=MAX($B$30,$B$31),BB$3&lt;EDATE($B$30,MAX(1,'Вводные'!$H$89)),'Вводные'!$B$89="Да")</x:f>
      </x:c>
      <x:c r="BC35" s="35" t="n">
        <x:f>--AND(BC$3&gt;=MAX($B$30,$B$31),BC$3&lt;EDATE($B$30,MAX(1,'Вводные'!$H$89)),'Вводные'!$B$89="Да")</x:f>
      </x:c>
      <x:c r="BD35" s="35" t="n">
        <x:f>--AND(BD$3&gt;=MAX($B$30,$B$31),BD$3&lt;EDATE($B$30,MAX(1,'Вводные'!$H$89)),'Вводные'!$B$89="Да")</x:f>
      </x:c>
      <x:c r="BE35" s="35" t="n">
        <x:f>--AND(BE$3&gt;=MAX($B$30,$B$31),BE$3&lt;EDATE($B$30,MAX(1,'Вводные'!$H$89)),'Вводные'!$B$89="Да")</x:f>
      </x:c>
      <x:c r="BF35" s="35" t="n">
        <x:f>--AND(BF$3&gt;=MAX($B$30,$B$31),BF$3&lt;EDATE($B$30,MAX(1,'Вводные'!$H$89)),'Вводные'!$B$89="Да")</x:f>
      </x:c>
      <x:c r="BG35" s="35" t="n">
        <x:f>--AND(BG$3&gt;=MAX($B$30,$B$31),BG$3&lt;EDATE($B$30,MAX(1,'Вводные'!$H$89)),'Вводные'!$B$89="Да")</x:f>
      </x:c>
      <x:c r="BH35" s="35" t="n">
        <x:f>--AND(BH$3&gt;=MAX($B$30,$B$31),BH$3&lt;EDATE($B$30,MAX(1,'Вводные'!$H$89)),'Вводные'!$B$89="Да")</x:f>
      </x:c>
      <x:c r="BI35" s="35" t="n">
        <x:f>--AND(BI$3&gt;=MAX($B$30,$B$31),BI$3&lt;EDATE($B$30,MAX(1,'Вводные'!$H$89)),'Вводные'!$B$89="Да")</x:f>
      </x:c>
      <x:c r="BJ35" s="35" t="n">
        <x:f>--AND(BJ$3&gt;=MAX($B$30,$B$31),BJ$3&lt;EDATE($B$30,MAX(1,'Вводные'!$H$89)),'Вводные'!$B$89="Да")</x:f>
      </x:c>
      <x:c r="BK35" s="35" t="n">
        <x:f>--AND(BK$3&gt;=MAX($B$30,$B$31),BK$3&lt;EDATE($B$30,MAX(1,'Вводные'!$H$89)),'Вводные'!$B$89="Да")</x:f>
      </x:c>
      <x:c r="BL35" s="35" t="n">
        <x:f>--AND(BL$3&gt;=MAX($B$30,$B$31),BL$3&lt;EDATE($B$30,MAX(1,'Вводные'!$H$89)),'Вводные'!$B$89="Да")</x:f>
      </x:c>
      <x:c r="BM35" s="35" t="n">
        <x:f>--AND(BM$3&gt;=MAX($B$30,$B$31),BM$3&lt;EDATE($B$30,MAX(1,'Вводные'!$H$89)),'Вводные'!$B$89="Да")</x:f>
      </x:c>
      <x:c r="BN35" s="35" t="n">
        <x:f>--AND(BN$3&gt;=MAX($B$30,$B$31),BN$3&lt;EDATE($B$30,MAX(1,'Вводные'!$H$89)),'Вводные'!$B$89="Да")</x:f>
      </x:c>
      <x:c r="BO35" s="35" t="n">
        <x:f>--AND(BO$3&gt;=MAX($B$30,$B$31),BO$3&lt;EDATE($B$30,MAX(1,'Вводные'!$H$89)),'Вводные'!$B$89="Да")</x:f>
      </x:c>
      <x:c r="BP35" s="35" t="n">
        <x:f>--AND(BP$3&gt;=MAX($B$30,$B$31),BP$3&lt;EDATE($B$30,MAX(1,'Вводные'!$H$89)),'Вводные'!$B$89="Да")</x:f>
      </x:c>
      <x:c r="BQ35" s="35" t="n">
        <x:f>--AND(BQ$3&gt;=MAX($B$30,$B$31),BQ$3&lt;EDATE($B$30,MAX(1,'Вводные'!$H$89)),'Вводные'!$B$89="Да")</x:f>
      </x:c>
      <x:c r="BR35" s="35" t="n">
        <x:f>--AND(BR$3&gt;=MAX($B$30,$B$31),BR$3&lt;EDATE($B$30,MAX(1,'Вводные'!$H$89)),'Вводные'!$B$89="Да")</x:f>
      </x:c>
      <x:c r="BS35" s="35" t="n">
        <x:f>--AND(BS$3&gt;=MAX($B$30,$B$31),BS$3&lt;EDATE($B$30,MAX(1,'Вводные'!$H$89)),'Вводные'!$B$89="Да")</x:f>
      </x:c>
      <x:c r="BT35" s="35" t="n">
        <x:f>--AND(BT$3&gt;=MAX($B$30,$B$31),BT$3&lt;EDATE($B$30,MAX(1,'Вводные'!$H$89)),'Вводные'!$B$89="Да")</x:f>
      </x:c>
      <x:c r="BU35" s="35" t="n">
        <x:f>--AND(BU$3&gt;=MAX($B$30,$B$31),BU$3&lt;EDATE($B$30,MAX(1,'Вводные'!$H$89)),'Вводные'!$B$89="Да")</x:f>
      </x:c>
      <x:c r="BV35" s="35" t="n">
        <x:f>--AND(BV$3&gt;=MAX($B$30,$B$31),BV$3&lt;EDATE($B$30,MAX(1,'Вводные'!$H$89)),'Вводные'!$B$89="Да")</x:f>
      </x:c>
      <x:c r="BW35" s="35" t="n">
        <x:f>--AND(BW$3&gt;=MAX($B$30,$B$31),BW$3&lt;EDATE($B$30,MAX(1,'Вводные'!$H$89)),'Вводные'!$B$89="Да")</x:f>
      </x:c>
      <x:c r="BX35" s="35" t="n">
        <x:f>--AND(BX$3&gt;=MAX($B$30,$B$31),BX$3&lt;EDATE($B$30,MAX(1,'Вводные'!$H$89)),'Вводные'!$B$89="Да")</x:f>
      </x:c>
      <x:c r="BY35" s="35" t="n">
        <x:f>--AND(BY$3&gt;=MAX($B$30,$B$31),BY$3&lt;EDATE($B$30,MAX(1,'Вводные'!$H$89)),'Вводные'!$B$89="Да")</x:f>
      </x:c>
      <x:c r="BZ35" s="35" t="n">
        <x:f>--AND(BZ$3&gt;=MAX($B$30,$B$31),BZ$3&lt;EDATE($B$30,MAX(1,'Вводные'!$H$89)),'Вводные'!$B$89="Да")</x:f>
      </x:c>
      <x:c r="CA35" s="35" t="n">
        <x:f>--AND(CA$3&gt;=MAX($B$30,$B$31),CA$3&lt;EDATE($B$30,MAX(1,'Вводные'!$H$89)),'Вводные'!$B$89="Да")</x:f>
      </x:c>
      <x:c r="CB35" s="35" t="n">
        <x:f>--AND(CB$3&gt;=MAX($B$30,$B$31),CB$3&lt;EDATE($B$30,MAX(1,'Вводные'!$H$89)),'Вводные'!$B$89="Да")</x:f>
      </x:c>
      <x:c r="CC35" s="35" t="n">
        <x:f>--AND(CC$3&gt;=MAX($B$30,$B$31),CC$3&lt;EDATE($B$30,MAX(1,'Вводные'!$H$89)),'Вводные'!$B$89="Да")</x:f>
      </x:c>
      <x:c r="CD35" s="35" t="n">
        <x:f>--AND(CD$3&gt;=MAX($B$30,$B$31),CD$3&lt;EDATE($B$30,MAX(1,'Вводные'!$H$89)),'Вводные'!$B$89="Да")</x:f>
      </x:c>
      <x:c r="CE35" s="35" t="n">
        <x:f>--AND(CE$3&gt;=MAX($B$30,$B$31),CE$3&lt;EDATE($B$30,MAX(1,'Вводные'!$H$89)),'Вводные'!$B$89="Да")</x:f>
      </x:c>
      <x:c r="CF35" s="35" t="n">
        <x:f>--AND(CF$3&gt;=MAX($B$30,$B$31),CF$3&lt;EDATE($B$30,MAX(1,'Вводные'!$H$89)),'Вводные'!$B$89="Да")</x:f>
      </x:c>
      <x:c r="CG35" s="35" t="n">
        <x:f>--AND(CG$3&gt;=MAX($B$30,$B$31),CG$3&lt;EDATE($B$30,MAX(1,'Вводные'!$H$89)),'Вводные'!$B$89="Да")</x:f>
      </x:c>
      <x:c r="CH35" s="35" t="n">
        <x:f>--AND(CH$3&gt;=MAX($B$30,$B$31),CH$3&lt;EDATE($B$30,MAX(1,'Вводные'!$H$89)),'Вводные'!$B$89="Да")</x:f>
      </x:c>
      <x:c r="CI35" s="35" t="n">
        <x:f>--AND(CI$3&gt;=MAX($B$30,$B$31),CI$3&lt;EDATE($B$30,MAX(1,'Вводные'!$H$89)),'Вводные'!$B$89="Да")</x:f>
      </x:c>
      <x:c r="CJ35" s="35" t="n">
        <x:f>--AND(CJ$3&gt;=MAX($B$30,$B$31),CJ$3&lt;EDATE($B$30,MAX(1,'Вводные'!$H$89)),'Вводные'!$B$89="Да")</x:f>
      </x:c>
      <x:c r="CK35" s="35" t="n">
        <x:f>--AND(CK$3&gt;=MAX($B$30,$B$31),CK$3&lt;EDATE($B$30,MAX(1,'Вводные'!$H$89)),'Вводные'!$B$89="Да")</x:f>
      </x:c>
      <x:c r="CL35" s="35" t="n">
        <x:f>--AND(CL$3&gt;=MAX($B$30,$B$31),CL$3&lt;EDATE($B$30,MAX(1,'Вводные'!$H$89)),'Вводные'!$B$89="Да")</x:f>
      </x:c>
      <x:c r="CM35" s="35" t="n">
        <x:f>--AND(CM$3&gt;=MAX($B$30,$B$31),CM$3&lt;EDATE($B$30,MAX(1,'Вводные'!$H$89)),'Вводные'!$B$89="Да")</x:f>
      </x:c>
      <x:c r="CN35" s="35" t="n">
        <x:f>--AND(CN$3&gt;=MAX($B$30,$B$31),CN$3&lt;EDATE($B$30,MAX(1,'Вводные'!$H$89)),'Вводные'!$B$89="Да")</x:f>
      </x:c>
      <x:c r="CO35" s="35" t="n">
        <x:f>--AND(CO$3&gt;=MAX($B$30,$B$31),CO$3&lt;EDATE($B$30,MAX(1,'Вводные'!$H$89)),'Вводные'!$B$89="Да")</x:f>
      </x:c>
      <x:c r="CP35" s="35" t="n">
        <x:f>--AND(CP$3&gt;=MAX($B$30,$B$31),CP$3&lt;EDATE($B$30,MAX(1,'Вводные'!$H$89)),'Вводные'!$B$89="Да")</x:f>
      </x:c>
      <x:c r="CQ35" s="35" t="n">
        <x:f>--AND(CQ$3&gt;=MAX($B$30,$B$31),CQ$3&lt;EDATE($B$30,MAX(1,'Вводные'!$H$89)),'Вводные'!$B$89="Да")</x:f>
      </x:c>
      <x:c r="CR35" s="35" t="n">
        <x:f>--AND(CR$3&gt;=MAX($B$30,$B$31),CR$3&lt;EDATE($B$30,MAX(1,'Вводные'!$H$89)),'Вводные'!$B$89="Да")</x:f>
      </x:c>
      <x:c r="CS35" s="35" t="n">
        <x:f>--AND(CS$3&gt;=MAX($B$30,$B$31),CS$3&lt;EDATE($B$30,MAX(1,'Вводные'!$H$89)),'Вводные'!$B$89="Да")</x:f>
      </x:c>
      <x:c r="CT35" s="35" t="n">
        <x:f>--AND(CT$3&gt;=MAX($B$30,$B$31),CT$3&lt;EDATE($B$30,MAX(1,'Вводные'!$H$89)),'Вводные'!$B$89="Да")</x:f>
      </x:c>
      <x:c r="CU35" s="35" t="n">
        <x:f>--AND(CU$3&gt;=MAX($B$30,$B$31),CU$3&lt;EDATE($B$30,MAX(1,'Вводные'!$H$89)),'Вводные'!$B$89="Да")</x:f>
      </x:c>
      <x:c r="CV35" s="35" t="n">
        <x:f>--AND(CV$3&gt;=MAX($B$30,$B$31),CV$3&lt;EDATE($B$30,MAX(1,'Вводные'!$H$89)),'Вводные'!$B$89="Да")</x:f>
      </x:c>
      <x:c r="CW35" s="35" t="n">
        <x:f>--AND(CW$3&gt;=MAX($B$30,$B$31),CW$3&lt;EDATE($B$30,MAX(1,'Вводные'!$H$89)),'Вводные'!$B$89="Да")</x:f>
      </x:c>
      <x:c r="CX35" s="35" t="n">
        <x:f>--AND(CX$3&gt;=MAX($B$30,$B$31),CX$3&lt;EDATE($B$30,MAX(1,'Вводные'!$H$89)),'Вводные'!$B$89="Да")</x:f>
      </x:c>
      <x:c r="CY35" s="35" t="n">
        <x:f>--AND(CY$3&gt;=MAX($B$30,$B$31),CY$3&lt;EDATE($B$30,MAX(1,'Вводные'!$H$89)),'Вводные'!$B$89="Да")</x:f>
      </x:c>
      <x:c r="CZ35" s="35" t="n">
        <x:f>--AND(CZ$3&gt;=MAX($B$30,$B$31),CZ$3&lt;EDATE($B$30,MAX(1,'Вводные'!$H$89)),'Вводные'!$B$89="Да")</x:f>
      </x:c>
      <x:c r="DA35" s="35" t="n">
        <x:f>--AND(DA$3&gt;=MAX($B$30,$B$31),DA$3&lt;EDATE($B$30,MAX(1,'Вводные'!$H$89)),'Вводные'!$B$89="Да")</x:f>
      </x:c>
      <x:c r="DB35" s="35" t="n">
        <x:f>--AND(DB$3&gt;=MAX($B$30,$B$31),DB$3&lt;EDATE($B$30,MAX(1,'Вводные'!$H$89)),'Вводные'!$B$89="Да")</x:f>
      </x:c>
      <x:c r="DC35" s="35" t="n">
        <x:f>--AND(DC$3&gt;=MAX($B$30,$B$31),DC$3&lt;EDATE($B$30,MAX(1,'Вводные'!$H$89)),'Вводные'!$B$89="Да")</x:f>
      </x:c>
      <x:c r="DD35" s="35" t="n">
        <x:f>--AND(DD$3&gt;=MAX($B$30,$B$31),DD$3&lt;EDATE($B$30,MAX(1,'Вводные'!$H$89)),'Вводные'!$B$89="Да")</x:f>
      </x:c>
      <x:c r="DE35" s="35" t="n">
        <x:f>--AND(DE$3&gt;=MAX($B$30,$B$31),DE$3&lt;EDATE($B$30,MAX(1,'Вводные'!$H$89)),'Вводные'!$B$89="Да")</x:f>
      </x:c>
      <x:c r="DF35" s="35" t="n">
        <x:f>--AND(DF$3&gt;=MAX($B$30,$B$31),DF$3&lt;EDATE($B$30,MAX(1,'Вводные'!$H$89)),'Вводные'!$B$89="Да")</x:f>
      </x:c>
      <x:c r="DG35" s="35" t="n">
        <x:f>--AND(DG$3&gt;=MAX($B$30,$B$31),DG$3&lt;EDATE($B$30,MAX(1,'Вводные'!$H$89)),'Вводные'!$B$89="Да")</x:f>
      </x:c>
      <x:c r="DH35" s="35" t="n">
        <x:f>--AND(DH$3&gt;=MAX($B$30,$B$31),DH$3&lt;EDATE($B$30,MAX(1,'Вводные'!$H$89)),'Вводные'!$B$89="Да")</x:f>
      </x:c>
      <x:c r="DI35" s="35" t="n">
        <x:f>--AND(DI$3&gt;=MAX($B$30,$B$31),DI$3&lt;EDATE($B$30,MAX(1,'Вводные'!$H$89)),'Вводные'!$B$89="Да")</x:f>
      </x:c>
      <x:c r="DJ35" s="35" t="n">
        <x:f>--AND(DJ$3&gt;=MAX($B$30,$B$31),DJ$3&lt;EDATE($B$30,MAX(1,'Вводные'!$H$89)),'Вводные'!$B$89="Да")</x:f>
      </x:c>
      <x:c r="DK35" s="35" t="n">
        <x:f>--AND(DK$3&gt;=MAX($B$30,$B$31),DK$3&lt;EDATE($B$30,MAX(1,'Вводные'!$H$89)),'Вводные'!$B$89="Да")</x:f>
      </x:c>
      <x:c r="DL35" s="35" t="n">
        <x:f>--AND(DL$3&gt;=MAX($B$30,$B$31),DL$3&lt;EDATE($B$30,MAX(1,'Вводные'!$H$89)),'Вводные'!$B$89="Да")</x:f>
      </x:c>
      <x:c r="DM35" s="35" t="n">
        <x:f>--AND(DM$3&gt;=MAX($B$30,$B$31),DM$3&lt;EDATE($B$30,MAX(1,'Вводные'!$H$89)),'Вводные'!$B$89="Да")</x:f>
      </x:c>
      <x:c r="DN35" s="35" t="n">
        <x:f>--AND(DN$3&gt;=MAX($B$30,$B$31),DN$3&lt;EDATE($B$30,MAX(1,'Вводные'!$H$89)),'Вводные'!$B$89="Да")</x:f>
      </x:c>
      <x:c r="DO35" s="35" t="n">
        <x:f>--AND(DO$3&gt;=MAX($B$30,$B$31),DO$3&lt;EDATE($B$30,MAX(1,'Вводные'!$H$89)),'Вводные'!$B$89="Да")</x:f>
      </x:c>
      <x:c r="DP35" s="35" t="n">
        <x:f>--AND(DP$3&gt;=MAX($B$30,$B$31),DP$3&lt;EDATE($B$30,MAX(1,'Вводные'!$H$89)),'Вводные'!$B$89="Да")</x:f>
      </x:c>
      <x:c r="DQ35" s="35" t="n">
        <x:f>--AND(DQ$3&gt;=MAX($B$30,$B$31),DQ$3&lt;EDATE($B$30,MAX(1,'Вводные'!$H$89)),'Вводные'!$B$89="Да")</x:f>
      </x:c>
      <x:c r="DR35" s="35" t="n">
        <x:f>--AND(DR$3&gt;=MAX($B$30,$B$31),DR$3&lt;EDATE($B$30,MAX(1,'Вводные'!$H$89)),'Вводные'!$B$89="Да")</x:f>
      </x:c>
      <x:c r="DS35" s="35" t="n">
        <x:f>--AND(DS$3&gt;=MAX($B$30,$B$31),DS$3&lt;EDATE($B$30,MAX(1,'Вводные'!$H$89)),'Вводные'!$B$89="Да")</x:f>
      </x:c>
      <x:c r="DT35" s="35" t="n">
        <x:f>--AND(DT$3&gt;=MAX($B$30,$B$31),DT$3&lt;EDATE($B$30,MAX(1,'Вводные'!$H$89)),'Вводные'!$B$89="Да")</x:f>
      </x:c>
      <x:c r="DU35" s="35" t="n">
        <x:f>--AND(DU$3&gt;=MAX($B$30,$B$31),DU$3&lt;EDATE($B$30,MAX(1,'Вводные'!$H$89)),'Вводные'!$B$89="Да")</x:f>
      </x:c>
      <x:c r="DV35" s="35" t="n">
        <x:f>--AND(DV$3&gt;=MAX($B$30,$B$31),DV$3&lt;EDATE($B$30,MAX(1,'Вводные'!$H$89)),'Вводные'!$B$89="Да")</x:f>
      </x:c>
      <x:c r="DW35" s="35" t="n">
        <x:f>--AND(DW$3&gt;=MAX($B$30,$B$31),DW$3&lt;EDATE($B$30,MAX(1,'Вводные'!$H$89)),'Вводные'!$B$89="Да")</x:f>
      </x:c>
      <x:c r="DX35" s="35" t="n">
        <x:f>--AND(DX$3&gt;=MAX($B$30,$B$31),DX$3&lt;EDATE($B$30,MAX(1,'Вводные'!$H$89)),'Вводные'!$B$89="Да")</x:f>
      </x:c>
      <x:c r="DY35" s="35" t="n">
        <x:f>--AND(DY$3&gt;=MAX($B$30,$B$31),DY$3&lt;EDATE($B$30,MAX(1,'Вводные'!$H$89)),'Вводные'!$B$89="Да")</x:f>
      </x:c>
      <x:c r="DZ35" s="35" t="n">
        <x:f>--AND(DZ$3&gt;=MAX($B$30,$B$31),DZ$3&lt;EDATE($B$30,MAX(1,'Вводные'!$H$89)),'Вводные'!$B$89="Да")</x:f>
      </x:c>
      <x:c r="EA35" s="35" t="n">
        <x:f>--AND(EA$3&gt;=MAX($B$30,$B$31),EA$3&lt;EDATE($B$30,MAX(1,'Вводные'!$H$89)),'Вводные'!$B$89="Да")</x:f>
      </x:c>
      <x:c r="EB35" s="35" t="n">
        <x:f>--AND(EB$3&gt;=MAX($B$30,$B$31),EB$3&lt;EDATE($B$30,MAX(1,'Вводные'!$H$89)),'Вводные'!$B$89="Да")</x:f>
      </x:c>
      <x:c r="EC35" s="35" t="n">
        <x:f>--AND(EC$3&gt;=MAX($B$30,$B$31),EC$3&lt;EDATE($B$30,MAX(1,'Вводные'!$H$89)),'Вводные'!$B$89="Да")</x:f>
      </x:c>
      <x:c r="ED35" s="35" t="n">
        <x:f>--AND(ED$3&gt;=MAX($B$30,$B$31),ED$3&lt;EDATE($B$30,MAX(1,'Вводные'!$H$89)),'Вводные'!$B$89="Да")</x:f>
      </x:c>
      <x:c r="EE35" s="35" t="n">
        <x:f>--AND(EE$3&gt;=MAX($B$30,$B$31),EE$3&lt;EDATE($B$30,MAX(1,'Вводные'!$H$89)),'Вводные'!$B$89="Да")</x:f>
      </x:c>
      <x:c r="EF35" s="35" t="n">
        <x:f>--AND(EF$3&gt;=MAX($B$30,$B$31),EF$3&lt;EDATE($B$30,MAX(1,'Вводные'!$H$89)),'Вводные'!$B$89="Да")</x:f>
      </x:c>
      <x:c r="EG35" s="35" t="n">
        <x:f>--AND(EG$3&gt;=MAX($B$30,$B$31),EG$3&lt;EDATE($B$30,MAX(1,'Вводные'!$H$89)),'Вводные'!$B$89="Да")</x:f>
      </x:c>
      <x:c r="EH35" s="35" t="n">
        <x:f>--AND(EH$3&gt;=MAX($B$30,$B$31),EH$3&lt;EDATE($B$30,MAX(1,'Вводные'!$H$89)),'Вводные'!$B$89="Да")</x:f>
      </x:c>
      <x:c r="EI35" s="35" t="n">
        <x:f>--AND(EI$3&gt;=MAX($B$30,$B$31),EI$3&lt;EDATE($B$30,MAX(1,'Вводные'!$H$89)),'Вводные'!$B$89="Да")</x:f>
      </x:c>
      <x:c r="EJ35" s="35" t="n">
        <x:f>--AND(EJ$3&gt;=MAX($B$30,$B$31),EJ$3&lt;EDATE($B$30,MAX(1,'Вводные'!$H$89)),'Вводные'!$B$89="Да")</x:f>
      </x:c>
      <x:c r="EK35" s="35" t="n">
        <x:f>--AND(EK$3&gt;=MAX($B$30,$B$31),EK$3&lt;EDATE($B$30,MAX(1,'Вводные'!$H$89)),'Вводные'!$B$89="Да")</x:f>
      </x:c>
      <x:c r="EL35" s="35" t="n">
        <x:f>--AND(EL$3&gt;=MAX($B$30,$B$31),EL$3&lt;EDATE($B$30,MAX(1,'Вводные'!$H$89)),'Вводные'!$B$89="Да")</x:f>
      </x:c>
      <x:c r="EM35" s="35" t="n">
        <x:f>--AND(EM$3&gt;=MAX($B$30,$B$31),EM$3&lt;EDATE($B$30,MAX(1,'Вводные'!$H$89)),'Вводные'!$B$89="Да")</x:f>
      </x:c>
      <x:c r="EN35" s="35" t="n">
        <x:f>--AND(EN$3&gt;=MAX($B$30,$B$31),EN$3&lt;EDATE($B$30,MAX(1,'Вводные'!$H$89)),'Вводные'!$B$89="Да")</x:f>
      </x:c>
      <x:c r="EO35" s="35" t="n">
        <x:f>--AND(EO$3&gt;=MAX($B$30,$B$31),EO$3&lt;EDATE($B$30,MAX(1,'Вводные'!$H$89)),'Вводные'!$B$89="Да")</x:f>
      </x:c>
      <x:c r="EP35" s="35" t="n">
        <x:f>--AND(EP$3&gt;=MAX($B$30,$B$31),EP$3&lt;EDATE($B$30,MAX(1,'Вводные'!$H$89)),'Вводные'!$B$89="Да")</x:f>
      </x:c>
      <x:c r="EQ35" s="35" t="n">
        <x:f>--AND(EQ$3&gt;=MAX($B$30,$B$31),EQ$3&lt;EDATE($B$30,MAX(1,'Вводные'!$H$89)),'Вводные'!$B$89="Да")</x:f>
      </x:c>
      <x:c r="ER35" s="35" t="n">
        <x:f>--AND(ER$3&gt;=MAX($B$30,$B$31),ER$3&lt;EDATE($B$30,MAX(1,'Вводные'!$H$89)),'Вводные'!$B$89="Да")</x:f>
      </x:c>
      <x:c r="ES35" s="35" t="n">
        <x:f>--AND(ES$3&gt;=MAX($B$30,$B$31),ES$3&lt;EDATE($B$30,MAX(1,'Вводные'!$H$89)),'Вводные'!$B$89="Да")</x:f>
      </x:c>
      <x:c r="ET35" s="35" t="n">
        <x:f>--AND(ET$3&gt;=MAX($B$30,$B$31),ET$3&lt;EDATE($B$30,MAX(1,'Вводные'!$H$89)),'Вводные'!$B$89="Да")</x:f>
      </x:c>
      <x:c r="EU35" s="35" t="n">
        <x:f>--AND(EU$3&gt;=MAX($B$30,$B$31),EU$3&lt;EDATE($B$30,MAX(1,'Вводные'!$H$89)),'Вводные'!$B$89="Да")</x:f>
      </x:c>
      <x:c r="EV35" s="35" t="n">
        <x:f>--AND(EV$3&gt;=MAX($B$30,$B$31),EV$3&lt;EDATE($B$30,MAX(1,'Вводные'!$H$89)),'Вводные'!$B$89="Да")</x:f>
      </x:c>
      <x:c r="EW35" s="35" t="n">
        <x:f>--AND(EW$3&gt;=MAX($B$30,$B$31),EW$3&lt;EDATE($B$30,MAX(1,'Вводные'!$H$89)),'Вводные'!$B$89="Да")</x:f>
      </x:c>
      <x:c r="EX35" s="35" t="n">
        <x:f>--AND(EX$3&gt;=MAX($B$30,$B$31),EX$3&lt;EDATE($B$30,MAX(1,'Вводные'!$H$89)),'Вводные'!$B$89="Да")</x:f>
      </x:c>
      <x:c r="EY35" s="35" t="n">
        <x:f>--AND(EY$3&gt;=MAX($B$30,$B$31),EY$3&lt;EDATE($B$30,MAX(1,'Вводные'!$H$89)),'Вводные'!$B$89="Да")</x:f>
      </x:c>
      <x:c r="EZ35" s="35" t="n">
        <x:f>--AND(EZ$3&gt;=MAX($B$30,$B$31),EZ$3&lt;EDATE($B$30,MAX(1,'Вводные'!$H$89)),'Вводные'!$B$89="Да")</x:f>
      </x:c>
      <x:c r="FA35" s="35" t="n">
        <x:f>--AND(FA$3&gt;=MAX($B$30,$B$31),FA$3&lt;EDATE($B$30,MAX(1,'Вводные'!$H$89)),'Вводные'!$B$89="Да")</x:f>
      </x:c>
      <x:c r="FB35" s="35" t="n">
        <x:f>--AND(FB$3&gt;=MAX($B$30,$B$31),FB$3&lt;EDATE($B$30,MAX(1,'Вводные'!$H$89)),'Вводные'!$B$89="Да")</x:f>
      </x:c>
      <x:c r="FC35" s="35" t="n">
        <x:f>--AND(FC$3&gt;=MAX($B$30,$B$31),FC$3&lt;EDATE($B$30,MAX(1,'Вводные'!$H$89)),'Вводные'!$B$89="Да")</x:f>
      </x:c>
      <x:c r="FD35" s="35" t="n">
        <x:f>--AND(FD$3&gt;=MAX($B$30,$B$31),FD$3&lt;EDATE($B$30,MAX(1,'Вводные'!$H$89)),'Вводные'!$B$89="Да")</x:f>
      </x:c>
      <x:c r="FE35" s="35" t="n">
        <x:f>--AND(FE$3&gt;=MAX($B$30,$B$31),FE$3&lt;EDATE($B$30,MAX(1,'Вводные'!$H$89)),'Вводные'!$B$89="Да")</x:f>
      </x:c>
      <x:c r="FF35" s="35" t="n">
        <x:f>--AND(FF$3&gt;=MAX($B$30,$B$31),FF$3&lt;EDATE($B$30,MAX(1,'Вводные'!$H$89)),'Вводные'!$B$89="Да")</x:f>
      </x:c>
      <x:c r="FG35" s="35" t="n">
        <x:f>--AND(FG$3&gt;=MAX($B$30,$B$31),FG$3&lt;EDATE($B$30,MAX(1,'Вводные'!$H$89)),'Вводные'!$B$89="Да")</x:f>
      </x:c>
      <x:c r="FH35" s="35" t="n">
        <x:f>--AND(FH$3&gt;=MAX($B$30,$B$31),FH$3&lt;EDATE($B$30,MAX(1,'Вводные'!$H$89)),'Вводные'!$B$89="Да")</x:f>
      </x:c>
      <x:c r="FI35" s="35" t="n">
        <x:f>--AND(FI$3&gt;=MAX($B$30,$B$31),FI$3&lt;EDATE($B$30,MAX(1,'Вводные'!$H$89)),'Вводные'!$B$89="Да")</x:f>
      </x:c>
      <x:c r="FJ35" s="35" t="n">
        <x:f>--AND(FJ$3&gt;=MAX($B$30,$B$31),FJ$3&lt;EDATE($B$30,MAX(1,'Вводные'!$H$89)),'Вводные'!$B$89="Да")</x:f>
      </x:c>
      <x:c r="FK35" s="35" t="n">
        <x:f>--AND(FK$3&gt;=MAX($B$30,$B$31),FK$3&lt;EDATE($B$30,MAX(1,'Вводные'!$H$89)),'Вводные'!$B$89="Да")</x:f>
      </x:c>
      <x:c r="FL35" s="35" t="n">
        <x:f>--AND(FL$3&gt;=MAX($B$30,$B$31),FL$3&lt;EDATE($B$30,MAX(1,'Вводные'!$H$89)),'Вводные'!$B$89="Да")</x:f>
      </x:c>
      <x:c r="FM35" s="35" t="n">
        <x:f>--AND(FM$3&gt;=MAX($B$30,$B$31),FM$3&lt;EDATE($B$30,MAX(1,'Вводные'!$H$89)),'Вводные'!$B$89="Да")</x:f>
      </x:c>
      <x:c r="FN35" s="35" t="n">
        <x:f>--AND(FN$3&gt;=MAX($B$30,$B$31),FN$3&lt;EDATE($B$30,MAX(1,'Вводные'!$H$89)),'Вводные'!$B$89="Да")</x:f>
      </x:c>
      <x:c r="FO35" s="35" t="n">
        <x:f>--AND(FO$3&gt;=MAX($B$30,$B$31),FO$3&lt;EDATE($B$30,MAX(1,'Вводные'!$H$89)),'Вводные'!$B$89="Да")</x:f>
      </x:c>
      <x:c r="FP35" s="35" t="n">
        <x:f>--AND(FP$3&gt;=MAX($B$30,$B$31),FP$3&lt;EDATE($B$30,MAX(1,'Вводные'!$H$89)),'Вводные'!$B$89="Да")</x:f>
      </x:c>
      <x:c r="FQ35" s="35" t="n">
        <x:f>--AND(FQ$3&gt;=MAX($B$30,$B$31),FQ$3&lt;EDATE($B$30,MAX(1,'Вводные'!$H$89)),'Вводные'!$B$89="Да")</x:f>
      </x:c>
      <x:c r="FR35" s="35" t="n">
        <x:f>--AND(FR$3&gt;=MAX($B$30,$B$31),FR$3&lt;EDATE($B$30,MAX(1,'Вводные'!$H$89)),'Вводные'!$B$89="Да")</x:f>
      </x:c>
      <x:c r="FS35" s="35" t="n">
        <x:f>--AND(FS$3&gt;=MAX($B$30,$B$31),FS$3&lt;EDATE($B$30,MAX(1,'Вводные'!$H$89)),'Вводные'!$B$89="Да")</x:f>
      </x:c>
      <x:c r="FT35" s="35" t="n">
        <x:f>--AND(FT$3&gt;=MAX($B$30,$B$31),FT$3&lt;EDATE($B$30,MAX(1,'Вводные'!$H$89)),'Вводные'!$B$89="Да")</x:f>
      </x:c>
      <x:c r="FU35" s="35" t="n">
        <x:f>--AND(FU$3&gt;=MAX($B$30,$B$31),FU$3&lt;EDATE($B$30,MAX(1,'Вводные'!$H$89)),'Вводные'!$B$89="Да")</x:f>
      </x:c>
      <x:c r="FV35" s="35" t="n">
        <x:f>--AND(FV$3&gt;=MAX($B$30,$B$31),FV$3&lt;EDATE($B$30,MAX(1,'Вводные'!$H$89)),'Вводные'!$B$89="Да")</x:f>
      </x:c>
      <x:c r="FW35" s="35" t="n">
        <x:f>--AND(FW$3&gt;=MAX($B$30,$B$31),FW$3&lt;EDATE($B$30,MAX(1,'Вводные'!$H$89)),'Вводные'!$B$89="Да")</x:f>
      </x:c>
      <x:c r="FX35" s="35" t="n">
        <x:f>--AND(FX$3&gt;=MAX($B$30,$B$31),FX$3&lt;EDATE($B$30,MAX(1,'Вводные'!$H$89)),'Вводные'!$B$89="Да")</x:f>
      </x:c>
      <x:c r="FY35" s="35" t="n">
        <x:f>--AND(FY$3&gt;=MAX($B$30,$B$31),FY$3&lt;EDATE($B$30,MAX(1,'Вводные'!$H$89)),'Вводные'!$B$89="Да")</x:f>
      </x:c>
      <x:c r="FZ35" s="35" t="n">
        <x:f>--AND(FZ$3&gt;=MAX($B$30,$B$31),FZ$3&lt;EDATE($B$30,MAX(1,'Вводные'!$H$89)),'Вводные'!$B$89="Да")</x:f>
      </x:c>
      <x:c r="GA35" s="35" t="n">
        <x:f>--AND(GA$3&gt;=MAX($B$30,$B$31),GA$3&lt;EDATE($B$30,MAX(1,'Вводные'!$H$89)),'Вводные'!$B$89="Да")</x:f>
      </x:c>
    </x:row>
    <x:row r="36">
      <x:c r="A36" t="str">
        <x:v>Нормированный вес после РВЭ</x:v>
      </x:c>
      <x:c r="B36" t="n">
        <x:f>SUM(D36:GA36)</x:f>
      </x:c>
      <x:c r="C36" t="str">
        <x:v>%</x:v>
      </x:c>
      <x:c r="D36" s="35" t="n">
        <x:f>IFERROR(D33*D35/SUMPRODUCT($D33:$GA33,$D35:$GA35),0)</x:f>
      </x:c>
      <x:c r="E36" s="35" t="n">
        <x:f>IFERROR(E33*E35/SUMPRODUCT($D33:$GA33,$D35:$GA35),0)</x:f>
      </x:c>
      <x:c r="F36" s="35" t="n">
        <x:f>IFERROR(F33*F35/SUMPRODUCT($D33:$GA33,$D35:$GA35),0)</x:f>
      </x:c>
      <x:c r="G36" s="35" t="n">
        <x:f>IFERROR(G33*G35/SUMPRODUCT($D33:$GA33,$D35:$GA35),0)</x:f>
      </x:c>
      <x:c r="H36" s="35" t="n">
        <x:f>IFERROR(H33*H35/SUMPRODUCT($D33:$GA33,$D35:$GA35),0)</x:f>
      </x:c>
      <x:c r="I36" s="35" t="n">
        <x:f>IFERROR(I33*I35/SUMPRODUCT($D33:$GA33,$D35:$GA35),0)</x:f>
      </x:c>
      <x:c r="J36" s="35" t="n">
        <x:f>IFERROR(J33*J35/SUMPRODUCT($D33:$GA33,$D35:$GA35),0)</x:f>
      </x:c>
      <x:c r="K36" s="35" t="n">
        <x:f>IFERROR(K33*K35/SUMPRODUCT($D33:$GA33,$D35:$GA35),0)</x:f>
      </x:c>
      <x:c r="L36" s="35" t="n">
        <x:f>IFERROR(L33*L35/SUMPRODUCT($D33:$GA33,$D35:$GA35),0)</x:f>
      </x:c>
      <x:c r="M36" s="35" t="n">
        <x:f>IFERROR(M33*M35/SUMPRODUCT($D33:$GA33,$D35:$GA35),0)</x:f>
      </x:c>
      <x:c r="N36" s="35" t="n">
        <x:f>IFERROR(N33*N35/SUMPRODUCT($D33:$GA33,$D35:$GA35),0)</x:f>
      </x:c>
      <x:c r="O36" s="35" t="n">
        <x:f>IFERROR(O33*O35/SUMPRODUCT($D33:$GA33,$D35:$GA35),0)</x:f>
      </x:c>
      <x:c r="P36" s="35" t="n">
        <x:f>IFERROR(P33*P35/SUMPRODUCT($D33:$GA33,$D35:$GA35),0)</x:f>
      </x:c>
      <x:c r="Q36" s="35" t="n">
        <x:f>IFERROR(Q33*Q35/SUMPRODUCT($D33:$GA33,$D35:$GA35),0)</x:f>
      </x:c>
      <x:c r="R36" s="35" t="n">
        <x:f>IFERROR(R33*R35/SUMPRODUCT($D33:$GA33,$D35:$GA35),0)</x:f>
      </x:c>
      <x:c r="S36" s="35" t="n">
        <x:f>IFERROR(S33*S35/SUMPRODUCT($D33:$GA33,$D35:$GA35),0)</x:f>
      </x:c>
      <x:c r="T36" s="35" t="n">
        <x:f>IFERROR(T33*T35/SUMPRODUCT($D33:$GA33,$D35:$GA35),0)</x:f>
      </x:c>
      <x:c r="U36" s="35" t="n">
        <x:f>IFERROR(U33*U35/SUMPRODUCT($D33:$GA33,$D35:$GA35),0)</x:f>
      </x:c>
      <x:c r="V36" s="35" t="n">
        <x:f>IFERROR(V33*V35/SUMPRODUCT($D33:$GA33,$D35:$GA35),0)</x:f>
      </x:c>
      <x:c r="W36" s="35" t="n">
        <x:f>IFERROR(W33*W35/SUMPRODUCT($D33:$GA33,$D35:$GA35),0)</x:f>
      </x:c>
      <x:c r="X36" s="35" t="n">
        <x:f>IFERROR(X33*X35/SUMPRODUCT($D33:$GA33,$D35:$GA35),0)</x:f>
      </x:c>
      <x:c r="Y36" s="35" t="n">
        <x:f>IFERROR(Y33*Y35/SUMPRODUCT($D33:$GA33,$D35:$GA35),0)</x:f>
      </x:c>
      <x:c r="Z36" s="35" t="n">
        <x:f>IFERROR(Z33*Z35/SUMPRODUCT($D33:$GA33,$D35:$GA35),0)</x:f>
      </x:c>
      <x:c r="AA36" s="35" t="n">
        <x:f>IFERROR(AA33*AA35/SUMPRODUCT($D33:$GA33,$D35:$GA35),0)</x:f>
      </x:c>
      <x:c r="AB36" s="35" t="n">
        <x:f>IFERROR(AB33*AB35/SUMPRODUCT($D33:$GA33,$D35:$GA35),0)</x:f>
      </x:c>
      <x:c r="AC36" s="35" t="n">
        <x:f>IFERROR(AC33*AC35/SUMPRODUCT($D33:$GA33,$D35:$GA35),0)</x:f>
      </x:c>
      <x:c r="AD36" s="35" t="n">
        <x:f>IFERROR(AD33*AD35/SUMPRODUCT($D33:$GA33,$D35:$GA35),0)</x:f>
      </x:c>
      <x:c r="AE36" s="35" t="n">
        <x:f>IFERROR(AE33*AE35/SUMPRODUCT($D33:$GA33,$D35:$GA35),0)</x:f>
      </x:c>
      <x:c r="AF36" s="35" t="n">
        <x:f>IFERROR(AF33*AF35/SUMPRODUCT($D33:$GA33,$D35:$GA35),0)</x:f>
      </x:c>
      <x:c r="AG36" s="35" t="n">
        <x:f>IFERROR(AG33*AG35/SUMPRODUCT($D33:$GA33,$D35:$GA35),0)</x:f>
      </x:c>
      <x:c r="AH36" s="35" t="n">
        <x:f>IFERROR(AH33*AH35/SUMPRODUCT($D33:$GA33,$D35:$GA35),0)</x:f>
      </x:c>
      <x:c r="AI36" s="35" t="n">
        <x:f>IFERROR(AI33*AI35/SUMPRODUCT($D33:$GA33,$D35:$GA35),0)</x:f>
      </x:c>
      <x:c r="AJ36" s="35" t="n">
        <x:f>IFERROR(AJ33*AJ35/SUMPRODUCT($D33:$GA33,$D35:$GA35),0)</x:f>
      </x:c>
      <x:c r="AK36" s="35" t="n">
        <x:f>IFERROR(AK33*AK35/SUMPRODUCT($D33:$GA33,$D35:$GA35),0)</x:f>
      </x:c>
      <x:c r="AL36" s="35" t="n">
        <x:f>IFERROR(AL33*AL35/SUMPRODUCT($D33:$GA33,$D35:$GA35),0)</x:f>
      </x:c>
      <x:c r="AM36" s="35" t="n">
        <x:f>IFERROR(AM33*AM35/SUMPRODUCT($D33:$GA33,$D35:$GA35),0)</x:f>
      </x:c>
      <x:c r="AN36" s="35" t="n">
        <x:f>IFERROR(AN33*AN35/SUMPRODUCT($D33:$GA33,$D35:$GA35),0)</x:f>
      </x:c>
      <x:c r="AO36" s="35" t="n">
        <x:f>IFERROR(AO33*AO35/SUMPRODUCT($D33:$GA33,$D35:$GA35),0)</x:f>
      </x:c>
      <x:c r="AP36" s="35" t="n">
        <x:f>IFERROR(AP33*AP35/SUMPRODUCT($D33:$GA33,$D35:$GA35),0)</x:f>
      </x:c>
      <x:c r="AQ36" s="35" t="n">
        <x:f>IFERROR(AQ33*AQ35/SUMPRODUCT($D33:$GA33,$D35:$GA35),0)</x:f>
      </x:c>
      <x:c r="AR36" s="35" t="n">
        <x:f>IFERROR(AR33*AR35/SUMPRODUCT($D33:$GA33,$D35:$GA35),0)</x:f>
      </x:c>
      <x:c r="AS36" s="35" t="n">
        <x:f>IFERROR(AS33*AS35/SUMPRODUCT($D33:$GA33,$D35:$GA35),0)</x:f>
      </x:c>
      <x:c r="AT36" s="35" t="n">
        <x:f>IFERROR(AT33*AT35/SUMPRODUCT($D33:$GA33,$D35:$GA35),0)</x:f>
      </x:c>
      <x:c r="AU36" s="35" t="n">
        <x:f>IFERROR(AU33*AU35/SUMPRODUCT($D33:$GA33,$D35:$GA35),0)</x:f>
      </x:c>
      <x:c r="AV36" s="35" t="n">
        <x:f>IFERROR(AV33*AV35/SUMPRODUCT($D33:$GA33,$D35:$GA35),0)</x:f>
      </x:c>
      <x:c r="AW36" s="35" t="n">
        <x:f>IFERROR(AW33*AW35/SUMPRODUCT($D33:$GA33,$D35:$GA35),0)</x:f>
      </x:c>
      <x:c r="AX36" s="35" t="n">
        <x:f>IFERROR(AX33*AX35/SUMPRODUCT($D33:$GA33,$D35:$GA35),0)</x:f>
      </x:c>
      <x:c r="AY36" s="35" t="n">
        <x:f>IFERROR(AY33*AY35/SUMPRODUCT($D33:$GA33,$D35:$GA35),0)</x:f>
      </x:c>
      <x:c r="AZ36" s="35" t="n">
        <x:f>IFERROR(AZ33*AZ35/SUMPRODUCT($D33:$GA33,$D35:$GA35),0)</x:f>
      </x:c>
      <x:c r="BA36" s="35" t="n">
        <x:f>IFERROR(BA33*BA35/SUMPRODUCT($D33:$GA33,$D35:$GA35),0)</x:f>
      </x:c>
      <x:c r="BB36" s="35" t="n">
        <x:f>IFERROR(BB33*BB35/SUMPRODUCT($D33:$GA33,$D35:$GA35),0)</x:f>
      </x:c>
      <x:c r="BC36" s="35" t="n">
        <x:f>IFERROR(BC33*BC35/SUMPRODUCT($D33:$GA33,$D35:$GA35),0)</x:f>
      </x:c>
      <x:c r="BD36" s="35" t="n">
        <x:f>IFERROR(BD33*BD35/SUMPRODUCT($D33:$GA33,$D35:$GA35),0)</x:f>
      </x:c>
      <x:c r="BE36" s="35" t="n">
        <x:f>IFERROR(BE33*BE35/SUMPRODUCT($D33:$GA33,$D35:$GA35),0)</x:f>
      </x:c>
      <x:c r="BF36" s="35" t="n">
        <x:f>IFERROR(BF33*BF35/SUMPRODUCT($D33:$GA33,$D35:$GA35),0)</x:f>
      </x:c>
      <x:c r="BG36" s="35" t="n">
        <x:f>IFERROR(BG33*BG35/SUMPRODUCT($D33:$GA33,$D35:$GA35),0)</x:f>
      </x:c>
      <x:c r="BH36" s="35" t="n">
        <x:f>IFERROR(BH33*BH35/SUMPRODUCT($D33:$GA33,$D35:$GA35),0)</x:f>
      </x:c>
      <x:c r="BI36" s="35" t="n">
        <x:f>IFERROR(BI33*BI35/SUMPRODUCT($D33:$GA33,$D35:$GA35),0)</x:f>
      </x:c>
      <x:c r="BJ36" s="35" t="n">
        <x:f>IFERROR(BJ33*BJ35/SUMPRODUCT($D33:$GA33,$D35:$GA35),0)</x:f>
      </x:c>
      <x:c r="BK36" s="35" t="n">
        <x:f>IFERROR(BK33*BK35/SUMPRODUCT($D33:$GA33,$D35:$GA35),0)</x:f>
      </x:c>
      <x:c r="BL36" s="35" t="n">
        <x:f>IFERROR(BL33*BL35/SUMPRODUCT($D33:$GA33,$D35:$GA35),0)</x:f>
      </x:c>
      <x:c r="BM36" s="35" t="n">
        <x:f>IFERROR(BM33*BM35/SUMPRODUCT($D33:$GA33,$D35:$GA35),0)</x:f>
      </x:c>
      <x:c r="BN36" s="35" t="n">
        <x:f>IFERROR(BN33*BN35/SUMPRODUCT($D33:$GA33,$D35:$GA35),0)</x:f>
      </x:c>
      <x:c r="BO36" s="35" t="n">
        <x:f>IFERROR(BO33*BO35/SUMPRODUCT($D33:$GA33,$D35:$GA35),0)</x:f>
      </x:c>
      <x:c r="BP36" s="35" t="n">
        <x:f>IFERROR(BP33*BP35/SUMPRODUCT($D33:$GA33,$D35:$GA35),0)</x:f>
      </x:c>
      <x:c r="BQ36" s="35" t="n">
        <x:f>IFERROR(BQ33*BQ35/SUMPRODUCT($D33:$GA33,$D35:$GA35),0)</x:f>
      </x:c>
      <x:c r="BR36" s="35" t="n">
        <x:f>IFERROR(BR33*BR35/SUMPRODUCT($D33:$GA33,$D35:$GA35),0)</x:f>
      </x:c>
      <x:c r="BS36" s="35" t="n">
        <x:f>IFERROR(BS33*BS35/SUMPRODUCT($D33:$GA33,$D35:$GA35),0)</x:f>
      </x:c>
      <x:c r="BT36" s="35" t="n">
        <x:f>IFERROR(BT33*BT35/SUMPRODUCT($D33:$GA33,$D35:$GA35),0)</x:f>
      </x:c>
      <x:c r="BU36" s="35" t="n">
        <x:f>IFERROR(BU33*BU35/SUMPRODUCT($D33:$GA33,$D35:$GA35),0)</x:f>
      </x:c>
      <x:c r="BV36" s="35" t="n">
        <x:f>IFERROR(BV33*BV35/SUMPRODUCT($D33:$GA33,$D35:$GA35),0)</x:f>
      </x:c>
      <x:c r="BW36" s="35" t="n">
        <x:f>IFERROR(BW33*BW35/SUMPRODUCT($D33:$GA33,$D35:$GA35),0)</x:f>
      </x:c>
      <x:c r="BX36" s="35" t="n">
        <x:f>IFERROR(BX33*BX35/SUMPRODUCT($D33:$GA33,$D35:$GA35),0)</x:f>
      </x:c>
      <x:c r="BY36" s="35" t="n">
        <x:f>IFERROR(BY33*BY35/SUMPRODUCT($D33:$GA33,$D35:$GA35),0)</x:f>
      </x:c>
      <x:c r="BZ36" s="35" t="n">
        <x:f>IFERROR(BZ33*BZ35/SUMPRODUCT($D33:$GA33,$D35:$GA35),0)</x:f>
      </x:c>
      <x:c r="CA36" s="35" t="n">
        <x:f>IFERROR(CA33*CA35/SUMPRODUCT($D33:$GA33,$D35:$GA35),0)</x:f>
      </x:c>
      <x:c r="CB36" s="35" t="n">
        <x:f>IFERROR(CB33*CB35/SUMPRODUCT($D33:$GA33,$D35:$GA35),0)</x:f>
      </x:c>
      <x:c r="CC36" s="35" t="n">
        <x:f>IFERROR(CC33*CC35/SUMPRODUCT($D33:$GA33,$D35:$GA35),0)</x:f>
      </x:c>
      <x:c r="CD36" s="35" t="n">
        <x:f>IFERROR(CD33*CD35/SUMPRODUCT($D33:$GA33,$D35:$GA35),0)</x:f>
      </x:c>
      <x:c r="CE36" s="35" t="n">
        <x:f>IFERROR(CE33*CE35/SUMPRODUCT($D33:$GA33,$D35:$GA35),0)</x:f>
      </x:c>
      <x:c r="CF36" s="35" t="n">
        <x:f>IFERROR(CF33*CF35/SUMPRODUCT($D33:$GA33,$D35:$GA35),0)</x:f>
      </x:c>
      <x:c r="CG36" s="35" t="n">
        <x:f>IFERROR(CG33*CG35/SUMPRODUCT($D33:$GA33,$D35:$GA35),0)</x:f>
      </x:c>
      <x:c r="CH36" s="35" t="n">
        <x:f>IFERROR(CH33*CH35/SUMPRODUCT($D33:$GA33,$D35:$GA35),0)</x:f>
      </x:c>
      <x:c r="CI36" s="35" t="n">
        <x:f>IFERROR(CI33*CI35/SUMPRODUCT($D33:$GA33,$D35:$GA35),0)</x:f>
      </x:c>
      <x:c r="CJ36" s="35" t="n">
        <x:f>IFERROR(CJ33*CJ35/SUMPRODUCT($D33:$GA33,$D35:$GA35),0)</x:f>
      </x:c>
      <x:c r="CK36" s="35" t="n">
        <x:f>IFERROR(CK33*CK35/SUMPRODUCT($D33:$GA33,$D35:$GA35),0)</x:f>
      </x:c>
      <x:c r="CL36" s="35" t="n">
        <x:f>IFERROR(CL33*CL35/SUMPRODUCT($D33:$GA33,$D35:$GA35),0)</x:f>
      </x:c>
      <x:c r="CM36" s="35" t="n">
        <x:f>IFERROR(CM33*CM35/SUMPRODUCT($D33:$GA33,$D35:$GA35),0)</x:f>
      </x:c>
      <x:c r="CN36" s="35" t="n">
        <x:f>IFERROR(CN33*CN35/SUMPRODUCT($D33:$GA33,$D35:$GA35),0)</x:f>
      </x:c>
      <x:c r="CO36" s="35" t="n">
        <x:f>IFERROR(CO33*CO35/SUMPRODUCT($D33:$GA33,$D35:$GA35),0)</x:f>
      </x:c>
      <x:c r="CP36" s="35" t="n">
        <x:f>IFERROR(CP33*CP35/SUMPRODUCT($D33:$GA33,$D35:$GA35),0)</x:f>
      </x:c>
      <x:c r="CQ36" s="35" t="n">
        <x:f>IFERROR(CQ33*CQ35/SUMPRODUCT($D33:$GA33,$D35:$GA35),0)</x:f>
      </x:c>
      <x:c r="CR36" s="35" t="n">
        <x:f>IFERROR(CR33*CR35/SUMPRODUCT($D33:$GA33,$D35:$GA35),0)</x:f>
      </x:c>
      <x:c r="CS36" s="35" t="n">
        <x:f>IFERROR(CS33*CS35/SUMPRODUCT($D33:$GA33,$D35:$GA35),0)</x:f>
      </x:c>
      <x:c r="CT36" s="35" t="n">
        <x:f>IFERROR(CT33*CT35/SUMPRODUCT($D33:$GA33,$D35:$GA35),0)</x:f>
      </x:c>
      <x:c r="CU36" s="35" t="n">
        <x:f>IFERROR(CU33*CU35/SUMPRODUCT($D33:$GA33,$D35:$GA35),0)</x:f>
      </x:c>
      <x:c r="CV36" s="35" t="n">
        <x:f>IFERROR(CV33*CV35/SUMPRODUCT($D33:$GA33,$D35:$GA35),0)</x:f>
      </x:c>
      <x:c r="CW36" s="35" t="n">
        <x:f>IFERROR(CW33*CW35/SUMPRODUCT($D33:$GA33,$D35:$GA35),0)</x:f>
      </x:c>
      <x:c r="CX36" s="35" t="n">
        <x:f>IFERROR(CX33*CX35/SUMPRODUCT($D33:$GA33,$D35:$GA35),0)</x:f>
      </x:c>
      <x:c r="CY36" s="35" t="n">
        <x:f>IFERROR(CY33*CY35/SUMPRODUCT($D33:$GA33,$D35:$GA35),0)</x:f>
      </x:c>
      <x:c r="CZ36" s="35" t="n">
        <x:f>IFERROR(CZ33*CZ35/SUMPRODUCT($D33:$GA33,$D35:$GA35),0)</x:f>
      </x:c>
      <x:c r="DA36" s="35" t="n">
        <x:f>IFERROR(DA33*DA35/SUMPRODUCT($D33:$GA33,$D35:$GA35),0)</x:f>
      </x:c>
      <x:c r="DB36" s="35" t="n">
        <x:f>IFERROR(DB33*DB35/SUMPRODUCT($D33:$GA33,$D35:$GA35),0)</x:f>
      </x:c>
      <x:c r="DC36" s="35" t="n">
        <x:f>IFERROR(DC33*DC35/SUMPRODUCT($D33:$GA33,$D35:$GA35),0)</x:f>
      </x:c>
      <x:c r="DD36" s="35" t="n">
        <x:f>IFERROR(DD33*DD35/SUMPRODUCT($D33:$GA33,$D35:$GA35),0)</x:f>
      </x:c>
      <x:c r="DE36" s="35" t="n">
        <x:f>IFERROR(DE33*DE35/SUMPRODUCT($D33:$GA33,$D35:$GA35),0)</x:f>
      </x:c>
      <x:c r="DF36" s="35" t="n">
        <x:f>IFERROR(DF33*DF35/SUMPRODUCT($D33:$GA33,$D35:$GA35),0)</x:f>
      </x:c>
      <x:c r="DG36" s="35" t="n">
        <x:f>IFERROR(DG33*DG35/SUMPRODUCT($D33:$GA33,$D35:$GA35),0)</x:f>
      </x:c>
      <x:c r="DH36" s="35" t="n">
        <x:f>IFERROR(DH33*DH35/SUMPRODUCT($D33:$GA33,$D35:$GA35),0)</x:f>
      </x:c>
      <x:c r="DI36" s="35" t="n">
        <x:f>IFERROR(DI33*DI35/SUMPRODUCT($D33:$GA33,$D35:$GA35),0)</x:f>
      </x:c>
      <x:c r="DJ36" s="35" t="n">
        <x:f>IFERROR(DJ33*DJ35/SUMPRODUCT($D33:$GA33,$D35:$GA35),0)</x:f>
      </x:c>
      <x:c r="DK36" s="35" t="n">
        <x:f>IFERROR(DK33*DK35/SUMPRODUCT($D33:$GA33,$D35:$GA35),0)</x:f>
      </x:c>
      <x:c r="DL36" s="35" t="n">
        <x:f>IFERROR(DL33*DL35/SUMPRODUCT($D33:$GA33,$D35:$GA35),0)</x:f>
      </x:c>
      <x:c r="DM36" s="35" t="n">
        <x:f>IFERROR(DM33*DM35/SUMPRODUCT($D33:$GA33,$D35:$GA35),0)</x:f>
      </x:c>
      <x:c r="DN36" s="35" t="n">
        <x:f>IFERROR(DN33*DN35/SUMPRODUCT($D33:$GA33,$D35:$GA35),0)</x:f>
      </x:c>
      <x:c r="DO36" s="35" t="n">
        <x:f>IFERROR(DO33*DO35/SUMPRODUCT($D33:$GA33,$D35:$GA35),0)</x:f>
      </x:c>
      <x:c r="DP36" s="35" t="n">
        <x:f>IFERROR(DP33*DP35/SUMPRODUCT($D33:$GA33,$D35:$GA35),0)</x:f>
      </x:c>
      <x:c r="DQ36" s="35" t="n">
        <x:f>IFERROR(DQ33*DQ35/SUMPRODUCT($D33:$GA33,$D35:$GA35),0)</x:f>
      </x:c>
      <x:c r="DR36" s="35" t="n">
        <x:f>IFERROR(DR33*DR35/SUMPRODUCT($D33:$GA33,$D35:$GA35),0)</x:f>
      </x:c>
      <x:c r="DS36" s="35" t="n">
        <x:f>IFERROR(DS33*DS35/SUMPRODUCT($D33:$GA33,$D35:$GA35),0)</x:f>
      </x:c>
      <x:c r="DT36" s="35" t="n">
        <x:f>IFERROR(DT33*DT35/SUMPRODUCT($D33:$GA33,$D35:$GA35),0)</x:f>
      </x:c>
      <x:c r="DU36" s="35" t="n">
        <x:f>IFERROR(DU33*DU35/SUMPRODUCT($D33:$GA33,$D35:$GA35),0)</x:f>
      </x:c>
      <x:c r="DV36" s="35" t="n">
        <x:f>IFERROR(DV33*DV35/SUMPRODUCT($D33:$GA33,$D35:$GA35),0)</x:f>
      </x:c>
      <x:c r="DW36" s="35" t="n">
        <x:f>IFERROR(DW33*DW35/SUMPRODUCT($D33:$GA33,$D35:$GA35),0)</x:f>
      </x:c>
      <x:c r="DX36" s="35" t="n">
        <x:f>IFERROR(DX33*DX35/SUMPRODUCT($D33:$GA33,$D35:$GA35),0)</x:f>
      </x:c>
      <x:c r="DY36" s="35" t="n">
        <x:f>IFERROR(DY33*DY35/SUMPRODUCT($D33:$GA33,$D35:$GA35),0)</x:f>
      </x:c>
      <x:c r="DZ36" s="35" t="n">
        <x:f>IFERROR(DZ33*DZ35/SUMPRODUCT($D33:$GA33,$D35:$GA35),0)</x:f>
      </x:c>
      <x:c r="EA36" s="35" t="n">
        <x:f>IFERROR(EA33*EA35/SUMPRODUCT($D33:$GA33,$D35:$GA35),0)</x:f>
      </x:c>
      <x:c r="EB36" s="35" t="n">
        <x:f>IFERROR(EB33*EB35/SUMPRODUCT($D33:$GA33,$D35:$GA35),0)</x:f>
      </x:c>
      <x:c r="EC36" s="35" t="n">
        <x:f>IFERROR(EC33*EC35/SUMPRODUCT($D33:$GA33,$D35:$GA35),0)</x:f>
      </x:c>
      <x:c r="ED36" s="35" t="n">
        <x:f>IFERROR(ED33*ED35/SUMPRODUCT($D33:$GA33,$D35:$GA35),0)</x:f>
      </x:c>
      <x:c r="EE36" s="35" t="n">
        <x:f>IFERROR(EE33*EE35/SUMPRODUCT($D33:$GA33,$D35:$GA35),0)</x:f>
      </x:c>
      <x:c r="EF36" s="35" t="n">
        <x:f>IFERROR(EF33*EF35/SUMPRODUCT($D33:$GA33,$D35:$GA35),0)</x:f>
      </x:c>
      <x:c r="EG36" s="35" t="n">
        <x:f>IFERROR(EG33*EG35/SUMPRODUCT($D33:$GA33,$D35:$GA35),0)</x:f>
      </x:c>
      <x:c r="EH36" s="35" t="n">
        <x:f>IFERROR(EH33*EH35/SUMPRODUCT($D33:$GA33,$D35:$GA35),0)</x:f>
      </x:c>
      <x:c r="EI36" s="35" t="n">
        <x:f>IFERROR(EI33*EI35/SUMPRODUCT($D33:$GA33,$D35:$GA35),0)</x:f>
      </x:c>
      <x:c r="EJ36" s="35" t="n">
        <x:f>IFERROR(EJ33*EJ35/SUMPRODUCT($D33:$GA33,$D35:$GA35),0)</x:f>
      </x:c>
      <x:c r="EK36" s="35" t="n">
        <x:f>IFERROR(EK33*EK35/SUMPRODUCT($D33:$GA33,$D35:$GA35),0)</x:f>
      </x:c>
      <x:c r="EL36" s="35" t="n">
        <x:f>IFERROR(EL33*EL35/SUMPRODUCT($D33:$GA33,$D35:$GA35),0)</x:f>
      </x:c>
      <x:c r="EM36" s="35" t="n">
        <x:f>IFERROR(EM33*EM35/SUMPRODUCT($D33:$GA33,$D35:$GA35),0)</x:f>
      </x:c>
      <x:c r="EN36" s="35" t="n">
        <x:f>IFERROR(EN33*EN35/SUMPRODUCT($D33:$GA33,$D35:$GA35),0)</x:f>
      </x:c>
      <x:c r="EO36" s="35" t="n">
        <x:f>IFERROR(EO33*EO35/SUMPRODUCT($D33:$GA33,$D35:$GA35),0)</x:f>
      </x:c>
      <x:c r="EP36" s="35" t="n">
        <x:f>IFERROR(EP33*EP35/SUMPRODUCT($D33:$GA33,$D35:$GA35),0)</x:f>
      </x:c>
      <x:c r="EQ36" s="35" t="n">
        <x:f>IFERROR(EQ33*EQ35/SUMPRODUCT($D33:$GA33,$D35:$GA35),0)</x:f>
      </x:c>
      <x:c r="ER36" s="35" t="n">
        <x:f>IFERROR(ER33*ER35/SUMPRODUCT($D33:$GA33,$D35:$GA35),0)</x:f>
      </x:c>
      <x:c r="ES36" s="35" t="n">
        <x:f>IFERROR(ES33*ES35/SUMPRODUCT($D33:$GA33,$D35:$GA35),0)</x:f>
      </x:c>
      <x:c r="ET36" s="35" t="n">
        <x:f>IFERROR(ET33*ET35/SUMPRODUCT($D33:$GA33,$D35:$GA35),0)</x:f>
      </x:c>
      <x:c r="EU36" s="35" t="n">
        <x:f>IFERROR(EU33*EU35/SUMPRODUCT($D33:$GA33,$D35:$GA35),0)</x:f>
      </x:c>
      <x:c r="EV36" s="35" t="n">
        <x:f>IFERROR(EV33*EV35/SUMPRODUCT($D33:$GA33,$D35:$GA35),0)</x:f>
      </x:c>
      <x:c r="EW36" s="35" t="n">
        <x:f>IFERROR(EW33*EW35/SUMPRODUCT($D33:$GA33,$D35:$GA35),0)</x:f>
      </x:c>
      <x:c r="EX36" s="35" t="n">
        <x:f>IFERROR(EX33*EX35/SUMPRODUCT($D33:$GA33,$D35:$GA35),0)</x:f>
      </x:c>
      <x:c r="EY36" s="35" t="n">
        <x:f>IFERROR(EY33*EY35/SUMPRODUCT($D33:$GA33,$D35:$GA35),0)</x:f>
      </x:c>
      <x:c r="EZ36" s="35" t="n">
        <x:f>IFERROR(EZ33*EZ35/SUMPRODUCT($D33:$GA33,$D35:$GA35),0)</x:f>
      </x:c>
      <x:c r="FA36" s="35" t="n">
        <x:f>IFERROR(FA33*FA35/SUMPRODUCT($D33:$GA33,$D35:$GA35),0)</x:f>
      </x:c>
      <x:c r="FB36" s="35" t="n">
        <x:f>IFERROR(FB33*FB35/SUMPRODUCT($D33:$GA33,$D35:$GA35),0)</x:f>
      </x:c>
      <x:c r="FC36" s="35" t="n">
        <x:f>IFERROR(FC33*FC35/SUMPRODUCT($D33:$GA33,$D35:$GA35),0)</x:f>
      </x:c>
      <x:c r="FD36" s="35" t="n">
        <x:f>IFERROR(FD33*FD35/SUMPRODUCT($D33:$GA33,$D35:$GA35),0)</x:f>
      </x:c>
      <x:c r="FE36" s="35" t="n">
        <x:f>IFERROR(FE33*FE35/SUMPRODUCT($D33:$GA33,$D35:$GA35),0)</x:f>
      </x:c>
      <x:c r="FF36" s="35" t="n">
        <x:f>IFERROR(FF33*FF35/SUMPRODUCT($D33:$GA33,$D35:$GA35),0)</x:f>
      </x:c>
      <x:c r="FG36" s="35" t="n">
        <x:f>IFERROR(FG33*FG35/SUMPRODUCT($D33:$GA33,$D35:$GA35),0)</x:f>
      </x:c>
      <x:c r="FH36" s="35" t="n">
        <x:f>IFERROR(FH33*FH35/SUMPRODUCT($D33:$GA33,$D35:$GA35),0)</x:f>
      </x:c>
      <x:c r="FI36" s="35" t="n">
        <x:f>IFERROR(FI33*FI35/SUMPRODUCT($D33:$GA33,$D35:$GA35),0)</x:f>
      </x:c>
      <x:c r="FJ36" s="35" t="n">
        <x:f>IFERROR(FJ33*FJ35/SUMPRODUCT($D33:$GA33,$D35:$GA35),0)</x:f>
      </x:c>
      <x:c r="FK36" s="35" t="n">
        <x:f>IFERROR(FK33*FK35/SUMPRODUCT($D33:$GA33,$D35:$GA35),0)</x:f>
      </x:c>
      <x:c r="FL36" s="35" t="n">
        <x:f>IFERROR(FL33*FL35/SUMPRODUCT($D33:$GA33,$D35:$GA35),0)</x:f>
      </x:c>
      <x:c r="FM36" s="35" t="n">
        <x:f>IFERROR(FM33*FM35/SUMPRODUCT($D33:$GA33,$D35:$GA35),0)</x:f>
      </x:c>
      <x:c r="FN36" s="35" t="n">
        <x:f>IFERROR(FN33*FN35/SUMPRODUCT($D33:$GA33,$D35:$GA35),0)</x:f>
      </x:c>
      <x:c r="FO36" s="35" t="n">
        <x:f>IFERROR(FO33*FO35/SUMPRODUCT($D33:$GA33,$D35:$GA35),0)</x:f>
      </x:c>
      <x:c r="FP36" s="35" t="n">
        <x:f>IFERROR(FP33*FP35/SUMPRODUCT($D33:$GA33,$D35:$GA35),0)</x:f>
      </x:c>
      <x:c r="FQ36" s="35" t="n">
        <x:f>IFERROR(FQ33*FQ35/SUMPRODUCT($D33:$GA33,$D35:$GA35),0)</x:f>
      </x:c>
      <x:c r="FR36" s="35" t="n">
        <x:f>IFERROR(FR33*FR35/SUMPRODUCT($D33:$GA33,$D35:$GA35),0)</x:f>
      </x:c>
      <x:c r="FS36" s="35" t="n">
        <x:f>IFERROR(FS33*FS35/SUMPRODUCT($D33:$GA33,$D35:$GA35),0)</x:f>
      </x:c>
      <x:c r="FT36" s="35" t="n">
        <x:f>IFERROR(FT33*FT35/SUMPRODUCT($D33:$GA33,$D35:$GA35),0)</x:f>
      </x:c>
      <x:c r="FU36" s="35" t="n">
        <x:f>IFERROR(FU33*FU35/SUMPRODUCT($D33:$GA33,$D35:$GA35),0)</x:f>
      </x:c>
      <x:c r="FV36" s="35" t="n">
        <x:f>IFERROR(FV33*FV35/SUMPRODUCT($D33:$GA33,$D35:$GA35),0)</x:f>
      </x:c>
      <x:c r="FW36" s="35" t="n">
        <x:f>IFERROR(FW33*FW35/SUMPRODUCT($D33:$GA33,$D35:$GA35),0)</x:f>
      </x:c>
      <x:c r="FX36" s="35" t="n">
        <x:f>IFERROR(FX33*FX35/SUMPRODUCT($D33:$GA33,$D35:$GA35),0)</x:f>
      </x:c>
      <x:c r="FY36" s="35" t="n">
        <x:f>IFERROR(FY33*FY35/SUMPRODUCT($D33:$GA33,$D35:$GA35),0)</x:f>
      </x:c>
      <x:c r="FZ36" s="35" t="n">
        <x:f>IFERROR(FZ33*FZ35/SUMPRODUCT($D33:$GA33,$D35:$GA35),0)</x:f>
      </x:c>
      <x:c r="GA36" s="35" t="n">
        <x:f>IFERROR(GA33*GA35/SUMPRODUCT($D33:$GA33,$D35:$GA35),0)</x:f>
      </x:c>
    </x:row>
    <x:row r="37">
      <x:c r="A37" t="str">
        <x:v>Квартиры — объём</x:v>
      </x:c>
      <x:c r="B37" t="n">
        <x:f>SUM(D37:GA37)</x:f>
      </x:c>
      <x:c r="C37" t="str">
        <x:v>м²</x:v>
      </x:c>
      <x:c r="D37" s="107" t="n">
        <x:f>'Вводные'!$L$89*((IF(SUM($D32:$GA32)=0,0,IF(SUM($D35:$GA35)=0,1,'Вводные'!$B$63)))*D34+(1-(IF(SUM($D32:$GA32)=0,0,IF(SUM($D35:$GA35)=0,1,'Вводные'!$B$63))))*D36)</x:f>
      </x:c>
      <x:c r="E37" s="107" t="n">
        <x:f>'Вводные'!$L$89*((IF(SUM($D32:$GA32)=0,0,IF(SUM($D35:$GA35)=0,1,'Вводные'!$B$63)))*E34+(1-(IF(SUM($D32:$GA32)=0,0,IF(SUM($D35:$GA35)=0,1,'Вводные'!$B$63))))*E36)</x:f>
      </x:c>
      <x:c r="F37" s="107" t="n">
        <x:f>'Вводные'!$L$89*((IF(SUM($D32:$GA32)=0,0,IF(SUM($D35:$GA35)=0,1,'Вводные'!$B$63)))*F34+(1-(IF(SUM($D32:$GA32)=0,0,IF(SUM($D35:$GA35)=0,1,'Вводные'!$B$63))))*F36)</x:f>
      </x:c>
      <x:c r="G37" s="107" t="n">
        <x:f>'Вводные'!$L$89*((IF(SUM($D32:$GA32)=0,0,IF(SUM($D35:$GA35)=0,1,'Вводные'!$B$63)))*G34+(1-(IF(SUM($D32:$GA32)=0,0,IF(SUM($D35:$GA35)=0,1,'Вводные'!$B$63))))*G36)</x:f>
      </x:c>
      <x:c r="H37" s="107" t="n">
        <x:f>'Вводные'!$L$89*((IF(SUM($D32:$GA32)=0,0,IF(SUM($D35:$GA35)=0,1,'Вводные'!$B$63)))*H34+(1-(IF(SUM($D32:$GA32)=0,0,IF(SUM($D35:$GA35)=0,1,'Вводные'!$B$63))))*H36)</x:f>
      </x:c>
      <x:c r="I37" s="107" t="n">
        <x:f>'Вводные'!$L$89*((IF(SUM($D32:$GA32)=0,0,IF(SUM($D35:$GA35)=0,1,'Вводные'!$B$63)))*I34+(1-(IF(SUM($D32:$GA32)=0,0,IF(SUM($D35:$GA35)=0,1,'Вводные'!$B$63))))*I36)</x:f>
      </x:c>
      <x:c r="J37" s="107" t="n">
        <x:f>'Вводные'!$L$89*((IF(SUM($D32:$GA32)=0,0,IF(SUM($D35:$GA35)=0,1,'Вводные'!$B$63)))*J34+(1-(IF(SUM($D32:$GA32)=0,0,IF(SUM($D35:$GA35)=0,1,'Вводные'!$B$63))))*J36)</x:f>
      </x:c>
      <x:c r="K37" s="107" t="n">
        <x:f>'Вводные'!$L$89*((IF(SUM($D32:$GA32)=0,0,IF(SUM($D35:$GA35)=0,1,'Вводные'!$B$63)))*K34+(1-(IF(SUM($D32:$GA32)=0,0,IF(SUM($D35:$GA35)=0,1,'Вводные'!$B$63))))*K36)</x:f>
      </x:c>
      <x:c r="L37" s="107" t="n">
        <x:f>'Вводные'!$L$89*((IF(SUM($D32:$GA32)=0,0,IF(SUM($D35:$GA35)=0,1,'Вводные'!$B$63)))*L34+(1-(IF(SUM($D32:$GA32)=0,0,IF(SUM($D35:$GA35)=0,1,'Вводные'!$B$63))))*L36)</x:f>
      </x:c>
      <x:c r="M37" s="107" t="n">
        <x:f>'Вводные'!$L$89*((IF(SUM($D32:$GA32)=0,0,IF(SUM($D35:$GA35)=0,1,'Вводные'!$B$63)))*M34+(1-(IF(SUM($D32:$GA32)=0,0,IF(SUM($D35:$GA35)=0,1,'Вводные'!$B$63))))*M36)</x:f>
      </x:c>
      <x:c r="N37" s="107" t="n">
        <x:f>'Вводные'!$L$89*((IF(SUM($D32:$GA32)=0,0,IF(SUM($D35:$GA35)=0,1,'Вводные'!$B$63)))*N34+(1-(IF(SUM($D32:$GA32)=0,0,IF(SUM($D35:$GA35)=0,1,'Вводные'!$B$63))))*N36)</x:f>
      </x:c>
      <x:c r="O37" s="107" t="n">
        <x:f>'Вводные'!$L$89*((IF(SUM($D32:$GA32)=0,0,IF(SUM($D35:$GA35)=0,1,'Вводные'!$B$63)))*O34+(1-(IF(SUM($D32:$GA32)=0,0,IF(SUM($D35:$GA35)=0,1,'Вводные'!$B$63))))*O36)</x:f>
      </x:c>
      <x:c r="P37" s="107" t="n">
        <x:f>'Вводные'!$L$89*((IF(SUM($D32:$GA32)=0,0,IF(SUM($D35:$GA35)=0,1,'Вводные'!$B$63)))*P34+(1-(IF(SUM($D32:$GA32)=0,0,IF(SUM($D35:$GA35)=0,1,'Вводные'!$B$63))))*P36)</x:f>
      </x:c>
      <x:c r="Q37" s="107" t="n">
        <x:f>'Вводные'!$L$89*((IF(SUM($D32:$GA32)=0,0,IF(SUM($D35:$GA35)=0,1,'Вводные'!$B$63)))*Q34+(1-(IF(SUM($D32:$GA32)=0,0,IF(SUM($D35:$GA35)=0,1,'Вводные'!$B$63))))*Q36)</x:f>
      </x:c>
      <x:c r="R37" s="107" t="n">
        <x:f>'Вводные'!$L$89*((IF(SUM($D32:$GA32)=0,0,IF(SUM($D35:$GA35)=0,1,'Вводные'!$B$63)))*R34+(1-(IF(SUM($D32:$GA32)=0,0,IF(SUM($D35:$GA35)=0,1,'Вводные'!$B$63))))*R36)</x:f>
      </x:c>
      <x:c r="S37" s="107" t="n">
        <x:f>'Вводные'!$L$89*((IF(SUM($D32:$GA32)=0,0,IF(SUM($D35:$GA35)=0,1,'Вводные'!$B$63)))*S34+(1-(IF(SUM($D32:$GA32)=0,0,IF(SUM($D35:$GA35)=0,1,'Вводные'!$B$63))))*S36)</x:f>
      </x:c>
      <x:c r="T37" s="107" t="n">
        <x:f>'Вводные'!$L$89*((IF(SUM($D32:$GA32)=0,0,IF(SUM($D35:$GA35)=0,1,'Вводные'!$B$63)))*T34+(1-(IF(SUM($D32:$GA32)=0,0,IF(SUM($D35:$GA35)=0,1,'Вводные'!$B$63))))*T36)</x:f>
      </x:c>
      <x:c r="U37" s="107" t="n">
        <x:f>'Вводные'!$L$89*((IF(SUM($D32:$GA32)=0,0,IF(SUM($D35:$GA35)=0,1,'Вводные'!$B$63)))*U34+(1-(IF(SUM($D32:$GA32)=0,0,IF(SUM($D35:$GA35)=0,1,'Вводные'!$B$63))))*U36)</x:f>
      </x:c>
      <x:c r="V37" s="107" t="n">
        <x:f>'Вводные'!$L$89*((IF(SUM($D32:$GA32)=0,0,IF(SUM($D35:$GA35)=0,1,'Вводные'!$B$63)))*V34+(1-(IF(SUM($D32:$GA32)=0,0,IF(SUM($D35:$GA35)=0,1,'Вводные'!$B$63))))*V36)</x:f>
      </x:c>
      <x:c r="W37" s="107" t="n">
        <x:f>'Вводные'!$L$89*((IF(SUM($D32:$GA32)=0,0,IF(SUM($D35:$GA35)=0,1,'Вводные'!$B$63)))*W34+(1-(IF(SUM($D32:$GA32)=0,0,IF(SUM($D35:$GA35)=0,1,'Вводные'!$B$63))))*W36)</x:f>
      </x:c>
      <x:c r="X37" s="107" t="n">
        <x:f>'Вводные'!$L$89*((IF(SUM($D32:$GA32)=0,0,IF(SUM($D35:$GA35)=0,1,'Вводные'!$B$63)))*X34+(1-(IF(SUM($D32:$GA32)=0,0,IF(SUM($D35:$GA35)=0,1,'Вводные'!$B$63))))*X36)</x:f>
      </x:c>
      <x:c r="Y37" s="107" t="n">
        <x:f>'Вводные'!$L$89*((IF(SUM($D32:$GA32)=0,0,IF(SUM($D35:$GA35)=0,1,'Вводные'!$B$63)))*Y34+(1-(IF(SUM($D32:$GA32)=0,0,IF(SUM($D35:$GA35)=0,1,'Вводные'!$B$63))))*Y36)</x:f>
      </x:c>
      <x:c r="Z37" s="107" t="n">
        <x:f>'Вводные'!$L$89*((IF(SUM($D32:$GA32)=0,0,IF(SUM($D35:$GA35)=0,1,'Вводные'!$B$63)))*Z34+(1-(IF(SUM($D32:$GA32)=0,0,IF(SUM($D35:$GA35)=0,1,'Вводные'!$B$63))))*Z36)</x:f>
      </x:c>
      <x:c r="AA37" s="107" t="n">
        <x:f>'Вводные'!$L$89*((IF(SUM($D32:$GA32)=0,0,IF(SUM($D35:$GA35)=0,1,'Вводные'!$B$63)))*AA34+(1-(IF(SUM($D32:$GA32)=0,0,IF(SUM($D35:$GA35)=0,1,'Вводные'!$B$63))))*AA36)</x:f>
      </x:c>
      <x:c r="AB37" s="107" t="n">
        <x:f>'Вводные'!$L$89*((IF(SUM($D32:$GA32)=0,0,IF(SUM($D35:$GA35)=0,1,'Вводные'!$B$63)))*AB34+(1-(IF(SUM($D32:$GA32)=0,0,IF(SUM($D35:$GA35)=0,1,'Вводные'!$B$63))))*AB36)</x:f>
      </x:c>
      <x:c r="AC37" s="107" t="n">
        <x:f>'Вводные'!$L$89*((IF(SUM($D32:$GA32)=0,0,IF(SUM($D35:$GA35)=0,1,'Вводные'!$B$63)))*AC34+(1-(IF(SUM($D32:$GA32)=0,0,IF(SUM($D35:$GA35)=0,1,'Вводные'!$B$63))))*AC36)</x:f>
      </x:c>
      <x:c r="AD37" s="107" t="n">
        <x:f>'Вводные'!$L$89*((IF(SUM($D32:$GA32)=0,0,IF(SUM($D35:$GA35)=0,1,'Вводные'!$B$63)))*AD34+(1-(IF(SUM($D32:$GA32)=0,0,IF(SUM($D35:$GA35)=0,1,'Вводные'!$B$63))))*AD36)</x:f>
      </x:c>
      <x:c r="AE37" s="107" t="n">
        <x:f>'Вводные'!$L$89*((IF(SUM($D32:$GA32)=0,0,IF(SUM($D35:$GA35)=0,1,'Вводные'!$B$63)))*AE34+(1-(IF(SUM($D32:$GA32)=0,0,IF(SUM($D35:$GA35)=0,1,'Вводные'!$B$63))))*AE36)</x:f>
      </x:c>
      <x:c r="AF37" s="107" t="n">
        <x:f>'Вводные'!$L$89*((IF(SUM($D32:$GA32)=0,0,IF(SUM($D35:$GA35)=0,1,'Вводные'!$B$63)))*AF34+(1-(IF(SUM($D32:$GA32)=0,0,IF(SUM($D35:$GA35)=0,1,'Вводные'!$B$63))))*AF36)</x:f>
      </x:c>
      <x:c r="AG37" s="107" t="n">
        <x:f>'Вводные'!$L$89*((IF(SUM($D32:$GA32)=0,0,IF(SUM($D35:$GA35)=0,1,'Вводные'!$B$63)))*AG34+(1-(IF(SUM($D32:$GA32)=0,0,IF(SUM($D35:$GA35)=0,1,'Вводные'!$B$63))))*AG36)</x:f>
      </x:c>
      <x:c r="AH37" s="107" t="n">
        <x:f>'Вводные'!$L$89*((IF(SUM($D32:$GA32)=0,0,IF(SUM($D35:$GA35)=0,1,'Вводные'!$B$63)))*AH34+(1-(IF(SUM($D32:$GA32)=0,0,IF(SUM($D35:$GA35)=0,1,'Вводные'!$B$63))))*AH36)</x:f>
      </x:c>
      <x:c r="AI37" s="107" t="n">
        <x:f>'Вводные'!$L$89*((IF(SUM($D32:$GA32)=0,0,IF(SUM($D35:$GA35)=0,1,'Вводные'!$B$63)))*AI34+(1-(IF(SUM($D32:$GA32)=0,0,IF(SUM($D35:$GA35)=0,1,'Вводные'!$B$63))))*AI36)</x:f>
      </x:c>
      <x:c r="AJ37" s="107" t="n">
        <x:f>'Вводные'!$L$89*((IF(SUM($D32:$GA32)=0,0,IF(SUM($D35:$GA35)=0,1,'Вводные'!$B$63)))*AJ34+(1-(IF(SUM($D32:$GA32)=0,0,IF(SUM($D35:$GA35)=0,1,'Вводные'!$B$63))))*AJ36)</x:f>
      </x:c>
      <x:c r="AK37" s="107" t="n">
        <x:f>'Вводные'!$L$89*((IF(SUM($D32:$GA32)=0,0,IF(SUM($D35:$GA35)=0,1,'Вводные'!$B$63)))*AK34+(1-(IF(SUM($D32:$GA32)=0,0,IF(SUM($D35:$GA35)=0,1,'Вводные'!$B$63))))*AK36)</x:f>
      </x:c>
      <x:c r="AL37" s="107" t="n">
        <x:f>'Вводные'!$L$89*((IF(SUM($D32:$GA32)=0,0,IF(SUM($D35:$GA35)=0,1,'Вводные'!$B$63)))*AL34+(1-(IF(SUM($D32:$GA32)=0,0,IF(SUM($D35:$GA35)=0,1,'Вводные'!$B$63))))*AL36)</x:f>
      </x:c>
      <x:c r="AM37" s="107" t="n">
        <x:f>'Вводные'!$L$89*((IF(SUM($D32:$GA32)=0,0,IF(SUM($D35:$GA35)=0,1,'Вводные'!$B$63)))*AM34+(1-(IF(SUM($D32:$GA32)=0,0,IF(SUM($D35:$GA35)=0,1,'Вводные'!$B$63))))*AM36)</x:f>
      </x:c>
      <x:c r="AN37" s="107" t="n">
        <x:f>'Вводные'!$L$89*((IF(SUM($D32:$GA32)=0,0,IF(SUM($D35:$GA35)=0,1,'Вводные'!$B$63)))*AN34+(1-(IF(SUM($D32:$GA32)=0,0,IF(SUM($D35:$GA35)=0,1,'Вводные'!$B$63))))*AN36)</x:f>
      </x:c>
      <x:c r="AO37" s="107" t="n">
        <x:f>'Вводные'!$L$89*((IF(SUM($D32:$GA32)=0,0,IF(SUM($D35:$GA35)=0,1,'Вводные'!$B$63)))*AO34+(1-(IF(SUM($D32:$GA32)=0,0,IF(SUM($D35:$GA35)=0,1,'Вводные'!$B$63))))*AO36)</x:f>
      </x:c>
      <x:c r="AP37" s="107" t="n">
        <x:f>'Вводные'!$L$89*((IF(SUM($D32:$GA32)=0,0,IF(SUM($D35:$GA35)=0,1,'Вводные'!$B$63)))*AP34+(1-(IF(SUM($D32:$GA32)=0,0,IF(SUM($D35:$GA35)=0,1,'Вводные'!$B$63))))*AP36)</x:f>
      </x:c>
      <x:c r="AQ37" s="107" t="n">
        <x:f>'Вводные'!$L$89*((IF(SUM($D32:$GA32)=0,0,IF(SUM($D35:$GA35)=0,1,'Вводные'!$B$63)))*AQ34+(1-(IF(SUM($D32:$GA32)=0,0,IF(SUM($D35:$GA35)=0,1,'Вводные'!$B$63))))*AQ36)</x:f>
      </x:c>
      <x:c r="AR37" s="107" t="n">
        <x:f>'Вводные'!$L$89*((IF(SUM($D32:$GA32)=0,0,IF(SUM($D35:$GA35)=0,1,'Вводные'!$B$63)))*AR34+(1-(IF(SUM($D32:$GA32)=0,0,IF(SUM($D35:$GA35)=0,1,'Вводные'!$B$63))))*AR36)</x:f>
      </x:c>
      <x:c r="AS37" s="107" t="n">
        <x:f>'Вводные'!$L$89*((IF(SUM($D32:$GA32)=0,0,IF(SUM($D35:$GA35)=0,1,'Вводные'!$B$63)))*AS34+(1-(IF(SUM($D32:$GA32)=0,0,IF(SUM($D35:$GA35)=0,1,'Вводные'!$B$63))))*AS36)</x:f>
      </x:c>
      <x:c r="AT37" s="107" t="n">
        <x:f>'Вводные'!$L$89*((IF(SUM($D32:$GA32)=0,0,IF(SUM($D35:$GA35)=0,1,'Вводные'!$B$63)))*AT34+(1-(IF(SUM($D32:$GA32)=0,0,IF(SUM($D35:$GA35)=0,1,'Вводные'!$B$63))))*AT36)</x:f>
      </x:c>
      <x:c r="AU37" s="107" t="n">
        <x:f>'Вводные'!$L$89*((IF(SUM($D32:$GA32)=0,0,IF(SUM($D35:$GA35)=0,1,'Вводные'!$B$63)))*AU34+(1-(IF(SUM($D32:$GA32)=0,0,IF(SUM($D35:$GA35)=0,1,'Вводные'!$B$63))))*AU36)</x:f>
      </x:c>
      <x:c r="AV37" s="107" t="n">
        <x:f>'Вводные'!$L$89*((IF(SUM($D32:$GA32)=0,0,IF(SUM($D35:$GA35)=0,1,'Вводные'!$B$63)))*AV34+(1-(IF(SUM($D32:$GA32)=0,0,IF(SUM($D35:$GA35)=0,1,'Вводные'!$B$63))))*AV36)</x:f>
      </x:c>
      <x:c r="AW37" s="107" t="n">
        <x:f>'Вводные'!$L$89*((IF(SUM($D32:$GA32)=0,0,IF(SUM($D35:$GA35)=0,1,'Вводные'!$B$63)))*AW34+(1-(IF(SUM($D32:$GA32)=0,0,IF(SUM($D35:$GA35)=0,1,'Вводные'!$B$63))))*AW36)</x:f>
      </x:c>
      <x:c r="AX37" s="107" t="n">
        <x:f>'Вводные'!$L$89*((IF(SUM($D32:$GA32)=0,0,IF(SUM($D35:$GA35)=0,1,'Вводные'!$B$63)))*AX34+(1-(IF(SUM($D32:$GA32)=0,0,IF(SUM($D35:$GA35)=0,1,'Вводные'!$B$63))))*AX36)</x:f>
      </x:c>
      <x:c r="AY37" s="107" t="n">
        <x:f>'Вводные'!$L$89*((IF(SUM($D32:$GA32)=0,0,IF(SUM($D35:$GA35)=0,1,'Вводные'!$B$63)))*AY34+(1-(IF(SUM($D32:$GA32)=0,0,IF(SUM($D35:$GA35)=0,1,'Вводные'!$B$63))))*AY36)</x:f>
      </x:c>
      <x:c r="AZ37" s="107" t="n">
        <x:f>'Вводные'!$L$89*((IF(SUM($D32:$GA32)=0,0,IF(SUM($D35:$GA35)=0,1,'Вводные'!$B$63)))*AZ34+(1-(IF(SUM($D32:$GA32)=0,0,IF(SUM($D35:$GA35)=0,1,'Вводные'!$B$63))))*AZ36)</x:f>
      </x:c>
      <x:c r="BA37" s="107" t="n">
        <x:f>'Вводные'!$L$89*((IF(SUM($D32:$GA32)=0,0,IF(SUM($D35:$GA35)=0,1,'Вводные'!$B$63)))*BA34+(1-(IF(SUM($D32:$GA32)=0,0,IF(SUM($D35:$GA35)=0,1,'Вводные'!$B$63))))*BA36)</x:f>
      </x:c>
      <x:c r="BB37" s="107" t="n">
        <x:f>'Вводные'!$L$89*((IF(SUM($D32:$GA32)=0,0,IF(SUM($D35:$GA35)=0,1,'Вводные'!$B$63)))*BB34+(1-(IF(SUM($D32:$GA32)=0,0,IF(SUM($D35:$GA35)=0,1,'Вводные'!$B$63))))*BB36)</x:f>
      </x:c>
      <x:c r="BC37" s="107" t="n">
        <x:f>'Вводные'!$L$89*((IF(SUM($D32:$GA32)=0,0,IF(SUM($D35:$GA35)=0,1,'Вводные'!$B$63)))*BC34+(1-(IF(SUM($D32:$GA32)=0,0,IF(SUM($D35:$GA35)=0,1,'Вводные'!$B$63))))*BC36)</x:f>
      </x:c>
      <x:c r="BD37" s="107" t="n">
        <x:f>'Вводные'!$L$89*((IF(SUM($D32:$GA32)=0,0,IF(SUM($D35:$GA35)=0,1,'Вводные'!$B$63)))*BD34+(1-(IF(SUM($D32:$GA32)=0,0,IF(SUM($D35:$GA35)=0,1,'Вводные'!$B$63))))*BD36)</x:f>
      </x:c>
      <x:c r="BE37" s="107" t="n">
        <x:f>'Вводные'!$L$89*((IF(SUM($D32:$GA32)=0,0,IF(SUM($D35:$GA35)=0,1,'Вводные'!$B$63)))*BE34+(1-(IF(SUM($D32:$GA32)=0,0,IF(SUM($D35:$GA35)=0,1,'Вводные'!$B$63))))*BE36)</x:f>
      </x:c>
      <x:c r="BF37" s="107" t="n">
        <x:f>'Вводные'!$L$89*((IF(SUM($D32:$GA32)=0,0,IF(SUM($D35:$GA35)=0,1,'Вводные'!$B$63)))*BF34+(1-(IF(SUM($D32:$GA32)=0,0,IF(SUM($D35:$GA35)=0,1,'Вводные'!$B$63))))*BF36)</x:f>
      </x:c>
      <x:c r="BG37" s="107" t="n">
        <x:f>'Вводные'!$L$89*((IF(SUM($D32:$GA32)=0,0,IF(SUM($D35:$GA35)=0,1,'Вводные'!$B$63)))*BG34+(1-(IF(SUM($D32:$GA32)=0,0,IF(SUM($D35:$GA35)=0,1,'Вводные'!$B$63))))*BG36)</x:f>
      </x:c>
      <x:c r="BH37" s="107" t="n">
        <x:f>'Вводные'!$L$89*((IF(SUM($D32:$GA32)=0,0,IF(SUM($D35:$GA35)=0,1,'Вводные'!$B$63)))*BH34+(1-(IF(SUM($D32:$GA32)=0,0,IF(SUM($D35:$GA35)=0,1,'Вводные'!$B$63))))*BH36)</x:f>
      </x:c>
      <x:c r="BI37" s="107" t="n">
        <x:f>'Вводные'!$L$89*((IF(SUM($D32:$GA32)=0,0,IF(SUM($D35:$GA35)=0,1,'Вводные'!$B$63)))*BI34+(1-(IF(SUM($D32:$GA32)=0,0,IF(SUM($D35:$GA35)=0,1,'Вводные'!$B$63))))*BI36)</x:f>
      </x:c>
      <x:c r="BJ37" s="107" t="n">
        <x:f>'Вводные'!$L$89*((IF(SUM($D32:$GA32)=0,0,IF(SUM($D35:$GA35)=0,1,'Вводные'!$B$63)))*BJ34+(1-(IF(SUM($D32:$GA32)=0,0,IF(SUM($D35:$GA35)=0,1,'Вводные'!$B$63))))*BJ36)</x:f>
      </x:c>
      <x:c r="BK37" s="107" t="n">
        <x:f>'Вводные'!$L$89*((IF(SUM($D32:$GA32)=0,0,IF(SUM($D35:$GA35)=0,1,'Вводные'!$B$63)))*BK34+(1-(IF(SUM($D32:$GA32)=0,0,IF(SUM($D35:$GA35)=0,1,'Вводные'!$B$63))))*BK36)</x:f>
      </x:c>
      <x:c r="BL37" s="107" t="n">
        <x:f>'Вводные'!$L$89*((IF(SUM($D32:$GA32)=0,0,IF(SUM($D35:$GA35)=0,1,'Вводные'!$B$63)))*BL34+(1-(IF(SUM($D32:$GA32)=0,0,IF(SUM($D35:$GA35)=0,1,'Вводные'!$B$63))))*BL36)</x:f>
      </x:c>
      <x:c r="BM37" s="107" t="n">
        <x:f>'Вводные'!$L$89*((IF(SUM($D32:$GA32)=0,0,IF(SUM($D35:$GA35)=0,1,'Вводные'!$B$63)))*BM34+(1-(IF(SUM($D32:$GA32)=0,0,IF(SUM($D35:$GA35)=0,1,'Вводные'!$B$63))))*BM36)</x:f>
      </x:c>
      <x:c r="BN37" s="107" t="n">
        <x:f>'Вводные'!$L$89*((IF(SUM($D32:$GA32)=0,0,IF(SUM($D35:$GA35)=0,1,'Вводные'!$B$63)))*BN34+(1-(IF(SUM($D32:$GA32)=0,0,IF(SUM($D35:$GA35)=0,1,'Вводные'!$B$63))))*BN36)</x:f>
      </x:c>
      <x:c r="BO37" s="107" t="n">
        <x:f>'Вводные'!$L$89*((IF(SUM($D32:$GA32)=0,0,IF(SUM($D35:$GA35)=0,1,'Вводные'!$B$63)))*BO34+(1-(IF(SUM($D32:$GA32)=0,0,IF(SUM($D35:$GA35)=0,1,'Вводные'!$B$63))))*BO36)</x:f>
      </x:c>
      <x:c r="BP37" s="107" t="n">
        <x:f>'Вводные'!$L$89*((IF(SUM($D32:$GA32)=0,0,IF(SUM($D35:$GA35)=0,1,'Вводные'!$B$63)))*BP34+(1-(IF(SUM($D32:$GA32)=0,0,IF(SUM($D35:$GA35)=0,1,'Вводные'!$B$63))))*BP36)</x:f>
      </x:c>
      <x:c r="BQ37" s="107" t="n">
        <x:f>'Вводные'!$L$89*((IF(SUM($D32:$GA32)=0,0,IF(SUM($D35:$GA35)=0,1,'Вводные'!$B$63)))*BQ34+(1-(IF(SUM($D32:$GA32)=0,0,IF(SUM($D35:$GA35)=0,1,'Вводные'!$B$63))))*BQ36)</x:f>
      </x:c>
      <x:c r="BR37" s="107" t="n">
        <x:f>'Вводные'!$L$89*((IF(SUM($D32:$GA32)=0,0,IF(SUM($D35:$GA35)=0,1,'Вводные'!$B$63)))*BR34+(1-(IF(SUM($D32:$GA32)=0,0,IF(SUM($D35:$GA35)=0,1,'Вводные'!$B$63))))*BR36)</x:f>
      </x:c>
      <x:c r="BS37" s="107" t="n">
        <x:f>'Вводные'!$L$89*((IF(SUM($D32:$GA32)=0,0,IF(SUM($D35:$GA35)=0,1,'Вводные'!$B$63)))*BS34+(1-(IF(SUM($D32:$GA32)=0,0,IF(SUM($D35:$GA35)=0,1,'Вводные'!$B$63))))*BS36)</x:f>
      </x:c>
      <x:c r="BT37" s="107" t="n">
        <x:f>'Вводные'!$L$89*((IF(SUM($D32:$GA32)=0,0,IF(SUM($D35:$GA35)=0,1,'Вводные'!$B$63)))*BT34+(1-(IF(SUM($D32:$GA32)=0,0,IF(SUM($D35:$GA35)=0,1,'Вводные'!$B$63))))*BT36)</x:f>
      </x:c>
      <x:c r="BU37" s="107" t="n">
        <x:f>'Вводные'!$L$89*((IF(SUM($D32:$GA32)=0,0,IF(SUM($D35:$GA35)=0,1,'Вводные'!$B$63)))*BU34+(1-(IF(SUM($D32:$GA32)=0,0,IF(SUM($D35:$GA35)=0,1,'Вводные'!$B$63))))*BU36)</x:f>
      </x:c>
      <x:c r="BV37" s="107" t="n">
        <x:f>'Вводные'!$L$89*((IF(SUM($D32:$GA32)=0,0,IF(SUM($D35:$GA35)=0,1,'Вводные'!$B$63)))*BV34+(1-(IF(SUM($D32:$GA32)=0,0,IF(SUM($D35:$GA35)=0,1,'Вводные'!$B$63))))*BV36)</x:f>
      </x:c>
      <x:c r="BW37" s="107" t="n">
        <x:f>'Вводные'!$L$89*((IF(SUM($D32:$GA32)=0,0,IF(SUM($D35:$GA35)=0,1,'Вводные'!$B$63)))*BW34+(1-(IF(SUM($D32:$GA32)=0,0,IF(SUM($D35:$GA35)=0,1,'Вводные'!$B$63))))*BW36)</x:f>
      </x:c>
      <x:c r="BX37" s="107" t="n">
        <x:f>'Вводные'!$L$89*((IF(SUM($D32:$GA32)=0,0,IF(SUM($D35:$GA35)=0,1,'Вводные'!$B$63)))*BX34+(1-(IF(SUM($D32:$GA32)=0,0,IF(SUM($D35:$GA35)=0,1,'Вводные'!$B$63))))*BX36)</x:f>
      </x:c>
      <x:c r="BY37" s="107" t="n">
        <x:f>'Вводные'!$L$89*((IF(SUM($D32:$GA32)=0,0,IF(SUM($D35:$GA35)=0,1,'Вводные'!$B$63)))*BY34+(1-(IF(SUM($D32:$GA32)=0,0,IF(SUM($D35:$GA35)=0,1,'Вводные'!$B$63))))*BY36)</x:f>
      </x:c>
      <x:c r="BZ37" s="107" t="n">
        <x:f>'Вводные'!$L$89*((IF(SUM($D32:$GA32)=0,0,IF(SUM($D35:$GA35)=0,1,'Вводные'!$B$63)))*BZ34+(1-(IF(SUM($D32:$GA32)=0,0,IF(SUM($D35:$GA35)=0,1,'Вводные'!$B$63))))*BZ36)</x:f>
      </x:c>
      <x:c r="CA37" s="107" t="n">
        <x:f>'Вводные'!$L$89*((IF(SUM($D32:$GA32)=0,0,IF(SUM($D35:$GA35)=0,1,'Вводные'!$B$63)))*CA34+(1-(IF(SUM($D32:$GA32)=0,0,IF(SUM($D35:$GA35)=0,1,'Вводные'!$B$63))))*CA36)</x:f>
      </x:c>
      <x:c r="CB37" s="107" t="n">
        <x:f>'Вводные'!$L$89*((IF(SUM($D32:$GA32)=0,0,IF(SUM($D35:$GA35)=0,1,'Вводные'!$B$63)))*CB34+(1-(IF(SUM($D32:$GA32)=0,0,IF(SUM($D35:$GA35)=0,1,'Вводные'!$B$63))))*CB36)</x:f>
      </x:c>
      <x:c r="CC37" s="107" t="n">
        <x:f>'Вводные'!$L$89*((IF(SUM($D32:$GA32)=0,0,IF(SUM($D35:$GA35)=0,1,'Вводные'!$B$63)))*CC34+(1-(IF(SUM($D32:$GA32)=0,0,IF(SUM($D35:$GA35)=0,1,'Вводные'!$B$63))))*CC36)</x:f>
      </x:c>
      <x:c r="CD37" s="107" t="n">
        <x:f>'Вводные'!$L$89*((IF(SUM($D32:$GA32)=0,0,IF(SUM($D35:$GA35)=0,1,'Вводные'!$B$63)))*CD34+(1-(IF(SUM($D32:$GA32)=0,0,IF(SUM($D35:$GA35)=0,1,'Вводные'!$B$63))))*CD36)</x:f>
      </x:c>
      <x:c r="CE37" s="107" t="n">
        <x:f>'Вводные'!$L$89*((IF(SUM($D32:$GA32)=0,0,IF(SUM($D35:$GA35)=0,1,'Вводные'!$B$63)))*CE34+(1-(IF(SUM($D32:$GA32)=0,0,IF(SUM($D35:$GA35)=0,1,'Вводные'!$B$63))))*CE36)</x:f>
      </x:c>
      <x:c r="CF37" s="107" t="n">
        <x:f>'Вводные'!$L$89*((IF(SUM($D32:$GA32)=0,0,IF(SUM($D35:$GA35)=0,1,'Вводные'!$B$63)))*CF34+(1-(IF(SUM($D32:$GA32)=0,0,IF(SUM($D35:$GA35)=0,1,'Вводные'!$B$63))))*CF36)</x:f>
      </x:c>
      <x:c r="CG37" s="107" t="n">
        <x:f>'Вводные'!$L$89*((IF(SUM($D32:$GA32)=0,0,IF(SUM($D35:$GA35)=0,1,'Вводные'!$B$63)))*CG34+(1-(IF(SUM($D32:$GA32)=0,0,IF(SUM($D35:$GA35)=0,1,'Вводные'!$B$63))))*CG36)</x:f>
      </x:c>
      <x:c r="CH37" s="107" t="n">
        <x:f>'Вводные'!$L$89*((IF(SUM($D32:$GA32)=0,0,IF(SUM($D35:$GA35)=0,1,'Вводные'!$B$63)))*CH34+(1-(IF(SUM($D32:$GA32)=0,0,IF(SUM($D35:$GA35)=0,1,'Вводные'!$B$63))))*CH36)</x:f>
      </x:c>
      <x:c r="CI37" s="107" t="n">
        <x:f>'Вводные'!$L$89*((IF(SUM($D32:$GA32)=0,0,IF(SUM($D35:$GA35)=0,1,'Вводные'!$B$63)))*CI34+(1-(IF(SUM($D32:$GA32)=0,0,IF(SUM($D35:$GA35)=0,1,'Вводные'!$B$63))))*CI36)</x:f>
      </x:c>
      <x:c r="CJ37" s="107" t="n">
        <x:f>'Вводные'!$L$89*((IF(SUM($D32:$GA32)=0,0,IF(SUM($D35:$GA35)=0,1,'Вводные'!$B$63)))*CJ34+(1-(IF(SUM($D32:$GA32)=0,0,IF(SUM($D35:$GA35)=0,1,'Вводные'!$B$63))))*CJ36)</x:f>
      </x:c>
      <x:c r="CK37" s="107" t="n">
        <x:f>'Вводные'!$L$89*((IF(SUM($D32:$GA32)=0,0,IF(SUM($D35:$GA35)=0,1,'Вводные'!$B$63)))*CK34+(1-(IF(SUM($D32:$GA32)=0,0,IF(SUM($D35:$GA35)=0,1,'Вводные'!$B$63))))*CK36)</x:f>
      </x:c>
      <x:c r="CL37" s="107" t="n">
        <x:f>'Вводные'!$L$89*((IF(SUM($D32:$GA32)=0,0,IF(SUM($D35:$GA35)=0,1,'Вводные'!$B$63)))*CL34+(1-(IF(SUM($D32:$GA32)=0,0,IF(SUM($D35:$GA35)=0,1,'Вводные'!$B$63))))*CL36)</x:f>
      </x:c>
      <x:c r="CM37" s="107" t="n">
        <x:f>'Вводные'!$L$89*((IF(SUM($D32:$GA32)=0,0,IF(SUM($D35:$GA35)=0,1,'Вводные'!$B$63)))*CM34+(1-(IF(SUM($D32:$GA32)=0,0,IF(SUM($D35:$GA35)=0,1,'Вводные'!$B$63))))*CM36)</x:f>
      </x:c>
      <x:c r="CN37" s="107" t="n">
        <x:f>'Вводные'!$L$89*((IF(SUM($D32:$GA32)=0,0,IF(SUM($D35:$GA35)=0,1,'Вводные'!$B$63)))*CN34+(1-(IF(SUM($D32:$GA32)=0,0,IF(SUM($D35:$GA35)=0,1,'Вводные'!$B$63))))*CN36)</x:f>
      </x:c>
      <x:c r="CO37" s="107" t="n">
        <x:f>'Вводные'!$L$89*((IF(SUM($D32:$GA32)=0,0,IF(SUM($D35:$GA35)=0,1,'Вводные'!$B$63)))*CO34+(1-(IF(SUM($D32:$GA32)=0,0,IF(SUM($D35:$GA35)=0,1,'Вводные'!$B$63))))*CO36)</x:f>
      </x:c>
      <x:c r="CP37" s="107" t="n">
        <x:f>'Вводные'!$L$89*((IF(SUM($D32:$GA32)=0,0,IF(SUM($D35:$GA35)=0,1,'Вводные'!$B$63)))*CP34+(1-(IF(SUM($D32:$GA32)=0,0,IF(SUM($D35:$GA35)=0,1,'Вводные'!$B$63))))*CP36)</x:f>
      </x:c>
      <x:c r="CQ37" s="107" t="n">
        <x:f>'Вводные'!$L$89*((IF(SUM($D32:$GA32)=0,0,IF(SUM($D35:$GA35)=0,1,'Вводные'!$B$63)))*CQ34+(1-(IF(SUM($D32:$GA32)=0,0,IF(SUM($D35:$GA35)=0,1,'Вводные'!$B$63))))*CQ36)</x:f>
      </x:c>
      <x:c r="CR37" s="107" t="n">
        <x:f>'Вводные'!$L$89*((IF(SUM($D32:$GA32)=0,0,IF(SUM($D35:$GA35)=0,1,'Вводные'!$B$63)))*CR34+(1-(IF(SUM($D32:$GA32)=0,0,IF(SUM($D35:$GA35)=0,1,'Вводные'!$B$63))))*CR36)</x:f>
      </x:c>
      <x:c r="CS37" s="107" t="n">
        <x:f>'Вводные'!$L$89*((IF(SUM($D32:$GA32)=0,0,IF(SUM($D35:$GA35)=0,1,'Вводные'!$B$63)))*CS34+(1-(IF(SUM($D32:$GA32)=0,0,IF(SUM($D35:$GA35)=0,1,'Вводные'!$B$63))))*CS36)</x:f>
      </x:c>
      <x:c r="CT37" s="107" t="n">
        <x:f>'Вводные'!$L$89*((IF(SUM($D32:$GA32)=0,0,IF(SUM($D35:$GA35)=0,1,'Вводные'!$B$63)))*CT34+(1-(IF(SUM($D32:$GA32)=0,0,IF(SUM($D35:$GA35)=0,1,'Вводные'!$B$63))))*CT36)</x:f>
      </x:c>
      <x:c r="CU37" s="107" t="n">
        <x:f>'Вводные'!$L$89*((IF(SUM($D32:$GA32)=0,0,IF(SUM($D35:$GA35)=0,1,'Вводные'!$B$63)))*CU34+(1-(IF(SUM($D32:$GA32)=0,0,IF(SUM($D35:$GA35)=0,1,'Вводные'!$B$63))))*CU36)</x:f>
      </x:c>
      <x:c r="CV37" s="107" t="n">
        <x:f>'Вводные'!$L$89*((IF(SUM($D32:$GA32)=0,0,IF(SUM($D35:$GA35)=0,1,'Вводные'!$B$63)))*CV34+(1-(IF(SUM($D32:$GA32)=0,0,IF(SUM($D35:$GA35)=0,1,'Вводные'!$B$63))))*CV36)</x:f>
      </x:c>
      <x:c r="CW37" s="107" t="n">
        <x:f>'Вводные'!$L$89*((IF(SUM($D32:$GA32)=0,0,IF(SUM($D35:$GA35)=0,1,'Вводные'!$B$63)))*CW34+(1-(IF(SUM($D32:$GA32)=0,0,IF(SUM($D35:$GA35)=0,1,'Вводные'!$B$63))))*CW36)</x:f>
      </x:c>
      <x:c r="CX37" s="107" t="n">
        <x:f>'Вводные'!$L$89*((IF(SUM($D32:$GA32)=0,0,IF(SUM($D35:$GA35)=0,1,'Вводные'!$B$63)))*CX34+(1-(IF(SUM($D32:$GA32)=0,0,IF(SUM($D35:$GA35)=0,1,'Вводные'!$B$63))))*CX36)</x:f>
      </x:c>
      <x:c r="CY37" s="107" t="n">
        <x:f>'Вводные'!$L$89*((IF(SUM($D32:$GA32)=0,0,IF(SUM($D35:$GA35)=0,1,'Вводные'!$B$63)))*CY34+(1-(IF(SUM($D32:$GA32)=0,0,IF(SUM($D35:$GA35)=0,1,'Вводные'!$B$63))))*CY36)</x:f>
      </x:c>
      <x:c r="CZ37" s="107" t="n">
        <x:f>'Вводные'!$L$89*((IF(SUM($D32:$GA32)=0,0,IF(SUM($D35:$GA35)=0,1,'Вводные'!$B$63)))*CZ34+(1-(IF(SUM($D32:$GA32)=0,0,IF(SUM($D35:$GA35)=0,1,'Вводные'!$B$63))))*CZ36)</x:f>
      </x:c>
      <x:c r="DA37" s="107" t="n">
        <x:f>'Вводные'!$L$89*((IF(SUM($D32:$GA32)=0,0,IF(SUM($D35:$GA35)=0,1,'Вводные'!$B$63)))*DA34+(1-(IF(SUM($D32:$GA32)=0,0,IF(SUM($D35:$GA35)=0,1,'Вводные'!$B$63))))*DA36)</x:f>
      </x:c>
      <x:c r="DB37" s="107" t="n">
        <x:f>'Вводные'!$L$89*((IF(SUM($D32:$GA32)=0,0,IF(SUM($D35:$GA35)=0,1,'Вводные'!$B$63)))*DB34+(1-(IF(SUM($D32:$GA32)=0,0,IF(SUM($D35:$GA35)=0,1,'Вводные'!$B$63))))*DB36)</x:f>
      </x:c>
      <x:c r="DC37" s="107" t="n">
        <x:f>'Вводные'!$L$89*((IF(SUM($D32:$GA32)=0,0,IF(SUM($D35:$GA35)=0,1,'Вводные'!$B$63)))*DC34+(1-(IF(SUM($D32:$GA32)=0,0,IF(SUM($D35:$GA35)=0,1,'Вводные'!$B$63))))*DC36)</x:f>
      </x:c>
      <x:c r="DD37" s="107" t="n">
        <x:f>'Вводные'!$L$89*((IF(SUM($D32:$GA32)=0,0,IF(SUM($D35:$GA35)=0,1,'Вводные'!$B$63)))*DD34+(1-(IF(SUM($D32:$GA32)=0,0,IF(SUM($D35:$GA35)=0,1,'Вводные'!$B$63))))*DD36)</x:f>
      </x:c>
      <x:c r="DE37" s="107" t="n">
        <x:f>'Вводные'!$L$89*((IF(SUM($D32:$GA32)=0,0,IF(SUM($D35:$GA35)=0,1,'Вводные'!$B$63)))*DE34+(1-(IF(SUM($D32:$GA32)=0,0,IF(SUM($D35:$GA35)=0,1,'Вводные'!$B$63))))*DE36)</x:f>
      </x:c>
      <x:c r="DF37" s="107" t="n">
        <x:f>'Вводные'!$L$89*((IF(SUM($D32:$GA32)=0,0,IF(SUM($D35:$GA35)=0,1,'Вводные'!$B$63)))*DF34+(1-(IF(SUM($D32:$GA32)=0,0,IF(SUM($D35:$GA35)=0,1,'Вводные'!$B$63))))*DF36)</x:f>
      </x:c>
      <x:c r="DG37" s="107" t="n">
        <x:f>'Вводные'!$L$89*((IF(SUM($D32:$GA32)=0,0,IF(SUM($D35:$GA35)=0,1,'Вводные'!$B$63)))*DG34+(1-(IF(SUM($D32:$GA32)=0,0,IF(SUM($D35:$GA35)=0,1,'Вводные'!$B$63))))*DG36)</x:f>
      </x:c>
      <x:c r="DH37" s="107" t="n">
        <x:f>'Вводные'!$L$89*((IF(SUM($D32:$GA32)=0,0,IF(SUM($D35:$GA35)=0,1,'Вводные'!$B$63)))*DH34+(1-(IF(SUM($D32:$GA32)=0,0,IF(SUM($D35:$GA35)=0,1,'Вводные'!$B$63))))*DH36)</x:f>
      </x:c>
      <x:c r="DI37" s="107" t="n">
        <x:f>'Вводные'!$L$89*((IF(SUM($D32:$GA32)=0,0,IF(SUM($D35:$GA35)=0,1,'Вводные'!$B$63)))*DI34+(1-(IF(SUM($D32:$GA32)=0,0,IF(SUM($D35:$GA35)=0,1,'Вводные'!$B$63))))*DI36)</x:f>
      </x:c>
      <x:c r="DJ37" s="107" t="n">
        <x:f>'Вводные'!$L$89*((IF(SUM($D32:$GA32)=0,0,IF(SUM($D35:$GA35)=0,1,'Вводные'!$B$63)))*DJ34+(1-(IF(SUM($D32:$GA32)=0,0,IF(SUM($D35:$GA35)=0,1,'Вводные'!$B$63))))*DJ36)</x:f>
      </x:c>
      <x:c r="DK37" s="107" t="n">
        <x:f>'Вводные'!$L$89*((IF(SUM($D32:$GA32)=0,0,IF(SUM($D35:$GA35)=0,1,'Вводные'!$B$63)))*DK34+(1-(IF(SUM($D32:$GA32)=0,0,IF(SUM($D35:$GA35)=0,1,'Вводные'!$B$63))))*DK36)</x:f>
      </x:c>
      <x:c r="DL37" s="107" t="n">
        <x:f>'Вводные'!$L$89*((IF(SUM($D32:$GA32)=0,0,IF(SUM($D35:$GA35)=0,1,'Вводные'!$B$63)))*DL34+(1-(IF(SUM($D32:$GA32)=0,0,IF(SUM($D35:$GA35)=0,1,'Вводные'!$B$63))))*DL36)</x:f>
      </x:c>
      <x:c r="DM37" s="107" t="n">
        <x:f>'Вводные'!$L$89*((IF(SUM($D32:$GA32)=0,0,IF(SUM($D35:$GA35)=0,1,'Вводные'!$B$63)))*DM34+(1-(IF(SUM($D32:$GA32)=0,0,IF(SUM($D35:$GA35)=0,1,'Вводные'!$B$63))))*DM36)</x:f>
      </x:c>
      <x:c r="DN37" s="107" t="n">
        <x:f>'Вводные'!$L$89*((IF(SUM($D32:$GA32)=0,0,IF(SUM($D35:$GA35)=0,1,'Вводные'!$B$63)))*DN34+(1-(IF(SUM($D32:$GA32)=0,0,IF(SUM($D35:$GA35)=0,1,'Вводные'!$B$63))))*DN36)</x:f>
      </x:c>
      <x:c r="DO37" s="107" t="n">
        <x:f>'Вводные'!$L$89*((IF(SUM($D32:$GA32)=0,0,IF(SUM($D35:$GA35)=0,1,'Вводные'!$B$63)))*DO34+(1-(IF(SUM($D32:$GA32)=0,0,IF(SUM($D35:$GA35)=0,1,'Вводные'!$B$63))))*DO36)</x:f>
      </x:c>
      <x:c r="DP37" s="107" t="n">
        <x:f>'Вводные'!$L$89*((IF(SUM($D32:$GA32)=0,0,IF(SUM($D35:$GA35)=0,1,'Вводные'!$B$63)))*DP34+(1-(IF(SUM($D32:$GA32)=0,0,IF(SUM($D35:$GA35)=0,1,'Вводные'!$B$63))))*DP36)</x:f>
      </x:c>
      <x:c r="DQ37" s="107" t="n">
        <x:f>'Вводные'!$L$89*((IF(SUM($D32:$GA32)=0,0,IF(SUM($D35:$GA35)=0,1,'Вводные'!$B$63)))*DQ34+(1-(IF(SUM($D32:$GA32)=0,0,IF(SUM($D35:$GA35)=0,1,'Вводные'!$B$63))))*DQ36)</x:f>
      </x:c>
      <x:c r="DR37" s="107" t="n">
        <x:f>'Вводные'!$L$89*((IF(SUM($D32:$GA32)=0,0,IF(SUM($D35:$GA35)=0,1,'Вводные'!$B$63)))*DR34+(1-(IF(SUM($D32:$GA32)=0,0,IF(SUM($D35:$GA35)=0,1,'Вводные'!$B$63))))*DR36)</x:f>
      </x:c>
      <x:c r="DS37" s="107" t="n">
        <x:f>'Вводные'!$L$89*((IF(SUM($D32:$GA32)=0,0,IF(SUM($D35:$GA35)=0,1,'Вводные'!$B$63)))*DS34+(1-(IF(SUM($D32:$GA32)=0,0,IF(SUM($D35:$GA35)=0,1,'Вводные'!$B$63))))*DS36)</x:f>
      </x:c>
      <x:c r="DT37" s="107" t="n">
        <x:f>'Вводные'!$L$89*((IF(SUM($D32:$GA32)=0,0,IF(SUM($D35:$GA35)=0,1,'Вводные'!$B$63)))*DT34+(1-(IF(SUM($D32:$GA32)=0,0,IF(SUM($D35:$GA35)=0,1,'Вводные'!$B$63))))*DT36)</x:f>
      </x:c>
      <x:c r="DU37" s="107" t="n">
        <x:f>'Вводные'!$L$89*((IF(SUM($D32:$GA32)=0,0,IF(SUM($D35:$GA35)=0,1,'Вводные'!$B$63)))*DU34+(1-(IF(SUM($D32:$GA32)=0,0,IF(SUM($D35:$GA35)=0,1,'Вводные'!$B$63))))*DU36)</x:f>
      </x:c>
      <x:c r="DV37" s="107" t="n">
        <x:f>'Вводные'!$L$89*((IF(SUM($D32:$GA32)=0,0,IF(SUM($D35:$GA35)=0,1,'Вводные'!$B$63)))*DV34+(1-(IF(SUM($D32:$GA32)=0,0,IF(SUM($D35:$GA35)=0,1,'Вводные'!$B$63))))*DV36)</x:f>
      </x:c>
      <x:c r="DW37" s="107" t="n">
        <x:f>'Вводные'!$L$89*((IF(SUM($D32:$GA32)=0,0,IF(SUM($D35:$GA35)=0,1,'Вводные'!$B$63)))*DW34+(1-(IF(SUM($D32:$GA32)=0,0,IF(SUM($D35:$GA35)=0,1,'Вводные'!$B$63))))*DW36)</x:f>
      </x:c>
      <x:c r="DX37" s="107" t="n">
        <x:f>'Вводные'!$L$89*((IF(SUM($D32:$GA32)=0,0,IF(SUM($D35:$GA35)=0,1,'Вводные'!$B$63)))*DX34+(1-(IF(SUM($D32:$GA32)=0,0,IF(SUM($D35:$GA35)=0,1,'Вводные'!$B$63))))*DX36)</x:f>
      </x:c>
      <x:c r="DY37" s="107" t="n">
        <x:f>'Вводные'!$L$89*((IF(SUM($D32:$GA32)=0,0,IF(SUM($D35:$GA35)=0,1,'Вводные'!$B$63)))*DY34+(1-(IF(SUM($D32:$GA32)=0,0,IF(SUM($D35:$GA35)=0,1,'Вводные'!$B$63))))*DY36)</x:f>
      </x:c>
      <x:c r="DZ37" s="107" t="n">
        <x:f>'Вводные'!$L$89*((IF(SUM($D32:$GA32)=0,0,IF(SUM($D35:$GA35)=0,1,'Вводные'!$B$63)))*DZ34+(1-(IF(SUM($D32:$GA32)=0,0,IF(SUM($D35:$GA35)=0,1,'Вводные'!$B$63))))*DZ36)</x:f>
      </x:c>
      <x:c r="EA37" s="107" t="n">
        <x:f>'Вводные'!$L$89*((IF(SUM($D32:$GA32)=0,0,IF(SUM($D35:$GA35)=0,1,'Вводные'!$B$63)))*EA34+(1-(IF(SUM($D32:$GA32)=0,0,IF(SUM($D35:$GA35)=0,1,'Вводные'!$B$63))))*EA36)</x:f>
      </x:c>
      <x:c r="EB37" s="107" t="n">
        <x:f>'Вводные'!$L$89*((IF(SUM($D32:$GA32)=0,0,IF(SUM($D35:$GA35)=0,1,'Вводные'!$B$63)))*EB34+(1-(IF(SUM($D32:$GA32)=0,0,IF(SUM($D35:$GA35)=0,1,'Вводные'!$B$63))))*EB36)</x:f>
      </x:c>
      <x:c r="EC37" s="107" t="n">
        <x:f>'Вводные'!$L$89*((IF(SUM($D32:$GA32)=0,0,IF(SUM($D35:$GA35)=0,1,'Вводные'!$B$63)))*EC34+(1-(IF(SUM($D32:$GA32)=0,0,IF(SUM($D35:$GA35)=0,1,'Вводные'!$B$63))))*EC36)</x:f>
      </x:c>
      <x:c r="ED37" s="107" t="n">
        <x:f>'Вводные'!$L$89*((IF(SUM($D32:$GA32)=0,0,IF(SUM($D35:$GA35)=0,1,'Вводные'!$B$63)))*ED34+(1-(IF(SUM($D32:$GA32)=0,0,IF(SUM($D35:$GA35)=0,1,'Вводные'!$B$63))))*ED36)</x:f>
      </x:c>
      <x:c r="EE37" s="107" t="n">
        <x:f>'Вводные'!$L$89*((IF(SUM($D32:$GA32)=0,0,IF(SUM($D35:$GA35)=0,1,'Вводные'!$B$63)))*EE34+(1-(IF(SUM($D32:$GA32)=0,0,IF(SUM($D35:$GA35)=0,1,'Вводные'!$B$63))))*EE36)</x:f>
      </x:c>
      <x:c r="EF37" s="107" t="n">
        <x:f>'Вводные'!$L$89*((IF(SUM($D32:$GA32)=0,0,IF(SUM($D35:$GA35)=0,1,'Вводные'!$B$63)))*EF34+(1-(IF(SUM($D32:$GA32)=0,0,IF(SUM($D35:$GA35)=0,1,'Вводные'!$B$63))))*EF36)</x:f>
      </x:c>
      <x:c r="EG37" s="107" t="n">
        <x:f>'Вводные'!$L$89*((IF(SUM($D32:$GA32)=0,0,IF(SUM($D35:$GA35)=0,1,'Вводные'!$B$63)))*EG34+(1-(IF(SUM($D32:$GA32)=0,0,IF(SUM($D35:$GA35)=0,1,'Вводные'!$B$63))))*EG36)</x:f>
      </x:c>
      <x:c r="EH37" s="107" t="n">
        <x:f>'Вводные'!$L$89*((IF(SUM($D32:$GA32)=0,0,IF(SUM($D35:$GA35)=0,1,'Вводные'!$B$63)))*EH34+(1-(IF(SUM($D32:$GA32)=0,0,IF(SUM($D35:$GA35)=0,1,'Вводные'!$B$63))))*EH36)</x:f>
      </x:c>
      <x:c r="EI37" s="107" t="n">
        <x:f>'Вводные'!$L$89*((IF(SUM($D32:$GA32)=0,0,IF(SUM($D35:$GA35)=0,1,'Вводные'!$B$63)))*EI34+(1-(IF(SUM($D32:$GA32)=0,0,IF(SUM($D35:$GA35)=0,1,'Вводные'!$B$63))))*EI36)</x:f>
      </x:c>
      <x:c r="EJ37" s="107" t="n">
        <x:f>'Вводные'!$L$89*((IF(SUM($D32:$GA32)=0,0,IF(SUM($D35:$GA35)=0,1,'Вводные'!$B$63)))*EJ34+(1-(IF(SUM($D32:$GA32)=0,0,IF(SUM($D35:$GA35)=0,1,'Вводные'!$B$63))))*EJ36)</x:f>
      </x:c>
      <x:c r="EK37" s="107" t="n">
        <x:f>'Вводные'!$L$89*((IF(SUM($D32:$GA32)=0,0,IF(SUM($D35:$GA35)=0,1,'Вводные'!$B$63)))*EK34+(1-(IF(SUM($D32:$GA32)=0,0,IF(SUM($D35:$GA35)=0,1,'Вводные'!$B$63))))*EK36)</x:f>
      </x:c>
      <x:c r="EL37" s="107" t="n">
        <x:f>'Вводные'!$L$89*((IF(SUM($D32:$GA32)=0,0,IF(SUM($D35:$GA35)=0,1,'Вводные'!$B$63)))*EL34+(1-(IF(SUM($D32:$GA32)=0,0,IF(SUM($D35:$GA35)=0,1,'Вводные'!$B$63))))*EL36)</x:f>
      </x:c>
      <x:c r="EM37" s="107" t="n">
        <x:f>'Вводные'!$L$89*((IF(SUM($D32:$GA32)=0,0,IF(SUM($D35:$GA35)=0,1,'Вводные'!$B$63)))*EM34+(1-(IF(SUM($D32:$GA32)=0,0,IF(SUM($D35:$GA35)=0,1,'Вводные'!$B$63))))*EM36)</x:f>
      </x:c>
      <x:c r="EN37" s="107" t="n">
        <x:f>'Вводные'!$L$89*((IF(SUM($D32:$GA32)=0,0,IF(SUM($D35:$GA35)=0,1,'Вводные'!$B$63)))*EN34+(1-(IF(SUM($D32:$GA32)=0,0,IF(SUM($D35:$GA35)=0,1,'Вводные'!$B$63))))*EN36)</x:f>
      </x:c>
      <x:c r="EO37" s="107" t="n">
        <x:f>'Вводные'!$L$89*((IF(SUM($D32:$GA32)=0,0,IF(SUM($D35:$GA35)=0,1,'Вводные'!$B$63)))*EO34+(1-(IF(SUM($D32:$GA32)=0,0,IF(SUM($D35:$GA35)=0,1,'Вводные'!$B$63))))*EO36)</x:f>
      </x:c>
      <x:c r="EP37" s="107" t="n">
        <x:f>'Вводные'!$L$89*((IF(SUM($D32:$GA32)=0,0,IF(SUM($D35:$GA35)=0,1,'Вводные'!$B$63)))*EP34+(1-(IF(SUM($D32:$GA32)=0,0,IF(SUM($D35:$GA35)=0,1,'Вводные'!$B$63))))*EP36)</x:f>
      </x:c>
      <x:c r="EQ37" s="107" t="n">
        <x:f>'Вводные'!$L$89*((IF(SUM($D32:$GA32)=0,0,IF(SUM($D35:$GA35)=0,1,'Вводные'!$B$63)))*EQ34+(1-(IF(SUM($D32:$GA32)=0,0,IF(SUM($D35:$GA35)=0,1,'Вводные'!$B$63))))*EQ36)</x:f>
      </x:c>
      <x:c r="ER37" s="107" t="n">
        <x:f>'Вводные'!$L$89*((IF(SUM($D32:$GA32)=0,0,IF(SUM($D35:$GA35)=0,1,'Вводные'!$B$63)))*ER34+(1-(IF(SUM($D32:$GA32)=0,0,IF(SUM($D35:$GA35)=0,1,'Вводные'!$B$63))))*ER36)</x:f>
      </x:c>
      <x:c r="ES37" s="107" t="n">
        <x:f>'Вводные'!$L$89*((IF(SUM($D32:$GA32)=0,0,IF(SUM($D35:$GA35)=0,1,'Вводные'!$B$63)))*ES34+(1-(IF(SUM($D32:$GA32)=0,0,IF(SUM($D35:$GA35)=0,1,'Вводные'!$B$63))))*ES36)</x:f>
      </x:c>
      <x:c r="ET37" s="107" t="n">
        <x:f>'Вводные'!$L$89*((IF(SUM($D32:$GA32)=0,0,IF(SUM($D35:$GA35)=0,1,'Вводные'!$B$63)))*ET34+(1-(IF(SUM($D32:$GA32)=0,0,IF(SUM($D35:$GA35)=0,1,'Вводные'!$B$63))))*ET36)</x:f>
      </x:c>
      <x:c r="EU37" s="107" t="n">
        <x:f>'Вводные'!$L$89*((IF(SUM($D32:$GA32)=0,0,IF(SUM($D35:$GA35)=0,1,'Вводные'!$B$63)))*EU34+(1-(IF(SUM($D32:$GA32)=0,0,IF(SUM($D35:$GA35)=0,1,'Вводные'!$B$63))))*EU36)</x:f>
      </x:c>
      <x:c r="EV37" s="107" t="n">
        <x:f>'Вводные'!$L$89*((IF(SUM($D32:$GA32)=0,0,IF(SUM($D35:$GA35)=0,1,'Вводные'!$B$63)))*EV34+(1-(IF(SUM($D32:$GA32)=0,0,IF(SUM($D35:$GA35)=0,1,'Вводные'!$B$63))))*EV36)</x:f>
      </x:c>
      <x:c r="EW37" s="107" t="n">
        <x:f>'Вводные'!$L$89*((IF(SUM($D32:$GA32)=0,0,IF(SUM($D35:$GA35)=0,1,'Вводные'!$B$63)))*EW34+(1-(IF(SUM($D32:$GA32)=0,0,IF(SUM($D35:$GA35)=0,1,'Вводные'!$B$63))))*EW36)</x:f>
      </x:c>
      <x:c r="EX37" s="107" t="n">
        <x:f>'Вводные'!$L$89*((IF(SUM($D32:$GA32)=0,0,IF(SUM($D35:$GA35)=0,1,'Вводные'!$B$63)))*EX34+(1-(IF(SUM($D32:$GA32)=0,0,IF(SUM($D35:$GA35)=0,1,'Вводные'!$B$63))))*EX36)</x:f>
      </x:c>
      <x:c r="EY37" s="107" t="n">
        <x:f>'Вводные'!$L$89*((IF(SUM($D32:$GA32)=0,0,IF(SUM($D35:$GA35)=0,1,'Вводные'!$B$63)))*EY34+(1-(IF(SUM($D32:$GA32)=0,0,IF(SUM($D35:$GA35)=0,1,'Вводные'!$B$63))))*EY36)</x:f>
      </x:c>
      <x:c r="EZ37" s="107" t="n">
        <x:f>'Вводные'!$L$89*((IF(SUM($D32:$GA32)=0,0,IF(SUM($D35:$GA35)=0,1,'Вводные'!$B$63)))*EZ34+(1-(IF(SUM($D32:$GA32)=0,0,IF(SUM($D35:$GA35)=0,1,'Вводные'!$B$63))))*EZ36)</x:f>
      </x:c>
      <x:c r="FA37" s="107" t="n">
        <x:f>'Вводные'!$L$89*((IF(SUM($D32:$GA32)=0,0,IF(SUM($D35:$GA35)=0,1,'Вводные'!$B$63)))*FA34+(1-(IF(SUM($D32:$GA32)=0,0,IF(SUM($D35:$GA35)=0,1,'Вводные'!$B$63))))*FA36)</x:f>
      </x:c>
      <x:c r="FB37" s="107" t="n">
        <x:f>'Вводные'!$L$89*((IF(SUM($D32:$GA32)=0,0,IF(SUM($D35:$GA35)=0,1,'Вводные'!$B$63)))*FB34+(1-(IF(SUM($D32:$GA32)=0,0,IF(SUM($D35:$GA35)=0,1,'Вводные'!$B$63))))*FB36)</x:f>
      </x:c>
      <x:c r="FC37" s="107" t="n">
        <x:f>'Вводные'!$L$89*((IF(SUM($D32:$GA32)=0,0,IF(SUM($D35:$GA35)=0,1,'Вводные'!$B$63)))*FC34+(1-(IF(SUM($D32:$GA32)=0,0,IF(SUM($D35:$GA35)=0,1,'Вводные'!$B$63))))*FC36)</x:f>
      </x:c>
      <x:c r="FD37" s="107" t="n">
        <x:f>'Вводные'!$L$89*((IF(SUM($D32:$GA32)=0,0,IF(SUM($D35:$GA35)=0,1,'Вводные'!$B$63)))*FD34+(1-(IF(SUM($D32:$GA32)=0,0,IF(SUM($D35:$GA35)=0,1,'Вводные'!$B$63))))*FD36)</x:f>
      </x:c>
      <x:c r="FE37" s="107" t="n">
        <x:f>'Вводные'!$L$89*((IF(SUM($D32:$GA32)=0,0,IF(SUM($D35:$GA35)=0,1,'Вводные'!$B$63)))*FE34+(1-(IF(SUM($D32:$GA32)=0,0,IF(SUM($D35:$GA35)=0,1,'Вводные'!$B$63))))*FE36)</x:f>
      </x:c>
      <x:c r="FF37" s="107" t="n">
        <x:f>'Вводные'!$L$89*((IF(SUM($D32:$GA32)=0,0,IF(SUM($D35:$GA35)=0,1,'Вводные'!$B$63)))*FF34+(1-(IF(SUM($D32:$GA32)=0,0,IF(SUM($D35:$GA35)=0,1,'Вводные'!$B$63))))*FF36)</x:f>
      </x:c>
      <x:c r="FG37" s="107" t="n">
        <x:f>'Вводные'!$L$89*((IF(SUM($D32:$GA32)=0,0,IF(SUM($D35:$GA35)=0,1,'Вводные'!$B$63)))*FG34+(1-(IF(SUM($D32:$GA32)=0,0,IF(SUM($D35:$GA35)=0,1,'Вводные'!$B$63))))*FG36)</x:f>
      </x:c>
      <x:c r="FH37" s="107" t="n">
        <x:f>'Вводные'!$L$89*((IF(SUM($D32:$GA32)=0,0,IF(SUM($D35:$GA35)=0,1,'Вводные'!$B$63)))*FH34+(1-(IF(SUM($D32:$GA32)=0,0,IF(SUM($D35:$GA35)=0,1,'Вводные'!$B$63))))*FH36)</x:f>
      </x:c>
      <x:c r="FI37" s="107" t="n">
        <x:f>'Вводные'!$L$89*((IF(SUM($D32:$GA32)=0,0,IF(SUM($D35:$GA35)=0,1,'Вводные'!$B$63)))*FI34+(1-(IF(SUM($D32:$GA32)=0,0,IF(SUM($D35:$GA35)=0,1,'Вводные'!$B$63))))*FI36)</x:f>
      </x:c>
      <x:c r="FJ37" s="107" t="n">
        <x:f>'Вводные'!$L$89*((IF(SUM($D32:$GA32)=0,0,IF(SUM($D35:$GA35)=0,1,'Вводные'!$B$63)))*FJ34+(1-(IF(SUM($D32:$GA32)=0,0,IF(SUM($D35:$GA35)=0,1,'Вводные'!$B$63))))*FJ36)</x:f>
      </x:c>
      <x:c r="FK37" s="107" t="n">
        <x:f>'Вводные'!$L$89*((IF(SUM($D32:$GA32)=0,0,IF(SUM($D35:$GA35)=0,1,'Вводные'!$B$63)))*FK34+(1-(IF(SUM($D32:$GA32)=0,0,IF(SUM($D35:$GA35)=0,1,'Вводные'!$B$63))))*FK36)</x:f>
      </x:c>
      <x:c r="FL37" s="107" t="n">
        <x:f>'Вводные'!$L$89*((IF(SUM($D32:$GA32)=0,0,IF(SUM($D35:$GA35)=0,1,'Вводные'!$B$63)))*FL34+(1-(IF(SUM($D32:$GA32)=0,0,IF(SUM($D35:$GA35)=0,1,'Вводные'!$B$63))))*FL36)</x:f>
      </x:c>
      <x:c r="FM37" s="107" t="n">
        <x:f>'Вводные'!$L$89*((IF(SUM($D32:$GA32)=0,0,IF(SUM($D35:$GA35)=0,1,'Вводные'!$B$63)))*FM34+(1-(IF(SUM($D32:$GA32)=0,0,IF(SUM($D35:$GA35)=0,1,'Вводные'!$B$63))))*FM36)</x:f>
      </x:c>
      <x:c r="FN37" s="107" t="n">
        <x:f>'Вводные'!$L$89*((IF(SUM($D32:$GA32)=0,0,IF(SUM($D35:$GA35)=0,1,'Вводные'!$B$63)))*FN34+(1-(IF(SUM($D32:$GA32)=0,0,IF(SUM($D35:$GA35)=0,1,'Вводные'!$B$63))))*FN36)</x:f>
      </x:c>
      <x:c r="FO37" s="107" t="n">
        <x:f>'Вводные'!$L$89*((IF(SUM($D32:$GA32)=0,0,IF(SUM($D35:$GA35)=0,1,'Вводные'!$B$63)))*FO34+(1-(IF(SUM($D32:$GA32)=0,0,IF(SUM($D35:$GA35)=0,1,'Вводные'!$B$63))))*FO36)</x:f>
      </x:c>
      <x:c r="FP37" s="107" t="n">
        <x:f>'Вводные'!$L$89*((IF(SUM($D32:$GA32)=0,0,IF(SUM($D35:$GA35)=0,1,'Вводные'!$B$63)))*FP34+(1-(IF(SUM($D32:$GA32)=0,0,IF(SUM($D35:$GA35)=0,1,'Вводные'!$B$63))))*FP36)</x:f>
      </x:c>
      <x:c r="FQ37" s="107" t="n">
        <x:f>'Вводные'!$L$89*((IF(SUM($D32:$GA32)=0,0,IF(SUM($D35:$GA35)=0,1,'Вводные'!$B$63)))*FQ34+(1-(IF(SUM($D32:$GA32)=0,0,IF(SUM($D35:$GA35)=0,1,'Вводные'!$B$63))))*FQ36)</x:f>
      </x:c>
      <x:c r="FR37" s="107" t="n">
        <x:f>'Вводные'!$L$89*((IF(SUM($D32:$GA32)=0,0,IF(SUM($D35:$GA35)=0,1,'Вводные'!$B$63)))*FR34+(1-(IF(SUM($D32:$GA32)=0,0,IF(SUM($D35:$GA35)=0,1,'Вводные'!$B$63))))*FR36)</x:f>
      </x:c>
      <x:c r="FS37" s="107" t="n">
        <x:f>'Вводные'!$L$89*((IF(SUM($D32:$GA32)=0,0,IF(SUM($D35:$GA35)=0,1,'Вводные'!$B$63)))*FS34+(1-(IF(SUM($D32:$GA32)=0,0,IF(SUM($D35:$GA35)=0,1,'Вводные'!$B$63))))*FS36)</x:f>
      </x:c>
      <x:c r="FT37" s="107" t="n">
        <x:f>'Вводные'!$L$89*((IF(SUM($D32:$GA32)=0,0,IF(SUM($D35:$GA35)=0,1,'Вводные'!$B$63)))*FT34+(1-(IF(SUM($D32:$GA32)=0,0,IF(SUM($D35:$GA35)=0,1,'Вводные'!$B$63))))*FT36)</x:f>
      </x:c>
      <x:c r="FU37" s="107" t="n">
        <x:f>'Вводные'!$L$89*((IF(SUM($D32:$GA32)=0,0,IF(SUM($D35:$GA35)=0,1,'Вводные'!$B$63)))*FU34+(1-(IF(SUM($D32:$GA32)=0,0,IF(SUM($D35:$GA35)=0,1,'Вводные'!$B$63))))*FU36)</x:f>
      </x:c>
      <x:c r="FV37" s="107" t="n">
        <x:f>'Вводные'!$L$89*((IF(SUM($D32:$GA32)=0,0,IF(SUM($D35:$GA35)=0,1,'Вводные'!$B$63)))*FV34+(1-(IF(SUM($D32:$GA32)=0,0,IF(SUM($D35:$GA35)=0,1,'Вводные'!$B$63))))*FV36)</x:f>
      </x:c>
      <x:c r="FW37" s="107" t="n">
        <x:f>'Вводные'!$L$89*((IF(SUM($D32:$GA32)=0,0,IF(SUM($D35:$GA35)=0,1,'Вводные'!$B$63)))*FW34+(1-(IF(SUM($D32:$GA32)=0,0,IF(SUM($D35:$GA35)=0,1,'Вводные'!$B$63))))*FW36)</x:f>
      </x:c>
      <x:c r="FX37" s="107" t="n">
        <x:f>'Вводные'!$L$89*((IF(SUM($D32:$GA32)=0,0,IF(SUM($D35:$GA35)=0,1,'Вводные'!$B$63)))*FX34+(1-(IF(SUM($D32:$GA32)=0,0,IF(SUM($D35:$GA35)=0,1,'Вводные'!$B$63))))*FX36)</x:f>
      </x:c>
      <x:c r="FY37" s="107" t="n">
        <x:f>'Вводные'!$L$89*((IF(SUM($D32:$GA32)=0,0,IF(SUM($D35:$GA35)=0,1,'Вводные'!$B$63)))*FY34+(1-(IF(SUM($D32:$GA32)=0,0,IF(SUM($D35:$GA35)=0,1,'Вводные'!$B$63))))*FY36)</x:f>
      </x:c>
      <x:c r="FZ37" s="107" t="n">
        <x:f>'Вводные'!$L$89*((IF(SUM($D32:$GA32)=0,0,IF(SUM($D35:$GA35)=0,1,'Вводные'!$B$63)))*FZ34+(1-(IF(SUM($D32:$GA32)=0,0,IF(SUM($D35:$GA35)=0,1,'Вводные'!$B$63))))*FZ36)</x:f>
      </x:c>
      <x:c r="GA37" s="107" t="n">
        <x:f>'Вводные'!$L$89*((IF(SUM($D32:$GA32)=0,0,IF(SUM($D35:$GA35)=0,1,'Вводные'!$B$63)))*GA34+(1-(IF(SUM($D32:$GA32)=0,0,IF(SUM($D35:$GA35)=0,1,'Вводные'!$B$63))))*GA36)</x:f>
      </x:c>
    </x:row>
    <x:row r="38">
      <x:c r="A38" t="str">
        <x:v>Квартиры — цена</x:v>
      </x:c>
      <x:c r="B38" t="n">
        <x:f>IFERROR(B39*1000/B37,0)</x:f>
      </x:c>
      <x:c r="C38" t="str">
        <x:v>тыс. ₽/м²</x:v>
      </x:c>
      <x:c r="D38" s="107" t="n">
        <x:f>IF(D37=0,0,'Вводные'!$B$59*'Вводные'!$S$89*'Вводные'!$H$5*'Вводные'!$AG$89*(1+'Вводные'!$B$64)^MAX(0,MIN((12*(YEAR(D$3)-YEAR($B$30))+MONTH(D$3)-MONTH($B$30)),(12*(YEAR($B$31)-YEAR($B$30))+MONTH($B$31)-MONTH($B$30))))*(1+'Вводные'!$B$65)^MAX(0,(12*(YEAR(D$3)-YEAR($B$31))+MONTH(D$3)-MONTH($B$31))))</x:f>
      </x:c>
      <x:c r="E38" s="107" t="n">
        <x:f>IF(E37=0,0,'Вводные'!$B$59*'Вводные'!$S$89*'Вводные'!$H$5*'Вводные'!$AG$89*(1+'Вводные'!$B$64)^MAX(0,MIN((12*(YEAR(E$3)-YEAR($B$30))+MONTH(E$3)-MONTH($B$30)),(12*(YEAR($B$31)-YEAR($B$30))+MONTH($B$31)-MONTH($B$30))))*(1+'Вводные'!$B$65)^MAX(0,(12*(YEAR(E$3)-YEAR($B$31))+MONTH(E$3)-MONTH($B$31))))</x:f>
      </x:c>
      <x:c r="F38" s="107" t="n">
        <x:f>IF(F37=0,0,'Вводные'!$B$59*'Вводные'!$S$89*'Вводные'!$H$5*'Вводные'!$AG$89*(1+'Вводные'!$B$64)^MAX(0,MIN((12*(YEAR(F$3)-YEAR($B$30))+MONTH(F$3)-MONTH($B$30)),(12*(YEAR($B$31)-YEAR($B$30))+MONTH($B$31)-MONTH($B$30))))*(1+'Вводные'!$B$65)^MAX(0,(12*(YEAR(F$3)-YEAR($B$31))+MONTH(F$3)-MONTH($B$31))))</x:f>
      </x:c>
      <x:c r="G38" s="107" t="n">
        <x:f>IF(G37=0,0,'Вводные'!$B$59*'Вводные'!$S$89*'Вводные'!$H$5*'Вводные'!$AG$89*(1+'Вводные'!$B$64)^MAX(0,MIN((12*(YEAR(G$3)-YEAR($B$30))+MONTH(G$3)-MONTH($B$30)),(12*(YEAR($B$31)-YEAR($B$30))+MONTH($B$31)-MONTH($B$30))))*(1+'Вводные'!$B$65)^MAX(0,(12*(YEAR(G$3)-YEAR($B$31))+MONTH(G$3)-MONTH($B$31))))</x:f>
      </x:c>
      <x:c r="H38" s="107" t="n">
        <x:f>IF(H37=0,0,'Вводные'!$B$59*'Вводные'!$S$89*'Вводные'!$H$5*'Вводные'!$AG$89*(1+'Вводные'!$B$64)^MAX(0,MIN((12*(YEAR(H$3)-YEAR($B$30))+MONTH(H$3)-MONTH($B$30)),(12*(YEAR($B$31)-YEAR($B$30))+MONTH($B$31)-MONTH($B$30))))*(1+'Вводные'!$B$65)^MAX(0,(12*(YEAR(H$3)-YEAR($B$31))+MONTH(H$3)-MONTH($B$31))))</x:f>
      </x:c>
      <x:c r="I38" s="107" t="n">
        <x:f>IF(I37=0,0,'Вводные'!$B$59*'Вводные'!$S$89*'Вводные'!$H$5*'Вводные'!$AG$89*(1+'Вводные'!$B$64)^MAX(0,MIN((12*(YEAR(I$3)-YEAR($B$30))+MONTH(I$3)-MONTH($B$30)),(12*(YEAR($B$31)-YEAR($B$30))+MONTH($B$31)-MONTH($B$30))))*(1+'Вводные'!$B$65)^MAX(0,(12*(YEAR(I$3)-YEAR($B$31))+MONTH(I$3)-MONTH($B$31))))</x:f>
      </x:c>
      <x:c r="J38" s="107" t="n">
        <x:f>IF(J37=0,0,'Вводные'!$B$59*'Вводные'!$S$89*'Вводные'!$H$5*'Вводные'!$AG$89*(1+'Вводные'!$B$64)^MAX(0,MIN((12*(YEAR(J$3)-YEAR($B$30))+MONTH(J$3)-MONTH($B$30)),(12*(YEAR($B$31)-YEAR($B$30))+MONTH($B$31)-MONTH($B$30))))*(1+'Вводные'!$B$65)^MAX(0,(12*(YEAR(J$3)-YEAR($B$31))+MONTH(J$3)-MONTH($B$31))))</x:f>
      </x:c>
      <x:c r="K38" s="107" t="n">
        <x:f>IF(K37=0,0,'Вводные'!$B$59*'Вводные'!$S$89*'Вводные'!$H$5*'Вводные'!$AG$89*(1+'Вводные'!$B$64)^MAX(0,MIN((12*(YEAR(K$3)-YEAR($B$30))+MONTH(K$3)-MONTH($B$30)),(12*(YEAR($B$31)-YEAR($B$30))+MONTH($B$31)-MONTH($B$30))))*(1+'Вводные'!$B$65)^MAX(0,(12*(YEAR(K$3)-YEAR($B$31))+MONTH(K$3)-MONTH($B$31))))</x:f>
      </x:c>
      <x:c r="L38" s="107" t="n">
        <x:f>IF(L37=0,0,'Вводные'!$B$59*'Вводные'!$S$89*'Вводные'!$H$5*'Вводные'!$AG$89*(1+'Вводные'!$B$64)^MAX(0,MIN((12*(YEAR(L$3)-YEAR($B$30))+MONTH(L$3)-MONTH($B$30)),(12*(YEAR($B$31)-YEAR($B$30))+MONTH($B$31)-MONTH($B$30))))*(1+'Вводные'!$B$65)^MAX(0,(12*(YEAR(L$3)-YEAR($B$31))+MONTH(L$3)-MONTH($B$31))))</x:f>
      </x:c>
      <x:c r="M38" s="107" t="n">
        <x:f>IF(M37=0,0,'Вводные'!$B$59*'Вводные'!$S$89*'Вводные'!$H$5*'Вводные'!$AG$89*(1+'Вводные'!$B$64)^MAX(0,MIN((12*(YEAR(M$3)-YEAR($B$30))+MONTH(M$3)-MONTH($B$30)),(12*(YEAR($B$31)-YEAR($B$30))+MONTH($B$31)-MONTH($B$30))))*(1+'Вводные'!$B$65)^MAX(0,(12*(YEAR(M$3)-YEAR($B$31))+MONTH(M$3)-MONTH($B$31))))</x:f>
      </x:c>
      <x:c r="N38" s="107" t="n">
        <x:f>IF(N37=0,0,'Вводные'!$B$59*'Вводные'!$S$89*'Вводные'!$H$5*'Вводные'!$AG$89*(1+'Вводные'!$B$64)^MAX(0,MIN((12*(YEAR(N$3)-YEAR($B$30))+MONTH(N$3)-MONTH($B$30)),(12*(YEAR($B$31)-YEAR($B$30))+MONTH($B$31)-MONTH($B$30))))*(1+'Вводные'!$B$65)^MAX(0,(12*(YEAR(N$3)-YEAR($B$31))+MONTH(N$3)-MONTH($B$31))))</x:f>
      </x:c>
      <x:c r="O38" s="107" t="n">
        <x:f>IF(O37=0,0,'Вводные'!$B$59*'Вводные'!$S$89*'Вводные'!$H$5*'Вводные'!$AG$89*(1+'Вводные'!$B$64)^MAX(0,MIN((12*(YEAR(O$3)-YEAR($B$30))+MONTH(O$3)-MONTH($B$30)),(12*(YEAR($B$31)-YEAR($B$30))+MONTH($B$31)-MONTH($B$30))))*(1+'Вводные'!$B$65)^MAX(0,(12*(YEAR(O$3)-YEAR($B$31))+MONTH(O$3)-MONTH($B$31))))</x:f>
      </x:c>
      <x:c r="P38" s="107" t="n">
        <x:f>IF(P37=0,0,'Вводные'!$B$59*'Вводные'!$S$89*'Вводные'!$H$5*'Вводные'!$AG$89*(1+'Вводные'!$B$64)^MAX(0,MIN((12*(YEAR(P$3)-YEAR($B$30))+MONTH(P$3)-MONTH($B$30)),(12*(YEAR($B$31)-YEAR($B$30))+MONTH($B$31)-MONTH($B$30))))*(1+'Вводные'!$B$65)^MAX(0,(12*(YEAR(P$3)-YEAR($B$31))+MONTH(P$3)-MONTH($B$31))))</x:f>
      </x:c>
      <x:c r="Q38" s="107" t="n">
        <x:f>IF(Q37=0,0,'Вводные'!$B$59*'Вводные'!$S$89*'Вводные'!$H$5*'Вводные'!$AG$89*(1+'Вводные'!$B$64)^MAX(0,MIN((12*(YEAR(Q$3)-YEAR($B$30))+MONTH(Q$3)-MONTH($B$30)),(12*(YEAR($B$31)-YEAR($B$30))+MONTH($B$31)-MONTH($B$30))))*(1+'Вводные'!$B$65)^MAX(0,(12*(YEAR(Q$3)-YEAR($B$31))+MONTH(Q$3)-MONTH($B$31))))</x:f>
      </x:c>
      <x:c r="R38" s="107" t="n">
        <x:f>IF(R37=0,0,'Вводные'!$B$59*'Вводные'!$S$89*'Вводные'!$H$5*'Вводные'!$AG$89*(1+'Вводные'!$B$64)^MAX(0,MIN((12*(YEAR(R$3)-YEAR($B$30))+MONTH(R$3)-MONTH($B$30)),(12*(YEAR($B$31)-YEAR($B$30))+MONTH($B$31)-MONTH($B$30))))*(1+'Вводные'!$B$65)^MAX(0,(12*(YEAR(R$3)-YEAR($B$31))+MONTH(R$3)-MONTH($B$31))))</x:f>
      </x:c>
      <x:c r="S38" s="107" t="n">
        <x:f>IF(S37=0,0,'Вводные'!$B$59*'Вводные'!$S$89*'Вводные'!$H$5*'Вводные'!$AG$89*(1+'Вводные'!$B$64)^MAX(0,MIN((12*(YEAR(S$3)-YEAR($B$30))+MONTH(S$3)-MONTH($B$30)),(12*(YEAR($B$31)-YEAR($B$30))+MONTH($B$31)-MONTH($B$30))))*(1+'Вводные'!$B$65)^MAX(0,(12*(YEAR(S$3)-YEAR($B$31))+MONTH(S$3)-MONTH($B$31))))</x:f>
      </x:c>
      <x:c r="T38" s="107" t="n">
        <x:f>IF(T37=0,0,'Вводные'!$B$59*'Вводные'!$S$89*'Вводные'!$H$5*'Вводные'!$AG$89*(1+'Вводные'!$B$64)^MAX(0,MIN((12*(YEAR(T$3)-YEAR($B$30))+MONTH(T$3)-MONTH($B$30)),(12*(YEAR($B$31)-YEAR($B$30))+MONTH($B$31)-MONTH($B$30))))*(1+'Вводные'!$B$65)^MAX(0,(12*(YEAR(T$3)-YEAR($B$31))+MONTH(T$3)-MONTH($B$31))))</x:f>
      </x:c>
      <x:c r="U38" s="107" t="n">
        <x:f>IF(U37=0,0,'Вводные'!$B$59*'Вводные'!$S$89*'Вводные'!$H$5*'Вводные'!$AG$89*(1+'Вводные'!$B$64)^MAX(0,MIN((12*(YEAR(U$3)-YEAR($B$30))+MONTH(U$3)-MONTH($B$30)),(12*(YEAR($B$31)-YEAR($B$30))+MONTH($B$31)-MONTH($B$30))))*(1+'Вводные'!$B$65)^MAX(0,(12*(YEAR(U$3)-YEAR($B$31))+MONTH(U$3)-MONTH($B$31))))</x:f>
      </x:c>
      <x:c r="V38" s="107" t="n">
        <x:f>IF(V37=0,0,'Вводные'!$B$59*'Вводные'!$S$89*'Вводные'!$H$5*'Вводные'!$AG$89*(1+'Вводные'!$B$64)^MAX(0,MIN((12*(YEAR(V$3)-YEAR($B$30))+MONTH(V$3)-MONTH($B$30)),(12*(YEAR($B$31)-YEAR($B$30))+MONTH($B$31)-MONTH($B$30))))*(1+'Вводные'!$B$65)^MAX(0,(12*(YEAR(V$3)-YEAR($B$31))+MONTH(V$3)-MONTH($B$31))))</x:f>
      </x:c>
      <x:c r="W38" s="107" t="n">
        <x:f>IF(W37=0,0,'Вводные'!$B$59*'Вводные'!$S$89*'Вводные'!$H$5*'Вводные'!$AG$89*(1+'Вводные'!$B$64)^MAX(0,MIN((12*(YEAR(W$3)-YEAR($B$30))+MONTH(W$3)-MONTH($B$30)),(12*(YEAR($B$31)-YEAR($B$30))+MONTH($B$31)-MONTH($B$30))))*(1+'Вводные'!$B$65)^MAX(0,(12*(YEAR(W$3)-YEAR($B$31))+MONTH(W$3)-MONTH($B$31))))</x:f>
      </x:c>
      <x:c r="X38" s="107" t="n">
        <x:f>IF(X37=0,0,'Вводные'!$B$59*'Вводные'!$S$89*'Вводные'!$H$5*'Вводные'!$AG$89*(1+'Вводные'!$B$64)^MAX(0,MIN((12*(YEAR(X$3)-YEAR($B$30))+MONTH(X$3)-MONTH($B$30)),(12*(YEAR($B$31)-YEAR($B$30))+MONTH($B$31)-MONTH($B$30))))*(1+'Вводные'!$B$65)^MAX(0,(12*(YEAR(X$3)-YEAR($B$31))+MONTH(X$3)-MONTH($B$31))))</x:f>
      </x:c>
      <x:c r="Y38" s="107" t="n">
        <x:f>IF(Y37=0,0,'Вводные'!$B$59*'Вводные'!$S$89*'Вводные'!$H$5*'Вводные'!$AG$89*(1+'Вводные'!$B$64)^MAX(0,MIN((12*(YEAR(Y$3)-YEAR($B$30))+MONTH(Y$3)-MONTH($B$30)),(12*(YEAR($B$31)-YEAR($B$30))+MONTH($B$31)-MONTH($B$30))))*(1+'Вводные'!$B$65)^MAX(0,(12*(YEAR(Y$3)-YEAR($B$31))+MONTH(Y$3)-MONTH($B$31))))</x:f>
      </x:c>
      <x:c r="Z38" s="107" t="n">
        <x:f>IF(Z37=0,0,'Вводные'!$B$59*'Вводные'!$S$89*'Вводные'!$H$5*'Вводные'!$AG$89*(1+'Вводные'!$B$64)^MAX(0,MIN((12*(YEAR(Z$3)-YEAR($B$30))+MONTH(Z$3)-MONTH($B$30)),(12*(YEAR($B$31)-YEAR($B$30))+MONTH($B$31)-MONTH($B$30))))*(1+'Вводные'!$B$65)^MAX(0,(12*(YEAR(Z$3)-YEAR($B$31))+MONTH(Z$3)-MONTH($B$31))))</x:f>
      </x:c>
      <x:c r="AA38" s="107" t="n">
        <x:f>IF(AA37=0,0,'Вводные'!$B$59*'Вводные'!$S$89*'Вводные'!$H$5*'Вводные'!$AG$89*(1+'Вводные'!$B$64)^MAX(0,MIN((12*(YEAR(AA$3)-YEAR($B$30))+MONTH(AA$3)-MONTH($B$30)),(12*(YEAR($B$31)-YEAR($B$30))+MONTH($B$31)-MONTH($B$30))))*(1+'Вводные'!$B$65)^MAX(0,(12*(YEAR(AA$3)-YEAR($B$31))+MONTH(AA$3)-MONTH($B$31))))</x:f>
      </x:c>
      <x:c r="AB38" s="107" t="n">
        <x:f>IF(AB37=0,0,'Вводные'!$B$59*'Вводные'!$S$89*'Вводные'!$H$5*'Вводные'!$AG$89*(1+'Вводные'!$B$64)^MAX(0,MIN((12*(YEAR(AB$3)-YEAR($B$30))+MONTH(AB$3)-MONTH($B$30)),(12*(YEAR($B$31)-YEAR($B$30))+MONTH($B$31)-MONTH($B$30))))*(1+'Вводные'!$B$65)^MAX(0,(12*(YEAR(AB$3)-YEAR($B$31))+MONTH(AB$3)-MONTH($B$31))))</x:f>
      </x:c>
      <x:c r="AC38" s="107" t="n">
        <x:f>IF(AC37=0,0,'Вводные'!$B$59*'Вводные'!$S$89*'Вводные'!$H$5*'Вводные'!$AG$89*(1+'Вводные'!$B$64)^MAX(0,MIN((12*(YEAR(AC$3)-YEAR($B$30))+MONTH(AC$3)-MONTH($B$30)),(12*(YEAR($B$31)-YEAR($B$30))+MONTH($B$31)-MONTH($B$30))))*(1+'Вводные'!$B$65)^MAX(0,(12*(YEAR(AC$3)-YEAR($B$31))+MONTH(AC$3)-MONTH($B$31))))</x:f>
      </x:c>
      <x:c r="AD38" s="107" t="n">
        <x:f>IF(AD37=0,0,'Вводные'!$B$59*'Вводные'!$S$89*'Вводные'!$H$5*'Вводные'!$AG$89*(1+'Вводные'!$B$64)^MAX(0,MIN((12*(YEAR(AD$3)-YEAR($B$30))+MONTH(AD$3)-MONTH($B$30)),(12*(YEAR($B$31)-YEAR($B$30))+MONTH($B$31)-MONTH($B$30))))*(1+'Вводные'!$B$65)^MAX(0,(12*(YEAR(AD$3)-YEAR($B$31))+MONTH(AD$3)-MONTH($B$31))))</x:f>
      </x:c>
      <x:c r="AE38" s="107" t="n">
        <x:f>IF(AE37=0,0,'Вводные'!$B$59*'Вводные'!$S$89*'Вводные'!$H$5*'Вводные'!$AG$89*(1+'Вводные'!$B$64)^MAX(0,MIN((12*(YEAR(AE$3)-YEAR($B$30))+MONTH(AE$3)-MONTH($B$30)),(12*(YEAR($B$31)-YEAR($B$30))+MONTH($B$31)-MONTH($B$30))))*(1+'Вводные'!$B$65)^MAX(0,(12*(YEAR(AE$3)-YEAR($B$31))+MONTH(AE$3)-MONTH($B$31))))</x:f>
      </x:c>
      <x:c r="AF38" s="107" t="n">
        <x:f>IF(AF37=0,0,'Вводные'!$B$59*'Вводные'!$S$89*'Вводные'!$H$5*'Вводные'!$AG$89*(1+'Вводные'!$B$64)^MAX(0,MIN((12*(YEAR(AF$3)-YEAR($B$30))+MONTH(AF$3)-MONTH($B$30)),(12*(YEAR($B$31)-YEAR($B$30))+MONTH($B$31)-MONTH($B$30))))*(1+'Вводные'!$B$65)^MAX(0,(12*(YEAR(AF$3)-YEAR($B$31))+MONTH(AF$3)-MONTH($B$31))))</x:f>
      </x:c>
      <x:c r="AG38" s="107" t="n">
        <x:f>IF(AG37=0,0,'Вводные'!$B$59*'Вводные'!$S$89*'Вводные'!$H$5*'Вводные'!$AG$89*(1+'Вводные'!$B$64)^MAX(0,MIN((12*(YEAR(AG$3)-YEAR($B$30))+MONTH(AG$3)-MONTH($B$30)),(12*(YEAR($B$31)-YEAR($B$30))+MONTH($B$31)-MONTH($B$30))))*(1+'Вводные'!$B$65)^MAX(0,(12*(YEAR(AG$3)-YEAR($B$31))+MONTH(AG$3)-MONTH($B$31))))</x:f>
      </x:c>
      <x:c r="AH38" s="107" t="n">
        <x:f>IF(AH37=0,0,'Вводные'!$B$59*'Вводные'!$S$89*'Вводные'!$H$5*'Вводные'!$AG$89*(1+'Вводные'!$B$64)^MAX(0,MIN((12*(YEAR(AH$3)-YEAR($B$30))+MONTH(AH$3)-MONTH($B$30)),(12*(YEAR($B$31)-YEAR($B$30))+MONTH($B$31)-MONTH($B$30))))*(1+'Вводные'!$B$65)^MAX(0,(12*(YEAR(AH$3)-YEAR($B$31))+MONTH(AH$3)-MONTH($B$31))))</x:f>
      </x:c>
      <x:c r="AI38" s="107" t="n">
        <x:f>IF(AI37=0,0,'Вводные'!$B$59*'Вводные'!$S$89*'Вводные'!$H$5*'Вводные'!$AG$89*(1+'Вводные'!$B$64)^MAX(0,MIN((12*(YEAR(AI$3)-YEAR($B$30))+MONTH(AI$3)-MONTH($B$30)),(12*(YEAR($B$31)-YEAR($B$30))+MONTH($B$31)-MONTH($B$30))))*(1+'Вводные'!$B$65)^MAX(0,(12*(YEAR(AI$3)-YEAR($B$31))+MONTH(AI$3)-MONTH($B$31))))</x:f>
      </x:c>
      <x:c r="AJ38" s="107" t="n">
        <x:f>IF(AJ37=0,0,'Вводные'!$B$59*'Вводные'!$S$89*'Вводные'!$H$5*'Вводные'!$AG$89*(1+'Вводные'!$B$64)^MAX(0,MIN((12*(YEAR(AJ$3)-YEAR($B$30))+MONTH(AJ$3)-MONTH($B$30)),(12*(YEAR($B$31)-YEAR($B$30))+MONTH($B$31)-MONTH($B$30))))*(1+'Вводные'!$B$65)^MAX(0,(12*(YEAR(AJ$3)-YEAR($B$31))+MONTH(AJ$3)-MONTH($B$31))))</x:f>
      </x:c>
      <x:c r="AK38" s="107" t="n">
        <x:f>IF(AK37=0,0,'Вводные'!$B$59*'Вводные'!$S$89*'Вводные'!$H$5*'Вводные'!$AG$89*(1+'Вводные'!$B$64)^MAX(0,MIN((12*(YEAR(AK$3)-YEAR($B$30))+MONTH(AK$3)-MONTH($B$30)),(12*(YEAR($B$31)-YEAR($B$30))+MONTH($B$31)-MONTH($B$30))))*(1+'Вводные'!$B$65)^MAX(0,(12*(YEAR(AK$3)-YEAR($B$31))+MONTH(AK$3)-MONTH($B$31))))</x:f>
      </x:c>
      <x:c r="AL38" s="107" t="n">
        <x:f>IF(AL37=0,0,'Вводные'!$B$59*'Вводные'!$S$89*'Вводные'!$H$5*'Вводные'!$AG$89*(1+'Вводные'!$B$64)^MAX(0,MIN((12*(YEAR(AL$3)-YEAR($B$30))+MONTH(AL$3)-MONTH($B$30)),(12*(YEAR($B$31)-YEAR($B$30))+MONTH($B$31)-MONTH($B$30))))*(1+'Вводные'!$B$65)^MAX(0,(12*(YEAR(AL$3)-YEAR($B$31))+MONTH(AL$3)-MONTH($B$31))))</x:f>
      </x:c>
      <x:c r="AM38" s="107" t="n">
        <x:f>IF(AM37=0,0,'Вводные'!$B$59*'Вводные'!$S$89*'Вводные'!$H$5*'Вводные'!$AG$89*(1+'Вводные'!$B$64)^MAX(0,MIN((12*(YEAR(AM$3)-YEAR($B$30))+MONTH(AM$3)-MONTH($B$30)),(12*(YEAR($B$31)-YEAR($B$30))+MONTH($B$31)-MONTH($B$30))))*(1+'Вводные'!$B$65)^MAX(0,(12*(YEAR(AM$3)-YEAR($B$31))+MONTH(AM$3)-MONTH($B$31))))</x:f>
      </x:c>
      <x:c r="AN38" s="107" t="n">
        <x:f>IF(AN37=0,0,'Вводные'!$B$59*'Вводные'!$S$89*'Вводные'!$H$5*'Вводные'!$AG$89*(1+'Вводные'!$B$64)^MAX(0,MIN((12*(YEAR(AN$3)-YEAR($B$30))+MONTH(AN$3)-MONTH($B$30)),(12*(YEAR($B$31)-YEAR($B$30))+MONTH($B$31)-MONTH($B$30))))*(1+'Вводные'!$B$65)^MAX(0,(12*(YEAR(AN$3)-YEAR($B$31))+MONTH(AN$3)-MONTH($B$31))))</x:f>
      </x:c>
      <x:c r="AO38" s="107" t="n">
        <x:f>IF(AO37=0,0,'Вводные'!$B$59*'Вводные'!$S$89*'Вводные'!$H$5*'Вводные'!$AG$89*(1+'Вводные'!$B$64)^MAX(0,MIN((12*(YEAR(AO$3)-YEAR($B$30))+MONTH(AO$3)-MONTH($B$30)),(12*(YEAR($B$31)-YEAR($B$30))+MONTH($B$31)-MONTH($B$30))))*(1+'Вводные'!$B$65)^MAX(0,(12*(YEAR(AO$3)-YEAR($B$31))+MONTH(AO$3)-MONTH($B$31))))</x:f>
      </x:c>
      <x:c r="AP38" s="107" t="n">
        <x:f>IF(AP37=0,0,'Вводные'!$B$59*'Вводные'!$S$89*'Вводные'!$H$5*'Вводные'!$AG$89*(1+'Вводные'!$B$64)^MAX(0,MIN((12*(YEAR(AP$3)-YEAR($B$30))+MONTH(AP$3)-MONTH($B$30)),(12*(YEAR($B$31)-YEAR($B$30))+MONTH($B$31)-MONTH($B$30))))*(1+'Вводные'!$B$65)^MAX(0,(12*(YEAR(AP$3)-YEAR($B$31))+MONTH(AP$3)-MONTH($B$31))))</x:f>
      </x:c>
      <x:c r="AQ38" s="107" t="n">
        <x:f>IF(AQ37=0,0,'Вводные'!$B$59*'Вводные'!$S$89*'Вводные'!$H$5*'Вводные'!$AG$89*(1+'Вводные'!$B$64)^MAX(0,MIN((12*(YEAR(AQ$3)-YEAR($B$30))+MONTH(AQ$3)-MONTH($B$30)),(12*(YEAR($B$31)-YEAR($B$30))+MONTH($B$31)-MONTH($B$30))))*(1+'Вводные'!$B$65)^MAX(0,(12*(YEAR(AQ$3)-YEAR($B$31))+MONTH(AQ$3)-MONTH($B$31))))</x:f>
      </x:c>
      <x:c r="AR38" s="107" t="n">
        <x:f>IF(AR37=0,0,'Вводные'!$B$59*'Вводные'!$S$89*'Вводные'!$H$5*'Вводные'!$AG$89*(1+'Вводные'!$B$64)^MAX(0,MIN((12*(YEAR(AR$3)-YEAR($B$30))+MONTH(AR$3)-MONTH($B$30)),(12*(YEAR($B$31)-YEAR($B$30))+MONTH($B$31)-MONTH($B$30))))*(1+'Вводные'!$B$65)^MAX(0,(12*(YEAR(AR$3)-YEAR($B$31))+MONTH(AR$3)-MONTH($B$31))))</x:f>
      </x:c>
      <x:c r="AS38" s="107" t="n">
        <x:f>IF(AS37=0,0,'Вводные'!$B$59*'Вводные'!$S$89*'Вводные'!$H$5*'Вводные'!$AG$89*(1+'Вводные'!$B$64)^MAX(0,MIN((12*(YEAR(AS$3)-YEAR($B$30))+MONTH(AS$3)-MONTH($B$30)),(12*(YEAR($B$31)-YEAR($B$30))+MONTH($B$31)-MONTH($B$30))))*(1+'Вводные'!$B$65)^MAX(0,(12*(YEAR(AS$3)-YEAR($B$31))+MONTH(AS$3)-MONTH($B$31))))</x:f>
      </x:c>
      <x:c r="AT38" s="107" t="n">
        <x:f>IF(AT37=0,0,'Вводные'!$B$59*'Вводные'!$S$89*'Вводные'!$H$5*'Вводные'!$AG$89*(1+'Вводные'!$B$64)^MAX(0,MIN((12*(YEAR(AT$3)-YEAR($B$30))+MONTH(AT$3)-MONTH($B$30)),(12*(YEAR($B$31)-YEAR($B$30))+MONTH($B$31)-MONTH($B$30))))*(1+'Вводные'!$B$65)^MAX(0,(12*(YEAR(AT$3)-YEAR($B$31))+MONTH(AT$3)-MONTH($B$31))))</x:f>
      </x:c>
      <x:c r="AU38" s="107" t="n">
        <x:f>IF(AU37=0,0,'Вводные'!$B$59*'Вводные'!$S$89*'Вводные'!$H$5*'Вводные'!$AG$89*(1+'Вводные'!$B$64)^MAX(0,MIN((12*(YEAR(AU$3)-YEAR($B$30))+MONTH(AU$3)-MONTH($B$30)),(12*(YEAR($B$31)-YEAR($B$30))+MONTH($B$31)-MONTH($B$30))))*(1+'Вводные'!$B$65)^MAX(0,(12*(YEAR(AU$3)-YEAR($B$31))+MONTH(AU$3)-MONTH($B$31))))</x:f>
      </x:c>
      <x:c r="AV38" s="107" t="n">
        <x:f>IF(AV37=0,0,'Вводные'!$B$59*'Вводные'!$S$89*'Вводные'!$H$5*'Вводные'!$AG$89*(1+'Вводные'!$B$64)^MAX(0,MIN((12*(YEAR(AV$3)-YEAR($B$30))+MONTH(AV$3)-MONTH($B$30)),(12*(YEAR($B$31)-YEAR($B$30))+MONTH($B$31)-MONTH($B$30))))*(1+'Вводные'!$B$65)^MAX(0,(12*(YEAR(AV$3)-YEAR($B$31))+MONTH(AV$3)-MONTH($B$31))))</x:f>
      </x:c>
      <x:c r="AW38" s="107" t="n">
        <x:f>IF(AW37=0,0,'Вводные'!$B$59*'Вводные'!$S$89*'Вводные'!$H$5*'Вводные'!$AG$89*(1+'Вводные'!$B$64)^MAX(0,MIN((12*(YEAR(AW$3)-YEAR($B$30))+MONTH(AW$3)-MONTH($B$30)),(12*(YEAR($B$31)-YEAR($B$30))+MONTH($B$31)-MONTH($B$30))))*(1+'Вводные'!$B$65)^MAX(0,(12*(YEAR(AW$3)-YEAR($B$31))+MONTH(AW$3)-MONTH($B$31))))</x:f>
      </x:c>
      <x:c r="AX38" s="107" t="n">
        <x:f>IF(AX37=0,0,'Вводные'!$B$59*'Вводные'!$S$89*'Вводные'!$H$5*'Вводные'!$AG$89*(1+'Вводные'!$B$64)^MAX(0,MIN((12*(YEAR(AX$3)-YEAR($B$30))+MONTH(AX$3)-MONTH($B$30)),(12*(YEAR($B$31)-YEAR($B$30))+MONTH($B$31)-MONTH($B$30))))*(1+'Вводные'!$B$65)^MAX(0,(12*(YEAR(AX$3)-YEAR($B$31))+MONTH(AX$3)-MONTH($B$31))))</x:f>
      </x:c>
      <x:c r="AY38" s="107" t="n">
        <x:f>IF(AY37=0,0,'Вводные'!$B$59*'Вводные'!$S$89*'Вводные'!$H$5*'Вводные'!$AG$89*(1+'Вводные'!$B$64)^MAX(0,MIN((12*(YEAR(AY$3)-YEAR($B$30))+MONTH(AY$3)-MONTH($B$30)),(12*(YEAR($B$31)-YEAR($B$30))+MONTH($B$31)-MONTH($B$30))))*(1+'Вводные'!$B$65)^MAX(0,(12*(YEAR(AY$3)-YEAR($B$31))+MONTH(AY$3)-MONTH($B$31))))</x:f>
      </x:c>
      <x:c r="AZ38" s="107" t="n">
        <x:f>IF(AZ37=0,0,'Вводные'!$B$59*'Вводные'!$S$89*'Вводные'!$H$5*'Вводные'!$AG$89*(1+'Вводные'!$B$64)^MAX(0,MIN((12*(YEAR(AZ$3)-YEAR($B$30))+MONTH(AZ$3)-MONTH($B$30)),(12*(YEAR($B$31)-YEAR($B$30))+MONTH($B$31)-MONTH($B$30))))*(1+'Вводные'!$B$65)^MAX(0,(12*(YEAR(AZ$3)-YEAR($B$31))+MONTH(AZ$3)-MONTH($B$31))))</x:f>
      </x:c>
      <x:c r="BA38" s="107" t="n">
        <x:f>IF(BA37=0,0,'Вводные'!$B$59*'Вводные'!$S$89*'Вводные'!$H$5*'Вводные'!$AG$89*(1+'Вводные'!$B$64)^MAX(0,MIN((12*(YEAR(BA$3)-YEAR($B$30))+MONTH(BA$3)-MONTH($B$30)),(12*(YEAR($B$31)-YEAR($B$30))+MONTH($B$31)-MONTH($B$30))))*(1+'Вводные'!$B$65)^MAX(0,(12*(YEAR(BA$3)-YEAR($B$31))+MONTH(BA$3)-MONTH($B$31))))</x:f>
      </x:c>
      <x:c r="BB38" s="107" t="n">
        <x:f>IF(BB37=0,0,'Вводные'!$B$59*'Вводные'!$S$89*'Вводные'!$H$5*'Вводные'!$AG$89*(1+'Вводные'!$B$64)^MAX(0,MIN((12*(YEAR(BB$3)-YEAR($B$30))+MONTH(BB$3)-MONTH($B$30)),(12*(YEAR($B$31)-YEAR($B$30))+MONTH($B$31)-MONTH($B$30))))*(1+'Вводные'!$B$65)^MAX(0,(12*(YEAR(BB$3)-YEAR($B$31))+MONTH(BB$3)-MONTH($B$31))))</x:f>
      </x:c>
      <x:c r="BC38" s="107" t="n">
        <x:f>IF(BC37=0,0,'Вводные'!$B$59*'Вводные'!$S$89*'Вводные'!$H$5*'Вводные'!$AG$89*(1+'Вводные'!$B$64)^MAX(0,MIN((12*(YEAR(BC$3)-YEAR($B$30))+MONTH(BC$3)-MONTH($B$30)),(12*(YEAR($B$31)-YEAR($B$30))+MONTH($B$31)-MONTH($B$30))))*(1+'Вводные'!$B$65)^MAX(0,(12*(YEAR(BC$3)-YEAR($B$31))+MONTH(BC$3)-MONTH($B$31))))</x:f>
      </x:c>
      <x:c r="BD38" s="107" t="n">
        <x:f>IF(BD37=0,0,'Вводные'!$B$59*'Вводные'!$S$89*'Вводные'!$H$5*'Вводные'!$AG$89*(1+'Вводные'!$B$64)^MAX(0,MIN((12*(YEAR(BD$3)-YEAR($B$30))+MONTH(BD$3)-MONTH($B$30)),(12*(YEAR($B$31)-YEAR($B$30))+MONTH($B$31)-MONTH($B$30))))*(1+'Вводные'!$B$65)^MAX(0,(12*(YEAR(BD$3)-YEAR($B$31))+MONTH(BD$3)-MONTH($B$31))))</x:f>
      </x:c>
      <x:c r="BE38" s="107" t="n">
        <x:f>IF(BE37=0,0,'Вводные'!$B$59*'Вводные'!$S$89*'Вводные'!$H$5*'Вводные'!$AG$89*(1+'Вводные'!$B$64)^MAX(0,MIN((12*(YEAR(BE$3)-YEAR($B$30))+MONTH(BE$3)-MONTH($B$30)),(12*(YEAR($B$31)-YEAR($B$30))+MONTH($B$31)-MONTH($B$30))))*(1+'Вводные'!$B$65)^MAX(0,(12*(YEAR(BE$3)-YEAR($B$31))+MONTH(BE$3)-MONTH($B$31))))</x:f>
      </x:c>
      <x:c r="BF38" s="107" t="n">
        <x:f>IF(BF37=0,0,'Вводные'!$B$59*'Вводные'!$S$89*'Вводные'!$H$5*'Вводные'!$AG$89*(1+'Вводные'!$B$64)^MAX(0,MIN((12*(YEAR(BF$3)-YEAR($B$30))+MONTH(BF$3)-MONTH($B$30)),(12*(YEAR($B$31)-YEAR($B$30))+MONTH($B$31)-MONTH($B$30))))*(1+'Вводные'!$B$65)^MAX(0,(12*(YEAR(BF$3)-YEAR($B$31))+MONTH(BF$3)-MONTH($B$31))))</x:f>
      </x:c>
      <x:c r="BG38" s="107" t="n">
        <x:f>IF(BG37=0,0,'Вводные'!$B$59*'Вводные'!$S$89*'Вводные'!$H$5*'Вводные'!$AG$89*(1+'Вводные'!$B$64)^MAX(0,MIN((12*(YEAR(BG$3)-YEAR($B$30))+MONTH(BG$3)-MONTH($B$30)),(12*(YEAR($B$31)-YEAR($B$30))+MONTH($B$31)-MONTH($B$30))))*(1+'Вводные'!$B$65)^MAX(0,(12*(YEAR(BG$3)-YEAR($B$31))+MONTH(BG$3)-MONTH($B$31))))</x:f>
      </x:c>
      <x:c r="BH38" s="107" t="n">
        <x:f>IF(BH37=0,0,'Вводные'!$B$59*'Вводные'!$S$89*'Вводные'!$H$5*'Вводные'!$AG$89*(1+'Вводные'!$B$64)^MAX(0,MIN((12*(YEAR(BH$3)-YEAR($B$30))+MONTH(BH$3)-MONTH($B$30)),(12*(YEAR($B$31)-YEAR($B$30))+MONTH($B$31)-MONTH($B$30))))*(1+'Вводные'!$B$65)^MAX(0,(12*(YEAR(BH$3)-YEAR($B$31))+MONTH(BH$3)-MONTH($B$31))))</x:f>
      </x:c>
      <x:c r="BI38" s="107" t="n">
        <x:f>IF(BI37=0,0,'Вводные'!$B$59*'Вводные'!$S$89*'Вводные'!$H$5*'Вводные'!$AG$89*(1+'Вводные'!$B$64)^MAX(0,MIN((12*(YEAR(BI$3)-YEAR($B$30))+MONTH(BI$3)-MONTH($B$30)),(12*(YEAR($B$31)-YEAR($B$30))+MONTH($B$31)-MONTH($B$30))))*(1+'Вводные'!$B$65)^MAX(0,(12*(YEAR(BI$3)-YEAR($B$31))+MONTH(BI$3)-MONTH($B$31))))</x:f>
      </x:c>
      <x:c r="BJ38" s="107" t="n">
        <x:f>IF(BJ37=0,0,'Вводные'!$B$59*'Вводные'!$S$89*'Вводные'!$H$5*'Вводные'!$AG$89*(1+'Вводные'!$B$64)^MAX(0,MIN((12*(YEAR(BJ$3)-YEAR($B$30))+MONTH(BJ$3)-MONTH($B$30)),(12*(YEAR($B$31)-YEAR($B$30))+MONTH($B$31)-MONTH($B$30))))*(1+'Вводные'!$B$65)^MAX(0,(12*(YEAR(BJ$3)-YEAR($B$31))+MONTH(BJ$3)-MONTH($B$31))))</x:f>
      </x:c>
      <x:c r="BK38" s="107" t="n">
        <x:f>IF(BK37=0,0,'Вводные'!$B$59*'Вводные'!$S$89*'Вводные'!$H$5*'Вводные'!$AG$89*(1+'Вводные'!$B$64)^MAX(0,MIN((12*(YEAR(BK$3)-YEAR($B$30))+MONTH(BK$3)-MONTH($B$30)),(12*(YEAR($B$31)-YEAR($B$30))+MONTH($B$31)-MONTH($B$30))))*(1+'Вводные'!$B$65)^MAX(0,(12*(YEAR(BK$3)-YEAR($B$31))+MONTH(BK$3)-MONTH($B$31))))</x:f>
      </x:c>
      <x:c r="BL38" s="107" t="n">
        <x:f>IF(BL37=0,0,'Вводные'!$B$59*'Вводные'!$S$89*'Вводные'!$H$5*'Вводные'!$AG$89*(1+'Вводные'!$B$64)^MAX(0,MIN((12*(YEAR(BL$3)-YEAR($B$30))+MONTH(BL$3)-MONTH($B$30)),(12*(YEAR($B$31)-YEAR($B$30))+MONTH($B$31)-MONTH($B$30))))*(1+'Вводные'!$B$65)^MAX(0,(12*(YEAR(BL$3)-YEAR($B$31))+MONTH(BL$3)-MONTH($B$31))))</x:f>
      </x:c>
      <x:c r="BM38" s="107" t="n">
        <x:f>IF(BM37=0,0,'Вводные'!$B$59*'Вводные'!$S$89*'Вводные'!$H$5*'Вводные'!$AG$89*(1+'Вводные'!$B$64)^MAX(0,MIN((12*(YEAR(BM$3)-YEAR($B$30))+MONTH(BM$3)-MONTH($B$30)),(12*(YEAR($B$31)-YEAR($B$30))+MONTH($B$31)-MONTH($B$30))))*(1+'Вводные'!$B$65)^MAX(0,(12*(YEAR(BM$3)-YEAR($B$31))+MONTH(BM$3)-MONTH($B$31))))</x:f>
      </x:c>
      <x:c r="BN38" s="107" t="n">
        <x:f>IF(BN37=0,0,'Вводные'!$B$59*'Вводные'!$S$89*'Вводные'!$H$5*'Вводные'!$AG$89*(1+'Вводные'!$B$64)^MAX(0,MIN((12*(YEAR(BN$3)-YEAR($B$30))+MONTH(BN$3)-MONTH($B$30)),(12*(YEAR($B$31)-YEAR($B$30))+MONTH($B$31)-MONTH($B$30))))*(1+'Вводные'!$B$65)^MAX(0,(12*(YEAR(BN$3)-YEAR($B$31))+MONTH(BN$3)-MONTH($B$31))))</x:f>
      </x:c>
      <x:c r="BO38" s="107" t="n">
        <x:f>IF(BO37=0,0,'Вводные'!$B$59*'Вводные'!$S$89*'Вводные'!$H$5*'Вводные'!$AG$89*(1+'Вводные'!$B$64)^MAX(0,MIN((12*(YEAR(BO$3)-YEAR($B$30))+MONTH(BO$3)-MONTH($B$30)),(12*(YEAR($B$31)-YEAR($B$30))+MONTH($B$31)-MONTH($B$30))))*(1+'Вводные'!$B$65)^MAX(0,(12*(YEAR(BO$3)-YEAR($B$31))+MONTH(BO$3)-MONTH($B$31))))</x:f>
      </x:c>
      <x:c r="BP38" s="107" t="n">
        <x:f>IF(BP37=0,0,'Вводные'!$B$59*'Вводные'!$S$89*'Вводные'!$H$5*'Вводные'!$AG$89*(1+'Вводные'!$B$64)^MAX(0,MIN((12*(YEAR(BP$3)-YEAR($B$30))+MONTH(BP$3)-MONTH($B$30)),(12*(YEAR($B$31)-YEAR($B$30))+MONTH($B$31)-MONTH($B$30))))*(1+'Вводные'!$B$65)^MAX(0,(12*(YEAR(BP$3)-YEAR($B$31))+MONTH(BP$3)-MONTH($B$31))))</x:f>
      </x:c>
      <x:c r="BQ38" s="107" t="n">
        <x:f>IF(BQ37=0,0,'Вводные'!$B$59*'Вводные'!$S$89*'Вводные'!$H$5*'Вводные'!$AG$89*(1+'Вводные'!$B$64)^MAX(0,MIN((12*(YEAR(BQ$3)-YEAR($B$30))+MONTH(BQ$3)-MONTH($B$30)),(12*(YEAR($B$31)-YEAR($B$30))+MONTH($B$31)-MONTH($B$30))))*(1+'Вводные'!$B$65)^MAX(0,(12*(YEAR(BQ$3)-YEAR($B$31))+MONTH(BQ$3)-MONTH($B$31))))</x:f>
      </x:c>
      <x:c r="BR38" s="107" t="n">
        <x:f>IF(BR37=0,0,'Вводные'!$B$59*'Вводные'!$S$89*'Вводные'!$H$5*'Вводные'!$AG$89*(1+'Вводные'!$B$64)^MAX(0,MIN((12*(YEAR(BR$3)-YEAR($B$30))+MONTH(BR$3)-MONTH($B$30)),(12*(YEAR($B$31)-YEAR($B$30))+MONTH($B$31)-MONTH($B$30))))*(1+'Вводные'!$B$65)^MAX(0,(12*(YEAR(BR$3)-YEAR($B$31))+MONTH(BR$3)-MONTH($B$31))))</x:f>
      </x:c>
      <x:c r="BS38" s="107" t="n">
        <x:f>IF(BS37=0,0,'Вводные'!$B$59*'Вводные'!$S$89*'Вводные'!$H$5*'Вводные'!$AG$89*(1+'Вводные'!$B$64)^MAX(0,MIN((12*(YEAR(BS$3)-YEAR($B$30))+MONTH(BS$3)-MONTH($B$30)),(12*(YEAR($B$31)-YEAR($B$30))+MONTH($B$31)-MONTH($B$30))))*(1+'Вводные'!$B$65)^MAX(0,(12*(YEAR(BS$3)-YEAR($B$31))+MONTH(BS$3)-MONTH($B$31))))</x:f>
      </x:c>
      <x:c r="BT38" s="107" t="n">
        <x:f>IF(BT37=0,0,'Вводные'!$B$59*'Вводные'!$S$89*'Вводные'!$H$5*'Вводные'!$AG$89*(1+'Вводные'!$B$64)^MAX(0,MIN((12*(YEAR(BT$3)-YEAR($B$30))+MONTH(BT$3)-MONTH($B$30)),(12*(YEAR($B$31)-YEAR($B$30))+MONTH($B$31)-MONTH($B$30))))*(1+'Вводные'!$B$65)^MAX(0,(12*(YEAR(BT$3)-YEAR($B$31))+MONTH(BT$3)-MONTH($B$31))))</x:f>
      </x:c>
      <x:c r="BU38" s="107" t="n">
        <x:f>IF(BU37=0,0,'Вводные'!$B$59*'Вводные'!$S$89*'Вводные'!$H$5*'Вводные'!$AG$89*(1+'Вводные'!$B$64)^MAX(0,MIN((12*(YEAR(BU$3)-YEAR($B$30))+MONTH(BU$3)-MONTH($B$30)),(12*(YEAR($B$31)-YEAR($B$30))+MONTH($B$31)-MONTH($B$30))))*(1+'Вводные'!$B$65)^MAX(0,(12*(YEAR(BU$3)-YEAR($B$31))+MONTH(BU$3)-MONTH($B$31))))</x:f>
      </x:c>
      <x:c r="BV38" s="107" t="n">
        <x:f>IF(BV37=0,0,'Вводные'!$B$59*'Вводные'!$S$89*'Вводные'!$H$5*'Вводные'!$AG$89*(1+'Вводные'!$B$64)^MAX(0,MIN((12*(YEAR(BV$3)-YEAR($B$30))+MONTH(BV$3)-MONTH($B$30)),(12*(YEAR($B$31)-YEAR($B$30))+MONTH($B$31)-MONTH($B$30))))*(1+'Вводные'!$B$65)^MAX(0,(12*(YEAR(BV$3)-YEAR($B$31))+MONTH(BV$3)-MONTH($B$31))))</x:f>
      </x:c>
      <x:c r="BW38" s="107" t="n">
        <x:f>IF(BW37=0,0,'Вводные'!$B$59*'Вводные'!$S$89*'Вводные'!$H$5*'Вводные'!$AG$89*(1+'Вводные'!$B$64)^MAX(0,MIN((12*(YEAR(BW$3)-YEAR($B$30))+MONTH(BW$3)-MONTH($B$30)),(12*(YEAR($B$31)-YEAR($B$30))+MONTH($B$31)-MONTH($B$30))))*(1+'Вводные'!$B$65)^MAX(0,(12*(YEAR(BW$3)-YEAR($B$31))+MONTH(BW$3)-MONTH($B$31))))</x:f>
      </x:c>
      <x:c r="BX38" s="107" t="n">
        <x:f>IF(BX37=0,0,'Вводные'!$B$59*'Вводные'!$S$89*'Вводные'!$H$5*'Вводные'!$AG$89*(1+'Вводные'!$B$64)^MAX(0,MIN((12*(YEAR(BX$3)-YEAR($B$30))+MONTH(BX$3)-MONTH($B$30)),(12*(YEAR($B$31)-YEAR($B$30))+MONTH($B$31)-MONTH($B$30))))*(1+'Вводные'!$B$65)^MAX(0,(12*(YEAR(BX$3)-YEAR($B$31))+MONTH(BX$3)-MONTH($B$31))))</x:f>
      </x:c>
      <x:c r="BY38" s="107" t="n">
        <x:f>IF(BY37=0,0,'Вводные'!$B$59*'Вводные'!$S$89*'Вводные'!$H$5*'Вводные'!$AG$89*(1+'Вводные'!$B$64)^MAX(0,MIN((12*(YEAR(BY$3)-YEAR($B$30))+MONTH(BY$3)-MONTH($B$30)),(12*(YEAR($B$31)-YEAR($B$30))+MONTH($B$31)-MONTH($B$30))))*(1+'Вводные'!$B$65)^MAX(0,(12*(YEAR(BY$3)-YEAR($B$31))+MONTH(BY$3)-MONTH($B$31))))</x:f>
      </x:c>
      <x:c r="BZ38" s="107" t="n">
        <x:f>IF(BZ37=0,0,'Вводные'!$B$59*'Вводные'!$S$89*'Вводные'!$H$5*'Вводные'!$AG$89*(1+'Вводные'!$B$64)^MAX(0,MIN((12*(YEAR(BZ$3)-YEAR($B$30))+MONTH(BZ$3)-MONTH($B$30)),(12*(YEAR($B$31)-YEAR($B$30))+MONTH($B$31)-MONTH($B$30))))*(1+'Вводные'!$B$65)^MAX(0,(12*(YEAR(BZ$3)-YEAR($B$31))+MONTH(BZ$3)-MONTH($B$31))))</x:f>
      </x:c>
      <x:c r="CA38" s="107" t="n">
        <x:f>IF(CA37=0,0,'Вводные'!$B$59*'Вводные'!$S$89*'Вводные'!$H$5*'Вводные'!$AG$89*(1+'Вводные'!$B$64)^MAX(0,MIN((12*(YEAR(CA$3)-YEAR($B$30))+MONTH(CA$3)-MONTH($B$30)),(12*(YEAR($B$31)-YEAR($B$30))+MONTH($B$31)-MONTH($B$30))))*(1+'Вводные'!$B$65)^MAX(0,(12*(YEAR(CA$3)-YEAR($B$31))+MONTH(CA$3)-MONTH($B$31))))</x:f>
      </x:c>
      <x:c r="CB38" s="107" t="n">
        <x:f>IF(CB37=0,0,'Вводные'!$B$59*'Вводные'!$S$89*'Вводные'!$H$5*'Вводные'!$AG$89*(1+'Вводные'!$B$64)^MAX(0,MIN((12*(YEAR(CB$3)-YEAR($B$30))+MONTH(CB$3)-MONTH($B$30)),(12*(YEAR($B$31)-YEAR($B$30))+MONTH($B$31)-MONTH($B$30))))*(1+'Вводные'!$B$65)^MAX(0,(12*(YEAR(CB$3)-YEAR($B$31))+MONTH(CB$3)-MONTH($B$31))))</x:f>
      </x:c>
      <x:c r="CC38" s="107" t="n">
        <x:f>IF(CC37=0,0,'Вводные'!$B$59*'Вводные'!$S$89*'Вводные'!$H$5*'Вводные'!$AG$89*(1+'Вводные'!$B$64)^MAX(0,MIN((12*(YEAR(CC$3)-YEAR($B$30))+MONTH(CC$3)-MONTH($B$30)),(12*(YEAR($B$31)-YEAR($B$30))+MONTH($B$31)-MONTH($B$30))))*(1+'Вводные'!$B$65)^MAX(0,(12*(YEAR(CC$3)-YEAR($B$31))+MONTH(CC$3)-MONTH($B$31))))</x:f>
      </x:c>
      <x:c r="CD38" s="107" t="n">
        <x:f>IF(CD37=0,0,'Вводные'!$B$59*'Вводные'!$S$89*'Вводные'!$H$5*'Вводные'!$AG$89*(1+'Вводные'!$B$64)^MAX(0,MIN((12*(YEAR(CD$3)-YEAR($B$30))+MONTH(CD$3)-MONTH($B$30)),(12*(YEAR($B$31)-YEAR($B$30))+MONTH($B$31)-MONTH($B$30))))*(1+'Вводные'!$B$65)^MAX(0,(12*(YEAR(CD$3)-YEAR($B$31))+MONTH(CD$3)-MONTH($B$31))))</x:f>
      </x:c>
      <x:c r="CE38" s="107" t="n">
        <x:f>IF(CE37=0,0,'Вводные'!$B$59*'Вводные'!$S$89*'Вводные'!$H$5*'Вводные'!$AG$89*(1+'Вводные'!$B$64)^MAX(0,MIN((12*(YEAR(CE$3)-YEAR($B$30))+MONTH(CE$3)-MONTH($B$30)),(12*(YEAR($B$31)-YEAR($B$30))+MONTH($B$31)-MONTH($B$30))))*(1+'Вводные'!$B$65)^MAX(0,(12*(YEAR(CE$3)-YEAR($B$31))+MONTH(CE$3)-MONTH($B$31))))</x:f>
      </x:c>
      <x:c r="CF38" s="107" t="n">
        <x:f>IF(CF37=0,0,'Вводные'!$B$59*'Вводные'!$S$89*'Вводные'!$H$5*'Вводные'!$AG$89*(1+'Вводные'!$B$64)^MAX(0,MIN((12*(YEAR(CF$3)-YEAR($B$30))+MONTH(CF$3)-MONTH($B$30)),(12*(YEAR($B$31)-YEAR($B$30))+MONTH($B$31)-MONTH($B$30))))*(1+'Вводные'!$B$65)^MAX(0,(12*(YEAR(CF$3)-YEAR($B$31))+MONTH(CF$3)-MONTH($B$31))))</x:f>
      </x:c>
      <x:c r="CG38" s="107" t="n">
        <x:f>IF(CG37=0,0,'Вводные'!$B$59*'Вводные'!$S$89*'Вводные'!$H$5*'Вводные'!$AG$89*(1+'Вводные'!$B$64)^MAX(0,MIN((12*(YEAR(CG$3)-YEAR($B$30))+MONTH(CG$3)-MONTH($B$30)),(12*(YEAR($B$31)-YEAR($B$30))+MONTH($B$31)-MONTH($B$30))))*(1+'Вводные'!$B$65)^MAX(0,(12*(YEAR(CG$3)-YEAR($B$31))+MONTH(CG$3)-MONTH($B$31))))</x:f>
      </x:c>
      <x:c r="CH38" s="107" t="n">
        <x:f>IF(CH37=0,0,'Вводные'!$B$59*'Вводные'!$S$89*'Вводные'!$H$5*'Вводные'!$AG$89*(1+'Вводные'!$B$64)^MAX(0,MIN((12*(YEAR(CH$3)-YEAR($B$30))+MONTH(CH$3)-MONTH($B$30)),(12*(YEAR($B$31)-YEAR($B$30))+MONTH($B$31)-MONTH($B$30))))*(1+'Вводные'!$B$65)^MAX(0,(12*(YEAR(CH$3)-YEAR($B$31))+MONTH(CH$3)-MONTH($B$31))))</x:f>
      </x:c>
      <x:c r="CI38" s="107" t="n">
        <x:f>IF(CI37=0,0,'Вводные'!$B$59*'Вводные'!$S$89*'Вводные'!$H$5*'Вводные'!$AG$89*(1+'Вводные'!$B$64)^MAX(0,MIN((12*(YEAR(CI$3)-YEAR($B$30))+MONTH(CI$3)-MONTH($B$30)),(12*(YEAR($B$31)-YEAR($B$30))+MONTH($B$31)-MONTH($B$30))))*(1+'Вводные'!$B$65)^MAX(0,(12*(YEAR(CI$3)-YEAR($B$31))+MONTH(CI$3)-MONTH($B$31))))</x:f>
      </x:c>
      <x:c r="CJ38" s="107" t="n">
        <x:f>IF(CJ37=0,0,'Вводные'!$B$59*'Вводные'!$S$89*'Вводные'!$H$5*'Вводные'!$AG$89*(1+'Вводные'!$B$64)^MAX(0,MIN((12*(YEAR(CJ$3)-YEAR($B$30))+MONTH(CJ$3)-MONTH($B$30)),(12*(YEAR($B$31)-YEAR($B$30))+MONTH($B$31)-MONTH($B$30))))*(1+'Вводные'!$B$65)^MAX(0,(12*(YEAR(CJ$3)-YEAR($B$31))+MONTH(CJ$3)-MONTH($B$31))))</x:f>
      </x:c>
      <x:c r="CK38" s="107" t="n">
        <x:f>IF(CK37=0,0,'Вводные'!$B$59*'Вводные'!$S$89*'Вводные'!$H$5*'Вводные'!$AG$89*(1+'Вводные'!$B$64)^MAX(0,MIN((12*(YEAR(CK$3)-YEAR($B$30))+MONTH(CK$3)-MONTH($B$30)),(12*(YEAR($B$31)-YEAR($B$30))+MONTH($B$31)-MONTH($B$30))))*(1+'Вводные'!$B$65)^MAX(0,(12*(YEAR(CK$3)-YEAR($B$31))+MONTH(CK$3)-MONTH($B$31))))</x:f>
      </x:c>
      <x:c r="CL38" s="107" t="n">
        <x:f>IF(CL37=0,0,'Вводные'!$B$59*'Вводные'!$S$89*'Вводные'!$H$5*'Вводные'!$AG$89*(1+'Вводные'!$B$64)^MAX(0,MIN((12*(YEAR(CL$3)-YEAR($B$30))+MONTH(CL$3)-MONTH($B$30)),(12*(YEAR($B$31)-YEAR($B$30))+MONTH($B$31)-MONTH($B$30))))*(1+'Вводные'!$B$65)^MAX(0,(12*(YEAR(CL$3)-YEAR($B$31))+MONTH(CL$3)-MONTH($B$31))))</x:f>
      </x:c>
      <x:c r="CM38" s="107" t="n">
        <x:f>IF(CM37=0,0,'Вводные'!$B$59*'Вводные'!$S$89*'Вводные'!$H$5*'Вводные'!$AG$89*(1+'Вводные'!$B$64)^MAX(0,MIN((12*(YEAR(CM$3)-YEAR($B$30))+MONTH(CM$3)-MONTH($B$30)),(12*(YEAR($B$31)-YEAR($B$30))+MONTH($B$31)-MONTH($B$30))))*(1+'Вводные'!$B$65)^MAX(0,(12*(YEAR(CM$3)-YEAR($B$31))+MONTH(CM$3)-MONTH($B$31))))</x:f>
      </x:c>
      <x:c r="CN38" s="107" t="n">
        <x:f>IF(CN37=0,0,'Вводные'!$B$59*'Вводные'!$S$89*'Вводные'!$H$5*'Вводные'!$AG$89*(1+'Вводные'!$B$64)^MAX(0,MIN((12*(YEAR(CN$3)-YEAR($B$30))+MONTH(CN$3)-MONTH($B$30)),(12*(YEAR($B$31)-YEAR($B$30))+MONTH($B$31)-MONTH($B$30))))*(1+'Вводные'!$B$65)^MAX(0,(12*(YEAR(CN$3)-YEAR($B$31))+MONTH(CN$3)-MONTH($B$31))))</x:f>
      </x:c>
      <x:c r="CO38" s="107" t="n">
        <x:f>IF(CO37=0,0,'Вводные'!$B$59*'Вводные'!$S$89*'Вводные'!$H$5*'Вводные'!$AG$89*(1+'Вводные'!$B$64)^MAX(0,MIN((12*(YEAR(CO$3)-YEAR($B$30))+MONTH(CO$3)-MONTH($B$30)),(12*(YEAR($B$31)-YEAR($B$30))+MONTH($B$31)-MONTH($B$30))))*(1+'Вводные'!$B$65)^MAX(0,(12*(YEAR(CO$3)-YEAR($B$31))+MONTH(CO$3)-MONTH($B$31))))</x:f>
      </x:c>
      <x:c r="CP38" s="107" t="n">
        <x:f>IF(CP37=0,0,'Вводные'!$B$59*'Вводные'!$S$89*'Вводные'!$H$5*'Вводные'!$AG$89*(1+'Вводные'!$B$64)^MAX(0,MIN((12*(YEAR(CP$3)-YEAR($B$30))+MONTH(CP$3)-MONTH($B$30)),(12*(YEAR($B$31)-YEAR($B$30))+MONTH($B$31)-MONTH($B$30))))*(1+'Вводные'!$B$65)^MAX(0,(12*(YEAR(CP$3)-YEAR($B$31))+MONTH(CP$3)-MONTH($B$31))))</x:f>
      </x:c>
      <x:c r="CQ38" s="107" t="n">
        <x:f>IF(CQ37=0,0,'Вводные'!$B$59*'Вводные'!$S$89*'Вводные'!$H$5*'Вводные'!$AG$89*(1+'Вводные'!$B$64)^MAX(0,MIN((12*(YEAR(CQ$3)-YEAR($B$30))+MONTH(CQ$3)-MONTH($B$30)),(12*(YEAR($B$31)-YEAR($B$30))+MONTH($B$31)-MONTH($B$30))))*(1+'Вводные'!$B$65)^MAX(0,(12*(YEAR(CQ$3)-YEAR($B$31))+MONTH(CQ$3)-MONTH($B$31))))</x:f>
      </x:c>
      <x:c r="CR38" s="107" t="n">
        <x:f>IF(CR37=0,0,'Вводные'!$B$59*'Вводные'!$S$89*'Вводные'!$H$5*'Вводные'!$AG$89*(1+'Вводные'!$B$64)^MAX(0,MIN((12*(YEAR(CR$3)-YEAR($B$30))+MONTH(CR$3)-MONTH($B$30)),(12*(YEAR($B$31)-YEAR($B$30))+MONTH($B$31)-MONTH($B$30))))*(1+'Вводные'!$B$65)^MAX(0,(12*(YEAR(CR$3)-YEAR($B$31))+MONTH(CR$3)-MONTH($B$31))))</x:f>
      </x:c>
      <x:c r="CS38" s="107" t="n">
        <x:f>IF(CS37=0,0,'Вводные'!$B$59*'Вводные'!$S$89*'Вводные'!$H$5*'Вводные'!$AG$89*(1+'Вводные'!$B$64)^MAX(0,MIN((12*(YEAR(CS$3)-YEAR($B$30))+MONTH(CS$3)-MONTH($B$30)),(12*(YEAR($B$31)-YEAR($B$30))+MONTH($B$31)-MONTH($B$30))))*(1+'Вводные'!$B$65)^MAX(0,(12*(YEAR(CS$3)-YEAR($B$31))+MONTH(CS$3)-MONTH($B$31))))</x:f>
      </x:c>
      <x:c r="CT38" s="107" t="n">
        <x:f>IF(CT37=0,0,'Вводные'!$B$59*'Вводные'!$S$89*'Вводные'!$H$5*'Вводные'!$AG$89*(1+'Вводные'!$B$64)^MAX(0,MIN((12*(YEAR(CT$3)-YEAR($B$30))+MONTH(CT$3)-MONTH($B$30)),(12*(YEAR($B$31)-YEAR($B$30))+MONTH($B$31)-MONTH($B$30))))*(1+'Вводные'!$B$65)^MAX(0,(12*(YEAR(CT$3)-YEAR($B$31))+MONTH(CT$3)-MONTH($B$31))))</x:f>
      </x:c>
      <x:c r="CU38" s="107" t="n">
        <x:f>IF(CU37=0,0,'Вводные'!$B$59*'Вводные'!$S$89*'Вводные'!$H$5*'Вводные'!$AG$89*(1+'Вводные'!$B$64)^MAX(0,MIN((12*(YEAR(CU$3)-YEAR($B$30))+MONTH(CU$3)-MONTH($B$30)),(12*(YEAR($B$31)-YEAR($B$30))+MONTH($B$31)-MONTH($B$30))))*(1+'Вводные'!$B$65)^MAX(0,(12*(YEAR(CU$3)-YEAR($B$31))+MONTH(CU$3)-MONTH($B$31))))</x:f>
      </x:c>
      <x:c r="CV38" s="107" t="n">
        <x:f>IF(CV37=0,0,'Вводные'!$B$59*'Вводные'!$S$89*'Вводные'!$H$5*'Вводные'!$AG$89*(1+'Вводные'!$B$64)^MAX(0,MIN((12*(YEAR(CV$3)-YEAR($B$30))+MONTH(CV$3)-MONTH($B$30)),(12*(YEAR($B$31)-YEAR($B$30))+MONTH($B$31)-MONTH($B$30))))*(1+'Вводные'!$B$65)^MAX(0,(12*(YEAR(CV$3)-YEAR($B$31))+MONTH(CV$3)-MONTH($B$31))))</x:f>
      </x:c>
      <x:c r="CW38" s="107" t="n">
        <x:f>IF(CW37=0,0,'Вводные'!$B$59*'Вводные'!$S$89*'Вводные'!$H$5*'Вводные'!$AG$89*(1+'Вводные'!$B$64)^MAX(0,MIN((12*(YEAR(CW$3)-YEAR($B$30))+MONTH(CW$3)-MONTH($B$30)),(12*(YEAR($B$31)-YEAR($B$30))+MONTH($B$31)-MONTH($B$30))))*(1+'Вводные'!$B$65)^MAX(0,(12*(YEAR(CW$3)-YEAR($B$31))+MONTH(CW$3)-MONTH($B$31))))</x:f>
      </x:c>
      <x:c r="CX38" s="107" t="n">
        <x:f>IF(CX37=0,0,'Вводные'!$B$59*'Вводные'!$S$89*'Вводные'!$H$5*'Вводные'!$AG$89*(1+'Вводные'!$B$64)^MAX(0,MIN((12*(YEAR(CX$3)-YEAR($B$30))+MONTH(CX$3)-MONTH($B$30)),(12*(YEAR($B$31)-YEAR($B$30))+MONTH($B$31)-MONTH($B$30))))*(1+'Вводные'!$B$65)^MAX(0,(12*(YEAR(CX$3)-YEAR($B$31))+MONTH(CX$3)-MONTH($B$31))))</x:f>
      </x:c>
      <x:c r="CY38" s="107" t="n">
        <x:f>IF(CY37=0,0,'Вводные'!$B$59*'Вводные'!$S$89*'Вводные'!$H$5*'Вводные'!$AG$89*(1+'Вводные'!$B$64)^MAX(0,MIN((12*(YEAR(CY$3)-YEAR($B$30))+MONTH(CY$3)-MONTH($B$30)),(12*(YEAR($B$31)-YEAR($B$30))+MONTH($B$31)-MONTH($B$30))))*(1+'Вводные'!$B$65)^MAX(0,(12*(YEAR(CY$3)-YEAR($B$31))+MONTH(CY$3)-MONTH($B$31))))</x:f>
      </x:c>
      <x:c r="CZ38" s="107" t="n">
        <x:f>IF(CZ37=0,0,'Вводные'!$B$59*'Вводные'!$S$89*'Вводные'!$H$5*'Вводные'!$AG$89*(1+'Вводные'!$B$64)^MAX(0,MIN((12*(YEAR(CZ$3)-YEAR($B$30))+MONTH(CZ$3)-MONTH($B$30)),(12*(YEAR($B$31)-YEAR($B$30))+MONTH($B$31)-MONTH($B$30))))*(1+'Вводные'!$B$65)^MAX(0,(12*(YEAR(CZ$3)-YEAR($B$31))+MONTH(CZ$3)-MONTH($B$31))))</x:f>
      </x:c>
      <x:c r="DA38" s="107" t="n">
        <x:f>IF(DA37=0,0,'Вводные'!$B$59*'Вводные'!$S$89*'Вводные'!$H$5*'Вводные'!$AG$89*(1+'Вводные'!$B$64)^MAX(0,MIN((12*(YEAR(DA$3)-YEAR($B$30))+MONTH(DA$3)-MONTH($B$30)),(12*(YEAR($B$31)-YEAR($B$30))+MONTH($B$31)-MONTH($B$30))))*(1+'Вводные'!$B$65)^MAX(0,(12*(YEAR(DA$3)-YEAR($B$31))+MONTH(DA$3)-MONTH($B$31))))</x:f>
      </x:c>
      <x:c r="DB38" s="107" t="n">
        <x:f>IF(DB37=0,0,'Вводные'!$B$59*'Вводные'!$S$89*'Вводные'!$H$5*'Вводные'!$AG$89*(1+'Вводные'!$B$64)^MAX(0,MIN((12*(YEAR(DB$3)-YEAR($B$30))+MONTH(DB$3)-MONTH($B$30)),(12*(YEAR($B$31)-YEAR($B$30))+MONTH($B$31)-MONTH($B$30))))*(1+'Вводные'!$B$65)^MAX(0,(12*(YEAR(DB$3)-YEAR($B$31))+MONTH(DB$3)-MONTH($B$31))))</x:f>
      </x:c>
      <x:c r="DC38" s="107" t="n">
        <x:f>IF(DC37=0,0,'Вводные'!$B$59*'Вводные'!$S$89*'Вводные'!$H$5*'Вводные'!$AG$89*(1+'Вводные'!$B$64)^MAX(0,MIN((12*(YEAR(DC$3)-YEAR($B$30))+MONTH(DC$3)-MONTH($B$30)),(12*(YEAR($B$31)-YEAR($B$30))+MONTH($B$31)-MONTH($B$30))))*(1+'Вводные'!$B$65)^MAX(0,(12*(YEAR(DC$3)-YEAR($B$31))+MONTH(DC$3)-MONTH($B$31))))</x:f>
      </x:c>
      <x:c r="DD38" s="107" t="n">
        <x:f>IF(DD37=0,0,'Вводные'!$B$59*'Вводные'!$S$89*'Вводные'!$H$5*'Вводные'!$AG$89*(1+'Вводные'!$B$64)^MAX(0,MIN((12*(YEAR(DD$3)-YEAR($B$30))+MONTH(DD$3)-MONTH($B$30)),(12*(YEAR($B$31)-YEAR($B$30))+MONTH($B$31)-MONTH($B$30))))*(1+'Вводные'!$B$65)^MAX(0,(12*(YEAR(DD$3)-YEAR($B$31))+MONTH(DD$3)-MONTH($B$31))))</x:f>
      </x:c>
      <x:c r="DE38" s="107" t="n">
        <x:f>IF(DE37=0,0,'Вводные'!$B$59*'Вводные'!$S$89*'Вводные'!$H$5*'Вводные'!$AG$89*(1+'Вводные'!$B$64)^MAX(0,MIN((12*(YEAR(DE$3)-YEAR($B$30))+MONTH(DE$3)-MONTH($B$30)),(12*(YEAR($B$31)-YEAR($B$30))+MONTH($B$31)-MONTH($B$30))))*(1+'Вводные'!$B$65)^MAX(0,(12*(YEAR(DE$3)-YEAR($B$31))+MONTH(DE$3)-MONTH($B$31))))</x:f>
      </x:c>
      <x:c r="DF38" s="107" t="n">
        <x:f>IF(DF37=0,0,'Вводные'!$B$59*'Вводные'!$S$89*'Вводные'!$H$5*'Вводные'!$AG$89*(1+'Вводные'!$B$64)^MAX(0,MIN((12*(YEAR(DF$3)-YEAR($B$30))+MONTH(DF$3)-MONTH($B$30)),(12*(YEAR($B$31)-YEAR($B$30))+MONTH($B$31)-MONTH($B$30))))*(1+'Вводные'!$B$65)^MAX(0,(12*(YEAR(DF$3)-YEAR($B$31))+MONTH(DF$3)-MONTH($B$31))))</x:f>
      </x:c>
      <x:c r="DG38" s="107" t="n">
        <x:f>IF(DG37=0,0,'Вводные'!$B$59*'Вводные'!$S$89*'Вводные'!$H$5*'Вводные'!$AG$89*(1+'Вводные'!$B$64)^MAX(0,MIN((12*(YEAR(DG$3)-YEAR($B$30))+MONTH(DG$3)-MONTH($B$30)),(12*(YEAR($B$31)-YEAR($B$30))+MONTH($B$31)-MONTH($B$30))))*(1+'Вводные'!$B$65)^MAX(0,(12*(YEAR(DG$3)-YEAR($B$31))+MONTH(DG$3)-MONTH($B$31))))</x:f>
      </x:c>
      <x:c r="DH38" s="107" t="n">
        <x:f>IF(DH37=0,0,'Вводные'!$B$59*'Вводные'!$S$89*'Вводные'!$H$5*'Вводные'!$AG$89*(1+'Вводные'!$B$64)^MAX(0,MIN((12*(YEAR(DH$3)-YEAR($B$30))+MONTH(DH$3)-MONTH($B$30)),(12*(YEAR($B$31)-YEAR($B$30))+MONTH($B$31)-MONTH($B$30))))*(1+'Вводные'!$B$65)^MAX(0,(12*(YEAR(DH$3)-YEAR($B$31))+MONTH(DH$3)-MONTH($B$31))))</x:f>
      </x:c>
      <x:c r="DI38" s="107" t="n">
        <x:f>IF(DI37=0,0,'Вводные'!$B$59*'Вводные'!$S$89*'Вводные'!$H$5*'Вводные'!$AG$89*(1+'Вводные'!$B$64)^MAX(0,MIN((12*(YEAR(DI$3)-YEAR($B$30))+MONTH(DI$3)-MONTH($B$30)),(12*(YEAR($B$31)-YEAR($B$30))+MONTH($B$31)-MONTH($B$30))))*(1+'Вводные'!$B$65)^MAX(0,(12*(YEAR(DI$3)-YEAR($B$31))+MONTH(DI$3)-MONTH($B$31))))</x:f>
      </x:c>
      <x:c r="DJ38" s="107" t="n">
        <x:f>IF(DJ37=0,0,'Вводные'!$B$59*'Вводные'!$S$89*'Вводные'!$H$5*'Вводные'!$AG$89*(1+'Вводные'!$B$64)^MAX(0,MIN((12*(YEAR(DJ$3)-YEAR($B$30))+MONTH(DJ$3)-MONTH($B$30)),(12*(YEAR($B$31)-YEAR($B$30))+MONTH($B$31)-MONTH($B$30))))*(1+'Вводные'!$B$65)^MAX(0,(12*(YEAR(DJ$3)-YEAR($B$31))+MONTH(DJ$3)-MONTH($B$31))))</x:f>
      </x:c>
      <x:c r="DK38" s="107" t="n">
        <x:f>IF(DK37=0,0,'Вводные'!$B$59*'Вводные'!$S$89*'Вводные'!$H$5*'Вводные'!$AG$89*(1+'Вводные'!$B$64)^MAX(0,MIN((12*(YEAR(DK$3)-YEAR($B$30))+MONTH(DK$3)-MONTH($B$30)),(12*(YEAR($B$31)-YEAR($B$30))+MONTH($B$31)-MONTH($B$30))))*(1+'Вводные'!$B$65)^MAX(0,(12*(YEAR(DK$3)-YEAR($B$31))+MONTH(DK$3)-MONTH($B$31))))</x:f>
      </x:c>
      <x:c r="DL38" s="107" t="n">
        <x:f>IF(DL37=0,0,'Вводные'!$B$59*'Вводные'!$S$89*'Вводные'!$H$5*'Вводные'!$AG$89*(1+'Вводные'!$B$64)^MAX(0,MIN((12*(YEAR(DL$3)-YEAR($B$30))+MONTH(DL$3)-MONTH($B$30)),(12*(YEAR($B$31)-YEAR($B$30))+MONTH($B$31)-MONTH($B$30))))*(1+'Вводные'!$B$65)^MAX(0,(12*(YEAR(DL$3)-YEAR($B$31))+MONTH(DL$3)-MONTH($B$31))))</x:f>
      </x:c>
      <x:c r="DM38" s="107" t="n">
        <x:f>IF(DM37=0,0,'Вводные'!$B$59*'Вводные'!$S$89*'Вводные'!$H$5*'Вводные'!$AG$89*(1+'Вводные'!$B$64)^MAX(0,MIN((12*(YEAR(DM$3)-YEAR($B$30))+MONTH(DM$3)-MONTH($B$30)),(12*(YEAR($B$31)-YEAR($B$30))+MONTH($B$31)-MONTH($B$30))))*(1+'Вводные'!$B$65)^MAX(0,(12*(YEAR(DM$3)-YEAR($B$31))+MONTH(DM$3)-MONTH($B$31))))</x:f>
      </x:c>
      <x:c r="DN38" s="107" t="n">
        <x:f>IF(DN37=0,0,'Вводные'!$B$59*'Вводные'!$S$89*'Вводные'!$H$5*'Вводные'!$AG$89*(1+'Вводные'!$B$64)^MAX(0,MIN((12*(YEAR(DN$3)-YEAR($B$30))+MONTH(DN$3)-MONTH($B$30)),(12*(YEAR($B$31)-YEAR($B$30))+MONTH($B$31)-MONTH($B$30))))*(1+'Вводные'!$B$65)^MAX(0,(12*(YEAR(DN$3)-YEAR($B$31))+MONTH(DN$3)-MONTH($B$31))))</x:f>
      </x:c>
      <x:c r="DO38" s="107" t="n">
        <x:f>IF(DO37=0,0,'Вводные'!$B$59*'Вводные'!$S$89*'Вводные'!$H$5*'Вводные'!$AG$89*(1+'Вводные'!$B$64)^MAX(0,MIN((12*(YEAR(DO$3)-YEAR($B$30))+MONTH(DO$3)-MONTH($B$30)),(12*(YEAR($B$31)-YEAR($B$30))+MONTH($B$31)-MONTH($B$30))))*(1+'Вводные'!$B$65)^MAX(0,(12*(YEAR(DO$3)-YEAR($B$31))+MONTH(DO$3)-MONTH($B$31))))</x:f>
      </x:c>
      <x:c r="DP38" s="107" t="n">
        <x:f>IF(DP37=0,0,'Вводные'!$B$59*'Вводные'!$S$89*'Вводные'!$H$5*'Вводные'!$AG$89*(1+'Вводные'!$B$64)^MAX(0,MIN((12*(YEAR(DP$3)-YEAR($B$30))+MONTH(DP$3)-MONTH($B$30)),(12*(YEAR($B$31)-YEAR($B$30))+MONTH($B$31)-MONTH($B$30))))*(1+'Вводные'!$B$65)^MAX(0,(12*(YEAR(DP$3)-YEAR($B$31))+MONTH(DP$3)-MONTH($B$31))))</x:f>
      </x:c>
      <x:c r="DQ38" s="107" t="n">
        <x:f>IF(DQ37=0,0,'Вводные'!$B$59*'Вводные'!$S$89*'Вводные'!$H$5*'Вводные'!$AG$89*(1+'Вводные'!$B$64)^MAX(0,MIN((12*(YEAR(DQ$3)-YEAR($B$30))+MONTH(DQ$3)-MONTH($B$30)),(12*(YEAR($B$31)-YEAR($B$30))+MONTH($B$31)-MONTH($B$30))))*(1+'Вводные'!$B$65)^MAX(0,(12*(YEAR(DQ$3)-YEAR($B$31))+MONTH(DQ$3)-MONTH($B$31))))</x:f>
      </x:c>
      <x:c r="DR38" s="107" t="n">
        <x:f>IF(DR37=0,0,'Вводные'!$B$59*'Вводные'!$S$89*'Вводные'!$H$5*'Вводные'!$AG$89*(1+'Вводные'!$B$64)^MAX(0,MIN((12*(YEAR(DR$3)-YEAR($B$30))+MONTH(DR$3)-MONTH($B$30)),(12*(YEAR($B$31)-YEAR($B$30))+MONTH($B$31)-MONTH($B$30))))*(1+'Вводные'!$B$65)^MAX(0,(12*(YEAR(DR$3)-YEAR($B$31))+MONTH(DR$3)-MONTH($B$31))))</x:f>
      </x:c>
      <x:c r="DS38" s="107" t="n">
        <x:f>IF(DS37=0,0,'Вводные'!$B$59*'Вводные'!$S$89*'Вводные'!$H$5*'Вводные'!$AG$89*(1+'Вводные'!$B$64)^MAX(0,MIN((12*(YEAR(DS$3)-YEAR($B$30))+MONTH(DS$3)-MONTH($B$30)),(12*(YEAR($B$31)-YEAR($B$30))+MONTH($B$31)-MONTH($B$30))))*(1+'Вводные'!$B$65)^MAX(0,(12*(YEAR(DS$3)-YEAR($B$31))+MONTH(DS$3)-MONTH($B$31))))</x:f>
      </x:c>
      <x:c r="DT38" s="107" t="n">
        <x:f>IF(DT37=0,0,'Вводные'!$B$59*'Вводные'!$S$89*'Вводные'!$H$5*'Вводные'!$AG$89*(1+'Вводные'!$B$64)^MAX(0,MIN((12*(YEAR(DT$3)-YEAR($B$30))+MONTH(DT$3)-MONTH($B$30)),(12*(YEAR($B$31)-YEAR($B$30))+MONTH($B$31)-MONTH($B$30))))*(1+'Вводные'!$B$65)^MAX(0,(12*(YEAR(DT$3)-YEAR($B$31))+MONTH(DT$3)-MONTH($B$31))))</x:f>
      </x:c>
      <x:c r="DU38" s="107" t="n">
        <x:f>IF(DU37=0,0,'Вводные'!$B$59*'Вводные'!$S$89*'Вводные'!$H$5*'Вводные'!$AG$89*(1+'Вводные'!$B$64)^MAX(0,MIN((12*(YEAR(DU$3)-YEAR($B$30))+MONTH(DU$3)-MONTH($B$30)),(12*(YEAR($B$31)-YEAR($B$30))+MONTH($B$31)-MONTH($B$30))))*(1+'Вводные'!$B$65)^MAX(0,(12*(YEAR(DU$3)-YEAR($B$31))+MONTH(DU$3)-MONTH($B$31))))</x:f>
      </x:c>
      <x:c r="DV38" s="107" t="n">
        <x:f>IF(DV37=0,0,'Вводные'!$B$59*'Вводные'!$S$89*'Вводные'!$H$5*'Вводные'!$AG$89*(1+'Вводные'!$B$64)^MAX(0,MIN((12*(YEAR(DV$3)-YEAR($B$30))+MONTH(DV$3)-MONTH($B$30)),(12*(YEAR($B$31)-YEAR($B$30))+MONTH($B$31)-MONTH($B$30))))*(1+'Вводные'!$B$65)^MAX(0,(12*(YEAR(DV$3)-YEAR($B$31))+MONTH(DV$3)-MONTH($B$31))))</x:f>
      </x:c>
      <x:c r="DW38" s="107" t="n">
        <x:f>IF(DW37=0,0,'Вводные'!$B$59*'Вводные'!$S$89*'Вводные'!$H$5*'Вводные'!$AG$89*(1+'Вводные'!$B$64)^MAX(0,MIN((12*(YEAR(DW$3)-YEAR($B$30))+MONTH(DW$3)-MONTH($B$30)),(12*(YEAR($B$31)-YEAR($B$30))+MONTH($B$31)-MONTH($B$30))))*(1+'Вводные'!$B$65)^MAX(0,(12*(YEAR(DW$3)-YEAR($B$31))+MONTH(DW$3)-MONTH($B$31))))</x:f>
      </x:c>
      <x:c r="DX38" s="107" t="n">
        <x:f>IF(DX37=0,0,'Вводные'!$B$59*'Вводные'!$S$89*'Вводные'!$H$5*'Вводные'!$AG$89*(1+'Вводные'!$B$64)^MAX(0,MIN((12*(YEAR(DX$3)-YEAR($B$30))+MONTH(DX$3)-MONTH($B$30)),(12*(YEAR($B$31)-YEAR($B$30))+MONTH($B$31)-MONTH($B$30))))*(1+'Вводные'!$B$65)^MAX(0,(12*(YEAR(DX$3)-YEAR($B$31))+MONTH(DX$3)-MONTH($B$31))))</x:f>
      </x:c>
      <x:c r="DY38" s="107" t="n">
        <x:f>IF(DY37=0,0,'Вводные'!$B$59*'Вводные'!$S$89*'Вводные'!$H$5*'Вводные'!$AG$89*(1+'Вводные'!$B$64)^MAX(0,MIN((12*(YEAR(DY$3)-YEAR($B$30))+MONTH(DY$3)-MONTH($B$30)),(12*(YEAR($B$31)-YEAR($B$30))+MONTH($B$31)-MONTH($B$30))))*(1+'Вводные'!$B$65)^MAX(0,(12*(YEAR(DY$3)-YEAR($B$31))+MONTH(DY$3)-MONTH($B$31))))</x:f>
      </x:c>
      <x:c r="DZ38" s="107" t="n">
        <x:f>IF(DZ37=0,0,'Вводные'!$B$59*'Вводные'!$S$89*'Вводные'!$H$5*'Вводные'!$AG$89*(1+'Вводные'!$B$64)^MAX(0,MIN((12*(YEAR(DZ$3)-YEAR($B$30))+MONTH(DZ$3)-MONTH($B$30)),(12*(YEAR($B$31)-YEAR($B$30))+MONTH($B$31)-MONTH($B$30))))*(1+'Вводные'!$B$65)^MAX(0,(12*(YEAR(DZ$3)-YEAR($B$31))+MONTH(DZ$3)-MONTH($B$31))))</x:f>
      </x:c>
      <x:c r="EA38" s="107" t="n">
        <x:f>IF(EA37=0,0,'Вводные'!$B$59*'Вводные'!$S$89*'Вводные'!$H$5*'Вводные'!$AG$89*(1+'Вводные'!$B$64)^MAX(0,MIN((12*(YEAR(EA$3)-YEAR($B$30))+MONTH(EA$3)-MONTH($B$30)),(12*(YEAR($B$31)-YEAR($B$30))+MONTH($B$31)-MONTH($B$30))))*(1+'Вводные'!$B$65)^MAX(0,(12*(YEAR(EA$3)-YEAR($B$31))+MONTH(EA$3)-MONTH($B$31))))</x:f>
      </x:c>
      <x:c r="EB38" s="107" t="n">
        <x:f>IF(EB37=0,0,'Вводные'!$B$59*'Вводные'!$S$89*'Вводные'!$H$5*'Вводные'!$AG$89*(1+'Вводные'!$B$64)^MAX(0,MIN((12*(YEAR(EB$3)-YEAR($B$30))+MONTH(EB$3)-MONTH($B$30)),(12*(YEAR($B$31)-YEAR($B$30))+MONTH($B$31)-MONTH($B$30))))*(1+'Вводные'!$B$65)^MAX(0,(12*(YEAR(EB$3)-YEAR($B$31))+MONTH(EB$3)-MONTH($B$31))))</x:f>
      </x:c>
      <x:c r="EC38" s="107" t="n">
        <x:f>IF(EC37=0,0,'Вводные'!$B$59*'Вводные'!$S$89*'Вводные'!$H$5*'Вводные'!$AG$89*(1+'Вводные'!$B$64)^MAX(0,MIN((12*(YEAR(EC$3)-YEAR($B$30))+MONTH(EC$3)-MONTH($B$30)),(12*(YEAR($B$31)-YEAR($B$30))+MONTH($B$31)-MONTH($B$30))))*(1+'Вводные'!$B$65)^MAX(0,(12*(YEAR(EC$3)-YEAR($B$31))+MONTH(EC$3)-MONTH($B$31))))</x:f>
      </x:c>
      <x:c r="ED38" s="107" t="n">
        <x:f>IF(ED37=0,0,'Вводные'!$B$59*'Вводные'!$S$89*'Вводные'!$H$5*'Вводные'!$AG$89*(1+'Вводные'!$B$64)^MAX(0,MIN((12*(YEAR(ED$3)-YEAR($B$30))+MONTH(ED$3)-MONTH($B$30)),(12*(YEAR($B$31)-YEAR($B$30))+MONTH($B$31)-MONTH($B$30))))*(1+'Вводные'!$B$65)^MAX(0,(12*(YEAR(ED$3)-YEAR($B$31))+MONTH(ED$3)-MONTH($B$31))))</x:f>
      </x:c>
      <x:c r="EE38" s="107" t="n">
        <x:f>IF(EE37=0,0,'Вводные'!$B$59*'Вводные'!$S$89*'Вводные'!$H$5*'Вводные'!$AG$89*(1+'Вводные'!$B$64)^MAX(0,MIN((12*(YEAR(EE$3)-YEAR($B$30))+MONTH(EE$3)-MONTH($B$30)),(12*(YEAR($B$31)-YEAR($B$30))+MONTH($B$31)-MONTH($B$30))))*(1+'Вводные'!$B$65)^MAX(0,(12*(YEAR(EE$3)-YEAR($B$31))+MONTH(EE$3)-MONTH($B$31))))</x:f>
      </x:c>
      <x:c r="EF38" s="107" t="n">
        <x:f>IF(EF37=0,0,'Вводные'!$B$59*'Вводные'!$S$89*'Вводные'!$H$5*'Вводные'!$AG$89*(1+'Вводные'!$B$64)^MAX(0,MIN((12*(YEAR(EF$3)-YEAR($B$30))+MONTH(EF$3)-MONTH($B$30)),(12*(YEAR($B$31)-YEAR($B$30))+MONTH($B$31)-MONTH($B$30))))*(1+'Вводные'!$B$65)^MAX(0,(12*(YEAR(EF$3)-YEAR($B$31))+MONTH(EF$3)-MONTH($B$31))))</x:f>
      </x:c>
      <x:c r="EG38" s="107" t="n">
        <x:f>IF(EG37=0,0,'Вводные'!$B$59*'Вводные'!$S$89*'Вводные'!$H$5*'Вводные'!$AG$89*(1+'Вводные'!$B$64)^MAX(0,MIN((12*(YEAR(EG$3)-YEAR($B$30))+MONTH(EG$3)-MONTH($B$30)),(12*(YEAR($B$31)-YEAR($B$30))+MONTH($B$31)-MONTH($B$30))))*(1+'Вводные'!$B$65)^MAX(0,(12*(YEAR(EG$3)-YEAR($B$31))+MONTH(EG$3)-MONTH($B$31))))</x:f>
      </x:c>
      <x:c r="EH38" s="107" t="n">
        <x:f>IF(EH37=0,0,'Вводные'!$B$59*'Вводные'!$S$89*'Вводные'!$H$5*'Вводные'!$AG$89*(1+'Вводные'!$B$64)^MAX(0,MIN((12*(YEAR(EH$3)-YEAR($B$30))+MONTH(EH$3)-MONTH($B$30)),(12*(YEAR($B$31)-YEAR($B$30))+MONTH($B$31)-MONTH($B$30))))*(1+'Вводные'!$B$65)^MAX(0,(12*(YEAR(EH$3)-YEAR($B$31))+MONTH(EH$3)-MONTH($B$31))))</x:f>
      </x:c>
      <x:c r="EI38" s="107" t="n">
        <x:f>IF(EI37=0,0,'Вводные'!$B$59*'Вводные'!$S$89*'Вводные'!$H$5*'Вводные'!$AG$89*(1+'Вводные'!$B$64)^MAX(0,MIN((12*(YEAR(EI$3)-YEAR($B$30))+MONTH(EI$3)-MONTH($B$30)),(12*(YEAR($B$31)-YEAR($B$30))+MONTH($B$31)-MONTH($B$30))))*(1+'Вводные'!$B$65)^MAX(0,(12*(YEAR(EI$3)-YEAR($B$31))+MONTH(EI$3)-MONTH($B$31))))</x:f>
      </x:c>
      <x:c r="EJ38" s="107" t="n">
        <x:f>IF(EJ37=0,0,'Вводные'!$B$59*'Вводные'!$S$89*'Вводные'!$H$5*'Вводные'!$AG$89*(1+'Вводные'!$B$64)^MAX(0,MIN((12*(YEAR(EJ$3)-YEAR($B$30))+MONTH(EJ$3)-MONTH($B$30)),(12*(YEAR($B$31)-YEAR($B$30))+MONTH($B$31)-MONTH($B$30))))*(1+'Вводные'!$B$65)^MAX(0,(12*(YEAR(EJ$3)-YEAR($B$31))+MONTH(EJ$3)-MONTH($B$31))))</x:f>
      </x:c>
      <x:c r="EK38" s="107" t="n">
        <x:f>IF(EK37=0,0,'Вводные'!$B$59*'Вводные'!$S$89*'Вводные'!$H$5*'Вводные'!$AG$89*(1+'Вводные'!$B$64)^MAX(0,MIN((12*(YEAR(EK$3)-YEAR($B$30))+MONTH(EK$3)-MONTH($B$30)),(12*(YEAR($B$31)-YEAR($B$30))+MONTH($B$31)-MONTH($B$30))))*(1+'Вводные'!$B$65)^MAX(0,(12*(YEAR(EK$3)-YEAR($B$31))+MONTH(EK$3)-MONTH($B$31))))</x:f>
      </x:c>
      <x:c r="EL38" s="107" t="n">
        <x:f>IF(EL37=0,0,'Вводные'!$B$59*'Вводные'!$S$89*'Вводные'!$H$5*'Вводные'!$AG$89*(1+'Вводные'!$B$64)^MAX(0,MIN((12*(YEAR(EL$3)-YEAR($B$30))+MONTH(EL$3)-MONTH($B$30)),(12*(YEAR($B$31)-YEAR($B$30))+MONTH($B$31)-MONTH($B$30))))*(1+'Вводные'!$B$65)^MAX(0,(12*(YEAR(EL$3)-YEAR($B$31))+MONTH(EL$3)-MONTH($B$31))))</x:f>
      </x:c>
      <x:c r="EM38" s="107" t="n">
        <x:f>IF(EM37=0,0,'Вводные'!$B$59*'Вводные'!$S$89*'Вводные'!$H$5*'Вводные'!$AG$89*(1+'Вводные'!$B$64)^MAX(0,MIN((12*(YEAR(EM$3)-YEAR($B$30))+MONTH(EM$3)-MONTH($B$30)),(12*(YEAR($B$31)-YEAR($B$30))+MONTH($B$31)-MONTH($B$30))))*(1+'Вводные'!$B$65)^MAX(0,(12*(YEAR(EM$3)-YEAR($B$31))+MONTH(EM$3)-MONTH($B$31))))</x:f>
      </x:c>
      <x:c r="EN38" s="107" t="n">
        <x:f>IF(EN37=0,0,'Вводные'!$B$59*'Вводные'!$S$89*'Вводные'!$H$5*'Вводные'!$AG$89*(1+'Вводные'!$B$64)^MAX(0,MIN((12*(YEAR(EN$3)-YEAR($B$30))+MONTH(EN$3)-MONTH($B$30)),(12*(YEAR($B$31)-YEAR($B$30))+MONTH($B$31)-MONTH($B$30))))*(1+'Вводные'!$B$65)^MAX(0,(12*(YEAR(EN$3)-YEAR($B$31))+MONTH(EN$3)-MONTH($B$31))))</x:f>
      </x:c>
      <x:c r="EO38" s="107" t="n">
        <x:f>IF(EO37=0,0,'Вводные'!$B$59*'Вводные'!$S$89*'Вводные'!$H$5*'Вводные'!$AG$89*(1+'Вводные'!$B$64)^MAX(0,MIN((12*(YEAR(EO$3)-YEAR($B$30))+MONTH(EO$3)-MONTH($B$30)),(12*(YEAR($B$31)-YEAR($B$30))+MONTH($B$31)-MONTH($B$30))))*(1+'Вводные'!$B$65)^MAX(0,(12*(YEAR(EO$3)-YEAR($B$31))+MONTH(EO$3)-MONTH($B$31))))</x:f>
      </x:c>
      <x:c r="EP38" s="107" t="n">
        <x:f>IF(EP37=0,0,'Вводные'!$B$59*'Вводные'!$S$89*'Вводные'!$H$5*'Вводные'!$AG$89*(1+'Вводные'!$B$64)^MAX(0,MIN((12*(YEAR(EP$3)-YEAR($B$30))+MONTH(EP$3)-MONTH($B$30)),(12*(YEAR($B$31)-YEAR($B$30))+MONTH($B$31)-MONTH($B$30))))*(1+'Вводные'!$B$65)^MAX(0,(12*(YEAR(EP$3)-YEAR($B$31))+MONTH(EP$3)-MONTH($B$31))))</x:f>
      </x:c>
      <x:c r="EQ38" s="107" t="n">
        <x:f>IF(EQ37=0,0,'Вводные'!$B$59*'Вводные'!$S$89*'Вводные'!$H$5*'Вводные'!$AG$89*(1+'Вводные'!$B$64)^MAX(0,MIN((12*(YEAR(EQ$3)-YEAR($B$30))+MONTH(EQ$3)-MONTH($B$30)),(12*(YEAR($B$31)-YEAR($B$30))+MONTH($B$31)-MONTH($B$30))))*(1+'Вводные'!$B$65)^MAX(0,(12*(YEAR(EQ$3)-YEAR($B$31))+MONTH(EQ$3)-MONTH($B$31))))</x:f>
      </x:c>
      <x:c r="ER38" s="107" t="n">
        <x:f>IF(ER37=0,0,'Вводные'!$B$59*'Вводные'!$S$89*'Вводные'!$H$5*'Вводные'!$AG$89*(1+'Вводные'!$B$64)^MAX(0,MIN((12*(YEAR(ER$3)-YEAR($B$30))+MONTH(ER$3)-MONTH($B$30)),(12*(YEAR($B$31)-YEAR($B$30))+MONTH($B$31)-MONTH($B$30))))*(1+'Вводные'!$B$65)^MAX(0,(12*(YEAR(ER$3)-YEAR($B$31))+MONTH(ER$3)-MONTH($B$31))))</x:f>
      </x:c>
      <x:c r="ES38" s="107" t="n">
        <x:f>IF(ES37=0,0,'Вводные'!$B$59*'Вводные'!$S$89*'Вводные'!$H$5*'Вводные'!$AG$89*(1+'Вводные'!$B$64)^MAX(0,MIN((12*(YEAR(ES$3)-YEAR($B$30))+MONTH(ES$3)-MONTH($B$30)),(12*(YEAR($B$31)-YEAR($B$30))+MONTH($B$31)-MONTH($B$30))))*(1+'Вводные'!$B$65)^MAX(0,(12*(YEAR(ES$3)-YEAR($B$31))+MONTH(ES$3)-MONTH($B$31))))</x:f>
      </x:c>
      <x:c r="ET38" s="107" t="n">
        <x:f>IF(ET37=0,0,'Вводные'!$B$59*'Вводные'!$S$89*'Вводные'!$H$5*'Вводные'!$AG$89*(1+'Вводные'!$B$64)^MAX(0,MIN((12*(YEAR(ET$3)-YEAR($B$30))+MONTH(ET$3)-MONTH($B$30)),(12*(YEAR($B$31)-YEAR($B$30))+MONTH($B$31)-MONTH($B$30))))*(1+'Вводные'!$B$65)^MAX(0,(12*(YEAR(ET$3)-YEAR($B$31))+MONTH(ET$3)-MONTH($B$31))))</x:f>
      </x:c>
      <x:c r="EU38" s="107" t="n">
        <x:f>IF(EU37=0,0,'Вводные'!$B$59*'Вводные'!$S$89*'Вводные'!$H$5*'Вводные'!$AG$89*(1+'Вводные'!$B$64)^MAX(0,MIN((12*(YEAR(EU$3)-YEAR($B$30))+MONTH(EU$3)-MONTH($B$30)),(12*(YEAR($B$31)-YEAR($B$30))+MONTH($B$31)-MONTH($B$30))))*(1+'Вводные'!$B$65)^MAX(0,(12*(YEAR(EU$3)-YEAR($B$31))+MONTH(EU$3)-MONTH($B$31))))</x:f>
      </x:c>
      <x:c r="EV38" s="107" t="n">
        <x:f>IF(EV37=0,0,'Вводные'!$B$59*'Вводные'!$S$89*'Вводные'!$H$5*'Вводные'!$AG$89*(1+'Вводные'!$B$64)^MAX(0,MIN((12*(YEAR(EV$3)-YEAR($B$30))+MONTH(EV$3)-MONTH($B$30)),(12*(YEAR($B$31)-YEAR($B$30))+MONTH($B$31)-MONTH($B$30))))*(1+'Вводные'!$B$65)^MAX(0,(12*(YEAR(EV$3)-YEAR($B$31))+MONTH(EV$3)-MONTH($B$31))))</x:f>
      </x:c>
      <x:c r="EW38" s="107" t="n">
        <x:f>IF(EW37=0,0,'Вводные'!$B$59*'Вводные'!$S$89*'Вводные'!$H$5*'Вводные'!$AG$89*(1+'Вводные'!$B$64)^MAX(0,MIN((12*(YEAR(EW$3)-YEAR($B$30))+MONTH(EW$3)-MONTH($B$30)),(12*(YEAR($B$31)-YEAR($B$30))+MONTH($B$31)-MONTH($B$30))))*(1+'Вводные'!$B$65)^MAX(0,(12*(YEAR(EW$3)-YEAR($B$31))+MONTH(EW$3)-MONTH($B$31))))</x:f>
      </x:c>
      <x:c r="EX38" s="107" t="n">
        <x:f>IF(EX37=0,0,'Вводные'!$B$59*'Вводные'!$S$89*'Вводные'!$H$5*'Вводные'!$AG$89*(1+'Вводные'!$B$64)^MAX(0,MIN((12*(YEAR(EX$3)-YEAR($B$30))+MONTH(EX$3)-MONTH($B$30)),(12*(YEAR($B$31)-YEAR($B$30))+MONTH($B$31)-MONTH($B$30))))*(1+'Вводные'!$B$65)^MAX(0,(12*(YEAR(EX$3)-YEAR($B$31))+MONTH(EX$3)-MONTH($B$31))))</x:f>
      </x:c>
      <x:c r="EY38" s="107" t="n">
        <x:f>IF(EY37=0,0,'Вводные'!$B$59*'Вводные'!$S$89*'Вводные'!$H$5*'Вводные'!$AG$89*(1+'Вводные'!$B$64)^MAX(0,MIN((12*(YEAR(EY$3)-YEAR($B$30))+MONTH(EY$3)-MONTH($B$30)),(12*(YEAR($B$31)-YEAR($B$30))+MONTH($B$31)-MONTH($B$30))))*(1+'Вводные'!$B$65)^MAX(0,(12*(YEAR(EY$3)-YEAR($B$31))+MONTH(EY$3)-MONTH($B$31))))</x:f>
      </x:c>
      <x:c r="EZ38" s="107" t="n">
        <x:f>IF(EZ37=0,0,'Вводные'!$B$59*'Вводные'!$S$89*'Вводные'!$H$5*'Вводные'!$AG$89*(1+'Вводные'!$B$64)^MAX(0,MIN((12*(YEAR(EZ$3)-YEAR($B$30))+MONTH(EZ$3)-MONTH($B$30)),(12*(YEAR($B$31)-YEAR($B$30))+MONTH($B$31)-MONTH($B$30))))*(1+'Вводные'!$B$65)^MAX(0,(12*(YEAR(EZ$3)-YEAR($B$31))+MONTH(EZ$3)-MONTH($B$31))))</x:f>
      </x:c>
      <x:c r="FA38" s="107" t="n">
        <x:f>IF(FA37=0,0,'Вводные'!$B$59*'Вводные'!$S$89*'Вводные'!$H$5*'Вводные'!$AG$89*(1+'Вводные'!$B$64)^MAX(0,MIN((12*(YEAR(FA$3)-YEAR($B$30))+MONTH(FA$3)-MONTH($B$30)),(12*(YEAR($B$31)-YEAR($B$30))+MONTH($B$31)-MONTH($B$30))))*(1+'Вводные'!$B$65)^MAX(0,(12*(YEAR(FA$3)-YEAR($B$31))+MONTH(FA$3)-MONTH($B$31))))</x:f>
      </x:c>
      <x:c r="FB38" s="107" t="n">
        <x:f>IF(FB37=0,0,'Вводные'!$B$59*'Вводные'!$S$89*'Вводные'!$H$5*'Вводные'!$AG$89*(1+'Вводные'!$B$64)^MAX(0,MIN((12*(YEAR(FB$3)-YEAR($B$30))+MONTH(FB$3)-MONTH($B$30)),(12*(YEAR($B$31)-YEAR($B$30))+MONTH($B$31)-MONTH($B$30))))*(1+'Вводные'!$B$65)^MAX(0,(12*(YEAR(FB$3)-YEAR($B$31))+MONTH(FB$3)-MONTH($B$31))))</x:f>
      </x:c>
      <x:c r="FC38" s="107" t="n">
        <x:f>IF(FC37=0,0,'Вводные'!$B$59*'Вводные'!$S$89*'Вводные'!$H$5*'Вводные'!$AG$89*(1+'Вводные'!$B$64)^MAX(0,MIN((12*(YEAR(FC$3)-YEAR($B$30))+MONTH(FC$3)-MONTH($B$30)),(12*(YEAR($B$31)-YEAR($B$30))+MONTH($B$31)-MONTH($B$30))))*(1+'Вводные'!$B$65)^MAX(0,(12*(YEAR(FC$3)-YEAR($B$31))+MONTH(FC$3)-MONTH($B$31))))</x:f>
      </x:c>
      <x:c r="FD38" s="107" t="n">
        <x:f>IF(FD37=0,0,'Вводные'!$B$59*'Вводные'!$S$89*'Вводные'!$H$5*'Вводные'!$AG$89*(1+'Вводные'!$B$64)^MAX(0,MIN((12*(YEAR(FD$3)-YEAR($B$30))+MONTH(FD$3)-MONTH($B$30)),(12*(YEAR($B$31)-YEAR($B$30))+MONTH($B$31)-MONTH($B$30))))*(1+'Вводные'!$B$65)^MAX(0,(12*(YEAR(FD$3)-YEAR($B$31))+MONTH(FD$3)-MONTH($B$31))))</x:f>
      </x:c>
      <x:c r="FE38" s="107" t="n">
        <x:f>IF(FE37=0,0,'Вводные'!$B$59*'Вводные'!$S$89*'Вводные'!$H$5*'Вводные'!$AG$89*(1+'Вводные'!$B$64)^MAX(0,MIN((12*(YEAR(FE$3)-YEAR($B$30))+MONTH(FE$3)-MONTH($B$30)),(12*(YEAR($B$31)-YEAR($B$30))+MONTH($B$31)-MONTH($B$30))))*(1+'Вводные'!$B$65)^MAX(0,(12*(YEAR(FE$3)-YEAR($B$31))+MONTH(FE$3)-MONTH($B$31))))</x:f>
      </x:c>
      <x:c r="FF38" s="107" t="n">
        <x:f>IF(FF37=0,0,'Вводные'!$B$59*'Вводные'!$S$89*'Вводные'!$H$5*'Вводные'!$AG$89*(1+'Вводные'!$B$64)^MAX(0,MIN((12*(YEAR(FF$3)-YEAR($B$30))+MONTH(FF$3)-MONTH($B$30)),(12*(YEAR($B$31)-YEAR($B$30))+MONTH($B$31)-MONTH($B$30))))*(1+'Вводные'!$B$65)^MAX(0,(12*(YEAR(FF$3)-YEAR($B$31))+MONTH(FF$3)-MONTH($B$31))))</x:f>
      </x:c>
      <x:c r="FG38" s="107" t="n">
        <x:f>IF(FG37=0,0,'Вводные'!$B$59*'Вводные'!$S$89*'Вводные'!$H$5*'Вводные'!$AG$89*(1+'Вводные'!$B$64)^MAX(0,MIN((12*(YEAR(FG$3)-YEAR($B$30))+MONTH(FG$3)-MONTH($B$30)),(12*(YEAR($B$31)-YEAR($B$30))+MONTH($B$31)-MONTH($B$30))))*(1+'Вводные'!$B$65)^MAX(0,(12*(YEAR(FG$3)-YEAR($B$31))+MONTH(FG$3)-MONTH($B$31))))</x:f>
      </x:c>
      <x:c r="FH38" s="107" t="n">
        <x:f>IF(FH37=0,0,'Вводные'!$B$59*'Вводные'!$S$89*'Вводные'!$H$5*'Вводные'!$AG$89*(1+'Вводные'!$B$64)^MAX(0,MIN((12*(YEAR(FH$3)-YEAR($B$30))+MONTH(FH$3)-MONTH($B$30)),(12*(YEAR($B$31)-YEAR($B$30))+MONTH($B$31)-MONTH($B$30))))*(1+'Вводные'!$B$65)^MAX(0,(12*(YEAR(FH$3)-YEAR($B$31))+MONTH(FH$3)-MONTH($B$31))))</x:f>
      </x:c>
      <x:c r="FI38" s="107" t="n">
        <x:f>IF(FI37=0,0,'Вводные'!$B$59*'Вводные'!$S$89*'Вводные'!$H$5*'Вводные'!$AG$89*(1+'Вводные'!$B$64)^MAX(0,MIN((12*(YEAR(FI$3)-YEAR($B$30))+MONTH(FI$3)-MONTH($B$30)),(12*(YEAR($B$31)-YEAR($B$30))+MONTH($B$31)-MONTH($B$30))))*(1+'Вводные'!$B$65)^MAX(0,(12*(YEAR(FI$3)-YEAR($B$31))+MONTH(FI$3)-MONTH($B$31))))</x:f>
      </x:c>
      <x:c r="FJ38" s="107" t="n">
        <x:f>IF(FJ37=0,0,'Вводные'!$B$59*'Вводные'!$S$89*'Вводные'!$H$5*'Вводные'!$AG$89*(1+'Вводные'!$B$64)^MAX(0,MIN((12*(YEAR(FJ$3)-YEAR($B$30))+MONTH(FJ$3)-MONTH($B$30)),(12*(YEAR($B$31)-YEAR($B$30))+MONTH($B$31)-MONTH($B$30))))*(1+'Вводные'!$B$65)^MAX(0,(12*(YEAR(FJ$3)-YEAR($B$31))+MONTH(FJ$3)-MONTH($B$31))))</x:f>
      </x:c>
      <x:c r="FK38" s="107" t="n">
        <x:f>IF(FK37=0,0,'Вводные'!$B$59*'Вводные'!$S$89*'Вводные'!$H$5*'Вводные'!$AG$89*(1+'Вводные'!$B$64)^MAX(0,MIN((12*(YEAR(FK$3)-YEAR($B$30))+MONTH(FK$3)-MONTH($B$30)),(12*(YEAR($B$31)-YEAR($B$30))+MONTH($B$31)-MONTH($B$30))))*(1+'Вводные'!$B$65)^MAX(0,(12*(YEAR(FK$3)-YEAR($B$31))+MONTH(FK$3)-MONTH($B$31))))</x:f>
      </x:c>
      <x:c r="FL38" s="107" t="n">
        <x:f>IF(FL37=0,0,'Вводные'!$B$59*'Вводные'!$S$89*'Вводные'!$H$5*'Вводные'!$AG$89*(1+'Вводные'!$B$64)^MAX(0,MIN((12*(YEAR(FL$3)-YEAR($B$30))+MONTH(FL$3)-MONTH($B$30)),(12*(YEAR($B$31)-YEAR($B$30))+MONTH($B$31)-MONTH($B$30))))*(1+'Вводные'!$B$65)^MAX(0,(12*(YEAR(FL$3)-YEAR($B$31))+MONTH(FL$3)-MONTH($B$31))))</x:f>
      </x:c>
      <x:c r="FM38" s="107" t="n">
        <x:f>IF(FM37=0,0,'Вводные'!$B$59*'Вводные'!$S$89*'Вводные'!$H$5*'Вводные'!$AG$89*(1+'Вводные'!$B$64)^MAX(0,MIN((12*(YEAR(FM$3)-YEAR($B$30))+MONTH(FM$3)-MONTH($B$30)),(12*(YEAR($B$31)-YEAR($B$30))+MONTH($B$31)-MONTH($B$30))))*(1+'Вводные'!$B$65)^MAX(0,(12*(YEAR(FM$3)-YEAR($B$31))+MONTH(FM$3)-MONTH($B$31))))</x:f>
      </x:c>
      <x:c r="FN38" s="107" t="n">
        <x:f>IF(FN37=0,0,'Вводные'!$B$59*'Вводные'!$S$89*'Вводные'!$H$5*'Вводные'!$AG$89*(1+'Вводные'!$B$64)^MAX(0,MIN((12*(YEAR(FN$3)-YEAR($B$30))+MONTH(FN$3)-MONTH($B$30)),(12*(YEAR($B$31)-YEAR($B$30))+MONTH($B$31)-MONTH($B$30))))*(1+'Вводные'!$B$65)^MAX(0,(12*(YEAR(FN$3)-YEAR($B$31))+MONTH(FN$3)-MONTH($B$31))))</x:f>
      </x:c>
      <x:c r="FO38" s="107" t="n">
        <x:f>IF(FO37=0,0,'Вводные'!$B$59*'Вводные'!$S$89*'Вводные'!$H$5*'Вводные'!$AG$89*(1+'Вводные'!$B$64)^MAX(0,MIN((12*(YEAR(FO$3)-YEAR($B$30))+MONTH(FO$3)-MONTH($B$30)),(12*(YEAR($B$31)-YEAR($B$30))+MONTH($B$31)-MONTH($B$30))))*(1+'Вводные'!$B$65)^MAX(0,(12*(YEAR(FO$3)-YEAR($B$31))+MONTH(FO$3)-MONTH($B$31))))</x:f>
      </x:c>
      <x:c r="FP38" s="107" t="n">
        <x:f>IF(FP37=0,0,'Вводные'!$B$59*'Вводные'!$S$89*'Вводные'!$H$5*'Вводные'!$AG$89*(1+'Вводные'!$B$64)^MAX(0,MIN((12*(YEAR(FP$3)-YEAR($B$30))+MONTH(FP$3)-MONTH($B$30)),(12*(YEAR($B$31)-YEAR($B$30))+MONTH($B$31)-MONTH($B$30))))*(1+'Вводные'!$B$65)^MAX(0,(12*(YEAR(FP$3)-YEAR($B$31))+MONTH(FP$3)-MONTH($B$31))))</x:f>
      </x:c>
      <x:c r="FQ38" s="107" t="n">
        <x:f>IF(FQ37=0,0,'Вводные'!$B$59*'Вводные'!$S$89*'Вводные'!$H$5*'Вводные'!$AG$89*(1+'Вводные'!$B$64)^MAX(0,MIN((12*(YEAR(FQ$3)-YEAR($B$30))+MONTH(FQ$3)-MONTH($B$30)),(12*(YEAR($B$31)-YEAR($B$30))+MONTH($B$31)-MONTH($B$30))))*(1+'Вводные'!$B$65)^MAX(0,(12*(YEAR(FQ$3)-YEAR($B$31))+MONTH(FQ$3)-MONTH($B$31))))</x:f>
      </x:c>
      <x:c r="FR38" s="107" t="n">
        <x:f>IF(FR37=0,0,'Вводные'!$B$59*'Вводные'!$S$89*'Вводные'!$H$5*'Вводные'!$AG$89*(1+'Вводные'!$B$64)^MAX(0,MIN((12*(YEAR(FR$3)-YEAR($B$30))+MONTH(FR$3)-MONTH($B$30)),(12*(YEAR($B$31)-YEAR($B$30))+MONTH($B$31)-MONTH($B$30))))*(1+'Вводные'!$B$65)^MAX(0,(12*(YEAR(FR$3)-YEAR($B$31))+MONTH(FR$3)-MONTH($B$31))))</x:f>
      </x:c>
      <x:c r="FS38" s="107" t="n">
        <x:f>IF(FS37=0,0,'Вводные'!$B$59*'Вводные'!$S$89*'Вводные'!$H$5*'Вводные'!$AG$89*(1+'Вводные'!$B$64)^MAX(0,MIN((12*(YEAR(FS$3)-YEAR($B$30))+MONTH(FS$3)-MONTH($B$30)),(12*(YEAR($B$31)-YEAR($B$30))+MONTH($B$31)-MONTH($B$30))))*(1+'Вводные'!$B$65)^MAX(0,(12*(YEAR(FS$3)-YEAR($B$31))+MONTH(FS$3)-MONTH($B$31))))</x:f>
      </x:c>
      <x:c r="FT38" s="107" t="n">
        <x:f>IF(FT37=0,0,'Вводные'!$B$59*'Вводные'!$S$89*'Вводные'!$H$5*'Вводные'!$AG$89*(1+'Вводные'!$B$64)^MAX(0,MIN((12*(YEAR(FT$3)-YEAR($B$30))+MONTH(FT$3)-MONTH($B$30)),(12*(YEAR($B$31)-YEAR($B$30))+MONTH($B$31)-MONTH($B$30))))*(1+'Вводные'!$B$65)^MAX(0,(12*(YEAR(FT$3)-YEAR($B$31))+MONTH(FT$3)-MONTH($B$31))))</x:f>
      </x:c>
      <x:c r="FU38" s="107" t="n">
        <x:f>IF(FU37=0,0,'Вводные'!$B$59*'Вводные'!$S$89*'Вводные'!$H$5*'Вводные'!$AG$89*(1+'Вводные'!$B$64)^MAX(0,MIN((12*(YEAR(FU$3)-YEAR($B$30))+MONTH(FU$3)-MONTH($B$30)),(12*(YEAR($B$31)-YEAR($B$30))+MONTH($B$31)-MONTH($B$30))))*(1+'Вводные'!$B$65)^MAX(0,(12*(YEAR(FU$3)-YEAR($B$31))+MONTH(FU$3)-MONTH($B$31))))</x:f>
      </x:c>
      <x:c r="FV38" s="107" t="n">
        <x:f>IF(FV37=0,0,'Вводные'!$B$59*'Вводные'!$S$89*'Вводные'!$H$5*'Вводные'!$AG$89*(1+'Вводные'!$B$64)^MAX(0,MIN((12*(YEAR(FV$3)-YEAR($B$30))+MONTH(FV$3)-MONTH($B$30)),(12*(YEAR($B$31)-YEAR($B$30))+MONTH($B$31)-MONTH($B$30))))*(1+'Вводные'!$B$65)^MAX(0,(12*(YEAR(FV$3)-YEAR($B$31))+MONTH(FV$3)-MONTH($B$31))))</x:f>
      </x:c>
      <x:c r="FW38" s="107" t="n">
        <x:f>IF(FW37=0,0,'Вводные'!$B$59*'Вводные'!$S$89*'Вводные'!$H$5*'Вводные'!$AG$89*(1+'Вводные'!$B$64)^MAX(0,MIN((12*(YEAR(FW$3)-YEAR($B$30))+MONTH(FW$3)-MONTH($B$30)),(12*(YEAR($B$31)-YEAR($B$30))+MONTH($B$31)-MONTH($B$30))))*(1+'Вводные'!$B$65)^MAX(0,(12*(YEAR(FW$3)-YEAR($B$31))+MONTH(FW$3)-MONTH($B$31))))</x:f>
      </x:c>
      <x:c r="FX38" s="107" t="n">
        <x:f>IF(FX37=0,0,'Вводные'!$B$59*'Вводные'!$S$89*'Вводные'!$H$5*'Вводные'!$AG$89*(1+'Вводные'!$B$64)^MAX(0,MIN((12*(YEAR(FX$3)-YEAR($B$30))+MONTH(FX$3)-MONTH($B$30)),(12*(YEAR($B$31)-YEAR($B$30))+MONTH($B$31)-MONTH($B$30))))*(1+'Вводные'!$B$65)^MAX(0,(12*(YEAR(FX$3)-YEAR($B$31))+MONTH(FX$3)-MONTH($B$31))))</x:f>
      </x:c>
      <x:c r="FY38" s="107" t="n">
        <x:f>IF(FY37=0,0,'Вводные'!$B$59*'Вводные'!$S$89*'Вводные'!$H$5*'Вводные'!$AG$89*(1+'Вводные'!$B$64)^MAX(0,MIN((12*(YEAR(FY$3)-YEAR($B$30))+MONTH(FY$3)-MONTH($B$30)),(12*(YEAR($B$31)-YEAR($B$30))+MONTH($B$31)-MONTH($B$30))))*(1+'Вводные'!$B$65)^MAX(0,(12*(YEAR(FY$3)-YEAR($B$31))+MONTH(FY$3)-MONTH($B$31))))</x:f>
      </x:c>
      <x:c r="FZ38" s="107" t="n">
        <x:f>IF(FZ37=0,0,'Вводные'!$B$59*'Вводные'!$S$89*'Вводные'!$H$5*'Вводные'!$AG$89*(1+'Вводные'!$B$64)^MAX(0,MIN((12*(YEAR(FZ$3)-YEAR($B$30))+MONTH(FZ$3)-MONTH($B$30)),(12*(YEAR($B$31)-YEAR($B$30))+MONTH($B$31)-MONTH($B$30))))*(1+'Вводные'!$B$65)^MAX(0,(12*(YEAR(FZ$3)-YEAR($B$31))+MONTH(FZ$3)-MONTH($B$31))))</x:f>
      </x:c>
      <x:c r="GA38" s="107" t="n">
        <x:f>IF(GA37=0,0,'Вводные'!$B$59*'Вводные'!$S$89*'Вводные'!$H$5*'Вводные'!$AG$89*(1+'Вводные'!$B$64)^MAX(0,MIN((12*(YEAR(GA$3)-YEAR($B$30))+MONTH(GA$3)-MONTH($B$30)),(12*(YEAR($B$31)-YEAR($B$30))+MONTH($B$31)-MONTH($B$30))))*(1+'Вводные'!$B$65)^MAX(0,(12*(YEAR(GA$3)-YEAR($B$31))+MONTH(GA$3)-MONTH($B$31))))</x:f>
      </x:c>
    </x:row>
    <x:row r="39">
      <x:c r="A39" t="str">
        <x:v>Квартиры — выручка</x:v>
      </x:c>
      <x:c r="B39" t="n">
        <x:f>SUM(D39:GA39)</x:f>
      </x:c>
      <x:c r="C39" t="str">
        <x:v>млн ₽</x:v>
      </x:c>
      <x:c r="D39" s="107" t="n">
        <x:f>D37*D38/1000</x:f>
      </x:c>
      <x:c r="E39" s="107" t="n">
        <x:f>E37*E38/1000</x:f>
      </x:c>
      <x:c r="F39" s="107" t="n">
        <x:f>F37*F38/1000</x:f>
      </x:c>
      <x:c r="G39" s="107" t="n">
        <x:f>G37*G38/1000</x:f>
      </x:c>
      <x:c r="H39" s="107" t="n">
        <x:f>H37*H38/1000</x:f>
      </x:c>
      <x:c r="I39" s="107" t="n">
        <x:f>I37*I38/1000</x:f>
      </x:c>
      <x:c r="J39" s="107" t="n">
        <x:f>J37*J38/1000</x:f>
      </x:c>
      <x:c r="K39" s="107" t="n">
        <x:f>K37*K38/1000</x:f>
      </x:c>
      <x:c r="L39" s="107" t="n">
        <x:f>L37*L38/1000</x:f>
      </x:c>
      <x:c r="M39" s="107" t="n">
        <x:f>M37*M38/1000</x:f>
      </x:c>
      <x:c r="N39" s="107" t="n">
        <x:f>N37*N38/1000</x:f>
      </x:c>
      <x:c r="O39" s="107" t="n">
        <x:f>O37*O38/1000</x:f>
      </x:c>
      <x:c r="P39" s="107" t="n">
        <x:f>P37*P38/1000</x:f>
      </x:c>
      <x:c r="Q39" s="107" t="n">
        <x:f>Q37*Q38/1000</x:f>
      </x:c>
      <x:c r="R39" s="107" t="n">
        <x:f>R37*R38/1000</x:f>
      </x:c>
      <x:c r="S39" s="107" t="n">
        <x:f>S37*S38/1000</x:f>
      </x:c>
      <x:c r="T39" s="107" t="n">
        <x:f>T37*T38/1000</x:f>
      </x:c>
      <x:c r="U39" s="107" t="n">
        <x:f>U37*U38/1000</x:f>
      </x:c>
      <x:c r="V39" s="107" t="n">
        <x:f>V37*V38/1000</x:f>
      </x:c>
      <x:c r="W39" s="107" t="n">
        <x:f>W37*W38/1000</x:f>
      </x:c>
      <x:c r="X39" s="107" t="n">
        <x:f>X37*X38/1000</x:f>
      </x:c>
      <x:c r="Y39" s="107" t="n">
        <x:f>Y37*Y38/1000</x:f>
      </x:c>
      <x:c r="Z39" s="107" t="n">
        <x:f>Z37*Z38/1000</x:f>
      </x:c>
      <x:c r="AA39" s="107" t="n">
        <x:f>AA37*AA38/1000</x:f>
      </x:c>
      <x:c r="AB39" s="107" t="n">
        <x:f>AB37*AB38/1000</x:f>
      </x:c>
      <x:c r="AC39" s="107" t="n">
        <x:f>AC37*AC38/1000</x:f>
      </x:c>
      <x:c r="AD39" s="107" t="n">
        <x:f>AD37*AD38/1000</x:f>
      </x:c>
      <x:c r="AE39" s="107" t="n">
        <x:f>AE37*AE38/1000</x:f>
      </x:c>
      <x:c r="AF39" s="107" t="n">
        <x:f>AF37*AF38/1000</x:f>
      </x:c>
      <x:c r="AG39" s="107" t="n">
        <x:f>AG37*AG38/1000</x:f>
      </x:c>
      <x:c r="AH39" s="107" t="n">
        <x:f>AH37*AH38/1000</x:f>
      </x:c>
      <x:c r="AI39" s="107" t="n">
        <x:f>AI37*AI38/1000</x:f>
      </x:c>
      <x:c r="AJ39" s="107" t="n">
        <x:f>AJ37*AJ38/1000</x:f>
      </x:c>
      <x:c r="AK39" s="107" t="n">
        <x:f>AK37*AK38/1000</x:f>
      </x:c>
      <x:c r="AL39" s="107" t="n">
        <x:f>AL37*AL38/1000</x:f>
      </x:c>
      <x:c r="AM39" s="107" t="n">
        <x:f>AM37*AM38/1000</x:f>
      </x:c>
      <x:c r="AN39" s="107" t="n">
        <x:f>AN37*AN38/1000</x:f>
      </x:c>
      <x:c r="AO39" s="107" t="n">
        <x:f>AO37*AO38/1000</x:f>
      </x:c>
      <x:c r="AP39" s="107" t="n">
        <x:f>AP37*AP38/1000</x:f>
      </x:c>
      <x:c r="AQ39" s="107" t="n">
        <x:f>AQ37*AQ38/1000</x:f>
      </x:c>
      <x:c r="AR39" s="107" t="n">
        <x:f>AR37*AR38/1000</x:f>
      </x:c>
      <x:c r="AS39" s="107" t="n">
        <x:f>AS37*AS38/1000</x:f>
      </x:c>
      <x:c r="AT39" s="107" t="n">
        <x:f>AT37*AT38/1000</x:f>
      </x:c>
      <x:c r="AU39" s="107" t="n">
        <x:f>AU37*AU38/1000</x:f>
      </x:c>
      <x:c r="AV39" s="107" t="n">
        <x:f>AV37*AV38/1000</x:f>
      </x:c>
      <x:c r="AW39" s="107" t="n">
        <x:f>AW37*AW38/1000</x:f>
      </x:c>
      <x:c r="AX39" s="107" t="n">
        <x:f>AX37*AX38/1000</x:f>
      </x:c>
      <x:c r="AY39" s="107" t="n">
        <x:f>AY37*AY38/1000</x:f>
      </x:c>
      <x:c r="AZ39" s="107" t="n">
        <x:f>AZ37*AZ38/1000</x:f>
      </x:c>
      <x:c r="BA39" s="107" t="n">
        <x:f>BA37*BA38/1000</x:f>
      </x:c>
      <x:c r="BB39" s="107" t="n">
        <x:f>BB37*BB38/1000</x:f>
      </x:c>
      <x:c r="BC39" s="107" t="n">
        <x:f>BC37*BC38/1000</x:f>
      </x:c>
      <x:c r="BD39" s="107" t="n">
        <x:f>BD37*BD38/1000</x:f>
      </x:c>
      <x:c r="BE39" s="107" t="n">
        <x:f>BE37*BE38/1000</x:f>
      </x:c>
      <x:c r="BF39" s="107" t="n">
        <x:f>BF37*BF38/1000</x:f>
      </x:c>
      <x:c r="BG39" s="107" t="n">
        <x:f>BG37*BG38/1000</x:f>
      </x:c>
      <x:c r="BH39" s="107" t="n">
        <x:f>BH37*BH38/1000</x:f>
      </x:c>
      <x:c r="BI39" s="107" t="n">
        <x:f>BI37*BI38/1000</x:f>
      </x:c>
      <x:c r="BJ39" s="107" t="n">
        <x:f>BJ37*BJ38/1000</x:f>
      </x:c>
      <x:c r="BK39" s="107" t="n">
        <x:f>BK37*BK38/1000</x:f>
      </x:c>
      <x:c r="BL39" s="107" t="n">
        <x:f>BL37*BL38/1000</x:f>
      </x:c>
      <x:c r="BM39" s="107" t="n">
        <x:f>BM37*BM38/1000</x:f>
      </x:c>
      <x:c r="BN39" s="107" t="n">
        <x:f>BN37*BN38/1000</x:f>
      </x:c>
      <x:c r="BO39" s="107" t="n">
        <x:f>BO37*BO38/1000</x:f>
      </x:c>
      <x:c r="BP39" s="107" t="n">
        <x:f>BP37*BP38/1000</x:f>
      </x:c>
      <x:c r="BQ39" s="107" t="n">
        <x:f>BQ37*BQ38/1000</x:f>
      </x:c>
      <x:c r="BR39" s="107" t="n">
        <x:f>BR37*BR38/1000</x:f>
      </x:c>
      <x:c r="BS39" s="107" t="n">
        <x:f>BS37*BS38/1000</x:f>
      </x:c>
      <x:c r="BT39" s="107" t="n">
        <x:f>BT37*BT38/1000</x:f>
      </x:c>
      <x:c r="BU39" s="107" t="n">
        <x:f>BU37*BU38/1000</x:f>
      </x:c>
      <x:c r="BV39" s="107" t="n">
        <x:f>BV37*BV38/1000</x:f>
      </x:c>
      <x:c r="BW39" s="107" t="n">
        <x:f>BW37*BW38/1000</x:f>
      </x:c>
      <x:c r="BX39" s="107" t="n">
        <x:f>BX37*BX38/1000</x:f>
      </x:c>
      <x:c r="BY39" s="107" t="n">
        <x:f>BY37*BY38/1000</x:f>
      </x:c>
      <x:c r="BZ39" s="107" t="n">
        <x:f>BZ37*BZ38/1000</x:f>
      </x:c>
      <x:c r="CA39" s="107" t="n">
        <x:f>CA37*CA38/1000</x:f>
      </x:c>
      <x:c r="CB39" s="107" t="n">
        <x:f>CB37*CB38/1000</x:f>
      </x:c>
      <x:c r="CC39" s="107" t="n">
        <x:f>CC37*CC38/1000</x:f>
      </x:c>
      <x:c r="CD39" s="107" t="n">
        <x:f>CD37*CD38/1000</x:f>
      </x:c>
      <x:c r="CE39" s="107" t="n">
        <x:f>CE37*CE38/1000</x:f>
      </x:c>
      <x:c r="CF39" s="107" t="n">
        <x:f>CF37*CF38/1000</x:f>
      </x:c>
      <x:c r="CG39" s="107" t="n">
        <x:f>CG37*CG38/1000</x:f>
      </x:c>
      <x:c r="CH39" s="107" t="n">
        <x:f>CH37*CH38/1000</x:f>
      </x:c>
      <x:c r="CI39" s="107" t="n">
        <x:f>CI37*CI38/1000</x:f>
      </x:c>
      <x:c r="CJ39" s="107" t="n">
        <x:f>CJ37*CJ38/1000</x:f>
      </x:c>
      <x:c r="CK39" s="107" t="n">
        <x:f>CK37*CK38/1000</x:f>
      </x:c>
      <x:c r="CL39" s="107" t="n">
        <x:f>CL37*CL38/1000</x:f>
      </x:c>
      <x:c r="CM39" s="107" t="n">
        <x:f>CM37*CM38/1000</x:f>
      </x:c>
      <x:c r="CN39" s="107" t="n">
        <x:f>CN37*CN38/1000</x:f>
      </x:c>
      <x:c r="CO39" s="107" t="n">
        <x:f>CO37*CO38/1000</x:f>
      </x:c>
      <x:c r="CP39" s="107" t="n">
        <x:f>CP37*CP38/1000</x:f>
      </x:c>
      <x:c r="CQ39" s="107" t="n">
        <x:f>CQ37*CQ38/1000</x:f>
      </x:c>
      <x:c r="CR39" s="107" t="n">
        <x:f>CR37*CR38/1000</x:f>
      </x:c>
      <x:c r="CS39" s="107" t="n">
        <x:f>CS37*CS38/1000</x:f>
      </x:c>
      <x:c r="CT39" s="107" t="n">
        <x:f>CT37*CT38/1000</x:f>
      </x:c>
      <x:c r="CU39" s="107" t="n">
        <x:f>CU37*CU38/1000</x:f>
      </x:c>
      <x:c r="CV39" s="107" t="n">
        <x:f>CV37*CV38/1000</x:f>
      </x:c>
      <x:c r="CW39" s="107" t="n">
        <x:f>CW37*CW38/1000</x:f>
      </x:c>
      <x:c r="CX39" s="107" t="n">
        <x:f>CX37*CX38/1000</x:f>
      </x:c>
      <x:c r="CY39" s="107" t="n">
        <x:f>CY37*CY38/1000</x:f>
      </x:c>
      <x:c r="CZ39" s="107" t="n">
        <x:f>CZ37*CZ38/1000</x:f>
      </x:c>
      <x:c r="DA39" s="107" t="n">
        <x:f>DA37*DA38/1000</x:f>
      </x:c>
      <x:c r="DB39" s="107" t="n">
        <x:f>DB37*DB38/1000</x:f>
      </x:c>
      <x:c r="DC39" s="107" t="n">
        <x:f>DC37*DC38/1000</x:f>
      </x:c>
      <x:c r="DD39" s="107" t="n">
        <x:f>DD37*DD38/1000</x:f>
      </x:c>
      <x:c r="DE39" s="107" t="n">
        <x:f>DE37*DE38/1000</x:f>
      </x:c>
      <x:c r="DF39" s="107" t="n">
        <x:f>DF37*DF38/1000</x:f>
      </x:c>
      <x:c r="DG39" s="107" t="n">
        <x:f>DG37*DG38/1000</x:f>
      </x:c>
      <x:c r="DH39" s="107" t="n">
        <x:f>DH37*DH38/1000</x:f>
      </x:c>
      <x:c r="DI39" s="107" t="n">
        <x:f>DI37*DI38/1000</x:f>
      </x:c>
      <x:c r="DJ39" s="107" t="n">
        <x:f>DJ37*DJ38/1000</x:f>
      </x:c>
      <x:c r="DK39" s="107" t="n">
        <x:f>DK37*DK38/1000</x:f>
      </x:c>
      <x:c r="DL39" s="107" t="n">
        <x:f>DL37*DL38/1000</x:f>
      </x:c>
      <x:c r="DM39" s="107" t="n">
        <x:f>DM37*DM38/1000</x:f>
      </x:c>
      <x:c r="DN39" s="107" t="n">
        <x:f>DN37*DN38/1000</x:f>
      </x:c>
      <x:c r="DO39" s="107" t="n">
        <x:f>DO37*DO38/1000</x:f>
      </x:c>
      <x:c r="DP39" s="107" t="n">
        <x:f>DP37*DP38/1000</x:f>
      </x:c>
      <x:c r="DQ39" s="107" t="n">
        <x:f>DQ37*DQ38/1000</x:f>
      </x:c>
      <x:c r="DR39" s="107" t="n">
        <x:f>DR37*DR38/1000</x:f>
      </x:c>
      <x:c r="DS39" s="107" t="n">
        <x:f>DS37*DS38/1000</x:f>
      </x:c>
      <x:c r="DT39" s="107" t="n">
        <x:f>DT37*DT38/1000</x:f>
      </x:c>
      <x:c r="DU39" s="107" t="n">
        <x:f>DU37*DU38/1000</x:f>
      </x:c>
      <x:c r="DV39" s="107" t="n">
        <x:f>DV37*DV38/1000</x:f>
      </x:c>
      <x:c r="DW39" s="107" t="n">
        <x:f>DW37*DW38/1000</x:f>
      </x:c>
      <x:c r="DX39" s="107" t="n">
        <x:f>DX37*DX38/1000</x:f>
      </x:c>
      <x:c r="DY39" s="107" t="n">
        <x:f>DY37*DY38/1000</x:f>
      </x:c>
      <x:c r="DZ39" s="107" t="n">
        <x:f>DZ37*DZ38/1000</x:f>
      </x:c>
      <x:c r="EA39" s="107" t="n">
        <x:f>EA37*EA38/1000</x:f>
      </x:c>
      <x:c r="EB39" s="107" t="n">
        <x:f>EB37*EB38/1000</x:f>
      </x:c>
      <x:c r="EC39" s="107" t="n">
        <x:f>EC37*EC38/1000</x:f>
      </x:c>
      <x:c r="ED39" s="107" t="n">
        <x:f>ED37*ED38/1000</x:f>
      </x:c>
      <x:c r="EE39" s="107" t="n">
        <x:f>EE37*EE38/1000</x:f>
      </x:c>
      <x:c r="EF39" s="107" t="n">
        <x:f>EF37*EF38/1000</x:f>
      </x:c>
      <x:c r="EG39" s="107" t="n">
        <x:f>EG37*EG38/1000</x:f>
      </x:c>
      <x:c r="EH39" s="107" t="n">
        <x:f>EH37*EH38/1000</x:f>
      </x:c>
      <x:c r="EI39" s="107" t="n">
        <x:f>EI37*EI38/1000</x:f>
      </x:c>
      <x:c r="EJ39" s="107" t="n">
        <x:f>EJ37*EJ38/1000</x:f>
      </x:c>
      <x:c r="EK39" s="107" t="n">
        <x:f>EK37*EK38/1000</x:f>
      </x:c>
      <x:c r="EL39" s="107" t="n">
        <x:f>EL37*EL38/1000</x:f>
      </x:c>
      <x:c r="EM39" s="107" t="n">
        <x:f>EM37*EM38/1000</x:f>
      </x:c>
      <x:c r="EN39" s="107" t="n">
        <x:f>EN37*EN38/1000</x:f>
      </x:c>
      <x:c r="EO39" s="107" t="n">
        <x:f>EO37*EO38/1000</x:f>
      </x:c>
      <x:c r="EP39" s="107" t="n">
        <x:f>EP37*EP38/1000</x:f>
      </x:c>
      <x:c r="EQ39" s="107" t="n">
        <x:f>EQ37*EQ38/1000</x:f>
      </x:c>
      <x:c r="ER39" s="107" t="n">
        <x:f>ER37*ER38/1000</x:f>
      </x:c>
      <x:c r="ES39" s="107" t="n">
        <x:f>ES37*ES38/1000</x:f>
      </x:c>
      <x:c r="ET39" s="107" t="n">
        <x:f>ET37*ET38/1000</x:f>
      </x:c>
      <x:c r="EU39" s="107" t="n">
        <x:f>EU37*EU38/1000</x:f>
      </x:c>
      <x:c r="EV39" s="107" t="n">
        <x:f>EV37*EV38/1000</x:f>
      </x:c>
      <x:c r="EW39" s="107" t="n">
        <x:f>EW37*EW38/1000</x:f>
      </x:c>
      <x:c r="EX39" s="107" t="n">
        <x:f>EX37*EX38/1000</x:f>
      </x:c>
      <x:c r="EY39" s="107" t="n">
        <x:f>EY37*EY38/1000</x:f>
      </x:c>
      <x:c r="EZ39" s="107" t="n">
        <x:f>EZ37*EZ38/1000</x:f>
      </x:c>
      <x:c r="FA39" s="107" t="n">
        <x:f>FA37*FA38/1000</x:f>
      </x:c>
      <x:c r="FB39" s="107" t="n">
        <x:f>FB37*FB38/1000</x:f>
      </x:c>
      <x:c r="FC39" s="107" t="n">
        <x:f>FC37*FC38/1000</x:f>
      </x:c>
      <x:c r="FD39" s="107" t="n">
        <x:f>FD37*FD38/1000</x:f>
      </x:c>
      <x:c r="FE39" s="107" t="n">
        <x:f>FE37*FE38/1000</x:f>
      </x:c>
      <x:c r="FF39" s="107" t="n">
        <x:f>FF37*FF38/1000</x:f>
      </x:c>
      <x:c r="FG39" s="107" t="n">
        <x:f>FG37*FG38/1000</x:f>
      </x:c>
      <x:c r="FH39" s="107" t="n">
        <x:f>FH37*FH38/1000</x:f>
      </x:c>
      <x:c r="FI39" s="107" t="n">
        <x:f>FI37*FI38/1000</x:f>
      </x:c>
      <x:c r="FJ39" s="107" t="n">
        <x:f>FJ37*FJ38/1000</x:f>
      </x:c>
      <x:c r="FK39" s="107" t="n">
        <x:f>FK37*FK38/1000</x:f>
      </x:c>
      <x:c r="FL39" s="107" t="n">
        <x:f>FL37*FL38/1000</x:f>
      </x:c>
      <x:c r="FM39" s="107" t="n">
        <x:f>FM37*FM38/1000</x:f>
      </x:c>
      <x:c r="FN39" s="107" t="n">
        <x:f>FN37*FN38/1000</x:f>
      </x:c>
      <x:c r="FO39" s="107" t="n">
        <x:f>FO37*FO38/1000</x:f>
      </x:c>
      <x:c r="FP39" s="107" t="n">
        <x:f>FP37*FP38/1000</x:f>
      </x:c>
      <x:c r="FQ39" s="107" t="n">
        <x:f>FQ37*FQ38/1000</x:f>
      </x:c>
      <x:c r="FR39" s="107" t="n">
        <x:f>FR37*FR38/1000</x:f>
      </x:c>
      <x:c r="FS39" s="107" t="n">
        <x:f>FS37*FS38/1000</x:f>
      </x:c>
      <x:c r="FT39" s="107" t="n">
        <x:f>FT37*FT38/1000</x:f>
      </x:c>
      <x:c r="FU39" s="107" t="n">
        <x:f>FU37*FU38/1000</x:f>
      </x:c>
      <x:c r="FV39" s="107" t="n">
        <x:f>FV37*FV38/1000</x:f>
      </x:c>
      <x:c r="FW39" s="107" t="n">
        <x:f>FW37*FW38/1000</x:f>
      </x:c>
      <x:c r="FX39" s="107" t="n">
        <x:f>FX37*FX38/1000</x:f>
      </x:c>
      <x:c r="FY39" s="107" t="n">
        <x:f>FY37*FY38/1000</x:f>
      </x:c>
      <x:c r="FZ39" s="107" t="n">
        <x:f>FZ37*FZ38/1000</x:f>
      </x:c>
      <x:c r="GA39" s="107" t="n">
        <x:f>GA37*GA38/1000</x:f>
      </x:c>
    </x:row>
    <x:row r="40">
      <x:c r="A40" t="str">
        <x:v>Коммерция — объём</x:v>
      </x:c>
      <x:c r="B40" t="n">
        <x:f>SUM(D40:GA40)</x:f>
      </x:c>
      <x:c r="C40" t="str">
        <x:v>м²</x:v>
      </x:c>
      <x:c r="D40" s="107" t="n">
        <x:f>'Вводные'!$M$89*((IF(SUM($D32:$GA32)=0,0,IF(SUM($D35:$GA35)=0,1,'Вводные'!$B$63)))*D34+(1-(IF(SUM($D32:$GA32)=0,0,IF(SUM($D35:$GA35)=0,1,'Вводные'!$B$63))))*D36)</x:f>
      </x:c>
      <x:c r="E40" s="107" t="n">
        <x:f>'Вводные'!$M$89*((IF(SUM($D32:$GA32)=0,0,IF(SUM($D35:$GA35)=0,1,'Вводные'!$B$63)))*E34+(1-(IF(SUM($D32:$GA32)=0,0,IF(SUM($D35:$GA35)=0,1,'Вводные'!$B$63))))*E36)</x:f>
      </x:c>
      <x:c r="F40" s="107" t="n">
        <x:f>'Вводные'!$M$89*((IF(SUM($D32:$GA32)=0,0,IF(SUM($D35:$GA35)=0,1,'Вводные'!$B$63)))*F34+(1-(IF(SUM($D32:$GA32)=0,0,IF(SUM($D35:$GA35)=0,1,'Вводные'!$B$63))))*F36)</x:f>
      </x:c>
      <x:c r="G40" s="107" t="n">
        <x:f>'Вводные'!$M$89*((IF(SUM($D32:$GA32)=0,0,IF(SUM($D35:$GA35)=0,1,'Вводные'!$B$63)))*G34+(1-(IF(SUM($D32:$GA32)=0,0,IF(SUM($D35:$GA35)=0,1,'Вводные'!$B$63))))*G36)</x:f>
      </x:c>
      <x:c r="H40" s="107" t="n">
        <x:f>'Вводные'!$M$89*((IF(SUM($D32:$GA32)=0,0,IF(SUM($D35:$GA35)=0,1,'Вводные'!$B$63)))*H34+(1-(IF(SUM($D32:$GA32)=0,0,IF(SUM($D35:$GA35)=0,1,'Вводные'!$B$63))))*H36)</x:f>
      </x:c>
      <x:c r="I40" s="107" t="n">
        <x:f>'Вводные'!$M$89*((IF(SUM($D32:$GA32)=0,0,IF(SUM($D35:$GA35)=0,1,'Вводные'!$B$63)))*I34+(1-(IF(SUM($D32:$GA32)=0,0,IF(SUM($D35:$GA35)=0,1,'Вводные'!$B$63))))*I36)</x:f>
      </x:c>
      <x:c r="J40" s="107" t="n">
        <x:f>'Вводные'!$M$89*((IF(SUM($D32:$GA32)=0,0,IF(SUM($D35:$GA35)=0,1,'Вводные'!$B$63)))*J34+(1-(IF(SUM($D32:$GA32)=0,0,IF(SUM($D35:$GA35)=0,1,'Вводные'!$B$63))))*J36)</x:f>
      </x:c>
      <x:c r="K40" s="107" t="n">
        <x:f>'Вводные'!$M$89*((IF(SUM($D32:$GA32)=0,0,IF(SUM($D35:$GA35)=0,1,'Вводные'!$B$63)))*K34+(1-(IF(SUM($D32:$GA32)=0,0,IF(SUM($D35:$GA35)=0,1,'Вводные'!$B$63))))*K36)</x:f>
      </x:c>
      <x:c r="L40" s="107" t="n">
        <x:f>'Вводные'!$M$89*((IF(SUM($D32:$GA32)=0,0,IF(SUM($D35:$GA35)=0,1,'Вводные'!$B$63)))*L34+(1-(IF(SUM($D32:$GA32)=0,0,IF(SUM($D35:$GA35)=0,1,'Вводные'!$B$63))))*L36)</x:f>
      </x:c>
      <x:c r="M40" s="107" t="n">
        <x:f>'Вводные'!$M$89*((IF(SUM($D32:$GA32)=0,0,IF(SUM($D35:$GA35)=0,1,'Вводные'!$B$63)))*M34+(1-(IF(SUM($D32:$GA32)=0,0,IF(SUM($D35:$GA35)=0,1,'Вводные'!$B$63))))*M36)</x:f>
      </x:c>
      <x:c r="N40" s="107" t="n">
        <x:f>'Вводные'!$M$89*((IF(SUM($D32:$GA32)=0,0,IF(SUM($D35:$GA35)=0,1,'Вводные'!$B$63)))*N34+(1-(IF(SUM($D32:$GA32)=0,0,IF(SUM($D35:$GA35)=0,1,'Вводные'!$B$63))))*N36)</x:f>
      </x:c>
      <x:c r="O40" s="107" t="n">
        <x:f>'Вводные'!$M$89*((IF(SUM($D32:$GA32)=0,0,IF(SUM($D35:$GA35)=0,1,'Вводные'!$B$63)))*O34+(1-(IF(SUM($D32:$GA32)=0,0,IF(SUM($D35:$GA35)=0,1,'Вводные'!$B$63))))*O36)</x:f>
      </x:c>
      <x:c r="P40" s="107" t="n">
        <x:f>'Вводные'!$M$89*((IF(SUM($D32:$GA32)=0,0,IF(SUM($D35:$GA35)=0,1,'Вводные'!$B$63)))*P34+(1-(IF(SUM($D32:$GA32)=0,0,IF(SUM($D35:$GA35)=0,1,'Вводные'!$B$63))))*P36)</x:f>
      </x:c>
      <x:c r="Q40" s="107" t="n">
        <x:f>'Вводные'!$M$89*((IF(SUM($D32:$GA32)=0,0,IF(SUM($D35:$GA35)=0,1,'Вводные'!$B$63)))*Q34+(1-(IF(SUM($D32:$GA32)=0,0,IF(SUM($D35:$GA35)=0,1,'Вводные'!$B$63))))*Q36)</x:f>
      </x:c>
      <x:c r="R40" s="107" t="n">
        <x:f>'Вводные'!$M$89*((IF(SUM($D32:$GA32)=0,0,IF(SUM($D35:$GA35)=0,1,'Вводные'!$B$63)))*R34+(1-(IF(SUM($D32:$GA32)=0,0,IF(SUM($D35:$GA35)=0,1,'Вводные'!$B$63))))*R36)</x:f>
      </x:c>
      <x:c r="S40" s="107" t="n">
        <x:f>'Вводные'!$M$89*((IF(SUM($D32:$GA32)=0,0,IF(SUM($D35:$GA35)=0,1,'Вводные'!$B$63)))*S34+(1-(IF(SUM($D32:$GA32)=0,0,IF(SUM($D35:$GA35)=0,1,'Вводные'!$B$63))))*S36)</x:f>
      </x:c>
      <x:c r="T40" s="107" t="n">
        <x:f>'Вводные'!$M$89*((IF(SUM($D32:$GA32)=0,0,IF(SUM($D35:$GA35)=0,1,'Вводные'!$B$63)))*T34+(1-(IF(SUM($D32:$GA32)=0,0,IF(SUM($D35:$GA35)=0,1,'Вводные'!$B$63))))*T36)</x:f>
      </x:c>
      <x:c r="U40" s="107" t="n">
        <x:f>'Вводные'!$M$89*((IF(SUM($D32:$GA32)=0,0,IF(SUM($D35:$GA35)=0,1,'Вводные'!$B$63)))*U34+(1-(IF(SUM($D32:$GA32)=0,0,IF(SUM($D35:$GA35)=0,1,'Вводные'!$B$63))))*U36)</x:f>
      </x:c>
      <x:c r="V40" s="107" t="n">
        <x:f>'Вводные'!$M$89*((IF(SUM($D32:$GA32)=0,0,IF(SUM($D35:$GA35)=0,1,'Вводные'!$B$63)))*V34+(1-(IF(SUM($D32:$GA32)=0,0,IF(SUM($D35:$GA35)=0,1,'Вводные'!$B$63))))*V36)</x:f>
      </x:c>
      <x:c r="W40" s="107" t="n">
        <x:f>'Вводные'!$M$89*((IF(SUM($D32:$GA32)=0,0,IF(SUM($D35:$GA35)=0,1,'Вводные'!$B$63)))*W34+(1-(IF(SUM($D32:$GA32)=0,0,IF(SUM($D35:$GA35)=0,1,'Вводные'!$B$63))))*W36)</x:f>
      </x:c>
      <x:c r="X40" s="107" t="n">
        <x:f>'Вводные'!$M$89*((IF(SUM($D32:$GA32)=0,0,IF(SUM($D35:$GA35)=0,1,'Вводные'!$B$63)))*X34+(1-(IF(SUM($D32:$GA32)=0,0,IF(SUM($D35:$GA35)=0,1,'Вводные'!$B$63))))*X36)</x:f>
      </x:c>
      <x:c r="Y40" s="107" t="n">
        <x:f>'Вводные'!$M$89*((IF(SUM($D32:$GA32)=0,0,IF(SUM($D35:$GA35)=0,1,'Вводные'!$B$63)))*Y34+(1-(IF(SUM($D32:$GA32)=0,0,IF(SUM($D35:$GA35)=0,1,'Вводные'!$B$63))))*Y36)</x:f>
      </x:c>
      <x:c r="Z40" s="107" t="n">
        <x:f>'Вводные'!$M$89*((IF(SUM($D32:$GA32)=0,0,IF(SUM($D35:$GA35)=0,1,'Вводные'!$B$63)))*Z34+(1-(IF(SUM($D32:$GA32)=0,0,IF(SUM($D35:$GA35)=0,1,'Вводные'!$B$63))))*Z36)</x:f>
      </x:c>
      <x:c r="AA40" s="107" t="n">
        <x:f>'Вводные'!$M$89*((IF(SUM($D32:$GA32)=0,0,IF(SUM($D35:$GA35)=0,1,'Вводные'!$B$63)))*AA34+(1-(IF(SUM($D32:$GA32)=0,0,IF(SUM($D35:$GA35)=0,1,'Вводные'!$B$63))))*AA36)</x:f>
      </x:c>
      <x:c r="AB40" s="107" t="n">
        <x:f>'Вводные'!$M$89*((IF(SUM($D32:$GA32)=0,0,IF(SUM($D35:$GA35)=0,1,'Вводные'!$B$63)))*AB34+(1-(IF(SUM($D32:$GA32)=0,0,IF(SUM($D35:$GA35)=0,1,'Вводные'!$B$63))))*AB36)</x:f>
      </x:c>
      <x:c r="AC40" s="107" t="n">
        <x:f>'Вводные'!$M$89*((IF(SUM($D32:$GA32)=0,0,IF(SUM($D35:$GA35)=0,1,'Вводные'!$B$63)))*AC34+(1-(IF(SUM($D32:$GA32)=0,0,IF(SUM($D35:$GA35)=0,1,'Вводные'!$B$63))))*AC36)</x:f>
      </x:c>
      <x:c r="AD40" s="107" t="n">
        <x:f>'Вводные'!$M$89*((IF(SUM($D32:$GA32)=0,0,IF(SUM($D35:$GA35)=0,1,'Вводные'!$B$63)))*AD34+(1-(IF(SUM($D32:$GA32)=0,0,IF(SUM($D35:$GA35)=0,1,'Вводные'!$B$63))))*AD36)</x:f>
      </x:c>
      <x:c r="AE40" s="107" t="n">
        <x:f>'Вводные'!$M$89*((IF(SUM($D32:$GA32)=0,0,IF(SUM($D35:$GA35)=0,1,'Вводные'!$B$63)))*AE34+(1-(IF(SUM($D32:$GA32)=0,0,IF(SUM($D35:$GA35)=0,1,'Вводные'!$B$63))))*AE36)</x:f>
      </x:c>
      <x:c r="AF40" s="107" t="n">
        <x:f>'Вводные'!$M$89*((IF(SUM($D32:$GA32)=0,0,IF(SUM($D35:$GA35)=0,1,'Вводные'!$B$63)))*AF34+(1-(IF(SUM($D32:$GA32)=0,0,IF(SUM($D35:$GA35)=0,1,'Вводные'!$B$63))))*AF36)</x:f>
      </x:c>
      <x:c r="AG40" s="107" t="n">
        <x:f>'Вводные'!$M$89*((IF(SUM($D32:$GA32)=0,0,IF(SUM($D35:$GA35)=0,1,'Вводные'!$B$63)))*AG34+(1-(IF(SUM($D32:$GA32)=0,0,IF(SUM($D35:$GA35)=0,1,'Вводные'!$B$63))))*AG36)</x:f>
      </x:c>
      <x:c r="AH40" s="107" t="n">
        <x:f>'Вводные'!$M$89*((IF(SUM($D32:$GA32)=0,0,IF(SUM($D35:$GA35)=0,1,'Вводные'!$B$63)))*AH34+(1-(IF(SUM($D32:$GA32)=0,0,IF(SUM($D35:$GA35)=0,1,'Вводные'!$B$63))))*AH36)</x:f>
      </x:c>
      <x:c r="AI40" s="107" t="n">
        <x:f>'Вводные'!$M$89*((IF(SUM($D32:$GA32)=0,0,IF(SUM($D35:$GA35)=0,1,'Вводные'!$B$63)))*AI34+(1-(IF(SUM($D32:$GA32)=0,0,IF(SUM($D35:$GA35)=0,1,'Вводные'!$B$63))))*AI36)</x:f>
      </x:c>
      <x:c r="AJ40" s="107" t="n">
        <x:f>'Вводные'!$M$89*((IF(SUM($D32:$GA32)=0,0,IF(SUM($D35:$GA35)=0,1,'Вводные'!$B$63)))*AJ34+(1-(IF(SUM($D32:$GA32)=0,0,IF(SUM($D35:$GA35)=0,1,'Вводные'!$B$63))))*AJ36)</x:f>
      </x:c>
      <x:c r="AK40" s="107" t="n">
        <x:f>'Вводные'!$M$89*((IF(SUM($D32:$GA32)=0,0,IF(SUM($D35:$GA35)=0,1,'Вводные'!$B$63)))*AK34+(1-(IF(SUM($D32:$GA32)=0,0,IF(SUM($D35:$GA35)=0,1,'Вводные'!$B$63))))*AK36)</x:f>
      </x:c>
      <x:c r="AL40" s="107" t="n">
        <x:f>'Вводные'!$M$89*((IF(SUM($D32:$GA32)=0,0,IF(SUM($D35:$GA35)=0,1,'Вводные'!$B$63)))*AL34+(1-(IF(SUM($D32:$GA32)=0,0,IF(SUM($D35:$GA35)=0,1,'Вводные'!$B$63))))*AL36)</x:f>
      </x:c>
      <x:c r="AM40" s="107" t="n">
        <x:f>'Вводные'!$M$89*((IF(SUM($D32:$GA32)=0,0,IF(SUM($D35:$GA35)=0,1,'Вводные'!$B$63)))*AM34+(1-(IF(SUM($D32:$GA32)=0,0,IF(SUM($D35:$GA35)=0,1,'Вводные'!$B$63))))*AM36)</x:f>
      </x:c>
      <x:c r="AN40" s="107" t="n">
        <x:f>'Вводные'!$M$89*((IF(SUM($D32:$GA32)=0,0,IF(SUM($D35:$GA35)=0,1,'Вводные'!$B$63)))*AN34+(1-(IF(SUM($D32:$GA32)=0,0,IF(SUM($D35:$GA35)=0,1,'Вводные'!$B$63))))*AN36)</x:f>
      </x:c>
      <x:c r="AO40" s="107" t="n">
        <x:f>'Вводные'!$M$89*((IF(SUM($D32:$GA32)=0,0,IF(SUM($D35:$GA35)=0,1,'Вводные'!$B$63)))*AO34+(1-(IF(SUM($D32:$GA32)=0,0,IF(SUM($D35:$GA35)=0,1,'Вводные'!$B$63))))*AO36)</x:f>
      </x:c>
      <x:c r="AP40" s="107" t="n">
        <x:f>'Вводные'!$M$89*((IF(SUM($D32:$GA32)=0,0,IF(SUM($D35:$GA35)=0,1,'Вводные'!$B$63)))*AP34+(1-(IF(SUM($D32:$GA32)=0,0,IF(SUM($D35:$GA35)=0,1,'Вводные'!$B$63))))*AP36)</x:f>
      </x:c>
      <x:c r="AQ40" s="107" t="n">
        <x:f>'Вводные'!$M$89*((IF(SUM($D32:$GA32)=0,0,IF(SUM($D35:$GA35)=0,1,'Вводные'!$B$63)))*AQ34+(1-(IF(SUM($D32:$GA32)=0,0,IF(SUM($D35:$GA35)=0,1,'Вводные'!$B$63))))*AQ36)</x:f>
      </x:c>
      <x:c r="AR40" s="107" t="n">
        <x:f>'Вводные'!$M$89*((IF(SUM($D32:$GA32)=0,0,IF(SUM($D35:$GA35)=0,1,'Вводные'!$B$63)))*AR34+(1-(IF(SUM($D32:$GA32)=0,0,IF(SUM($D35:$GA35)=0,1,'Вводные'!$B$63))))*AR36)</x:f>
      </x:c>
      <x:c r="AS40" s="107" t="n">
        <x:f>'Вводные'!$M$89*((IF(SUM($D32:$GA32)=0,0,IF(SUM($D35:$GA35)=0,1,'Вводные'!$B$63)))*AS34+(1-(IF(SUM($D32:$GA32)=0,0,IF(SUM($D35:$GA35)=0,1,'Вводные'!$B$63))))*AS36)</x:f>
      </x:c>
      <x:c r="AT40" s="107" t="n">
        <x:f>'Вводные'!$M$89*((IF(SUM($D32:$GA32)=0,0,IF(SUM($D35:$GA35)=0,1,'Вводные'!$B$63)))*AT34+(1-(IF(SUM($D32:$GA32)=0,0,IF(SUM($D35:$GA35)=0,1,'Вводные'!$B$63))))*AT36)</x:f>
      </x:c>
      <x:c r="AU40" s="107" t="n">
        <x:f>'Вводные'!$M$89*((IF(SUM($D32:$GA32)=0,0,IF(SUM($D35:$GA35)=0,1,'Вводные'!$B$63)))*AU34+(1-(IF(SUM($D32:$GA32)=0,0,IF(SUM($D35:$GA35)=0,1,'Вводные'!$B$63))))*AU36)</x:f>
      </x:c>
      <x:c r="AV40" s="107" t="n">
        <x:f>'Вводные'!$M$89*((IF(SUM($D32:$GA32)=0,0,IF(SUM($D35:$GA35)=0,1,'Вводные'!$B$63)))*AV34+(1-(IF(SUM($D32:$GA32)=0,0,IF(SUM($D35:$GA35)=0,1,'Вводные'!$B$63))))*AV36)</x:f>
      </x:c>
      <x:c r="AW40" s="107" t="n">
        <x:f>'Вводные'!$M$89*((IF(SUM($D32:$GA32)=0,0,IF(SUM($D35:$GA35)=0,1,'Вводные'!$B$63)))*AW34+(1-(IF(SUM($D32:$GA32)=0,0,IF(SUM($D35:$GA35)=0,1,'Вводные'!$B$63))))*AW36)</x:f>
      </x:c>
      <x:c r="AX40" s="107" t="n">
        <x:f>'Вводные'!$M$89*((IF(SUM($D32:$GA32)=0,0,IF(SUM($D35:$GA35)=0,1,'Вводные'!$B$63)))*AX34+(1-(IF(SUM($D32:$GA32)=0,0,IF(SUM($D35:$GA35)=0,1,'Вводные'!$B$63))))*AX36)</x:f>
      </x:c>
      <x:c r="AY40" s="107" t="n">
        <x:f>'Вводные'!$M$89*((IF(SUM($D32:$GA32)=0,0,IF(SUM($D35:$GA35)=0,1,'Вводные'!$B$63)))*AY34+(1-(IF(SUM($D32:$GA32)=0,0,IF(SUM($D35:$GA35)=0,1,'Вводные'!$B$63))))*AY36)</x:f>
      </x:c>
      <x:c r="AZ40" s="107" t="n">
        <x:f>'Вводные'!$M$89*((IF(SUM($D32:$GA32)=0,0,IF(SUM($D35:$GA35)=0,1,'Вводные'!$B$63)))*AZ34+(1-(IF(SUM($D32:$GA32)=0,0,IF(SUM($D35:$GA35)=0,1,'Вводные'!$B$63))))*AZ36)</x:f>
      </x:c>
      <x:c r="BA40" s="107" t="n">
        <x:f>'Вводные'!$M$89*((IF(SUM($D32:$GA32)=0,0,IF(SUM($D35:$GA35)=0,1,'Вводные'!$B$63)))*BA34+(1-(IF(SUM($D32:$GA32)=0,0,IF(SUM($D35:$GA35)=0,1,'Вводные'!$B$63))))*BA36)</x:f>
      </x:c>
      <x:c r="BB40" s="107" t="n">
        <x:f>'Вводные'!$M$89*((IF(SUM($D32:$GA32)=0,0,IF(SUM($D35:$GA35)=0,1,'Вводные'!$B$63)))*BB34+(1-(IF(SUM($D32:$GA32)=0,0,IF(SUM($D35:$GA35)=0,1,'Вводные'!$B$63))))*BB36)</x:f>
      </x:c>
      <x:c r="BC40" s="107" t="n">
        <x:f>'Вводные'!$M$89*((IF(SUM($D32:$GA32)=0,0,IF(SUM($D35:$GA35)=0,1,'Вводные'!$B$63)))*BC34+(1-(IF(SUM($D32:$GA32)=0,0,IF(SUM($D35:$GA35)=0,1,'Вводные'!$B$63))))*BC36)</x:f>
      </x:c>
      <x:c r="BD40" s="107" t="n">
        <x:f>'Вводные'!$M$89*((IF(SUM($D32:$GA32)=0,0,IF(SUM($D35:$GA35)=0,1,'Вводные'!$B$63)))*BD34+(1-(IF(SUM($D32:$GA32)=0,0,IF(SUM($D35:$GA35)=0,1,'Вводные'!$B$63))))*BD36)</x:f>
      </x:c>
      <x:c r="BE40" s="107" t="n">
        <x:f>'Вводные'!$M$89*((IF(SUM($D32:$GA32)=0,0,IF(SUM($D35:$GA35)=0,1,'Вводные'!$B$63)))*BE34+(1-(IF(SUM($D32:$GA32)=0,0,IF(SUM($D35:$GA35)=0,1,'Вводные'!$B$63))))*BE36)</x:f>
      </x:c>
      <x:c r="BF40" s="107" t="n">
        <x:f>'Вводные'!$M$89*((IF(SUM($D32:$GA32)=0,0,IF(SUM($D35:$GA35)=0,1,'Вводные'!$B$63)))*BF34+(1-(IF(SUM($D32:$GA32)=0,0,IF(SUM($D35:$GA35)=0,1,'Вводные'!$B$63))))*BF36)</x:f>
      </x:c>
      <x:c r="BG40" s="107" t="n">
        <x:f>'Вводные'!$M$89*((IF(SUM($D32:$GA32)=0,0,IF(SUM($D35:$GA35)=0,1,'Вводные'!$B$63)))*BG34+(1-(IF(SUM($D32:$GA32)=0,0,IF(SUM($D35:$GA35)=0,1,'Вводные'!$B$63))))*BG36)</x:f>
      </x:c>
      <x:c r="BH40" s="107" t="n">
        <x:f>'Вводные'!$M$89*((IF(SUM($D32:$GA32)=0,0,IF(SUM($D35:$GA35)=0,1,'Вводные'!$B$63)))*BH34+(1-(IF(SUM($D32:$GA32)=0,0,IF(SUM($D35:$GA35)=0,1,'Вводные'!$B$63))))*BH36)</x:f>
      </x:c>
      <x:c r="BI40" s="107" t="n">
        <x:f>'Вводные'!$M$89*((IF(SUM($D32:$GA32)=0,0,IF(SUM($D35:$GA35)=0,1,'Вводные'!$B$63)))*BI34+(1-(IF(SUM($D32:$GA32)=0,0,IF(SUM($D35:$GA35)=0,1,'Вводные'!$B$63))))*BI36)</x:f>
      </x:c>
      <x:c r="BJ40" s="107" t="n">
        <x:f>'Вводные'!$M$89*((IF(SUM($D32:$GA32)=0,0,IF(SUM($D35:$GA35)=0,1,'Вводные'!$B$63)))*BJ34+(1-(IF(SUM($D32:$GA32)=0,0,IF(SUM($D35:$GA35)=0,1,'Вводные'!$B$63))))*BJ36)</x:f>
      </x:c>
      <x:c r="BK40" s="107" t="n">
        <x:f>'Вводные'!$M$89*((IF(SUM($D32:$GA32)=0,0,IF(SUM($D35:$GA35)=0,1,'Вводные'!$B$63)))*BK34+(1-(IF(SUM($D32:$GA32)=0,0,IF(SUM($D35:$GA35)=0,1,'Вводные'!$B$63))))*BK36)</x:f>
      </x:c>
      <x:c r="BL40" s="107" t="n">
        <x:f>'Вводные'!$M$89*((IF(SUM($D32:$GA32)=0,0,IF(SUM($D35:$GA35)=0,1,'Вводные'!$B$63)))*BL34+(1-(IF(SUM($D32:$GA32)=0,0,IF(SUM($D35:$GA35)=0,1,'Вводные'!$B$63))))*BL36)</x:f>
      </x:c>
      <x:c r="BM40" s="107" t="n">
        <x:f>'Вводные'!$M$89*((IF(SUM($D32:$GA32)=0,0,IF(SUM($D35:$GA35)=0,1,'Вводные'!$B$63)))*BM34+(1-(IF(SUM($D32:$GA32)=0,0,IF(SUM($D35:$GA35)=0,1,'Вводные'!$B$63))))*BM36)</x:f>
      </x:c>
      <x:c r="BN40" s="107" t="n">
        <x:f>'Вводные'!$M$89*((IF(SUM($D32:$GA32)=0,0,IF(SUM($D35:$GA35)=0,1,'Вводные'!$B$63)))*BN34+(1-(IF(SUM($D32:$GA32)=0,0,IF(SUM($D35:$GA35)=0,1,'Вводные'!$B$63))))*BN36)</x:f>
      </x:c>
      <x:c r="BO40" s="107" t="n">
        <x:f>'Вводные'!$M$89*((IF(SUM($D32:$GA32)=0,0,IF(SUM($D35:$GA35)=0,1,'Вводные'!$B$63)))*BO34+(1-(IF(SUM($D32:$GA32)=0,0,IF(SUM($D35:$GA35)=0,1,'Вводные'!$B$63))))*BO36)</x:f>
      </x:c>
      <x:c r="BP40" s="107" t="n">
        <x:f>'Вводные'!$M$89*((IF(SUM($D32:$GA32)=0,0,IF(SUM($D35:$GA35)=0,1,'Вводные'!$B$63)))*BP34+(1-(IF(SUM($D32:$GA32)=0,0,IF(SUM($D35:$GA35)=0,1,'Вводные'!$B$63))))*BP36)</x:f>
      </x:c>
      <x:c r="BQ40" s="107" t="n">
        <x:f>'Вводные'!$M$89*((IF(SUM($D32:$GA32)=0,0,IF(SUM($D35:$GA35)=0,1,'Вводные'!$B$63)))*BQ34+(1-(IF(SUM($D32:$GA32)=0,0,IF(SUM($D35:$GA35)=0,1,'Вводные'!$B$63))))*BQ36)</x:f>
      </x:c>
      <x:c r="BR40" s="107" t="n">
        <x:f>'Вводные'!$M$89*((IF(SUM($D32:$GA32)=0,0,IF(SUM($D35:$GA35)=0,1,'Вводные'!$B$63)))*BR34+(1-(IF(SUM($D32:$GA32)=0,0,IF(SUM($D35:$GA35)=0,1,'Вводные'!$B$63))))*BR36)</x:f>
      </x:c>
      <x:c r="BS40" s="107" t="n">
        <x:f>'Вводные'!$M$89*((IF(SUM($D32:$GA32)=0,0,IF(SUM($D35:$GA35)=0,1,'Вводные'!$B$63)))*BS34+(1-(IF(SUM($D32:$GA32)=0,0,IF(SUM($D35:$GA35)=0,1,'Вводные'!$B$63))))*BS36)</x:f>
      </x:c>
      <x:c r="BT40" s="107" t="n">
        <x:f>'Вводные'!$M$89*((IF(SUM($D32:$GA32)=0,0,IF(SUM($D35:$GA35)=0,1,'Вводные'!$B$63)))*BT34+(1-(IF(SUM($D32:$GA32)=0,0,IF(SUM($D35:$GA35)=0,1,'Вводные'!$B$63))))*BT36)</x:f>
      </x:c>
      <x:c r="BU40" s="107" t="n">
        <x:f>'Вводные'!$M$89*((IF(SUM($D32:$GA32)=0,0,IF(SUM($D35:$GA35)=0,1,'Вводные'!$B$63)))*BU34+(1-(IF(SUM($D32:$GA32)=0,0,IF(SUM($D35:$GA35)=0,1,'Вводные'!$B$63))))*BU36)</x:f>
      </x:c>
      <x:c r="BV40" s="107" t="n">
        <x:f>'Вводные'!$M$89*((IF(SUM($D32:$GA32)=0,0,IF(SUM($D35:$GA35)=0,1,'Вводные'!$B$63)))*BV34+(1-(IF(SUM($D32:$GA32)=0,0,IF(SUM($D35:$GA35)=0,1,'Вводные'!$B$63))))*BV36)</x:f>
      </x:c>
      <x:c r="BW40" s="107" t="n">
        <x:f>'Вводные'!$M$89*((IF(SUM($D32:$GA32)=0,0,IF(SUM($D35:$GA35)=0,1,'Вводные'!$B$63)))*BW34+(1-(IF(SUM($D32:$GA32)=0,0,IF(SUM($D35:$GA35)=0,1,'Вводные'!$B$63))))*BW36)</x:f>
      </x:c>
      <x:c r="BX40" s="107" t="n">
        <x:f>'Вводные'!$M$89*((IF(SUM($D32:$GA32)=0,0,IF(SUM($D35:$GA35)=0,1,'Вводные'!$B$63)))*BX34+(1-(IF(SUM($D32:$GA32)=0,0,IF(SUM($D35:$GA35)=0,1,'Вводные'!$B$63))))*BX36)</x:f>
      </x:c>
      <x:c r="BY40" s="107" t="n">
        <x:f>'Вводные'!$M$89*((IF(SUM($D32:$GA32)=0,0,IF(SUM($D35:$GA35)=0,1,'Вводные'!$B$63)))*BY34+(1-(IF(SUM($D32:$GA32)=0,0,IF(SUM($D35:$GA35)=0,1,'Вводные'!$B$63))))*BY36)</x:f>
      </x:c>
      <x:c r="BZ40" s="107" t="n">
        <x:f>'Вводные'!$M$89*((IF(SUM($D32:$GA32)=0,0,IF(SUM($D35:$GA35)=0,1,'Вводные'!$B$63)))*BZ34+(1-(IF(SUM($D32:$GA32)=0,0,IF(SUM($D35:$GA35)=0,1,'Вводные'!$B$63))))*BZ36)</x:f>
      </x:c>
      <x:c r="CA40" s="107" t="n">
        <x:f>'Вводные'!$M$89*((IF(SUM($D32:$GA32)=0,0,IF(SUM($D35:$GA35)=0,1,'Вводные'!$B$63)))*CA34+(1-(IF(SUM($D32:$GA32)=0,0,IF(SUM($D35:$GA35)=0,1,'Вводные'!$B$63))))*CA36)</x:f>
      </x:c>
      <x:c r="CB40" s="107" t="n">
        <x:f>'Вводные'!$M$89*((IF(SUM($D32:$GA32)=0,0,IF(SUM($D35:$GA35)=0,1,'Вводные'!$B$63)))*CB34+(1-(IF(SUM($D32:$GA32)=0,0,IF(SUM($D35:$GA35)=0,1,'Вводные'!$B$63))))*CB36)</x:f>
      </x:c>
      <x:c r="CC40" s="107" t="n">
        <x:f>'Вводные'!$M$89*((IF(SUM($D32:$GA32)=0,0,IF(SUM($D35:$GA35)=0,1,'Вводные'!$B$63)))*CC34+(1-(IF(SUM($D32:$GA32)=0,0,IF(SUM($D35:$GA35)=0,1,'Вводные'!$B$63))))*CC36)</x:f>
      </x:c>
      <x:c r="CD40" s="107" t="n">
        <x:f>'Вводные'!$M$89*((IF(SUM($D32:$GA32)=0,0,IF(SUM($D35:$GA35)=0,1,'Вводные'!$B$63)))*CD34+(1-(IF(SUM($D32:$GA32)=0,0,IF(SUM($D35:$GA35)=0,1,'Вводные'!$B$63))))*CD36)</x:f>
      </x:c>
      <x:c r="CE40" s="107" t="n">
        <x:f>'Вводные'!$M$89*((IF(SUM($D32:$GA32)=0,0,IF(SUM($D35:$GA35)=0,1,'Вводные'!$B$63)))*CE34+(1-(IF(SUM($D32:$GA32)=0,0,IF(SUM($D35:$GA35)=0,1,'Вводные'!$B$63))))*CE36)</x:f>
      </x:c>
      <x:c r="CF40" s="107" t="n">
        <x:f>'Вводные'!$M$89*((IF(SUM($D32:$GA32)=0,0,IF(SUM($D35:$GA35)=0,1,'Вводные'!$B$63)))*CF34+(1-(IF(SUM($D32:$GA32)=0,0,IF(SUM($D35:$GA35)=0,1,'Вводные'!$B$63))))*CF36)</x:f>
      </x:c>
      <x:c r="CG40" s="107" t="n">
        <x:f>'Вводные'!$M$89*((IF(SUM($D32:$GA32)=0,0,IF(SUM($D35:$GA35)=0,1,'Вводные'!$B$63)))*CG34+(1-(IF(SUM($D32:$GA32)=0,0,IF(SUM($D35:$GA35)=0,1,'Вводные'!$B$63))))*CG36)</x:f>
      </x:c>
      <x:c r="CH40" s="107" t="n">
        <x:f>'Вводные'!$M$89*((IF(SUM($D32:$GA32)=0,0,IF(SUM($D35:$GA35)=0,1,'Вводные'!$B$63)))*CH34+(1-(IF(SUM($D32:$GA32)=0,0,IF(SUM($D35:$GA35)=0,1,'Вводные'!$B$63))))*CH36)</x:f>
      </x:c>
      <x:c r="CI40" s="107" t="n">
        <x:f>'Вводные'!$M$89*((IF(SUM($D32:$GA32)=0,0,IF(SUM($D35:$GA35)=0,1,'Вводные'!$B$63)))*CI34+(1-(IF(SUM($D32:$GA32)=0,0,IF(SUM($D35:$GA35)=0,1,'Вводные'!$B$63))))*CI36)</x:f>
      </x:c>
      <x:c r="CJ40" s="107" t="n">
        <x:f>'Вводные'!$M$89*((IF(SUM($D32:$GA32)=0,0,IF(SUM($D35:$GA35)=0,1,'Вводные'!$B$63)))*CJ34+(1-(IF(SUM($D32:$GA32)=0,0,IF(SUM($D35:$GA35)=0,1,'Вводные'!$B$63))))*CJ36)</x:f>
      </x:c>
      <x:c r="CK40" s="107" t="n">
        <x:f>'Вводные'!$M$89*((IF(SUM($D32:$GA32)=0,0,IF(SUM($D35:$GA35)=0,1,'Вводные'!$B$63)))*CK34+(1-(IF(SUM($D32:$GA32)=0,0,IF(SUM($D35:$GA35)=0,1,'Вводные'!$B$63))))*CK36)</x:f>
      </x:c>
      <x:c r="CL40" s="107" t="n">
        <x:f>'Вводные'!$M$89*((IF(SUM($D32:$GA32)=0,0,IF(SUM($D35:$GA35)=0,1,'Вводные'!$B$63)))*CL34+(1-(IF(SUM($D32:$GA32)=0,0,IF(SUM($D35:$GA35)=0,1,'Вводные'!$B$63))))*CL36)</x:f>
      </x:c>
      <x:c r="CM40" s="107" t="n">
        <x:f>'Вводные'!$M$89*((IF(SUM($D32:$GA32)=0,0,IF(SUM($D35:$GA35)=0,1,'Вводные'!$B$63)))*CM34+(1-(IF(SUM($D32:$GA32)=0,0,IF(SUM($D35:$GA35)=0,1,'Вводные'!$B$63))))*CM36)</x:f>
      </x:c>
      <x:c r="CN40" s="107" t="n">
        <x:f>'Вводные'!$M$89*((IF(SUM($D32:$GA32)=0,0,IF(SUM($D35:$GA35)=0,1,'Вводные'!$B$63)))*CN34+(1-(IF(SUM($D32:$GA32)=0,0,IF(SUM($D35:$GA35)=0,1,'Вводные'!$B$63))))*CN36)</x:f>
      </x:c>
      <x:c r="CO40" s="107" t="n">
        <x:f>'Вводные'!$M$89*((IF(SUM($D32:$GA32)=0,0,IF(SUM($D35:$GA35)=0,1,'Вводные'!$B$63)))*CO34+(1-(IF(SUM($D32:$GA32)=0,0,IF(SUM($D35:$GA35)=0,1,'Вводные'!$B$63))))*CO36)</x:f>
      </x:c>
      <x:c r="CP40" s="107" t="n">
        <x:f>'Вводные'!$M$89*((IF(SUM($D32:$GA32)=0,0,IF(SUM($D35:$GA35)=0,1,'Вводные'!$B$63)))*CP34+(1-(IF(SUM($D32:$GA32)=0,0,IF(SUM($D35:$GA35)=0,1,'Вводные'!$B$63))))*CP36)</x:f>
      </x:c>
      <x:c r="CQ40" s="107" t="n">
        <x:f>'Вводные'!$M$89*((IF(SUM($D32:$GA32)=0,0,IF(SUM($D35:$GA35)=0,1,'Вводные'!$B$63)))*CQ34+(1-(IF(SUM($D32:$GA32)=0,0,IF(SUM($D35:$GA35)=0,1,'Вводные'!$B$63))))*CQ36)</x:f>
      </x:c>
      <x:c r="CR40" s="107" t="n">
        <x:f>'Вводные'!$M$89*((IF(SUM($D32:$GA32)=0,0,IF(SUM($D35:$GA35)=0,1,'Вводные'!$B$63)))*CR34+(1-(IF(SUM($D32:$GA32)=0,0,IF(SUM($D35:$GA35)=0,1,'Вводные'!$B$63))))*CR36)</x:f>
      </x:c>
      <x:c r="CS40" s="107" t="n">
        <x:f>'Вводные'!$M$89*((IF(SUM($D32:$GA32)=0,0,IF(SUM($D35:$GA35)=0,1,'Вводные'!$B$63)))*CS34+(1-(IF(SUM($D32:$GA32)=0,0,IF(SUM($D35:$GA35)=0,1,'Вводные'!$B$63))))*CS36)</x:f>
      </x:c>
      <x:c r="CT40" s="107" t="n">
        <x:f>'Вводные'!$M$89*((IF(SUM($D32:$GA32)=0,0,IF(SUM($D35:$GA35)=0,1,'Вводные'!$B$63)))*CT34+(1-(IF(SUM($D32:$GA32)=0,0,IF(SUM($D35:$GA35)=0,1,'Вводные'!$B$63))))*CT36)</x:f>
      </x:c>
      <x:c r="CU40" s="107" t="n">
        <x:f>'Вводные'!$M$89*((IF(SUM($D32:$GA32)=0,0,IF(SUM($D35:$GA35)=0,1,'Вводные'!$B$63)))*CU34+(1-(IF(SUM($D32:$GA32)=0,0,IF(SUM($D35:$GA35)=0,1,'Вводные'!$B$63))))*CU36)</x:f>
      </x:c>
      <x:c r="CV40" s="107" t="n">
        <x:f>'Вводные'!$M$89*((IF(SUM($D32:$GA32)=0,0,IF(SUM($D35:$GA35)=0,1,'Вводные'!$B$63)))*CV34+(1-(IF(SUM($D32:$GA32)=0,0,IF(SUM($D35:$GA35)=0,1,'Вводные'!$B$63))))*CV36)</x:f>
      </x:c>
      <x:c r="CW40" s="107" t="n">
        <x:f>'Вводные'!$M$89*((IF(SUM($D32:$GA32)=0,0,IF(SUM($D35:$GA35)=0,1,'Вводные'!$B$63)))*CW34+(1-(IF(SUM($D32:$GA32)=0,0,IF(SUM($D35:$GA35)=0,1,'Вводные'!$B$63))))*CW36)</x:f>
      </x:c>
      <x:c r="CX40" s="107" t="n">
        <x:f>'Вводные'!$M$89*((IF(SUM($D32:$GA32)=0,0,IF(SUM($D35:$GA35)=0,1,'Вводные'!$B$63)))*CX34+(1-(IF(SUM($D32:$GA32)=0,0,IF(SUM($D35:$GA35)=0,1,'Вводные'!$B$63))))*CX36)</x:f>
      </x:c>
      <x:c r="CY40" s="107" t="n">
        <x:f>'Вводные'!$M$89*((IF(SUM($D32:$GA32)=0,0,IF(SUM($D35:$GA35)=0,1,'Вводные'!$B$63)))*CY34+(1-(IF(SUM($D32:$GA32)=0,0,IF(SUM($D35:$GA35)=0,1,'Вводные'!$B$63))))*CY36)</x:f>
      </x:c>
      <x:c r="CZ40" s="107" t="n">
        <x:f>'Вводные'!$M$89*((IF(SUM($D32:$GA32)=0,0,IF(SUM($D35:$GA35)=0,1,'Вводные'!$B$63)))*CZ34+(1-(IF(SUM($D32:$GA32)=0,0,IF(SUM($D35:$GA35)=0,1,'Вводные'!$B$63))))*CZ36)</x:f>
      </x:c>
      <x:c r="DA40" s="107" t="n">
        <x:f>'Вводные'!$M$89*((IF(SUM($D32:$GA32)=0,0,IF(SUM($D35:$GA35)=0,1,'Вводные'!$B$63)))*DA34+(1-(IF(SUM($D32:$GA32)=0,0,IF(SUM($D35:$GA35)=0,1,'Вводные'!$B$63))))*DA36)</x:f>
      </x:c>
      <x:c r="DB40" s="107" t="n">
        <x:f>'Вводные'!$M$89*((IF(SUM($D32:$GA32)=0,0,IF(SUM($D35:$GA35)=0,1,'Вводные'!$B$63)))*DB34+(1-(IF(SUM($D32:$GA32)=0,0,IF(SUM($D35:$GA35)=0,1,'Вводные'!$B$63))))*DB36)</x:f>
      </x:c>
      <x:c r="DC40" s="107" t="n">
        <x:f>'Вводные'!$M$89*((IF(SUM($D32:$GA32)=0,0,IF(SUM($D35:$GA35)=0,1,'Вводные'!$B$63)))*DC34+(1-(IF(SUM($D32:$GA32)=0,0,IF(SUM($D35:$GA35)=0,1,'Вводные'!$B$63))))*DC36)</x:f>
      </x:c>
      <x:c r="DD40" s="107" t="n">
        <x:f>'Вводные'!$M$89*((IF(SUM($D32:$GA32)=0,0,IF(SUM($D35:$GA35)=0,1,'Вводные'!$B$63)))*DD34+(1-(IF(SUM($D32:$GA32)=0,0,IF(SUM($D35:$GA35)=0,1,'Вводные'!$B$63))))*DD36)</x:f>
      </x:c>
      <x:c r="DE40" s="107" t="n">
        <x:f>'Вводные'!$M$89*((IF(SUM($D32:$GA32)=0,0,IF(SUM($D35:$GA35)=0,1,'Вводные'!$B$63)))*DE34+(1-(IF(SUM($D32:$GA32)=0,0,IF(SUM($D35:$GA35)=0,1,'Вводные'!$B$63))))*DE36)</x:f>
      </x:c>
      <x:c r="DF40" s="107" t="n">
        <x:f>'Вводные'!$M$89*((IF(SUM($D32:$GA32)=0,0,IF(SUM($D35:$GA35)=0,1,'Вводные'!$B$63)))*DF34+(1-(IF(SUM($D32:$GA32)=0,0,IF(SUM($D35:$GA35)=0,1,'Вводные'!$B$63))))*DF36)</x:f>
      </x:c>
      <x:c r="DG40" s="107" t="n">
        <x:f>'Вводные'!$M$89*((IF(SUM($D32:$GA32)=0,0,IF(SUM($D35:$GA35)=0,1,'Вводные'!$B$63)))*DG34+(1-(IF(SUM($D32:$GA32)=0,0,IF(SUM($D35:$GA35)=0,1,'Вводные'!$B$63))))*DG36)</x:f>
      </x:c>
      <x:c r="DH40" s="107" t="n">
        <x:f>'Вводные'!$M$89*((IF(SUM($D32:$GA32)=0,0,IF(SUM($D35:$GA35)=0,1,'Вводные'!$B$63)))*DH34+(1-(IF(SUM($D32:$GA32)=0,0,IF(SUM($D35:$GA35)=0,1,'Вводные'!$B$63))))*DH36)</x:f>
      </x:c>
      <x:c r="DI40" s="107" t="n">
        <x:f>'Вводные'!$M$89*((IF(SUM($D32:$GA32)=0,0,IF(SUM($D35:$GA35)=0,1,'Вводные'!$B$63)))*DI34+(1-(IF(SUM($D32:$GA32)=0,0,IF(SUM($D35:$GA35)=0,1,'Вводные'!$B$63))))*DI36)</x:f>
      </x:c>
      <x:c r="DJ40" s="107" t="n">
        <x:f>'Вводные'!$M$89*((IF(SUM($D32:$GA32)=0,0,IF(SUM($D35:$GA35)=0,1,'Вводные'!$B$63)))*DJ34+(1-(IF(SUM($D32:$GA32)=0,0,IF(SUM($D35:$GA35)=0,1,'Вводные'!$B$63))))*DJ36)</x:f>
      </x:c>
      <x:c r="DK40" s="107" t="n">
        <x:f>'Вводные'!$M$89*((IF(SUM($D32:$GA32)=0,0,IF(SUM($D35:$GA35)=0,1,'Вводные'!$B$63)))*DK34+(1-(IF(SUM($D32:$GA32)=0,0,IF(SUM($D35:$GA35)=0,1,'Вводные'!$B$63))))*DK36)</x:f>
      </x:c>
      <x:c r="DL40" s="107" t="n">
        <x:f>'Вводные'!$M$89*((IF(SUM($D32:$GA32)=0,0,IF(SUM($D35:$GA35)=0,1,'Вводные'!$B$63)))*DL34+(1-(IF(SUM($D32:$GA32)=0,0,IF(SUM($D35:$GA35)=0,1,'Вводные'!$B$63))))*DL36)</x:f>
      </x:c>
      <x:c r="DM40" s="107" t="n">
        <x:f>'Вводные'!$M$89*((IF(SUM($D32:$GA32)=0,0,IF(SUM($D35:$GA35)=0,1,'Вводные'!$B$63)))*DM34+(1-(IF(SUM($D32:$GA32)=0,0,IF(SUM($D35:$GA35)=0,1,'Вводные'!$B$63))))*DM36)</x:f>
      </x:c>
      <x:c r="DN40" s="107" t="n">
        <x:f>'Вводные'!$M$89*((IF(SUM($D32:$GA32)=0,0,IF(SUM($D35:$GA35)=0,1,'Вводные'!$B$63)))*DN34+(1-(IF(SUM($D32:$GA32)=0,0,IF(SUM($D35:$GA35)=0,1,'Вводные'!$B$63))))*DN36)</x:f>
      </x:c>
      <x:c r="DO40" s="107" t="n">
        <x:f>'Вводные'!$M$89*((IF(SUM($D32:$GA32)=0,0,IF(SUM($D35:$GA35)=0,1,'Вводные'!$B$63)))*DO34+(1-(IF(SUM($D32:$GA32)=0,0,IF(SUM($D35:$GA35)=0,1,'Вводные'!$B$63))))*DO36)</x:f>
      </x:c>
      <x:c r="DP40" s="107" t="n">
        <x:f>'Вводные'!$M$89*((IF(SUM($D32:$GA32)=0,0,IF(SUM($D35:$GA35)=0,1,'Вводные'!$B$63)))*DP34+(1-(IF(SUM($D32:$GA32)=0,0,IF(SUM($D35:$GA35)=0,1,'Вводные'!$B$63))))*DP36)</x:f>
      </x:c>
      <x:c r="DQ40" s="107" t="n">
        <x:f>'Вводные'!$M$89*((IF(SUM($D32:$GA32)=0,0,IF(SUM($D35:$GA35)=0,1,'Вводные'!$B$63)))*DQ34+(1-(IF(SUM($D32:$GA32)=0,0,IF(SUM($D35:$GA35)=0,1,'Вводные'!$B$63))))*DQ36)</x:f>
      </x:c>
      <x:c r="DR40" s="107" t="n">
        <x:f>'Вводные'!$M$89*((IF(SUM($D32:$GA32)=0,0,IF(SUM($D35:$GA35)=0,1,'Вводные'!$B$63)))*DR34+(1-(IF(SUM($D32:$GA32)=0,0,IF(SUM($D35:$GA35)=0,1,'Вводные'!$B$63))))*DR36)</x:f>
      </x:c>
      <x:c r="DS40" s="107" t="n">
        <x:f>'Вводные'!$M$89*((IF(SUM($D32:$GA32)=0,0,IF(SUM($D35:$GA35)=0,1,'Вводные'!$B$63)))*DS34+(1-(IF(SUM($D32:$GA32)=0,0,IF(SUM($D35:$GA35)=0,1,'Вводные'!$B$63))))*DS36)</x:f>
      </x:c>
      <x:c r="DT40" s="107" t="n">
        <x:f>'Вводные'!$M$89*((IF(SUM($D32:$GA32)=0,0,IF(SUM($D35:$GA35)=0,1,'Вводные'!$B$63)))*DT34+(1-(IF(SUM($D32:$GA32)=0,0,IF(SUM($D35:$GA35)=0,1,'Вводные'!$B$63))))*DT36)</x:f>
      </x:c>
      <x:c r="DU40" s="107" t="n">
        <x:f>'Вводные'!$M$89*((IF(SUM($D32:$GA32)=0,0,IF(SUM($D35:$GA35)=0,1,'Вводные'!$B$63)))*DU34+(1-(IF(SUM($D32:$GA32)=0,0,IF(SUM($D35:$GA35)=0,1,'Вводные'!$B$63))))*DU36)</x:f>
      </x:c>
      <x:c r="DV40" s="107" t="n">
        <x:f>'Вводные'!$M$89*((IF(SUM($D32:$GA32)=0,0,IF(SUM($D35:$GA35)=0,1,'Вводные'!$B$63)))*DV34+(1-(IF(SUM($D32:$GA32)=0,0,IF(SUM($D35:$GA35)=0,1,'Вводные'!$B$63))))*DV36)</x:f>
      </x:c>
      <x:c r="DW40" s="107" t="n">
        <x:f>'Вводные'!$M$89*((IF(SUM($D32:$GA32)=0,0,IF(SUM($D35:$GA35)=0,1,'Вводные'!$B$63)))*DW34+(1-(IF(SUM($D32:$GA32)=0,0,IF(SUM($D35:$GA35)=0,1,'Вводные'!$B$63))))*DW36)</x:f>
      </x:c>
      <x:c r="DX40" s="107" t="n">
        <x:f>'Вводные'!$M$89*((IF(SUM($D32:$GA32)=0,0,IF(SUM($D35:$GA35)=0,1,'Вводные'!$B$63)))*DX34+(1-(IF(SUM($D32:$GA32)=0,0,IF(SUM($D35:$GA35)=0,1,'Вводные'!$B$63))))*DX36)</x:f>
      </x:c>
      <x:c r="DY40" s="107" t="n">
        <x:f>'Вводные'!$M$89*((IF(SUM($D32:$GA32)=0,0,IF(SUM($D35:$GA35)=0,1,'Вводные'!$B$63)))*DY34+(1-(IF(SUM($D32:$GA32)=0,0,IF(SUM($D35:$GA35)=0,1,'Вводные'!$B$63))))*DY36)</x:f>
      </x:c>
      <x:c r="DZ40" s="107" t="n">
        <x:f>'Вводные'!$M$89*((IF(SUM($D32:$GA32)=0,0,IF(SUM($D35:$GA35)=0,1,'Вводные'!$B$63)))*DZ34+(1-(IF(SUM($D32:$GA32)=0,0,IF(SUM($D35:$GA35)=0,1,'Вводные'!$B$63))))*DZ36)</x:f>
      </x:c>
      <x:c r="EA40" s="107" t="n">
        <x:f>'Вводные'!$M$89*((IF(SUM($D32:$GA32)=0,0,IF(SUM($D35:$GA35)=0,1,'Вводные'!$B$63)))*EA34+(1-(IF(SUM($D32:$GA32)=0,0,IF(SUM($D35:$GA35)=0,1,'Вводные'!$B$63))))*EA36)</x:f>
      </x:c>
      <x:c r="EB40" s="107" t="n">
        <x:f>'Вводные'!$M$89*((IF(SUM($D32:$GA32)=0,0,IF(SUM($D35:$GA35)=0,1,'Вводные'!$B$63)))*EB34+(1-(IF(SUM($D32:$GA32)=0,0,IF(SUM($D35:$GA35)=0,1,'Вводные'!$B$63))))*EB36)</x:f>
      </x:c>
      <x:c r="EC40" s="107" t="n">
        <x:f>'Вводные'!$M$89*((IF(SUM($D32:$GA32)=0,0,IF(SUM($D35:$GA35)=0,1,'Вводные'!$B$63)))*EC34+(1-(IF(SUM($D32:$GA32)=0,0,IF(SUM($D35:$GA35)=0,1,'Вводные'!$B$63))))*EC36)</x:f>
      </x:c>
      <x:c r="ED40" s="107" t="n">
        <x:f>'Вводные'!$M$89*((IF(SUM($D32:$GA32)=0,0,IF(SUM($D35:$GA35)=0,1,'Вводные'!$B$63)))*ED34+(1-(IF(SUM($D32:$GA32)=0,0,IF(SUM($D35:$GA35)=0,1,'Вводные'!$B$63))))*ED36)</x:f>
      </x:c>
      <x:c r="EE40" s="107" t="n">
        <x:f>'Вводные'!$M$89*((IF(SUM($D32:$GA32)=0,0,IF(SUM($D35:$GA35)=0,1,'Вводные'!$B$63)))*EE34+(1-(IF(SUM($D32:$GA32)=0,0,IF(SUM($D35:$GA35)=0,1,'Вводные'!$B$63))))*EE36)</x:f>
      </x:c>
      <x:c r="EF40" s="107" t="n">
        <x:f>'Вводные'!$M$89*((IF(SUM($D32:$GA32)=0,0,IF(SUM($D35:$GA35)=0,1,'Вводные'!$B$63)))*EF34+(1-(IF(SUM($D32:$GA32)=0,0,IF(SUM($D35:$GA35)=0,1,'Вводные'!$B$63))))*EF36)</x:f>
      </x:c>
      <x:c r="EG40" s="107" t="n">
        <x:f>'Вводные'!$M$89*((IF(SUM($D32:$GA32)=0,0,IF(SUM($D35:$GA35)=0,1,'Вводные'!$B$63)))*EG34+(1-(IF(SUM($D32:$GA32)=0,0,IF(SUM($D35:$GA35)=0,1,'Вводные'!$B$63))))*EG36)</x:f>
      </x:c>
      <x:c r="EH40" s="107" t="n">
        <x:f>'Вводные'!$M$89*((IF(SUM($D32:$GA32)=0,0,IF(SUM($D35:$GA35)=0,1,'Вводные'!$B$63)))*EH34+(1-(IF(SUM($D32:$GA32)=0,0,IF(SUM($D35:$GA35)=0,1,'Вводные'!$B$63))))*EH36)</x:f>
      </x:c>
      <x:c r="EI40" s="107" t="n">
        <x:f>'Вводные'!$M$89*((IF(SUM($D32:$GA32)=0,0,IF(SUM($D35:$GA35)=0,1,'Вводные'!$B$63)))*EI34+(1-(IF(SUM($D32:$GA32)=0,0,IF(SUM($D35:$GA35)=0,1,'Вводные'!$B$63))))*EI36)</x:f>
      </x:c>
      <x:c r="EJ40" s="107" t="n">
        <x:f>'Вводные'!$M$89*((IF(SUM($D32:$GA32)=0,0,IF(SUM($D35:$GA35)=0,1,'Вводные'!$B$63)))*EJ34+(1-(IF(SUM($D32:$GA32)=0,0,IF(SUM($D35:$GA35)=0,1,'Вводные'!$B$63))))*EJ36)</x:f>
      </x:c>
      <x:c r="EK40" s="107" t="n">
        <x:f>'Вводные'!$M$89*((IF(SUM($D32:$GA32)=0,0,IF(SUM($D35:$GA35)=0,1,'Вводные'!$B$63)))*EK34+(1-(IF(SUM($D32:$GA32)=0,0,IF(SUM($D35:$GA35)=0,1,'Вводные'!$B$63))))*EK36)</x:f>
      </x:c>
      <x:c r="EL40" s="107" t="n">
        <x:f>'Вводные'!$M$89*((IF(SUM($D32:$GA32)=0,0,IF(SUM($D35:$GA35)=0,1,'Вводные'!$B$63)))*EL34+(1-(IF(SUM($D32:$GA32)=0,0,IF(SUM($D35:$GA35)=0,1,'Вводные'!$B$63))))*EL36)</x:f>
      </x:c>
      <x:c r="EM40" s="107" t="n">
        <x:f>'Вводные'!$M$89*((IF(SUM($D32:$GA32)=0,0,IF(SUM($D35:$GA35)=0,1,'Вводные'!$B$63)))*EM34+(1-(IF(SUM($D32:$GA32)=0,0,IF(SUM($D35:$GA35)=0,1,'Вводные'!$B$63))))*EM36)</x:f>
      </x:c>
      <x:c r="EN40" s="107" t="n">
        <x:f>'Вводные'!$M$89*((IF(SUM($D32:$GA32)=0,0,IF(SUM($D35:$GA35)=0,1,'Вводные'!$B$63)))*EN34+(1-(IF(SUM($D32:$GA32)=0,0,IF(SUM($D35:$GA35)=0,1,'Вводные'!$B$63))))*EN36)</x:f>
      </x:c>
      <x:c r="EO40" s="107" t="n">
        <x:f>'Вводные'!$M$89*((IF(SUM($D32:$GA32)=0,0,IF(SUM($D35:$GA35)=0,1,'Вводные'!$B$63)))*EO34+(1-(IF(SUM($D32:$GA32)=0,0,IF(SUM($D35:$GA35)=0,1,'Вводные'!$B$63))))*EO36)</x:f>
      </x:c>
      <x:c r="EP40" s="107" t="n">
        <x:f>'Вводные'!$M$89*((IF(SUM($D32:$GA32)=0,0,IF(SUM($D35:$GA35)=0,1,'Вводные'!$B$63)))*EP34+(1-(IF(SUM($D32:$GA32)=0,0,IF(SUM($D35:$GA35)=0,1,'Вводные'!$B$63))))*EP36)</x:f>
      </x:c>
      <x:c r="EQ40" s="107" t="n">
        <x:f>'Вводные'!$M$89*((IF(SUM($D32:$GA32)=0,0,IF(SUM($D35:$GA35)=0,1,'Вводные'!$B$63)))*EQ34+(1-(IF(SUM($D32:$GA32)=0,0,IF(SUM($D35:$GA35)=0,1,'Вводные'!$B$63))))*EQ36)</x:f>
      </x:c>
      <x:c r="ER40" s="107" t="n">
        <x:f>'Вводные'!$M$89*((IF(SUM($D32:$GA32)=0,0,IF(SUM($D35:$GA35)=0,1,'Вводные'!$B$63)))*ER34+(1-(IF(SUM($D32:$GA32)=0,0,IF(SUM($D35:$GA35)=0,1,'Вводные'!$B$63))))*ER36)</x:f>
      </x:c>
      <x:c r="ES40" s="107" t="n">
        <x:f>'Вводные'!$M$89*((IF(SUM($D32:$GA32)=0,0,IF(SUM($D35:$GA35)=0,1,'Вводные'!$B$63)))*ES34+(1-(IF(SUM($D32:$GA32)=0,0,IF(SUM($D35:$GA35)=0,1,'Вводные'!$B$63))))*ES36)</x:f>
      </x:c>
      <x:c r="ET40" s="107" t="n">
        <x:f>'Вводные'!$M$89*((IF(SUM($D32:$GA32)=0,0,IF(SUM($D35:$GA35)=0,1,'Вводные'!$B$63)))*ET34+(1-(IF(SUM($D32:$GA32)=0,0,IF(SUM($D35:$GA35)=0,1,'Вводные'!$B$63))))*ET36)</x:f>
      </x:c>
      <x:c r="EU40" s="107" t="n">
        <x:f>'Вводные'!$M$89*((IF(SUM($D32:$GA32)=0,0,IF(SUM($D35:$GA35)=0,1,'Вводные'!$B$63)))*EU34+(1-(IF(SUM($D32:$GA32)=0,0,IF(SUM($D35:$GA35)=0,1,'Вводные'!$B$63))))*EU36)</x:f>
      </x:c>
      <x:c r="EV40" s="107" t="n">
        <x:f>'Вводные'!$M$89*((IF(SUM($D32:$GA32)=0,0,IF(SUM($D35:$GA35)=0,1,'Вводные'!$B$63)))*EV34+(1-(IF(SUM($D32:$GA32)=0,0,IF(SUM($D35:$GA35)=0,1,'Вводные'!$B$63))))*EV36)</x:f>
      </x:c>
      <x:c r="EW40" s="107" t="n">
        <x:f>'Вводные'!$M$89*((IF(SUM($D32:$GA32)=0,0,IF(SUM($D35:$GA35)=0,1,'Вводные'!$B$63)))*EW34+(1-(IF(SUM($D32:$GA32)=0,0,IF(SUM($D35:$GA35)=0,1,'Вводные'!$B$63))))*EW36)</x:f>
      </x:c>
      <x:c r="EX40" s="107" t="n">
        <x:f>'Вводные'!$M$89*((IF(SUM($D32:$GA32)=0,0,IF(SUM($D35:$GA35)=0,1,'Вводные'!$B$63)))*EX34+(1-(IF(SUM($D32:$GA32)=0,0,IF(SUM($D35:$GA35)=0,1,'Вводные'!$B$63))))*EX36)</x:f>
      </x:c>
      <x:c r="EY40" s="107" t="n">
        <x:f>'Вводные'!$M$89*((IF(SUM($D32:$GA32)=0,0,IF(SUM($D35:$GA35)=0,1,'Вводные'!$B$63)))*EY34+(1-(IF(SUM($D32:$GA32)=0,0,IF(SUM($D35:$GA35)=0,1,'Вводные'!$B$63))))*EY36)</x:f>
      </x:c>
      <x:c r="EZ40" s="107" t="n">
        <x:f>'Вводные'!$M$89*((IF(SUM($D32:$GA32)=0,0,IF(SUM($D35:$GA35)=0,1,'Вводные'!$B$63)))*EZ34+(1-(IF(SUM($D32:$GA32)=0,0,IF(SUM($D35:$GA35)=0,1,'Вводные'!$B$63))))*EZ36)</x:f>
      </x:c>
      <x:c r="FA40" s="107" t="n">
        <x:f>'Вводные'!$M$89*((IF(SUM($D32:$GA32)=0,0,IF(SUM($D35:$GA35)=0,1,'Вводные'!$B$63)))*FA34+(1-(IF(SUM($D32:$GA32)=0,0,IF(SUM($D35:$GA35)=0,1,'Вводные'!$B$63))))*FA36)</x:f>
      </x:c>
      <x:c r="FB40" s="107" t="n">
        <x:f>'Вводные'!$M$89*((IF(SUM($D32:$GA32)=0,0,IF(SUM($D35:$GA35)=0,1,'Вводные'!$B$63)))*FB34+(1-(IF(SUM($D32:$GA32)=0,0,IF(SUM($D35:$GA35)=0,1,'Вводные'!$B$63))))*FB36)</x:f>
      </x:c>
      <x:c r="FC40" s="107" t="n">
        <x:f>'Вводные'!$M$89*((IF(SUM($D32:$GA32)=0,0,IF(SUM($D35:$GA35)=0,1,'Вводные'!$B$63)))*FC34+(1-(IF(SUM($D32:$GA32)=0,0,IF(SUM($D35:$GA35)=0,1,'Вводные'!$B$63))))*FC36)</x:f>
      </x:c>
      <x:c r="FD40" s="107" t="n">
        <x:f>'Вводные'!$M$89*((IF(SUM($D32:$GA32)=0,0,IF(SUM($D35:$GA35)=0,1,'Вводные'!$B$63)))*FD34+(1-(IF(SUM($D32:$GA32)=0,0,IF(SUM($D35:$GA35)=0,1,'Вводные'!$B$63))))*FD36)</x:f>
      </x:c>
      <x:c r="FE40" s="107" t="n">
        <x:f>'Вводные'!$M$89*((IF(SUM($D32:$GA32)=0,0,IF(SUM($D35:$GA35)=0,1,'Вводные'!$B$63)))*FE34+(1-(IF(SUM($D32:$GA32)=0,0,IF(SUM($D35:$GA35)=0,1,'Вводные'!$B$63))))*FE36)</x:f>
      </x:c>
      <x:c r="FF40" s="107" t="n">
        <x:f>'Вводные'!$M$89*((IF(SUM($D32:$GA32)=0,0,IF(SUM($D35:$GA35)=0,1,'Вводные'!$B$63)))*FF34+(1-(IF(SUM($D32:$GA32)=0,0,IF(SUM($D35:$GA35)=0,1,'Вводные'!$B$63))))*FF36)</x:f>
      </x:c>
      <x:c r="FG40" s="107" t="n">
        <x:f>'Вводные'!$M$89*((IF(SUM($D32:$GA32)=0,0,IF(SUM($D35:$GA35)=0,1,'Вводные'!$B$63)))*FG34+(1-(IF(SUM($D32:$GA32)=0,0,IF(SUM($D35:$GA35)=0,1,'Вводные'!$B$63))))*FG36)</x:f>
      </x:c>
      <x:c r="FH40" s="107" t="n">
        <x:f>'Вводные'!$M$89*((IF(SUM($D32:$GA32)=0,0,IF(SUM($D35:$GA35)=0,1,'Вводные'!$B$63)))*FH34+(1-(IF(SUM($D32:$GA32)=0,0,IF(SUM($D35:$GA35)=0,1,'Вводные'!$B$63))))*FH36)</x:f>
      </x:c>
      <x:c r="FI40" s="107" t="n">
        <x:f>'Вводные'!$M$89*((IF(SUM($D32:$GA32)=0,0,IF(SUM($D35:$GA35)=0,1,'Вводные'!$B$63)))*FI34+(1-(IF(SUM($D32:$GA32)=0,0,IF(SUM($D35:$GA35)=0,1,'Вводные'!$B$63))))*FI36)</x:f>
      </x:c>
      <x:c r="FJ40" s="107" t="n">
        <x:f>'Вводные'!$M$89*((IF(SUM($D32:$GA32)=0,0,IF(SUM($D35:$GA35)=0,1,'Вводные'!$B$63)))*FJ34+(1-(IF(SUM($D32:$GA32)=0,0,IF(SUM($D35:$GA35)=0,1,'Вводные'!$B$63))))*FJ36)</x:f>
      </x:c>
      <x:c r="FK40" s="107" t="n">
        <x:f>'Вводные'!$M$89*((IF(SUM($D32:$GA32)=0,0,IF(SUM($D35:$GA35)=0,1,'Вводные'!$B$63)))*FK34+(1-(IF(SUM($D32:$GA32)=0,0,IF(SUM($D35:$GA35)=0,1,'Вводные'!$B$63))))*FK36)</x:f>
      </x:c>
      <x:c r="FL40" s="107" t="n">
        <x:f>'Вводные'!$M$89*((IF(SUM($D32:$GA32)=0,0,IF(SUM($D35:$GA35)=0,1,'Вводные'!$B$63)))*FL34+(1-(IF(SUM($D32:$GA32)=0,0,IF(SUM($D35:$GA35)=0,1,'Вводные'!$B$63))))*FL36)</x:f>
      </x:c>
      <x:c r="FM40" s="107" t="n">
        <x:f>'Вводные'!$M$89*((IF(SUM($D32:$GA32)=0,0,IF(SUM($D35:$GA35)=0,1,'Вводные'!$B$63)))*FM34+(1-(IF(SUM($D32:$GA32)=0,0,IF(SUM($D35:$GA35)=0,1,'Вводные'!$B$63))))*FM36)</x:f>
      </x:c>
      <x:c r="FN40" s="107" t="n">
        <x:f>'Вводные'!$M$89*((IF(SUM($D32:$GA32)=0,0,IF(SUM($D35:$GA35)=0,1,'Вводные'!$B$63)))*FN34+(1-(IF(SUM($D32:$GA32)=0,0,IF(SUM($D35:$GA35)=0,1,'Вводные'!$B$63))))*FN36)</x:f>
      </x:c>
      <x:c r="FO40" s="107" t="n">
        <x:f>'Вводные'!$M$89*((IF(SUM($D32:$GA32)=0,0,IF(SUM($D35:$GA35)=0,1,'Вводные'!$B$63)))*FO34+(1-(IF(SUM($D32:$GA32)=0,0,IF(SUM($D35:$GA35)=0,1,'Вводные'!$B$63))))*FO36)</x:f>
      </x:c>
      <x:c r="FP40" s="107" t="n">
        <x:f>'Вводные'!$M$89*((IF(SUM($D32:$GA32)=0,0,IF(SUM($D35:$GA35)=0,1,'Вводные'!$B$63)))*FP34+(1-(IF(SUM($D32:$GA32)=0,0,IF(SUM($D35:$GA35)=0,1,'Вводные'!$B$63))))*FP36)</x:f>
      </x:c>
      <x:c r="FQ40" s="107" t="n">
        <x:f>'Вводные'!$M$89*((IF(SUM($D32:$GA32)=0,0,IF(SUM($D35:$GA35)=0,1,'Вводные'!$B$63)))*FQ34+(1-(IF(SUM($D32:$GA32)=0,0,IF(SUM($D35:$GA35)=0,1,'Вводные'!$B$63))))*FQ36)</x:f>
      </x:c>
      <x:c r="FR40" s="107" t="n">
        <x:f>'Вводные'!$M$89*((IF(SUM($D32:$GA32)=0,0,IF(SUM($D35:$GA35)=0,1,'Вводные'!$B$63)))*FR34+(1-(IF(SUM($D32:$GA32)=0,0,IF(SUM($D35:$GA35)=0,1,'Вводные'!$B$63))))*FR36)</x:f>
      </x:c>
      <x:c r="FS40" s="107" t="n">
        <x:f>'Вводные'!$M$89*((IF(SUM($D32:$GA32)=0,0,IF(SUM($D35:$GA35)=0,1,'Вводные'!$B$63)))*FS34+(1-(IF(SUM($D32:$GA32)=0,0,IF(SUM($D35:$GA35)=0,1,'Вводные'!$B$63))))*FS36)</x:f>
      </x:c>
      <x:c r="FT40" s="107" t="n">
        <x:f>'Вводные'!$M$89*((IF(SUM($D32:$GA32)=0,0,IF(SUM($D35:$GA35)=0,1,'Вводные'!$B$63)))*FT34+(1-(IF(SUM($D32:$GA32)=0,0,IF(SUM($D35:$GA35)=0,1,'Вводные'!$B$63))))*FT36)</x:f>
      </x:c>
      <x:c r="FU40" s="107" t="n">
        <x:f>'Вводные'!$M$89*((IF(SUM($D32:$GA32)=0,0,IF(SUM($D35:$GA35)=0,1,'Вводные'!$B$63)))*FU34+(1-(IF(SUM($D32:$GA32)=0,0,IF(SUM($D35:$GA35)=0,1,'Вводные'!$B$63))))*FU36)</x:f>
      </x:c>
      <x:c r="FV40" s="107" t="n">
        <x:f>'Вводные'!$M$89*((IF(SUM($D32:$GA32)=0,0,IF(SUM($D35:$GA35)=0,1,'Вводные'!$B$63)))*FV34+(1-(IF(SUM($D32:$GA32)=0,0,IF(SUM($D35:$GA35)=0,1,'Вводные'!$B$63))))*FV36)</x:f>
      </x:c>
      <x:c r="FW40" s="107" t="n">
        <x:f>'Вводные'!$M$89*((IF(SUM($D32:$GA32)=0,0,IF(SUM($D35:$GA35)=0,1,'Вводные'!$B$63)))*FW34+(1-(IF(SUM($D32:$GA32)=0,0,IF(SUM($D35:$GA35)=0,1,'Вводные'!$B$63))))*FW36)</x:f>
      </x:c>
      <x:c r="FX40" s="107" t="n">
        <x:f>'Вводные'!$M$89*((IF(SUM($D32:$GA32)=0,0,IF(SUM($D35:$GA35)=0,1,'Вводные'!$B$63)))*FX34+(1-(IF(SUM($D32:$GA32)=0,0,IF(SUM($D35:$GA35)=0,1,'Вводные'!$B$63))))*FX36)</x:f>
      </x:c>
      <x:c r="FY40" s="107" t="n">
        <x:f>'Вводные'!$M$89*((IF(SUM($D32:$GA32)=0,0,IF(SUM($D35:$GA35)=0,1,'Вводные'!$B$63)))*FY34+(1-(IF(SUM($D32:$GA32)=0,0,IF(SUM($D35:$GA35)=0,1,'Вводные'!$B$63))))*FY36)</x:f>
      </x:c>
      <x:c r="FZ40" s="107" t="n">
        <x:f>'Вводные'!$M$89*((IF(SUM($D32:$GA32)=0,0,IF(SUM($D35:$GA35)=0,1,'Вводные'!$B$63)))*FZ34+(1-(IF(SUM($D32:$GA32)=0,0,IF(SUM($D35:$GA35)=0,1,'Вводные'!$B$63))))*FZ36)</x:f>
      </x:c>
      <x:c r="GA40" s="107" t="n">
        <x:f>'Вводные'!$M$89*((IF(SUM($D32:$GA32)=0,0,IF(SUM($D35:$GA35)=0,1,'Вводные'!$B$63)))*GA34+(1-(IF(SUM($D32:$GA32)=0,0,IF(SUM($D35:$GA35)=0,1,'Вводные'!$B$63))))*GA36)</x:f>
      </x:c>
    </x:row>
    <x:row r="41">
      <x:c r="A41" t="str">
        <x:v>Коммерция — цена</x:v>
      </x:c>
      <x:c r="B41" t="n">
        <x:f>IFERROR(B42*1000/B40,0)</x:f>
      </x:c>
      <x:c r="C41" t="str">
        <x:v>тыс. ₽/м²</x:v>
      </x:c>
      <x:c r="D41" s="107" t="n">
        <x:f>IF(D40=0,0,'Вводные'!$B$60*'Вводные'!$S$89*'Вводные'!$H$5*'Вводные'!$AG$89*(1+'Вводные'!$B$64)^MAX(0,MIN((12*(YEAR(D$3)-YEAR($B$30))+MONTH(D$3)-MONTH($B$30)),(12*(YEAR($B$31)-YEAR($B$30))+MONTH($B$31)-MONTH($B$30))))*(1+'Вводные'!$B$65)^MAX(0,(12*(YEAR(D$3)-YEAR($B$31))+MONTH(D$3)-MONTH($B$31))))</x:f>
      </x:c>
      <x:c r="E41" s="107" t="n">
        <x:f>IF(E40=0,0,'Вводные'!$B$60*'Вводные'!$S$89*'Вводные'!$H$5*'Вводные'!$AG$89*(1+'Вводные'!$B$64)^MAX(0,MIN((12*(YEAR(E$3)-YEAR($B$30))+MONTH(E$3)-MONTH($B$30)),(12*(YEAR($B$31)-YEAR($B$30))+MONTH($B$31)-MONTH($B$30))))*(1+'Вводные'!$B$65)^MAX(0,(12*(YEAR(E$3)-YEAR($B$31))+MONTH(E$3)-MONTH($B$31))))</x:f>
      </x:c>
      <x:c r="F41" s="107" t="n">
        <x:f>IF(F40=0,0,'Вводные'!$B$60*'Вводные'!$S$89*'Вводные'!$H$5*'Вводные'!$AG$89*(1+'Вводные'!$B$64)^MAX(0,MIN((12*(YEAR(F$3)-YEAR($B$30))+MONTH(F$3)-MONTH($B$30)),(12*(YEAR($B$31)-YEAR($B$30))+MONTH($B$31)-MONTH($B$30))))*(1+'Вводные'!$B$65)^MAX(0,(12*(YEAR(F$3)-YEAR($B$31))+MONTH(F$3)-MONTH($B$31))))</x:f>
      </x:c>
      <x:c r="G41" s="107" t="n">
        <x:f>IF(G40=0,0,'Вводные'!$B$60*'Вводные'!$S$89*'Вводные'!$H$5*'Вводные'!$AG$89*(1+'Вводные'!$B$64)^MAX(0,MIN((12*(YEAR(G$3)-YEAR($B$30))+MONTH(G$3)-MONTH($B$30)),(12*(YEAR($B$31)-YEAR($B$30))+MONTH($B$31)-MONTH($B$30))))*(1+'Вводные'!$B$65)^MAX(0,(12*(YEAR(G$3)-YEAR($B$31))+MONTH(G$3)-MONTH($B$31))))</x:f>
      </x:c>
      <x:c r="H41" s="107" t="n">
        <x:f>IF(H40=0,0,'Вводные'!$B$60*'Вводные'!$S$89*'Вводные'!$H$5*'Вводные'!$AG$89*(1+'Вводные'!$B$64)^MAX(0,MIN((12*(YEAR(H$3)-YEAR($B$30))+MONTH(H$3)-MONTH($B$30)),(12*(YEAR($B$31)-YEAR($B$30))+MONTH($B$31)-MONTH($B$30))))*(1+'Вводные'!$B$65)^MAX(0,(12*(YEAR(H$3)-YEAR($B$31))+MONTH(H$3)-MONTH($B$31))))</x:f>
      </x:c>
      <x:c r="I41" s="107" t="n">
        <x:f>IF(I40=0,0,'Вводные'!$B$60*'Вводные'!$S$89*'Вводные'!$H$5*'Вводные'!$AG$89*(1+'Вводные'!$B$64)^MAX(0,MIN((12*(YEAR(I$3)-YEAR($B$30))+MONTH(I$3)-MONTH($B$30)),(12*(YEAR($B$31)-YEAR($B$30))+MONTH($B$31)-MONTH($B$30))))*(1+'Вводные'!$B$65)^MAX(0,(12*(YEAR(I$3)-YEAR($B$31))+MONTH(I$3)-MONTH($B$31))))</x:f>
      </x:c>
      <x:c r="J41" s="107" t="n">
        <x:f>IF(J40=0,0,'Вводные'!$B$60*'Вводные'!$S$89*'Вводные'!$H$5*'Вводные'!$AG$89*(1+'Вводные'!$B$64)^MAX(0,MIN((12*(YEAR(J$3)-YEAR($B$30))+MONTH(J$3)-MONTH($B$30)),(12*(YEAR($B$31)-YEAR($B$30))+MONTH($B$31)-MONTH($B$30))))*(1+'Вводные'!$B$65)^MAX(0,(12*(YEAR(J$3)-YEAR($B$31))+MONTH(J$3)-MONTH($B$31))))</x:f>
      </x:c>
      <x:c r="K41" s="107" t="n">
        <x:f>IF(K40=0,0,'Вводные'!$B$60*'Вводные'!$S$89*'Вводные'!$H$5*'Вводные'!$AG$89*(1+'Вводные'!$B$64)^MAX(0,MIN((12*(YEAR(K$3)-YEAR($B$30))+MONTH(K$3)-MONTH($B$30)),(12*(YEAR($B$31)-YEAR($B$30))+MONTH($B$31)-MONTH($B$30))))*(1+'Вводные'!$B$65)^MAX(0,(12*(YEAR(K$3)-YEAR($B$31))+MONTH(K$3)-MONTH($B$31))))</x:f>
      </x:c>
      <x:c r="L41" s="107" t="n">
        <x:f>IF(L40=0,0,'Вводные'!$B$60*'Вводные'!$S$89*'Вводные'!$H$5*'Вводные'!$AG$89*(1+'Вводные'!$B$64)^MAX(0,MIN((12*(YEAR(L$3)-YEAR($B$30))+MONTH(L$3)-MONTH($B$30)),(12*(YEAR($B$31)-YEAR($B$30))+MONTH($B$31)-MONTH($B$30))))*(1+'Вводные'!$B$65)^MAX(0,(12*(YEAR(L$3)-YEAR($B$31))+MONTH(L$3)-MONTH($B$31))))</x:f>
      </x:c>
      <x:c r="M41" s="107" t="n">
        <x:f>IF(M40=0,0,'Вводные'!$B$60*'Вводные'!$S$89*'Вводные'!$H$5*'Вводные'!$AG$89*(1+'Вводные'!$B$64)^MAX(0,MIN((12*(YEAR(M$3)-YEAR($B$30))+MONTH(M$3)-MONTH($B$30)),(12*(YEAR($B$31)-YEAR($B$30))+MONTH($B$31)-MONTH($B$30))))*(1+'Вводные'!$B$65)^MAX(0,(12*(YEAR(M$3)-YEAR($B$31))+MONTH(M$3)-MONTH($B$31))))</x:f>
      </x:c>
      <x:c r="N41" s="107" t="n">
        <x:f>IF(N40=0,0,'Вводные'!$B$60*'Вводные'!$S$89*'Вводные'!$H$5*'Вводные'!$AG$89*(1+'Вводные'!$B$64)^MAX(0,MIN((12*(YEAR(N$3)-YEAR($B$30))+MONTH(N$3)-MONTH($B$30)),(12*(YEAR($B$31)-YEAR($B$30))+MONTH($B$31)-MONTH($B$30))))*(1+'Вводные'!$B$65)^MAX(0,(12*(YEAR(N$3)-YEAR($B$31))+MONTH(N$3)-MONTH($B$31))))</x:f>
      </x:c>
      <x:c r="O41" s="107" t="n">
        <x:f>IF(O40=0,0,'Вводные'!$B$60*'Вводные'!$S$89*'Вводные'!$H$5*'Вводные'!$AG$89*(1+'Вводные'!$B$64)^MAX(0,MIN((12*(YEAR(O$3)-YEAR($B$30))+MONTH(O$3)-MONTH($B$30)),(12*(YEAR($B$31)-YEAR($B$30))+MONTH($B$31)-MONTH($B$30))))*(1+'Вводные'!$B$65)^MAX(0,(12*(YEAR(O$3)-YEAR($B$31))+MONTH(O$3)-MONTH($B$31))))</x:f>
      </x:c>
      <x:c r="P41" s="107" t="n">
        <x:f>IF(P40=0,0,'Вводные'!$B$60*'Вводные'!$S$89*'Вводные'!$H$5*'Вводные'!$AG$89*(1+'Вводные'!$B$64)^MAX(0,MIN((12*(YEAR(P$3)-YEAR($B$30))+MONTH(P$3)-MONTH($B$30)),(12*(YEAR($B$31)-YEAR($B$30))+MONTH($B$31)-MONTH($B$30))))*(1+'Вводные'!$B$65)^MAX(0,(12*(YEAR(P$3)-YEAR($B$31))+MONTH(P$3)-MONTH($B$31))))</x:f>
      </x:c>
      <x:c r="Q41" s="107" t="n">
        <x:f>IF(Q40=0,0,'Вводные'!$B$60*'Вводные'!$S$89*'Вводные'!$H$5*'Вводные'!$AG$89*(1+'Вводные'!$B$64)^MAX(0,MIN((12*(YEAR(Q$3)-YEAR($B$30))+MONTH(Q$3)-MONTH($B$30)),(12*(YEAR($B$31)-YEAR($B$30))+MONTH($B$31)-MONTH($B$30))))*(1+'Вводные'!$B$65)^MAX(0,(12*(YEAR(Q$3)-YEAR($B$31))+MONTH(Q$3)-MONTH($B$31))))</x:f>
      </x:c>
      <x:c r="R41" s="107" t="n">
        <x:f>IF(R40=0,0,'Вводные'!$B$60*'Вводные'!$S$89*'Вводные'!$H$5*'Вводные'!$AG$89*(1+'Вводные'!$B$64)^MAX(0,MIN((12*(YEAR(R$3)-YEAR($B$30))+MONTH(R$3)-MONTH($B$30)),(12*(YEAR($B$31)-YEAR($B$30))+MONTH($B$31)-MONTH($B$30))))*(1+'Вводные'!$B$65)^MAX(0,(12*(YEAR(R$3)-YEAR($B$31))+MONTH(R$3)-MONTH($B$31))))</x:f>
      </x:c>
      <x:c r="S41" s="107" t="n">
        <x:f>IF(S40=0,0,'Вводные'!$B$60*'Вводные'!$S$89*'Вводные'!$H$5*'Вводные'!$AG$89*(1+'Вводные'!$B$64)^MAX(0,MIN((12*(YEAR(S$3)-YEAR($B$30))+MONTH(S$3)-MONTH($B$30)),(12*(YEAR($B$31)-YEAR($B$30))+MONTH($B$31)-MONTH($B$30))))*(1+'Вводные'!$B$65)^MAX(0,(12*(YEAR(S$3)-YEAR($B$31))+MONTH(S$3)-MONTH($B$31))))</x:f>
      </x:c>
      <x:c r="T41" s="107" t="n">
        <x:f>IF(T40=0,0,'Вводные'!$B$60*'Вводные'!$S$89*'Вводные'!$H$5*'Вводные'!$AG$89*(1+'Вводные'!$B$64)^MAX(0,MIN((12*(YEAR(T$3)-YEAR($B$30))+MONTH(T$3)-MONTH($B$30)),(12*(YEAR($B$31)-YEAR($B$30))+MONTH($B$31)-MONTH($B$30))))*(1+'Вводные'!$B$65)^MAX(0,(12*(YEAR(T$3)-YEAR($B$31))+MONTH(T$3)-MONTH($B$31))))</x:f>
      </x:c>
      <x:c r="U41" s="107" t="n">
        <x:f>IF(U40=0,0,'Вводные'!$B$60*'Вводные'!$S$89*'Вводные'!$H$5*'Вводные'!$AG$89*(1+'Вводные'!$B$64)^MAX(0,MIN((12*(YEAR(U$3)-YEAR($B$30))+MONTH(U$3)-MONTH($B$30)),(12*(YEAR($B$31)-YEAR($B$30))+MONTH($B$31)-MONTH($B$30))))*(1+'Вводные'!$B$65)^MAX(0,(12*(YEAR(U$3)-YEAR($B$31))+MONTH(U$3)-MONTH($B$31))))</x:f>
      </x:c>
      <x:c r="V41" s="107" t="n">
        <x:f>IF(V40=0,0,'Вводные'!$B$60*'Вводные'!$S$89*'Вводные'!$H$5*'Вводные'!$AG$89*(1+'Вводные'!$B$64)^MAX(0,MIN((12*(YEAR(V$3)-YEAR($B$30))+MONTH(V$3)-MONTH($B$30)),(12*(YEAR($B$31)-YEAR($B$30))+MONTH($B$31)-MONTH($B$30))))*(1+'Вводные'!$B$65)^MAX(0,(12*(YEAR(V$3)-YEAR($B$31))+MONTH(V$3)-MONTH($B$31))))</x:f>
      </x:c>
      <x:c r="W41" s="107" t="n">
        <x:f>IF(W40=0,0,'Вводные'!$B$60*'Вводные'!$S$89*'Вводные'!$H$5*'Вводные'!$AG$89*(1+'Вводные'!$B$64)^MAX(0,MIN((12*(YEAR(W$3)-YEAR($B$30))+MONTH(W$3)-MONTH($B$30)),(12*(YEAR($B$31)-YEAR($B$30))+MONTH($B$31)-MONTH($B$30))))*(1+'Вводные'!$B$65)^MAX(0,(12*(YEAR(W$3)-YEAR($B$31))+MONTH(W$3)-MONTH($B$31))))</x:f>
      </x:c>
      <x:c r="X41" s="107" t="n">
        <x:f>IF(X40=0,0,'Вводные'!$B$60*'Вводные'!$S$89*'Вводные'!$H$5*'Вводные'!$AG$89*(1+'Вводные'!$B$64)^MAX(0,MIN((12*(YEAR(X$3)-YEAR($B$30))+MONTH(X$3)-MONTH($B$30)),(12*(YEAR($B$31)-YEAR($B$30))+MONTH($B$31)-MONTH($B$30))))*(1+'Вводные'!$B$65)^MAX(0,(12*(YEAR(X$3)-YEAR($B$31))+MONTH(X$3)-MONTH($B$31))))</x:f>
      </x:c>
      <x:c r="Y41" s="107" t="n">
        <x:f>IF(Y40=0,0,'Вводные'!$B$60*'Вводные'!$S$89*'Вводные'!$H$5*'Вводные'!$AG$89*(1+'Вводные'!$B$64)^MAX(0,MIN((12*(YEAR(Y$3)-YEAR($B$30))+MONTH(Y$3)-MONTH($B$30)),(12*(YEAR($B$31)-YEAR($B$30))+MONTH($B$31)-MONTH($B$30))))*(1+'Вводные'!$B$65)^MAX(0,(12*(YEAR(Y$3)-YEAR($B$31))+MONTH(Y$3)-MONTH($B$31))))</x:f>
      </x:c>
      <x:c r="Z41" s="107" t="n">
        <x:f>IF(Z40=0,0,'Вводные'!$B$60*'Вводные'!$S$89*'Вводные'!$H$5*'Вводные'!$AG$89*(1+'Вводные'!$B$64)^MAX(0,MIN((12*(YEAR(Z$3)-YEAR($B$30))+MONTH(Z$3)-MONTH($B$30)),(12*(YEAR($B$31)-YEAR($B$30))+MONTH($B$31)-MONTH($B$30))))*(1+'Вводные'!$B$65)^MAX(0,(12*(YEAR(Z$3)-YEAR($B$31))+MONTH(Z$3)-MONTH($B$31))))</x:f>
      </x:c>
      <x:c r="AA41" s="107" t="n">
        <x:f>IF(AA40=0,0,'Вводные'!$B$60*'Вводные'!$S$89*'Вводные'!$H$5*'Вводные'!$AG$89*(1+'Вводные'!$B$64)^MAX(0,MIN((12*(YEAR(AA$3)-YEAR($B$30))+MONTH(AA$3)-MONTH($B$30)),(12*(YEAR($B$31)-YEAR($B$30))+MONTH($B$31)-MONTH($B$30))))*(1+'Вводные'!$B$65)^MAX(0,(12*(YEAR(AA$3)-YEAR($B$31))+MONTH(AA$3)-MONTH($B$31))))</x:f>
      </x:c>
      <x:c r="AB41" s="107" t="n">
        <x:f>IF(AB40=0,0,'Вводные'!$B$60*'Вводные'!$S$89*'Вводные'!$H$5*'Вводные'!$AG$89*(1+'Вводные'!$B$64)^MAX(0,MIN((12*(YEAR(AB$3)-YEAR($B$30))+MONTH(AB$3)-MONTH($B$30)),(12*(YEAR($B$31)-YEAR($B$30))+MONTH($B$31)-MONTH($B$30))))*(1+'Вводные'!$B$65)^MAX(0,(12*(YEAR(AB$3)-YEAR($B$31))+MONTH(AB$3)-MONTH($B$31))))</x:f>
      </x:c>
      <x:c r="AC41" s="107" t="n">
        <x:f>IF(AC40=0,0,'Вводные'!$B$60*'Вводные'!$S$89*'Вводные'!$H$5*'Вводные'!$AG$89*(1+'Вводные'!$B$64)^MAX(0,MIN((12*(YEAR(AC$3)-YEAR($B$30))+MONTH(AC$3)-MONTH($B$30)),(12*(YEAR($B$31)-YEAR($B$30))+MONTH($B$31)-MONTH($B$30))))*(1+'Вводные'!$B$65)^MAX(0,(12*(YEAR(AC$3)-YEAR($B$31))+MONTH(AC$3)-MONTH($B$31))))</x:f>
      </x:c>
      <x:c r="AD41" s="107" t="n">
        <x:f>IF(AD40=0,0,'Вводные'!$B$60*'Вводные'!$S$89*'Вводные'!$H$5*'Вводные'!$AG$89*(1+'Вводные'!$B$64)^MAX(0,MIN((12*(YEAR(AD$3)-YEAR($B$30))+MONTH(AD$3)-MONTH($B$30)),(12*(YEAR($B$31)-YEAR($B$30))+MONTH($B$31)-MONTH($B$30))))*(1+'Вводные'!$B$65)^MAX(0,(12*(YEAR(AD$3)-YEAR($B$31))+MONTH(AD$3)-MONTH($B$31))))</x:f>
      </x:c>
      <x:c r="AE41" s="107" t="n">
        <x:f>IF(AE40=0,0,'Вводные'!$B$60*'Вводные'!$S$89*'Вводные'!$H$5*'Вводные'!$AG$89*(1+'Вводные'!$B$64)^MAX(0,MIN((12*(YEAR(AE$3)-YEAR($B$30))+MONTH(AE$3)-MONTH($B$30)),(12*(YEAR($B$31)-YEAR($B$30))+MONTH($B$31)-MONTH($B$30))))*(1+'Вводные'!$B$65)^MAX(0,(12*(YEAR(AE$3)-YEAR($B$31))+MONTH(AE$3)-MONTH($B$31))))</x:f>
      </x:c>
      <x:c r="AF41" s="107" t="n">
        <x:f>IF(AF40=0,0,'Вводные'!$B$60*'Вводные'!$S$89*'Вводные'!$H$5*'Вводные'!$AG$89*(1+'Вводные'!$B$64)^MAX(0,MIN((12*(YEAR(AF$3)-YEAR($B$30))+MONTH(AF$3)-MONTH($B$30)),(12*(YEAR($B$31)-YEAR($B$30))+MONTH($B$31)-MONTH($B$30))))*(1+'Вводные'!$B$65)^MAX(0,(12*(YEAR(AF$3)-YEAR($B$31))+MONTH(AF$3)-MONTH($B$31))))</x:f>
      </x:c>
      <x:c r="AG41" s="107" t="n">
        <x:f>IF(AG40=0,0,'Вводные'!$B$60*'Вводные'!$S$89*'Вводные'!$H$5*'Вводные'!$AG$89*(1+'Вводные'!$B$64)^MAX(0,MIN((12*(YEAR(AG$3)-YEAR($B$30))+MONTH(AG$3)-MONTH($B$30)),(12*(YEAR($B$31)-YEAR($B$30))+MONTH($B$31)-MONTH($B$30))))*(1+'Вводные'!$B$65)^MAX(0,(12*(YEAR(AG$3)-YEAR($B$31))+MONTH(AG$3)-MONTH($B$31))))</x:f>
      </x:c>
      <x:c r="AH41" s="107" t="n">
        <x:f>IF(AH40=0,0,'Вводные'!$B$60*'Вводные'!$S$89*'Вводные'!$H$5*'Вводные'!$AG$89*(1+'Вводные'!$B$64)^MAX(0,MIN((12*(YEAR(AH$3)-YEAR($B$30))+MONTH(AH$3)-MONTH($B$30)),(12*(YEAR($B$31)-YEAR($B$30))+MONTH($B$31)-MONTH($B$30))))*(1+'Вводные'!$B$65)^MAX(0,(12*(YEAR(AH$3)-YEAR($B$31))+MONTH(AH$3)-MONTH($B$31))))</x:f>
      </x:c>
      <x:c r="AI41" s="107" t="n">
        <x:f>IF(AI40=0,0,'Вводные'!$B$60*'Вводные'!$S$89*'Вводные'!$H$5*'Вводные'!$AG$89*(1+'Вводные'!$B$64)^MAX(0,MIN((12*(YEAR(AI$3)-YEAR($B$30))+MONTH(AI$3)-MONTH($B$30)),(12*(YEAR($B$31)-YEAR($B$30))+MONTH($B$31)-MONTH($B$30))))*(1+'Вводные'!$B$65)^MAX(0,(12*(YEAR(AI$3)-YEAR($B$31))+MONTH(AI$3)-MONTH($B$31))))</x:f>
      </x:c>
      <x:c r="AJ41" s="107" t="n">
        <x:f>IF(AJ40=0,0,'Вводные'!$B$60*'Вводные'!$S$89*'Вводные'!$H$5*'Вводные'!$AG$89*(1+'Вводные'!$B$64)^MAX(0,MIN((12*(YEAR(AJ$3)-YEAR($B$30))+MONTH(AJ$3)-MONTH($B$30)),(12*(YEAR($B$31)-YEAR($B$30))+MONTH($B$31)-MONTH($B$30))))*(1+'Вводные'!$B$65)^MAX(0,(12*(YEAR(AJ$3)-YEAR($B$31))+MONTH(AJ$3)-MONTH($B$31))))</x:f>
      </x:c>
      <x:c r="AK41" s="107" t="n">
        <x:f>IF(AK40=0,0,'Вводные'!$B$60*'Вводные'!$S$89*'Вводные'!$H$5*'Вводные'!$AG$89*(1+'Вводные'!$B$64)^MAX(0,MIN((12*(YEAR(AK$3)-YEAR($B$30))+MONTH(AK$3)-MONTH($B$30)),(12*(YEAR($B$31)-YEAR($B$30))+MONTH($B$31)-MONTH($B$30))))*(1+'Вводные'!$B$65)^MAX(0,(12*(YEAR(AK$3)-YEAR($B$31))+MONTH(AK$3)-MONTH($B$31))))</x:f>
      </x:c>
      <x:c r="AL41" s="107" t="n">
        <x:f>IF(AL40=0,0,'Вводные'!$B$60*'Вводные'!$S$89*'Вводные'!$H$5*'Вводные'!$AG$89*(1+'Вводные'!$B$64)^MAX(0,MIN((12*(YEAR(AL$3)-YEAR($B$30))+MONTH(AL$3)-MONTH($B$30)),(12*(YEAR($B$31)-YEAR($B$30))+MONTH($B$31)-MONTH($B$30))))*(1+'Вводные'!$B$65)^MAX(0,(12*(YEAR(AL$3)-YEAR($B$31))+MONTH(AL$3)-MONTH($B$31))))</x:f>
      </x:c>
      <x:c r="AM41" s="107" t="n">
        <x:f>IF(AM40=0,0,'Вводные'!$B$60*'Вводные'!$S$89*'Вводные'!$H$5*'Вводные'!$AG$89*(1+'Вводные'!$B$64)^MAX(0,MIN((12*(YEAR(AM$3)-YEAR($B$30))+MONTH(AM$3)-MONTH($B$30)),(12*(YEAR($B$31)-YEAR($B$30))+MONTH($B$31)-MONTH($B$30))))*(1+'Вводные'!$B$65)^MAX(0,(12*(YEAR(AM$3)-YEAR($B$31))+MONTH(AM$3)-MONTH($B$31))))</x:f>
      </x:c>
      <x:c r="AN41" s="107" t="n">
        <x:f>IF(AN40=0,0,'Вводные'!$B$60*'Вводные'!$S$89*'Вводные'!$H$5*'Вводные'!$AG$89*(1+'Вводные'!$B$64)^MAX(0,MIN((12*(YEAR(AN$3)-YEAR($B$30))+MONTH(AN$3)-MONTH($B$30)),(12*(YEAR($B$31)-YEAR($B$30))+MONTH($B$31)-MONTH($B$30))))*(1+'Вводные'!$B$65)^MAX(0,(12*(YEAR(AN$3)-YEAR($B$31))+MONTH(AN$3)-MONTH($B$31))))</x:f>
      </x:c>
      <x:c r="AO41" s="107" t="n">
        <x:f>IF(AO40=0,0,'Вводные'!$B$60*'Вводные'!$S$89*'Вводные'!$H$5*'Вводные'!$AG$89*(1+'Вводные'!$B$64)^MAX(0,MIN((12*(YEAR(AO$3)-YEAR($B$30))+MONTH(AO$3)-MONTH($B$30)),(12*(YEAR($B$31)-YEAR($B$30))+MONTH($B$31)-MONTH($B$30))))*(1+'Вводные'!$B$65)^MAX(0,(12*(YEAR(AO$3)-YEAR($B$31))+MONTH(AO$3)-MONTH($B$31))))</x:f>
      </x:c>
      <x:c r="AP41" s="107" t="n">
        <x:f>IF(AP40=0,0,'Вводные'!$B$60*'Вводные'!$S$89*'Вводные'!$H$5*'Вводные'!$AG$89*(1+'Вводные'!$B$64)^MAX(0,MIN((12*(YEAR(AP$3)-YEAR($B$30))+MONTH(AP$3)-MONTH($B$30)),(12*(YEAR($B$31)-YEAR($B$30))+MONTH($B$31)-MONTH($B$30))))*(1+'Вводные'!$B$65)^MAX(0,(12*(YEAR(AP$3)-YEAR($B$31))+MONTH(AP$3)-MONTH($B$31))))</x:f>
      </x:c>
      <x:c r="AQ41" s="107" t="n">
        <x:f>IF(AQ40=0,0,'Вводные'!$B$60*'Вводные'!$S$89*'Вводные'!$H$5*'Вводные'!$AG$89*(1+'Вводные'!$B$64)^MAX(0,MIN((12*(YEAR(AQ$3)-YEAR($B$30))+MONTH(AQ$3)-MONTH($B$30)),(12*(YEAR($B$31)-YEAR($B$30))+MONTH($B$31)-MONTH($B$30))))*(1+'Вводные'!$B$65)^MAX(0,(12*(YEAR(AQ$3)-YEAR($B$31))+MONTH(AQ$3)-MONTH($B$31))))</x:f>
      </x:c>
      <x:c r="AR41" s="107" t="n">
        <x:f>IF(AR40=0,0,'Вводные'!$B$60*'Вводные'!$S$89*'Вводные'!$H$5*'Вводные'!$AG$89*(1+'Вводные'!$B$64)^MAX(0,MIN((12*(YEAR(AR$3)-YEAR($B$30))+MONTH(AR$3)-MONTH($B$30)),(12*(YEAR($B$31)-YEAR($B$30))+MONTH($B$31)-MONTH($B$30))))*(1+'Вводные'!$B$65)^MAX(0,(12*(YEAR(AR$3)-YEAR($B$31))+MONTH(AR$3)-MONTH($B$31))))</x:f>
      </x:c>
      <x:c r="AS41" s="107" t="n">
        <x:f>IF(AS40=0,0,'Вводные'!$B$60*'Вводные'!$S$89*'Вводные'!$H$5*'Вводные'!$AG$89*(1+'Вводные'!$B$64)^MAX(0,MIN((12*(YEAR(AS$3)-YEAR($B$30))+MONTH(AS$3)-MONTH($B$30)),(12*(YEAR($B$31)-YEAR($B$30))+MONTH($B$31)-MONTH($B$30))))*(1+'Вводные'!$B$65)^MAX(0,(12*(YEAR(AS$3)-YEAR($B$31))+MONTH(AS$3)-MONTH($B$31))))</x:f>
      </x:c>
      <x:c r="AT41" s="107" t="n">
        <x:f>IF(AT40=0,0,'Вводные'!$B$60*'Вводные'!$S$89*'Вводные'!$H$5*'Вводные'!$AG$89*(1+'Вводные'!$B$64)^MAX(0,MIN((12*(YEAR(AT$3)-YEAR($B$30))+MONTH(AT$3)-MONTH($B$30)),(12*(YEAR($B$31)-YEAR($B$30))+MONTH($B$31)-MONTH($B$30))))*(1+'Вводные'!$B$65)^MAX(0,(12*(YEAR(AT$3)-YEAR($B$31))+MONTH(AT$3)-MONTH($B$31))))</x:f>
      </x:c>
      <x:c r="AU41" s="107" t="n">
        <x:f>IF(AU40=0,0,'Вводные'!$B$60*'Вводные'!$S$89*'Вводные'!$H$5*'Вводные'!$AG$89*(1+'Вводные'!$B$64)^MAX(0,MIN((12*(YEAR(AU$3)-YEAR($B$30))+MONTH(AU$3)-MONTH($B$30)),(12*(YEAR($B$31)-YEAR($B$30))+MONTH($B$31)-MONTH($B$30))))*(1+'Вводные'!$B$65)^MAX(0,(12*(YEAR(AU$3)-YEAR($B$31))+MONTH(AU$3)-MONTH($B$31))))</x:f>
      </x:c>
      <x:c r="AV41" s="107" t="n">
        <x:f>IF(AV40=0,0,'Вводные'!$B$60*'Вводные'!$S$89*'Вводные'!$H$5*'Вводные'!$AG$89*(1+'Вводные'!$B$64)^MAX(0,MIN((12*(YEAR(AV$3)-YEAR($B$30))+MONTH(AV$3)-MONTH($B$30)),(12*(YEAR($B$31)-YEAR($B$30))+MONTH($B$31)-MONTH($B$30))))*(1+'Вводные'!$B$65)^MAX(0,(12*(YEAR(AV$3)-YEAR($B$31))+MONTH(AV$3)-MONTH($B$31))))</x:f>
      </x:c>
      <x:c r="AW41" s="107" t="n">
        <x:f>IF(AW40=0,0,'Вводные'!$B$60*'Вводные'!$S$89*'Вводные'!$H$5*'Вводные'!$AG$89*(1+'Вводные'!$B$64)^MAX(0,MIN((12*(YEAR(AW$3)-YEAR($B$30))+MONTH(AW$3)-MONTH($B$30)),(12*(YEAR($B$31)-YEAR($B$30))+MONTH($B$31)-MONTH($B$30))))*(1+'Вводные'!$B$65)^MAX(0,(12*(YEAR(AW$3)-YEAR($B$31))+MONTH(AW$3)-MONTH($B$31))))</x:f>
      </x:c>
      <x:c r="AX41" s="107" t="n">
        <x:f>IF(AX40=0,0,'Вводные'!$B$60*'Вводные'!$S$89*'Вводные'!$H$5*'Вводные'!$AG$89*(1+'Вводные'!$B$64)^MAX(0,MIN((12*(YEAR(AX$3)-YEAR($B$30))+MONTH(AX$3)-MONTH($B$30)),(12*(YEAR($B$31)-YEAR($B$30))+MONTH($B$31)-MONTH($B$30))))*(1+'Вводные'!$B$65)^MAX(0,(12*(YEAR(AX$3)-YEAR($B$31))+MONTH(AX$3)-MONTH($B$31))))</x:f>
      </x:c>
      <x:c r="AY41" s="107" t="n">
        <x:f>IF(AY40=0,0,'Вводные'!$B$60*'Вводные'!$S$89*'Вводные'!$H$5*'Вводные'!$AG$89*(1+'Вводные'!$B$64)^MAX(0,MIN((12*(YEAR(AY$3)-YEAR($B$30))+MONTH(AY$3)-MONTH($B$30)),(12*(YEAR($B$31)-YEAR($B$30))+MONTH($B$31)-MONTH($B$30))))*(1+'Вводные'!$B$65)^MAX(0,(12*(YEAR(AY$3)-YEAR($B$31))+MONTH(AY$3)-MONTH($B$31))))</x:f>
      </x:c>
      <x:c r="AZ41" s="107" t="n">
        <x:f>IF(AZ40=0,0,'Вводные'!$B$60*'Вводные'!$S$89*'Вводные'!$H$5*'Вводные'!$AG$89*(1+'Вводные'!$B$64)^MAX(0,MIN((12*(YEAR(AZ$3)-YEAR($B$30))+MONTH(AZ$3)-MONTH($B$30)),(12*(YEAR($B$31)-YEAR($B$30))+MONTH($B$31)-MONTH($B$30))))*(1+'Вводные'!$B$65)^MAX(0,(12*(YEAR(AZ$3)-YEAR($B$31))+MONTH(AZ$3)-MONTH($B$31))))</x:f>
      </x:c>
      <x:c r="BA41" s="107" t="n">
        <x:f>IF(BA40=0,0,'Вводные'!$B$60*'Вводные'!$S$89*'Вводные'!$H$5*'Вводные'!$AG$89*(1+'Вводные'!$B$64)^MAX(0,MIN((12*(YEAR(BA$3)-YEAR($B$30))+MONTH(BA$3)-MONTH($B$30)),(12*(YEAR($B$31)-YEAR($B$30))+MONTH($B$31)-MONTH($B$30))))*(1+'Вводные'!$B$65)^MAX(0,(12*(YEAR(BA$3)-YEAR($B$31))+MONTH(BA$3)-MONTH($B$31))))</x:f>
      </x:c>
      <x:c r="BB41" s="107" t="n">
        <x:f>IF(BB40=0,0,'Вводные'!$B$60*'Вводные'!$S$89*'Вводные'!$H$5*'Вводные'!$AG$89*(1+'Вводные'!$B$64)^MAX(0,MIN((12*(YEAR(BB$3)-YEAR($B$30))+MONTH(BB$3)-MONTH($B$30)),(12*(YEAR($B$31)-YEAR($B$30))+MONTH($B$31)-MONTH($B$30))))*(1+'Вводные'!$B$65)^MAX(0,(12*(YEAR(BB$3)-YEAR($B$31))+MONTH(BB$3)-MONTH($B$31))))</x:f>
      </x:c>
      <x:c r="BC41" s="107" t="n">
        <x:f>IF(BC40=0,0,'Вводные'!$B$60*'Вводные'!$S$89*'Вводные'!$H$5*'Вводные'!$AG$89*(1+'Вводные'!$B$64)^MAX(0,MIN((12*(YEAR(BC$3)-YEAR($B$30))+MONTH(BC$3)-MONTH($B$30)),(12*(YEAR($B$31)-YEAR($B$30))+MONTH($B$31)-MONTH($B$30))))*(1+'Вводные'!$B$65)^MAX(0,(12*(YEAR(BC$3)-YEAR($B$31))+MONTH(BC$3)-MONTH($B$31))))</x:f>
      </x:c>
      <x:c r="BD41" s="107" t="n">
        <x:f>IF(BD40=0,0,'Вводные'!$B$60*'Вводные'!$S$89*'Вводные'!$H$5*'Вводные'!$AG$89*(1+'Вводные'!$B$64)^MAX(0,MIN((12*(YEAR(BD$3)-YEAR($B$30))+MONTH(BD$3)-MONTH($B$30)),(12*(YEAR($B$31)-YEAR($B$30))+MONTH($B$31)-MONTH($B$30))))*(1+'Вводные'!$B$65)^MAX(0,(12*(YEAR(BD$3)-YEAR($B$31))+MONTH(BD$3)-MONTH($B$31))))</x:f>
      </x:c>
      <x:c r="BE41" s="107" t="n">
        <x:f>IF(BE40=0,0,'Вводные'!$B$60*'Вводные'!$S$89*'Вводные'!$H$5*'Вводные'!$AG$89*(1+'Вводные'!$B$64)^MAX(0,MIN((12*(YEAR(BE$3)-YEAR($B$30))+MONTH(BE$3)-MONTH($B$30)),(12*(YEAR($B$31)-YEAR($B$30))+MONTH($B$31)-MONTH($B$30))))*(1+'Вводные'!$B$65)^MAX(0,(12*(YEAR(BE$3)-YEAR($B$31))+MONTH(BE$3)-MONTH($B$31))))</x:f>
      </x:c>
      <x:c r="BF41" s="107" t="n">
        <x:f>IF(BF40=0,0,'Вводные'!$B$60*'Вводные'!$S$89*'Вводные'!$H$5*'Вводные'!$AG$89*(1+'Вводные'!$B$64)^MAX(0,MIN((12*(YEAR(BF$3)-YEAR($B$30))+MONTH(BF$3)-MONTH($B$30)),(12*(YEAR($B$31)-YEAR($B$30))+MONTH($B$31)-MONTH($B$30))))*(1+'Вводные'!$B$65)^MAX(0,(12*(YEAR(BF$3)-YEAR($B$31))+MONTH(BF$3)-MONTH($B$31))))</x:f>
      </x:c>
      <x:c r="BG41" s="107" t="n">
        <x:f>IF(BG40=0,0,'Вводные'!$B$60*'Вводные'!$S$89*'Вводные'!$H$5*'Вводные'!$AG$89*(1+'Вводные'!$B$64)^MAX(0,MIN((12*(YEAR(BG$3)-YEAR($B$30))+MONTH(BG$3)-MONTH($B$30)),(12*(YEAR($B$31)-YEAR($B$30))+MONTH($B$31)-MONTH($B$30))))*(1+'Вводные'!$B$65)^MAX(0,(12*(YEAR(BG$3)-YEAR($B$31))+MONTH(BG$3)-MONTH($B$31))))</x:f>
      </x:c>
      <x:c r="BH41" s="107" t="n">
        <x:f>IF(BH40=0,0,'Вводные'!$B$60*'Вводные'!$S$89*'Вводные'!$H$5*'Вводные'!$AG$89*(1+'Вводные'!$B$64)^MAX(0,MIN((12*(YEAR(BH$3)-YEAR($B$30))+MONTH(BH$3)-MONTH($B$30)),(12*(YEAR($B$31)-YEAR($B$30))+MONTH($B$31)-MONTH($B$30))))*(1+'Вводные'!$B$65)^MAX(0,(12*(YEAR(BH$3)-YEAR($B$31))+MONTH(BH$3)-MONTH($B$31))))</x:f>
      </x:c>
      <x:c r="BI41" s="107" t="n">
        <x:f>IF(BI40=0,0,'Вводные'!$B$60*'Вводные'!$S$89*'Вводные'!$H$5*'Вводные'!$AG$89*(1+'Вводные'!$B$64)^MAX(0,MIN((12*(YEAR(BI$3)-YEAR($B$30))+MONTH(BI$3)-MONTH($B$30)),(12*(YEAR($B$31)-YEAR($B$30))+MONTH($B$31)-MONTH($B$30))))*(1+'Вводные'!$B$65)^MAX(0,(12*(YEAR(BI$3)-YEAR($B$31))+MONTH(BI$3)-MONTH($B$31))))</x:f>
      </x:c>
      <x:c r="BJ41" s="107" t="n">
        <x:f>IF(BJ40=0,0,'Вводные'!$B$60*'Вводные'!$S$89*'Вводные'!$H$5*'Вводные'!$AG$89*(1+'Вводные'!$B$64)^MAX(0,MIN((12*(YEAR(BJ$3)-YEAR($B$30))+MONTH(BJ$3)-MONTH($B$30)),(12*(YEAR($B$31)-YEAR($B$30))+MONTH($B$31)-MONTH($B$30))))*(1+'Вводные'!$B$65)^MAX(0,(12*(YEAR(BJ$3)-YEAR($B$31))+MONTH(BJ$3)-MONTH($B$31))))</x:f>
      </x:c>
      <x:c r="BK41" s="107" t="n">
        <x:f>IF(BK40=0,0,'Вводные'!$B$60*'Вводные'!$S$89*'Вводные'!$H$5*'Вводные'!$AG$89*(1+'Вводные'!$B$64)^MAX(0,MIN((12*(YEAR(BK$3)-YEAR($B$30))+MONTH(BK$3)-MONTH($B$30)),(12*(YEAR($B$31)-YEAR($B$30))+MONTH($B$31)-MONTH($B$30))))*(1+'Вводные'!$B$65)^MAX(0,(12*(YEAR(BK$3)-YEAR($B$31))+MONTH(BK$3)-MONTH($B$31))))</x:f>
      </x:c>
      <x:c r="BL41" s="107" t="n">
        <x:f>IF(BL40=0,0,'Вводные'!$B$60*'Вводные'!$S$89*'Вводные'!$H$5*'Вводные'!$AG$89*(1+'Вводные'!$B$64)^MAX(0,MIN((12*(YEAR(BL$3)-YEAR($B$30))+MONTH(BL$3)-MONTH($B$30)),(12*(YEAR($B$31)-YEAR($B$30))+MONTH($B$31)-MONTH($B$30))))*(1+'Вводные'!$B$65)^MAX(0,(12*(YEAR(BL$3)-YEAR($B$31))+MONTH(BL$3)-MONTH($B$31))))</x:f>
      </x:c>
      <x:c r="BM41" s="107" t="n">
        <x:f>IF(BM40=0,0,'Вводные'!$B$60*'Вводные'!$S$89*'Вводные'!$H$5*'Вводные'!$AG$89*(1+'Вводные'!$B$64)^MAX(0,MIN((12*(YEAR(BM$3)-YEAR($B$30))+MONTH(BM$3)-MONTH($B$30)),(12*(YEAR($B$31)-YEAR($B$30))+MONTH($B$31)-MONTH($B$30))))*(1+'Вводные'!$B$65)^MAX(0,(12*(YEAR(BM$3)-YEAR($B$31))+MONTH(BM$3)-MONTH($B$31))))</x:f>
      </x:c>
      <x:c r="BN41" s="107" t="n">
        <x:f>IF(BN40=0,0,'Вводные'!$B$60*'Вводные'!$S$89*'Вводные'!$H$5*'Вводные'!$AG$89*(1+'Вводные'!$B$64)^MAX(0,MIN((12*(YEAR(BN$3)-YEAR($B$30))+MONTH(BN$3)-MONTH($B$30)),(12*(YEAR($B$31)-YEAR($B$30))+MONTH($B$31)-MONTH($B$30))))*(1+'Вводные'!$B$65)^MAX(0,(12*(YEAR(BN$3)-YEAR($B$31))+MONTH(BN$3)-MONTH($B$31))))</x:f>
      </x:c>
      <x:c r="BO41" s="107" t="n">
        <x:f>IF(BO40=0,0,'Вводные'!$B$60*'Вводные'!$S$89*'Вводные'!$H$5*'Вводные'!$AG$89*(1+'Вводные'!$B$64)^MAX(0,MIN((12*(YEAR(BO$3)-YEAR($B$30))+MONTH(BO$3)-MONTH($B$30)),(12*(YEAR($B$31)-YEAR($B$30))+MONTH($B$31)-MONTH($B$30))))*(1+'Вводные'!$B$65)^MAX(0,(12*(YEAR(BO$3)-YEAR($B$31))+MONTH(BO$3)-MONTH($B$31))))</x:f>
      </x:c>
      <x:c r="BP41" s="107" t="n">
        <x:f>IF(BP40=0,0,'Вводные'!$B$60*'Вводные'!$S$89*'Вводные'!$H$5*'Вводные'!$AG$89*(1+'Вводные'!$B$64)^MAX(0,MIN((12*(YEAR(BP$3)-YEAR($B$30))+MONTH(BP$3)-MONTH($B$30)),(12*(YEAR($B$31)-YEAR($B$30))+MONTH($B$31)-MONTH($B$30))))*(1+'Вводные'!$B$65)^MAX(0,(12*(YEAR(BP$3)-YEAR($B$31))+MONTH(BP$3)-MONTH($B$31))))</x:f>
      </x:c>
      <x:c r="BQ41" s="107" t="n">
        <x:f>IF(BQ40=0,0,'Вводные'!$B$60*'Вводные'!$S$89*'Вводные'!$H$5*'Вводные'!$AG$89*(1+'Вводные'!$B$64)^MAX(0,MIN((12*(YEAR(BQ$3)-YEAR($B$30))+MONTH(BQ$3)-MONTH($B$30)),(12*(YEAR($B$31)-YEAR($B$30))+MONTH($B$31)-MONTH($B$30))))*(1+'Вводные'!$B$65)^MAX(0,(12*(YEAR(BQ$3)-YEAR($B$31))+MONTH(BQ$3)-MONTH($B$31))))</x:f>
      </x:c>
      <x:c r="BR41" s="107" t="n">
        <x:f>IF(BR40=0,0,'Вводные'!$B$60*'Вводные'!$S$89*'Вводные'!$H$5*'Вводные'!$AG$89*(1+'Вводные'!$B$64)^MAX(0,MIN((12*(YEAR(BR$3)-YEAR($B$30))+MONTH(BR$3)-MONTH($B$30)),(12*(YEAR($B$31)-YEAR($B$30))+MONTH($B$31)-MONTH($B$30))))*(1+'Вводные'!$B$65)^MAX(0,(12*(YEAR(BR$3)-YEAR($B$31))+MONTH(BR$3)-MONTH($B$31))))</x:f>
      </x:c>
      <x:c r="BS41" s="107" t="n">
        <x:f>IF(BS40=0,0,'Вводные'!$B$60*'Вводные'!$S$89*'Вводные'!$H$5*'Вводные'!$AG$89*(1+'Вводные'!$B$64)^MAX(0,MIN((12*(YEAR(BS$3)-YEAR($B$30))+MONTH(BS$3)-MONTH($B$30)),(12*(YEAR($B$31)-YEAR($B$30))+MONTH($B$31)-MONTH($B$30))))*(1+'Вводные'!$B$65)^MAX(0,(12*(YEAR(BS$3)-YEAR($B$31))+MONTH(BS$3)-MONTH($B$31))))</x:f>
      </x:c>
      <x:c r="BT41" s="107" t="n">
        <x:f>IF(BT40=0,0,'Вводные'!$B$60*'Вводные'!$S$89*'Вводные'!$H$5*'Вводные'!$AG$89*(1+'Вводные'!$B$64)^MAX(0,MIN((12*(YEAR(BT$3)-YEAR($B$30))+MONTH(BT$3)-MONTH($B$30)),(12*(YEAR($B$31)-YEAR($B$30))+MONTH($B$31)-MONTH($B$30))))*(1+'Вводные'!$B$65)^MAX(0,(12*(YEAR(BT$3)-YEAR($B$31))+MONTH(BT$3)-MONTH($B$31))))</x:f>
      </x:c>
      <x:c r="BU41" s="107" t="n">
        <x:f>IF(BU40=0,0,'Вводные'!$B$60*'Вводные'!$S$89*'Вводные'!$H$5*'Вводные'!$AG$89*(1+'Вводные'!$B$64)^MAX(0,MIN((12*(YEAR(BU$3)-YEAR($B$30))+MONTH(BU$3)-MONTH($B$30)),(12*(YEAR($B$31)-YEAR($B$30))+MONTH($B$31)-MONTH($B$30))))*(1+'Вводные'!$B$65)^MAX(0,(12*(YEAR(BU$3)-YEAR($B$31))+MONTH(BU$3)-MONTH($B$31))))</x:f>
      </x:c>
      <x:c r="BV41" s="107" t="n">
        <x:f>IF(BV40=0,0,'Вводные'!$B$60*'Вводные'!$S$89*'Вводные'!$H$5*'Вводные'!$AG$89*(1+'Вводные'!$B$64)^MAX(0,MIN((12*(YEAR(BV$3)-YEAR($B$30))+MONTH(BV$3)-MONTH($B$30)),(12*(YEAR($B$31)-YEAR($B$30))+MONTH($B$31)-MONTH($B$30))))*(1+'Вводные'!$B$65)^MAX(0,(12*(YEAR(BV$3)-YEAR($B$31))+MONTH(BV$3)-MONTH($B$31))))</x:f>
      </x:c>
      <x:c r="BW41" s="107" t="n">
        <x:f>IF(BW40=0,0,'Вводные'!$B$60*'Вводные'!$S$89*'Вводные'!$H$5*'Вводные'!$AG$89*(1+'Вводные'!$B$64)^MAX(0,MIN((12*(YEAR(BW$3)-YEAR($B$30))+MONTH(BW$3)-MONTH($B$30)),(12*(YEAR($B$31)-YEAR($B$30))+MONTH($B$31)-MONTH($B$30))))*(1+'Вводные'!$B$65)^MAX(0,(12*(YEAR(BW$3)-YEAR($B$31))+MONTH(BW$3)-MONTH($B$31))))</x:f>
      </x:c>
      <x:c r="BX41" s="107" t="n">
        <x:f>IF(BX40=0,0,'Вводные'!$B$60*'Вводные'!$S$89*'Вводные'!$H$5*'Вводные'!$AG$89*(1+'Вводные'!$B$64)^MAX(0,MIN((12*(YEAR(BX$3)-YEAR($B$30))+MONTH(BX$3)-MONTH($B$30)),(12*(YEAR($B$31)-YEAR($B$30))+MONTH($B$31)-MONTH($B$30))))*(1+'Вводные'!$B$65)^MAX(0,(12*(YEAR(BX$3)-YEAR($B$31))+MONTH(BX$3)-MONTH($B$31))))</x:f>
      </x:c>
      <x:c r="BY41" s="107" t="n">
        <x:f>IF(BY40=0,0,'Вводные'!$B$60*'Вводные'!$S$89*'Вводные'!$H$5*'Вводные'!$AG$89*(1+'Вводные'!$B$64)^MAX(0,MIN((12*(YEAR(BY$3)-YEAR($B$30))+MONTH(BY$3)-MONTH($B$30)),(12*(YEAR($B$31)-YEAR($B$30))+MONTH($B$31)-MONTH($B$30))))*(1+'Вводные'!$B$65)^MAX(0,(12*(YEAR(BY$3)-YEAR($B$31))+MONTH(BY$3)-MONTH($B$31))))</x:f>
      </x:c>
      <x:c r="BZ41" s="107" t="n">
        <x:f>IF(BZ40=0,0,'Вводные'!$B$60*'Вводные'!$S$89*'Вводные'!$H$5*'Вводные'!$AG$89*(1+'Вводные'!$B$64)^MAX(0,MIN((12*(YEAR(BZ$3)-YEAR($B$30))+MONTH(BZ$3)-MONTH($B$30)),(12*(YEAR($B$31)-YEAR($B$30))+MONTH($B$31)-MONTH($B$30))))*(1+'Вводные'!$B$65)^MAX(0,(12*(YEAR(BZ$3)-YEAR($B$31))+MONTH(BZ$3)-MONTH($B$31))))</x:f>
      </x:c>
      <x:c r="CA41" s="107" t="n">
        <x:f>IF(CA40=0,0,'Вводные'!$B$60*'Вводные'!$S$89*'Вводные'!$H$5*'Вводные'!$AG$89*(1+'Вводные'!$B$64)^MAX(0,MIN((12*(YEAR(CA$3)-YEAR($B$30))+MONTH(CA$3)-MONTH($B$30)),(12*(YEAR($B$31)-YEAR($B$30))+MONTH($B$31)-MONTH($B$30))))*(1+'Вводные'!$B$65)^MAX(0,(12*(YEAR(CA$3)-YEAR($B$31))+MONTH(CA$3)-MONTH($B$31))))</x:f>
      </x:c>
      <x:c r="CB41" s="107" t="n">
        <x:f>IF(CB40=0,0,'Вводные'!$B$60*'Вводные'!$S$89*'Вводные'!$H$5*'Вводные'!$AG$89*(1+'Вводные'!$B$64)^MAX(0,MIN((12*(YEAR(CB$3)-YEAR($B$30))+MONTH(CB$3)-MONTH($B$30)),(12*(YEAR($B$31)-YEAR($B$30))+MONTH($B$31)-MONTH($B$30))))*(1+'Вводные'!$B$65)^MAX(0,(12*(YEAR(CB$3)-YEAR($B$31))+MONTH(CB$3)-MONTH($B$31))))</x:f>
      </x:c>
      <x:c r="CC41" s="107" t="n">
        <x:f>IF(CC40=0,0,'Вводные'!$B$60*'Вводные'!$S$89*'Вводные'!$H$5*'Вводные'!$AG$89*(1+'Вводные'!$B$64)^MAX(0,MIN((12*(YEAR(CC$3)-YEAR($B$30))+MONTH(CC$3)-MONTH($B$30)),(12*(YEAR($B$31)-YEAR($B$30))+MONTH($B$31)-MONTH($B$30))))*(1+'Вводные'!$B$65)^MAX(0,(12*(YEAR(CC$3)-YEAR($B$31))+MONTH(CC$3)-MONTH($B$31))))</x:f>
      </x:c>
      <x:c r="CD41" s="107" t="n">
        <x:f>IF(CD40=0,0,'Вводные'!$B$60*'Вводные'!$S$89*'Вводные'!$H$5*'Вводные'!$AG$89*(1+'Вводные'!$B$64)^MAX(0,MIN((12*(YEAR(CD$3)-YEAR($B$30))+MONTH(CD$3)-MONTH($B$30)),(12*(YEAR($B$31)-YEAR($B$30))+MONTH($B$31)-MONTH($B$30))))*(1+'Вводные'!$B$65)^MAX(0,(12*(YEAR(CD$3)-YEAR($B$31))+MONTH(CD$3)-MONTH($B$31))))</x:f>
      </x:c>
      <x:c r="CE41" s="107" t="n">
        <x:f>IF(CE40=0,0,'Вводные'!$B$60*'Вводные'!$S$89*'Вводные'!$H$5*'Вводные'!$AG$89*(1+'Вводные'!$B$64)^MAX(0,MIN((12*(YEAR(CE$3)-YEAR($B$30))+MONTH(CE$3)-MONTH($B$30)),(12*(YEAR($B$31)-YEAR($B$30))+MONTH($B$31)-MONTH($B$30))))*(1+'Вводные'!$B$65)^MAX(0,(12*(YEAR(CE$3)-YEAR($B$31))+MONTH(CE$3)-MONTH($B$31))))</x:f>
      </x:c>
      <x:c r="CF41" s="107" t="n">
        <x:f>IF(CF40=0,0,'Вводные'!$B$60*'Вводные'!$S$89*'Вводные'!$H$5*'Вводные'!$AG$89*(1+'Вводные'!$B$64)^MAX(0,MIN((12*(YEAR(CF$3)-YEAR($B$30))+MONTH(CF$3)-MONTH($B$30)),(12*(YEAR($B$31)-YEAR($B$30))+MONTH($B$31)-MONTH($B$30))))*(1+'Вводные'!$B$65)^MAX(0,(12*(YEAR(CF$3)-YEAR($B$31))+MONTH(CF$3)-MONTH($B$31))))</x:f>
      </x:c>
      <x:c r="CG41" s="107" t="n">
        <x:f>IF(CG40=0,0,'Вводные'!$B$60*'Вводные'!$S$89*'Вводные'!$H$5*'Вводные'!$AG$89*(1+'Вводные'!$B$64)^MAX(0,MIN((12*(YEAR(CG$3)-YEAR($B$30))+MONTH(CG$3)-MONTH($B$30)),(12*(YEAR($B$31)-YEAR($B$30))+MONTH($B$31)-MONTH($B$30))))*(1+'Вводные'!$B$65)^MAX(0,(12*(YEAR(CG$3)-YEAR($B$31))+MONTH(CG$3)-MONTH($B$31))))</x:f>
      </x:c>
      <x:c r="CH41" s="107" t="n">
        <x:f>IF(CH40=0,0,'Вводные'!$B$60*'Вводные'!$S$89*'Вводные'!$H$5*'Вводные'!$AG$89*(1+'Вводные'!$B$64)^MAX(0,MIN((12*(YEAR(CH$3)-YEAR($B$30))+MONTH(CH$3)-MONTH($B$30)),(12*(YEAR($B$31)-YEAR($B$30))+MONTH($B$31)-MONTH($B$30))))*(1+'Вводные'!$B$65)^MAX(0,(12*(YEAR(CH$3)-YEAR($B$31))+MONTH(CH$3)-MONTH($B$31))))</x:f>
      </x:c>
      <x:c r="CI41" s="107" t="n">
        <x:f>IF(CI40=0,0,'Вводные'!$B$60*'Вводные'!$S$89*'Вводные'!$H$5*'Вводные'!$AG$89*(1+'Вводные'!$B$64)^MAX(0,MIN((12*(YEAR(CI$3)-YEAR($B$30))+MONTH(CI$3)-MONTH($B$30)),(12*(YEAR($B$31)-YEAR($B$30))+MONTH($B$31)-MONTH($B$30))))*(1+'Вводные'!$B$65)^MAX(0,(12*(YEAR(CI$3)-YEAR($B$31))+MONTH(CI$3)-MONTH($B$31))))</x:f>
      </x:c>
      <x:c r="CJ41" s="107" t="n">
        <x:f>IF(CJ40=0,0,'Вводные'!$B$60*'Вводные'!$S$89*'Вводные'!$H$5*'Вводные'!$AG$89*(1+'Вводные'!$B$64)^MAX(0,MIN((12*(YEAR(CJ$3)-YEAR($B$30))+MONTH(CJ$3)-MONTH($B$30)),(12*(YEAR($B$31)-YEAR($B$30))+MONTH($B$31)-MONTH($B$30))))*(1+'Вводные'!$B$65)^MAX(0,(12*(YEAR(CJ$3)-YEAR($B$31))+MONTH(CJ$3)-MONTH($B$31))))</x:f>
      </x:c>
      <x:c r="CK41" s="107" t="n">
        <x:f>IF(CK40=0,0,'Вводные'!$B$60*'Вводные'!$S$89*'Вводные'!$H$5*'Вводные'!$AG$89*(1+'Вводные'!$B$64)^MAX(0,MIN((12*(YEAR(CK$3)-YEAR($B$30))+MONTH(CK$3)-MONTH($B$30)),(12*(YEAR($B$31)-YEAR($B$30))+MONTH($B$31)-MONTH($B$30))))*(1+'Вводные'!$B$65)^MAX(0,(12*(YEAR(CK$3)-YEAR($B$31))+MONTH(CK$3)-MONTH($B$31))))</x:f>
      </x:c>
      <x:c r="CL41" s="107" t="n">
        <x:f>IF(CL40=0,0,'Вводные'!$B$60*'Вводные'!$S$89*'Вводные'!$H$5*'Вводные'!$AG$89*(1+'Вводные'!$B$64)^MAX(0,MIN((12*(YEAR(CL$3)-YEAR($B$30))+MONTH(CL$3)-MONTH($B$30)),(12*(YEAR($B$31)-YEAR($B$30))+MONTH($B$31)-MONTH($B$30))))*(1+'Вводные'!$B$65)^MAX(0,(12*(YEAR(CL$3)-YEAR($B$31))+MONTH(CL$3)-MONTH($B$31))))</x:f>
      </x:c>
      <x:c r="CM41" s="107" t="n">
        <x:f>IF(CM40=0,0,'Вводные'!$B$60*'Вводные'!$S$89*'Вводные'!$H$5*'Вводные'!$AG$89*(1+'Вводные'!$B$64)^MAX(0,MIN((12*(YEAR(CM$3)-YEAR($B$30))+MONTH(CM$3)-MONTH($B$30)),(12*(YEAR($B$31)-YEAR($B$30))+MONTH($B$31)-MONTH($B$30))))*(1+'Вводные'!$B$65)^MAX(0,(12*(YEAR(CM$3)-YEAR($B$31))+MONTH(CM$3)-MONTH($B$31))))</x:f>
      </x:c>
      <x:c r="CN41" s="107" t="n">
        <x:f>IF(CN40=0,0,'Вводные'!$B$60*'Вводные'!$S$89*'Вводные'!$H$5*'Вводные'!$AG$89*(1+'Вводные'!$B$64)^MAX(0,MIN((12*(YEAR(CN$3)-YEAR($B$30))+MONTH(CN$3)-MONTH($B$30)),(12*(YEAR($B$31)-YEAR($B$30))+MONTH($B$31)-MONTH($B$30))))*(1+'Вводные'!$B$65)^MAX(0,(12*(YEAR(CN$3)-YEAR($B$31))+MONTH(CN$3)-MONTH($B$31))))</x:f>
      </x:c>
      <x:c r="CO41" s="107" t="n">
        <x:f>IF(CO40=0,0,'Вводные'!$B$60*'Вводные'!$S$89*'Вводные'!$H$5*'Вводные'!$AG$89*(1+'Вводные'!$B$64)^MAX(0,MIN((12*(YEAR(CO$3)-YEAR($B$30))+MONTH(CO$3)-MONTH($B$30)),(12*(YEAR($B$31)-YEAR($B$30))+MONTH($B$31)-MONTH($B$30))))*(1+'Вводные'!$B$65)^MAX(0,(12*(YEAR(CO$3)-YEAR($B$31))+MONTH(CO$3)-MONTH($B$31))))</x:f>
      </x:c>
      <x:c r="CP41" s="107" t="n">
        <x:f>IF(CP40=0,0,'Вводные'!$B$60*'Вводные'!$S$89*'Вводные'!$H$5*'Вводные'!$AG$89*(1+'Вводные'!$B$64)^MAX(0,MIN((12*(YEAR(CP$3)-YEAR($B$30))+MONTH(CP$3)-MONTH($B$30)),(12*(YEAR($B$31)-YEAR($B$30))+MONTH($B$31)-MONTH($B$30))))*(1+'Вводные'!$B$65)^MAX(0,(12*(YEAR(CP$3)-YEAR($B$31))+MONTH(CP$3)-MONTH($B$31))))</x:f>
      </x:c>
      <x:c r="CQ41" s="107" t="n">
        <x:f>IF(CQ40=0,0,'Вводные'!$B$60*'Вводные'!$S$89*'Вводные'!$H$5*'Вводные'!$AG$89*(1+'Вводные'!$B$64)^MAX(0,MIN((12*(YEAR(CQ$3)-YEAR($B$30))+MONTH(CQ$3)-MONTH($B$30)),(12*(YEAR($B$31)-YEAR($B$30))+MONTH($B$31)-MONTH($B$30))))*(1+'Вводные'!$B$65)^MAX(0,(12*(YEAR(CQ$3)-YEAR($B$31))+MONTH(CQ$3)-MONTH($B$31))))</x:f>
      </x:c>
      <x:c r="CR41" s="107" t="n">
        <x:f>IF(CR40=0,0,'Вводные'!$B$60*'Вводные'!$S$89*'Вводные'!$H$5*'Вводные'!$AG$89*(1+'Вводные'!$B$64)^MAX(0,MIN((12*(YEAR(CR$3)-YEAR($B$30))+MONTH(CR$3)-MONTH($B$30)),(12*(YEAR($B$31)-YEAR($B$30))+MONTH($B$31)-MONTH($B$30))))*(1+'Вводные'!$B$65)^MAX(0,(12*(YEAR(CR$3)-YEAR($B$31))+MONTH(CR$3)-MONTH($B$31))))</x:f>
      </x:c>
      <x:c r="CS41" s="107" t="n">
        <x:f>IF(CS40=0,0,'Вводные'!$B$60*'Вводные'!$S$89*'Вводные'!$H$5*'Вводные'!$AG$89*(1+'Вводные'!$B$64)^MAX(0,MIN((12*(YEAR(CS$3)-YEAR($B$30))+MONTH(CS$3)-MONTH($B$30)),(12*(YEAR($B$31)-YEAR($B$30))+MONTH($B$31)-MONTH($B$30))))*(1+'Вводные'!$B$65)^MAX(0,(12*(YEAR(CS$3)-YEAR($B$31))+MONTH(CS$3)-MONTH($B$31))))</x:f>
      </x:c>
      <x:c r="CT41" s="107" t="n">
        <x:f>IF(CT40=0,0,'Вводные'!$B$60*'Вводные'!$S$89*'Вводные'!$H$5*'Вводные'!$AG$89*(1+'Вводные'!$B$64)^MAX(0,MIN((12*(YEAR(CT$3)-YEAR($B$30))+MONTH(CT$3)-MONTH($B$30)),(12*(YEAR($B$31)-YEAR($B$30))+MONTH($B$31)-MONTH($B$30))))*(1+'Вводные'!$B$65)^MAX(0,(12*(YEAR(CT$3)-YEAR($B$31))+MONTH(CT$3)-MONTH($B$31))))</x:f>
      </x:c>
      <x:c r="CU41" s="107" t="n">
        <x:f>IF(CU40=0,0,'Вводные'!$B$60*'Вводные'!$S$89*'Вводные'!$H$5*'Вводные'!$AG$89*(1+'Вводные'!$B$64)^MAX(0,MIN((12*(YEAR(CU$3)-YEAR($B$30))+MONTH(CU$3)-MONTH($B$30)),(12*(YEAR($B$31)-YEAR($B$30))+MONTH($B$31)-MONTH($B$30))))*(1+'Вводные'!$B$65)^MAX(0,(12*(YEAR(CU$3)-YEAR($B$31))+MONTH(CU$3)-MONTH($B$31))))</x:f>
      </x:c>
      <x:c r="CV41" s="107" t="n">
        <x:f>IF(CV40=0,0,'Вводные'!$B$60*'Вводные'!$S$89*'Вводные'!$H$5*'Вводные'!$AG$89*(1+'Вводные'!$B$64)^MAX(0,MIN((12*(YEAR(CV$3)-YEAR($B$30))+MONTH(CV$3)-MONTH($B$30)),(12*(YEAR($B$31)-YEAR($B$30))+MONTH($B$31)-MONTH($B$30))))*(1+'Вводные'!$B$65)^MAX(0,(12*(YEAR(CV$3)-YEAR($B$31))+MONTH(CV$3)-MONTH($B$31))))</x:f>
      </x:c>
      <x:c r="CW41" s="107" t="n">
        <x:f>IF(CW40=0,0,'Вводные'!$B$60*'Вводные'!$S$89*'Вводные'!$H$5*'Вводные'!$AG$89*(1+'Вводные'!$B$64)^MAX(0,MIN((12*(YEAR(CW$3)-YEAR($B$30))+MONTH(CW$3)-MONTH($B$30)),(12*(YEAR($B$31)-YEAR($B$30))+MONTH($B$31)-MONTH($B$30))))*(1+'Вводные'!$B$65)^MAX(0,(12*(YEAR(CW$3)-YEAR($B$31))+MONTH(CW$3)-MONTH($B$31))))</x:f>
      </x:c>
      <x:c r="CX41" s="107" t="n">
        <x:f>IF(CX40=0,0,'Вводные'!$B$60*'Вводные'!$S$89*'Вводные'!$H$5*'Вводные'!$AG$89*(1+'Вводные'!$B$64)^MAX(0,MIN((12*(YEAR(CX$3)-YEAR($B$30))+MONTH(CX$3)-MONTH($B$30)),(12*(YEAR($B$31)-YEAR($B$30))+MONTH($B$31)-MONTH($B$30))))*(1+'Вводные'!$B$65)^MAX(0,(12*(YEAR(CX$3)-YEAR($B$31))+MONTH(CX$3)-MONTH($B$31))))</x:f>
      </x:c>
      <x:c r="CY41" s="107" t="n">
        <x:f>IF(CY40=0,0,'Вводные'!$B$60*'Вводные'!$S$89*'Вводные'!$H$5*'Вводные'!$AG$89*(1+'Вводные'!$B$64)^MAX(0,MIN((12*(YEAR(CY$3)-YEAR($B$30))+MONTH(CY$3)-MONTH($B$30)),(12*(YEAR($B$31)-YEAR($B$30))+MONTH($B$31)-MONTH($B$30))))*(1+'Вводные'!$B$65)^MAX(0,(12*(YEAR(CY$3)-YEAR($B$31))+MONTH(CY$3)-MONTH($B$31))))</x:f>
      </x:c>
      <x:c r="CZ41" s="107" t="n">
        <x:f>IF(CZ40=0,0,'Вводные'!$B$60*'Вводные'!$S$89*'Вводные'!$H$5*'Вводные'!$AG$89*(1+'Вводные'!$B$64)^MAX(0,MIN((12*(YEAR(CZ$3)-YEAR($B$30))+MONTH(CZ$3)-MONTH($B$30)),(12*(YEAR($B$31)-YEAR($B$30))+MONTH($B$31)-MONTH($B$30))))*(1+'Вводные'!$B$65)^MAX(0,(12*(YEAR(CZ$3)-YEAR($B$31))+MONTH(CZ$3)-MONTH($B$31))))</x:f>
      </x:c>
      <x:c r="DA41" s="107" t="n">
        <x:f>IF(DA40=0,0,'Вводные'!$B$60*'Вводные'!$S$89*'Вводные'!$H$5*'Вводные'!$AG$89*(1+'Вводные'!$B$64)^MAX(0,MIN((12*(YEAR(DA$3)-YEAR($B$30))+MONTH(DA$3)-MONTH($B$30)),(12*(YEAR($B$31)-YEAR($B$30))+MONTH($B$31)-MONTH($B$30))))*(1+'Вводные'!$B$65)^MAX(0,(12*(YEAR(DA$3)-YEAR($B$31))+MONTH(DA$3)-MONTH($B$31))))</x:f>
      </x:c>
      <x:c r="DB41" s="107" t="n">
        <x:f>IF(DB40=0,0,'Вводные'!$B$60*'Вводные'!$S$89*'Вводные'!$H$5*'Вводные'!$AG$89*(1+'Вводные'!$B$64)^MAX(0,MIN((12*(YEAR(DB$3)-YEAR($B$30))+MONTH(DB$3)-MONTH($B$30)),(12*(YEAR($B$31)-YEAR($B$30))+MONTH($B$31)-MONTH($B$30))))*(1+'Вводные'!$B$65)^MAX(0,(12*(YEAR(DB$3)-YEAR($B$31))+MONTH(DB$3)-MONTH($B$31))))</x:f>
      </x:c>
      <x:c r="DC41" s="107" t="n">
        <x:f>IF(DC40=0,0,'Вводные'!$B$60*'Вводные'!$S$89*'Вводные'!$H$5*'Вводные'!$AG$89*(1+'Вводные'!$B$64)^MAX(0,MIN((12*(YEAR(DC$3)-YEAR($B$30))+MONTH(DC$3)-MONTH($B$30)),(12*(YEAR($B$31)-YEAR($B$30))+MONTH($B$31)-MONTH($B$30))))*(1+'Вводные'!$B$65)^MAX(0,(12*(YEAR(DC$3)-YEAR($B$31))+MONTH(DC$3)-MONTH($B$31))))</x:f>
      </x:c>
      <x:c r="DD41" s="107" t="n">
        <x:f>IF(DD40=0,0,'Вводные'!$B$60*'Вводные'!$S$89*'Вводные'!$H$5*'Вводные'!$AG$89*(1+'Вводные'!$B$64)^MAX(0,MIN((12*(YEAR(DD$3)-YEAR($B$30))+MONTH(DD$3)-MONTH($B$30)),(12*(YEAR($B$31)-YEAR($B$30))+MONTH($B$31)-MONTH($B$30))))*(1+'Вводные'!$B$65)^MAX(0,(12*(YEAR(DD$3)-YEAR($B$31))+MONTH(DD$3)-MONTH($B$31))))</x:f>
      </x:c>
      <x:c r="DE41" s="107" t="n">
        <x:f>IF(DE40=0,0,'Вводные'!$B$60*'Вводные'!$S$89*'Вводные'!$H$5*'Вводные'!$AG$89*(1+'Вводные'!$B$64)^MAX(0,MIN((12*(YEAR(DE$3)-YEAR($B$30))+MONTH(DE$3)-MONTH($B$30)),(12*(YEAR($B$31)-YEAR($B$30))+MONTH($B$31)-MONTH($B$30))))*(1+'Вводные'!$B$65)^MAX(0,(12*(YEAR(DE$3)-YEAR($B$31))+MONTH(DE$3)-MONTH($B$31))))</x:f>
      </x:c>
      <x:c r="DF41" s="107" t="n">
        <x:f>IF(DF40=0,0,'Вводные'!$B$60*'Вводные'!$S$89*'Вводные'!$H$5*'Вводные'!$AG$89*(1+'Вводные'!$B$64)^MAX(0,MIN((12*(YEAR(DF$3)-YEAR($B$30))+MONTH(DF$3)-MONTH($B$30)),(12*(YEAR($B$31)-YEAR($B$30))+MONTH($B$31)-MONTH($B$30))))*(1+'Вводные'!$B$65)^MAX(0,(12*(YEAR(DF$3)-YEAR($B$31))+MONTH(DF$3)-MONTH($B$31))))</x:f>
      </x:c>
      <x:c r="DG41" s="107" t="n">
        <x:f>IF(DG40=0,0,'Вводные'!$B$60*'Вводные'!$S$89*'Вводные'!$H$5*'Вводные'!$AG$89*(1+'Вводные'!$B$64)^MAX(0,MIN((12*(YEAR(DG$3)-YEAR($B$30))+MONTH(DG$3)-MONTH($B$30)),(12*(YEAR($B$31)-YEAR($B$30))+MONTH($B$31)-MONTH($B$30))))*(1+'Вводные'!$B$65)^MAX(0,(12*(YEAR(DG$3)-YEAR($B$31))+MONTH(DG$3)-MONTH($B$31))))</x:f>
      </x:c>
      <x:c r="DH41" s="107" t="n">
        <x:f>IF(DH40=0,0,'Вводные'!$B$60*'Вводные'!$S$89*'Вводные'!$H$5*'Вводные'!$AG$89*(1+'Вводные'!$B$64)^MAX(0,MIN((12*(YEAR(DH$3)-YEAR($B$30))+MONTH(DH$3)-MONTH($B$30)),(12*(YEAR($B$31)-YEAR($B$30))+MONTH($B$31)-MONTH($B$30))))*(1+'Вводные'!$B$65)^MAX(0,(12*(YEAR(DH$3)-YEAR($B$31))+MONTH(DH$3)-MONTH($B$31))))</x:f>
      </x:c>
      <x:c r="DI41" s="107" t="n">
        <x:f>IF(DI40=0,0,'Вводные'!$B$60*'Вводные'!$S$89*'Вводные'!$H$5*'Вводные'!$AG$89*(1+'Вводные'!$B$64)^MAX(0,MIN((12*(YEAR(DI$3)-YEAR($B$30))+MONTH(DI$3)-MONTH($B$30)),(12*(YEAR($B$31)-YEAR($B$30))+MONTH($B$31)-MONTH($B$30))))*(1+'Вводные'!$B$65)^MAX(0,(12*(YEAR(DI$3)-YEAR($B$31))+MONTH(DI$3)-MONTH($B$31))))</x:f>
      </x:c>
      <x:c r="DJ41" s="107" t="n">
        <x:f>IF(DJ40=0,0,'Вводные'!$B$60*'Вводные'!$S$89*'Вводные'!$H$5*'Вводные'!$AG$89*(1+'Вводные'!$B$64)^MAX(0,MIN((12*(YEAR(DJ$3)-YEAR($B$30))+MONTH(DJ$3)-MONTH($B$30)),(12*(YEAR($B$31)-YEAR($B$30))+MONTH($B$31)-MONTH($B$30))))*(1+'Вводные'!$B$65)^MAX(0,(12*(YEAR(DJ$3)-YEAR($B$31))+MONTH(DJ$3)-MONTH($B$31))))</x:f>
      </x:c>
      <x:c r="DK41" s="107" t="n">
        <x:f>IF(DK40=0,0,'Вводные'!$B$60*'Вводные'!$S$89*'Вводные'!$H$5*'Вводные'!$AG$89*(1+'Вводные'!$B$64)^MAX(0,MIN((12*(YEAR(DK$3)-YEAR($B$30))+MONTH(DK$3)-MONTH($B$30)),(12*(YEAR($B$31)-YEAR($B$30))+MONTH($B$31)-MONTH($B$30))))*(1+'Вводные'!$B$65)^MAX(0,(12*(YEAR(DK$3)-YEAR($B$31))+MONTH(DK$3)-MONTH($B$31))))</x:f>
      </x:c>
      <x:c r="DL41" s="107" t="n">
        <x:f>IF(DL40=0,0,'Вводные'!$B$60*'Вводные'!$S$89*'Вводные'!$H$5*'Вводные'!$AG$89*(1+'Вводные'!$B$64)^MAX(0,MIN((12*(YEAR(DL$3)-YEAR($B$30))+MONTH(DL$3)-MONTH($B$30)),(12*(YEAR($B$31)-YEAR($B$30))+MONTH($B$31)-MONTH($B$30))))*(1+'Вводные'!$B$65)^MAX(0,(12*(YEAR(DL$3)-YEAR($B$31))+MONTH(DL$3)-MONTH($B$31))))</x:f>
      </x:c>
      <x:c r="DM41" s="107" t="n">
        <x:f>IF(DM40=0,0,'Вводные'!$B$60*'Вводные'!$S$89*'Вводные'!$H$5*'Вводные'!$AG$89*(1+'Вводные'!$B$64)^MAX(0,MIN((12*(YEAR(DM$3)-YEAR($B$30))+MONTH(DM$3)-MONTH($B$30)),(12*(YEAR($B$31)-YEAR($B$30))+MONTH($B$31)-MONTH($B$30))))*(1+'Вводные'!$B$65)^MAX(0,(12*(YEAR(DM$3)-YEAR($B$31))+MONTH(DM$3)-MONTH($B$31))))</x:f>
      </x:c>
      <x:c r="DN41" s="107" t="n">
        <x:f>IF(DN40=0,0,'Вводные'!$B$60*'Вводные'!$S$89*'Вводные'!$H$5*'Вводные'!$AG$89*(1+'Вводные'!$B$64)^MAX(0,MIN((12*(YEAR(DN$3)-YEAR($B$30))+MONTH(DN$3)-MONTH($B$30)),(12*(YEAR($B$31)-YEAR($B$30))+MONTH($B$31)-MONTH($B$30))))*(1+'Вводные'!$B$65)^MAX(0,(12*(YEAR(DN$3)-YEAR($B$31))+MONTH(DN$3)-MONTH($B$31))))</x:f>
      </x:c>
      <x:c r="DO41" s="107" t="n">
        <x:f>IF(DO40=0,0,'Вводные'!$B$60*'Вводные'!$S$89*'Вводные'!$H$5*'Вводные'!$AG$89*(1+'Вводные'!$B$64)^MAX(0,MIN((12*(YEAR(DO$3)-YEAR($B$30))+MONTH(DO$3)-MONTH($B$30)),(12*(YEAR($B$31)-YEAR($B$30))+MONTH($B$31)-MONTH($B$30))))*(1+'Вводные'!$B$65)^MAX(0,(12*(YEAR(DO$3)-YEAR($B$31))+MONTH(DO$3)-MONTH($B$31))))</x:f>
      </x:c>
      <x:c r="DP41" s="107" t="n">
        <x:f>IF(DP40=0,0,'Вводные'!$B$60*'Вводные'!$S$89*'Вводные'!$H$5*'Вводные'!$AG$89*(1+'Вводные'!$B$64)^MAX(0,MIN((12*(YEAR(DP$3)-YEAR($B$30))+MONTH(DP$3)-MONTH($B$30)),(12*(YEAR($B$31)-YEAR($B$30))+MONTH($B$31)-MONTH($B$30))))*(1+'Вводные'!$B$65)^MAX(0,(12*(YEAR(DP$3)-YEAR($B$31))+MONTH(DP$3)-MONTH($B$31))))</x:f>
      </x:c>
      <x:c r="DQ41" s="107" t="n">
        <x:f>IF(DQ40=0,0,'Вводные'!$B$60*'Вводные'!$S$89*'Вводные'!$H$5*'Вводные'!$AG$89*(1+'Вводные'!$B$64)^MAX(0,MIN((12*(YEAR(DQ$3)-YEAR($B$30))+MONTH(DQ$3)-MONTH($B$30)),(12*(YEAR($B$31)-YEAR($B$30))+MONTH($B$31)-MONTH($B$30))))*(1+'Вводные'!$B$65)^MAX(0,(12*(YEAR(DQ$3)-YEAR($B$31))+MONTH(DQ$3)-MONTH($B$31))))</x:f>
      </x:c>
      <x:c r="DR41" s="107" t="n">
        <x:f>IF(DR40=0,0,'Вводные'!$B$60*'Вводные'!$S$89*'Вводные'!$H$5*'Вводные'!$AG$89*(1+'Вводные'!$B$64)^MAX(0,MIN((12*(YEAR(DR$3)-YEAR($B$30))+MONTH(DR$3)-MONTH($B$30)),(12*(YEAR($B$31)-YEAR($B$30))+MONTH($B$31)-MONTH($B$30))))*(1+'Вводные'!$B$65)^MAX(0,(12*(YEAR(DR$3)-YEAR($B$31))+MONTH(DR$3)-MONTH($B$31))))</x:f>
      </x:c>
      <x:c r="DS41" s="107" t="n">
        <x:f>IF(DS40=0,0,'Вводные'!$B$60*'Вводные'!$S$89*'Вводные'!$H$5*'Вводные'!$AG$89*(1+'Вводные'!$B$64)^MAX(0,MIN((12*(YEAR(DS$3)-YEAR($B$30))+MONTH(DS$3)-MONTH($B$30)),(12*(YEAR($B$31)-YEAR($B$30))+MONTH($B$31)-MONTH($B$30))))*(1+'Вводные'!$B$65)^MAX(0,(12*(YEAR(DS$3)-YEAR($B$31))+MONTH(DS$3)-MONTH($B$31))))</x:f>
      </x:c>
      <x:c r="DT41" s="107" t="n">
        <x:f>IF(DT40=0,0,'Вводные'!$B$60*'Вводные'!$S$89*'Вводные'!$H$5*'Вводные'!$AG$89*(1+'Вводные'!$B$64)^MAX(0,MIN((12*(YEAR(DT$3)-YEAR($B$30))+MONTH(DT$3)-MONTH($B$30)),(12*(YEAR($B$31)-YEAR($B$30))+MONTH($B$31)-MONTH($B$30))))*(1+'Вводные'!$B$65)^MAX(0,(12*(YEAR(DT$3)-YEAR($B$31))+MONTH(DT$3)-MONTH($B$31))))</x:f>
      </x:c>
      <x:c r="DU41" s="107" t="n">
        <x:f>IF(DU40=0,0,'Вводные'!$B$60*'Вводные'!$S$89*'Вводные'!$H$5*'Вводные'!$AG$89*(1+'Вводные'!$B$64)^MAX(0,MIN((12*(YEAR(DU$3)-YEAR($B$30))+MONTH(DU$3)-MONTH($B$30)),(12*(YEAR($B$31)-YEAR($B$30))+MONTH($B$31)-MONTH($B$30))))*(1+'Вводные'!$B$65)^MAX(0,(12*(YEAR(DU$3)-YEAR($B$31))+MONTH(DU$3)-MONTH($B$31))))</x:f>
      </x:c>
      <x:c r="DV41" s="107" t="n">
        <x:f>IF(DV40=0,0,'Вводные'!$B$60*'Вводные'!$S$89*'Вводные'!$H$5*'Вводные'!$AG$89*(1+'Вводные'!$B$64)^MAX(0,MIN((12*(YEAR(DV$3)-YEAR($B$30))+MONTH(DV$3)-MONTH($B$30)),(12*(YEAR($B$31)-YEAR($B$30))+MONTH($B$31)-MONTH($B$30))))*(1+'Вводные'!$B$65)^MAX(0,(12*(YEAR(DV$3)-YEAR($B$31))+MONTH(DV$3)-MONTH($B$31))))</x:f>
      </x:c>
      <x:c r="DW41" s="107" t="n">
        <x:f>IF(DW40=0,0,'Вводные'!$B$60*'Вводные'!$S$89*'Вводные'!$H$5*'Вводные'!$AG$89*(1+'Вводные'!$B$64)^MAX(0,MIN((12*(YEAR(DW$3)-YEAR($B$30))+MONTH(DW$3)-MONTH($B$30)),(12*(YEAR($B$31)-YEAR($B$30))+MONTH($B$31)-MONTH($B$30))))*(1+'Вводные'!$B$65)^MAX(0,(12*(YEAR(DW$3)-YEAR($B$31))+MONTH(DW$3)-MONTH($B$31))))</x:f>
      </x:c>
      <x:c r="DX41" s="107" t="n">
        <x:f>IF(DX40=0,0,'Вводные'!$B$60*'Вводные'!$S$89*'Вводные'!$H$5*'Вводные'!$AG$89*(1+'Вводные'!$B$64)^MAX(0,MIN((12*(YEAR(DX$3)-YEAR($B$30))+MONTH(DX$3)-MONTH($B$30)),(12*(YEAR($B$31)-YEAR($B$30))+MONTH($B$31)-MONTH($B$30))))*(1+'Вводные'!$B$65)^MAX(0,(12*(YEAR(DX$3)-YEAR($B$31))+MONTH(DX$3)-MONTH($B$31))))</x:f>
      </x:c>
      <x:c r="DY41" s="107" t="n">
        <x:f>IF(DY40=0,0,'Вводные'!$B$60*'Вводные'!$S$89*'Вводные'!$H$5*'Вводные'!$AG$89*(1+'Вводные'!$B$64)^MAX(0,MIN((12*(YEAR(DY$3)-YEAR($B$30))+MONTH(DY$3)-MONTH($B$30)),(12*(YEAR($B$31)-YEAR($B$30))+MONTH($B$31)-MONTH($B$30))))*(1+'Вводные'!$B$65)^MAX(0,(12*(YEAR(DY$3)-YEAR($B$31))+MONTH(DY$3)-MONTH($B$31))))</x:f>
      </x:c>
      <x:c r="DZ41" s="107" t="n">
        <x:f>IF(DZ40=0,0,'Вводные'!$B$60*'Вводные'!$S$89*'Вводные'!$H$5*'Вводные'!$AG$89*(1+'Вводные'!$B$64)^MAX(0,MIN((12*(YEAR(DZ$3)-YEAR($B$30))+MONTH(DZ$3)-MONTH($B$30)),(12*(YEAR($B$31)-YEAR($B$30))+MONTH($B$31)-MONTH($B$30))))*(1+'Вводные'!$B$65)^MAX(0,(12*(YEAR(DZ$3)-YEAR($B$31))+MONTH(DZ$3)-MONTH($B$31))))</x:f>
      </x:c>
      <x:c r="EA41" s="107" t="n">
        <x:f>IF(EA40=0,0,'Вводные'!$B$60*'Вводные'!$S$89*'Вводные'!$H$5*'Вводные'!$AG$89*(1+'Вводные'!$B$64)^MAX(0,MIN((12*(YEAR(EA$3)-YEAR($B$30))+MONTH(EA$3)-MONTH($B$30)),(12*(YEAR($B$31)-YEAR($B$30))+MONTH($B$31)-MONTH($B$30))))*(1+'Вводные'!$B$65)^MAX(0,(12*(YEAR(EA$3)-YEAR($B$31))+MONTH(EA$3)-MONTH($B$31))))</x:f>
      </x:c>
      <x:c r="EB41" s="107" t="n">
        <x:f>IF(EB40=0,0,'Вводные'!$B$60*'Вводные'!$S$89*'Вводные'!$H$5*'Вводные'!$AG$89*(1+'Вводные'!$B$64)^MAX(0,MIN((12*(YEAR(EB$3)-YEAR($B$30))+MONTH(EB$3)-MONTH($B$30)),(12*(YEAR($B$31)-YEAR($B$30))+MONTH($B$31)-MONTH($B$30))))*(1+'Вводные'!$B$65)^MAX(0,(12*(YEAR(EB$3)-YEAR($B$31))+MONTH(EB$3)-MONTH($B$31))))</x:f>
      </x:c>
      <x:c r="EC41" s="107" t="n">
        <x:f>IF(EC40=0,0,'Вводные'!$B$60*'Вводные'!$S$89*'Вводные'!$H$5*'Вводные'!$AG$89*(1+'Вводные'!$B$64)^MAX(0,MIN((12*(YEAR(EC$3)-YEAR($B$30))+MONTH(EC$3)-MONTH($B$30)),(12*(YEAR($B$31)-YEAR($B$30))+MONTH($B$31)-MONTH($B$30))))*(1+'Вводные'!$B$65)^MAX(0,(12*(YEAR(EC$3)-YEAR($B$31))+MONTH(EC$3)-MONTH($B$31))))</x:f>
      </x:c>
      <x:c r="ED41" s="107" t="n">
        <x:f>IF(ED40=0,0,'Вводные'!$B$60*'Вводные'!$S$89*'Вводные'!$H$5*'Вводные'!$AG$89*(1+'Вводные'!$B$64)^MAX(0,MIN((12*(YEAR(ED$3)-YEAR($B$30))+MONTH(ED$3)-MONTH($B$30)),(12*(YEAR($B$31)-YEAR($B$30))+MONTH($B$31)-MONTH($B$30))))*(1+'Вводные'!$B$65)^MAX(0,(12*(YEAR(ED$3)-YEAR($B$31))+MONTH(ED$3)-MONTH($B$31))))</x:f>
      </x:c>
      <x:c r="EE41" s="107" t="n">
        <x:f>IF(EE40=0,0,'Вводные'!$B$60*'Вводные'!$S$89*'Вводные'!$H$5*'Вводные'!$AG$89*(1+'Вводные'!$B$64)^MAX(0,MIN((12*(YEAR(EE$3)-YEAR($B$30))+MONTH(EE$3)-MONTH($B$30)),(12*(YEAR($B$31)-YEAR($B$30))+MONTH($B$31)-MONTH($B$30))))*(1+'Вводные'!$B$65)^MAX(0,(12*(YEAR(EE$3)-YEAR($B$31))+MONTH(EE$3)-MONTH($B$31))))</x:f>
      </x:c>
      <x:c r="EF41" s="107" t="n">
        <x:f>IF(EF40=0,0,'Вводные'!$B$60*'Вводные'!$S$89*'Вводные'!$H$5*'Вводные'!$AG$89*(1+'Вводные'!$B$64)^MAX(0,MIN((12*(YEAR(EF$3)-YEAR($B$30))+MONTH(EF$3)-MONTH($B$30)),(12*(YEAR($B$31)-YEAR($B$30))+MONTH($B$31)-MONTH($B$30))))*(1+'Вводные'!$B$65)^MAX(0,(12*(YEAR(EF$3)-YEAR($B$31))+MONTH(EF$3)-MONTH($B$31))))</x:f>
      </x:c>
      <x:c r="EG41" s="107" t="n">
        <x:f>IF(EG40=0,0,'Вводные'!$B$60*'Вводные'!$S$89*'Вводные'!$H$5*'Вводные'!$AG$89*(1+'Вводные'!$B$64)^MAX(0,MIN((12*(YEAR(EG$3)-YEAR($B$30))+MONTH(EG$3)-MONTH($B$30)),(12*(YEAR($B$31)-YEAR($B$30))+MONTH($B$31)-MONTH($B$30))))*(1+'Вводные'!$B$65)^MAX(0,(12*(YEAR(EG$3)-YEAR($B$31))+MONTH(EG$3)-MONTH($B$31))))</x:f>
      </x:c>
      <x:c r="EH41" s="107" t="n">
        <x:f>IF(EH40=0,0,'Вводные'!$B$60*'Вводные'!$S$89*'Вводные'!$H$5*'Вводные'!$AG$89*(1+'Вводные'!$B$64)^MAX(0,MIN((12*(YEAR(EH$3)-YEAR($B$30))+MONTH(EH$3)-MONTH($B$30)),(12*(YEAR($B$31)-YEAR($B$30))+MONTH($B$31)-MONTH($B$30))))*(1+'Вводные'!$B$65)^MAX(0,(12*(YEAR(EH$3)-YEAR($B$31))+MONTH(EH$3)-MONTH($B$31))))</x:f>
      </x:c>
      <x:c r="EI41" s="107" t="n">
        <x:f>IF(EI40=0,0,'Вводные'!$B$60*'Вводные'!$S$89*'Вводные'!$H$5*'Вводные'!$AG$89*(1+'Вводные'!$B$64)^MAX(0,MIN((12*(YEAR(EI$3)-YEAR($B$30))+MONTH(EI$3)-MONTH($B$30)),(12*(YEAR($B$31)-YEAR($B$30))+MONTH($B$31)-MONTH($B$30))))*(1+'Вводные'!$B$65)^MAX(0,(12*(YEAR(EI$3)-YEAR($B$31))+MONTH(EI$3)-MONTH($B$31))))</x:f>
      </x:c>
      <x:c r="EJ41" s="107" t="n">
        <x:f>IF(EJ40=0,0,'Вводные'!$B$60*'Вводные'!$S$89*'Вводные'!$H$5*'Вводные'!$AG$89*(1+'Вводные'!$B$64)^MAX(0,MIN((12*(YEAR(EJ$3)-YEAR($B$30))+MONTH(EJ$3)-MONTH($B$30)),(12*(YEAR($B$31)-YEAR($B$30))+MONTH($B$31)-MONTH($B$30))))*(1+'Вводные'!$B$65)^MAX(0,(12*(YEAR(EJ$3)-YEAR($B$31))+MONTH(EJ$3)-MONTH($B$31))))</x:f>
      </x:c>
      <x:c r="EK41" s="107" t="n">
        <x:f>IF(EK40=0,0,'Вводные'!$B$60*'Вводные'!$S$89*'Вводные'!$H$5*'Вводные'!$AG$89*(1+'Вводные'!$B$64)^MAX(0,MIN((12*(YEAR(EK$3)-YEAR($B$30))+MONTH(EK$3)-MONTH($B$30)),(12*(YEAR($B$31)-YEAR($B$30))+MONTH($B$31)-MONTH($B$30))))*(1+'Вводные'!$B$65)^MAX(0,(12*(YEAR(EK$3)-YEAR($B$31))+MONTH(EK$3)-MONTH($B$31))))</x:f>
      </x:c>
      <x:c r="EL41" s="107" t="n">
        <x:f>IF(EL40=0,0,'Вводные'!$B$60*'Вводные'!$S$89*'Вводные'!$H$5*'Вводные'!$AG$89*(1+'Вводные'!$B$64)^MAX(0,MIN((12*(YEAR(EL$3)-YEAR($B$30))+MONTH(EL$3)-MONTH($B$30)),(12*(YEAR($B$31)-YEAR($B$30))+MONTH($B$31)-MONTH($B$30))))*(1+'Вводные'!$B$65)^MAX(0,(12*(YEAR(EL$3)-YEAR($B$31))+MONTH(EL$3)-MONTH($B$31))))</x:f>
      </x:c>
      <x:c r="EM41" s="107" t="n">
        <x:f>IF(EM40=0,0,'Вводные'!$B$60*'Вводные'!$S$89*'Вводные'!$H$5*'Вводные'!$AG$89*(1+'Вводные'!$B$64)^MAX(0,MIN((12*(YEAR(EM$3)-YEAR($B$30))+MONTH(EM$3)-MONTH($B$30)),(12*(YEAR($B$31)-YEAR($B$30))+MONTH($B$31)-MONTH($B$30))))*(1+'Вводные'!$B$65)^MAX(0,(12*(YEAR(EM$3)-YEAR($B$31))+MONTH(EM$3)-MONTH($B$31))))</x:f>
      </x:c>
      <x:c r="EN41" s="107" t="n">
        <x:f>IF(EN40=0,0,'Вводные'!$B$60*'Вводные'!$S$89*'Вводные'!$H$5*'Вводные'!$AG$89*(1+'Вводные'!$B$64)^MAX(0,MIN((12*(YEAR(EN$3)-YEAR($B$30))+MONTH(EN$3)-MONTH($B$30)),(12*(YEAR($B$31)-YEAR($B$30))+MONTH($B$31)-MONTH($B$30))))*(1+'Вводные'!$B$65)^MAX(0,(12*(YEAR(EN$3)-YEAR($B$31))+MONTH(EN$3)-MONTH($B$31))))</x:f>
      </x:c>
      <x:c r="EO41" s="107" t="n">
        <x:f>IF(EO40=0,0,'Вводные'!$B$60*'Вводные'!$S$89*'Вводные'!$H$5*'Вводные'!$AG$89*(1+'Вводные'!$B$64)^MAX(0,MIN((12*(YEAR(EO$3)-YEAR($B$30))+MONTH(EO$3)-MONTH($B$30)),(12*(YEAR($B$31)-YEAR($B$30))+MONTH($B$31)-MONTH($B$30))))*(1+'Вводные'!$B$65)^MAX(0,(12*(YEAR(EO$3)-YEAR($B$31))+MONTH(EO$3)-MONTH($B$31))))</x:f>
      </x:c>
      <x:c r="EP41" s="107" t="n">
        <x:f>IF(EP40=0,0,'Вводные'!$B$60*'Вводные'!$S$89*'Вводные'!$H$5*'Вводные'!$AG$89*(1+'Вводные'!$B$64)^MAX(0,MIN((12*(YEAR(EP$3)-YEAR($B$30))+MONTH(EP$3)-MONTH($B$30)),(12*(YEAR($B$31)-YEAR($B$30))+MONTH($B$31)-MONTH($B$30))))*(1+'Вводные'!$B$65)^MAX(0,(12*(YEAR(EP$3)-YEAR($B$31))+MONTH(EP$3)-MONTH($B$31))))</x:f>
      </x:c>
      <x:c r="EQ41" s="107" t="n">
        <x:f>IF(EQ40=0,0,'Вводные'!$B$60*'Вводные'!$S$89*'Вводные'!$H$5*'Вводные'!$AG$89*(1+'Вводные'!$B$64)^MAX(0,MIN((12*(YEAR(EQ$3)-YEAR($B$30))+MONTH(EQ$3)-MONTH($B$30)),(12*(YEAR($B$31)-YEAR($B$30))+MONTH($B$31)-MONTH($B$30))))*(1+'Вводные'!$B$65)^MAX(0,(12*(YEAR(EQ$3)-YEAR($B$31))+MONTH(EQ$3)-MONTH($B$31))))</x:f>
      </x:c>
      <x:c r="ER41" s="107" t="n">
        <x:f>IF(ER40=0,0,'Вводные'!$B$60*'Вводные'!$S$89*'Вводные'!$H$5*'Вводные'!$AG$89*(1+'Вводные'!$B$64)^MAX(0,MIN((12*(YEAR(ER$3)-YEAR($B$30))+MONTH(ER$3)-MONTH($B$30)),(12*(YEAR($B$31)-YEAR($B$30))+MONTH($B$31)-MONTH($B$30))))*(1+'Вводные'!$B$65)^MAX(0,(12*(YEAR(ER$3)-YEAR($B$31))+MONTH(ER$3)-MONTH($B$31))))</x:f>
      </x:c>
      <x:c r="ES41" s="107" t="n">
        <x:f>IF(ES40=0,0,'Вводные'!$B$60*'Вводные'!$S$89*'Вводные'!$H$5*'Вводные'!$AG$89*(1+'Вводные'!$B$64)^MAX(0,MIN((12*(YEAR(ES$3)-YEAR($B$30))+MONTH(ES$3)-MONTH($B$30)),(12*(YEAR($B$31)-YEAR($B$30))+MONTH($B$31)-MONTH($B$30))))*(1+'Вводные'!$B$65)^MAX(0,(12*(YEAR(ES$3)-YEAR($B$31))+MONTH(ES$3)-MONTH($B$31))))</x:f>
      </x:c>
      <x:c r="ET41" s="107" t="n">
        <x:f>IF(ET40=0,0,'Вводные'!$B$60*'Вводные'!$S$89*'Вводные'!$H$5*'Вводные'!$AG$89*(1+'Вводные'!$B$64)^MAX(0,MIN((12*(YEAR(ET$3)-YEAR($B$30))+MONTH(ET$3)-MONTH($B$30)),(12*(YEAR($B$31)-YEAR($B$30))+MONTH($B$31)-MONTH($B$30))))*(1+'Вводные'!$B$65)^MAX(0,(12*(YEAR(ET$3)-YEAR($B$31))+MONTH(ET$3)-MONTH($B$31))))</x:f>
      </x:c>
      <x:c r="EU41" s="107" t="n">
        <x:f>IF(EU40=0,0,'Вводные'!$B$60*'Вводные'!$S$89*'Вводные'!$H$5*'Вводные'!$AG$89*(1+'Вводные'!$B$64)^MAX(0,MIN((12*(YEAR(EU$3)-YEAR($B$30))+MONTH(EU$3)-MONTH($B$30)),(12*(YEAR($B$31)-YEAR($B$30))+MONTH($B$31)-MONTH($B$30))))*(1+'Вводные'!$B$65)^MAX(0,(12*(YEAR(EU$3)-YEAR($B$31))+MONTH(EU$3)-MONTH($B$31))))</x:f>
      </x:c>
      <x:c r="EV41" s="107" t="n">
        <x:f>IF(EV40=0,0,'Вводные'!$B$60*'Вводные'!$S$89*'Вводные'!$H$5*'Вводные'!$AG$89*(1+'Вводные'!$B$64)^MAX(0,MIN((12*(YEAR(EV$3)-YEAR($B$30))+MONTH(EV$3)-MONTH($B$30)),(12*(YEAR($B$31)-YEAR($B$30))+MONTH($B$31)-MONTH($B$30))))*(1+'Вводные'!$B$65)^MAX(0,(12*(YEAR(EV$3)-YEAR($B$31))+MONTH(EV$3)-MONTH($B$31))))</x:f>
      </x:c>
      <x:c r="EW41" s="107" t="n">
        <x:f>IF(EW40=0,0,'Вводные'!$B$60*'Вводные'!$S$89*'Вводные'!$H$5*'Вводные'!$AG$89*(1+'Вводные'!$B$64)^MAX(0,MIN((12*(YEAR(EW$3)-YEAR($B$30))+MONTH(EW$3)-MONTH($B$30)),(12*(YEAR($B$31)-YEAR($B$30))+MONTH($B$31)-MONTH($B$30))))*(1+'Вводные'!$B$65)^MAX(0,(12*(YEAR(EW$3)-YEAR($B$31))+MONTH(EW$3)-MONTH($B$31))))</x:f>
      </x:c>
      <x:c r="EX41" s="107" t="n">
        <x:f>IF(EX40=0,0,'Вводные'!$B$60*'Вводные'!$S$89*'Вводные'!$H$5*'Вводные'!$AG$89*(1+'Вводные'!$B$64)^MAX(0,MIN((12*(YEAR(EX$3)-YEAR($B$30))+MONTH(EX$3)-MONTH($B$30)),(12*(YEAR($B$31)-YEAR($B$30))+MONTH($B$31)-MONTH($B$30))))*(1+'Вводные'!$B$65)^MAX(0,(12*(YEAR(EX$3)-YEAR($B$31))+MONTH(EX$3)-MONTH($B$31))))</x:f>
      </x:c>
      <x:c r="EY41" s="107" t="n">
        <x:f>IF(EY40=0,0,'Вводные'!$B$60*'Вводные'!$S$89*'Вводные'!$H$5*'Вводные'!$AG$89*(1+'Вводные'!$B$64)^MAX(0,MIN((12*(YEAR(EY$3)-YEAR($B$30))+MONTH(EY$3)-MONTH($B$30)),(12*(YEAR($B$31)-YEAR($B$30))+MONTH($B$31)-MONTH($B$30))))*(1+'Вводные'!$B$65)^MAX(0,(12*(YEAR(EY$3)-YEAR($B$31))+MONTH(EY$3)-MONTH($B$31))))</x:f>
      </x:c>
      <x:c r="EZ41" s="107" t="n">
        <x:f>IF(EZ40=0,0,'Вводные'!$B$60*'Вводные'!$S$89*'Вводные'!$H$5*'Вводные'!$AG$89*(1+'Вводные'!$B$64)^MAX(0,MIN((12*(YEAR(EZ$3)-YEAR($B$30))+MONTH(EZ$3)-MONTH($B$30)),(12*(YEAR($B$31)-YEAR($B$30))+MONTH($B$31)-MONTH($B$30))))*(1+'Вводные'!$B$65)^MAX(0,(12*(YEAR(EZ$3)-YEAR($B$31))+MONTH(EZ$3)-MONTH($B$31))))</x:f>
      </x:c>
      <x:c r="FA41" s="107" t="n">
        <x:f>IF(FA40=0,0,'Вводные'!$B$60*'Вводные'!$S$89*'Вводные'!$H$5*'Вводные'!$AG$89*(1+'Вводные'!$B$64)^MAX(0,MIN((12*(YEAR(FA$3)-YEAR($B$30))+MONTH(FA$3)-MONTH($B$30)),(12*(YEAR($B$31)-YEAR($B$30))+MONTH($B$31)-MONTH($B$30))))*(1+'Вводные'!$B$65)^MAX(0,(12*(YEAR(FA$3)-YEAR($B$31))+MONTH(FA$3)-MONTH($B$31))))</x:f>
      </x:c>
      <x:c r="FB41" s="107" t="n">
        <x:f>IF(FB40=0,0,'Вводные'!$B$60*'Вводные'!$S$89*'Вводные'!$H$5*'Вводные'!$AG$89*(1+'Вводные'!$B$64)^MAX(0,MIN((12*(YEAR(FB$3)-YEAR($B$30))+MONTH(FB$3)-MONTH($B$30)),(12*(YEAR($B$31)-YEAR($B$30))+MONTH($B$31)-MONTH($B$30))))*(1+'Вводные'!$B$65)^MAX(0,(12*(YEAR(FB$3)-YEAR($B$31))+MONTH(FB$3)-MONTH($B$31))))</x:f>
      </x:c>
      <x:c r="FC41" s="107" t="n">
        <x:f>IF(FC40=0,0,'Вводные'!$B$60*'Вводные'!$S$89*'Вводные'!$H$5*'Вводные'!$AG$89*(1+'Вводные'!$B$64)^MAX(0,MIN((12*(YEAR(FC$3)-YEAR($B$30))+MONTH(FC$3)-MONTH($B$30)),(12*(YEAR($B$31)-YEAR($B$30))+MONTH($B$31)-MONTH($B$30))))*(1+'Вводные'!$B$65)^MAX(0,(12*(YEAR(FC$3)-YEAR($B$31))+MONTH(FC$3)-MONTH($B$31))))</x:f>
      </x:c>
      <x:c r="FD41" s="107" t="n">
        <x:f>IF(FD40=0,0,'Вводные'!$B$60*'Вводные'!$S$89*'Вводные'!$H$5*'Вводные'!$AG$89*(1+'Вводные'!$B$64)^MAX(0,MIN((12*(YEAR(FD$3)-YEAR($B$30))+MONTH(FD$3)-MONTH($B$30)),(12*(YEAR($B$31)-YEAR($B$30))+MONTH($B$31)-MONTH($B$30))))*(1+'Вводные'!$B$65)^MAX(0,(12*(YEAR(FD$3)-YEAR($B$31))+MONTH(FD$3)-MONTH($B$31))))</x:f>
      </x:c>
      <x:c r="FE41" s="107" t="n">
        <x:f>IF(FE40=0,0,'Вводные'!$B$60*'Вводные'!$S$89*'Вводные'!$H$5*'Вводные'!$AG$89*(1+'Вводные'!$B$64)^MAX(0,MIN((12*(YEAR(FE$3)-YEAR($B$30))+MONTH(FE$3)-MONTH($B$30)),(12*(YEAR($B$31)-YEAR($B$30))+MONTH($B$31)-MONTH($B$30))))*(1+'Вводные'!$B$65)^MAX(0,(12*(YEAR(FE$3)-YEAR($B$31))+MONTH(FE$3)-MONTH($B$31))))</x:f>
      </x:c>
      <x:c r="FF41" s="107" t="n">
        <x:f>IF(FF40=0,0,'Вводные'!$B$60*'Вводные'!$S$89*'Вводные'!$H$5*'Вводные'!$AG$89*(1+'Вводные'!$B$64)^MAX(0,MIN((12*(YEAR(FF$3)-YEAR($B$30))+MONTH(FF$3)-MONTH($B$30)),(12*(YEAR($B$31)-YEAR($B$30))+MONTH($B$31)-MONTH($B$30))))*(1+'Вводные'!$B$65)^MAX(0,(12*(YEAR(FF$3)-YEAR($B$31))+MONTH(FF$3)-MONTH($B$31))))</x:f>
      </x:c>
      <x:c r="FG41" s="107" t="n">
        <x:f>IF(FG40=0,0,'Вводные'!$B$60*'Вводные'!$S$89*'Вводные'!$H$5*'Вводные'!$AG$89*(1+'Вводные'!$B$64)^MAX(0,MIN((12*(YEAR(FG$3)-YEAR($B$30))+MONTH(FG$3)-MONTH($B$30)),(12*(YEAR($B$31)-YEAR($B$30))+MONTH($B$31)-MONTH($B$30))))*(1+'Вводные'!$B$65)^MAX(0,(12*(YEAR(FG$3)-YEAR($B$31))+MONTH(FG$3)-MONTH($B$31))))</x:f>
      </x:c>
      <x:c r="FH41" s="107" t="n">
        <x:f>IF(FH40=0,0,'Вводные'!$B$60*'Вводные'!$S$89*'Вводные'!$H$5*'Вводные'!$AG$89*(1+'Вводные'!$B$64)^MAX(0,MIN((12*(YEAR(FH$3)-YEAR($B$30))+MONTH(FH$3)-MONTH($B$30)),(12*(YEAR($B$31)-YEAR($B$30))+MONTH($B$31)-MONTH($B$30))))*(1+'Вводные'!$B$65)^MAX(0,(12*(YEAR(FH$3)-YEAR($B$31))+MONTH(FH$3)-MONTH($B$31))))</x:f>
      </x:c>
      <x:c r="FI41" s="107" t="n">
        <x:f>IF(FI40=0,0,'Вводные'!$B$60*'Вводные'!$S$89*'Вводные'!$H$5*'Вводные'!$AG$89*(1+'Вводные'!$B$64)^MAX(0,MIN((12*(YEAR(FI$3)-YEAR($B$30))+MONTH(FI$3)-MONTH($B$30)),(12*(YEAR($B$31)-YEAR($B$30))+MONTH($B$31)-MONTH($B$30))))*(1+'Вводные'!$B$65)^MAX(0,(12*(YEAR(FI$3)-YEAR($B$31))+MONTH(FI$3)-MONTH($B$31))))</x:f>
      </x:c>
      <x:c r="FJ41" s="107" t="n">
        <x:f>IF(FJ40=0,0,'Вводные'!$B$60*'Вводные'!$S$89*'Вводные'!$H$5*'Вводные'!$AG$89*(1+'Вводные'!$B$64)^MAX(0,MIN((12*(YEAR(FJ$3)-YEAR($B$30))+MONTH(FJ$3)-MONTH($B$30)),(12*(YEAR($B$31)-YEAR($B$30))+MONTH($B$31)-MONTH($B$30))))*(1+'Вводные'!$B$65)^MAX(0,(12*(YEAR(FJ$3)-YEAR($B$31))+MONTH(FJ$3)-MONTH($B$31))))</x:f>
      </x:c>
      <x:c r="FK41" s="107" t="n">
        <x:f>IF(FK40=0,0,'Вводные'!$B$60*'Вводные'!$S$89*'Вводные'!$H$5*'Вводные'!$AG$89*(1+'Вводные'!$B$64)^MAX(0,MIN((12*(YEAR(FK$3)-YEAR($B$30))+MONTH(FK$3)-MONTH($B$30)),(12*(YEAR($B$31)-YEAR($B$30))+MONTH($B$31)-MONTH($B$30))))*(1+'Вводные'!$B$65)^MAX(0,(12*(YEAR(FK$3)-YEAR($B$31))+MONTH(FK$3)-MONTH($B$31))))</x:f>
      </x:c>
      <x:c r="FL41" s="107" t="n">
        <x:f>IF(FL40=0,0,'Вводные'!$B$60*'Вводные'!$S$89*'Вводные'!$H$5*'Вводные'!$AG$89*(1+'Вводные'!$B$64)^MAX(0,MIN((12*(YEAR(FL$3)-YEAR($B$30))+MONTH(FL$3)-MONTH($B$30)),(12*(YEAR($B$31)-YEAR($B$30))+MONTH($B$31)-MONTH($B$30))))*(1+'Вводные'!$B$65)^MAX(0,(12*(YEAR(FL$3)-YEAR($B$31))+MONTH(FL$3)-MONTH($B$31))))</x:f>
      </x:c>
      <x:c r="FM41" s="107" t="n">
        <x:f>IF(FM40=0,0,'Вводные'!$B$60*'Вводные'!$S$89*'Вводные'!$H$5*'Вводные'!$AG$89*(1+'Вводные'!$B$64)^MAX(0,MIN((12*(YEAR(FM$3)-YEAR($B$30))+MONTH(FM$3)-MONTH($B$30)),(12*(YEAR($B$31)-YEAR($B$30))+MONTH($B$31)-MONTH($B$30))))*(1+'Вводные'!$B$65)^MAX(0,(12*(YEAR(FM$3)-YEAR($B$31))+MONTH(FM$3)-MONTH($B$31))))</x:f>
      </x:c>
      <x:c r="FN41" s="107" t="n">
        <x:f>IF(FN40=0,0,'Вводные'!$B$60*'Вводные'!$S$89*'Вводные'!$H$5*'Вводные'!$AG$89*(1+'Вводные'!$B$64)^MAX(0,MIN((12*(YEAR(FN$3)-YEAR($B$30))+MONTH(FN$3)-MONTH($B$30)),(12*(YEAR($B$31)-YEAR($B$30))+MONTH($B$31)-MONTH($B$30))))*(1+'Вводные'!$B$65)^MAX(0,(12*(YEAR(FN$3)-YEAR($B$31))+MONTH(FN$3)-MONTH($B$31))))</x:f>
      </x:c>
      <x:c r="FO41" s="107" t="n">
        <x:f>IF(FO40=0,0,'Вводные'!$B$60*'Вводные'!$S$89*'Вводные'!$H$5*'Вводные'!$AG$89*(1+'Вводные'!$B$64)^MAX(0,MIN((12*(YEAR(FO$3)-YEAR($B$30))+MONTH(FO$3)-MONTH($B$30)),(12*(YEAR($B$31)-YEAR($B$30))+MONTH($B$31)-MONTH($B$30))))*(1+'Вводные'!$B$65)^MAX(0,(12*(YEAR(FO$3)-YEAR($B$31))+MONTH(FO$3)-MONTH($B$31))))</x:f>
      </x:c>
      <x:c r="FP41" s="107" t="n">
        <x:f>IF(FP40=0,0,'Вводные'!$B$60*'Вводные'!$S$89*'Вводные'!$H$5*'Вводные'!$AG$89*(1+'Вводные'!$B$64)^MAX(0,MIN((12*(YEAR(FP$3)-YEAR($B$30))+MONTH(FP$3)-MONTH($B$30)),(12*(YEAR($B$31)-YEAR($B$30))+MONTH($B$31)-MONTH($B$30))))*(1+'Вводные'!$B$65)^MAX(0,(12*(YEAR(FP$3)-YEAR($B$31))+MONTH(FP$3)-MONTH($B$31))))</x:f>
      </x:c>
      <x:c r="FQ41" s="107" t="n">
        <x:f>IF(FQ40=0,0,'Вводные'!$B$60*'Вводные'!$S$89*'Вводные'!$H$5*'Вводные'!$AG$89*(1+'Вводные'!$B$64)^MAX(0,MIN((12*(YEAR(FQ$3)-YEAR($B$30))+MONTH(FQ$3)-MONTH($B$30)),(12*(YEAR($B$31)-YEAR($B$30))+MONTH($B$31)-MONTH($B$30))))*(1+'Вводные'!$B$65)^MAX(0,(12*(YEAR(FQ$3)-YEAR($B$31))+MONTH(FQ$3)-MONTH($B$31))))</x:f>
      </x:c>
      <x:c r="FR41" s="107" t="n">
        <x:f>IF(FR40=0,0,'Вводные'!$B$60*'Вводные'!$S$89*'Вводные'!$H$5*'Вводные'!$AG$89*(1+'Вводные'!$B$64)^MAX(0,MIN((12*(YEAR(FR$3)-YEAR($B$30))+MONTH(FR$3)-MONTH($B$30)),(12*(YEAR($B$31)-YEAR($B$30))+MONTH($B$31)-MONTH($B$30))))*(1+'Вводные'!$B$65)^MAX(0,(12*(YEAR(FR$3)-YEAR($B$31))+MONTH(FR$3)-MONTH($B$31))))</x:f>
      </x:c>
      <x:c r="FS41" s="107" t="n">
        <x:f>IF(FS40=0,0,'Вводные'!$B$60*'Вводные'!$S$89*'Вводные'!$H$5*'Вводные'!$AG$89*(1+'Вводные'!$B$64)^MAX(0,MIN((12*(YEAR(FS$3)-YEAR($B$30))+MONTH(FS$3)-MONTH($B$30)),(12*(YEAR($B$31)-YEAR($B$30))+MONTH($B$31)-MONTH($B$30))))*(1+'Вводные'!$B$65)^MAX(0,(12*(YEAR(FS$3)-YEAR($B$31))+MONTH(FS$3)-MONTH($B$31))))</x:f>
      </x:c>
      <x:c r="FT41" s="107" t="n">
        <x:f>IF(FT40=0,0,'Вводные'!$B$60*'Вводные'!$S$89*'Вводные'!$H$5*'Вводные'!$AG$89*(1+'Вводные'!$B$64)^MAX(0,MIN((12*(YEAR(FT$3)-YEAR($B$30))+MONTH(FT$3)-MONTH($B$30)),(12*(YEAR($B$31)-YEAR($B$30))+MONTH($B$31)-MONTH($B$30))))*(1+'Вводные'!$B$65)^MAX(0,(12*(YEAR(FT$3)-YEAR($B$31))+MONTH(FT$3)-MONTH($B$31))))</x:f>
      </x:c>
      <x:c r="FU41" s="107" t="n">
        <x:f>IF(FU40=0,0,'Вводные'!$B$60*'Вводные'!$S$89*'Вводные'!$H$5*'Вводные'!$AG$89*(1+'Вводные'!$B$64)^MAX(0,MIN((12*(YEAR(FU$3)-YEAR($B$30))+MONTH(FU$3)-MONTH($B$30)),(12*(YEAR($B$31)-YEAR($B$30))+MONTH($B$31)-MONTH($B$30))))*(1+'Вводные'!$B$65)^MAX(0,(12*(YEAR(FU$3)-YEAR($B$31))+MONTH(FU$3)-MONTH($B$31))))</x:f>
      </x:c>
      <x:c r="FV41" s="107" t="n">
        <x:f>IF(FV40=0,0,'Вводные'!$B$60*'Вводные'!$S$89*'Вводные'!$H$5*'Вводные'!$AG$89*(1+'Вводные'!$B$64)^MAX(0,MIN((12*(YEAR(FV$3)-YEAR($B$30))+MONTH(FV$3)-MONTH($B$30)),(12*(YEAR($B$31)-YEAR($B$30))+MONTH($B$31)-MONTH($B$30))))*(1+'Вводные'!$B$65)^MAX(0,(12*(YEAR(FV$3)-YEAR($B$31))+MONTH(FV$3)-MONTH($B$31))))</x:f>
      </x:c>
      <x:c r="FW41" s="107" t="n">
        <x:f>IF(FW40=0,0,'Вводные'!$B$60*'Вводные'!$S$89*'Вводные'!$H$5*'Вводные'!$AG$89*(1+'Вводные'!$B$64)^MAX(0,MIN((12*(YEAR(FW$3)-YEAR($B$30))+MONTH(FW$3)-MONTH($B$30)),(12*(YEAR($B$31)-YEAR($B$30))+MONTH($B$31)-MONTH($B$30))))*(1+'Вводные'!$B$65)^MAX(0,(12*(YEAR(FW$3)-YEAR($B$31))+MONTH(FW$3)-MONTH($B$31))))</x:f>
      </x:c>
      <x:c r="FX41" s="107" t="n">
        <x:f>IF(FX40=0,0,'Вводные'!$B$60*'Вводные'!$S$89*'Вводные'!$H$5*'Вводные'!$AG$89*(1+'Вводные'!$B$64)^MAX(0,MIN((12*(YEAR(FX$3)-YEAR($B$30))+MONTH(FX$3)-MONTH($B$30)),(12*(YEAR($B$31)-YEAR($B$30))+MONTH($B$31)-MONTH($B$30))))*(1+'Вводные'!$B$65)^MAX(0,(12*(YEAR(FX$3)-YEAR($B$31))+MONTH(FX$3)-MONTH($B$31))))</x:f>
      </x:c>
      <x:c r="FY41" s="107" t="n">
        <x:f>IF(FY40=0,0,'Вводные'!$B$60*'Вводные'!$S$89*'Вводные'!$H$5*'Вводные'!$AG$89*(1+'Вводные'!$B$64)^MAX(0,MIN((12*(YEAR(FY$3)-YEAR($B$30))+MONTH(FY$3)-MONTH($B$30)),(12*(YEAR($B$31)-YEAR($B$30))+MONTH($B$31)-MONTH($B$30))))*(1+'Вводные'!$B$65)^MAX(0,(12*(YEAR(FY$3)-YEAR($B$31))+MONTH(FY$3)-MONTH($B$31))))</x:f>
      </x:c>
      <x:c r="FZ41" s="107" t="n">
        <x:f>IF(FZ40=0,0,'Вводные'!$B$60*'Вводные'!$S$89*'Вводные'!$H$5*'Вводные'!$AG$89*(1+'Вводные'!$B$64)^MAX(0,MIN((12*(YEAR(FZ$3)-YEAR($B$30))+MONTH(FZ$3)-MONTH($B$30)),(12*(YEAR($B$31)-YEAR($B$30))+MONTH($B$31)-MONTH($B$30))))*(1+'Вводные'!$B$65)^MAX(0,(12*(YEAR(FZ$3)-YEAR($B$31))+MONTH(FZ$3)-MONTH($B$31))))</x:f>
      </x:c>
      <x:c r="GA41" s="107" t="n">
        <x:f>IF(GA40=0,0,'Вводные'!$B$60*'Вводные'!$S$89*'Вводные'!$H$5*'Вводные'!$AG$89*(1+'Вводные'!$B$64)^MAX(0,MIN((12*(YEAR(GA$3)-YEAR($B$30))+MONTH(GA$3)-MONTH($B$30)),(12*(YEAR($B$31)-YEAR($B$30))+MONTH($B$31)-MONTH($B$30))))*(1+'Вводные'!$B$65)^MAX(0,(12*(YEAR(GA$3)-YEAR($B$31))+MONTH(GA$3)-MONTH($B$31))))</x:f>
      </x:c>
    </x:row>
    <x:row r="42">
      <x:c r="A42" t="str">
        <x:v>Коммерция — выручка</x:v>
      </x:c>
      <x:c r="B42" t="n">
        <x:f>SUM(D42:GA42)</x:f>
      </x:c>
      <x:c r="C42" t="str">
        <x:v>млн ₽</x:v>
      </x:c>
      <x:c r="D42" s="107" t="n">
        <x:f>D40*D41/1000</x:f>
      </x:c>
      <x:c r="E42" s="107" t="n">
        <x:f>E40*E41/1000</x:f>
      </x:c>
      <x:c r="F42" s="107" t="n">
        <x:f>F40*F41/1000</x:f>
      </x:c>
      <x:c r="G42" s="107" t="n">
        <x:f>G40*G41/1000</x:f>
      </x:c>
      <x:c r="H42" s="107" t="n">
        <x:f>H40*H41/1000</x:f>
      </x:c>
      <x:c r="I42" s="107" t="n">
        <x:f>I40*I41/1000</x:f>
      </x:c>
      <x:c r="J42" s="107" t="n">
        <x:f>J40*J41/1000</x:f>
      </x:c>
      <x:c r="K42" s="107" t="n">
        <x:f>K40*K41/1000</x:f>
      </x:c>
      <x:c r="L42" s="107" t="n">
        <x:f>L40*L41/1000</x:f>
      </x:c>
      <x:c r="M42" s="107" t="n">
        <x:f>M40*M41/1000</x:f>
      </x:c>
      <x:c r="N42" s="107" t="n">
        <x:f>N40*N41/1000</x:f>
      </x:c>
      <x:c r="O42" s="107" t="n">
        <x:f>O40*O41/1000</x:f>
      </x:c>
      <x:c r="P42" s="107" t="n">
        <x:f>P40*P41/1000</x:f>
      </x:c>
      <x:c r="Q42" s="107" t="n">
        <x:f>Q40*Q41/1000</x:f>
      </x:c>
      <x:c r="R42" s="107" t="n">
        <x:f>R40*R41/1000</x:f>
      </x:c>
      <x:c r="S42" s="107" t="n">
        <x:f>S40*S41/1000</x:f>
      </x:c>
      <x:c r="T42" s="107" t="n">
        <x:f>T40*T41/1000</x:f>
      </x:c>
      <x:c r="U42" s="107" t="n">
        <x:f>U40*U41/1000</x:f>
      </x:c>
      <x:c r="V42" s="107" t="n">
        <x:f>V40*V41/1000</x:f>
      </x:c>
      <x:c r="W42" s="107" t="n">
        <x:f>W40*W41/1000</x:f>
      </x:c>
      <x:c r="X42" s="107" t="n">
        <x:f>X40*X41/1000</x:f>
      </x:c>
      <x:c r="Y42" s="107" t="n">
        <x:f>Y40*Y41/1000</x:f>
      </x:c>
      <x:c r="Z42" s="107" t="n">
        <x:f>Z40*Z41/1000</x:f>
      </x:c>
      <x:c r="AA42" s="107" t="n">
        <x:f>AA40*AA41/1000</x:f>
      </x:c>
      <x:c r="AB42" s="107" t="n">
        <x:f>AB40*AB41/1000</x:f>
      </x:c>
      <x:c r="AC42" s="107" t="n">
        <x:f>AC40*AC41/1000</x:f>
      </x:c>
      <x:c r="AD42" s="107" t="n">
        <x:f>AD40*AD41/1000</x:f>
      </x:c>
      <x:c r="AE42" s="107" t="n">
        <x:f>AE40*AE41/1000</x:f>
      </x:c>
      <x:c r="AF42" s="107" t="n">
        <x:f>AF40*AF41/1000</x:f>
      </x:c>
      <x:c r="AG42" s="107" t="n">
        <x:f>AG40*AG41/1000</x:f>
      </x:c>
      <x:c r="AH42" s="107" t="n">
        <x:f>AH40*AH41/1000</x:f>
      </x:c>
      <x:c r="AI42" s="107" t="n">
        <x:f>AI40*AI41/1000</x:f>
      </x:c>
      <x:c r="AJ42" s="107" t="n">
        <x:f>AJ40*AJ41/1000</x:f>
      </x:c>
      <x:c r="AK42" s="107" t="n">
        <x:f>AK40*AK41/1000</x:f>
      </x:c>
      <x:c r="AL42" s="107" t="n">
        <x:f>AL40*AL41/1000</x:f>
      </x:c>
      <x:c r="AM42" s="107" t="n">
        <x:f>AM40*AM41/1000</x:f>
      </x:c>
      <x:c r="AN42" s="107" t="n">
        <x:f>AN40*AN41/1000</x:f>
      </x:c>
      <x:c r="AO42" s="107" t="n">
        <x:f>AO40*AO41/1000</x:f>
      </x:c>
      <x:c r="AP42" s="107" t="n">
        <x:f>AP40*AP41/1000</x:f>
      </x:c>
      <x:c r="AQ42" s="107" t="n">
        <x:f>AQ40*AQ41/1000</x:f>
      </x:c>
      <x:c r="AR42" s="107" t="n">
        <x:f>AR40*AR41/1000</x:f>
      </x:c>
      <x:c r="AS42" s="107" t="n">
        <x:f>AS40*AS41/1000</x:f>
      </x:c>
      <x:c r="AT42" s="107" t="n">
        <x:f>AT40*AT41/1000</x:f>
      </x:c>
      <x:c r="AU42" s="107" t="n">
        <x:f>AU40*AU41/1000</x:f>
      </x:c>
      <x:c r="AV42" s="107" t="n">
        <x:f>AV40*AV41/1000</x:f>
      </x:c>
      <x:c r="AW42" s="107" t="n">
        <x:f>AW40*AW41/1000</x:f>
      </x:c>
      <x:c r="AX42" s="107" t="n">
        <x:f>AX40*AX41/1000</x:f>
      </x:c>
      <x:c r="AY42" s="107" t="n">
        <x:f>AY40*AY41/1000</x:f>
      </x:c>
      <x:c r="AZ42" s="107" t="n">
        <x:f>AZ40*AZ41/1000</x:f>
      </x:c>
      <x:c r="BA42" s="107" t="n">
        <x:f>BA40*BA41/1000</x:f>
      </x:c>
      <x:c r="BB42" s="107" t="n">
        <x:f>BB40*BB41/1000</x:f>
      </x:c>
      <x:c r="BC42" s="107" t="n">
        <x:f>BC40*BC41/1000</x:f>
      </x:c>
      <x:c r="BD42" s="107" t="n">
        <x:f>BD40*BD41/1000</x:f>
      </x:c>
      <x:c r="BE42" s="107" t="n">
        <x:f>BE40*BE41/1000</x:f>
      </x:c>
      <x:c r="BF42" s="107" t="n">
        <x:f>BF40*BF41/1000</x:f>
      </x:c>
      <x:c r="BG42" s="107" t="n">
        <x:f>BG40*BG41/1000</x:f>
      </x:c>
      <x:c r="BH42" s="107" t="n">
        <x:f>BH40*BH41/1000</x:f>
      </x:c>
      <x:c r="BI42" s="107" t="n">
        <x:f>BI40*BI41/1000</x:f>
      </x:c>
      <x:c r="BJ42" s="107" t="n">
        <x:f>BJ40*BJ41/1000</x:f>
      </x:c>
      <x:c r="BK42" s="107" t="n">
        <x:f>BK40*BK41/1000</x:f>
      </x:c>
      <x:c r="BL42" s="107" t="n">
        <x:f>BL40*BL41/1000</x:f>
      </x:c>
      <x:c r="BM42" s="107" t="n">
        <x:f>BM40*BM41/1000</x:f>
      </x:c>
      <x:c r="BN42" s="107" t="n">
        <x:f>BN40*BN41/1000</x:f>
      </x:c>
      <x:c r="BO42" s="107" t="n">
        <x:f>BO40*BO41/1000</x:f>
      </x:c>
      <x:c r="BP42" s="107" t="n">
        <x:f>BP40*BP41/1000</x:f>
      </x:c>
      <x:c r="BQ42" s="107" t="n">
        <x:f>BQ40*BQ41/1000</x:f>
      </x:c>
      <x:c r="BR42" s="107" t="n">
        <x:f>BR40*BR41/1000</x:f>
      </x:c>
      <x:c r="BS42" s="107" t="n">
        <x:f>BS40*BS41/1000</x:f>
      </x:c>
      <x:c r="BT42" s="107" t="n">
        <x:f>BT40*BT41/1000</x:f>
      </x:c>
      <x:c r="BU42" s="107" t="n">
        <x:f>BU40*BU41/1000</x:f>
      </x:c>
      <x:c r="BV42" s="107" t="n">
        <x:f>BV40*BV41/1000</x:f>
      </x:c>
      <x:c r="BW42" s="107" t="n">
        <x:f>BW40*BW41/1000</x:f>
      </x:c>
      <x:c r="BX42" s="107" t="n">
        <x:f>BX40*BX41/1000</x:f>
      </x:c>
      <x:c r="BY42" s="107" t="n">
        <x:f>BY40*BY41/1000</x:f>
      </x:c>
      <x:c r="BZ42" s="107" t="n">
        <x:f>BZ40*BZ41/1000</x:f>
      </x:c>
      <x:c r="CA42" s="107" t="n">
        <x:f>CA40*CA41/1000</x:f>
      </x:c>
      <x:c r="CB42" s="107" t="n">
        <x:f>CB40*CB41/1000</x:f>
      </x:c>
      <x:c r="CC42" s="107" t="n">
        <x:f>CC40*CC41/1000</x:f>
      </x:c>
      <x:c r="CD42" s="107" t="n">
        <x:f>CD40*CD41/1000</x:f>
      </x:c>
      <x:c r="CE42" s="107" t="n">
        <x:f>CE40*CE41/1000</x:f>
      </x:c>
      <x:c r="CF42" s="107" t="n">
        <x:f>CF40*CF41/1000</x:f>
      </x:c>
      <x:c r="CG42" s="107" t="n">
        <x:f>CG40*CG41/1000</x:f>
      </x:c>
      <x:c r="CH42" s="107" t="n">
        <x:f>CH40*CH41/1000</x:f>
      </x:c>
      <x:c r="CI42" s="107" t="n">
        <x:f>CI40*CI41/1000</x:f>
      </x:c>
      <x:c r="CJ42" s="107" t="n">
        <x:f>CJ40*CJ41/1000</x:f>
      </x:c>
      <x:c r="CK42" s="107" t="n">
        <x:f>CK40*CK41/1000</x:f>
      </x:c>
      <x:c r="CL42" s="107" t="n">
        <x:f>CL40*CL41/1000</x:f>
      </x:c>
      <x:c r="CM42" s="107" t="n">
        <x:f>CM40*CM41/1000</x:f>
      </x:c>
      <x:c r="CN42" s="107" t="n">
        <x:f>CN40*CN41/1000</x:f>
      </x:c>
      <x:c r="CO42" s="107" t="n">
        <x:f>CO40*CO41/1000</x:f>
      </x:c>
      <x:c r="CP42" s="107" t="n">
        <x:f>CP40*CP41/1000</x:f>
      </x:c>
      <x:c r="CQ42" s="107" t="n">
        <x:f>CQ40*CQ41/1000</x:f>
      </x:c>
      <x:c r="CR42" s="107" t="n">
        <x:f>CR40*CR41/1000</x:f>
      </x:c>
      <x:c r="CS42" s="107" t="n">
        <x:f>CS40*CS41/1000</x:f>
      </x:c>
      <x:c r="CT42" s="107" t="n">
        <x:f>CT40*CT41/1000</x:f>
      </x:c>
      <x:c r="CU42" s="107" t="n">
        <x:f>CU40*CU41/1000</x:f>
      </x:c>
      <x:c r="CV42" s="107" t="n">
        <x:f>CV40*CV41/1000</x:f>
      </x:c>
      <x:c r="CW42" s="107" t="n">
        <x:f>CW40*CW41/1000</x:f>
      </x:c>
      <x:c r="CX42" s="107" t="n">
        <x:f>CX40*CX41/1000</x:f>
      </x:c>
      <x:c r="CY42" s="107" t="n">
        <x:f>CY40*CY41/1000</x:f>
      </x:c>
      <x:c r="CZ42" s="107" t="n">
        <x:f>CZ40*CZ41/1000</x:f>
      </x:c>
      <x:c r="DA42" s="107" t="n">
        <x:f>DA40*DA41/1000</x:f>
      </x:c>
      <x:c r="DB42" s="107" t="n">
        <x:f>DB40*DB41/1000</x:f>
      </x:c>
      <x:c r="DC42" s="107" t="n">
        <x:f>DC40*DC41/1000</x:f>
      </x:c>
      <x:c r="DD42" s="107" t="n">
        <x:f>DD40*DD41/1000</x:f>
      </x:c>
      <x:c r="DE42" s="107" t="n">
        <x:f>DE40*DE41/1000</x:f>
      </x:c>
      <x:c r="DF42" s="107" t="n">
        <x:f>DF40*DF41/1000</x:f>
      </x:c>
      <x:c r="DG42" s="107" t="n">
        <x:f>DG40*DG41/1000</x:f>
      </x:c>
      <x:c r="DH42" s="107" t="n">
        <x:f>DH40*DH41/1000</x:f>
      </x:c>
      <x:c r="DI42" s="107" t="n">
        <x:f>DI40*DI41/1000</x:f>
      </x:c>
      <x:c r="DJ42" s="107" t="n">
        <x:f>DJ40*DJ41/1000</x:f>
      </x:c>
      <x:c r="DK42" s="107" t="n">
        <x:f>DK40*DK41/1000</x:f>
      </x:c>
      <x:c r="DL42" s="107" t="n">
        <x:f>DL40*DL41/1000</x:f>
      </x:c>
      <x:c r="DM42" s="107" t="n">
        <x:f>DM40*DM41/1000</x:f>
      </x:c>
      <x:c r="DN42" s="107" t="n">
        <x:f>DN40*DN41/1000</x:f>
      </x:c>
      <x:c r="DO42" s="107" t="n">
        <x:f>DO40*DO41/1000</x:f>
      </x:c>
      <x:c r="DP42" s="107" t="n">
        <x:f>DP40*DP41/1000</x:f>
      </x:c>
      <x:c r="DQ42" s="107" t="n">
        <x:f>DQ40*DQ41/1000</x:f>
      </x:c>
      <x:c r="DR42" s="107" t="n">
        <x:f>DR40*DR41/1000</x:f>
      </x:c>
      <x:c r="DS42" s="107" t="n">
        <x:f>DS40*DS41/1000</x:f>
      </x:c>
      <x:c r="DT42" s="107" t="n">
        <x:f>DT40*DT41/1000</x:f>
      </x:c>
      <x:c r="DU42" s="107" t="n">
        <x:f>DU40*DU41/1000</x:f>
      </x:c>
      <x:c r="DV42" s="107" t="n">
        <x:f>DV40*DV41/1000</x:f>
      </x:c>
      <x:c r="DW42" s="107" t="n">
        <x:f>DW40*DW41/1000</x:f>
      </x:c>
      <x:c r="DX42" s="107" t="n">
        <x:f>DX40*DX41/1000</x:f>
      </x:c>
      <x:c r="DY42" s="107" t="n">
        <x:f>DY40*DY41/1000</x:f>
      </x:c>
      <x:c r="DZ42" s="107" t="n">
        <x:f>DZ40*DZ41/1000</x:f>
      </x:c>
      <x:c r="EA42" s="107" t="n">
        <x:f>EA40*EA41/1000</x:f>
      </x:c>
      <x:c r="EB42" s="107" t="n">
        <x:f>EB40*EB41/1000</x:f>
      </x:c>
      <x:c r="EC42" s="107" t="n">
        <x:f>EC40*EC41/1000</x:f>
      </x:c>
      <x:c r="ED42" s="107" t="n">
        <x:f>ED40*ED41/1000</x:f>
      </x:c>
      <x:c r="EE42" s="107" t="n">
        <x:f>EE40*EE41/1000</x:f>
      </x:c>
      <x:c r="EF42" s="107" t="n">
        <x:f>EF40*EF41/1000</x:f>
      </x:c>
      <x:c r="EG42" s="107" t="n">
        <x:f>EG40*EG41/1000</x:f>
      </x:c>
      <x:c r="EH42" s="107" t="n">
        <x:f>EH40*EH41/1000</x:f>
      </x:c>
      <x:c r="EI42" s="107" t="n">
        <x:f>EI40*EI41/1000</x:f>
      </x:c>
      <x:c r="EJ42" s="107" t="n">
        <x:f>EJ40*EJ41/1000</x:f>
      </x:c>
      <x:c r="EK42" s="107" t="n">
        <x:f>EK40*EK41/1000</x:f>
      </x:c>
      <x:c r="EL42" s="107" t="n">
        <x:f>EL40*EL41/1000</x:f>
      </x:c>
      <x:c r="EM42" s="107" t="n">
        <x:f>EM40*EM41/1000</x:f>
      </x:c>
      <x:c r="EN42" s="107" t="n">
        <x:f>EN40*EN41/1000</x:f>
      </x:c>
      <x:c r="EO42" s="107" t="n">
        <x:f>EO40*EO41/1000</x:f>
      </x:c>
      <x:c r="EP42" s="107" t="n">
        <x:f>EP40*EP41/1000</x:f>
      </x:c>
      <x:c r="EQ42" s="107" t="n">
        <x:f>EQ40*EQ41/1000</x:f>
      </x:c>
      <x:c r="ER42" s="107" t="n">
        <x:f>ER40*ER41/1000</x:f>
      </x:c>
      <x:c r="ES42" s="107" t="n">
        <x:f>ES40*ES41/1000</x:f>
      </x:c>
      <x:c r="ET42" s="107" t="n">
        <x:f>ET40*ET41/1000</x:f>
      </x:c>
      <x:c r="EU42" s="107" t="n">
        <x:f>EU40*EU41/1000</x:f>
      </x:c>
      <x:c r="EV42" s="107" t="n">
        <x:f>EV40*EV41/1000</x:f>
      </x:c>
      <x:c r="EW42" s="107" t="n">
        <x:f>EW40*EW41/1000</x:f>
      </x:c>
      <x:c r="EX42" s="107" t="n">
        <x:f>EX40*EX41/1000</x:f>
      </x:c>
      <x:c r="EY42" s="107" t="n">
        <x:f>EY40*EY41/1000</x:f>
      </x:c>
      <x:c r="EZ42" s="107" t="n">
        <x:f>EZ40*EZ41/1000</x:f>
      </x:c>
      <x:c r="FA42" s="107" t="n">
        <x:f>FA40*FA41/1000</x:f>
      </x:c>
      <x:c r="FB42" s="107" t="n">
        <x:f>FB40*FB41/1000</x:f>
      </x:c>
      <x:c r="FC42" s="107" t="n">
        <x:f>FC40*FC41/1000</x:f>
      </x:c>
      <x:c r="FD42" s="107" t="n">
        <x:f>FD40*FD41/1000</x:f>
      </x:c>
      <x:c r="FE42" s="107" t="n">
        <x:f>FE40*FE41/1000</x:f>
      </x:c>
      <x:c r="FF42" s="107" t="n">
        <x:f>FF40*FF41/1000</x:f>
      </x:c>
      <x:c r="FG42" s="107" t="n">
        <x:f>FG40*FG41/1000</x:f>
      </x:c>
      <x:c r="FH42" s="107" t="n">
        <x:f>FH40*FH41/1000</x:f>
      </x:c>
      <x:c r="FI42" s="107" t="n">
        <x:f>FI40*FI41/1000</x:f>
      </x:c>
      <x:c r="FJ42" s="107" t="n">
        <x:f>FJ40*FJ41/1000</x:f>
      </x:c>
      <x:c r="FK42" s="107" t="n">
        <x:f>FK40*FK41/1000</x:f>
      </x:c>
      <x:c r="FL42" s="107" t="n">
        <x:f>FL40*FL41/1000</x:f>
      </x:c>
      <x:c r="FM42" s="107" t="n">
        <x:f>FM40*FM41/1000</x:f>
      </x:c>
      <x:c r="FN42" s="107" t="n">
        <x:f>FN40*FN41/1000</x:f>
      </x:c>
      <x:c r="FO42" s="107" t="n">
        <x:f>FO40*FO41/1000</x:f>
      </x:c>
      <x:c r="FP42" s="107" t="n">
        <x:f>FP40*FP41/1000</x:f>
      </x:c>
      <x:c r="FQ42" s="107" t="n">
        <x:f>FQ40*FQ41/1000</x:f>
      </x:c>
      <x:c r="FR42" s="107" t="n">
        <x:f>FR40*FR41/1000</x:f>
      </x:c>
      <x:c r="FS42" s="107" t="n">
        <x:f>FS40*FS41/1000</x:f>
      </x:c>
      <x:c r="FT42" s="107" t="n">
        <x:f>FT40*FT41/1000</x:f>
      </x:c>
      <x:c r="FU42" s="107" t="n">
        <x:f>FU40*FU41/1000</x:f>
      </x:c>
      <x:c r="FV42" s="107" t="n">
        <x:f>FV40*FV41/1000</x:f>
      </x:c>
      <x:c r="FW42" s="107" t="n">
        <x:f>FW40*FW41/1000</x:f>
      </x:c>
      <x:c r="FX42" s="107" t="n">
        <x:f>FX40*FX41/1000</x:f>
      </x:c>
      <x:c r="FY42" s="107" t="n">
        <x:f>FY40*FY41/1000</x:f>
      </x:c>
      <x:c r="FZ42" s="107" t="n">
        <x:f>FZ40*FZ41/1000</x:f>
      </x:c>
      <x:c r="GA42" s="107" t="n">
        <x:f>GA40*GA41/1000</x:f>
      </x:c>
    </x:row>
    <x:row r="43">
      <x:c r="A43" t="str">
        <x:v>Паркинг — объём</x:v>
      </x:c>
      <x:c r="B43" t="n">
        <x:f>SUM(D43:GA43)</x:f>
      </x:c>
      <x:c r="C43" t="str">
        <x:v>шт.</x:v>
      </x:c>
      <x:c r="D43" s="107" t="n">
        <x:f>'Вводные'!$N$89*((IF(SUM($D32:$GA32)=0,0,IF(SUM($D35:$GA35)=0,1,'Вводные'!$B$63)))*D34+(1-(IF(SUM($D32:$GA32)=0,0,IF(SUM($D35:$GA35)=0,1,'Вводные'!$B$63))))*D36)</x:f>
      </x:c>
      <x:c r="E43" s="107" t="n">
        <x:f>'Вводные'!$N$89*((IF(SUM($D32:$GA32)=0,0,IF(SUM($D35:$GA35)=0,1,'Вводные'!$B$63)))*E34+(1-(IF(SUM($D32:$GA32)=0,0,IF(SUM($D35:$GA35)=0,1,'Вводные'!$B$63))))*E36)</x:f>
      </x:c>
      <x:c r="F43" s="107" t="n">
        <x:f>'Вводные'!$N$89*((IF(SUM($D32:$GA32)=0,0,IF(SUM($D35:$GA35)=0,1,'Вводные'!$B$63)))*F34+(1-(IF(SUM($D32:$GA32)=0,0,IF(SUM($D35:$GA35)=0,1,'Вводные'!$B$63))))*F36)</x:f>
      </x:c>
      <x:c r="G43" s="107" t="n">
        <x:f>'Вводные'!$N$89*((IF(SUM($D32:$GA32)=0,0,IF(SUM($D35:$GA35)=0,1,'Вводные'!$B$63)))*G34+(1-(IF(SUM($D32:$GA32)=0,0,IF(SUM($D35:$GA35)=0,1,'Вводные'!$B$63))))*G36)</x:f>
      </x:c>
      <x:c r="H43" s="107" t="n">
        <x:f>'Вводные'!$N$89*((IF(SUM($D32:$GA32)=0,0,IF(SUM($D35:$GA35)=0,1,'Вводные'!$B$63)))*H34+(1-(IF(SUM($D32:$GA32)=0,0,IF(SUM($D35:$GA35)=0,1,'Вводные'!$B$63))))*H36)</x:f>
      </x:c>
      <x:c r="I43" s="107" t="n">
        <x:f>'Вводные'!$N$89*((IF(SUM($D32:$GA32)=0,0,IF(SUM($D35:$GA35)=0,1,'Вводные'!$B$63)))*I34+(1-(IF(SUM($D32:$GA32)=0,0,IF(SUM($D35:$GA35)=0,1,'Вводные'!$B$63))))*I36)</x:f>
      </x:c>
      <x:c r="J43" s="107" t="n">
        <x:f>'Вводные'!$N$89*((IF(SUM($D32:$GA32)=0,0,IF(SUM($D35:$GA35)=0,1,'Вводные'!$B$63)))*J34+(1-(IF(SUM($D32:$GA32)=0,0,IF(SUM($D35:$GA35)=0,1,'Вводные'!$B$63))))*J36)</x:f>
      </x:c>
      <x:c r="K43" s="107" t="n">
        <x:f>'Вводные'!$N$89*((IF(SUM($D32:$GA32)=0,0,IF(SUM($D35:$GA35)=0,1,'Вводные'!$B$63)))*K34+(1-(IF(SUM($D32:$GA32)=0,0,IF(SUM($D35:$GA35)=0,1,'Вводные'!$B$63))))*K36)</x:f>
      </x:c>
      <x:c r="L43" s="107" t="n">
        <x:f>'Вводные'!$N$89*((IF(SUM($D32:$GA32)=0,0,IF(SUM($D35:$GA35)=0,1,'Вводные'!$B$63)))*L34+(1-(IF(SUM($D32:$GA32)=0,0,IF(SUM($D35:$GA35)=0,1,'Вводные'!$B$63))))*L36)</x:f>
      </x:c>
      <x:c r="M43" s="107" t="n">
        <x:f>'Вводные'!$N$89*((IF(SUM($D32:$GA32)=0,0,IF(SUM($D35:$GA35)=0,1,'Вводные'!$B$63)))*M34+(1-(IF(SUM($D32:$GA32)=0,0,IF(SUM($D35:$GA35)=0,1,'Вводные'!$B$63))))*M36)</x:f>
      </x:c>
      <x:c r="N43" s="107" t="n">
        <x:f>'Вводные'!$N$89*((IF(SUM($D32:$GA32)=0,0,IF(SUM($D35:$GA35)=0,1,'Вводные'!$B$63)))*N34+(1-(IF(SUM($D32:$GA32)=0,0,IF(SUM($D35:$GA35)=0,1,'Вводные'!$B$63))))*N36)</x:f>
      </x:c>
      <x:c r="O43" s="107" t="n">
        <x:f>'Вводные'!$N$89*((IF(SUM($D32:$GA32)=0,0,IF(SUM($D35:$GA35)=0,1,'Вводные'!$B$63)))*O34+(1-(IF(SUM($D32:$GA32)=0,0,IF(SUM($D35:$GA35)=0,1,'Вводные'!$B$63))))*O36)</x:f>
      </x:c>
      <x:c r="P43" s="107" t="n">
        <x:f>'Вводные'!$N$89*((IF(SUM($D32:$GA32)=0,0,IF(SUM($D35:$GA35)=0,1,'Вводные'!$B$63)))*P34+(1-(IF(SUM($D32:$GA32)=0,0,IF(SUM($D35:$GA35)=0,1,'Вводные'!$B$63))))*P36)</x:f>
      </x:c>
      <x:c r="Q43" s="107" t="n">
        <x:f>'Вводные'!$N$89*((IF(SUM($D32:$GA32)=0,0,IF(SUM($D35:$GA35)=0,1,'Вводные'!$B$63)))*Q34+(1-(IF(SUM($D32:$GA32)=0,0,IF(SUM($D35:$GA35)=0,1,'Вводные'!$B$63))))*Q36)</x:f>
      </x:c>
      <x:c r="R43" s="107" t="n">
        <x:f>'Вводные'!$N$89*((IF(SUM($D32:$GA32)=0,0,IF(SUM($D35:$GA35)=0,1,'Вводные'!$B$63)))*R34+(1-(IF(SUM($D32:$GA32)=0,0,IF(SUM($D35:$GA35)=0,1,'Вводные'!$B$63))))*R36)</x:f>
      </x:c>
      <x:c r="S43" s="107" t="n">
        <x:f>'Вводные'!$N$89*((IF(SUM($D32:$GA32)=0,0,IF(SUM($D35:$GA35)=0,1,'Вводные'!$B$63)))*S34+(1-(IF(SUM($D32:$GA32)=0,0,IF(SUM($D35:$GA35)=0,1,'Вводные'!$B$63))))*S36)</x:f>
      </x:c>
      <x:c r="T43" s="107" t="n">
        <x:f>'Вводные'!$N$89*((IF(SUM($D32:$GA32)=0,0,IF(SUM($D35:$GA35)=0,1,'Вводные'!$B$63)))*T34+(1-(IF(SUM($D32:$GA32)=0,0,IF(SUM($D35:$GA35)=0,1,'Вводные'!$B$63))))*T36)</x:f>
      </x:c>
      <x:c r="U43" s="107" t="n">
        <x:f>'Вводные'!$N$89*((IF(SUM($D32:$GA32)=0,0,IF(SUM($D35:$GA35)=0,1,'Вводные'!$B$63)))*U34+(1-(IF(SUM($D32:$GA32)=0,0,IF(SUM($D35:$GA35)=0,1,'Вводные'!$B$63))))*U36)</x:f>
      </x:c>
      <x:c r="V43" s="107" t="n">
        <x:f>'Вводные'!$N$89*((IF(SUM($D32:$GA32)=0,0,IF(SUM($D35:$GA35)=0,1,'Вводные'!$B$63)))*V34+(1-(IF(SUM($D32:$GA32)=0,0,IF(SUM($D35:$GA35)=0,1,'Вводные'!$B$63))))*V36)</x:f>
      </x:c>
      <x:c r="W43" s="107" t="n">
        <x:f>'Вводные'!$N$89*((IF(SUM($D32:$GA32)=0,0,IF(SUM($D35:$GA35)=0,1,'Вводные'!$B$63)))*W34+(1-(IF(SUM($D32:$GA32)=0,0,IF(SUM($D35:$GA35)=0,1,'Вводные'!$B$63))))*W36)</x:f>
      </x:c>
      <x:c r="X43" s="107" t="n">
        <x:f>'Вводные'!$N$89*((IF(SUM($D32:$GA32)=0,0,IF(SUM($D35:$GA35)=0,1,'Вводные'!$B$63)))*X34+(1-(IF(SUM($D32:$GA32)=0,0,IF(SUM($D35:$GA35)=0,1,'Вводные'!$B$63))))*X36)</x:f>
      </x:c>
      <x:c r="Y43" s="107" t="n">
        <x:f>'Вводные'!$N$89*((IF(SUM($D32:$GA32)=0,0,IF(SUM($D35:$GA35)=0,1,'Вводные'!$B$63)))*Y34+(1-(IF(SUM($D32:$GA32)=0,0,IF(SUM($D35:$GA35)=0,1,'Вводные'!$B$63))))*Y36)</x:f>
      </x:c>
      <x:c r="Z43" s="107" t="n">
        <x:f>'Вводные'!$N$89*((IF(SUM($D32:$GA32)=0,0,IF(SUM($D35:$GA35)=0,1,'Вводные'!$B$63)))*Z34+(1-(IF(SUM($D32:$GA32)=0,0,IF(SUM($D35:$GA35)=0,1,'Вводные'!$B$63))))*Z36)</x:f>
      </x:c>
      <x:c r="AA43" s="107" t="n">
        <x:f>'Вводные'!$N$89*((IF(SUM($D32:$GA32)=0,0,IF(SUM($D35:$GA35)=0,1,'Вводные'!$B$63)))*AA34+(1-(IF(SUM($D32:$GA32)=0,0,IF(SUM($D35:$GA35)=0,1,'Вводные'!$B$63))))*AA36)</x:f>
      </x:c>
      <x:c r="AB43" s="107" t="n">
        <x:f>'Вводные'!$N$89*((IF(SUM($D32:$GA32)=0,0,IF(SUM($D35:$GA35)=0,1,'Вводные'!$B$63)))*AB34+(1-(IF(SUM($D32:$GA32)=0,0,IF(SUM($D35:$GA35)=0,1,'Вводные'!$B$63))))*AB36)</x:f>
      </x:c>
      <x:c r="AC43" s="107" t="n">
        <x:f>'Вводные'!$N$89*((IF(SUM($D32:$GA32)=0,0,IF(SUM($D35:$GA35)=0,1,'Вводные'!$B$63)))*AC34+(1-(IF(SUM($D32:$GA32)=0,0,IF(SUM($D35:$GA35)=0,1,'Вводные'!$B$63))))*AC36)</x:f>
      </x:c>
      <x:c r="AD43" s="107" t="n">
        <x:f>'Вводные'!$N$89*((IF(SUM($D32:$GA32)=0,0,IF(SUM($D35:$GA35)=0,1,'Вводные'!$B$63)))*AD34+(1-(IF(SUM($D32:$GA32)=0,0,IF(SUM($D35:$GA35)=0,1,'Вводные'!$B$63))))*AD36)</x:f>
      </x:c>
      <x:c r="AE43" s="107" t="n">
        <x:f>'Вводные'!$N$89*((IF(SUM($D32:$GA32)=0,0,IF(SUM($D35:$GA35)=0,1,'Вводные'!$B$63)))*AE34+(1-(IF(SUM($D32:$GA32)=0,0,IF(SUM($D35:$GA35)=0,1,'Вводные'!$B$63))))*AE36)</x:f>
      </x:c>
      <x:c r="AF43" s="107" t="n">
        <x:f>'Вводные'!$N$89*((IF(SUM($D32:$GA32)=0,0,IF(SUM($D35:$GA35)=0,1,'Вводные'!$B$63)))*AF34+(1-(IF(SUM($D32:$GA32)=0,0,IF(SUM($D35:$GA35)=0,1,'Вводные'!$B$63))))*AF36)</x:f>
      </x:c>
      <x:c r="AG43" s="107" t="n">
        <x:f>'Вводные'!$N$89*((IF(SUM($D32:$GA32)=0,0,IF(SUM($D35:$GA35)=0,1,'Вводные'!$B$63)))*AG34+(1-(IF(SUM($D32:$GA32)=0,0,IF(SUM($D35:$GA35)=0,1,'Вводные'!$B$63))))*AG36)</x:f>
      </x:c>
      <x:c r="AH43" s="107" t="n">
        <x:f>'Вводные'!$N$89*((IF(SUM($D32:$GA32)=0,0,IF(SUM($D35:$GA35)=0,1,'Вводные'!$B$63)))*AH34+(1-(IF(SUM($D32:$GA32)=0,0,IF(SUM($D35:$GA35)=0,1,'Вводные'!$B$63))))*AH36)</x:f>
      </x:c>
      <x:c r="AI43" s="107" t="n">
        <x:f>'Вводные'!$N$89*((IF(SUM($D32:$GA32)=0,0,IF(SUM($D35:$GA35)=0,1,'Вводные'!$B$63)))*AI34+(1-(IF(SUM($D32:$GA32)=0,0,IF(SUM($D35:$GA35)=0,1,'Вводные'!$B$63))))*AI36)</x:f>
      </x:c>
      <x:c r="AJ43" s="107" t="n">
        <x:f>'Вводные'!$N$89*((IF(SUM($D32:$GA32)=0,0,IF(SUM($D35:$GA35)=0,1,'Вводные'!$B$63)))*AJ34+(1-(IF(SUM($D32:$GA32)=0,0,IF(SUM($D35:$GA35)=0,1,'Вводные'!$B$63))))*AJ36)</x:f>
      </x:c>
      <x:c r="AK43" s="107" t="n">
        <x:f>'Вводные'!$N$89*((IF(SUM($D32:$GA32)=0,0,IF(SUM($D35:$GA35)=0,1,'Вводные'!$B$63)))*AK34+(1-(IF(SUM($D32:$GA32)=0,0,IF(SUM($D35:$GA35)=0,1,'Вводные'!$B$63))))*AK36)</x:f>
      </x:c>
      <x:c r="AL43" s="107" t="n">
        <x:f>'Вводные'!$N$89*((IF(SUM($D32:$GA32)=0,0,IF(SUM($D35:$GA35)=0,1,'Вводные'!$B$63)))*AL34+(1-(IF(SUM($D32:$GA32)=0,0,IF(SUM($D35:$GA35)=0,1,'Вводные'!$B$63))))*AL36)</x:f>
      </x:c>
      <x:c r="AM43" s="107" t="n">
        <x:f>'Вводные'!$N$89*((IF(SUM($D32:$GA32)=0,0,IF(SUM($D35:$GA35)=0,1,'Вводные'!$B$63)))*AM34+(1-(IF(SUM($D32:$GA32)=0,0,IF(SUM($D35:$GA35)=0,1,'Вводные'!$B$63))))*AM36)</x:f>
      </x:c>
      <x:c r="AN43" s="107" t="n">
        <x:f>'Вводные'!$N$89*((IF(SUM($D32:$GA32)=0,0,IF(SUM($D35:$GA35)=0,1,'Вводные'!$B$63)))*AN34+(1-(IF(SUM($D32:$GA32)=0,0,IF(SUM($D35:$GA35)=0,1,'Вводные'!$B$63))))*AN36)</x:f>
      </x:c>
      <x:c r="AO43" s="107" t="n">
        <x:f>'Вводные'!$N$89*((IF(SUM($D32:$GA32)=0,0,IF(SUM($D35:$GA35)=0,1,'Вводные'!$B$63)))*AO34+(1-(IF(SUM($D32:$GA32)=0,0,IF(SUM($D35:$GA35)=0,1,'Вводные'!$B$63))))*AO36)</x:f>
      </x:c>
      <x:c r="AP43" s="107" t="n">
        <x:f>'Вводные'!$N$89*((IF(SUM($D32:$GA32)=0,0,IF(SUM($D35:$GA35)=0,1,'Вводные'!$B$63)))*AP34+(1-(IF(SUM($D32:$GA32)=0,0,IF(SUM($D35:$GA35)=0,1,'Вводные'!$B$63))))*AP36)</x:f>
      </x:c>
      <x:c r="AQ43" s="107" t="n">
        <x:f>'Вводные'!$N$89*((IF(SUM($D32:$GA32)=0,0,IF(SUM($D35:$GA35)=0,1,'Вводные'!$B$63)))*AQ34+(1-(IF(SUM($D32:$GA32)=0,0,IF(SUM($D35:$GA35)=0,1,'Вводные'!$B$63))))*AQ36)</x:f>
      </x:c>
      <x:c r="AR43" s="107" t="n">
        <x:f>'Вводные'!$N$89*((IF(SUM($D32:$GA32)=0,0,IF(SUM($D35:$GA35)=0,1,'Вводные'!$B$63)))*AR34+(1-(IF(SUM($D32:$GA32)=0,0,IF(SUM($D35:$GA35)=0,1,'Вводные'!$B$63))))*AR36)</x:f>
      </x:c>
      <x:c r="AS43" s="107" t="n">
        <x:f>'Вводные'!$N$89*((IF(SUM($D32:$GA32)=0,0,IF(SUM($D35:$GA35)=0,1,'Вводные'!$B$63)))*AS34+(1-(IF(SUM($D32:$GA32)=0,0,IF(SUM($D35:$GA35)=0,1,'Вводные'!$B$63))))*AS36)</x:f>
      </x:c>
      <x:c r="AT43" s="107" t="n">
        <x:f>'Вводные'!$N$89*((IF(SUM($D32:$GA32)=0,0,IF(SUM($D35:$GA35)=0,1,'Вводные'!$B$63)))*AT34+(1-(IF(SUM($D32:$GA32)=0,0,IF(SUM($D35:$GA35)=0,1,'Вводные'!$B$63))))*AT36)</x:f>
      </x:c>
      <x:c r="AU43" s="107" t="n">
        <x:f>'Вводные'!$N$89*((IF(SUM($D32:$GA32)=0,0,IF(SUM($D35:$GA35)=0,1,'Вводные'!$B$63)))*AU34+(1-(IF(SUM($D32:$GA32)=0,0,IF(SUM($D35:$GA35)=0,1,'Вводные'!$B$63))))*AU36)</x:f>
      </x:c>
      <x:c r="AV43" s="107" t="n">
        <x:f>'Вводные'!$N$89*((IF(SUM($D32:$GA32)=0,0,IF(SUM($D35:$GA35)=0,1,'Вводные'!$B$63)))*AV34+(1-(IF(SUM($D32:$GA32)=0,0,IF(SUM($D35:$GA35)=0,1,'Вводные'!$B$63))))*AV36)</x:f>
      </x:c>
      <x:c r="AW43" s="107" t="n">
        <x:f>'Вводные'!$N$89*((IF(SUM($D32:$GA32)=0,0,IF(SUM($D35:$GA35)=0,1,'Вводные'!$B$63)))*AW34+(1-(IF(SUM($D32:$GA32)=0,0,IF(SUM($D35:$GA35)=0,1,'Вводные'!$B$63))))*AW36)</x:f>
      </x:c>
      <x:c r="AX43" s="107" t="n">
        <x:f>'Вводные'!$N$89*((IF(SUM($D32:$GA32)=0,0,IF(SUM($D35:$GA35)=0,1,'Вводные'!$B$63)))*AX34+(1-(IF(SUM($D32:$GA32)=0,0,IF(SUM($D35:$GA35)=0,1,'Вводные'!$B$63))))*AX36)</x:f>
      </x:c>
      <x:c r="AY43" s="107" t="n">
        <x:f>'Вводные'!$N$89*((IF(SUM($D32:$GA32)=0,0,IF(SUM($D35:$GA35)=0,1,'Вводные'!$B$63)))*AY34+(1-(IF(SUM($D32:$GA32)=0,0,IF(SUM($D35:$GA35)=0,1,'Вводные'!$B$63))))*AY36)</x:f>
      </x:c>
      <x:c r="AZ43" s="107" t="n">
        <x:f>'Вводные'!$N$89*((IF(SUM($D32:$GA32)=0,0,IF(SUM($D35:$GA35)=0,1,'Вводные'!$B$63)))*AZ34+(1-(IF(SUM($D32:$GA32)=0,0,IF(SUM($D35:$GA35)=0,1,'Вводные'!$B$63))))*AZ36)</x:f>
      </x:c>
      <x:c r="BA43" s="107" t="n">
        <x:f>'Вводные'!$N$89*((IF(SUM($D32:$GA32)=0,0,IF(SUM($D35:$GA35)=0,1,'Вводные'!$B$63)))*BA34+(1-(IF(SUM($D32:$GA32)=0,0,IF(SUM($D35:$GA35)=0,1,'Вводные'!$B$63))))*BA36)</x:f>
      </x:c>
      <x:c r="BB43" s="107" t="n">
        <x:f>'Вводные'!$N$89*((IF(SUM($D32:$GA32)=0,0,IF(SUM($D35:$GA35)=0,1,'Вводные'!$B$63)))*BB34+(1-(IF(SUM($D32:$GA32)=0,0,IF(SUM($D35:$GA35)=0,1,'Вводные'!$B$63))))*BB36)</x:f>
      </x:c>
      <x:c r="BC43" s="107" t="n">
        <x:f>'Вводные'!$N$89*((IF(SUM($D32:$GA32)=0,0,IF(SUM($D35:$GA35)=0,1,'Вводные'!$B$63)))*BC34+(1-(IF(SUM($D32:$GA32)=0,0,IF(SUM($D35:$GA35)=0,1,'Вводные'!$B$63))))*BC36)</x:f>
      </x:c>
      <x:c r="BD43" s="107" t="n">
        <x:f>'Вводные'!$N$89*((IF(SUM($D32:$GA32)=0,0,IF(SUM($D35:$GA35)=0,1,'Вводные'!$B$63)))*BD34+(1-(IF(SUM($D32:$GA32)=0,0,IF(SUM($D35:$GA35)=0,1,'Вводные'!$B$63))))*BD36)</x:f>
      </x:c>
      <x:c r="BE43" s="107" t="n">
        <x:f>'Вводные'!$N$89*((IF(SUM($D32:$GA32)=0,0,IF(SUM($D35:$GA35)=0,1,'Вводные'!$B$63)))*BE34+(1-(IF(SUM($D32:$GA32)=0,0,IF(SUM($D35:$GA35)=0,1,'Вводные'!$B$63))))*BE36)</x:f>
      </x:c>
      <x:c r="BF43" s="107" t="n">
        <x:f>'Вводные'!$N$89*((IF(SUM($D32:$GA32)=0,0,IF(SUM($D35:$GA35)=0,1,'Вводные'!$B$63)))*BF34+(1-(IF(SUM($D32:$GA32)=0,0,IF(SUM($D35:$GA35)=0,1,'Вводные'!$B$63))))*BF36)</x:f>
      </x:c>
      <x:c r="BG43" s="107" t="n">
        <x:f>'Вводные'!$N$89*((IF(SUM($D32:$GA32)=0,0,IF(SUM($D35:$GA35)=0,1,'Вводные'!$B$63)))*BG34+(1-(IF(SUM($D32:$GA32)=0,0,IF(SUM($D35:$GA35)=0,1,'Вводные'!$B$63))))*BG36)</x:f>
      </x:c>
      <x:c r="BH43" s="107" t="n">
        <x:f>'Вводные'!$N$89*((IF(SUM($D32:$GA32)=0,0,IF(SUM($D35:$GA35)=0,1,'Вводные'!$B$63)))*BH34+(1-(IF(SUM($D32:$GA32)=0,0,IF(SUM($D35:$GA35)=0,1,'Вводные'!$B$63))))*BH36)</x:f>
      </x:c>
      <x:c r="BI43" s="107" t="n">
        <x:f>'Вводные'!$N$89*((IF(SUM($D32:$GA32)=0,0,IF(SUM($D35:$GA35)=0,1,'Вводные'!$B$63)))*BI34+(1-(IF(SUM($D32:$GA32)=0,0,IF(SUM($D35:$GA35)=0,1,'Вводные'!$B$63))))*BI36)</x:f>
      </x:c>
      <x:c r="BJ43" s="107" t="n">
        <x:f>'Вводные'!$N$89*((IF(SUM($D32:$GA32)=0,0,IF(SUM($D35:$GA35)=0,1,'Вводные'!$B$63)))*BJ34+(1-(IF(SUM($D32:$GA32)=0,0,IF(SUM($D35:$GA35)=0,1,'Вводные'!$B$63))))*BJ36)</x:f>
      </x:c>
      <x:c r="BK43" s="107" t="n">
        <x:f>'Вводные'!$N$89*((IF(SUM($D32:$GA32)=0,0,IF(SUM($D35:$GA35)=0,1,'Вводные'!$B$63)))*BK34+(1-(IF(SUM($D32:$GA32)=0,0,IF(SUM($D35:$GA35)=0,1,'Вводные'!$B$63))))*BK36)</x:f>
      </x:c>
      <x:c r="BL43" s="107" t="n">
        <x:f>'Вводные'!$N$89*((IF(SUM($D32:$GA32)=0,0,IF(SUM($D35:$GA35)=0,1,'Вводные'!$B$63)))*BL34+(1-(IF(SUM($D32:$GA32)=0,0,IF(SUM($D35:$GA35)=0,1,'Вводные'!$B$63))))*BL36)</x:f>
      </x:c>
      <x:c r="BM43" s="107" t="n">
        <x:f>'Вводные'!$N$89*((IF(SUM($D32:$GA32)=0,0,IF(SUM($D35:$GA35)=0,1,'Вводные'!$B$63)))*BM34+(1-(IF(SUM($D32:$GA32)=0,0,IF(SUM($D35:$GA35)=0,1,'Вводные'!$B$63))))*BM36)</x:f>
      </x:c>
      <x:c r="BN43" s="107" t="n">
        <x:f>'Вводные'!$N$89*((IF(SUM($D32:$GA32)=0,0,IF(SUM($D35:$GA35)=0,1,'Вводные'!$B$63)))*BN34+(1-(IF(SUM($D32:$GA32)=0,0,IF(SUM($D35:$GA35)=0,1,'Вводные'!$B$63))))*BN36)</x:f>
      </x:c>
      <x:c r="BO43" s="107" t="n">
        <x:f>'Вводные'!$N$89*((IF(SUM($D32:$GA32)=0,0,IF(SUM($D35:$GA35)=0,1,'Вводные'!$B$63)))*BO34+(1-(IF(SUM($D32:$GA32)=0,0,IF(SUM($D35:$GA35)=0,1,'Вводные'!$B$63))))*BO36)</x:f>
      </x:c>
      <x:c r="BP43" s="107" t="n">
        <x:f>'Вводные'!$N$89*((IF(SUM($D32:$GA32)=0,0,IF(SUM($D35:$GA35)=0,1,'Вводные'!$B$63)))*BP34+(1-(IF(SUM($D32:$GA32)=0,0,IF(SUM($D35:$GA35)=0,1,'Вводные'!$B$63))))*BP36)</x:f>
      </x:c>
      <x:c r="BQ43" s="107" t="n">
        <x:f>'Вводные'!$N$89*((IF(SUM($D32:$GA32)=0,0,IF(SUM($D35:$GA35)=0,1,'Вводные'!$B$63)))*BQ34+(1-(IF(SUM($D32:$GA32)=0,0,IF(SUM($D35:$GA35)=0,1,'Вводные'!$B$63))))*BQ36)</x:f>
      </x:c>
      <x:c r="BR43" s="107" t="n">
        <x:f>'Вводные'!$N$89*((IF(SUM($D32:$GA32)=0,0,IF(SUM($D35:$GA35)=0,1,'Вводные'!$B$63)))*BR34+(1-(IF(SUM($D32:$GA32)=0,0,IF(SUM($D35:$GA35)=0,1,'Вводные'!$B$63))))*BR36)</x:f>
      </x:c>
      <x:c r="BS43" s="107" t="n">
        <x:f>'Вводные'!$N$89*((IF(SUM($D32:$GA32)=0,0,IF(SUM($D35:$GA35)=0,1,'Вводные'!$B$63)))*BS34+(1-(IF(SUM($D32:$GA32)=0,0,IF(SUM($D35:$GA35)=0,1,'Вводные'!$B$63))))*BS36)</x:f>
      </x:c>
      <x:c r="BT43" s="107" t="n">
        <x:f>'Вводные'!$N$89*((IF(SUM($D32:$GA32)=0,0,IF(SUM($D35:$GA35)=0,1,'Вводные'!$B$63)))*BT34+(1-(IF(SUM($D32:$GA32)=0,0,IF(SUM($D35:$GA35)=0,1,'Вводные'!$B$63))))*BT36)</x:f>
      </x:c>
      <x:c r="BU43" s="107" t="n">
        <x:f>'Вводные'!$N$89*((IF(SUM($D32:$GA32)=0,0,IF(SUM($D35:$GA35)=0,1,'Вводные'!$B$63)))*BU34+(1-(IF(SUM($D32:$GA32)=0,0,IF(SUM($D35:$GA35)=0,1,'Вводные'!$B$63))))*BU36)</x:f>
      </x:c>
      <x:c r="BV43" s="107" t="n">
        <x:f>'Вводные'!$N$89*((IF(SUM($D32:$GA32)=0,0,IF(SUM($D35:$GA35)=0,1,'Вводные'!$B$63)))*BV34+(1-(IF(SUM($D32:$GA32)=0,0,IF(SUM($D35:$GA35)=0,1,'Вводные'!$B$63))))*BV36)</x:f>
      </x:c>
      <x:c r="BW43" s="107" t="n">
        <x:f>'Вводные'!$N$89*((IF(SUM($D32:$GA32)=0,0,IF(SUM($D35:$GA35)=0,1,'Вводные'!$B$63)))*BW34+(1-(IF(SUM($D32:$GA32)=0,0,IF(SUM($D35:$GA35)=0,1,'Вводные'!$B$63))))*BW36)</x:f>
      </x:c>
      <x:c r="BX43" s="107" t="n">
        <x:f>'Вводные'!$N$89*((IF(SUM($D32:$GA32)=0,0,IF(SUM($D35:$GA35)=0,1,'Вводные'!$B$63)))*BX34+(1-(IF(SUM($D32:$GA32)=0,0,IF(SUM($D35:$GA35)=0,1,'Вводные'!$B$63))))*BX36)</x:f>
      </x:c>
      <x:c r="BY43" s="107" t="n">
        <x:f>'Вводные'!$N$89*((IF(SUM($D32:$GA32)=0,0,IF(SUM($D35:$GA35)=0,1,'Вводные'!$B$63)))*BY34+(1-(IF(SUM($D32:$GA32)=0,0,IF(SUM($D35:$GA35)=0,1,'Вводные'!$B$63))))*BY36)</x:f>
      </x:c>
      <x:c r="BZ43" s="107" t="n">
        <x:f>'Вводные'!$N$89*((IF(SUM($D32:$GA32)=0,0,IF(SUM($D35:$GA35)=0,1,'Вводные'!$B$63)))*BZ34+(1-(IF(SUM($D32:$GA32)=0,0,IF(SUM($D35:$GA35)=0,1,'Вводные'!$B$63))))*BZ36)</x:f>
      </x:c>
      <x:c r="CA43" s="107" t="n">
        <x:f>'Вводные'!$N$89*((IF(SUM($D32:$GA32)=0,0,IF(SUM($D35:$GA35)=0,1,'Вводные'!$B$63)))*CA34+(1-(IF(SUM($D32:$GA32)=0,0,IF(SUM($D35:$GA35)=0,1,'Вводные'!$B$63))))*CA36)</x:f>
      </x:c>
      <x:c r="CB43" s="107" t="n">
        <x:f>'Вводные'!$N$89*((IF(SUM($D32:$GA32)=0,0,IF(SUM($D35:$GA35)=0,1,'Вводные'!$B$63)))*CB34+(1-(IF(SUM($D32:$GA32)=0,0,IF(SUM($D35:$GA35)=0,1,'Вводные'!$B$63))))*CB36)</x:f>
      </x:c>
      <x:c r="CC43" s="107" t="n">
        <x:f>'Вводные'!$N$89*((IF(SUM($D32:$GA32)=0,0,IF(SUM($D35:$GA35)=0,1,'Вводные'!$B$63)))*CC34+(1-(IF(SUM($D32:$GA32)=0,0,IF(SUM($D35:$GA35)=0,1,'Вводные'!$B$63))))*CC36)</x:f>
      </x:c>
      <x:c r="CD43" s="107" t="n">
        <x:f>'Вводные'!$N$89*((IF(SUM($D32:$GA32)=0,0,IF(SUM($D35:$GA35)=0,1,'Вводные'!$B$63)))*CD34+(1-(IF(SUM($D32:$GA32)=0,0,IF(SUM($D35:$GA35)=0,1,'Вводные'!$B$63))))*CD36)</x:f>
      </x:c>
      <x:c r="CE43" s="107" t="n">
        <x:f>'Вводные'!$N$89*((IF(SUM($D32:$GA32)=0,0,IF(SUM($D35:$GA35)=0,1,'Вводные'!$B$63)))*CE34+(1-(IF(SUM($D32:$GA32)=0,0,IF(SUM($D35:$GA35)=0,1,'Вводные'!$B$63))))*CE36)</x:f>
      </x:c>
      <x:c r="CF43" s="107" t="n">
        <x:f>'Вводные'!$N$89*((IF(SUM($D32:$GA32)=0,0,IF(SUM($D35:$GA35)=0,1,'Вводные'!$B$63)))*CF34+(1-(IF(SUM($D32:$GA32)=0,0,IF(SUM($D35:$GA35)=0,1,'Вводные'!$B$63))))*CF36)</x:f>
      </x:c>
      <x:c r="CG43" s="107" t="n">
        <x:f>'Вводные'!$N$89*((IF(SUM($D32:$GA32)=0,0,IF(SUM($D35:$GA35)=0,1,'Вводные'!$B$63)))*CG34+(1-(IF(SUM($D32:$GA32)=0,0,IF(SUM($D35:$GA35)=0,1,'Вводные'!$B$63))))*CG36)</x:f>
      </x:c>
      <x:c r="CH43" s="107" t="n">
        <x:f>'Вводные'!$N$89*((IF(SUM($D32:$GA32)=0,0,IF(SUM($D35:$GA35)=0,1,'Вводные'!$B$63)))*CH34+(1-(IF(SUM($D32:$GA32)=0,0,IF(SUM($D35:$GA35)=0,1,'Вводные'!$B$63))))*CH36)</x:f>
      </x:c>
      <x:c r="CI43" s="107" t="n">
        <x:f>'Вводные'!$N$89*((IF(SUM($D32:$GA32)=0,0,IF(SUM($D35:$GA35)=0,1,'Вводные'!$B$63)))*CI34+(1-(IF(SUM($D32:$GA32)=0,0,IF(SUM($D35:$GA35)=0,1,'Вводные'!$B$63))))*CI36)</x:f>
      </x:c>
      <x:c r="CJ43" s="107" t="n">
        <x:f>'Вводные'!$N$89*((IF(SUM($D32:$GA32)=0,0,IF(SUM($D35:$GA35)=0,1,'Вводные'!$B$63)))*CJ34+(1-(IF(SUM($D32:$GA32)=0,0,IF(SUM($D35:$GA35)=0,1,'Вводные'!$B$63))))*CJ36)</x:f>
      </x:c>
      <x:c r="CK43" s="107" t="n">
        <x:f>'Вводные'!$N$89*((IF(SUM($D32:$GA32)=0,0,IF(SUM($D35:$GA35)=0,1,'Вводные'!$B$63)))*CK34+(1-(IF(SUM($D32:$GA32)=0,0,IF(SUM($D35:$GA35)=0,1,'Вводные'!$B$63))))*CK36)</x:f>
      </x:c>
      <x:c r="CL43" s="107" t="n">
        <x:f>'Вводные'!$N$89*((IF(SUM($D32:$GA32)=0,0,IF(SUM($D35:$GA35)=0,1,'Вводные'!$B$63)))*CL34+(1-(IF(SUM($D32:$GA32)=0,0,IF(SUM($D35:$GA35)=0,1,'Вводные'!$B$63))))*CL36)</x:f>
      </x:c>
      <x:c r="CM43" s="107" t="n">
        <x:f>'Вводные'!$N$89*((IF(SUM($D32:$GA32)=0,0,IF(SUM($D35:$GA35)=0,1,'Вводные'!$B$63)))*CM34+(1-(IF(SUM($D32:$GA32)=0,0,IF(SUM($D35:$GA35)=0,1,'Вводные'!$B$63))))*CM36)</x:f>
      </x:c>
      <x:c r="CN43" s="107" t="n">
        <x:f>'Вводные'!$N$89*((IF(SUM($D32:$GA32)=0,0,IF(SUM($D35:$GA35)=0,1,'Вводные'!$B$63)))*CN34+(1-(IF(SUM($D32:$GA32)=0,0,IF(SUM($D35:$GA35)=0,1,'Вводные'!$B$63))))*CN36)</x:f>
      </x:c>
      <x:c r="CO43" s="107" t="n">
        <x:f>'Вводные'!$N$89*((IF(SUM($D32:$GA32)=0,0,IF(SUM($D35:$GA35)=0,1,'Вводные'!$B$63)))*CO34+(1-(IF(SUM($D32:$GA32)=0,0,IF(SUM($D35:$GA35)=0,1,'Вводные'!$B$63))))*CO36)</x:f>
      </x:c>
      <x:c r="CP43" s="107" t="n">
        <x:f>'Вводные'!$N$89*((IF(SUM($D32:$GA32)=0,0,IF(SUM($D35:$GA35)=0,1,'Вводные'!$B$63)))*CP34+(1-(IF(SUM($D32:$GA32)=0,0,IF(SUM($D35:$GA35)=0,1,'Вводные'!$B$63))))*CP36)</x:f>
      </x:c>
      <x:c r="CQ43" s="107" t="n">
        <x:f>'Вводные'!$N$89*((IF(SUM($D32:$GA32)=0,0,IF(SUM($D35:$GA35)=0,1,'Вводные'!$B$63)))*CQ34+(1-(IF(SUM($D32:$GA32)=0,0,IF(SUM($D35:$GA35)=0,1,'Вводные'!$B$63))))*CQ36)</x:f>
      </x:c>
      <x:c r="CR43" s="107" t="n">
        <x:f>'Вводные'!$N$89*((IF(SUM($D32:$GA32)=0,0,IF(SUM($D35:$GA35)=0,1,'Вводные'!$B$63)))*CR34+(1-(IF(SUM($D32:$GA32)=0,0,IF(SUM($D35:$GA35)=0,1,'Вводные'!$B$63))))*CR36)</x:f>
      </x:c>
      <x:c r="CS43" s="107" t="n">
        <x:f>'Вводные'!$N$89*((IF(SUM($D32:$GA32)=0,0,IF(SUM($D35:$GA35)=0,1,'Вводные'!$B$63)))*CS34+(1-(IF(SUM($D32:$GA32)=0,0,IF(SUM($D35:$GA35)=0,1,'Вводные'!$B$63))))*CS36)</x:f>
      </x:c>
      <x:c r="CT43" s="107" t="n">
        <x:f>'Вводные'!$N$89*((IF(SUM($D32:$GA32)=0,0,IF(SUM($D35:$GA35)=0,1,'Вводные'!$B$63)))*CT34+(1-(IF(SUM($D32:$GA32)=0,0,IF(SUM($D35:$GA35)=0,1,'Вводные'!$B$63))))*CT36)</x:f>
      </x:c>
      <x:c r="CU43" s="107" t="n">
        <x:f>'Вводные'!$N$89*((IF(SUM($D32:$GA32)=0,0,IF(SUM($D35:$GA35)=0,1,'Вводные'!$B$63)))*CU34+(1-(IF(SUM($D32:$GA32)=0,0,IF(SUM($D35:$GA35)=0,1,'Вводные'!$B$63))))*CU36)</x:f>
      </x:c>
      <x:c r="CV43" s="107" t="n">
        <x:f>'Вводные'!$N$89*((IF(SUM($D32:$GA32)=0,0,IF(SUM($D35:$GA35)=0,1,'Вводные'!$B$63)))*CV34+(1-(IF(SUM($D32:$GA32)=0,0,IF(SUM($D35:$GA35)=0,1,'Вводные'!$B$63))))*CV36)</x:f>
      </x:c>
      <x:c r="CW43" s="107" t="n">
        <x:f>'Вводные'!$N$89*((IF(SUM($D32:$GA32)=0,0,IF(SUM($D35:$GA35)=0,1,'Вводные'!$B$63)))*CW34+(1-(IF(SUM($D32:$GA32)=0,0,IF(SUM($D35:$GA35)=0,1,'Вводные'!$B$63))))*CW36)</x:f>
      </x:c>
      <x:c r="CX43" s="107" t="n">
        <x:f>'Вводные'!$N$89*((IF(SUM($D32:$GA32)=0,0,IF(SUM($D35:$GA35)=0,1,'Вводные'!$B$63)))*CX34+(1-(IF(SUM($D32:$GA32)=0,0,IF(SUM($D35:$GA35)=0,1,'Вводные'!$B$63))))*CX36)</x:f>
      </x:c>
      <x:c r="CY43" s="107" t="n">
        <x:f>'Вводные'!$N$89*((IF(SUM($D32:$GA32)=0,0,IF(SUM($D35:$GA35)=0,1,'Вводные'!$B$63)))*CY34+(1-(IF(SUM($D32:$GA32)=0,0,IF(SUM($D35:$GA35)=0,1,'Вводные'!$B$63))))*CY36)</x:f>
      </x:c>
      <x:c r="CZ43" s="107" t="n">
        <x:f>'Вводные'!$N$89*((IF(SUM($D32:$GA32)=0,0,IF(SUM($D35:$GA35)=0,1,'Вводные'!$B$63)))*CZ34+(1-(IF(SUM($D32:$GA32)=0,0,IF(SUM($D35:$GA35)=0,1,'Вводные'!$B$63))))*CZ36)</x:f>
      </x:c>
      <x:c r="DA43" s="107" t="n">
        <x:f>'Вводные'!$N$89*((IF(SUM($D32:$GA32)=0,0,IF(SUM($D35:$GA35)=0,1,'Вводные'!$B$63)))*DA34+(1-(IF(SUM($D32:$GA32)=0,0,IF(SUM($D35:$GA35)=0,1,'Вводные'!$B$63))))*DA36)</x:f>
      </x:c>
      <x:c r="DB43" s="107" t="n">
        <x:f>'Вводные'!$N$89*((IF(SUM($D32:$GA32)=0,0,IF(SUM($D35:$GA35)=0,1,'Вводные'!$B$63)))*DB34+(1-(IF(SUM($D32:$GA32)=0,0,IF(SUM($D35:$GA35)=0,1,'Вводные'!$B$63))))*DB36)</x:f>
      </x:c>
      <x:c r="DC43" s="107" t="n">
        <x:f>'Вводные'!$N$89*((IF(SUM($D32:$GA32)=0,0,IF(SUM($D35:$GA35)=0,1,'Вводные'!$B$63)))*DC34+(1-(IF(SUM($D32:$GA32)=0,0,IF(SUM($D35:$GA35)=0,1,'Вводные'!$B$63))))*DC36)</x:f>
      </x:c>
      <x:c r="DD43" s="107" t="n">
        <x:f>'Вводные'!$N$89*((IF(SUM($D32:$GA32)=0,0,IF(SUM($D35:$GA35)=0,1,'Вводные'!$B$63)))*DD34+(1-(IF(SUM($D32:$GA32)=0,0,IF(SUM($D35:$GA35)=0,1,'Вводные'!$B$63))))*DD36)</x:f>
      </x:c>
      <x:c r="DE43" s="107" t="n">
        <x:f>'Вводные'!$N$89*((IF(SUM($D32:$GA32)=0,0,IF(SUM($D35:$GA35)=0,1,'Вводные'!$B$63)))*DE34+(1-(IF(SUM($D32:$GA32)=0,0,IF(SUM($D35:$GA35)=0,1,'Вводные'!$B$63))))*DE36)</x:f>
      </x:c>
      <x:c r="DF43" s="107" t="n">
        <x:f>'Вводные'!$N$89*((IF(SUM($D32:$GA32)=0,0,IF(SUM($D35:$GA35)=0,1,'Вводные'!$B$63)))*DF34+(1-(IF(SUM($D32:$GA32)=0,0,IF(SUM($D35:$GA35)=0,1,'Вводные'!$B$63))))*DF36)</x:f>
      </x:c>
      <x:c r="DG43" s="107" t="n">
        <x:f>'Вводные'!$N$89*((IF(SUM($D32:$GA32)=0,0,IF(SUM($D35:$GA35)=0,1,'Вводные'!$B$63)))*DG34+(1-(IF(SUM($D32:$GA32)=0,0,IF(SUM($D35:$GA35)=0,1,'Вводные'!$B$63))))*DG36)</x:f>
      </x:c>
      <x:c r="DH43" s="107" t="n">
        <x:f>'Вводные'!$N$89*((IF(SUM($D32:$GA32)=0,0,IF(SUM($D35:$GA35)=0,1,'Вводные'!$B$63)))*DH34+(1-(IF(SUM($D32:$GA32)=0,0,IF(SUM($D35:$GA35)=0,1,'Вводные'!$B$63))))*DH36)</x:f>
      </x:c>
      <x:c r="DI43" s="107" t="n">
        <x:f>'Вводные'!$N$89*((IF(SUM($D32:$GA32)=0,0,IF(SUM($D35:$GA35)=0,1,'Вводные'!$B$63)))*DI34+(1-(IF(SUM($D32:$GA32)=0,0,IF(SUM($D35:$GA35)=0,1,'Вводные'!$B$63))))*DI36)</x:f>
      </x:c>
      <x:c r="DJ43" s="107" t="n">
        <x:f>'Вводные'!$N$89*((IF(SUM($D32:$GA32)=0,0,IF(SUM($D35:$GA35)=0,1,'Вводные'!$B$63)))*DJ34+(1-(IF(SUM($D32:$GA32)=0,0,IF(SUM($D35:$GA35)=0,1,'Вводные'!$B$63))))*DJ36)</x:f>
      </x:c>
      <x:c r="DK43" s="107" t="n">
        <x:f>'Вводные'!$N$89*((IF(SUM($D32:$GA32)=0,0,IF(SUM($D35:$GA35)=0,1,'Вводные'!$B$63)))*DK34+(1-(IF(SUM($D32:$GA32)=0,0,IF(SUM($D35:$GA35)=0,1,'Вводные'!$B$63))))*DK36)</x:f>
      </x:c>
      <x:c r="DL43" s="107" t="n">
        <x:f>'Вводные'!$N$89*((IF(SUM($D32:$GA32)=0,0,IF(SUM($D35:$GA35)=0,1,'Вводные'!$B$63)))*DL34+(1-(IF(SUM($D32:$GA32)=0,0,IF(SUM($D35:$GA35)=0,1,'Вводные'!$B$63))))*DL36)</x:f>
      </x:c>
      <x:c r="DM43" s="107" t="n">
        <x:f>'Вводные'!$N$89*((IF(SUM($D32:$GA32)=0,0,IF(SUM($D35:$GA35)=0,1,'Вводные'!$B$63)))*DM34+(1-(IF(SUM($D32:$GA32)=0,0,IF(SUM($D35:$GA35)=0,1,'Вводные'!$B$63))))*DM36)</x:f>
      </x:c>
      <x:c r="DN43" s="107" t="n">
        <x:f>'Вводные'!$N$89*((IF(SUM($D32:$GA32)=0,0,IF(SUM($D35:$GA35)=0,1,'Вводные'!$B$63)))*DN34+(1-(IF(SUM($D32:$GA32)=0,0,IF(SUM($D35:$GA35)=0,1,'Вводные'!$B$63))))*DN36)</x:f>
      </x:c>
      <x:c r="DO43" s="107" t="n">
        <x:f>'Вводные'!$N$89*((IF(SUM($D32:$GA32)=0,0,IF(SUM($D35:$GA35)=0,1,'Вводные'!$B$63)))*DO34+(1-(IF(SUM($D32:$GA32)=0,0,IF(SUM($D35:$GA35)=0,1,'Вводные'!$B$63))))*DO36)</x:f>
      </x:c>
      <x:c r="DP43" s="107" t="n">
        <x:f>'Вводные'!$N$89*((IF(SUM($D32:$GA32)=0,0,IF(SUM($D35:$GA35)=0,1,'Вводные'!$B$63)))*DP34+(1-(IF(SUM($D32:$GA32)=0,0,IF(SUM($D35:$GA35)=0,1,'Вводные'!$B$63))))*DP36)</x:f>
      </x:c>
      <x:c r="DQ43" s="107" t="n">
        <x:f>'Вводные'!$N$89*((IF(SUM($D32:$GA32)=0,0,IF(SUM($D35:$GA35)=0,1,'Вводные'!$B$63)))*DQ34+(1-(IF(SUM($D32:$GA32)=0,0,IF(SUM($D35:$GA35)=0,1,'Вводные'!$B$63))))*DQ36)</x:f>
      </x:c>
      <x:c r="DR43" s="107" t="n">
        <x:f>'Вводные'!$N$89*((IF(SUM($D32:$GA32)=0,0,IF(SUM($D35:$GA35)=0,1,'Вводные'!$B$63)))*DR34+(1-(IF(SUM($D32:$GA32)=0,0,IF(SUM($D35:$GA35)=0,1,'Вводные'!$B$63))))*DR36)</x:f>
      </x:c>
      <x:c r="DS43" s="107" t="n">
        <x:f>'Вводные'!$N$89*((IF(SUM($D32:$GA32)=0,0,IF(SUM($D35:$GA35)=0,1,'Вводные'!$B$63)))*DS34+(1-(IF(SUM($D32:$GA32)=0,0,IF(SUM($D35:$GA35)=0,1,'Вводные'!$B$63))))*DS36)</x:f>
      </x:c>
      <x:c r="DT43" s="107" t="n">
        <x:f>'Вводные'!$N$89*((IF(SUM($D32:$GA32)=0,0,IF(SUM($D35:$GA35)=0,1,'Вводные'!$B$63)))*DT34+(1-(IF(SUM($D32:$GA32)=0,0,IF(SUM($D35:$GA35)=0,1,'Вводные'!$B$63))))*DT36)</x:f>
      </x:c>
      <x:c r="DU43" s="107" t="n">
        <x:f>'Вводные'!$N$89*((IF(SUM($D32:$GA32)=0,0,IF(SUM($D35:$GA35)=0,1,'Вводные'!$B$63)))*DU34+(1-(IF(SUM($D32:$GA32)=0,0,IF(SUM($D35:$GA35)=0,1,'Вводные'!$B$63))))*DU36)</x:f>
      </x:c>
      <x:c r="DV43" s="107" t="n">
        <x:f>'Вводные'!$N$89*((IF(SUM($D32:$GA32)=0,0,IF(SUM($D35:$GA35)=0,1,'Вводные'!$B$63)))*DV34+(1-(IF(SUM($D32:$GA32)=0,0,IF(SUM($D35:$GA35)=0,1,'Вводные'!$B$63))))*DV36)</x:f>
      </x:c>
      <x:c r="DW43" s="107" t="n">
        <x:f>'Вводные'!$N$89*((IF(SUM($D32:$GA32)=0,0,IF(SUM($D35:$GA35)=0,1,'Вводные'!$B$63)))*DW34+(1-(IF(SUM($D32:$GA32)=0,0,IF(SUM($D35:$GA35)=0,1,'Вводные'!$B$63))))*DW36)</x:f>
      </x:c>
      <x:c r="DX43" s="107" t="n">
        <x:f>'Вводные'!$N$89*((IF(SUM($D32:$GA32)=0,0,IF(SUM($D35:$GA35)=0,1,'Вводные'!$B$63)))*DX34+(1-(IF(SUM($D32:$GA32)=0,0,IF(SUM($D35:$GA35)=0,1,'Вводные'!$B$63))))*DX36)</x:f>
      </x:c>
      <x:c r="DY43" s="107" t="n">
        <x:f>'Вводные'!$N$89*((IF(SUM($D32:$GA32)=0,0,IF(SUM($D35:$GA35)=0,1,'Вводные'!$B$63)))*DY34+(1-(IF(SUM($D32:$GA32)=0,0,IF(SUM($D35:$GA35)=0,1,'Вводные'!$B$63))))*DY36)</x:f>
      </x:c>
      <x:c r="DZ43" s="107" t="n">
        <x:f>'Вводные'!$N$89*((IF(SUM($D32:$GA32)=0,0,IF(SUM($D35:$GA35)=0,1,'Вводные'!$B$63)))*DZ34+(1-(IF(SUM($D32:$GA32)=0,0,IF(SUM($D35:$GA35)=0,1,'Вводные'!$B$63))))*DZ36)</x:f>
      </x:c>
      <x:c r="EA43" s="107" t="n">
        <x:f>'Вводные'!$N$89*((IF(SUM($D32:$GA32)=0,0,IF(SUM($D35:$GA35)=0,1,'Вводные'!$B$63)))*EA34+(1-(IF(SUM($D32:$GA32)=0,0,IF(SUM($D35:$GA35)=0,1,'Вводные'!$B$63))))*EA36)</x:f>
      </x:c>
      <x:c r="EB43" s="107" t="n">
        <x:f>'Вводные'!$N$89*((IF(SUM($D32:$GA32)=0,0,IF(SUM($D35:$GA35)=0,1,'Вводные'!$B$63)))*EB34+(1-(IF(SUM($D32:$GA32)=0,0,IF(SUM($D35:$GA35)=0,1,'Вводные'!$B$63))))*EB36)</x:f>
      </x:c>
      <x:c r="EC43" s="107" t="n">
        <x:f>'Вводные'!$N$89*((IF(SUM($D32:$GA32)=0,0,IF(SUM($D35:$GA35)=0,1,'Вводные'!$B$63)))*EC34+(1-(IF(SUM($D32:$GA32)=0,0,IF(SUM($D35:$GA35)=0,1,'Вводные'!$B$63))))*EC36)</x:f>
      </x:c>
      <x:c r="ED43" s="107" t="n">
        <x:f>'Вводные'!$N$89*((IF(SUM($D32:$GA32)=0,0,IF(SUM($D35:$GA35)=0,1,'Вводные'!$B$63)))*ED34+(1-(IF(SUM($D32:$GA32)=0,0,IF(SUM($D35:$GA35)=0,1,'Вводные'!$B$63))))*ED36)</x:f>
      </x:c>
      <x:c r="EE43" s="107" t="n">
        <x:f>'Вводные'!$N$89*((IF(SUM($D32:$GA32)=0,0,IF(SUM($D35:$GA35)=0,1,'Вводные'!$B$63)))*EE34+(1-(IF(SUM($D32:$GA32)=0,0,IF(SUM($D35:$GA35)=0,1,'Вводные'!$B$63))))*EE36)</x:f>
      </x:c>
      <x:c r="EF43" s="107" t="n">
        <x:f>'Вводные'!$N$89*((IF(SUM($D32:$GA32)=0,0,IF(SUM($D35:$GA35)=0,1,'Вводные'!$B$63)))*EF34+(1-(IF(SUM($D32:$GA32)=0,0,IF(SUM($D35:$GA35)=0,1,'Вводные'!$B$63))))*EF36)</x:f>
      </x:c>
      <x:c r="EG43" s="107" t="n">
        <x:f>'Вводные'!$N$89*((IF(SUM($D32:$GA32)=0,0,IF(SUM($D35:$GA35)=0,1,'Вводные'!$B$63)))*EG34+(1-(IF(SUM($D32:$GA32)=0,0,IF(SUM($D35:$GA35)=0,1,'Вводные'!$B$63))))*EG36)</x:f>
      </x:c>
      <x:c r="EH43" s="107" t="n">
        <x:f>'Вводные'!$N$89*((IF(SUM($D32:$GA32)=0,0,IF(SUM($D35:$GA35)=0,1,'Вводные'!$B$63)))*EH34+(1-(IF(SUM($D32:$GA32)=0,0,IF(SUM($D35:$GA35)=0,1,'Вводные'!$B$63))))*EH36)</x:f>
      </x:c>
      <x:c r="EI43" s="107" t="n">
        <x:f>'Вводные'!$N$89*((IF(SUM($D32:$GA32)=0,0,IF(SUM($D35:$GA35)=0,1,'Вводные'!$B$63)))*EI34+(1-(IF(SUM($D32:$GA32)=0,0,IF(SUM($D35:$GA35)=0,1,'Вводные'!$B$63))))*EI36)</x:f>
      </x:c>
      <x:c r="EJ43" s="107" t="n">
        <x:f>'Вводные'!$N$89*((IF(SUM($D32:$GA32)=0,0,IF(SUM($D35:$GA35)=0,1,'Вводные'!$B$63)))*EJ34+(1-(IF(SUM($D32:$GA32)=0,0,IF(SUM($D35:$GA35)=0,1,'Вводные'!$B$63))))*EJ36)</x:f>
      </x:c>
      <x:c r="EK43" s="107" t="n">
        <x:f>'Вводные'!$N$89*((IF(SUM($D32:$GA32)=0,0,IF(SUM($D35:$GA35)=0,1,'Вводные'!$B$63)))*EK34+(1-(IF(SUM($D32:$GA32)=0,0,IF(SUM($D35:$GA35)=0,1,'Вводные'!$B$63))))*EK36)</x:f>
      </x:c>
      <x:c r="EL43" s="107" t="n">
        <x:f>'Вводные'!$N$89*((IF(SUM($D32:$GA32)=0,0,IF(SUM($D35:$GA35)=0,1,'Вводные'!$B$63)))*EL34+(1-(IF(SUM($D32:$GA32)=0,0,IF(SUM($D35:$GA35)=0,1,'Вводные'!$B$63))))*EL36)</x:f>
      </x:c>
      <x:c r="EM43" s="107" t="n">
        <x:f>'Вводные'!$N$89*((IF(SUM($D32:$GA32)=0,0,IF(SUM($D35:$GA35)=0,1,'Вводные'!$B$63)))*EM34+(1-(IF(SUM($D32:$GA32)=0,0,IF(SUM($D35:$GA35)=0,1,'Вводные'!$B$63))))*EM36)</x:f>
      </x:c>
      <x:c r="EN43" s="107" t="n">
        <x:f>'Вводные'!$N$89*((IF(SUM($D32:$GA32)=0,0,IF(SUM($D35:$GA35)=0,1,'Вводные'!$B$63)))*EN34+(1-(IF(SUM($D32:$GA32)=0,0,IF(SUM($D35:$GA35)=0,1,'Вводные'!$B$63))))*EN36)</x:f>
      </x:c>
      <x:c r="EO43" s="107" t="n">
        <x:f>'Вводные'!$N$89*((IF(SUM($D32:$GA32)=0,0,IF(SUM($D35:$GA35)=0,1,'Вводные'!$B$63)))*EO34+(1-(IF(SUM($D32:$GA32)=0,0,IF(SUM($D35:$GA35)=0,1,'Вводные'!$B$63))))*EO36)</x:f>
      </x:c>
      <x:c r="EP43" s="107" t="n">
        <x:f>'Вводные'!$N$89*((IF(SUM($D32:$GA32)=0,0,IF(SUM($D35:$GA35)=0,1,'Вводные'!$B$63)))*EP34+(1-(IF(SUM($D32:$GA32)=0,0,IF(SUM($D35:$GA35)=0,1,'Вводные'!$B$63))))*EP36)</x:f>
      </x:c>
      <x:c r="EQ43" s="107" t="n">
        <x:f>'Вводные'!$N$89*((IF(SUM($D32:$GA32)=0,0,IF(SUM($D35:$GA35)=0,1,'Вводные'!$B$63)))*EQ34+(1-(IF(SUM($D32:$GA32)=0,0,IF(SUM($D35:$GA35)=0,1,'Вводные'!$B$63))))*EQ36)</x:f>
      </x:c>
      <x:c r="ER43" s="107" t="n">
        <x:f>'Вводные'!$N$89*((IF(SUM($D32:$GA32)=0,0,IF(SUM($D35:$GA35)=0,1,'Вводные'!$B$63)))*ER34+(1-(IF(SUM($D32:$GA32)=0,0,IF(SUM($D35:$GA35)=0,1,'Вводные'!$B$63))))*ER36)</x:f>
      </x:c>
      <x:c r="ES43" s="107" t="n">
        <x:f>'Вводные'!$N$89*((IF(SUM($D32:$GA32)=0,0,IF(SUM($D35:$GA35)=0,1,'Вводные'!$B$63)))*ES34+(1-(IF(SUM($D32:$GA32)=0,0,IF(SUM($D35:$GA35)=0,1,'Вводные'!$B$63))))*ES36)</x:f>
      </x:c>
      <x:c r="ET43" s="107" t="n">
        <x:f>'Вводные'!$N$89*((IF(SUM($D32:$GA32)=0,0,IF(SUM($D35:$GA35)=0,1,'Вводные'!$B$63)))*ET34+(1-(IF(SUM($D32:$GA32)=0,0,IF(SUM($D35:$GA35)=0,1,'Вводные'!$B$63))))*ET36)</x:f>
      </x:c>
      <x:c r="EU43" s="107" t="n">
        <x:f>'Вводные'!$N$89*((IF(SUM($D32:$GA32)=0,0,IF(SUM($D35:$GA35)=0,1,'Вводные'!$B$63)))*EU34+(1-(IF(SUM($D32:$GA32)=0,0,IF(SUM($D35:$GA35)=0,1,'Вводные'!$B$63))))*EU36)</x:f>
      </x:c>
      <x:c r="EV43" s="107" t="n">
        <x:f>'Вводные'!$N$89*((IF(SUM($D32:$GA32)=0,0,IF(SUM($D35:$GA35)=0,1,'Вводные'!$B$63)))*EV34+(1-(IF(SUM($D32:$GA32)=0,0,IF(SUM($D35:$GA35)=0,1,'Вводные'!$B$63))))*EV36)</x:f>
      </x:c>
      <x:c r="EW43" s="107" t="n">
        <x:f>'Вводные'!$N$89*((IF(SUM($D32:$GA32)=0,0,IF(SUM($D35:$GA35)=0,1,'Вводные'!$B$63)))*EW34+(1-(IF(SUM($D32:$GA32)=0,0,IF(SUM($D35:$GA35)=0,1,'Вводные'!$B$63))))*EW36)</x:f>
      </x:c>
      <x:c r="EX43" s="107" t="n">
        <x:f>'Вводные'!$N$89*((IF(SUM($D32:$GA32)=0,0,IF(SUM($D35:$GA35)=0,1,'Вводные'!$B$63)))*EX34+(1-(IF(SUM($D32:$GA32)=0,0,IF(SUM($D35:$GA35)=0,1,'Вводные'!$B$63))))*EX36)</x:f>
      </x:c>
      <x:c r="EY43" s="107" t="n">
        <x:f>'Вводные'!$N$89*((IF(SUM($D32:$GA32)=0,0,IF(SUM($D35:$GA35)=0,1,'Вводные'!$B$63)))*EY34+(1-(IF(SUM($D32:$GA32)=0,0,IF(SUM($D35:$GA35)=0,1,'Вводные'!$B$63))))*EY36)</x:f>
      </x:c>
      <x:c r="EZ43" s="107" t="n">
        <x:f>'Вводные'!$N$89*((IF(SUM($D32:$GA32)=0,0,IF(SUM($D35:$GA35)=0,1,'Вводные'!$B$63)))*EZ34+(1-(IF(SUM($D32:$GA32)=0,0,IF(SUM($D35:$GA35)=0,1,'Вводные'!$B$63))))*EZ36)</x:f>
      </x:c>
      <x:c r="FA43" s="107" t="n">
        <x:f>'Вводные'!$N$89*((IF(SUM($D32:$GA32)=0,0,IF(SUM($D35:$GA35)=0,1,'Вводные'!$B$63)))*FA34+(1-(IF(SUM($D32:$GA32)=0,0,IF(SUM($D35:$GA35)=0,1,'Вводные'!$B$63))))*FA36)</x:f>
      </x:c>
      <x:c r="FB43" s="107" t="n">
        <x:f>'Вводные'!$N$89*((IF(SUM($D32:$GA32)=0,0,IF(SUM($D35:$GA35)=0,1,'Вводные'!$B$63)))*FB34+(1-(IF(SUM($D32:$GA32)=0,0,IF(SUM($D35:$GA35)=0,1,'Вводные'!$B$63))))*FB36)</x:f>
      </x:c>
      <x:c r="FC43" s="107" t="n">
        <x:f>'Вводные'!$N$89*((IF(SUM($D32:$GA32)=0,0,IF(SUM($D35:$GA35)=0,1,'Вводные'!$B$63)))*FC34+(1-(IF(SUM($D32:$GA32)=0,0,IF(SUM($D35:$GA35)=0,1,'Вводные'!$B$63))))*FC36)</x:f>
      </x:c>
      <x:c r="FD43" s="107" t="n">
        <x:f>'Вводные'!$N$89*((IF(SUM($D32:$GA32)=0,0,IF(SUM($D35:$GA35)=0,1,'Вводные'!$B$63)))*FD34+(1-(IF(SUM($D32:$GA32)=0,0,IF(SUM($D35:$GA35)=0,1,'Вводные'!$B$63))))*FD36)</x:f>
      </x:c>
      <x:c r="FE43" s="107" t="n">
        <x:f>'Вводные'!$N$89*((IF(SUM($D32:$GA32)=0,0,IF(SUM($D35:$GA35)=0,1,'Вводные'!$B$63)))*FE34+(1-(IF(SUM($D32:$GA32)=0,0,IF(SUM($D35:$GA35)=0,1,'Вводные'!$B$63))))*FE36)</x:f>
      </x:c>
      <x:c r="FF43" s="107" t="n">
        <x:f>'Вводные'!$N$89*((IF(SUM($D32:$GA32)=0,0,IF(SUM($D35:$GA35)=0,1,'Вводные'!$B$63)))*FF34+(1-(IF(SUM($D32:$GA32)=0,0,IF(SUM($D35:$GA35)=0,1,'Вводные'!$B$63))))*FF36)</x:f>
      </x:c>
      <x:c r="FG43" s="107" t="n">
        <x:f>'Вводные'!$N$89*((IF(SUM($D32:$GA32)=0,0,IF(SUM($D35:$GA35)=0,1,'Вводные'!$B$63)))*FG34+(1-(IF(SUM($D32:$GA32)=0,0,IF(SUM($D35:$GA35)=0,1,'Вводные'!$B$63))))*FG36)</x:f>
      </x:c>
      <x:c r="FH43" s="107" t="n">
        <x:f>'Вводные'!$N$89*((IF(SUM($D32:$GA32)=0,0,IF(SUM($D35:$GA35)=0,1,'Вводные'!$B$63)))*FH34+(1-(IF(SUM($D32:$GA32)=0,0,IF(SUM($D35:$GA35)=0,1,'Вводные'!$B$63))))*FH36)</x:f>
      </x:c>
      <x:c r="FI43" s="107" t="n">
        <x:f>'Вводные'!$N$89*((IF(SUM($D32:$GA32)=0,0,IF(SUM($D35:$GA35)=0,1,'Вводные'!$B$63)))*FI34+(1-(IF(SUM($D32:$GA32)=0,0,IF(SUM($D35:$GA35)=0,1,'Вводные'!$B$63))))*FI36)</x:f>
      </x:c>
      <x:c r="FJ43" s="107" t="n">
        <x:f>'Вводные'!$N$89*((IF(SUM($D32:$GA32)=0,0,IF(SUM($D35:$GA35)=0,1,'Вводные'!$B$63)))*FJ34+(1-(IF(SUM($D32:$GA32)=0,0,IF(SUM($D35:$GA35)=0,1,'Вводные'!$B$63))))*FJ36)</x:f>
      </x:c>
      <x:c r="FK43" s="107" t="n">
        <x:f>'Вводные'!$N$89*((IF(SUM($D32:$GA32)=0,0,IF(SUM($D35:$GA35)=0,1,'Вводные'!$B$63)))*FK34+(1-(IF(SUM($D32:$GA32)=0,0,IF(SUM($D35:$GA35)=0,1,'Вводные'!$B$63))))*FK36)</x:f>
      </x:c>
      <x:c r="FL43" s="107" t="n">
        <x:f>'Вводные'!$N$89*((IF(SUM($D32:$GA32)=0,0,IF(SUM($D35:$GA35)=0,1,'Вводные'!$B$63)))*FL34+(1-(IF(SUM($D32:$GA32)=0,0,IF(SUM($D35:$GA35)=0,1,'Вводные'!$B$63))))*FL36)</x:f>
      </x:c>
      <x:c r="FM43" s="107" t="n">
        <x:f>'Вводные'!$N$89*((IF(SUM($D32:$GA32)=0,0,IF(SUM($D35:$GA35)=0,1,'Вводные'!$B$63)))*FM34+(1-(IF(SUM($D32:$GA32)=0,0,IF(SUM($D35:$GA35)=0,1,'Вводные'!$B$63))))*FM36)</x:f>
      </x:c>
      <x:c r="FN43" s="107" t="n">
        <x:f>'Вводные'!$N$89*((IF(SUM($D32:$GA32)=0,0,IF(SUM($D35:$GA35)=0,1,'Вводные'!$B$63)))*FN34+(1-(IF(SUM($D32:$GA32)=0,0,IF(SUM($D35:$GA35)=0,1,'Вводные'!$B$63))))*FN36)</x:f>
      </x:c>
      <x:c r="FO43" s="107" t="n">
        <x:f>'Вводные'!$N$89*((IF(SUM($D32:$GA32)=0,0,IF(SUM($D35:$GA35)=0,1,'Вводные'!$B$63)))*FO34+(1-(IF(SUM($D32:$GA32)=0,0,IF(SUM($D35:$GA35)=0,1,'Вводные'!$B$63))))*FO36)</x:f>
      </x:c>
      <x:c r="FP43" s="107" t="n">
        <x:f>'Вводные'!$N$89*((IF(SUM($D32:$GA32)=0,0,IF(SUM($D35:$GA35)=0,1,'Вводные'!$B$63)))*FP34+(1-(IF(SUM($D32:$GA32)=0,0,IF(SUM($D35:$GA35)=0,1,'Вводные'!$B$63))))*FP36)</x:f>
      </x:c>
      <x:c r="FQ43" s="107" t="n">
        <x:f>'Вводные'!$N$89*((IF(SUM($D32:$GA32)=0,0,IF(SUM($D35:$GA35)=0,1,'Вводные'!$B$63)))*FQ34+(1-(IF(SUM($D32:$GA32)=0,0,IF(SUM($D35:$GA35)=0,1,'Вводные'!$B$63))))*FQ36)</x:f>
      </x:c>
      <x:c r="FR43" s="107" t="n">
        <x:f>'Вводные'!$N$89*((IF(SUM($D32:$GA32)=0,0,IF(SUM($D35:$GA35)=0,1,'Вводные'!$B$63)))*FR34+(1-(IF(SUM($D32:$GA32)=0,0,IF(SUM($D35:$GA35)=0,1,'Вводные'!$B$63))))*FR36)</x:f>
      </x:c>
      <x:c r="FS43" s="107" t="n">
        <x:f>'Вводные'!$N$89*((IF(SUM($D32:$GA32)=0,0,IF(SUM($D35:$GA35)=0,1,'Вводные'!$B$63)))*FS34+(1-(IF(SUM($D32:$GA32)=0,0,IF(SUM($D35:$GA35)=0,1,'Вводные'!$B$63))))*FS36)</x:f>
      </x:c>
      <x:c r="FT43" s="107" t="n">
        <x:f>'Вводные'!$N$89*((IF(SUM($D32:$GA32)=0,0,IF(SUM($D35:$GA35)=0,1,'Вводные'!$B$63)))*FT34+(1-(IF(SUM($D32:$GA32)=0,0,IF(SUM($D35:$GA35)=0,1,'Вводные'!$B$63))))*FT36)</x:f>
      </x:c>
      <x:c r="FU43" s="107" t="n">
        <x:f>'Вводные'!$N$89*((IF(SUM($D32:$GA32)=0,0,IF(SUM($D35:$GA35)=0,1,'Вводные'!$B$63)))*FU34+(1-(IF(SUM($D32:$GA32)=0,0,IF(SUM($D35:$GA35)=0,1,'Вводные'!$B$63))))*FU36)</x:f>
      </x:c>
      <x:c r="FV43" s="107" t="n">
        <x:f>'Вводные'!$N$89*((IF(SUM($D32:$GA32)=0,0,IF(SUM($D35:$GA35)=0,1,'Вводные'!$B$63)))*FV34+(1-(IF(SUM($D32:$GA32)=0,0,IF(SUM($D35:$GA35)=0,1,'Вводные'!$B$63))))*FV36)</x:f>
      </x:c>
      <x:c r="FW43" s="107" t="n">
        <x:f>'Вводные'!$N$89*((IF(SUM($D32:$GA32)=0,0,IF(SUM($D35:$GA35)=0,1,'Вводные'!$B$63)))*FW34+(1-(IF(SUM($D32:$GA32)=0,0,IF(SUM($D35:$GA35)=0,1,'Вводные'!$B$63))))*FW36)</x:f>
      </x:c>
      <x:c r="FX43" s="107" t="n">
        <x:f>'Вводные'!$N$89*((IF(SUM($D32:$GA32)=0,0,IF(SUM($D35:$GA35)=0,1,'Вводные'!$B$63)))*FX34+(1-(IF(SUM($D32:$GA32)=0,0,IF(SUM($D35:$GA35)=0,1,'Вводные'!$B$63))))*FX36)</x:f>
      </x:c>
      <x:c r="FY43" s="107" t="n">
        <x:f>'Вводные'!$N$89*((IF(SUM($D32:$GA32)=0,0,IF(SUM($D35:$GA35)=0,1,'Вводные'!$B$63)))*FY34+(1-(IF(SUM($D32:$GA32)=0,0,IF(SUM($D35:$GA35)=0,1,'Вводные'!$B$63))))*FY36)</x:f>
      </x:c>
      <x:c r="FZ43" s="107" t="n">
        <x:f>'Вводные'!$N$89*((IF(SUM($D32:$GA32)=0,0,IF(SUM($D35:$GA35)=0,1,'Вводные'!$B$63)))*FZ34+(1-(IF(SUM($D32:$GA32)=0,0,IF(SUM($D35:$GA35)=0,1,'Вводные'!$B$63))))*FZ36)</x:f>
      </x:c>
      <x:c r="GA43" s="107" t="n">
        <x:f>'Вводные'!$N$89*((IF(SUM($D32:$GA32)=0,0,IF(SUM($D35:$GA35)=0,1,'Вводные'!$B$63)))*GA34+(1-(IF(SUM($D32:$GA32)=0,0,IF(SUM($D35:$GA35)=0,1,'Вводные'!$B$63))))*GA36)</x:f>
      </x:c>
    </x:row>
    <x:row r="44">
      <x:c r="A44" t="str">
        <x:v>Паркинг — цена</x:v>
      </x:c>
      <x:c r="B44" t="n">
        <x:f>IFERROR(B45*1000/B43,0)</x:f>
      </x:c>
      <x:c r="C44" t="str">
        <x:v>тыс. ₽/шт.</x:v>
      </x:c>
      <x:c r="D44" s="107" t="n">
        <x:f>IF(D43=0,0,'Вводные'!$B$61*'Вводные'!$S$89*'Вводные'!$H$5*'Вводные'!$AG$89*(1+'Вводные'!$B$64)^MAX(0,MIN((12*(YEAR(D$3)-YEAR($B$30))+MONTH(D$3)-MONTH($B$30)),(12*(YEAR($B$31)-YEAR($B$30))+MONTH($B$31)-MONTH($B$30))))*(1+'Вводные'!$B$65)^MAX(0,(12*(YEAR(D$3)-YEAR($B$31))+MONTH(D$3)-MONTH($B$31))))</x:f>
      </x:c>
      <x:c r="E44" s="107" t="n">
        <x:f>IF(E43=0,0,'Вводные'!$B$61*'Вводные'!$S$89*'Вводные'!$H$5*'Вводные'!$AG$89*(1+'Вводные'!$B$64)^MAX(0,MIN((12*(YEAR(E$3)-YEAR($B$30))+MONTH(E$3)-MONTH($B$30)),(12*(YEAR($B$31)-YEAR($B$30))+MONTH($B$31)-MONTH($B$30))))*(1+'Вводные'!$B$65)^MAX(0,(12*(YEAR(E$3)-YEAR($B$31))+MONTH(E$3)-MONTH($B$31))))</x:f>
      </x:c>
      <x:c r="F44" s="107" t="n">
        <x:f>IF(F43=0,0,'Вводные'!$B$61*'Вводные'!$S$89*'Вводные'!$H$5*'Вводные'!$AG$89*(1+'Вводные'!$B$64)^MAX(0,MIN((12*(YEAR(F$3)-YEAR($B$30))+MONTH(F$3)-MONTH($B$30)),(12*(YEAR($B$31)-YEAR($B$30))+MONTH($B$31)-MONTH($B$30))))*(1+'Вводные'!$B$65)^MAX(0,(12*(YEAR(F$3)-YEAR($B$31))+MONTH(F$3)-MONTH($B$31))))</x:f>
      </x:c>
      <x:c r="G44" s="107" t="n">
        <x:f>IF(G43=0,0,'Вводные'!$B$61*'Вводные'!$S$89*'Вводные'!$H$5*'Вводные'!$AG$89*(1+'Вводные'!$B$64)^MAX(0,MIN((12*(YEAR(G$3)-YEAR($B$30))+MONTH(G$3)-MONTH($B$30)),(12*(YEAR($B$31)-YEAR($B$30))+MONTH($B$31)-MONTH($B$30))))*(1+'Вводные'!$B$65)^MAX(0,(12*(YEAR(G$3)-YEAR($B$31))+MONTH(G$3)-MONTH($B$31))))</x:f>
      </x:c>
      <x:c r="H44" s="107" t="n">
        <x:f>IF(H43=0,0,'Вводные'!$B$61*'Вводные'!$S$89*'Вводные'!$H$5*'Вводные'!$AG$89*(1+'Вводные'!$B$64)^MAX(0,MIN((12*(YEAR(H$3)-YEAR($B$30))+MONTH(H$3)-MONTH($B$30)),(12*(YEAR($B$31)-YEAR($B$30))+MONTH($B$31)-MONTH($B$30))))*(1+'Вводные'!$B$65)^MAX(0,(12*(YEAR(H$3)-YEAR($B$31))+MONTH(H$3)-MONTH($B$31))))</x:f>
      </x:c>
      <x:c r="I44" s="107" t="n">
        <x:f>IF(I43=0,0,'Вводные'!$B$61*'Вводные'!$S$89*'Вводные'!$H$5*'Вводные'!$AG$89*(1+'Вводные'!$B$64)^MAX(0,MIN((12*(YEAR(I$3)-YEAR($B$30))+MONTH(I$3)-MONTH($B$30)),(12*(YEAR($B$31)-YEAR($B$30))+MONTH($B$31)-MONTH($B$30))))*(1+'Вводные'!$B$65)^MAX(0,(12*(YEAR(I$3)-YEAR($B$31))+MONTH(I$3)-MONTH($B$31))))</x:f>
      </x:c>
      <x:c r="J44" s="107" t="n">
        <x:f>IF(J43=0,0,'Вводные'!$B$61*'Вводные'!$S$89*'Вводные'!$H$5*'Вводные'!$AG$89*(1+'Вводные'!$B$64)^MAX(0,MIN((12*(YEAR(J$3)-YEAR($B$30))+MONTH(J$3)-MONTH($B$30)),(12*(YEAR($B$31)-YEAR($B$30))+MONTH($B$31)-MONTH($B$30))))*(1+'Вводные'!$B$65)^MAX(0,(12*(YEAR(J$3)-YEAR($B$31))+MONTH(J$3)-MONTH($B$31))))</x:f>
      </x:c>
      <x:c r="K44" s="107" t="n">
        <x:f>IF(K43=0,0,'Вводные'!$B$61*'Вводные'!$S$89*'Вводные'!$H$5*'Вводные'!$AG$89*(1+'Вводные'!$B$64)^MAX(0,MIN((12*(YEAR(K$3)-YEAR($B$30))+MONTH(K$3)-MONTH($B$30)),(12*(YEAR($B$31)-YEAR($B$30))+MONTH($B$31)-MONTH($B$30))))*(1+'Вводные'!$B$65)^MAX(0,(12*(YEAR(K$3)-YEAR($B$31))+MONTH(K$3)-MONTH($B$31))))</x:f>
      </x:c>
      <x:c r="L44" s="107" t="n">
        <x:f>IF(L43=0,0,'Вводные'!$B$61*'Вводные'!$S$89*'Вводные'!$H$5*'Вводные'!$AG$89*(1+'Вводные'!$B$64)^MAX(0,MIN((12*(YEAR(L$3)-YEAR($B$30))+MONTH(L$3)-MONTH($B$30)),(12*(YEAR($B$31)-YEAR($B$30))+MONTH($B$31)-MONTH($B$30))))*(1+'Вводные'!$B$65)^MAX(0,(12*(YEAR(L$3)-YEAR($B$31))+MONTH(L$3)-MONTH($B$31))))</x:f>
      </x:c>
      <x:c r="M44" s="107" t="n">
        <x:f>IF(M43=0,0,'Вводные'!$B$61*'Вводные'!$S$89*'Вводные'!$H$5*'Вводные'!$AG$89*(1+'Вводные'!$B$64)^MAX(0,MIN((12*(YEAR(M$3)-YEAR($B$30))+MONTH(M$3)-MONTH($B$30)),(12*(YEAR($B$31)-YEAR($B$30))+MONTH($B$31)-MONTH($B$30))))*(1+'Вводные'!$B$65)^MAX(0,(12*(YEAR(M$3)-YEAR($B$31))+MONTH(M$3)-MONTH($B$31))))</x:f>
      </x:c>
      <x:c r="N44" s="107" t="n">
        <x:f>IF(N43=0,0,'Вводные'!$B$61*'Вводные'!$S$89*'Вводные'!$H$5*'Вводные'!$AG$89*(1+'Вводные'!$B$64)^MAX(0,MIN((12*(YEAR(N$3)-YEAR($B$30))+MONTH(N$3)-MONTH($B$30)),(12*(YEAR($B$31)-YEAR($B$30))+MONTH($B$31)-MONTH($B$30))))*(1+'Вводные'!$B$65)^MAX(0,(12*(YEAR(N$3)-YEAR($B$31))+MONTH(N$3)-MONTH($B$31))))</x:f>
      </x:c>
      <x:c r="O44" s="107" t="n">
        <x:f>IF(O43=0,0,'Вводные'!$B$61*'Вводные'!$S$89*'Вводные'!$H$5*'Вводные'!$AG$89*(1+'Вводные'!$B$64)^MAX(0,MIN((12*(YEAR(O$3)-YEAR($B$30))+MONTH(O$3)-MONTH($B$30)),(12*(YEAR($B$31)-YEAR($B$30))+MONTH($B$31)-MONTH($B$30))))*(1+'Вводные'!$B$65)^MAX(0,(12*(YEAR(O$3)-YEAR($B$31))+MONTH(O$3)-MONTH($B$31))))</x:f>
      </x:c>
      <x:c r="P44" s="107" t="n">
        <x:f>IF(P43=0,0,'Вводные'!$B$61*'Вводные'!$S$89*'Вводные'!$H$5*'Вводные'!$AG$89*(1+'Вводные'!$B$64)^MAX(0,MIN((12*(YEAR(P$3)-YEAR($B$30))+MONTH(P$3)-MONTH($B$30)),(12*(YEAR($B$31)-YEAR($B$30))+MONTH($B$31)-MONTH($B$30))))*(1+'Вводные'!$B$65)^MAX(0,(12*(YEAR(P$3)-YEAR($B$31))+MONTH(P$3)-MONTH($B$31))))</x:f>
      </x:c>
      <x:c r="Q44" s="107" t="n">
        <x:f>IF(Q43=0,0,'Вводные'!$B$61*'Вводные'!$S$89*'Вводные'!$H$5*'Вводные'!$AG$89*(1+'Вводные'!$B$64)^MAX(0,MIN((12*(YEAR(Q$3)-YEAR($B$30))+MONTH(Q$3)-MONTH($B$30)),(12*(YEAR($B$31)-YEAR($B$30))+MONTH($B$31)-MONTH($B$30))))*(1+'Вводные'!$B$65)^MAX(0,(12*(YEAR(Q$3)-YEAR($B$31))+MONTH(Q$3)-MONTH($B$31))))</x:f>
      </x:c>
      <x:c r="R44" s="107" t="n">
        <x:f>IF(R43=0,0,'Вводные'!$B$61*'Вводные'!$S$89*'Вводные'!$H$5*'Вводные'!$AG$89*(1+'Вводные'!$B$64)^MAX(0,MIN((12*(YEAR(R$3)-YEAR($B$30))+MONTH(R$3)-MONTH($B$30)),(12*(YEAR($B$31)-YEAR($B$30))+MONTH($B$31)-MONTH($B$30))))*(1+'Вводные'!$B$65)^MAX(0,(12*(YEAR(R$3)-YEAR($B$31))+MONTH(R$3)-MONTH($B$31))))</x:f>
      </x:c>
      <x:c r="S44" s="107" t="n">
        <x:f>IF(S43=0,0,'Вводные'!$B$61*'Вводные'!$S$89*'Вводные'!$H$5*'Вводные'!$AG$89*(1+'Вводные'!$B$64)^MAX(0,MIN((12*(YEAR(S$3)-YEAR($B$30))+MONTH(S$3)-MONTH($B$30)),(12*(YEAR($B$31)-YEAR($B$30))+MONTH($B$31)-MONTH($B$30))))*(1+'Вводные'!$B$65)^MAX(0,(12*(YEAR(S$3)-YEAR($B$31))+MONTH(S$3)-MONTH($B$31))))</x:f>
      </x:c>
      <x:c r="T44" s="107" t="n">
        <x:f>IF(T43=0,0,'Вводные'!$B$61*'Вводные'!$S$89*'Вводные'!$H$5*'Вводные'!$AG$89*(1+'Вводные'!$B$64)^MAX(0,MIN((12*(YEAR(T$3)-YEAR($B$30))+MONTH(T$3)-MONTH($B$30)),(12*(YEAR($B$31)-YEAR($B$30))+MONTH($B$31)-MONTH($B$30))))*(1+'Вводные'!$B$65)^MAX(0,(12*(YEAR(T$3)-YEAR($B$31))+MONTH(T$3)-MONTH($B$31))))</x:f>
      </x:c>
      <x:c r="U44" s="107" t="n">
        <x:f>IF(U43=0,0,'Вводные'!$B$61*'Вводные'!$S$89*'Вводные'!$H$5*'Вводные'!$AG$89*(1+'Вводные'!$B$64)^MAX(0,MIN((12*(YEAR(U$3)-YEAR($B$30))+MONTH(U$3)-MONTH($B$30)),(12*(YEAR($B$31)-YEAR($B$30))+MONTH($B$31)-MONTH($B$30))))*(1+'Вводные'!$B$65)^MAX(0,(12*(YEAR(U$3)-YEAR($B$31))+MONTH(U$3)-MONTH($B$31))))</x:f>
      </x:c>
      <x:c r="V44" s="107" t="n">
        <x:f>IF(V43=0,0,'Вводные'!$B$61*'Вводные'!$S$89*'Вводные'!$H$5*'Вводные'!$AG$89*(1+'Вводные'!$B$64)^MAX(0,MIN((12*(YEAR(V$3)-YEAR($B$30))+MONTH(V$3)-MONTH($B$30)),(12*(YEAR($B$31)-YEAR($B$30))+MONTH($B$31)-MONTH($B$30))))*(1+'Вводные'!$B$65)^MAX(0,(12*(YEAR(V$3)-YEAR($B$31))+MONTH(V$3)-MONTH($B$31))))</x:f>
      </x:c>
      <x:c r="W44" s="107" t="n">
        <x:f>IF(W43=0,0,'Вводные'!$B$61*'Вводные'!$S$89*'Вводные'!$H$5*'Вводные'!$AG$89*(1+'Вводные'!$B$64)^MAX(0,MIN((12*(YEAR(W$3)-YEAR($B$30))+MONTH(W$3)-MONTH($B$30)),(12*(YEAR($B$31)-YEAR($B$30))+MONTH($B$31)-MONTH($B$30))))*(1+'Вводные'!$B$65)^MAX(0,(12*(YEAR(W$3)-YEAR($B$31))+MONTH(W$3)-MONTH($B$31))))</x:f>
      </x:c>
      <x:c r="X44" s="107" t="n">
        <x:f>IF(X43=0,0,'Вводные'!$B$61*'Вводные'!$S$89*'Вводные'!$H$5*'Вводные'!$AG$89*(1+'Вводные'!$B$64)^MAX(0,MIN((12*(YEAR(X$3)-YEAR($B$30))+MONTH(X$3)-MONTH($B$30)),(12*(YEAR($B$31)-YEAR($B$30))+MONTH($B$31)-MONTH($B$30))))*(1+'Вводные'!$B$65)^MAX(0,(12*(YEAR(X$3)-YEAR($B$31))+MONTH(X$3)-MONTH($B$31))))</x:f>
      </x:c>
      <x:c r="Y44" s="107" t="n">
        <x:f>IF(Y43=0,0,'Вводные'!$B$61*'Вводные'!$S$89*'Вводные'!$H$5*'Вводные'!$AG$89*(1+'Вводные'!$B$64)^MAX(0,MIN((12*(YEAR(Y$3)-YEAR($B$30))+MONTH(Y$3)-MONTH($B$30)),(12*(YEAR($B$31)-YEAR($B$30))+MONTH($B$31)-MONTH($B$30))))*(1+'Вводные'!$B$65)^MAX(0,(12*(YEAR(Y$3)-YEAR($B$31))+MONTH(Y$3)-MONTH($B$31))))</x:f>
      </x:c>
      <x:c r="Z44" s="107" t="n">
        <x:f>IF(Z43=0,0,'Вводные'!$B$61*'Вводные'!$S$89*'Вводные'!$H$5*'Вводные'!$AG$89*(1+'Вводные'!$B$64)^MAX(0,MIN((12*(YEAR(Z$3)-YEAR($B$30))+MONTH(Z$3)-MONTH($B$30)),(12*(YEAR($B$31)-YEAR($B$30))+MONTH($B$31)-MONTH($B$30))))*(1+'Вводные'!$B$65)^MAX(0,(12*(YEAR(Z$3)-YEAR($B$31))+MONTH(Z$3)-MONTH($B$31))))</x:f>
      </x:c>
      <x:c r="AA44" s="107" t="n">
        <x:f>IF(AA43=0,0,'Вводные'!$B$61*'Вводные'!$S$89*'Вводные'!$H$5*'Вводные'!$AG$89*(1+'Вводные'!$B$64)^MAX(0,MIN((12*(YEAR(AA$3)-YEAR($B$30))+MONTH(AA$3)-MONTH($B$30)),(12*(YEAR($B$31)-YEAR($B$30))+MONTH($B$31)-MONTH($B$30))))*(1+'Вводные'!$B$65)^MAX(0,(12*(YEAR(AA$3)-YEAR($B$31))+MONTH(AA$3)-MONTH($B$31))))</x:f>
      </x:c>
      <x:c r="AB44" s="107" t="n">
        <x:f>IF(AB43=0,0,'Вводные'!$B$61*'Вводные'!$S$89*'Вводные'!$H$5*'Вводные'!$AG$89*(1+'Вводные'!$B$64)^MAX(0,MIN((12*(YEAR(AB$3)-YEAR($B$30))+MONTH(AB$3)-MONTH($B$30)),(12*(YEAR($B$31)-YEAR($B$30))+MONTH($B$31)-MONTH($B$30))))*(1+'Вводные'!$B$65)^MAX(0,(12*(YEAR(AB$3)-YEAR($B$31))+MONTH(AB$3)-MONTH($B$31))))</x:f>
      </x:c>
      <x:c r="AC44" s="107" t="n">
        <x:f>IF(AC43=0,0,'Вводные'!$B$61*'Вводные'!$S$89*'Вводные'!$H$5*'Вводные'!$AG$89*(1+'Вводные'!$B$64)^MAX(0,MIN((12*(YEAR(AC$3)-YEAR($B$30))+MONTH(AC$3)-MONTH($B$30)),(12*(YEAR($B$31)-YEAR($B$30))+MONTH($B$31)-MONTH($B$30))))*(1+'Вводные'!$B$65)^MAX(0,(12*(YEAR(AC$3)-YEAR($B$31))+MONTH(AC$3)-MONTH($B$31))))</x:f>
      </x:c>
      <x:c r="AD44" s="107" t="n">
        <x:f>IF(AD43=0,0,'Вводные'!$B$61*'Вводные'!$S$89*'Вводные'!$H$5*'Вводные'!$AG$89*(1+'Вводные'!$B$64)^MAX(0,MIN((12*(YEAR(AD$3)-YEAR($B$30))+MONTH(AD$3)-MONTH($B$30)),(12*(YEAR($B$31)-YEAR($B$30))+MONTH($B$31)-MONTH($B$30))))*(1+'Вводные'!$B$65)^MAX(0,(12*(YEAR(AD$3)-YEAR($B$31))+MONTH(AD$3)-MONTH($B$31))))</x:f>
      </x:c>
      <x:c r="AE44" s="107" t="n">
        <x:f>IF(AE43=0,0,'Вводные'!$B$61*'Вводные'!$S$89*'Вводные'!$H$5*'Вводные'!$AG$89*(1+'Вводные'!$B$64)^MAX(0,MIN((12*(YEAR(AE$3)-YEAR($B$30))+MONTH(AE$3)-MONTH($B$30)),(12*(YEAR($B$31)-YEAR($B$30))+MONTH($B$31)-MONTH($B$30))))*(1+'Вводные'!$B$65)^MAX(0,(12*(YEAR(AE$3)-YEAR($B$31))+MONTH(AE$3)-MONTH($B$31))))</x:f>
      </x:c>
      <x:c r="AF44" s="107" t="n">
        <x:f>IF(AF43=0,0,'Вводные'!$B$61*'Вводные'!$S$89*'Вводные'!$H$5*'Вводные'!$AG$89*(1+'Вводные'!$B$64)^MAX(0,MIN((12*(YEAR(AF$3)-YEAR($B$30))+MONTH(AF$3)-MONTH($B$30)),(12*(YEAR($B$31)-YEAR($B$30))+MONTH($B$31)-MONTH($B$30))))*(1+'Вводные'!$B$65)^MAX(0,(12*(YEAR(AF$3)-YEAR($B$31))+MONTH(AF$3)-MONTH($B$31))))</x:f>
      </x:c>
      <x:c r="AG44" s="107" t="n">
        <x:f>IF(AG43=0,0,'Вводные'!$B$61*'Вводные'!$S$89*'Вводные'!$H$5*'Вводные'!$AG$89*(1+'Вводные'!$B$64)^MAX(0,MIN((12*(YEAR(AG$3)-YEAR($B$30))+MONTH(AG$3)-MONTH($B$30)),(12*(YEAR($B$31)-YEAR($B$30))+MONTH($B$31)-MONTH($B$30))))*(1+'Вводные'!$B$65)^MAX(0,(12*(YEAR(AG$3)-YEAR($B$31))+MONTH(AG$3)-MONTH($B$31))))</x:f>
      </x:c>
      <x:c r="AH44" s="107" t="n">
        <x:f>IF(AH43=0,0,'Вводные'!$B$61*'Вводные'!$S$89*'Вводные'!$H$5*'Вводные'!$AG$89*(1+'Вводные'!$B$64)^MAX(0,MIN((12*(YEAR(AH$3)-YEAR($B$30))+MONTH(AH$3)-MONTH($B$30)),(12*(YEAR($B$31)-YEAR($B$30))+MONTH($B$31)-MONTH($B$30))))*(1+'Вводные'!$B$65)^MAX(0,(12*(YEAR(AH$3)-YEAR($B$31))+MONTH(AH$3)-MONTH($B$31))))</x:f>
      </x:c>
      <x:c r="AI44" s="107" t="n">
        <x:f>IF(AI43=0,0,'Вводные'!$B$61*'Вводные'!$S$89*'Вводные'!$H$5*'Вводные'!$AG$89*(1+'Вводные'!$B$64)^MAX(0,MIN((12*(YEAR(AI$3)-YEAR($B$30))+MONTH(AI$3)-MONTH($B$30)),(12*(YEAR($B$31)-YEAR($B$30))+MONTH($B$31)-MONTH($B$30))))*(1+'Вводные'!$B$65)^MAX(0,(12*(YEAR(AI$3)-YEAR($B$31))+MONTH(AI$3)-MONTH($B$31))))</x:f>
      </x:c>
      <x:c r="AJ44" s="107" t="n">
        <x:f>IF(AJ43=0,0,'Вводные'!$B$61*'Вводные'!$S$89*'Вводные'!$H$5*'Вводные'!$AG$89*(1+'Вводные'!$B$64)^MAX(0,MIN((12*(YEAR(AJ$3)-YEAR($B$30))+MONTH(AJ$3)-MONTH($B$30)),(12*(YEAR($B$31)-YEAR($B$30))+MONTH($B$31)-MONTH($B$30))))*(1+'Вводные'!$B$65)^MAX(0,(12*(YEAR(AJ$3)-YEAR($B$31))+MONTH(AJ$3)-MONTH($B$31))))</x:f>
      </x:c>
      <x:c r="AK44" s="107" t="n">
        <x:f>IF(AK43=0,0,'Вводные'!$B$61*'Вводные'!$S$89*'Вводные'!$H$5*'Вводные'!$AG$89*(1+'Вводные'!$B$64)^MAX(0,MIN((12*(YEAR(AK$3)-YEAR($B$30))+MONTH(AK$3)-MONTH($B$30)),(12*(YEAR($B$31)-YEAR($B$30))+MONTH($B$31)-MONTH($B$30))))*(1+'Вводные'!$B$65)^MAX(0,(12*(YEAR(AK$3)-YEAR($B$31))+MONTH(AK$3)-MONTH($B$31))))</x:f>
      </x:c>
      <x:c r="AL44" s="107" t="n">
        <x:f>IF(AL43=0,0,'Вводные'!$B$61*'Вводные'!$S$89*'Вводные'!$H$5*'Вводные'!$AG$89*(1+'Вводные'!$B$64)^MAX(0,MIN((12*(YEAR(AL$3)-YEAR($B$30))+MONTH(AL$3)-MONTH($B$30)),(12*(YEAR($B$31)-YEAR($B$30))+MONTH($B$31)-MONTH($B$30))))*(1+'Вводные'!$B$65)^MAX(0,(12*(YEAR(AL$3)-YEAR($B$31))+MONTH(AL$3)-MONTH($B$31))))</x:f>
      </x:c>
      <x:c r="AM44" s="107" t="n">
        <x:f>IF(AM43=0,0,'Вводные'!$B$61*'Вводные'!$S$89*'Вводные'!$H$5*'Вводные'!$AG$89*(1+'Вводные'!$B$64)^MAX(0,MIN((12*(YEAR(AM$3)-YEAR($B$30))+MONTH(AM$3)-MONTH($B$30)),(12*(YEAR($B$31)-YEAR($B$30))+MONTH($B$31)-MONTH($B$30))))*(1+'Вводные'!$B$65)^MAX(0,(12*(YEAR(AM$3)-YEAR($B$31))+MONTH(AM$3)-MONTH($B$31))))</x:f>
      </x:c>
      <x:c r="AN44" s="107" t="n">
        <x:f>IF(AN43=0,0,'Вводные'!$B$61*'Вводные'!$S$89*'Вводные'!$H$5*'Вводные'!$AG$89*(1+'Вводные'!$B$64)^MAX(0,MIN((12*(YEAR(AN$3)-YEAR($B$30))+MONTH(AN$3)-MONTH($B$30)),(12*(YEAR($B$31)-YEAR($B$30))+MONTH($B$31)-MONTH($B$30))))*(1+'Вводные'!$B$65)^MAX(0,(12*(YEAR(AN$3)-YEAR($B$31))+MONTH(AN$3)-MONTH($B$31))))</x:f>
      </x:c>
      <x:c r="AO44" s="107" t="n">
        <x:f>IF(AO43=0,0,'Вводные'!$B$61*'Вводные'!$S$89*'Вводные'!$H$5*'Вводные'!$AG$89*(1+'Вводные'!$B$64)^MAX(0,MIN((12*(YEAR(AO$3)-YEAR($B$30))+MONTH(AO$3)-MONTH($B$30)),(12*(YEAR($B$31)-YEAR($B$30))+MONTH($B$31)-MONTH($B$30))))*(1+'Вводные'!$B$65)^MAX(0,(12*(YEAR(AO$3)-YEAR($B$31))+MONTH(AO$3)-MONTH($B$31))))</x:f>
      </x:c>
      <x:c r="AP44" s="107" t="n">
        <x:f>IF(AP43=0,0,'Вводные'!$B$61*'Вводные'!$S$89*'Вводные'!$H$5*'Вводные'!$AG$89*(1+'Вводные'!$B$64)^MAX(0,MIN((12*(YEAR(AP$3)-YEAR($B$30))+MONTH(AP$3)-MONTH($B$30)),(12*(YEAR($B$31)-YEAR($B$30))+MONTH($B$31)-MONTH($B$30))))*(1+'Вводные'!$B$65)^MAX(0,(12*(YEAR(AP$3)-YEAR($B$31))+MONTH(AP$3)-MONTH($B$31))))</x:f>
      </x:c>
      <x:c r="AQ44" s="107" t="n">
        <x:f>IF(AQ43=0,0,'Вводные'!$B$61*'Вводные'!$S$89*'Вводные'!$H$5*'Вводные'!$AG$89*(1+'Вводные'!$B$64)^MAX(0,MIN((12*(YEAR(AQ$3)-YEAR($B$30))+MONTH(AQ$3)-MONTH($B$30)),(12*(YEAR($B$31)-YEAR($B$30))+MONTH($B$31)-MONTH($B$30))))*(1+'Вводные'!$B$65)^MAX(0,(12*(YEAR(AQ$3)-YEAR($B$31))+MONTH(AQ$3)-MONTH($B$31))))</x:f>
      </x:c>
      <x:c r="AR44" s="107" t="n">
        <x:f>IF(AR43=0,0,'Вводные'!$B$61*'Вводные'!$S$89*'Вводные'!$H$5*'Вводные'!$AG$89*(1+'Вводные'!$B$64)^MAX(0,MIN((12*(YEAR(AR$3)-YEAR($B$30))+MONTH(AR$3)-MONTH($B$30)),(12*(YEAR($B$31)-YEAR($B$30))+MONTH($B$31)-MONTH($B$30))))*(1+'Вводные'!$B$65)^MAX(0,(12*(YEAR(AR$3)-YEAR($B$31))+MONTH(AR$3)-MONTH($B$31))))</x:f>
      </x:c>
      <x:c r="AS44" s="107" t="n">
        <x:f>IF(AS43=0,0,'Вводные'!$B$61*'Вводные'!$S$89*'Вводные'!$H$5*'Вводные'!$AG$89*(1+'Вводные'!$B$64)^MAX(0,MIN((12*(YEAR(AS$3)-YEAR($B$30))+MONTH(AS$3)-MONTH($B$30)),(12*(YEAR($B$31)-YEAR($B$30))+MONTH($B$31)-MONTH($B$30))))*(1+'Вводные'!$B$65)^MAX(0,(12*(YEAR(AS$3)-YEAR($B$31))+MONTH(AS$3)-MONTH($B$31))))</x:f>
      </x:c>
      <x:c r="AT44" s="107" t="n">
        <x:f>IF(AT43=0,0,'Вводные'!$B$61*'Вводные'!$S$89*'Вводные'!$H$5*'Вводные'!$AG$89*(1+'Вводные'!$B$64)^MAX(0,MIN((12*(YEAR(AT$3)-YEAR($B$30))+MONTH(AT$3)-MONTH($B$30)),(12*(YEAR($B$31)-YEAR($B$30))+MONTH($B$31)-MONTH($B$30))))*(1+'Вводные'!$B$65)^MAX(0,(12*(YEAR(AT$3)-YEAR($B$31))+MONTH(AT$3)-MONTH($B$31))))</x:f>
      </x:c>
      <x:c r="AU44" s="107" t="n">
        <x:f>IF(AU43=0,0,'Вводные'!$B$61*'Вводные'!$S$89*'Вводные'!$H$5*'Вводные'!$AG$89*(1+'Вводные'!$B$64)^MAX(0,MIN((12*(YEAR(AU$3)-YEAR($B$30))+MONTH(AU$3)-MONTH($B$30)),(12*(YEAR($B$31)-YEAR($B$30))+MONTH($B$31)-MONTH($B$30))))*(1+'Вводные'!$B$65)^MAX(0,(12*(YEAR(AU$3)-YEAR($B$31))+MONTH(AU$3)-MONTH($B$31))))</x:f>
      </x:c>
      <x:c r="AV44" s="107" t="n">
        <x:f>IF(AV43=0,0,'Вводные'!$B$61*'Вводные'!$S$89*'Вводные'!$H$5*'Вводные'!$AG$89*(1+'Вводные'!$B$64)^MAX(0,MIN((12*(YEAR(AV$3)-YEAR($B$30))+MONTH(AV$3)-MONTH($B$30)),(12*(YEAR($B$31)-YEAR($B$30))+MONTH($B$31)-MONTH($B$30))))*(1+'Вводные'!$B$65)^MAX(0,(12*(YEAR(AV$3)-YEAR($B$31))+MONTH(AV$3)-MONTH($B$31))))</x:f>
      </x:c>
      <x:c r="AW44" s="107" t="n">
        <x:f>IF(AW43=0,0,'Вводные'!$B$61*'Вводные'!$S$89*'Вводные'!$H$5*'Вводные'!$AG$89*(1+'Вводные'!$B$64)^MAX(0,MIN((12*(YEAR(AW$3)-YEAR($B$30))+MONTH(AW$3)-MONTH($B$30)),(12*(YEAR($B$31)-YEAR($B$30))+MONTH($B$31)-MONTH($B$30))))*(1+'Вводные'!$B$65)^MAX(0,(12*(YEAR(AW$3)-YEAR($B$31))+MONTH(AW$3)-MONTH($B$31))))</x:f>
      </x:c>
      <x:c r="AX44" s="107" t="n">
        <x:f>IF(AX43=0,0,'Вводные'!$B$61*'Вводные'!$S$89*'Вводные'!$H$5*'Вводные'!$AG$89*(1+'Вводные'!$B$64)^MAX(0,MIN((12*(YEAR(AX$3)-YEAR($B$30))+MONTH(AX$3)-MONTH($B$30)),(12*(YEAR($B$31)-YEAR($B$30))+MONTH($B$31)-MONTH($B$30))))*(1+'Вводные'!$B$65)^MAX(0,(12*(YEAR(AX$3)-YEAR($B$31))+MONTH(AX$3)-MONTH($B$31))))</x:f>
      </x:c>
      <x:c r="AY44" s="107" t="n">
        <x:f>IF(AY43=0,0,'Вводные'!$B$61*'Вводные'!$S$89*'Вводные'!$H$5*'Вводные'!$AG$89*(1+'Вводные'!$B$64)^MAX(0,MIN((12*(YEAR(AY$3)-YEAR($B$30))+MONTH(AY$3)-MONTH($B$30)),(12*(YEAR($B$31)-YEAR($B$30))+MONTH($B$31)-MONTH($B$30))))*(1+'Вводные'!$B$65)^MAX(0,(12*(YEAR(AY$3)-YEAR($B$31))+MONTH(AY$3)-MONTH($B$31))))</x:f>
      </x:c>
      <x:c r="AZ44" s="107" t="n">
        <x:f>IF(AZ43=0,0,'Вводные'!$B$61*'Вводные'!$S$89*'Вводные'!$H$5*'Вводные'!$AG$89*(1+'Вводные'!$B$64)^MAX(0,MIN((12*(YEAR(AZ$3)-YEAR($B$30))+MONTH(AZ$3)-MONTH($B$30)),(12*(YEAR($B$31)-YEAR($B$30))+MONTH($B$31)-MONTH($B$30))))*(1+'Вводные'!$B$65)^MAX(0,(12*(YEAR(AZ$3)-YEAR($B$31))+MONTH(AZ$3)-MONTH($B$31))))</x:f>
      </x:c>
      <x:c r="BA44" s="107" t="n">
        <x:f>IF(BA43=0,0,'Вводные'!$B$61*'Вводные'!$S$89*'Вводные'!$H$5*'Вводные'!$AG$89*(1+'Вводные'!$B$64)^MAX(0,MIN((12*(YEAR(BA$3)-YEAR($B$30))+MONTH(BA$3)-MONTH($B$30)),(12*(YEAR($B$31)-YEAR($B$30))+MONTH($B$31)-MONTH($B$30))))*(1+'Вводные'!$B$65)^MAX(0,(12*(YEAR(BA$3)-YEAR($B$31))+MONTH(BA$3)-MONTH($B$31))))</x:f>
      </x:c>
      <x:c r="BB44" s="107" t="n">
        <x:f>IF(BB43=0,0,'Вводные'!$B$61*'Вводные'!$S$89*'Вводные'!$H$5*'Вводные'!$AG$89*(1+'Вводные'!$B$64)^MAX(0,MIN((12*(YEAR(BB$3)-YEAR($B$30))+MONTH(BB$3)-MONTH($B$30)),(12*(YEAR($B$31)-YEAR($B$30))+MONTH($B$31)-MONTH($B$30))))*(1+'Вводные'!$B$65)^MAX(0,(12*(YEAR(BB$3)-YEAR($B$31))+MONTH(BB$3)-MONTH($B$31))))</x:f>
      </x:c>
      <x:c r="BC44" s="107" t="n">
        <x:f>IF(BC43=0,0,'Вводные'!$B$61*'Вводные'!$S$89*'Вводные'!$H$5*'Вводные'!$AG$89*(1+'Вводные'!$B$64)^MAX(0,MIN((12*(YEAR(BC$3)-YEAR($B$30))+MONTH(BC$3)-MONTH($B$30)),(12*(YEAR($B$31)-YEAR($B$30))+MONTH($B$31)-MONTH($B$30))))*(1+'Вводные'!$B$65)^MAX(0,(12*(YEAR(BC$3)-YEAR($B$31))+MONTH(BC$3)-MONTH($B$31))))</x:f>
      </x:c>
      <x:c r="BD44" s="107" t="n">
        <x:f>IF(BD43=0,0,'Вводные'!$B$61*'Вводные'!$S$89*'Вводные'!$H$5*'Вводные'!$AG$89*(1+'Вводные'!$B$64)^MAX(0,MIN((12*(YEAR(BD$3)-YEAR($B$30))+MONTH(BD$3)-MONTH($B$30)),(12*(YEAR($B$31)-YEAR($B$30))+MONTH($B$31)-MONTH($B$30))))*(1+'Вводные'!$B$65)^MAX(0,(12*(YEAR(BD$3)-YEAR($B$31))+MONTH(BD$3)-MONTH($B$31))))</x:f>
      </x:c>
      <x:c r="BE44" s="107" t="n">
        <x:f>IF(BE43=0,0,'Вводные'!$B$61*'Вводные'!$S$89*'Вводные'!$H$5*'Вводные'!$AG$89*(1+'Вводные'!$B$64)^MAX(0,MIN((12*(YEAR(BE$3)-YEAR($B$30))+MONTH(BE$3)-MONTH($B$30)),(12*(YEAR($B$31)-YEAR($B$30))+MONTH($B$31)-MONTH($B$30))))*(1+'Вводные'!$B$65)^MAX(0,(12*(YEAR(BE$3)-YEAR($B$31))+MONTH(BE$3)-MONTH($B$31))))</x:f>
      </x:c>
      <x:c r="BF44" s="107" t="n">
        <x:f>IF(BF43=0,0,'Вводные'!$B$61*'Вводные'!$S$89*'Вводные'!$H$5*'Вводные'!$AG$89*(1+'Вводные'!$B$64)^MAX(0,MIN((12*(YEAR(BF$3)-YEAR($B$30))+MONTH(BF$3)-MONTH($B$30)),(12*(YEAR($B$31)-YEAR($B$30))+MONTH($B$31)-MONTH($B$30))))*(1+'Вводные'!$B$65)^MAX(0,(12*(YEAR(BF$3)-YEAR($B$31))+MONTH(BF$3)-MONTH($B$31))))</x:f>
      </x:c>
      <x:c r="BG44" s="107" t="n">
        <x:f>IF(BG43=0,0,'Вводные'!$B$61*'Вводные'!$S$89*'Вводные'!$H$5*'Вводные'!$AG$89*(1+'Вводные'!$B$64)^MAX(0,MIN((12*(YEAR(BG$3)-YEAR($B$30))+MONTH(BG$3)-MONTH($B$30)),(12*(YEAR($B$31)-YEAR($B$30))+MONTH($B$31)-MONTH($B$30))))*(1+'Вводные'!$B$65)^MAX(0,(12*(YEAR(BG$3)-YEAR($B$31))+MONTH(BG$3)-MONTH($B$31))))</x:f>
      </x:c>
      <x:c r="BH44" s="107" t="n">
        <x:f>IF(BH43=0,0,'Вводные'!$B$61*'Вводные'!$S$89*'Вводные'!$H$5*'Вводные'!$AG$89*(1+'Вводные'!$B$64)^MAX(0,MIN((12*(YEAR(BH$3)-YEAR($B$30))+MONTH(BH$3)-MONTH($B$30)),(12*(YEAR($B$31)-YEAR($B$30))+MONTH($B$31)-MONTH($B$30))))*(1+'Вводные'!$B$65)^MAX(0,(12*(YEAR(BH$3)-YEAR($B$31))+MONTH(BH$3)-MONTH($B$31))))</x:f>
      </x:c>
      <x:c r="BI44" s="107" t="n">
        <x:f>IF(BI43=0,0,'Вводные'!$B$61*'Вводные'!$S$89*'Вводные'!$H$5*'Вводные'!$AG$89*(1+'Вводные'!$B$64)^MAX(0,MIN((12*(YEAR(BI$3)-YEAR($B$30))+MONTH(BI$3)-MONTH($B$30)),(12*(YEAR($B$31)-YEAR($B$30))+MONTH($B$31)-MONTH($B$30))))*(1+'Вводные'!$B$65)^MAX(0,(12*(YEAR(BI$3)-YEAR($B$31))+MONTH(BI$3)-MONTH($B$31))))</x:f>
      </x:c>
      <x:c r="BJ44" s="107" t="n">
        <x:f>IF(BJ43=0,0,'Вводные'!$B$61*'Вводные'!$S$89*'Вводные'!$H$5*'Вводные'!$AG$89*(1+'Вводные'!$B$64)^MAX(0,MIN((12*(YEAR(BJ$3)-YEAR($B$30))+MONTH(BJ$3)-MONTH($B$30)),(12*(YEAR($B$31)-YEAR($B$30))+MONTH($B$31)-MONTH($B$30))))*(1+'Вводные'!$B$65)^MAX(0,(12*(YEAR(BJ$3)-YEAR($B$31))+MONTH(BJ$3)-MONTH($B$31))))</x:f>
      </x:c>
      <x:c r="BK44" s="107" t="n">
        <x:f>IF(BK43=0,0,'Вводные'!$B$61*'Вводные'!$S$89*'Вводные'!$H$5*'Вводные'!$AG$89*(1+'Вводные'!$B$64)^MAX(0,MIN((12*(YEAR(BK$3)-YEAR($B$30))+MONTH(BK$3)-MONTH($B$30)),(12*(YEAR($B$31)-YEAR($B$30))+MONTH($B$31)-MONTH($B$30))))*(1+'Вводные'!$B$65)^MAX(0,(12*(YEAR(BK$3)-YEAR($B$31))+MONTH(BK$3)-MONTH($B$31))))</x:f>
      </x:c>
      <x:c r="BL44" s="107" t="n">
        <x:f>IF(BL43=0,0,'Вводные'!$B$61*'Вводные'!$S$89*'Вводные'!$H$5*'Вводные'!$AG$89*(1+'Вводные'!$B$64)^MAX(0,MIN((12*(YEAR(BL$3)-YEAR($B$30))+MONTH(BL$3)-MONTH($B$30)),(12*(YEAR($B$31)-YEAR($B$30))+MONTH($B$31)-MONTH($B$30))))*(1+'Вводные'!$B$65)^MAX(0,(12*(YEAR(BL$3)-YEAR($B$31))+MONTH(BL$3)-MONTH($B$31))))</x:f>
      </x:c>
      <x:c r="BM44" s="107" t="n">
        <x:f>IF(BM43=0,0,'Вводные'!$B$61*'Вводные'!$S$89*'Вводные'!$H$5*'Вводные'!$AG$89*(1+'Вводные'!$B$64)^MAX(0,MIN((12*(YEAR(BM$3)-YEAR($B$30))+MONTH(BM$3)-MONTH($B$30)),(12*(YEAR($B$31)-YEAR($B$30))+MONTH($B$31)-MONTH($B$30))))*(1+'Вводные'!$B$65)^MAX(0,(12*(YEAR(BM$3)-YEAR($B$31))+MONTH(BM$3)-MONTH($B$31))))</x:f>
      </x:c>
      <x:c r="BN44" s="107" t="n">
        <x:f>IF(BN43=0,0,'Вводные'!$B$61*'Вводные'!$S$89*'Вводные'!$H$5*'Вводные'!$AG$89*(1+'Вводные'!$B$64)^MAX(0,MIN((12*(YEAR(BN$3)-YEAR($B$30))+MONTH(BN$3)-MONTH($B$30)),(12*(YEAR($B$31)-YEAR($B$30))+MONTH($B$31)-MONTH($B$30))))*(1+'Вводные'!$B$65)^MAX(0,(12*(YEAR(BN$3)-YEAR($B$31))+MONTH(BN$3)-MONTH($B$31))))</x:f>
      </x:c>
      <x:c r="BO44" s="107" t="n">
        <x:f>IF(BO43=0,0,'Вводные'!$B$61*'Вводные'!$S$89*'Вводные'!$H$5*'Вводные'!$AG$89*(1+'Вводные'!$B$64)^MAX(0,MIN((12*(YEAR(BO$3)-YEAR($B$30))+MONTH(BO$3)-MONTH($B$30)),(12*(YEAR($B$31)-YEAR($B$30))+MONTH($B$31)-MONTH($B$30))))*(1+'Вводные'!$B$65)^MAX(0,(12*(YEAR(BO$3)-YEAR($B$31))+MONTH(BO$3)-MONTH($B$31))))</x:f>
      </x:c>
      <x:c r="BP44" s="107" t="n">
        <x:f>IF(BP43=0,0,'Вводные'!$B$61*'Вводные'!$S$89*'Вводные'!$H$5*'Вводные'!$AG$89*(1+'Вводные'!$B$64)^MAX(0,MIN((12*(YEAR(BP$3)-YEAR($B$30))+MONTH(BP$3)-MONTH($B$30)),(12*(YEAR($B$31)-YEAR($B$30))+MONTH($B$31)-MONTH($B$30))))*(1+'Вводные'!$B$65)^MAX(0,(12*(YEAR(BP$3)-YEAR($B$31))+MONTH(BP$3)-MONTH($B$31))))</x:f>
      </x:c>
      <x:c r="BQ44" s="107" t="n">
        <x:f>IF(BQ43=0,0,'Вводные'!$B$61*'Вводные'!$S$89*'Вводные'!$H$5*'Вводные'!$AG$89*(1+'Вводные'!$B$64)^MAX(0,MIN((12*(YEAR(BQ$3)-YEAR($B$30))+MONTH(BQ$3)-MONTH($B$30)),(12*(YEAR($B$31)-YEAR($B$30))+MONTH($B$31)-MONTH($B$30))))*(1+'Вводные'!$B$65)^MAX(0,(12*(YEAR(BQ$3)-YEAR($B$31))+MONTH(BQ$3)-MONTH($B$31))))</x:f>
      </x:c>
      <x:c r="BR44" s="107" t="n">
        <x:f>IF(BR43=0,0,'Вводные'!$B$61*'Вводные'!$S$89*'Вводные'!$H$5*'Вводные'!$AG$89*(1+'Вводные'!$B$64)^MAX(0,MIN((12*(YEAR(BR$3)-YEAR($B$30))+MONTH(BR$3)-MONTH($B$30)),(12*(YEAR($B$31)-YEAR($B$30))+MONTH($B$31)-MONTH($B$30))))*(1+'Вводные'!$B$65)^MAX(0,(12*(YEAR(BR$3)-YEAR($B$31))+MONTH(BR$3)-MONTH($B$31))))</x:f>
      </x:c>
      <x:c r="BS44" s="107" t="n">
        <x:f>IF(BS43=0,0,'Вводные'!$B$61*'Вводные'!$S$89*'Вводные'!$H$5*'Вводные'!$AG$89*(1+'Вводные'!$B$64)^MAX(0,MIN((12*(YEAR(BS$3)-YEAR($B$30))+MONTH(BS$3)-MONTH($B$30)),(12*(YEAR($B$31)-YEAR($B$30))+MONTH($B$31)-MONTH($B$30))))*(1+'Вводные'!$B$65)^MAX(0,(12*(YEAR(BS$3)-YEAR($B$31))+MONTH(BS$3)-MONTH($B$31))))</x:f>
      </x:c>
      <x:c r="BT44" s="107" t="n">
        <x:f>IF(BT43=0,0,'Вводные'!$B$61*'Вводные'!$S$89*'Вводные'!$H$5*'Вводные'!$AG$89*(1+'Вводные'!$B$64)^MAX(0,MIN((12*(YEAR(BT$3)-YEAR($B$30))+MONTH(BT$3)-MONTH($B$30)),(12*(YEAR($B$31)-YEAR($B$30))+MONTH($B$31)-MONTH($B$30))))*(1+'Вводные'!$B$65)^MAX(0,(12*(YEAR(BT$3)-YEAR($B$31))+MONTH(BT$3)-MONTH($B$31))))</x:f>
      </x:c>
      <x:c r="BU44" s="107" t="n">
        <x:f>IF(BU43=0,0,'Вводные'!$B$61*'Вводные'!$S$89*'Вводные'!$H$5*'Вводные'!$AG$89*(1+'Вводные'!$B$64)^MAX(0,MIN((12*(YEAR(BU$3)-YEAR($B$30))+MONTH(BU$3)-MONTH($B$30)),(12*(YEAR($B$31)-YEAR($B$30))+MONTH($B$31)-MONTH($B$30))))*(1+'Вводные'!$B$65)^MAX(0,(12*(YEAR(BU$3)-YEAR($B$31))+MONTH(BU$3)-MONTH($B$31))))</x:f>
      </x:c>
      <x:c r="BV44" s="107" t="n">
        <x:f>IF(BV43=0,0,'Вводные'!$B$61*'Вводные'!$S$89*'Вводные'!$H$5*'Вводные'!$AG$89*(1+'Вводные'!$B$64)^MAX(0,MIN((12*(YEAR(BV$3)-YEAR($B$30))+MONTH(BV$3)-MONTH($B$30)),(12*(YEAR($B$31)-YEAR($B$30))+MONTH($B$31)-MONTH($B$30))))*(1+'Вводные'!$B$65)^MAX(0,(12*(YEAR(BV$3)-YEAR($B$31))+MONTH(BV$3)-MONTH($B$31))))</x:f>
      </x:c>
      <x:c r="BW44" s="107" t="n">
        <x:f>IF(BW43=0,0,'Вводные'!$B$61*'Вводные'!$S$89*'Вводные'!$H$5*'Вводные'!$AG$89*(1+'Вводные'!$B$64)^MAX(0,MIN((12*(YEAR(BW$3)-YEAR($B$30))+MONTH(BW$3)-MONTH($B$30)),(12*(YEAR($B$31)-YEAR($B$30))+MONTH($B$31)-MONTH($B$30))))*(1+'Вводные'!$B$65)^MAX(0,(12*(YEAR(BW$3)-YEAR($B$31))+MONTH(BW$3)-MONTH($B$31))))</x:f>
      </x:c>
      <x:c r="BX44" s="107" t="n">
        <x:f>IF(BX43=0,0,'Вводные'!$B$61*'Вводные'!$S$89*'Вводные'!$H$5*'Вводные'!$AG$89*(1+'Вводные'!$B$64)^MAX(0,MIN((12*(YEAR(BX$3)-YEAR($B$30))+MONTH(BX$3)-MONTH($B$30)),(12*(YEAR($B$31)-YEAR($B$30))+MONTH($B$31)-MONTH($B$30))))*(1+'Вводные'!$B$65)^MAX(0,(12*(YEAR(BX$3)-YEAR($B$31))+MONTH(BX$3)-MONTH($B$31))))</x:f>
      </x:c>
      <x:c r="BY44" s="107" t="n">
        <x:f>IF(BY43=0,0,'Вводные'!$B$61*'Вводные'!$S$89*'Вводные'!$H$5*'Вводные'!$AG$89*(1+'Вводные'!$B$64)^MAX(0,MIN((12*(YEAR(BY$3)-YEAR($B$30))+MONTH(BY$3)-MONTH($B$30)),(12*(YEAR($B$31)-YEAR($B$30))+MONTH($B$31)-MONTH($B$30))))*(1+'Вводные'!$B$65)^MAX(0,(12*(YEAR(BY$3)-YEAR($B$31))+MONTH(BY$3)-MONTH($B$31))))</x:f>
      </x:c>
      <x:c r="BZ44" s="107" t="n">
        <x:f>IF(BZ43=0,0,'Вводные'!$B$61*'Вводные'!$S$89*'Вводные'!$H$5*'Вводные'!$AG$89*(1+'Вводные'!$B$64)^MAX(0,MIN((12*(YEAR(BZ$3)-YEAR($B$30))+MONTH(BZ$3)-MONTH($B$30)),(12*(YEAR($B$31)-YEAR($B$30))+MONTH($B$31)-MONTH($B$30))))*(1+'Вводные'!$B$65)^MAX(0,(12*(YEAR(BZ$3)-YEAR($B$31))+MONTH(BZ$3)-MONTH($B$31))))</x:f>
      </x:c>
      <x:c r="CA44" s="107" t="n">
        <x:f>IF(CA43=0,0,'Вводные'!$B$61*'Вводные'!$S$89*'Вводные'!$H$5*'Вводные'!$AG$89*(1+'Вводные'!$B$64)^MAX(0,MIN((12*(YEAR(CA$3)-YEAR($B$30))+MONTH(CA$3)-MONTH($B$30)),(12*(YEAR($B$31)-YEAR($B$30))+MONTH($B$31)-MONTH($B$30))))*(1+'Вводные'!$B$65)^MAX(0,(12*(YEAR(CA$3)-YEAR($B$31))+MONTH(CA$3)-MONTH($B$31))))</x:f>
      </x:c>
      <x:c r="CB44" s="107" t="n">
        <x:f>IF(CB43=0,0,'Вводные'!$B$61*'Вводные'!$S$89*'Вводные'!$H$5*'Вводные'!$AG$89*(1+'Вводные'!$B$64)^MAX(0,MIN((12*(YEAR(CB$3)-YEAR($B$30))+MONTH(CB$3)-MONTH($B$30)),(12*(YEAR($B$31)-YEAR($B$30))+MONTH($B$31)-MONTH($B$30))))*(1+'Вводные'!$B$65)^MAX(0,(12*(YEAR(CB$3)-YEAR($B$31))+MONTH(CB$3)-MONTH($B$31))))</x:f>
      </x:c>
      <x:c r="CC44" s="107" t="n">
        <x:f>IF(CC43=0,0,'Вводные'!$B$61*'Вводные'!$S$89*'Вводные'!$H$5*'Вводные'!$AG$89*(1+'Вводные'!$B$64)^MAX(0,MIN((12*(YEAR(CC$3)-YEAR($B$30))+MONTH(CC$3)-MONTH($B$30)),(12*(YEAR($B$31)-YEAR($B$30))+MONTH($B$31)-MONTH($B$30))))*(1+'Вводные'!$B$65)^MAX(0,(12*(YEAR(CC$3)-YEAR($B$31))+MONTH(CC$3)-MONTH($B$31))))</x:f>
      </x:c>
      <x:c r="CD44" s="107" t="n">
        <x:f>IF(CD43=0,0,'Вводные'!$B$61*'Вводные'!$S$89*'Вводные'!$H$5*'Вводные'!$AG$89*(1+'Вводные'!$B$64)^MAX(0,MIN((12*(YEAR(CD$3)-YEAR($B$30))+MONTH(CD$3)-MONTH($B$30)),(12*(YEAR($B$31)-YEAR($B$30))+MONTH($B$31)-MONTH($B$30))))*(1+'Вводные'!$B$65)^MAX(0,(12*(YEAR(CD$3)-YEAR($B$31))+MONTH(CD$3)-MONTH($B$31))))</x:f>
      </x:c>
      <x:c r="CE44" s="107" t="n">
        <x:f>IF(CE43=0,0,'Вводные'!$B$61*'Вводные'!$S$89*'Вводные'!$H$5*'Вводные'!$AG$89*(1+'Вводные'!$B$64)^MAX(0,MIN((12*(YEAR(CE$3)-YEAR($B$30))+MONTH(CE$3)-MONTH($B$30)),(12*(YEAR($B$31)-YEAR($B$30))+MONTH($B$31)-MONTH($B$30))))*(1+'Вводные'!$B$65)^MAX(0,(12*(YEAR(CE$3)-YEAR($B$31))+MONTH(CE$3)-MONTH($B$31))))</x:f>
      </x:c>
      <x:c r="CF44" s="107" t="n">
        <x:f>IF(CF43=0,0,'Вводные'!$B$61*'Вводные'!$S$89*'Вводные'!$H$5*'Вводные'!$AG$89*(1+'Вводные'!$B$64)^MAX(0,MIN((12*(YEAR(CF$3)-YEAR($B$30))+MONTH(CF$3)-MONTH($B$30)),(12*(YEAR($B$31)-YEAR($B$30))+MONTH($B$31)-MONTH($B$30))))*(1+'Вводные'!$B$65)^MAX(0,(12*(YEAR(CF$3)-YEAR($B$31))+MONTH(CF$3)-MONTH($B$31))))</x:f>
      </x:c>
      <x:c r="CG44" s="107" t="n">
        <x:f>IF(CG43=0,0,'Вводные'!$B$61*'Вводные'!$S$89*'Вводные'!$H$5*'Вводные'!$AG$89*(1+'Вводные'!$B$64)^MAX(0,MIN((12*(YEAR(CG$3)-YEAR($B$30))+MONTH(CG$3)-MONTH($B$30)),(12*(YEAR($B$31)-YEAR($B$30))+MONTH($B$31)-MONTH($B$30))))*(1+'Вводные'!$B$65)^MAX(0,(12*(YEAR(CG$3)-YEAR($B$31))+MONTH(CG$3)-MONTH($B$31))))</x:f>
      </x:c>
      <x:c r="CH44" s="107" t="n">
        <x:f>IF(CH43=0,0,'Вводные'!$B$61*'Вводные'!$S$89*'Вводные'!$H$5*'Вводные'!$AG$89*(1+'Вводные'!$B$64)^MAX(0,MIN((12*(YEAR(CH$3)-YEAR($B$30))+MONTH(CH$3)-MONTH($B$30)),(12*(YEAR($B$31)-YEAR($B$30))+MONTH($B$31)-MONTH($B$30))))*(1+'Вводные'!$B$65)^MAX(0,(12*(YEAR(CH$3)-YEAR($B$31))+MONTH(CH$3)-MONTH($B$31))))</x:f>
      </x:c>
      <x:c r="CI44" s="107" t="n">
        <x:f>IF(CI43=0,0,'Вводные'!$B$61*'Вводные'!$S$89*'Вводные'!$H$5*'Вводные'!$AG$89*(1+'Вводные'!$B$64)^MAX(0,MIN((12*(YEAR(CI$3)-YEAR($B$30))+MONTH(CI$3)-MONTH($B$30)),(12*(YEAR($B$31)-YEAR($B$30))+MONTH($B$31)-MONTH($B$30))))*(1+'Вводные'!$B$65)^MAX(0,(12*(YEAR(CI$3)-YEAR($B$31))+MONTH(CI$3)-MONTH($B$31))))</x:f>
      </x:c>
      <x:c r="CJ44" s="107" t="n">
        <x:f>IF(CJ43=0,0,'Вводные'!$B$61*'Вводные'!$S$89*'Вводные'!$H$5*'Вводные'!$AG$89*(1+'Вводные'!$B$64)^MAX(0,MIN((12*(YEAR(CJ$3)-YEAR($B$30))+MONTH(CJ$3)-MONTH($B$30)),(12*(YEAR($B$31)-YEAR($B$30))+MONTH($B$31)-MONTH($B$30))))*(1+'Вводные'!$B$65)^MAX(0,(12*(YEAR(CJ$3)-YEAR($B$31))+MONTH(CJ$3)-MONTH($B$31))))</x:f>
      </x:c>
      <x:c r="CK44" s="107" t="n">
        <x:f>IF(CK43=0,0,'Вводные'!$B$61*'Вводные'!$S$89*'Вводные'!$H$5*'Вводные'!$AG$89*(1+'Вводные'!$B$64)^MAX(0,MIN((12*(YEAR(CK$3)-YEAR($B$30))+MONTH(CK$3)-MONTH($B$30)),(12*(YEAR($B$31)-YEAR($B$30))+MONTH($B$31)-MONTH($B$30))))*(1+'Вводные'!$B$65)^MAX(0,(12*(YEAR(CK$3)-YEAR($B$31))+MONTH(CK$3)-MONTH($B$31))))</x:f>
      </x:c>
      <x:c r="CL44" s="107" t="n">
        <x:f>IF(CL43=0,0,'Вводные'!$B$61*'Вводные'!$S$89*'Вводные'!$H$5*'Вводные'!$AG$89*(1+'Вводные'!$B$64)^MAX(0,MIN((12*(YEAR(CL$3)-YEAR($B$30))+MONTH(CL$3)-MONTH($B$30)),(12*(YEAR($B$31)-YEAR($B$30))+MONTH($B$31)-MONTH($B$30))))*(1+'Вводные'!$B$65)^MAX(0,(12*(YEAR(CL$3)-YEAR($B$31))+MONTH(CL$3)-MONTH($B$31))))</x:f>
      </x:c>
      <x:c r="CM44" s="107" t="n">
        <x:f>IF(CM43=0,0,'Вводные'!$B$61*'Вводные'!$S$89*'Вводные'!$H$5*'Вводные'!$AG$89*(1+'Вводные'!$B$64)^MAX(0,MIN((12*(YEAR(CM$3)-YEAR($B$30))+MONTH(CM$3)-MONTH($B$30)),(12*(YEAR($B$31)-YEAR($B$30))+MONTH($B$31)-MONTH($B$30))))*(1+'Вводные'!$B$65)^MAX(0,(12*(YEAR(CM$3)-YEAR($B$31))+MONTH(CM$3)-MONTH($B$31))))</x:f>
      </x:c>
      <x:c r="CN44" s="107" t="n">
        <x:f>IF(CN43=0,0,'Вводные'!$B$61*'Вводные'!$S$89*'Вводные'!$H$5*'Вводные'!$AG$89*(1+'Вводные'!$B$64)^MAX(0,MIN((12*(YEAR(CN$3)-YEAR($B$30))+MONTH(CN$3)-MONTH($B$30)),(12*(YEAR($B$31)-YEAR($B$30))+MONTH($B$31)-MONTH($B$30))))*(1+'Вводные'!$B$65)^MAX(0,(12*(YEAR(CN$3)-YEAR($B$31))+MONTH(CN$3)-MONTH($B$31))))</x:f>
      </x:c>
      <x:c r="CO44" s="107" t="n">
        <x:f>IF(CO43=0,0,'Вводные'!$B$61*'Вводные'!$S$89*'Вводные'!$H$5*'Вводные'!$AG$89*(1+'Вводные'!$B$64)^MAX(0,MIN((12*(YEAR(CO$3)-YEAR($B$30))+MONTH(CO$3)-MONTH($B$30)),(12*(YEAR($B$31)-YEAR($B$30))+MONTH($B$31)-MONTH($B$30))))*(1+'Вводные'!$B$65)^MAX(0,(12*(YEAR(CO$3)-YEAR($B$31))+MONTH(CO$3)-MONTH($B$31))))</x:f>
      </x:c>
      <x:c r="CP44" s="107" t="n">
        <x:f>IF(CP43=0,0,'Вводные'!$B$61*'Вводные'!$S$89*'Вводные'!$H$5*'Вводные'!$AG$89*(1+'Вводные'!$B$64)^MAX(0,MIN((12*(YEAR(CP$3)-YEAR($B$30))+MONTH(CP$3)-MONTH($B$30)),(12*(YEAR($B$31)-YEAR($B$30))+MONTH($B$31)-MONTH($B$30))))*(1+'Вводные'!$B$65)^MAX(0,(12*(YEAR(CP$3)-YEAR($B$31))+MONTH(CP$3)-MONTH($B$31))))</x:f>
      </x:c>
      <x:c r="CQ44" s="107" t="n">
        <x:f>IF(CQ43=0,0,'Вводные'!$B$61*'Вводные'!$S$89*'Вводные'!$H$5*'Вводные'!$AG$89*(1+'Вводные'!$B$64)^MAX(0,MIN((12*(YEAR(CQ$3)-YEAR($B$30))+MONTH(CQ$3)-MONTH($B$30)),(12*(YEAR($B$31)-YEAR($B$30))+MONTH($B$31)-MONTH($B$30))))*(1+'Вводные'!$B$65)^MAX(0,(12*(YEAR(CQ$3)-YEAR($B$31))+MONTH(CQ$3)-MONTH($B$31))))</x:f>
      </x:c>
      <x:c r="CR44" s="107" t="n">
        <x:f>IF(CR43=0,0,'Вводные'!$B$61*'Вводные'!$S$89*'Вводные'!$H$5*'Вводные'!$AG$89*(1+'Вводные'!$B$64)^MAX(0,MIN((12*(YEAR(CR$3)-YEAR($B$30))+MONTH(CR$3)-MONTH($B$30)),(12*(YEAR($B$31)-YEAR($B$30))+MONTH($B$31)-MONTH($B$30))))*(1+'Вводные'!$B$65)^MAX(0,(12*(YEAR(CR$3)-YEAR($B$31))+MONTH(CR$3)-MONTH($B$31))))</x:f>
      </x:c>
      <x:c r="CS44" s="107" t="n">
        <x:f>IF(CS43=0,0,'Вводные'!$B$61*'Вводные'!$S$89*'Вводные'!$H$5*'Вводные'!$AG$89*(1+'Вводные'!$B$64)^MAX(0,MIN((12*(YEAR(CS$3)-YEAR($B$30))+MONTH(CS$3)-MONTH($B$30)),(12*(YEAR($B$31)-YEAR($B$30))+MONTH($B$31)-MONTH($B$30))))*(1+'Вводные'!$B$65)^MAX(0,(12*(YEAR(CS$3)-YEAR($B$31))+MONTH(CS$3)-MONTH($B$31))))</x:f>
      </x:c>
      <x:c r="CT44" s="107" t="n">
        <x:f>IF(CT43=0,0,'Вводные'!$B$61*'Вводные'!$S$89*'Вводные'!$H$5*'Вводные'!$AG$89*(1+'Вводные'!$B$64)^MAX(0,MIN((12*(YEAR(CT$3)-YEAR($B$30))+MONTH(CT$3)-MONTH($B$30)),(12*(YEAR($B$31)-YEAR($B$30))+MONTH($B$31)-MONTH($B$30))))*(1+'Вводные'!$B$65)^MAX(0,(12*(YEAR(CT$3)-YEAR($B$31))+MONTH(CT$3)-MONTH($B$31))))</x:f>
      </x:c>
      <x:c r="CU44" s="107" t="n">
        <x:f>IF(CU43=0,0,'Вводные'!$B$61*'Вводные'!$S$89*'Вводные'!$H$5*'Вводные'!$AG$89*(1+'Вводные'!$B$64)^MAX(0,MIN((12*(YEAR(CU$3)-YEAR($B$30))+MONTH(CU$3)-MONTH($B$30)),(12*(YEAR($B$31)-YEAR($B$30))+MONTH($B$31)-MONTH($B$30))))*(1+'Вводные'!$B$65)^MAX(0,(12*(YEAR(CU$3)-YEAR($B$31))+MONTH(CU$3)-MONTH($B$31))))</x:f>
      </x:c>
      <x:c r="CV44" s="107" t="n">
        <x:f>IF(CV43=0,0,'Вводные'!$B$61*'Вводные'!$S$89*'Вводные'!$H$5*'Вводные'!$AG$89*(1+'Вводные'!$B$64)^MAX(0,MIN((12*(YEAR(CV$3)-YEAR($B$30))+MONTH(CV$3)-MONTH($B$30)),(12*(YEAR($B$31)-YEAR($B$30))+MONTH($B$31)-MONTH($B$30))))*(1+'Вводные'!$B$65)^MAX(0,(12*(YEAR(CV$3)-YEAR($B$31))+MONTH(CV$3)-MONTH($B$31))))</x:f>
      </x:c>
      <x:c r="CW44" s="107" t="n">
        <x:f>IF(CW43=0,0,'Вводные'!$B$61*'Вводные'!$S$89*'Вводные'!$H$5*'Вводные'!$AG$89*(1+'Вводные'!$B$64)^MAX(0,MIN((12*(YEAR(CW$3)-YEAR($B$30))+MONTH(CW$3)-MONTH($B$30)),(12*(YEAR($B$31)-YEAR($B$30))+MONTH($B$31)-MONTH($B$30))))*(1+'Вводные'!$B$65)^MAX(0,(12*(YEAR(CW$3)-YEAR($B$31))+MONTH(CW$3)-MONTH($B$31))))</x:f>
      </x:c>
      <x:c r="CX44" s="107" t="n">
        <x:f>IF(CX43=0,0,'Вводные'!$B$61*'Вводные'!$S$89*'Вводные'!$H$5*'Вводные'!$AG$89*(1+'Вводные'!$B$64)^MAX(0,MIN((12*(YEAR(CX$3)-YEAR($B$30))+MONTH(CX$3)-MONTH($B$30)),(12*(YEAR($B$31)-YEAR($B$30))+MONTH($B$31)-MONTH($B$30))))*(1+'Вводные'!$B$65)^MAX(0,(12*(YEAR(CX$3)-YEAR($B$31))+MONTH(CX$3)-MONTH($B$31))))</x:f>
      </x:c>
      <x:c r="CY44" s="107" t="n">
        <x:f>IF(CY43=0,0,'Вводные'!$B$61*'Вводные'!$S$89*'Вводные'!$H$5*'Вводные'!$AG$89*(1+'Вводные'!$B$64)^MAX(0,MIN((12*(YEAR(CY$3)-YEAR($B$30))+MONTH(CY$3)-MONTH($B$30)),(12*(YEAR($B$31)-YEAR($B$30))+MONTH($B$31)-MONTH($B$30))))*(1+'Вводные'!$B$65)^MAX(0,(12*(YEAR(CY$3)-YEAR($B$31))+MONTH(CY$3)-MONTH($B$31))))</x:f>
      </x:c>
      <x:c r="CZ44" s="107" t="n">
        <x:f>IF(CZ43=0,0,'Вводные'!$B$61*'Вводные'!$S$89*'Вводные'!$H$5*'Вводные'!$AG$89*(1+'Вводные'!$B$64)^MAX(0,MIN((12*(YEAR(CZ$3)-YEAR($B$30))+MONTH(CZ$3)-MONTH($B$30)),(12*(YEAR($B$31)-YEAR($B$30))+MONTH($B$31)-MONTH($B$30))))*(1+'Вводные'!$B$65)^MAX(0,(12*(YEAR(CZ$3)-YEAR($B$31))+MONTH(CZ$3)-MONTH($B$31))))</x:f>
      </x:c>
      <x:c r="DA44" s="107" t="n">
        <x:f>IF(DA43=0,0,'Вводные'!$B$61*'Вводные'!$S$89*'Вводные'!$H$5*'Вводные'!$AG$89*(1+'Вводные'!$B$64)^MAX(0,MIN((12*(YEAR(DA$3)-YEAR($B$30))+MONTH(DA$3)-MONTH($B$30)),(12*(YEAR($B$31)-YEAR($B$30))+MONTH($B$31)-MONTH($B$30))))*(1+'Вводные'!$B$65)^MAX(0,(12*(YEAR(DA$3)-YEAR($B$31))+MONTH(DA$3)-MONTH($B$31))))</x:f>
      </x:c>
      <x:c r="DB44" s="107" t="n">
        <x:f>IF(DB43=0,0,'Вводные'!$B$61*'Вводные'!$S$89*'Вводные'!$H$5*'Вводные'!$AG$89*(1+'Вводные'!$B$64)^MAX(0,MIN((12*(YEAR(DB$3)-YEAR($B$30))+MONTH(DB$3)-MONTH($B$30)),(12*(YEAR($B$31)-YEAR($B$30))+MONTH($B$31)-MONTH($B$30))))*(1+'Вводные'!$B$65)^MAX(0,(12*(YEAR(DB$3)-YEAR($B$31))+MONTH(DB$3)-MONTH($B$31))))</x:f>
      </x:c>
      <x:c r="DC44" s="107" t="n">
        <x:f>IF(DC43=0,0,'Вводные'!$B$61*'Вводные'!$S$89*'Вводные'!$H$5*'Вводные'!$AG$89*(1+'Вводные'!$B$64)^MAX(0,MIN((12*(YEAR(DC$3)-YEAR($B$30))+MONTH(DC$3)-MONTH($B$30)),(12*(YEAR($B$31)-YEAR($B$30))+MONTH($B$31)-MONTH($B$30))))*(1+'Вводные'!$B$65)^MAX(0,(12*(YEAR(DC$3)-YEAR($B$31))+MONTH(DC$3)-MONTH($B$31))))</x:f>
      </x:c>
      <x:c r="DD44" s="107" t="n">
        <x:f>IF(DD43=0,0,'Вводные'!$B$61*'Вводные'!$S$89*'Вводные'!$H$5*'Вводные'!$AG$89*(1+'Вводные'!$B$64)^MAX(0,MIN((12*(YEAR(DD$3)-YEAR($B$30))+MONTH(DD$3)-MONTH($B$30)),(12*(YEAR($B$31)-YEAR($B$30))+MONTH($B$31)-MONTH($B$30))))*(1+'Вводные'!$B$65)^MAX(0,(12*(YEAR(DD$3)-YEAR($B$31))+MONTH(DD$3)-MONTH($B$31))))</x:f>
      </x:c>
      <x:c r="DE44" s="107" t="n">
        <x:f>IF(DE43=0,0,'Вводные'!$B$61*'Вводные'!$S$89*'Вводные'!$H$5*'Вводные'!$AG$89*(1+'Вводные'!$B$64)^MAX(0,MIN((12*(YEAR(DE$3)-YEAR($B$30))+MONTH(DE$3)-MONTH($B$30)),(12*(YEAR($B$31)-YEAR($B$30))+MONTH($B$31)-MONTH($B$30))))*(1+'Вводные'!$B$65)^MAX(0,(12*(YEAR(DE$3)-YEAR($B$31))+MONTH(DE$3)-MONTH($B$31))))</x:f>
      </x:c>
      <x:c r="DF44" s="107" t="n">
        <x:f>IF(DF43=0,0,'Вводные'!$B$61*'Вводные'!$S$89*'Вводные'!$H$5*'Вводные'!$AG$89*(1+'Вводные'!$B$64)^MAX(0,MIN((12*(YEAR(DF$3)-YEAR($B$30))+MONTH(DF$3)-MONTH($B$30)),(12*(YEAR($B$31)-YEAR($B$30))+MONTH($B$31)-MONTH($B$30))))*(1+'Вводные'!$B$65)^MAX(0,(12*(YEAR(DF$3)-YEAR($B$31))+MONTH(DF$3)-MONTH($B$31))))</x:f>
      </x:c>
      <x:c r="DG44" s="107" t="n">
        <x:f>IF(DG43=0,0,'Вводные'!$B$61*'Вводные'!$S$89*'Вводные'!$H$5*'Вводные'!$AG$89*(1+'Вводные'!$B$64)^MAX(0,MIN((12*(YEAR(DG$3)-YEAR($B$30))+MONTH(DG$3)-MONTH($B$30)),(12*(YEAR($B$31)-YEAR($B$30))+MONTH($B$31)-MONTH($B$30))))*(1+'Вводные'!$B$65)^MAX(0,(12*(YEAR(DG$3)-YEAR($B$31))+MONTH(DG$3)-MONTH($B$31))))</x:f>
      </x:c>
      <x:c r="DH44" s="107" t="n">
        <x:f>IF(DH43=0,0,'Вводные'!$B$61*'Вводные'!$S$89*'Вводные'!$H$5*'Вводные'!$AG$89*(1+'Вводные'!$B$64)^MAX(0,MIN((12*(YEAR(DH$3)-YEAR($B$30))+MONTH(DH$3)-MONTH($B$30)),(12*(YEAR($B$31)-YEAR($B$30))+MONTH($B$31)-MONTH($B$30))))*(1+'Вводные'!$B$65)^MAX(0,(12*(YEAR(DH$3)-YEAR($B$31))+MONTH(DH$3)-MONTH($B$31))))</x:f>
      </x:c>
      <x:c r="DI44" s="107" t="n">
        <x:f>IF(DI43=0,0,'Вводные'!$B$61*'Вводные'!$S$89*'Вводные'!$H$5*'Вводные'!$AG$89*(1+'Вводные'!$B$64)^MAX(0,MIN((12*(YEAR(DI$3)-YEAR($B$30))+MONTH(DI$3)-MONTH($B$30)),(12*(YEAR($B$31)-YEAR($B$30))+MONTH($B$31)-MONTH($B$30))))*(1+'Вводные'!$B$65)^MAX(0,(12*(YEAR(DI$3)-YEAR($B$31))+MONTH(DI$3)-MONTH($B$31))))</x:f>
      </x:c>
      <x:c r="DJ44" s="107" t="n">
        <x:f>IF(DJ43=0,0,'Вводные'!$B$61*'Вводные'!$S$89*'Вводные'!$H$5*'Вводные'!$AG$89*(1+'Вводные'!$B$64)^MAX(0,MIN((12*(YEAR(DJ$3)-YEAR($B$30))+MONTH(DJ$3)-MONTH($B$30)),(12*(YEAR($B$31)-YEAR($B$30))+MONTH($B$31)-MONTH($B$30))))*(1+'Вводные'!$B$65)^MAX(0,(12*(YEAR(DJ$3)-YEAR($B$31))+MONTH(DJ$3)-MONTH($B$31))))</x:f>
      </x:c>
      <x:c r="DK44" s="107" t="n">
        <x:f>IF(DK43=0,0,'Вводные'!$B$61*'Вводные'!$S$89*'Вводные'!$H$5*'Вводные'!$AG$89*(1+'Вводные'!$B$64)^MAX(0,MIN((12*(YEAR(DK$3)-YEAR($B$30))+MONTH(DK$3)-MONTH($B$30)),(12*(YEAR($B$31)-YEAR($B$30))+MONTH($B$31)-MONTH($B$30))))*(1+'Вводные'!$B$65)^MAX(0,(12*(YEAR(DK$3)-YEAR($B$31))+MONTH(DK$3)-MONTH($B$31))))</x:f>
      </x:c>
      <x:c r="DL44" s="107" t="n">
        <x:f>IF(DL43=0,0,'Вводные'!$B$61*'Вводные'!$S$89*'Вводные'!$H$5*'Вводные'!$AG$89*(1+'Вводные'!$B$64)^MAX(0,MIN((12*(YEAR(DL$3)-YEAR($B$30))+MONTH(DL$3)-MONTH($B$30)),(12*(YEAR($B$31)-YEAR($B$30))+MONTH($B$31)-MONTH($B$30))))*(1+'Вводные'!$B$65)^MAX(0,(12*(YEAR(DL$3)-YEAR($B$31))+MONTH(DL$3)-MONTH($B$31))))</x:f>
      </x:c>
      <x:c r="DM44" s="107" t="n">
        <x:f>IF(DM43=0,0,'Вводные'!$B$61*'Вводные'!$S$89*'Вводные'!$H$5*'Вводные'!$AG$89*(1+'Вводные'!$B$64)^MAX(0,MIN((12*(YEAR(DM$3)-YEAR($B$30))+MONTH(DM$3)-MONTH($B$30)),(12*(YEAR($B$31)-YEAR($B$30))+MONTH($B$31)-MONTH($B$30))))*(1+'Вводные'!$B$65)^MAX(0,(12*(YEAR(DM$3)-YEAR($B$31))+MONTH(DM$3)-MONTH($B$31))))</x:f>
      </x:c>
      <x:c r="DN44" s="107" t="n">
        <x:f>IF(DN43=0,0,'Вводные'!$B$61*'Вводные'!$S$89*'Вводные'!$H$5*'Вводные'!$AG$89*(1+'Вводные'!$B$64)^MAX(0,MIN((12*(YEAR(DN$3)-YEAR($B$30))+MONTH(DN$3)-MONTH($B$30)),(12*(YEAR($B$31)-YEAR($B$30))+MONTH($B$31)-MONTH($B$30))))*(1+'Вводные'!$B$65)^MAX(0,(12*(YEAR(DN$3)-YEAR($B$31))+MONTH(DN$3)-MONTH($B$31))))</x:f>
      </x:c>
      <x:c r="DO44" s="107" t="n">
        <x:f>IF(DO43=0,0,'Вводные'!$B$61*'Вводные'!$S$89*'Вводные'!$H$5*'Вводные'!$AG$89*(1+'Вводные'!$B$64)^MAX(0,MIN((12*(YEAR(DO$3)-YEAR($B$30))+MONTH(DO$3)-MONTH($B$30)),(12*(YEAR($B$31)-YEAR($B$30))+MONTH($B$31)-MONTH($B$30))))*(1+'Вводные'!$B$65)^MAX(0,(12*(YEAR(DO$3)-YEAR($B$31))+MONTH(DO$3)-MONTH($B$31))))</x:f>
      </x:c>
      <x:c r="DP44" s="107" t="n">
        <x:f>IF(DP43=0,0,'Вводные'!$B$61*'Вводные'!$S$89*'Вводные'!$H$5*'Вводные'!$AG$89*(1+'Вводные'!$B$64)^MAX(0,MIN((12*(YEAR(DP$3)-YEAR($B$30))+MONTH(DP$3)-MONTH($B$30)),(12*(YEAR($B$31)-YEAR($B$30))+MONTH($B$31)-MONTH($B$30))))*(1+'Вводные'!$B$65)^MAX(0,(12*(YEAR(DP$3)-YEAR($B$31))+MONTH(DP$3)-MONTH($B$31))))</x:f>
      </x:c>
      <x:c r="DQ44" s="107" t="n">
        <x:f>IF(DQ43=0,0,'Вводные'!$B$61*'Вводные'!$S$89*'Вводные'!$H$5*'Вводные'!$AG$89*(1+'Вводные'!$B$64)^MAX(0,MIN((12*(YEAR(DQ$3)-YEAR($B$30))+MONTH(DQ$3)-MONTH($B$30)),(12*(YEAR($B$31)-YEAR($B$30))+MONTH($B$31)-MONTH($B$30))))*(1+'Вводные'!$B$65)^MAX(0,(12*(YEAR(DQ$3)-YEAR($B$31))+MONTH(DQ$3)-MONTH($B$31))))</x:f>
      </x:c>
      <x:c r="DR44" s="107" t="n">
        <x:f>IF(DR43=0,0,'Вводные'!$B$61*'Вводные'!$S$89*'Вводные'!$H$5*'Вводные'!$AG$89*(1+'Вводные'!$B$64)^MAX(0,MIN((12*(YEAR(DR$3)-YEAR($B$30))+MONTH(DR$3)-MONTH($B$30)),(12*(YEAR($B$31)-YEAR($B$30))+MONTH($B$31)-MONTH($B$30))))*(1+'Вводные'!$B$65)^MAX(0,(12*(YEAR(DR$3)-YEAR($B$31))+MONTH(DR$3)-MONTH($B$31))))</x:f>
      </x:c>
      <x:c r="DS44" s="107" t="n">
        <x:f>IF(DS43=0,0,'Вводные'!$B$61*'Вводные'!$S$89*'Вводные'!$H$5*'Вводные'!$AG$89*(1+'Вводные'!$B$64)^MAX(0,MIN((12*(YEAR(DS$3)-YEAR($B$30))+MONTH(DS$3)-MONTH($B$30)),(12*(YEAR($B$31)-YEAR($B$30))+MONTH($B$31)-MONTH($B$30))))*(1+'Вводные'!$B$65)^MAX(0,(12*(YEAR(DS$3)-YEAR($B$31))+MONTH(DS$3)-MONTH($B$31))))</x:f>
      </x:c>
      <x:c r="DT44" s="107" t="n">
        <x:f>IF(DT43=0,0,'Вводные'!$B$61*'Вводные'!$S$89*'Вводные'!$H$5*'Вводные'!$AG$89*(1+'Вводные'!$B$64)^MAX(0,MIN((12*(YEAR(DT$3)-YEAR($B$30))+MONTH(DT$3)-MONTH($B$30)),(12*(YEAR($B$31)-YEAR($B$30))+MONTH($B$31)-MONTH($B$30))))*(1+'Вводные'!$B$65)^MAX(0,(12*(YEAR(DT$3)-YEAR($B$31))+MONTH(DT$3)-MONTH($B$31))))</x:f>
      </x:c>
      <x:c r="DU44" s="107" t="n">
        <x:f>IF(DU43=0,0,'Вводные'!$B$61*'Вводные'!$S$89*'Вводные'!$H$5*'Вводные'!$AG$89*(1+'Вводные'!$B$64)^MAX(0,MIN((12*(YEAR(DU$3)-YEAR($B$30))+MONTH(DU$3)-MONTH($B$30)),(12*(YEAR($B$31)-YEAR($B$30))+MONTH($B$31)-MONTH($B$30))))*(1+'Вводные'!$B$65)^MAX(0,(12*(YEAR(DU$3)-YEAR($B$31))+MONTH(DU$3)-MONTH($B$31))))</x:f>
      </x:c>
      <x:c r="DV44" s="107" t="n">
        <x:f>IF(DV43=0,0,'Вводные'!$B$61*'Вводные'!$S$89*'Вводные'!$H$5*'Вводные'!$AG$89*(1+'Вводные'!$B$64)^MAX(0,MIN((12*(YEAR(DV$3)-YEAR($B$30))+MONTH(DV$3)-MONTH($B$30)),(12*(YEAR($B$31)-YEAR($B$30))+MONTH($B$31)-MONTH($B$30))))*(1+'Вводные'!$B$65)^MAX(0,(12*(YEAR(DV$3)-YEAR($B$31))+MONTH(DV$3)-MONTH($B$31))))</x:f>
      </x:c>
      <x:c r="DW44" s="107" t="n">
        <x:f>IF(DW43=0,0,'Вводные'!$B$61*'Вводные'!$S$89*'Вводные'!$H$5*'Вводные'!$AG$89*(1+'Вводные'!$B$64)^MAX(0,MIN((12*(YEAR(DW$3)-YEAR($B$30))+MONTH(DW$3)-MONTH($B$30)),(12*(YEAR($B$31)-YEAR($B$30))+MONTH($B$31)-MONTH($B$30))))*(1+'Вводные'!$B$65)^MAX(0,(12*(YEAR(DW$3)-YEAR($B$31))+MONTH(DW$3)-MONTH($B$31))))</x:f>
      </x:c>
      <x:c r="DX44" s="107" t="n">
        <x:f>IF(DX43=0,0,'Вводные'!$B$61*'Вводные'!$S$89*'Вводные'!$H$5*'Вводные'!$AG$89*(1+'Вводные'!$B$64)^MAX(0,MIN((12*(YEAR(DX$3)-YEAR($B$30))+MONTH(DX$3)-MONTH($B$30)),(12*(YEAR($B$31)-YEAR($B$30))+MONTH($B$31)-MONTH($B$30))))*(1+'Вводные'!$B$65)^MAX(0,(12*(YEAR(DX$3)-YEAR($B$31))+MONTH(DX$3)-MONTH($B$31))))</x:f>
      </x:c>
      <x:c r="DY44" s="107" t="n">
        <x:f>IF(DY43=0,0,'Вводные'!$B$61*'Вводные'!$S$89*'Вводные'!$H$5*'Вводные'!$AG$89*(1+'Вводные'!$B$64)^MAX(0,MIN((12*(YEAR(DY$3)-YEAR($B$30))+MONTH(DY$3)-MONTH($B$30)),(12*(YEAR($B$31)-YEAR($B$30))+MONTH($B$31)-MONTH($B$30))))*(1+'Вводные'!$B$65)^MAX(0,(12*(YEAR(DY$3)-YEAR($B$31))+MONTH(DY$3)-MONTH($B$31))))</x:f>
      </x:c>
      <x:c r="DZ44" s="107" t="n">
        <x:f>IF(DZ43=0,0,'Вводные'!$B$61*'Вводные'!$S$89*'Вводные'!$H$5*'Вводные'!$AG$89*(1+'Вводные'!$B$64)^MAX(0,MIN((12*(YEAR(DZ$3)-YEAR($B$30))+MONTH(DZ$3)-MONTH($B$30)),(12*(YEAR($B$31)-YEAR($B$30))+MONTH($B$31)-MONTH($B$30))))*(1+'Вводные'!$B$65)^MAX(0,(12*(YEAR(DZ$3)-YEAR($B$31))+MONTH(DZ$3)-MONTH($B$31))))</x:f>
      </x:c>
      <x:c r="EA44" s="107" t="n">
        <x:f>IF(EA43=0,0,'Вводные'!$B$61*'Вводные'!$S$89*'Вводные'!$H$5*'Вводные'!$AG$89*(1+'Вводные'!$B$64)^MAX(0,MIN((12*(YEAR(EA$3)-YEAR($B$30))+MONTH(EA$3)-MONTH($B$30)),(12*(YEAR($B$31)-YEAR($B$30))+MONTH($B$31)-MONTH($B$30))))*(1+'Вводные'!$B$65)^MAX(0,(12*(YEAR(EA$3)-YEAR($B$31))+MONTH(EA$3)-MONTH($B$31))))</x:f>
      </x:c>
      <x:c r="EB44" s="107" t="n">
        <x:f>IF(EB43=0,0,'Вводные'!$B$61*'Вводные'!$S$89*'Вводные'!$H$5*'Вводные'!$AG$89*(1+'Вводные'!$B$64)^MAX(0,MIN((12*(YEAR(EB$3)-YEAR($B$30))+MONTH(EB$3)-MONTH($B$30)),(12*(YEAR($B$31)-YEAR($B$30))+MONTH($B$31)-MONTH($B$30))))*(1+'Вводные'!$B$65)^MAX(0,(12*(YEAR(EB$3)-YEAR($B$31))+MONTH(EB$3)-MONTH($B$31))))</x:f>
      </x:c>
      <x:c r="EC44" s="107" t="n">
        <x:f>IF(EC43=0,0,'Вводные'!$B$61*'Вводные'!$S$89*'Вводные'!$H$5*'Вводные'!$AG$89*(1+'Вводные'!$B$64)^MAX(0,MIN((12*(YEAR(EC$3)-YEAR($B$30))+MONTH(EC$3)-MONTH($B$30)),(12*(YEAR($B$31)-YEAR($B$30))+MONTH($B$31)-MONTH($B$30))))*(1+'Вводные'!$B$65)^MAX(0,(12*(YEAR(EC$3)-YEAR($B$31))+MONTH(EC$3)-MONTH($B$31))))</x:f>
      </x:c>
      <x:c r="ED44" s="107" t="n">
        <x:f>IF(ED43=0,0,'Вводные'!$B$61*'Вводные'!$S$89*'Вводные'!$H$5*'Вводные'!$AG$89*(1+'Вводные'!$B$64)^MAX(0,MIN((12*(YEAR(ED$3)-YEAR($B$30))+MONTH(ED$3)-MONTH($B$30)),(12*(YEAR($B$31)-YEAR($B$30))+MONTH($B$31)-MONTH($B$30))))*(1+'Вводные'!$B$65)^MAX(0,(12*(YEAR(ED$3)-YEAR($B$31))+MONTH(ED$3)-MONTH($B$31))))</x:f>
      </x:c>
      <x:c r="EE44" s="107" t="n">
        <x:f>IF(EE43=0,0,'Вводные'!$B$61*'Вводные'!$S$89*'Вводные'!$H$5*'Вводные'!$AG$89*(1+'Вводные'!$B$64)^MAX(0,MIN((12*(YEAR(EE$3)-YEAR($B$30))+MONTH(EE$3)-MONTH($B$30)),(12*(YEAR($B$31)-YEAR($B$30))+MONTH($B$31)-MONTH($B$30))))*(1+'Вводные'!$B$65)^MAX(0,(12*(YEAR(EE$3)-YEAR($B$31))+MONTH(EE$3)-MONTH($B$31))))</x:f>
      </x:c>
      <x:c r="EF44" s="107" t="n">
        <x:f>IF(EF43=0,0,'Вводные'!$B$61*'Вводные'!$S$89*'Вводные'!$H$5*'Вводные'!$AG$89*(1+'Вводные'!$B$64)^MAX(0,MIN((12*(YEAR(EF$3)-YEAR($B$30))+MONTH(EF$3)-MONTH($B$30)),(12*(YEAR($B$31)-YEAR($B$30))+MONTH($B$31)-MONTH($B$30))))*(1+'Вводные'!$B$65)^MAX(0,(12*(YEAR(EF$3)-YEAR($B$31))+MONTH(EF$3)-MONTH($B$31))))</x:f>
      </x:c>
      <x:c r="EG44" s="107" t="n">
        <x:f>IF(EG43=0,0,'Вводные'!$B$61*'Вводные'!$S$89*'Вводные'!$H$5*'Вводные'!$AG$89*(1+'Вводные'!$B$64)^MAX(0,MIN((12*(YEAR(EG$3)-YEAR($B$30))+MONTH(EG$3)-MONTH($B$30)),(12*(YEAR($B$31)-YEAR($B$30))+MONTH($B$31)-MONTH($B$30))))*(1+'Вводные'!$B$65)^MAX(0,(12*(YEAR(EG$3)-YEAR($B$31))+MONTH(EG$3)-MONTH($B$31))))</x:f>
      </x:c>
      <x:c r="EH44" s="107" t="n">
        <x:f>IF(EH43=0,0,'Вводные'!$B$61*'Вводные'!$S$89*'Вводные'!$H$5*'Вводные'!$AG$89*(1+'Вводные'!$B$64)^MAX(0,MIN((12*(YEAR(EH$3)-YEAR($B$30))+MONTH(EH$3)-MONTH($B$30)),(12*(YEAR($B$31)-YEAR($B$30))+MONTH($B$31)-MONTH($B$30))))*(1+'Вводные'!$B$65)^MAX(0,(12*(YEAR(EH$3)-YEAR($B$31))+MONTH(EH$3)-MONTH($B$31))))</x:f>
      </x:c>
      <x:c r="EI44" s="107" t="n">
        <x:f>IF(EI43=0,0,'Вводные'!$B$61*'Вводные'!$S$89*'Вводные'!$H$5*'Вводные'!$AG$89*(1+'Вводные'!$B$64)^MAX(0,MIN((12*(YEAR(EI$3)-YEAR($B$30))+MONTH(EI$3)-MONTH($B$30)),(12*(YEAR($B$31)-YEAR($B$30))+MONTH($B$31)-MONTH($B$30))))*(1+'Вводные'!$B$65)^MAX(0,(12*(YEAR(EI$3)-YEAR($B$31))+MONTH(EI$3)-MONTH($B$31))))</x:f>
      </x:c>
      <x:c r="EJ44" s="107" t="n">
        <x:f>IF(EJ43=0,0,'Вводные'!$B$61*'Вводные'!$S$89*'Вводные'!$H$5*'Вводные'!$AG$89*(1+'Вводные'!$B$64)^MAX(0,MIN((12*(YEAR(EJ$3)-YEAR($B$30))+MONTH(EJ$3)-MONTH($B$30)),(12*(YEAR($B$31)-YEAR($B$30))+MONTH($B$31)-MONTH($B$30))))*(1+'Вводные'!$B$65)^MAX(0,(12*(YEAR(EJ$3)-YEAR($B$31))+MONTH(EJ$3)-MONTH($B$31))))</x:f>
      </x:c>
      <x:c r="EK44" s="107" t="n">
        <x:f>IF(EK43=0,0,'Вводные'!$B$61*'Вводные'!$S$89*'Вводные'!$H$5*'Вводные'!$AG$89*(1+'Вводные'!$B$64)^MAX(0,MIN((12*(YEAR(EK$3)-YEAR($B$30))+MONTH(EK$3)-MONTH($B$30)),(12*(YEAR($B$31)-YEAR($B$30))+MONTH($B$31)-MONTH($B$30))))*(1+'Вводные'!$B$65)^MAX(0,(12*(YEAR(EK$3)-YEAR($B$31))+MONTH(EK$3)-MONTH($B$31))))</x:f>
      </x:c>
      <x:c r="EL44" s="107" t="n">
        <x:f>IF(EL43=0,0,'Вводные'!$B$61*'Вводные'!$S$89*'Вводные'!$H$5*'Вводные'!$AG$89*(1+'Вводные'!$B$64)^MAX(0,MIN((12*(YEAR(EL$3)-YEAR($B$30))+MONTH(EL$3)-MONTH($B$30)),(12*(YEAR($B$31)-YEAR($B$30))+MONTH($B$31)-MONTH($B$30))))*(1+'Вводные'!$B$65)^MAX(0,(12*(YEAR(EL$3)-YEAR($B$31))+MONTH(EL$3)-MONTH($B$31))))</x:f>
      </x:c>
      <x:c r="EM44" s="107" t="n">
        <x:f>IF(EM43=0,0,'Вводные'!$B$61*'Вводные'!$S$89*'Вводные'!$H$5*'Вводные'!$AG$89*(1+'Вводные'!$B$64)^MAX(0,MIN((12*(YEAR(EM$3)-YEAR($B$30))+MONTH(EM$3)-MONTH($B$30)),(12*(YEAR($B$31)-YEAR($B$30))+MONTH($B$31)-MONTH($B$30))))*(1+'Вводные'!$B$65)^MAX(0,(12*(YEAR(EM$3)-YEAR($B$31))+MONTH(EM$3)-MONTH($B$31))))</x:f>
      </x:c>
      <x:c r="EN44" s="107" t="n">
        <x:f>IF(EN43=0,0,'Вводные'!$B$61*'Вводные'!$S$89*'Вводные'!$H$5*'Вводные'!$AG$89*(1+'Вводные'!$B$64)^MAX(0,MIN((12*(YEAR(EN$3)-YEAR($B$30))+MONTH(EN$3)-MONTH($B$30)),(12*(YEAR($B$31)-YEAR($B$30))+MONTH($B$31)-MONTH($B$30))))*(1+'Вводные'!$B$65)^MAX(0,(12*(YEAR(EN$3)-YEAR($B$31))+MONTH(EN$3)-MONTH($B$31))))</x:f>
      </x:c>
      <x:c r="EO44" s="107" t="n">
        <x:f>IF(EO43=0,0,'Вводные'!$B$61*'Вводные'!$S$89*'Вводные'!$H$5*'Вводные'!$AG$89*(1+'Вводные'!$B$64)^MAX(0,MIN((12*(YEAR(EO$3)-YEAR($B$30))+MONTH(EO$3)-MONTH($B$30)),(12*(YEAR($B$31)-YEAR($B$30))+MONTH($B$31)-MONTH($B$30))))*(1+'Вводные'!$B$65)^MAX(0,(12*(YEAR(EO$3)-YEAR($B$31))+MONTH(EO$3)-MONTH($B$31))))</x:f>
      </x:c>
      <x:c r="EP44" s="107" t="n">
        <x:f>IF(EP43=0,0,'Вводные'!$B$61*'Вводные'!$S$89*'Вводные'!$H$5*'Вводные'!$AG$89*(1+'Вводные'!$B$64)^MAX(0,MIN((12*(YEAR(EP$3)-YEAR($B$30))+MONTH(EP$3)-MONTH($B$30)),(12*(YEAR($B$31)-YEAR($B$30))+MONTH($B$31)-MONTH($B$30))))*(1+'Вводные'!$B$65)^MAX(0,(12*(YEAR(EP$3)-YEAR($B$31))+MONTH(EP$3)-MONTH($B$31))))</x:f>
      </x:c>
      <x:c r="EQ44" s="107" t="n">
        <x:f>IF(EQ43=0,0,'Вводные'!$B$61*'Вводные'!$S$89*'Вводные'!$H$5*'Вводные'!$AG$89*(1+'Вводные'!$B$64)^MAX(0,MIN((12*(YEAR(EQ$3)-YEAR($B$30))+MONTH(EQ$3)-MONTH($B$30)),(12*(YEAR($B$31)-YEAR($B$30))+MONTH($B$31)-MONTH($B$30))))*(1+'Вводные'!$B$65)^MAX(0,(12*(YEAR(EQ$3)-YEAR($B$31))+MONTH(EQ$3)-MONTH($B$31))))</x:f>
      </x:c>
      <x:c r="ER44" s="107" t="n">
        <x:f>IF(ER43=0,0,'Вводные'!$B$61*'Вводные'!$S$89*'Вводные'!$H$5*'Вводные'!$AG$89*(1+'Вводные'!$B$64)^MAX(0,MIN((12*(YEAR(ER$3)-YEAR($B$30))+MONTH(ER$3)-MONTH($B$30)),(12*(YEAR($B$31)-YEAR($B$30))+MONTH($B$31)-MONTH($B$30))))*(1+'Вводные'!$B$65)^MAX(0,(12*(YEAR(ER$3)-YEAR($B$31))+MONTH(ER$3)-MONTH($B$31))))</x:f>
      </x:c>
      <x:c r="ES44" s="107" t="n">
        <x:f>IF(ES43=0,0,'Вводные'!$B$61*'Вводные'!$S$89*'Вводные'!$H$5*'Вводные'!$AG$89*(1+'Вводные'!$B$64)^MAX(0,MIN((12*(YEAR(ES$3)-YEAR($B$30))+MONTH(ES$3)-MONTH($B$30)),(12*(YEAR($B$31)-YEAR($B$30))+MONTH($B$31)-MONTH($B$30))))*(1+'Вводные'!$B$65)^MAX(0,(12*(YEAR(ES$3)-YEAR($B$31))+MONTH(ES$3)-MONTH($B$31))))</x:f>
      </x:c>
      <x:c r="ET44" s="107" t="n">
        <x:f>IF(ET43=0,0,'Вводные'!$B$61*'Вводные'!$S$89*'Вводные'!$H$5*'Вводные'!$AG$89*(1+'Вводные'!$B$64)^MAX(0,MIN((12*(YEAR(ET$3)-YEAR($B$30))+MONTH(ET$3)-MONTH($B$30)),(12*(YEAR($B$31)-YEAR($B$30))+MONTH($B$31)-MONTH($B$30))))*(1+'Вводные'!$B$65)^MAX(0,(12*(YEAR(ET$3)-YEAR($B$31))+MONTH(ET$3)-MONTH($B$31))))</x:f>
      </x:c>
      <x:c r="EU44" s="107" t="n">
        <x:f>IF(EU43=0,0,'Вводные'!$B$61*'Вводные'!$S$89*'Вводные'!$H$5*'Вводные'!$AG$89*(1+'Вводные'!$B$64)^MAX(0,MIN((12*(YEAR(EU$3)-YEAR($B$30))+MONTH(EU$3)-MONTH($B$30)),(12*(YEAR($B$31)-YEAR($B$30))+MONTH($B$31)-MONTH($B$30))))*(1+'Вводные'!$B$65)^MAX(0,(12*(YEAR(EU$3)-YEAR($B$31))+MONTH(EU$3)-MONTH($B$31))))</x:f>
      </x:c>
      <x:c r="EV44" s="107" t="n">
        <x:f>IF(EV43=0,0,'Вводные'!$B$61*'Вводные'!$S$89*'Вводные'!$H$5*'Вводные'!$AG$89*(1+'Вводные'!$B$64)^MAX(0,MIN((12*(YEAR(EV$3)-YEAR($B$30))+MONTH(EV$3)-MONTH($B$30)),(12*(YEAR($B$31)-YEAR($B$30))+MONTH($B$31)-MONTH($B$30))))*(1+'Вводные'!$B$65)^MAX(0,(12*(YEAR(EV$3)-YEAR($B$31))+MONTH(EV$3)-MONTH($B$31))))</x:f>
      </x:c>
      <x:c r="EW44" s="107" t="n">
        <x:f>IF(EW43=0,0,'Вводные'!$B$61*'Вводные'!$S$89*'Вводные'!$H$5*'Вводные'!$AG$89*(1+'Вводные'!$B$64)^MAX(0,MIN((12*(YEAR(EW$3)-YEAR($B$30))+MONTH(EW$3)-MONTH($B$30)),(12*(YEAR($B$31)-YEAR($B$30))+MONTH($B$31)-MONTH($B$30))))*(1+'Вводные'!$B$65)^MAX(0,(12*(YEAR(EW$3)-YEAR($B$31))+MONTH(EW$3)-MONTH($B$31))))</x:f>
      </x:c>
      <x:c r="EX44" s="107" t="n">
        <x:f>IF(EX43=0,0,'Вводные'!$B$61*'Вводные'!$S$89*'Вводные'!$H$5*'Вводные'!$AG$89*(1+'Вводные'!$B$64)^MAX(0,MIN((12*(YEAR(EX$3)-YEAR($B$30))+MONTH(EX$3)-MONTH($B$30)),(12*(YEAR($B$31)-YEAR($B$30))+MONTH($B$31)-MONTH($B$30))))*(1+'Вводные'!$B$65)^MAX(0,(12*(YEAR(EX$3)-YEAR($B$31))+MONTH(EX$3)-MONTH($B$31))))</x:f>
      </x:c>
      <x:c r="EY44" s="107" t="n">
        <x:f>IF(EY43=0,0,'Вводные'!$B$61*'Вводные'!$S$89*'Вводные'!$H$5*'Вводные'!$AG$89*(1+'Вводные'!$B$64)^MAX(0,MIN((12*(YEAR(EY$3)-YEAR($B$30))+MONTH(EY$3)-MONTH($B$30)),(12*(YEAR($B$31)-YEAR($B$30))+MONTH($B$31)-MONTH($B$30))))*(1+'Вводные'!$B$65)^MAX(0,(12*(YEAR(EY$3)-YEAR($B$31))+MONTH(EY$3)-MONTH($B$31))))</x:f>
      </x:c>
      <x:c r="EZ44" s="107" t="n">
        <x:f>IF(EZ43=0,0,'Вводные'!$B$61*'Вводные'!$S$89*'Вводные'!$H$5*'Вводные'!$AG$89*(1+'Вводные'!$B$64)^MAX(0,MIN((12*(YEAR(EZ$3)-YEAR($B$30))+MONTH(EZ$3)-MONTH($B$30)),(12*(YEAR($B$31)-YEAR($B$30))+MONTH($B$31)-MONTH($B$30))))*(1+'Вводные'!$B$65)^MAX(0,(12*(YEAR(EZ$3)-YEAR($B$31))+MONTH(EZ$3)-MONTH($B$31))))</x:f>
      </x:c>
      <x:c r="FA44" s="107" t="n">
        <x:f>IF(FA43=0,0,'Вводные'!$B$61*'Вводные'!$S$89*'Вводные'!$H$5*'Вводные'!$AG$89*(1+'Вводные'!$B$64)^MAX(0,MIN((12*(YEAR(FA$3)-YEAR($B$30))+MONTH(FA$3)-MONTH($B$30)),(12*(YEAR($B$31)-YEAR($B$30))+MONTH($B$31)-MONTH($B$30))))*(1+'Вводные'!$B$65)^MAX(0,(12*(YEAR(FA$3)-YEAR($B$31))+MONTH(FA$3)-MONTH($B$31))))</x:f>
      </x:c>
      <x:c r="FB44" s="107" t="n">
        <x:f>IF(FB43=0,0,'Вводные'!$B$61*'Вводные'!$S$89*'Вводные'!$H$5*'Вводные'!$AG$89*(1+'Вводные'!$B$64)^MAX(0,MIN((12*(YEAR(FB$3)-YEAR($B$30))+MONTH(FB$3)-MONTH($B$30)),(12*(YEAR($B$31)-YEAR($B$30))+MONTH($B$31)-MONTH($B$30))))*(1+'Вводные'!$B$65)^MAX(0,(12*(YEAR(FB$3)-YEAR($B$31))+MONTH(FB$3)-MONTH($B$31))))</x:f>
      </x:c>
      <x:c r="FC44" s="107" t="n">
        <x:f>IF(FC43=0,0,'Вводные'!$B$61*'Вводные'!$S$89*'Вводные'!$H$5*'Вводные'!$AG$89*(1+'Вводные'!$B$64)^MAX(0,MIN((12*(YEAR(FC$3)-YEAR($B$30))+MONTH(FC$3)-MONTH($B$30)),(12*(YEAR($B$31)-YEAR($B$30))+MONTH($B$31)-MONTH($B$30))))*(1+'Вводные'!$B$65)^MAX(0,(12*(YEAR(FC$3)-YEAR($B$31))+MONTH(FC$3)-MONTH($B$31))))</x:f>
      </x:c>
      <x:c r="FD44" s="107" t="n">
        <x:f>IF(FD43=0,0,'Вводные'!$B$61*'Вводные'!$S$89*'Вводные'!$H$5*'Вводные'!$AG$89*(1+'Вводные'!$B$64)^MAX(0,MIN((12*(YEAR(FD$3)-YEAR($B$30))+MONTH(FD$3)-MONTH($B$30)),(12*(YEAR($B$31)-YEAR($B$30))+MONTH($B$31)-MONTH($B$30))))*(1+'Вводные'!$B$65)^MAX(0,(12*(YEAR(FD$3)-YEAR($B$31))+MONTH(FD$3)-MONTH($B$31))))</x:f>
      </x:c>
      <x:c r="FE44" s="107" t="n">
        <x:f>IF(FE43=0,0,'Вводные'!$B$61*'Вводные'!$S$89*'Вводные'!$H$5*'Вводные'!$AG$89*(1+'Вводные'!$B$64)^MAX(0,MIN((12*(YEAR(FE$3)-YEAR($B$30))+MONTH(FE$3)-MONTH($B$30)),(12*(YEAR($B$31)-YEAR($B$30))+MONTH($B$31)-MONTH($B$30))))*(1+'Вводные'!$B$65)^MAX(0,(12*(YEAR(FE$3)-YEAR($B$31))+MONTH(FE$3)-MONTH($B$31))))</x:f>
      </x:c>
      <x:c r="FF44" s="107" t="n">
        <x:f>IF(FF43=0,0,'Вводные'!$B$61*'Вводные'!$S$89*'Вводные'!$H$5*'Вводные'!$AG$89*(1+'Вводные'!$B$64)^MAX(0,MIN((12*(YEAR(FF$3)-YEAR($B$30))+MONTH(FF$3)-MONTH($B$30)),(12*(YEAR($B$31)-YEAR($B$30))+MONTH($B$31)-MONTH($B$30))))*(1+'Вводные'!$B$65)^MAX(0,(12*(YEAR(FF$3)-YEAR($B$31))+MONTH(FF$3)-MONTH($B$31))))</x:f>
      </x:c>
      <x:c r="FG44" s="107" t="n">
        <x:f>IF(FG43=0,0,'Вводные'!$B$61*'Вводные'!$S$89*'Вводные'!$H$5*'Вводные'!$AG$89*(1+'Вводные'!$B$64)^MAX(0,MIN((12*(YEAR(FG$3)-YEAR($B$30))+MONTH(FG$3)-MONTH($B$30)),(12*(YEAR($B$31)-YEAR($B$30))+MONTH($B$31)-MONTH($B$30))))*(1+'Вводные'!$B$65)^MAX(0,(12*(YEAR(FG$3)-YEAR($B$31))+MONTH(FG$3)-MONTH($B$31))))</x:f>
      </x:c>
      <x:c r="FH44" s="107" t="n">
        <x:f>IF(FH43=0,0,'Вводные'!$B$61*'Вводные'!$S$89*'Вводные'!$H$5*'Вводные'!$AG$89*(1+'Вводные'!$B$64)^MAX(0,MIN((12*(YEAR(FH$3)-YEAR($B$30))+MONTH(FH$3)-MONTH($B$30)),(12*(YEAR($B$31)-YEAR($B$30))+MONTH($B$31)-MONTH($B$30))))*(1+'Вводные'!$B$65)^MAX(0,(12*(YEAR(FH$3)-YEAR($B$31))+MONTH(FH$3)-MONTH($B$31))))</x:f>
      </x:c>
      <x:c r="FI44" s="107" t="n">
        <x:f>IF(FI43=0,0,'Вводные'!$B$61*'Вводные'!$S$89*'Вводные'!$H$5*'Вводные'!$AG$89*(1+'Вводные'!$B$64)^MAX(0,MIN((12*(YEAR(FI$3)-YEAR($B$30))+MONTH(FI$3)-MONTH($B$30)),(12*(YEAR($B$31)-YEAR($B$30))+MONTH($B$31)-MONTH($B$30))))*(1+'Вводные'!$B$65)^MAX(0,(12*(YEAR(FI$3)-YEAR($B$31))+MONTH(FI$3)-MONTH($B$31))))</x:f>
      </x:c>
      <x:c r="FJ44" s="107" t="n">
        <x:f>IF(FJ43=0,0,'Вводные'!$B$61*'Вводные'!$S$89*'Вводные'!$H$5*'Вводные'!$AG$89*(1+'Вводные'!$B$64)^MAX(0,MIN((12*(YEAR(FJ$3)-YEAR($B$30))+MONTH(FJ$3)-MONTH($B$30)),(12*(YEAR($B$31)-YEAR($B$30))+MONTH($B$31)-MONTH($B$30))))*(1+'Вводные'!$B$65)^MAX(0,(12*(YEAR(FJ$3)-YEAR($B$31))+MONTH(FJ$3)-MONTH($B$31))))</x:f>
      </x:c>
      <x:c r="FK44" s="107" t="n">
        <x:f>IF(FK43=0,0,'Вводные'!$B$61*'Вводные'!$S$89*'Вводные'!$H$5*'Вводные'!$AG$89*(1+'Вводные'!$B$64)^MAX(0,MIN((12*(YEAR(FK$3)-YEAR($B$30))+MONTH(FK$3)-MONTH($B$30)),(12*(YEAR($B$31)-YEAR($B$30))+MONTH($B$31)-MONTH($B$30))))*(1+'Вводные'!$B$65)^MAX(0,(12*(YEAR(FK$3)-YEAR($B$31))+MONTH(FK$3)-MONTH($B$31))))</x:f>
      </x:c>
      <x:c r="FL44" s="107" t="n">
        <x:f>IF(FL43=0,0,'Вводные'!$B$61*'Вводные'!$S$89*'Вводные'!$H$5*'Вводные'!$AG$89*(1+'Вводные'!$B$64)^MAX(0,MIN((12*(YEAR(FL$3)-YEAR($B$30))+MONTH(FL$3)-MONTH($B$30)),(12*(YEAR($B$31)-YEAR($B$30))+MONTH($B$31)-MONTH($B$30))))*(1+'Вводные'!$B$65)^MAX(0,(12*(YEAR(FL$3)-YEAR($B$31))+MONTH(FL$3)-MONTH($B$31))))</x:f>
      </x:c>
      <x:c r="FM44" s="107" t="n">
        <x:f>IF(FM43=0,0,'Вводные'!$B$61*'Вводные'!$S$89*'Вводные'!$H$5*'Вводные'!$AG$89*(1+'Вводные'!$B$64)^MAX(0,MIN((12*(YEAR(FM$3)-YEAR($B$30))+MONTH(FM$3)-MONTH($B$30)),(12*(YEAR($B$31)-YEAR($B$30))+MONTH($B$31)-MONTH($B$30))))*(1+'Вводные'!$B$65)^MAX(0,(12*(YEAR(FM$3)-YEAR($B$31))+MONTH(FM$3)-MONTH($B$31))))</x:f>
      </x:c>
      <x:c r="FN44" s="107" t="n">
        <x:f>IF(FN43=0,0,'Вводные'!$B$61*'Вводные'!$S$89*'Вводные'!$H$5*'Вводные'!$AG$89*(1+'Вводные'!$B$64)^MAX(0,MIN((12*(YEAR(FN$3)-YEAR($B$30))+MONTH(FN$3)-MONTH($B$30)),(12*(YEAR($B$31)-YEAR($B$30))+MONTH($B$31)-MONTH($B$30))))*(1+'Вводные'!$B$65)^MAX(0,(12*(YEAR(FN$3)-YEAR($B$31))+MONTH(FN$3)-MONTH($B$31))))</x:f>
      </x:c>
      <x:c r="FO44" s="107" t="n">
        <x:f>IF(FO43=0,0,'Вводные'!$B$61*'Вводные'!$S$89*'Вводные'!$H$5*'Вводные'!$AG$89*(1+'Вводные'!$B$64)^MAX(0,MIN((12*(YEAR(FO$3)-YEAR($B$30))+MONTH(FO$3)-MONTH($B$30)),(12*(YEAR($B$31)-YEAR($B$30))+MONTH($B$31)-MONTH($B$30))))*(1+'Вводные'!$B$65)^MAX(0,(12*(YEAR(FO$3)-YEAR($B$31))+MONTH(FO$3)-MONTH($B$31))))</x:f>
      </x:c>
      <x:c r="FP44" s="107" t="n">
        <x:f>IF(FP43=0,0,'Вводные'!$B$61*'Вводные'!$S$89*'Вводные'!$H$5*'Вводные'!$AG$89*(1+'Вводные'!$B$64)^MAX(0,MIN((12*(YEAR(FP$3)-YEAR($B$30))+MONTH(FP$3)-MONTH($B$30)),(12*(YEAR($B$31)-YEAR($B$30))+MONTH($B$31)-MONTH($B$30))))*(1+'Вводные'!$B$65)^MAX(0,(12*(YEAR(FP$3)-YEAR($B$31))+MONTH(FP$3)-MONTH($B$31))))</x:f>
      </x:c>
      <x:c r="FQ44" s="107" t="n">
        <x:f>IF(FQ43=0,0,'Вводные'!$B$61*'Вводные'!$S$89*'Вводные'!$H$5*'Вводные'!$AG$89*(1+'Вводные'!$B$64)^MAX(0,MIN((12*(YEAR(FQ$3)-YEAR($B$30))+MONTH(FQ$3)-MONTH($B$30)),(12*(YEAR($B$31)-YEAR($B$30))+MONTH($B$31)-MONTH($B$30))))*(1+'Вводные'!$B$65)^MAX(0,(12*(YEAR(FQ$3)-YEAR($B$31))+MONTH(FQ$3)-MONTH($B$31))))</x:f>
      </x:c>
      <x:c r="FR44" s="107" t="n">
        <x:f>IF(FR43=0,0,'Вводные'!$B$61*'Вводные'!$S$89*'Вводные'!$H$5*'Вводные'!$AG$89*(1+'Вводные'!$B$64)^MAX(0,MIN((12*(YEAR(FR$3)-YEAR($B$30))+MONTH(FR$3)-MONTH($B$30)),(12*(YEAR($B$31)-YEAR($B$30))+MONTH($B$31)-MONTH($B$30))))*(1+'Вводные'!$B$65)^MAX(0,(12*(YEAR(FR$3)-YEAR($B$31))+MONTH(FR$3)-MONTH($B$31))))</x:f>
      </x:c>
      <x:c r="FS44" s="107" t="n">
        <x:f>IF(FS43=0,0,'Вводные'!$B$61*'Вводные'!$S$89*'Вводные'!$H$5*'Вводные'!$AG$89*(1+'Вводные'!$B$64)^MAX(0,MIN((12*(YEAR(FS$3)-YEAR($B$30))+MONTH(FS$3)-MONTH($B$30)),(12*(YEAR($B$31)-YEAR($B$30))+MONTH($B$31)-MONTH($B$30))))*(1+'Вводные'!$B$65)^MAX(0,(12*(YEAR(FS$3)-YEAR($B$31))+MONTH(FS$3)-MONTH($B$31))))</x:f>
      </x:c>
      <x:c r="FT44" s="107" t="n">
        <x:f>IF(FT43=0,0,'Вводные'!$B$61*'Вводные'!$S$89*'Вводные'!$H$5*'Вводные'!$AG$89*(1+'Вводные'!$B$64)^MAX(0,MIN((12*(YEAR(FT$3)-YEAR($B$30))+MONTH(FT$3)-MONTH($B$30)),(12*(YEAR($B$31)-YEAR($B$30))+MONTH($B$31)-MONTH($B$30))))*(1+'Вводные'!$B$65)^MAX(0,(12*(YEAR(FT$3)-YEAR($B$31))+MONTH(FT$3)-MONTH($B$31))))</x:f>
      </x:c>
      <x:c r="FU44" s="107" t="n">
        <x:f>IF(FU43=0,0,'Вводные'!$B$61*'Вводные'!$S$89*'Вводные'!$H$5*'Вводные'!$AG$89*(1+'Вводные'!$B$64)^MAX(0,MIN((12*(YEAR(FU$3)-YEAR($B$30))+MONTH(FU$3)-MONTH($B$30)),(12*(YEAR($B$31)-YEAR($B$30))+MONTH($B$31)-MONTH($B$30))))*(1+'Вводные'!$B$65)^MAX(0,(12*(YEAR(FU$3)-YEAR($B$31))+MONTH(FU$3)-MONTH($B$31))))</x:f>
      </x:c>
      <x:c r="FV44" s="107" t="n">
        <x:f>IF(FV43=0,0,'Вводные'!$B$61*'Вводные'!$S$89*'Вводные'!$H$5*'Вводные'!$AG$89*(1+'Вводные'!$B$64)^MAX(0,MIN((12*(YEAR(FV$3)-YEAR($B$30))+MONTH(FV$3)-MONTH($B$30)),(12*(YEAR($B$31)-YEAR($B$30))+MONTH($B$31)-MONTH($B$30))))*(1+'Вводные'!$B$65)^MAX(0,(12*(YEAR(FV$3)-YEAR($B$31))+MONTH(FV$3)-MONTH($B$31))))</x:f>
      </x:c>
      <x:c r="FW44" s="107" t="n">
        <x:f>IF(FW43=0,0,'Вводные'!$B$61*'Вводные'!$S$89*'Вводные'!$H$5*'Вводные'!$AG$89*(1+'Вводные'!$B$64)^MAX(0,MIN((12*(YEAR(FW$3)-YEAR($B$30))+MONTH(FW$3)-MONTH($B$30)),(12*(YEAR($B$31)-YEAR($B$30))+MONTH($B$31)-MONTH($B$30))))*(1+'Вводные'!$B$65)^MAX(0,(12*(YEAR(FW$3)-YEAR($B$31))+MONTH(FW$3)-MONTH($B$31))))</x:f>
      </x:c>
      <x:c r="FX44" s="107" t="n">
        <x:f>IF(FX43=0,0,'Вводные'!$B$61*'Вводные'!$S$89*'Вводные'!$H$5*'Вводные'!$AG$89*(1+'Вводные'!$B$64)^MAX(0,MIN((12*(YEAR(FX$3)-YEAR($B$30))+MONTH(FX$3)-MONTH($B$30)),(12*(YEAR($B$31)-YEAR($B$30))+MONTH($B$31)-MONTH($B$30))))*(1+'Вводные'!$B$65)^MAX(0,(12*(YEAR(FX$3)-YEAR($B$31))+MONTH(FX$3)-MONTH($B$31))))</x:f>
      </x:c>
      <x:c r="FY44" s="107" t="n">
        <x:f>IF(FY43=0,0,'Вводные'!$B$61*'Вводные'!$S$89*'Вводные'!$H$5*'Вводные'!$AG$89*(1+'Вводные'!$B$64)^MAX(0,MIN((12*(YEAR(FY$3)-YEAR($B$30))+MONTH(FY$3)-MONTH($B$30)),(12*(YEAR($B$31)-YEAR($B$30))+MONTH($B$31)-MONTH($B$30))))*(1+'Вводные'!$B$65)^MAX(0,(12*(YEAR(FY$3)-YEAR($B$31))+MONTH(FY$3)-MONTH($B$31))))</x:f>
      </x:c>
      <x:c r="FZ44" s="107" t="n">
        <x:f>IF(FZ43=0,0,'Вводные'!$B$61*'Вводные'!$S$89*'Вводные'!$H$5*'Вводные'!$AG$89*(1+'Вводные'!$B$64)^MAX(0,MIN((12*(YEAR(FZ$3)-YEAR($B$30))+MONTH(FZ$3)-MONTH($B$30)),(12*(YEAR($B$31)-YEAR($B$30))+MONTH($B$31)-MONTH($B$30))))*(1+'Вводные'!$B$65)^MAX(0,(12*(YEAR(FZ$3)-YEAR($B$31))+MONTH(FZ$3)-MONTH($B$31))))</x:f>
      </x:c>
      <x:c r="GA44" s="107" t="n">
        <x:f>IF(GA43=0,0,'Вводные'!$B$61*'Вводные'!$S$89*'Вводные'!$H$5*'Вводные'!$AG$89*(1+'Вводные'!$B$64)^MAX(0,MIN((12*(YEAR(GA$3)-YEAR($B$30))+MONTH(GA$3)-MONTH($B$30)),(12*(YEAR($B$31)-YEAR($B$30))+MONTH($B$31)-MONTH($B$30))))*(1+'Вводные'!$B$65)^MAX(0,(12*(YEAR(GA$3)-YEAR($B$31))+MONTH(GA$3)-MONTH($B$31))))</x:f>
      </x:c>
    </x:row>
    <x:row r="45">
      <x:c r="A45" t="str">
        <x:v>Паркинг — выручка</x:v>
      </x:c>
      <x:c r="B45" t="n">
        <x:f>SUM(D45:GA45)</x:f>
      </x:c>
      <x:c r="C45" t="str">
        <x:v>млн ₽</x:v>
      </x:c>
      <x:c r="D45" s="107" t="n">
        <x:f>D43*D44/1000</x:f>
      </x:c>
      <x:c r="E45" s="107" t="n">
        <x:f>E43*E44/1000</x:f>
      </x:c>
      <x:c r="F45" s="107" t="n">
        <x:f>F43*F44/1000</x:f>
      </x:c>
      <x:c r="G45" s="107" t="n">
        <x:f>G43*G44/1000</x:f>
      </x:c>
      <x:c r="H45" s="107" t="n">
        <x:f>H43*H44/1000</x:f>
      </x:c>
      <x:c r="I45" s="107" t="n">
        <x:f>I43*I44/1000</x:f>
      </x:c>
      <x:c r="J45" s="107" t="n">
        <x:f>J43*J44/1000</x:f>
      </x:c>
      <x:c r="K45" s="107" t="n">
        <x:f>K43*K44/1000</x:f>
      </x:c>
      <x:c r="L45" s="107" t="n">
        <x:f>L43*L44/1000</x:f>
      </x:c>
      <x:c r="M45" s="107" t="n">
        <x:f>M43*M44/1000</x:f>
      </x:c>
      <x:c r="N45" s="107" t="n">
        <x:f>N43*N44/1000</x:f>
      </x:c>
      <x:c r="O45" s="107" t="n">
        <x:f>O43*O44/1000</x:f>
      </x:c>
      <x:c r="P45" s="107" t="n">
        <x:f>P43*P44/1000</x:f>
      </x:c>
      <x:c r="Q45" s="107" t="n">
        <x:f>Q43*Q44/1000</x:f>
      </x:c>
      <x:c r="R45" s="107" t="n">
        <x:f>R43*R44/1000</x:f>
      </x:c>
      <x:c r="S45" s="107" t="n">
        <x:f>S43*S44/1000</x:f>
      </x:c>
      <x:c r="T45" s="107" t="n">
        <x:f>T43*T44/1000</x:f>
      </x:c>
      <x:c r="U45" s="107" t="n">
        <x:f>U43*U44/1000</x:f>
      </x:c>
      <x:c r="V45" s="107" t="n">
        <x:f>V43*V44/1000</x:f>
      </x:c>
      <x:c r="W45" s="107" t="n">
        <x:f>W43*W44/1000</x:f>
      </x:c>
      <x:c r="X45" s="107" t="n">
        <x:f>X43*X44/1000</x:f>
      </x:c>
      <x:c r="Y45" s="107" t="n">
        <x:f>Y43*Y44/1000</x:f>
      </x:c>
      <x:c r="Z45" s="107" t="n">
        <x:f>Z43*Z44/1000</x:f>
      </x:c>
      <x:c r="AA45" s="107" t="n">
        <x:f>AA43*AA44/1000</x:f>
      </x:c>
      <x:c r="AB45" s="107" t="n">
        <x:f>AB43*AB44/1000</x:f>
      </x:c>
      <x:c r="AC45" s="107" t="n">
        <x:f>AC43*AC44/1000</x:f>
      </x:c>
      <x:c r="AD45" s="107" t="n">
        <x:f>AD43*AD44/1000</x:f>
      </x:c>
      <x:c r="AE45" s="107" t="n">
        <x:f>AE43*AE44/1000</x:f>
      </x:c>
      <x:c r="AF45" s="107" t="n">
        <x:f>AF43*AF44/1000</x:f>
      </x:c>
      <x:c r="AG45" s="107" t="n">
        <x:f>AG43*AG44/1000</x:f>
      </x:c>
      <x:c r="AH45" s="107" t="n">
        <x:f>AH43*AH44/1000</x:f>
      </x:c>
      <x:c r="AI45" s="107" t="n">
        <x:f>AI43*AI44/1000</x:f>
      </x:c>
      <x:c r="AJ45" s="107" t="n">
        <x:f>AJ43*AJ44/1000</x:f>
      </x:c>
      <x:c r="AK45" s="107" t="n">
        <x:f>AK43*AK44/1000</x:f>
      </x:c>
      <x:c r="AL45" s="107" t="n">
        <x:f>AL43*AL44/1000</x:f>
      </x:c>
      <x:c r="AM45" s="107" t="n">
        <x:f>AM43*AM44/1000</x:f>
      </x:c>
      <x:c r="AN45" s="107" t="n">
        <x:f>AN43*AN44/1000</x:f>
      </x:c>
      <x:c r="AO45" s="107" t="n">
        <x:f>AO43*AO44/1000</x:f>
      </x:c>
      <x:c r="AP45" s="107" t="n">
        <x:f>AP43*AP44/1000</x:f>
      </x:c>
      <x:c r="AQ45" s="107" t="n">
        <x:f>AQ43*AQ44/1000</x:f>
      </x:c>
      <x:c r="AR45" s="107" t="n">
        <x:f>AR43*AR44/1000</x:f>
      </x:c>
      <x:c r="AS45" s="107" t="n">
        <x:f>AS43*AS44/1000</x:f>
      </x:c>
      <x:c r="AT45" s="107" t="n">
        <x:f>AT43*AT44/1000</x:f>
      </x:c>
      <x:c r="AU45" s="107" t="n">
        <x:f>AU43*AU44/1000</x:f>
      </x:c>
      <x:c r="AV45" s="107" t="n">
        <x:f>AV43*AV44/1000</x:f>
      </x:c>
      <x:c r="AW45" s="107" t="n">
        <x:f>AW43*AW44/1000</x:f>
      </x:c>
      <x:c r="AX45" s="107" t="n">
        <x:f>AX43*AX44/1000</x:f>
      </x:c>
      <x:c r="AY45" s="107" t="n">
        <x:f>AY43*AY44/1000</x:f>
      </x:c>
      <x:c r="AZ45" s="107" t="n">
        <x:f>AZ43*AZ44/1000</x:f>
      </x:c>
      <x:c r="BA45" s="107" t="n">
        <x:f>BA43*BA44/1000</x:f>
      </x:c>
      <x:c r="BB45" s="107" t="n">
        <x:f>BB43*BB44/1000</x:f>
      </x:c>
      <x:c r="BC45" s="107" t="n">
        <x:f>BC43*BC44/1000</x:f>
      </x:c>
      <x:c r="BD45" s="107" t="n">
        <x:f>BD43*BD44/1000</x:f>
      </x:c>
      <x:c r="BE45" s="107" t="n">
        <x:f>BE43*BE44/1000</x:f>
      </x:c>
      <x:c r="BF45" s="107" t="n">
        <x:f>BF43*BF44/1000</x:f>
      </x:c>
      <x:c r="BG45" s="107" t="n">
        <x:f>BG43*BG44/1000</x:f>
      </x:c>
      <x:c r="BH45" s="107" t="n">
        <x:f>BH43*BH44/1000</x:f>
      </x:c>
      <x:c r="BI45" s="107" t="n">
        <x:f>BI43*BI44/1000</x:f>
      </x:c>
      <x:c r="BJ45" s="107" t="n">
        <x:f>BJ43*BJ44/1000</x:f>
      </x:c>
      <x:c r="BK45" s="107" t="n">
        <x:f>BK43*BK44/1000</x:f>
      </x:c>
      <x:c r="BL45" s="107" t="n">
        <x:f>BL43*BL44/1000</x:f>
      </x:c>
      <x:c r="BM45" s="107" t="n">
        <x:f>BM43*BM44/1000</x:f>
      </x:c>
      <x:c r="BN45" s="107" t="n">
        <x:f>BN43*BN44/1000</x:f>
      </x:c>
      <x:c r="BO45" s="107" t="n">
        <x:f>BO43*BO44/1000</x:f>
      </x:c>
      <x:c r="BP45" s="107" t="n">
        <x:f>BP43*BP44/1000</x:f>
      </x:c>
      <x:c r="BQ45" s="107" t="n">
        <x:f>BQ43*BQ44/1000</x:f>
      </x:c>
      <x:c r="BR45" s="107" t="n">
        <x:f>BR43*BR44/1000</x:f>
      </x:c>
      <x:c r="BS45" s="107" t="n">
        <x:f>BS43*BS44/1000</x:f>
      </x:c>
      <x:c r="BT45" s="107" t="n">
        <x:f>BT43*BT44/1000</x:f>
      </x:c>
      <x:c r="BU45" s="107" t="n">
        <x:f>BU43*BU44/1000</x:f>
      </x:c>
      <x:c r="BV45" s="107" t="n">
        <x:f>BV43*BV44/1000</x:f>
      </x:c>
      <x:c r="BW45" s="107" t="n">
        <x:f>BW43*BW44/1000</x:f>
      </x:c>
      <x:c r="BX45" s="107" t="n">
        <x:f>BX43*BX44/1000</x:f>
      </x:c>
      <x:c r="BY45" s="107" t="n">
        <x:f>BY43*BY44/1000</x:f>
      </x:c>
      <x:c r="BZ45" s="107" t="n">
        <x:f>BZ43*BZ44/1000</x:f>
      </x:c>
      <x:c r="CA45" s="107" t="n">
        <x:f>CA43*CA44/1000</x:f>
      </x:c>
      <x:c r="CB45" s="107" t="n">
        <x:f>CB43*CB44/1000</x:f>
      </x:c>
      <x:c r="CC45" s="107" t="n">
        <x:f>CC43*CC44/1000</x:f>
      </x:c>
      <x:c r="CD45" s="107" t="n">
        <x:f>CD43*CD44/1000</x:f>
      </x:c>
      <x:c r="CE45" s="107" t="n">
        <x:f>CE43*CE44/1000</x:f>
      </x:c>
      <x:c r="CF45" s="107" t="n">
        <x:f>CF43*CF44/1000</x:f>
      </x:c>
      <x:c r="CG45" s="107" t="n">
        <x:f>CG43*CG44/1000</x:f>
      </x:c>
      <x:c r="CH45" s="107" t="n">
        <x:f>CH43*CH44/1000</x:f>
      </x:c>
      <x:c r="CI45" s="107" t="n">
        <x:f>CI43*CI44/1000</x:f>
      </x:c>
      <x:c r="CJ45" s="107" t="n">
        <x:f>CJ43*CJ44/1000</x:f>
      </x:c>
      <x:c r="CK45" s="107" t="n">
        <x:f>CK43*CK44/1000</x:f>
      </x:c>
      <x:c r="CL45" s="107" t="n">
        <x:f>CL43*CL44/1000</x:f>
      </x:c>
      <x:c r="CM45" s="107" t="n">
        <x:f>CM43*CM44/1000</x:f>
      </x:c>
      <x:c r="CN45" s="107" t="n">
        <x:f>CN43*CN44/1000</x:f>
      </x:c>
      <x:c r="CO45" s="107" t="n">
        <x:f>CO43*CO44/1000</x:f>
      </x:c>
      <x:c r="CP45" s="107" t="n">
        <x:f>CP43*CP44/1000</x:f>
      </x:c>
      <x:c r="CQ45" s="107" t="n">
        <x:f>CQ43*CQ44/1000</x:f>
      </x:c>
      <x:c r="CR45" s="107" t="n">
        <x:f>CR43*CR44/1000</x:f>
      </x:c>
      <x:c r="CS45" s="107" t="n">
        <x:f>CS43*CS44/1000</x:f>
      </x:c>
      <x:c r="CT45" s="107" t="n">
        <x:f>CT43*CT44/1000</x:f>
      </x:c>
      <x:c r="CU45" s="107" t="n">
        <x:f>CU43*CU44/1000</x:f>
      </x:c>
      <x:c r="CV45" s="107" t="n">
        <x:f>CV43*CV44/1000</x:f>
      </x:c>
      <x:c r="CW45" s="107" t="n">
        <x:f>CW43*CW44/1000</x:f>
      </x:c>
      <x:c r="CX45" s="107" t="n">
        <x:f>CX43*CX44/1000</x:f>
      </x:c>
      <x:c r="CY45" s="107" t="n">
        <x:f>CY43*CY44/1000</x:f>
      </x:c>
      <x:c r="CZ45" s="107" t="n">
        <x:f>CZ43*CZ44/1000</x:f>
      </x:c>
      <x:c r="DA45" s="107" t="n">
        <x:f>DA43*DA44/1000</x:f>
      </x:c>
      <x:c r="DB45" s="107" t="n">
        <x:f>DB43*DB44/1000</x:f>
      </x:c>
      <x:c r="DC45" s="107" t="n">
        <x:f>DC43*DC44/1000</x:f>
      </x:c>
      <x:c r="DD45" s="107" t="n">
        <x:f>DD43*DD44/1000</x:f>
      </x:c>
      <x:c r="DE45" s="107" t="n">
        <x:f>DE43*DE44/1000</x:f>
      </x:c>
      <x:c r="DF45" s="107" t="n">
        <x:f>DF43*DF44/1000</x:f>
      </x:c>
      <x:c r="DG45" s="107" t="n">
        <x:f>DG43*DG44/1000</x:f>
      </x:c>
      <x:c r="DH45" s="107" t="n">
        <x:f>DH43*DH44/1000</x:f>
      </x:c>
      <x:c r="DI45" s="107" t="n">
        <x:f>DI43*DI44/1000</x:f>
      </x:c>
      <x:c r="DJ45" s="107" t="n">
        <x:f>DJ43*DJ44/1000</x:f>
      </x:c>
      <x:c r="DK45" s="107" t="n">
        <x:f>DK43*DK44/1000</x:f>
      </x:c>
      <x:c r="DL45" s="107" t="n">
        <x:f>DL43*DL44/1000</x:f>
      </x:c>
      <x:c r="DM45" s="107" t="n">
        <x:f>DM43*DM44/1000</x:f>
      </x:c>
      <x:c r="DN45" s="107" t="n">
        <x:f>DN43*DN44/1000</x:f>
      </x:c>
      <x:c r="DO45" s="107" t="n">
        <x:f>DO43*DO44/1000</x:f>
      </x:c>
      <x:c r="DP45" s="107" t="n">
        <x:f>DP43*DP44/1000</x:f>
      </x:c>
      <x:c r="DQ45" s="107" t="n">
        <x:f>DQ43*DQ44/1000</x:f>
      </x:c>
      <x:c r="DR45" s="107" t="n">
        <x:f>DR43*DR44/1000</x:f>
      </x:c>
      <x:c r="DS45" s="107" t="n">
        <x:f>DS43*DS44/1000</x:f>
      </x:c>
      <x:c r="DT45" s="107" t="n">
        <x:f>DT43*DT44/1000</x:f>
      </x:c>
      <x:c r="DU45" s="107" t="n">
        <x:f>DU43*DU44/1000</x:f>
      </x:c>
      <x:c r="DV45" s="107" t="n">
        <x:f>DV43*DV44/1000</x:f>
      </x:c>
      <x:c r="DW45" s="107" t="n">
        <x:f>DW43*DW44/1000</x:f>
      </x:c>
      <x:c r="DX45" s="107" t="n">
        <x:f>DX43*DX44/1000</x:f>
      </x:c>
      <x:c r="DY45" s="107" t="n">
        <x:f>DY43*DY44/1000</x:f>
      </x:c>
      <x:c r="DZ45" s="107" t="n">
        <x:f>DZ43*DZ44/1000</x:f>
      </x:c>
      <x:c r="EA45" s="107" t="n">
        <x:f>EA43*EA44/1000</x:f>
      </x:c>
      <x:c r="EB45" s="107" t="n">
        <x:f>EB43*EB44/1000</x:f>
      </x:c>
      <x:c r="EC45" s="107" t="n">
        <x:f>EC43*EC44/1000</x:f>
      </x:c>
      <x:c r="ED45" s="107" t="n">
        <x:f>ED43*ED44/1000</x:f>
      </x:c>
      <x:c r="EE45" s="107" t="n">
        <x:f>EE43*EE44/1000</x:f>
      </x:c>
      <x:c r="EF45" s="107" t="n">
        <x:f>EF43*EF44/1000</x:f>
      </x:c>
      <x:c r="EG45" s="107" t="n">
        <x:f>EG43*EG44/1000</x:f>
      </x:c>
      <x:c r="EH45" s="107" t="n">
        <x:f>EH43*EH44/1000</x:f>
      </x:c>
      <x:c r="EI45" s="107" t="n">
        <x:f>EI43*EI44/1000</x:f>
      </x:c>
      <x:c r="EJ45" s="107" t="n">
        <x:f>EJ43*EJ44/1000</x:f>
      </x:c>
      <x:c r="EK45" s="107" t="n">
        <x:f>EK43*EK44/1000</x:f>
      </x:c>
      <x:c r="EL45" s="107" t="n">
        <x:f>EL43*EL44/1000</x:f>
      </x:c>
      <x:c r="EM45" s="107" t="n">
        <x:f>EM43*EM44/1000</x:f>
      </x:c>
      <x:c r="EN45" s="107" t="n">
        <x:f>EN43*EN44/1000</x:f>
      </x:c>
      <x:c r="EO45" s="107" t="n">
        <x:f>EO43*EO44/1000</x:f>
      </x:c>
      <x:c r="EP45" s="107" t="n">
        <x:f>EP43*EP44/1000</x:f>
      </x:c>
      <x:c r="EQ45" s="107" t="n">
        <x:f>EQ43*EQ44/1000</x:f>
      </x:c>
      <x:c r="ER45" s="107" t="n">
        <x:f>ER43*ER44/1000</x:f>
      </x:c>
      <x:c r="ES45" s="107" t="n">
        <x:f>ES43*ES44/1000</x:f>
      </x:c>
      <x:c r="ET45" s="107" t="n">
        <x:f>ET43*ET44/1000</x:f>
      </x:c>
      <x:c r="EU45" s="107" t="n">
        <x:f>EU43*EU44/1000</x:f>
      </x:c>
      <x:c r="EV45" s="107" t="n">
        <x:f>EV43*EV44/1000</x:f>
      </x:c>
      <x:c r="EW45" s="107" t="n">
        <x:f>EW43*EW44/1000</x:f>
      </x:c>
      <x:c r="EX45" s="107" t="n">
        <x:f>EX43*EX44/1000</x:f>
      </x:c>
      <x:c r="EY45" s="107" t="n">
        <x:f>EY43*EY44/1000</x:f>
      </x:c>
      <x:c r="EZ45" s="107" t="n">
        <x:f>EZ43*EZ44/1000</x:f>
      </x:c>
      <x:c r="FA45" s="107" t="n">
        <x:f>FA43*FA44/1000</x:f>
      </x:c>
      <x:c r="FB45" s="107" t="n">
        <x:f>FB43*FB44/1000</x:f>
      </x:c>
      <x:c r="FC45" s="107" t="n">
        <x:f>FC43*FC44/1000</x:f>
      </x:c>
      <x:c r="FD45" s="107" t="n">
        <x:f>FD43*FD44/1000</x:f>
      </x:c>
      <x:c r="FE45" s="107" t="n">
        <x:f>FE43*FE44/1000</x:f>
      </x:c>
      <x:c r="FF45" s="107" t="n">
        <x:f>FF43*FF44/1000</x:f>
      </x:c>
      <x:c r="FG45" s="107" t="n">
        <x:f>FG43*FG44/1000</x:f>
      </x:c>
      <x:c r="FH45" s="107" t="n">
        <x:f>FH43*FH44/1000</x:f>
      </x:c>
      <x:c r="FI45" s="107" t="n">
        <x:f>FI43*FI44/1000</x:f>
      </x:c>
      <x:c r="FJ45" s="107" t="n">
        <x:f>FJ43*FJ44/1000</x:f>
      </x:c>
      <x:c r="FK45" s="107" t="n">
        <x:f>FK43*FK44/1000</x:f>
      </x:c>
      <x:c r="FL45" s="107" t="n">
        <x:f>FL43*FL44/1000</x:f>
      </x:c>
      <x:c r="FM45" s="107" t="n">
        <x:f>FM43*FM44/1000</x:f>
      </x:c>
      <x:c r="FN45" s="107" t="n">
        <x:f>FN43*FN44/1000</x:f>
      </x:c>
      <x:c r="FO45" s="107" t="n">
        <x:f>FO43*FO44/1000</x:f>
      </x:c>
      <x:c r="FP45" s="107" t="n">
        <x:f>FP43*FP44/1000</x:f>
      </x:c>
      <x:c r="FQ45" s="107" t="n">
        <x:f>FQ43*FQ44/1000</x:f>
      </x:c>
      <x:c r="FR45" s="107" t="n">
        <x:f>FR43*FR44/1000</x:f>
      </x:c>
      <x:c r="FS45" s="107" t="n">
        <x:f>FS43*FS44/1000</x:f>
      </x:c>
      <x:c r="FT45" s="107" t="n">
        <x:f>FT43*FT44/1000</x:f>
      </x:c>
      <x:c r="FU45" s="107" t="n">
        <x:f>FU43*FU44/1000</x:f>
      </x:c>
      <x:c r="FV45" s="107" t="n">
        <x:f>FV43*FV44/1000</x:f>
      </x:c>
      <x:c r="FW45" s="107" t="n">
        <x:f>FW43*FW44/1000</x:f>
      </x:c>
      <x:c r="FX45" s="107" t="n">
        <x:f>FX43*FX44/1000</x:f>
      </x:c>
      <x:c r="FY45" s="107" t="n">
        <x:f>FY43*FY44/1000</x:f>
      </x:c>
      <x:c r="FZ45" s="107" t="n">
        <x:f>FZ43*FZ44/1000</x:f>
      </x:c>
      <x:c r="GA45" s="107" t="n">
        <x:f>GA43*GA44/1000</x:f>
      </x:c>
    </x:row>
    <x:row r="46">
      <x:c r="A46" t="str">
        <x:v>Кладовые — объём</x:v>
      </x:c>
      <x:c r="B46" t="n">
        <x:f>SUM(D46:GA46)</x:f>
      </x:c>
      <x:c r="C46" t="str">
        <x:v>шт.</x:v>
      </x:c>
      <x:c r="D46" s="107" t="n">
        <x:f>'Вводные'!$O$89*((IF(SUM($D32:$GA32)=0,0,IF(SUM($D35:$GA35)=0,1,'Вводные'!$B$63)))*D34+(1-(IF(SUM($D32:$GA32)=0,0,IF(SUM($D35:$GA35)=0,1,'Вводные'!$B$63))))*D36)</x:f>
      </x:c>
      <x:c r="E46" s="107" t="n">
        <x:f>'Вводные'!$O$89*((IF(SUM($D32:$GA32)=0,0,IF(SUM($D35:$GA35)=0,1,'Вводные'!$B$63)))*E34+(1-(IF(SUM($D32:$GA32)=0,0,IF(SUM($D35:$GA35)=0,1,'Вводные'!$B$63))))*E36)</x:f>
      </x:c>
      <x:c r="F46" s="107" t="n">
        <x:f>'Вводные'!$O$89*((IF(SUM($D32:$GA32)=0,0,IF(SUM($D35:$GA35)=0,1,'Вводные'!$B$63)))*F34+(1-(IF(SUM($D32:$GA32)=0,0,IF(SUM($D35:$GA35)=0,1,'Вводные'!$B$63))))*F36)</x:f>
      </x:c>
      <x:c r="G46" s="107" t="n">
        <x:f>'Вводные'!$O$89*((IF(SUM($D32:$GA32)=0,0,IF(SUM($D35:$GA35)=0,1,'Вводные'!$B$63)))*G34+(1-(IF(SUM($D32:$GA32)=0,0,IF(SUM($D35:$GA35)=0,1,'Вводные'!$B$63))))*G36)</x:f>
      </x:c>
      <x:c r="H46" s="107" t="n">
        <x:f>'Вводные'!$O$89*((IF(SUM($D32:$GA32)=0,0,IF(SUM($D35:$GA35)=0,1,'Вводные'!$B$63)))*H34+(1-(IF(SUM($D32:$GA32)=0,0,IF(SUM($D35:$GA35)=0,1,'Вводные'!$B$63))))*H36)</x:f>
      </x:c>
      <x:c r="I46" s="107" t="n">
        <x:f>'Вводные'!$O$89*((IF(SUM($D32:$GA32)=0,0,IF(SUM($D35:$GA35)=0,1,'Вводные'!$B$63)))*I34+(1-(IF(SUM($D32:$GA32)=0,0,IF(SUM($D35:$GA35)=0,1,'Вводные'!$B$63))))*I36)</x:f>
      </x:c>
      <x:c r="J46" s="107" t="n">
        <x:f>'Вводные'!$O$89*((IF(SUM($D32:$GA32)=0,0,IF(SUM($D35:$GA35)=0,1,'Вводные'!$B$63)))*J34+(1-(IF(SUM($D32:$GA32)=0,0,IF(SUM($D35:$GA35)=0,1,'Вводные'!$B$63))))*J36)</x:f>
      </x:c>
      <x:c r="K46" s="107" t="n">
        <x:f>'Вводные'!$O$89*((IF(SUM($D32:$GA32)=0,0,IF(SUM($D35:$GA35)=0,1,'Вводные'!$B$63)))*K34+(1-(IF(SUM($D32:$GA32)=0,0,IF(SUM($D35:$GA35)=0,1,'Вводные'!$B$63))))*K36)</x:f>
      </x:c>
      <x:c r="L46" s="107" t="n">
        <x:f>'Вводные'!$O$89*((IF(SUM($D32:$GA32)=0,0,IF(SUM($D35:$GA35)=0,1,'Вводные'!$B$63)))*L34+(1-(IF(SUM($D32:$GA32)=0,0,IF(SUM($D35:$GA35)=0,1,'Вводные'!$B$63))))*L36)</x:f>
      </x:c>
      <x:c r="M46" s="107" t="n">
        <x:f>'Вводные'!$O$89*((IF(SUM($D32:$GA32)=0,0,IF(SUM($D35:$GA35)=0,1,'Вводные'!$B$63)))*M34+(1-(IF(SUM($D32:$GA32)=0,0,IF(SUM($D35:$GA35)=0,1,'Вводные'!$B$63))))*M36)</x:f>
      </x:c>
      <x:c r="N46" s="107" t="n">
        <x:f>'Вводные'!$O$89*((IF(SUM($D32:$GA32)=0,0,IF(SUM($D35:$GA35)=0,1,'Вводные'!$B$63)))*N34+(1-(IF(SUM($D32:$GA32)=0,0,IF(SUM($D35:$GA35)=0,1,'Вводные'!$B$63))))*N36)</x:f>
      </x:c>
      <x:c r="O46" s="107" t="n">
        <x:f>'Вводные'!$O$89*((IF(SUM($D32:$GA32)=0,0,IF(SUM($D35:$GA35)=0,1,'Вводные'!$B$63)))*O34+(1-(IF(SUM($D32:$GA32)=0,0,IF(SUM($D35:$GA35)=0,1,'Вводные'!$B$63))))*O36)</x:f>
      </x:c>
      <x:c r="P46" s="107" t="n">
        <x:f>'Вводные'!$O$89*((IF(SUM($D32:$GA32)=0,0,IF(SUM($D35:$GA35)=0,1,'Вводные'!$B$63)))*P34+(1-(IF(SUM($D32:$GA32)=0,0,IF(SUM($D35:$GA35)=0,1,'Вводные'!$B$63))))*P36)</x:f>
      </x:c>
      <x:c r="Q46" s="107" t="n">
        <x:f>'Вводные'!$O$89*((IF(SUM($D32:$GA32)=0,0,IF(SUM($D35:$GA35)=0,1,'Вводные'!$B$63)))*Q34+(1-(IF(SUM($D32:$GA32)=0,0,IF(SUM($D35:$GA35)=0,1,'Вводные'!$B$63))))*Q36)</x:f>
      </x:c>
      <x:c r="R46" s="107" t="n">
        <x:f>'Вводные'!$O$89*((IF(SUM($D32:$GA32)=0,0,IF(SUM($D35:$GA35)=0,1,'Вводные'!$B$63)))*R34+(1-(IF(SUM($D32:$GA32)=0,0,IF(SUM($D35:$GA35)=0,1,'Вводные'!$B$63))))*R36)</x:f>
      </x:c>
      <x:c r="S46" s="107" t="n">
        <x:f>'Вводные'!$O$89*((IF(SUM($D32:$GA32)=0,0,IF(SUM($D35:$GA35)=0,1,'Вводные'!$B$63)))*S34+(1-(IF(SUM($D32:$GA32)=0,0,IF(SUM($D35:$GA35)=0,1,'Вводные'!$B$63))))*S36)</x:f>
      </x:c>
      <x:c r="T46" s="107" t="n">
        <x:f>'Вводные'!$O$89*((IF(SUM($D32:$GA32)=0,0,IF(SUM($D35:$GA35)=0,1,'Вводные'!$B$63)))*T34+(1-(IF(SUM($D32:$GA32)=0,0,IF(SUM($D35:$GA35)=0,1,'Вводные'!$B$63))))*T36)</x:f>
      </x:c>
      <x:c r="U46" s="107" t="n">
        <x:f>'Вводные'!$O$89*((IF(SUM($D32:$GA32)=0,0,IF(SUM($D35:$GA35)=0,1,'Вводные'!$B$63)))*U34+(1-(IF(SUM($D32:$GA32)=0,0,IF(SUM($D35:$GA35)=0,1,'Вводные'!$B$63))))*U36)</x:f>
      </x:c>
      <x:c r="V46" s="107" t="n">
        <x:f>'Вводные'!$O$89*((IF(SUM($D32:$GA32)=0,0,IF(SUM($D35:$GA35)=0,1,'Вводные'!$B$63)))*V34+(1-(IF(SUM($D32:$GA32)=0,0,IF(SUM($D35:$GA35)=0,1,'Вводные'!$B$63))))*V36)</x:f>
      </x:c>
      <x:c r="W46" s="107" t="n">
        <x:f>'Вводные'!$O$89*((IF(SUM($D32:$GA32)=0,0,IF(SUM($D35:$GA35)=0,1,'Вводные'!$B$63)))*W34+(1-(IF(SUM($D32:$GA32)=0,0,IF(SUM($D35:$GA35)=0,1,'Вводные'!$B$63))))*W36)</x:f>
      </x:c>
      <x:c r="X46" s="107" t="n">
        <x:f>'Вводные'!$O$89*((IF(SUM($D32:$GA32)=0,0,IF(SUM($D35:$GA35)=0,1,'Вводные'!$B$63)))*X34+(1-(IF(SUM($D32:$GA32)=0,0,IF(SUM($D35:$GA35)=0,1,'Вводные'!$B$63))))*X36)</x:f>
      </x:c>
      <x:c r="Y46" s="107" t="n">
        <x:f>'Вводные'!$O$89*((IF(SUM($D32:$GA32)=0,0,IF(SUM($D35:$GA35)=0,1,'Вводные'!$B$63)))*Y34+(1-(IF(SUM($D32:$GA32)=0,0,IF(SUM($D35:$GA35)=0,1,'Вводные'!$B$63))))*Y36)</x:f>
      </x:c>
      <x:c r="Z46" s="107" t="n">
        <x:f>'Вводные'!$O$89*((IF(SUM($D32:$GA32)=0,0,IF(SUM($D35:$GA35)=0,1,'Вводные'!$B$63)))*Z34+(1-(IF(SUM($D32:$GA32)=0,0,IF(SUM($D35:$GA35)=0,1,'Вводные'!$B$63))))*Z36)</x:f>
      </x:c>
      <x:c r="AA46" s="107" t="n">
        <x:f>'Вводные'!$O$89*((IF(SUM($D32:$GA32)=0,0,IF(SUM($D35:$GA35)=0,1,'Вводные'!$B$63)))*AA34+(1-(IF(SUM($D32:$GA32)=0,0,IF(SUM($D35:$GA35)=0,1,'Вводные'!$B$63))))*AA36)</x:f>
      </x:c>
      <x:c r="AB46" s="107" t="n">
        <x:f>'Вводные'!$O$89*((IF(SUM($D32:$GA32)=0,0,IF(SUM($D35:$GA35)=0,1,'Вводные'!$B$63)))*AB34+(1-(IF(SUM($D32:$GA32)=0,0,IF(SUM($D35:$GA35)=0,1,'Вводные'!$B$63))))*AB36)</x:f>
      </x:c>
      <x:c r="AC46" s="107" t="n">
        <x:f>'Вводные'!$O$89*((IF(SUM($D32:$GA32)=0,0,IF(SUM($D35:$GA35)=0,1,'Вводные'!$B$63)))*AC34+(1-(IF(SUM($D32:$GA32)=0,0,IF(SUM($D35:$GA35)=0,1,'Вводные'!$B$63))))*AC36)</x:f>
      </x:c>
      <x:c r="AD46" s="107" t="n">
        <x:f>'Вводные'!$O$89*((IF(SUM($D32:$GA32)=0,0,IF(SUM($D35:$GA35)=0,1,'Вводные'!$B$63)))*AD34+(1-(IF(SUM($D32:$GA32)=0,0,IF(SUM($D35:$GA35)=0,1,'Вводные'!$B$63))))*AD36)</x:f>
      </x:c>
      <x:c r="AE46" s="107" t="n">
        <x:f>'Вводные'!$O$89*((IF(SUM($D32:$GA32)=0,0,IF(SUM($D35:$GA35)=0,1,'Вводные'!$B$63)))*AE34+(1-(IF(SUM($D32:$GA32)=0,0,IF(SUM($D35:$GA35)=0,1,'Вводные'!$B$63))))*AE36)</x:f>
      </x:c>
      <x:c r="AF46" s="107" t="n">
        <x:f>'Вводные'!$O$89*((IF(SUM($D32:$GA32)=0,0,IF(SUM($D35:$GA35)=0,1,'Вводные'!$B$63)))*AF34+(1-(IF(SUM($D32:$GA32)=0,0,IF(SUM($D35:$GA35)=0,1,'Вводные'!$B$63))))*AF36)</x:f>
      </x:c>
      <x:c r="AG46" s="107" t="n">
        <x:f>'Вводные'!$O$89*((IF(SUM($D32:$GA32)=0,0,IF(SUM($D35:$GA35)=0,1,'Вводные'!$B$63)))*AG34+(1-(IF(SUM($D32:$GA32)=0,0,IF(SUM($D35:$GA35)=0,1,'Вводные'!$B$63))))*AG36)</x:f>
      </x:c>
      <x:c r="AH46" s="107" t="n">
        <x:f>'Вводные'!$O$89*((IF(SUM($D32:$GA32)=0,0,IF(SUM($D35:$GA35)=0,1,'Вводные'!$B$63)))*AH34+(1-(IF(SUM($D32:$GA32)=0,0,IF(SUM($D35:$GA35)=0,1,'Вводные'!$B$63))))*AH36)</x:f>
      </x:c>
      <x:c r="AI46" s="107" t="n">
        <x:f>'Вводные'!$O$89*((IF(SUM($D32:$GA32)=0,0,IF(SUM($D35:$GA35)=0,1,'Вводные'!$B$63)))*AI34+(1-(IF(SUM($D32:$GA32)=0,0,IF(SUM($D35:$GA35)=0,1,'Вводные'!$B$63))))*AI36)</x:f>
      </x:c>
      <x:c r="AJ46" s="107" t="n">
        <x:f>'Вводные'!$O$89*((IF(SUM($D32:$GA32)=0,0,IF(SUM($D35:$GA35)=0,1,'Вводные'!$B$63)))*AJ34+(1-(IF(SUM($D32:$GA32)=0,0,IF(SUM($D35:$GA35)=0,1,'Вводные'!$B$63))))*AJ36)</x:f>
      </x:c>
      <x:c r="AK46" s="107" t="n">
        <x:f>'Вводные'!$O$89*((IF(SUM($D32:$GA32)=0,0,IF(SUM($D35:$GA35)=0,1,'Вводные'!$B$63)))*AK34+(1-(IF(SUM($D32:$GA32)=0,0,IF(SUM($D35:$GA35)=0,1,'Вводные'!$B$63))))*AK36)</x:f>
      </x:c>
      <x:c r="AL46" s="107" t="n">
        <x:f>'Вводные'!$O$89*((IF(SUM($D32:$GA32)=0,0,IF(SUM($D35:$GA35)=0,1,'Вводные'!$B$63)))*AL34+(1-(IF(SUM($D32:$GA32)=0,0,IF(SUM($D35:$GA35)=0,1,'Вводные'!$B$63))))*AL36)</x:f>
      </x:c>
      <x:c r="AM46" s="107" t="n">
        <x:f>'Вводные'!$O$89*((IF(SUM($D32:$GA32)=0,0,IF(SUM($D35:$GA35)=0,1,'Вводные'!$B$63)))*AM34+(1-(IF(SUM($D32:$GA32)=0,0,IF(SUM($D35:$GA35)=0,1,'Вводные'!$B$63))))*AM36)</x:f>
      </x:c>
      <x:c r="AN46" s="107" t="n">
        <x:f>'Вводные'!$O$89*((IF(SUM($D32:$GA32)=0,0,IF(SUM($D35:$GA35)=0,1,'Вводные'!$B$63)))*AN34+(1-(IF(SUM($D32:$GA32)=0,0,IF(SUM($D35:$GA35)=0,1,'Вводные'!$B$63))))*AN36)</x:f>
      </x:c>
      <x:c r="AO46" s="107" t="n">
        <x:f>'Вводные'!$O$89*((IF(SUM($D32:$GA32)=0,0,IF(SUM($D35:$GA35)=0,1,'Вводные'!$B$63)))*AO34+(1-(IF(SUM($D32:$GA32)=0,0,IF(SUM($D35:$GA35)=0,1,'Вводные'!$B$63))))*AO36)</x:f>
      </x:c>
      <x:c r="AP46" s="107" t="n">
        <x:f>'Вводные'!$O$89*((IF(SUM($D32:$GA32)=0,0,IF(SUM($D35:$GA35)=0,1,'Вводные'!$B$63)))*AP34+(1-(IF(SUM($D32:$GA32)=0,0,IF(SUM($D35:$GA35)=0,1,'Вводные'!$B$63))))*AP36)</x:f>
      </x:c>
      <x:c r="AQ46" s="107" t="n">
        <x:f>'Вводные'!$O$89*((IF(SUM($D32:$GA32)=0,0,IF(SUM($D35:$GA35)=0,1,'Вводные'!$B$63)))*AQ34+(1-(IF(SUM($D32:$GA32)=0,0,IF(SUM($D35:$GA35)=0,1,'Вводные'!$B$63))))*AQ36)</x:f>
      </x:c>
      <x:c r="AR46" s="107" t="n">
        <x:f>'Вводные'!$O$89*((IF(SUM($D32:$GA32)=0,0,IF(SUM($D35:$GA35)=0,1,'Вводные'!$B$63)))*AR34+(1-(IF(SUM($D32:$GA32)=0,0,IF(SUM($D35:$GA35)=0,1,'Вводные'!$B$63))))*AR36)</x:f>
      </x:c>
      <x:c r="AS46" s="107" t="n">
        <x:f>'Вводные'!$O$89*((IF(SUM($D32:$GA32)=0,0,IF(SUM($D35:$GA35)=0,1,'Вводные'!$B$63)))*AS34+(1-(IF(SUM($D32:$GA32)=0,0,IF(SUM($D35:$GA35)=0,1,'Вводные'!$B$63))))*AS36)</x:f>
      </x:c>
      <x:c r="AT46" s="107" t="n">
        <x:f>'Вводные'!$O$89*((IF(SUM($D32:$GA32)=0,0,IF(SUM($D35:$GA35)=0,1,'Вводные'!$B$63)))*AT34+(1-(IF(SUM($D32:$GA32)=0,0,IF(SUM($D35:$GA35)=0,1,'Вводные'!$B$63))))*AT36)</x:f>
      </x:c>
      <x:c r="AU46" s="107" t="n">
        <x:f>'Вводные'!$O$89*((IF(SUM($D32:$GA32)=0,0,IF(SUM($D35:$GA35)=0,1,'Вводные'!$B$63)))*AU34+(1-(IF(SUM($D32:$GA32)=0,0,IF(SUM($D35:$GA35)=0,1,'Вводные'!$B$63))))*AU36)</x:f>
      </x:c>
      <x:c r="AV46" s="107" t="n">
        <x:f>'Вводные'!$O$89*((IF(SUM($D32:$GA32)=0,0,IF(SUM($D35:$GA35)=0,1,'Вводные'!$B$63)))*AV34+(1-(IF(SUM($D32:$GA32)=0,0,IF(SUM($D35:$GA35)=0,1,'Вводные'!$B$63))))*AV36)</x:f>
      </x:c>
      <x:c r="AW46" s="107" t="n">
        <x:f>'Вводные'!$O$89*((IF(SUM($D32:$GA32)=0,0,IF(SUM($D35:$GA35)=0,1,'Вводные'!$B$63)))*AW34+(1-(IF(SUM($D32:$GA32)=0,0,IF(SUM($D35:$GA35)=0,1,'Вводные'!$B$63))))*AW36)</x:f>
      </x:c>
      <x:c r="AX46" s="107" t="n">
        <x:f>'Вводные'!$O$89*((IF(SUM($D32:$GA32)=0,0,IF(SUM($D35:$GA35)=0,1,'Вводные'!$B$63)))*AX34+(1-(IF(SUM($D32:$GA32)=0,0,IF(SUM($D35:$GA35)=0,1,'Вводные'!$B$63))))*AX36)</x:f>
      </x:c>
      <x:c r="AY46" s="107" t="n">
        <x:f>'Вводные'!$O$89*((IF(SUM($D32:$GA32)=0,0,IF(SUM($D35:$GA35)=0,1,'Вводные'!$B$63)))*AY34+(1-(IF(SUM($D32:$GA32)=0,0,IF(SUM($D35:$GA35)=0,1,'Вводные'!$B$63))))*AY36)</x:f>
      </x:c>
      <x:c r="AZ46" s="107" t="n">
        <x:f>'Вводные'!$O$89*((IF(SUM($D32:$GA32)=0,0,IF(SUM($D35:$GA35)=0,1,'Вводные'!$B$63)))*AZ34+(1-(IF(SUM($D32:$GA32)=0,0,IF(SUM($D35:$GA35)=0,1,'Вводные'!$B$63))))*AZ36)</x:f>
      </x:c>
      <x:c r="BA46" s="107" t="n">
        <x:f>'Вводные'!$O$89*((IF(SUM($D32:$GA32)=0,0,IF(SUM($D35:$GA35)=0,1,'Вводные'!$B$63)))*BA34+(1-(IF(SUM($D32:$GA32)=0,0,IF(SUM($D35:$GA35)=0,1,'Вводные'!$B$63))))*BA36)</x:f>
      </x:c>
      <x:c r="BB46" s="107" t="n">
        <x:f>'Вводные'!$O$89*((IF(SUM($D32:$GA32)=0,0,IF(SUM($D35:$GA35)=0,1,'Вводные'!$B$63)))*BB34+(1-(IF(SUM($D32:$GA32)=0,0,IF(SUM($D35:$GA35)=0,1,'Вводные'!$B$63))))*BB36)</x:f>
      </x:c>
      <x:c r="BC46" s="107" t="n">
        <x:f>'Вводные'!$O$89*((IF(SUM($D32:$GA32)=0,0,IF(SUM($D35:$GA35)=0,1,'Вводные'!$B$63)))*BC34+(1-(IF(SUM($D32:$GA32)=0,0,IF(SUM($D35:$GA35)=0,1,'Вводные'!$B$63))))*BC36)</x:f>
      </x:c>
      <x:c r="BD46" s="107" t="n">
        <x:f>'Вводные'!$O$89*((IF(SUM($D32:$GA32)=0,0,IF(SUM($D35:$GA35)=0,1,'Вводные'!$B$63)))*BD34+(1-(IF(SUM($D32:$GA32)=0,0,IF(SUM($D35:$GA35)=0,1,'Вводные'!$B$63))))*BD36)</x:f>
      </x:c>
      <x:c r="BE46" s="107" t="n">
        <x:f>'Вводные'!$O$89*((IF(SUM($D32:$GA32)=0,0,IF(SUM($D35:$GA35)=0,1,'Вводные'!$B$63)))*BE34+(1-(IF(SUM($D32:$GA32)=0,0,IF(SUM($D35:$GA35)=0,1,'Вводные'!$B$63))))*BE36)</x:f>
      </x:c>
      <x:c r="BF46" s="107" t="n">
        <x:f>'Вводные'!$O$89*((IF(SUM($D32:$GA32)=0,0,IF(SUM($D35:$GA35)=0,1,'Вводные'!$B$63)))*BF34+(1-(IF(SUM($D32:$GA32)=0,0,IF(SUM($D35:$GA35)=0,1,'Вводные'!$B$63))))*BF36)</x:f>
      </x:c>
      <x:c r="BG46" s="107" t="n">
        <x:f>'Вводные'!$O$89*((IF(SUM($D32:$GA32)=0,0,IF(SUM($D35:$GA35)=0,1,'Вводные'!$B$63)))*BG34+(1-(IF(SUM($D32:$GA32)=0,0,IF(SUM($D35:$GA35)=0,1,'Вводные'!$B$63))))*BG36)</x:f>
      </x:c>
      <x:c r="BH46" s="107" t="n">
        <x:f>'Вводные'!$O$89*((IF(SUM($D32:$GA32)=0,0,IF(SUM($D35:$GA35)=0,1,'Вводные'!$B$63)))*BH34+(1-(IF(SUM($D32:$GA32)=0,0,IF(SUM($D35:$GA35)=0,1,'Вводные'!$B$63))))*BH36)</x:f>
      </x:c>
      <x:c r="BI46" s="107" t="n">
        <x:f>'Вводные'!$O$89*((IF(SUM($D32:$GA32)=0,0,IF(SUM($D35:$GA35)=0,1,'Вводные'!$B$63)))*BI34+(1-(IF(SUM($D32:$GA32)=0,0,IF(SUM($D35:$GA35)=0,1,'Вводные'!$B$63))))*BI36)</x:f>
      </x:c>
      <x:c r="BJ46" s="107" t="n">
        <x:f>'Вводные'!$O$89*((IF(SUM($D32:$GA32)=0,0,IF(SUM($D35:$GA35)=0,1,'Вводные'!$B$63)))*BJ34+(1-(IF(SUM($D32:$GA32)=0,0,IF(SUM($D35:$GA35)=0,1,'Вводные'!$B$63))))*BJ36)</x:f>
      </x:c>
      <x:c r="BK46" s="107" t="n">
        <x:f>'Вводные'!$O$89*((IF(SUM($D32:$GA32)=0,0,IF(SUM($D35:$GA35)=0,1,'Вводные'!$B$63)))*BK34+(1-(IF(SUM($D32:$GA32)=0,0,IF(SUM($D35:$GA35)=0,1,'Вводные'!$B$63))))*BK36)</x:f>
      </x:c>
      <x:c r="BL46" s="107" t="n">
        <x:f>'Вводные'!$O$89*((IF(SUM($D32:$GA32)=0,0,IF(SUM($D35:$GA35)=0,1,'Вводные'!$B$63)))*BL34+(1-(IF(SUM($D32:$GA32)=0,0,IF(SUM($D35:$GA35)=0,1,'Вводные'!$B$63))))*BL36)</x:f>
      </x:c>
      <x:c r="BM46" s="107" t="n">
        <x:f>'Вводные'!$O$89*((IF(SUM($D32:$GA32)=0,0,IF(SUM($D35:$GA35)=0,1,'Вводные'!$B$63)))*BM34+(1-(IF(SUM($D32:$GA32)=0,0,IF(SUM($D35:$GA35)=0,1,'Вводные'!$B$63))))*BM36)</x:f>
      </x:c>
      <x:c r="BN46" s="107" t="n">
        <x:f>'Вводные'!$O$89*((IF(SUM($D32:$GA32)=0,0,IF(SUM($D35:$GA35)=0,1,'Вводные'!$B$63)))*BN34+(1-(IF(SUM($D32:$GA32)=0,0,IF(SUM($D35:$GA35)=0,1,'Вводные'!$B$63))))*BN36)</x:f>
      </x:c>
      <x:c r="BO46" s="107" t="n">
        <x:f>'Вводные'!$O$89*((IF(SUM($D32:$GA32)=0,0,IF(SUM($D35:$GA35)=0,1,'Вводные'!$B$63)))*BO34+(1-(IF(SUM($D32:$GA32)=0,0,IF(SUM($D35:$GA35)=0,1,'Вводные'!$B$63))))*BO36)</x:f>
      </x:c>
      <x:c r="BP46" s="107" t="n">
        <x:f>'Вводные'!$O$89*((IF(SUM($D32:$GA32)=0,0,IF(SUM($D35:$GA35)=0,1,'Вводные'!$B$63)))*BP34+(1-(IF(SUM($D32:$GA32)=0,0,IF(SUM($D35:$GA35)=0,1,'Вводные'!$B$63))))*BP36)</x:f>
      </x:c>
      <x:c r="BQ46" s="107" t="n">
        <x:f>'Вводные'!$O$89*((IF(SUM($D32:$GA32)=0,0,IF(SUM($D35:$GA35)=0,1,'Вводные'!$B$63)))*BQ34+(1-(IF(SUM($D32:$GA32)=0,0,IF(SUM($D35:$GA35)=0,1,'Вводные'!$B$63))))*BQ36)</x:f>
      </x:c>
      <x:c r="BR46" s="107" t="n">
        <x:f>'Вводные'!$O$89*((IF(SUM($D32:$GA32)=0,0,IF(SUM($D35:$GA35)=0,1,'Вводные'!$B$63)))*BR34+(1-(IF(SUM($D32:$GA32)=0,0,IF(SUM($D35:$GA35)=0,1,'Вводные'!$B$63))))*BR36)</x:f>
      </x:c>
      <x:c r="BS46" s="107" t="n">
        <x:f>'Вводные'!$O$89*((IF(SUM($D32:$GA32)=0,0,IF(SUM($D35:$GA35)=0,1,'Вводные'!$B$63)))*BS34+(1-(IF(SUM($D32:$GA32)=0,0,IF(SUM($D35:$GA35)=0,1,'Вводные'!$B$63))))*BS36)</x:f>
      </x:c>
      <x:c r="BT46" s="107" t="n">
        <x:f>'Вводные'!$O$89*((IF(SUM($D32:$GA32)=0,0,IF(SUM($D35:$GA35)=0,1,'Вводные'!$B$63)))*BT34+(1-(IF(SUM($D32:$GA32)=0,0,IF(SUM($D35:$GA35)=0,1,'Вводные'!$B$63))))*BT36)</x:f>
      </x:c>
      <x:c r="BU46" s="107" t="n">
        <x:f>'Вводные'!$O$89*((IF(SUM($D32:$GA32)=0,0,IF(SUM($D35:$GA35)=0,1,'Вводные'!$B$63)))*BU34+(1-(IF(SUM($D32:$GA32)=0,0,IF(SUM($D35:$GA35)=0,1,'Вводные'!$B$63))))*BU36)</x:f>
      </x:c>
      <x:c r="BV46" s="107" t="n">
        <x:f>'Вводные'!$O$89*((IF(SUM($D32:$GA32)=0,0,IF(SUM($D35:$GA35)=0,1,'Вводные'!$B$63)))*BV34+(1-(IF(SUM($D32:$GA32)=0,0,IF(SUM($D35:$GA35)=0,1,'Вводные'!$B$63))))*BV36)</x:f>
      </x:c>
      <x:c r="BW46" s="107" t="n">
        <x:f>'Вводные'!$O$89*((IF(SUM($D32:$GA32)=0,0,IF(SUM($D35:$GA35)=0,1,'Вводные'!$B$63)))*BW34+(1-(IF(SUM($D32:$GA32)=0,0,IF(SUM($D35:$GA35)=0,1,'Вводные'!$B$63))))*BW36)</x:f>
      </x:c>
      <x:c r="BX46" s="107" t="n">
        <x:f>'Вводные'!$O$89*((IF(SUM($D32:$GA32)=0,0,IF(SUM($D35:$GA35)=0,1,'Вводные'!$B$63)))*BX34+(1-(IF(SUM($D32:$GA32)=0,0,IF(SUM($D35:$GA35)=0,1,'Вводные'!$B$63))))*BX36)</x:f>
      </x:c>
      <x:c r="BY46" s="107" t="n">
        <x:f>'Вводные'!$O$89*((IF(SUM($D32:$GA32)=0,0,IF(SUM($D35:$GA35)=0,1,'Вводные'!$B$63)))*BY34+(1-(IF(SUM($D32:$GA32)=0,0,IF(SUM($D35:$GA35)=0,1,'Вводные'!$B$63))))*BY36)</x:f>
      </x:c>
      <x:c r="BZ46" s="107" t="n">
        <x:f>'Вводные'!$O$89*((IF(SUM($D32:$GA32)=0,0,IF(SUM($D35:$GA35)=0,1,'Вводные'!$B$63)))*BZ34+(1-(IF(SUM($D32:$GA32)=0,0,IF(SUM($D35:$GA35)=0,1,'Вводные'!$B$63))))*BZ36)</x:f>
      </x:c>
      <x:c r="CA46" s="107" t="n">
        <x:f>'Вводные'!$O$89*((IF(SUM($D32:$GA32)=0,0,IF(SUM($D35:$GA35)=0,1,'Вводные'!$B$63)))*CA34+(1-(IF(SUM($D32:$GA32)=0,0,IF(SUM($D35:$GA35)=0,1,'Вводные'!$B$63))))*CA36)</x:f>
      </x:c>
      <x:c r="CB46" s="107" t="n">
        <x:f>'Вводные'!$O$89*((IF(SUM($D32:$GA32)=0,0,IF(SUM($D35:$GA35)=0,1,'Вводные'!$B$63)))*CB34+(1-(IF(SUM($D32:$GA32)=0,0,IF(SUM($D35:$GA35)=0,1,'Вводные'!$B$63))))*CB36)</x:f>
      </x:c>
      <x:c r="CC46" s="107" t="n">
        <x:f>'Вводные'!$O$89*((IF(SUM($D32:$GA32)=0,0,IF(SUM($D35:$GA35)=0,1,'Вводные'!$B$63)))*CC34+(1-(IF(SUM($D32:$GA32)=0,0,IF(SUM($D35:$GA35)=0,1,'Вводные'!$B$63))))*CC36)</x:f>
      </x:c>
      <x:c r="CD46" s="107" t="n">
        <x:f>'Вводные'!$O$89*((IF(SUM($D32:$GA32)=0,0,IF(SUM($D35:$GA35)=0,1,'Вводные'!$B$63)))*CD34+(1-(IF(SUM($D32:$GA32)=0,0,IF(SUM($D35:$GA35)=0,1,'Вводные'!$B$63))))*CD36)</x:f>
      </x:c>
      <x:c r="CE46" s="107" t="n">
        <x:f>'Вводные'!$O$89*((IF(SUM($D32:$GA32)=0,0,IF(SUM($D35:$GA35)=0,1,'Вводные'!$B$63)))*CE34+(1-(IF(SUM($D32:$GA32)=0,0,IF(SUM($D35:$GA35)=0,1,'Вводные'!$B$63))))*CE36)</x:f>
      </x:c>
      <x:c r="CF46" s="107" t="n">
        <x:f>'Вводные'!$O$89*((IF(SUM($D32:$GA32)=0,0,IF(SUM($D35:$GA35)=0,1,'Вводные'!$B$63)))*CF34+(1-(IF(SUM($D32:$GA32)=0,0,IF(SUM($D35:$GA35)=0,1,'Вводные'!$B$63))))*CF36)</x:f>
      </x:c>
      <x:c r="CG46" s="107" t="n">
        <x:f>'Вводные'!$O$89*((IF(SUM($D32:$GA32)=0,0,IF(SUM($D35:$GA35)=0,1,'Вводные'!$B$63)))*CG34+(1-(IF(SUM($D32:$GA32)=0,0,IF(SUM($D35:$GA35)=0,1,'Вводные'!$B$63))))*CG36)</x:f>
      </x:c>
      <x:c r="CH46" s="107" t="n">
        <x:f>'Вводные'!$O$89*((IF(SUM($D32:$GA32)=0,0,IF(SUM($D35:$GA35)=0,1,'Вводные'!$B$63)))*CH34+(1-(IF(SUM($D32:$GA32)=0,0,IF(SUM($D35:$GA35)=0,1,'Вводные'!$B$63))))*CH36)</x:f>
      </x:c>
      <x:c r="CI46" s="107" t="n">
        <x:f>'Вводные'!$O$89*((IF(SUM($D32:$GA32)=0,0,IF(SUM($D35:$GA35)=0,1,'Вводные'!$B$63)))*CI34+(1-(IF(SUM($D32:$GA32)=0,0,IF(SUM($D35:$GA35)=0,1,'Вводные'!$B$63))))*CI36)</x:f>
      </x:c>
      <x:c r="CJ46" s="107" t="n">
        <x:f>'Вводные'!$O$89*((IF(SUM($D32:$GA32)=0,0,IF(SUM($D35:$GA35)=0,1,'Вводные'!$B$63)))*CJ34+(1-(IF(SUM($D32:$GA32)=0,0,IF(SUM($D35:$GA35)=0,1,'Вводные'!$B$63))))*CJ36)</x:f>
      </x:c>
      <x:c r="CK46" s="107" t="n">
        <x:f>'Вводные'!$O$89*((IF(SUM($D32:$GA32)=0,0,IF(SUM($D35:$GA35)=0,1,'Вводные'!$B$63)))*CK34+(1-(IF(SUM($D32:$GA32)=0,0,IF(SUM($D35:$GA35)=0,1,'Вводные'!$B$63))))*CK36)</x:f>
      </x:c>
      <x:c r="CL46" s="107" t="n">
        <x:f>'Вводные'!$O$89*((IF(SUM($D32:$GA32)=0,0,IF(SUM($D35:$GA35)=0,1,'Вводные'!$B$63)))*CL34+(1-(IF(SUM($D32:$GA32)=0,0,IF(SUM($D35:$GA35)=0,1,'Вводные'!$B$63))))*CL36)</x:f>
      </x:c>
      <x:c r="CM46" s="107" t="n">
        <x:f>'Вводные'!$O$89*((IF(SUM($D32:$GA32)=0,0,IF(SUM($D35:$GA35)=0,1,'Вводные'!$B$63)))*CM34+(1-(IF(SUM($D32:$GA32)=0,0,IF(SUM($D35:$GA35)=0,1,'Вводные'!$B$63))))*CM36)</x:f>
      </x:c>
      <x:c r="CN46" s="107" t="n">
        <x:f>'Вводные'!$O$89*((IF(SUM($D32:$GA32)=0,0,IF(SUM($D35:$GA35)=0,1,'Вводные'!$B$63)))*CN34+(1-(IF(SUM($D32:$GA32)=0,0,IF(SUM($D35:$GA35)=0,1,'Вводные'!$B$63))))*CN36)</x:f>
      </x:c>
      <x:c r="CO46" s="107" t="n">
        <x:f>'Вводные'!$O$89*((IF(SUM($D32:$GA32)=0,0,IF(SUM($D35:$GA35)=0,1,'Вводные'!$B$63)))*CO34+(1-(IF(SUM($D32:$GA32)=0,0,IF(SUM($D35:$GA35)=0,1,'Вводные'!$B$63))))*CO36)</x:f>
      </x:c>
      <x:c r="CP46" s="107" t="n">
        <x:f>'Вводные'!$O$89*((IF(SUM($D32:$GA32)=0,0,IF(SUM($D35:$GA35)=0,1,'Вводные'!$B$63)))*CP34+(1-(IF(SUM($D32:$GA32)=0,0,IF(SUM($D35:$GA35)=0,1,'Вводные'!$B$63))))*CP36)</x:f>
      </x:c>
      <x:c r="CQ46" s="107" t="n">
        <x:f>'Вводные'!$O$89*((IF(SUM($D32:$GA32)=0,0,IF(SUM($D35:$GA35)=0,1,'Вводные'!$B$63)))*CQ34+(1-(IF(SUM($D32:$GA32)=0,0,IF(SUM($D35:$GA35)=0,1,'Вводные'!$B$63))))*CQ36)</x:f>
      </x:c>
      <x:c r="CR46" s="107" t="n">
        <x:f>'Вводные'!$O$89*((IF(SUM($D32:$GA32)=0,0,IF(SUM($D35:$GA35)=0,1,'Вводные'!$B$63)))*CR34+(1-(IF(SUM($D32:$GA32)=0,0,IF(SUM($D35:$GA35)=0,1,'Вводные'!$B$63))))*CR36)</x:f>
      </x:c>
      <x:c r="CS46" s="107" t="n">
        <x:f>'Вводные'!$O$89*((IF(SUM($D32:$GA32)=0,0,IF(SUM($D35:$GA35)=0,1,'Вводные'!$B$63)))*CS34+(1-(IF(SUM($D32:$GA32)=0,0,IF(SUM($D35:$GA35)=0,1,'Вводные'!$B$63))))*CS36)</x:f>
      </x:c>
      <x:c r="CT46" s="107" t="n">
        <x:f>'Вводные'!$O$89*((IF(SUM($D32:$GA32)=0,0,IF(SUM($D35:$GA35)=0,1,'Вводные'!$B$63)))*CT34+(1-(IF(SUM($D32:$GA32)=0,0,IF(SUM($D35:$GA35)=0,1,'Вводные'!$B$63))))*CT36)</x:f>
      </x:c>
      <x:c r="CU46" s="107" t="n">
        <x:f>'Вводные'!$O$89*((IF(SUM($D32:$GA32)=0,0,IF(SUM($D35:$GA35)=0,1,'Вводные'!$B$63)))*CU34+(1-(IF(SUM($D32:$GA32)=0,0,IF(SUM($D35:$GA35)=0,1,'Вводные'!$B$63))))*CU36)</x:f>
      </x:c>
      <x:c r="CV46" s="107" t="n">
        <x:f>'Вводные'!$O$89*((IF(SUM($D32:$GA32)=0,0,IF(SUM($D35:$GA35)=0,1,'Вводные'!$B$63)))*CV34+(1-(IF(SUM($D32:$GA32)=0,0,IF(SUM($D35:$GA35)=0,1,'Вводные'!$B$63))))*CV36)</x:f>
      </x:c>
      <x:c r="CW46" s="107" t="n">
        <x:f>'Вводные'!$O$89*((IF(SUM($D32:$GA32)=0,0,IF(SUM($D35:$GA35)=0,1,'Вводные'!$B$63)))*CW34+(1-(IF(SUM($D32:$GA32)=0,0,IF(SUM($D35:$GA35)=0,1,'Вводные'!$B$63))))*CW36)</x:f>
      </x:c>
      <x:c r="CX46" s="107" t="n">
        <x:f>'Вводные'!$O$89*((IF(SUM($D32:$GA32)=0,0,IF(SUM($D35:$GA35)=0,1,'Вводные'!$B$63)))*CX34+(1-(IF(SUM($D32:$GA32)=0,0,IF(SUM($D35:$GA35)=0,1,'Вводные'!$B$63))))*CX36)</x:f>
      </x:c>
      <x:c r="CY46" s="107" t="n">
        <x:f>'Вводные'!$O$89*((IF(SUM($D32:$GA32)=0,0,IF(SUM($D35:$GA35)=0,1,'Вводные'!$B$63)))*CY34+(1-(IF(SUM($D32:$GA32)=0,0,IF(SUM($D35:$GA35)=0,1,'Вводные'!$B$63))))*CY36)</x:f>
      </x:c>
      <x:c r="CZ46" s="107" t="n">
        <x:f>'Вводные'!$O$89*((IF(SUM($D32:$GA32)=0,0,IF(SUM($D35:$GA35)=0,1,'Вводные'!$B$63)))*CZ34+(1-(IF(SUM($D32:$GA32)=0,0,IF(SUM($D35:$GA35)=0,1,'Вводные'!$B$63))))*CZ36)</x:f>
      </x:c>
      <x:c r="DA46" s="107" t="n">
        <x:f>'Вводные'!$O$89*((IF(SUM($D32:$GA32)=0,0,IF(SUM($D35:$GA35)=0,1,'Вводные'!$B$63)))*DA34+(1-(IF(SUM($D32:$GA32)=0,0,IF(SUM($D35:$GA35)=0,1,'Вводные'!$B$63))))*DA36)</x:f>
      </x:c>
      <x:c r="DB46" s="107" t="n">
        <x:f>'Вводные'!$O$89*((IF(SUM($D32:$GA32)=0,0,IF(SUM($D35:$GA35)=0,1,'Вводные'!$B$63)))*DB34+(1-(IF(SUM($D32:$GA32)=0,0,IF(SUM($D35:$GA35)=0,1,'Вводные'!$B$63))))*DB36)</x:f>
      </x:c>
      <x:c r="DC46" s="107" t="n">
        <x:f>'Вводные'!$O$89*((IF(SUM($D32:$GA32)=0,0,IF(SUM($D35:$GA35)=0,1,'Вводные'!$B$63)))*DC34+(1-(IF(SUM($D32:$GA32)=0,0,IF(SUM($D35:$GA35)=0,1,'Вводные'!$B$63))))*DC36)</x:f>
      </x:c>
      <x:c r="DD46" s="107" t="n">
        <x:f>'Вводные'!$O$89*((IF(SUM($D32:$GA32)=0,0,IF(SUM($D35:$GA35)=0,1,'Вводные'!$B$63)))*DD34+(1-(IF(SUM($D32:$GA32)=0,0,IF(SUM($D35:$GA35)=0,1,'Вводные'!$B$63))))*DD36)</x:f>
      </x:c>
      <x:c r="DE46" s="107" t="n">
        <x:f>'Вводные'!$O$89*((IF(SUM($D32:$GA32)=0,0,IF(SUM($D35:$GA35)=0,1,'Вводные'!$B$63)))*DE34+(1-(IF(SUM($D32:$GA32)=0,0,IF(SUM($D35:$GA35)=0,1,'Вводные'!$B$63))))*DE36)</x:f>
      </x:c>
      <x:c r="DF46" s="107" t="n">
        <x:f>'Вводные'!$O$89*((IF(SUM($D32:$GA32)=0,0,IF(SUM($D35:$GA35)=0,1,'Вводные'!$B$63)))*DF34+(1-(IF(SUM($D32:$GA32)=0,0,IF(SUM($D35:$GA35)=0,1,'Вводные'!$B$63))))*DF36)</x:f>
      </x:c>
      <x:c r="DG46" s="107" t="n">
        <x:f>'Вводные'!$O$89*((IF(SUM($D32:$GA32)=0,0,IF(SUM($D35:$GA35)=0,1,'Вводные'!$B$63)))*DG34+(1-(IF(SUM($D32:$GA32)=0,0,IF(SUM($D35:$GA35)=0,1,'Вводные'!$B$63))))*DG36)</x:f>
      </x:c>
      <x:c r="DH46" s="107" t="n">
        <x:f>'Вводные'!$O$89*((IF(SUM($D32:$GA32)=0,0,IF(SUM($D35:$GA35)=0,1,'Вводные'!$B$63)))*DH34+(1-(IF(SUM($D32:$GA32)=0,0,IF(SUM($D35:$GA35)=0,1,'Вводные'!$B$63))))*DH36)</x:f>
      </x:c>
      <x:c r="DI46" s="107" t="n">
        <x:f>'Вводные'!$O$89*((IF(SUM($D32:$GA32)=0,0,IF(SUM($D35:$GA35)=0,1,'Вводные'!$B$63)))*DI34+(1-(IF(SUM($D32:$GA32)=0,0,IF(SUM($D35:$GA35)=0,1,'Вводные'!$B$63))))*DI36)</x:f>
      </x:c>
      <x:c r="DJ46" s="107" t="n">
        <x:f>'Вводные'!$O$89*((IF(SUM($D32:$GA32)=0,0,IF(SUM($D35:$GA35)=0,1,'Вводные'!$B$63)))*DJ34+(1-(IF(SUM($D32:$GA32)=0,0,IF(SUM($D35:$GA35)=0,1,'Вводные'!$B$63))))*DJ36)</x:f>
      </x:c>
      <x:c r="DK46" s="107" t="n">
        <x:f>'Вводные'!$O$89*((IF(SUM($D32:$GA32)=0,0,IF(SUM($D35:$GA35)=0,1,'Вводные'!$B$63)))*DK34+(1-(IF(SUM($D32:$GA32)=0,0,IF(SUM($D35:$GA35)=0,1,'Вводные'!$B$63))))*DK36)</x:f>
      </x:c>
      <x:c r="DL46" s="107" t="n">
        <x:f>'Вводные'!$O$89*((IF(SUM($D32:$GA32)=0,0,IF(SUM($D35:$GA35)=0,1,'Вводные'!$B$63)))*DL34+(1-(IF(SUM($D32:$GA32)=0,0,IF(SUM($D35:$GA35)=0,1,'Вводные'!$B$63))))*DL36)</x:f>
      </x:c>
      <x:c r="DM46" s="107" t="n">
        <x:f>'Вводные'!$O$89*((IF(SUM($D32:$GA32)=0,0,IF(SUM($D35:$GA35)=0,1,'Вводные'!$B$63)))*DM34+(1-(IF(SUM($D32:$GA32)=0,0,IF(SUM($D35:$GA35)=0,1,'Вводные'!$B$63))))*DM36)</x:f>
      </x:c>
      <x:c r="DN46" s="107" t="n">
        <x:f>'Вводные'!$O$89*((IF(SUM($D32:$GA32)=0,0,IF(SUM($D35:$GA35)=0,1,'Вводные'!$B$63)))*DN34+(1-(IF(SUM($D32:$GA32)=0,0,IF(SUM($D35:$GA35)=0,1,'Вводные'!$B$63))))*DN36)</x:f>
      </x:c>
      <x:c r="DO46" s="107" t="n">
        <x:f>'Вводные'!$O$89*((IF(SUM($D32:$GA32)=0,0,IF(SUM($D35:$GA35)=0,1,'Вводные'!$B$63)))*DO34+(1-(IF(SUM($D32:$GA32)=0,0,IF(SUM($D35:$GA35)=0,1,'Вводные'!$B$63))))*DO36)</x:f>
      </x:c>
      <x:c r="DP46" s="107" t="n">
        <x:f>'Вводные'!$O$89*((IF(SUM($D32:$GA32)=0,0,IF(SUM($D35:$GA35)=0,1,'Вводные'!$B$63)))*DP34+(1-(IF(SUM($D32:$GA32)=0,0,IF(SUM($D35:$GA35)=0,1,'Вводные'!$B$63))))*DP36)</x:f>
      </x:c>
      <x:c r="DQ46" s="107" t="n">
        <x:f>'Вводные'!$O$89*((IF(SUM($D32:$GA32)=0,0,IF(SUM($D35:$GA35)=0,1,'Вводные'!$B$63)))*DQ34+(1-(IF(SUM($D32:$GA32)=0,0,IF(SUM($D35:$GA35)=0,1,'Вводные'!$B$63))))*DQ36)</x:f>
      </x:c>
      <x:c r="DR46" s="107" t="n">
        <x:f>'Вводные'!$O$89*((IF(SUM($D32:$GA32)=0,0,IF(SUM($D35:$GA35)=0,1,'Вводные'!$B$63)))*DR34+(1-(IF(SUM($D32:$GA32)=0,0,IF(SUM($D35:$GA35)=0,1,'Вводные'!$B$63))))*DR36)</x:f>
      </x:c>
      <x:c r="DS46" s="107" t="n">
        <x:f>'Вводные'!$O$89*((IF(SUM($D32:$GA32)=0,0,IF(SUM($D35:$GA35)=0,1,'Вводные'!$B$63)))*DS34+(1-(IF(SUM($D32:$GA32)=0,0,IF(SUM($D35:$GA35)=0,1,'Вводные'!$B$63))))*DS36)</x:f>
      </x:c>
      <x:c r="DT46" s="107" t="n">
        <x:f>'Вводные'!$O$89*((IF(SUM($D32:$GA32)=0,0,IF(SUM($D35:$GA35)=0,1,'Вводные'!$B$63)))*DT34+(1-(IF(SUM($D32:$GA32)=0,0,IF(SUM($D35:$GA35)=0,1,'Вводные'!$B$63))))*DT36)</x:f>
      </x:c>
      <x:c r="DU46" s="107" t="n">
        <x:f>'Вводные'!$O$89*((IF(SUM($D32:$GA32)=0,0,IF(SUM($D35:$GA35)=0,1,'Вводные'!$B$63)))*DU34+(1-(IF(SUM($D32:$GA32)=0,0,IF(SUM($D35:$GA35)=0,1,'Вводные'!$B$63))))*DU36)</x:f>
      </x:c>
      <x:c r="DV46" s="107" t="n">
        <x:f>'Вводные'!$O$89*((IF(SUM($D32:$GA32)=0,0,IF(SUM($D35:$GA35)=0,1,'Вводные'!$B$63)))*DV34+(1-(IF(SUM($D32:$GA32)=0,0,IF(SUM($D35:$GA35)=0,1,'Вводные'!$B$63))))*DV36)</x:f>
      </x:c>
      <x:c r="DW46" s="107" t="n">
        <x:f>'Вводные'!$O$89*((IF(SUM($D32:$GA32)=0,0,IF(SUM($D35:$GA35)=0,1,'Вводные'!$B$63)))*DW34+(1-(IF(SUM($D32:$GA32)=0,0,IF(SUM($D35:$GA35)=0,1,'Вводные'!$B$63))))*DW36)</x:f>
      </x:c>
      <x:c r="DX46" s="107" t="n">
        <x:f>'Вводные'!$O$89*((IF(SUM($D32:$GA32)=0,0,IF(SUM($D35:$GA35)=0,1,'Вводные'!$B$63)))*DX34+(1-(IF(SUM($D32:$GA32)=0,0,IF(SUM($D35:$GA35)=0,1,'Вводные'!$B$63))))*DX36)</x:f>
      </x:c>
      <x:c r="DY46" s="107" t="n">
        <x:f>'Вводные'!$O$89*((IF(SUM($D32:$GA32)=0,0,IF(SUM($D35:$GA35)=0,1,'Вводные'!$B$63)))*DY34+(1-(IF(SUM($D32:$GA32)=0,0,IF(SUM($D35:$GA35)=0,1,'Вводные'!$B$63))))*DY36)</x:f>
      </x:c>
      <x:c r="DZ46" s="107" t="n">
        <x:f>'Вводные'!$O$89*((IF(SUM($D32:$GA32)=0,0,IF(SUM($D35:$GA35)=0,1,'Вводные'!$B$63)))*DZ34+(1-(IF(SUM($D32:$GA32)=0,0,IF(SUM($D35:$GA35)=0,1,'Вводные'!$B$63))))*DZ36)</x:f>
      </x:c>
      <x:c r="EA46" s="107" t="n">
        <x:f>'Вводные'!$O$89*((IF(SUM($D32:$GA32)=0,0,IF(SUM($D35:$GA35)=0,1,'Вводные'!$B$63)))*EA34+(1-(IF(SUM($D32:$GA32)=0,0,IF(SUM($D35:$GA35)=0,1,'Вводные'!$B$63))))*EA36)</x:f>
      </x:c>
      <x:c r="EB46" s="107" t="n">
        <x:f>'Вводные'!$O$89*((IF(SUM($D32:$GA32)=0,0,IF(SUM($D35:$GA35)=0,1,'Вводные'!$B$63)))*EB34+(1-(IF(SUM($D32:$GA32)=0,0,IF(SUM($D35:$GA35)=0,1,'Вводные'!$B$63))))*EB36)</x:f>
      </x:c>
      <x:c r="EC46" s="107" t="n">
        <x:f>'Вводные'!$O$89*((IF(SUM($D32:$GA32)=0,0,IF(SUM($D35:$GA35)=0,1,'Вводные'!$B$63)))*EC34+(1-(IF(SUM($D32:$GA32)=0,0,IF(SUM($D35:$GA35)=0,1,'Вводные'!$B$63))))*EC36)</x:f>
      </x:c>
      <x:c r="ED46" s="107" t="n">
        <x:f>'Вводные'!$O$89*((IF(SUM($D32:$GA32)=0,0,IF(SUM($D35:$GA35)=0,1,'Вводные'!$B$63)))*ED34+(1-(IF(SUM($D32:$GA32)=0,0,IF(SUM($D35:$GA35)=0,1,'Вводные'!$B$63))))*ED36)</x:f>
      </x:c>
      <x:c r="EE46" s="107" t="n">
        <x:f>'Вводные'!$O$89*((IF(SUM($D32:$GA32)=0,0,IF(SUM($D35:$GA35)=0,1,'Вводные'!$B$63)))*EE34+(1-(IF(SUM($D32:$GA32)=0,0,IF(SUM($D35:$GA35)=0,1,'Вводные'!$B$63))))*EE36)</x:f>
      </x:c>
      <x:c r="EF46" s="107" t="n">
        <x:f>'Вводные'!$O$89*((IF(SUM($D32:$GA32)=0,0,IF(SUM($D35:$GA35)=0,1,'Вводные'!$B$63)))*EF34+(1-(IF(SUM($D32:$GA32)=0,0,IF(SUM($D35:$GA35)=0,1,'Вводные'!$B$63))))*EF36)</x:f>
      </x:c>
      <x:c r="EG46" s="107" t="n">
        <x:f>'Вводные'!$O$89*((IF(SUM($D32:$GA32)=0,0,IF(SUM($D35:$GA35)=0,1,'Вводные'!$B$63)))*EG34+(1-(IF(SUM($D32:$GA32)=0,0,IF(SUM($D35:$GA35)=0,1,'Вводные'!$B$63))))*EG36)</x:f>
      </x:c>
      <x:c r="EH46" s="107" t="n">
        <x:f>'Вводные'!$O$89*((IF(SUM($D32:$GA32)=0,0,IF(SUM($D35:$GA35)=0,1,'Вводные'!$B$63)))*EH34+(1-(IF(SUM($D32:$GA32)=0,0,IF(SUM($D35:$GA35)=0,1,'Вводные'!$B$63))))*EH36)</x:f>
      </x:c>
      <x:c r="EI46" s="107" t="n">
        <x:f>'Вводные'!$O$89*((IF(SUM($D32:$GA32)=0,0,IF(SUM($D35:$GA35)=0,1,'Вводные'!$B$63)))*EI34+(1-(IF(SUM($D32:$GA32)=0,0,IF(SUM($D35:$GA35)=0,1,'Вводные'!$B$63))))*EI36)</x:f>
      </x:c>
      <x:c r="EJ46" s="107" t="n">
        <x:f>'Вводные'!$O$89*((IF(SUM($D32:$GA32)=0,0,IF(SUM($D35:$GA35)=0,1,'Вводные'!$B$63)))*EJ34+(1-(IF(SUM($D32:$GA32)=0,0,IF(SUM($D35:$GA35)=0,1,'Вводные'!$B$63))))*EJ36)</x:f>
      </x:c>
      <x:c r="EK46" s="107" t="n">
        <x:f>'Вводные'!$O$89*((IF(SUM($D32:$GA32)=0,0,IF(SUM($D35:$GA35)=0,1,'Вводные'!$B$63)))*EK34+(1-(IF(SUM($D32:$GA32)=0,0,IF(SUM($D35:$GA35)=0,1,'Вводные'!$B$63))))*EK36)</x:f>
      </x:c>
      <x:c r="EL46" s="107" t="n">
        <x:f>'Вводные'!$O$89*((IF(SUM($D32:$GA32)=0,0,IF(SUM($D35:$GA35)=0,1,'Вводные'!$B$63)))*EL34+(1-(IF(SUM($D32:$GA32)=0,0,IF(SUM($D35:$GA35)=0,1,'Вводные'!$B$63))))*EL36)</x:f>
      </x:c>
      <x:c r="EM46" s="107" t="n">
        <x:f>'Вводные'!$O$89*((IF(SUM($D32:$GA32)=0,0,IF(SUM($D35:$GA35)=0,1,'Вводные'!$B$63)))*EM34+(1-(IF(SUM($D32:$GA32)=0,0,IF(SUM($D35:$GA35)=0,1,'Вводные'!$B$63))))*EM36)</x:f>
      </x:c>
      <x:c r="EN46" s="107" t="n">
        <x:f>'Вводные'!$O$89*((IF(SUM($D32:$GA32)=0,0,IF(SUM($D35:$GA35)=0,1,'Вводные'!$B$63)))*EN34+(1-(IF(SUM($D32:$GA32)=0,0,IF(SUM($D35:$GA35)=0,1,'Вводные'!$B$63))))*EN36)</x:f>
      </x:c>
      <x:c r="EO46" s="107" t="n">
        <x:f>'Вводные'!$O$89*((IF(SUM($D32:$GA32)=0,0,IF(SUM($D35:$GA35)=0,1,'Вводные'!$B$63)))*EO34+(1-(IF(SUM($D32:$GA32)=0,0,IF(SUM($D35:$GA35)=0,1,'Вводные'!$B$63))))*EO36)</x:f>
      </x:c>
      <x:c r="EP46" s="107" t="n">
        <x:f>'Вводные'!$O$89*((IF(SUM($D32:$GA32)=0,0,IF(SUM($D35:$GA35)=0,1,'Вводные'!$B$63)))*EP34+(1-(IF(SUM($D32:$GA32)=0,0,IF(SUM($D35:$GA35)=0,1,'Вводные'!$B$63))))*EP36)</x:f>
      </x:c>
      <x:c r="EQ46" s="107" t="n">
        <x:f>'Вводные'!$O$89*((IF(SUM($D32:$GA32)=0,0,IF(SUM($D35:$GA35)=0,1,'Вводные'!$B$63)))*EQ34+(1-(IF(SUM($D32:$GA32)=0,0,IF(SUM($D35:$GA35)=0,1,'Вводные'!$B$63))))*EQ36)</x:f>
      </x:c>
      <x:c r="ER46" s="107" t="n">
        <x:f>'Вводные'!$O$89*((IF(SUM($D32:$GA32)=0,0,IF(SUM($D35:$GA35)=0,1,'Вводные'!$B$63)))*ER34+(1-(IF(SUM($D32:$GA32)=0,0,IF(SUM($D35:$GA35)=0,1,'Вводные'!$B$63))))*ER36)</x:f>
      </x:c>
      <x:c r="ES46" s="107" t="n">
        <x:f>'Вводные'!$O$89*((IF(SUM($D32:$GA32)=0,0,IF(SUM($D35:$GA35)=0,1,'Вводные'!$B$63)))*ES34+(1-(IF(SUM($D32:$GA32)=0,0,IF(SUM($D35:$GA35)=0,1,'Вводные'!$B$63))))*ES36)</x:f>
      </x:c>
      <x:c r="ET46" s="107" t="n">
        <x:f>'Вводные'!$O$89*((IF(SUM($D32:$GA32)=0,0,IF(SUM($D35:$GA35)=0,1,'Вводные'!$B$63)))*ET34+(1-(IF(SUM($D32:$GA32)=0,0,IF(SUM($D35:$GA35)=0,1,'Вводные'!$B$63))))*ET36)</x:f>
      </x:c>
      <x:c r="EU46" s="107" t="n">
        <x:f>'Вводные'!$O$89*((IF(SUM($D32:$GA32)=0,0,IF(SUM($D35:$GA35)=0,1,'Вводные'!$B$63)))*EU34+(1-(IF(SUM($D32:$GA32)=0,0,IF(SUM($D35:$GA35)=0,1,'Вводные'!$B$63))))*EU36)</x:f>
      </x:c>
      <x:c r="EV46" s="107" t="n">
        <x:f>'Вводные'!$O$89*((IF(SUM($D32:$GA32)=0,0,IF(SUM($D35:$GA35)=0,1,'Вводные'!$B$63)))*EV34+(1-(IF(SUM($D32:$GA32)=0,0,IF(SUM($D35:$GA35)=0,1,'Вводные'!$B$63))))*EV36)</x:f>
      </x:c>
      <x:c r="EW46" s="107" t="n">
        <x:f>'Вводные'!$O$89*((IF(SUM($D32:$GA32)=0,0,IF(SUM($D35:$GA35)=0,1,'Вводные'!$B$63)))*EW34+(1-(IF(SUM($D32:$GA32)=0,0,IF(SUM($D35:$GA35)=0,1,'Вводные'!$B$63))))*EW36)</x:f>
      </x:c>
      <x:c r="EX46" s="107" t="n">
        <x:f>'Вводные'!$O$89*((IF(SUM($D32:$GA32)=0,0,IF(SUM($D35:$GA35)=0,1,'Вводные'!$B$63)))*EX34+(1-(IF(SUM($D32:$GA32)=0,0,IF(SUM($D35:$GA35)=0,1,'Вводные'!$B$63))))*EX36)</x:f>
      </x:c>
      <x:c r="EY46" s="107" t="n">
        <x:f>'Вводные'!$O$89*((IF(SUM($D32:$GA32)=0,0,IF(SUM($D35:$GA35)=0,1,'Вводные'!$B$63)))*EY34+(1-(IF(SUM($D32:$GA32)=0,0,IF(SUM($D35:$GA35)=0,1,'Вводные'!$B$63))))*EY36)</x:f>
      </x:c>
      <x:c r="EZ46" s="107" t="n">
        <x:f>'Вводные'!$O$89*((IF(SUM($D32:$GA32)=0,0,IF(SUM($D35:$GA35)=0,1,'Вводные'!$B$63)))*EZ34+(1-(IF(SUM($D32:$GA32)=0,0,IF(SUM($D35:$GA35)=0,1,'Вводные'!$B$63))))*EZ36)</x:f>
      </x:c>
      <x:c r="FA46" s="107" t="n">
        <x:f>'Вводные'!$O$89*((IF(SUM($D32:$GA32)=0,0,IF(SUM($D35:$GA35)=0,1,'Вводные'!$B$63)))*FA34+(1-(IF(SUM($D32:$GA32)=0,0,IF(SUM($D35:$GA35)=0,1,'Вводные'!$B$63))))*FA36)</x:f>
      </x:c>
      <x:c r="FB46" s="107" t="n">
        <x:f>'Вводные'!$O$89*((IF(SUM($D32:$GA32)=0,0,IF(SUM($D35:$GA35)=0,1,'Вводные'!$B$63)))*FB34+(1-(IF(SUM($D32:$GA32)=0,0,IF(SUM($D35:$GA35)=0,1,'Вводные'!$B$63))))*FB36)</x:f>
      </x:c>
      <x:c r="FC46" s="107" t="n">
        <x:f>'Вводные'!$O$89*((IF(SUM($D32:$GA32)=0,0,IF(SUM($D35:$GA35)=0,1,'Вводные'!$B$63)))*FC34+(1-(IF(SUM($D32:$GA32)=0,0,IF(SUM($D35:$GA35)=0,1,'Вводные'!$B$63))))*FC36)</x:f>
      </x:c>
      <x:c r="FD46" s="107" t="n">
        <x:f>'Вводные'!$O$89*((IF(SUM($D32:$GA32)=0,0,IF(SUM($D35:$GA35)=0,1,'Вводные'!$B$63)))*FD34+(1-(IF(SUM($D32:$GA32)=0,0,IF(SUM($D35:$GA35)=0,1,'Вводные'!$B$63))))*FD36)</x:f>
      </x:c>
      <x:c r="FE46" s="107" t="n">
        <x:f>'Вводные'!$O$89*((IF(SUM($D32:$GA32)=0,0,IF(SUM($D35:$GA35)=0,1,'Вводные'!$B$63)))*FE34+(1-(IF(SUM($D32:$GA32)=0,0,IF(SUM($D35:$GA35)=0,1,'Вводные'!$B$63))))*FE36)</x:f>
      </x:c>
      <x:c r="FF46" s="107" t="n">
        <x:f>'Вводные'!$O$89*((IF(SUM($D32:$GA32)=0,0,IF(SUM($D35:$GA35)=0,1,'Вводные'!$B$63)))*FF34+(1-(IF(SUM($D32:$GA32)=0,0,IF(SUM($D35:$GA35)=0,1,'Вводные'!$B$63))))*FF36)</x:f>
      </x:c>
      <x:c r="FG46" s="107" t="n">
        <x:f>'Вводные'!$O$89*((IF(SUM($D32:$GA32)=0,0,IF(SUM($D35:$GA35)=0,1,'Вводные'!$B$63)))*FG34+(1-(IF(SUM($D32:$GA32)=0,0,IF(SUM($D35:$GA35)=0,1,'Вводные'!$B$63))))*FG36)</x:f>
      </x:c>
      <x:c r="FH46" s="107" t="n">
        <x:f>'Вводные'!$O$89*((IF(SUM($D32:$GA32)=0,0,IF(SUM($D35:$GA35)=0,1,'Вводные'!$B$63)))*FH34+(1-(IF(SUM($D32:$GA32)=0,0,IF(SUM($D35:$GA35)=0,1,'Вводные'!$B$63))))*FH36)</x:f>
      </x:c>
      <x:c r="FI46" s="107" t="n">
        <x:f>'Вводные'!$O$89*((IF(SUM($D32:$GA32)=0,0,IF(SUM($D35:$GA35)=0,1,'Вводные'!$B$63)))*FI34+(1-(IF(SUM($D32:$GA32)=0,0,IF(SUM($D35:$GA35)=0,1,'Вводные'!$B$63))))*FI36)</x:f>
      </x:c>
      <x:c r="FJ46" s="107" t="n">
        <x:f>'Вводные'!$O$89*((IF(SUM($D32:$GA32)=0,0,IF(SUM($D35:$GA35)=0,1,'Вводные'!$B$63)))*FJ34+(1-(IF(SUM($D32:$GA32)=0,0,IF(SUM($D35:$GA35)=0,1,'Вводные'!$B$63))))*FJ36)</x:f>
      </x:c>
      <x:c r="FK46" s="107" t="n">
        <x:f>'Вводные'!$O$89*((IF(SUM($D32:$GA32)=0,0,IF(SUM($D35:$GA35)=0,1,'Вводные'!$B$63)))*FK34+(1-(IF(SUM($D32:$GA32)=0,0,IF(SUM($D35:$GA35)=0,1,'Вводные'!$B$63))))*FK36)</x:f>
      </x:c>
      <x:c r="FL46" s="107" t="n">
        <x:f>'Вводные'!$O$89*((IF(SUM($D32:$GA32)=0,0,IF(SUM($D35:$GA35)=0,1,'Вводные'!$B$63)))*FL34+(1-(IF(SUM($D32:$GA32)=0,0,IF(SUM($D35:$GA35)=0,1,'Вводные'!$B$63))))*FL36)</x:f>
      </x:c>
      <x:c r="FM46" s="107" t="n">
        <x:f>'Вводные'!$O$89*((IF(SUM($D32:$GA32)=0,0,IF(SUM($D35:$GA35)=0,1,'Вводные'!$B$63)))*FM34+(1-(IF(SUM($D32:$GA32)=0,0,IF(SUM($D35:$GA35)=0,1,'Вводные'!$B$63))))*FM36)</x:f>
      </x:c>
      <x:c r="FN46" s="107" t="n">
        <x:f>'Вводные'!$O$89*((IF(SUM($D32:$GA32)=0,0,IF(SUM($D35:$GA35)=0,1,'Вводные'!$B$63)))*FN34+(1-(IF(SUM($D32:$GA32)=0,0,IF(SUM($D35:$GA35)=0,1,'Вводные'!$B$63))))*FN36)</x:f>
      </x:c>
      <x:c r="FO46" s="107" t="n">
        <x:f>'Вводные'!$O$89*((IF(SUM($D32:$GA32)=0,0,IF(SUM($D35:$GA35)=0,1,'Вводные'!$B$63)))*FO34+(1-(IF(SUM($D32:$GA32)=0,0,IF(SUM($D35:$GA35)=0,1,'Вводные'!$B$63))))*FO36)</x:f>
      </x:c>
      <x:c r="FP46" s="107" t="n">
        <x:f>'Вводные'!$O$89*((IF(SUM($D32:$GA32)=0,0,IF(SUM($D35:$GA35)=0,1,'Вводные'!$B$63)))*FP34+(1-(IF(SUM($D32:$GA32)=0,0,IF(SUM($D35:$GA35)=0,1,'Вводные'!$B$63))))*FP36)</x:f>
      </x:c>
      <x:c r="FQ46" s="107" t="n">
        <x:f>'Вводные'!$O$89*((IF(SUM($D32:$GA32)=0,0,IF(SUM($D35:$GA35)=0,1,'Вводные'!$B$63)))*FQ34+(1-(IF(SUM($D32:$GA32)=0,0,IF(SUM($D35:$GA35)=0,1,'Вводные'!$B$63))))*FQ36)</x:f>
      </x:c>
      <x:c r="FR46" s="107" t="n">
        <x:f>'Вводные'!$O$89*((IF(SUM($D32:$GA32)=0,0,IF(SUM($D35:$GA35)=0,1,'Вводные'!$B$63)))*FR34+(1-(IF(SUM($D32:$GA32)=0,0,IF(SUM($D35:$GA35)=0,1,'Вводные'!$B$63))))*FR36)</x:f>
      </x:c>
      <x:c r="FS46" s="107" t="n">
        <x:f>'Вводные'!$O$89*((IF(SUM($D32:$GA32)=0,0,IF(SUM($D35:$GA35)=0,1,'Вводные'!$B$63)))*FS34+(1-(IF(SUM($D32:$GA32)=0,0,IF(SUM($D35:$GA35)=0,1,'Вводные'!$B$63))))*FS36)</x:f>
      </x:c>
      <x:c r="FT46" s="107" t="n">
        <x:f>'Вводные'!$O$89*((IF(SUM($D32:$GA32)=0,0,IF(SUM($D35:$GA35)=0,1,'Вводные'!$B$63)))*FT34+(1-(IF(SUM($D32:$GA32)=0,0,IF(SUM($D35:$GA35)=0,1,'Вводные'!$B$63))))*FT36)</x:f>
      </x:c>
      <x:c r="FU46" s="107" t="n">
        <x:f>'Вводные'!$O$89*((IF(SUM($D32:$GA32)=0,0,IF(SUM($D35:$GA35)=0,1,'Вводные'!$B$63)))*FU34+(1-(IF(SUM($D32:$GA32)=0,0,IF(SUM($D35:$GA35)=0,1,'Вводные'!$B$63))))*FU36)</x:f>
      </x:c>
      <x:c r="FV46" s="107" t="n">
        <x:f>'Вводные'!$O$89*((IF(SUM($D32:$GA32)=0,0,IF(SUM($D35:$GA35)=0,1,'Вводные'!$B$63)))*FV34+(1-(IF(SUM($D32:$GA32)=0,0,IF(SUM($D35:$GA35)=0,1,'Вводные'!$B$63))))*FV36)</x:f>
      </x:c>
      <x:c r="FW46" s="107" t="n">
        <x:f>'Вводные'!$O$89*((IF(SUM($D32:$GA32)=0,0,IF(SUM($D35:$GA35)=0,1,'Вводные'!$B$63)))*FW34+(1-(IF(SUM($D32:$GA32)=0,0,IF(SUM($D35:$GA35)=0,1,'Вводные'!$B$63))))*FW36)</x:f>
      </x:c>
      <x:c r="FX46" s="107" t="n">
        <x:f>'Вводные'!$O$89*((IF(SUM($D32:$GA32)=0,0,IF(SUM($D35:$GA35)=0,1,'Вводные'!$B$63)))*FX34+(1-(IF(SUM($D32:$GA32)=0,0,IF(SUM($D35:$GA35)=0,1,'Вводные'!$B$63))))*FX36)</x:f>
      </x:c>
      <x:c r="FY46" s="107" t="n">
        <x:f>'Вводные'!$O$89*((IF(SUM($D32:$GA32)=0,0,IF(SUM($D35:$GA35)=0,1,'Вводные'!$B$63)))*FY34+(1-(IF(SUM($D32:$GA32)=0,0,IF(SUM($D35:$GA35)=0,1,'Вводные'!$B$63))))*FY36)</x:f>
      </x:c>
      <x:c r="FZ46" s="107" t="n">
        <x:f>'Вводные'!$O$89*((IF(SUM($D32:$GA32)=0,0,IF(SUM($D35:$GA35)=0,1,'Вводные'!$B$63)))*FZ34+(1-(IF(SUM($D32:$GA32)=0,0,IF(SUM($D35:$GA35)=0,1,'Вводные'!$B$63))))*FZ36)</x:f>
      </x:c>
      <x:c r="GA46" s="107" t="n">
        <x:f>'Вводные'!$O$89*((IF(SUM($D32:$GA32)=0,0,IF(SUM($D35:$GA35)=0,1,'Вводные'!$B$63)))*GA34+(1-(IF(SUM($D32:$GA32)=0,0,IF(SUM($D35:$GA35)=0,1,'Вводные'!$B$63))))*GA36)</x:f>
      </x:c>
    </x:row>
    <x:row r="47">
      <x:c r="A47" t="str">
        <x:v>Кладовые — цена</x:v>
      </x:c>
      <x:c r="B47" t="n">
        <x:f>IFERROR(B48*1000/B46,0)</x:f>
      </x:c>
      <x:c r="C47" t="str">
        <x:v>тыс. ₽/шт.</x:v>
      </x:c>
      <x:c r="D47" s="107" t="n">
        <x:f>IF(D46=0,0,'Вводные'!$B$62*'Вводные'!$S$89*'Вводные'!$H$5*'Вводные'!$AG$89*(1+'Вводные'!$B$64)^MAX(0,MIN((12*(YEAR(D$3)-YEAR($B$30))+MONTH(D$3)-MONTH($B$30)),(12*(YEAR($B$31)-YEAR($B$30))+MONTH($B$31)-MONTH($B$30))))*(1+'Вводные'!$B$65)^MAX(0,(12*(YEAR(D$3)-YEAR($B$31))+MONTH(D$3)-MONTH($B$31))))</x:f>
      </x:c>
      <x:c r="E47" s="107" t="n">
        <x:f>IF(E46=0,0,'Вводные'!$B$62*'Вводные'!$S$89*'Вводные'!$H$5*'Вводные'!$AG$89*(1+'Вводные'!$B$64)^MAX(0,MIN((12*(YEAR(E$3)-YEAR($B$30))+MONTH(E$3)-MONTH($B$30)),(12*(YEAR($B$31)-YEAR($B$30))+MONTH($B$31)-MONTH($B$30))))*(1+'Вводные'!$B$65)^MAX(0,(12*(YEAR(E$3)-YEAR($B$31))+MONTH(E$3)-MONTH($B$31))))</x:f>
      </x:c>
      <x:c r="F47" s="107" t="n">
        <x:f>IF(F46=0,0,'Вводные'!$B$62*'Вводные'!$S$89*'Вводные'!$H$5*'Вводные'!$AG$89*(1+'Вводные'!$B$64)^MAX(0,MIN((12*(YEAR(F$3)-YEAR($B$30))+MONTH(F$3)-MONTH($B$30)),(12*(YEAR($B$31)-YEAR($B$30))+MONTH($B$31)-MONTH($B$30))))*(1+'Вводные'!$B$65)^MAX(0,(12*(YEAR(F$3)-YEAR($B$31))+MONTH(F$3)-MONTH($B$31))))</x:f>
      </x:c>
      <x:c r="G47" s="107" t="n">
        <x:f>IF(G46=0,0,'Вводные'!$B$62*'Вводные'!$S$89*'Вводные'!$H$5*'Вводные'!$AG$89*(1+'Вводные'!$B$64)^MAX(0,MIN((12*(YEAR(G$3)-YEAR($B$30))+MONTH(G$3)-MONTH($B$30)),(12*(YEAR($B$31)-YEAR($B$30))+MONTH($B$31)-MONTH($B$30))))*(1+'Вводные'!$B$65)^MAX(0,(12*(YEAR(G$3)-YEAR($B$31))+MONTH(G$3)-MONTH($B$31))))</x:f>
      </x:c>
      <x:c r="H47" s="107" t="n">
        <x:f>IF(H46=0,0,'Вводные'!$B$62*'Вводные'!$S$89*'Вводные'!$H$5*'Вводные'!$AG$89*(1+'Вводные'!$B$64)^MAX(0,MIN((12*(YEAR(H$3)-YEAR($B$30))+MONTH(H$3)-MONTH($B$30)),(12*(YEAR($B$31)-YEAR($B$30))+MONTH($B$31)-MONTH($B$30))))*(1+'Вводные'!$B$65)^MAX(0,(12*(YEAR(H$3)-YEAR($B$31))+MONTH(H$3)-MONTH($B$31))))</x:f>
      </x:c>
      <x:c r="I47" s="107" t="n">
        <x:f>IF(I46=0,0,'Вводные'!$B$62*'Вводные'!$S$89*'Вводные'!$H$5*'Вводные'!$AG$89*(1+'Вводные'!$B$64)^MAX(0,MIN((12*(YEAR(I$3)-YEAR($B$30))+MONTH(I$3)-MONTH($B$30)),(12*(YEAR($B$31)-YEAR($B$30))+MONTH($B$31)-MONTH($B$30))))*(1+'Вводные'!$B$65)^MAX(0,(12*(YEAR(I$3)-YEAR($B$31))+MONTH(I$3)-MONTH($B$31))))</x:f>
      </x:c>
      <x:c r="J47" s="107" t="n">
        <x:f>IF(J46=0,0,'Вводные'!$B$62*'Вводные'!$S$89*'Вводные'!$H$5*'Вводные'!$AG$89*(1+'Вводные'!$B$64)^MAX(0,MIN((12*(YEAR(J$3)-YEAR($B$30))+MONTH(J$3)-MONTH($B$30)),(12*(YEAR($B$31)-YEAR($B$30))+MONTH($B$31)-MONTH($B$30))))*(1+'Вводные'!$B$65)^MAX(0,(12*(YEAR(J$3)-YEAR($B$31))+MONTH(J$3)-MONTH($B$31))))</x:f>
      </x:c>
      <x:c r="K47" s="107" t="n">
        <x:f>IF(K46=0,0,'Вводные'!$B$62*'Вводные'!$S$89*'Вводные'!$H$5*'Вводные'!$AG$89*(1+'Вводные'!$B$64)^MAX(0,MIN((12*(YEAR(K$3)-YEAR($B$30))+MONTH(K$3)-MONTH($B$30)),(12*(YEAR($B$31)-YEAR($B$30))+MONTH($B$31)-MONTH($B$30))))*(1+'Вводные'!$B$65)^MAX(0,(12*(YEAR(K$3)-YEAR($B$31))+MONTH(K$3)-MONTH($B$31))))</x:f>
      </x:c>
      <x:c r="L47" s="107" t="n">
        <x:f>IF(L46=0,0,'Вводные'!$B$62*'Вводные'!$S$89*'Вводные'!$H$5*'Вводные'!$AG$89*(1+'Вводные'!$B$64)^MAX(0,MIN((12*(YEAR(L$3)-YEAR($B$30))+MONTH(L$3)-MONTH($B$30)),(12*(YEAR($B$31)-YEAR($B$30))+MONTH($B$31)-MONTH($B$30))))*(1+'Вводные'!$B$65)^MAX(0,(12*(YEAR(L$3)-YEAR($B$31))+MONTH(L$3)-MONTH($B$31))))</x:f>
      </x:c>
      <x:c r="M47" s="107" t="n">
        <x:f>IF(M46=0,0,'Вводные'!$B$62*'Вводные'!$S$89*'Вводные'!$H$5*'Вводные'!$AG$89*(1+'Вводные'!$B$64)^MAX(0,MIN((12*(YEAR(M$3)-YEAR($B$30))+MONTH(M$3)-MONTH($B$30)),(12*(YEAR($B$31)-YEAR($B$30))+MONTH($B$31)-MONTH($B$30))))*(1+'Вводные'!$B$65)^MAX(0,(12*(YEAR(M$3)-YEAR($B$31))+MONTH(M$3)-MONTH($B$31))))</x:f>
      </x:c>
      <x:c r="N47" s="107" t="n">
        <x:f>IF(N46=0,0,'Вводные'!$B$62*'Вводные'!$S$89*'Вводные'!$H$5*'Вводные'!$AG$89*(1+'Вводные'!$B$64)^MAX(0,MIN((12*(YEAR(N$3)-YEAR($B$30))+MONTH(N$3)-MONTH($B$30)),(12*(YEAR($B$31)-YEAR($B$30))+MONTH($B$31)-MONTH($B$30))))*(1+'Вводные'!$B$65)^MAX(0,(12*(YEAR(N$3)-YEAR($B$31))+MONTH(N$3)-MONTH($B$31))))</x:f>
      </x:c>
      <x:c r="O47" s="107" t="n">
        <x:f>IF(O46=0,0,'Вводные'!$B$62*'Вводные'!$S$89*'Вводные'!$H$5*'Вводные'!$AG$89*(1+'Вводные'!$B$64)^MAX(0,MIN((12*(YEAR(O$3)-YEAR($B$30))+MONTH(O$3)-MONTH($B$30)),(12*(YEAR($B$31)-YEAR($B$30))+MONTH($B$31)-MONTH($B$30))))*(1+'Вводные'!$B$65)^MAX(0,(12*(YEAR(O$3)-YEAR($B$31))+MONTH(O$3)-MONTH($B$31))))</x:f>
      </x:c>
      <x:c r="P47" s="107" t="n">
        <x:f>IF(P46=0,0,'Вводные'!$B$62*'Вводные'!$S$89*'Вводные'!$H$5*'Вводные'!$AG$89*(1+'Вводные'!$B$64)^MAX(0,MIN((12*(YEAR(P$3)-YEAR($B$30))+MONTH(P$3)-MONTH($B$30)),(12*(YEAR($B$31)-YEAR($B$30))+MONTH($B$31)-MONTH($B$30))))*(1+'Вводные'!$B$65)^MAX(0,(12*(YEAR(P$3)-YEAR($B$31))+MONTH(P$3)-MONTH($B$31))))</x:f>
      </x:c>
      <x:c r="Q47" s="107" t="n">
        <x:f>IF(Q46=0,0,'Вводные'!$B$62*'Вводные'!$S$89*'Вводные'!$H$5*'Вводные'!$AG$89*(1+'Вводные'!$B$64)^MAX(0,MIN((12*(YEAR(Q$3)-YEAR($B$30))+MONTH(Q$3)-MONTH($B$30)),(12*(YEAR($B$31)-YEAR($B$30))+MONTH($B$31)-MONTH($B$30))))*(1+'Вводные'!$B$65)^MAX(0,(12*(YEAR(Q$3)-YEAR($B$31))+MONTH(Q$3)-MONTH($B$31))))</x:f>
      </x:c>
      <x:c r="R47" s="107" t="n">
        <x:f>IF(R46=0,0,'Вводные'!$B$62*'Вводные'!$S$89*'Вводные'!$H$5*'Вводные'!$AG$89*(1+'Вводные'!$B$64)^MAX(0,MIN((12*(YEAR(R$3)-YEAR($B$30))+MONTH(R$3)-MONTH($B$30)),(12*(YEAR($B$31)-YEAR($B$30))+MONTH($B$31)-MONTH($B$30))))*(1+'Вводные'!$B$65)^MAX(0,(12*(YEAR(R$3)-YEAR($B$31))+MONTH(R$3)-MONTH($B$31))))</x:f>
      </x:c>
      <x:c r="S47" s="107" t="n">
        <x:f>IF(S46=0,0,'Вводные'!$B$62*'Вводные'!$S$89*'Вводные'!$H$5*'Вводные'!$AG$89*(1+'Вводные'!$B$64)^MAX(0,MIN((12*(YEAR(S$3)-YEAR($B$30))+MONTH(S$3)-MONTH($B$30)),(12*(YEAR($B$31)-YEAR($B$30))+MONTH($B$31)-MONTH($B$30))))*(1+'Вводные'!$B$65)^MAX(0,(12*(YEAR(S$3)-YEAR($B$31))+MONTH(S$3)-MONTH($B$31))))</x:f>
      </x:c>
      <x:c r="T47" s="107" t="n">
        <x:f>IF(T46=0,0,'Вводные'!$B$62*'Вводные'!$S$89*'Вводные'!$H$5*'Вводные'!$AG$89*(1+'Вводные'!$B$64)^MAX(0,MIN((12*(YEAR(T$3)-YEAR($B$30))+MONTH(T$3)-MONTH($B$30)),(12*(YEAR($B$31)-YEAR($B$30))+MONTH($B$31)-MONTH($B$30))))*(1+'Вводные'!$B$65)^MAX(0,(12*(YEAR(T$3)-YEAR($B$31))+MONTH(T$3)-MONTH($B$31))))</x:f>
      </x:c>
      <x:c r="U47" s="107" t="n">
        <x:f>IF(U46=0,0,'Вводные'!$B$62*'Вводные'!$S$89*'Вводные'!$H$5*'Вводные'!$AG$89*(1+'Вводные'!$B$64)^MAX(0,MIN((12*(YEAR(U$3)-YEAR($B$30))+MONTH(U$3)-MONTH($B$30)),(12*(YEAR($B$31)-YEAR($B$30))+MONTH($B$31)-MONTH($B$30))))*(1+'Вводные'!$B$65)^MAX(0,(12*(YEAR(U$3)-YEAR($B$31))+MONTH(U$3)-MONTH($B$31))))</x:f>
      </x:c>
      <x:c r="V47" s="107" t="n">
        <x:f>IF(V46=0,0,'Вводные'!$B$62*'Вводные'!$S$89*'Вводные'!$H$5*'Вводные'!$AG$89*(1+'Вводные'!$B$64)^MAX(0,MIN((12*(YEAR(V$3)-YEAR($B$30))+MONTH(V$3)-MONTH($B$30)),(12*(YEAR($B$31)-YEAR($B$30))+MONTH($B$31)-MONTH($B$30))))*(1+'Вводные'!$B$65)^MAX(0,(12*(YEAR(V$3)-YEAR($B$31))+MONTH(V$3)-MONTH($B$31))))</x:f>
      </x:c>
      <x:c r="W47" s="107" t="n">
        <x:f>IF(W46=0,0,'Вводные'!$B$62*'Вводные'!$S$89*'Вводные'!$H$5*'Вводные'!$AG$89*(1+'Вводные'!$B$64)^MAX(0,MIN((12*(YEAR(W$3)-YEAR($B$30))+MONTH(W$3)-MONTH($B$30)),(12*(YEAR($B$31)-YEAR($B$30))+MONTH($B$31)-MONTH($B$30))))*(1+'Вводные'!$B$65)^MAX(0,(12*(YEAR(W$3)-YEAR($B$31))+MONTH(W$3)-MONTH($B$31))))</x:f>
      </x:c>
      <x:c r="X47" s="107" t="n">
        <x:f>IF(X46=0,0,'Вводные'!$B$62*'Вводные'!$S$89*'Вводные'!$H$5*'Вводные'!$AG$89*(1+'Вводные'!$B$64)^MAX(0,MIN((12*(YEAR(X$3)-YEAR($B$30))+MONTH(X$3)-MONTH($B$30)),(12*(YEAR($B$31)-YEAR($B$30))+MONTH($B$31)-MONTH($B$30))))*(1+'Вводные'!$B$65)^MAX(0,(12*(YEAR(X$3)-YEAR($B$31))+MONTH(X$3)-MONTH($B$31))))</x:f>
      </x:c>
      <x:c r="Y47" s="107" t="n">
        <x:f>IF(Y46=0,0,'Вводные'!$B$62*'Вводные'!$S$89*'Вводные'!$H$5*'Вводные'!$AG$89*(1+'Вводные'!$B$64)^MAX(0,MIN((12*(YEAR(Y$3)-YEAR($B$30))+MONTH(Y$3)-MONTH($B$30)),(12*(YEAR($B$31)-YEAR($B$30))+MONTH($B$31)-MONTH($B$30))))*(1+'Вводные'!$B$65)^MAX(0,(12*(YEAR(Y$3)-YEAR($B$31))+MONTH(Y$3)-MONTH($B$31))))</x:f>
      </x:c>
      <x:c r="Z47" s="107" t="n">
        <x:f>IF(Z46=0,0,'Вводные'!$B$62*'Вводные'!$S$89*'Вводные'!$H$5*'Вводные'!$AG$89*(1+'Вводные'!$B$64)^MAX(0,MIN((12*(YEAR(Z$3)-YEAR($B$30))+MONTH(Z$3)-MONTH($B$30)),(12*(YEAR($B$31)-YEAR($B$30))+MONTH($B$31)-MONTH($B$30))))*(1+'Вводные'!$B$65)^MAX(0,(12*(YEAR(Z$3)-YEAR($B$31))+MONTH(Z$3)-MONTH($B$31))))</x:f>
      </x:c>
      <x:c r="AA47" s="107" t="n">
        <x:f>IF(AA46=0,0,'Вводные'!$B$62*'Вводные'!$S$89*'Вводные'!$H$5*'Вводные'!$AG$89*(1+'Вводные'!$B$64)^MAX(0,MIN((12*(YEAR(AA$3)-YEAR($B$30))+MONTH(AA$3)-MONTH($B$30)),(12*(YEAR($B$31)-YEAR($B$30))+MONTH($B$31)-MONTH($B$30))))*(1+'Вводные'!$B$65)^MAX(0,(12*(YEAR(AA$3)-YEAR($B$31))+MONTH(AA$3)-MONTH($B$31))))</x:f>
      </x:c>
      <x:c r="AB47" s="107" t="n">
        <x:f>IF(AB46=0,0,'Вводные'!$B$62*'Вводные'!$S$89*'Вводные'!$H$5*'Вводные'!$AG$89*(1+'Вводные'!$B$64)^MAX(0,MIN((12*(YEAR(AB$3)-YEAR($B$30))+MONTH(AB$3)-MONTH($B$30)),(12*(YEAR($B$31)-YEAR($B$30))+MONTH($B$31)-MONTH($B$30))))*(1+'Вводные'!$B$65)^MAX(0,(12*(YEAR(AB$3)-YEAR($B$31))+MONTH(AB$3)-MONTH($B$31))))</x:f>
      </x:c>
      <x:c r="AC47" s="107" t="n">
        <x:f>IF(AC46=0,0,'Вводные'!$B$62*'Вводные'!$S$89*'Вводные'!$H$5*'Вводные'!$AG$89*(1+'Вводные'!$B$64)^MAX(0,MIN((12*(YEAR(AC$3)-YEAR($B$30))+MONTH(AC$3)-MONTH($B$30)),(12*(YEAR($B$31)-YEAR($B$30))+MONTH($B$31)-MONTH($B$30))))*(1+'Вводные'!$B$65)^MAX(0,(12*(YEAR(AC$3)-YEAR($B$31))+MONTH(AC$3)-MONTH($B$31))))</x:f>
      </x:c>
      <x:c r="AD47" s="107" t="n">
        <x:f>IF(AD46=0,0,'Вводные'!$B$62*'Вводные'!$S$89*'Вводные'!$H$5*'Вводные'!$AG$89*(1+'Вводные'!$B$64)^MAX(0,MIN((12*(YEAR(AD$3)-YEAR($B$30))+MONTH(AD$3)-MONTH($B$30)),(12*(YEAR($B$31)-YEAR($B$30))+MONTH($B$31)-MONTH($B$30))))*(1+'Вводные'!$B$65)^MAX(0,(12*(YEAR(AD$3)-YEAR($B$31))+MONTH(AD$3)-MONTH($B$31))))</x:f>
      </x:c>
      <x:c r="AE47" s="107" t="n">
        <x:f>IF(AE46=0,0,'Вводные'!$B$62*'Вводные'!$S$89*'Вводные'!$H$5*'Вводные'!$AG$89*(1+'Вводные'!$B$64)^MAX(0,MIN((12*(YEAR(AE$3)-YEAR($B$30))+MONTH(AE$3)-MONTH($B$30)),(12*(YEAR($B$31)-YEAR($B$30))+MONTH($B$31)-MONTH($B$30))))*(1+'Вводные'!$B$65)^MAX(0,(12*(YEAR(AE$3)-YEAR($B$31))+MONTH(AE$3)-MONTH($B$31))))</x:f>
      </x:c>
      <x:c r="AF47" s="107" t="n">
        <x:f>IF(AF46=0,0,'Вводные'!$B$62*'Вводные'!$S$89*'Вводные'!$H$5*'Вводные'!$AG$89*(1+'Вводные'!$B$64)^MAX(0,MIN((12*(YEAR(AF$3)-YEAR($B$30))+MONTH(AF$3)-MONTH($B$30)),(12*(YEAR($B$31)-YEAR($B$30))+MONTH($B$31)-MONTH($B$30))))*(1+'Вводные'!$B$65)^MAX(0,(12*(YEAR(AF$3)-YEAR($B$31))+MONTH(AF$3)-MONTH($B$31))))</x:f>
      </x:c>
      <x:c r="AG47" s="107" t="n">
        <x:f>IF(AG46=0,0,'Вводные'!$B$62*'Вводные'!$S$89*'Вводные'!$H$5*'Вводные'!$AG$89*(1+'Вводные'!$B$64)^MAX(0,MIN((12*(YEAR(AG$3)-YEAR($B$30))+MONTH(AG$3)-MONTH($B$30)),(12*(YEAR($B$31)-YEAR($B$30))+MONTH($B$31)-MONTH($B$30))))*(1+'Вводные'!$B$65)^MAX(0,(12*(YEAR(AG$3)-YEAR($B$31))+MONTH(AG$3)-MONTH($B$31))))</x:f>
      </x:c>
      <x:c r="AH47" s="107" t="n">
        <x:f>IF(AH46=0,0,'Вводные'!$B$62*'Вводные'!$S$89*'Вводные'!$H$5*'Вводные'!$AG$89*(1+'Вводные'!$B$64)^MAX(0,MIN((12*(YEAR(AH$3)-YEAR($B$30))+MONTH(AH$3)-MONTH($B$30)),(12*(YEAR($B$31)-YEAR($B$30))+MONTH($B$31)-MONTH($B$30))))*(1+'Вводные'!$B$65)^MAX(0,(12*(YEAR(AH$3)-YEAR($B$31))+MONTH(AH$3)-MONTH($B$31))))</x:f>
      </x:c>
      <x:c r="AI47" s="107" t="n">
        <x:f>IF(AI46=0,0,'Вводные'!$B$62*'Вводные'!$S$89*'Вводные'!$H$5*'Вводные'!$AG$89*(1+'Вводные'!$B$64)^MAX(0,MIN((12*(YEAR(AI$3)-YEAR($B$30))+MONTH(AI$3)-MONTH($B$30)),(12*(YEAR($B$31)-YEAR($B$30))+MONTH($B$31)-MONTH($B$30))))*(1+'Вводные'!$B$65)^MAX(0,(12*(YEAR(AI$3)-YEAR($B$31))+MONTH(AI$3)-MONTH($B$31))))</x:f>
      </x:c>
      <x:c r="AJ47" s="107" t="n">
        <x:f>IF(AJ46=0,0,'Вводные'!$B$62*'Вводные'!$S$89*'Вводные'!$H$5*'Вводные'!$AG$89*(1+'Вводные'!$B$64)^MAX(0,MIN((12*(YEAR(AJ$3)-YEAR($B$30))+MONTH(AJ$3)-MONTH($B$30)),(12*(YEAR($B$31)-YEAR($B$30))+MONTH($B$31)-MONTH($B$30))))*(1+'Вводные'!$B$65)^MAX(0,(12*(YEAR(AJ$3)-YEAR($B$31))+MONTH(AJ$3)-MONTH($B$31))))</x:f>
      </x:c>
      <x:c r="AK47" s="107" t="n">
        <x:f>IF(AK46=0,0,'Вводные'!$B$62*'Вводные'!$S$89*'Вводные'!$H$5*'Вводные'!$AG$89*(1+'Вводные'!$B$64)^MAX(0,MIN((12*(YEAR(AK$3)-YEAR($B$30))+MONTH(AK$3)-MONTH($B$30)),(12*(YEAR($B$31)-YEAR($B$30))+MONTH($B$31)-MONTH($B$30))))*(1+'Вводные'!$B$65)^MAX(0,(12*(YEAR(AK$3)-YEAR($B$31))+MONTH(AK$3)-MONTH($B$31))))</x:f>
      </x:c>
      <x:c r="AL47" s="107" t="n">
        <x:f>IF(AL46=0,0,'Вводные'!$B$62*'Вводные'!$S$89*'Вводные'!$H$5*'Вводные'!$AG$89*(1+'Вводные'!$B$64)^MAX(0,MIN((12*(YEAR(AL$3)-YEAR($B$30))+MONTH(AL$3)-MONTH($B$30)),(12*(YEAR($B$31)-YEAR($B$30))+MONTH($B$31)-MONTH($B$30))))*(1+'Вводные'!$B$65)^MAX(0,(12*(YEAR(AL$3)-YEAR($B$31))+MONTH(AL$3)-MONTH($B$31))))</x:f>
      </x:c>
      <x:c r="AM47" s="107" t="n">
        <x:f>IF(AM46=0,0,'Вводные'!$B$62*'Вводные'!$S$89*'Вводные'!$H$5*'Вводные'!$AG$89*(1+'Вводные'!$B$64)^MAX(0,MIN((12*(YEAR(AM$3)-YEAR($B$30))+MONTH(AM$3)-MONTH($B$30)),(12*(YEAR($B$31)-YEAR($B$30))+MONTH($B$31)-MONTH($B$30))))*(1+'Вводные'!$B$65)^MAX(0,(12*(YEAR(AM$3)-YEAR($B$31))+MONTH(AM$3)-MONTH($B$31))))</x:f>
      </x:c>
      <x:c r="AN47" s="107" t="n">
        <x:f>IF(AN46=0,0,'Вводные'!$B$62*'Вводные'!$S$89*'Вводные'!$H$5*'Вводные'!$AG$89*(1+'Вводные'!$B$64)^MAX(0,MIN((12*(YEAR(AN$3)-YEAR($B$30))+MONTH(AN$3)-MONTH($B$30)),(12*(YEAR($B$31)-YEAR($B$30))+MONTH($B$31)-MONTH($B$30))))*(1+'Вводные'!$B$65)^MAX(0,(12*(YEAR(AN$3)-YEAR($B$31))+MONTH(AN$3)-MONTH($B$31))))</x:f>
      </x:c>
      <x:c r="AO47" s="107" t="n">
        <x:f>IF(AO46=0,0,'Вводные'!$B$62*'Вводные'!$S$89*'Вводные'!$H$5*'Вводные'!$AG$89*(1+'Вводные'!$B$64)^MAX(0,MIN((12*(YEAR(AO$3)-YEAR($B$30))+MONTH(AO$3)-MONTH($B$30)),(12*(YEAR($B$31)-YEAR($B$30))+MONTH($B$31)-MONTH($B$30))))*(1+'Вводные'!$B$65)^MAX(0,(12*(YEAR(AO$3)-YEAR($B$31))+MONTH(AO$3)-MONTH($B$31))))</x:f>
      </x:c>
      <x:c r="AP47" s="107" t="n">
        <x:f>IF(AP46=0,0,'Вводные'!$B$62*'Вводные'!$S$89*'Вводные'!$H$5*'Вводные'!$AG$89*(1+'Вводные'!$B$64)^MAX(0,MIN((12*(YEAR(AP$3)-YEAR($B$30))+MONTH(AP$3)-MONTH($B$30)),(12*(YEAR($B$31)-YEAR($B$30))+MONTH($B$31)-MONTH($B$30))))*(1+'Вводные'!$B$65)^MAX(0,(12*(YEAR(AP$3)-YEAR($B$31))+MONTH(AP$3)-MONTH($B$31))))</x:f>
      </x:c>
      <x:c r="AQ47" s="107" t="n">
        <x:f>IF(AQ46=0,0,'Вводные'!$B$62*'Вводные'!$S$89*'Вводные'!$H$5*'Вводные'!$AG$89*(1+'Вводные'!$B$64)^MAX(0,MIN((12*(YEAR(AQ$3)-YEAR($B$30))+MONTH(AQ$3)-MONTH($B$30)),(12*(YEAR($B$31)-YEAR($B$30))+MONTH($B$31)-MONTH($B$30))))*(1+'Вводные'!$B$65)^MAX(0,(12*(YEAR(AQ$3)-YEAR($B$31))+MONTH(AQ$3)-MONTH($B$31))))</x:f>
      </x:c>
      <x:c r="AR47" s="107" t="n">
        <x:f>IF(AR46=0,0,'Вводные'!$B$62*'Вводные'!$S$89*'Вводные'!$H$5*'Вводные'!$AG$89*(1+'Вводные'!$B$64)^MAX(0,MIN((12*(YEAR(AR$3)-YEAR($B$30))+MONTH(AR$3)-MONTH($B$30)),(12*(YEAR($B$31)-YEAR($B$30))+MONTH($B$31)-MONTH($B$30))))*(1+'Вводные'!$B$65)^MAX(0,(12*(YEAR(AR$3)-YEAR($B$31))+MONTH(AR$3)-MONTH($B$31))))</x:f>
      </x:c>
      <x:c r="AS47" s="107" t="n">
        <x:f>IF(AS46=0,0,'Вводные'!$B$62*'Вводные'!$S$89*'Вводные'!$H$5*'Вводные'!$AG$89*(1+'Вводные'!$B$64)^MAX(0,MIN((12*(YEAR(AS$3)-YEAR($B$30))+MONTH(AS$3)-MONTH($B$30)),(12*(YEAR($B$31)-YEAR($B$30))+MONTH($B$31)-MONTH($B$30))))*(1+'Вводные'!$B$65)^MAX(0,(12*(YEAR(AS$3)-YEAR($B$31))+MONTH(AS$3)-MONTH($B$31))))</x:f>
      </x:c>
      <x:c r="AT47" s="107" t="n">
        <x:f>IF(AT46=0,0,'Вводные'!$B$62*'Вводные'!$S$89*'Вводные'!$H$5*'Вводные'!$AG$89*(1+'Вводные'!$B$64)^MAX(0,MIN((12*(YEAR(AT$3)-YEAR($B$30))+MONTH(AT$3)-MONTH($B$30)),(12*(YEAR($B$31)-YEAR($B$30))+MONTH($B$31)-MONTH($B$30))))*(1+'Вводные'!$B$65)^MAX(0,(12*(YEAR(AT$3)-YEAR($B$31))+MONTH(AT$3)-MONTH($B$31))))</x:f>
      </x:c>
      <x:c r="AU47" s="107" t="n">
        <x:f>IF(AU46=0,0,'Вводные'!$B$62*'Вводные'!$S$89*'Вводные'!$H$5*'Вводные'!$AG$89*(1+'Вводные'!$B$64)^MAX(0,MIN((12*(YEAR(AU$3)-YEAR($B$30))+MONTH(AU$3)-MONTH($B$30)),(12*(YEAR($B$31)-YEAR($B$30))+MONTH($B$31)-MONTH($B$30))))*(1+'Вводные'!$B$65)^MAX(0,(12*(YEAR(AU$3)-YEAR($B$31))+MONTH(AU$3)-MONTH($B$31))))</x:f>
      </x:c>
      <x:c r="AV47" s="107" t="n">
        <x:f>IF(AV46=0,0,'Вводные'!$B$62*'Вводные'!$S$89*'Вводные'!$H$5*'Вводные'!$AG$89*(1+'Вводные'!$B$64)^MAX(0,MIN((12*(YEAR(AV$3)-YEAR($B$30))+MONTH(AV$3)-MONTH($B$30)),(12*(YEAR($B$31)-YEAR($B$30))+MONTH($B$31)-MONTH($B$30))))*(1+'Вводные'!$B$65)^MAX(0,(12*(YEAR(AV$3)-YEAR($B$31))+MONTH(AV$3)-MONTH($B$31))))</x:f>
      </x:c>
      <x:c r="AW47" s="107" t="n">
        <x:f>IF(AW46=0,0,'Вводные'!$B$62*'Вводные'!$S$89*'Вводные'!$H$5*'Вводные'!$AG$89*(1+'Вводные'!$B$64)^MAX(0,MIN((12*(YEAR(AW$3)-YEAR($B$30))+MONTH(AW$3)-MONTH($B$30)),(12*(YEAR($B$31)-YEAR($B$30))+MONTH($B$31)-MONTH($B$30))))*(1+'Вводные'!$B$65)^MAX(0,(12*(YEAR(AW$3)-YEAR($B$31))+MONTH(AW$3)-MONTH($B$31))))</x:f>
      </x:c>
      <x:c r="AX47" s="107" t="n">
        <x:f>IF(AX46=0,0,'Вводные'!$B$62*'Вводные'!$S$89*'Вводные'!$H$5*'Вводные'!$AG$89*(1+'Вводные'!$B$64)^MAX(0,MIN((12*(YEAR(AX$3)-YEAR($B$30))+MONTH(AX$3)-MONTH($B$30)),(12*(YEAR($B$31)-YEAR($B$30))+MONTH($B$31)-MONTH($B$30))))*(1+'Вводные'!$B$65)^MAX(0,(12*(YEAR(AX$3)-YEAR($B$31))+MONTH(AX$3)-MONTH($B$31))))</x:f>
      </x:c>
      <x:c r="AY47" s="107" t="n">
        <x:f>IF(AY46=0,0,'Вводные'!$B$62*'Вводные'!$S$89*'Вводные'!$H$5*'Вводные'!$AG$89*(1+'Вводные'!$B$64)^MAX(0,MIN((12*(YEAR(AY$3)-YEAR($B$30))+MONTH(AY$3)-MONTH($B$30)),(12*(YEAR($B$31)-YEAR($B$30))+MONTH($B$31)-MONTH($B$30))))*(1+'Вводные'!$B$65)^MAX(0,(12*(YEAR(AY$3)-YEAR($B$31))+MONTH(AY$3)-MONTH($B$31))))</x:f>
      </x:c>
      <x:c r="AZ47" s="107" t="n">
        <x:f>IF(AZ46=0,0,'Вводные'!$B$62*'Вводные'!$S$89*'Вводные'!$H$5*'Вводные'!$AG$89*(1+'Вводные'!$B$64)^MAX(0,MIN((12*(YEAR(AZ$3)-YEAR($B$30))+MONTH(AZ$3)-MONTH($B$30)),(12*(YEAR($B$31)-YEAR($B$30))+MONTH($B$31)-MONTH($B$30))))*(1+'Вводные'!$B$65)^MAX(0,(12*(YEAR(AZ$3)-YEAR($B$31))+MONTH(AZ$3)-MONTH($B$31))))</x:f>
      </x:c>
      <x:c r="BA47" s="107" t="n">
        <x:f>IF(BA46=0,0,'Вводные'!$B$62*'Вводные'!$S$89*'Вводные'!$H$5*'Вводные'!$AG$89*(1+'Вводные'!$B$64)^MAX(0,MIN((12*(YEAR(BA$3)-YEAR($B$30))+MONTH(BA$3)-MONTH($B$30)),(12*(YEAR($B$31)-YEAR($B$30))+MONTH($B$31)-MONTH($B$30))))*(1+'Вводные'!$B$65)^MAX(0,(12*(YEAR(BA$3)-YEAR($B$31))+MONTH(BA$3)-MONTH($B$31))))</x:f>
      </x:c>
      <x:c r="BB47" s="107" t="n">
        <x:f>IF(BB46=0,0,'Вводные'!$B$62*'Вводные'!$S$89*'Вводные'!$H$5*'Вводные'!$AG$89*(1+'Вводные'!$B$64)^MAX(0,MIN((12*(YEAR(BB$3)-YEAR($B$30))+MONTH(BB$3)-MONTH($B$30)),(12*(YEAR($B$31)-YEAR($B$30))+MONTH($B$31)-MONTH($B$30))))*(1+'Вводные'!$B$65)^MAX(0,(12*(YEAR(BB$3)-YEAR($B$31))+MONTH(BB$3)-MONTH($B$31))))</x:f>
      </x:c>
      <x:c r="BC47" s="107" t="n">
        <x:f>IF(BC46=0,0,'Вводные'!$B$62*'Вводные'!$S$89*'Вводные'!$H$5*'Вводные'!$AG$89*(1+'Вводные'!$B$64)^MAX(0,MIN((12*(YEAR(BC$3)-YEAR($B$30))+MONTH(BC$3)-MONTH($B$30)),(12*(YEAR($B$31)-YEAR($B$30))+MONTH($B$31)-MONTH($B$30))))*(1+'Вводные'!$B$65)^MAX(0,(12*(YEAR(BC$3)-YEAR($B$31))+MONTH(BC$3)-MONTH($B$31))))</x:f>
      </x:c>
      <x:c r="BD47" s="107" t="n">
        <x:f>IF(BD46=0,0,'Вводные'!$B$62*'Вводные'!$S$89*'Вводные'!$H$5*'Вводные'!$AG$89*(1+'Вводные'!$B$64)^MAX(0,MIN((12*(YEAR(BD$3)-YEAR($B$30))+MONTH(BD$3)-MONTH($B$30)),(12*(YEAR($B$31)-YEAR($B$30))+MONTH($B$31)-MONTH($B$30))))*(1+'Вводные'!$B$65)^MAX(0,(12*(YEAR(BD$3)-YEAR($B$31))+MONTH(BD$3)-MONTH($B$31))))</x:f>
      </x:c>
      <x:c r="BE47" s="107" t="n">
        <x:f>IF(BE46=0,0,'Вводные'!$B$62*'Вводные'!$S$89*'Вводные'!$H$5*'Вводные'!$AG$89*(1+'Вводные'!$B$64)^MAX(0,MIN((12*(YEAR(BE$3)-YEAR($B$30))+MONTH(BE$3)-MONTH($B$30)),(12*(YEAR($B$31)-YEAR($B$30))+MONTH($B$31)-MONTH($B$30))))*(1+'Вводные'!$B$65)^MAX(0,(12*(YEAR(BE$3)-YEAR($B$31))+MONTH(BE$3)-MONTH($B$31))))</x:f>
      </x:c>
      <x:c r="BF47" s="107" t="n">
        <x:f>IF(BF46=0,0,'Вводные'!$B$62*'Вводные'!$S$89*'Вводные'!$H$5*'Вводные'!$AG$89*(1+'Вводные'!$B$64)^MAX(0,MIN((12*(YEAR(BF$3)-YEAR($B$30))+MONTH(BF$3)-MONTH($B$30)),(12*(YEAR($B$31)-YEAR($B$30))+MONTH($B$31)-MONTH($B$30))))*(1+'Вводные'!$B$65)^MAX(0,(12*(YEAR(BF$3)-YEAR($B$31))+MONTH(BF$3)-MONTH($B$31))))</x:f>
      </x:c>
      <x:c r="BG47" s="107" t="n">
        <x:f>IF(BG46=0,0,'Вводные'!$B$62*'Вводные'!$S$89*'Вводные'!$H$5*'Вводные'!$AG$89*(1+'Вводные'!$B$64)^MAX(0,MIN((12*(YEAR(BG$3)-YEAR($B$30))+MONTH(BG$3)-MONTH($B$30)),(12*(YEAR($B$31)-YEAR($B$30))+MONTH($B$31)-MONTH($B$30))))*(1+'Вводные'!$B$65)^MAX(0,(12*(YEAR(BG$3)-YEAR($B$31))+MONTH(BG$3)-MONTH($B$31))))</x:f>
      </x:c>
      <x:c r="BH47" s="107" t="n">
        <x:f>IF(BH46=0,0,'Вводные'!$B$62*'Вводные'!$S$89*'Вводные'!$H$5*'Вводные'!$AG$89*(1+'Вводные'!$B$64)^MAX(0,MIN((12*(YEAR(BH$3)-YEAR($B$30))+MONTH(BH$3)-MONTH($B$30)),(12*(YEAR($B$31)-YEAR($B$30))+MONTH($B$31)-MONTH($B$30))))*(1+'Вводные'!$B$65)^MAX(0,(12*(YEAR(BH$3)-YEAR($B$31))+MONTH(BH$3)-MONTH($B$31))))</x:f>
      </x:c>
      <x:c r="BI47" s="107" t="n">
        <x:f>IF(BI46=0,0,'Вводные'!$B$62*'Вводные'!$S$89*'Вводные'!$H$5*'Вводные'!$AG$89*(1+'Вводные'!$B$64)^MAX(0,MIN((12*(YEAR(BI$3)-YEAR($B$30))+MONTH(BI$3)-MONTH($B$30)),(12*(YEAR($B$31)-YEAR($B$30))+MONTH($B$31)-MONTH($B$30))))*(1+'Вводные'!$B$65)^MAX(0,(12*(YEAR(BI$3)-YEAR($B$31))+MONTH(BI$3)-MONTH($B$31))))</x:f>
      </x:c>
      <x:c r="BJ47" s="107" t="n">
        <x:f>IF(BJ46=0,0,'Вводные'!$B$62*'Вводные'!$S$89*'Вводные'!$H$5*'Вводные'!$AG$89*(1+'Вводные'!$B$64)^MAX(0,MIN((12*(YEAR(BJ$3)-YEAR($B$30))+MONTH(BJ$3)-MONTH($B$30)),(12*(YEAR($B$31)-YEAR($B$30))+MONTH($B$31)-MONTH($B$30))))*(1+'Вводные'!$B$65)^MAX(0,(12*(YEAR(BJ$3)-YEAR($B$31))+MONTH(BJ$3)-MONTH($B$31))))</x:f>
      </x:c>
      <x:c r="BK47" s="107" t="n">
        <x:f>IF(BK46=0,0,'Вводные'!$B$62*'Вводные'!$S$89*'Вводные'!$H$5*'Вводные'!$AG$89*(1+'Вводные'!$B$64)^MAX(0,MIN((12*(YEAR(BK$3)-YEAR($B$30))+MONTH(BK$3)-MONTH($B$30)),(12*(YEAR($B$31)-YEAR($B$30))+MONTH($B$31)-MONTH($B$30))))*(1+'Вводные'!$B$65)^MAX(0,(12*(YEAR(BK$3)-YEAR($B$31))+MONTH(BK$3)-MONTH($B$31))))</x:f>
      </x:c>
      <x:c r="BL47" s="107" t="n">
        <x:f>IF(BL46=0,0,'Вводные'!$B$62*'Вводные'!$S$89*'Вводные'!$H$5*'Вводные'!$AG$89*(1+'Вводные'!$B$64)^MAX(0,MIN((12*(YEAR(BL$3)-YEAR($B$30))+MONTH(BL$3)-MONTH($B$30)),(12*(YEAR($B$31)-YEAR($B$30))+MONTH($B$31)-MONTH($B$30))))*(1+'Вводные'!$B$65)^MAX(0,(12*(YEAR(BL$3)-YEAR($B$31))+MONTH(BL$3)-MONTH($B$31))))</x:f>
      </x:c>
      <x:c r="BM47" s="107" t="n">
        <x:f>IF(BM46=0,0,'Вводные'!$B$62*'Вводные'!$S$89*'Вводные'!$H$5*'Вводные'!$AG$89*(1+'Вводные'!$B$64)^MAX(0,MIN((12*(YEAR(BM$3)-YEAR($B$30))+MONTH(BM$3)-MONTH($B$30)),(12*(YEAR($B$31)-YEAR($B$30))+MONTH($B$31)-MONTH($B$30))))*(1+'Вводные'!$B$65)^MAX(0,(12*(YEAR(BM$3)-YEAR($B$31))+MONTH(BM$3)-MONTH($B$31))))</x:f>
      </x:c>
      <x:c r="BN47" s="107" t="n">
        <x:f>IF(BN46=0,0,'Вводные'!$B$62*'Вводные'!$S$89*'Вводные'!$H$5*'Вводные'!$AG$89*(1+'Вводные'!$B$64)^MAX(0,MIN((12*(YEAR(BN$3)-YEAR($B$30))+MONTH(BN$3)-MONTH($B$30)),(12*(YEAR($B$31)-YEAR($B$30))+MONTH($B$31)-MONTH($B$30))))*(1+'Вводные'!$B$65)^MAX(0,(12*(YEAR(BN$3)-YEAR($B$31))+MONTH(BN$3)-MONTH($B$31))))</x:f>
      </x:c>
      <x:c r="BO47" s="107" t="n">
        <x:f>IF(BO46=0,0,'Вводные'!$B$62*'Вводные'!$S$89*'Вводные'!$H$5*'Вводные'!$AG$89*(1+'Вводные'!$B$64)^MAX(0,MIN((12*(YEAR(BO$3)-YEAR($B$30))+MONTH(BO$3)-MONTH($B$30)),(12*(YEAR($B$31)-YEAR($B$30))+MONTH($B$31)-MONTH($B$30))))*(1+'Вводные'!$B$65)^MAX(0,(12*(YEAR(BO$3)-YEAR($B$31))+MONTH(BO$3)-MONTH($B$31))))</x:f>
      </x:c>
      <x:c r="BP47" s="107" t="n">
        <x:f>IF(BP46=0,0,'Вводные'!$B$62*'Вводные'!$S$89*'Вводные'!$H$5*'Вводные'!$AG$89*(1+'Вводные'!$B$64)^MAX(0,MIN((12*(YEAR(BP$3)-YEAR($B$30))+MONTH(BP$3)-MONTH($B$30)),(12*(YEAR($B$31)-YEAR($B$30))+MONTH($B$31)-MONTH($B$30))))*(1+'Вводные'!$B$65)^MAX(0,(12*(YEAR(BP$3)-YEAR($B$31))+MONTH(BP$3)-MONTH($B$31))))</x:f>
      </x:c>
      <x:c r="BQ47" s="107" t="n">
        <x:f>IF(BQ46=0,0,'Вводные'!$B$62*'Вводные'!$S$89*'Вводные'!$H$5*'Вводные'!$AG$89*(1+'Вводные'!$B$64)^MAX(0,MIN((12*(YEAR(BQ$3)-YEAR($B$30))+MONTH(BQ$3)-MONTH($B$30)),(12*(YEAR($B$31)-YEAR($B$30))+MONTH($B$31)-MONTH($B$30))))*(1+'Вводные'!$B$65)^MAX(0,(12*(YEAR(BQ$3)-YEAR($B$31))+MONTH(BQ$3)-MONTH($B$31))))</x:f>
      </x:c>
      <x:c r="BR47" s="107" t="n">
        <x:f>IF(BR46=0,0,'Вводные'!$B$62*'Вводные'!$S$89*'Вводные'!$H$5*'Вводные'!$AG$89*(1+'Вводные'!$B$64)^MAX(0,MIN((12*(YEAR(BR$3)-YEAR($B$30))+MONTH(BR$3)-MONTH($B$30)),(12*(YEAR($B$31)-YEAR($B$30))+MONTH($B$31)-MONTH($B$30))))*(1+'Вводные'!$B$65)^MAX(0,(12*(YEAR(BR$3)-YEAR($B$31))+MONTH(BR$3)-MONTH($B$31))))</x:f>
      </x:c>
      <x:c r="BS47" s="107" t="n">
        <x:f>IF(BS46=0,0,'Вводные'!$B$62*'Вводные'!$S$89*'Вводные'!$H$5*'Вводные'!$AG$89*(1+'Вводные'!$B$64)^MAX(0,MIN((12*(YEAR(BS$3)-YEAR($B$30))+MONTH(BS$3)-MONTH($B$30)),(12*(YEAR($B$31)-YEAR($B$30))+MONTH($B$31)-MONTH($B$30))))*(1+'Вводные'!$B$65)^MAX(0,(12*(YEAR(BS$3)-YEAR($B$31))+MONTH(BS$3)-MONTH($B$31))))</x:f>
      </x:c>
      <x:c r="BT47" s="107" t="n">
        <x:f>IF(BT46=0,0,'Вводные'!$B$62*'Вводные'!$S$89*'Вводные'!$H$5*'Вводные'!$AG$89*(1+'Вводные'!$B$64)^MAX(0,MIN((12*(YEAR(BT$3)-YEAR($B$30))+MONTH(BT$3)-MONTH($B$30)),(12*(YEAR($B$31)-YEAR($B$30))+MONTH($B$31)-MONTH($B$30))))*(1+'Вводные'!$B$65)^MAX(0,(12*(YEAR(BT$3)-YEAR($B$31))+MONTH(BT$3)-MONTH($B$31))))</x:f>
      </x:c>
      <x:c r="BU47" s="107" t="n">
        <x:f>IF(BU46=0,0,'Вводные'!$B$62*'Вводные'!$S$89*'Вводные'!$H$5*'Вводные'!$AG$89*(1+'Вводные'!$B$64)^MAX(0,MIN((12*(YEAR(BU$3)-YEAR($B$30))+MONTH(BU$3)-MONTH($B$30)),(12*(YEAR($B$31)-YEAR($B$30))+MONTH($B$31)-MONTH($B$30))))*(1+'Вводные'!$B$65)^MAX(0,(12*(YEAR(BU$3)-YEAR($B$31))+MONTH(BU$3)-MONTH($B$31))))</x:f>
      </x:c>
      <x:c r="BV47" s="107" t="n">
        <x:f>IF(BV46=0,0,'Вводные'!$B$62*'Вводные'!$S$89*'Вводные'!$H$5*'Вводные'!$AG$89*(1+'Вводные'!$B$64)^MAX(0,MIN((12*(YEAR(BV$3)-YEAR($B$30))+MONTH(BV$3)-MONTH($B$30)),(12*(YEAR($B$31)-YEAR($B$30))+MONTH($B$31)-MONTH($B$30))))*(1+'Вводные'!$B$65)^MAX(0,(12*(YEAR(BV$3)-YEAR($B$31))+MONTH(BV$3)-MONTH($B$31))))</x:f>
      </x:c>
      <x:c r="BW47" s="107" t="n">
        <x:f>IF(BW46=0,0,'Вводные'!$B$62*'Вводные'!$S$89*'Вводные'!$H$5*'Вводные'!$AG$89*(1+'Вводные'!$B$64)^MAX(0,MIN((12*(YEAR(BW$3)-YEAR($B$30))+MONTH(BW$3)-MONTH($B$30)),(12*(YEAR($B$31)-YEAR($B$30))+MONTH($B$31)-MONTH($B$30))))*(1+'Вводные'!$B$65)^MAX(0,(12*(YEAR(BW$3)-YEAR($B$31))+MONTH(BW$3)-MONTH($B$31))))</x:f>
      </x:c>
      <x:c r="BX47" s="107" t="n">
        <x:f>IF(BX46=0,0,'Вводные'!$B$62*'Вводные'!$S$89*'Вводные'!$H$5*'Вводные'!$AG$89*(1+'Вводные'!$B$64)^MAX(0,MIN((12*(YEAR(BX$3)-YEAR($B$30))+MONTH(BX$3)-MONTH($B$30)),(12*(YEAR($B$31)-YEAR($B$30))+MONTH($B$31)-MONTH($B$30))))*(1+'Вводные'!$B$65)^MAX(0,(12*(YEAR(BX$3)-YEAR($B$31))+MONTH(BX$3)-MONTH($B$31))))</x:f>
      </x:c>
      <x:c r="BY47" s="107" t="n">
        <x:f>IF(BY46=0,0,'Вводные'!$B$62*'Вводные'!$S$89*'Вводные'!$H$5*'Вводные'!$AG$89*(1+'Вводные'!$B$64)^MAX(0,MIN((12*(YEAR(BY$3)-YEAR($B$30))+MONTH(BY$3)-MONTH($B$30)),(12*(YEAR($B$31)-YEAR($B$30))+MONTH($B$31)-MONTH($B$30))))*(1+'Вводные'!$B$65)^MAX(0,(12*(YEAR(BY$3)-YEAR($B$31))+MONTH(BY$3)-MONTH($B$31))))</x:f>
      </x:c>
      <x:c r="BZ47" s="107" t="n">
        <x:f>IF(BZ46=0,0,'Вводные'!$B$62*'Вводные'!$S$89*'Вводные'!$H$5*'Вводные'!$AG$89*(1+'Вводные'!$B$64)^MAX(0,MIN((12*(YEAR(BZ$3)-YEAR($B$30))+MONTH(BZ$3)-MONTH($B$30)),(12*(YEAR($B$31)-YEAR($B$30))+MONTH($B$31)-MONTH($B$30))))*(1+'Вводные'!$B$65)^MAX(0,(12*(YEAR(BZ$3)-YEAR($B$31))+MONTH(BZ$3)-MONTH($B$31))))</x:f>
      </x:c>
      <x:c r="CA47" s="107" t="n">
        <x:f>IF(CA46=0,0,'Вводные'!$B$62*'Вводные'!$S$89*'Вводные'!$H$5*'Вводные'!$AG$89*(1+'Вводные'!$B$64)^MAX(0,MIN((12*(YEAR(CA$3)-YEAR($B$30))+MONTH(CA$3)-MONTH($B$30)),(12*(YEAR($B$31)-YEAR($B$30))+MONTH($B$31)-MONTH($B$30))))*(1+'Вводные'!$B$65)^MAX(0,(12*(YEAR(CA$3)-YEAR($B$31))+MONTH(CA$3)-MONTH($B$31))))</x:f>
      </x:c>
      <x:c r="CB47" s="107" t="n">
        <x:f>IF(CB46=0,0,'Вводные'!$B$62*'Вводные'!$S$89*'Вводные'!$H$5*'Вводные'!$AG$89*(1+'Вводные'!$B$64)^MAX(0,MIN((12*(YEAR(CB$3)-YEAR($B$30))+MONTH(CB$3)-MONTH($B$30)),(12*(YEAR($B$31)-YEAR($B$30))+MONTH($B$31)-MONTH($B$30))))*(1+'Вводные'!$B$65)^MAX(0,(12*(YEAR(CB$3)-YEAR($B$31))+MONTH(CB$3)-MONTH($B$31))))</x:f>
      </x:c>
      <x:c r="CC47" s="107" t="n">
        <x:f>IF(CC46=0,0,'Вводные'!$B$62*'Вводные'!$S$89*'Вводные'!$H$5*'Вводные'!$AG$89*(1+'Вводные'!$B$64)^MAX(0,MIN((12*(YEAR(CC$3)-YEAR($B$30))+MONTH(CC$3)-MONTH($B$30)),(12*(YEAR($B$31)-YEAR($B$30))+MONTH($B$31)-MONTH($B$30))))*(1+'Вводные'!$B$65)^MAX(0,(12*(YEAR(CC$3)-YEAR($B$31))+MONTH(CC$3)-MONTH($B$31))))</x:f>
      </x:c>
      <x:c r="CD47" s="107" t="n">
        <x:f>IF(CD46=0,0,'Вводные'!$B$62*'Вводные'!$S$89*'Вводные'!$H$5*'Вводные'!$AG$89*(1+'Вводные'!$B$64)^MAX(0,MIN((12*(YEAR(CD$3)-YEAR($B$30))+MONTH(CD$3)-MONTH($B$30)),(12*(YEAR($B$31)-YEAR($B$30))+MONTH($B$31)-MONTH($B$30))))*(1+'Вводные'!$B$65)^MAX(0,(12*(YEAR(CD$3)-YEAR($B$31))+MONTH(CD$3)-MONTH($B$31))))</x:f>
      </x:c>
      <x:c r="CE47" s="107" t="n">
        <x:f>IF(CE46=0,0,'Вводные'!$B$62*'Вводные'!$S$89*'Вводные'!$H$5*'Вводные'!$AG$89*(1+'Вводные'!$B$64)^MAX(0,MIN((12*(YEAR(CE$3)-YEAR($B$30))+MONTH(CE$3)-MONTH($B$30)),(12*(YEAR($B$31)-YEAR($B$30))+MONTH($B$31)-MONTH($B$30))))*(1+'Вводные'!$B$65)^MAX(0,(12*(YEAR(CE$3)-YEAR($B$31))+MONTH(CE$3)-MONTH($B$31))))</x:f>
      </x:c>
      <x:c r="CF47" s="107" t="n">
        <x:f>IF(CF46=0,0,'Вводные'!$B$62*'Вводные'!$S$89*'Вводные'!$H$5*'Вводные'!$AG$89*(1+'Вводные'!$B$64)^MAX(0,MIN((12*(YEAR(CF$3)-YEAR($B$30))+MONTH(CF$3)-MONTH($B$30)),(12*(YEAR($B$31)-YEAR($B$30))+MONTH($B$31)-MONTH($B$30))))*(1+'Вводные'!$B$65)^MAX(0,(12*(YEAR(CF$3)-YEAR($B$31))+MONTH(CF$3)-MONTH($B$31))))</x:f>
      </x:c>
      <x:c r="CG47" s="107" t="n">
        <x:f>IF(CG46=0,0,'Вводные'!$B$62*'Вводные'!$S$89*'Вводные'!$H$5*'Вводные'!$AG$89*(1+'Вводные'!$B$64)^MAX(0,MIN((12*(YEAR(CG$3)-YEAR($B$30))+MONTH(CG$3)-MONTH($B$30)),(12*(YEAR($B$31)-YEAR($B$30))+MONTH($B$31)-MONTH($B$30))))*(1+'Вводные'!$B$65)^MAX(0,(12*(YEAR(CG$3)-YEAR($B$31))+MONTH(CG$3)-MONTH($B$31))))</x:f>
      </x:c>
      <x:c r="CH47" s="107" t="n">
        <x:f>IF(CH46=0,0,'Вводные'!$B$62*'Вводные'!$S$89*'Вводные'!$H$5*'Вводные'!$AG$89*(1+'Вводные'!$B$64)^MAX(0,MIN((12*(YEAR(CH$3)-YEAR($B$30))+MONTH(CH$3)-MONTH($B$30)),(12*(YEAR($B$31)-YEAR($B$30))+MONTH($B$31)-MONTH($B$30))))*(1+'Вводные'!$B$65)^MAX(0,(12*(YEAR(CH$3)-YEAR($B$31))+MONTH(CH$3)-MONTH($B$31))))</x:f>
      </x:c>
      <x:c r="CI47" s="107" t="n">
        <x:f>IF(CI46=0,0,'Вводные'!$B$62*'Вводные'!$S$89*'Вводные'!$H$5*'Вводные'!$AG$89*(1+'Вводные'!$B$64)^MAX(0,MIN((12*(YEAR(CI$3)-YEAR($B$30))+MONTH(CI$3)-MONTH($B$30)),(12*(YEAR($B$31)-YEAR($B$30))+MONTH($B$31)-MONTH($B$30))))*(1+'Вводные'!$B$65)^MAX(0,(12*(YEAR(CI$3)-YEAR($B$31))+MONTH(CI$3)-MONTH($B$31))))</x:f>
      </x:c>
      <x:c r="CJ47" s="107" t="n">
        <x:f>IF(CJ46=0,0,'Вводные'!$B$62*'Вводные'!$S$89*'Вводные'!$H$5*'Вводные'!$AG$89*(1+'Вводные'!$B$64)^MAX(0,MIN((12*(YEAR(CJ$3)-YEAR($B$30))+MONTH(CJ$3)-MONTH($B$30)),(12*(YEAR($B$31)-YEAR($B$30))+MONTH($B$31)-MONTH($B$30))))*(1+'Вводные'!$B$65)^MAX(0,(12*(YEAR(CJ$3)-YEAR($B$31))+MONTH(CJ$3)-MONTH($B$31))))</x:f>
      </x:c>
      <x:c r="CK47" s="107" t="n">
        <x:f>IF(CK46=0,0,'Вводные'!$B$62*'Вводные'!$S$89*'Вводные'!$H$5*'Вводные'!$AG$89*(1+'Вводные'!$B$64)^MAX(0,MIN((12*(YEAR(CK$3)-YEAR($B$30))+MONTH(CK$3)-MONTH($B$30)),(12*(YEAR($B$31)-YEAR($B$30))+MONTH($B$31)-MONTH($B$30))))*(1+'Вводные'!$B$65)^MAX(0,(12*(YEAR(CK$3)-YEAR($B$31))+MONTH(CK$3)-MONTH($B$31))))</x:f>
      </x:c>
      <x:c r="CL47" s="107" t="n">
        <x:f>IF(CL46=0,0,'Вводные'!$B$62*'Вводные'!$S$89*'Вводные'!$H$5*'Вводные'!$AG$89*(1+'Вводные'!$B$64)^MAX(0,MIN((12*(YEAR(CL$3)-YEAR($B$30))+MONTH(CL$3)-MONTH($B$30)),(12*(YEAR($B$31)-YEAR($B$30))+MONTH($B$31)-MONTH($B$30))))*(1+'Вводные'!$B$65)^MAX(0,(12*(YEAR(CL$3)-YEAR($B$31))+MONTH(CL$3)-MONTH($B$31))))</x:f>
      </x:c>
      <x:c r="CM47" s="107" t="n">
        <x:f>IF(CM46=0,0,'Вводные'!$B$62*'Вводные'!$S$89*'Вводные'!$H$5*'Вводные'!$AG$89*(1+'Вводные'!$B$64)^MAX(0,MIN((12*(YEAR(CM$3)-YEAR($B$30))+MONTH(CM$3)-MONTH($B$30)),(12*(YEAR($B$31)-YEAR($B$30))+MONTH($B$31)-MONTH($B$30))))*(1+'Вводные'!$B$65)^MAX(0,(12*(YEAR(CM$3)-YEAR($B$31))+MONTH(CM$3)-MONTH($B$31))))</x:f>
      </x:c>
      <x:c r="CN47" s="107" t="n">
        <x:f>IF(CN46=0,0,'Вводные'!$B$62*'Вводные'!$S$89*'Вводные'!$H$5*'Вводные'!$AG$89*(1+'Вводные'!$B$64)^MAX(0,MIN((12*(YEAR(CN$3)-YEAR($B$30))+MONTH(CN$3)-MONTH($B$30)),(12*(YEAR($B$31)-YEAR($B$30))+MONTH($B$31)-MONTH($B$30))))*(1+'Вводные'!$B$65)^MAX(0,(12*(YEAR(CN$3)-YEAR($B$31))+MONTH(CN$3)-MONTH($B$31))))</x:f>
      </x:c>
      <x:c r="CO47" s="107" t="n">
        <x:f>IF(CO46=0,0,'Вводные'!$B$62*'Вводные'!$S$89*'Вводные'!$H$5*'Вводные'!$AG$89*(1+'Вводные'!$B$64)^MAX(0,MIN((12*(YEAR(CO$3)-YEAR($B$30))+MONTH(CO$3)-MONTH($B$30)),(12*(YEAR($B$31)-YEAR($B$30))+MONTH($B$31)-MONTH($B$30))))*(1+'Вводные'!$B$65)^MAX(0,(12*(YEAR(CO$3)-YEAR($B$31))+MONTH(CO$3)-MONTH($B$31))))</x:f>
      </x:c>
      <x:c r="CP47" s="107" t="n">
        <x:f>IF(CP46=0,0,'Вводные'!$B$62*'Вводные'!$S$89*'Вводные'!$H$5*'Вводные'!$AG$89*(1+'Вводные'!$B$64)^MAX(0,MIN((12*(YEAR(CP$3)-YEAR($B$30))+MONTH(CP$3)-MONTH($B$30)),(12*(YEAR($B$31)-YEAR($B$30))+MONTH($B$31)-MONTH($B$30))))*(1+'Вводные'!$B$65)^MAX(0,(12*(YEAR(CP$3)-YEAR($B$31))+MONTH(CP$3)-MONTH($B$31))))</x:f>
      </x:c>
      <x:c r="CQ47" s="107" t="n">
        <x:f>IF(CQ46=0,0,'Вводные'!$B$62*'Вводные'!$S$89*'Вводные'!$H$5*'Вводные'!$AG$89*(1+'Вводные'!$B$64)^MAX(0,MIN((12*(YEAR(CQ$3)-YEAR($B$30))+MONTH(CQ$3)-MONTH($B$30)),(12*(YEAR($B$31)-YEAR($B$30))+MONTH($B$31)-MONTH($B$30))))*(1+'Вводные'!$B$65)^MAX(0,(12*(YEAR(CQ$3)-YEAR($B$31))+MONTH(CQ$3)-MONTH($B$31))))</x:f>
      </x:c>
      <x:c r="CR47" s="107" t="n">
        <x:f>IF(CR46=0,0,'Вводные'!$B$62*'Вводные'!$S$89*'Вводные'!$H$5*'Вводные'!$AG$89*(1+'Вводные'!$B$64)^MAX(0,MIN((12*(YEAR(CR$3)-YEAR($B$30))+MONTH(CR$3)-MONTH($B$30)),(12*(YEAR($B$31)-YEAR($B$30))+MONTH($B$31)-MONTH($B$30))))*(1+'Вводные'!$B$65)^MAX(0,(12*(YEAR(CR$3)-YEAR($B$31))+MONTH(CR$3)-MONTH($B$31))))</x:f>
      </x:c>
      <x:c r="CS47" s="107" t="n">
        <x:f>IF(CS46=0,0,'Вводные'!$B$62*'Вводные'!$S$89*'Вводные'!$H$5*'Вводные'!$AG$89*(1+'Вводные'!$B$64)^MAX(0,MIN((12*(YEAR(CS$3)-YEAR($B$30))+MONTH(CS$3)-MONTH($B$30)),(12*(YEAR($B$31)-YEAR($B$30))+MONTH($B$31)-MONTH($B$30))))*(1+'Вводные'!$B$65)^MAX(0,(12*(YEAR(CS$3)-YEAR($B$31))+MONTH(CS$3)-MONTH($B$31))))</x:f>
      </x:c>
      <x:c r="CT47" s="107" t="n">
        <x:f>IF(CT46=0,0,'Вводные'!$B$62*'Вводные'!$S$89*'Вводные'!$H$5*'Вводные'!$AG$89*(1+'Вводные'!$B$64)^MAX(0,MIN((12*(YEAR(CT$3)-YEAR($B$30))+MONTH(CT$3)-MONTH($B$30)),(12*(YEAR($B$31)-YEAR($B$30))+MONTH($B$31)-MONTH($B$30))))*(1+'Вводные'!$B$65)^MAX(0,(12*(YEAR(CT$3)-YEAR($B$31))+MONTH(CT$3)-MONTH($B$31))))</x:f>
      </x:c>
      <x:c r="CU47" s="107" t="n">
        <x:f>IF(CU46=0,0,'Вводные'!$B$62*'Вводные'!$S$89*'Вводные'!$H$5*'Вводные'!$AG$89*(1+'Вводные'!$B$64)^MAX(0,MIN((12*(YEAR(CU$3)-YEAR($B$30))+MONTH(CU$3)-MONTH($B$30)),(12*(YEAR($B$31)-YEAR($B$30))+MONTH($B$31)-MONTH($B$30))))*(1+'Вводные'!$B$65)^MAX(0,(12*(YEAR(CU$3)-YEAR($B$31))+MONTH(CU$3)-MONTH($B$31))))</x:f>
      </x:c>
      <x:c r="CV47" s="107" t="n">
        <x:f>IF(CV46=0,0,'Вводные'!$B$62*'Вводные'!$S$89*'Вводные'!$H$5*'Вводные'!$AG$89*(1+'Вводные'!$B$64)^MAX(0,MIN((12*(YEAR(CV$3)-YEAR($B$30))+MONTH(CV$3)-MONTH($B$30)),(12*(YEAR($B$31)-YEAR($B$30))+MONTH($B$31)-MONTH($B$30))))*(1+'Вводные'!$B$65)^MAX(0,(12*(YEAR(CV$3)-YEAR($B$31))+MONTH(CV$3)-MONTH($B$31))))</x:f>
      </x:c>
      <x:c r="CW47" s="107" t="n">
        <x:f>IF(CW46=0,0,'Вводные'!$B$62*'Вводные'!$S$89*'Вводные'!$H$5*'Вводные'!$AG$89*(1+'Вводные'!$B$64)^MAX(0,MIN((12*(YEAR(CW$3)-YEAR($B$30))+MONTH(CW$3)-MONTH($B$30)),(12*(YEAR($B$31)-YEAR($B$30))+MONTH($B$31)-MONTH($B$30))))*(1+'Вводные'!$B$65)^MAX(0,(12*(YEAR(CW$3)-YEAR($B$31))+MONTH(CW$3)-MONTH($B$31))))</x:f>
      </x:c>
      <x:c r="CX47" s="107" t="n">
        <x:f>IF(CX46=0,0,'Вводные'!$B$62*'Вводные'!$S$89*'Вводные'!$H$5*'Вводные'!$AG$89*(1+'Вводные'!$B$64)^MAX(0,MIN((12*(YEAR(CX$3)-YEAR($B$30))+MONTH(CX$3)-MONTH($B$30)),(12*(YEAR($B$31)-YEAR($B$30))+MONTH($B$31)-MONTH($B$30))))*(1+'Вводные'!$B$65)^MAX(0,(12*(YEAR(CX$3)-YEAR($B$31))+MONTH(CX$3)-MONTH($B$31))))</x:f>
      </x:c>
      <x:c r="CY47" s="107" t="n">
        <x:f>IF(CY46=0,0,'Вводные'!$B$62*'Вводные'!$S$89*'Вводные'!$H$5*'Вводные'!$AG$89*(1+'Вводные'!$B$64)^MAX(0,MIN((12*(YEAR(CY$3)-YEAR($B$30))+MONTH(CY$3)-MONTH($B$30)),(12*(YEAR($B$31)-YEAR($B$30))+MONTH($B$31)-MONTH($B$30))))*(1+'Вводные'!$B$65)^MAX(0,(12*(YEAR(CY$3)-YEAR($B$31))+MONTH(CY$3)-MONTH($B$31))))</x:f>
      </x:c>
      <x:c r="CZ47" s="107" t="n">
        <x:f>IF(CZ46=0,0,'Вводные'!$B$62*'Вводные'!$S$89*'Вводные'!$H$5*'Вводные'!$AG$89*(1+'Вводные'!$B$64)^MAX(0,MIN((12*(YEAR(CZ$3)-YEAR($B$30))+MONTH(CZ$3)-MONTH($B$30)),(12*(YEAR($B$31)-YEAR($B$30))+MONTH($B$31)-MONTH($B$30))))*(1+'Вводные'!$B$65)^MAX(0,(12*(YEAR(CZ$3)-YEAR($B$31))+MONTH(CZ$3)-MONTH($B$31))))</x:f>
      </x:c>
      <x:c r="DA47" s="107" t="n">
        <x:f>IF(DA46=0,0,'Вводные'!$B$62*'Вводные'!$S$89*'Вводные'!$H$5*'Вводные'!$AG$89*(1+'Вводные'!$B$64)^MAX(0,MIN((12*(YEAR(DA$3)-YEAR($B$30))+MONTH(DA$3)-MONTH($B$30)),(12*(YEAR($B$31)-YEAR($B$30))+MONTH($B$31)-MONTH($B$30))))*(1+'Вводные'!$B$65)^MAX(0,(12*(YEAR(DA$3)-YEAR($B$31))+MONTH(DA$3)-MONTH($B$31))))</x:f>
      </x:c>
      <x:c r="DB47" s="107" t="n">
        <x:f>IF(DB46=0,0,'Вводные'!$B$62*'Вводные'!$S$89*'Вводные'!$H$5*'Вводные'!$AG$89*(1+'Вводные'!$B$64)^MAX(0,MIN((12*(YEAR(DB$3)-YEAR($B$30))+MONTH(DB$3)-MONTH($B$30)),(12*(YEAR($B$31)-YEAR($B$30))+MONTH($B$31)-MONTH($B$30))))*(1+'Вводные'!$B$65)^MAX(0,(12*(YEAR(DB$3)-YEAR($B$31))+MONTH(DB$3)-MONTH($B$31))))</x:f>
      </x:c>
      <x:c r="DC47" s="107" t="n">
        <x:f>IF(DC46=0,0,'Вводные'!$B$62*'Вводные'!$S$89*'Вводные'!$H$5*'Вводные'!$AG$89*(1+'Вводные'!$B$64)^MAX(0,MIN((12*(YEAR(DC$3)-YEAR($B$30))+MONTH(DC$3)-MONTH($B$30)),(12*(YEAR($B$31)-YEAR($B$30))+MONTH($B$31)-MONTH($B$30))))*(1+'Вводные'!$B$65)^MAX(0,(12*(YEAR(DC$3)-YEAR($B$31))+MONTH(DC$3)-MONTH($B$31))))</x:f>
      </x:c>
      <x:c r="DD47" s="107" t="n">
        <x:f>IF(DD46=0,0,'Вводные'!$B$62*'Вводные'!$S$89*'Вводные'!$H$5*'Вводные'!$AG$89*(1+'Вводные'!$B$64)^MAX(0,MIN((12*(YEAR(DD$3)-YEAR($B$30))+MONTH(DD$3)-MONTH($B$30)),(12*(YEAR($B$31)-YEAR($B$30))+MONTH($B$31)-MONTH($B$30))))*(1+'Вводные'!$B$65)^MAX(0,(12*(YEAR(DD$3)-YEAR($B$31))+MONTH(DD$3)-MONTH($B$31))))</x:f>
      </x:c>
      <x:c r="DE47" s="107" t="n">
        <x:f>IF(DE46=0,0,'Вводные'!$B$62*'Вводные'!$S$89*'Вводные'!$H$5*'Вводные'!$AG$89*(1+'Вводные'!$B$64)^MAX(0,MIN((12*(YEAR(DE$3)-YEAR($B$30))+MONTH(DE$3)-MONTH($B$30)),(12*(YEAR($B$31)-YEAR($B$30))+MONTH($B$31)-MONTH($B$30))))*(1+'Вводные'!$B$65)^MAX(0,(12*(YEAR(DE$3)-YEAR($B$31))+MONTH(DE$3)-MONTH($B$31))))</x:f>
      </x:c>
      <x:c r="DF47" s="107" t="n">
        <x:f>IF(DF46=0,0,'Вводные'!$B$62*'Вводные'!$S$89*'Вводные'!$H$5*'Вводные'!$AG$89*(1+'Вводные'!$B$64)^MAX(0,MIN((12*(YEAR(DF$3)-YEAR($B$30))+MONTH(DF$3)-MONTH($B$30)),(12*(YEAR($B$31)-YEAR($B$30))+MONTH($B$31)-MONTH($B$30))))*(1+'Вводные'!$B$65)^MAX(0,(12*(YEAR(DF$3)-YEAR($B$31))+MONTH(DF$3)-MONTH($B$31))))</x:f>
      </x:c>
      <x:c r="DG47" s="107" t="n">
        <x:f>IF(DG46=0,0,'Вводные'!$B$62*'Вводные'!$S$89*'Вводные'!$H$5*'Вводные'!$AG$89*(1+'Вводные'!$B$64)^MAX(0,MIN((12*(YEAR(DG$3)-YEAR($B$30))+MONTH(DG$3)-MONTH($B$30)),(12*(YEAR($B$31)-YEAR($B$30))+MONTH($B$31)-MONTH($B$30))))*(1+'Вводные'!$B$65)^MAX(0,(12*(YEAR(DG$3)-YEAR($B$31))+MONTH(DG$3)-MONTH($B$31))))</x:f>
      </x:c>
      <x:c r="DH47" s="107" t="n">
        <x:f>IF(DH46=0,0,'Вводные'!$B$62*'Вводные'!$S$89*'Вводные'!$H$5*'Вводные'!$AG$89*(1+'Вводные'!$B$64)^MAX(0,MIN((12*(YEAR(DH$3)-YEAR($B$30))+MONTH(DH$3)-MONTH($B$30)),(12*(YEAR($B$31)-YEAR($B$30))+MONTH($B$31)-MONTH($B$30))))*(1+'Вводные'!$B$65)^MAX(0,(12*(YEAR(DH$3)-YEAR($B$31))+MONTH(DH$3)-MONTH($B$31))))</x:f>
      </x:c>
      <x:c r="DI47" s="107" t="n">
        <x:f>IF(DI46=0,0,'Вводные'!$B$62*'Вводные'!$S$89*'Вводные'!$H$5*'Вводные'!$AG$89*(1+'Вводные'!$B$64)^MAX(0,MIN((12*(YEAR(DI$3)-YEAR($B$30))+MONTH(DI$3)-MONTH($B$30)),(12*(YEAR($B$31)-YEAR($B$30))+MONTH($B$31)-MONTH($B$30))))*(1+'Вводные'!$B$65)^MAX(0,(12*(YEAR(DI$3)-YEAR($B$31))+MONTH(DI$3)-MONTH($B$31))))</x:f>
      </x:c>
      <x:c r="DJ47" s="107" t="n">
        <x:f>IF(DJ46=0,0,'Вводные'!$B$62*'Вводные'!$S$89*'Вводные'!$H$5*'Вводные'!$AG$89*(1+'Вводные'!$B$64)^MAX(0,MIN((12*(YEAR(DJ$3)-YEAR($B$30))+MONTH(DJ$3)-MONTH($B$30)),(12*(YEAR($B$31)-YEAR($B$30))+MONTH($B$31)-MONTH($B$30))))*(1+'Вводные'!$B$65)^MAX(0,(12*(YEAR(DJ$3)-YEAR($B$31))+MONTH(DJ$3)-MONTH($B$31))))</x:f>
      </x:c>
      <x:c r="DK47" s="107" t="n">
        <x:f>IF(DK46=0,0,'Вводные'!$B$62*'Вводные'!$S$89*'Вводные'!$H$5*'Вводные'!$AG$89*(1+'Вводные'!$B$64)^MAX(0,MIN((12*(YEAR(DK$3)-YEAR($B$30))+MONTH(DK$3)-MONTH($B$30)),(12*(YEAR($B$31)-YEAR($B$30))+MONTH($B$31)-MONTH($B$30))))*(1+'Вводные'!$B$65)^MAX(0,(12*(YEAR(DK$3)-YEAR($B$31))+MONTH(DK$3)-MONTH($B$31))))</x:f>
      </x:c>
      <x:c r="DL47" s="107" t="n">
        <x:f>IF(DL46=0,0,'Вводные'!$B$62*'Вводные'!$S$89*'Вводные'!$H$5*'Вводные'!$AG$89*(1+'Вводные'!$B$64)^MAX(0,MIN((12*(YEAR(DL$3)-YEAR($B$30))+MONTH(DL$3)-MONTH($B$30)),(12*(YEAR($B$31)-YEAR($B$30))+MONTH($B$31)-MONTH($B$30))))*(1+'Вводные'!$B$65)^MAX(0,(12*(YEAR(DL$3)-YEAR($B$31))+MONTH(DL$3)-MONTH($B$31))))</x:f>
      </x:c>
      <x:c r="DM47" s="107" t="n">
        <x:f>IF(DM46=0,0,'Вводные'!$B$62*'Вводные'!$S$89*'Вводные'!$H$5*'Вводные'!$AG$89*(1+'Вводные'!$B$64)^MAX(0,MIN((12*(YEAR(DM$3)-YEAR($B$30))+MONTH(DM$3)-MONTH($B$30)),(12*(YEAR($B$31)-YEAR($B$30))+MONTH($B$31)-MONTH($B$30))))*(1+'Вводные'!$B$65)^MAX(0,(12*(YEAR(DM$3)-YEAR($B$31))+MONTH(DM$3)-MONTH($B$31))))</x:f>
      </x:c>
      <x:c r="DN47" s="107" t="n">
        <x:f>IF(DN46=0,0,'Вводные'!$B$62*'Вводные'!$S$89*'Вводные'!$H$5*'Вводные'!$AG$89*(1+'Вводные'!$B$64)^MAX(0,MIN((12*(YEAR(DN$3)-YEAR($B$30))+MONTH(DN$3)-MONTH($B$30)),(12*(YEAR($B$31)-YEAR($B$30))+MONTH($B$31)-MONTH($B$30))))*(1+'Вводные'!$B$65)^MAX(0,(12*(YEAR(DN$3)-YEAR($B$31))+MONTH(DN$3)-MONTH($B$31))))</x:f>
      </x:c>
      <x:c r="DO47" s="107" t="n">
        <x:f>IF(DO46=0,0,'Вводные'!$B$62*'Вводные'!$S$89*'Вводные'!$H$5*'Вводные'!$AG$89*(1+'Вводные'!$B$64)^MAX(0,MIN((12*(YEAR(DO$3)-YEAR($B$30))+MONTH(DO$3)-MONTH($B$30)),(12*(YEAR($B$31)-YEAR($B$30))+MONTH($B$31)-MONTH($B$30))))*(1+'Вводные'!$B$65)^MAX(0,(12*(YEAR(DO$3)-YEAR($B$31))+MONTH(DO$3)-MONTH($B$31))))</x:f>
      </x:c>
      <x:c r="DP47" s="107" t="n">
        <x:f>IF(DP46=0,0,'Вводные'!$B$62*'Вводные'!$S$89*'Вводные'!$H$5*'Вводные'!$AG$89*(1+'Вводные'!$B$64)^MAX(0,MIN((12*(YEAR(DP$3)-YEAR($B$30))+MONTH(DP$3)-MONTH($B$30)),(12*(YEAR($B$31)-YEAR($B$30))+MONTH($B$31)-MONTH($B$30))))*(1+'Вводные'!$B$65)^MAX(0,(12*(YEAR(DP$3)-YEAR($B$31))+MONTH(DP$3)-MONTH($B$31))))</x:f>
      </x:c>
      <x:c r="DQ47" s="107" t="n">
        <x:f>IF(DQ46=0,0,'Вводные'!$B$62*'Вводные'!$S$89*'Вводные'!$H$5*'Вводные'!$AG$89*(1+'Вводные'!$B$64)^MAX(0,MIN((12*(YEAR(DQ$3)-YEAR($B$30))+MONTH(DQ$3)-MONTH($B$30)),(12*(YEAR($B$31)-YEAR($B$30))+MONTH($B$31)-MONTH($B$30))))*(1+'Вводные'!$B$65)^MAX(0,(12*(YEAR(DQ$3)-YEAR($B$31))+MONTH(DQ$3)-MONTH($B$31))))</x:f>
      </x:c>
      <x:c r="DR47" s="107" t="n">
        <x:f>IF(DR46=0,0,'Вводные'!$B$62*'Вводные'!$S$89*'Вводные'!$H$5*'Вводные'!$AG$89*(1+'Вводные'!$B$64)^MAX(0,MIN((12*(YEAR(DR$3)-YEAR($B$30))+MONTH(DR$3)-MONTH($B$30)),(12*(YEAR($B$31)-YEAR($B$30))+MONTH($B$31)-MONTH($B$30))))*(1+'Вводные'!$B$65)^MAX(0,(12*(YEAR(DR$3)-YEAR($B$31))+MONTH(DR$3)-MONTH($B$31))))</x:f>
      </x:c>
      <x:c r="DS47" s="107" t="n">
        <x:f>IF(DS46=0,0,'Вводные'!$B$62*'Вводные'!$S$89*'Вводные'!$H$5*'Вводные'!$AG$89*(1+'Вводные'!$B$64)^MAX(0,MIN((12*(YEAR(DS$3)-YEAR($B$30))+MONTH(DS$3)-MONTH($B$30)),(12*(YEAR($B$31)-YEAR($B$30))+MONTH($B$31)-MONTH($B$30))))*(1+'Вводные'!$B$65)^MAX(0,(12*(YEAR(DS$3)-YEAR($B$31))+MONTH(DS$3)-MONTH($B$31))))</x:f>
      </x:c>
      <x:c r="DT47" s="107" t="n">
        <x:f>IF(DT46=0,0,'Вводные'!$B$62*'Вводные'!$S$89*'Вводные'!$H$5*'Вводные'!$AG$89*(1+'Вводные'!$B$64)^MAX(0,MIN((12*(YEAR(DT$3)-YEAR($B$30))+MONTH(DT$3)-MONTH($B$30)),(12*(YEAR($B$31)-YEAR($B$30))+MONTH($B$31)-MONTH($B$30))))*(1+'Вводные'!$B$65)^MAX(0,(12*(YEAR(DT$3)-YEAR($B$31))+MONTH(DT$3)-MONTH($B$31))))</x:f>
      </x:c>
      <x:c r="DU47" s="107" t="n">
        <x:f>IF(DU46=0,0,'Вводные'!$B$62*'Вводные'!$S$89*'Вводные'!$H$5*'Вводные'!$AG$89*(1+'Вводные'!$B$64)^MAX(0,MIN((12*(YEAR(DU$3)-YEAR($B$30))+MONTH(DU$3)-MONTH($B$30)),(12*(YEAR($B$31)-YEAR($B$30))+MONTH($B$31)-MONTH($B$30))))*(1+'Вводные'!$B$65)^MAX(0,(12*(YEAR(DU$3)-YEAR($B$31))+MONTH(DU$3)-MONTH($B$31))))</x:f>
      </x:c>
      <x:c r="DV47" s="107" t="n">
        <x:f>IF(DV46=0,0,'Вводные'!$B$62*'Вводные'!$S$89*'Вводные'!$H$5*'Вводные'!$AG$89*(1+'Вводные'!$B$64)^MAX(0,MIN((12*(YEAR(DV$3)-YEAR($B$30))+MONTH(DV$3)-MONTH($B$30)),(12*(YEAR($B$31)-YEAR($B$30))+MONTH($B$31)-MONTH($B$30))))*(1+'Вводные'!$B$65)^MAX(0,(12*(YEAR(DV$3)-YEAR($B$31))+MONTH(DV$3)-MONTH($B$31))))</x:f>
      </x:c>
      <x:c r="DW47" s="107" t="n">
        <x:f>IF(DW46=0,0,'Вводные'!$B$62*'Вводные'!$S$89*'Вводные'!$H$5*'Вводные'!$AG$89*(1+'Вводные'!$B$64)^MAX(0,MIN((12*(YEAR(DW$3)-YEAR($B$30))+MONTH(DW$3)-MONTH($B$30)),(12*(YEAR($B$31)-YEAR($B$30))+MONTH($B$31)-MONTH($B$30))))*(1+'Вводные'!$B$65)^MAX(0,(12*(YEAR(DW$3)-YEAR($B$31))+MONTH(DW$3)-MONTH($B$31))))</x:f>
      </x:c>
      <x:c r="DX47" s="107" t="n">
        <x:f>IF(DX46=0,0,'Вводные'!$B$62*'Вводные'!$S$89*'Вводные'!$H$5*'Вводные'!$AG$89*(1+'Вводные'!$B$64)^MAX(0,MIN((12*(YEAR(DX$3)-YEAR($B$30))+MONTH(DX$3)-MONTH($B$30)),(12*(YEAR($B$31)-YEAR($B$30))+MONTH($B$31)-MONTH($B$30))))*(1+'Вводные'!$B$65)^MAX(0,(12*(YEAR(DX$3)-YEAR($B$31))+MONTH(DX$3)-MONTH($B$31))))</x:f>
      </x:c>
      <x:c r="DY47" s="107" t="n">
        <x:f>IF(DY46=0,0,'Вводные'!$B$62*'Вводные'!$S$89*'Вводные'!$H$5*'Вводные'!$AG$89*(1+'Вводные'!$B$64)^MAX(0,MIN((12*(YEAR(DY$3)-YEAR($B$30))+MONTH(DY$3)-MONTH($B$30)),(12*(YEAR($B$31)-YEAR($B$30))+MONTH($B$31)-MONTH($B$30))))*(1+'Вводные'!$B$65)^MAX(0,(12*(YEAR(DY$3)-YEAR($B$31))+MONTH(DY$3)-MONTH($B$31))))</x:f>
      </x:c>
      <x:c r="DZ47" s="107" t="n">
        <x:f>IF(DZ46=0,0,'Вводные'!$B$62*'Вводные'!$S$89*'Вводные'!$H$5*'Вводные'!$AG$89*(1+'Вводные'!$B$64)^MAX(0,MIN((12*(YEAR(DZ$3)-YEAR($B$30))+MONTH(DZ$3)-MONTH($B$30)),(12*(YEAR($B$31)-YEAR($B$30))+MONTH($B$31)-MONTH($B$30))))*(1+'Вводные'!$B$65)^MAX(0,(12*(YEAR(DZ$3)-YEAR($B$31))+MONTH(DZ$3)-MONTH($B$31))))</x:f>
      </x:c>
      <x:c r="EA47" s="107" t="n">
        <x:f>IF(EA46=0,0,'Вводные'!$B$62*'Вводные'!$S$89*'Вводные'!$H$5*'Вводные'!$AG$89*(1+'Вводные'!$B$64)^MAX(0,MIN((12*(YEAR(EA$3)-YEAR($B$30))+MONTH(EA$3)-MONTH($B$30)),(12*(YEAR($B$31)-YEAR($B$30))+MONTH($B$31)-MONTH($B$30))))*(1+'Вводные'!$B$65)^MAX(0,(12*(YEAR(EA$3)-YEAR($B$31))+MONTH(EA$3)-MONTH($B$31))))</x:f>
      </x:c>
      <x:c r="EB47" s="107" t="n">
        <x:f>IF(EB46=0,0,'Вводные'!$B$62*'Вводные'!$S$89*'Вводные'!$H$5*'Вводные'!$AG$89*(1+'Вводные'!$B$64)^MAX(0,MIN((12*(YEAR(EB$3)-YEAR($B$30))+MONTH(EB$3)-MONTH($B$30)),(12*(YEAR($B$31)-YEAR($B$30))+MONTH($B$31)-MONTH($B$30))))*(1+'Вводные'!$B$65)^MAX(0,(12*(YEAR(EB$3)-YEAR($B$31))+MONTH(EB$3)-MONTH($B$31))))</x:f>
      </x:c>
      <x:c r="EC47" s="107" t="n">
        <x:f>IF(EC46=0,0,'Вводные'!$B$62*'Вводные'!$S$89*'Вводные'!$H$5*'Вводные'!$AG$89*(1+'Вводные'!$B$64)^MAX(0,MIN((12*(YEAR(EC$3)-YEAR($B$30))+MONTH(EC$3)-MONTH($B$30)),(12*(YEAR($B$31)-YEAR($B$30))+MONTH($B$31)-MONTH($B$30))))*(1+'Вводные'!$B$65)^MAX(0,(12*(YEAR(EC$3)-YEAR($B$31))+MONTH(EC$3)-MONTH($B$31))))</x:f>
      </x:c>
      <x:c r="ED47" s="107" t="n">
        <x:f>IF(ED46=0,0,'Вводные'!$B$62*'Вводные'!$S$89*'Вводные'!$H$5*'Вводные'!$AG$89*(1+'Вводные'!$B$64)^MAX(0,MIN((12*(YEAR(ED$3)-YEAR($B$30))+MONTH(ED$3)-MONTH($B$30)),(12*(YEAR($B$31)-YEAR($B$30))+MONTH($B$31)-MONTH($B$30))))*(1+'Вводные'!$B$65)^MAX(0,(12*(YEAR(ED$3)-YEAR($B$31))+MONTH(ED$3)-MONTH($B$31))))</x:f>
      </x:c>
      <x:c r="EE47" s="107" t="n">
        <x:f>IF(EE46=0,0,'Вводные'!$B$62*'Вводные'!$S$89*'Вводные'!$H$5*'Вводные'!$AG$89*(1+'Вводные'!$B$64)^MAX(0,MIN((12*(YEAR(EE$3)-YEAR($B$30))+MONTH(EE$3)-MONTH($B$30)),(12*(YEAR($B$31)-YEAR($B$30))+MONTH($B$31)-MONTH($B$30))))*(1+'Вводные'!$B$65)^MAX(0,(12*(YEAR(EE$3)-YEAR($B$31))+MONTH(EE$3)-MONTH($B$31))))</x:f>
      </x:c>
      <x:c r="EF47" s="107" t="n">
        <x:f>IF(EF46=0,0,'Вводные'!$B$62*'Вводные'!$S$89*'Вводные'!$H$5*'Вводные'!$AG$89*(1+'Вводные'!$B$64)^MAX(0,MIN((12*(YEAR(EF$3)-YEAR($B$30))+MONTH(EF$3)-MONTH($B$30)),(12*(YEAR($B$31)-YEAR($B$30))+MONTH($B$31)-MONTH($B$30))))*(1+'Вводные'!$B$65)^MAX(0,(12*(YEAR(EF$3)-YEAR($B$31))+MONTH(EF$3)-MONTH($B$31))))</x:f>
      </x:c>
      <x:c r="EG47" s="107" t="n">
        <x:f>IF(EG46=0,0,'Вводные'!$B$62*'Вводные'!$S$89*'Вводные'!$H$5*'Вводные'!$AG$89*(1+'Вводные'!$B$64)^MAX(0,MIN((12*(YEAR(EG$3)-YEAR($B$30))+MONTH(EG$3)-MONTH($B$30)),(12*(YEAR($B$31)-YEAR($B$30))+MONTH($B$31)-MONTH($B$30))))*(1+'Вводные'!$B$65)^MAX(0,(12*(YEAR(EG$3)-YEAR($B$31))+MONTH(EG$3)-MONTH($B$31))))</x:f>
      </x:c>
      <x:c r="EH47" s="107" t="n">
        <x:f>IF(EH46=0,0,'Вводные'!$B$62*'Вводные'!$S$89*'Вводные'!$H$5*'Вводные'!$AG$89*(1+'Вводные'!$B$64)^MAX(0,MIN((12*(YEAR(EH$3)-YEAR($B$30))+MONTH(EH$3)-MONTH($B$30)),(12*(YEAR($B$31)-YEAR($B$30))+MONTH($B$31)-MONTH($B$30))))*(1+'Вводные'!$B$65)^MAX(0,(12*(YEAR(EH$3)-YEAR($B$31))+MONTH(EH$3)-MONTH($B$31))))</x:f>
      </x:c>
      <x:c r="EI47" s="107" t="n">
        <x:f>IF(EI46=0,0,'Вводные'!$B$62*'Вводные'!$S$89*'Вводные'!$H$5*'Вводные'!$AG$89*(1+'Вводные'!$B$64)^MAX(0,MIN((12*(YEAR(EI$3)-YEAR($B$30))+MONTH(EI$3)-MONTH($B$30)),(12*(YEAR($B$31)-YEAR($B$30))+MONTH($B$31)-MONTH($B$30))))*(1+'Вводные'!$B$65)^MAX(0,(12*(YEAR(EI$3)-YEAR($B$31))+MONTH(EI$3)-MONTH($B$31))))</x:f>
      </x:c>
      <x:c r="EJ47" s="107" t="n">
        <x:f>IF(EJ46=0,0,'Вводные'!$B$62*'Вводные'!$S$89*'Вводные'!$H$5*'Вводные'!$AG$89*(1+'Вводные'!$B$64)^MAX(0,MIN((12*(YEAR(EJ$3)-YEAR($B$30))+MONTH(EJ$3)-MONTH($B$30)),(12*(YEAR($B$31)-YEAR($B$30))+MONTH($B$31)-MONTH($B$30))))*(1+'Вводные'!$B$65)^MAX(0,(12*(YEAR(EJ$3)-YEAR($B$31))+MONTH(EJ$3)-MONTH($B$31))))</x:f>
      </x:c>
      <x:c r="EK47" s="107" t="n">
        <x:f>IF(EK46=0,0,'Вводные'!$B$62*'Вводные'!$S$89*'Вводные'!$H$5*'Вводные'!$AG$89*(1+'Вводные'!$B$64)^MAX(0,MIN((12*(YEAR(EK$3)-YEAR($B$30))+MONTH(EK$3)-MONTH($B$30)),(12*(YEAR($B$31)-YEAR($B$30))+MONTH($B$31)-MONTH($B$30))))*(1+'Вводные'!$B$65)^MAX(0,(12*(YEAR(EK$3)-YEAR($B$31))+MONTH(EK$3)-MONTH($B$31))))</x:f>
      </x:c>
      <x:c r="EL47" s="107" t="n">
        <x:f>IF(EL46=0,0,'Вводные'!$B$62*'Вводные'!$S$89*'Вводные'!$H$5*'Вводные'!$AG$89*(1+'Вводные'!$B$64)^MAX(0,MIN((12*(YEAR(EL$3)-YEAR($B$30))+MONTH(EL$3)-MONTH($B$30)),(12*(YEAR($B$31)-YEAR($B$30))+MONTH($B$31)-MONTH($B$30))))*(1+'Вводные'!$B$65)^MAX(0,(12*(YEAR(EL$3)-YEAR($B$31))+MONTH(EL$3)-MONTH($B$31))))</x:f>
      </x:c>
      <x:c r="EM47" s="107" t="n">
        <x:f>IF(EM46=0,0,'Вводные'!$B$62*'Вводные'!$S$89*'Вводные'!$H$5*'Вводные'!$AG$89*(1+'Вводные'!$B$64)^MAX(0,MIN((12*(YEAR(EM$3)-YEAR($B$30))+MONTH(EM$3)-MONTH($B$30)),(12*(YEAR($B$31)-YEAR($B$30))+MONTH($B$31)-MONTH($B$30))))*(1+'Вводные'!$B$65)^MAX(0,(12*(YEAR(EM$3)-YEAR($B$31))+MONTH(EM$3)-MONTH($B$31))))</x:f>
      </x:c>
      <x:c r="EN47" s="107" t="n">
        <x:f>IF(EN46=0,0,'Вводные'!$B$62*'Вводные'!$S$89*'Вводные'!$H$5*'Вводные'!$AG$89*(1+'Вводные'!$B$64)^MAX(0,MIN((12*(YEAR(EN$3)-YEAR($B$30))+MONTH(EN$3)-MONTH($B$30)),(12*(YEAR($B$31)-YEAR($B$30))+MONTH($B$31)-MONTH($B$30))))*(1+'Вводные'!$B$65)^MAX(0,(12*(YEAR(EN$3)-YEAR($B$31))+MONTH(EN$3)-MONTH($B$31))))</x:f>
      </x:c>
      <x:c r="EO47" s="107" t="n">
        <x:f>IF(EO46=0,0,'Вводные'!$B$62*'Вводные'!$S$89*'Вводные'!$H$5*'Вводные'!$AG$89*(1+'Вводные'!$B$64)^MAX(0,MIN((12*(YEAR(EO$3)-YEAR($B$30))+MONTH(EO$3)-MONTH($B$30)),(12*(YEAR($B$31)-YEAR($B$30))+MONTH($B$31)-MONTH($B$30))))*(1+'Вводные'!$B$65)^MAX(0,(12*(YEAR(EO$3)-YEAR($B$31))+MONTH(EO$3)-MONTH($B$31))))</x:f>
      </x:c>
      <x:c r="EP47" s="107" t="n">
        <x:f>IF(EP46=0,0,'Вводные'!$B$62*'Вводные'!$S$89*'Вводные'!$H$5*'Вводные'!$AG$89*(1+'Вводные'!$B$64)^MAX(0,MIN((12*(YEAR(EP$3)-YEAR($B$30))+MONTH(EP$3)-MONTH($B$30)),(12*(YEAR($B$31)-YEAR($B$30))+MONTH($B$31)-MONTH($B$30))))*(1+'Вводные'!$B$65)^MAX(0,(12*(YEAR(EP$3)-YEAR($B$31))+MONTH(EP$3)-MONTH($B$31))))</x:f>
      </x:c>
      <x:c r="EQ47" s="107" t="n">
        <x:f>IF(EQ46=0,0,'Вводные'!$B$62*'Вводные'!$S$89*'Вводные'!$H$5*'Вводные'!$AG$89*(1+'Вводные'!$B$64)^MAX(0,MIN((12*(YEAR(EQ$3)-YEAR($B$30))+MONTH(EQ$3)-MONTH($B$30)),(12*(YEAR($B$31)-YEAR($B$30))+MONTH($B$31)-MONTH($B$30))))*(1+'Вводные'!$B$65)^MAX(0,(12*(YEAR(EQ$3)-YEAR($B$31))+MONTH(EQ$3)-MONTH($B$31))))</x:f>
      </x:c>
      <x:c r="ER47" s="107" t="n">
        <x:f>IF(ER46=0,0,'Вводные'!$B$62*'Вводные'!$S$89*'Вводные'!$H$5*'Вводные'!$AG$89*(1+'Вводные'!$B$64)^MAX(0,MIN((12*(YEAR(ER$3)-YEAR($B$30))+MONTH(ER$3)-MONTH($B$30)),(12*(YEAR($B$31)-YEAR($B$30))+MONTH($B$31)-MONTH($B$30))))*(1+'Вводные'!$B$65)^MAX(0,(12*(YEAR(ER$3)-YEAR($B$31))+MONTH(ER$3)-MONTH($B$31))))</x:f>
      </x:c>
      <x:c r="ES47" s="107" t="n">
        <x:f>IF(ES46=0,0,'Вводные'!$B$62*'Вводные'!$S$89*'Вводные'!$H$5*'Вводные'!$AG$89*(1+'Вводные'!$B$64)^MAX(0,MIN((12*(YEAR(ES$3)-YEAR($B$30))+MONTH(ES$3)-MONTH($B$30)),(12*(YEAR($B$31)-YEAR($B$30))+MONTH($B$31)-MONTH($B$30))))*(1+'Вводные'!$B$65)^MAX(0,(12*(YEAR(ES$3)-YEAR($B$31))+MONTH(ES$3)-MONTH($B$31))))</x:f>
      </x:c>
      <x:c r="ET47" s="107" t="n">
        <x:f>IF(ET46=0,0,'Вводные'!$B$62*'Вводные'!$S$89*'Вводные'!$H$5*'Вводные'!$AG$89*(1+'Вводные'!$B$64)^MAX(0,MIN((12*(YEAR(ET$3)-YEAR($B$30))+MONTH(ET$3)-MONTH($B$30)),(12*(YEAR($B$31)-YEAR($B$30))+MONTH($B$31)-MONTH($B$30))))*(1+'Вводные'!$B$65)^MAX(0,(12*(YEAR(ET$3)-YEAR($B$31))+MONTH(ET$3)-MONTH($B$31))))</x:f>
      </x:c>
      <x:c r="EU47" s="107" t="n">
        <x:f>IF(EU46=0,0,'Вводные'!$B$62*'Вводные'!$S$89*'Вводные'!$H$5*'Вводные'!$AG$89*(1+'Вводные'!$B$64)^MAX(0,MIN((12*(YEAR(EU$3)-YEAR($B$30))+MONTH(EU$3)-MONTH($B$30)),(12*(YEAR($B$31)-YEAR($B$30))+MONTH($B$31)-MONTH($B$30))))*(1+'Вводные'!$B$65)^MAX(0,(12*(YEAR(EU$3)-YEAR($B$31))+MONTH(EU$3)-MONTH($B$31))))</x:f>
      </x:c>
      <x:c r="EV47" s="107" t="n">
        <x:f>IF(EV46=0,0,'Вводные'!$B$62*'Вводные'!$S$89*'Вводные'!$H$5*'Вводные'!$AG$89*(1+'Вводные'!$B$64)^MAX(0,MIN((12*(YEAR(EV$3)-YEAR($B$30))+MONTH(EV$3)-MONTH($B$30)),(12*(YEAR($B$31)-YEAR($B$30))+MONTH($B$31)-MONTH($B$30))))*(1+'Вводные'!$B$65)^MAX(0,(12*(YEAR(EV$3)-YEAR($B$31))+MONTH(EV$3)-MONTH($B$31))))</x:f>
      </x:c>
      <x:c r="EW47" s="107" t="n">
        <x:f>IF(EW46=0,0,'Вводные'!$B$62*'Вводные'!$S$89*'Вводные'!$H$5*'Вводные'!$AG$89*(1+'Вводные'!$B$64)^MAX(0,MIN((12*(YEAR(EW$3)-YEAR($B$30))+MONTH(EW$3)-MONTH($B$30)),(12*(YEAR($B$31)-YEAR($B$30))+MONTH($B$31)-MONTH($B$30))))*(1+'Вводные'!$B$65)^MAX(0,(12*(YEAR(EW$3)-YEAR($B$31))+MONTH(EW$3)-MONTH($B$31))))</x:f>
      </x:c>
      <x:c r="EX47" s="107" t="n">
        <x:f>IF(EX46=0,0,'Вводные'!$B$62*'Вводные'!$S$89*'Вводные'!$H$5*'Вводные'!$AG$89*(1+'Вводные'!$B$64)^MAX(0,MIN((12*(YEAR(EX$3)-YEAR($B$30))+MONTH(EX$3)-MONTH($B$30)),(12*(YEAR($B$31)-YEAR($B$30))+MONTH($B$31)-MONTH($B$30))))*(1+'Вводные'!$B$65)^MAX(0,(12*(YEAR(EX$3)-YEAR($B$31))+MONTH(EX$3)-MONTH($B$31))))</x:f>
      </x:c>
      <x:c r="EY47" s="107" t="n">
        <x:f>IF(EY46=0,0,'Вводные'!$B$62*'Вводные'!$S$89*'Вводные'!$H$5*'Вводные'!$AG$89*(1+'Вводные'!$B$64)^MAX(0,MIN((12*(YEAR(EY$3)-YEAR($B$30))+MONTH(EY$3)-MONTH($B$30)),(12*(YEAR($B$31)-YEAR($B$30))+MONTH($B$31)-MONTH($B$30))))*(1+'Вводные'!$B$65)^MAX(0,(12*(YEAR(EY$3)-YEAR($B$31))+MONTH(EY$3)-MONTH($B$31))))</x:f>
      </x:c>
      <x:c r="EZ47" s="107" t="n">
        <x:f>IF(EZ46=0,0,'Вводные'!$B$62*'Вводные'!$S$89*'Вводные'!$H$5*'Вводные'!$AG$89*(1+'Вводные'!$B$64)^MAX(0,MIN((12*(YEAR(EZ$3)-YEAR($B$30))+MONTH(EZ$3)-MONTH($B$30)),(12*(YEAR($B$31)-YEAR($B$30))+MONTH($B$31)-MONTH($B$30))))*(1+'Вводные'!$B$65)^MAX(0,(12*(YEAR(EZ$3)-YEAR($B$31))+MONTH(EZ$3)-MONTH($B$31))))</x:f>
      </x:c>
      <x:c r="FA47" s="107" t="n">
        <x:f>IF(FA46=0,0,'Вводные'!$B$62*'Вводные'!$S$89*'Вводные'!$H$5*'Вводные'!$AG$89*(1+'Вводные'!$B$64)^MAX(0,MIN((12*(YEAR(FA$3)-YEAR($B$30))+MONTH(FA$3)-MONTH($B$30)),(12*(YEAR($B$31)-YEAR($B$30))+MONTH($B$31)-MONTH($B$30))))*(1+'Вводные'!$B$65)^MAX(0,(12*(YEAR(FA$3)-YEAR($B$31))+MONTH(FA$3)-MONTH($B$31))))</x:f>
      </x:c>
      <x:c r="FB47" s="107" t="n">
        <x:f>IF(FB46=0,0,'Вводные'!$B$62*'Вводные'!$S$89*'Вводные'!$H$5*'Вводные'!$AG$89*(1+'Вводные'!$B$64)^MAX(0,MIN((12*(YEAR(FB$3)-YEAR($B$30))+MONTH(FB$3)-MONTH($B$30)),(12*(YEAR($B$31)-YEAR($B$30))+MONTH($B$31)-MONTH($B$30))))*(1+'Вводные'!$B$65)^MAX(0,(12*(YEAR(FB$3)-YEAR($B$31))+MONTH(FB$3)-MONTH($B$31))))</x:f>
      </x:c>
      <x:c r="FC47" s="107" t="n">
        <x:f>IF(FC46=0,0,'Вводные'!$B$62*'Вводные'!$S$89*'Вводные'!$H$5*'Вводные'!$AG$89*(1+'Вводные'!$B$64)^MAX(0,MIN((12*(YEAR(FC$3)-YEAR($B$30))+MONTH(FC$3)-MONTH($B$30)),(12*(YEAR($B$31)-YEAR($B$30))+MONTH($B$31)-MONTH($B$30))))*(1+'Вводные'!$B$65)^MAX(0,(12*(YEAR(FC$3)-YEAR($B$31))+MONTH(FC$3)-MONTH($B$31))))</x:f>
      </x:c>
      <x:c r="FD47" s="107" t="n">
        <x:f>IF(FD46=0,0,'Вводные'!$B$62*'Вводные'!$S$89*'Вводные'!$H$5*'Вводные'!$AG$89*(1+'Вводные'!$B$64)^MAX(0,MIN((12*(YEAR(FD$3)-YEAR($B$30))+MONTH(FD$3)-MONTH($B$30)),(12*(YEAR($B$31)-YEAR($B$30))+MONTH($B$31)-MONTH($B$30))))*(1+'Вводные'!$B$65)^MAX(0,(12*(YEAR(FD$3)-YEAR($B$31))+MONTH(FD$3)-MONTH($B$31))))</x:f>
      </x:c>
      <x:c r="FE47" s="107" t="n">
        <x:f>IF(FE46=0,0,'Вводные'!$B$62*'Вводные'!$S$89*'Вводные'!$H$5*'Вводные'!$AG$89*(1+'Вводные'!$B$64)^MAX(0,MIN((12*(YEAR(FE$3)-YEAR($B$30))+MONTH(FE$3)-MONTH($B$30)),(12*(YEAR($B$31)-YEAR($B$30))+MONTH($B$31)-MONTH($B$30))))*(1+'Вводные'!$B$65)^MAX(0,(12*(YEAR(FE$3)-YEAR($B$31))+MONTH(FE$3)-MONTH($B$31))))</x:f>
      </x:c>
      <x:c r="FF47" s="107" t="n">
        <x:f>IF(FF46=0,0,'Вводные'!$B$62*'Вводные'!$S$89*'Вводные'!$H$5*'Вводные'!$AG$89*(1+'Вводные'!$B$64)^MAX(0,MIN((12*(YEAR(FF$3)-YEAR($B$30))+MONTH(FF$3)-MONTH($B$30)),(12*(YEAR($B$31)-YEAR($B$30))+MONTH($B$31)-MONTH($B$30))))*(1+'Вводные'!$B$65)^MAX(0,(12*(YEAR(FF$3)-YEAR($B$31))+MONTH(FF$3)-MONTH($B$31))))</x:f>
      </x:c>
      <x:c r="FG47" s="107" t="n">
        <x:f>IF(FG46=0,0,'Вводные'!$B$62*'Вводные'!$S$89*'Вводные'!$H$5*'Вводные'!$AG$89*(1+'Вводные'!$B$64)^MAX(0,MIN((12*(YEAR(FG$3)-YEAR($B$30))+MONTH(FG$3)-MONTH($B$30)),(12*(YEAR($B$31)-YEAR($B$30))+MONTH($B$31)-MONTH($B$30))))*(1+'Вводные'!$B$65)^MAX(0,(12*(YEAR(FG$3)-YEAR($B$31))+MONTH(FG$3)-MONTH($B$31))))</x:f>
      </x:c>
      <x:c r="FH47" s="107" t="n">
        <x:f>IF(FH46=0,0,'Вводные'!$B$62*'Вводные'!$S$89*'Вводные'!$H$5*'Вводные'!$AG$89*(1+'Вводные'!$B$64)^MAX(0,MIN((12*(YEAR(FH$3)-YEAR($B$30))+MONTH(FH$3)-MONTH($B$30)),(12*(YEAR($B$31)-YEAR($B$30))+MONTH($B$31)-MONTH($B$30))))*(1+'Вводные'!$B$65)^MAX(0,(12*(YEAR(FH$3)-YEAR($B$31))+MONTH(FH$3)-MONTH($B$31))))</x:f>
      </x:c>
      <x:c r="FI47" s="107" t="n">
        <x:f>IF(FI46=0,0,'Вводные'!$B$62*'Вводные'!$S$89*'Вводные'!$H$5*'Вводные'!$AG$89*(1+'Вводные'!$B$64)^MAX(0,MIN((12*(YEAR(FI$3)-YEAR($B$30))+MONTH(FI$3)-MONTH($B$30)),(12*(YEAR($B$31)-YEAR($B$30))+MONTH($B$31)-MONTH($B$30))))*(1+'Вводные'!$B$65)^MAX(0,(12*(YEAR(FI$3)-YEAR($B$31))+MONTH(FI$3)-MONTH($B$31))))</x:f>
      </x:c>
      <x:c r="FJ47" s="107" t="n">
        <x:f>IF(FJ46=0,0,'Вводные'!$B$62*'Вводные'!$S$89*'Вводные'!$H$5*'Вводные'!$AG$89*(1+'Вводные'!$B$64)^MAX(0,MIN((12*(YEAR(FJ$3)-YEAR($B$30))+MONTH(FJ$3)-MONTH($B$30)),(12*(YEAR($B$31)-YEAR($B$30))+MONTH($B$31)-MONTH($B$30))))*(1+'Вводные'!$B$65)^MAX(0,(12*(YEAR(FJ$3)-YEAR($B$31))+MONTH(FJ$3)-MONTH($B$31))))</x:f>
      </x:c>
      <x:c r="FK47" s="107" t="n">
        <x:f>IF(FK46=0,0,'Вводные'!$B$62*'Вводные'!$S$89*'Вводные'!$H$5*'Вводные'!$AG$89*(1+'Вводные'!$B$64)^MAX(0,MIN((12*(YEAR(FK$3)-YEAR($B$30))+MONTH(FK$3)-MONTH($B$30)),(12*(YEAR($B$31)-YEAR($B$30))+MONTH($B$31)-MONTH($B$30))))*(1+'Вводные'!$B$65)^MAX(0,(12*(YEAR(FK$3)-YEAR($B$31))+MONTH(FK$3)-MONTH($B$31))))</x:f>
      </x:c>
      <x:c r="FL47" s="107" t="n">
        <x:f>IF(FL46=0,0,'Вводные'!$B$62*'Вводные'!$S$89*'Вводные'!$H$5*'Вводные'!$AG$89*(1+'Вводные'!$B$64)^MAX(0,MIN((12*(YEAR(FL$3)-YEAR($B$30))+MONTH(FL$3)-MONTH($B$30)),(12*(YEAR($B$31)-YEAR($B$30))+MONTH($B$31)-MONTH($B$30))))*(1+'Вводные'!$B$65)^MAX(0,(12*(YEAR(FL$3)-YEAR($B$31))+MONTH(FL$3)-MONTH($B$31))))</x:f>
      </x:c>
      <x:c r="FM47" s="107" t="n">
        <x:f>IF(FM46=0,0,'Вводные'!$B$62*'Вводные'!$S$89*'Вводные'!$H$5*'Вводные'!$AG$89*(1+'Вводные'!$B$64)^MAX(0,MIN((12*(YEAR(FM$3)-YEAR($B$30))+MONTH(FM$3)-MONTH($B$30)),(12*(YEAR($B$31)-YEAR($B$30))+MONTH($B$31)-MONTH($B$30))))*(1+'Вводные'!$B$65)^MAX(0,(12*(YEAR(FM$3)-YEAR($B$31))+MONTH(FM$3)-MONTH($B$31))))</x:f>
      </x:c>
      <x:c r="FN47" s="107" t="n">
        <x:f>IF(FN46=0,0,'Вводные'!$B$62*'Вводные'!$S$89*'Вводные'!$H$5*'Вводные'!$AG$89*(1+'Вводные'!$B$64)^MAX(0,MIN((12*(YEAR(FN$3)-YEAR($B$30))+MONTH(FN$3)-MONTH($B$30)),(12*(YEAR($B$31)-YEAR($B$30))+MONTH($B$31)-MONTH($B$30))))*(1+'Вводные'!$B$65)^MAX(0,(12*(YEAR(FN$3)-YEAR($B$31))+MONTH(FN$3)-MONTH($B$31))))</x:f>
      </x:c>
      <x:c r="FO47" s="107" t="n">
        <x:f>IF(FO46=0,0,'Вводные'!$B$62*'Вводные'!$S$89*'Вводные'!$H$5*'Вводные'!$AG$89*(1+'Вводные'!$B$64)^MAX(0,MIN((12*(YEAR(FO$3)-YEAR($B$30))+MONTH(FO$3)-MONTH($B$30)),(12*(YEAR($B$31)-YEAR($B$30))+MONTH($B$31)-MONTH($B$30))))*(1+'Вводные'!$B$65)^MAX(0,(12*(YEAR(FO$3)-YEAR($B$31))+MONTH(FO$3)-MONTH($B$31))))</x:f>
      </x:c>
      <x:c r="FP47" s="107" t="n">
        <x:f>IF(FP46=0,0,'Вводные'!$B$62*'Вводные'!$S$89*'Вводные'!$H$5*'Вводные'!$AG$89*(1+'Вводные'!$B$64)^MAX(0,MIN((12*(YEAR(FP$3)-YEAR($B$30))+MONTH(FP$3)-MONTH($B$30)),(12*(YEAR($B$31)-YEAR($B$30))+MONTH($B$31)-MONTH($B$30))))*(1+'Вводные'!$B$65)^MAX(0,(12*(YEAR(FP$3)-YEAR($B$31))+MONTH(FP$3)-MONTH($B$31))))</x:f>
      </x:c>
      <x:c r="FQ47" s="107" t="n">
        <x:f>IF(FQ46=0,0,'Вводные'!$B$62*'Вводные'!$S$89*'Вводные'!$H$5*'Вводные'!$AG$89*(1+'Вводные'!$B$64)^MAX(0,MIN((12*(YEAR(FQ$3)-YEAR($B$30))+MONTH(FQ$3)-MONTH($B$30)),(12*(YEAR($B$31)-YEAR($B$30))+MONTH($B$31)-MONTH($B$30))))*(1+'Вводные'!$B$65)^MAX(0,(12*(YEAR(FQ$3)-YEAR($B$31))+MONTH(FQ$3)-MONTH($B$31))))</x:f>
      </x:c>
      <x:c r="FR47" s="107" t="n">
        <x:f>IF(FR46=0,0,'Вводные'!$B$62*'Вводные'!$S$89*'Вводные'!$H$5*'Вводные'!$AG$89*(1+'Вводные'!$B$64)^MAX(0,MIN((12*(YEAR(FR$3)-YEAR($B$30))+MONTH(FR$3)-MONTH($B$30)),(12*(YEAR($B$31)-YEAR($B$30))+MONTH($B$31)-MONTH($B$30))))*(1+'Вводные'!$B$65)^MAX(0,(12*(YEAR(FR$3)-YEAR($B$31))+MONTH(FR$3)-MONTH($B$31))))</x:f>
      </x:c>
      <x:c r="FS47" s="107" t="n">
        <x:f>IF(FS46=0,0,'Вводные'!$B$62*'Вводные'!$S$89*'Вводные'!$H$5*'Вводные'!$AG$89*(1+'Вводные'!$B$64)^MAX(0,MIN((12*(YEAR(FS$3)-YEAR($B$30))+MONTH(FS$3)-MONTH($B$30)),(12*(YEAR($B$31)-YEAR($B$30))+MONTH($B$31)-MONTH($B$30))))*(1+'Вводные'!$B$65)^MAX(0,(12*(YEAR(FS$3)-YEAR($B$31))+MONTH(FS$3)-MONTH($B$31))))</x:f>
      </x:c>
      <x:c r="FT47" s="107" t="n">
        <x:f>IF(FT46=0,0,'Вводные'!$B$62*'Вводные'!$S$89*'Вводные'!$H$5*'Вводные'!$AG$89*(1+'Вводные'!$B$64)^MAX(0,MIN((12*(YEAR(FT$3)-YEAR($B$30))+MONTH(FT$3)-MONTH($B$30)),(12*(YEAR($B$31)-YEAR($B$30))+MONTH($B$31)-MONTH($B$30))))*(1+'Вводные'!$B$65)^MAX(0,(12*(YEAR(FT$3)-YEAR($B$31))+MONTH(FT$3)-MONTH($B$31))))</x:f>
      </x:c>
      <x:c r="FU47" s="107" t="n">
        <x:f>IF(FU46=0,0,'Вводные'!$B$62*'Вводные'!$S$89*'Вводные'!$H$5*'Вводные'!$AG$89*(1+'Вводные'!$B$64)^MAX(0,MIN((12*(YEAR(FU$3)-YEAR($B$30))+MONTH(FU$3)-MONTH($B$30)),(12*(YEAR($B$31)-YEAR($B$30))+MONTH($B$31)-MONTH($B$30))))*(1+'Вводные'!$B$65)^MAX(0,(12*(YEAR(FU$3)-YEAR($B$31))+MONTH(FU$3)-MONTH($B$31))))</x:f>
      </x:c>
      <x:c r="FV47" s="107" t="n">
        <x:f>IF(FV46=0,0,'Вводные'!$B$62*'Вводные'!$S$89*'Вводные'!$H$5*'Вводные'!$AG$89*(1+'Вводные'!$B$64)^MAX(0,MIN((12*(YEAR(FV$3)-YEAR($B$30))+MONTH(FV$3)-MONTH($B$30)),(12*(YEAR($B$31)-YEAR($B$30))+MONTH($B$31)-MONTH($B$30))))*(1+'Вводные'!$B$65)^MAX(0,(12*(YEAR(FV$3)-YEAR($B$31))+MONTH(FV$3)-MONTH($B$31))))</x:f>
      </x:c>
      <x:c r="FW47" s="107" t="n">
        <x:f>IF(FW46=0,0,'Вводные'!$B$62*'Вводные'!$S$89*'Вводные'!$H$5*'Вводные'!$AG$89*(1+'Вводные'!$B$64)^MAX(0,MIN((12*(YEAR(FW$3)-YEAR($B$30))+MONTH(FW$3)-MONTH($B$30)),(12*(YEAR($B$31)-YEAR($B$30))+MONTH($B$31)-MONTH($B$30))))*(1+'Вводные'!$B$65)^MAX(0,(12*(YEAR(FW$3)-YEAR($B$31))+MONTH(FW$3)-MONTH($B$31))))</x:f>
      </x:c>
      <x:c r="FX47" s="107" t="n">
        <x:f>IF(FX46=0,0,'Вводные'!$B$62*'Вводные'!$S$89*'Вводные'!$H$5*'Вводные'!$AG$89*(1+'Вводные'!$B$64)^MAX(0,MIN((12*(YEAR(FX$3)-YEAR($B$30))+MONTH(FX$3)-MONTH($B$30)),(12*(YEAR($B$31)-YEAR($B$30))+MONTH($B$31)-MONTH($B$30))))*(1+'Вводные'!$B$65)^MAX(0,(12*(YEAR(FX$3)-YEAR($B$31))+MONTH(FX$3)-MONTH($B$31))))</x:f>
      </x:c>
      <x:c r="FY47" s="107" t="n">
        <x:f>IF(FY46=0,0,'Вводные'!$B$62*'Вводные'!$S$89*'Вводные'!$H$5*'Вводные'!$AG$89*(1+'Вводные'!$B$64)^MAX(0,MIN((12*(YEAR(FY$3)-YEAR($B$30))+MONTH(FY$3)-MONTH($B$30)),(12*(YEAR($B$31)-YEAR($B$30))+MONTH($B$31)-MONTH($B$30))))*(1+'Вводные'!$B$65)^MAX(0,(12*(YEAR(FY$3)-YEAR($B$31))+MONTH(FY$3)-MONTH($B$31))))</x:f>
      </x:c>
      <x:c r="FZ47" s="107" t="n">
        <x:f>IF(FZ46=0,0,'Вводные'!$B$62*'Вводные'!$S$89*'Вводные'!$H$5*'Вводные'!$AG$89*(1+'Вводные'!$B$64)^MAX(0,MIN((12*(YEAR(FZ$3)-YEAR($B$30))+MONTH(FZ$3)-MONTH($B$30)),(12*(YEAR($B$31)-YEAR($B$30))+MONTH($B$31)-MONTH($B$30))))*(1+'Вводные'!$B$65)^MAX(0,(12*(YEAR(FZ$3)-YEAR($B$31))+MONTH(FZ$3)-MONTH($B$31))))</x:f>
      </x:c>
      <x:c r="GA47" s="107" t="n">
        <x:f>IF(GA46=0,0,'Вводные'!$B$62*'Вводные'!$S$89*'Вводные'!$H$5*'Вводные'!$AG$89*(1+'Вводные'!$B$64)^MAX(0,MIN((12*(YEAR(GA$3)-YEAR($B$30))+MONTH(GA$3)-MONTH($B$30)),(12*(YEAR($B$31)-YEAR($B$30))+MONTH($B$31)-MONTH($B$30))))*(1+'Вводные'!$B$65)^MAX(0,(12*(YEAR(GA$3)-YEAR($B$31))+MONTH(GA$3)-MONTH($B$31))))</x:f>
      </x:c>
    </x:row>
    <x:row r="48">
      <x:c r="A48" t="str">
        <x:v>Кладовые — выручка</x:v>
      </x:c>
      <x:c r="B48" t="n">
        <x:f>SUM(D48:GA48)</x:f>
      </x:c>
      <x:c r="C48" t="str">
        <x:v>млн ₽</x:v>
      </x:c>
      <x:c r="D48" s="107" t="n">
        <x:f>D46*D47/1000</x:f>
      </x:c>
      <x:c r="E48" s="107" t="n">
        <x:f>E46*E47/1000</x:f>
      </x:c>
      <x:c r="F48" s="107" t="n">
        <x:f>F46*F47/1000</x:f>
      </x:c>
      <x:c r="G48" s="107" t="n">
        <x:f>G46*G47/1000</x:f>
      </x:c>
      <x:c r="H48" s="107" t="n">
        <x:f>H46*H47/1000</x:f>
      </x:c>
      <x:c r="I48" s="107" t="n">
        <x:f>I46*I47/1000</x:f>
      </x:c>
      <x:c r="J48" s="107" t="n">
        <x:f>J46*J47/1000</x:f>
      </x:c>
      <x:c r="K48" s="107" t="n">
        <x:f>K46*K47/1000</x:f>
      </x:c>
      <x:c r="L48" s="107" t="n">
        <x:f>L46*L47/1000</x:f>
      </x:c>
      <x:c r="M48" s="107" t="n">
        <x:f>M46*M47/1000</x:f>
      </x:c>
      <x:c r="N48" s="107" t="n">
        <x:f>N46*N47/1000</x:f>
      </x:c>
      <x:c r="O48" s="107" t="n">
        <x:f>O46*O47/1000</x:f>
      </x:c>
      <x:c r="P48" s="107" t="n">
        <x:f>P46*P47/1000</x:f>
      </x:c>
      <x:c r="Q48" s="107" t="n">
        <x:f>Q46*Q47/1000</x:f>
      </x:c>
      <x:c r="R48" s="107" t="n">
        <x:f>R46*R47/1000</x:f>
      </x:c>
      <x:c r="S48" s="107" t="n">
        <x:f>S46*S47/1000</x:f>
      </x:c>
      <x:c r="T48" s="107" t="n">
        <x:f>T46*T47/1000</x:f>
      </x:c>
      <x:c r="U48" s="107" t="n">
        <x:f>U46*U47/1000</x:f>
      </x:c>
      <x:c r="V48" s="107" t="n">
        <x:f>V46*V47/1000</x:f>
      </x:c>
      <x:c r="W48" s="107" t="n">
        <x:f>W46*W47/1000</x:f>
      </x:c>
      <x:c r="X48" s="107" t="n">
        <x:f>X46*X47/1000</x:f>
      </x:c>
      <x:c r="Y48" s="107" t="n">
        <x:f>Y46*Y47/1000</x:f>
      </x:c>
      <x:c r="Z48" s="107" t="n">
        <x:f>Z46*Z47/1000</x:f>
      </x:c>
      <x:c r="AA48" s="107" t="n">
        <x:f>AA46*AA47/1000</x:f>
      </x:c>
      <x:c r="AB48" s="107" t="n">
        <x:f>AB46*AB47/1000</x:f>
      </x:c>
      <x:c r="AC48" s="107" t="n">
        <x:f>AC46*AC47/1000</x:f>
      </x:c>
      <x:c r="AD48" s="107" t="n">
        <x:f>AD46*AD47/1000</x:f>
      </x:c>
      <x:c r="AE48" s="107" t="n">
        <x:f>AE46*AE47/1000</x:f>
      </x:c>
      <x:c r="AF48" s="107" t="n">
        <x:f>AF46*AF47/1000</x:f>
      </x:c>
      <x:c r="AG48" s="107" t="n">
        <x:f>AG46*AG47/1000</x:f>
      </x:c>
      <x:c r="AH48" s="107" t="n">
        <x:f>AH46*AH47/1000</x:f>
      </x:c>
      <x:c r="AI48" s="107" t="n">
        <x:f>AI46*AI47/1000</x:f>
      </x:c>
      <x:c r="AJ48" s="107" t="n">
        <x:f>AJ46*AJ47/1000</x:f>
      </x:c>
      <x:c r="AK48" s="107" t="n">
        <x:f>AK46*AK47/1000</x:f>
      </x:c>
      <x:c r="AL48" s="107" t="n">
        <x:f>AL46*AL47/1000</x:f>
      </x:c>
      <x:c r="AM48" s="107" t="n">
        <x:f>AM46*AM47/1000</x:f>
      </x:c>
      <x:c r="AN48" s="107" t="n">
        <x:f>AN46*AN47/1000</x:f>
      </x:c>
      <x:c r="AO48" s="107" t="n">
        <x:f>AO46*AO47/1000</x:f>
      </x:c>
      <x:c r="AP48" s="107" t="n">
        <x:f>AP46*AP47/1000</x:f>
      </x:c>
      <x:c r="AQ48" s="107" t="n">
        <x:f>AQ46*AQ47/1000</x:f>
      </x:c>
      <x:c r="AR48" s="107" t="n">
        <x:f>AR46*AR47/1000</x:f>
      </x:c>
      <x:c r="AS48" s="107" t="n">
        <x:f>AS46*AS47/1000</x:f>
      </x:c>
      <x:c r="AT48" s="107" t="n">
        <x:f>AT46*AT47/1000</x:f>
      </x:c>
      <x:c r="AU48" s="107" t="n">
        <x:f>AU46*AU47/1000</x:f>
      </x:c>
      <x:c r="AV48" s="107" t="n">
        <x:f>AV46*AV47/1000</x:f>
      </x:c>
      <x:c r="AW48" s="107" t="n">
        <x:f>AW46*AW47/1000</x:f>
      </x:c>
      <x:c r="AX48" s="107" t="n">
        <x:f>AX46*AX47/1000</x:f>
      </x:c>
      <x:c r="AY48" s="107" t="n">
        <x:f>AY46*AY47/1000</x:f>
      </x:c>
      <x:c r="AZ48" s="107" t="n">
        <x:f>AZ46*AZ47/1000</x:f>
      </x:c>
      <x:c r="BA48" s="107" t="n">
        <x:f>BA46*BA47/1000</x:f>
      </x:c>
      <x:c r="BB48" s="107" t="n">
        <x:f>BB46*BB47/1000</x:f>
      </x:c>
      <x:c r="BC48" s="107" t="n">
        <x:f>BC46*BC47/1000</x:f>
      </x:c>
      <x:c r="BD48" s="107" t="n">
        <x:f>BD46*BD47/1000</x:f>
      </x:c>
      <x:c r="BE48" s="107" t="n">
        <x:f>BE46*BE47/1000</x:f>
      </x:c>
      <x:c r="BF48" s="107" t="n">
        <x:f>BF46*BF47/1000</x:f>
      </x:c>
      <x:c r="BG48" s="107" t="n">
        <x:f>BG46*BG47/1000</x:f>
      </x:c>
      <x:c r="BH48" s="107" t="n">
        <x:f>BH46*BH47/1000</x:f>
      </x:c>
      <x:c r="BI48" s="107" t="n">
        <x:f>BI46*BI47/1000</x:f>
      </x:c>
      <x:c r="BJ48" s="107" t="n">
        <x:f>BJ46*BJ47/1000</x:f>
      </x:c>
      <x:c r="BK48" s="107" t="n">
        <x:f>BK46*BK47/1000</x:f>
      </x:c>
      <x:c r="BL48" s="107" t="n">
        <x:f>BL46*BL47/1000</x:f>
      </x:c>
      <x:c r="BM48" s="107" t="n">
        <x:f>BM46*BM47/1000</x:f>
      </x:c>
      <x:c r="BN48" s="107" t="n">
        <x:f>BN46*BN47/1000</x:f>
      </x:c>
      <x:c r="BO48" s="107" t="n">
        <x:f>BO46*BO47/1000</x:f>
      </x:c>
      <x:c r="BP48" s="107" t="n">
        <x:f>BP46*BP47/1000</x:f>
      </x:c>
      <x:c r="BQ48" s="107" t="n">
        <x:f>BQ46*BQ47/1000</x:f>
      </x:c>
      <x:c r="BR48" s="107" t="n">
        <x:f>BR46*BR47/1000</x:f>
      </x:c>
      <x:c r="BS48" s="107" t="n">
        <x:f>BS46*BS47/1000</x:f>
      </x:c>
      <x:c r="BT48" s="107" t="n">
        <x:f>BT46*BT47/1000</x:f>
      </x:c>
      <x:c r="BU48" s="107" t="n">
        <x:f>BU46*BU47/1000</x:f>
      </x:c>
      <x:c r="BV48" s="107" t="n">
        <x:f>BV46*BV47/1000</x:f>
      </x:c>
      <x:c r="BW48" s="107" t="n">
        <x:f>BW46*BW47/1000</x:f>
      </x:c>
      <x:c r="BX48" s="107" t="n">
        <x:f>BX46*BX47/1000</x:f>
      </x:c>
      <x:c r="BY48" s="107" t="n">
        <x:f>BY46*BY47/1000</x:f>
      </x:c>
      <x:c r="BZ48" s="107" t="n">
        <x:f>BZ46*BZ47/1000</x:f>
      </x:c>
      <x:c r="CA48" s="107" t="n">
        <x:f>CA46*CA47/1000</x:f>
      </x:c>
      <x:c r="CB48" s="107" t="n">
        <x:f>CB46*CB47/1000</x:f>
      </x:c>
      <x:c r="CC48" s="107" t="n">
        <x:f>CC46*CC47/1000</x:f>
      </x:c>
      <x:c r="CD48" s="107" t="n">
        <x:f>CD46*CD47/1000</x:f>
      </x:c>
      <x:c r="CE48" s="107" t="n">
        <x:f>CE46*CE47/1000</x:f>
      </x:c>
      <x:c r="CF48" s="107" t="n">
        <x:f>CF46*CF47/1000</x:f>
      </x:c>
      <x:c r="CG48" s="107" t="n">
        <x:f>CG46*CG47/1000</x:f>
      </x:c>
      <x:c r="CH48" s="107" t="n">
        <x:f>CH46*CH47/1000</x:f>
      </x:c>
      <x:c r="CI48" s="107" t="n">
        <x:f>CI46*CI47/1000</x:f>
      </x:c>
      <x:c r="CJ48" s="107" t="n">
        <x:f>CJ46*CJ47/1000</x:f>
      </x:c>
      <x:c r="CK48" s="107" t="n">
        <x:f>CK46*CK47/1000</x:f>
      </x:c>
      <x:c r="CL48" s="107" t="n">
        <x:f>CL46*CL47/1000</x:f>
      </x:c>
      <x:c r="CM48" s="107" t="n">
        <x:f>CM46*CM47/1000</x:f>
      </x:c>
      <x:c r="CN48" s="107" t="n">
        <x:f>CN46*CN47/1000</x:f>
      </x:c>
      <x:c r="CO48" s="107" t="n">
        <x:f>CO46*CO47/1000</x:f>
      </x:c>
      <x:c r="CP48" s="107" t="n">
        <x:f>CP46*CP47/1000</x:f>
      </x:c>
      <x:c r="CQ48" s="107" t="n">
        <x:f>CQ46*CQ47/1000</x:f>
      </x:c>
      <x:c r="CR48" s="107" t="n">
        <x:f>CR46*CR47/1000</x:f>
      </x:c>
      <x:c r="CS48" s="107" t="n">
        <x:f>CS46*CS47/1000</x:f>
      </x:c>
      <x:c r="CT48" s="107" t="n">
        <x:f>CT46*CT47/1000</x:f>
      </x:c>
      <x:c r="CU48" s="107" t="n">
        <x:f>CU46*CU47/1000</x:f>
      </x:c>
      <x:c r="CV48" s="107" t="n">
        <x:f>CV46*CV47/1000</x:f>
      </x:c>
      <x:c r="CW48" s="107" t="n">
        <x:f>CW46*CW47/1000</x:f>
      </x:c>
      <x:c r="CX48" s="107" t="n">
        <x:f>CX46*CX47/1000</x:f>
      </x:c>
      <x:c r="CY48" s="107" t="n">
        <x:f>CY46*CY47/1000</x:f>
      </x:c>
      <x:c r="CZ48" s="107" t="n">
        <x:f>CZ46*CZ47/1000</x:f>
      </x:c>
      <x:c r="DA48" s="107" t="n">
        <x:f>DA46*DA47/1000</x:f>
      </x:c>
      <x:c r="DB48" s="107" t="n">
        <x:f>DB46*DB47/1000</x:f>
      </x:c>
      <x:c r="DC48" s="107" t="n">
        <x:f>DC46*DC47/1000</x:f>
      </x:c>
      <x:c r="DD48" s="107" t="n">
        <x:f>DD46*DD47/1000</x:f>
      </x:c>
      <x:c r="DE48" s="107" t="n">
        <x:f>DE46*DE47/1000</x:f>
      </x:c>
      <x:c r="DF48" s="107" t="n">
        <x:f>DF46*DF47/1000</x:f>
      </x:c>
      <x:c r="DG48" s="107" t="n">
        <x:f>DG46*DG47/1000</x:f>
      </x:c>
      <x:c r="DH48" s="107" t="n">
        <x:f>DH46*DH47/1000</x:f>
      </x:c>
      <x:c r="DI48" s="107" t="n">
        <x:f>DI46*DI47/1000</x:f>
      </x:c>
      <x:c r="DJ48" s="107" t="n">
        <x:f>DJ46*DJ47/1000</x:f>
      </x:c>
      <x:c r="DK48" s="107" t="n">
        <x:f>DK46*DK47/1000</x:f>
      </x:c>
      <x:c r="DL48" s="107" t="n">
        <x:f>DL46*DL47/1000</x:f>
      </x:c>
      <x:c r="DM48" s="107" t="n">
        <x:f>DM46*DM47/1000</x:f>
      </x:c>
      <x:c r="DN48" s="107" t="n">
        <x:f>DN46*DN47/1000</x:f>
      </x:c>
      <x:c r="DO48" s="107" t="n">
        <x:f>DO46*DO47/1000</x:f>
      </x:c>
      <x:c r="DP48" s="107" t="n">
        <x:f>DP46*DP47/1000</x:f>
      </x:c>
      <x:c r="DQ48" s="107" t="n">
        <x:f>DQ46*DQ47/1000</x:f>
      </x:c>
      <x:c r="DR48" s="107" t="n">
        <x:f>DR46*DR47/1000</x:f>
      </x:c>
      <x:c r="DS48" s="107" t="n">
        <x:f>DS46*DS47/1000</x:f>
      </x:c>
      <x:c r="DT48" s="107" t="n">
        <x:f>DT46*DT47/1000</x:f>
      </x:c>
      <x:c r="DU48" s="107" t="n">
        <x:f>DU46*DU47/1000</x:f>
      </x:c>
      <x:c r="DV48" s="107" t="n">
        <x:f>DV46*DV47/1000</x:f>
      </x:c>
      <x:c r="DW48" s="107" t="n">
        <x:f>DW46*DW47/1000</x:f>
      </x:c>
      <x:c r="DX48" s="107" t="n">
        <x:f>DX46*DX47/1000</x:f>
      </x:c>
      <x:c r="DY48" s="107" t="n">
        <x:f>DY46*DY47/1000</x:f>
      </x:c>
      <x:c r="DZ48" s="107" t="n">
        <x:f>DZ46*DZ47/1000</x:f>
      </x:c>
      <x:c r="EA48" s="107" t="n">
        <x:f>EA46*EA47/1000</x:f>
      </x:c>
      <x:c r="EB48" s="107" t="n">
        <x:f>EB46*EB47/1000</x:f>
      </x:c>
      <x:c r="EC48" s="107" t="n">
        <x:f>EC46*EC47/1000</x:f>
      </x:c>
      <x:c r="ED48" s="107" t="n">
        <x:f>ED46*ED47/1000</x:f>
      </x:c>
      <x:c r="EE48" s="107" t="n">
        <x:f>EE46*EE47/1000</x:f>
      </x:c>
      <x:c r="EF48" s="107" t="n">
        <x:f>EF46*EF47/1000</x:f>
      </x:c>
      <x:c r="EG48" s="107" t="n">
        <x:f>EG46*EG47/1000</x:f>
      </x:c>
      <x:c r="EH48" s="107" t="n">
        <x:f>EH46*EH47/1000</x:f>
      </x:c>
      <x:c r="EI48" s="107" t="n">
        <x:f>EI46*EI47/1000</x:f>
      </x:c>
      <x:c r="EJ48" s="107" t="n">
        <x:f>EJ46*EJ47/1000</x:f>
      </x:c>
      <x:c r="EK48" s="107" t="n">
        <x:f>EK46*EK47/1000</x:f>
      </x:c>
      <x:c r="EL48" s="107" t="n">
        <x:f>EL46*EL47/1000</x:f>
      </x:c>
      <x:c r="EM48" s="107" t="n">
        <x:f>EM46*EM47/1000</x:f>
      </x:c>
      <x:c r="EN48" s="107" t="n">
        <x:f>EN46*EN47/1000</x:f>
      </x:c>
      <x:c r="EO48" s="107" t="n">
        <x:f>EO46*EO47/1000</x:f>
      </x:c>
      <x:c r="EP48" s="107" t="n">
        <x:f>EP46*EP47/1000</x:f>
      </x:c>
      <x:c r="EQ48" s="107" t="n">
        <x:f>EQ46*EQ47/1000</x:f>
      </x:c>
      <x:c r="ER48" s="107" t="n">
        <x:f>ER46*ER47/1000</x:f>
      </x:c>
      <x:c r="ES48" s="107" t="n">
        <x:f>ES46*ES47/1000</x:f>
      </x:c>
      <x:c r="ET48" s="107" t="n">
        <x:f>ET46*ET47/1000</x:f>
      </x:c>
      <x:c r="EU48" s="107" t="n">
        <x:f>EU46*EU47/1000</x:f>
      </x:c>
      <x:c r="EV48" s="107" t="n">
        <x:f>EV46*EV47/1000</x:f>
      </x:c>
      <x:c r="EW48" s="107" t="n">
        <x:f>EW46*EW47/1000</x:f>
      </x:c>
      <x:c r="EX48" s="107" t="n">
        <x:f>EX46*EX47/1000</x:f>
      </x:c>
      <x:c r="EY48" s="107" t="n">
        <x:f>EY46*EY47/1000</x:f>
      </x:c>
      <x:c r="EZ48" s="107" t="n">
        <x:f>EZ46*EZ47/1000</x:f>
      </x:c>
      <x:c r="FA48" s="107" t="n">
        <x:f>FA46*FA47/1000</x:f>
      </x:c>
      <x:c r="FB48" s="107" t="n">
        <x:f>FB46*FB47/1000</x:f>
      </x:c>
      <x:c r="FC48" s="107" t="n">
        <x:f>FC46*FC47/1000</x:f>
      </x:c>
      <x:c r="FD48" s="107" t="n">
        <x:f>FD46*FD47/1000</x:f>
      </x:c>
      <x:c r="FE48" s="107" t="n">
        <x:f>FE46*FE47/1000</x:f>
      </x:c>
      <x:c r="FF48" s="107" t="n">
        <x:f>FF46*FF47/1000</x:f>
      </x:c>
      <x:c r="FG48" s="107" t="n">
        <x:f>FG46*FG47/1000</x:f>
      </x:c>
      <x:c r="FH48" s="107" t="n">
        <x:f>FH46*FH47/1000</x:f>
      </x:c>
      <x:c r="FI48" s="107" t="n">
        <x:f>FI46*FI47/1000</x:f>
      </x:c>
      <x:c r="FJ48" s="107" t="n">
        <x:f>FJ46*FJ47/1000</x:f>
      </x:c>
      <x:c r="FK48" s="107" t="n">
        <x:f>FK46*FK47/1000</x:f>
      </x:c>
      <x:c r="FL48" s="107" t="n">
        <x:f>FL46*FL47/1000</x:f>
      </x:c>
      <x:c r="FM48" s="107" t="n">
        <x:f>FM46*FM47/1000</x:f>
      </x:c>
      <x:c r="FN48" s="107" t="n">
        <x:f>FN46*FN47/1000</x:f>
      </x:c>
      <x:c r="FO48" s="107" t="n">
        <x:f>FO46*FO47/1000</x:f>
      </x:c>
      <x:c r="FP48" s="107" t="n">
        <x:f>FP46*FP47/1000</x:f>
      </x:c>
      <x:c r="FQ48" s="107" t="n">
        <x:f>FQ46*FQ47/1000</x:f>
      </x:c>
      <x:c r="FR48" s="107" t="n">
        <x:f>FR46*FR47/1000</x:f>
      </x:c>
      <x:c r="FS48" s="107" t="n">
        <x:f>FS46*FS47/1000</x:f>
      </x:c>
      <x:c r="FT48" s="107" t="n">
        <x:f>FT46*FT47/1000</x:f>
      </x:c>
      <x:c r="FU48" s="107" t="n">
        <x:f>FU46*FU47/1000</x:f>
      </x:c>
      <x:c r="FV48" s="107" t="n">
        <x:f>FV46*FV47/1000</x:f>
      </x:c>
      <x:c r="FW48" s="107" t="n">
        <x:f>FW46*FW47/1000</x:f>
      </x:c>
      <x:c r="FX48" s="107" t="n">
        <x:f>FX46*FX47/1000</x:f>
      </x:c>
      <x:c r="FY48" s="107" t="n">
        <x:f>FY46*FY47/1000</x:f>
      </x:c>
      <x:c r="FZ48" s="107" t="n">
        <x:f>FZ46*FZ47/1000</x:f>
      </x:c>
      <x:c r="GA48" s="107" t="n">
        <x:f>GA46*GA47/1000</x:f>
      </x:c>
    </x:row>
    <x:row r="49">
      <x:c r="A49" s="113" t="str">
        <x:v>ВЫРУЧКА ОЧЕРЕДИ</x:v>
      </x:c>
      <x:c r="B49" s="113" t="n">
        <x:f>SUM(D49:GA49)</x:f>
      </x:c>
      <x:c r="C49" s="113" t="str">
        <x:v>млн ₽</x:v>
      </x:c>
      <x:c r="D49" s="113" t="n">
        <x:f>SUM(D39,D42,D45,D48)</x:f>
      </x:c>
      <x:c r="E49" s="113" t="n">
        <x:f>SUM(E39,E42,E45,E48)</x:f>
      </x:c>
      <x:c r="F49" s="113" t="n">
        <x:f>SUM(F39,F42,F45,F48)</x:f>
      </x:c>
      <x:c r="G49" s="113" t="n">
        <x:f>SUM(G39,G42,G45,G48)</x:f>
      </x:c>
      <x:c r="H49" s="113" t="n">
        <x:f>SUM(H39,H42,H45,H48)</x:f>
      </x:c>
      <x:c r="I49" s="113" t="n">
        <x:f>SUM(I39,I42,I45,I48)</x:f>
      </x:c>
      <x:c r="J49" s="113" t="n">
        <x:f>SUM(J39,J42,J45,J48)</x:f>
      </x:c>
      <x:c r="K49" s="113" t="n">
        <x:f>SUM(K39,K42,K45,K48)</x:f>
      </x:c>
      <x:c r="L49" s="113" t="n">
        <x:f>SUM(L39,L42,L45,L48)</x:f>
      </x:c>
      <x:c r="M49" s="113" t="n">
        <x:f>SUM(M39,M42,M45,M48)</x:f>
      </x:c>
      <x:c r="N49" s="113" t="n">
        <x:f>SUM(N39,N42,N45,N48)</x:f>
      </x:c>
      <x:c r="O49" s="113" t="n">
        <x:f>SUM(O39,O42,O45,O48)</x:f>
      </x:c>
      <x:c r="P49" s="113" t="n">
        <x:f>SUM(P39,P42,P45,P48)</x:f>
      </x:c>
      <x:c r="Q49" s="113" t="n">
        <x:f>SUM(Q39,Q42,Q45,Q48)</x:f>
      </x:c>
      <x:c r="R49" s="113" t="n">
        <x:f>SUM(R39,R42,R45,R48)</x:f>
      </x:c>
      <x:c r="S49" s="113" t="n">
        <x:f>SUM(S39,S42,S45,S48)</x:f>
      </x:c>
      <x:c r="T49" s="113" t="n">
        <x:f>SUM(T39,T42,T45,T48)</x:f>
      </x:c>
      <x:c r="U49" s="113" t="n">
        <x:f>SUM(U39,U42,U45,U48)</x:f>
      </x:c>
      <x:c r="V49" s="113" t="n">
        <x:f>SUM(V39,V42,V45,V48)</x:f>
      </x:c>
      <x:c r="W49" s="113" t="n">
        <x:f>SUM(W39,W42,W45,W48)</x:f>
      </x:c>
      <x:c r="X49" s="113" t="n">
        <x:f>SUM(X39,X42,X45,X48)</x:f>
      </x:c>
      <x:c r="Y49" s="113" t="n">
        <x:f>SUM(Y39,Y42,Y45,Y48)</x:f>
      </x:c>
      <x:c r="Z49" s="113" t="n">
        <x:f>SUM(Z39,Z42,Z45,Z48)</x:f>
      </x:c>
      <x:c r="AA49" s="113" t="n">
        <x:f>SUM(AA39,AA42,AA45,AA48)</x:f>
      </x:c>
      <x:c r="AB49" s="113" t="n">
        <x:f>SUM(AB39,AB42,AB45,AB48)</x:f>
      </x:c>
      <x:c r="AC49" s="113" t="n">
        <x:f>SUM(AC39,AC42,AC45,AC48)</x:f>
      </x:c>
      <x:c r="AD49" s="113" t="n">
        <x:f>SUM(AD39,AD42,AD45,AD48)</x:f>
      </x:c>
      <x:c r="AE49" s="113" t="n">
        <x:f>SUM(AE39,AE42,AE45,AE48)</x:f>
      </x:c>
      <x:c r="AF49" s="113" t="n">
        <x:f>SUM(AF39,AF42,AF45,AF48)</x:f>
      </x:c>
      <x:c r="AG49" s="113" t="n">
        <x:f>SUM(AG39,AG42,AG45,AG48)</x:f>
      </x:c>
      <x:c r="AH49" s="113" t="n">
        <x:f>SUM(AH39,AH42,AH45,AH48)</x:f>
      </x:c>
      <x:c r="AI49" s="113" t="n">
        <x:f>SUM(AI39,AI42,AI45,AI48)</x:f>
      </x:c>
      <x:c r="AJ49" s="113" t="n">
        <x:f>SUM(AJ39,AJ42,AJ45,AJ48)</x:f>
      </x:c>
      <x:c r="AK49" s="113" t="n">
        <x:f>SUM(AK39,AK42,AK45,AK48)</x:f>
      </x:c>
      <x:c r="AL49" s="113" t="n">
        <x:f>SUM(AL39,AL42,AL45,AL48)</x:f>
      </x:c>
      <x:c r="AM49" s="113" t="n">
        <x:f>SUM(AM39,AM42,AM45,AM48)</x:f>
      </x:c>
      <x:c r="AN49" s="113" t="n">
        <x:f>SUM(AN39,AN42,AN45,AN48)</x:f>
      </x:c>
      <x:c r="AO49" s="113" t="n">
        <x:f>SUM(AO39,AO42,AO45,AO48)</x:f>
      </x:c>
      <x:c r="AP49" s="113" t="n">
        <x:f>SUM(AP39,AP42,AP45,AP48)</x:f>
      </x:c>
      <x:c r="AQ49" s="113" t="n">
        <x:f>SUM(AQ39,AQ42,AQ45,AQ48)</x:f>
      </x:c>
      <x:c r="AR49" s="113" t="n">
        <x:f>SUM(AR39,AR42,AR45,AR48)</x:f>
      </x:c>
      <x:c r="AS49" s="113" t="n">
        <x:f>SUM(AS39,AS42,AS45,AS48)</x:f>
      </x:c>
      <x:c r="AT49" s="113" t="n">
        <x:f>SUM(AT39,AT42,AT45,AT48)</x:f>
      </x:c>
      <x:c r="AU49" s="113" t="n">
        <x:f>SUM(AU39,AU42,AU45,AU48)</x:f>
      </x:c>
      <x:c r="AV49" s="113" t="n">
        <x:f>SUM(AV39,AV42,AV45,AV48)</x:f>
      </x:c>
      <x:c r="AW49" s="113" t="n">
        <x:f>SUM(AW39,AW42,AW45,AW48)</x:f>
      </x:c>
      <x:c r="AX49" s="113" t="n">
        <x:f>SUM(AX39,AX42,AX45,AX48)</x:f>
      </x:c>
      <x:c r="AY49" s="113" t="n">
        <x:f>SUM(AY39,AY42,AY45,AY48)</x:f>
      </x:c>
      <x:c r="AZ49" s="113" t="n">
        <x:f>SUM(AZ39,AZ42,AZ45,AZ48)</x:f>
      </x:c>
      <x:c r="BA49" s="113" t="n">
        <x:f>SUM(BA39,BA42,BA45,BA48)</x:f>
      </x:c>
      <x:c r="BB49" s="113" t="n">
        <x:f>SUM(BB39,BB42,BB45,BB48)</x:f>
      </x:c>
      <x:c r="BC49" s="113" t="n">
        <x:f>SUM(BC39,BC42,BC45,BC48)</x:f>
      </x:c>
      <x:c r="BD49" s="113" t="n">
        <x:f>SUM(BD39,BD42,BD45,BD48)</x:f>
      </x:c>
      <x:c r="BE49" s="113" t="n">
        <x:f>SUM(BE39,BE42,BE45,BE48)</x:f>
      </x:c>
      <x:c r="BF49" s="113" t="n">
        <x:f>SUM(BF39,BF42,BF45,BF48)</x:f>
      </x:c>
      <x:c r="BG49" s="113" t="n">
        <x:f>SUM(BG39,BG42,BG45,BG48)</x:f>
      </x:c>
      <x:c r="BH49" s="113" t="n">
        <x:f>SUM(BH39,BH42,BH45,BH48)</x:f>
      </x:c>
      <x:c r="BI49" s="113" t="n">
        <x:f>SUM(BI39,BI42,BI45,BI48)</x:f>
      </x:c>
      <x:c r="BJ49" s="113" t="n">
        <x:f>SUM(BJ39,BJ42,BJ45,BJ48)</x:f>
      </x:c>
      <x:c r="BK49" s="113" t="n">
        <x:f>SUM(BK39,BK42,BK45,BK48)</x:f>
      </x:c>
      <x:c r="BL49" s="113" t="n">
        <x:f>SUM(BL39,BL42,BL45,BL48)</x:f>
      </x:c>
      <x:c r="BM49" s="113" t="n">
        <x:f>SUM(BM39,BM42,BM45,BM48)</x:f>
      </x:c>
      <x:c r="BN49" s="113" t="n">
        <x:f>SUM(BN39,BN42,BN45,BN48)</x:f>
      </x:c>
      <x:c r="BO49" s="113" t="n">
        <x:f>SUM(BO39,BO42,BO45,BO48)</x:f>
      </x:c>
      <x:c r="BP49" s="113" t="n">
        <x:f>SUM(BP39,BP42,BP45,BP48)</x:f>
      </x:c>
      <x:c r="BQ49" s="113" t="n">
        <x:f>SUM(BQ39,BQ42,BQ45,BQ48)</x:f>
      </x:c>
      <x:c r="BR49" s="113" t="n">
        <x:f>SUM(BR39,BR42,BR45,BR48)</x:f>
      </x:c>
      <x:c r="BS49" s="113" t="n">
        <x:f>SUM(BS39,BS42,BS45,BS48)</x:f>
      </x:c>
      <x:c r="BT49" s="113" t="n">
        <x:f>SUM(BT39,BT42,BT45,BT48)</x:f>
      </x:c>
      <x:c r="BU49" s="113" t="n">
        <x:f>SUM(BU39,BU42,BU45,BU48)</x:f>
      </x:c>
      <x:c r="BV49" s="113" t="n">
        <x:f>SUM(BV39,BV42,BV45,BV48)</x:f>
      </x:c>
      <x:c r="BW49" s="113" t="n">
        <x:f>SUM(BW39,BW42,BW45,BW48)</x:f>
      </x:c>
      <x:c r="BX49" s="113" t="n">
        <x:f>SUM(BX39,BX42,BX45,BX48)</x:f>
      </x:c>
      <x:c r="BY49" s="113" t="n">
        <x:f>SUM(BY39,BY42,BY45,BY48)</x:f>
      </x:c>
      <x:c r="BZ49" s="113" t="n">
        <x:f>SUM(BZ39,BZ42,BZ45,BZ48)</x:f>
      </x:c>
      <x:c r="CA49" s="113" t="n">
        <x:f>SUM(CA39,CA42,CA45,CA48)</x:f>
      </x:c>
      <x:c r="CB49" s="113" t="n">
        <x:f>SUM(CB39,CB42,CB45,CB48)</x:f>
      </x:c>
      <x:c r="CC49" s="113" t="n">
        <x:f>SUM(CC39,CC42,CC45,CC48)</x:f>
      </x:c>
      <x:c r="CD49" s="113" t="n">
        <x:f>SUM(CD39,CD42,CD45,CD48)</x:f>
      </x:c>
      <x:c r="CE49" s="113" t="n">
        <x:f>SUM(CE39,CE42,CE45,CE48)</x:f>
      </x:c>
      <x:c r="CF49" s="113" t="n">
        <x:f>SUM(CF39,CF42,CF45,CF48)</x:f>
      </x:c>
      <x:c r="CG49" s="113" t="n">
        <x:f>SUM(CG39,CG42,CG45,CG48)</x:f>
      </x:c>
      <x:c r="CH49" s="113" t="n">
        <x:f>SUM(CH39,CH42,CH45,CH48)</x:f>
      </x:c>
      <x:c r="CI49" s="113" t="n">
        <x:f>SUM(CI39,CI42,CI45,CI48)</x:f>
      </x:c>
      <x:c r="CJ49" s="113" t="n">
        <x:f>SUM(CJ39,CJ42,CJ45,CJ48)</x:f>
      </x:c>
      <x:c r="CK49" s="113" t="n">
        <x:f>SUM(CK39,CK42,CK45,CK48)</x:f>
      </x:c>
      <x:c r="CL49" s="113" t="n">
        <x:f>SUM(CL39,CL42,CL45,CL48)</x:f>
      </x:c>
      <x:c r="CM49" s="113" t="n">
        <x:f>SUM(CM39,CM42,CM45,CM48)</x:f>
      </x:c>
      <x:c r="CN49" s="113" t="n">
        <x:f>SUM(CN39,CN42,CN45,CN48)</x:f>
      </x:c>
      <x:c r="CO49" s="113" t="n">
        <x:f>SUM(CO39,CO42,CO45,CO48)</x:f>
      </x:c>
      <x:c r="CP49" s="113" t="n">
        <x:f>SUM(CP39,CP42,CP45,CP48)</x:f>
      </x:c>
      <x:c r="CQ49" s="113" t="n">
        <x:f>SUM(CQ39,CQ42,CQ45,CQ48)</x:f>
      </x:c>
      <x:c r="CR49" s="113" t="n">
        <x:f>SUM(CR39,CR42,CR45,CR48)</x:f>
      </x:c>
      <x:c r="CS49" s="113" t="n">
        <x:f>SUM(CS39,CS42,CS45,CS48)</x:f>
      </x:c>
      <x:c r="CT49" s="113" t="n">
        <x:f>SUM(CT39,CT42,CT45,CT48)</x:f>
      </x:c>
      <x:c r="CU49" s="113" t="n">
        <x:f>SUM(CU39,CU42,CU45,CU48)</x:f>
      </x:c>
      <x:c r="CV49" s="113" t="n">
        <x:f>SUM(CV39,CV42,CV45,CV48)</x:f>
      </x:c>
      <x:c r="CW49" s="113" t="n">
        <x:f>SUM(CW39,CW42,CW45,CW48)</x:f>
      </x:c>
      <x:c r="CX49" s="113" t="n">
        <x:f>SUM(CX39,CX42,CX45,CX48)</x:f>
      </x:c>
      <x:c r="CY49" s="113" t="n">
        <x:f>SUM(CY39,CY42,CY45,CY48)</x:f>
      </x:c>
      <x:c r="CZ49" s="113" t="n">
        <x:f>SUM(CZ39,CZ42,CZ45,CZ48)</x:f>
      </x:c>
      <x:c r="DA49" s="113" t="n">
        <x:f>SUM(DA39,DA42,DA45,DA48)</x:f>
      </x:c>
      <x:c r="DB49" s="113" t="n">
        <x:f>SUM(DB39,DB42,DB45,DB48)</x:f>
      </x:c>
      <x:c r="DC49" s="113" t="n">
        <x:f>SUM(DC39,DC42,DC45,DC48)</x:f>
      </x:c>
      <x:c r="DD49" s="113" t="n">
        <x:f>SUM(DD39,DD42,DD45,DD48)</x:f>
      </x:c>
      <x:c r="DE49" s="113" t="n">
        <x:f>SUM(DE39,DE42,DE45,DE48)</x:f>
      </x:c>
      <x:c r="DF49" s="113" t="n">
        <x:f>SUM(DF39,DF42,DF45,DF48)</x:f>
      </x:c>
      <x:c r="DG49" s="113" t="n">
        <x:f>SUM(DG39,DG42,DG45,DG48)</x:f>
      </x:c>
      <x:c r="DH49" s="113" t="n">
        <x:f>SUM(DH39,DH42,DH45,DH48)</x:f>
      </x:c>
      <x:c r="DI49" s="113" t="n">
        <x:f>SUM(DI39,DI42,DI45,DI48)</x:f>
      </x:c>
      <x:c r="DJ49" s="113" t="n">
        <x:f>SUM(DJ39,DJ42,DJ45,DJ48)</x:f>
      </x:c>
      <x:c r="DK49" s="113" t="n">
        <x:f>SUM(DK39,DK42,DK45,DK48)</x:f>
      </x:c>
      <x:c r="DL49" s="113" t="n">
        <x:f>SUM(DL39,DL42,DL45,DL48)</x:f>
      </x:c>
      <x:c r="DM49" s="113" t="n">
        <x:f>SUM(DM39,DM42,DM45,DM48)</x:f>
      </x:c>
      <x:c r="DN49" s="113" t="n">
        <x:f>SUM(DN39,DN42,DN45,DN48)</x:f>
      </x:c>
      <x:c r="DO49" s="113" t="n">
        <x:f>SUM(DO39,DO42,DO45,DO48)</x:f>
      </x:c>
      <x:c r="DP49" s="113" t="n">
        <x:f>SUM(DP39,DP42,DP45,DP48)</x:f>
      </x:c>
      <x:c r="DQ49" s="113" t="n">
        <x:f>SUM(DQ39,DQ42,DQ45,DQ48)</x:f>
      </x:c>
      <x:c r="DR49" s="113" t="n">
        <x:f>SUM(DR39,DR42,DR45,DR48)</x:f>
      </x:c>
      <x:c r="DS49" s="113" t="n">
        <x:f>SUM(DS39,DS42,DS45,DS48)</x:f>
      </x:c>
      <x:c r="DT49" s="113" t="n">
        <x:f>SUM(DT39,DT42,DT45,DT48)</x:f>
      </x:c>
      <x:c r="DU49" s="113" t="n">
        <x:f>SUM(DU39,DU42,DU45,DU48)</x:f>
      </x:c>
      <x:c r="DV49" s="113" t="n">
        <x:f>SUM(DV39,DV42,DV45,DV48)</x:f>
      </x:c>
      <x:c r="DW49" s="113" t="n">
        <x:f>SUM(DW39,DW42,DW45,DW48)</x:f>
      </x:c>
      <x:c r="DX49" s="113" t="n">
        <x:f>SUM(DX39,DX42,DX45,DX48)</x:f>
      </x:c>
      <x:c r="DY49" s="113" t="n">
        <x:f>SUM(DY39,DY42,DY45,DY48)</x:f>
      </x:c>
      <x:c r="DZ49" s="113" t="n">
        <x:f>SUM(DZ39,DZ42,DZ45,DZ48)</x:f>
      </x:c>
      <x:c r="EA49" s="113" t="n">
        <x:f>SUM(EA39,EA42,EA45,EA48)</x:f>
      </x:c>
      <x:c r="EB49" s="113" t="n">
        <x:f>SUM(EB39,EB42,EB45,EB48)</x:f>
      </x:c>
      <x:c r="EC49" s="113" t="n">
        <x:f>SUM(EC39,EC42,EC45,EC48)</x:f>
      </x:c>
      <x:c r="ED49" s="113" t="n">
        <x:f>SUM(ED39,ED42,ED45,ED48)</x:f>
      </x:c>
      <x:c r="EE49" s="113" t="n">
        <x:f>SUM(EE39,EE42,EE45,EE48)</x:f>
      </x:c>
      <x:c r="EF49" s="113" t="n">
        <x:f>SUM(EF39,EF42,EF45,EF48)</x:f>
      </x:c>
      <x:c r="EG49" s="113" t="n">
        <x:f>SUM(EG39,EG42,EG45,EG48)</x:f>
      </x:c>
      <x:c r="EH49" s="113" t="n">
        <x:f>SUM(EH39,EH42,EH45,EH48)</x:f>
      </x:c>
      <x:c r="EI49" s="113" t="n">
        <x:f>SUM(EI39,EI42,EI45,EI48)</x:f>
      </x:c>
      <x:c r="EJ49" s="113" t="n">
        <x:f>SUM(EJ39,EJ42,EJ45,EJ48)</x:f>
      </x:c>
      <x:c r="EK49" s="113" t="n">
        <x:f>SUM(EK39,EK42,EK45,EK48)</x:f>
      </x:c>
      <x:c r="EL49" s="113" t="n">
        <x:f>SUM(EL39,EL42,EL45,EL48)</x:f>
      </x:c>
      <x:c r="EM49" s="113" t="n">
        <x:f>SUM(EM39,EM42,EM45,EM48)</x:f>
      </x:c>
      <x:c r="EN49" s="113" t="n">
        <x:f>SUM(EN39,EN42,EN45,EN48)</x:f>
      </x:c>
      <x:c r="EO49" s="113" t="n">
        <x:f>SUM(EO39,EO42,EO45,EO48)</x:f>
      </x:c>
      <x:c r="EP49" s="113" t="n">
        <x:f>SUM(EP39,EP42,EP45,EP48)</x:f>
      </x:c>
      <x:c r="EQ49" s="113" t="n">
        <x:f>SUM(EQ39,EQ42,EQ45,EQ48)</x:f>
      </x:c>
      <x:c r="ER49" s="113" t="n">
        <x:f>SUM(ER39,ER42,ER45,ER48)</x:f>
      </x:c>
      <x:c r="ES49" s="113" t="n">
        <x:f>SUM(ES39,ES42,ES45,ES48)</x:f>
      </x:c>
      <x:c r="ET49" s="113" t="n">
        <x:f>SUM(ET39,ET42,ET45,ET48)</x:f>
      </x:c>
      <x:c r="EU49" s="113" t="n">
        <x:f>SUM(EU39,EU42,EU45,EU48)</x:f>
      </x:c>
      <x:c r="EV49" s="113" t="n">
        <x:f>SUM(EV39,EV42,EV45,EV48)</x:f>
      </x:c>
      <x:c r="EW49" s="113" t="n">
        <x:f>SUM(EW39,EW42,EW45,EW48)</x:f>
      </x:c>
      <x:c r="EX49" s="113" t="n">
        <x:f>SUM(EX39,EX42,EX45,EX48)</x:f>
      </x:c>
      <x:c r="EY49" s="113" t="n">
        <x:f>SUM(EY39,EY42,EY45,EY48)</x:f>
      </x:c>
      <x:c r="EZ49" s="113" t="n">
        <x:f>SUM(EZ39,EZ42,EZ45,EZ48)</x:f>
      </x:c>
      <x:c r="FA49" s="113" t="n">
        <x:f>SUM(FA39,FA42,FA45,FA48)</x:f>
      </x:c>
      <x:c r="FB49" s="113" t="n">
        <x:f>SUM(FB39,FB42,FB45,FB48)</x:f>
      </x:c>
      <x:c r="FC49" s="113" t="n">
        <x:f>SUM(FC39,FC42,FC45,FC48)</x:f>
      </x:c>
      <x:c r="FD49" s="113" t="n">
        <x:f>SUM(FD39,FD42,FD45,FD48)</x:f>
      </x:c>
      <x:c r="FE49" s="113" t="n">
        <x:f>SUM(FE39,FE42,FE45,FE48)</x:f>
      </x:c>
      <x:c r="FF49" s="113" t="n">
        <x:f>SUM(FF39,FF42,FF45,FF48)</x:f>
      </x:c>
      <x:c r="FG49" s="113" t="n">
        <x:f>SUM(FG39,FG42,FG45,FG48)</x:f>
      </x:c>
      <x:c r="FH49" s="113" t="n">
        <x:f>SUM(FH39,FH42,FH45,FH48)</x:f>
      </x:c>
      <x:c r="FI49" s="113" t="n">
        <x:f>SUM(FI39,FI42,FI45,FI48)</x:f>
      </x:c>
      <x:c r="FJ49" s="113" t="n">
        <x:f>SUM(FJ39,FJ42,FJ45,FJ48)</x:f>
      </x:c>
      <x:c r="FK49" s="113" t="n">
        <x:f>SUM(FK39,FK42,FK45,FK48)</x:f>
      </x:c>
      <x:c r="FL49" s="113" t="n">
        <x:f>SUM(FL39,FL42,FL45,FL48)</x:f>
      </x:c>
      <x:c r="FM49" s="113" t="n">
        <x:f>SUM(FM39,FM42,FM45,FM48)</x:f>
      </x:c>
      <x:c r="FN49" s="113" t="n">
        <x:f>SUM(FN39,FN42,FN45,FN48)</x:f>
      </x:c>
      <x:c r="FO49" s="113" t="n">
        <x:f>SUM(FO39,FO42,FO45,FO48)</x:f>
      </x:c>
      <x:c r="FP49" s="113" t="n">
        <x:f>SUM(FP39,FP42,FP45,FP48)</x:f>
      </x:c>
      <x:c r="FQ49" s="113" t="n">
        <x:f>SUM(FQ39,FQ42,FQ45,FQ48)</x:f>
      </x:c>
      <x:c r="FR49" s="113" t="n">
        <x:f>SUM(FR39,FR42,FR45,FR48)</x:f>
      </x:c>
      <x:c r="FS49" s="113" t="n">
        <x:f>SUM(FS39,FS42,FS45,FS48)</x:f>
      </x:c>
      <x:c r="FT49" s="113" t="n">
        <x:f>SUM(FT39,FT42,FT45,FT48)</x:f>
      </x:c>
      <x:c r="FU49" s="113" t="n">
        <x:f>SUM(FU39,FU42,FU45,FU48)</x:f>
      </x:c>
      <x:c r="FV49" s="113" t="n">
        <x:f>SUM(FV39,FV42,FV45,FV48)</x:f>
      </x:c>
      <x:c r="FW49" s="113" t="n">
        <x:f>SUM(FW39,FW42,FW45,FW48)</x:f>
      </x:c>
      <x:c r="FX49" s="113" t="n">
        <x:f>SUM(FX39,FX42,FX45,FX48)</x:f>
      </x:c>
      <x:c r="FY49" s="113" t="n">
        <x:f>SUM(FY39,FY42,FY45,FY48)</x:f>
      </x:c>
      <x:c r="FZ49" s="113" t="n">
        <x:f>SUM(FZ39,FZ42,FZ45,FZ48)</x:f>
      </x:c>
      <x:c r="GA49" s="113" t="n">
        <x:f>SUM(GA39,GA42,GA45,GA48)</x:f>
      </x:c>
    </x:row>
    <x:row r="52" ht="21" customHeight="1">
      <x:c r="A52" s="52" t="str">
        <x:v>ОЧЕРЕДЬ 3</x:v>
      </x:c>
      <x:c r="B52" s="53" t="str">
        <x:v>ОЧЕРЕДЬ 3</x:v>
      </x:c>
      <x:c r="C52" s="53" t="str">
        <x:v>ОЧЕРЕДЬ 3</x:v>
      </x:c>
      <x:c r="D52" s="53" t="str">
        <x:v>ОЧЕРЕДЬ 3</x:v>
      </x:c>
      <x:c r="E52" s="53" t="str">
        <x:v>ОЧЕРЕДЬ 3</x:v>
      </x:c>
      <x:c r="F52" s="53" t="str">
        <x:v>ОЧЕРЕДЬ 3</x:v>
      </x:c>
      <x:c r="G52" s="53" t="str">
        <x:v>ОЧЕРЕДЬ 3</x:v>
      </x:c>
      <x:c r="H52" s="53" t="str">
        <x:v>ОЧЕРЕДЬ 3</x:v>
      </x:c>
      <x:c r="I52" s="53" t="str">
        <x:v>ОЧЕРЕДЬ 3</x:v>
      </x:c>
      <x:c r="J52" s="53" t="str">
        <x:v>ОЧЕРЕДЬ 3</x:v>
      </x:c>
      <x:c r="K52" s="53" t="str">
        <x:v>ОЧЕРЕДЬ 3</x:v>
      </x:c>
      <x:c r="L52" s="53" t="str">
        <x:v>ОЧЕРЕДЬ 3</x:v>
      </x:c>
      <x:c r="M52" s="53" t="str">
        <x:v>ОЧЕРЕДЬ 3</x:v>
      </x:c>
      <x:c r="N52" s="53" t="str">
        <x:v>ОЧЕРЕДЬ 3</x:v>
      </x:c>
      <x:c r="O52" s="53" t="str">
        <x:v>ОЧЕРЕДЬ 3</x:v>
      </x:c>
      <x:c r="P52" s="53" t="str">
        <x:v>ОЧЕРЕДЬ 3</x:v>
      </x:c>
      <x:c r="Q52" s="53" t="str">
        <x:v>ОЧЕРЕДЬ 3</x:v>
      </x:c>
      <x:c r="R52" s="53" t="str">
        <x:v>ОЧЕРЕДЬ 3</x:v>
      </x:c>
      <x:c r="S52" s="53" t="str">
        <x:v>ОЧЕРЕДЬ 3</x:v>
      </x:c>
      <x:c r="T52" s="53" t="str">
        <x:v>ОЧЕРЕДЬ 3</x:v>
      </x:c>
      <x:c r="U52" s="53" t="str">
        <x:v>ОЧЕРЕДЬ 3</x:v>
      </x:c>
      <x:c r="V52" s="53" t="str">
        <x:v>ОЧЕРЕДЬ 3</x:v>
      </x:c>
      <x:c r="W52" s="53" t="str">
        <x:v>ОЧЕРЕДЬ 3</x:v>
      </x:c>
      <x:c r="X52" s="53" t="str">
        <x:v>ОЧЕРЕДЬ 3</x:v>
      </x:c>
      <x:c r="Y52" s="53" t="str">
        <x:v>ОЧЕРЕДЬ 3</x:v>
      </x:c>
      <x:c r="Z52" s="53" t="str">
        <x:v>ОЧЕРЕДЬ 3</x:v>
      </x:c>
      <x:c r="AA52" s="53" t="str">
        <x:v>ОЧЕРЕДЬ 3</x:v>
      </x:c>
      <x:c r="AB52" s="53" t="str">
        <x:v>ОЧЕРЕДЬ 3</x:v>
      </x:c>
      <x:c r="AC52" s="53" t="str">
        <x:v>ОЧЕРЕДЬ 3</x:v>
      </x:c>
      <x:c r="AD52" s="53" t="str">
        <x:v>ОЧЕРЕДЬ 3</x:v>
      </x:c>
      <x:c r="AE52" s="53" t="str">
        <x:v>ОЧЕРЕДЬ 3</x:v>
      </x:c>
      <x:c r="AF52" s="53" t="str">
        <x:v>ОЧЕРЕДЬ 3</x:v>
      </x:c>
      <x:c r="AG52" s="53" t="str">
        <x:v>ОЧЕРЕДЬ 3</x:v>
      </x:c>
      <x:c r="AH52" s="53" t="str">
        <x:v>ОЧЕРЕДЬ 3</x:v>
      </x:c>
      <x:c r="AI52" s="53" t="str">
        <x:v>ОЧЕРЕДЬ 3</x:v>
      </x:c>
      <x:c r="AJ52" s="53" t="str">
        <x:v>ОЧЕРЕДЬ 3</x:v>
      </x:c>
      <x:c r="AK52" s="53" t="str">
        <x:v>ОЧЕРЕДЬ 3</x:v>
      </x:c>
      <x:c r="AL52" s="53" t="str">
        <x:v>ОЧЕРЕДЬ 3</x:v>
      </x:c>
      <x:c r="AM52" s="53" t="str">
        <x:v>ОЧЕРЕДЬ 3</x:v>
      </x:c>
      <x:c r="AN52" s="53" t="str">
        <x:v>ОЧЕРЕДЬ 3</x:v>
      </x:c>
      <x:c r="AO52" s="53" t="str">
        <x:v>ОЧЕРЕДЬ 3</x:v>
      </x:c>
      <x:c r="AP52" s="53" t="str">
        <x:v>ОЧЕРЕДЬ 3</x:v>
      </x:c>
      <x:c r="AQ52" s="53" t="str">
        <x:v>ОЧЕРЕДЬ 3</x:v>
      </x:c>
      <x:c r="AR52" s="53" t="str">
        <x:v>ОЧЕРЕДЬ 3</x:v>
      </x:c>
      <x:c r="AS52" s="53" t="str">
        <x:v>ОЧЕРЕДЬ 3</x:v>
      </x:c>
      <x:c r="AT52" s="53" t="str">
        <x:v>ОЧЕРЕДЬ 3</x:v>
      </x:c>
      <x:c r="AU52" s="53" t="str">
        <x:v>ОЧЕРЕДЬ 3</x:v>
      </x:c>
      <x:c r="AV52" s="53" t="str">
        <x:v>ОЧЕРЕДЬ 3</x:v>
      </x:c>
      <x:c r="AW52" s="53" t="str">
        <x:v>ОЧЕРЕДЬ 3</x:v>
      </x:c>
      <x:c r="AX52" s="53" t="str">
        <x:v>ОЧЕРЕДЬ 3</x:v>
      </x:c>
      <x:c r="AY52" s="53" t="str">
        <x:v>ОЧЕРЕДЬ 3</x:v>
      </x:c>
      <x:c r="AZ52" s="53" t="str">
        <x:v>ОЧЕРЕДЬ 3</x:v>
      </x:c>
      <x:c r="BA52" s="53" t="str">
        <x:v>ОЧЕРЕДЬ 3</x:v>
      </x:c>
      <x:c r="BB52" s="53" t="str">
        <x:v>ОЧЕРЕДЬ 3</x:v>
      </x:c>
      <x:c r="BC52" s="53" t="str">
        <x:v>ОЧЕРЕДЬ 3</x:v>
      </x:c>
      <x:c r="BD52" s="53" t="str">
        <x:v>ОЧЕРЕДЬ 3</x:v>
      </x:c>
      <x:c r="BE52" s="53" t="str">
        <x:v>ОЧЕРЕДЬ 3</x:v>
      </x:c>
      <x:c r="BF52" s="53" t="str">
        <x:v>ОЧЕРЕДЬ 3</x:v>
      </x:c>
      <x:c r="BG52" s="53" t="str">
        <x:v>ОЧЕРЕДЬ 3</x:v>
      </x:c>
      <x:c r="BH52" s="53" t="str">
        <x:v>ОЧЕРЕДЬ 3</x:v>
      </x:c>
      <x:c r="BI52" s="53" t="str">
        <x:v>ОЧЕРЕДЬ 3</x:v>
      </x:c>
      <x:c r="BJ52" s="53" t="str">
        <x:v>ОЧЕРЕДЬ 3</x:v>
      </x:c>
      <x:c r="BK52" s="53" t="str">
        <x:v>ОЧЕРЕДЬ 3</x:v>
      </x:c>
      <x:c r="BL52" s="53" t="str">
        <x:v>ОЧЕРЕДЬ 3</x:v>
      </x:c>
      <x:c r="BM52" s="53" t="str">
        <x:v>ОЧЕРЕДЬ 3</x:v>
      </x:c>
      <x:c r="BN52" s="53" t="str">
        <x:v>ОЧЕРЕДЬ 3</x:v>
      </x:c>
      <x:c r="BO52" s="53" t="str">
        <x:v>ОЧЕРЕДЬ 3</x:v>
      </x:c>
      <x:c r="BP52" s="53" t="str">
        <x:v>ОЧЕРЕДЬ 3</x:v>
      </x:c>
      <x:c r="BQ52" s="53" t="str">
        <x:v>ОЧЕРЕДЬ 3</x:v>
      </x:c>
      <x:c r="BR52" s="53" t="str">
        <x:v>ОЧЕРЕДЬ 3</x:v>
      </x:c>
      <x:c r="BS52" s="53" t="str">
        <x:v>ОЧЕРЕДЬ 3</x:v>
      </x:c>
      <x:c r="BT52" s="53" t="str">
        <x:v>ОЧЕРЕДЬ 3</x:v>
      </x:c>
      <x:c r="BU52" s="53" t="str">
        <x:v>ОЧЕРЕДЬ 3</x:v>
      </x:c>
      <x:c r="BV52" s="53" t="str">
        <x:v>ОЧЕРЕДЬ 3</x:v>
      </x:c>
      <x:c r="BW52" s="53" t="str">
        <x:v>ОЧЕРЕДЬ 3</x:v>
      </x:c>
      <x:c r="BX52" s="53" t="str">
        <x:v>ОЧЕРЕДЬ 3</x:v>
      </x:c>
      <x:c r="BY52" s="53" t="str">
        <x:v>ОЧЕРЕДЬ 3</x:v>
      </x:c>
      <x:c r="BZ52" s="53" t="str">
        <x:v>ОЧЕРЕДЬ 3</x:v>
      </x:c>
      <x:c r="CA52" s="53" t="str">
        <x:v>ОЧЕРЕДЬ 3</x:v>
      </x:c>
      <x:c r="CB52" s="53" t="str">
        <x:v>ОЧЕРЕДЬ 3</x:v>
      </x:c>
      <x:c r="CC52" s="53" t="str">
        <x:v>ОЧЕРЕДЬ 3</x:v>
      </x:c>
      <x:c r="CD52" s="53" t="str">
        <x:v>ОЧЕРЕДЬ 3</x:v>
      </x:c>
      <x:c r="CE52" s="53" t="str">
        <x:v>ОЧЕРЕДЬ 3</x:v>
      </x:c>
      <x:c r="CF52" s="53" t="str">
        <x:v>ОЧЕРЕДЬ 3</x:v>
      </x:c>
      <x:c r="CG52" s="53" t="str">
        <x:v>ОЧЕРЕДЬ 3</x:v>
      </x:c>
      <x:c r="CH52" s="53" t="str">
        <x:v>ОЧЕРЕДЬ 3</x:v>
      </x:c>
      <x:c r="CI52" s="53" t="str">
        <x:v>ОЧЕРЕДЬ 3</x:v>
      </x:c>
      <x:c r="CJ52" s="53" t="str">
        <x:v>ОЧЕРЕДЬ 3</x:v>
      </x:c>
      <x:c r="CK52" s="53" t="str">
        <x:v>ОЧЕРЕДЬ 3</x:v>
      </x:c>
      <x:c r="CL52" s="53" t="str">
        <x:v>ОЧЕРЕДЬ 3</x:v>
      </x:c>
      <x:c r="CM52" s="53" t="str">
        <x:v>ОЧЕРЕДЬ 3</x:v>
      </x:c>
      <x:c r="CN52" s="53" t="str">
        <x:v>ОЧЕРЕДЬ 3</x:v>
      </x:c>
      <x:c r="CO52" s="53" t="str">
        <x:v>ОЧЕРЕДЬ 3</x:v>
      </x:c>
      <x:c r="CP52" s="53" t="str">
        <x:v>ОЧЕРЕДЬ 3</x:v>
      </x:c>
      <x:c r="CQ52" s="53" t="str">
        <x:v>ОЧЕРЕДЬ 3</x:v>
      </x:c>
      <x:c r="CR52" s="53" t="str">
        <x:v>ОЧЕРЕДЬ 3</x:v>
      </x:c>
      <x:c r="CS52" s="53" t="str">
        <x:v>ОЧЕРЕДЬ 3</x:v>
      </x:c>
      <x:c r="CT52" s="53" t="str">
        <x:v>ОЧЕРЕДЬ 3</x:v>
      </x:c>
      <x:c r="CU52" s="53" t="str">
        <x:v>ОЧЕРЕДЬ 3</x:v>
      </x:c>
      <x:c r="CV52" s="53" t="str">
        <x:v>ОЧЕРЕДЬ 3</x:v>
      </x:c>
      <x:c r="CW52" s="53" t="str">
        <x:v>ОЧЕРЕДЬ 3</x:v>
      </x:c>
      <x:c r="CX52" s="53" t="str">
        <x:v>ОЧЕРЕДЬ 3</x:v>
      </x:c>
      <x:c r="CY52" s="53" t="str">
        <x:v>ОЧЕРЕДЬ 3</x:v>
      </x:c>
      <x:c r="CZ52" s="53" t="str">
        <x:v>ОЧЕРЕДЬ 3</x:v>
      </x:c>
      <x:c r="DA52" s="53" t="str">
        <x:v>ОЧЕРЕДЬ 3</x:v>
      </x:c>
      <x:c r="DB52" s="53" t="str">
        <x:v>ОЧЕРЕДЬ 3</x:v>
      </x:c>
      <x:c r="DC52" s="53" t="str">
        <x:v>ОЧЕРЕДЬ 3</x:v>
      </x:c>
      <x:c r="DD52" s="53" t="str">
        <x:v>ОЧЕРЕДЬ 3</x:v>
      </x:c>
      <x:c r="DE52" s="53" t="str">
        <x:v>ОЧЕРЕДЬ 3</x:v>
      </x:c>
      <x:c r="DF52" s="53" t="str">
        <x:v>ОЧЕРЕДЬ 3</x:v>
      </x:c>
      <x:c r="DG52" s="53" t="str">
        <x:v>ОЧЕРЕДЬ 3</x:v>
      </x:c>
      <x:c r="DH52" s="53" t="str">
        <x:v>ОЧЕРЕДЬ 3</x:v>
      </x:c>
      <x:c r="DI52" s="53" t="str">
        <x:v>ОЧЕРЕДЬ 3</x:v>
      </x:c>
      <x:c r="DJ52" s="53" t="str">
        <x:v>ОЧЕРЕДЬ 3</x:v>
      </x:c>
      <x:c r="DK52" s="53" t="str">
        <x:v>ОЧЕРЕДЬ 3</x:v>
      </x:c>
      <x:c r="DL52" s="53" t="str">
        <x:v>ОЧЕРЕДЬ 3</x:v>
      </x:c>
      <x:c r="DM52" s="53" t="str">
        <x:v>ОЧЕРЕДЬ 3</x:v>
      </x:c>
      <x:c r="DN52" s="53" t="str">
        <x:v>ОЧЕРЕДЬ 3</x:v>
      </x:c>
      <x:c r="DO52" s="53" t="str">
        <x:v>ОЧЕРЕДЬ 3</x:v>
      </x:c>
      <x:c r="DP52" s="53" t="str">
        <x:v>ОЧЕРЕДЬ 3</x:v>
      </x:c>
      <x:c r="DQ52" s="53" t="str">
        <x:v>ОЧЕРЕДЬ 3</x:v>
      </x:c>
      <x:c r="DR52" s="53" t="str">
        <x:v>ОЧЕРЕДЬ 3</x:v>
      </x:c>
      <x:c r="DS52" s="54" t="str">
        <x:v>ОЧЕРЕДЬ 3</x:v>
      </x:c>
      <x:c r="DT52" s="54" t="str"/>
      <x:c r="DU52" s="54" t="str"/>
      <x:c r="DV52" s="54" t="str"/>
      <x:c r="DW52" s="54" t="str"/>
      <x:c r="DX52" s="54" t="str"/>
      <x:c r="DY52" s="54" t="str"/>
      <x:c r="DZ52" s="54" t="str"/>
      <x:c r="EA52" s="54" t="str"/>
      <x:c r="EB52" s="54" t="str"/>
      <x:c r="EC52" s="54" t="str"/>
      <x:c r="ED52" s="54" t="str"/>
      <x:c r="EE52" s="54" t="str"/>
      <x:c r="EF52" s="54" t="str"/>
      <x:c r="EG52" s="54" t="str"/>
      <x:c r="EH52" s="54" t="str"/>
      <x:c r="EI52" s="54" t="str"/>
      <x:c r="EJ52" s="54" t="str"/>
      <x:c r="EK52" s="54" t="str"/>
      <x:c r="EL52" s="54" t="str"/>
      <x:c r="EM52" s="54" t="str"/>
      <x:c r="EN52" s="54" t="str"/>
      <x:c r="EO52" s="54" t="str"/>
      <x:c r="EP52" s="54" t="str"/>
      <x:c r="EQ52" s="54" t="str"/>
      <x:c r="ER52" s="54" t="str"/>
      <x:c r="ES52" s="54" t="str"/>
      <x:c r="ET52" s="54" t="str"/>
      <x:c r="EU52" s="54" t="str"/>
      <x:c r="EV52" s="54" t="str"/>
      <x:c r="EW52" s="54" t="str"/>
      <x:c r="EX52" s="54" t="str"/>
      <x:c r="EY52" s="54" t="str"/>
      <x:c r="EZ52" s="54" t="str"/>
      <x:c r="FA52" s="54" t="str"/>
      <x:c r="FB52" s="54" t="str"/>
      <x:c r="FC52" s="54" t="str"/>
      <x:c r="FD52" s="54" t="str"/>
      <x:c r="FE52" s="54" t="str"/>
      <x:c r="FF52" s="54" t="str"/>
      <x:c r="FG52" s="54" t="str"/>
      <x:c r="FH52" s="54" t="str"/>
      <x:c r="FI52" s="54" t="str"/>
      <x:c r="FJ52" s="54" t="str"/>
      <x:c r="FK52" s="54" t="str"/>
      <x:c r="FL52" s="54" t="str"/>
      <x:c r="FM52" s="54" t="str"/>
      <x:c r="FN52" s="54" t="str"/>
      <x:c r="FO52" s="54" t="str"/>
      <x:c r="FP52" s="54" t="str"/>
      <x:c r="FQ52" s="54" t="str"/>
      <x:c r="FR52" s="54" t="str"/>
      <x:c r="FS52" s="54" t="str"/>
      <x:c r="FT52" s="54" t="str"/>
      <x:c r="FU52" s="54" t="str"/>
      <x:c r="FV52" s="54" t="str"/>
      <x:c r="FW52" s="54" t="str"/>
      <x:c r="FX52" s="54" t="str"/>
      <x:c r="FY52" s="54" t="str"/>
      <x:c r="FZ52" s="54" t="str"/>
      <x:c r="GA52" s="54" t="str"/>
    </x:row>
    <x:row r="53">
      <x:c r="A53" t="str">
        <x:v>Старт продаж</x:v>
      </x:c>
      <x:c r="B53" s="106" t="n">
        <x:f>EDATE('Вводные'!$D$90,'Вводные'!$E$90+'Вводные'!$G$90+'Вводные'!$H$9)</x:f>
      </x:c>
      <x:c r="C53" t="str">
        <x:v>дата</x:v>
      </x:c>
    </x:row>
    <x:row r="54">
      <x:c r="A54" t="str">
        <x:v>РВЭ</x:v>
      </x:c>
      <x:c r="B54" s="106" t="n">
        <x:f>EDATE('Вводные'!$D$90,'Вводные'!$E$90+'Вводные'!$F$90+'Вводные'!$H$9)</x:f>
      </x:c>
      <x:c r="C54" t="str">
        <x:v>дата</x:v>
      </x:c>
    </x:row>
    <x:row r="55">
      <x:c r="A55" t="str">
        <x:v>Флаг продаж до РВЭ</x:v>
      </x:c>
      <x:c r="B55"/>
      <x:c r="C55" t="str">
        <x:v>0/1</x:v>
      </x:c>
      <x:c r="D55" t="n">
        <x:f>--AND(D$3&gt;=$B$53,D$3&lt;$B$54,D$3&lt;EDATE($B$53,MAX(1,'Вводные'!$H$90)),'Вводные'!$B$90="Да")</x:f>
      </x:c>
      <x:c r="E55" t="n">
        <x:f>--AND(E$3&gt;=$B$53,E$3&lt;$B$54,E$3&lt;EDATE($B$53,MAX(1,'Вводные'!$H$90)),'Вводные'!$B$90="Да")</x:f>
      </x:c>
      <x:c r="F55" t="n">
        <x:f>--AND(F$3&gt;=$B$53,F$3&lt;$B$54,F$3&lt;EDATE($B$53,MAX(1,'Вводные'!$H$90)),'Вводные'!$B$90="Да")</x:f>
      </x:c>
      <x:c r="G55" t="n">
        <x:f>--AND(G$3&gt;=$B$53,G$3&lt;$B$54,G$3&lt;EDATE($B$53,MAX(1,'Вводные'!$H$90)),'Вводные'!$B$90="Да")</x:f>
      </x:c>
      <x:c r="H55" t="n">
        <x:f>--AND(H$3&gt;=$B$53,H$3&lt;$B$54,H$3&lt;EDATE($B$53,MAX(1,'Вводные'!$H$90)),'Вводные'!$B$90="Да")</x:f>
      </x:c>
      <x:c r="I55" t="n">
        <x:f>--AND(I$3&gt;=$B$53,I$3&lt;$B$54,I$3&lt;EDATE($B$53,MAX(1,'Вводные'!$H$90)),'Вводные'!$B$90="Да")</x:f>
      </x:c>
      <x:c r="J55" t="n">
        <x:f>--AND(J$3&gt;=$B$53,J$3&lt;$B$54,J$3&lt;EDATE($B$53,MAX(1,'Вводные'!$H$90)),'Вводные'!$B$90="Да")</x:f>
      </x:c>
      <x:c r="K55" t="n">
        <x:f>--AND(K$3&gt;=$B$53,K$3&lt;$B$54,K$3&lt;EDATE($B$53,MAX(1,'Вводные'!$H$90)),'Вводные'!$B$90="Да")</x:f>
      </x:c>
      <x:c r="L55" t="n">
        <x:f>--AND(L$3&gt;=$B$53,L$3&lt;$B$54,L$3&lt;EDATE($B$53,MAX(1,'Вводные'!$H$90)),'Вводные'!$B$90="Да")</x:f>
      </x:c>
      <x:c r="M55" t="n">
        <x:f>--AND(M$3&gt;=$B$53,M$3&lt;$B$54,M$3&lt;EDATE($B$53,MAX(1,'Вводные'!$H$90)),'Вводные'!$B$90="Да")</x:f>
      </x:c>
      <x:c r="N55" t="n">
        <x:f>--AND(N$3&gt;=$B$53,N$3&lt;$B$54,N$3&lt;EDATE($B$53,MAX(1,'Вводные'!$H$90)),'Вводные'!$B$90="Да")</x:f>
      </x:c>
      <x:c r="O55" t="n">
        <x:f>--AND(O$3&gt;=$B$53,O$3&lt;$B$54,O$3&lt;EDATE($B$53,MAX(1,'Вводные'!$H$90)),'Вводные'!$B$90="Да")</x:f>
      </x:c>
      <x:c r="P55" t="n">
        <x:f>--AND(P$3&gt;=$B$53,P$3&lt;$B$54,P$3&lt;EDATE($B$53,MAX(1,'Вводные'!$H$90)),'Вводные'!$B$90="Да")</x:f>
      </x:c>
      <x:c r="Q55" t="n">
        <x:f>--AND(Q$3&gt;=$B$53,Q$3&lt;$B$54,Q$3&lt;EDATE($B$53,MAX(1,'Вводные'!$H$90)),'Вводные'!$B$90="Да")</x:f>
      </x:c>
      <x:c r="R55" t="n">
        <x:f>--AND(R$3&gt;=$B$53,R$3&lt;$B$54,R$3&lt;EDATE($B$53,MAX(1,'Вводные'!$H$90)),'Вводные'!$B$90="Да")</x:f>
      </x:c>
      <x:c r="S55" t="n">
        <x:f>--AND(S$3&gt;=$B$53,S$3&lt;$B$54,S$3&lt;EDATE($B$53,MAX(1,'Вводные'!$H$90)),'Вводные'!$B$90="Да")</x:f>
      </x:c>
      <x:c r="T55" t="n">
        <x:f>--AND(T$3&gt;=$B$53,T$3&lt;$B$54,T$3&lt;EDATE($B$53,MAX(1,'Вводные'!$H$90)),'Вводные'!$B$90="Да")</x:f>
      </x:c>
      <x:c r="U55" t="n">
        <x:f>--AND(U$3&gt;=$B$53,U$3&lt;$B$54,U$3&lt;EDATE($B$53,MAX(1,'Вводные'!$H$90)),'Вводные'!$B$90="Да")</x:f>
      </x:c>
      <x:c r="V55" t="n">
        <x:f>--AND(V$3&gt;=$B$53,V$3&lt;$B$54,V$3&lt;EDATE($B$53,MAX(1,'Вводные'!$H$90)),'Вводные'!$B$90="Да")</x:f>
      </x:c>
      <x:c r="W55" t="n">
        <x:f>--AND(W$3&gt;=$B$53,W$3&lt;$B$54,W$3&lt;EDATE($B$53,MAX(1,'Вводные'!$H$90)),'Вводные'!$B$90="Да")</x:f>
      </x:c>
      <x:c r="X55" t="n">
        <x:f>--AND(X$3&gt;=$B$53,X$3&lt;$B$54,X$3&lt;EDATE($B$53,MAX(1,'Вводные'!$H$90)),'Вводные'!$B$90="Да")</x:f>
      </x:c>
      <x:c r="Y55" t="n">
        <x:f>--AND(Y$3&gt;=$B$53,Y$3&lt;$B$54,Y$3&lt;EDATE($B$53,MAX(1,'Вводные'!$H$90)),'Вводные'!$B$90="Да")</x:f>
      </x:c>
      <x:c r="Z55" t="n">
        <x:f>--AND(Z$3&gt;=$B$53,Z$3&lt;$B$54,Z$3&lt;EDATE($B$53,MAX(1,'Вводные'!$H$90)),'Вводные'!$B$90="Да")</x:f>
      </x:c>
      <x:c r="AA55" t="n">
        <x:f>--AND(AA$3&gt;=$B$53,AA$3&lt;$B$54,AA$3&lt;EDATE($B$53,MAX(1,'Вводные'!$H$90)),'Вводные'!$B$90="Да")</x:f>
      </x:c>
      <x:c r="AB55" t="n">
        <x:f>--AND(AB$3&gt;=$B$53,AB$3&lt;$B$54,AB$3&lt;EDATE($B$53,MAX(1,'Вводные'!$H$90)),'Вводные'!$B$90="Да")</x:f>
      </x:c>
      <x:c r="AC55" t="n">
        <x:f>--AND(AC$3&gt;=$B$53,AC$3&lt;$B$54,AC$3&lt;EDATE($B$53,MAX(1,'Вводные'!$H$90)),'Вводные'!$B$90="Да")</x:f>
      </x:c>
      <x:c r="AD55" t="n">
        <x:f>--AND(AD$3&gt;=$B$53,AD$3&lt;$B$54,AD$3&lt;EDATE($B$53,MAX(1,'Вводные'!$H$90)),'Вводные'!$B$90="Да")</x:f>
      </x:c>
      <x:c r="AE55" t="n">
        <x:f>--AND(AE$3&gt;=$B$53,AE$3&lt;$B$54,AE$3&lt;EDATE($B$53,MAX(1,'Вводные'!$H$90)),'Вводные'!$B$90="Да")</x:f>
      </x:c>
      <x:c r="AF55" t="n">
        <x:f>--AND(AF$3&gt;=$B$53,AF$3&lt;$B$54,AF$3&lt;EDATE($B$53,MAX(1,'Вводные'!$H$90)),'Вводные'!$B$90="Да")</x:f>
      </x:c>
      <x:c r="AG55" t="n">
        <x:f>--AND(AG$3&gt;=$B$53,AG$3&lt;$B$54,AG$3&lt;EDATE($B$53,MAX(1,'Вводные'!$H$90)),'Вводные'!$B$90="Да")</x:f>
      </x:c>
      <x:c r="AH55" t="n">
        <x:f>--AND(AH$3&gt;=$B$53,AH$3&lt;$B$54,AH$3&lt;EDATE($B$53,MAX(1,'Вводные'!$H$90)),'Вводные'!$B$90="Да")</x:f>
      </x:c>
      <x:c r="AI55" t="n">
        <x:f>--AND(AI$3&gt;=$B$53,AI$3&lt;$B$54,AI$3&lt;EDATE($B$53,MAX(1,'Вводные'!$H$90)),'Вводные'!$B$90="Да")</x:f>
      </x:c>
      <x:c r="AJ55" t="n">
        <x:f>--AND(AJ$3&gt;=$B$53,AJ$3&lt;$B$54,AJ$3&lt;EDATE($B$53,MAX(1,'Вводные'!$H$90)),'Вводные'!$B$90="Да")</x:f>
      </x:c>
      <x:c r="AK55" t="n">
        <x:f>--AND(AK$3&gt;=$B$53,AK$3&lt;$B$54,AK$3&lt;EDATE($B$53,MAX(1,'Вводные'!$H$90)),'Вводные'!$B$90="Да")</x:f>
      </x:c>
      <x:c r="AL55" t="n">
        <x:f>--AND(AL$3&gt;=$B$53,AL$3&lt;$B$54,AL$3&lt;EDATE($B$53,MAX(1,'Вводные'!$H$90)),'Вводные'!$B$90="Да")</x:f>
      </x:c>
      <x:c r="AM55" t="n">
        <x:f>--AND(AM$3&gt;=$B$53,AM$3&lt;$B$54,AM$3&lt;EDATE($B$53,MAX(1,'Вводные'!$H$90)),'Вводные'!$B$90="Да")</x:f>
      </x:c>
      <x:c r="AN55" t="n">
        <x:f>--AND(AN$3&gt;=$B$53,AN$3&lt;$B$54,AN$3&lt;EDATE($B$53,MAX(1,'Вводные'!$H$90)),'Вводные'!$B$90="Да")</x:f>
      </x:c>
      <x:c r="AO55" t="n">
        <x:f>--AND(AO$3&gt;=$B$53,AO$3&lt;$B$54,AO$3&lt;EDATE($B$53,MAX(1,'Вводные'!$H$90)),'Вводные'!$B$90="Да")</x:f>
      </x:c>
      <x:c r="AP55" t="n">
        <x:f>--AND(AP$3&gt;=$B$53,AP$3&lt;$B$54,AP$3&lt;EDATE($B$53,MAX(1,'Вводные'!$H$90)),'Вводные'!$B$90="Да")</x:f>
      </x:c>
      <x:c r="AQ55" t="n">
        <x:f>--AND(AQ$3&gt;=$B$53,AQ$3&lt;$B$54,AQ$3&lt;EDATE($B$53,MAX(1,'Вводные'!$H$90)),'Вводные'!$B$90="Да")</x:f>
      </x:c>
      <x:c r="AR55" t="n">
        <x:f>--AND(AR$3&gt;=$B$53,AR$3&lt;$B$54,AR$3&lt;EDATE($B$53,MAX(1,'Вводные'!$H$90)),'Вводные'!$B$90="Да")</x:f>
      </x:c>
      <x:c r="AS55" t="n">
        <x:f>--AND(AS$3&gt;=$B$53,AS$3&lt;$B$54,AS$3&lt;EDATE($B$53,MAX(1,'Вводные'!$H$90)),'Вводные'!$B$90="Да")</x:f>
      </x:c>
      <x:c r="AT55" t="n">
        <x:f>--AND(AT$3&gt;=$B$53,AT$3&lt;$B$54,AT$3&lt;EDATE($B$53,MAX(1,'Вводные'!$H$90)),'Вводные'!$B$90="Да")</x:f>
      </x:c>
      <x:c r="AU55" t="n">
        <x:f>--AND(AU$3&gt;=$B$53,AU$3&lt;$B$54,AU$3&lt;EDATE($B$53,MAX(1,'Вводные'!$H$90)),'Вводные'!$B$90="Да")</x:f>
      </x:c>
      <x:c r="AV55" t="n">
        <x:f>--AND(AV$3&gt;=$B$53,AV$3&lt;$B$54,AV$3&lt;EDATE($B$53,MAX(1,'Вводные'!$H$90)),'Вводные'!$B$90="Да")</x:f>
      </x:c>
      <x:c r="AW55" t="n">
        <x:f>--AND(AW$3&gt;=$B$53,AW$3&lt;$B$54,AW$3&lt;EDATE($B$53,MAX(1,'Вводные'!$H$90)),'Вводные'!$B$90="Да")</x:f>
      </x:c>
      <x:c r="AX55" t="n">
        <x:f>--AND(AX$3&gt;=$B$53,AX$3&lt;$B$54,AX$3&lt;EDATE($B$53,MAX(1,'Вводные'!$H$90)),'Вводные'!$B$90="Да")</x:f>
      </x:c>
      <x:c r="AY55" t="n">
        <x:f>--AND(AY$3&gt;=$B$53,AY$3&lt;$B$54,AY$3&lt;EDATE($B$53,MAX(1,'Вводные'!$H$90)),'Вводные'!$B$90="Да")</x:f>
      </x:c>
      <x:c r="AZ55" t="n">
        <x:f>--AND(AZ$3&gt;=$B$53,AZ$3&lt;$B$54,AZ$3&lt;EDATE($B$53,MAX(1,'Вводные'!$H$90)),'Вводные'!$B$90="Да")</x:f>
      </x:c>
      <x:c r="BA55" t="n">
        <x:f>--AND(BA$3&gt;=$B$53,BA$3&lt;$B$54,BA$3&lt;EDATE($B$53,MAX(1,'Вводные'!$H$90)),'Вводные'!$B$90="Да")</x:f>
      </x:c>
      <x:c r="BB55" t="n">
        <x:f>--AND(BB$3&gt;=$B$53,BB$3&lt;$B$54,BB$3&lt;EDATE($B$53,MAX(1,'Вводные'!$H$90)),'Вводные'!$B$90="Да")</x:f>
      </x:c>
      <x:c r="BC55" t="n">
        <x:f>--AND(BC$3&gt;=$B$53,BC$3&lt;$B$54,BC$3&lt;EDATE($B$53,MAX(1,'Вводные'!$H$90)),'Вводные'!$B$90="Да")</x:f>
      </x:c>
      <x:c r="BD55" t="n">
        <x:f>--AND(BD$3&gt;=$B$53,BD$3&lt;$B$54,BD$3&lt;EDATE($B$53,MAX(1,'Вводные'!$H$90)),'Вводные'!$B$90="Да")</x:f>
      </x:c>
      <x:c r="BE55" t="n">
        <x:f>--AND(BE$3&gt;=$B$53,BE$3&lt;$B$54,BE$3&lt;EDATE($B$53,MAX(1,'Вводные'!$H$90)),'Вводные'!$B$90="Да")</x:f>
      </x:c>
      <x:c r="BF55" t="n">
        <x:f>--AND(BF$3&gt;=$B$53,BF$3&lt;$B$54,BF$3&lt;EDATE($B$53,MAX(1,'Вводные'!$H$90)),'Вводные'!$B$90="Да")</x:f>
      </x:c>
      <x:c r="BG55" t="n">
        <x:f>--AND(BG$3&gt;=$B$53,BG$3&lt;$B$54,BG$3&lt;EDATE($B$53,MAX(1,'Вводные'!$H$90)),'Вводные'!$B$90="Да")</x:f>
      </x:c>
      <x:c r="BH55" t="n">
        <x:f>--AND(BH$3&gt;=$B$53,BH$3&lt;$B$54,BH$3&lt;EDATE($B$53,MAX(1,'Вводные'!$H$90)),'Вводные'!$B$90="Да")</x:f>
      </x:c>
      <x:c r="BI55" t="n">
        <x:f>--AND(BI$3&gt;=$B$53,BI$3&lt;$B$54,BI$3&lt;EDATE($B$53,MAX(1,'Вводные'!$H$90)),'Вводные'!$B$90="Да")</x:f>
      </x:c>
      <x:c r="BJ55" t="n">
        <x:f>--AND(BJ$3&gt;=$B$53,BJ$3&lt;$B$54,BJ$3&lt;EDATE($B$53,MAX(1,'Вводные'!$H$90)),'Вводные'!$B$90="Да")</x:f>
      </x:c>
      <x:c r="BK55" t="n">
        <x:f>--AND(BK$3&gt;=$B$53,BK$3&lt;$B$54,BK$3&lt;EDATE($B$53,MAX(1,'Вводные'!$H$90)),'Вводные'!$B$90="Да")</x:f>
      </x:c>
      <x:c r="BL55" t="n">
        <x:f>--AND(BL$3&gt;=$B$53,BL$3&lt;$B$54,BL$3&lt;EDATE($B$53,MAX(1,'Вводные'!$H$90)),'Вводные'!$B$90="Да")</x:f>
      </x:c>
      <x:c r="BM55" t="n">
        <x:f>--AND(BM$3&gt;=$B$53,BM$3&lt;$B$54,BM$3&lt;EDATE($B$53,MAX(1,'Вводные'!$H$90)),'Вводные'!$B$90="Да")</x:f>
      </x:c>
      <x:c r="BN55" t="n">
        <x:f>--AND(BN$3&gt;=$B$53,BN$3&lt;$B$54,BN$3&lt;EDATE($B$53,MAX(1,'Вводные'!$H$90)),'Вводные'!$B$90="Да")</x:f>
      </x:c>
      <x:c r="BO55" t="n">
        <x:f>--AND(BO$3&gt;=$B$53,BO$3&lt;$B$54,BO$3&lt;EDATE($B$53,MAX(1,'Вводные'!$H$90)),'Вводные'!$B$90="Да")</x:f>
      </x:c>
      <x:c r="BP55" t="n">
        <x:f>--AND(BP$3&gt;=$B$53,BP$3&lt;$B$54,BP$3&lt;EDATE($B$53,MAX(1,'Вводные'!$H$90)),'Вводные'!$B$90="Да")</x:f>
      </x:c>
      <x:c r="BQ55" t="n">
        <x:f>--AND(BQ$3&gt;=$B$53,BQ$3&lt;$B$54,BQ$3&lt;EDATE($B$53,MAX(1,'Вводные'!$H$90)),'Вводные'!$B$90="Да")</x:f>
      </x:c>
      <x:c r="BR55" t="n">
        <x:f>--AND(BR$3&gt;=$B$53,BR$3&lt;$B$54,BR$3&lt;EDATE($B$53,MAX(1,'Вводные'!$H$90)),'Вводные'!$B$90="Да")</x:f>
      </x:c>
      <x:c r="BS55" t="n">
        <x:f>--AND(BS$3&gt;=$B$53,BS$3&lt;$B$54,BS$3&lt;EDATE($B$53,MAX(1,'Вводные'!$H$90)),'Вводные'!$B$90="Да")</x:f>
      </x:c>
      <x:c r="BT55" t="n">
        <x:f>--AND(BT$3&gt;=$B$53,BT$3&lt;$B$54,BT$3&lt;EDATE($B$53,MAX(1,'Вводные'!$H$90)),'Вводные'!$B$90="Да")</x:f>
      </x:c>
      <x:c r="BU55" t="n">
        <x:f>--AND(BU$3&gt;=$B$53,BU$3&lt;$B$54,BU$3&lt;EDATE($B$53,MAX(1,'Вводные'!$H$90)),'Вводные'!$B$90="Да")</x:f>
      </x:c>
      <x:c r="BV55" t="n">
        <x:f>--AND(BV$3&gt;=$B$53,BV$3&lt;$B$54,BV$3&lt;EDATE($B$53,MAX(1,'Вводные'!$H$90)),'Вводные'!$B$90="Да")</x:f>
      </x:c>
      <x:c r="BW55" t="n">
        <x:f>--AND(BW$3&gt;=$B$53,BW$3&lt;$B$54,BW$3&lt;EDATE($B$53,MAX(1,'Вводные'!$H$90)),'Вводные'!$B$90="Да")</x:f>
      </x:c>
      <x:c r="BX55" t="n">
        <x:f>--AND(BX$3&gt;=$B$53,BX$3&lt;$B$54,BX$3&lt;EDATE($B$53,MAX(1,'Вводные'!$H$90)),'Вводные'!$B$90="Да")</x:f>
      </x:c>
      <x:c r="BY55" t="n">
        <x:f>--AND(BY$3&gt;=$B$53,BY$3&lt;$B$54,BY$3&lt;EDATE($B$53,MAX(1,'Вводные'!$H$90)),'Вводные'!$B$90="Да")</x:f>
      </x:c>
      <x:c r="BZ55" t="n">
        <x:f>--AND(BZ$3&gt;=$B$53,BZ$3&lt;$B$54,BZ$3&lt;EDATE($B$53,MAX(1,'Вводные'!$H$90)),'Вводные'!$B$90="Да")</x:f>
      </x:c>
      <x:c r="CA55" t="n">
        <x:f>--AND(CA$3&gt;=$B$53,CA$3&lt;$B$54,CA$3&lt;EDATE($B$53,MAX(1,'Вводные'!$H$90)),'Вводные'!$B$90="Да")</x:f>
      </x:c>
      <x:c r="CB55" t="n">
        <x:f>--AND(CB$3&gt;=$B$53,CB$3&lt;$B$54,CB$3&lt;EDATE($B$53,MAX(1,'Вводные'!$H$90)),'Вводные'!$B$90="Да")</x:f>
      </x:c>
      <x:c r="CC55" t="n">
        <x:f>--AND(CC$3&gt;=$B$53,CC$3&lt;$B$54,CC$3&lt;EDATE($B$53,MAX(1,'Вводные'!$H$90)),'Вводные'!$B$90="Да")</x:f>
      </x:c>
      <x:c r="CD55" t="n">
        <x:f>--AND(CD$3&gt;=$B$53,CD$3&lt;$B$54,CD$3&lt;EDATE($B$53,MAX(1,'Вводные'!$H$90)),'Вводные'!$B$90="Да")</x:f>
      </x:c>
      <x:c r="CE55" t="n">
        <x:f>--AND(CE$3&gt;=$B$53,CE$3&lt;$B$54,CE$3&lt;EDATE($B$53,MAX(1,'Вводные'!$H$90)),'Вводные'!$B$90="Да")</x:f>
      </x:c>
      <x:c r="CF55" t="n">
        <x:f>--AND(CF$3&gt;=$B$53,CF$3&lt;$B$54,CF$3&lt;EDATE($B$53,MAX(1,'Вводные'!$H$90)),'Вводные'!$B$90="Да")</x:f>
      </x:c>
      <x:c r="CG55" t="n">
        <x:f>--AND(CG$3&gt;=$B$53,CG$3&lt;$B$54,CG$3&lt;EDATE($B$53,MAX(1,'Вводные'!$H$90)),'Вводные'!$B$90="Да")</x:f>
      </x:c>
      <x:c r="CH55" t="n">
        <x:f>--AND(CH$3&gt;=$B$53,CH$3&lt;$B$54,CH$3&lt;EDATE($B$53,MAX(1,'Вводные'!$H$90)),'Вводные'!$B$90="Да")</x:f>
      </x:c>
      <x:c r="CI55" t="n">
        <x:f>--AND(CI$3&gt;=$B$53,CI$3&lt;$B$54,CI$3&lt;EDATE($B$53,MAX(1,'Вводные'!$H$90)),'Вводные'!$B$90="Да")</x:f>
      </x:c>
      <x:c r="CJ55" t="n">
        <x:f>--AND(CJ$3&gt;=$B$53,CJ$3&lt;$B$54,CJ$3&lt;EDATE($B$53,MAX(1,'Вводные'!$H$90)),'Вводные'!$B$90="Да")</x:f>
      </x:c>
      <x:c r="CK55" t="n">
        <x:f>--AND(CK$3&gt;=$B$53,CK$3&lt;$B$54,CK$3&lt;EDATE($B$53,MAX(1,'Вводные'!$H$90)),'Вводные'!$B$90="Да")</x:f>
      </x:c>
      <x:c r="CL55" t="n">
        <x:f>--AND(CL$3&gt;=$B$53,CL$3&lt;$B$54,CL$3&lt;EDATE($B$53,MAX(1,'Вводные'!$H$90)),'Вводные'!$B$90="Да")</x:f>
      </x:c>
      <x:c r="CM55" t="n">
        <x:f>--AND(CM$3&gt;=$B$53,CM$3&lt;$B$54,CM$3&lt;EDATE($B$53,MAX(1,'Вводные'!$H$90)),'Вводные'!$B$90="Да")</x:f>
      </x:c>
      <x:c r="CN55" t="n">
        <x:f>--AND(CN$3&gt;=$B$53,CN$3&lt;$B$54,CN$3&lt;EDATE($B$53,MAX(1,'Вводные'!$H$90)),'Вводные'!$B$90="Да")</x:f>
      </x:c>
      <x:c r="CO55" t="n">
        <x:f>--AND(CO$3&gt;=$B$53,CO$3&lt;$B$54,CO$3&lt;EDATE($B$53,MAX(1,'Вводные'!$H$90)),'Вводные'!$B$90="Да")</x:f>
      </x:c>
      <x:c r="CP55" t="n">
        <x:f>--AND(CP$3&gt;=$B$53,CP$3&lt;$B$54,CP$3&lt;EDATE($B$53,MAX(1,'Вводные'!$H$90)),'Вводные'!$B$90="Да")</x:f>
      </x:c>
      <x:c r="CQ55" t="n">
        <x:f>--AND(CQ$3&gt;=$B$53,CQ$3&lt;$B$54,CQ$3&lt;EDATE($B$53,MAX(1,'Вводные'!$H$90)),'Вводные'!$B$90="Да")</x:f>
      </x:c>
      <x:c r="CR55" t="n">
        <x:f>--AND(CR$3&gt;=$B$53,CR$3&lt;$B$54,CR$3&lt;EDATE($B$53,MAX(1,'Вводные'!$H$90)),'Вводные'!$B$90="Да")</x:f>
      </x:c>
      <x:c r="CS55" t="n">
        <x:f>--AND(CS$3&gt;=$B$53,CS$3&lt;$B$54,CS$3&lt;EDATE($B$53,MAX(1,'Вводные'!$H$90)),'Вводные'!$B$90="Да")</x:f>
      </x:c>
      <x:c r="CT55" t="n">
        <x:f>--AND(CT$3&gt;=$B$53,CT$3&lt;$B$54,CT$3&lt;EDATE($B$53,MAX(1,'Вводные'!$H$90)),'Вводные'!$B$90="Да")</x:f>
      </x:c>
      <x:c r="CU55" t="n">
        <x:f>--AND(CU$3&gt;=$B$53,CU$3&lt;$B$54,CU$3&lt;EDATE($B$53,MAX(1,'Вводные'!$H$90)),'Вводные'!$B$90="Да")</x:f>
      </x:c>
      <x:c r="CV55" t="n">
        <x:f>--AND(CV$3&gt;=$B$53,CV$3&lt;$B$54,CV$3&lt;EDATE($B$53,MAX(1,'Вводные'!$H$90)),'Вводные'!$B$90="Да")</x:f>
      </x:c>
      <x:c r="CW55" t="n">
        <x:f>--AND(CW$3&gt;=$B$53,CW$3&lt;$B$54,CW$3&lt;EDATE($B$53,MAX(1,'Вводные'!$H$90)),'Вводные'!$B$90="Да")</x:f>
      </x:c>
      <x:c r="CX55" t="n">
        <x:f>--AND(CX$3&gt;=$B$53,CX$3&lt;$B$54,CX$3&lt;EDATE($B$53,MAX(1,'Вводные'!$H$90)),'Вводные'!$B$90="Да")</x:f>
      </x:c>
      <x:c r="CY55" t="n">
        <x:f>--AND(CY$3&gt;=$B$53,CY$3&lt;$B$54,CY$3&lt;EDATE($B$53,MAX(1,'Вводные'!$H$90)),'Вводные'!$B$90="Да")</x:f>
      </x:c>
      <x:c r="CZ55" t="n">
        <x:f>--AND(CZ$3&gt;=$B$53,CZ$3&lt;$B$54,CZ$3&lt;EDATE($B$53,MAX(1,'Вводные'!$H$90)),'Вводные'!$B$90="Да")</x:f>
      </x:c>
      <x:c r="DA55" t="n">
        <x:f>--AND(DA$3&gt;=$B$53,DA$3&lt;$B$54,DA$3&lt;EDATE($B$53,MAX(1,'Вводные'!$H$90)),'Вводные'!$B$90="Да")</x:f>
      </x:c>
      <x:c r="DB55" t="n">
        <x:f>--AND(DB$3&gt;=$B$53,DB$3&lt;$B$54,DB$3&lt;EDATE($B$53,MAX(1,'Вводные'!$H$90)),'Вводные'!$B$90="Да")</x:f>
      </x:c>
      <x:c r="DC55" t="n">
        <x:f>--AND(DC$3&gt;=$B$53,DC$3&lt;$B$54,DC$3&lt;EDATE($B$53,MAX(1,'Вводные'!$H$90)),'Вводные'!$B$90="Да")</x:f>
      </x:c>
      <x:c r="DD55" t="n">
        <x:f>--AND(DD$3&gt;=$B$53,DD$3&lt;$B$54,DD$3&lt;EDATE($B$53,MAX(1,'Вводные'!$H$90)),'Вводные'!$B$90="Да")</x:f>
      </x:c>
      <x:c r="DE55" t="n">
        <x:f>--AND(DE$3&gt;=$B$53,DE$3&lt;$B$54,DE$3&lt;EDATE($B$53,MAX(1,'Вводные'!$H$90)),'Вводные'!$B$90="Да")</x:f>
      </x:c>
      <x:c r="DF55" t="n">
        <x:f>--AND(DF$3&gt;=$B$53,DF$3&lt;$B$54,DF$3&lt;EDATE($B$53,MAX(1,'Вводные'!$H$90)),'Вводные'!$B$90="Да")</x:f>
      </x:c>
      <x:c r="DG55" t="n">
        <x:f>--AND(DG$3&gt;=$B$53,DG$3&lt;$B$54,DG$3&lt;EDATE($B$53,MAX(1,'Вводные'!$H$90)),'Вводные'!$B$90="Да")</x:f>
      </x:c>
      <x:c r="DH55" t="n">
        <x:f>--AND(DH$3&gt;=$B$53,DH$3&lt;$B$54,DH$3&lt;EDATE($B$53,MAX(1,'Вводные'!$H$90)),'Вводные'!$B$90="Да")</x:f>
      </x:c>
      <x:c r="DI55" t="n">
        <x:f>--AND(DI$3&gt;=$B$53,DI$3&lt;$B$54,DI$3&lt;EDATE($B$53,MAX(1,'Вводные'!$H$90)),'Вводные'!$B$90="Да")</x:f>
      </x:c>
      <x:c r="DJ55" t="n">
        <x:f>--AND(DJ$3&gt;=$B$53,DJ$3&lt;$B$54,DJ$3&lt;EDATE($B$53,MAX(1,'Вводные'!$H$90)),'Вводные'!$B$90="Да")</x:f>
      </x:c>
      <x:c r="DK55" t="n">
        <x:f>--AND(DK$3&gt;=$B$53,DK$3&lt;$B$54,DK$3&lt;EDATE($B$53,MAX(1,'Вводные'!$H$90)),'Вводные'!$B$90="Да")</x:f>
      </x:c>
      <x:c r="DL55" t="n">
        <x:f>--AND(DL$3&gt;=$B$53,DL$3&lt;$B$54,DL$3&lt;EDATE($B$53,MAX(1,'Вводные'!$H$90)),'Вводные'!$B$90="Да")</x:f>
      </x:c>
      <x:c r="DM55" t="n">
        <x:f>--AND(DM$3&gt;=$B$53,DM$3&lt;$B$54,DM$3&lt;EDATE($B$53,MAX(1,'Вводные'!$H$90)),'Вводные'!$B$90="Да")</x:f>
      </x:c>
      <x:c r="DN55" t="n">
        <x:f>--AND(DN$3&gt;=$B$53,DN$3&lt;$B$54,DN$3&lt;EDATE($B$53,MAX(1,'Вводные'!$H$90)),'Вводные'!$B$90="Да")</x:f>
      </x:c>
      <x:c r="DO55" t="n">
        <x:f>--AND(DO$3&gt;=$B$53,DO$3&lt;$B$54,DO$3&lt;EDATE($B$53,MAX(1,'Вводные'!$H$90)),'Вводные'!$B$90="Да")</x:f>
      </x:c>
      <x:c r="DP55" t="n">
        <x:f>--AND(DP$3&gt;=$B$53,DP$3&lt;$B$54,DP$3&lt;EDATE($B$53,MAX(1,'Вводные'!$H$90)),'Вводные'!$B$90="Да")</x:f>
      </x:c>
      <x:c r="DQ55" t="n">
        <x:f>--AND(DQ$3&gt;=$B$53,DQ$3&lt;$B$54,DQ$3&lt;EDATE($B$53,MAX(1,'Вводные'!$H$90)),'Вводные'!$B$90="Да")</x:f>
      </x:c>
      <x:c r="DR55" t="n">
        <x:f>--AND(DR$3&gt;=$B$53,DR$3&lt;$B$54,DR$3&lt;EDATE($B$53,MAX(1,'Вводные'!$H$90)),'Вводные'!$B$90="Да")</x:f>
      </x:c>
      <x:c r="DS55" t="n">
        <x:f>--AND(DS$3&gt;=$B$53,DS$3&lt;$B$54,DS$3&lt;EDATE($B$53,MAX(1,'Вводные'!$H$90)),'Вводные'!$B$90="Да")</x:f>
      </x:c>
      <x:c r="DT55" t="n">
        <x:f>--AND(DT$3&gt;=$B$53,DT$3&lt;$B$54,DT$3&lt;EDATE($B$53,MAX(1,'Вводные'!$H$90)),'Вводные'!$B$90="Да")</x:f>
      </x:c>
      <x:c r="DU55" t="n">
        <x:f>--AND(DU$3&gt;=$B$53,DU$3&lt;$B$54,DU$3&lt;EDATE($B$53,MAX(1,'Вводные'!$H$90)),'Вводные'!$B$90="Да")</x:f>
      </x:c>
      <x:c r="DV55" t="n">
        <x:f>--AND(DV$3&gt;=$B$53,DV$3&lt;$B$54,DV$3&lt;EDATE($B$53,MAX(1,'Вводные'!$H$90)),'Вводные'!$B$90="Да")</x:f>
      </x:c>
      <x:c r="DW55" t="n">
        <x:f>--AND(DW$3&gt;=$B$53,DW$3&lt;$B$54,DW$3&lt;EDATE($B$53,MAX(1,'Вводные'!$H$90)),'Вводные'!$B$90="Да")</x:f>
      </x:c>
      <x:c r="DX55" t="n">
        <x:f>--AND(DX$3&gt;=$B$53,DX$3&lt;$B$54,DX$3&lt;EDATE($B$53,MAX(1,'Вводные'!$H$90)),'Вводные'!$B$90="Да")</x:f>
      </x:c>
      <x:c r="DY55" t="n">
        <x:f>--AND(DY$3&gt;=$B$53,DY$3&lt;$B$54,DY$3&lt;EDATE($B$53,MAX(1,'Вводные'!$H$90)),'Вводные'!$B$90="Да")</x:f>
      </x:c>
      <x:c r="DZ55" t="n">
        <x:f>--AND(DZ$3&gt;=$B$53,DZ$3&lt;$B$54,DZ$3&lt;EDATE($B$53,MAX(1,'Вводные'!$H$90)),'Вводные'!$B$90="Да")</x:f>
      </x:c>
      <x:c r="EA55" t="n">
        <x:f>--AND(EA$3&gt;=$B$53,EA$3&lt;$B$54,EA$3&lt;EDATE($B$53,MAX(1,'Вводные'!$H$90)),'Вводные'!$B$90="Да")</x:f>
      </x:c>
      <x:c r="EB55" t="n">
        <x:f>--AND(EB$3&gt;=$B$53,EB$3&lt;$B$54,EB$3&lt;EDATE($B$53,MAX(1,'Вводные'!$H$90)),'Вводные'!$B$90="Да")</x:f>
      </x:c>
      <x:c r="EC55" t="n">
        <x:f>--AND(EC$3&gt;=$B$53,EC$3&lt;$B$54,EC$3&lt;EDATE($B$53,MAX(1,'Вводные'!$H$90)),'Вводные'!$B$90="Да")</x:f>
      </x:c>
      <x:c r="ED55" t="n">
        <x:f>--AND(ED$3&gt;=$B$53,ED$3&lt;$B$54,ED$3&lt;EDATE($B$53,MAX(1,'Вводные'!$H$90)),'Вводные'!$B$90="Да")</x:f>
      </x:c>
      <x:c r="EE55" t="n">
        <x:f>--AND(EE$3&gt;=$B$53,EE$3&lt;$B$54,EE$3&lt;EDATE($B$53,MAX(1,'Вводные'!$H$90)),'Вводные'!$B$90="Да")</x:f>
      </x:c>
      <x:c r="EF55" t="n">
        <x:f>--AND(EF$3&gt;=$B$53,EF$3&lt;$B$54,EF$3&lt;EDATE($B$53,MAX(1,'Вводные'!$H$90)),'Вводные'!$B$90="Да")</x:f>
      </x:c>
      <x:c r="EG55" t="n">
        <x:f>--AND(EG$3&gt;=$B$53,EG$3&lt;$B$54,EG$3&lt;EDATE($B$53,MAX(1,'Вводные'!$H$90)),'Вводные'!$B$90="Да")</x:f>
      </x:c>
      <x:c r="EH55" t="n">
        <x:f>--AND(EH$3&gt;=$B$53,EH$3&lt;$B$54,EH$3&lt;EDATE($B$53,MAX(1,'Вводные'!$H$90)),'Вводные'!$B$90="Да")</x:f>
      </x:c>
      <x:c r="EI55" t="n">
        <x:f>--AND(EI$3&gt;=$B$53,EI$3&lt;$B$54,EI$3&lt;EDATE($B$53,MAX(1,'Вводные'!$H$90)),'Вводные'!$B$90="Да")</x:f>
      </x:c>
      <x:c r="EJ55" t="n">
        <x:f>--AND(EJ$3&gt;=$B$53,EJ$3&lt;$B$54,EJ$3&lt;EDATE($B$53,MAX(1,'Вводные'!$H$90)),'Вводные'!$B$90="Да")</x:f>
      </x:c>
      <x:c r="EK55" t="n">
        <x:f>--AND(EK$3&gt;=$B$53,EK$3&lt;$B$54,EK$3&lt;EDATE($B$53,MAX(1,'Вводные'!$H$90)),'Вводные'!$B$90="Да")</x:f>
      </x:c>
      <x:c r="EL55" t="n">
        <x:f>--AND(EL$3&gt;=$B$53,EL$3&lt;$B$54,EL$3&lt;EDATE($B$53,MAX(1,'Вводные'!$H$90)),'Вводные'!$B$90="Да")</x:f>
      </x:c>
      <x:c r="EM55" t="n">
        <x:f>--AND(EM$3&gt;=$B$53,EM$3&lt;$B$54,EM$3&lt;EDATE($B$53,MAX(1,'Вводные'!$H$90)),'Вводные'!$B$90="Да")</x:f>
      </x:c>
      <x:c r="EN55" t="n">
        <x:f>--AND(EN$3&gt;=$B$53,EN$3&lt;$B$54,EN$3&lt;EDATE($B$53,MAX(1,'Вводные'!$H$90)),'Вводные'!$B$90="Да")</x:f>
      </x:c>
      <x:c r="EO55" t="n">
        <x:f>--AND(EO$3&gt;=$B$53,EO$3&lt;$B$54,EO$3&lt;EDATE($B$53,MAX(1,'Вводные'!$H$90)),'Вводные'!$B$90="Да")</x:f>
      </x:c>
      <x:c r="EP55" t="n">
        <x:f>--AND(EP$3&gt;=$B$53,EP$3&lt;$B$54,EP$3&lt;EDATE($B$53,MAX(1,'Вводные'!$H$90)),'Вводные'!$B$90="Да")</x:f>
      </x:c>
      <x:c r="EQ55" t="n">
        <x:f>--AND(EQ$3&gt;=$B$53,EQ$3&lt;$B$54,EQ$3&lt;EDATE($B$53,MAX(1,'Вводные'!$H$90)),'Вводные'!$B$90="Да")</x:f>
      </x:c>
      <x:c r="ER55" t="n">
        <x:f>--AND(ER$3&gt;=$B$53,ER$3&lt;$B$54,ER$3&lt;EDATE($B$53,MAX(1,'Вводные'!$H$90)),'Вводные'!$B$90="Да")</x:f>
      </x:c>
      <x:c r="ES55" t="n">
        <x:f>--AND(ES$3&gt;=$B$53,ES$3&lt;$B$54,ES$3&lt;EDATE($B$53,MAX(1,'Вводные'!$H$90)),'Вводные'!$B$90="Да")</x:f>
      </x:c>
      <x:c r="ET55" t="n">
        <x:f>--AND(ET$3&gt;=$B$53,ET$3&lt;$B$54,ET$3&lt;EDATE($B$53,MAX(1,'Вводные'!$H$90)),'Вводные'!$B$90="Да")</x:f>
      </x:c>
      <x:c r="EU55" t="n">
        <x:f>--AND(EU$3&gt;=$B$53,EU$3&lt;$B$54,EU$3&lt;EDATE($B$53,MAX(1,'Вводные'!$H$90)),'Вводные'!$B$90="Да")</x:f>
      </x:c>
      <x:c r="EV55" t="n">
        <x:f>--AND(EV$3&gt;=$B$53,EV$3&lt;$B$54,EV$3&lt;EDATE($B$53,MAX(1,'Вводные'!$H$90)),'Вводные'!$B$90="Да")</x:f>
      </x:c>
      <x:c r="EW55" t="n">
        <x:f>--AND(EW$3&gt;=$B$53,EW$3&lt;$B$54,EW$3&lt;EDATE($B$53,MAX(1,'Вводные'!$H$90)),'Вводные'!$B$90="Да")</x:f>
      </x:c>
      <x:c r="EX55" t="n">
        <x:f>--AND(EX$3&gt;=$B$53,EX$3&lt;$B$54,EX$3&lt;EDATE($B$53,MAX(1,'Вводные'!$H$90)),'Вводные'!$B$90="Да")</x:f>
      </x:c>
      <x:c r="EY55" t="n">
        <x:f>--AND(EY$3&gt;=$B$53,EY$3&lt;$B$54,EY$3&lt;EDATE($B$53,MAX(1,'Вводные'!$H$90)),'Вводные'!$B$90="Да")</x:f>
      </x:c>
      <x:c r="EZ55" t="n">
        <x:f>--AND(EZ$3&gt;=$B$53,EZ$3&lt;$B$54,EZ$3&lt;EDATE($B$53,MAX(1,'Вводные'!$H$90)),'Вводные'!$B$90="Да")</x:f>
      </x:c>
      <x:c r="FA55" t="n">
        <x:f>--AND(FA$3&gt;=$B$53,FA$3&lt;$B$54,FA$3&lt;EDATE($B$53,MAX(1,'Вводные'!$H$90)),'Вводные'!$B$90="Да")</x:f>
      </x:c>
      <x:c r="FB55" t="n">
        <x:f>--AND(FB$3&gt;=$B$53,FB$3&lt;$B$54,FB$3&lt;EDATE($B$53,MAX(1,'Вводные'!$H$90)),'Вводные'!$B$90="Да")</x:f>
      </x:c>
      <x:c r="FC55" t="n">
        <x:f>--AND(FC$3&gt;=$B$53,FC$3&lt;$B$54,FC$3&lt;EDATE($B$53,MAX(1,'Вводные'!$H$90)),'Вводные'!$B$90="Да")</x:f>
      </x:c>
      <x:c r="FD55" t="n">
        <x:f>--AND(FD$3&gt;=$B$53,FD$3&lt;$B$54,FD$3&lt;EDATE($B$53,MAX(1,'Вводные'!$H$90)),'Вводные'!$B$90="Да")</x:f>
      </x:c>
      <x:c r="FE55" t="n">
        <x:f>--AND(FE$3&gt;=$B$53,FE$3&lt;$B$54,FE$3&lt;EDATE($B$53,MAX(1,'Вводные'!$H$90)),'Вводные'!$B$90="Да")</x:f>
      </x:c>
      <x:c r="FF55" t="n">
        <x:f>--AND(FF$3&gt;=$B$53,FF$3&lt;$B$54,FF$3&lt;EDATE($B$53,MAX(1,'Вводные'!$H$90)),'Вводные'!$B$90="Да")</x:f>
      </x:c>
      <x:c r="FG55" t="n">
        <x:f>--AND(FG$3&gt;=$B$53,FG$3&lt;$B$54,FG$3&lt;EDATE($B$53,MAX(1,'Вводные'!$H$90)),'Вводные'!$B$90="Да")</x:f>
      </x:c>
      <x:c r="FH55" t="n">
        <x:f>--AND(FH$3&gt;=$B$53,FH$3&lt;$B$54,FH$3&lt;EDATE($B$53,MAX(1,'Вводные'!$H$90)),'Вводные'!$B$90="Да")</x:f>
      </x:c>
      <x:c r="FI55" t="n">
        <x:f>--AND(FI$3&gt;=$B$53,FI$3&lt;$B$54,FI$3&lt;EDATE($B$53,MAX(1,'Вводные'!$H$90)),'Вводные'!$B$90="Да")</x:f>
      </x:c>
      <x:c r="FJ55" t="n">
        <x:f>--AND(FJ$3&gt;=$B$53,FJ$3&lt;$B$54,FJ$3&lt;EDATE($B$53,MAX(1,'Вводные'!$H$90)),'Вводные'!$B$90="Да")</x:f>
      </x:c>
      <x:c r="FK55" t="n">
        <x:f>--AND(FK$3&gt;=$B$53,FK$3&lt;$B$54,FK$3&lt;EDATE($B$53,MAX(1,'Вводные'!$H$90)),'Вводные'!$B$90="Да")</x:f>
      </x:c>
      <x:c r="FL55" t="n">
        <x:f>--AND(FL$3&gt;=$B$53,FL$3&lt;$B$54,FL$3&lt;EDATE($B$53,MAX(1,'Вводные'!$H$90)),'Вводные'!$B$90="Да")</x:f>
      </x:c>
      <x:c r="FM55" t="n">
        <x:f>--AND(FM$3&gt;=$B$53,FM$3&lt;$B$54,FM$3&lt;EDATE($B$53,MAX(1,'Вводные'!$H$90)),'Вводные'!$B$90="Да")</x:f>
      </x:c>
      <x:c r="FN55" t="n">
        <x:f>--AND(FN$3&gt;=$B$53,FN$3&lt;$B$54,FN$3&lt;EDATE($B$53,MAX(1,'Вводные'!$H$90)),'Вводные'!$B$90="Да")</x:f>
      </x:c>
      <x:c r="FO55" t="n">
        <x:f>--AND(FO$3&gt;=$B$53,FO$3&lt;$B$54,FO$3&lt;EDATE($B$53,MAX(1,'Вводные'!$H$90)),'Вводные'!$B$90="Да")</x:f>
      </x:c>
      <x:c r="FP55" t="n">
        <x:f>--AND(FP$3&gt;=$B$53,FP$3&lt;$B$54,FP$3&lt;EDATE($B$53,MAX(1,'Вводные'!$H$90)),'Вводные'!$B$90="Да")</x:f>
      </x:c>
      <x:c r="FQ55" t="n">
        <x:f>--AND(FQ$3&gt;=$B$53,FQ$3&lt;$B$54,FQ$3&lt;EDATE($B$53,MAX(1,'Вводные'!$H$90)),'Вводные'!$B$90="Да")</x:f>
      </x:c>
      <x:c r="FR55" t="n">
        <x:f>--AND(FR$3&gt;=$B$53,FR$3&lt;$B$54,FR$3&lt;EDATE($B$53,MAX(1,'Вводные'!$H$90)),'Вводные'!$B$90="Да")</x:f>
      </x:c>
      <x:c r="FS55" t="n">
        <x:f>--AND(FS$3&gt;=$B$53,FS$3&lt;$B$54,FS$3&lt;EDATE($B$53,MAX(1,'Вводные'!$H$90)),'Вводные'!$B$90="Да")</x:f>
      </x:c>
      <x:c r="FT55" t="n">
        <x:f>--AND(FT$3&gt;=$B$53,FT$3&lt;$B$54,FT$3&lt;EDATE($B$53,MAX(1,'Вводные'!$H$90)),'Вводные'!$B$90="Да")</x:f>
      </x:c>
      <x:c r="FU55" t="n">
        <x:f>--AND(FU$3&gt;=$B$53,FU$3&lt;$B$54,FU$3&lt;EDATE($B$53,MAX(1,'Вводные'!$H$90)),'Вводные'!$B$90="Да")</x:f>
      </x:c>
      <x:c r="FV55" t="n">
        <x:f>--AND(FV$3&gt;=$B$53,FV$3&lt;$B$54,FV$3&lt;EDATE($B$53,MAX(1,'Вводные'!$H$90)),'Вводные'!$B$90="Да")</x:f>
      </x:c>
      <x:c r="FW55" t="n">
        <x:f>--AND(FW$3&gt;=$B$53,FW$3&lt;$B$54,FW$3&lt;EDATE($B$53,MAX(1,'Вводные'!$H$90)),'Вводные'!$B$90="Да")</x:f>
      </x:c>
      <x:c r="FX55" t="n">
        <x:f>--AND(FX$3&gt;=$B$53,FX$3&lt;$B$54,FX$3&lt;EDATE($B$53,MAX(1,'Вводные'!$H$90)),'Вводные'!$B$90="Да")</x:f>
      </x:c>
      <x:c r="FY55" t="n">
        <x:f>--AND(FY$3&gt;=$B$53,FY$3&lt;$B$54,FY$3&lt;EDATE($B$53,MAX(1,'Вводные'!$H$90)),'Вводные'!$B$90="Да")</x:f>
      </x:c>
      <x:c r="FZ55" t="n">
        <x:f>--AND(FZ$3&gt;=$B$53,FZ$3&lt;$B$54,FZ$3&lt;EDATE($B$53,MAX(1,'Вводные'!$H$90)),'Вводные'!$B$90="Да")</x:f>
      </x:c>
      <x:c r="GA55" t="n">
        <x:f>--AND(GA$3&gt;=$B$53,GA$3&lt;$B$54,GA$3&lt;EDATE($B$53,MAX(1,'Вводные'!$H$90)),'Вводные'!$B$90="Да")</x:f>
      </x:c>
    </x:row>
    <x:row r="56">
      <x:c r="A56" t="str">
        <x:v>Вес темпа продаж</x:v>
      </x:c>
      <x:c r="B56"/>
      <x:c r="C56" t="str">
        <x:v>вес</x:v>
      </x:c>
      <x:c r="D56" t="n">
        <x:f>IF(AND(D$3&gt;=$B$53,D$3&lt;EDATE($B$53,MAX(1,'Вводные'!$H$90)),'Вводные'!$B$90="Да"),(1+'Вводные'!$AD$90*'Вводные'!$H$7*MIN(1,(12*(YEAR(D$3)-YEAR($B$53))+MONTH(D$3)-MONTH($B$53))/MAX(1,12*(YEAR($B$54)-YEAR($B$53))+MONTH($B$54)-MONTH($B$53))))*(1+IF(MONTH(D$3)=1,'Вводные'!$B$67,IF(AND(MONTH(D$3)&gt;=5,MONTH(D$3)&lt;=8),'Вводные'!$B$70,0))),0)</x:f>
      </x:c>
      <x:c r="E56" t="n">
        <x:f>IF(AND(E$3&gt;=$B$53,E$3&lt;EDATE($B$53,MAX(1,'Вводные'!$H$90)),'Вводные'!$B$90="Да"),(1+'Вводные'!$AD$90*'Вводные'!$H$7*MIN(1,(12*(YEAR(E$3)-YEAR($B$53))+MONTH(E$3)-MONTH($B$53))/MAX(1,12*(YEAR($B$54)-YEAR($B$53))+MONTH($B$54)-MONTH($B$53))))*(1+IF(MONTH(E$3)=1,'Вводные'!$B$67,IF(AND(MONTH(E$3)&gt;=5,MONTH(E$3)&lt;=8),'Вводные'!$B$70,0))),0)</x:f>
      </x:c>
      <x:c r="F56" t="n">
        <x:f>IF(AND(F$3&gt;=$B$53,F$3&lt;EDATE($B$53,MAX(1,'Вводные'!$H$90)),'Вводные'!$B$90="Да"),(1+'Вводные'!$AD$90*'Вводные'!$H$7*MIN(1,(12*(YEAR(F$3)-YEAR($B$53))+MONTH(F$3)-MONTH($B$53))/MAX(1,12*(YEAR($B$54)-YEAR($B$53))+MONTH($B$54)-MONTH($B$53))))*(1+IF(MONTH(F$3)=1,'Вводные'!$B$67,IF(AND(MONTH(F$3)&gt;=5,MONTH(F$3)&lt;=8),'Вводные'!$B$70,0))),0)</x:f>
      </x:c>
      <x:c r="G56" t="n">
        <x:f>IF(AND(G$3&gt;=$B$53,G$3&lt;EDATE($B$53,MAX(1,'Вводные'!$H$90)),'Вводные'!$B$90="Да"),(1+'Вводные'!$AD$90*'Вводные'!$H$7*MIN(1,(12*(YEAR(G$3)-YEAR($B$53))+MONTH(G$3)-MONTH($B$53))/MAX(1,12*(YEAR($B$54)-YEAR($B$53))+MONTH($B$54)-MONTH($B$53))))*(1+IF(MONTH(G$3)=1,'Вводные'!$B$67,IF(AND(MONTH(G$3)&gt;=5,MONTH(G$3)&lt;=8),'Вводные'!$B$70,0))),0)</x:f>
      </x:c>
      <x:c r="H56" t="n">
        <x:f>IF(AND(H$3&gt;=$B$53,H$3&lt;EDATE($B$53,MAX(1,'Вводные'!$H$90)),'Вводные'!$B$90="Да"),(1+'Вводные'!$AD$90*'Вводные'!$H$7*MIN(1,(12*(YEAR(H$3)-YEAR($B$53))+MONTH(H$3)-MONTH($B$53))/MAX(1,12*(YEAR($B$54)-YEAR($B$53))+MONTH($B$54)-MONTH($B$53))))*(1+IF(MONTH(H$3)=1,'Вводные'!$B$67,IF(AND(MONTH(H$3)&gt;=5,MONTH(H$3)&lt;=8),'Вводные'!$B$70,0))),0)</x:f>
      </x:c>
      <x:c r="I56" t="n">
        <x:f>IF(AND(I$3&gt;=$B$53,I$3&lt;EDATE($B$53,MAX(1,'Вводные'!$H$90)),'Вводные'!$B$90="Да"),(1+'Вводные'!$AD$90*'Вводные'!$H$7*MIN(1,(12*(YEAR(I$3)-YEAR($B$53))+MONTH(I$3)-MONTH($B$53))/MAX(1,12*(YEAR($B$54)-YEAR($B$53))+MONTH($B$54)-MONTH($B$53))))*(1+IF(MONTH(I$3)=1,'Вводные'!$B$67,IF(AND(MONTH(I$3)&gt;=5,MONTH(I$3)&lt;=8),'Вводные'!$B$70,0))),0)</x:f>
      </x:c>
      <x:c r="J56" t="n">
        <x:f>IF(AND(J$3&gt;=$B$53,J$3&lt;EDATE($B$53,MAX(1,'Вводные'!$H$90)),'Вводные'!$B$90="Да"),(1+'Вводные'!$AD$90*'Вводные'!$H$7*MIN(1,(12*(YEAR(J$3)-YEAR($B$53))+MONTH(J$3)-MONTH($B$53))/MAX(1,12*(YEAR($B$54)-YEAR($B$53))+MONTH($B$54)-MONTH($B$53))))*(1+IF(MONTH(J$3)=1,'Вводные'!$B$67,IF(AND(MONTH(J$3)&gt;=5,MONTH(J$3)&lt;=8),'Вводные'!$B$70,0))),0)</x:f>
      </x:c>
      <x:c r="K56" t="n">
        <x:f>IF(AND(K$3&gt;=$B$53,K$3&lt;EDATE($B$53,MAX(1,'Вводные'!$H$90)),'Вводные'!$B$90="Да"),(1+'Вводные'!$AD$90*'Вводные'!$H$7*MIN(1,(12*(YEAR(K$3)-YEAR($B$53))+MONTH(K$3)-MONTH($B$53))/MAX(1,12*(YEAR($B$54)-YEAR($B$53))+MONTH($B$54)-MONTH($B$53))))*(1+IF(MONTH(K$3)=1,'Вводные'!$B$67,IF(AND(MONTH(K$3)&gt;=5,MONTH(K$3)&lt;=8),'Вводные'!$B$70,0))),0)</x:f>
      </x:c>
      <x:c r="L56" t="n">
        <x:f>IF(AND(L$3&gt;=$B$53,L$3&lt;EDATE($B$53,MAX(1,'Вводные'!$H$90)),'Вводные'!$B$90="Да"),(1+'Вводные'!$AD$90*'Вводные'!$H$7*MIN(1,(12*(YEAR(L$3)-YEAR($B$53))+MONTH(L$3)-MONTH($B$53))/MAX(1,12*(YEAR($B$54)-YEAR($B$53))+MONTH($B$54)-MONTH($B$53))))*(1+IF(MONTH(L$3)=1,'Вводные'!$B$67,IF(AND(MONTH(L$3)&gt;=5,MONTH(L$3)&lt;=8),'Вводные'!$B$70,0))),0)</x:f>
      </x:c>
      <x:c r="M56" t="n">
        <x:f>IF(AND(M$3&gt;=$B$53,M$3&lt;EDATE($B$53,MAX(1,'Вводные'!$H$90)),'Вводные'!$B$90="Да"),(1+'Вводные'!$AD$90*'Вводные'!$H$7*MIN(1,(12*(YEAR(M$3)-YEAR($B$53))+MONTH(M$3)-MONTH($B$53))/MAX(1,12*(YEAR($B$54)-YEAR($B$53))+MONTH($B$54)-MONTH($B$53))))*(1+IF(MONTH(M$3)=1,'Вводные'!$B$67,IF(AND(MONTH(M$3)&gt;=5,MONTH(M$3)&lt;=8),'Вводные'!$B$70,0))),0)</x:f>
      </x:c>
      <x:c r="N56" t="n">
        <x:f>IF(AND(N$3&gt;=$B$53,N$3&lt;EDATE($B$53,MAX(1,'Вводные'!$H$90)),'Вводные'!$B$90="Да"),(1+'Вводные'!$AD$90*'Вводные'!$H$7*MIN(1,(12*(YEAR(N$3)-YEAR($B$53))+MONTH(N$3)-MONTH($B$53))/MAX(1,12*(YEAR($B$54)-YEAR($B$53))+MONTH($B$54)-MONTH($B$53))))*(1+IF(MONTH(N$3)=1,'Вводные'!$B$67,IF(AND(MONTH(N$3)&gt;=5,MONTH(N$3)&lt;=8),'Вводные'!$B$70,0))),0)</x:f>
      </x:c>
      <x:c r="O56" t="n">
        <x:f>IF(AND(O$3&gt;=$B$53,O$3&lt;EDATE($B$53,MAX(1,'Вводные'!$H$90)),'Вводные'!$B$90="Да"),(1+'Вводные'!$AD$90*'Вводные'!$H$7*MIN(1,(12*(YEAR(O$3)-YEAR($B$53))+MONTH(O$3)-MONTH($B$53))/MAX(1,12*(YEAR($B$54)-YEAR($B$53))+MONTH($B$54)-MONTH($B$53))))*(1+IF(MONTH(O$3)=1,'Вводные'!$B$67,IF(AND(MONTH(O$3)&gt;=5,MONTH(O$3)&lt;=8),'Вводные'!$B$70,0))),0)</x:f>
      </x:c>
      <x:c r="P56" t="n">
        <x:f>IF(AND(P$3&gt;=$B$53,P$3&lt;EDATE($B$53,MAX(1,'Вводные'!$H$90)),'Вводные'!$B$90="Да"),(1+'Вводные'!$AD$90*'Вводные'!$H$7*MIN(1,(12*(YEAR(P$3)-YEAR($B$53))+MONTH(P$3)-MONTH($B$53))/MAX(1,12*(YEAR($B$54)-YEAR($B$53))+MONTH($B$54)-MONTH($B$53))))*(1+IF(MONTH(P$3)=1,'Вводные'!$B$67,IF(AND(MONTH(P$3)&gt;=5,MONTH(P$3)&lt;=8),'Вводные'!$B$70,0))),0)</x:f>
      </x:c>
      <x:c r="Q56" t="n">
        <x:f>IF(AND(Q$3&gt;=$B$53,Q$3&lt;EDATE($B$53,MAX(1,'Вводные'!$H$90)),'Вводные'!$B$90="Да"),(1+'Вводные'!$AD$90*'Вводные'!$H$7*MIN(1,(12*(YEAR(Q$3)-YEAR($B$53))+MONTH(Q$3)-MONTH($B$53))/MAX(1,12*(YEAR($B$54)-YEAR($B$53))+MONTH($B$54)-MONTH($B$53))))*(1+IF(MONTH(Q$3)=1,'Вводные'!$B$67,IF(AND(MONTH(Q$3)&gt;=5,MONTH(Q$3)&lt;=8),'Вводные'!$B$70,0))),0)</x:f>
      </x:c>
      <x:c r="R56" t="n">
        <x:f>IF(AND(R$3&gt;=$B$53,R$3&lt;EDATE($B$53,MAX(1,'Вводные'!$H$90)),'Вводные'!$B$90="Да"),(1+'Вводные'!$AD$90*'Вводные'!$H$7*MIN(1,(12*(YEAR(R$3)-YEAR($B$53))+MONTH(R$3)-MONTH($B$53))/MAX(1,12*(YEAR($B$54)-YEAR($B$53))+MONTH($B$54)-MONTH($B$53))))*(1+IF(MONTH(R$3)=1,'Вводные'!$B$67,IF(AND(MONTH(R$3)&gt;=5,MONTH(R$3)&lt;=8),'Вводные'!$B$70,0))),0)</x:f>
      </x:c>
      <x:c r="S56" t="n">
        <x:f>IF(AND(S$3&gt;=$B$53,S$3&lt;EDATE($B$53,MAX(1,'Вводные'!$H$90)),'Вводные'!$B$90="Да"),(1+'Вводные'!$AD$90*'Вводные'!$H$7*MIN(1,(12*(YEAR(S$3)-YEAR($B$53))+MONTH(S$3)-MONTH($B$53))/MAX(1,12*(YEAR($B$54)-YEAR($B$53))+MONTH($B$54)-MONTH($B$53))))*(1+IF(MONTH(S$3)=1,'Вводные'!$B$67,IF(AND(MONTH(S$3)&gt;=5,MONTH(S$3)&lt;=8),'Вводные'!$B$70,0))),0)</x:f>
      </x:c>
      <x:c r="T56" t="n">
        <x:f>IF(AND(T$3&gt;=$B$53,T$3&lt;EDATE($B$53,MAX(1,'Вводные'!$H$90)),'Вводные'!$B$90="Да"),(1+'Вводные'!$AD$90*'Вводные'!$H$7*MIN(1,(12*(YEAR(T$3)-YEAR($B$53))+MONTH(T$3)-MONTH($B$53))/MAX(1,12*(YEAR($B$54)-YEAR($B$53))+MONTH($B$54)-MONTH($B$53))))*(1+IF(MONTH(T$3)=1,'Вводные'!$B$67,IF(AND(MONTH(T$3)&gt;=5,MONTH(T$3)&lt;=8),'Вводные'!$B$70,0))),0)</x:f>
      </x:c>
      <x:c r="U56" t="n">
        <x:f>IF(AND(U$3&gt;=$B$53,U$3&lt;EDATE($B$53,MAX(1,'Вводные'!$H$90)),'Вводные'!$B$90="Да"),(1+'Вводные'!$AD$90*'Вводные'!$H$7*MIN(1,(12*(YEAR(U$3)-YEAR($B$53))+MONTH(U$3)-MONTH($B$53))/MAX(1,12*(YEAR($B$54)-YEAR($B$53))+MONTH($B$54)-MONTH($B$53))))*(1+IF(MONTH(U$3)=1,'Вводные'!$B$67,IF(AND(MONTH(U$3)&gt;=5,MONTH(U$3)&lt;=8),'Вводные'!$B$70,0))),0)</x:f>
      </x:c>
      <x:c r="V56" t="n">
        <x:f>IF(AND(V$3&gt;=$B$53,V$3&lt;EDATE($B$53,MAX(1,'Вводные'!$H$90)),'Вводные'!$B$90="Да"),(1+'Вводные'!$AD$90*'Вводные'!$H$7*MIN(1,(12*(YEAR(V$3)-YEAR($B$53))+MONTH(V$3)-MONTH($B$53))/MAX(1,12*(YEAR($B$54)-YEAR($B$53))+MONTH($B$54)-MONTH($B$53))))*(1+IF(MONTH(V$3)=1,'Вводные'!$B$67,IF(AND(MONTH(V$3)&gt;=5,MONTH(V$3)&lt;=8),'Вводные'!$B$70,0))),0)</x:f>
      </x:c>
      <x:c r="W56" t="n">
        <x:f>IF(AND(W$3&gt;=$B$53,W$3&lt;EDATE($B$53,MAX(1,'Вводные'!$H$90)),'Вводные'!$B$90="Да"),(1+'Вводные'!$AD$90*'Вводные'!$H$7*MIN(1,(12*(YEAR(W$3)-YEAR($B$53))+MONTH(W$3)-MONTH($B$53))/MAX(1,12*(YEAR($B$54)-YEAR($B$53))+MONTH($B$54)-MONTH($B$53))))*(1+IF(MONTH(W$3)=1,'Вводные'!$B$67,IF(AND(MONTH(W$3)&gt;=5,MONTH(W$3)&lt;=8),'Вводные'!$B$70,0))),0)</x:f>
      </x:c>
      <x:c r="X56" t="n">
        <x:f>IF(AND(X$3&gt;=$B$53,X$3&lt;EDATE($B$53,MAX(1,'Вводные'!$H$90)),'Вводные'!$B$90="Да"),(1+'Вводные'!$AD$90*'Вводные'!$H$7*MIN(1,(12*(YEAR(X$3)-YEAR($B$53))+MONTH(X$3)-MONTH($B$53))/MAX(1,12*(YEAR($B$54)-YEAR($B$53))+MONTH($B$54)-MONTH($B$53))))*(1+IF(MONTH(X$3)=1,'Вводные'!$B$67,IF(AND(MONTH(X$3)&gt;=5,MONTH(X$3)&lt;=8),'Вводные'!$B$70,0))),0)</x:f>
      </x:c>
      <x:c r="Y56" t="n">
        <x:f>IF(AND(Y$3&gt;=$B$53,Y$3&lt;EDATE($B$53,MAX(1,'Вводные'!$H$90)),'Вводные'!$B$90="Да"),(1+'Вводные'!$AD$90*'Вводные'!$H$7*MIN(1,(12*(YEAR(Y$3)-YEAR($B$53))+MONTH(Y$3)-MONTH($B$53))/MAX(1,12*(YEAR($B$54)-YEAR($B$53))+MONTH($B$54)-MONTH($B$53))))*(1+IF(MONTH(Y$3)=1,'Вводные'!$B$67,IF(AND(MONTH(Y$3)&gt;=5,MONTH(Y$3)&lt;=8),'Вводные'!$B$70,0))),0)</x:f>
      </x:c>
      <x:c r="Z56" t="n">
        <x:f>IF(AND(Z$3&gt;=$B$53,Z$3&lt;EDATE($B$53,MAX(1,'Вводные'!$H$90)),'Вводные'!$B$90="Да"),(1+'Вводные'!$AD$90*'Вводные'!$H$7*MIN(1,(12*(YEAR(Z$3)-YEAR($B$53))+MONTH(Z$3)-MONTH($B$53))/MAX(1,12*(YEAR($B$54)-YEAR($B$53))+MONTH($B$54)-MONTH($B$53))))*(1+IF(MONTH(Z$3)=1,'Вводные'!$B$67,IF(AND(MONTH(Z$3)&gt;=5,MONTH(Z$3)&lt;=8),'Вводные'!$B$70,0))),0)</x:f>
      </x:c>
      <x:c r="AA56" t="n">
        <x:f>IF(AND(AA$3&gt;=$B$53,AA$3&lt;EDATE($B$53,MAX(1,'Вводные'!$H$90)),'Вводные'!$B$90="Да"),(1+'Вводные'!$AD$90*'Вводные'!$H$7*MIN(1,(12*(YEAR(AA$3)-YEAR($B$53))+MONTH(AA$3)-MONTH($B$53))/MAX(1,12*(YEAR($B$54)-YEAR($B$53))+MONTH($B$54)-MONTH($B$53))))*(1+IF(MONTH(AA$3)=1,'Вводные'!$B$67,IF(AND(MONTH(AA$3)&gt;=5,MONTH(AA$3)&lt;=8),'Вводные'!$B$70,0))),0)</x:f>
      </x:c>
      <x:c r="AB56" t="n">
        <x:f>IF(AND(AB$3&gt;=$B$53,AB$3&lt;EDATE($B$53,MAX(1,'Вводные'!$H$90)),'Вводные'!$B$90="Да"),(1+'Вводные'!$AD$90*'Вводные'!$H$7*MIN(1,(12*(YEAR(AB$3)-YEAR($B$53))+MONTH(AB$3)-MONTH($B$53))/MAX(1,12*(YEAR($B$54)-YEAR($B$53))+MONTH($B$54)-MONTH($B$53))))*(1+IF(MONTH(AB$3)=1,'Вводные'!$B$67,IF(AND(MONTH(AB$3)&gt;=5,MONTH(AB$3)&lt;=8),'Вводные'!$B$70,0))),0)</x:f>
      </x:c>
      <x:c r="AC56" t="n">
        <x:f>IF(AND(AC$3&gt;=$B$53,AC$3&lt;EDATE($B$53,MAX(1,'Вводные'!$H$90)),'Вводные'!$B$90="Да"),(1+'Вводные'!$AD$90*'Вводные'!$H$7*MIN(1,(12*(YEAR(AC$3)-YEAR($B$53))+MONTH(AC$3)-MONTH($B$53))/MAX(1,12*(YEAR($B$54)-YEAR($B$53))+MONTH($B$54)-MONTH($B$53))))*(1+IF(MONTH(AC$3)=1,'Вводные'!$B$67,IF(AND(MONTH(AC$3)&gt;=5,MONTH(AC$3)&lt;=8),'Вводные'!$B$70,0))),0)</x:f>
      </x:c>
      <x:c r="AD56" t="n">
        <x:f>IF(AND(AD$3&gt;=$B$53,AD$3&lt;EDATE($B$53,MAX(1,'Вводные'!$H$90)),'Вводные'!$B$90="Да"),(1+'Вводные'!$AD$90*'Вводные'!$H$7*MIN(1,(12*(YEAR(AD$3)-YEAR($B$53))+MONTH(AD$3)-MONTH($B$53))/MAX(1,12*(YEAR($B$54)-YEAR($B$53))+MONTH($B$54)-MONTH($B$53))))*(1+IF(MONTH(AD$3)=1,'Вводные'!$B$67,IF(AND(MONTH(AD$3)&gt;=5,MONTH(AD$3)&lt;=8),'Вводные'!$B$70,0))),0)</x:f>
      </x:c>
      <x:c r="AE56" t="n">
        <x:f>IF(AND(AE$3&gt;=$B$53,AE$3&lt;EDATE($B$53,MAX(1,'Вводные'!$H$90)),'Вводные'!$B$90="Да"),(1+'Вводные'!$AD$90*'Вводные'!$H$7*MIN(1,(12*(YEAR(AE$3)-YEAR($B$53))+MONTH(AE$3)-MONTH($B$53))/MAX(1,12*(YEAR($B$54)-YEAR($B$53))+MONTH($B$54)-MONTH($B$53))))*(1+IF(MONTH(AE$3)=1,'Вводные'!$B$67,IF(AND(MONTH(AE$3)&gt;=5,MONTH(AE$3)&lt;=8),'Вводные'!$B$70,0))),0)</x:f>
      </x:c>
      <x:c r="AF56" t="n">
        <x:f>IF(AND(AF$3&gt;=$B$53,AF$3&lt;EDATE($B$53,MAX(1,'Вводные'!$H$90)),'Вводные'!$B$90="Да"),(1+'Вводные'!$AD$90*'Вводные'!$H$7*MIN(1,(12*(YEAR(AF$3)-YEAR($B$53))+MONTH(AF$3)-MONTH($B$53))/MAX(1,12*(YEAR($B$54)-YEAR($B$53))+MONTH($B$54)-MONTH($B$53))))*(1+IF(MONTH(AF$3)=1,'Вводные'!$B$67,IF(AND(MONTH(AF$3)&gt;=5,MONTH(AF$3)&lt;=8),'Вводные'!$B$70,0))),0)</x:f>
      </x:c>
      <x:c r="AG56" t="n">
        <x:f>IF(AND(AG$3&gt;=$B$53,AG$3&lt;EDATE($B$53,MAX(1,'Вводные'!$H$90)),'Вводные'!$B$90="Да"),(1+'Вводные'!$AD$90*'Вводные'!$H$7*MIN(1,(12*(YEAR(AG$3)-YEAR($B$53))+MONTH(AG$3)-MONTH($B$53))/MAX(1,12*(YEAR($B$54)-YEAR($B$53))+MONTH($B$54)-MONTH($B$53))))*(1+IF(MONTH(AG$3)=1,'Вводные'!$B$67,IF(AND(MONTH(AG$3)&gt;=5,MONTH(AG$3)&lt;=8),'Вводные'!$B$70,0))),0)</x:f>
      </x:c>
      <x:c r="AH56" t="n">
        <x:f>IF(AND(AH$3&gt;=$B$53,AH$3&lt;EDATE($B$53,MAX(1,'Вводные'!$H$90)),'Вводные'!$B$90="Да"),(1+'Вводные'!$AD$90*'Вводные'!$H$7*MIN(1,(12*(YEAR(AH$3)-YEAR($B$53))+MONTH(AH$3)-MONTH($B$53))/MAX(1,12*(YEAR($B$54)-YEAR($B$53))+MONTH($B$54)-MONTH($B$53))))*(1+IF(MONTH(AH$3)=1,'Вводные'!$B$67,IF(AND(MONTH(AH$3)&gt;=5,MONTH(AH$3)&lt;=8),'Вводные'!$B$70,0))),0)</x:f>
      </x:c>
      <x:c r="AI56" t="n">
        <x:f>IF(AND(AI$3&gt;=$B$53,AI$3&lt;EDATE($B$53,MAX(1,'Вводные'!$H$90)),'Вводные'!$B$90="Да"),(1+'Вводные'!$AD$90*'Вводные'!$H$7*MIN(1,(12*(YEAR(AI$3)-YEAR($B$53))+MONTH(AI$3)-MONTH($B$53))/MAX(1,12*(YEAR($B$54)-YEAR($B$53))+MONTH($B$54)-MONTH($B$53))))*(1+IF(MONTH(AI$3)=1,'Вводные'!$B$67,IF(AND(MONTH(AI$3)&gt;=5,MONTH(AI$3)&lt;=8),'Вводные'!$B$70,0))),0)</x:f>
      </x:c>
      <x:c r="AJ56" t="n">
        <x:f>IF(AND(AJ$3&gt;=$B$53,AJ$3&lt;EDATE($B$53,MAX(1,'Вводные'!$H$90)),'Вводные'!$B$90="Да"),(1+'Вводные'!$AD$90*'Вводные'!$H$7*MIN(1,(12*(YEAR(AJ$3)-YEAR($B$53))+MONTH(AJ$3)-MONTH($B$53))/MAX(1,12*(YEAR($B$54)-YEAR($B$53))+MONTH($B$54)-MONTH($B$53))))*(1+IF(MONTH(AJ$3)=1,'Вводные'!$B$67,IF(AND(MONTH(AJ$3)&gt;=5,MONTH(AJ$3)&lt;=8),'Вводные'!$B$70,0))),0)</x:f>
      </x:c>
      <x:c r="AK56" t="n">
        <x:f>IF(AND(AK$3&gt;=$B$53,AK$3&lt;EDATE($B$53,MAX(1,'Вводные'!$H$90)),'Вводные'!$B$90="Да"),(1+'Вводные'!$AD$90*'Вводные'!$H$7*MIN(1,(12*(YEAR(AK$3)-YEAR($B$53))+MONTH(AK$3)-MONTH($B$53))/MAX(1,12*(YEAR($B$54)-YEAR($B$53))+MONTH($B$54)-MONTH($B$53))))*(1+IF(MONTH(AK$3)=1,'Вводные'!$B$67,IF(AND(MONTH(AK$3)&gt;=5,MONTH(AK$3)&lt;=8),'Вводные'!$B$70,0))),0)</x:f>
      </x:c>
      <x:c r="AL56" t="n">
        <x:f>IF(AND(AL$3&gt;=$B$53,AL$3&lt;EDATE($B$53,MAX(1,'Вводные'!$H$90)),'Вводные'!$B$90="Да"),(1+'Вводные'!$AD$90*'Вводные'!$H$7*MIN(1,(12*(YEAR(AL$3)-YEAR($B$53))+MONTH(AL$3)-MONTH($B$53))/MAX(1,12*(YEAR($B$54)-YEAR($B$53))+MONTH($B$54)-MONTH($B$53))))*(1+IF(MONTH(AL$3)=1,'Вводные'!$B$67,IF(AND(MONTH(AL$3)&gt;=5,MONTH(AL$3)&lt;=8),'Вводные'!$B$70,0))),0)</x:f>
      </x:c>
      <x:c r="AM56" t="n">
        <x:f>IF(AND(AM$3&gt;=$B$53,AM$3&lt;EDATE($B$53,MAX(1,'Вводные'!$H$90)),'Вводные'!$B$90="Да"),(1+'Вводные'!$AD$90*'Вводные'!$H$7*MIN(1,(12*(YEAR(AM$3)-YEAR($B$53))+MONTH(AM$3)-MONTH($B$53))/MAX(1,12*(YEAR($B$54)-YEAR($B$53))+MONTH($B$54)-MONTH($B$53))))*(1+IF(MONTH(AM$3)=1,'Вводные'!$B$67,IF(AND(MONTH(AM$3)&gt;=5,MONTH(AM$3)&lt;=8),'Вводные'!$B$70,0))),0)</x:f>
      </x:c>
      <x:c r="AN56" t="n">
        <x:f>IF(AND(AN$3&gt;=$B$53,AN$3&lt;EDATE($B$53,MAX(1,'Вводные'!$H$90)),'Вводные'!$B$90="Да"),(1+'Вводные'!$AD$90*'Вводные'!$H$7*MIN(1,(12*(YEAR(AN$3)-YEAR($B$53))+MONTH(AN$3)-MONTH($B$53))/MAX(1,12*(YEAR($B$54)-YEAR($B$53))+MONTH($B$54)-MONTH($B$53))))*(1+IF(MONTH(AN$3)=1,'Вводные'!$B$67,IF(AND(MONTH(AN$3)&gt;=5,MONTH(AN$3)&lt;=8),'Вводные'!$B$70,0))),0)</x:f>
      </x:c>
      <x:c r="AO56" t="n">
        <x:f>IF(AND(AO$3&gt;=$B$53,AO$3&lt;EDATE($B$53,MAX(1,'Вводные'!$H$90)),'Вводные'!$B$90="Да"),(1+'Вводные'!$AD$90*'Вводные'!$H$7*MIN(1,(12*(YEAR(AO$3)-YEAR($B$53))+MONTH(AO$3)-MONTH($B$53))/MAX(1,12*(YEAR($B$54)-YEAR($B$53))+MONTH($B$54)-MONTH($B$53))))*(1+IF(MONTH(AO$3)=1,'Вводные'!$B$67,IF(AND(MONTH(AO$3)&gt;=5,MONTH(AO$3)&lt;=8),'Вводные'!$B$70,0))),0)</x:f>
      </x:c>
      <x:c r="AP56" t="n">
        <x:f>IF(AND(AP$3&gt;=$B$53,AP$3&lt;EDATE($B$53,MAX(1,'Вводные'!$H$90)),'Вводные'!$B$90="Да"),(1+'Вводные'!$AD$90*'Вводные'!$H$7*MIN(1,(12*(YEAR(AP$3)-YEAR($B$53))+MONTH(AP$3)-MONTH($B$53))/MAX(1,12*(YEAR($B$54)-YEAR($B$53))+MONTH($B$54)-MONTH($B$53))))*(1+IF(MONTH(AP$3)=1,'Вводные'!$B$67,IF(AND(MONTH(AP$3)&gt;=5,MONTH(AP$3)&lt;=8),'Вводные'!$B$70,0))),0)</x:f>
      </x:c>
      <x:c r="AQ56" t="n">
        <x:f>IF(AND(AQ$3&gt;=$B$53,AQ$3&lt;EDATE($B$53,MAX(1,'Вводные'!$H$90)),'Вводные'!$B$90="Да"),(1+'Вводные'!$AD$90*'Вводные'!$H$7*MIN(1,(12*(YEAR(AQ$3)-YEAR($B$53))+MONTH(AQ$3)-MONTH($B$53))/MAX(1,12*(YEAR($B$54)-YEAR($B$53))+MONTH($B$54)-MONTH($B$53))))*(1+IF(MONTH(AQ$3)=1,'Вводные'!$B$67,IF(AND(MONTH(AQ$3)&gt;=5,MONTH(AQ$3)&lt;=8),'Вводные'!$B$70,0))),0)</x:f>
      </x:c>
      <x:c r="AR56" t="n">
        <x:f>IF(AND(AR$3&gt;=$B$53,AR$3&lt;EDATE($B$53,MAX(1,'Вводные'!$H$90)),'Вводные'!$B$90="Да"),(1+'Вводные'!$AD$90*'Вводные'!$H$7*MIN(1,(12*(YEAR(AR$3)-YEAR($B$53))+MONTH(AR$3)-MONTH($B$53))/MAX(1,12*(YEAR($B$54)-YEAR($B$53))+MONTH($B$54)-MONTH($B$53))))*(1+IF(MONTH(AR$3)=1,'Вводные'!$B$67,IF(AND(MONTH(AR$3)&gt;=5,MONTH(AR$3)&lt;=8),'Вводные'!$B$70,0))),0)</x:f>
      </x:c>
      <x:c r="AS56" t="n">
        <x:f>IF(AND(AS$3&gt;=$B$53,AS$3&lt;EDATE($B$53,MAX(1,'Вводные'!$H$90)),'Вводные'!$B$90="Да"),(1+'Вводные'!$AD$90*'Вводные'!$H$7*MIN(1,(12*(YEAR(AS$3)-YEAR($B$53))+MONTH(AS$3)-MONTH($B$53))/MAX(1,12*(YEAR($B$54)-YEAR($B$53))+MONTH($B$54)-MONTH($B$53))))*(1+IF(MONTH(AS$3)=1,'Вводные'!$B$67,IF(AND(MONTH(AS$3)&gt;=5,MONTH(AS$3)&lt;=8),'Вводные'!$B$70,0))),0)</x:f>
      </x:c>
      <x:c r="AT56" t="n">
        <x:f>IF(AND(AT$3&gt;=$B$53,AT$3&lt;EDATE($B$53,MAX(1,'Вводные'!$H$90)),'Вводные'!$B$90="Да"),(1+'Вводные'!$AD$90*'Вводные'!$H$7*MIN(1,(12*(YEAR(AT$3)-YEAR($B$53))+MONTH(AT$3)-MONTH($B$53))/MAX(1,12*(YEAR($B$54)-YEAR($B$53))+MONTH($B$54)-MONTH($B$53))))*(1+IF(MONTH(AT$3)=1,'Вводные'!$B$67,IF(AND(MONTH(AT$3)&gt;=5,MONTH(AT$3)&lt;=8),'Вводные'!$B$70,0))),0)</x:f>
      </x:c>
      <x:c r="AU56" t="n">
        <x:f>IF(AND(AU$3&gt;=$B$53,AU$3&lt;EDATE($B$53,MAX(1,'Вводные'!$H$90)),'Вводные'!$B$90="Да"),(1+'Вводные'!$AD$90*'Вводные'!$H$7*MIN(1,(12*(YEAR(AU$3)-YEAR($B$53))+MONTH(AU$3)-MONTH($B$53))/MAX(1,12*(YEAR($B$54)-YEAR($B$53))+MONTH($B$54)-MONTH($B$53))))*(1+IF(MONTH(AU$3)=1,'Вводные'!$B$67,IF(AND(MONTH(AU$3)&gt;=5,MONTH(AU$3)&lt;=8),'Вводные'!$B$70,0))),0)</x:f>
      </x:c>
      <x:c r="AV56" t="n">
        <x:f>IF(AND(AV$3&gt;=$B$53,AV$3&lt;EDATE($B$53,MAX(1,'Вводные'!$H$90)),'Вводные'!$B$90="Да"),(1+'Вводные'!$AD$90*'Вводные'!$H$7*MIN(1,(12*(YEAR(AV$3)-YEAR($B$53))+MONTH(AV$3)-MONTH($B$53))/MAX(1,12*(YEAR($B$54)-YEAR($B$53))+MONTH($B$54)-MONTH($B$53))))*(1+IF(MONTH(AV$3)=1,'Вводные'!$B$67,IF(AND(MONTH(AV$3)&gt;=5,MONTH(AV$3)&lt;=8),'Вводные'!$B$70,0))),0)</x:f>
      </x:c>
      <x:c r="AW56" t="n">
        <x:f>IF(AND(AW$3&gt;=$B$53,AW$3&lt;EDATE($B$53,MAX(1,'Вводные'!$H$90)),'Вводные'!$B$90="Да"),(1+'Вводные'!$AD$90*'Вводные'!$H$7*MIN(1,(12*(YEAR(AW$3)-YEAR($B$53))+MONTH(AW$3)-MONTH($B$53))/MAX(1,12*(YEAR($B$54)-YEAR($B$53))+MONTH($B$54)-MONTH($B$53))))*(1+IF(MONTH(AW$3)=1,'Вводные'!$B$67,IF(AND(MONTH(AW$3)&gt;=5,MONTH(AW$3)&lt;=8),'Вводные'!$B$70,0))),0)</x:f>
      </x:c>
      <x:c r="AX56" t="n">
        <x:f>IF(AND(AX$3&gt;=$B$53,AX$3&lt;EDATE($B$53,MAX(1,'Вводные'!$H$90)),'Вводные'!$B$90="Да"),(1+'Вводные'!$AD$90*'Вводные'!$H$7*MIN(1,(12*(YEAR(AX$3)-YEAR($B$53))+MONTH(AX$3)-MONTH($B$53))/MAX(1,12*(YEAR($B$54)-YEAR($B$53))+MONTH($B$54)-MONTH($B$53))))*(1+IF(MONTH(AX$3)=1,'Вводные'!$B$67,IF(AND(MONTH(AX$3)&gt;=5,MONTH(AX$3)&lt;=8),'Вводные'!$B$70,0))),0)</x:f>
      </x:c>
      <x:c r="AY56" t="n">
        <x:f>IF(AND(AY$3&gt;=$B$53,AY$3&lt;EDATE($B$53,MAX(1,'Вводные'!$H$90)),'Вводные'!$B$90="Да"),(1+'Вводные'!$AD$90*'Вводные'!$H$7*MIN(1,(12*(YEAR(AY$3)-YEAR($B$53))+MONTH(AY$3)-MONTH($B$53))/MAX(1,12*(YEAR($B$54)-YEAR($B$53))+MONTH($B$54)-MONTH($B$53))))*(1+IF(MONTH(AY$3)=1,'Вводные'!$B$67,IF(AND(MONTH(AY$3)&gt;=5,MONTH(AY$3)&lt;=8),'Вводные'!$B$70,0))),0)</x:f>
      </x:c>
      <x:c r="AZ56" t="n">
        <x:f>IF(AND(AZ$3&gt;=$B$53,AZ$3&lt;EDATE($B$53,MAX(1,'Вводные'!$H$90)),'Вводные'!$B$90="Да"),(1+'Вводные'!$AD$90*'Вводные'!$H$7*MIN(1,(12*(YEAR(AZ$3)-YEAR($B$53))+MONTH(AZ$3)-MONTH($B$53))/MAX(1,12*(YEAR($B$54)-YEAR($B$53))+MONTH($B$54)-MONTH($B$53))))*(1+IF(MONTH(AZ$3)=1,'Вводные'!$B$67,IF(AND(MONTH(AZ$3)&gt;=5,MONTH(AZ$3)&lt;=8),'Вводные'!$B$70,0))),0)</x:f>
      </x:c>
      <x:c r="BA56" t="n">
        <x:f>IF(AND(BA$3&gt;=$B$53,BA$3&lt;EDATE($B$53,MAX(1,'Вводные'!$H$90)),'Вводные'!$B$90="Да"),(1+'Вводные'!$AD$90*'Вводные'!$H$7*MIN(1,(12*(YEAR(BA$3)-YEAR($B$53))+MONTH(BA$3)-MONTH($B$53))/MAX(1,12*(YEAR($B$54)-YEAR($B$53))+MONTH($B$54)-MONTH($B$53))))*(1+IF(MONTH(BA$3)=1,'Вводные'!$B$67,IF(AND(MONTH(BA$3)&gt;=5,MONTH(BA$3)&lt;=8),'Вводные'!$B$70,0))),0)</x:f>
      </x:c>
      <x:c r="BB56" t="n">
        <x:f>IF(AND(BB$3&gt;=$B$53,BB$3&lt;EDATE($B$53,MAX(1,'Вводные'!$H$90)),'Вводные'!$B$90="Да"),(1+'Вводные'!$AD$90*'Вводные'!$H$7*MIN(1,(12*(YEAR(BB$3)-YEAR($B$53))+MONTH(BB$3)-MONTH($B$53))/MAX(1,12*(YEAR($B$54)-YEAR($B$53))+MONTH($B$54)-MONTH($B$53))))*(1+IF(MONTH(BB$3)=1,'Вводные'!$B$67,IF(AND(MONTH(BB$3)&gt;=5,MONTH(BB$3)&lt;=8),'Вводные'!$B$70,0))),0)</x:f>
      </x:c>
      <x:c r="BC56" t="n">
        <x:f>IF(AND(BC$3&gt;=$B$53,BC$3&lt;EDATE($B$53,MAX(1,'Вводные'!$H$90)),'Вводные'!$B$90="Да"),(1+'Вводные'!$AD$90*'Вводные'!$H$7*MIN(1,(12*(YEAR(BC$3)-YEAR($B$53))+MONTH(BC$3)-MONTH($B$53))/MAX(1,12*(YEAR($B$54)-YEAR($B$53))+MONTH($B$54)-MONTH($B$53))))*(1+IF(MONTH(BC$3)=1,'Вводные'!$B$67,IF(AND(MONTH(BC$3)&gt;=5,MONTH(BC$3)&lt;=8),'Вводные'!$B$70,0))),0)</x:f>
      </x:c>
      <x:c r="BD56" t="n">
        <x:f>IF(AND(BD$3&gt;=$B$53,BD$3&lt;EDATE($B$53,MAX(1,'Вводные'!$H$90)),'Вводные'!$B$90="Да"),(1+'Вводные'!$AD$90*'Вводные'!$H$7*MIN(1,(12*(YEAR(BD$3)-YEAR($B$53))+MONTH(BD$3)-MONTH($B$53))/MAX(1,12*(YEAR($B$54)-YEAR($B$53))+MONTH($B$54)-MONTH($B$53))))*(1+IF(MONTH(BD$3)=1,'Вводные'!$B$67,IF(AND(MONTH(BD$3)&gt;=5,MONTH(BD$3)&lt;=8),'Вводные'!$B$70,0))),0)</x:f>
      </x:c>
      <x:c r="BE56" t="n">
        <x:f>IF(AND(BE$3&gt;=$B$53,BE$3&lt;EDATE($B$53,MAX(1,'Вводные'!$H$90)),'Вводные'!$B$90="Да"),(1+'Вводные'!$AD$90*'Вводные'!$H$7*MIN(1,(12*(YEAR(BE$3)-YEAR($B$53))+MONTH(BE$3)-MONTH($B$53))/MAX(1,12*(YEAR($B$54)-YEAR($B$53))+MONTH($B$54)-MONTH($B$53))))*(1+IF(MONTH(BE$3)=1,'Вводные'!$B$67,IF(AND(MONTH(BE$3)&gt;=5,MONTH(BE$3)&lt;=8),'Вводные'!$B$70,0))),0)</x:f>
      </x:c>
      <x:c r="BF56" t="n">
        <x:f>IF(AND(BF$3&gt;=$B$53,BF$3&lt;EDATE($B$53,MAX(1,'Вводные'!$H$90)),'Вводные'!$B$90="Да"),(1+'Вводные'!$AD$90*'Вводные'!$H$7*MIN(1,(12*(YEAR(BF$3)-YEAR($B$53))+MONTH(BF$3)-MONTH($B$53))/MAX(1,12*(YEAR($B$54)-YEAR($B$53))+MONTH($B$54)-MONTH($B$53))))*(1+IF(MONTH(BF$3)=1,'Вводные'!$B$67,IF(AND(MONTH(BF$3)&gt;=5,MONTH(BF$3)&lt;=8),'Вводные'!$B$70,0))),0)</x:f>
      </x:c>
      <x:c r="BG56" t="n">
        <x:f>IF(AND(BG$3&gt;=$B$53,BG$3&lt;EDATE($B$53,MAX(1,'Вводные'!$H$90)),'Вводные'!$B$90="Да"),(1+'Вводные'!$AD$90*'Вводные'!$H$7*MIN(1,(12*(YEAR(BG$3)-YEAR($B$53))+MONTH(BG$3)-MONTH($B$53))/MAX(1,12*(YEAR($B$54)-YEAR($B$53))+MONTH($B$54)-MONTH($B$53))))*(1+IF(MONTH(BG$3)=1,'Вводные'!$B$67,IF(AND(MONTH(BG$3)&gt;=5,MONTH(BG$3)&lt;=8),'Вводные'!$B$70,0))),0)</x:f>
      </x:c>
      <x:c r="BH56" t="n">
        <x:f>IF(AND(BH$3&gt;=$B$53,BH$3&lt;EDATE($B$53,MAX(1,'Вводные'!$H$90)),'Вводные'!$B$90="Да"),(1+'Вводные'!$AD$90*'Вводные'!$H$7*MIN(1,(12*(YEAR(BH$3)-YEAR($B$53))+MONTH(BH$3)-MONTH($B$53))/MAX(1,12*(YEAR($B$54)-YEAR($B$53))+MONTH($B$54)-MONTH($B$53))))*(1+IF(MONTH(BH$3)=1,'Вводные'!$B$67,IF(AND(MONTH(BH$3)&gt;=5,MONTH(BH$3)&lt;=8),'Вводные'!$B$70,0))),0)</x:f>
      </x:c>
      <x:c r="BI56" t="n">
        <x:f>IF(AND(BI$3&gt;=$B$53,BI$3&lt;EDATE($B$53,MAX(1,'Вводные'!$H$90)),'Вводные'!$B$90="Да"),(1+'Вводные'!$AD$90*'Вводные'!$H$7*MIN(1,(12*(YEAR(BI$3)-YEAR($B$53))+MONTH(BI$3)-MONTH($B$53))/MAX(1,12*(YEAR($B$54)-YEAR($B$53))+MONTH($B$54)-MONTH($B$53))))*(1+IF(MONTH(BI$3)=1,'Вводные'!$B$67,IF(AND(MONTH(BI$3)&gt;=5,MONTH(BI$3)&lt;=8),'Вводные'!$B$70,0))),0)</x:f>
      </x:c>
      <x:c r="BJ56" t="n">
        <x:f>IF(AND(BJ$3&gt;=$B$53,BJ$3&lt;EDATE($B$53,MAX(1,'Вводные'!$H$90)),'Вводные'!$B$90="Да"),(1+'Вводные'!$AD$90*'Вводные'!$H$7*MIN(1,(12*(YEAR(BJ$3)-YEAR($B$53))+MONTH(BJ$3)-MONTH($B$53))/MAX(1,12*(YEAR($B$54)-YEAR($B$53))+MONTH($B$54)-MONTH($B$53))))*(1+IF(MONTH(BJ$3)=1,'Вводные'!$B$67,IF(AND(MONTH(BJ$3)&gt;=5,MONTH(BJ$3)&lt;=8),'Вводные'!$B$70,0))),0)</x:f>
      </x:c>
      <x:c r="BK56" t="n">
        <x:f>IF(AND(BK$3&gt;=$B$53,BK$3&lt;EDATE($B$53,MAX(1,'Вводные'!$H$90)),'Вводные'!$B$90="Да"),(1+'Вводные'!$AD$90*'Вводные'!$H$7*MIN(1,(12*(YEAR(BK$3)-YEAR($B$53))+MONTH(BK$3)-MONTH($B$53))/MAX(1,12*(YEAR($B$54)-YEAR($B$53))+MONTH($B$54)-MONTH($B$53))))*(1+IF(MONTH(BK$3)=1,'Вводные'!$B$67,IF(AND(MONTH(BK$3)&gt;=5,MONTH(BK$3)&lt;=8),'Вводные'!$B$70,0))),0)</x:f>
      </x:c>
      <x:c r="BL56" t="n">
        <x:f>IF(AND(BL$3&gt;=$B$53,BL$3&lt;EDATE($B$53,MAX(1,'Вводные'!$H$90)),'Вводные'!$B$90="Да"),(1+'Вводные'!$AD$90*'Вводные'!$H$7*MIN(1,(12*(YEAR(BL$3)-YEAR($B$53))+MONTH(BL$3)-MONTH($B$53))/MAX(1,12*(YEAR($B$54)-YEAR($B$53))+MONTH($B$54)-MONTH($B$53))))*(1+IF(MONTH(BL$3)=1,'Вводные'!$B$67,IF(AND(MONTH(BL$3)&gt;=5,MONTH(BL$3)&lt;=8),'Вводные'!$B$70,0))),0)</x:f>
      </x:c>
      <x:c r="BM56" t="n">
        <x:f>IF(AND(BM$3&gt;=$B$53,BM$3&lt;EDATE($B$53,MAX(1,'Вводные'!$H$90)),'Вводные'!$B$90="Да"),(1+'Вводные'!$AD$90*'Вводные'!$H$7*MIN(1,(12*(YEAR(BM$3)-YEAR($B$53))+MONTH(BM$3)-MONTH($B$53))/MAX(1,12*(YEAR($B$54)-YEAR($B$53))+MONTH($B$54)-MONTH($B$53))))*(1+IF(MONTH(BM$3)=1,'Вводные'!$B$67,IF(AND(MONTH(BM$3)&gt;=5,MONTH(BM$3)&lt;=8),'Вводные'!$B$70,0))),0)</x:f>
      </x:c>
      <x:c r="BN56" t="n">
        <x:f>IF(AND(BN$3&gt;=$B$53,BN$3&lt;EDATE($B$53,MAX(1,'Вводные'!$H$90)),'Вводные'!$B$90="Да"),(1+'Вводные'!$AD$90*'Вводные'!$H$7*MIN(1,(12*(YEAR(BN$3)-YEAR($B$53))+MONTH(BN$3)-MONTH($B$53))/MAX(1,12*(YEAR($B$54)-YEAR($B$53))+MONTH($B$54)-MONTH($B$53))))*(1+IF(MONTH(BN$3)=1,'Вводные'!$B$67,IF(AND(MONTH(BN$3)&gt;=5,MONTH(BN$3)&lt;=8),'Вводные'!$B$70,0))),0)</x:f>
      </x:c>
      <x:c r="BO56" t="n">
        <x:f>IF(AND(BO$3&gt;=$B$53,BO$3&lt;EDATE($B$53,MAX(1,'Вводные'!$H$90)),'Вводные'!$B$90="Да"),(1+'Вводные'!$AD$90*'Вводные'!$H$7*MIN(1,(12*(YEAR(BO$3)-YEAR($B$53))+MONTH(BO$3)-MONTH($B$53))/MAX(1,12*(YEAR($B$54)-YEAR($B$53))+MONTH($B$54)-MONTH($B$53))))*(1+IF(MONTH(BO$3)=1,'Вводные'!$B$67,IF(AND(MONTH(BO$3)&gt;=5,MONTH(BO$3)&lt;=8),'Вводные'!$B$70,0))),0)</x:f>
      </x:c>
      <x:c r="BP56" t="n">
        <x:f>IF(AND(BP$3&gt;=$B$53,BP$3&lt;EDATE($B$53,MAX(1,'Вводные'!$H$90)),'Вводные'!$B$90="Да"),(1+'Вводные'!$AD$90*'Вводные'!$H$7*MIN(1,(12*(YEAR(BP$3)-YEAR($B$53))+MONTH(BP$3)-MONTH($B$53))/MAX(1,12*(YEAR($B$54)-YEAR($B$53))+MONTH($B$54)-MONTH($B$53))))*(1+IF(MONTH(BP$3)=1,'Вводные'!$B$67,IF(AND(MONTH(BP$3)&gt;=5,MONTH(BP$3)&lt;=8),'Вводные'!$B$70,0))),0)</x:f>
      </x:c>
      <x:c r="BQ56" t="n">
        <x:f>IF(AND(BQ$3&gt;=$B$53,BQ$3&lt;EDATE($B$53,MAX(1,'Вводные'!$H$90)),'Вводные'!$B$90="Да"),(1+'Вводные'!$AD$90*'Вводные'!$H$7*MIN(1,(12*(YEAR(BQ$3)-YEAR($B$53))+MONTH(BQ$3)-MONTH($B$53))/MAX(1,12*(YEAR($B$54)-YEAR($B$53))+MONTH($B$54)-MONTH($B$53))))*(1+IF(MONTH(BQ$3)=1,'Вводные'!$B$67,IF(AND(MONTH(BQ$3)&gt;=5,MONTH(BQ$3)&lt;=8),'Вводные'!$B$70,0))),0)</x:f>
      </x:c>
      <x:c r="BR56" t="n">
        <x:f>IF(AND(BR$3&gt;=$B$53,BR$3&lt;EDATE($B$53,MAX(1,'Вводные'!$H$90)),'Вводные'!$B$90="Да"),(1+'Вводные'!$AD$90*'Вводные'!$H$7*MIN(1,(12*(YEAR(BR$3)-YEAR($B$53))+MONTH(BR$3)-MONTH($B$53))/MAX(1,12*(YEAR($B$54)-YEAR($B$53))+MONTH($B$54)-MONTH($B$53))))*(1+IF(MONTH(BR$3)=1,'Вводные'!$B$67,IF(AND(MONTH(BR$3)&gt;=5,MONTH(BR$3)&lt;=8),'Вводные'!$B$70,0))),0)</x:f>
      </x:c>
      <x:c r="BS56" t="n">
        <x:f>IF(AND(BS$3&gt;=$B$53,BS$3&lt;EDATE($B$53,MAX(1,'Вводные'!$H$90)),'Вводные'!$B$90="Да"),(1+'Вводные'!$AD$90*'Вводные'!$H$7*MIN(1,(12*(YEAR(BS$3)-YEAR($B$53))+MONTH(BS$3)-MONTH($B$53))/MAX(1,12*(YEAR($B$54)-YEAR($B$53))+MONTH($B$54)-MONTH($B$53))))*(1+IF(MONTH(BS$3)=1,'Вводные'!$B$67,IF(AND(MONTH(BS$3)&gt;=5,MONTH(BS$3)&lt;=8),'Вводные'!$B$70,0))),0)</x:f>
      </x:c>
      <x:c r="BT56" t="n">
        <x:f>IF(AND(BT$3&gt;=$B$53,BT$3&lt;EDATE($B$53,MAX(1,'Вводные'!$H$90)),'Вводные'!$B$90="Да"),(1+'Вводные'!$AD$90*'Вводные'!$H$7*MIN(1,(12*(YEAR(BT$3)-YEAR($B$53))+MONTH(BT$3)-MONTH($B$53))/MAX(1,12*(YEAR($B$54)-YEAR($B$53))+MONTH($B$54)-MONTH($B$53))))*(1+IF(MONTH(BT$3)=1,'Вводные'!$B$67,IF(AND(MONTH(BT$3)&gt;=5,MONTH(BT$3)&lt;=8),'Вводные'!$B$70,0))),0)</x:f>
      </x:c>
      <x:c r="BU56" t="n">
        <x:f>IF(AND(BU$3&gt;=$B$53,BU$3&lt;EDATE($B$53,MAX(1,'Вводные'!$H$90)),'Вводные'!$B$90="Да"),(1+'Вводные'!$AD$90*'Вводные'!$H$7*MIN(1,(12*(YEAR(BU$3)-YEAR($B$53))+MONTH(BU$3)-MONTH($B$53))/MAX(1,12*(YEAR($B$54)-YEAR($B$53))+MONTH($B$54)-MONTH($B$53))))*(1+IF(MONTH(BU$3)=1,'Вводные'!$B$67,IF(AND(MONTH(BU$3)&gt;=5,MONTH(BU$3)&lt;=8),'Вводные'!$B$70,0))),0)</x:f>
      </x:c>
      <x:c r="BV56" t="n">
        <x:f>IF(AND(BV$3&gt;=$B$53,BV$3&lt;EDATE($B$53,MAX(1,'Вводные'!$H$90)),'Вводные'!$B$90="Да"),(1+'Вводные'!$AD$90*'Вводные'!$H$7*MIN(1,(12*(YEAR(BV$3)-YEAR($B$53))+MONTH(BV$3)-MONTH($B$53))/MAX(1,12*(YEAR($B$54)-YEAR($B$53))+MONTH($B$54)-MONTH($B$53))))*(1+IF(MONTH(BV$3)=1,'Вводные'!$B$67,IF(AND(MONTH(BV$3)&gt;=5,MONTH(BV$3)&lt;=8),'Вводные'!$B$70,0))),0)</x:f>
      </x:c>
      <x:c r="BW56" t="n">
        <x:f>IF(AND(BW$3&gt;=$B$53,BW$3&lt;EDATE($B$53,MAX(1,'Вводные'!$H$90)),'Вводные'!$B$90="Да"),(1+'Вводные'!$AD$90*'Вводные'!$H$7*MIN(1,(12*(YEAR(BW$3)-YEAR($B$53))+MONTH(BW$3)-MONTH($B$53))/MAX(1,12*(YEAR($B$54)-YEAR($B$53))+MONTH($B$54)-MONTH($B$53))))*(1+IF(MONTH(BW$3)=1,'Вводные'!$B$67,IF(AND(MONTH(BW$3)&gt;=5,MONTH(BW$3)&lt;=8),'Вводные'!$B$70,0))),0)</x:f>
      </x:c>
      <x:c r="BX56" t="n">
        <x:f>IF(AND(BX$3&gt;=$B$53,BX$3&lt;EDATE($B$53,MAX(1,'Вводные'!$H$90)),'Вводные'!$B$90="Да"),(1+'Вводные'!$AD$90*'Вводные'!$H$7*MIN(1,(12*(YEAR(BX$3)-YEAR($B$53))+MONTH(BX$3)-MONTH($B$53))/MAX(1,12*(YEAR($B$54)-YEAR($B$53))+MONTH($B$54)-MONTH($B$53))))*(1+IF(MONTH(BX$3)=1,'Вводные'!$B$67,IF(AND(MONTH(BX$3)&gt;=5,MONTH(BX$3)&lt;=8),'Вводные'!$B$70,0))),0)</x:f>
      </x:c>
      <x:c r="BY56" t="n">
        <x:f>IF(AND(BY$3&gt;=$B$53,BY$3&lt;EDATE($B$53,MAX(1,'Вводные'!$H$90)),'Вводные'!$B$90="Да"),(1+'Вводные'!$AD$90*'Вводные'!$H$7*MIN(1,(12*(YEAR(BY$3)-YEAR($B$53))+MONTH(BY$3)-MONTH($B$53))/MAX(1,12*(YEAR($B$54)-YEAR($B$53))+MONTH($B$54)-MONTH($B$53))))*(1+IF(MONTH(BY$3)=1,'Вводные'!$B$67,IF(AND(MONTH(BY$3)&gt;=5,MONTH(BY$3)&lt;=8),'Вводные'!$B$70,0))),0)</x:f>
      </x:c>
      <x:c r="BZ56" t="n">
        <x:f>IF(AND(BZ$3&gt;=$B$53,BZ$3&lt;EDATE($B$53,MAX(1,'Вводные'!$H$90)),'Вводные'!$B$90="Да"),(1+'Вводные'!$AD$90*'Вводные'!$H$7*MIN(1,(12*(YEAR(BZ$3)-YEAR($B$53))+MONTH(BZ$3)-MONTH($B$53))/MAX(1,12*(YEAR($B$54)-YEAR($B$53))+MONTH($B$54)-MONTH($B$53))))*(1+IF(MONTH(BZ$3)=1,'Вводные'!$B$67,IF(AND(MONTH(BZ$3)&gt;=5,MONTH(BZ$3)&lt;=8),'Вводные'!$B$70,0))),0)</x:f>
      </x:c>
      <x:c r="CA56" t="n">
        <x:f>IF(AND(CA$3&gt;=$B$53,CA$3&lt;EDATE($B$53,MAX(1,'Вводные'!$H$90)),'Вводные'!$B$90="Да"),(1+'Вводные'!$AD$90*'Вводные'!$H$7*MIN(1,(12*(YEAR(CA$3)-YEAR($B$53))+MONTH(CA$3)-MONTH($B$53))/MAX(1,12*(YEAR($B$54)-YEAR($B$53))+MONTH($B$54)-MONTH($B$53))))*(1+IF(MONTH(CA$3)=1,'Вводные'!$B$67,IF(AND(MONTH(CA$3)&gt;=5,MONTH(CA$3)&lt;=8),'Вводные'!$B$70,0))),0)</x:f>
      </x:c>
      <x:c r="CB56" t="n">
        <x:f>IF(AND(CB$3&gt;=$B$53,CB$3&lt;EDATE($B$53,MAX(1,'Вводные'!$H$90)),'Вводные'!$B$90="Да"),(1+'Вводные'!$AD$90*'Вводные'!$H$7*MIN(1,(12*(YEAR(CB$3)-YEAR($B$53))+MONTH(CB$3)-MONTH($B$53))/MAX(1,12*(YEAR($B$54)-YEAR($B$53))+MONTH($B$54)-MONTH($B$53))))*(1+IF(MONTH(CB$3)=1,'Вводные'!$B$67,IF(AND(MONTH(CB$3)&gt;=5,MONTH(CB$3)&lt;=8),'Вводные'!$B$70,0))),0)</x:f>
      </x:c>
      <x:c r="CC56" t="n">
        <x:f>IF(AND(CC$3&gt;=$B$53,CC$3&lt;EDATE($B$53,MAX(1,'Вводные'!$H$90)),'Вводные'!$B$90="Да"),(1+'Вводные'!$AD$90*'Вводные'!$H$7*MIN(1,(12*(YEAR(CC$3)-YEAR($B$53))+MONTH(CC$3)-MONTH($B$53))/MAX(1,12*(YEAR($B$54)-YEAR($B$53))+MONTH($B$54)-MONTH($B$53))))*(1+IF(MONTH(CC$3)=1,'Вводные'!$B$67,IF(AND(MONTH(CC$3)&gt;=5,MONTH(CC$3)&lt;=8),'Вводные'!$B$70,0))),0)</x:f>
      </x:c>
      <x:c r="CD56" t="n">
        <x:f>IF(AND(CD$3&gt;=$B$53,CD$3&lt;EDATE($B$53,MAX(1,'Вводные'!$H$90)),'Вводные'!$B$90="Да"),(1+'Вводные'!$AD$90*'Вводные'!$H$7*MIN(1,(12*(YEAR(CD$3)-YEAR($B$53))+MONTH(CD$3)-MONTH($B$53))/MAX(1,12*(YEAR($B$54)-YEAR($B$53))+MONTH($B$54)-MONTH($B$53))))*(1+IF(MONTH(CD$3)=1,'Вводные'!$B$67,IF(AND(MONTH(CD$3)&gt;=5,MONTH(CD$3)&lt;=8),'Вводные'!$B$70,0))),0)</x:f>
      </x:c>
      <x:c r="CE56" t="n">
        <x:f>IF(AND(CE$3&gt;=$B$53,CE$3&lt;EDATE($B$53,MAX(1,'Вводные'!$H$90)),'Вводные'!$B$90="Да"),(1+'Вводные'!$AD$90*'Вводные'!$H$7*MIN(1,(12*(YEAR(CE$3)-YEAR($B$53))+MONTH(CE$3)-MONTH($B$53))/MAX(1,12*(YEAR($B$54)-YEAR($B$53))+MONTH($B$54)-MONTH($B$53))))*(1+IF(MONTH(CE$3)=1,'Вводные'!$B$67,IF(AND(MONTH(CE$3)&gt;=5,MONTH(CE$3)&lt;=8),'Вводные'!$B$70,0))),0)</x:f>
      </x:c>
      <x:c r="CF56" t="n">
        <x:f>IF(AND(CF$3&gt;=$B$53,CF$3&lt;EDATE($B$53,MAX(1,'Вводные'!$H$90)),'Вводные'!$B$90="Да"),(1+'Вводные'!$AD$90*'Вводные'!$H$7*MIN(1,(12*(YEAR(CF$3)-YEAR($B$53))+MONTH(CF$3)-MONTH($B$53))/MAX(1,12*(YEAR($B$54)-YEAR($B$53))+MONTH($B$54)-MONTH($B$53))))*(1+IF(MONTH(CF$3)=1,'Вводные'!$B$67,IF(AND(MONTH(CF$3)&gt;=5,MONTH(CF$3)&lt;=8),'Вводные'!$B$70,0))),0)</x:f>
      </x:c>
      <x:c r="CG56" t="n">
        <x:f>IF(AND(CG$3&gt;=$B$53,CG$3&lt;EDATE($B$53,MAX(1,'Вводные'!$H$90)),'Вводные'!$B$90="Да"),(1+'Вводные'!$AD$90*'Вводные'!$H$7*MIN(1,(12*(YEAR(CG$3)-YEAR($B$53))+MONTH(CG$3)-MONTH($B$53))/MAX(1,12*(YEAR($B$54)-YEAR($B$53))+MONTH($B$54)-MONTH($B$53))))*(1+IF(MONTH(CG$3)=1,'Вводные'!$B$67,IF(AND(MONTH(CG$3)&gt;=5,MONTH(CG$3)&lt;=8),'Вводные'!$B$70,0))),0)</x:f>
      </x:c>
      <x:c r="CH56" t="n">
        <x:f>IF(AND(CH$3&gt;=$B$53,CH$3&lt;EDATE($B$53,MAX(1,'Вводные'!$H$90)),'Вводные'!$B$90="Да"),(1+'Вводные'!$AD$90*'Вводные'!$H$7*MIN(1,(12*(YEAR(CH$3)-YEAR($B$53))+MONTH(CH$3)-MONTH($B$53))/MAX(1,12*(YEAR($B$54)-YEAR($B$53))+MONTH($B$54)-MONTH($B$53))))*(1+IF(MONTH(CH$3)=1,'Вводные'!$B$67,IF(AND(MONTH(CH$3)&gt;=5,MONTH(CH$3)&lt;=8),'Вводные'!$B$70,0))),0)</x:f>
      </x:c>
      <x:c r="CI56" t="n">
        <x:f>IF(AND(CI$3&gt;=$B$53,CI$3&lt;EDATE($B$53,MAX(1,'Вводные'!$H$90)),'Вводные'!$B$90="Да"),(1+'Вводные'!$AD$90*'Вводные'!$H$7*MIN(1,(12*(YEAR(CI$3)-YEAR($B$53))+MONTH(CI$3)-MONTH($B$53))/MAX(1,12*(YEAR($B$54)-YEAR($B$53))+MONTH($B$54)-MONTH($B$53))))*(1+IF(MONTH(CI$3)=1,'Вводные'!$B$67,IF(AND(MONTH(CI$3)&gt;=5,MONTH(CI$3)&lt;=8),'Вводные'!$B$70,0))),0)</x:f>
      </x:c>
      <x:c r="CJ56" t="n">
        <x:f>IF(AND(CJ$3&gt;=$B$53,CJ$3&lt;EDATE($B$53,MAX(1,'Вводные'!$H$90)),'Вводные'!$B$90="Да"),(1+'Вводные'!$AD$90*'Вводные'!$H$7*MIN(1,(12*(YEAR(CJ$3)-YEAR($B$53))+MONTH(CJ$3)-MONTH($B$53))/MAX(1,12*(YEAR($B$54)-YEAR($B$53))+MONTH($B$54)-MONTH($B$53))))*(1+IF(MONTH(CJ$3)=1,'Вводные'!$B$67,IF(AND(MONTH(CJ$3)&gt;=5,MONTH(CJ$3)&lt;=8),'Вводные'!$B$70,0))),0)</x:f>
      </x:c>
      <x:c r="CK56" t="n">
        <x:f>IF(AND(CK$3&gt;=$B$53,CK$3&lt;EDATE($B$53,MAX(1,'Вводные'!$H$90)),'Вводные'!$B$90="Да"),(1+'Вводные'!$AD$90*'Вводные'!$H$7*MIN(1,(12*(YEAR(CK$3)-YEAR($B$53))+MONTH(CK$3)-MONTH($B$53))/MAX(1,12*(YEAR($B$54)-YEAR($B$53))+MONTH($B$54)-MONTH($B$53))))*(1+IF(MONTH(CK$3)=1,'Вводные'!$B$67,IF(AND(MONTH(CK$3)&gt;=5,MONTH(CK$3)&lt;=8),'Вводные'!$B$70,0))),0)</x:f>
      </x:c>
      <x:c r="CL56" t="n">
        <x:f>IF(AND(CL$3&gt;=$B$53,CL$3&lt;EDATE($B$53,MAX(1,'Вводные'!$H$90)),'Вводные'!$B$90="Да"),(1+'Вводные'!$AD$90*'Вводные'!$H$7*MIN(1,(12*(YEAR(CL$3)-YEAR($B$53))+MONTH(CL$3)-MONTH($B$53))/MAX(1,12*(YEAR($B$54)-YEAR($B$53))+MONTH($B$54)-MONTH($B$53))))*(1+IF(MONTH(CL$3)=1,'Вводные'!$B$67,IF(AND(MONTH(CL$3)&gt;=5,MONTH(CL$3)&lt;=8),'Вводные'!$B$70,0))),0)</x:f>
      </x:c>
      <x:c r="CM56" t="n">
        <x:f>IF(AND(CM$3&gt;=$B$53,CM$3&lt;EDATE($B$53,MAX(1,'Вводные'!$H$90)),'Вводные'!$B$90="Да"),(1+'Вводные'!$AD$90*'Вводные'!$H$7*MIN(1,(12*(YEAR(CM$3)-YEAR($B$53))+MONTH(CM$3)-MONTH($B$53))/MAX(1,12*(YEAR($B$54)-YEAR($B$53))+MONTH($B$54)-MONTH($B$53))))*(1+IF(MONTH(CM$3)=1,'Вводные'!$B$67,IF(AND(MONTH(CM$3)&gt;=5,MONTH(CM$3)&lt;=8),'Вводные'!$B$70,0))),0)</x:f>
      </x:c>
      <x:c r="CN56" t="n">
        <x:f>IF(AND(CN$3&gt;=$B$53,CN$3&lt;EDATE($B$53,MAX(1,'Вводные'!$H$90)),'Вводные'!$B$90="Да"),(1+'Вводные'!$AD$90*'Вводные'!$H$7*MIN(1,(12*(YEAR(CN$3)-YEAR($B$53))+MONTH(CN$3)-MONTH($B$53))/MAX(1,12*(YEAR($B$54)-YEAR($B$53))+MONTH($B$54)-MONTH($B$53))))*(1+IF(MONTH(CN$3)=1,'Вводные'!$B$67,IF(AND(MONTH(CN$3)&gt;=5,MONTH(CN$3)&lt;=8),'Вводные'!$B$70,0))),0)</x:f>
      </x:c>
      <x:c r="CO56" t="n">
        <x:f>IF(AND(CO$3&gt;=$B$53,CO$3&lt;EDATE($B$53,MAX(1,'Вводные'!$H$90)),'Вводные'!$B$90="Да"),(1+'Вводные'!$AD$90*'Вводные'!$H$7*MIN(1,(12*(YEAR(CO$3)-YEAR($B$53))+MONTH(CO$3)-MONTH($B$53))/MAX(1,12*(YEAR($B$54)-YEAR($B$53))+MONTH($B$54)-MONTH($B$53))))*(1+IF(MONTH(CO$3)=1,'Вводные'!$B$67,IF(AND(MONTH(CO$3)&gt;=5,MONTH(CO$3)&lt;=8),'Вводные'!$B$70,0))),0)</x:f>
      </x:c>
      <x:c r="CP56" t="n">
        <x:f>IF(AND(CP$3&gt;=$B$53,CP$3&lt;EDATE($B$53,MAX(1,'Вводные'!$H$90)),'Вводные'!$B$90="Да"),(1+'Вводные'!$AD$90*'Вводные'!$H$7*MIN(1,(12*(YEAR(CP$3)-YEAR($B$53))+MONTH(CP$3)-MONTH($B$53))/MAX(1,12*(YEAR($B$54)-YEAR($B$53))+MONTH($B$54)-MONTH($B$53))))*(1+IF(MONTH(CP$3)=1,'Вводные'!$B$67,IF(AND(MONTH(CP$3)&gt;=5,MONTH(CP$3)&lt;=8),'Вводные'!$B$70,0))),0)</x:f>
      </x:c>
      <x:c r="CQ56" t="n">
        <x:f>IF(AND(CQ$3&gt;=$B$53,CQ$3&lt;EDATE($B$53,MAX(1,'Вводные'!$H$90)),'Вводные'!$B$90="Да"),(1+'Вводные'!$AD$90*'Вводные'!$H$7*MIN(1,(12*(YEAR(CQ$3)-YEAR($B$53))+MONTH(CQ$3)-MONTH($B$53))/MAX(1,12*(YEAR($B$54)-YEAR($B$53))+MONTH($B$54)-MONTH($B$53))))*(1+IF(MONTH(CQ$3)=1,'Вводные'!$B$67,IF(AND(MONTH(CQ$3)&gt;=5,MONTH(CQ$3)&lt;=8),'Вводные'!$B$70,0))),0)</x:f>
      </x:c>
      <x:c r="CR56" t="n">
        <x:f>IF(AND(CR$3&gt;=$B$53,CR$3&lt;EDATE($B$53,MAX(1,'Вводные'!$H$90)),'Вводные'!$B$90="Да"),(1+'Вводные'!$AD$90*'Вводные'!$H$7*MIN(1,(12*(YEAR(CR$3)-YEAR($B$53))+MONTH(CR$3)-MONTH($B$53))/MAX(1,12*(YEAR($B$54)-YEAR($B$53))+MONTH($B$54)-MONTH($B$53))))*(1+IF(MONTH(CR$3)=1,'Вводные'!$B$67,IF(AND(MONTH(CR$3)&gt;=5,MONTH(CR$3)&lt;=8),'Вводные'!$B$70,0))),0)</x:f>
      </x:c>
      <x:c r="CS56" t="n">
        <x:f>IF(AND(CS$3&gt;=$B$53,CS$3&lt;EDATE($B$53,MAX(1,'Вводные'!$H$90)),'Вводные'!$B$90="Да"),(1+'Вводные'!$AD$90*'Вводные'!$H$7*MIN(1,(12*(YEAR(CS$3)-YEAR($B$53))+MONTH(CS$3)-MONTH($B$53))/MAX(1,12*(YEAR($B$54)-YEAR($B$53))+MONTH($B$54)-MONTH($B$53))))*(1+IF(MONTH(CS$3)=1,'Вводные'!$B$67,IF(AND(MONTH(CS$3)&gt;=5,MONTH(CS$3)&lt;=8),'Вводные'!$B$70,0))),0)</x:f>
      </x:c>
      <x:c r="CT56" t="n">
        <x:f>IF(AND(CT$3&gt;=$B$53,CT$3&lt;EDATE($B$53,MAX(1,'Вводные'!$H$90)),'Вводные'!$B$90="Да"),(1+'Вводные'!$AD$90*'Вводные'!$H$7*MIN(1,(12*(YEAR(CT$3)-YEAR($B$53))+MONTH(CT$3)-MONTH($B$53))/MAX(1,12*(YEAR($B$54)-YEAR($B$53))+MONTH($B$54)-MONTH($B$53))))*(1+IF(MONTH(CT$3)=1,'Вводные'!$B$67,IF(AND(MONTH(CT$3)&gt;=5,MONTH(CT$3)&lt;=8),'Вводные'!$B$70,0))),0)</x:f>
      </x:c>
      <x:c r="CU56" t="n">
        <x:f>IF(AND(CU$3&gt;=$B$53,CU$3&lt;EDATE($B$53,MAX(1,'Вводные'!$H$90)),'Вводные'!$B$90="Да"),(1+'Вводные'!$AD$90*'Вводные'!$H$7*MIN(1,(12*(YEAR(CU$3)-YEAR($B$53))+MONTH(CU$3)-MONTH($B$53))/MAX(1,12*(YEAR($B$54)-YEAR($B$53))+MONTH($B$54)-MONTH($B$53))))*(1+IF(MONTH(CU$3)=1,'Вводные'!$B$67,IF(AND(MONTH(CU$3)&gt;=5,MONTH(CU$3)&lt;=8),'Вводные'!$B$70,0))),0)</x:f>
      </x:c>
      <x:c r="CV56" t="n">
        <x:f>IF(AND(CV$3&gt;=$B$53,CV$3&lt;EDATE($B$53,MAX(1,'Вводные'!$H$90)),'Вводные'!$B$90="Да"),(1+'Вводные'!$AD$90*'Вводные'!$H$7*MIN(1,(12*(YEAR(CV$3)-YEAR($B$53))+MONTH(CV$3)-MONTH($B$53))/MAX(1,12*(YEAR($B$54)-YEAR($B$53))+MONTH($B$54)-MONTH($B$53))))*(1+IF(MONTH(CV$3)=1,'Вводные'!$B$67,IF(AND(MONTH(CV$3)&gt;=5,MONTH(CV$3)&lt;=8),'Вводные'!$B$70,0))),0)</x:f>
      </x:c>
      <x:c r="CW56" t="n">
        <x:f>IF(AND(CW$3&gt;=$B$53,CW$3&lt;EDATE($B$53,MAX(1,'Вводные'!$H$90)),'Вводные'!$B$90="Да"),(1+'Вводные'!$AD$90*'Вводные'!$H$7*MIN(1,(12*(YEAR(CW$3)-YEAR($B$53))+MONTH(CW$3)-MONTH($B$53))/MAX(1,12*(YEAR($B$54)-YEAR($B$53))+MONTH($B$54)-MONTH($B$53))))*(1+IF(MONTH(CW$3)=1,'Вводные'!$B$67,IF(AND(MONTH(CW$3)&gt;=5,MONTH(CW$3)&lt;=8),'Вводные'!$B$70,0))),0)</x:f>
      </x:c>
      <x:c r="CX56" t="n">
        <x:f>IF(AND(CX$3&gt;=$B$53,CX$3&lt;EDATE($B$53,MAX(1,'Вводные'!$H$90)),'Вводные'!$B$90="Да"),(1+'Вводные'!$AD$90*'Вводные'!$H$7*MIN(1,(12*(YEAR(CX$3)-YEAR($B$53))+MONTH(CX$3)-MONTH($B$53))/MAX(1,12*(YEAR($B$54)-YEAR($B$53))+MONTH($B$54)-MONTH($B$53))))*(1+IF(MONTH(CX$3)=1,'Вводные'!$B$67,IF(AND(MONTH(CX$3)&gt;=5,MONTH(CX$3)&lt;=8),'Вводные'!$B$70,0))),0)</x:f>
      </x:c>
      <x:c r="CY56" t="n">
        <x:f>IF(AND(CY$3&gt;=$B$53,CY$3&lt;EDATE($B$53,MAX(1,'Вводные'!$H$90)),'Вводные'!$B$90="Да"),(1+'Вводные'!$AD$90*'Вводные'!$H$7*MIN(1,(12*(YEAR(CY$3)-YEAR($B$53))+MONTH(CY$3)-MONTH($B$53))/MAX(1,12*(YEAR($B$54)-YEAR($B$53))+MONTH($B$54)-MONTH($B$53))))*(1+IF(MONTH(CY$3)=1,'Вводные'!$B$67,IF(AND(MONTH(CY$3)&gt;=5,MONTH(CY$3)&lt;=8),'Вводные'!$B$70,0))),0)</x:f>
      </x:c>
      <x:c r="CZ56" t="n">
        <x:f>IF(AND(CZ$3&gt;=$B$53,CZ$3&lt;EDATE($B$53,MAX(1,'Вводные'!$H$90)),'Вводные'!$B$90="Да"),(1+'Вводные'!$AD$90*'Вводные'!$H$7*MIN(1,(12*(YEAR(CZ$3)-YEAR($B$53))+MONTH(CZ$3)-MONTH($B$53))/MAX(1,12*(YEAR($B$54)-YEAR($B$53))+MONTH($B$54)-MONTH($B$53))))*(1+IF(MONTH(CZ$3)=1,'Вводные'!$B$67,IF(AND(MONTH(CZ$3)&gt;=5,MONTH(CZ$3)&lt;=8),'Вводные'!$B$70,0))),0)</x:f>
      </x:c>
      <x:c r="DA56" t="n">
        <x:f>IF(AND(DA$3&gt;=$B$53,DA$3&lt;EDATE($B$53,MAX(1,'Вводные'!$H$90)),'Вводные'!$B$90="Да"),(1+'Вводные'!$AD$90*'Вводные'!$H$7*MIN(1,(12*(YEAR(DA$3)-YEAR($B$53))+MONTH(DA$3)-MONTH($B$53))/MAX(1,12*(YEAR($B$54)-YEAR($B$53))+MONTH($B$54)-MONTH($B$53))))*(1+IF(MONTH(DA$3)=1,'Вводные'!$B$67,IF(AND(MONTH(DA$3)&gt;=5,MONTH(DA$3)&lt;=8),'Вводные'!$B$70,0))),0)</x:f>
      </x:c>
      <x:c r="DB56" t="n">
        <x:f>IF(AND(DB$3&gt;=$B$53,DB$3&lt;EDATE($B$53,MAX(1,'Вводные'!$H$90)),'Вводные'!$B$90="Да"),(1+'Вводные'!$AD$90*'Вводные'!$H$7*MIN(1,(12*(YEAR(DB$3)-YEAR($B$53))+MONTH(DB$3)-MONTH($B$53))/MAX(1,12*(YEAR($B$54)-YEAR($B$53))+MONTH($B$54)-MONTH($B$53))))*(1+IF(MONTH(DB$3)=1,'Вводные'!$B$67,IF(AND(MONTH(DB$3)&gt;=5,MONTH(DB$3)&lt;=8),'Вводные'!$B$70,0))),0)</x:f>
      </x:c>
      <x:c r="DC56" t="n">
        <x:f>IF(AND(DC$3&gt;=$B$53,DC$3&lt;EDATE($B$53,MAX(1,'Вводные'!$H$90)),'Вводные'!$B$90="Да"),(1+'Вводные'!$AD$90*'Вводные'!$H$7*MIN(1,(12*(YEAR(DC$3)-YEAR($B$53))+MONTH(DC$3)-MONTH($B$53))/MAX(1,12*(YEAR($B$54)-YEAR($B$53))+MONTH($B$54)-MONTH($B$53))))*(1+IF(MONTH(DC$3)=1,'Вводные'!$B$67,IF(AND(MONTH(DC$3)&gt;=5,MONTH(DC$3)&lt;=8),'Вводные'!$B$70,0))),0)</x:f>
      </x:c>
      <x:c r="DD56" t="n">
        <x:f>IF(AND(DD$3&gt;=$B$53,DD$3&lt;EDATE($B$53,MAX(1,'Вводные'!$H$90)),'Вводные'!$B$90="Да"),(1+'Вводные'!$AD$90*'Вводные'!$H$7*MIN(1,(12*(YEAR(DD$3)-YEAR($B$53))+MONTH(DD$3)-MONTH($B$53))/MAX(1,12*(YEAR($B$54)-YEAR($B$53))+MONTH($B$54)-MONTH($B$53))))*(1+IF(MONTH(DD$3)=1,'Вводные'!$B$67,IF(AND(MONTH(DD$3)&gt;=5,MONTH(DD$3)&lt;=8),'Вводные'!$B$70,0))),0)</x:f>
      </x:c>
      <x:c r="DE56" t="n">
        <x:f>IF(AND(DE$3&gt;=$B$53,DE$3&lt;EDATE($B$53,MAX(1,'Вводные'!$H$90)),'Вводные'!$B$90="Да"),(1+'Вводные'!$AD$90*'Вводные'!$H$7*MIN(1,(12*(YEAR(DE$3)-YEAR($B$53))+MONTH(DE$3)-MONTH($B$53))/MAX(1,12*(YEAR($B$54)-YEAR($B$53))+MONTH($B$54)-MONTH($B$53))))*(1+IF(MONTH(DE$3)=1,'Вводные'!$B$67,IF(AND(MONTH(DE$3)&gt;=5,MONTH(DE$3)&lt;=8),'Вводные'!$B$70,0))),0)</x:f>
      </x:c>
      <x:c r="DF56" t="n">
        <x:f>IF(AND(DF$3&gt;=$B$53,DF$3&lt;EDATE($B$53,MAX(1,'Вводные'!$H$90)),'Вводные'!$B$90="Да"),(1+'Вводные'!$AD$90*'Вводные'!$H$7*MIN(1,(12*(YEAR(DF$3)-YEAR($B$53))+MONTH(DF$3)-MONTH($B$53))/MAX(1,12*(YEAR($B$54)-YEAR($B$53))+MONTH($B$54)-MONTH($B$53))))*(1+IF(MONTH(DF$3)=1,'Вводные'!$B$67,IF(AND(MONTH(DF$3)&gt;=5,MONTH(DF$3)&lt;=8),'Вводные'!$B$70,0))),0)</x:f>
      </x:c>
      <x:c r="DG56" t="n">
        <x:f>IF(AND(DG$3&gt;=$B$53,DG$3&lt;EDATE($B$53,MAX(1,'Вводные'!$H$90)),'Вводные'!$B$90="Да"),(1+'Вводные'!$AD$90*'Вводные'!$H$7*MIN(1,(12*(YEAR(DG$3)-YEAR($B$53))+MONTH(DG$3)-MONTH($B$53))/MAX(1,12*(YEAR($B$54)-YEAR($B$53))+MONTH($B$54)-MONTH($B$53))))*(1+IF(MONTH(DG$3)=1,'Вводные'!$B$67,IF(AND(MONTH(DG$3)&gt;=5,MONTH(DG$3)&lt;=8),'Вводные'!$B$70,0))),0)</x:f>
      </x:c>
      <x:c r="DH56" t="n">
        <x:f>IF(AND(DH$3&gt;=$B$53,DH$3&lt;EDATE($B$53,MAX(1,'Вводные'!$H$90)),'Вводные'!$B$90="Да"),(1+'Вводные'!$AD$90*'Вводные'!$H$7*MIN(1,(12*(YEAR(DH$3)-YEAR($B$53))+MONTH(DH$3)-MONTH($B$53))/MAX(1,12*(YEAR($B$54)-YEAR($B$53))+MONTH($B$54)-MONTH($B$53))))*(1+IF(MONTH(DH$3)=1,'Вводные'!$B$67,IF(AND(MONTH(DH$3)&gt;=5,MONTH(DH$3)&lt;=8),'Вводные'!$B$70,0))),0)</x:f>
      </x:c>
      <x:c r="DI56" t="n">
        <x:f>IF(AND(DI$3&gt;=$B$53,DI$3&lt;EDATE($B$53,MAX(1,'Вводные'!$H$90)),'Вводные'!$B$90="Да"),(1+'Вводные'!$AD$90*'Вводные'!$H$7*MIN(1,(12*(YEAR(DI$3)-YEAR($B$53))+MONTH(DI$3)-MONTH($B$53))/MAX(1,12*(YEAR($B$54)-YEAR($B$53))+MONTH($B$54)-MONTH($B$53))))*(1+IF(MONTH(DI$3)=1,'Вводные'!$B$67,IF(AND(MONTH(DI$3)&gt;=5,MONTH(DI$3)&lt;=8),'Вводные'!$B$70,0))),0)</x:f>
      </x:c>
      <x:c r="DJ56" t="n">
        <x:f>IF(AND(DJ$3&gt;=$B$53,DJ$3&lt;EDATE($B$53,MAX(1,'Вводные'!$H$90)),'Вводные'!$B$90="Да"),(1+'Вводные'!$AD$90*'Вводные'!$H$7*MIN(1,(12*(YEAR(DJ$3)-YEAR($B$53))+MONTH(DJ$3)-MONTH($B$53))/MAX(1,12*(YEAR($B$54)-YEAR($B$53))+MONTH($B$54)-MONTH($B$53))))*(1+IF(MONTH(DJ$3)=1,'Вводные'!$B$67,IF(AND(MONTH(DJ$3)&gt;=5,MONTH(DJ$3)&lt;=8),'Вводные'!$B$70,0))),0)</x:f>
      </x:c>
      <x:c r="DK56" t="n">
        <x:f>IF(AND(DK$3&gt;=$B$53,DK$3&lt;EDATE($B$53,MAX(1,'Вводные'!$H$90)),'Вводные'!$B$90="Да"),(1+'Вводные'!$AD$90*'Вводные'!$H$7*MIN(1,(12*(YEAR(DK$3)-YEAR($B$53))+MONTH(DK$3)-MONTH($B$53))/MAX(1,12*(YEAR($B$54)-YEAR($B$53))+MONTH($B$54)-MONTH($B$53))))*(1+IF(MONTH(DK$3)=1,'Вводные'!$B$67,IF(AND(MONTH(DK$3)&gt;=5,MONTH(DK$3)&lt;=8),'Вводные'!$B$70,0))),0)</x:f>
      </x:c>
      <x:c r="DL56" t="n">
        <x:f>IF(AND(DL$3&gt;=$B$53,DL$3&lt;EDATE($B$53,MAX(1,'Вводные'!$H$90)),'Вводные'!$B$90="Да"),(1+'Вводные'!$AD$90*'Вводные'!$H$7*MIN(1,(12*(YEAR(DL$3)-YEAR($B$53))+MONTH(DL$3)-MONTH($B$53))/MAX(1,12*(YEAR($B$54)-YEAR($B$53))+MONTH($B$54)-MONTH($B$53))))*(1+IF(MONTH(DL$3)=1,'Вводные'!$B$67,IF(AND(MONTH(DL$3)&gt;=5,MONTH(DL$3)&lt;=8),'Вводные'!$B$70,0))),0)</x:f>
      </x:c>
      <x:c r="DM56" t="n">
        <x:f>IF(AND(DM$3&gt;=$B$53,DM$3&lt;EDATE($B$53,MAX(1,'Вводные'!$H$90)),'Вводные'!$B$90="Да"),(1+'Вводные'!$AD$90*'Вводные'!$H$7*MIN(1,(12*(YEAR(DM$3)-YEAR($B$53))+MONTH(DM$3)-MONTH($B$53))/MAX(1,12*(YEAR($B$54)-YEAR($B$53))+MONTH($B$54)-MONTH($B$53))))*(1+IF(MONTH(DM$3)=1,'Вводные'!$B$67,IF(AND(MONTH(DM$3)&gt;=5,MONTH(DM$3)&lt;=8),'Вводные'!$B$70,0))),0)</x:f>
      </x:c>
      <x:c r="DN56" t="n">
        <x:f>IF(AND(DN$3&gt;=$B$53,DN$3&lt;EDATE($B$53,MAX(1,'Вводные'!$H$90)),'Вводные'!$B$90="Да"),(1+'Вводные'!$AD$90*'Вводные'!$H$7*MIN(1,(12*(YEAR(DN$3)-YEAR($B$53))+MONTH(DN$3)-MONTH($B$53))/MAX(1,12*(YEAR($B$54)-YEAR($B$53))+MONTH($B$54)-MONTH($B$53))))*(1+IF(MONTH(DN$3)=1,'Вводные'!$B$67,IF(AND(MONTH(DN$3)&gt;=5,MONTH(DN$3)&lt;=8),'Вводные'!$B$70,0))),0)</x:f>
      </x:c>
      <x:c r="DO56" t="n">
        <x:f>IF(AND(DO$3&gt;=$B$53,DO$3&lt;EDATE($B$53,MAX(1,'Вводные'!$H$90)),'Вводные'!$B$90="Да"),(1+'Вводные'!$AD$90*'Вводные'!$H$7*MIN(1,(12*(YEAR(DO$3)-YEAR($B$53))+MONTH(DO$3)-MONTH($B$53))/MAX(1,12*(YEAR($B$54)-YEAR($B$53))+MONTH($B$54)-MONTH($B$53))))*(1+IF(MONTH(DO$3)=1,'Вводные'!$B$67,IF(AND(MONTH(DO$3)&gt;=5,MONTH(DO$3)&lt;=8),'Вводные'!$B$70,0))),0)</x:f>
      </x:c>
      <x:c r="DP56" t="n">
        <x:f>IF(AND(DP$3&gt;=$B$53,DP$3&lt;EDATE($B$53,MAX(1,'Вводные'!$H$90)),'Вводные'!$B$90="Да"),(1+'Вводные'!$AD$90*'Вводные'!$H$7*MIN(1,(12*(YEAR(DP$3)-YEAR($B$53))+MONTH(DP$3)-MONTH($B$53))/MAX(1,12*(YEAR($B$54)-YEAR($B$53))+MONTH($B$54)-MONTH($B$53))))*(1+IF(MONTH(DP$3)=1,'Вводные'!$B$67,IF(AND(MONTH(DP$3)&gt;=5,MONTH(DP$3)&lt;=8),'Вводные'!$B$70,0))),0)</x:f>
      </x:c>
      <x:c r="DQ56" t="n">
        <x:f>IF(AND(DQ$3&gt;=$B$53,DQ$3&lt;EDATE($B$53,MAX(1,'Вводные'!$H$90)),'Вводные'!$B$90="Да"),(1+'Вводные'!$AD$90*'Вводные'!$H$7*MIN(1,(12*(YEAR(DQ$3)-YEAR($B$53))+MONTH(DQ$3)-MONTH($B$53))/MAX(1,12*(YEAR($B$54)-YEAR($B$53))+MONTH($B$54)-MONTH($B$53))))*(1+IF(MONTH(DQ$3)=1,'Вводные'!$B$67,IF(AND(MONTH(DQ$3)&gt;=5,MONTH(DQ$3)&lt;=8),'Вводные'!$B$70,0))),0)</x:f>
      </x:c>
      <x:c r="DR56" t="n">
        <x:f>IF(AND(DR$3&gt;=$B$53,DR$3&lt;EDATE($B$53,MAX(1,'Вводные'!$H$90)),'Вводные'!$B$90="Да"),(1+'Вводные'!$AD$90*'Вводные'!$H$7*MIN(1,(12*(YEAR(DR$3)-YEAR($B$53))+MONTH(DR$3)-MONTH($B$53))/MAX(1,12*(YEAR($B$54)-YEAR($B$53))+MONTH($B$54)-MONTH($B$53))))*(1+IF(MONTH(DR$3)=1,'Вводные'!$B$67,IF(AND(MONTH(DR$3)&gt;=5,MONTH(DR$3)&lt;=8),'Вводные'!$B$70,0))),0)</x:f>
      </x:c>
      <x:c r="DS56" t="n">
        <x:f>IF(AND(DS$3&gt;=$B$53,DS$3&lt;EDATE($B$53,MAX(1,'Вводные'!$H$90)),'Вводные'!$B$90="Да"),(1+'Вводные'!$AD$90*'Вводные'!$H$7*MIN(1,(12*(YEAR(DS$3)-YEAR($B$53))+MONTH(DS$3)-MONTH($B$53))/MAX(1,12*(YEAR($B$54)-YEAR($B$53))+MONTH($B$54)-MONTH($B$53))))*(1+IF(MONTH(DS$3)=1,'Вводные'!$B$67,IF(AND(MONTH(DS$3)&gt;=5,MONTH(DS$3)&lt;=8),'Вводные'!$B$70,0))),0)</x:f>
      </x:c>
      <x:c r="DT56" t="n">
        <x:f>IF(AND(DT$3&gt;=$B$53,DT$3&lt;EDATE($B$53,MAX(1,'Вводные'!$H$90)),'Вводные'!$B$90="Да"),(1+'Вводные'!$AD$90*'Вводные'!$H$7*MIN(1,(12*(YEAR(DT$3)-YEAR($B$53))+MONTH(DT$3)-MONTH($B$53))/MAX(1,12*(YEAR($B$54)-YEAR($B$53))+MONTH($B$54)-MONTH($B$53))))*(1+IF(MONTH(DT$3)=1,'Вводные'!$B$67,IF(AND(MONTH(DT$3)&gt;=5,MONTH(DT$3)&lt;=8),'Вводные'!$B$70,0))),0)</x:f>
      </x:c>
      <x:c r="DU56" t="n">
        <x:f>IF(AND(DU$3&gt;=$B$53,DU$3&lt;EDATE($B$53,MAX(1,'Вводные'!$H$90)),'Вводные'!$B$90="Да"),(1+'Вводные'!$AD$90*'Вводные'!$H$7*MIN(1,(12*(YEAR(DU$3)-YEAR($B$53))+MONTH(DU$3)-MONTH($B$53))/MAX(1,12*(YEAR($B$54)-YEAR($B$53))+MONTH($B$54)-MONTH($B$53))))*(1+IF(MONTH(DU$3)=1,'Вводные'!$B$67,IF(AND(MONTH(DU$3)&gt;=5,MONTH(DU$3)&lt;=8),'Вводные'!$B$70,0))),0)</x:f>
      </x:c>
      <x:c r="DV56" t="n">
        <x:f>IF(AND(DV$3&gt;=$B$53,DV$3&lt;EDATE($B$53,MAX(1,'Вводные'!$H$90)),'Вводные'!$B$90="Да"),(1+'Вводные'!$AD$90*'Вводные'!$H$7*MIN(1,(12*(YEAR(DV$3)-YEAR($B$53))+MONTH(DV$3)-MONTH($B$53))/MAX(1,12*(YEAR($B$54)-YEAR($B$53))+MONTH($B$54)-MONTH($B$53))))*(1+IF(MONTH(DV$3)=1,'Вводные'!$B$67,IF(AND(MONTH(DV$3)&gt;=5,MONTH(DV$3)&lt;=8),'Вводные'!$B$70,0))),0)</x:f>
      </x:c>
      <x:c r="DW56" t="n">
        <x:f>IF(AND(DW$3&gt;=$B$53,DW$3&lt;EDATE($B$53,MAX(1,'Вводные'!$H$90)),'Вводные'!$B$90="Да"),(1+'Вводные'!$AD$90*'Вводные'!$H$7*MIN(1,(12*(YEAR(DW$3)-YEAR($B$53))+MONTH(DW$3)-MONTH($B$53))/MAX(1,12*(YEAR($B$54)-YEAR($B$53))+MONTH($B$54)-MONTH($B$53))))*(1+IF(MONTH(DW$3)=1,'Вводные'!$B$67,IF(AND(MONTH(DW$3)&gt;=5,MONTH(DW$3)&lt;=8),'Вводные'!$B$70,0))),0)</x:f>
      </x:c>
      <x:c r="DX56" t="n">
        <x:f>IF(AND(DX$3&gt;=$B$53,DX$3&lt;EDATE($B$53,MAX(1,'Вводные'!$H$90)),'Вводные'!$B$90="Да"),(1+'Вводные'!$AD$90*'Вводные'!$H$7*MIN(1,(12*(YEAR(DX$3)-YEAR($B$53))+MONTH(DX$3)-MONTH($B$53))/MAX(1,12*(YEAR($B$54)-YEAR($B$53))+MONTH($B$54)-MONTH($B$53))))*(1+IF(MONTH(DX$3)=1,'Вводные'!$B$67,IF(AND(MONTH(DX$3)&gt;=5,MONTH(DX$3)&lt;=8),'Вводные'!$B$70,0))),0)</x:f>
      </x:c>
      <x:c r="DY56" t="n">
        <x:f>IF(AND(DY$3&gt;=$B$53,DY$3&lt;EDATE($B$53,MAX(1,'Вводные'!$H$90)),'Вводные'!$B$90="Да"),(1+'Вводные'!$AD$90*'Вводные'!$H$7*MIN(1,(12*(YEAR(DY$3)-YEAR($B$53))+MONTH(DY$3)-MONTH($B$53))/MAX(1,12*(YEAR($B$54)-YEAR($B$53))+MONTH($B$54)-MONTH($B$53))))*(1+IF(MONTH(DY$3)=1,'Вводные'!$B$67,IF(AND(MONTH(DY$3)&gt;=5,MONTH(DY$3)&lt;=8),'Вводные'!$B$70,0))),0)</x:f>
      </x:c>
      <x:c r="DZ56" t="n">
        <x:f>IF(AND(DZ$3&gt;=$B$53,DZ$3&lt;EDATE($B$53,MAX(1,'Вводные'!$H$90)),'Вводные'!$B$90="Да"),(1+'Вводные'!$AD$90*'Вводные'!$H$7*MIN(1,(12*(YEAR(DZ$3)-YEAR($B$53))+MONTH(DZ$3)-MONTH($B$53))/MAX(1,12*(YEAR($B$54)-YEAR($B$53))+MONTH($B$54)-MONTH($B$53))))*(1+IF(MONTH(DZ$3)=1,'Вводные'!$B$67,IF(AND(MONTH(DZ$3)&gt;=5,MONTH(DZ$3)&lt;=8),'Вводные'!$B$70,0))),0)</x:f>
      </x:c>
      <x:c r="EA56" t="n">
        <x:f>IF(AND(EA$3&gt;=$B$53,EA$3&lt;EDATE($B$53,MAX(1,'Вводные'!$H$90)),'Вводные'!$B$90="Да"),(1+'Вводные'!$AD$90*'Вводные'!$H$7*MIN(1,(12*(YEAR(EA$3)-YEAR($B$53))+MONTH(EA$3)-MONTH($B$53))/MAX(1,12*(YEAR($B$54)-YEAR($B$53))+MONTH($B$54)-MONTH($B$53))))*(1+IF(MONTH(EA$3)=1,'Вводные'!$B$67,IF(AND(MONTH(EA$3)&gt;=5,MONTH(EA$3)&lt;=8),'Вводные'!$B$70,0))),0)</x:f>
      </x:c>
      <x:c r="EB56" t="n">
        <x:f>IF(AND(EB$3&gt;=$B$53,EB$3&lt;EDATE($B$53,MAX(1,'Вводные'!$H$90)),'Вводные'!$B$90="Да"),(1+'Вводные'!$AD$90*'Вводные'!$H$7*MIN(1,(12*(YEAR(EB$3)-YEAR($B$53))+MONTH(EB$3)-MONTH($B$53))/MAX(1,12*(YEAR($B$54)-YEAR($B$53))+MONTH($B$54)-MONTH($B$53))))*(1+IF(MONTH(EB$3)=1,'Вводные'!$B$67,IF(AND(MONTH(EB$3)&gt;=5,MONTH(EB$3)&lt;=8),'Вводные'!$B$70,0))),0)</x:f>
      </x:c>
      <x:c r="EC56" t="n">
        <x:f>IF(AND(EC$3&gt;=$B$53,EC$3&lt;EDATE($B$53,MAX(1,'Вводные'!$H$90)),'Вводные'!$B$90="Да"),(1+'Вводные'!$AD$90*'Вводные'!$H$7*MIN(1,(12*(YEAR(EC$3)-YEAR($B$53))+MONTH(EC$3)-MONTH($B$53))/MAX(1,12*(YEAR($B$54)-YEAR($B$53))+MONTH($B$54)-MONTH($B$53))))*(1+IF(MONTH(EC$3)=1,'Вводные'!$B$67,IF(AND(MONTH(EC$3)&gt;=5,MONTH(EC$3)&lt;=8),'Вводные'!$B$70,0))),0)</x:f>
      </x:c>
      <x:c r="ED56" t="n">
        <x:f>IF(AND(ED$3&gt;=$B$53,ED$3&lt;EDATE($B$53,MAX(1,'Вводные'!$H$90)),'Вводные'!$B$90="Да"),(1+'Вводные'!$AD$90*'Вводные'!$H$7*MIN(1,(12*(YEAR(ED$3)-YEAR($B$53))+MONTH(ED$3)-MONTH($B$53))/MAX(1,12*(YEAR($B$54)-YEAR($B$53))+MONTH($B$54)-MONTH($B$53))))*(1+IF(MONTH(ED$3)=1,'Вводные'!$B$67,IF(AND(MONTH(ED$3)&gt;=5,MONTH(ED$3)&lt;=8),'Вводные'!$B$70,0))),0)</x:f>
      </x:c>
      <x:c r="EE56" t="n">
        <x:f>IF(AND(EE$3&gt;=$B$53,EE$3&lt;EDATE($B$53,MAX(1,'Вводные'!$H$90)),'Вводные'!$B$90="Да"),(1+'Вводные'!$AD$90*'Вводные'!$H$7*MIN(1,(12*(YEAR(EE$3)-YEAR($B$53))+MONTH(EE$3)-MONTH($B$53))/MAX(1,12*(YEAR($B$54)-YEAR($B$53))+MONTH($B$54)-MONTH($B$53))))*(1+IF(MONTH(EE$3)=1,'Вводные'!$B$67,IF(AND(MONTH(EE$3)&gt;=5,MONTH(EE$3)&lt;=8),'Вводные'!$B$70,0))),0)</x:f>
      </x:c>
      <x:c r="EF56" t="n">
        <x:f>IF(AND(EF$3&gt;=$B$53,EF$3&lt;EDATE($B$53,MAX(1,'Вводные'!$H$90)),'Вводные'!$B$90="Да"),(1+'Вводные'!$AD$90*'Вводные'!$H$7*MIN(1,(12*(YEAR(EF$3)-YEAR($B$53))+MONTH(EF$3)-MONTH($B$53))/MAX(1,12*(YEAR($B$54)-YEAR($B$53))+MONTH($B$54)-MONTH($B$53))))*(1+IF(MONTH(EF$3)=1,'Вводные'!$B$67,IF(AND(MONTH(EF$3)&gt;=5,MONTH(EF$3)&lt;=8),'Вводные'!$B$70,0))),0)</x:f>
      </x:c>
      <x:c r="EG56" t="n">
        <x:f>IF(AND(EG$3&gt;=$B$53,EG$3&lt;EDATE($B$53,MAX(1,'Вводные'!$H$90)),'Вводные'!$B$90="Да"),(1+'Вводные'!$AD$90*'Вводные'!$H$7*MIN(1,(12*(YEAR(EG$3)-YEAR($B$53))+MONTH(EG$3)-MONTH($B$53))/MAX(1,12*(YEAR($B$54)-YEAR($B$53))+MONTH($B$54)-MONTH($B$53))))*(1+IF(MONTH(EG$3)=1,'Вводные'!$B$67,IF(AND(MONTH(EG$3)&gt;=5,MONTH(EG$3)&lt;=8),'Вводные'!$B$70,0))),0)</x:f>
      </x:c>
      <x:c r="EH56" t="n">
        <x:f>IF(AND(EH$3&gt;=$B$53,EH$3&lt;EDATE($B$53,MAX(1,'Вводные'!$H$90)),'Вводные'!$B$90="Да"),(1+'Вводные'!$AD$90*'Вводные'!$H$7*MIN(1,(12*(YEAR(EH$3)-YEAR($B$53))+MONTH(EH$3)-MONTH($B$53))/MAX(1,12*(YEAR($B$54)-YEAR($B$53))+MONTH($B$54)-MONTH($B$53))))*(1+IF(MONTH(EH$3)=1,'Вводные'!$B$67,IF(AND(MONTH(EH$3)&gt;=5,MONTH(EH$3)&lt;=8),'Вводные'!$B$70,0))),0)</x:f>
      </x:c>
      <x:c r="EI56" t="n">
        <x:f>IF(AND(EI$3&gt;=$B$53,EI$3&lt;EDATE($B$53,MAX(1,'Вводные'!$H$90)),'Вводные'!$B$90="Да"),(1+'Вводные'!$AD$90*'Вводные'!$H$7*MIN(1,(12*(YEAR(EI$3)-YEAR($B$53))+MONTH(EI$3)-MONTH($B$53))/MAX(1,12*(YEAR($B$54)-YEAR($B$53))+MONTH($B$54)-MONTH($B$53))))*(1+IF(MONTH(EI$3)=1,'Вводные'!$B$67,IF(AND(MONTH(EI$3)&gt;=5,MONTH(EI$3)&lt;=8),'Вводные'!$B$70,0))),0)</x:f>
      </x:c>
      <x:c r="EJ56" t="n">
        <x:f>IF(AND(EJ$3&gt;=$B$53,EJ$3&lt;EDATE($B$53,MAX(1,'Вводные'!$H$90)),'Вводные'!$B$90="Да"),(1+'Вводные'!$AD$90*'Вводные'!$H$7*MIN(1,(12*(YEAR(EJ$3)-YEAR($B$53))+MONTH(EJ$3)-MONTH($B$53))/MAX(1,12*(YEAR($B$54)-YEAR($B$53))+MONTH($B$54)-MONTH($B$53))))*(1+IF(MONTH(EJ$3)=1,'Вводные'!$B$67,IF(AND(MONTH(EJ$3)&gt;=5,MONTH(EJ$3)&lt;=8),'Вводные'!$B$70,0))),0)</x:f>
      </x:c>
      <x:c r="EK56" t="n">
        <x:f>IF(AND(EK$3&gt;=$B$53,EK$3&lt;EDATE($B$53,MAX(1,'Вводные'!$H$90)),'Вводные'!$B$90="Да"),(1+'Вводные'!$AD$90*'Вводные'!$H$7*MIN(1,(12*(YEAR(EK$3)-YEAR($B$53))+MONTH(EK$3)-MONTH($B$53))/MAX(1,12*(YEAR($B$54)-YEAR($B$53))+MONTH($B$54)-MONTH($B$53))))*(1+IF(MONTH(EK$3)=1,'Вводные'!$B$67,IF(AND(MONTH(EK$3)&gt;=5,MONTH(EK$3)&lt;=8),'Вводные'!$B$70,0))),0)</x:f>
      </x:c>
      <x:c r="EL56" t="n">
        <x:f>IF(AND(EL$3&gt;=$B$53,EL$3&lt;EDATE($B$53,MAX(1,'Вводные'!$H$90)),'Вводные'!$B$90="Да"),(1+'Вводные'!$AD$90*'Вводные'!$H$7*MIN(1,(12*(YEAR(EL$3)-YEAR($B$53))+MONTH(EL$3)-MONTH($B$53))/MAX(1,12*(YEAR($B$54)-YEAR($B$53))+MONTH($B$54)-MONTH($B$53))))*(1+IF(MONTH(EL$3)=1,'Вводные'!$B$67,IF(AND(MONTH(EL$3)&gt;=5,MONTH(EL$3)&lt;=8),'Вводные'!$B$70,0))),0)</x:f>
      </x:c>
      <x:c r="EM56" t="n">
        <x:f>IF(AND(EM$3&gt;=$B$53,EM$3&lt;EDATE($B$53,MAX(1,'Вводные'!$H$90)),'Вводные'!$B$90="Да"),(1+'Вводные'!$AD$90*'Вводные'!$H$7*MIN(1,(12*(YEAR(EM$3)-YEAR($B$53))+MONTH(EM$3)-MONTH($B$53))/MAX(1,12*(YEAR($B$54)-YEAR($B$53))+MONTH($B$54)-MONTH($B$53))))*(1+IF(MONTH(EM$3)=1,'Вводные'!$B$67,IF(AND(MONTH(EM$3)&gt;=5,MONTH(EM$3)&lt;=8),'Вводные'!$B$70,0))),0)</x:f>
      </x:c>
      <x:c r="EN56" t="n">
        <x:f>IF(AND(EN$3&gt;=$B$53,EN$3&lt;EDATE($B$53,MAX(1,'Вводные'!$H$90)),'Вводные'!$B$90="Да"),(1+'Вводные'!$AD$90*'Вводные'!$H$7*MIN(1,(12*(YEAR(EN$3)-YEAR($B$53))+MONTH(EN$3)-MONTH($B$53))/MAX(1,12*(YEAR($B$54)-YEAR($B$53))+MONTH($B$54)-MONTH($B$53))))*(1+IF(MONTH(EN$3)=1,'Вводные'!$B$67,IF(AND(MONTH(EN$3)&gt;=5,MONTH(EN$3)&lt;=8),'Вводные'!$B$70,0))),0)</x:f>
      </x:c>
      <x:c r="EO56" t="n">
        <x:f>IF(AND(EO$3&gt;=$B$53,EO$3&lt;EDATE($B$53,MAX(1,'Вводные'!$H$90)),'Вводные'!$B$90="Да"),(1+'Вводные'!$AD$90*'Вводные'!$H$7*MIN(1,(12*(YEAR(EO$3)-YEAR($B$53))+MONTH(EO$3)-MONTH($B$53))/MAX(1,12*(YEAR($B$54)-YEAR($B$53))+MONTH($B$54)-MONTH($B$53))))*(1+IF(MONTH(EO$3)=1,'Вводные'!$B$67,IF(AND(MONTH(EO$3)&gt;=5,MONTH(EO$3)&lt;=8),'Вводные'!$B$70,0))),0)</x:f>
      </x:c>
      <x:c r="EP56" t="n">
        <x:f>IF(AND(EP$3&gt;=$B$53,EP$3&lt;EDATE($B$53,MAX(1,'Вводные'!$H$90)),'Вводные'!$B$90="Да"),(1+'Вводные'!$AD$90*'Вводные'!$H$7*MIN(1,(12*(YEAR(EP$3)-YEAR($B$53))+MONTH(EP$3)-MONTH($B$53))/MAX(1,12*(YEAR($B$54)-YEAR($B$53))+MONTH($B$54)-MONTH($B$53))))*(1+IF(MONTH(EP$3)=1,'Вводные'!$B$67,IF(AND(MONTH(EP$3)&gt;=5,MONTH(EP$3)&lt;=8),'Вводные'!$B$70,0))),0)</x:f>
      </x:c>
      <x:c r="EQ56" t="n">
        <x:f>IF(AND(EQ$3&gt;=$B$53,EQ$3&lt;EDATE($B$53,MAX(1,'Вводные'!$H$90)),'Вводные'!$B$90="Да"),(1+'Вводные'!$AD$90*'Вводные'!$H$7*MIN(1,(12*(YEAR(EQ$3)-YEAR($B$53))+MONTH(EQ$3)-MONTH($B$53))/MAX(1,12*(YEAR($B$54)-YEAR($B$53))+MONTH($B$54)-MONTH($B$53))))*(1+IF(MONTH(EQ$3)=1,'Вводные'!$B$67,IF(AND(MONTH(EQ$3)&gt;=5,MONTH(EQ$3)&lt;=8),'Вводные'!$B$70,0))),0)</x:f>
      </x:c>
      <x:c r="ER56" t="n">
        <x:f>IF(AND(ER$3&gt;=$B$53,ER$3&lt;EDATE($B$53,MAX(1,'Вводные'!$H$90)),'Вводные'!$B$90="Да"),(1+'Вводные'!$AD$90*'Вводные'!$H$7*MIN(1,(12*(YEAR(ER$3)-YEAR($B$53))+MONTH(ER$3)-MONTH($B$53))/MAX(1,12*(YEAR($B$54)-YEAR($B$53))+MONTH($B$54)-MONTH($B$53))))*(1+IF(MONTH(ER$3)=1,'Вводные'!$B$67,IF(AND(MONTH(ER$3)&gt;=5,MONTH(ER$3)&lt;=8),'Вводные'!$B$70,0))),0)</x:f>
      </x:c>
      <x:c r="ES56" t="n">
        <x:f>IF(AND(ES$3&gt;=$B$53,ES$3&lt;EDATE($B$53,MAX(1,'Вводные'!$H$90)),'Вводные'!$B$90="Да"),(1+'Вводные'!$AD$90*'Вводные'!$H$7*MIN(1,(12*(YEAR(ES$3)-YEAR($B$53))+MONTH(ES$3)-MONTH($B$53))/MAX(1,12*(YEAR($B$54)-YEAR($B$53))+MONTH($B$54)-MONTH($B$53))))*(1+IF(MONTH(ES$3)=1,'Вводные'!$B$67,IF(AND(MONTH(ES$3)&gt;=5,MONTH(ES$3)&lt;=8),'Вводные'!$B$70,0))),0)</x:f>
      </x:c>
      <x:c r="ET56" t="n">
        <x:f>IF(AND(ET$3&gt;=$B$53,ET$3&lt;EDATE($B$53,MAX(1,'Вводные'!$H$90)),'Вводные'!$B$90="Да"),(1+'Вводные'!$AD$90*'Вводные'!$H$7*MIN(1,(12*(YEAR(ET$3)-YEAR($B$53))+MONTH(ET$3)-MONTH($B$53))/MAX(1,12*(YEAR($B$54)-YEAR($B$53))+MONTH($B$54)-MONTH($B$53))))*(1+IF(MONTH(ET$3)=1,'Вводные'!$B$67,IF(AND(MONTH(ET$3)&gt;=5,MONTH(ET$3)&lt;=8),'Вводные'!$B$70,0))),0)</x:f>
      </x:c>
      <x:c r="EU56" t="n">
        <x:f>IF(AND(EU$3&gt;=$B$53,EU$3&lt;EDATE($B$53,MAX(1,'Вводные'!$H$90)),'Вводные'!$B$90="Да"),(1+'Вводные'!$AD$90*'Вводные'!$H$7*MIN(1,(12*(YEAR(EU$3)-YEAR($B$53))+MONTH(EU$3)-MONTH($B$53))/MAX(1,12*(YEAR($B$54)-YEAR($B$53))+MONTH($B$54)-MONTH($B$53))))*(1+IF(MONTH(EU$3)=1,'Вводные'!$B$67,IF(AND(MONTH(EU$3)&gt;=5,MONTH(EU$3)&lt;=8),'Вводные'!$B$70,0))),0)</x:f>
      </x:c>
      <x:c r="EV56" t="n">
        <x:f>IF(AND(EV$3&gt;=$B$53,EV$3&lt;EDATE($B$53,MAX(1,'Вводные'!$H$90)),'Вводные'!$B$90="Да"),(1+'Вводные'!$AD$90*'Вводные'!$H$7*MIN(1,(12*(YEAR(EV$3)-YEAR($B$53))+MONTH(EV$3)-MONTH($B$53))/MAX(1,12*(YEAR($B$54)-YEAR($B$53))+MONTH($B$54)-MONTH($B$53))))*(1+IF(MONTH(EV$3)=1,'Вводные'!$B$67,IF(AND(MONTH(EV$3)&gt;=5,MONTH(EV$3)&lt;=8),'Вводные'!$B$70,0))),0)</x:f>
      </x:c>
      <x:c r="EW56" t="n">
        <x:f>IF(AND(EW$3&gt;=$B$53,EW$3&lt;EDATE($B$53,MAX(1,'Вводные'!$H$90)),'Вводные'!$B$90="Да"),(1+'Вводные'!$AD$90*'Вводные'!$H$7*MIN(1,(12*(YEAR(EW$3)-YEAR($B$53))+MONTH(EW$3)-MONTH($B$53))/MAX(1,12*(YEAR($B$54)-YEAR($B$53))+MONTH($B$54)-MONTH($B$53))))*(1+IF(MONTH(EW$3)=1,'Вводные'!$B$67,IF(AND(MONTH(EW$3)&gt;=5,MONTH(EW$3)&lt;=8),'Вводные'!$B$70,0))),0)</x:f>
      </x:c>
      <x:c r="EX56" t="n">
        <x:f>IF(AND(EX$3&gt;=$B$53,EX$3&lt;EDATE($B$53,MAX(1,'Вводные'!$H$90)),'Вводные'!$B$90="Да"),(1+'Вводные'!$AD$90*'Вводные'!$H$7*MIN(1,(12*(YEAR(EX$3)-YEAR($B$53))+MONTH(EX$3)-MONTH($B$53))/MAX(1,12*(YEAR($B$54)-YEAR($B$53))+MONTH($B$54)-MONTH($B$53))))*(1+IF(MONTH(EX$3)=1,'Вводные'!$B$67,IF(AND(MONTH(EX$3)&gt;=5,MONTH(EX$3)&lt;=8),'Вводные'!$B$70,0))),0)</x:f>
      </x:c>
      <x:c r="EY56" t="n">
        <x:f>IF(AND(EY$3&gt;=$B$53,EY$3&lt;EDATE($B$53,MAX(1,'Вводные'!$H$90)),'Вводные'!$B$90="Да"),(1+'Вводные'!$AD$90*'Вводные'!$H$7*MIN(1,(12*(YEAR(EY$3)-YEAR($B$53))+MONTH(EY$3)-MONTH($B$53))/MAX(1,12*(YEAR($B$54)-YEAR($B$53))+MONTH($B$54)-MONTH($B$53))))*(1+IF(MONTH(EY$3)=1,'Вводные'!$B$67,IF(AND(MONTH(EY$3)&gt;=5,MONTH(EY$3)&lt;=8),'Вводные'!$B$70,0))),0)</x:f>
      </x:c>
      <x:c r="EZ56" t="n">
        <x:f>IF(AND(EZ$3&gt;=$B$53,EZ$3&lt;EDATE($B$53,MAX(1,'Вводные'!$H$90)),'Вводные'!$B$90="Да"),(1+'Вводные'!$AD$90*'Вводные'!$H$7*MIN(1,(12*(YEAR(EZ$3)-YEAR($B$53))+MONTH(EZ$3)-MONTH($B$53))/MAX(1,12*(YEAR($B$54)-YEAR($B$53))+MONTH($B$54)-MONTH($B$53))))*(1+IF(MONTH(EZ$3)=1,'Вводные'!$B$67,IF(AND(MONTH(EZ$3)&gt;=5,MONTH(EZ$3)&lt;=8),'Вводные'!$B$70,0))),0)</x:f>
      </x:c>
      <x:c r="FA56" t="n">
        <x:f>IF(AND(FA$3&gt;=$B$53,FA$3&lt;EDATE($B$53,MAX(1,'Вводные'!$H$90)),'Вводные'!$B$90="Да"),(1+'Вводные'!$AD$90*'Вводные'!$H$7*MIN(1,(12*(YEAR(FA$3)-YEAR($B$53))+MONTH(FA$3)-MONTH($B$53))/MAX(1,12*(YEAR($B$54)-YEAR($B$53))+MONTH($B$54)-MONTH($B$53))))*(1+IF(MONTH(FA$3)=1,'Вводные'!$B$67,IF(AND(MONTH(FA$3)&gt;=5,MONTH(FA$3)&lt;=8),'Вводные'!$B$70,0))),0)</x:f>
      </x:c>
      <x:c r="FB56" t="n">
        <x:f>IF(AND(FB$3&gt;=$B$53,FB$3&lt;EDATE($B$53,MAX(1,'Вводные'!$H$90)),'Вводные'!$B$90="Да"),(1+'Вводные'!$AD$90*'Вводные'!$H$7*MIN(1,(12*(YEAR(FB$3)-YEAR($B$53))+MONTH(FB$3)-MONTH($B$53))/MAX(1,12*(YEAR($B$54)-YEAR($B$53))+MONTH($B$54)-MONTH($B$53))))*(1+IF(MONTH(FB$3)=1,'Вводные'!$B$67,IF(AND(MONTH(FB$3)&gt;=5,MONTH(FB$3)&lt;=8),'Вводные'!$B$70,0))),0)</x:f>
      </x:c>
      <x:c r="FC56" t="n">
        <x:f>IF(AND(FC$3&gt;=$B$53,FC$3&lt;EDATE($B$53,MAX(1,'Вводные'!$H$90)),'Вводные'!$B$90="Да"),(1+'Вводные'!$AD$90*'Вводные'!$H$7*MIN(1,(12*(YEAR(FC$3)-YEAR($B$53))+MONTH(FC$3)-MONTH($B$53))/MAX(1,12*(YEAR($B$54)-YEAR($B$53))+MONTH($B$54)-MONTH($B$53))))*(1+IF(MONTH(FC$3)=1,'Вводные'!$B$67,IF(AND(MONTH(FC$3)&gt;=5,MONTH(FC$3)&lt;=8),'Вводные'!$B$70,0))),0)</x:f>
      </x:c>
      <x:c r="FD56" t="n">
        <x:f>IF(AND(FD$3&gt;=$B$53,FD$3&lt;EDATE($B$53,MAX(1,'Вводные'!$H$90)),'Вводные'!$B$90="Да"),(1+'Вводные'!$AD$90*'Вводные'!$H$7*MIN(1,(12*(YEAR(FD$3)-YEAR($B$53))+MONTH(FD$3)-MONTH($B$53))/MAX(1,12*(YEAR($B$54)-YEAR($B$53))+MONTH($B$54)-MONTH($B$53))))*(1+IF(MONTH(FD$3)=1,'Вводные'!$B$67,IF(AND(MONTH(FD$3)&gt;=5,MONTH(FD$3)&lt;=8),'Вводные'!$B$70,0))),0)</x:f>
      </x:c>
      <x:c r="FE56" t="n">
        <x:f>IF(AND(FE$3&gt;=$B$53,FE$3&lt;EDATE($B$53,MAX(1,'Вводные'!$H$90)),'Вводные'!$B$90="Да"),(1+'Вводные'!$AD$90*'Вводные'!$H$7*MIN(1,(12*(YEAR(FE$3)-YEAR($B$53))+MONTH(FE$3)-MONTH($B$53))/MAX(1,12*(YEAR($B$54)-YEAR($B$53))+MONTH($B$54)-MONTH($B$53))))*(1+IF(MONTH(FE$3)=1,'Вводные'!$B$67,IF(AND(MONTH(FE$3)&gt;=5,MONTH(FE$3)&lt;=8),'Вводные'!$B$70,0))),0)</x:f>
      </x:c>
      <x:c r="FF56" t="n">
        <x:f>IF(AND(FF$3&gt;=$B$53,FF$3&lt;EDATE($B$53,MAX(1,'Вводные'!$H$90)),'Вводные'!$B$90="Да"),(1+'Вводные'!$AD$90*'Вводные'!$H$7*MIN(1,(12*(YEAR(FF$3)-YEAR($B$53))+MONTH(FF$3)-MONTH($B$53))/MAX(1,12*(YEAR($B$54)-YEAR($B$53))+MONTH($B$54)-MONTH($B$53))))*(1+IF(MONTH(FF$3)=1,'Вводные'!$B$67,IF(AND(MONTH(FF$3)&gt;=5,MONTH(FF$3)&lt;=8),'Вводные'!$B$70,0))),0)</x:f>
      </x:c>
      <x:c r="FG56" t="n">
        <x:f>IF(AND(FG$3&gt;=$B$53,FG$3&lt;EDATE($B$53,MAX(1,'Вводные'!$H$90)),'Вводные'!$B$90="Да"),(1+'Вводные'!$AD$90*'Вводные'!$H$7*MIN(1,(12*(YEAR(FG$3)-YEAR($B$53))+MONTH(FG$3)-MONTH($B$53))/MAX(1,12*(YEAR($B$54)-YEAR($B$53))+MONTH($B$54)-MONTH($B$53))))*(1+IF(MONTH(FG$3)=1,'Вводные'!$B$67,IF(AND(MONTH(FG$3)&gt;=5,MONTH(FG$3)&lt;=8),'Вводные'!$B$70,0))),0)</x:f>
      </x:c>
      <x:c r="FH56" t="n">
        <x:f>IF(AND(FH$3&gt;=$B$53,FH$3&lt;EDATE($B$53,MAX(1,'Вводные'!$H$90)),'Вводные'!$B$90="Да"),(1+'Вводные'!$AD$90*'Вводные'!$H$7*MIN(1,(12*(YEAR(FH$3)-YEAR($B$53))+MONTH(FH$3)-MONTH($B$53))/MAX(1,12*(YEAR($B$54)-YEAR($B$53))+MONTH($B$54)-MONTH($B$53))))*(1+IF(MONTH(FH$3)=1,'Вводные'!$B$67,IF(AND(MONTH(FH$3)&gt;=5,MONTH(FH$3)&lt;=8),'Вводные'!$B$70,0))),0)</x:f>
      </x:c>
      <x:c r="FI56" t="n">
        <x:f>IF(AND(FI$3&gt;=$B$53,FI$3&lt;EDATE($B$53,MAX(1,'Вводные'!$H$90)),'Вводные'!$B$90="Да"),(1+'Вводные'!$AD$90*'Вводные'!$H$7*MIN(1,(12*(YEAR(FI$3)-YEAR($B$53))+MONTH(FI$3)-MONTH($B$53))/MAX(1,12*(YEAR($B$54)-YEAR($B$53))+MONTH($B$54)-MONTH($B$53))))*(1+IF(MONTH(FI$3)=1,'Вводные'!$B$67,IF(AND(MONTH(FI$3)&gt;=5,MONTH(FI$3)&lt;=8),'Вводные'!$B$70,0))),0)</x:f>
      </x:c>
      <x:c r="FJ56" t="n">
        <x:f>IF(AND(FJ$3&gt;=$B$53,FJ$3&lt;EDATE($B$53,MAX(1,'Вводные'!$H$90)),'Вводные'!$B$90="Да"),(1+'Вводные'!$AD$90*'Вводные'!$H$7*MIN(1,(12*(YEAR(FJ$3)-YEAR($B$53))+MONTH(FJ$3)-MONTH($B$53))/MAX(1,12*(YEAR($B$54)-YEAR($B$53))+MONTH($B$54)-MONTH($B$53))))*(1+IF(MONTH(FJ$3)=1,'Вводные'!$B$67,IF(AND(MONTH(FJ$3)&gt;=5,MONTH(FJ$3)&lt;=8),'Вводные'!$B$70,0))),0)</x:f>
      </x:c>
      <x:c r="FK56" t="n">
        <x:f>IF(AND(FK$3&gt;=$B$53,FK$3&lt;EDATE($B$53,MAX(1,'Вводные'!$H$90)),'Вводные'!$B$90="Да"),(1+'Вводные'!$AD$90*'Вводные'!$H$7*MIN(1,(12*(YEAR(FK$3)-YEAR($B$53))+MONTH(FK$3)-MONTH($B$53))/MAX(1,12*(YEAR($B$54)-YEAR($B$53))+MONTH($B$54)-MONTH($B$53))))*(1+IF(MONTH(FK$3)=1,'Вводные'!$B$67,IF(AND(MONTH(FK$3)&gt;=5,MONTH(FK$3)&lt;=8),'Вводные'!$B$70,0))),0)</x:f>
      </x:c>
      <x:c r="FL56" t="n">
        <x:f>IF(AND(FL$3&gt;=$B$53,FL$3&lt;EDATE($B$53,MAX(1,'Вводные'!$H$90)),'Вводные'!$B$90="Да"),(1+'Вводные'!$AD$90*'Вводные'!$H$7*MIN(1,(12*(YEAR(FL$3)-YEAR($B$53))+MONTH(FL$3)-MONTH($B$53))/MAX(1,12*(YEAR($B$54)-YEAR($B$53))+MONTH($B$54)-MONTH($B$53))))*(1+IF(MONTH(FL$3)=1,'Вводные'!$B$67,IF(AND(MONTH(FL$3)&gt;=5,MONTH(FL$3)&lt;=8),'Вводные'!$B$70,0))),0)</x:f>
      </x:c>
      <x:c r="FM56" t="n">
        <x:f>IF(AND(FM$3&gt;=$B$53,FM$3&lt;EDATE($B$53,MAX(1,'Вводные'!$H$90)),'Вводные'!$B$90="Да"),(1+'Вводные'!$AD$90*'Вводные'!$H$7*MIN(1,(12*(YEAR(FM$3)-YEAR($B$53))+MONTH(FM$3)-MONTH($B$53))/MAX(1,12*(YEAR($B$54)-YEAR($B$53))+MONTH($B$54)-MONTH($B$53))))*(1+IF(MONTH(FM$3)=1,'Вводные'!$B$67,IF(AND(MONTH(FM$3)&gt;=5,MONTH(FM$3)&lt;=8),'Вводные'!$B$70,0))),0)</x:f>
      </x:c>
      <x:c r="FN56" t="n">
        <x:f>IF(AND(FN$3&gt;=$B$53,FN$3&lt;EDATE($B$53,MAX(1,'Вводные'!$H$90)),'Вводные'!$B$90="Да"),(1+'Вводные'!$AD$90*'Вводные'!$H$7*MIN(1,(12*(YEAR(FN$3)-YEAR($B$53))+MONTH(FN$3)-MONTH($B$53))/MAX(1,12*(YEAR($B$54)-YEAR($B$53))+MONTH($B$54)-MONTH($B$53))))*(1+IF(MONTH(FN$3)=1,'Вводные'!$B$67,IF(AND(MONTH(FN$3)&gt;=5,MONTH(FN$3)&lt;=8),'Вводные'!$B$70,0))),0)</x:f>
      </x:c>
      <x:c r="FO56" t="n">
        <x:f>IF(AND(FO$3&gt;=$B$53,FO$3&lt;EDATE($B$53,MAX(1,'Вводные'!$H$90)),'Вводные'!$B$90="Да"),(1+'Вводные'!$AD$90*'Вводные'!$H$7*MIN(1,(12*(YEAR(FO$3)-YEAR($B$53))+MONTH(FO$3)-MONTH($B$53))/MAX(1,12*(YEAR($B$54)-YEAR($B$53))+MONTH($B$54)-MONTH($B$53))))*(1+IF(MONTH(FO$3)=1,'Вводные'!$B$67,IF(AND(MONTH(FO$3)&gt;=5,MONTH(FO$3)&lt;=8),'Вводные'!$B$70,0))),0)</x:f>
      </x:c>
      <x:c r="FP56" t="n">
        <x:f>IF(AND(FP$3&gt;=$B$53,FP$3&lt;EDATE($B$53,MAX(1,'Вводные'!$H$90)),'Вводные'!$B$90="Да"),(1+'Вводные'!$AD$90*'Вводные'!$H$7*MIN(1,(12*(YEAR(FP$3)-YEAR($B$53))+MONTH(FP$3)-MONTH($B$53))/MAX(1,12*(YEAR($B$54)-YEAR($B$53))+MONTH($B$54)-MONTH($B$53))))*(1+IF(MONTH(FP$3)=1,'Вводные'!$B$67,IF(AND(MONTH(FP$3)&gt;=5,MONTH(FP$3)&lt;=8),'Вводные'!$B$70,0))),0)</x:f>
      </x:c>
      <x:c r="FQ56" t="n">
        <x:f>IF(AND(FQ$3&gt;=$B$53,FQ$3&lt;EDATE($B$53,MAX(1,'Вводные'!$H$90)),'Вводные'!$B$90="Да"),(1+'Вводные'!$AD$90*'Вводные'!$H$7*MIN(1,(12*(YEAR(FQ$3)-YEAR($B$53))+MONTH(FQ$3)-MONTH($B$53))/MAX(1,12*(YEAR($B$54)-YEAR($B$53))+MONTH($B$54)-MONTH($B$53))))*(1+IF(MONTH(FQ$3)=1,'Вводные'!$B$67,IF(AND(MONTH(FQ$3)&gt;=5,MONTH(FQ$3)&lt;=8),'Вводные'!$B$70,0))),0)</x:f>
      </x:c>
      <x:c r="FR56" t="n">
        <x:f>IF(AND(FR$3&gt;=$B$53,FR$3&lt;EDATE($B$53,MAX(1,'Вводные'!$H$90)),'Вводные'!$B$90="Да"),(1+'Вводные'!$AD$90*'Вводные'!$H$7*MIN(1,(12*(YEAR(FR$3)-YEAR($B$53))+MONTH(FR$3)-MONTH($B$53))/MAX(1,12*(YEAR($B$54)-YEAR($B$53))+MONTH($B$54)-MONTH($B$53))))*(1+IF(MONTH(FR$3)=1,'Вводные'!$B$67,IF(AND(MONTH(FR$3)&gt;=5,MONTH(FR$3)&lt;=8),'Вводные'!$B$70,0))),0)</x:f>
      </x:c>
      <x:c r="FS56" t="n">
        <x:f>IF(AND(FS$3&gt;=$B$53,FS$3&lt;EDATE($B$53,MAX(1,'Вводные'!$H$90)),'Вводные'!$B$90="Да"),(1+'Вводные'!$AD$90*'Вводные'!$H$7*MIN(1,(12*(YEAR(FS$3)-YEAR($B$53))+MONTH(FS$3)-MONTH($B$53))/MAX(1,12*(YEAR($B$54)-YEAR($B$53))+MONTH($B$54)-MONTH($B$53))))*(1+IF(MONTH(FS$3)=1,'Вводные'!$B$67,IF(AND(MONTH(FS$3)&gt;=5,MONTH(FS$3)&lt;=8),'Вводные'!$B$70,0))),0)</x:f>
      </x:c>
      <x:c r="FT56" t="n">
        <x:f>IF(AND(FT$3&gt;=$B$53,FT$3&lt;EDATE($B$53,MAX(1,'Вводные'!$H$90)),'Вводные'!$B$90="Да"),(1+'Вводные'!$AD$90*'Вводные'!$H$7*MIN(1,(12*(YEAR(FT$3)-YEAR($B$53))+MONTH(FT$3)-MONTH($B$53))/MAX(1,12*(YEAR($B$54)-YEAR($B$53))+MONTH($B$54)-MONTH($B$53))))*(1+IF(MONTH(FT$3)=1,'Вводные'!$B$67,IF(AND(MONTH(FT$3)&gt;=5,MONTH(FT$3)&lt;=8),'Вводные'!$B$70,0))),0)</x:f>
      </x:c>
      <x:c r="FU56" t="n">
        <x:f>IF(AND(FU$3&gt;=$B$53,FU$3&lt;EDATE($B$53,MAX(1,'Вводные'!$H$90)),'Вводные'!$B$90="Да"),(1+'Вводные'!$AD$90*'Вводные'!$H$7*MIN(1,(12*(YEAR(FU$3)-YEAR($B$53))+MONTH(FU$3)-MONTH($B$53))/MAX(1,12*(YEAR($B$54)-YEAR($B$53))+MONTH($B$54)-MONTH($B$53))))*(1+IF(MONTH(FU$3)=1,'Вводные'!$B$67,IF(AND(MONTH(FU$3)&gt;=5,MONTH(FU$3)&lt;=8),'Вводные'!$B$70,0))),0)</x:f>
      </x:c>
      <x:c r="FV56" t="n">
        <x:f>IF(AND(FV$3&gt;=$B$53,FV$3&lt;EDATE($B$53,MAX(1,'Вводные'!$H$90)),'Вводные'!$B$90="Да"),(1+'Вводные'!$AD$90*'Вводные'!$H$7*MIN(1,(12*(YEAR(FV$3)-YEAR($B$53))+MONTH(FV$3)-MONTH($B$53))/MAX(1,12*(YEAR($B$54)-YEAR($B$53))+MONTH($B$54)-MONTH($B$53))))*(1+IF(MONTH(FV$3)=1,'Вводные'!$B$67,IF(AND(MONTH(FV$3)&gt;=5,MONTH(FV$3)&lt;=8),'Вводные'!$B$70,0))),0)</x:f>
      </x:c>
      <x:c r="FW56" t="n">
        <x:f>IF(AND(FW$3&gt;=$B$53,FW$3&lt;EDATE($B$53,MAX(1,'Вводные'!$H$90)),'Вводные'!$B$90="Да"),(1+'Вводные'!$AD$90*'Вводные'!$H$7*MIN(1,(12*(YEAR(FW$3)-YEAR($B$53))+MONTH(FW$3)-MONTH($B$53))/MAX(1,12*(YEAR($B$54)-YEAR($B$53))+MONTH($B$54)-MONTH($B$53))))*(1+IF(MONTH(FW$3)=1,'Вводные'!$B$67,IF(AND(MONTH(FW$3)&gt;=5,MONTH(FW$3)&lt;=8),'Вводные'!$B$70,0))),0)</x:f>
      </x:c>
      <x:c r="FX56" t="n">
        <x:f>IF(AND(FX$3&gt;=$B$53,FX$3&lt;EDATE($B$53,MAX(1,'Вводные'!$H$90)),'Вводные'!$B$90="Да"),(1+'Вводные'!$AD$90*'Вводные'!$H$7*MIN(1,(12*(YEAR(FX$3)-YEAR($B$53))+MONTH(FX$3)-MONTH($B$53))/MAX(1,12*(YEAR($B$54)-YEAR($B$53))+MONTH($B$54)-MONTH($B$53))))*(1+IF(MONTH(FX$3)=1,'Вводные'!$B$67,IF(AND(MONTH(FX$3)&gt;=5,MONTH(FX$3)&lt;=8),'Вводные'!$B$70,0))),0)</x:f>
      </x:c>
      <x:c r="FY56" t="n">
        <x:f>IF(AND(FY$3&gt;=$B$53,FY$3&lt;EDATE($B$53,MAX(1,'Вводные'!$H$90)),'Вводные'!$B$90="Да"),(1+'Вводные'!$AD$90*'Вводные'!$H$7*MIN(1,(12*(YEAR(FY$3)-YEAR($B$53))+MONTH(FY$3)-MONTH($B$53))/MAX(1,12*(YEAR($B$54)-YEAR($B$53))+MONTH($B$54)-MONTH($B$53))))*(1+IF(MONTH(FY$3)=1,'Вводные'!$B$67,IF(AND(MONTH(FY$3)&gt;=5,MONTH(FY$3)&lt;=8),'Вводные'!$B$70,0))),0)</x:f>
      </x:c>
      <x:c r="FZ56" t="n">
        <x:f>IF(AND(FZ$3&gt;=$B$53,FZ$3&lt;EDATE($B$53,MAX(1,'Вводные'!$H$90)),'Вводные'!$B$90="Да"),(1+'Вводные'!$AD$90*'Вводные'!$H$7*MIN(1,(12*(YEAR(FZ$3)-YEAR($B$53))+MONTH(FZ$3)-MONTH($B$53))/MAX(1,12*(YEAR($B$54)-YEAR($B$53))+MONTH($B$54)-MONTH($B$53))))*(1+IF(MONTH(FZ$3)=1,'Вводные'!$B$67,IF(AND(MONTH(FZ$3)&gt;=5,MONTH(FZ$3)&lt;=8),'Вводные'!$B$70,0))),0)</x:f>
      </x:c>
      <x:c r="GA56" t="n">
        <x:f>IF(AND(GA$3&gt;=$B$53,GA$3&lt;EDATE($B$53,MAX(1,'Вводные'!$H$90)),'Вводные'!$B$90="Да"),(1+'Вводные'!$AD$90*'Вводные'!$H$7*MIN(1,(12*(YEAR(GA$3)-YEAR($B$53))+MONTH(GA$3)-MONTH($B$53))/MAX(1,12*(YEAR($B$54)-YEAR($B$53))+MONTH($B$54)-MONTH($B$53))))*(1+IF(MONTH(GA$3)=1,'Вводные'!$B$67,IF(AND(MONTH(GA$3)&gt;=5,MONTH(GA$3)&lt;=8),'Вводные'!$B$70,0))),0)</x:f>
      </x:c>
    </x:row>
    <x:row r="57">
      <x:c r="A57" t="str">
        <x:v>Нормированный вес до РВЭ</x:v>
      </x:c>
      <x:c r="B57" t="n">
        <x:f>SUM(D57:GA57)</x:f>
      </x:c>
      <x:c r="C57" t="str">
        <x:v>%</x:v>
      </x:c>
      <x:c r="D57" s="35" t="n">
        <x:f>IFERROR(D56*D55/SUMPRODUCT($D56:$GA56,$D55:$GA55),0)</x:f>
      </x:c>
      <x:c r="E57" s="35" t="n">
        <x:f>IFERROR(E56*E55/SUMPRODUCT($D56:$GA56,$D55:$GA55),0)</x:f>
      </x:c>
      <x:c r="F57" s="35" t="n">
        <x:f>IFERROR(F56*F55/SUMPRODUCT($D56:$GA56,$D55:$GA55),0)</x:f>
      </x:c>
      <x:c r="G57" s="35" t="n">
        <x:f>IFERROR(G56*G55/SUMPRODUCT($D56:$GA56,$D55:$GA55),0)</x:f>
      </x:c>
      <x:c r="H57" s="35" t="n">
        <x:f>IFERROR(H56*H55/SUMPRODUCT($D56:$GA56,$D55:$GA55),0)</x:f>
      </x:c>
      <x:c r="I57" s="35" t="n">
        <x:f>IFERROR(I56*I55/SUMPRODUCT($D56:$GA56,$D55:$GA55),0)</x:f>
      </x:c>
      <x:c r="J57" s="35" t="n">
        <x:f>IFERROR(J56*J55/SUMPRODUCT($D56:$GA56,$D55:$GA55),0)</x:f>
      </x:c>
      <x:c r="K57" s="35" t="n">
        <x:f>IFERROR(K56*K55/SUMPRODUCT($D56:$GA56,$D55:$GA55),0)</x:f>
      </x:c>
      <x:c r="L57" s="35" t="n">
        <x:f>IFERROR(L56*L55/SUMPRODUCT($D56:$GA56,$D55:$GA55),0)</x:f>
      </x:c>
      <x:c r="M57" s="35" t="n">
        <x:f>IFERROR(M56*M55/SUMPRODUCT($D56:$GA56,$D55:$GA55),0)</x:f>
      </x:c>
      <x:c r="N57" s="35" t="n">
        <x:f>IFERROR(N56*N55/SUMPRODUCT($D56:$GA56,$D55:$GA55),0)</x:f>
      </x:c>
      <x:c r="O57" s="35" t="n">
        <x:f>IFERROR(O56*O55/SUMPRODUCT($D56:$GA56,$D55:$GA55),0)</x:f>
      </x:c>
      <x:c r="P57" s="35" t="n">
        <x:f>IFERROR(P56*P55/SUMPRODUCT($D56:$GA56,$D55:$GA55),0)</x:f>
      </x:c>
      <x:c r="Q57" s="35" t="n">
        <x:f>IFERROR(Q56*Q55/SUMPRODUCT($D56:$GA56,$D55:$GA55),0)</x:f>
      </x:c>
      <x:c r="R57" s="35" t="n">
        <x:f>IFERROR(R56*R55/SUMPRODUCT($D56:$GA56,$D55:$GA55),0)</x:f>
      </x:c>
      <x:c r="S57" s="35" t="n">
        <x:f>IFERROR(S56*S55/SUMPRODUCT($D56:$GA56,$D55:$GA55),0)</x:f>
      </x:c>
      <x:c r="T57" s="35" t="n">
        <x:f>IFERROR(T56*T55/SUMPRODUCT($D56:$GA56,$D55:$GA55),0)</x:f>
      </x:c>
      <x:c r="U57" s="35" t="n">
        <x:f>IFERROR(U56*U55/SUMPRODUCT($D56:$GA56,$D55:$GA55),0)</x:f>
      </x:c>
      <x:c r="V57" s="35" t="n">
        <x:f>IFERROR(V56*V55/SUMPRODUCT($D56:$GA56,$D55:$GA55),0)</x:f>
      </x:c>
      <x:c r="W57" s="35" t="n">
        <x:f>IFERROR(W56*W55/SUMPRODUCT($D56:$GA56,$D55:$GA55),0)</x:f>
      </x:c>
      <x:c r="X57" s="35" t="n">
        <x:f>IFERROR(X56*X55/SUMPRODUCT($D56:$GA56,$D55:$GA55),0)</x:f>
      </x:c>
      <x:c r="Y57" s="35" t="n">
        <x:f>IFERROR(Y56*Y55/SUMPRODUCT($D56:$GA56,$D55:$GA55),0)</x:f>
      </x:c>
      <x:c r="Z57" s="35" t="n">
        <x:f>IFERROR(Z56*Z55/SUMPRODUCT($D56:$GA56,$D55:$GA55),0)</x:f>
      </x:c>
      <x:c r="AA57" s="35" t="n">
        <x:f>IFERROR(AA56*AA55/SUMPRODUCT($D56:$GA56,$D55:$GA55),0)</x:f>
      </x:c>
      <x:c r="AB57" s="35" t="n">
        <x:f>IFERROR(AB56*AB55/SUMPRODUCT($D56:$GA56,$D55:$GA55),0)</x:f>
      </x:c>
      <x:c r="AC57" s="35" t="n">
        <x:f>IFERROR(AC56*AC55/SUMPRODUCT($D56:$GA56,$D55:$GA55),0)</x:f>
      </x:c>
      <x:c r="AD57" s="35" t="n">
        <x:f>IFERROR(AD56*AD55/SUMPRODUCT($D56:$GA56,$D55:$GA55),0)</x:f>
      </x:c>
      <x:c r="AE57" s="35" t="n">
        <x:f>IFERROR(AE56*AE55/SUMPRODUCT($D56:$GA56,$D55:$GA55),0)</x:f>
      </x:c>
      <x:c r="AF57" s="35" t="n">
        <x:f>IFERROR(AF56*AF55/SUMPRODUCT($D56:$GA56,$D55:$GA55),0)</x:f>
      </x:c>
      <x:c r="AG57" s="35" t="n">
        <x:f>IFERROR(AG56*AG55/SUMPRODUCT($D56:$GA56,$D55:$GA55),0)</x:f>
      </x:c>
      <x:c r="AH57" s="35" t="n">
        <x:f>IFERROR(AH56*AH55/SUMPRODUCT($D56:$GA56,$D55:$GA55),0)</x:f>
      </x:c>
      <x:c r="AI57" s="35" t="n">
        <x:f>IFERROR(AI56*AI55/SUMPRODUCT($D56:$GA56,$D55:$GA55),0)</x:f>
      </x:c>
      <x:c r="AJ57" s="35" t="n">
        <x:f>IFERROR(AJ56*AJ55/SUMPRODUCT($D56:$GA56,$D55:$GA55),0)</x:f>
      </x:c>
      <x:c r="AK57" s="35" t="n">
        <x:f>IFERROR(AK56*AK55/SUMPRODUCT($D56:$GA56,$D55:$GA55),0)</x:f>
      </x:c>
      <x:c r="AL57" s="35" t="n">
        <x:f>IFERROR(AL56*AL55/SUMPRODUCT($D56:$GA56,$D55:$GA55),0)</x:f>
      </x:c>
      <x:c r="AM57" s="35" t="n">
        <x:f>IFERROR(AM56*AM55/SUMPRODUCT($D56:$GA56,$D55:$GA55),0)</x:f>
      </x:c>
      <x:c r="AN57" s="35" t="n">
        <x:f>IFERROR(AN56*AN55/SUMPRODUCT($D56:$GA56,$D55:$GA55),0)</x:f>
      </x:c>
      <x:c r="AO57" s="35" t="n">
        <x:f>IFERROR(AO56*AO55/SUMPRODUCT($D56:$GA56,$D55:$GA55),0)</x:f>
      </x:c>
      <x:c r="AP57" s="35" t="n">
        <x:f>IFERROR(AP56*AP55/SUMPRODUCT($D56:$GA56,$D55:$GA55),0)</x:f>
      </x:c>
      <x:c r="AQ57" s="35" t="n">
        <x:f>IFERROR(AQ56*AQ55/SUMPRODUCT($D56:$GA56,$D55:$GA55),0)</x:f>
      </x:c>
      <x:c r="AR57" s="35" t="n">
        <x:f>IFERROR(AR56*AR55/SUMPRODUCT($D56:$GA56,$D55:$GA55),0)</x:f>
      </x:c>
      <x:c r="AS57" s="35" t="n">
        <x:f>IFERROR(AS56*AS55/SUMPRODUCT($D56:$GA56,$D55:$GA55),0)</x:f>
      </x:c>
      <x:c r="AT57" s="35" t="n">
        <x:f>IFERROR(AT56*AT55/SUMPRODUCT($D56:$GA56,$D55:$GA55),0)</x:f>
      </x:c>
      <x:c r="AU57" s="35" t="n">
        <x:f>IFERROR(AU56*AU55/SUMPRODUCT($D56:$GA56,$D55:$GA55),0)</x:f>
      </x:c>
      <x:c r="AV57" s="35" t="n">
        <x:f>IFERROR(AV56*AV55/SUMPRODUCT($D56:$GA56,$D55:$GA55),0)</x:f>
      </x:c>
      <x:c r="AW57" s="35" t="n">
        <x:f>IFERROR(AW56*AW55/SUMPRODUCT($D56:$GA56,$D55:$GA55),0)</x:f>
      </x:c>
      <x:c r="AX57" s="35" t="n">
        <x:f>IFERROR(AX56*AX55/SUMPRODUCT($D56:$GA56,$D55:$GA55),0)</x:f>
      </x:c>
      <x:c r="AY57" s="35" t="n">
        <x:f>IFERROR(AY56*AY55/SUMPRODUCT($D56:$GA56,$D55:$GA55),0)</x:f>
      </x:c>
      <x:c r="AZ57" s="35" t="n">
        <x:f>IFERROR(AZ56*AZ55/SUMPRODUCT($D56:$GA56,$D55:$GA55),0)</x:f>
      </x:c>
      <x:c r="BA57" s="35" t="n">
        <x:f>IFERROR(BA56*BA55/SUMPRODUCT($D56:$GA56,$D55:$GA55),0)</x:f>
      </x:c>
      <x:c r="BB57" s="35" t="n">
        <x:f>IFERROR(BB56*BB55/SUMPRODUCT($D56:$GA56,$D55:$GA55),0)</x:f>
      </x:c>
      <x:c r="BC57" s="35" t="n">
        <x:f>IFERROR(BC56*BC55/SUMPRODUCT($D56:$GA56,$D55:$GA55),0)</x:f>
      </x:c>
      <x:c r="BD57" s="35" t="n">
        <x:f>IFERROR(BD56*BD55/SUMPRODUCT($D56:$GA56,$D55:$GA55),0)</x:f>
      </x:c>
      <x:c r="BE57" s="35" t="n">
        <x:f>IFERROR(BE56*BE55/SUMPRODUCT($D56:$GA56,$D55:$GA55),0)</x:f>
      </x:c>
      <x:c r="BF57" s="35" t="n">
        <x:f>IFERROR(BF56*BF55/SUMPRODUCT($D56:$GA56,$D55:$GA55),0)</x:f>
      </x:c>
      <x:c r="BG57" s="35" t="n">
        <x:f>IFERROR(BG56*BG55/SUMPRODUCT($D56:$GA56,$D55:$GA55),0)</x:f>
      </x:c>
      <x:c r="BH57" s="35" t="n">
        <x:f>IFERROR(BH56*BH55/SUMPRODUCT($D56:$GA56,$D55:$GA55),0)</x:f>
      </x:c>
      <x:c r="BI57" s="35" t="n">
        <x:f>IFERROR(BI56*BI55/SUMPRODUCT($D56:$GA56,$D55:$GA55),0)</x:f>
      </x:c>
      <x:c r="BJ57" s="35" t="n">
        <x:f>IFERROR(BJ56*BJ55/SUMPRODUCT($D56:$GA56,$D55:$GA55),0)</x:f>
      </x:c>
      <x:c r="BK57" s="35" t="n">
        <x:f>IFERROR(BK56*BK55/SUMPRODUCT($D56:$GA56,$D55:$GA55),0)</x:f>
      </x:c>
      <x:c r="BL57" s="35" t="n">
        <x:f>IFERROR(BL56*BL55/SUMPRODUCT($D56:$GA56,$D55:$GA55),0)</x:f>
      </x:c>
      <x:c r="BM57" s="35" t="n">
        <x:f>IFERROR(BM56*BM55/SUMPRODUCT($D56:$GA56,$D55:$GA55),0)</x:f>
      </x:c>
      <x:c r="BN57" s="35" t="n">
        <x:f>IFERROR(BN56*BN55/SUMPRODUCT($D56:$GA56,$D55:$GA55),0)</x:f>
      </x:c>
      <x:c r="BO57" s="35" t="n">
        <x:f>IFERROR(BO56*BO55/SUMPRODUCT($D56:$GA56,$D55:$GA55),0)</x:f>
      </x:c>
      <x:c r="BP57" s="35" t="n">
        <x:f>IFERROR(BP56*BP55/SUMPRODUCT($D56:$GA56,$D55:$GA55),0)</x:f>
      </x:c>
      <x:c r="BQ57" s="35" t="n">
        <x:f>IFERROR(BQ56*BQ55/SUMPRODUCT($D56:$GA56,$D55:$GA55),0)</x:f>
      </x:c>
      <x:c r="BR57" s="35" t="n">
        <x:f>IFERROR(BR56*BR55/SUMPRODUCT($D56:$GA56,$D55:$GA55),0)</x:f>
      </x:c>
      <x:c r="BS57" s="35" t="n">
        <x:f>IFERROR(BS56*BS55/SUMPRODUCT($D56:$GA56,$D55:$GA55),0)</x:f>
      </x:c>
      <x:c r="BT57" s="35" t="n">
        <x:f>IFERROR(BT56*BT55/SUMPRODUCT($D56:$GA56,$D55:$GA55),0)</x:f>
      </x:c>
      <x:c r="BU57" s="35" t="n">
        <x:f>IFERROR(BU56*BU55/SUMPRODUCT($D56:$GA56,$D55:$GA55),0)</x:f>
      </x:c>
      <x:c r="BV57" s="35" t="n">
        <x:f>IFERROR(BV56*BV55/SUMPRODUCT($D56:$GA56,$D55:$GA55),0)</x:f>
      </x:c>
      <x:c r="BW57" s="35" t="n">
        <x:f>IFERROR(BW56*BW55/SUMPRODUCT($D56:$GA56,$D55:$GA55),0)</x:f>
      </x:c>
      <x:c r="BX57" s="35" t="n">
        <x:f>IFERROR(BX56*BX55/SUMPRODUCT($D56:$GA56,$D55:$GA55),0)</x:f>
      </x:c>
      <x:c r="BY57" s="35" t="n">
        <x:f>IFERROR(BY56*BY55/SUMPRODUCT($D56:$GA56,$D55:$GA55),0)</x:f>
      </x:c>
      <x:c r="BZ57" s="35" t="n">
        <x:f>IFERROR(BZ56*BZ55/SUMPRODUCT($D56:$GA56,$D55:$GA55),0)</x:f>
      </x:c>
      <x:c r="CA57" s="35" t="n">
        <x:f>IFERROR(CA56*CA55/SUMPRODUCT($D56:$GA56,$D55:$GA55),0)</x:f>
      </x:c>
      <x:c r="CB57" s="35" t="n">
        <x:f>IFERROR(CB56*CB55/SUMPRODUCT($D56:$GA56,$D55:$GA55),0)</x:f>
      </x:c>
      <x:c r="CC57" s="35" t="n">
        <x:f>IFERROR(CC56*CC55/SUMPRODUCT($D56:$GA56,$D55:$GA55),0)</x:f>
      </x:c>
      <x:c r="CD57" s="35" t="n">
        <x:f>IFERROR(CD56*CD55/SUMPRODUCT($D56:$GA56,$D55:$GA55),0)</x:f>
      </x:c>
      <x:c r="CE57" s="35" t="n">
        <x:f>IFERROR(CE56*CE55/SUMPRODUCT($D56:$GA56,$D55:$GA55),0)</x:f>
      </x:c>
      <x:c r="CF57" s="35" t="n">
        <x:f>IFERROR(CF56*CF55/SUMPRODUCT($D56:$GA56,$D55:$GA55),0)</x:f>
      </x:c>
      <x:c r="CG57" s="35" t="n">
        <x:f>IFERROR(CG56*CG55/SUMPRODUCT($D56:$GA56,$D55:$GA55),0)</x:f>
      </x:c>
      <x:c r="CH57" s="35" t="n">
        <x:f>IFERROR(CH56*CH55/SUMPRODUCT($D56:$GA56,$D55:$GA55),0)</x:f>
      </x:c>
      <x:c r="CI57" s="35" t="n">
        <x:f>IFERROR(CI56*CI55/SUMPRODUCT($D56:$GA56,$D55:$GA55),0)</x:f>
      </x:c>
      <x:c r="CJ57" s="35" t="n">
        <x:f>IFERROR(CJ56*CJ55/SUMPRODUCT($D56:$GA56,$D55:$GA55),0)</x:f>
      </x:c>
      <x:c r="CK57" s="35" t="n">
        <x:f>IFERROR(CK56*CK55/SUMPRODUCT($D56:$GA56,$D55:$GA55),0)</x:f>
      </x:c>
      <x:c r="CL57" s="35" t="n">
        <x:f>IFERROR(CL56*CL55/SUMPRODUCT($D56:$GA56,$D55:$GA55),0)</x:f>
      </x:c>
      <x:c r="CM57" s="35" t="n">
        <x:f>IFERROR(CM56*CM55/SUMPRODUCT($D56:$GA56,$D55:$GA55),0)</x:f>
      </x:c>
      <x:c r="CN57" s="35" t="n">
        <x:f>IFERROR(CN56*CN55/SUMPRODUCT($D56:$GA56,$D55:$GA55),0)</x:f>
      </x:c>
      <x:c r="CO57" s="35" t="n">
        <x:f>IFERROR(CO56*CO55/SUMPRODUCT($D56:$GA56,$D55:$GA55),0)</x:f>
      </x:c>
      <x:c r="CP57" s="35" t="n">
        <x:f>IFERROR(CP56*CP55/SUMPRODUCT($D56:$GA56,$D55:$GA55),0)</x:f>
      </x:c>
      <x:c r="CQ57" s="35" t="n">
        <x:f>IFERROR(CQ56*CQ55/SUMPRODUCT($D56:$GA56,$D55:$GA55),0)</x:f>
      </x:c>
      <x:c r="CR57" s="35" t="n">
        <x:f>IFERROR(CR56*CR55/SUMPRODUCT($D56:$GA56,$D55:$GA55),0)</x:f>
      </x:c>
      <x:c r="CS57" s="35" t="n">
        <x:f>IFERROR(CS56*CS55/SUMPRODUCT($D56:$GA56,$D55:$GA55),0)</x:f>
      </x:c>
      <x:c r="CT57" s="35" t="n">
        <x:f>IFERROR(CT56*CT55/SUMPRODUCT($D56:$GA56,$D55:$GA55),0)</x:f>
      </x:c>
      <x:c r="CU57" s="35" t="n">
        <x:f>IFERROR(CU56*CU55/SUMPRODUCT($D56:$GA56,$D55:$GA55),0)</x:f>
      </x:c>
      <x:c r="CV57" s="35" t="n">
        <x:f>IFERROR(CV56*CV55/SUMPRODUCT($D56:$GA56,$D55:$GA55),0)</x:f>
      </x:c>
      <x:c r="CW57" s="35" t="n">
        <x:f>IFERROR(CW56*CW55/SUMPRODUCT($D56:$GA56,$D55:$GA55),0)</x:f>
      </x:c>
      <x:c r="CX57" s="35" t="n">
        <x:f>IFERROR(CX56*CX55/SUMPRODUCT($D56:$GA56,$D55:$GA55),0)</x:f>
      </x:c>
      <x:c r="CY57" s="35" t="n">
        <x:f>IFERROR(CY56*CY55/SUMPRODUCT($D56:$GA56,$D55:$GA55),0)</x:f>
      </x:c>
      <x:c r="CZ57" s="35" t="n">
        <x:f>IFERROR(CZ56*CZ55/SUMPRODUCT($D56:$GA56,$D55:$GA55),0)</x:f>
      </x:c>
      <x:c r="DA57" s="35" t="n">
        <x:f>IFERROR(DA56*DA55/SUMPRODUCT($D56:$GA56,$D55:$GA55),0)</x:f>
      </x:c>
      <x:c r="DB57" s="35" t="n">
        <x:f>IFERROR(DB56*DB55/SUMPRODUCT($D56:$GA56,$D55:$GA55),0)</x:f>
      </x:c>
      <x:c r="DC57" s="35" t="n">
        <x:f>IFERROR(DC56*DC55/SUMPRODUCT($D56:$GA56,$D55:$GA55),0)</x:f>
      </x:c>
      <x:c r="DD57" s="35" t="n">
        <x:f>IFERROR(DD56*DD55/SUMPRODUCT($D56:$GA56,$D55:$GA55),0)</x:f>
      </x:c>
      <x:c r="DE57" s="35" t="n">
        <x:f>IFERROR(DE56*DE55/SUMPRODUCT($D56:$GA56,$D55:$GA55),0)</x:f>
      </x:c>
      <x:c r="DF57" s="35" t="n">
        <x:f>IFERROR(DF56*DF55/SUMPRODUCT($D56:$GA56,$D55:$GA55),0)</x:f>
      </x:c>
      <x:c r="DG57" s="35" t="n">
        <x:f>IFERROR(DG56*DG55/SUMPRODUCT($D56:$GA56,$D55:$GA55),0)</x:f>
      </x:c>
      <x:c r="DH57" s="35" t="n">
        <x:f>IFERROR(DH56*DH55/SUMPRODUCT($D56:$GA56,$D55:$GA55),0)</x:f>
      </x:c>
      <x:c r="DI57" s="35" t="n">
        <x:f>IFERROR(DI56*DI55/SUMPRODUCT($D56:$GA56,$D55:$GA55),0)</x:f>
      </x:c>
      <x:c r="DJ57" s="35" t="n">
        <x:f>IFERROR(DJ56*DJ55/SUMPRODUCT($D56:$GA56,$D55:$GA55),0)</x:f>
      </x:c>
      <x:c r="DK57" s="35" t="n">
        <x:f>IFERROR(DK56*DK55/SUMPRODUCT($D56:$GA56,$D55:$GA55),0)</x:f>
      </x:c>
      <x:c r="DL57" s="35" t="n">
        <x:f>IFERROR(DL56*DL55/SUMPRODUCT($D56:$GA56,$D55:$GA55),0)</x:f>
      </x:c>
      <x:c r="DM57" s="35" t="n">
        <x:f>IFERROR(DM56*DM55/SUMPRODUCT($D56:$GA56,$D55:$GA55),0)</x:f>
      </x:c>
      <x:c r="DN57" s="35" t="n">
        <x:f>IFERROR(DN56*DN55/SUMPRODUCT($D56:$GA56,$D55:$GA55),0)</x:f>
      </x:c>
      <x:c r="DO57" s="35" t="n">
        <x:f>IFERROR(DO56*DO55/SUMPRODUCT($D56:$GA56,$D55:$GA55),0)</x:f>
      </x:c>
      <x:c r="DP57" s="35" t="n">
        <x:f>IFERROR(DP56*DP55/SUMPRODUCT($D56:$GA56,$D55:$GA55),0)</x:f>
      </x:c>
      <x:c r="DQ57" s="35" t="n">
        <x:f>IFERROR(DQ56*DQ55/SUMPRODUCT($D56:$GA56,$D55:$GA55),0)</x:f>
      </x:c>
      <x:c r="DR57" s="35" t="n">
        <x:f>IFERROR(DR56*DR55/SUMPRODUCT($D56:$GA56,$D55:$GA55),0)</x:f>
      </x:c>
      <x:c r="DS57" s="35" t="n">
        <x:f>IFERROR(DS56*DS55/SUMPRODUCT($D56:$GA56,$D55:$GA55),0)</x:f>
      </x:c>
      <x:c r="DT57" s="35" t="n">
        <x:f>IFERROR(DT56*DT55/SUMPRODUCT($D56:$GA56,$D55:$GA55),0)</x:f>
      </x:c>
      <x:c r="DU57" s="35" t="n">
        <x:f>IFERROR(DU56*DU55/SUMPRODUCT($D56:$GA56,$D55:$GA55),0)</x:f>
      </x:c>
      <x:c r="DV57" s="35" t="n">
        <x:f>IFERROR(DV56*DV55/SUMPRODUCT($D56:$GA56,$D55:$GA55),0)</x:f>
      </x:c>
      <x:c r="DW57" s="35" t="n">
        <x:f>IFERROR(DW56*DW55/SUMPRODUCT($D56:$GA56,$D55:$GA55),0)</x:f>
      </x:c>
      <x:c r="DX57" s="35" t="n">
        <x:f>IFERROR(DX56*DX55/SUMPRODUCT($D56:$GA56,$D55:$GA55),0)</x:f>
      </x:c>
      <x:c r="DY57" s="35" t="n">
        <x:f>IFERROR(DY56*DY55/SUMPRODUCT($D56:$GA56,$D55:$GA55),0)</x:f>
      </x:c>
      <x:c r="DZ57" s="35" t="n">
        <x:f>IFERROR(DZ56*DZ55/SUMPRODUCT($D56:$GA56,$D55:$GA55),0)</x:f>
      </x:c>
      <x:c r="EA57" s="35" t="n">
        <x:f>IFERROR(EA56*EA55/SUMPRODUCT($D56:$GA56,$D55:$GA55),0)</x:f>
      </x:c>
      <x:c r="EB57" s="35" t="n">
        <x:f>IFERROR(EB56*EB55/SUMPRODUCT($D56:$GA56,$D55:$GA55),0)</x:f>
      </x:c>
      <x:c r="EC57" s="35" t="n">
        <x:f>IFERROR(EC56*EC55/SUMPRODUCT($D56:$GA56,$D55:$GA55),0)</x:f>
      </x:c>
      <x:c r="ED57" s="35" t="n">
        <x:f>IFERROR(ED56*ED55/SUMPRODUCT($D56:$GA56,$D55:$GA55),0)</x:f>
      </x:c>
      <x:c r="EE57" s="35" t="n">
        <x:f>IFERROR(EE56*EE55/SUMPRODUCT($D56:$GA56,$D55:$GA55),0)</x:f>
      </x:c>
      <x:c r="EF57" s="35" t="n">
        <x:f>IFERROR(EF56*EF55/SUMPRODUCT($D56:$GA56,$D55:$GA55),0)</x:f>
      </x:c>
      <x:c r="EG57" s="35" t="n">
        <x:f>IFERROR(EG56*EG55/SUMPRODUCT($D56:$GA56,$D55:$GA55),0)</x:f>
      </x:c>
      <x:c r="EH57" s="35" t="n">
        <x:f>IFERROR(EH56*EH55/SUMPRODUCT($D56:$GA56,$D55:$GA55),0)</x:f>
      </x:c>
      <x:c r="EI57" s="35" t="n">
        <x:f>IFERROR(EI56*EI55/SUMPRODUCT($D56:$GA56,$D55:$GA55),0)</x:f>
      </x:c>
      <x:c r="EJ57" s="35" t="n">
        <x:f>IFERROR(EJ56*EJ55/SUMPRODUCT($D56:$GA56,$D55:$GA55),0)</x:f>
      </x:c>
      <x:c r="EK57" s="35" t="n">
        <x:f>IFERROR(EK56*EK55/SUMPRODUCT($D56:$GA56,$D55:$GA55),0)</x:f>
      </x:c>
      <x:c r="EL57" s="35" t="n">
        <x:f>IFERROR(EL56*EL55/SUMPRODUCT($D56:$GA56,$D55:$GA55),0)</x:f>
      </x:c>
      <x:c r="EM57" s="35" t="n">
        <x:f>IFERROR(EM56*EM55/SUMPRODUCT($D56:$GA56,$D55:$GA55),0)</x:f>
      </x:c>
      <x:c r="EN57" s="35" t="n">
        <x:f>IFERROR(EN56*EN55/SUMPRODUCT($D56:$GA56,$D55:$GA55),0)</x:f>
      </x:c>
      <x:c r="EO57" s="35" t="n">
        <x:f>IFERROR(EO56*EO55/SUMPRODUCT($D56:$GA56,$D55:$GA55),0)</x:f>
      </x:c>
      <x:c r="EP57" s="35" t="n">
        <x:f>IFERROR(EP56*EP55/SUMPRODUCT($D56:$GA56,$D55:$GA55),0)</x:f>
      </x:c>
      <x:c r="EQ57" s="35" t="n">
        <x:f>IFERROR(EQ56*EQ55/SUMPRODUCT($D56:$GA56,$D55:$GA55),0)</x:f>
      </x:c>
      <x:c r="ER57" s="35" t="n">
        <x:f>IFERROR(ER56*ER55/SUMPRODUCT($D56:$GA56,$D55:$GA55),0)</x:f>
      </x:c>
      <x:c r="ES57" s="35" t="n">
        <x:f>IFERROR(ES56*ES55/SUMPRODUCT($D56:$GA56,$D55:$GA55),0)</x:f>
      </x:c>
      <x:c r="ET57" s="35" t="n">
        <x:f>IFERROR(ET56*ET55/SUMPRODUCT($D56:$GA56,$D55:$GA55),0)</x:f>
      </x:c>
      <x:c r="EU57" s="35" t="n">
        <x:f>IFERROR(EU56*EU55/SUMPRODUCT($D56:$GA56,$D55:$GA55),0)</x:f>
      </x:c>
      <x:c r="EV57" s="35" t="n">
        <x:f>IFERROR(EV56*EV55/SUMPRODUCT($D56:$GA56,$D55:$GA55),0)</x:f>
      </x:c>
      <x:c r="EW57" s="35" t="n">
        <x:f>IFERROR(EW56*EW55/SUMPRODUCT($D56:$GA56,$D55:$GA55),0)</x:f>
      </x:c>
      <x:c r="EX57" s="35" t="n">
        <x:f>IFERROR(EX56*EX55/SUMPRODUCT($D56:$GA56,$D55:$GA55),0)</x:f>
      </x:c>
      <x:c r="EY57" s="35" t="n">
        <x:f>IFERROR(EY56*EY55/SUMPRODUCT($D56:$GA56,$D55:$GA55),0)</x:f>
      </x:c>
      <x:c r="EZ57" s="35" t="n">
        <x:f>IFERROR(EZ56*EZ55/SUMPRODUCT($D56:$GA56,$D55:$GA55),0)</x:f>
      </x:c>
      <x:c r="FA57" s="35" t="n">
        <x:f>IFERROR(FA56*FA55/SUMPRODUCT($D56:$GA56,$D55:$GA55),0)</x:f>
      </x:c>
      <x:c r="FB57" s="35" t="n">
        <x:f>IFERROR(FB56*FB55/SUMPRODUCT($D56:$GA56,$D55:$GA55),0)</x:f>
      </x:c>
      <x:c r="FC57" s="35" t="n">
        <x:f>IFERROR(FC56*FC55/SUMPRODUCT($D56:$GA56,$D55:$GA55),0)</x:f>
      </x:c>
      <x:c r="FD57" s="35" t="n">
        <x:f>IFERROR(FD56*FD55/SUMPRODUCT($D56:$GA56,$D55:$GA55),0)</x:f>
      </x:c>
      <x:c r="FE57" s="35" t="n">
        <x:f>IFERROR(FE56*FE55/SUMPRODUCT($D56:$GA56,$D55:$GA55),0)</x:f>
      </x:c>
      <x:c r="FF57" s="35" t="n">
        <x:f>IFERROR(FF56*FF55/SUMPRODUCT($D56:$GA56,$D55:$GA55),0)</x:f>
      </x:c>
      <x:c r="FG57" s="35" t="n">
        <x:f>IFERROR(FG56*FG55/SUMPRODUCT($D56:$GA56,$D55:$GA55),0)</x:f>
      </x:c>
      <x:c r="FH57" s="35" t="n">
        <x:f>IFERROR(FH56*FH55/SUMPRODUCT($D56:$GA56,$D55:$GA55),0)</x:f>
      </x:c>
      <x:c r="FI57" s="35" t="n">
        <x:f>IFERROR(FI56*FI55/SUMPRODUCT($D56:$GA56,$D55:$GA55),0)</x:f>
      </x:c>
      <x:c r="FJ57" s="35" t="n">
        <x:f>IFERROR(FJ56*FJ55/SUMPRODUCT($D56:$GA56,$D55:$GA55),0)</x:f>
      </x:c>
      <x:c r="FK57" s="35" t="n">
        <x:f>IFERROR(FK56*FK55/SUMPRODUCT($D56:$GA56,$D55:$GA55),0)</x:f>
      </x:c>
      <x:c r="FL57" s="35" t="n">
        <x:f>IFERROR(FL56*FL55/SUMPRODUCT($D56:$GA56,$D55:$GA55),0)</x:f>
      </x:c>
      <x:c r="FM57" s="35" t="n">
        <x:f>IFERROR(FM56*FM55/SUMPRODUCT($D56:$GA56,$D55:$GA55),0)</x:f>
      </x:c>
      <x:c r="FN57" s="35" t="n">
        <x:f>IFERROR(FN56*FN55/SUMPRODUCT($D56:$GA56,$D55:$GA55),0)</x:f>
      </x:c>
      <x:c r="FO57" s="35" t="n">
        <x:f>IFERROR(FO56*FO55/SUMPRODUCT($D56:$GA56,$D55:$GA55),0)</x:f>
      </x:c>
      <x:c r="FP57" s="35" t="n">
        <x:f>IFERROR(FP56*FP55/SUMPRODUCT($D56:$GA56,$D55:$GA55),0)</x:f>
      </x:c>
      <x:c r="FQ57" s="35" t="n">
        <x:f>IFERROR(FQ56*FQ55/SUMPRODUCT($D56:$GA56,$D55:$GA55),0)</x:f>
      </x:c>
      <x:c r="FR57" s="35" t="n">
        <x:f>IFERROR(FR56*FR55/SUMPRODUCT($D56:$GA56,$D55:$GA55),0)</x:f>
      </x:c>
      <x:c r="FS57" s="35" t="n">
        <x:f>IFERROR(FS56*FS55/SUMPRODUCT($D56:$GA56,$D55:$GA55),0)</x:f>
      </x:c>
      <x:c r="FT57" s="35" t="n">
        <x:f>IFERROR(FT56*FT55/SUMPRODUCT($D56:$GA56,$D55:$GA55),0)</x:f>
      </x:c>
      <x:c r="FU57" s="35" t="n">
        <x:f>IFERROR(FU56*FU55/SUMPRODUCT($D56:$GA56,$D55:$GA55),0)</x:f>
      </x:c>
      <x:c r="FV57" s="35" t="n">
        <x:f>IFERROR(FV56*FV55/SUMPRODUCT($D56:$GA56,$D55:$GA55),0)</x:f>
      </x:c>
      <x:c r="FW57" s="35" t="n">
        <x:f>IFERROR(FW56*FW55/SUMPRODUCT($D56:$GA56,$D55:$GA55),0)</x:f>
      </x:c>
      <x:c r="FX57" s="35" t="n">
        <x:f>IFERROR(FX56*FX55/SUMPRODUCT($D56:$GA56,$D55:$GA55),0)</x:f>
      </x:c>
      <x:c r="FY57" s="35" t="n">
        <x:f>IFERROR(FY56*FY55/SUMPRODUCT($D56:$GA56,$D55:$GA55),0)</x:f>
      </x:c>
      <x:c r="FZ57" s="35" t="n">
        <x:f>IFERROR(FZ56*FZ55/SUMPRODUCT($D56:$GA56,$D55:$GA55),0)</x:f>
      </x:c>
      <x:c r="GA57" s="35" t="n">
        <x:f>IFERROR(GA56*GA55/SUMPRODUCT($D56:$GA56,$D55:$GA55),0)</x:f>
      </x:c>
    </x:row>
    <x:row r="58">
      <x:c r="A58" t="str">
        <x:v>Флаг продаж после РВЭ</x:v>
      </x:c>
      <x:c r="B58"/>
      <x:c r="C58" t="str">
        <x:v>0/1</x:v>
      </x:c>
      <x:c r="D58" s="35" t="n">
        <x:f>--AND(D$3&gt;=MAX($B$53,$B$54),D$3&lt;EDATE($B$53,MAX(1,'Вводные'!$H$90)),'Вводные'!$B$90="Да")</x:f>
      </x:c>
      <x:c r="E58" s="35" t="n">
        <x:f>--AND(E$3&gt;=MAX($B$53,$B$54),E$3&lt;EDATE($B$53,MAX(1,'Вводные'!$H$90)),'Вводные'!$B$90="Да")</x:f>
      </x:c>
      <x:c r="F58" s="35" t="n">
        <x:f>--AND(F$3&gt;=MAX($B$53,$B$54),F$3&lt;EDATE($B$53,MAX(1,'Вводные'!$H$90)),'Вводные'!$B$90="Да")</x:f>
      </x:c>
      <x:c r="G58" s="35" t="n">
        <x:f>--AND(G$3&gt;=MAX($B$53,$B$54),G$3&lt;EDATE($B$53,MAX(1,'Вводные'!$H$90)),'Вводные'!$B$90="Да")</x:f>
      </x:c>
      <x:c r="H58" s="35" t="n">
        <x:f>--AND(H$3&gt;=MAX($B$53,$B$54),H$3&lt;EDATE($B$53,MAX(1,'Вводные'!$H$90)),'Вводные'!$B$90="Да")</x:f>
      </x:c>
      <x:c r="I58" s="35" t="n">
        <x:f>--AND(I$3&gt;=MAX($B$53,$B$54),I$3&lt;EDATE($B$53,MAX(1,'Вводные'!$H$90)),'Вводные'!$B$90="Да")</x:f>
      </x:c>
      <x:c r="J58" s="35" t="n">
        <x:f>--AND(J$3&gt;=MAX($B$53,$B$54),J$3&lt;EDATE($B$53,MAX(1,'Вводные'!$H$90)),'Вводные'!$B$90="Да")</x:f>
      </x:c>
      <x:c r="K58" s="35" t="n">
        <x:f>--AND(K$3&gt;=MAX($B$53,$B$54),K$3&lt;EDATE($B$53,MAX(1,'Вводные'!$H$90)),'Вводные'!$B$90="Да")</x:f>
      </x:c>
      <x:c r="L58" s="35" t="n">
        <x:f>--AND(L$3&gt;=MAX($B$53,$B$54),L$3&lt;EDATE($B$53,MAX(1,'Вводные'!$H$90)),'Вводные'!$B$90="Да")</x:f>
      </x:c>
      <x:c r="M58" s="35" t="n">
        <x:f>--AND(M$3&gt;=MAX($B$53,$B$54),M$3&lt;EDATE($B$53,MAX(1,'Вводные'!$H$90)),'Вводные'!$B$90="Да")</x:f>
      </x:c>
      <x:c r="N58" s="35" t="n">
        <x:f>--AND(N$3&gt;=MAX($B$53,$B$54),N$3&lt;EDATE($B$53,MAX(1,'Вводные'!$H$90)),'Вводные'!$B$90="Да")</x:f>
      </x:c>
      <x:c r="O58" s="35" t="n">
        <x:f>--AND(O$3&gt;=MAX($B$53,$B$54),O$3&lt;EDATE($B$53,MAX(1,'Вводные'!$H$90)),'Вводные'!$B$90="Да")</x:f>
      </x:c>
      <x:c r="P58" s="35" t="n">
        <x:f>--AND(P$3&gt;=MAX($B$53,$B$54),P$3&lt;EDATE($B$53,MAX(1,'Вводные'!$H$90)),'Вводные'!$B$90="Да")</x:f>
      </x:c>
      <x:c r="Q58" s="35" t="n">
        <x:f>--AND(Q$3&gt;=MAX($B$53,$B$54),Q$3&lt;EDATE($B$53,MAX(1,'Вводные'!$H$90)),'Вводные'!$B$90="Да")</x:f>
      </x:c>
      <x:c r="R58" s="35" t="n">
        <x:f>--AND(R$3&gt;=MAX($B$53,$B$54),R$3&lt;EDATE($B$53,MAX(1,'Вводные'!$H$90)),'Вводные'!$B$90="Да")</x:f>
      </x:c>
      <x:c r="S58" s="35" t="n">
        <x:f>--AND(S$3&gt;=MAX($B$53,$B$54),S$3&lt;EDATE($B$53,MAX(1,'Вводные'!$H$90)),'Вводные'!$B$90="Да")</x:f>
      </x:c>
      <x:c r="T58" s="35" t="n">
        <x:f>--AND(T$3&gt;=MAX($B$53,$B$54),T$3&lt;EDATE($B$53,MAX(1,'Вводные'!$H$90)),'Вводные'!$B$90="Да")</x:f>
      </x:c>
      <x:c r="U58" s="35" t="n">
        <x:f>--AND(U$3&gt;=MAX($B$53,$B$54),U$3&lt;EDATE($B$53,MAX(1,'Вводные'!$H$90)),'Вводные'!$B$90="Да")</x:f>
      </x:c>
      <x:c r="V58" s="35" t="n">
        <x:f>--AND(V$3&gt;=MAX($B$53,$B$54),V$3&lt;EDATE($B$53,MAX(1,'Вводные'!$H$90)),'Вводные'!$B$90="Да")</x:f>
      </x:c>
      <x:c r="W58" s="35" t="n">
        <x:f>--AND(W$3&gt;=MAX($B$53,$B$54),W$3&lt;EDATE($B$53,MAX(1,'Вводные'!$H$90)),'Вводные'!$B$90="Да")</x:f>
      </x:c>
      <x:c r="X58" s="35" t="n">
        <x:f>--AND(X$3&gt;=MAX($B$53,$B$54),X$3&lt;EDATE($B$53,MAX(1,'Вводные'!$H$90)),'Вводные'!$B$90="Да")</x:f>
      </x:c>
      <x:c r="Y58" s="35" t="n">
        <x:f>--AND(Y$3&gt;=MAX($B$53,$B$54),Y$3&lt;EDATE($B$53,MAX(1,'Вводные'!$H$90)),'Вводные'!$B$90="Да")</x:f>
      </x:c>
      <x:c r="Z58" s="35" t="n">
        <x:f>--AND(Z$3&gt;=MAX($B$53,$B$54),Z$3&lt;EDATE($B$53,MAX(1,'Вводные'!$H$90)),'Вводные'!$B$90="Да")</x:f>
      </x:c>
      <x:c r="AA58" s="35" t="n">
        <x:f>--AND(AA$3&gt;=MAX($B$53,$B$54),AA$3&lt;EDATE($B$53,MAX(1,'Вводные'!$H$90)),'Вводные'!$B$90="Да")</x:f>
      </x:c>
      <x:c r="AB58" s="35" t="n">
        <x:f>--AND(AB$3&gt;=MAX($B$53,$B$54),AB$3&lt;EDATE($B$53,MAX(1,'Вводные'!$H$90)),'Вводные'!$B$90="Да")</x:f>
      </x:c>
      <x:c r="AC58" s="35" t="n">
        <x:f>--AND(AC$3&gt;=MAX($B$53,$B$54),AC$3&lt;EDATE($B$53,MAX(1,'Вводные'!$H$90)),'Вводные'!$B$90="Да")</x:f>
      </x:c>
      <x:c r="AD58" s="35" t="n">
        <x:f>--AND(AD$3&gt;=MAX($B$53,$B$54),AD$3&lt;EDATE($B$53,MAX(1,'Вводные'!$H$90)),'Вводные'!$B$90="Да")</x:f>
      </x:c>
      <x:c r="AE58" s="35" t="n">
        <x:f>--AND(AE$3&gt;=MAX($B$53,$B$54),AE$3&lt;EDATE($B$53,MAX(1,'Вводные'!$H$90)),'Вводные'!$B$90="Да")</x:f>
      </x:c>
      <x:c r="AF58" s="35" t="n">
        <x:f>--AND(AF$3&gt;=MAX($B$53,$B$54),AF$3&lt;EDATE($B$53,MAX(1,'Вводные'!$H$90)),'Вводные'!$B$90="Да")</x:f>
      </x:c>
      <x:c r="AG58" s="35" t="n">
        <x:f>--AND(AG$3&gt;=MAX($B$53,$B$54),AG$3&lt;EDATE($B$53,MAX(1,'Вводные'!$H$90)),'Вводные'!$B$90="Да")</x:f>
      </x:c>
      <x:c r="AH58" s="35" t="n">
        <x:f>--AND(AH$3&gt;=MAX($B$53,$B$54),AH$3&lt;EDATE($B$53,MAX(1,'Вводные'!$H$90)),'Вводные'!$B$90="Да")</x:f>
      </x:c>
      <x:c r="AI58" s="35" t="n">
        <x:f>--AND(AI$3&gt;=MAX($B$53,$B$54),AI$3&lt;EDATE($B$53,MAX(1,'Вводные'!$H$90)),'Вводные'!$B$90="Да")</x:f>
      </x:c>
      <x:c r="AJ58" s="35" t="n">
        <x:f>--AND(AJ$3&gt;=MAX($B$53,$B$54),AJ$3&lt;EDATE($B$53,MAX(1,'Вводные'!$H$90)),'Вводные'!$B$90="Да")</x:f>
      </x:c>
      <x:c r="AK58" s="35" t="n">
        <x:f>--AND(AK$3&gt;=MAX($B$53,$B$54),AK$3&lt;EDATE($B$53,MAX(1,'Вводные'!$H$90)),'Вводные'!$B$90="Да")</x:f>
      </x:c>
      <x:c r="AL58" s="35" t="n">
        <x:f>--AND(AL$3&gt;=MAX($B$53,$B$54),AL$3&lt;EDATE($B$53,MAX(1,'Вводные'!$H$90)),'Вводные'!$B$90="Да")</x:f>
      </x:c>
      <x:c r="AM58" s="35" t="n">
        <x:f>--AND(AM$3&gt;=MAX($B$53,$B$54),AM$3&lt;EDATE($B$53,MAX(1,'Вводные'!$H$90)),'Вводные'!$B$90="Да")</x:f>
      </x:c>
      <x:c r="AN58" s="35" t="n">
        <x:f>--AND(AN$3&gt;=MAX($B$53,$B$54),AN$3&lt;EDATE($B$53,MAX(1,'Вводные'!$H$90)),'Вводные'!$B$90="Да")</x:f>
      </x:c>
      <x:c r="AO58" s="35" t="n">
        <x:f>--AND(AO$3&gt;=MAX($B$53,$B$54),AO$3&lt;EDATE($B$53,MAX(1,'Вводные'!$H$90)),'Вводные'!$B$90="Да")</x:f>
      </x:c>
      <x:c r="AP58" s="35" t="n">
        <x:f>--AND(AP$3&gt;=MAX($B$53,$B$54),AP$3&lt;EDATE($B$53,MAX(1,'Вводные'!$H$90)),'Вводные'!$B$90="Да")</x:f>
      </x:c>
      <x:c r="AQ58" s="35" t="n">
        <x:f>--AND(AQ$3&gt;=MAX($B$53,$B$54),AQ$3&lt;EDATE($B$53,MAX(1,'Вводные'!$H$90)),'Вводные'!$B$90="Да")</x:f>
      </x:c>
      <x:c r="AR58" s="35" t="n">
        <x:f>--AND(AR$3&gt;=MAX($B$53,$B$54),AR$3&lt;EDATE($B$53,MAX(1,'Вводные'!$H$90)),'Вводные'!$B$90="Да")</x:f>
      </x:c>
      <x:c r="AS58" s="35" t="n">
        <x:f>--AND(AS$3&gt;=MAX($B$53,$B$54),AS$3&lt;EDATE($B$53,MAX(1,'Вводные'!$H$90)),'Вводные'!$B$90="Да")</x:f>
      </x:c>
      <x:c r="AT58" s="35" t="n">
        <x:f>--AND(AT$3&gt;=MAX($B$53,$B$54),AT$3&lt;EDATE($B$53,MAX(1,'Вводные'!$H$90)),'Вводные'!$B$90="Да")</x:f>
      </x:c>
      <x:c r="AU58" s="35" t="n">
        <x:f>--AND(AU$3&gt;=MAX($B$53,$B$54),AU$3&lt;EDATE($B$53,MAX(1,'Вводные'!$H$90)),'Вводные'!$B$90="Да")</x:f>
      </x:c>
      <x:c r="AV58" s="35" t="n">
        <x:f>--AND(AV$3&gt;=MAX($B$53,$B$54),AV$3&lt;EDATE($B$53,MAX(1,'Вводные'!$H$90)),'Вводные'!$B$90="Да")</x:f>
      </x:c>
      <x:c r="AW58" s="35" t="n">
        <x:f>--AND(AW$3&gt;=MAX($B$53,$B$54),AW$3&lt;EDATE($B$53,MAX(1,'Вводные'!$H$90)),'Вводные'!$B$90="Да")</x:f>
      </x:c>
      <x:c r="AX58" s="35" t="n">
        <x:f>--AND(AX$3&gt;=MAX($B$53,$B$54),AX$3&lt;EDATE($B$53,MAX(1,'Вводные'!$H$90)),'Вводные'!$B$90="Да")</x:f>
      </x:c>
      <x:c r="AY58" s="35" t="n">
        <x:f>--AND(AY$3&gt;=MAX($B$53,$B$54),AY$3&lt;EDATE($B$53,MAX(1,'Вводные'!$H$90)),'Вводные'!$B$90="Да")</x:f>
      </x:c>
      <x:c r="AZ58" s="35" t="n">
        <x:f>--AND(AZ$3&gt;=MAX($B$53,$B$54),AZ$3&lt;EDATE($B$53,MAX(1,'Вводные'!$H$90)),'Вводные'!$B$90="Да")</x:f>
      </x:c>
      <x:c r="BA58" s="35" t="n">
        <x:f>--AND(BA$3&gt;=MAX($B$53,$B$54),BA$3&lt;EDATE($B$53,MAX(1,'Вводные'!$H$90)),'Вводные'!$B$90="Да")</x:f>
      </x:c>
      <x:c r="BB58" s="35" t="n">
        <x:f>--AND(BB$3&gt;=MAX($B$53,$B$54),BB$3&lt;EDATE($B$53,MAX(1,'Вводные'!$H$90)),'Вводные'!$B$90="Да")</x:f>
      </x:c>
      <x:c r="BC58" s="35" t="n">
        <x:f>--AND(BC$3&gt;=MAX($B$53,$B$54),BC$3&lt;EDATE($B$53,MAX(1,'Вводные'!$H$90)),'Вводные'!$B$90="Да")</x:f>
      </x:c>
      <x:c r="BD58" s="35" t="n">
        <x:f>--AND(BD$3&gt;=MAX($B$53,$B$54),BD$3&lt;EDATE($B$53,MAX(1,'Вводные'!$H$90)),'Вводные'!$B$90="Да")</x:f>
      </x:c>
      <x:c r="BE58" s="35" t="n">
        <x:f>--AND(BE$3&gt;=MAX($B$53,$B$54),BE$3&lt;EDATE($B$53,MAX(1,'Вводные'!$H$90)),'Вводные'!$B$90="Да")</x:f>
      </x:c>
      <x:c r="BF58" s="35" t="n">
        <x:f>--AND(BF$3&gt;=MAX($B$53,$B$54),BF$3&lt;EDATE($B$53,MAX(1,'Вводные'!$H$90)),'Вводные'!$B$90="Да")</x:f>
      </x:c>
      <x:c r="BG58" s="35" t="n">
        <x:f>--AND(BG$3&gt;=MAX($B$53,$B$54),BG$3&lt;EDATE($B$53,MAX(1,'Вводные'!$H$90)),'Вводные'!$B$90="Да")</x:f>
      </x:c>
      <x:c r="BH58" s="35" t="n">
        <x:f>--AND(BH$3&gt;=MAX($B$53,$B$54),BH$3&lt;EDATE($B$53,MAX(1,'Вводные'!$H$90)),'Вводные'!$B$90="Да")</x:f>
      </x:c>
      <x:c r="BI58" s="35" t="n">
        <x:f>--AND(BI$3&gt;=MAX($B$53,$B$54),BI$3&lt;EDATE($B$53,MAX(1,'Вводные'!$H$90)),'Вводные'!$B$90="Да")</x:f>
      </x:c>
      <x:c r="BJ58" s="35" t="n">
        <x:f>--AND(BJ$3&gt;=MAX($B$53,$B$54),BJ$3&lt;EDATE($B$53,MAX(1,'Вводные'!$H$90)),'Вводные'!$B$90="Да")</x:f>
      </x:c>
      <x:c r="BK58" s="35" t="n">
        <x:f>--AND(BK$3&gt;=MAX($B$53,$B$54),BK$3&lt;EDATE($B$53,MAX(1,'Вводные'!$H$90)),'Вводные'!$B$90="Да")</x:f>
      </x:c>
      <x:c r="BL58" s="35" t="n">
        <x:f>--AND(BL$3&gt;=MAX($B$53,$B$54),BL$3&lt;EDATE($B$53,MAX(1,'Вводные'!$H$90)),'Вводные'!$B$90="Да")</x:f>
      </x:c>
      <x:c r="BM58" s="35" t="n">
        <x:f>--AND(BM$3&gt;=MAX($B$53,$B$54),BM$3&lt;EDATE($B$53,MAX(1,'Вводные'!$H$90)),'Вводные'!$B$90="Да")</x:f>
      </x:c>
      <x:c r="BN58" s="35" t="n">
        <x:f>--AND(BN$3&gt;=MAX($B$53,$B$54),BN$3&lt;EDATE($B$53,MAX(1,'Вводные'!$H$90)),'Вводные'!$B$90="Да")</x:f>
      </x:c>
      <x:c r="BO58" s="35" t="n">
        <x:f>--AND(BO$3&gt;=MAX($B$53,$B$54),BO$3&lt;EDATE($B$53,MAX(1,'Вводные'!$H$90)),'Вводные'!$B$90="Да")</x:f>
      </x:c>
      <x:c r="BP58" s="35" t="n">
        <x:f>--AND(BP$3&gt;=MAX($B$53,$B$54),BP$3&lt;EDATE($B$53,MAX(1,'Вводные'!$H$90)),'Вводные'!$B$90="Да")</x:f>
      </x:c>
      <x:c r="BQ58" s="35" t="n">
        <x:f>--AND(BQ$3&gt;=MAX($B$53,$B$54),BQ$3&lt;EDATE($B$53,MAX(1,'Вводные'!$H$90)),'Вводные'!$B$90="Да")</x:f>
      </x:c>
      <x:c r="BR58" s="35" t="n">
        <x:f>--AND(BR$3&gt;=MAX($B$53,$B$54),BR$3&lt;EDATE($B$53,MAX(1,'Вводные'!$H$90)),'Вводные'!$B$90="Да")</x:f>
      </x:c>
      <x:c r="BS58" s="35" t="n">
        <x:f>--AND(BS$3&gt;=MAX($B$53,$B$54),BS$3&lt;EDATE($B$53,MAX(1,'Вводные'!$H$90)),'Вводные'!$B$90="Да")</x:f>
      </x:c>
      <x:c r="BT58" s="35" t="n">
        <x:f>--AND(BT$3&gt;=MAX($B$53,$B$54),BT$3&lt;EDATE($B$53,MAX(1,'Вводные'!$H$90)),'Вводные'!$B$90="Да")</x:f>
      </x:c>
      <x:c r="BU58" s="35" t="n">
        <x:f>--AND(BU$3&gt;=MAX($B$53,$B$54),BU$3&lt;EDATE($B$53,MAX(1,'Вводные'!$H$90)),'Вводные'!$B$90="Да")</x:f>
      </x:c>
      <x:c r="BV58" s="35" t="n">
        <x:f>--AND(BV$3&gt;=MAX($B$53,$B$54),BV$3&lt;EDATE($B$53,MAX(1,'Вводные'!$H$90)),'Вводные'!$B$90="Да")</x:f>
      </x:c>
      <x:c r="BW58" s="35" t="n">
        <x:f>--AND(BW$3&gt;=MAX($B$53,$B$54),BW$3&lt;EDATE($B$53,MAX(1,'Вводные'!$H$90)),'Вводные'!$B$90="Да")</x:f>
      </x:c>
      <x:c r="BX58" s="35" t="n">
        <x:f>--AND(BX$3&gt;=MAX($B$53,$B$54),BX$3&lt;EDATE($B$53,MAX(1,'Вводные'!$H$90)),'Вводные'!$B$90="Да")</x:f>
      </x:c>
      <x:c r="BY58" s="35" t="n">
        <x:f>--AND(BY$3&gt;=MAX($B$53,$B$54),BY$3&lt;EDATE($B$53,MAX(1,'Вводные'!$H$90)),'Вводные'!$B$90="Да")</x:f>
      </x:c>
      <x:c r="BZ58" s="35" t="n">
        <x:f>--AND(BZ$3&gt;=MAX($B$53,$B$54),BZ$3&lt;EDATE($B$53,MAX(1,'Вводные'!$H$90)),'Вводные'!$B$90="Да")</x:f>
      </x:c>
      <x:c r="CA58" s="35" t="n">
        <x:f>--AND(CA$3&gt;=MAX($B$53,$B$54),CA$3&lt;EDATE($B$53,MAX(1,'Вводные'!$H$90)),'Вводные'!$B$90="Да")</x:f>
      </x:c>
      <x:c r="CB58" s="35" t="n">
        <x:f>--AND(CB$3&gt;=MAX($B$53,$B$54),CB$3&lt;EDATE($B$53,MAX(1,'Вводные'!$H$90)),'Вводные'!$B$90="Да")</x:f>
      </x:c>
      <x:c r="CC58" s="35" t="n">
        <x:f>--AND(CC$3&gt;=MAX($B$53,$B$54),CC$3&lt;EDATE($B$53,MAX(1,'Вводные'!$H$90)),'Вводные'!$B$90="Да")</x:f>
      </x:c>
      <x:c r="CD58" s="35" t="n">
        <x:f>--AND(CD$3&gt;=MAX($B$53,$B$54),CD$3&lt;EDATE($B$53,MAX(1,'Вводные'!$H$90)),'Вводные'!$B$90="Да")</x:f>
      </x:c>
      <x:c r="CE58" s="35" t="n">
        <x:f>--AND(CE$3&gt;=MAX($B$53,$B$54),CE$3&lt;EDATE($B$53,MAX(1,'Вводные'!$H$90)),'Вводные'!$B$90="Да")</x:f>
      </x:c>
      <x:c r="CF58" s="35" t="n">
        <x:f>--AND(CF$3&gt;=MAX($B$53,$B$54),CF$3&lt;EDATE($B$53,MAX(1,'Вводные'!$H$90)),'Вводные'!$B$90="Да")</x:f>
      </x:c>
      <x:c r="CG58" s="35" t="n">
        <x:f>--AND(CG$3&gt;=MAX($B$53,$B$54),CG$3&lt;EDATE($B$53,MAX(1,'Вводные'!$H$90)),'Вводные'!$B$90="Да")</x:f>
      </x:c>
      <x:c r="CH58" s="35" t="n">
        <x:f>--AND(CH$3&gt;=MAX($B$53,$B$54),CH$3&lt;EDATE($B$53,MAX(1,'Вводные'!$H$90)),'Вводные'!$B$90="Да")</x:f>
      </x:c>
      <x:c r="CI58" s="35" t="n">
        <x:f>--AND(CI$3&gt;=MAX($B$53,$B$54),CI$3&lt;EDATE($B$53,MAX(1,'Вводные'!$H$90)),'Вводные'!$B$90="Да")</x:f>
      </x:c>
      <x:c r="CJ58" s="35" t="n">
        <x:f>--AND(CJ$3&gt;=MAX($B$53,$B$54),CJ$3&lt;EDATE($B$53,MAX(1,'Вводные'!$H$90)),'Вводные'!$B$90="Да")</x:f>
      </x:c>
      <x:c r="CK58" s="35" t="n">
        <x:f>--AND(CK$3&gt;=MAX($B$53,$B$54),CK$3&lt;EDATE($B$53,MAX(1,'Вводные'!$H$90)),'Вводные'!$B$90="Да")</x:f>
      </x:c>
      <x:c r="CL58" s="35" t="n">
        <x:f>--AND(CL$3&gt;=MAX($B$53,$B$54),CL$3&lt;EDATE($B$53,MAX(1,'Вводные'!$H$90)),'Вводные'!$B$90="Да")</x:f>
      </x:c>
      <x:c r="CM58" s="35" t="n">
        <x:f>--AND(CM$3&gt;=MAX($B$53,$B$54),CM$3&lt;EDATE($B$53,MAX(1,'Вводные'!$H$90)),'Вводные'!$B$90="Да")</x:f>
      </x:c>
      <x:c r="CN58" s="35" t="n">
        <x:f>--AND(CN$3&gt;=MAX($B$53,$B$54),CN$3&lt;EDATE($B$53,MAX(1,'Вводные'!$H$90)),'Вводные'!$B$90="Да")</x:f>
      </x:c>
      <x:c r="CO58" s="35" t="n">
        <x:f>--AND(CO$3&gt;=MAX($B$53,$B$54),CO$3&lt;EDATE($B$53,MAX(1,'Вводные'!$H$90)),'Вводные'!$B$90="Да")</x:f>
      </x:c>
      <x:c r="CP58" s="35" t="n">
        <x:f>--AND(CP$3&gt;=MAX($B$53,$B$54),CP$3&lt;EDATE($B$53,MAX(1,'Вводные'!$H$90)),'Вводные'!$B$90="Да")</x:f>
      </x:c>
      <x:c r="CQ58" s="35" t="n">
        <x:f>--AND(CQ$3&gt;=MAX($B$53,$B$54),CQ$3&lt;EDATE($B$53,MAX(1,'Вводные'!$H$90)),'Вводные'!$B$90="Да")</x:f>
      </x:c>
      <x:c r="CR58" s="35" t="n">
        <x:f>--AND(CR$3&gt;=MAX($B$53,$B$54),CR$3&lt;EDATE($B$53,MAX(1,'Вводные'!$H$90)),'Вводные'!$B$90="Да")</x:f>
      </x:c>
      <x:c r="CS58" s="35" t="n">
        <x:f>--AND(CS$3&gt;=MAX($B$53,$B$54),CS$3&lt;EDATE($B$53,MAX(1,'Вводные'!$H$90)),'Вводные'!$B$90="Да")</x:f>
      </x:c>
      <x:c r="CT58" s="35" t="n">
        <x:f>--AND(CT$3&gt;=MAX($B$53,$B$54),CT$3&lt;EDATE($B$53,MAX(1,'Вводные'!$H$90)),'Вводные'!$B$90="Да")</x:f>
      </x:c>
      <x:c r="CU58" s="35" t="n">
        <x:f>--AND(CU$3&gt;=MAX($B$53,$B$54),CU$3&lt;EDATE($B$53,MAX(1,'Вводные'!$H$90)),'Вводные'!$B$90="Да")</x:f>
      </x:c>
      <x:c r="CV58" s="35" t="n">
        <x:f>--AND(CV$3&gt;=MAX($B$53,$B$54),CV$3&lt;EDATE($B$53,MAX(1,'Вводные'!$H$90)),'Вводные'!$B$90="Да")</x:f>
      </x:c>
      <x:c r="CW58" s="35" t="n">
        <x:f>--AND(CW$3&gt;=MAX($B$53,$B$54),CW$3&lt;EDATE($B$53,MAX(1,'Вводные'!$H$90)),'Вводные'!$B$90="Да")</x:f>
      </x:c>
      <x:c r="CX58" s="35" t="n">
        <x:f>--AND(CX$3&gt;=MAX($B$53,$B$54),CX$3&lt;EDATE($B$53,MAX(1,'Вводные'!$H$90)),'Вводные'!$B$90="Да")</x:f>
      </x:c>
      <x:c r="CY58" s="35" t="n">
        <x:f>--AND(CY$3&gt;=MAX($B$53,$B$54),CY$3&lt;EDATE($B$53,MAX(1,'Вводные'!$H$90)),'Вводные'!$B$90="Да")</x:f>
      </x:c>
      <x:c r="CZ58" s="35" t="n">
        <x:f>--AND(CZ$3&gt;=MAX($B$53,$B$54),CZ$3&lt;EDATE($B$53,MAX(1,'Вводные'!$H$90)),'Вводные'!$B$90="Да")</x:f>
      </x:c>
      <x:c r="DA58" s="35" t="n">
        <x:f>--AND(DA$3&gt;=MAX($B$53,$B$54),DA$3&lt;EDATE($B$53,MAX(1,'Вводные'!$H$90)),'Вводные'!$B$90="Да")</x:f>
      </x:c>
      <x:c r="DB58" s="35" t="n">
        <x:f>--AND(DB$3&gt;=MAX($B$53,$B$54),DB$3&lt;EDATE($B$53,MAX(1,'Вводные'!$H$90)),'Вводные'!$B$90="Да")</x:f>
      </x:c>
      <x:c r="DC58" s="35" t="n">
        <x:f>--AND(DC$3&gt;=MAX($B$53,$B$54),DC$3&lt;EDATE($B$53,MAX(1,'Вводные'!$H$90)),'Вводные'!$B$90="Да")</x:f>
      </x:c>
      <x:c r="DD58" s="35" t="n">
        <x:f>--AND(DD$3&gt;=MAX($B$53,$B$54),DD$3&lt;EDATE($B$53,MAX(1,'Вводные'!$H$90)),'Вводные'!$B$90="Да")</x:f>
      </x:c>
      <x:c r="DE58" s="35" t="n">
        <x:f>--AND(DE$3&gt;=MAX($B$53,$B$54),DE$3&lt;EDATE($B$53,MAX(1,'Вводные'!$H$90)),'Вводные'!$B$90="Да")</x:f>
      </x:c>
      <x:c r="DF58" s="35" t="n">
        <x:f>--AND(DF$3&gt;=MAX($B$53,$B$54),DF$3&lt;EDATE($B$53,MAX(1,'Вводные'!$H$90)),'Вводные'!$B$90="Да")</x:f>
      </x:c>
      <x:c r="DG58" s="35" t="n">
        <x:f>--AND(DG$3&gt;=MAX($B$53,$B$54),DG$3&lt;EDATE($B$53,MAX(1,'Вводные'!$H$90)),'Вводные'!$B$90="Да")</x:f>
      </x:c>
      <x:c r="DH58" s="35" t="n">
        <x:f>--AND(DH$3&gt;=MAX($B$53,$B$54),DH$3&lt;EDATE($B$53,MAX(1,'Вводные'!$H$90)),'Вводные'!$B$90="Да")</x:f>
      </x:c>
      <x:c r="DI58" s="35" t="n">
        <x:f>--AND(DI$3&gt;=MAX($B$53,$B$54),DI$3&lt;EDATE($B$53,MAX(1,'Вводные'!$H$90)),'Вводные'!$B$90="Да")</x:f>
      </x:c>
      <x:c r="DJ58" s="35" t="n">
        <x:f>--AND(DJ$3&gt;=MAX($B$53,$B$54),DJ$3&lt;EDATE($B$53,MAX(1,'Вводные'!$H$90)),'Вводные'!$B$90="Да")</x:f>
      </x:c>
      <x:c r="DK58" s="35" t="n">
        <x:f>--AND(DK$3&gt;=MAX($B$53,$B$54),DK$3&lt;EDATE($B$53,MAX(1,'Вводные'!$H$90)),'Вводные'!$B$90="Да")</x:f>
      </x:c>
      <x:c r="DL58" s="35" t="n">
        <x:f>--AND(DL$3&gt;=MAX($B$53,$B$54),DL$3&lt;EDATE($B$53,MAX(1,'Вводные'!$H$90)),'Вводные'!$B$90="Да")</x:f>
      </x:c>
      <x:c r="DM58" s="35" t="n">
        <x:f>--AND(DM$3&gt;=MAX($B$53,$B$54),DM$3&lt;EDATE($B$53,MAX(1,'Вводные'!$H$90)),'Вводные'!$B$90="Да")</x:f>
      </x:c>
      <x:c r="DN58" s="35" t="n">
        <x:f>--AND(DN$3&gt;=MAX($B$53,$B$54),DN$3&lt;EDATE($B$53,MAX(1,'Вводные'!$H$90)),'Вводные'!$B$90="Да")</x:f>
      </x:c>
      <x:c r="DO58" s="35" t="n">
        <x:f>--AND(DO$3&gt;=MAX($B$53,$B$54),DO$3&lt;EDATE($B$53,MAX(1,'Вводные'!$H$90)),'Вводные'!$B$90="Да")</x:f>
      </x:c>
      <x:c r="DP58" s="35" t="n">
        <x:f>--AND(DP$3&gt;=MAX($B$53,$B$54),DP$3&lt;EDATE($B$53,MAX(1,'Вводные'!$H$90)),'Вводные'!$B$90="Да")</x:f>
      </x:c>
      <x:c r="DQ58" s="35" t="n">
        <x:f>--AND(DQ$3&gt;=MAX($B$53,$B$54),DQ$3&lt;EDATE($B$53,MAX(1,'Вводные'!$H$90)),'Вводные'!$B$90="Да")</x:f>
      </x:c>
      <x:c r="DR58" s="35" t="n">
        <x:f>--AND(DR$3&gt;=MAX($B$53,$B$54),DR$3&lt;EDATE($B$53,MAX(1,'Вводные'!$H$90)),'Вводные'!$B$90="Да")</x:f>
      </x:c>
      <x:c r="DS58" s="35" t="n">
        <x:f>--AND(DS$3&gt;=MAX($B$53,$B$54),DS$3&lt;EDATE($B$53,MAX(1,'Вводные'!$H$90)),'Вводные'!$B$90="Да")</x:f>
      </x:c>
      <x:c r="DT58" s="35" t="n">
        <x:f>--AND(DT$3&gt;=MAX($B$53,$B$54),DT$3&lt;EDATE($B$53,MAX(1,'Вводные'!$H$90)),'Вводные'!$B$90="Да")</x:f>
      </x:c>
      <x:c r="DU58" s="35" t="n">
        <x:f>--AND(DU$3&gt;=MAX($B$53,$B$54),DU$3&lt;EDATE($B$53,MAX(1,'Вводные'!$H$90)),'Вводные'!$B$90="Да")</x:f>
      </x:c>
      <x:c r="DV58" s="35" t="n">
        <x:f>--AND(DV$3&gt;=MAX($B$53,$B$54),DV$3&lt;EDATE($B$53,MAX(1,'Вводные'!$H$90)),'Вводные'!$B$90="Да")</x:f>
      </x:c>
      <x:c r="DW58" s="35" t="n">
        <x:f>--AND(DW$3&gt;=MAX($B$53,$B$54),DW$3&lt;EDATE($B$53,MAX(1,'Вводные'!$H$90)),'Вводные'!$B$90="Да")</x:f>
      </x:c>
      <x:c r="DX58" s="35" t="n">
        <x:f>--AND(DX$3&gt;=MAX($B$53,$B$54),DX$3&lt;EDATE($B$53,MAX(1,'Вводные'!$H$90)),'Вводные'!$B$90="Да")</x:f>
      </x:c>
      <x:c r="DY58" s="35" t="n">
        <x:f>--AND(DY$3&gt;=MAX($B$53,$B$54),DY$3&lt;EDATE($B$53,MAX(1,'Вводные'!$H$90)),'Вводные'!$B$90="Да")</x:f>
      </x:c>
      <x:c r="DZ58" s="35" t="n">
        <x:f>--AND(DZ$3&gt;=MAX($B$53,$B$54),DZ$3&lt;EDATE($B$53,MAX(1,'Вводные'!$H$90)),'Вводные'!$B$90="Да")</x:f>
      </x:c>
      <x:c r="EA58" s="35" t="n">
        <x:f>--AND(EA$3&gt;=MAX($B$53,$B$54),EA$3&lt;EDATE($B$53,MAX(1,'Вводные'!$H$90)),'Вводные'!$B$90="Да")</x:f>
      </x:c>
      <x:c r="EB58" s="35" t="n">
        <x:f>--AND(EB$3&gt;=MAX($B$53,$B$54),EB$3&lt;EDATE($B$53,MAX(1,'Вводные'!$H$90)),'Вводные'!$B$90="Да")</x:f>
      </x:c>
      <x:c r="EC58" s="35" t="n">
        <x:f>--AND(EC$3&gt;=MAX($B$53,$B$54),EC$3&lt;EDATE($B$53,MAX(1,'Вводные'!$H$90)),'Вводные'!$B$90="Да")</x:f>
      </x:c>
      <x:c r="ED58" s="35" t="n">
        <x:f>--AND(ED$3&gt;=MAX($B$53,$B$54),ED$3&lt;EDATE($B$53,MAX(1,'Вводные'!$H$90)),'Вводные'!$B$90="Да")</x:f>
      </x:c>
      <x:c r="EE58" s="35" t="n">
        <x:f>--AND(EE$3&gt;=MAX($B$53,$B$54),EE$3&lt;EDATE($B$53,MAX(1,'Вводные'!$H$90)),'Вводные'!$B$90="Да")</x:f>
      </x:c>
      <x:c r="EF58" s="35" t="n">
        <x:f>--AND(EF$3&gt;=MAX($B$53,$B$54),EF$3&lt;EDATE($B$53,MAX(1,'Вводные'!$H$90)),'Вводные'!$B$90="Да")</x:f>
      </x:c>
      <x:c r="EG58" s="35" t="n">
        <x:f>--AND(EG$3&gt;=MAX($B$53,$B$54),EG$3&lt;EDATE($B$53,MAX(1,'Вводные'!$H$90)),'Вводные'!$B$90="Да")</x:f>
      </x:c>
      <x:c r="EH58" s="35" t="n">
        <x:f>--AND(EH$3&gt;=MAX($B$53,$B$54),EH$3&lt;EDATE($B$53,MAX(1,'Вводные'!$H$90)),'Вводные'!$B$90="Да")</x:f>
      </x:c>
      <x:c r="EI58" s="35" t="n">
        <x:f>--AND(EI$3&gt;=MAX($B$53,$B$54),EI$3&lt;EDATE($B$53,MAX(1,'Вводные'!$H$90)),'Вводные'!$B$90="Да")</x:f>
      </x:c>
      <x:c r="EJ58" s="35" t="n">
        <x:f>--AND(EJ$3&gt;=MAX($B$53,$B$54),EJ$3&lt;EDATE($B$53,MAX(1,'Вводные'!$H$90)),'Вводные'!$B$90="Да")</x:f>
      </x:c>
      <x:c r="EK58" s="35" t="n">
        <x:f>--AND(EK$3&gt;=MAX($B$53,$B$54),EK$3&lt;EDATE($B$53,MAX(1,'Вводные'!$H$90)),'Вводные'!$B$90="Да")</x:f>
      </x:c>
      <x:c r="EL58" s="35" t="n">
        <x:f>--AND(EL$3&gt;=MAX($B$53,$B$54),EL$3&lt;EDATE($B$53,MAX(1,'Вводные'!$H$90)),'Вводные'!$B$90="Да")</x:f>
      </x:c>
      <x:c r="EM58" s="35" t="n">
        <x:f>--AND(EM$3&gt;=MAX($B$53,$B$54),EM$3&lt;EDATE($B$53,MAX(1,'Вводные'!$H$90)),'Вводные'!$B$90="Да")</x:f>
      </x:c>
      <x:c r="EN58" s="35" t="n">
        <x:f>--AND(EN$3&gt;=MAX($B$53,$B$54),EN$3&lt;EDATE($B$53,MAX(1,'Вводные'!$H$90)),'Вводные'!$B$90="Да")</x:f>
      </x:c>
      <x:c r="EO58" s="35" t="n">
        <x:f>--AND(EO$3&gt;=MAX($B$53,$B$54),EO$3&lt;EDATE($B$53,MAX(1,'Вводные'!$H$90)),'Вводные'!$B$90="Да")</x:f>
      </x:c>
      <x:c r="EP58" s="35" t="n">
        <x:f>--AND(EP$3&gt;=MAX($B$53,$B$54),EP$3&lt;EDATE($B$53,MAX(1,'Вводные'!$H$90)),'Вводные'!$B$90="Да")</x:f>
      </x:c>
      <x:c r="EQ58" s="35" t="n">
        <x:f>--AND(EQ$3&gt;=MAX($B$53,$B$54),EQ$3&lt;EDATE($B$53,MAX(1,'Вводные'!$H$90)),'Вводные'!$B$90="Да")</x:f>
      </x:c>
      <x:c r="ER58" s="35" t="n">
        <x:f>--AND(ER$3&gt;=MAX($B$53,$B$54),ER$3&lt;EDATE($B$53,MAX(1,'Вводные'!$H$90)),'Вводные'!$B$90="Да")</x:f>
      </x:c>
      <x:c r="ES58" s="35" t="n">
        <x:f>--AND(ES$3&gt;=MAX($B$53,$B$54),ES$3&lt;EDATE($B$53,MAX(1,'Вводные'!$H$90)),'Вводные'!$B$90="Да")</x:f>
      </x:c>
      <x:c r="ET58" s="35" t="n">
        <x:f>--AND(ET$3&gt;=MAX($B$53,$B$54),ET$3&lt;EDATE($B$53,MAX(1,'Вводные'!$H$90)),'Вводные'!$B$90="Да")</x:f>
      </x:c>
      <x:c r="EU58" s="35" t="n">
        <x:f>--AND(EU$3&gt;=MAX($B$53,$B$54),EU$3&lt;EDATE($B$53,MAX(1,'Вводные'!$H$90)),'Вводные'!$B$90="Да")</x:f>
      </x:c>
      <x:c r="EV58" s="35" t="n">
        <x:f>--AND(EV$3&gt;=MAX($B$53,$B$54),EV$3&lt;EDATE($B$53,MAX(1,'Вводные'!$H$90)),'Вводные'!$B$90="Да")</x:f>
      </x:c>
      <x:c r="EW58" s="35" t="n">
        <x:f>--AND(EW$3&gt;=MAX($B$53,$B$54),EW$3&lt;EDATE($B$53,MAX(1,'Вводные'!$H$90)),'Вводные'!$B$90="Да")</x:f>
      </x:c>
      <x:c r="EX58" s="35" t="n">
        <x:f>--AND(EX$3&gt;=MAX($B$53,$B$54),EX$3&lt;EDATE($B$53,MAX(1,'Вводные'!$H$90)),'Вводные'!$B$90="Да")</x:f>
      </x:c>
      <x:c r="EY58" s="35" t="n">
        <x:f>--AND(EY$3&gt;=MAX($B$53,$B$54),EY$3&lt;EDATE($B$53,MAX(1,'Вводные'!$H$90)),'Вводные'!$B$90="Да")</x:f>
      </x:c>
      <x:c r="EZ58" s="35" t="n">
        <x:f>--AND(EZ$3&gt;=MAX($B$53,$B$54),EZ$3&lt;EDATE($B$53,MAX(1,'Вводные'!$H$90)),'Вводные'!$B$90="Да")</x:f>
      </x:c>
      <x:c r="FA58" s="35" t="n">
        <x:f>--AND(FA$3&gt;=MAX($B$53,$B$54),FA$3&lt;EDATE($B$53,MAX(1,'Вводные'!$H$90)),'Вводные'!$B$90="Да")</x:f>
      </x:c>
      <x:c r="FB58" s="35" t="n">
        <x:f>--AND(FB$3&gt;=MAX($B$53,$B$54),FB$3&lt;EDATE($B$53,MAX(1,'Вводные'!$H$90)),'Вводные'!$B$90="Да")</x:f>
      </x:c>
      <x:c r="FC58" s="35" t="n">
        <x:f>--AND(FC$3&gt;=MAX($B$53,$B$54),FC$3&lt;EDATE($B$53,MAX(1,'Вводные'!$H$90)),'Вводные'!$B$90="Да")</x:f>
      </x:c>
      <x:c r="FD58" s="35" t="n">
        <x:f>--AND(FD$3&gt;=MAX($B$53,$B$54),FD$3&lt;EDATE($B$53,MAX(1,'Вводные'!$H$90)),'Вводные'!$B$90="Да")</x:f>
      </x:c>
      <x:c r="FE58" s="35" t="n">
        <x:f>--AND(FE$3&gt;=MAX($B$53,$B$54),FE$3&lt;EDATE($B$53,MAX(1,'Вводные'!$H$90)),'Вводные'!$B$90="Да")</x:f>
      </x:c>
      <x:c r="FF58" s="35" t="n">
        <x:f>--AND(FF$3&gt;=MAX($B$53,$B$54),FF$3&lt;EDATE($B$53,MAX(1,'Вводные'!$H$90)),'Вводные'!$B$90="Да")</x:f>
      </x:c>
      <x:c r="FG58" s="35" t="n">
        <x:f>--AND(FG$3&gt;=MAX($B$53,$B$54),FG$3&lt;EDATE($B$53,MAX(1,'Вводные'!$H$90)),'Вводные'!$B$90="Да")</x:f>
      </x:c>
      <x:c r="FH58" s="35" t="n">
        <x:f>--AND(FH$3&gt;=MAX($B$53,$B$54),FH$3&lt;EDATE($B$53,MAX(1,'Вводные'!$H$90)),'Вводные'!$B$90="Да")</x:f>
      </x:c>
      <x:c r="FI58" s="35" t="n">
        <x:f>--AND(FI$3&gt;=MAX($B$53,$B$54),FI$3&lt;EDATE($B$53,MAX(1,'Вводные'!$H$90)),'Вводные'!$B$90="Да")</x:f>
      </x:c>
      <x:c r="FJ58" s="35" t="n">
        <x:f>--AND(FJ$3&gt;=MAX($B$53,$B$54),FJ$3&lt;EDATE($B$53,MAX(1,'Вводные'!$H$90)),'Вводные'!$B$90="Да")</x:f>
      </x:c>
      <x:c r="FK58" s="35" t="n">
        <x:f>--AND(FK$3&gt;=MAX($B$53,$B$54),FK$3&lt;EDATE($B$53,MAX(1,'Вводные'!$H$90)),'Вводные'!$B$90="Да")</x:f>
      </x:c>
      <x:c r="FL58" s="35" t="n">
        <x:f>--AND(FL$3&gt;=MAX($B$53,$B$54),FL$3&lt;EDATE($B$53,MAX(1,'Вводные'!$H$90)),'Вводные'!$B$90="Да")</x:f>
      </x:c>
      <x:c r="FM58" s="35" t="n">
        <x:f>--AND(FM$3&gt;=MAX($B$53,$B$54),FM$3&lt;EDATE($B$53,MAX(1,'Вводные'!$H$90)),'Вводные'!$B$90="Да")</x:f>
      </x:c>
      <x:c r="FN58" s="35" t="n">
        <x:f>--AND(FN$3&gt;=MAX($B$53,$B$54),FN$3&lt;EDATE($B$53,MAX(1,'Вводные'!$H$90)),'Вводные'!$B$90="Да")</x:f>
      </x:c>
      <x:c r="FO58" s="35" t="n">
        <x:f>--AND(FO$3&gt;=MAX($B$53,$B$54),FO$3&lt;EDATE($B$53,MAX(1,'Вводные'!$H$90)),'Вводные'!$B$90="Да")</x:f>
      </x:c>
      <x:c r="FP58" s="35" t="n">
        <x:f>--AND(FP$3&gt;=MAX($B$53,$B$54),FP$3&lt;EDATE($B$53,MAX(1,'Вводные'!$H$90)),'Вводные'!$B$90="Да")</x:f>
      </x:c>
      <x:c r="FQ58" s="35" t="n">
        <x:f>--AND(FQ$3&gt;=MAX($B$53,$B$54),FQ$3&lt;EDATE($B$53,MAX(1,'Вводные'!$H$90)),'Вводные'!$B$90="Да")</x:f>
      </x:c>
      <x:c r="FR58" s="35" t="n">
        <x:f>--AND(FR$3&gt;=MAX($B$53,$B$54),FR$3&lt;EDATE($B$53,MAX(1,'Вводные'!$H$90)),'Вводные'!$B$90="Да")</x:f>
      </x:c>
      <x:c r="FS58" s="35" t="n">
        <x:f>--AND(FS$3&gt;=MAX($B$53,$B$54),FS$3&lt;EDATE($B$53,MAX(1,'Вводные'!$H$90)),'Вводные'!$B$90="Да")</x:f>
      </x:c>
      <x:c r="FT58" s="35" t="n">
        <x:f>--AND(FT$3&gt;=MAX($B$53,$B$54),FT$3&lt;EDATE($B$53,MAX(1,'Вводные'!$H$90)),'Вводные'!$B$90="Да")</x:f>
      </x:c>
      <x:c r="FU58" s="35" t="n">
        <x:f>--AND(FU$3&gt;=MAX($B$53,$B$54),FU$3&lt;EDATE($B$53,MAX(1,'Вводные'!$H$90)),'Вводные'!$B$90="Да")</x:f>
      </x:c>
      <x:c r="FV58" s="35" t="n">
        <x:f>--AND(FV$3&gt;=MAX($B$53,$B$54),FV$3&lt;EDATE($B$53,MAX(1,'Вводные'!$H$90)),'Вводные'!$B$90="Да")</x:f>
      </x:c>
      <x:c r="FW58" s="35" t="n">
        <x:f>--AND(FW$3&gt;=MAX($B$53,$B$54),FW$3&lt;EDATE($B$53,MAX(1,'Вводные'!$H$90)),'Вводные'!$B$90="Да")</x:f>
      </x:c>
      <x:c r="FX58" s="35" t="n">
        <x:f>--AND(FX$3&gt;=MAX($B$53,$B$54),FX$3&lt;EDATE($B$53,MAX(1,'Вводные'!$H$90)),'Вводные'!$B$90="Да")</x:f>
      </x:c>
      <x:c r="FY58" s="35" t="n">
        <x:f>--AND(FY$3&gt;=MAX($B$53,$B$54),FY$3&lt;EDATE($B$53,MAX(1,'Вводные'!$H$90)),'Вводные'!$B$90="Да")</x:f>
      </x:c>
      <x:c r="FZ58" s="35" t="n">
        <x:f>--AND(FZ$3&gt;=MAX($B$53,$B$54),FZ$3&lt;EDATE($B$53,MAX(1,'Вводные'!$H$90)),'Вводные'!$B$90="Да")</x:f>
      </x:c>
      <x:c r="GA58" s="35" t="n">
        <x:f>--AND(GA$3&gt;=MAX($B$53,$B$54),GA$3&lt;EDATE($B$53,MAX(1,'Вводные'!$H$90)),'Вводные'!$B$90="Да")</x:f>
      </x:c>
    </x:row>
    <x:row r="59">
      <x:c r="A59" t="str">
        <x:v>Нормированный вес после РВЭ</x:v>
      </x:c>
      <x:c r="B59" t="n">
        <x:f>SUM(D59:GA59)</x:f>
      </x:c>
      <x:c r="C59" t="str">
        <x:v>%</x:v>
      </x:c>
      <x:c r="D59" s="35" t="n">
        <x:f>IFERROR(D56*D58/SUMPRODUCT($D56:$GA56,$D58:$GA58),0)</x:f>
      </x:c>
      <x:c r="E59" s="35" t="n">
        <x:f>IFERROR(E56*E58/SUMPRODUCT($D56:$GA56,$D58:$GA58),0)</x:f>
      </x:c>
      <x:c r="F59" s="35" t="n">
        <x:f>IFERROR(F56*F58/SUMPRODUCT($D56:$GA56,$D58:$GA58),0)</x:f>
      </x:c>
      <x:c r="G59" s="35" t="n">
        <x:f>IFERROR(G56*G58/SUMPRODUCT($D56:$GA56,$D58:$GA58),0)</x:f>
      </x:c>
      <x:c r="H59" s="35" t="n">
        <x:f>IFERROR(H56*H58/SUMPRODUCT($D56:$GA56,$D58:$GA58),0)</x:f>
      </x:c>
      <x:c r="I59" s="35" t="n">
        <x:f>IFERROR(I56*I58/SUMPRODUCT($D56:$GA56,$D58:$GA58),0)</x:f>
      </x:c>
      <x:c r="J59" s="35" t="n">
        <x:f>IFERROR(J56*J58/SUMPRODUCT($D56:$GA56,$D58:$GA58),0)</x:f>
      </x:c>
      <x:c r="K59" s="35" t="n">
        <x:f>IFERROR(K56*K58/SUMPRODUCT($D56:$GA56,$D58:$GA58),0)</x:f>
      </x:c>
      <x:c r="L59" s="35" t="n">
        <x:f>IFERROR(L56*L58/SUMPRODUCT($D56:$GA56,$D58:$GA58),0)</x:f>
      </x:c>
      <x:c r="M59" s="35" t="n">
        <x:f>IFERROR(M56*M58/SUMPRODUCT($D56:$GA56,$D58:$GA58),0)</x:f>
      </x:c>
      <x:c r="N59" s="35" t="n">
        <x:f>IFERROR(N56*N58/SUMPRODUCT($D56:$GA56,$D58:$GA58),0)</x:f>
      </x:c>
      <x:c r="O59" s="35" t="n">
        <x:f>IFERROR(O56*O58/SUMPRODUCT($D56:$GA56,$D58:$GA58),0)</x:f>
      </x:c>
      <x:c r="P59" s="35" t="n">
        <x:f>IFERROR(P56*P58/SUMPRODUCT($D56:$GA56,$D58:$GA58),0)</x:f>
      </x:c>
      <x:c r="Q59" s="35" t="n">
        <x:f>IFERROR(Q56*Q58/SUMPRODUCT($D56:$GA56,$D58:$GA58),0)</x:f>
      </x:c>
      <x:c r="R59" s="35" t="n">
        <x:f>IFERROR(R56*R58/SUMPRODUCT($D56:$GA56,$D58:$GA58),0)</x:f>
      </x:c>
      <x:c r="S59" s="35" t="n">
        <x:f>IFERROR(S56*S58/SUMPRODUCT($D56:$GA56,$D58:$GA58),0)</x:f>
      </x:c>
      <x:c r="T59" s="35" t="n">
        <x:f>IFERROR(T56*T58/SUMPRODUCT($D56:$GA56,$D58:$GA58),0)</x:f>
      </x:c>
      <x:c r="U59" s="35" t="n">
        <x:f>IFERROR(U56*U58/SUMPRODUCT($D56:$GA56,$D58:$GA58),0)</x:f>
      </x:c>
      <x:c r="V59" s="35" t="n">
        <x:f>IFERROR(V56*V58/SUMPRODUCT($D56:$GA56,$D58:$GA58),0)</x:f>
      </x:c>
      <x:c r="W59" s="35" t="n">
        <x:f>IFERROR(W56*W58/SUMPRODUCT($D56:$GA56,$D58:$GA58),0)</x:f>
      </x:c>
      <x:c r="X59" s="35" t="n">
        <x:f>IFERROR(X56*X58/SUMPRODUCT($D56:$GA56,$D58:$GA58),0)</x:f>
      </x:c>
      <x:c r="Y59" s="35" t="n">
        <x:f>IFERROR(Y56*Y58/SUMPRODUCT($D56:$GA56,$D58:$GA58),0)</x:f>
      </x:c>
      <x:c r="Z59" s="35" t="n">
        <x:f>IFERROR(Z56*Z58/SUMPRODUCT($D56:$GA56,$D58:$GA58),0)</x:f>
      </x:c>
      <x:c r="AA59" s="35" t="n">
        <x:f>IFERROR(AA56*AA58/SUMPRODUCT($D56:$GA56,$D58:$GA58),0)</x:f>
      </x:c>
      <x:c r="AB59" s="35" t="n">
        <x:f>IFERROR(AB56*AB58/SUMPRODUCT($D56:$GA56,$D58:$GA58),0)</x:f>
      </x:c>
      <x:c r="AC59" s="35" t="n">
        <x:f>IFERROR(AC56*AC58/SUMPRODUCT($D56:$GA56,$D58:$GA58),0)</x:f>
      </x:c>
      <x:c r="AD59" s="35" t="n">
        <x:f>IFERROR(AD56*AD58/SUMPRODUCT($D56:$GA56,$D58:$GA58),0)</x:f>
      </x:c>
      <x:c r="AE59" s="35" t="n">
        <x:f>IFERROR(AE56*AE58/SUMPRODUCT($D56:$GA56,$D58:$GA58),0)</x:f>
      </x:c>
      <x:c r="AF59" s="35" t="n">
        <x:f>IFERROR(AF56*AF58/SUMPRODUCT($D56:$GA56,$D58:$GA58),0)</x:f>
      </x:c>
      <x:c r="AG59" s="35" t="n">
        <x:f>IFERROR(AG56*AG58/SUMPRODUCT($D56:$GA56,$D58:$GA58),0)</x:f>
      </x:c>
      <x:c r="AH59" s="35" t="n">
        <x:f>IFERROR(AH56*AH58/SUMPRODUCT($D56:$GA56,$D58:$GA58),0)</x:f>
      </x:c>
      <x:c r="AI59" s="35" t="n">
        <x:f>IFERROR(AI56*AI58/SUMPRODUCT($D56:$GA56,$D58:$GA58),0)</x:f>
      </x:c>
      <x:c r="AJ59" s="35" t="n">
        <x:f>IFERROR(AJ56*AJ58/SUMPRODUCT($D56:$GA56,$D58:$GA58),0)</x:f>
      </x:c>
      <x:c r="AK59" s="35" t="n">
        <x:f>IFERROR(AK56*AK58/SUMPRODUCT($D56:$GA56,$D58:$GA58),0)</x:f>
      </x:c>
      <x:c r="AL59" s="35" t="n">
        <x:f>IFERROR(AL56*AL58/SUMPRODUCT($D56:$GA56,$D58:$GA58),0)</x:f>
      </x:c>
      <x:c r="AM59" s="35" t="n">
        <x:f>IFERROR(AM56*AM58/SUMPRODUCT($D56:$GA56,$D58:$GA58),0)</x:f>
      </x:c>
      <x:c r="AN59" s="35" t="n">
        <x:f>IFERROR(AN56*AN58/SUMPRODUCT($D56:$GA56,$D58:$GA58),0)</x:f>
      </x:c>
      <x:c r="AO59" s="35" t="n">
        <x:f>IFERROR(AO56*AO58/SUMPRODUCT($D56:$GA56,$D58:$GA58),0)</x:f>
      </x:c>
      <x:c r="AP59" s="35" t="n">
        <x:f>IFERROR(AP56*AP58/SUMPRODUCT($D56:$GA56,$D58:$GA58),0)</x:f>
      </x:c>
      <x:c r="AQ59" s="35" t="n">
        <x:f>IFERROR(AQ56*AQ58/SUMPRODUCT($D56:$GA56,$D58:$GA58),0)</x:f>
      </x:c>
      <x:c r="AR59" s="35" t="n">
        <x:f>IFERROR(AR56*AR58/SUMPRODUCT($D56:$GA56,$D58:$GA58),0)</x:f>
      </x:c>
      <x:c r="AS59" s="35" t="n">
        <x:f>IFERROR(AS56*AS58/SUMPRODUCT($D56:$GA56,$D58:$GA58),0)</x:f>
      </x:c>
      <x:c r="AT59" s="35" t="n">
        <x:f>IFERROR(AT56*AT58/SUMPRODUCT($D56:$GA56,$D58:$GA58),0)</x:f>
      </x:c>
      <x:c r="AU59" s="35" t="n">
        <x:f>IFERROR(AU56*AU58/SUMPRODUCT($D56:$GA56,$D58:$GA58),0)</x:f>
      </x:c>
      <x:c r="AV59" s="35" t="n">
        <x:f>IFERROR(AV56*AV58/SUMPRODUCT($D56:$GA56,$D58:$GA58),0)</x:f>
      </x:c>
      <x:c r="AW59" s="35" t="n">
        <x:f>IFERROR(AW56*AW58/SUMPRODUCT($D56:$GA56,$D58:$GA58),0)</x:f>
      </x:c>
      <x:c r="AX59" s="35" t="n">
        <x:f>IFERROR(AX56*AX58/SUMPRODUCT($D56:$GA56,$D58:$GA58),0)</x:f>
      </x:c>
      <x:c r="AY59" s="35" t="n">
        <x:f>IFERROR(AY56*AY58/SUMPRODUCT($D56:$GA56,$D58:$GA58),0)</x:f>
      </x:c>
      <x:c r="AZ59" s="35" t="n">
        <x:f>IFERROR(AZ56*AZ58/SUMPRODUCT($D56:$GA56,$D58:$GA58),0)</x:f>
      </x:c>
      <x:c r="BA59" s="35" t="n">
        <x:f>IFERROR(BA56*BA58/SUMPRODUCT($D56:$GA56,$D58:$GA58),0)</x:f>
      </x:c>
      <x:c r="BB59" s="35" t="n">
        <x:f>IFERROR(BB56*BB58/SUMPRODUCT($D56:$GA56,$D58:$GA58),0)</x:f>
      </x:c>
      <x:c r="BC59" s="35" t="n">
        <x:f>IFERROR(BC56*BC58/SUMPRODUCT($D56:$GA56,$D58:$GA58),0)</x:f>
      </x:c>
      <x:c r="BD59" s="35" t="n">
        <x:f>IFERROR(BD56*BD58/SUMPRODUCT($D56:$GA56,$D58:$GA58),0)</x:f>
      </x:c>
      <x:c r="BE59" s="35" t="n">
        <x:f>IFERROR(BE56*BE58/SUMPRODUCT($D56:$GA56,$D58:$GA58),0)</x:f>
      </x:c>
      <x:c r="BF59" s="35" t="n">
        <x:f>IFERROR(BF56*BF58/SUMPRODUCT($D56:$GA56,$D58:$GA58),0)</x:f>
      </x:c>
      <x:c r="BG59" s="35" t="n">
        <x:f>IFERROR(BG56*BG58/SUMPRODUCT($D56:$GA56,$D58:$GA58),0)</x:f>
      </x:c>
      <x:c r="BH59" s="35" t="n">
        <x:f>IFERROR(BH56*BH58/SUMPRODUCT($D56:$GA56,$D58:$GA58),0)</x:f>
      </x:c>
      <x:c r="BI59" s="35" t="n">
        <x:f>IFERROR(BI56*BI58/SUMPRODUCT($D56:$GA56,$D58:$GA58),0)</x:f>
      </x:c>
      <x:c r="BJ59" s="35" t="n">
        <x:f>IFERROR(BJ56*BJ58/SUMPRODUCT($D56:$GA56,$D58:$GA58),0)</x:f>
      </x:c>
      <x:c r="BK59" s="35" t="n">
        <x:f>IFERROR(BK56*BK58/SUMPRODUCT($D56:$GA56,$D58:$GA58),0)</x:f>
      </x:c>
      <x:c r="BL59" s="35" t="n">
        <x:f>IFERROR(BL56*BL58/SUMPRODUCT($D56:$GA56,$D58:$GA58),0)</x:f>
      </x:c>
      <x:c r="BM59" s="35" t="n">
        <x:f>IFERROR(BM56*BM58/SUMPRODUCT($D56:$GA56,$D58:$GA58),0)</x:f>
      </x:c>
      <x:c r="BN59" s="35" t="n">
        <x:f>IFERROR(BN56*BN58/SUMPRODUCT($D56:$GA56,$D58:$GA58),0)</x:f>
      </x:c>
      <x:c r="BO59" s="35" t="n">
        <x:f>IFERROR(BO56*BO58/SUMPRODUCT($D56:$GA56,$D58:$GA58),0)</x:f>
      </x:c>
      <x:c r="BP59" s="35" t="n">
        <x:f>IFERROR(BP56*BP58/SUMPRODUCT($D56:$GA56,$D58:$GA58),0)</x:f>
      </x:c>
      <x:c r="BQ59" s="35" t="n">
        <x:f>IFERROR(BQ56*BQ58/SUMPRODUCT($D56:$GA56,$D58:$GA58),0)</x:f>
      </x:c>
      <x:c r="BR59" s="35" t="n">
        <x:f>IFERROR(BR56*BR58/SUMPRODUCT($D56:$GA56,$D58:$GA58),0)</x:f>
      </x:c>
      <x:c r="BS59" s="35" t="n">
        <x:f>IFERROR(BS56*BS58/SUMPRODUCT($D56:$GA56,$D58:$GA58),0)</x:f>
      </x:c>
      <x:c r="BT59" s="35" t="n">
        <x:f>IFERROR(BT56*BT58/SUMPRODUCT($D56:$GA56,$D58:$GA58),0)</x:f>
      </x:c>
      <x:c r="BU59" s="35" t="n">
        <x:f>IFERROR(BU56*BU58/SUMPRODUCT($D56:$GA56,$D58:$GA58),0)</x:f>
      </x:c>
      <x:c r="BV59" s="35" t="n">
        <x:f>IFERROR(BV56*BV58/SUMPRODUCT($D56:$GA56,$D58:$GA58),0)</x:f>
      </x:c>
      <x:c r="BW59" s="35" t="n">
        <x:f>IFERROR(BW56*BW58/SUMPRODUCT($D56:$GA56,$D58:$GA58),0)</x:f>
      </x:c>
      <x:c r="BX59" s="35" t="n">
        <x:f>IFERROR(BX56*BX58/SUMPRODUCT($D56:$GA56,$D58:$GA58),0)</x:f>
      </x:c>
      <x:c r="BY59" s="35" t="n">
        <x:f>IFERROR(BY56*BY58/SUMPRODUCT($D56:$GA56,$D58:$GA58),0)</x:f>
      </x:c>
      <x:c r="BZ59" s="35" t="n">
        <x:f>IFERROR(BZ56*BZ58/SUMPRODUCT($D56:$GA56,$D58:$GA58),0)</x:f>
      </x:c>
      <x:c r="CA59" s="35" t="n">
        <x:f>IFERROR(CA56*CA58/SUMPRODUCT($D56:$GA56,$D58:$GA58),0)</x:f>
      </x:c>
      <x:c r="CB59" s="35" t="n">
        <x:f>IFERROR(CB56*CB58/SUMPRODUCT($D56:$GA56,$D58:$GA58),0)</x:f>
      </x:c>
      <x:c r="CC59" s="35" t="n">
        <x:f>IFERROR(CC56*CC58/SUMPRODUCT($D56:$GA56,$D58:$GA58),0)</x:f>
      </x:c>
      <x:c r="CD59" s="35" t="n">
        <x:f>IFERROR(CD56*CD58/SUMPRODUCT($D56:$GA56,$D58:$GA58),0)</x:f>
      </x:c>
      <x:c r="CE59" s="35" t="n">
        <x:f>IFERROR(CE56*CE58/SUMPRODUCT($D56:$GA56,$D58:$GA58),0)</x:f>
      </x:c>
      <x:c r="CF59" s="35" t="n">
        <x:f>IFERROR(CF56*CF58/SUMPRODUCT($D56:$GA56,$D58:$GA58),0)</x:f>
      </x:c>
      <x:c r="CG59" s="35" t="n">
        <x:f>IFERROR(CG56*CG58/SUMPRODUCT($D56:$GA56,$D58:$GA58),0)</x:f>
      </x:c>
      <x:c r="CH59" s="35" t="n">
        <x:f>IFERROR(CH56*CH58/SUMPRODUCT($D56:$GA56,$D58:$GA58),0)</x:f>
      </x:c>
      <x:c r="CI59" s="35" t="n">
        <x:f>IFERROR(CI56*CI58/SUMPRODUCT($D56:$GA56,$D58:$GA58),0)</x:f>
      </x:c>
      <x:c r="CJ59" s="35" t="n">
        <x:f>IFERROR(CJ56*CJ58/SUMPRODUCT($D56:$GA56,$D58:$GA58),0)</x:f>
      </x:c>
      <x:c r="CK59" s="35" t="n">
        <x:f>IFERROR(CK56*CK58/SUMPRODUCT($D56:$GA56,$D58:$GA58),0)</x:f>
      </x:c>
      <x:c r="CL59" s="35" t="n">
        <x:f>IFERROR(CL56*CL58/SUMPRODUCT($D56:$GA56,$D58:$GA58),0)</x:f>
      </x:c>
      <x:c r="CM59" s="35" t="n">
        <x:f>IFERROR(CM56*CM58/SUMPRODUCT($D56:$GA56,$D58:$GA58),0)</x:f>
      </x:c>
      <x:c r="CN59" s="35" t="n">
        <x:f>IFERROR(CN56*CN58/SUMPRODUCT($D56:$GA56,$D58:$GA58),0)</x:f>
      </x:c>
      <x:c r="CO59" s="35" t="n">
        <x:f>IFERROR(CO56*CO58/SUMPRODUCT($D56:$GA56,$D58:$GA58),0)</x:f>
      </x:c>
      <x:c r="CP59" s="35" t="n">
        <x:f>IFERROR(CP56*CP58/SUMPRODUCT($D56:$GA56,$D58:$GA58),0)</x:f>
      </x:c>
      <x:c r="CQ59" s="35" t="n">
        <x:f>IFERROR(CQ56*CQ58/SUMPRODUCT($D56:$GA56,$D58:$GA58),0)</x:f>
      </x:c>
      <x:c r="CR59" s="35" t="n">
        <x:f>IFERROR(CR56*CR58/SUMPRODUCT($D56:$GA56,$D58:$GA58),0)</x:f>
      </x:c>
      <x:c r="CS59" s="35" t="n">
        <x:f>IFERROR(CS56*CS58/SUMPRODUCT($D56:$GA56,$D58:$GA58),0)</x:f>
      </x:c>
      <x:c r="CT59" s="35" t="n">
        <x:f>IFERROR(CT56*CT58/SUMPRODUCT($D56:$GA56,$D58:$GA58),0)</x:f>
      </x:c>
      <x:c r="CU59" s="35" t="n">
        <x:f>IFERROR(CU56*CU58/SUMPRODUCT($D56:$GA56,$D58:$GA58),0)</x:f>
      </x:c>
      <x:c r="CV59" s="35" t="n">
        <x:f>IFERROR(CV56*CV58/SUMPRODUCT($D56:$GA56,$D58:$GA58),0)</x:f>
      </x:c>
      <x:c r="CW59" s="35" t="n">
        <x:f>IFERROR(CW56*CW58/SUMPRODUCT($D56:$GA56,$D58:$GA58),0)</x:f>
      </x:c>
      <x:c r="CX59" s="35" t="n">
        <x:f>IFERROR(CX56*CX58/SUMPRODUCT($D56:$GA56,$D58:$GA58),0)</x:f>
      </x:c>
      <x:c r="CY59" s="35" t="n">
        <x:f>IFERROR(CY56*CY58/SUMPRODUCT($D56:$GA56,$D58:$GA58),0)</x:f>
      </x:c>
      <x:c r="CZ59" s="35" t="n">
        <x:f>IFERROR(CZ56*CZ58/SUMPRODUCT($D56:$GA56,$D58:$GA58),0)</x:f>
      </x:c>
      <x:c r="DA59" s="35" t="n">
        <x:f>IFERROR(DA56*DA58/SUMPRODUCT($D56:$GA56,$D58:$GA58),0)</x:f>
      </x:c>
      <x:c r="DB59" s="35" t="n">
        <x:f>IFERROR(DB56*DB58/SUMPRODUCT($D56:$GA56,$D58:$GA58),0)</x:f>
      </x:c>
      <x:c r="DC59" s="35" t="n">
        <x:f>IFERROR(DC56*DC58/SUMPRODUCT($D56:$GA56,$D58:$GA58),0)</x:f>
      </x:c>
      <x:c r="DD59" s="35" t="n">
        <x:f>IFERROR(DD56*DD58/SUMPRODUCT($D56:$GA56,$D58:$GA58),0)</x:f>
      </x:c>
      <x:c r="DE59" s="35" t="n">
        <x:f>IFERROR(DE56*DE58/SUMPRODUCT($D56:$GA56,$D58:$GA58),0)</x:f>
      </x:c>
      <x:c r="DF59" s="35" t="n">
        <x:f>IFERROR(DF56*DF58/SUMPRODUCT($D56:$GA56,$D58:$GA58),0)</x:f>
      </x:c>
      <x:c r="DG59" s="35" t="n">
        <x:f>IFERROR(DG56*DG58/SUMPRODUCT($D56:$GA56,$D58:$GA58),0)</x:f>
      </x:c>
      <x:c r="DH59" s="35" t="n">
        <x:f>IFERROR(DH56*DH58/SUMPRODUCT($D56:$GA56,$D58:$GA58),0)</x:f>
      </x:c>
      <x:c r="DI59" s="35" t="n">
        <x:f>IFERROR(DI56*DI58/SUMPRODUCT($D56:$GA56,$D58:$GA58),0)</x:f>
      </x:c>
      <x:c r="DJ59" s="35" t="n">
        <x:f>IFERROR(DJ56*DJ58/SUMPRODUCT($D56:$GA56,$D58:$GA58),0)</x:f>
      </x:c>
      <x:c r="DK59" s="35" t="n">
        <x:f>IFERROR(DK56*DK58/SUMPRODUCT($D56:$GA56,$D58:$GA58),0)</x:f>
      </x:c>
      <x:c r="DL59" s="35" t="n">
        <x:f>IFERROR(DL56*DL58/SUMPRODUCT($D56:$GA56,$D58:$GA58),0)</x:f>
      </x:c>
      <x:c r="DM59" s="35" t="n">
        <x:f>IFERROR(DM56*DM58/SUMPRODUCT($D56:$GA56,$D58:$GA58),0)</x:f>
      </x:c>
      <x:c r="DN59" s="35" t="n">
        <x:f>IFERROR(DN56*DN58/SUMPRODUCT($D56:$GA56,$D58:$GA58),0)</x:f>
      </x:c>
      <x:c r="DO59" s="35" t="n">
        <x:f>IFERROR(DO56*DO58/SUMPRODUCT($D56:$GA56,$D58:$GA58),0)</x:f>
      </x:c>
      <x:c r="DP59" s="35" t="n">
        <x:f>IFERROR(DP56*DP58/SUMPRODUCT($D56:$GA56,$D58:$GA58),0)</x:f>
      </x:c>
      <x:c r="DQ59" s="35" t="n">
        <x:f>IFERROR(DQ56*DQ58/SUMPRODUCT($D56:$GA56,$D58:$GA58),0)</x:f>
      </x:c>
      <x:c r="DR59" s="35" t="n">
        <x:f>IFERROR(DR56*DR58/SUMPRODUCT($D56:$GA56,$D58:$GA58),0)</x:f>
      </x:c>
      <x:c r="DS59" s="35" t="n">
        <x:f>IFERROR(DS56*DS58/SUMPRODUCT($D56:$GA56,$D58:$GA58),0)</x:f>
      </x:c>
      <x:c r="DT59" s="35" t="n">
        <x:f>IFERROR(DT56*DT58/SUMPRODUCT($D56:$GA56,$D58:$GA58),0)</x:f>
      </x:c>
      <x:c r="DU59" s="35" t="n">
        <x:f>IFERROR(DU56*DU58/SUMPRODUCT($D56:$GA56,$D58:$GA58),0)</x:f>
      </x:c>
      <x:c r="DV59" s="35" t="n">
        <x:f>IFERROR(DV56*DV58/SUMPRODUCT($D56:$GA56,$D58:$GA58),0)</x:f>
      </x:c>
      <x:c r="DW59" s="35" t="n">
        <x:f>IFERROR(DW56*DW58/SUMPRODUCT($D56:$GA56,$D58:$GA58),0)</x:f>
      </x:c>
      <x:c r="DX59" s="35" t="n">
        <x:f>IFERROR(DX56*DX58/SUMPRODUCT($D56:$GA56,$D58:$GA58),0)</x:f>
      </x:c>
      <x:c r="DY59" s="35" t="n">
        <x:f>IFERROR(DY56*DY58/SUMPRODUCT($D56:$GA56,$D58:$GA58),0)</x:f>
      </x:c>
      <x:c r="DZ59" s="35" t="n">
        <x:f>IFERROR(DZ56*DZ58/SUMPRODUCT($D56:$GA56,$D58:$GA58),0)</x:f>
      </x:c>
      <x:c r="EA59" s="35" t="n">
        <x:f>IFERROR(EA56*EA58/SUMPRODUCT($D56:$GA56,$D58:$GA58),0)</x:f>
      </x:c>
      <x:c r="EB59" s="35" t="n">
        <x:f>IFERROR(EB56*EB58/SUMPRODUCT($D56:$GA56,$D58:$GA58),0)</x:f>
      </x:c>
      <x:c r="EC59" s="35" t="n">
        <x:f>IFERROR(EC56*EC58/SUMPRODUCT($D56:$GA56,$D58:$GA58),0)</x:f>
      </x:c>
      <x:c r="ED59" s="35" t="n">
        <x:f>IFERROR(ED56*ED58/SUMPRODUCT($D56:$GA56,$D58:$GA58),0)</x:f>
      </x:c>
      <x:c r="EE59" s="35" t="n">
        <x:f>IFERROR(EE56*EE58/SUMPRODUCT($D56:$GA56,$D58:$GA58),0)</x:f>
      </x:c>
      <x:c r="EF59" s="35" t="n">
        <x:f>IFERROR(EF56*EF58/SUMPRODUCT($D56:$GA56,$D58:$GA58),0)</x:f>
      </x:c>
      <x:c r="EG59" s="35" t="n">
        <x:f>IFERROR(EG56*EG58/SUMPRODUCT($D56:$GA56,$D58:$GA58),0)</x:f>
      </x:c>
      <x:c r="EH59" s="35" t="n">
        <x:f>IFERROR(EH56*EH58/SUMPRODUCT($D56:$GA56,$D58:$GA58),0)</x:f>
      </x:c>
      <x:c r="EI59" s="35" t="n">
        <x:f>IFERROR(EI56*EI58/SUMPRODUCT($D56:$GA56,$D58:$GA58),0)</x:f>
      </x:c>
      <x:c r="EJ59" s="35" t="n">
        <x:f>IFERROR(EJ56*EJ58/SUMPRODUCT($D56:$GA56,$D58:$GA58),0)</x:f>
      </x:c>
      <x:c r="EK59" s="35" t="n">
        <x:f>IFERROR(EK56*EK58/SUMPRODUCT($D56:$GA56,$D58:$GA58),0)</x:f>
      </x:c>
      <x:c r="EL59" s="35" t="n">
        <x:f>IFERROR(EL56*EL58/SUMPRODUCT($D56:$GA56,$D58:$GA58),0)</x:f>
      </x:c>
      <x:c r="EM59" s="35" t="n">
        <x:f>IFERROR(EM56*EM58/SUMPRODUCT($D56:$GA56,$D58:$GA58),0)</x:f>
      </x:c>
      <x:c r="EN59" s="35" t="n">
        <x:f>IFERROR(EN56*EN58/SUMPRODUCT($D56:$GA56,$D58:$GA58),0)</x:f>
      </x:c>
      <x:c r="EO59" s="35" t="n">
        <x:f>IFERROR(EO56*EO58/SUMPRODUCT($D56:$GA56,$D58:$GA58),0)</x:f>
      </x:c>
      <x:c r="EP59" s="35" t="n">
        <x:f>IFERROR(EP56*EP58/SUMPRODUCT($D56:$GA56,$D58:$GA58),0)</x:f>
      </x:c>
      <x:c r="EQ59" s="35" t="n">
        <x:f>IFERROR(EQ56*EQ58/SUMPRODUCT($D56:$GA56,$D58:$GA58),0)</x:f>
      </x:c>
      <x:c r="ER59" s="35" t="n">
        <x:f>IFERROR(ER56*ER58/SUMPRODUCT($D56:$GA56,$D58:$GA58),0)</x:f>
      </x:c>
      <x:c r="ES59" s="35" t="n">
        <x:f>IFERROR(ES56*ES58/SUMPRODUCT($D56:$GA56,$D58:$GA58),0)</x:f>
      </x:c>
      <x:c r="ET59" s="35" t="n">
        <x:f>IFERROR(ET56*ET58/SUMPRODUCT($D56:$GA56,$D58:$GA58),0)</x:f>
      </x:c>
      <x:c r="EU59" s="35" t="n">
        <x:f>IFERROR(EU56*EU58/SUMPRODUCT($D56:$GA56,$D58:$GA58),0)</x:f>
      </x:c>
      <x:c r="EV59" s="35" t="n">
        <x:f>IFERROR(EV56*EV58/SUMPRODUCT($D56:$GA56,$D58:$GA58),0)</x:f>
      </x:c>
      <x:c r="EW59" s="35" t="n">
        <x:f>IFERROR(EW56*EW58/SUMPRODUCT($D56:$GA56,$D58:$GA58),0)</x:f>
      </x:c>
      <x:c r="EX59" s="35" t="n">
        <x:f>IFERROR(EX56*EX58/SUMPRODUCT($D56:$GA56,$D58:$GA58),0)</x:f>
      </x:c>
      <x:c r="EY59" s="35" t="n">
        <x:f>IFERROR(EY56*EY58/SUMPRODUCT($D56:$GA56,$D58:$GA58),0)</x:f>
      </x:c>
      <x:c r="EZ59" s="35" t="n">
        <x:f>IFERROR(EZ56*EZ58/SUMPRODUCT($D56:$GA56,$D58:$GA58),0)</x:f>
      </x:c>
      <x:c r="FA59" s="35" t="n">
        <x:f>IFERROR(FA56*FA58/SUMPRODUCT($D56:$GA56,$D58:$GA58),0)</x:f>
      </x:c>
      <x:c r="FB59" s="35" t="n">
        <x:f>IFERROR(FB56*FB58/SUMPRODUCT($D56:$GA56,$D58:$GA58),0)</x:f>
      </x:c>
      <x:c r="FC59" s="35" t="n">
        <x:f>IFERROR(FC56*FC58/SUMPRODUCT($D56:$GA56,$D58:$GA58),0)</x:f>
      </x:c>
      <x:c r="FD59" s="35" t="n">
        <x:f>IFERROR(FD56*FD58/SUMPRODUCT($D56:$GA56,$D58:$GA58),0)</x:f>
      </x:c>
      <x:c r="FE59" s="35" t="n">
        <x:f>IFERROR(FE56*FE58/SUMPRODUCT($D56:$GA56,$D58:$GA58),0)</x:f>
      </x:c>
      <x:c r="FF59" s="35" t="n">
        <x:f>IFERROR(FF56*FF58/SUMPRODUCT($D56:$GA56,$D58:$GA58),0)</x:f>
      </x:c>
      <x:c r="FG59" s="35" t="n">
        <x:f>IFERROR(FG56*FG58/SUMPRODUCT($D56:$GA56,$D58:$GA58),0)</x:f>
      </x:c>
      <x:c r="FH59" s="35" t="n">
        <x:f>IFERROR(FH56*FH58/SUMPRODUCT($D56:$GA56,$D58:$GA58),0)</x:f>
      </x:c>
      <x:c r="FI59" s="35" t="n">
        <x:f>IFERROR(FI56*FI58/SUMPRODUCT($D56:$GA56,$D58:$GA58),0)</x:f>
      </x:c>
      <x:c r="FJ59" s="35" t="n">
        <x:f>IFERROR(FJ56*FJ58/SUMPRODUCT($D56:$GA56,$D58:$GA58),0)</x:f>
      </x:c>
      <x:c r="FK59" s="35" t="n">
        <x:f>IFERROR(FK56*FK58/SUMPRODUCT($D56:$GA56,$D58:$GA58),0)</x:f>
      </x:c>
      <x:c r="FL59" s="35" t="n">
        <x:f>IFERROR(FL56*FL58/SUMPRODUCT($D56:$GA56,$D58:$GA58),0)</x:f>
      </x:c>
      <x:c r="FM59" s="35" t="n">
        <x:f>IFERROR(FM56*FM58/SUMPRODUCT($D56:$GA56,$D58:$GA58),0)</x:f>
      </x:c>
      <x:c r="FN59" s="35" t="n">
        <x:f>IFERROR(FN56*FN58/SUMPRODUCT($D56:$GA56,$D58:$GA58),0)</x:f>
      </x:c>
      <x:c r="FO59" s="35" t="n">
        <x:f>IFERROR(FO56*FO58/SUMPRODUCT($D56:$GA56,$D58:$GA58),0)</x:f>
      </x:c>
      <x:c r="FP59" s="35" t="n">
        <x:f>IFERROR(FP56*FP58/SUMPRODUCT($D56:$GA56,$D58:$GA58),0)</x:f>
      </x:c>
      <x:c r="FQ59" s="35" t="n">
        <x:f>IFERROR(FQ56*FQ58/SUMPRODUCT($D56:$GA56,$D58:$GA58),0)</x:f>
      </x:c>
      <x:c r="FR59" s="35" t="n">
        <x:f>IFERROR(FR56*FR58/SUMPRODUCT($D56:$GA56,$D58:$GA58),0)</x:f>
      </x:c>
      <x:c r="FS59" s="35" t="n">
        <x:f>IFERROR(FS56*FS58/SUMPRODUCT($D56:$GA56,$D58:$GA58),0)</x:f>
      </x:c>
      <x:c r="FT59" s="35" t="n">
        <x:f>IFERROR(FT56*FT58/SUMPRODUCT($D56:$GA56,$D58:$GA58),0)</x:f>
      </x:c>
      <x:c r="FU59" s="35" t="n">
        <x:f>IFERROR(FU56*FU58/SUMPRODUCT($D56:$GA56,$D58:$GA58),0)</x:f>
      </x:c>
      <x:c r="FV59" s="35" t="n">
        <x:f>IFERROR(FV56*FV58/SUMPRODUCT($D56:$GA56,$D58:$GA58),0)</x:f>
      </x:c>
      <x:c r="FW59" s="35" t="n">
        <x:f>IFERROR(FW56*FW58/SUMPRODUCT($D56:$GA56,$D58:$GA58),0)</x:f>
      </x:c>
      <x:c r="FX59" s="35" t="n">
        <x:f>IFERROR(FX56*FX58/SUMPRODUCT($D56:$GA56,$D58:$GA58),0)</x:f>
      </x:c>
      <x:c r="FY59" s="35" t="n">
        <x:f>IFERROR(FY56*FY58/SUMPRODUCT($D56:$GA56,$D58:$GA58),0)</x:f>
      </x:c>
      <x:c r="FZ59" s="35" t="n">
        <x:f>IFERROR(FZ56*FZ58/SUMPRODUCT($D56:$GA56,$D58:$GA58),0)</x:f>
      </x:c>
      <x:c r="GA59" s="35" t="n">
        <x:f>IFERROR(GA56*GA58/SUMPRODUCT($D56:$GA56,$D58:$GA58),0)</x:f>
      </x:c>
    </x:row>
    <x:row r="60">
      <x:c r="A60" t="str">
        <x:v>Квартиры — объём</x:v>
      </x:c>
      <x:c r="B60" t="n">
        <x:f>SUM(D60:GA60)</x:f>
      </x:c>
      <x:c r="C60" t="str">
        <x:v>м²</x:v>
      </x:c>
      <x:c r="D60" s="107" t="n">
        <x:f>'Вводные'!$L$90*((IF(SUM($D55:$GA55)=0,0,IF(SUM($D58:$GA58)=0,1,'Вводные'!$B$63)))*D57+(1-(IF(SUM($D55:$GA55)=0,0,IF(SUM($D58:$GA58)=0,1,'Вводные'!$B$63))))*D59)</x:f>
      </x:c>
      <x:c r="E60" s="107" t="n">
        <x:f>'Вводные'!$L$90*((IF(SUM($D55:$GA55)=0,0,IF(SUM($D58:$GA58)=0,1,'Вводные'!$B$63)))*E57+(1-(IF(SUM($D55:$GA55)=0,0,IF(SUM($D58:$GA58)=0,1,'Вводные'!$B$63))))*E59)</x:f>
      </x:c>
      <x:c r="F60" s="107" t="n">
        <x:f>'Вводные'!$L$90*((IF(SUM($D55:$GA55)=0,0,IF(SUM($D58:$GA58)=0,1,'Вводные'!$B$63)))*F57+(1-(IF(SUM($D55:$GA55)=0,0,IF(SUM($D58:$GA58)=0,1,'Вводные'!$B$63))))*F59)</x:f>
      </x:c>
      <x:c r="G60" s="107" t="n">
        <x:f>'Вводные'!$L$90*((IF(SUM($D55:$GA55)=0,0,IF(SUM($D58:$GA58)=0,1,'Вводные'!$B$63)))*G57+(1-(IF(SUM($D55:$GA55)=0,0,IF(SUM($D58:$GA58)=0,1,'Вводные'!$B$63))))*G59)</x:f>
      </x:c>
      <x:c r="H60" s="107" t="n">
        <x:f>'Вводные'!$L$90*((IF(SUM($D55:$GA55)=0,0,IF(SUM($D58:$GA58)=0,1,'Вводные'!$B$63)))*H57+(1-(IF(SUM($D55:$GA55)=0,0,IF(SUM($D58:$GA58)=0,1,'Вводные'!$B$63))))*H59)</x:f>
      </x:c>
      <x:c r="I60" s="107" t="n">
        <x:f>'Вводные'!$L$90*((IF(SUM($D55:$GA55)=0,0,IF(SUM($D58:$GA58)=0,1,'Вводные'!$B$63)))*I57+(1-(IF(SUM($D55:$GA55)=0,0,IF(SUM($D58:$GA58)=0,1,'Вводные'!$B$63))))*I59)</x:f>
      </x:c>
      <x:c r="J60" s="107" t="n">
        <x:f>'Вводные'!$L$90*((IF(SUM($D55:$GA55)=0,0,IF(SUM($D58:$GA58)=0,1,'Вводные'!$B$63)))*J57+(1-(IF(SUM($D55:$GA55)=0,0,IF(SUM($D58:$GA58)=0,1,'Вводные'!$B$63))))*J59)</x:f>
      </x:c>
      <x:c r="K60" s="107" t="n">
        <x:f>'Вводные'!$L$90*((IF(SUM($D55:$GA55)=0,0,IF(SUM($D58:$GA58)=0,1,'Вводные'!$B$63)))*K57+(1-(IF(SUM($D55:$GA55)=0,0,IF(SUM($D58:$GA58)=0,1,'Вводные'!$B$63))))*K59)</x:f>
      </x:c>
      <x:c r="L60" s="107" t="n">
        <x:f>'Вводные'!$L$90*((IF(SUM($D55:$GA55)=0,0,IF(SUM($D58:$GA58)=0,1,'Вводные'!$B$63)))*L57+(1-(IF(SUM($D55:$GA55)=0,0,IF(SUM($D58:$GA58)=0,1,'Вводные'!$B$63))))*L59)</x:f>
      </x:c>
      <x:c r="M60" s="107" t="n">
        <x:f>'Вводные'!$L$90*((IF(SUM($D55:$GA55)=0,0,IF(SUM($D58:$GA58)=0,1,'Вводные'!$B$63)))*M57+(1-(IF(SUM($D55:$GA55)=0,0,IF(SUM($D58:$GA58)=0,1,'Вводные'!$B$63))))*M59)</x:f>
      </x:c>
      <x:c r="N60" s="107" t="n">
        <x:f>'Вводные'!$L$90*((IF(SUM($D55:$GA55)=0,0,IF(SUM($D58:$GA58)=0,1,'Вводные'!$B$63)))*N57+(1-(IF(SUM($D55:$GA55)=0,0,IF(SUM($D58:$GA58)=0,1,'Вводные'!$B$63))))*N59)</x:f>
      </x:c>
      <x:c r="O60" s="107" t="n">
        <x:f>'Вводные'!$L$90*((IF(SUM($D55:$GA55)=0,0,IF(SUM($D58:$GA58)=0,1,'Вводные'!$B$63)))*O57+(1-(IF(SUM($D55:$GA55)=0,0,IF(SUM($D58:$GA58)=0,1,'Вводные'!$B$63))))*O59)</x:f>
      </x:c>
      <x:c r="P60" s="107" t="n">
        <x:f>'Вводные'!$L$90*((IF(SUM($D55:$GA55)=0,0,IF(SUM($D58:$GA58)=0,1,'Вводные'!$B$63)))*P57+(1-(IF(SUM($D55:$GA55)=0,0,IF(SUM($D58:$GA58)=0,1,'Вводные'!$B$63))))*P59)</x:f>
      </x:c>
      <x:c r="Q60" s="107" t="n">
        <x:f>'Вводные'!$L$90*((IF(SUM($D55:$GA55)=0,0,IF(SUM($D58:$GA58)=0,1,'Вводные'!$B$63)))*Q57+(1-(IF(SUM($D55:$GA55)=0,0,IF(SUM($D58:$GA58)=0,1,'Вводные'!$B$63))))*Q59)</x:f>
      </x:c>
      <x:c r="R60" s="107" t="n">
        <x:f>'Вводные'!$L$90*((IF(SUM($D55:$GA55)=0,0,IF(SUM($D58:$GA58)=0,1,'Вводные'!$B$63)))*R57+(1-(IF(SUM($D55:$GA55)=0,0,IF(SUM($D58:$GA58)=0,1,'Вводные'!$B$63))))*R59)</x:f>
      </x:c>
      <x:c r="S60" s="107" t="n">
        <x:f>'Вводные'!$L$90*((IF(SUM($D55:$GA55)=0,0,IF(SUM($D58:$GA58)=0,1,'Вводные'!$B$63)))*S57+(1-(IF(SUM($D55:$GA55)=0,0,IF(SUM($D58:$GA58)=0,1,'Вводные'!$B$63))))*S59)</x:f>
      </x:c>
      <x:c r="T60" s="107" t="n">
        <x:f>'Вводные'!$L$90*((IF(SUM($D55:$GA55)=0,0,IF(SUM($D58:$GA58)=0,1,'Вводные'!$B$63)))*T57+(1-(IF(SUM($D55:$GA55)=0,0,IF(SUM($D58:$GA58)=0,1,'Вводные'!$B$63))))*T59)</x:f>
      </x:c>
      <x:c r="U60" s="107" t="n">
        <x:f>'Вводные'!$L$90*((IF(SUM($D55:$GA55)=0,0,IF(SUM($D58:$GA58)=0,1,'Вводные'!$B$63)))*U57+(1-(IF(SUM($D55:$GA55)=0,0,IF(SUM($D58:$GA58)=0,1,'Вводные'!$B$63))))*U59)</x:f>
      </x:c>
      <x:c r="V60" s="107" t="n">
        <x:f>'Вводные'!$L$90*((IF(SUM($D55:$GA55)=0,0,IF(SUM($D58:$GA58)=0,1,'Вводные'!$B$63)))*V57+(1-(IF(SUM($D55:$GA55)=0,0,IF(SUM($D58:$GA58)=0,1,'Вводные'!$B$63))))*V59)</x:f>
      </x:c>
      <x:c r="W60" s="107" t="n">
        <x:f>'Вводные'!$L$90*((IF(SUM($D55:$GA55)=0,0,IF(SUM($D58:$GA58)=0,1,'Вводные'!$B$63)))*W57+(1-(IF(SUM($D55:$GA55)=0,0,IF(SUM($D58:$GA58)=0,1,'Вводные'!$B$63))))*W59)</x:f>
      </x:c>
      <x:c r="X60" s="107" t="n">
        <x:f>'Вводные'!$L$90*((IF(SUM($D55:$GA55)=0,0,IF(SUM($D58:$GA58)=0,1,'Вводные'!$B$63)))*X57+(1-(IF(SUM($D55:$GA55)=0,0,IF(SUM($D58:$GA58)=0,1,'Вводные'!$B$63))))*X59)</x:f>
      </x:c>
      <x:c r="Y60" s="107" t="n">
        <x:f>'Вводные'!$L$90*((IF(SUM($D55:$GA55)=0,0,IF(SUM($D58:$GA58)=0,1,'Вводные'!$B$63)))*Y57+(1-(IF(SUM($D55:$GA55)=0,0,IF(SUM($D58:$GA58)=0,1,'Вводные'!$B$63))))*Y59)</x:f>
      </x:c>
      <x:c r="Z60" s="107" t="n">
        <x:f>'Вводные'!$L$90*((IF(SUM($D55:$GA55)=0,0,IF(SUM($D58:$GA58)=0,1,'Вводные'!$B$63)))*Z57+(1-(IF(SUM($D55:$GA55)=0,0,IF(SUM($D58:$GA58)=0,1,'Вводные'!$B$63))))*Z59)</x:f>
      </x:c>
      <x:c r="AA60" s="107" t="n">
        <x:f>'Вводные'!$L$90*((IF(SUM($D55:$GA55)=0,0,IF(SUM($D58:$GA58)=0,1,'Вводные'!$B$63)))*AA57+(1-(IF(SUM($D55:$GA55)=0,0,IF(SUM($D58:$GA58)=0,1,'Вводные'!$B$63))))*AA59)</x:f>
      </x:c>
      <x:c r="AB60" s="107" t="n">
        <x:f>'Вводные'!$L$90*((IF(SUM($D55:$GA55)=0,0,IF(SUM($D58:$GA58)=0,1,'Вводные'!$B$63)))*AB57+(1-(IF(SUM($D55:$GA55)=0,0,IF(SUM($D58:$GA58)=0,1,'Вводные'!$B$63))))*AB59)</x:f>
      </x:c>
      <x:c r="AC60" s="107" t="n">
        <x:f>'Вводные'!$L$90*((IF(SUM($D55:$GA55)=0,0,IF(SUM($D58:$GA58)=0,1,'Вводные'!$B$63)))*AC57+(1-(IF(SUM($D55:$GA55)=0,0,IF(SUM($D58:$GA58)=0,1,'Вводные'!$B$63))))*AC59)</x:f>
      </x:c>
      <x:c r="AD60" s="107" t="n">
        <x:f>'Вводные'!$L$90*((IF(SUM($D55:$GA55)=0,0,IF(SUM($D58:$GA58)=0,1,'Вводные'!$B$63)))*AD57+(1-(IF(SUM($D55:$GA55)=0,0,IF(SUM($D58:$GA58)=0,1,'Вводные'!$B$63))))*AD59)</x:f>
      </x:c>
      <x:c r="AE60" s="107" t="n">
        <x:f>'Вводные'!$L$90*((IF(SUM($D55:$GA55)=0,0,IF(SUM($D58:$GA58)=0,1,'Вводные'!$B$63)))*AE57+(1-(IF(SUM($D55:$GA55)=0,0,IF(SUM($D58:$GA58)=0,1,'Вводные'!$B$63))))*AE59)</x:f>
      </x:c>
      <x:c r="AF60" s="107" t="n">
        <x:f>'Вводные'!$L$90*((IF(SUM($D55:$GA55)=0,0,IF(SUM($D58:$GA58)=0,1,'Вводные'!$B$63)))*AF57+(1-(IF(SUM($D55:$GA55)=0,0,IF(SUM($D58:$GA58)=0,1,'Вводные'!$B$63))))*AF59)</x:f>
      </x:c>
      <x:c r="AG60" s="107" t="n">
        <x:f>'Вводные'!$L$90*((IF(SUM($D55:$GA55)=0,0,IF(SUM($D58:$GA58)=0,1,'Вводные'!$B$63)))*AG57+(1-(IF(SUM($D55:$GA55)=0,0,IF(SUM($D58:$GA58)=0,1,'Вводные'!$B$63))))*AG59)</x:f>
      </x:c>
      <x:c r="AH60" s="107" t="n">
        <x:f>'Вводные'!$L$90*((IF(SUM($D55:$GA55)=0,0,IF(SUM($D58:$GA58)=0,1,'Вводные'!$B$63)))*AH57+(1-(IF(SUM($D55:$GA55)=0,0,IF(SUM($D58:$GA58)=0,1,'Вводные'!$B$63))))*AH59)</x:f>
      </x:c>
      <x:c r="AI60" s="107" t="n">
        <x:f>'Вводные'!$L$90*((IF(SUM($D55:$GA55)=0,0,IF(SUM($D58:$GA58)=0,1,'Вводные'!$B$63)))*AI57+(1-(IF(SUM($D55:$GA55)=0,0,IF(SUM($D58:$GA58)=0,1,'Вводные'!$B$63))))*AI59)</x:f>
      </x:c>
      <x:c r="AJ60" s="107" t="n">
        <x:f>'Вводные'!$L$90*((IF(SUM($D55:$GA55)=0,0,IF(SUM($D58:$GA58)=0,1,'Вводные'!$B$63)))*AJ57+(1-(IF(SUM($D55:$GA55)=0,0,IF(SUM($D58:$GA58)=0,1,'Вводные'!$B$63))))*AJ59)</x:f>
      </x:c>
      <x:c r="AK60" s="107" t="n">
        <x:f>'Вводные'!$L$90*((IF(SUM($D55:$GA55)=0,0,IF(SUM($D58:$GA58)=0,1,'Вводные'!$B$63)))*AK57+(1-(IF(SUM($D55:$GA55)=0,0,IF(SUM($D58:$GA58)=0,1,'Вводные'!$B$63))))*AK59)</x:f>
      </x:c>
      <x:c r="AL60" s="107" t="n">
        <x:f>'Вводные'!$L$90*((IF(SUM($D55:$GA55)=0,0,IF(SUM($D58:$GA58)=0,1,'Вводные'!$B$63)))*AL57+(1-(IF(SUM($D55:$GA55)=0,0,IF(SUM($D58:$GA58)=0,1,'Вводные'!$B$63))))*AL59)</x:f>
      </x:c>
      <x:c r="AM60" s="107" t="n">
        <x:f>'Вводные'!$L$90*((IF(SUM($D55:$GA55)=0,0,IF(SUM($D58:$GA58)=0,1,'Вводные'!$B$63)))*AM57+(1-(IF(SUM($D55:$GA55)=0,0,IF(SUM($D58:$GA58)=0,1,'Вводные'!$B$63))))*AM59)</x:f>
      </x:c>
      <x:c r="AN60" s="107" t="n">
        <x:f>'Вводные'!$L$90*((IF(SUM($D55:$GA55)=0,0,IF(SUM($D58:$GA58)=0,1,'Вводные'!$B$63)))*AN57+(1-(IF(SUM($D55:$GA55)=0,0,IF(SUM($D58:$GA58)=0,1,'Вводные'!$B$63))))*AN59)</x:f>
      </x:c>
      <x:c r="AO60" s="107" t="n">
        <x:f>'Вводные'!$L$90*((IF(SUM($D55:$GA55)=0,0,IF(SUM($D58:$GA58)=0,1,'Вводные'!$B$63)))*AO57+(1-(IF(SUM($D55:$GA55)=0,0,IF(SUM($D58:$GA58)=0,1,'Вводные'!$B$63))))*AO59)</x:f>
      </x:c>
      <x:c r="AP60" s="107" t="n">
        <x:f>'Вводные'!$L$90*((IF(SUM($D55:$GA55)=0,0,IF(SUM($D58:$GA58)=0,1,'Вводные'!$B$63)))*AP57+(1-(IF(SUM($D55:$GA55)=0,0,IF(SUM($D58:$GA58)=0,1,'Вводные'!$B$63))))*AP59)</x:f>
      </x:c>
      <x:c r="AQ60" s="107" t="n">
        <x:f>'Вводные'!$L$90*((IF(SUM($D55:$GA55)=0,0,IF(SUM($D58:$GA58)=0,1,'Вводные'!$B$63)))*AQ57+(1-(IF(SUM($D55:$GA55)=0,0,IF(SUM($D58:$GA58)=0,1,'Вводные'!$B$63))))*AQ59)</x:f>
      </x:c>
      <x:c r="AR60" s="107" t="n">
        <x:f>'Вводные'!$L$90*((IF(SUM($D55:$GA55)=0,0,IF(SUM($D58:$GA58)=0,1,'Вводные'!$B$63)))*AR57+(1-(IF(SUM($D55:$GA55)=0,0,IF(SUM($D58:$GA58)=0,1,'Вводные'!$B$63))))*AR59)</x:f>
      </x:c>
      <x:c r="AS60" s="107" t="n">
        <x:f>'Вводные'!$L$90*((IF(SUM($D55:$GA55)=0,0,IF(SUM($D58:$GA58)=0,1,'Вводные'!$B$63)))*AS57+(1-(IF(SUM($D55:$GA55)=0,0,IF(SUM($D58:$GA58)=0,1,'Вводные'!$B$63))))*AS59)</x:f>
      </x:c>
      <x:c r="AT60" s="107" t="n">
        <x:f>'Вводные'!$L$90*((IF(SUM($D55:$GA55)=0,0,IF(SUM($D58:$GA58)=0,1,'Вводные'!$B$63)))*AT57+(1-(IF(SUM($D55:$GA55)=0,0,IF(SUM($D58:$GA58)=0,1,'Вводные'!$B$63))))*AT59)</x:f>
      </x:c>
      <x:c r="AU60" s="107" t="n">
        <x:f>'Вводные'!$L$90*((IF(SUM($D55:$GA55)=0,0,IF(SUM($D58:$GA58)=0,1,'Вводные'!$B$63)))*AU57+(1-(IF(SUM($D55:$GA55)=0,0,IF(SUM($D58:$GA58)=0,1,'Вводные'!$B$63))))*AU59)</x:f>
      </x:c>
      <x:c r="AV60" s="107" t="n">
        <x:f>'Вводные'!$L$90*((IF(SUM($D55:$GA55)=0,0,IF(SUM($D58:$GA58)=0,1,'Вводные'!$B$63)))*AV57+(1-(IF(SUM($D55:$GA55)=0,0,IF(SUM($D58:$GA58)=0,1,'Вводные'!$B$63))))*AV59)</x:f>
      </x:c>
      <x:c r="AW60" s="107" t="n">
        <x:f>'Вводные'!$L$90*((IF(SUM($D55:$GA55)=0,0,IF(SUM($D58:$GA58)=0,1,'Вводные'!$B$63)))*AW57+(1-(IF(SUM($D55:$GA55)=0,0,IF(SUM($D58:$GA58)=0,1,'Вводные'!$B$63))))*AW59)</x:f>
      </x:c>
      <x:c r="AX60" s="107" t="n">
        <x:f>'Вводные'!$L$90*((IF(SUM($D55:$GA55)=0,0,IF(SUM($D58:$GA58)=0,1,'Вводные'!$B$63)))*AX57+(1-(IF(SUM($D55:$GA55)=0,0,IF(SUM($D58:$GA58)=0,1,'Вводные'!$B$63))))*AX59)</x:f>
      </x:c>
      <x:c r="AY60" s="107" t="n">
        <x:f>'Вводные'!$L$90*((IF(SUM($D55:$GA55)=0,0,IF(SUM($D58:$GA58)=0,1,'Вводные'!$B$63)))*AY57+(1-(IF(SUM($D55:$GA55)=0,0,IF(SUM($D58:$GA58)=0,1,'Вводные'!$B$63))))*AY59)</x:f>
      </x:c>
      <x:c r="AZ60" s="107" t="n">
        <x:f>'Вводные'!$L$90*((IF(SUM($D55:$GA55)=0,0,IF(SUM($D58:$GA58)=0,1,'Вводные'!$B$63)))*AZ57+(1-(IF(SUM($D55:$GA55)=0,0,IF(SUM($D58:$GA58)=0,1,'Вводные'!$B$63))))*AZ59)</x:f>
      </x:c>
      <x:c r="BA60" s="107" t="n">
        <x:f>'Вводные'!$L$90*((IF(SUM($D55:$GA55)=0,0,IF(SUM($D58:$GA58)=0,1,'Вводные'!$B$63)))*BA57+(1-(IF(SUM($D55:$GA55)=0,0,IF(SUM($D58:$GA58)=0,1,'Вводные'!$B$63))))*BA59)</x:f>
      </x:c>
      <x:c r="BB60" s="107" t="n">
        <x:f>'Вводные'!$L$90*((IF(SUM($D55:$GA55)=0,0,IF(SUM($D58:$GA58)=0,1,'Вводные'!$B$63)))*BB57+(1-(IF(SUM($D55:$GA55)=0,0,IF(SUM($D58:$GA58)=0,1,'Вводные'!$B$63))))*BB59)</x:f>
      </x:c>
      <x:c r="BC60" s="107" t="n">
        <x:f>'Вводные'!$L$90*((IF(SUM($D55:$GA55)=0,0,IF(SUM($D58:$GA58)=0,1,'Вводные'!$B$63)))*BC57+(1-(IF(SUM($D55:$GA55)=0,0,IF(SUM($D58:$GA58)=0,1,'Вводные'!$B$63))))*BC59)</x:f>
      </x:c>
      <x:c r="BD60" s="107" t="n">
        <x:f>'Вводные'!$L$90*((IF(SUM($D55:$GA55)=0,0,IF(SUM($D58:$GA58)=0,1,'Вводные'!$B$63)))*BD57+(1-(IF(SUM($D55:$GA55)=0,0,IF(SUM($D58:$GA58)=0,1,'Вводные'!$B$63))))*BD59)</x:f>
      </x:c>
      <x:c r="BE60" s="107" t="n">
        <x:f>'Вводные'!$L$90*((IF(SUM($D55:$GA55)=0,0,IF(SUM($D58:$GA58)=0,1,'Вводные'!$B$63)))*BE57+(1-(IF(SUM($D55:$GA55)=0,0,IF(SUM($D58:$GA58)=0,1,'Вводные'!$B$63))))*BE59)</x:f>
      </x:c>
      <x:c r="BF60" s="107" t="n">
        <x:f>'Вводные'!$L$90*((IF(SUM($D55:$GA55)=0,0,IF(SUM($D58:$GA58)=0,1,'Вводные'!$B$63)))*BF57+(1-(IF(SUM($D55:$GA55)=0,0,IF(SUM($D58:$GA58)=0,1,'Вводные'!$B$63))))*BF59)</x:f>
      </x:c>
      <x:c r="BG60" s="107" t="n">
        <x:f>'Вводные'!$L$90*((IF(SUM($D55:$GA55)=0,0,IF(SUM($D58:$GA58)=0,1,'Вводные'!$B$63)))*BG57+(1-(IF(SUM($D55:$GA55)=0,0,IF(SUM($D58:$GA58)=0,1,'Вводные'!$B$63))))*BG59)</x:f>
      </x:c>
      <x:c r="BH60" s="107" t="n">
        <x:f>'Вводные'!$L$90*((IF(SUM($D55:$GA55)=0,0,IF(SUM($D58:$GA58)=0,1,'Вводные'!$B$63)))*BH57+(1-(IF(SUM($D55:$GA55)=0,0,IF(SUM($D58:$GA58)=0,1,'Вводные'!$B$63))))*BH59)</x:f>
      </x:c>
      <x:c r="BI60" s="107" t="n">
        <x:f>'Вводные'!$L$90*((IF(SUM($D55:$GA55)=0,0,IF(SUM($D58:$GA58)=0,1,'Вводные'!$B$63)))*BI57+(1-(IF(SUM($D55:$GA55)=0,0,IF(SUM($D58:$GA58)=0,1,'Вводные'!$B$63))))*BI59)</x:f>
      </x:c>
      <x:c r="BJ60" s="107" t="n">
        <x:f>'Вводные'!$L$90*((IF(SUM($D55:$GA55)=0,0,IF(SUM($D58:$GA58)=0,1,'Вводные'!$B$63)))*BJ57+(1-(IF(SUM($D55:$GA55)=0,0,IF(SUM($D58:$GA58)=0,1,'Вводные'!$B$63))))*BJ59)</x:f>
      </x:c>
      <x:c r="BK60" s="107" t="n">
        <x:f>'Вводные'!$L$90*((IF(SUM($D55:$GA55)=0,0,IF(SUM($D58:$GA58)=0,1,'Вводные'!$B$63)))*BK57+(1-(IF(SUM($D55:$GA55)=0,0,IF(SUM($D58:$GA58)=0,1,'Вводные'!$B$63))))*BK59)</x:f>
      </x:c>
      <x:c r="BL60" s="107" t="n">
        <x:f>'Вводные'!$L$90*((IF(SUM($D55:$GA55)=0,0,IF(SUM($D58:$GA58)=0,1,'Вводные'!$B$63)))*BL57+(1-(IF(SUM($D55:$GA55)=0,0,IF(SUM($D58:$GA58)=0,1,'Вводные'!$B$63))))*BL59)</x:f>
      </x:c>
      <x:c r="BM60" s="107" t="n">
        <x:f>'Вводные'!$L$90*((IF(SUM($D55:$GA55)=0,0,IF(SUM($D58:$GA58)=0,1,'Вводные'!$B$63)))*BM57+(1-(IF(SUM($D55:$GA55)=0,0,IF(SUM($D58:$GA58)=0,1,'Вводные'!$B$63))))*BM59)</x:f>
      </x:c>
      <x:c r="BN60" s="107" t="n">
        <x:f>'Вводные'!$L$90*((IF(SUM($D55:$GA55)=0,0,IF(SUM($D58:$GA58)=0,1,'Вводные'!$B$63)))*BN57+(1-(IF(SUM($D55:$GA55)=0,0,IF(SUM($D58:$GA58)=0,1,'Вводные'!$B$63))))*BN59)</x:f>
      </x:c>
      <x:c r="BO60" s="107" t="n">
        <x:f>'Вводные'!$L$90*((IF(SUM($D55:$GA55)=0,0,IF(SUM($D58:$GA58)=0,1,'Вводные'!$B$63)))*BO57+(1-(IF(SUM($D55:$GA55)=0,0,IF(SUM($D58:$GA58)=0,1,'Вводные'!$B$63))))*BO59)</x:f>
      </x:c>
      <x:c r="BP60" s="107" t="n">
        <x:f>'Вводные'!$L$90*((IF(SUM($D55:$GA55)=0,0,IF(SUM($D58:$GA58)=0,1,'Вводные'!$B$63)))*BP57+(1-(IF(SUM($D55:$GA55)=0,0,IF(SUM($D58:$GA58)=0,1,'Вводные'!$B$63))))*BP59)</x:f>
      </x:c>
      <x:c r="BQ60" s="107" t="n">
        <x:f>'Вводные'!$L$90*((IF(SUM($D55:$GA55)=0,0,IF(SUM($D58:$GA58)=0,1,'Вводные'!$B$63)))*BQ57+(1-(IF(SUM($D55:$GA55)=0,0,IF(SUM($D58:$GA58)=0,1,'Вводные'!$B$63))))*BQ59)</x:f>
      </x:c>
      <x:c r="BR60" s="107" t="n">
        <x:f>'Вводные'!$L$90*((IF(SUM($D55:$GA55)=0,0,IF(SUM($D58:$GA58)=0,1,'Вводные'!$B$63)))*BR57+(1-(IF(SUM($D55:$GA55)=0,0,IF(SUM($D58:$GA58)=0,1,'Вводные'!$B$63))))*BR59)</x:f>
      </x:c>
      <x:c r="BS60" s="107" t="n">
        <x:f>'Вводные'!$L$90*((IF(SUM($D55:$GA55)=0,0,IF(SUM($D58:$GA58)=0,1,'Вводные'!$B$63)))*BS57+(1-(IF(SUM($D55:$GA55)=0,0,IF(SUM($D58:$GA58)=0,1,'Вводные'!$B$63))))*BS59)</x:f>
      </x:c>
      <x:c r="BT60" s="107" t="n">
        <x:f>'Вводные'!$L$90*((IF(SUM($D55:$GA55)=0,0,IF(SUM($D58:$GA58)=0,1,'Вводные'!$B$63)))*BT57+(1-(IF(SUM($D55:$GA55)=0,0,IF(SUM($D58:$GA58)=0,1,'Вводные'!$B$63))))*BT59)</x:f>
      </x:c>
      <x:c r="BU60" s="107" t="n">
        <x:f>'Вводные'!$L$90*((IF(SUM($D55:$GA55)=0,0,IF(SUM($D58:$GA58)=0,1,'Вводные'!$B$63)))*BU57+(1-(IF(SUM($D55:$GA55)=0,0,IF(SUM($D58:$GA58)=0,1,'Вводные'!$B$63))))*BU59)</x:f>
      </x:c>
      <x:c r="BV60" s="107" t="n">
        <x:f>'Вводные'!$L$90*((IF(SUM($D55:$GA55)=0,0,IF(SUM($D58:$GA58)=0,1,'Вводные'!$B$63)))*BV57+(1-(IF(SUM($D55:$GA55)=0,0,IF(SUM($D58:$GA58)=0,1,'Вводные'!$B$63))))*BV59)</x:f>
      </x:c>
      <x:c r="BW60" s="107" t="n">
        <x:f>'Вводные'!$L$90*((IF(SUM($D55:$GA55)=0,0,IF(SUM($D58:$GA58)=0,1,'Вводные'!$B$63)))*BW57+(1-(IF(SUM($D55:$GA55)=0,0,IF(SUM($D58:$GA58)=0,1,'Вводные'!$B$63))))*BW59)</x:f>
      </x:c>
      <x:c r="BX60" s="107" t="n">
        <x:f>'Вводные'!$L$90*((IF(SUM($D55:$GA55)=0,0,IF(SUM($D58:$GA58)=0,1,'Вводные'!$B$63)))*BX57+(1-(IF(SUM($D55:$GA55)=0,0,IF(SUM($D58:$GA58)=0,1,'Вводные'!$B$63))))*BX59)</x:f>
      </x:c>
      <x:c r="BY60" s="107" t="n">
        <x:f>'Вводные'!$L$90*((IF(SUM($D55:$GA55)=0,0,IF(SUM($D58:$GA58)=0,1,'Вводные'!$B$63)))*BY57+(1-(IF(SUM($D55:$GA55)=0,0,IF(SUM($D58:$GA58)=0,1,'Вводные'!$B$63))))*BY59)</x:f>
      </x:c>
      <x:c r="BZ60" s="107" t="n">
        <x:f>'Вводные'!$L$90*((IF(SUM($D55:$GA55)=0,0,IF(SUM($D58:$GA58)=0,1,'Вводные'!$B$63)))*BZ57+(1-(IF(SUM($D55:$GA55)=0,0,IF(SUM($D58:$GA58)=0,1,'Вводные'!$B$63))))*BZ59)</x:f>
      </x:c>
      <x:c r="CA60" s="107" t="n">
        <x:f>'Вводные'!$L$90*((IF(SUM($D55:$GA55)=0,0,IF(SUM($D58:$GA58)=0,1,'Вводные'!$B$63)))*CA57+(1-(IF(SUM($D55:$GA55)=0,0,IF(SUM($D58:$GA58)=0,1,'Вводные'!$B$63))))*CA59)</x:f>
      </x:c>
      <x:c r="CB60" s="107" t="n">
        <x:f>'Вводные'!$L$90*((IF(SUM($D55:$GA55)=0,0,IF(SUM($D58:$GA58)=0,1,'Вводные'!$B$63)))*CB57+(1-(IF(SUM($D55:$GA55)=0,0,IF(SUM($D58:$GA58)=0,1,'Вводные'!$B$63))))*CB59)</x:f>
      </x:c>
      <x:c r="CC60" s="107" t="n">
        <x:f>'Вводные'!$L$90*((IF(SUM($D55:$GA55)=0,0,IF(SUM($D58:$GA58)=0,1,'Вводные'!$B$63)))*CC57+(1-(IF(SUM($D55:$GA55)=0,0,IF(SUM($D58:$GA58)=0,1,'Вводные'!$B$63))))*CC59)</x:f>
      </x:c>
      <x:c r="CD60" s="107" t="n">
        <x:f>'Вводные'!$L$90*((IF(SUM($D55:$GA55)=0,0,IF(SUM($D58:$GA58)=0,1,'Вводные'!$B$63)))*CD57+(1-(IF(SUM($D55:$GA55)=0,0,IF(SUM($D58:$GA58)=0,1,'Вводные'!$B$63))))*CD59)</x:f>
      </x:c>
      <x:c r="CE60" s="107" t="n">
        <x:f>'Вводные'!$L$90*((IF(SUM($D55:$GA55)=0,0,IF(SUM($D58:$GA58)=0,1,'Вводные'!$B$63)))*CE57+(1-(IF(SUM($D55:$GA55)=0,0,IF(SUM($D58:$GA58)=0,1,'Вводные'!$B$63))))*CE59)</x:f>
      </x:c>
      <x:c r="CF60" s="107" t="n">
        <x:f>'Вводные'!$L$90*((IF(SUM($D55:$GA55)=0,0,IF(SUM($D58:$GA58)=0,1,'Вводные'!$B$63)))*CF57+(1-(IF(SUM($D55:$GA55)=0,0,IF(SUM($D58:$GA58)=0,1,'Вводные'!$B$63))))*CF59)</x:f>
      </x:c>
      <x:c r="CG60" s="107" t="n">
        <x:f>'Вводные'!$L$90*((IF(SUM($D55:$GA55)=0,0,IF(SUM($D58:$GA58)=0,1,'Вводные'!$B$63)))*CG57+(1-(IF(SUM($D55:$GA55)=0,0,IF(SUM($D58:$GA58)=0,1,'Вводные'!$B$63))))*CG59)</x:f>
      </x:c>
      <x:c r="CH60" s="107" t="n">
        <x:f>'Вводные'!$L$90*((IF(SUM($D55:$GA55)=0,0,IF(SUM($D58:$GA58)=0,1,'Вводные'!$B$63)))*CH57+(1-(IF(SUM($D55:$GA55)=0,0,IF(SUM($D58:$GA58)=0,1,'Вводные'!$B$63))))*CH59)</x:f>
      </x:c>
      <x:c r="CI60" s="107" t="n">
        <x:f>'Вводные'!$L$90*((IF(SUM($D55:$GA55)=0,0,IF(SUM($D58:$GA58)=0,1,'Вводные'!$B$63)))*CI57+(1-(IF(SUM($D55:$GA55)=0,0,IF(SUM($D58:$GA58)=0,1,'Вводные'!$B$63))))*CI59)</x:f>
      </x:c>
      <x:c r="CJ60" s="107" t="n">
        <x:f>'Вводные'!$L$90*((IF(SUM($D55:$GA55)=0,0,IF(SUM($D58:$GA58)=0,1,'Вводные'!$B$63)))*CJ57+(1-(IF(SUM($D55:$GA55)=0,0,IF(SUM($D58:$GA58)=0,1,'Вводные'!$B$63))))*CJ59)</x:f>
      </x:c>
      <x:c r="CK60" s="107" t="n">
        <x:f>'Вводные'!$L$90*((IF(SUM($D55:$GA55)=0,0,IF(SUM($D58:$GA58)=0,1,'Вводные'!$B$63)))*CK57+(1-(IF(SUM($D55:$GA55)=0,0,IF(SUM($D58:$GA58)=0,1,'Вводные'!$B$63))))*CK59)</x:f>
      </x:c>
      <x:c r="CL60" s="107" t="n">
        <x:f>'Вводные'!$L$90*((IF(SUM($D55:$GA55)=0,0,IF(SUM($D58:$GA58)=0,1,'Вводные'!$B$63)))*CL57+(1-(IF(SUM($D55:$GA55)=0,0,IF(SUM($D58:$GA58)=0,1,'Вводные'!$B$63))))*CL59)</x:f>
      </x:c>
      <x:c r="CM60" s="107" t="n">
        <x:f>'Вводные'!$L$90*((IF(SUM($D55:$GA55)=0,0,IF(SUM($D58:$GA58)=0,1,'Вводные'!$B$63)))*CM57+(1-(IF(SUM($D55:$GA55)=0,0,IF(SUM($D58:$GA58)=0,1,'Вводные'!$B$63))))*CM59)</x:f>
      </x:c>
      <x:c r="CN60" s="107" t="n">
        <x:f>'Вводные'!$L$90*((IF(SUM($D55:$GA55)=0,0,IF(SUM($D58:$GA58)=0,1,'Вводные'!$B$63)))*CN57+(1-(IF(SUM($D55:$GA55)=0,0,IF(SUM($D58:$GA58)=0,1,'Вводные'!$B$63))))*CN59)</x:f>
      </x:c>
      <x:c r="CO60" s="107" t="n">
        <x:f>'Вводные'!$L$90*((IF(SUM($D55:$GA55)=0,0,IF(SUM($D58:$GA58)=0,1,'Вводные'!$B$63)))*CO57+(1-(IF(SUM($D55:$GA55)=0,0,IF(SUM($D58:$GA58)=0,1,'Вводные'!$B$63))))*CO59)</x:f>
      </x:c>
      <x:c r="CP60" s="107" t="n">
        <x:f>'Вводные'!$L$90*((IF(SUM($D55:$GA55)=0,0,IF(SUM($D58:$GA58)=0,1,'Вводные'!$B$63)))*CP57+(1-(IF(SUM($D55:$GA55)=0,0,IF(SUM($D58:$GA58)=0,1,'Вводные'!$B$63))))*CP59)</x:f>
      </x:c>
      <x:c r="CQ60" s="107" t="n">
        <x:f>'Вводные'!$L$90*((IF(SUM($D55:$GA55)=0,0,IF(SUM($D58:$GA58)=0,1,'Вводные'!$B$63)))*CQ57+(1-(IF(SUM($D55:$GA55)=0,0,IF(SUM($D58:$GA58)=0,1,'Вводные'!$B$63))))*CQ59)</x:f>
      </x:c>
      <x:c r="CR60" s="107" t="n">
        <x:f>'Вводные'!$L$90*((IF(SUM($D55:$GA55)=0,0,IF(SUM($D58:$GA58)=0,1,'Вводные'!$B$63)))*CR57+(1-(IF(SUM($D55:$GA55)=0,0,IF(SUM($D58:$GA58)=0,1,'Вводные'!$B$63))))*CR59)</x:f>
      </x:c>
      <x:c r="CS60" s="107" t="n">
        <x:f>'Вводные'!$L$90*((IF(SUM($D55:$GA55)=0,0,IF(SUM($D58:$GA58)=0,1,'Вводные'!$B$63)))*CS57+(1-(IF(SUM($D55:$GA55)=0,0,IF(SUM($D58:$GA58)=0,1,'Вводные'!$B$63))))*CS59)</x:f>
      </x:c>
      <x:c r="CT60" s="107" t="n">
        <x:f>'Вводные'!$L$90*((IF(SUM($D55:$GA55)=0,0,IF(SUM($D58:$GA58)=0,1,'Вводные'!$B$63)))*CT57+(1-(IF(SUM($D55:$GA55)=0,0,IF(SUM($D58:$GA58)=0,1,'Вводные'!$B$63))))*CT59)</x:f>
      </x:c>
      <x:c r="CU60" s="107" t="n">
        <x:f>'Вводные'!$L$90*((IF(SUM($D55:$GA55)=0,0,IF(SUM($D58:$GA58)=0,1,'Вводные'!$B$63)))*CU57+(1-(IF(SUM($D55:$GA55)=0,0,IF(SUM($D58:$GA58)=0,1,'Вводные'!$B$63))))*CU59)</x:f>
      </x:c>
      <x:c r="CV60" s="107" t="n">
        <x:f>'Вводные'!$L$90*((IF(SUM($D55:$GA55)=0,0,IF(SUM($D58:$GA58)=0,1,'Вводные'!$B$63)))*CV57+(1-(IF(SUM($D55:$GA55)=0,0,IF(SUM($D58:$GA58)=0,1,'Вводные'!$B$63))))*CV59)</x:f>
      </x:c>
      <x:c r="CW60" s="107" t="n">
        <x:f>'Вводные'!$L$90*((IF(SUM($D55:$GA55)=0,0,IF(SUM($D58:$GA58)=0,1,'Вводные'!$B$63)))*CW57+(1-(IF(SUM($D55:$GA55)=0,0,IF(SUM($D58:$GA58)=0,1,'Вводные'!$B$63))))*CW59)</x:f>
      </x:c>
      <x:c r="CX60" s="107" t="n">
        <x:f>'Вводные'!$L$90*((IF(SUM($D55:$GA55)=0,0,IF(SUM($D58:$GA58)=0,1,'Вводные'!$B$63)))*CX57+(1-(IF(SUM($D55:$GA55)=0,0,IF(SUM($D58:$GA58)=0,1,'Вводные'!$B$63))))*CX59)</x:f>
      </x:c>
      <x:c r="CY60" s="107" t="n">
        <x:f>'Вводные'!$L$90*((IF(SUM($D55:$GA55)=0,0,IF(SUM($D58:$GA58)=0,1,'Вводные'!$B$63)))*CY57+(1-(IF(SUM($D55:$GA55)=0,0,IF(SUM($D58:$GA58)=0,1,'Вводные'!$B$63))))*CY59)</x:f>
      </x:c>
      <x:c r="CZ60" s="107" t="n">
        <x:f>'Вводные'!$L$90*((IF(SUM($D55:$GA55)=0,0,IF(SUM($D58:$GA58)=0,1,'Вводные'!$B$63)))*CZ57+(1-(IF(SUM($D55:$GA55)=0,0,IF(SUM($D58:$GA58)=0,1,'Вводные'!$B$63))))*CZ59)</x:f>
      </x:c>
      <x:c r="DA60" s="107" t="n">
        <x:f>'Вводные'!$L$90*((IF(SUM($D55:$GA55)=0,0,IF(SUM($D58:$GA58)=0,1,'Вводные'!$B$63)))*DA57+(1-(IF(SUM($D55:$GA55)=0,0,IF(SUM($D58:$GA58)=0,1,'Вводные'!$B$63))))*DA59)</x:f>
      </x:c>
      <x:c r="DB60" s="107" t="n">
        <x:f>'Вводные'!$L$90*((IF(SUM($D55:$GA55)=0,0,IF(SUM($D58:$GA58)=0,1,'Вводные'!$B$63)))*DB57+(1-(IF(SUM($D55:$GA55)=0,0,IF(SUM($D58:$GA58)=0,1,'Вводные'!$B$63))))*DB59)</x:f>
      </x:c>
      <x:c r="DC60" s="107" t="n">
        <x:f>'Вводные'!$L$90*((IF(SUM($D55:$GA55)=0,0,IF(SUM($D58:$GA58)=0,1,'Вводные'!$B$63)))*DC57+(1-(IF(SUM($D55:$GA55)=0,0,IF(SUM($D58:$GA58)=0,1,'Вводные'!$B$63))))*DC59)</x:f>
      </x:c>
      <x:c r="DD60" s="107" t="n">
        <x:f>'Вводные'!$L$90*((IF(SUM($D55:$GA55)=0,0,IF(SUM($D58:$GA58)=0,1,'Вводные'!$B$63)))*DD57+(1-(IF(SUM($D55:$GA55)=0,0,IF(SUM($D58:$GA58)=0,1,'Вводные'!$B$63))))*DD59)</x:f>
      </x:c>
      <x:c r="DE60" s="107" t="n">
        <x:f>'Вводные'!$L$90*((IF(SUM($D55:$GA55)=0,0,IF(SUM($D58:$GA58)=0,1,'Вводные'!$B$63)))*DE57+(1-(IF(SUM($D55:$GA55)=0,0,IF(SUM($D58:$GA58)=0,1,'Вводные'!$B$63))))*DE59)</x:f>
      </x:c>
      <x:c r="DF60" s="107" t="n">
        <x:f>'Вводные'!$L$90*((IF(SUM($D55:$GA55)=0,0,IF(SUM($D58:$GA58)=0,1,'Вводные'!$B$63)))*DF57+(1-(IF(SUM($D55:$GA55)=0,0,IF(SUM($D58:$GA58)=0,1,'Вводные'!$B$63))))*DF59)</x:f>
      </x:c>
      <x:c r="DG60" s="107" t="n">
        <x:f>'Вводные'!$L$90*((IF(SUM($D55:$GA55)=0,0,IF(SUM($D58:$GA58)=0,1,'Вводные'!$B$63)))*DG57+(1-(IF(SUM($D55:$GA55)=0,0,IF(SUM($D58:$GA58)=0,1,'Вводные'!$B$63))))*DG59)</x:f>
      </x:c>
      <x:c r="DH60" s="107" t="n">
        <x:f>'Вводные'!$L$90*((IF(SUM($D55:$GA55)=0,0,IF(SUM($D58:$GA58)=0,1,'Вводные'!$B$63)))*DH57+(1-(IF(SUM($D55:$GA55)=0,0,IF(SUM($D58:$GA58)=0,1,'Вводные'!$B$63))))*DH59)</x:f>
      </x:c>
      <x:c r="DI60" s="107" t="n">
        <x:f>'Вводные'!$L$90*((IF(SUM($D55:$GA55)=0,0,IF(SUM($D58:$GA58)=0,1,'Вводные'!$B$63)))*DI57+(1-(IF(SUM($D55:$GA55)=0,0,IF(SUM($D58:$GA58)=0,1,'Вводные'!$B$63))))*DI59)</x:f>
      </x:c>
      <x:c r="DJ60" s="107" t="n">
        <x:f>'Вводные'!$L$90*((IF(SUM($D55:$GA55)=0,0,IF(SUM($D58:$GA58)=0,1,'Вводные'!$B$63)))*DJ57+(1-(IF(SUM($D55:$GA55)=0,0,IF(SUM($D58:$GA58)=0,1,'Вводные'!$B$63))))*DJ59)</x:f>
      </x:c>
      <x:c r="DK60" s="107" t="n">
        <x:f>'Вводные'!$L$90*((IF(SUM($D55:$GA55)=0,0,IF(SUM($D58:$GA58)=0,1,'Вводные'!$B$63)))*DK57+(1-(IF(SUM($D55:$GA55)=0,0,IF(SUM($D58:$GA58)=0,1,'Вводные'!$B$63))))*DK59)</x:f>
      </x:c>
      <x:c r="DL60" s="107" t="n">
        <x:f>'Вводные'!$L$90*((IF(SUM($D55:$GA55)=0,0,IF(SUM($D58:$GA58)=0,1,'Вводные'!$B$63)))*DL57+(1-(IF(SUM($D55:$GA55)=0,0,IF(SUM($D58:$GA58)=0,1,'Вводные'!$B$63))))*DL59)</x:f>
      </x:c>
      <x:c r="DM60" s="107" t="n">
        <x:f>'Вводные'!$L$90*((IF(SUM($D55:$GA55)=0,0,IF(SUM($D58:$GA58)=0,1,'Вводные'!$B$63)))*DM57+(1-(IF(SUM($D55:$GA55)=0,0,IF(SUM($D58:$GA58)=0,1,'Вводные'!$B$63))))*DM59)</x:f>
      </x:c>
      <x:c r="DN60" s="107" t="n">
        <x:f>'Вводные'!$L$90*((IF(SUM($D55:$GA55)=0,0,IF(SUM($D58:$GA58)=0,1,'Вводные'!$B$63)))*DN57+(1-(IF(SUM($D55:$GA55)=0,0,IF(SUM($D58:$GA58)=0,1,'Вводные'!$B$63))))*DN59)</x:f>
      </x:c>
      <x:c r="DO60" s="107" t="n">
        <x:f>'Вводные'!$L$90*((IF(SUM($D55:$GA55)=0,0,IF(SUM($D58:$GA58)=0,1,'Вводные'!$B$63)))*DO57+(1-(IF(SUM($D55:$GA55)=0,0,IF(SUM($D58:$GA58)=0,1,'Вводные'!$B$63))))*DO59)</x:f>
      </x:c>
      <x:c r="DP60" s="107" t="n">
        <x:f>'Вводные'!$L$90*((IF(SUM($D55:$GA55)=0,0,IF(SUM($D58:$GA58)=0,1,'Вводные'!$B$63)))*DP57+(1-(IF(SUM($D55:$GA55)=0,0,IF(SUM($D58:$GA58)=0,1,'Вводные'!$B$63))))*DP59)</x:f>
      </x:c>
      <x:c r="DQ60" s="107" t="n">
        <x:f>'Вводные'!$L$90*((IF(SUM($D55:$GA55)=0,0,IF(SUM($D58:$GA58)=0,1,'Вводные'!$B$63)))*DQ57+(1-(IF(SUM($D55:$GA55)=0,0,IF(SUM($D58:$GA58)=0,1,'Вводные'!$B$63))))*DQ59)</x:f>
      </x:c>
      <x:c r="DR60" s="107" t="n">
        <x:f>'Вводные'!$L$90*((IF(SUM($D55:$GA55)=0,0,IF(SUM($D58:$GA58)=0,1,'Вводные'!$B$63)))*DR57+(1-(IF(SUM($D55:$GA55)=0,0,IF(SUM($D58:$GA58)=0,1,'Вводные'!$B$63))))*DR59)</x:f>
      </x:c>
      <x:c r="DS60" s="107" t="n">
        <x:f>'Вводные'!$L$90*((IF(SUM($D55:$GA55)=0,0,IF(SUM($D58:$GA58)=0,1,'Вводные'!$B$63)))*DS57+(1-(IF(SUM($D55:$GA55)=0,0,IF(SUM($D58:$GA58)=0,1,'Вводные'!$B$63))))*DS59)</x:f>
      </x:c>
      <x:c r="DT60" s="107" t="n">
        <x:f>'Вводные'!$L$90*((IF(SUM($D55:$GA55)=0,0,IF(SUM($D58:$GA58)=0,1,'Вводные'!$B$63)))*DT57+(1-(IF(SUM($D55:$GA55)=0,0,IF(SUM($D58:$GA58)=0,1,'Вводные'!$B$63))))*DT59)</x:f>
      </x:c>
      <x:c r="DU60" s="107" t="n">
        <x:f>'Вводные'!$L$90*((IF(SUM($D55:$GA55)=0,0,IF(SUM($D58:$GA58)=0,1,'Вводные'!$B$63)))*DU57+(1-(IF(SUM($D55:$GA55)=0,0,IF(SUM($D58:$GA58)=0,1,'Вводные'!$B$63))))*DU59)</x:f>
      </x:c>
      <x:c r="DV60" s="107" t="n">
        <x:f>'Вводные'!$L$90*((IF(SUM($D55:$GA55)=0,0,IF(SUM($D58:$GA58)=0,1,'Вводные'!$B$63)))*DV57+(1-(IF(SUM($D55:$GA55)=0,0,IF(SUM($D58:$GA58)=0,1,'Вводные'!$B$63))))*DV59)</x:f>
      </x:c>
      <x:c r="DW60" s="107" t="n">
        <x:f>'Вводные'!$L$90*((IF(SUM($D55:$GA55)=0,0,IF(SUM($D58:$GA58)=0,1,'Вводные'!$B$63)))*DW57+(1-(IF(SUM($D55:$GA55)=0,0,IF(SUM($D58:$GA58)=0,1,'Вводные'!$B$63))))*DW59)</x:f>
      </x:c>
      <x:c r="DX60" s="107" t="n">
        <x:f>'Вводные'!$L$90*((IF(SUM($D55:$GA55)=0,0,IF(SUM($D58:$GA58)=0,1,'Вводные'!$B$63)))*DX57+(1-(IF(SUM($D55:$GA55)=0,0,IF(SUM($D58:$GA58)=0,1,'Вводные'!$B$63))))*DX59)</x:f>
      </x:c>
      <x:c r="DY60" s="107" t="n">
        <x:f>'Вводные'!$L$90*((IF(SUM($D55:$GA55)=0,0,IF(SUM($D58:$GA58)=0,1,'Вводные'!$B$63)))*DY57+(1-(IF(SUM($D55:$GA55)=0,0,IF(SUM($D58:$GA58)=0,1,'Вводные'!$B$63))))*DY59)</x:f>
      </x:c>
      <x:c r="DZ60" s="107" t="n">
        <x:f>'Вводные'!$L$90*((IF(SUM($D55:$GA55)=0,0,IF(SUM($D58:$GA58)=0,1,'Вводные'!$B$63)))*DZ57+(1-(IF(SUM($D55:$GA55)=0,0,IF(SUM($D58:$GA58)=0,1,'Вводные'!$B$63))))*DZ59)</x:f>
      </x:c>
      <x:c r="EA60" s="107" t="n">
        <x:f>'Вводные'!$L$90*((IF(SUM($D55:$GA55)=0,0,IF(SUM($D58:$GA58)=0,1,'Вводные'!$B$63)))*EA57+(1-(IF(SUM($D55:$GA55)=0,0,IF(SUM($D58:$GA58)=0,1,'Вводные'!$B$63))))*EA59)</x:f>
      </x:c>
      <x:c r="EB60" s="107" t="n">
        <x:f>'Вводные'!$L$90*((IF(SUM($D55:$GA55)=0,0,IF(SUM($D58:$GA58)=0,1,'Вводные'!$B$63)))*EB57+(1-(IF(SUM($D55:$GA55)=0,0,IF(SUM($D58:$GA58)=0,1,'Вводные'!$B$63))))*EB59)</x:f>
      </x:c>
      <x:c r="EC60" s="107" t="n">
        <x:f>'Вводные'!$L$90*((IF(SUM($D55:$GA55)=0,0,IF(SUM($D58:$GA58)=0,1,'Вводные'!$B$63)))*EC57+(1-(IF(SUM($D55:$GA55)=0,0,IF(SUM($D58:$GA58)=0,1,'Вводные'!$B$63))))*EC59)</x:f>
      </x:c>
      <x:c r="ED60" s="107" t="n">
        <x:f>'Вводные'!$L$90*((IF(SUM($D55:$GA55)=0,0,IF(SUM($D58:$GA58)=0,1,'Вводные'!$B$63)))*ED57+(1-(IF(SUM($D55:$GA55)=0,0,IF(SUM($D58:$GA58)=0,1,'Вводные'!$B$63))))*ED59)</x:f>
      </x:c>
      <x:c r="EE60" s="107" t="n">
        <x:f>'Вводные'!$L$90*((IF(SUM($D55:$GA55)=0,0,IF(SUM($D58:$GA58)=0,1,'Вводные'!$B$63)))*EE57+(1-(IF(SUM($D55:$GA55)=0,0,IF(SUM($D58:$GA58)=0,1,'Вводные'!$B$63))))*EE59)</x:f>
      </x:c>
      <x:c r="EF60" s="107" t="n">
        <x:f>'Вводные'!$L$90*((IF(SUM($D55:$GA55)=0,0,IF(SUM($D58:$GA58)=0,1,'Вводные'!$B$63)))*EF57+(1-(IF(SUM($D55:$GA55)=0,0,IF(SUM($D58:$GA58)=0,1,'Вводные'!$B$63))))*EF59)</x:f>
      </x:c>
      <x:c r="EG60" s="107" t="n">
        <x:f>'Вводные'!$L$90*((IF(SUM($D55:$GA55)=0,0,IF(SUM($D58:$GA58)=0,1,'Вводные'!$B$63)))*EG57+(1-(IF(SUM($D55:$GA55)=0,0,IF(SUM($D58:$GA58)=0,1,'Вводные'!$B$63))))*EG59)</x:f>
      </x:c>
      <x:c r="EH60" s="107" t="n">
        <x:f>'Вводные'!$L$90*((IF(SUM($D55:$GA55)=0,0,IF(SUM($D58:$GA58)=0,1,'Вводные'!$B$63)))*EH57+(1-(IF(SUM($D55:$GA55)=0,0,IF(SUM($D58:$GA58)=0,1,'Вводные'!$B$63))))*EH59)</x:f>
      </x:c>
      <x:c r="EI60" s="107" t="n">
        <x:f>'Вводные'!$L$90*((IF(SUM($D55:$GA55)=0,0,IF(SUM($D58:$GA58)=0,1,'Вводные'!$B$63)))*EI57+(1-(IF(SUM($D55:$GA55)=0,0,IF(SUM($D58:$GA58)=0,1,'Вводные'!$B$63))))*EI59)</x:f>
      </x:c>
      <x:c r="EJ60" s="107" t="n">
        <x:f>'Вводные'!$L$90*((IF(SUM($D55:$GA55)=0,0,IF(SUM($D58:$GA58)=0,1,'Вводные'!$B$63)))*EJ57+(1-(IF(SUM($D55:$GA55)=0,0,IF(SUM($D58:$GA58)=0,1,'Вводные'!$B$63))))*EJ59)</x:f>
      </x:c>
      <x:c r="EK60" s="107" t="n">
        <x:f>'Вводные'!$L$90*((IF(SUM($D55:$GA55)=0,0,IF(SUM($D58:$GA58)=0,1,'Вводные'!$B$63)))*EK57+(1-(IF(SUM($D55:$GA55)=0,0,IF(SUM($D58:$GA58)=0,1,'Вводные'!$B$63))))*EK59)</x:f>
      </x:c>
      <x:c r="EL60" s="107" t="n">
        <x:f>'Вводные'!$L$90*((IF(SUM($D55:$GA55)=0,0,IF(SUM($D58:$GA58)=0,1,'Вводные'!$B$63)))*EL57+(1-(IF(SUM($D55:$GA55)=0,0,IF(SUM($D58:$GA58)=0,1,'Вводные'!$B$63))))*EL59)</x:f>
      </x:c>
      <x:c r="EM60" s="107" t="n">
        <x:f>'Вводные'!$L$90*((IF(SUM($D55:$GA55)=0,0,IF(SUM($D58:$GA58)=0,1,'Вводные'!$B$63)))*EM57+(1-(IF(SUM($D55:$GA55)=0,0,IF(SUM($D58:$GA58)=0,1,'Вводные'!$B$63))))*EM59)</x:f>
      </x:c>
      <x:c r="EN60" s="107" t="n">
        <x:f>'Вводные'!$L$90*((IF(SUM($D55:$GA55)=0,0,IF(SUM($D58:$GA58)=0,1,'Вводные'!$B$63)))*EN57+(1-(IF(SUM($D55:$GA55)=0,0,IF(SUM($D58:$GA58)=0,1,'Вводные'!$B$63))))*EN59)</x:f>
      </x:c>
      <x:c r="EO60" s="107" t="n">
        <x:f>'Вводные'!$L$90*((IF(SUM($D55:$GA55)=0,0,IF(SUM($D58:$GA58)=0,1,'Вводные'!$B$63)))*EO57+(1-(IF(SUM($D55:$GA55)=0,0,IF(SUM($D58:$GA58)=0,1,'Вводные'!$B$63))))*EO59)</x:f>
      </x:c>
      <x:c r="EP60" s="107" t="n">
        <x:f>'Вводные'!$L$90*((IF(SUM($D55:$GA55)=0,0,IF(SUM($D58:$GA58)=0,1,'Вводные'!$B$63)))*EP57+(1-(IF(SUM($D55:$GA55)=0,0,IF(SUM($D58:$GA58)=0,1,'Вводные'!$B$63))))*EP59)</x:f>
      </x:c>
      <x:c r="EQ60" s="107" t="n">
        <x:f>'Вводные'!$L$90*((IF(SUM($D55:$GA55)=0,0,IF(SUM($D58:$GA58)=0,1,'Вводные'!$B$63)))*EQ57+(1-(IF(SUM($D55:$GA55)=0,0,IF(SUM($D58:$GA58)=0,1,'Вводные'!$B$63))))*EQ59)</x:f>
      </x:c>
      <x:c r="ER60" s="107" t="n">
        <x:f>'Вводные'!$L$90*((IF(SUM($D55:$GA55)=0,0,IF(SUM($D58:$GA58)=0,1,'Вводные'!$B$63)))*ER57+(1-(IF(SUM($D55:$GA55)=0,0,IF(SUM($D58:$GA58)=0,1,'Вводные'!$B$63))))*ER59)</x:f>
      </x:c>
      <x:c r="ES60" s="107" t="n">
        <x:f>'Вводные'!$L$90*((IF(SUM($D55:$GA55)=0,0,IF(SUM($D58:$GA58)=0,1,'Вводные'!$B$63)))*ES57+(1-(IF(SUM($D55:$GA55)=0,0,IF(SUM($D58:$GA58)=0,1,'Вводные'!$B$63))))*ES59)</x:f>
      </x:c>
      <x:c r="ET60" s="107" t="n">
        <x:f>'Вводные'!$L$90*((IF(SUM($D55:$GA55)=0,0,IF(SUM($D58:$GA58)=0,1,'Вводные'!$B$63)))*ET57+(1-(IF(SUM($D55:$GA55)=0,0,IF(SUM($D58:$GA58)=0,1,'Вводные'!$B$63))))*ET59)</x:f>
      </x:c>
      <x:c r="EU60" s="107" t="n">
        <x:f>'Вводные'!$L$90*((IF(SUM($D55:$GA55)=0,0,IF(SUM($D58:$GA58)=0,1,'Вводные'!$B$63)))*EU57+(1-(IF(SUM($D55:$GA55)=0,0,IF(SUM($D58:$GA58)=0,1,'Вводные'!$B$63))))*EU59)</x:f>
      </x:c>
      <x:c r="EV60" s="107" t="n">
        <x:f>'Вводные'!$L$90*((IF(SUM($D55:$GA55)=0,0,IF(SUM($D58:$GA58)=0,1,'Вводные'!$B$63)))*EV57+(1-(IF(SUM($D55:$GA55)=0,0,IF(SUM($D58:$GA58)=0,1,'Вводные'!$B$63))))*EV59)</x:f>
      </x:c>
      <x:c r="EW60" s="107" t="n">
        <x:f>'Вводные'!$L$90*((IF(SUM($D55:$GA55)=0,0,IF(SUM($D58:$GA58)=0,1,'Вводные'!$B$63)))*EW57+(1-(IF(SUM($D55:$GA55)=0,0,IF(SUM($D58:$GA58)=0,1,'Вводные'!$B$63))))*EW59)</x:f>
      </x:c>
      <x:c r="EX60" s="107" t="n">
        <x:f>'Вводные'!$L$90*((IF(SUM($D55:$GA55)=0,0,IF(SUM($D58:$GA58)=0,1,'Вводные'!$B$63)))*EX57+(1-(IF(SUM($D55:$GA55)=0,0,IF(SUM($D58:$GA58)=0,1,'Вводные'!$B$63))))*EX59)</x:f>
      </x:c>
      <x:c r="EY60" s="107" t="n">
        <x:f>'Вводные'!$L$90*((IF(SUM($D55:$GA55)=0,0,IF(SUM($D58:$GA58)=0,1,'Вводные'!$B$63)))*EY57+(1-(IF(SUM($D55:$GA55)=0,0,IF(SUM($D58:$GA58)=0,1,'Вводные'!$B$63))))*EY59)</x:f>
      </x:c>
      <x:c r="EZ60" s="107" t="n">
        <x:f>'Вводные'!$L$90*((IF(SUM($D55:$GA55)=0,0,IF(SUM($D58:$GA58)=0,1,'Вводные'!$B$63)))*EZ57+(1-(IF(SUM($D55:$GA55)=0,0,IF(SUM($D58:$GA58)=0,1,'Вводные'!$B$63))))*EZ59)</x:f>
      </x:c>
      <x:c r="FA60" s="107" t="n">
        <x:f>'Вводные'!$L$90*((IF(SUM($D55:$GA55)=0,0,IF(SUM($D58:$GA58)=0,1,'Вводные'!$B$63)))*FA57+(1-(IF(SUM($D55:$GA55)=0,0,IF(SUM($D58:$GA58)=0,1,'Вводные'!$B$63))))*FA59)</x:f>
      </x:c>
      <x:c r="FB60" s="107" t="n">
        <x:f>'Вводные'!$L$90*((IF(SUM($D55:$GA55)=0,0,IF(SUM($D58:$GA58)=0,1,'Вводные'!$B$63)))*FB57+(1-(IF(SUM($D55:$GA55)=0,0,IF(SUM($D58:$GA58)=0,1,'Вводные'!$B$63))))*FB59)</x:f>
      </x:c>
      <x:c r="FC60" s="107" t="n">
        <x:f>'Вводные'!$L$90*((IF(SUM($D55:$GA55)=0,0,IF(SUM($D58:$GA58)=0,1,'Вводные'!$B$63)))*FC57+(1-(IF(SUM($D55:$GA55)=0,0,IF(SUM($D58:$GA58)=0,1,'Вводные'!$B$63))))*FC59)</x:f>
      </x:c>
      <x:c r="FD60" s="107" t="n">
        <x:f>'Вводные'!$L$90*((IF(SUM($D55:$GA55)=0,0,IF(SUM($D58:$GA58)=0,1,'Вводные'!$B$63)))*FD57+(1-(IF(SUM($D55:$GA55)=0,0,IF(SUM($D58:$GA58)=0,1,'Вводные'!$B$63))))*FD59)</x:f>
      </x:c>
      <x:c r="FE60" s="107" t="n">
        <x:f>'Вводные'!$L$90*((IF(SUM($D55:$GA55)=0,0,IF(SUM($D58:$GA58)=0,1,'Вводные'!$B$63)))*FE57+(1-(IF(SUM($D55:$GA55)=0,0,IF(SUM($D58:$GA58)=0,1,'Вводные'!$B$63))))*FE59)</x:f>
      </x:c>
      <x:c r="FF60" s="107" t="n">
        <x:f>'Вводные'!$L$90*((IF(SUM($D55:$GA55)=0,0,IF(SUM($D58:$GA58)=0,1,'Вводные'!$B$63)))*FF57+(1-(IF(SUM($D55:$GA55)=0,0,IF(SUM($D58:$GA58)=0,1,'Вводные'!$B$63))))*FF59)</x:f>
      </x:c>
      <x:c r="FG60" s="107" t="n">
        <x:f>'Вводные'!$L$90*((IF(SUM($D55:$GA55)=0,0,IF(SUM($D58:$GA58)=0,1,'Вводные'!$B$63)))*FG57+(1-(IF(SUM($D55:$GA55)=0,0,IF(SUM($D58:$GA58)=0,1,'Вводные'!$B$63))))*FG59)</x:f>
      </x:c>
      <x:c r="FH60" s="107" t="n">
        <x:f>'Вводные'!$L$90*((IF(SUM($D55:$GA55)=0,0,IF(SUM($D58:$GA58)=0,1,'Вводные'!$B$63)))*FH57+(1-(IF(SUM($D55:$GA55)=0,0,IF(SUM($D58:$GA58)=0,1,'Вводные'!$B$63))))*FH59)</x:f>
      </x:c>
      <x:c r="FI60" s="107" t="n">
        <x:f>'Вводные'!$L$90*((IF(SUM($D55:$GA55)=0,0,IF(SUM($D58:$GA58)=0,1,'Вводные'!$B$63)))*FI57+(1-(IF(SUM($D55:$GA55)=0,0,IF(SUM($D58:$GA58)=0,1,'Вводные'!$B$63))))*FI59)</x:f>
      </x:c>
      <x:c r="FJ60" s="107" t="n">
        <x:f>'Вводные'!$L$90*((IF(SUM($D55:$GA55)=0,0,IF(SUM($D58:$GA58)=0,1,'Вводные'!$B$63)))*FJ57+(1-(IF(SUM($D55:$GA55)=0,0,IF(SUM($D58:$GA58)=0,1,'Вводные'!$B$63))))*FJ59)</x:f>
      </x:c>
      <x:c r="FK60" s="107" t="n">
        <x:f>'Вводные'!$L$90*((IF(SUM($D55:$GA55)=0,0,IF(SUM($D58:$GA58)=0,1,'Вводные'!$B$63)))*FK57+(1-(IF(SUM($D55:$GA55)=0,0,IF(SUM($D58:$GA58)=0,1,'Вводные'!$B$63))))*FK59)</x:f>
      </x:c>
      <x:c r="FL60" s="107" t="n">
        <x:f>'Вводные'!$L$90*((IF(SUM($D55:$GA55)=0,0,IF(SUM($D58:$GA58)=0,1,'Вводные'!$B$63)))*FL57+(1-(IF(SUM($D55:$GA55)=0,0,IF(SUM($D58:$GA58)=0,1,'Вводные'!$B$63))))*FL59)</x:f>
      </x:c>
      <x:c r="FM60" s="107" t="n">
        <x:f>'Вводные'!$L$90*((IF(SUM($D55:$GA55)=0,0,IF(SUM($D58:$GA58)=0,1,'Вводные'!$B$63)))*FM57+(1-(IF(SUM($D55:$GA55)=0,0,IF(SUM($D58:$GA58)=0,1,'Вводные'!$B$63))))*FM59)</x:f>
      </x:c>
      <x:c r="FN60" s="107" t="n">
        <x:f>'Вводные'!$L$90*((IF(SUM($D55:$GA55)=0,0,IF(SUM($D58:$GA58)=0,1,'Вводные'!$B$63)))*FN57+(1-(IF(SUM($D55:$GA55)=0,0,IF(SUM($D58:$GA58)=0,1,'Вводные'!$B$63))))*FN59)</x:f>
      </x:c>
      <x:c r="FO60" s="107" t="n">
        <x:f>'Вводные'!$L$90*((IF(SUM($D55:$GA55)=0,0,IF(SUM($D58:$GA58)=0,1,'Вводные'!$B$63)))*FO57+(1-(IF(SUM($D55:$GA55)=0,0,IF(SUM($D58:$GA58)=0,1,'Вводные'!$B$63))))*FO59)</x:f>
      </x:c>
      <x:c r="FP60" s="107" t="n">
        <x:f>'Вводные'!$L$90*((IF(SUM($D55:$GA55)=0,0,IF(SUM($D58:$GA58)=0,1,'Вводные'!$B$63)))*FP57+(1-(IF(SUM($D55:$GA55)=0,0,IF(SUM($D58:$GA58)=0,1,'Вводные'!$B$63))))*FP59)</x:f>
      </x:c>
      <x:c r="FQ60" s="107" t="n">
        <x:f>'Вводные'!$L$90*((IF(SUM($D55:$GA55)=0,0,IF(SUM($D58:$GA58)=0,1,'Вводные'!$B$63)))*FQ57+(1-(IF(SUM($D55:$GA55)=0,0,IF(SUM($D58:$GA58)=0,1,'Вводные'!$B$63))))*FQ59)</x:f>
      </x:c>
      <x:c r="FR60" s="107" t="n">
        <x:f>'Вводные'!$L$90*((IF(SUM($D55:$GA55)=0,0,IF(SUM($D58:$GA58)=0,1,'Вводные'!$B$63)))*FR57+(1-(IF(SUM($D55:$GA55)=0,0,IF(SUM($D58:$GA58)=0,1,'Вводные'!$B$63))))*FR59)</x:f>
      </x:c>
      <x:c r="FS60" s="107" t="n">
        <x:f>'Вводные'!$L$90*((IF(SUM($D55:$GA55)=0,0,IF(SUM($D58:$GA58)=0,1,'Вводные'!$B$63)))*FS57+(1-(IF(SUM($D55:$GA55)=0,0,IF(SUM($D58:$GA58)=0,1,'Вводные'!$B$63))))*FS59)</x:f>
      </x:c>
      <x:c r="FT60" s="107" t="n">
        <x:f>'Вводные'!$L$90*((IF(SUM($D55:$GA55)=0,0,IF(SUM($D58:$GA58)=0,1,'Вводные'!$B$63)))*FT57+(1-(IF(SUM($D55:$GA55)=0,0,IF(SUM($D58:$GA58)=0,1,'Вводные'!$B$63))))*FT59)</x:f>
      </x:c>
      <x:c r="FU60" s="107" t="n">
        <x:f>'Вводные'!$L$90*((IF(SUM($D55:$GA55)=0,0,IF(SUM($D58:$GA58)=0,1,'Вводные'!$B$63)))*FU57+(1-(IF(SUM($D55:$GA55)=0,0,IF(SUM($D58:$GA58)=0,1,'Вводные'!$B$63))))*FU59)</x:f>
      </x:c>
      <x:c r="FV60" s="107" t="n">
        <x:f>'Вводные'!$L$90*((IF(SUM($D55:$GA55)=0,0,IF(SUM($D58:$GA58)=0,1,'Вводные'!$B$63)))*FV57+(1-(IF(SUM($D55:$GA55)=0,0,IF(SUM($D58:$GA58)=0,1,'Вводные'!$B$63))))*FV59)</x:f>
      </x:c>
      <x:c r="FW60" s="107" t="n">
        <x:f>'Вводные'!$L$90*((IF(SUM($D55:$GA55)=0,0,IF(SUM($D58:$GA58)=0,1,'Вводные'!$B$63)))*FW57+(1-(IF(SUM($D55:$GA55)=0,0,IF(SUM($D58:$GA58)=0,1,'Вводные'!$B$63))))*FW59)</x:f>
      </x:c>
      <x:c r="FX60" s="107" t="n">
        <x:f>'Вводные'!$L$90*((IF(SUM($D55:$GA55)=0,0,IF(SUM($D58:$GA58)=0,1,'Вводные'!$B$63)))*FX57+(1-(IF(SUM($D55:$GA55)=0,0,IF(SUM($D58:$GA58)=0,1,'Вводные'!$B$63))))*FX59)</x:f>
      </x:c>
      <x:c r="FY60" s="107" t="n">
        <x:f>'Вводные'!$L$90*((IF(SUM($D55:$GA55)=0,0,IF(SUM($D58:$GA58)=0,1,'Вводные'!$B$63)))*FY57+(1-(IF(SUM($D55:$GA55)=0,0,IF(SUM($D58:$GA58)=0,1,'Вводные'!$B$63))))*FY59)</x:f>
      </x:c>
      <x:c r="FZ60" s="107" t="n">
        <x:f>'Вводные'!$L$90*((IF(SUM($D55:$GA55)=0,0,IF(SUM($D58:$GA58)=0,1,'Вводные'!$B$63)))*FZ57+(1-(IF(SUM($D55:$GA55)=0,0,IF(SUM($D58:$GA58)=0,1,'Вводные'!$B$63))))*FZ59)</x:f>
      </x:c>
      <x:c r="GA60" s="107" t="n">
        <x:f>'Вводные'!$L$90*((IF(SUM($D55:$GA55)=0,0,IF(SUM($D58:$GA58)=0,1,'Вводные'!$B$63)))*GA57+(1-(IF(SUM($D55:$GA55)=0,0,IF(SUM($D58:$GA58)=0,1,'Вводные'!$B$63))))*GA59)</x:f>
      </x:c>
    </x:row>
    <x:row r="61">
      <x:c r="A61" t="str">
        <x:v>Квартиры — цена</x:v>
      </x:c>
      <x:c r="B61" t="n">
        <x:f>IFERROR(B62*1000/B60,0)</x:f>
      </x:c>
      <x:c r="C61" t="str">
        <x:v>тыс. ₽/м²</x:v>
      </x:c>
      <x:c r="D61" s="107" t="n">
        <x:f>IF(D60=0,0,'Вводные'!$B$59*'Вводные'!$S$90*'Вводные'!$H$5*'Вводные'!$AG$90*(1+'Вводные'!$B$64)^MAX(0,MIN((12*(YEAR(D$3)-YEAR($B$53))+MONTH(D$3)-MONTH($B$53)),(12*(YEAR($B$54)-YEAR($B$53))+MONTH($B$54)-MONTH($B$53))))*(1+'Вводные'!$B$65)^MAX(0,(12*(YEAR(D$3)-YEAR($B$54))+MONTH(D$3)-MONTH($B$54))))</x:f>
      </x:c>
      <x:c r="E61" s="107" t="n">
        <x:f>IF(E60=0,0,'Вводные'!$B$59*'Вводные'!$S$90*'Вводные'!$H$5*'Вводные'!$AG$90*(1+'Вводные'!$B$64)^MAX(0,MIN((12*(YEAR(E$3)-YEAR($B$53))+MONTH(E$3)-MONTH($B$53)),(12*(YEAR($B$54)-YEAR($B$53))+MONTH($B$54)-MONTH($B$53))))*(1+'Вводные'!$B$65)^MAX(0,(12*(YEAR(E$3)-YEAR($B$54))+MONTH(E$3)-MONTH($B$54))))</x:f>
      </x:c>
      <x:c r="F61" s="107" t="n">
        <x:f>IF(F60=0,0,'Вводные'!$B$59*'Вводные'!$S$90*'Вводные'!$H$5*'Вводные'!$AG$90*(1+'Вводные'!$B$64)^MAX(0,MIN((12*(YEAR(F$3)-YEAR($B$53))+MONTH(F$3)-MONTH($B$53)),(12*(YEAR($B$54)-YEAR($B$53))+MONTH($B$54)-MONTH($B$53))))*(1+'Вводные'!$B$65)^MAX(0,(12*(YEAR(F$3)-YEAR($B$54))+MONTH(F$3)-MONTH($B$54))))</x:f>
      </x:c>
      <x:c r="G61" s="107" t="n">
        <x:f>IF(G60=0,0,'Вводные'!$B$59*'Вводные'!$S$90*'Вводные'!$H$5*'Вводные'!$AG$90*(1+'Вводные'!$B$64)^MAX(0,MIN((12*(YEAR(G$3)-YEAR($B$53))+MONTH(G$3)-MONTH($B$53)),(12*(YEAR($B$54)-YEAR($B$53))+MONTH($B$54)-MONTH($B$53))))*(1+'Вводные'!$B$65)^MAX(0,(12*(YEAR(G$3)-YEAR($B$54))+MONTH(G$3)-MONTH($B$54))))</x:f>
      </x:c>
      <x:c r="H61" s="107" t="n">
        <x:f>IF(H60=0,0,'Вводные'!$B$59*'Вводные'!$S$90*'Вводные'!$H$5*'Вводные'!$AG$90*(1+'Вводные'!$B$64)^MAX(0,MIN((12*(YEAR(H$3)-YEAR($B$53))+MONTH(H$3)-MONTH($B$53)),(12*(YEAR($B$54)-YEAR($B$53))+MONTH($B$54)-MONTH($B$53))))*(1+'Вводные'!$B$65)^MAX(0,(12*(YEAR(H$3)-YEAR($B$54))+MONTH(H$3)-MONTH($B$54))))</x:f>
      </x:c>
      <x:c r="I61" s="107" t="n">
        <x:f>IF(I60=0,0,'Вводные'!$B$59*'Вводные'!$S$90*'Вводные'!$H$5*'Вводные'!$AG$90*(1+'Вводные'!$B$64)^MAX(0,MIN((12*(YEAR(I$3)-YEAR($B$53))+MONTH(I$3)-MONTH($B$53)),(12*(YEAR($B$54)-YEAR($B$53))+MONTH($B$54)-MONTH($B$53))))*(1+'Вводные'!$B$65)^MAX(0,(12*(YEAR(I$3)-YEAR($B$54))+MONTH(I$3)-MONTH($B$54))))</x:f>
      </x:c>
      <x:c r="J61" s="107" t="n">
        <x:f>IF(J60=0,0,'Вводные'!$B$59*'Вводные'!$S$90*'Вводные'!$H$5*'Вводные'!$AG$90*(1+'Вводные'!$B$64)^MAX(0,MIN((12*(YEAR(J$3)-YEAR($B$53))+MONTH(J$3)-MONTH($B$53)),(12*(YEAR($B$54)-YEAR($B$53))+MONTH($B$54)-MONTH($B$53))))*(1+'Вводные'!$B$65)^MAX(0,(12*(YEAR(J$3)-YEAR($B$54))+MONTH(J$3)-MONTH($B$54))))</x:f>
      </x:c>
      <x:c r="K61" s="107" t="n">
        <x:f>IF(K60=0,0,'Вводные'!$B$59*'Вводные'!$S$90*'Вводные'!$H$5*'Вводные'!$AG$90*(1+'Вводные'!$B$64)^MAX(0,MIN((12*(YEAR(K$3)-YEAR($B$53))+MONTH(K$3)-MONTH($B$53)),(12*(YEAR($B$54)-YEAR($B$53))+MONTH($B$54)-MONTH($B$53))))*(1+'Вводные'!$B$65)^MAX(0,(12*(YEAR(K$3)-YEAR($B$54))+MONTH(K$3)-MONTH($B$54))))</x:f>
      </x:c>
      <x:c r="L61" s="107" t="n">
        <x:f>IF(L60=0,0,'Вводные'!$B$59*'Вводные'!$S$90*'Вводные'!$H$5*'Вводные'!$AG$90*(1+'Вводные'!$B$64)^MAX(0,MIN((12*(YEAR(L$3)-YEAR($B$53))+MONTH(L$3)-MONTH($B$53)),(12*(YEAR($B$54)-YEAR($B$53))+MONTH($B$54)-MONTH($B$53))))*(1+'Вводные'!$B$65)^MAX(0,(12*(YEAR(L$3)-YEAR($B$54))+MONTH(L$3)-MONTH($B$54))))</x:f>
      </x:c>
      <x:c r="M61" s="107" t="n">
        <x:f>IF(M60=0,0,'Вводные'!$B$59*'Вводные'!$S$90*'Вводные'!$H$5*'Вводные'!$AG$90*(1+'Вводные'!$B$64)^MAX(0,MIN((12*(YEAR(M$3)-YEAR($B$53))+MONTH(M$3)-MONTH($B$53)),(12*(YEAR($B$54)-YEAR($B$53))+MONTH($B$54)-MONTH($B$53))))*(1+'Вводные'!$B$65)^MAX(0,(12*(YEAR(M$3)-YEAR($B$54))+MONTH(M$3)-MONTH($B$54))))</x:f>
      </x:c>
      <x:c r="N61" s="107" t="n">
        <x:f>IF(N60=0,0,'Вводные'!$B$59*'Вводные'!$S$90*'Вводные'!$H$5*'Вводные'!$AG$90*(1+'Вводные'!$B$64)^MAX(0,MIN((12*(YEAR(N$3)-YEAR($B$53))+MONTH(N$3)-MONTH($B$53)),(12*(YEAR($B$54)-YEAR($B$53))+MONTH($B$54)-MONTH($B$53))))*(1+'Вводные'!$B$65)^MAX(0,(12*(YEAR(N$3)-YEAR($B$54))+MONTH(N$3)-MONTH($B$54))))</x:f>
      </x:c>
      <x:c r="O61" s="107" t="n">
        <x:f>IF(O60=0,0,'Вводные'!$B$59*'Вводные'!$S$90*'Вводные'!$H$5*'Вводные'!$AG$90*(1+'Вводные'!$B$64)^MAX(0,MIN((12*(YEAR(O$3)-YEAR($B$53))+MONTH(O$3)-MONTH($B$53)),(12*(YEAR($B$54)-YEAR($B$53))+MONTH($B$54)-MONTH($B$53))))*(1+'Вводные'!$B$65)^MAX(0,(12*(YEAR(O$3)-YEAR($B$54))+MONTH(O$3)-MONTH($B$54))))</x:f>
      </x:c>
      <x:c r="P61" s="107" t="n">
        <x:f>IF(P60=0,0,'Вводные'!$B$59*'Вводные'!$S$90*'Вводные'!$H$5*'Вводные'!$AG$90*(1+'Вводные'!$B$64)^MAX(0,MIN((12*(YEAR(P$3)-YEAR($B$53))+MONTH(P$3)-MONTH($B$53)),(12*(YEAR($B$54)-YEAR($B$53))+MONTH($B$54)-MONTH($B$53))))*(1+'Вводные'!$B$65)^MAX(0,(12*(YEAR(P$3)-YEAR($B$54))+MONTH(P$3)-MONTH($B$54))))</x:f>
      </x:c>
      <x:c r="Q61" s="107" t="n">
        <x:f>IF(Q60=0,0,'Вводные'!$B$59*'Вводные'!$S$90*'Вводные'!$H$5*'Вводные'!$AG$90*(1+'Вводные'!$B$64)^MAX(0,MIN((12*(YEAR(Q$3)-YEAR($B$53))+MONTH(Q$3)-MONTH($B$53)),(12*(YEAR($B$54)-YEAR($B$53))+MONTH($B$54)-MONTH($B$53))))*(1+'Вводные'!$B$65)^MAX(0,(12*(YEAR(Q$3)-YEAR($B$54))+MONTH(Q$3)-MONTH($B$54))))</x:f>
      </x:c>
      <x:c r="R61" s="107" t="n">
        <x:f>IF(R60=0,0,'Вводные'!$B$59*'Вводные'!$S$90*'Вводные'!$H$5*'Вводные'!$AG$90*(1+'Вводные'!$B$64)^MAX(0,MIN((12*(YEAR(R$3)-YEAR($B$53))+MONTH(R$3)-MONTH($B$53)),(12*(YEAR($B$54)-YEAR($B$53))+MONTH($B$54)-MONTH($B$53))))*(1+'Вводные'!$B$65)^MAX(0,(12*(YEAR(R$3)-YEAR($B$54))+MONTH(R$3)-MONTH($B$54))))</x:f>
      </x:c>
      <x:c r="S61" s="107" t="n">
        <x:f>IF(S60=0,0,'Вводные'!$B$59*'Вводные'!$S$90*'Вводные'!$H$5*'Вводные'!$AG$90*(1+'Вводные'!$B$64)^MAX(0,MIN((12*(YEAR(S$3)-YEAR($B$53))+MONTH(S$3)-MONTH($B$53)),(12*(YEAR($B$54)-YEAR($B$53))+MONTH($B$54)-MONTH($B$53))))*(1+'Вводные'!$B$65)^MAX(0,(12*(YEAR(S$3)-YEAR($B$54))+MONTH(S$3)-MONTH($B$54))))</x:f>
      </x:c>
      <x:c r="T61" s="107" t="n">
        <x:f>IF(T60=0,0,'Вводные'!$B$59*'Вводные'!$S$90*'Вводные'!$H$5*'Вводные'!$AG$90*(1+'Вводные'!$B$64)^MAX(0,MIN((12*(YEAR(T$3)-YEAR($B$53))+MONTH(T$3)-MONTH($B$53)),(12*(YEAR($B$54)-YEAR($B$53))+MONTH($B$54)-MONTH($B$53))))*(1+'Вводные'!$B$65)^MAX(0,(12*(YEAR(T$3)-YEAR($B$54))+MONTH(T$3)-MONTH($B$54))))</x:f>
      </x:c>
      <x:c r="U61" s="107" t="n">
        <x:f>IF(U60=0,0,'Вводные'!$B$59*'Вводные'!$S$90*'Вводные'!$H$5*'Вводные'!$AG$90*(1+'Вводные'!$B$64)^MAX(0,MIN((12*(YEAR(U$3)-YEAR($B$53))+MONTH(U$3)-MONTH($B$53)),(12*(YEAR($B$54)-YEAR($B$53))+MONTH($B$54)-MONTH($B$53))))*(1+'Вводные'!$B$65)^MAX(0,(12*(YEAR(U$3)-YEAR($B$54))+MONTH(U$3)-MONTH($B$54))))</x:f>
      </x:c>
      <x:c r="V61" s="107" t="n">
        <x:f>IF(V60=0,0,'Вводные'!$B$59*'Вводные'!$S$90*'Вводные'!$H$5*'Вводные'!$AG$90*(1+'Вводные'!$B$64)^MAX(0,MIN((12*(YEAR(V$3)-YEAR($B$53))+MONTH(V$3)-MONTH($B$53)),(12*(YEAR($B$54)-YEAR($B$53))+MONTH($B$54)-MONTH($B$53))))*(1+'Вводные'!$B$65)^MAX(0,(12*(YEAR(V$3)-YEAR($B$54))+MONTH(V$3)-MONTH($B$54))))</x:f>
      </x:c>
      <x:c r="W61" s="107" t="n">
        <x:f>IF(W60=0,0,'Вводные'!$B$59*'Вводные'!$S$90*'Вводные'!$H$5*'Вводные'!$AG$90*(1+'Вводные'!$B$64)^MAX(0,MIN((12*(YEAR(W$3)-YEAR($B$53))+MONTH(W$3)-MONTH($B$53)),(12*(YEAR($B$54)-YEAR($B$53))+MONTH($B$54)-MONTH($B$53))))*(1+'Вводные'!$B$65)^MAX(0,(12*(YEAR(W$3)-YEAR($B$54))+MONTH(W$3)-MONTH($B$54))))</x:f>
      </x:c>
      <x:c r="X61" s="107" t="n">
        <x:f>IF(X60=0,0,'Вводные'!$B$59*'Вводные'!$S$90*'Вводные'!$H$5*'Вводные'!$AG$90*(1+'Вводные'!$B$64)^MAX(0,MIN((12*(YEAR(X$3)-YEAR($B$53))+MONTH(X$3)-MONTH($B$53)),(12*(YEAR($B$54)-YEAR($B$53))+MONTH($B$54)-MONTH($B$53))))*(1+'Вводные'!$B$65)^MAX(0,(12*(YEAR(X$3)-YEAR($B$54))+MONTH(X$3)-MONTH($B$54))))</x:f>
      </x:c>
      <x:c r="Y61" s="107" t="n">
        <x:f>IF(Y60=0,0,'Вводные'!$B$59*'Вводные'!$S$90*'Вводные'!$H$5*'Вводные'!$AG$90*(1+'Вводные'!$B$64)^MAX(0,MIN((12*(YEAR(Y$3)-YEAR($B$53))+MONTH(Y$3)-MONTH($B$53)),(12*(YEAR($B$54)-YEAR($B$53))+MONTH($B$54)-MONTH($B$53))))*(1+'Вводные'!$B$65)^MAX(0,(12*(YEAR(Y$3)-YEAR($B$54))+MONTH(Y$3)-MONTH($B$54))))</x:f>
      </x:c>
      <x:c r="Z61" s="107" t="n">
        <x:f>IF(Z60=0,0,'Вводные'!$B$59*'Вводные'!$S$90*'Вводные'!$H$5*'Вводные'!$AG$90*(1+'Вводные'!$B$64)^MAX(0,MIN((12*(YEAR(Z$3)-YEAR($B$53))+MONTH(Z$3)-MONTH($B$53)),(12*(YEAR($B$54)-YEAR($B$53))+MONTH($B$54)-MONTH($B$53))))*(1+'Вводные'!$B$65)^MAX(0,(12*(YEAR(Z$3)-YEAR($B$54))+MONTH(Z$3)-MONTH($B$54))))</x:f>
      </x:c>
      <x:c r="AA61" s="107" t="n">
        <x:f>IF(AA60=0,0,'Вводные'!$B$59*'Вводные'!$S$90*'Вводные'!$H$5*'Вводные'!$AG$90*(1+'Вводные'!$B$64)^MAX(0,MIN((12*(YEAR(AA$3)-YEAR($B$53))+MONTH(AA$3)-MONTH($B$53)),(12*(YEAR($B$54)-YEAR($B$53))+MONTH($B$54)-MONTH($B$53))))*(1+'Вводные'!$B$65)^MAX(0,(12*(YEAR(AA$3)-YEAR($B$54))+MONTH(AA$3)-MONTH($B$54))))</x:f>
      </x:c>
      <x:c r="AB61" s="107" t="n">
        <x:f>IF(AB60=0,0,'Вводные'!$B$59*'Вводные'!$S$90*'Вводные'!$H$5*'Вводные'!$AG$90*(1+'Вводные'!$B$64)^MAX(0,MIN((12*(YEAR(AB$3)-YEAR($B$53))+MONTH(AB$3)-MONTH($B$53)),(12*(YEAR($B$54)-YEAR($B$53))+MONTH($B$54)-MONTH($B$53))))*(1+'Вводные'!$B$65)^MAX(0,(12*(YEAR(AB$3)-YEAR($B$54))+MONTH(AB$3)-MONTH($B$54))))</x:f>
      </x:c>
      <x:c r="AC61" s="107" t="n">
        <x:f>IF(AC60=0,0,'Вводные'!$B$59*'Вводные'!$S$90*'Вводные'!$H$5*'Вводные'!$AG$90*(1+'Вводные'!$B$64)^MAX(0,MIN((12*(YEAR(AC$3)-YEAR($B$53))+MONTH(AC$3)-MONTH($B$53)),(12*(YEAR($B$54)-YEAR($B$53))+MONTH($B$54)-MONTH($B$53))))*(1+'Вводные'!$B$65)^MAX(0,(12*(YEAR(AC$3)-YEAR($B$54))+MONTH(AC$3)-MONTH($B$54))))</x:f>
      </x:c>
      <x:c r="AD61" s="107" t="n">
        <x:f>IF(AD60=0,0,'Вводные'!$B$59*'Вводные'!$S$90*'Вводные'!$H$5*'Вводные'!$AG$90*(1+'Вводные'!$B$64)^MAX(0,MIN((12*(YEAR(AD$3)-YEAR($B$53))+MONTH(AD$3)-MONTH($B$53)),(12*(YEAR($B$54)-YEAR($B$53))+MONTH($B$54)-MONTH($B$53))))*(1+'Вводные'!$B$65)^MAX(0,(12*(YEAR(AD$3)-YEAR($B$54))+MONTH(AD$3)-MONTH($B$54))))</x:f>
      </x:c>
      <x:c r="AE61" s="107" t="n">
        <x:f>IF(AE60=0,0,'Вводные'!$B$59*'Вводные'!$S$90*'Вводные'!$H$5*'Вводные'!$AG$90*(1+'Вводные'!$B$64)^MAX(0,MIN((12*(YEAR(AE$3)-YEAR($B$53))+MONTH(AE$3)-MONTH($B$53)),(12*(YEAR($B$54)-YEAR($B$53))+MONTH($B$54)-MONTH($B$53))))*(1+'Вводные'!$B$65)^MAX(0,(12*(YEAR(AE$3)-YEAR($B$54))+MONTH(AE$3)-MONTH($B$54))))</x:f>
      </x:c>
      <x:c r="AF61" s="107" t="n">
        <x:f>IF(AF60=0,0,'Вводные'!$B$59*'Вводные'!$S$90*'Вводные'!$H$5*'Вводные'!$AG$90*(1+'Вводные'!$B$64)^MAX(0,MIN((12*(YEAR(AF$3)-YEAR($B$53))+MONTH(AF$3)-MONTH($B$53)),(12*(YEAR($B$54)-YEAR($B$53))+MONTH($B$54)-MONTH($B$53))))*(1+'Вводные'!$B$65)^MAX(0,(12*(YEAR(AF$3)-YEAR($B$54))+MONTH(AF$3)-MONTH($B$54))))</x:f>
      </x:c>
      <x:c r="AG61" s="107" t="n">
        <x:f>IF(AG60=0,0,'Вводные'!$B$59*'Вводные'!$S$90*'Вводные'!$H$5*'Вводные'!$AG$90*(1+'Вводные'!$B$64)^MAX(0,MIN((12*(YEAR(AG$3)-YEAR($B$53))+MONTH(AG$3)-MONTH($B$53)),(12*(YEAR($B$54)-YEAR($B$53))+MONTH($B$54)-MONTH($B$53))))*(1+'Вводные'!$B$65)^MAX(0,(12*(YEAR(AG$3)-YEAR($B$54))+MONTH(AG$3)-MONTH($B$54))))</x:f>
      </x:c>
      <x:c r="AH61" s="107" t="n">
        <x:f>IF(AH60=0,0,'Вводные'!$B$59*'Вводные'!$S$90*'Вводные'!$H$5*'Вводные'!$AG$90*(1+'Вводные'!$B$64)^MAX(0,MIN((12*(YEAR(AH$3)-YEAR($B$53))+MONTH(AH$3)-MONTH($B$53)),(12*(YEAR($B$54)-YEAR($B$53))+MONTH($B$54)-MONTH($B$53))))*(1+'Вводные'!$B$65)^MAX(0,(12*(YEAR(AH$3)-YEAR($B$54))+MONTH(AH$3)-MONTH($B$54))))</x:f>
      </x:c>
      <x:c r="AI61" s="107" t="n">
        <x:f>IF(AI60=0,0,'Вводные'!$B$59*'Вводные'!$S$90*'Вводные'!$H$5*'Вводные'!$AG$90*(1+'Вводные'!$B$64)^MAX(0,MIN((12*(YEAR(AI$3)-YEAR($B$53))+MONTH(AI$3)-MONTH($B$53)),(12*(YEAR($B$54)-YEAR($B$53))+MONTH($B$54)-MONTH($B$53))))*(1+'Вводные'!$B$65)^MAX(0,(12*(YEAR(AI$3)-YEAR($B$54))+MONTH(AI$3)-MONTH($B$54))))</x:f>
      </x:c>
      <x:c r="AJ61" s="107" t="n">
        <x:f>IF(AJ60=0,0,'Вводные'!$B$59*'Вводные'!$S$90*'Вводные'!$H$5*'Вводные'!$AG$90*(1+'Вводные'!$B$64)^MAX(0,MIN((12*(YEAR(AJ$3)-YEAR($B$53))+MONTH(AJ$3)-MONTH($B$53)),(12*(YEAR($B$54)-YEAR($B$53))+MONTH($B$54)-MONTH($B$53))))*(1+'Вводные'!$B$65)^MAX(0,(12*(YEAR(AJ$3)-YEAR($B$54))+MONTH(AJ$3)-MONTH($B$54))))</x:f>
      </x:c>
      <x:c r="AK61" s="107" t="n">
        <x:f>IF(AK60=0,0,'Вводные'!$B$59*'Вводные'!$S$90*'Вводные'!$H$5*'Вводные'!$AG$90*(1+'Вводные'!$B$64)^MAX(0,MIN((12*(YEAR(AK$3)-YEAR($B$53))+MONTH(AK$3)-MONTH($B$53)),(12*(YEAR($B$54)-YEAR($B$53))+MONTH($B$54)-MONTH($B$53))))*(1+'Вводные'!$B$65)^MAX(0,(12*(YEAR(AK$3)-YEAR($B$54))+MONTH(AK$3)-MONTH($B$54))))</x:f>
      </x:c>
      <x:c r="AL61" s="107" t="n">
        <x:f>IF(AL60=0,0,'Вводные'!$B$59*'Вводные'!$S$90*'Вводные'!$H$5*'Вводные'!$AG$90*(1+'Вводные'!$B$64)^MAX(0,MIN((12*(YEAR(AL$3)-YEAR($B$53))+MONTH(AL$3)-MONTH($B$53)),(12*(YEAR($B$54)-YEAR($B$53))+MONTH($B$54)-MONTH($B$53))))*(1+'Вводные'!$B$65)^MAX(0,(12*(YEAR(AL$3)-YEAR($B$54))+MONTH(AL$3)-MONTH($B$54))))</x:f>
      </x:c>
      <x:c r="AM61" s="107" t="n">
        <x:f>IF(AM60=0,0,'Вводные'!$B$59*'Вводные'!$S$90*'Вводные'!$H$5*'Вводные'!$AG$90*(1+'Вводные'!$B$64)^MAX(0,MIN((12*(YEAR(AM$3)-YEAR($B$53))+MONTH(AM$3)-MONTH($B$53)),(12*(YEAR($B$54)-YEAR($B$53))+MONTH($B$54)-MONTH($B$53))))*(1+'Вводные'!$B$65)^MAX(0,(12*(YEAR(AM$3)-YEAR($B$54))+MONTH(AM$3)-MONTH($B$54))))</x:f>
      </x:c>
      <x:c r="AN61" s="107" t="n">
        <x:f>IF(AN60=0,0,'Вводные'!$B$59*'Вводные'!$S$90*'Вводные'!$H$5*'Вводные'!$AG$90*(1+'Вводные'!$B$64)^MAX(0,MIN((12*(YEAR(AN$3)-YEAR($B$53))+MONTH(AN$3)-MONTH($B$53)),(12*(YEAR($B$54)-YEAR($B$53))+MONTH($B$54)-MONTH($B$53))))*(1+'Вводные'!$B$65)^MAX(0,(12*(YEAR(AN$3)-YEAR($B$54))+MONTH(AN$3)-MONTH($B$54))))</x:f>
      </x:c>
      <x:c r="AO61" s="107" t="n">
        <x:f>IF(AO60=0,0,'Вводные'!$B$59*'Вводные'!$S$90*'Вводные'!$H$5*'Вводные'!$AG$90*(1+'Вводные'!$B$64)^MAX(0,MIN((12*(YEAR(AO$3)-YEAR($B$53))+MONTH(AO$3)-MONTH($B$53)),(12*(YEAR($B$54)-YEAR($B$53))+MONTH($B$54)-MONTH($B$53))))*(1+'Вводные'!$B$65)^MAX(0,(12*(YEAR(AO$3)-YEAR($B$54))+MONTH(AO$3)-MONTH($B$54))))</x:f>
      </x:c>
      <x:c r="AP61" s="107" t="n">
        <x:f>IF(AP60=0,0,'Вводные'!$B$59*'Вводные'!$S$90*'Вводные'!$H$5*'Вводные'!$AG$90*(1+'Вводные'!$B$64)^MAX(0,MIN((12*(YEAR(AP$3)-YEAR($B$53))+MONTH(AP$3)-MONTH($B$53)),(12*(YEAR($B$54)-YEAR($B$53))+MONTH($B$54)-MONTH($B$53))))*(1+'Вводные'!$B$65)^MAX(0,(12*(YEAR(AP$3)-YEAR($B$54))+MONTH(AP$3)-MONTH($B$54))))</x:f>
      </x:c>
      <x:c r="AQ61" s="107" t="n">
        <x:f>IF(AQ60=0,0,'Вводные'!$B$59*'Вводные'!$S$90*'Вводные'!$H$5*'Вводные'!$AG$90*(1+'Вводные'!$B$64)^MAX(0,MIN((12*(YEAR(AQ$3)-YEAR($B$53))+MONTH(AQ$3)-MONTH($B$53)),(12*(YEAR($B$54)-YEAR($B$53))+MONTH($B$54)-MONTH($B$53))))*(1+'Вводные'!$B$65)^MAX(0,(12*(YEAR(AQ$3)-YEAR($B$54))+MONTH(AQ$3)-MONTH($B$54))))</x:f>
      </x:c>
      <x:c r="AR61" s="107" t="n">
        <x:f>IF(AR60=0,0,'Вводные'!$B$59*'Вводные'!$S$90*'Вводные'!$H$5*'Вводные'!$AG$90*(1+'Вводные'!$B$64)^MAX(0,MIN((12*(YEAR(AR$3)-YEAR($B$53))+MONTH(AR$3)-MONTH($B$53)),(12*(YEAR($B$54)-YEAR($B$53))+MONTH($B$54)-MONTH($B$53))))*(1+'Вводные'!$B$65)^MAX(0,(12*(YEAR(AR$3)-YEAR($B$54))+MONTH(AR$3)-MONTH($B$54))))</x:f>
      </x:c>
      <x:c r="AS61" s="107" t="n">
        <x:f>IF(AS60=0,0,'Вводные'!$B$59*'Вводные'!$S$90*'Вводные'!$H$5*'Вводные'!$AG$90*(1+'Вводные'!$B$64)^MAX(0,MIN((12*(YEAR(AS$3)-YEAR($B$53))+MONTH(AS$3)-MONTH($B$53)),(12*(YEAR($B$54)-YEAR($B$53))+MONTH($B$54)-MONTH($B$53))))*(1+'Вводные'!$B$65)^MAX(0,(12*(YEAR(AS$3)-YEAR($B$54))+MONTH(AS$3)-MONTH($B$54))))</x:f>
      </x:c>
      <x:c r="AT61" s="107" t="n">
        <x:f>IF(AT60=0,0,'Вводные'!$B$59*'Вводные'!$S$90*'Вводные'!$H$5*'Вводные'!$AG$90*(1+'Вводные'!$B$64)^MAX(0,MIN((12*(YEAR(AT$3)-YEAR($B$53))+MONTH(AT$3)-MONTH($B$53)),(12*(YEAR($B$54)-YEAR($B$53))+MONTH($B$54)-MONTH($B$53))))*(1+'Вводные'!$B$65)^MAX(0,(12*(YEAR(AT$3)-YEAR($B$54))+MONTH(AT$3)-MONTH($B$54))))</x:f>
      </x:c>
      <x:c r="AU61" s="107" t="n">
        <x:f>IF(AU60=0,0,'Вводные'!$B$59*'Вводные'!$S$90*'Вводные'!$H$5*'Вводные'!$AG$90*(1+'Вводные'!$B$64)^MAX(0,MIN((12*(YEAR(AU$3)-YEAR($B$53))+MONTH(AU$3)-MONTH($B$53)),(12*(YEAR($B$54)-YEAR($B$53))+MONTH($B$54)-MONTH($B$53))))*(1+'Вводные'!$B$65)^MAX(0,(12*(YEAR(AU$3)-YEAR($B$54))+MONTH(AU$3)-MONTH($B$54))))</x:f>
      </x:c>
      <x:c r="AV61" s="107" t="n">
        <x:f>IF(AV60=0,0,'Вводные'!$B$59*'Вводные'!$S$90*'Вводные'!$H$5*'Вводные'!$AG$90*(1+'Вводные'!$B$64)^MAX(0,MIN((12*(YEAR(AV$3)-YEAR($B$53))+MONTH(AV$3)-MONTH($B$53)),(12*(YEAR($B$54)-YEAR($B$53))+MONTH($B$54)-MONTH($B$53))))*(1+'Вводные'!$B$65)^MAX(0,(12*(YEAR(AV$3)-YEAR($B$54))+MONTH(AV$3)-MONTH($B$54))))</x:f>
      </x:c>
      <x:c r="AW61" s="107" t="n">
        <x:f>IF(AW60=0,0,'Вводные'!$B$59*'Вводные'!$S$90*'Вводные'!$H$5*'Вводные'!$AG$90*(1+'Вводные'!$B$64)^MAX(0,MIN((12*(YEAR(AW$3)-YEAR($B$53))+MONTH(AW$3)-MONTH($B$53)),(12*(YEAR($B$54)-YEAR($B$53))+MONTH($B$54)-MONTH($B$53))))*(1+'Вводные'!$B$65)^MAX(0,(12*(YEAR(AW$3)-YEAR($B$54))+MONTH(AW$3)-MONTH($B$54))))</x:f>
      </x:c>
      <x:c r="AX61" s="107" t="n">
        <x:f>IF(AX60=0,0,'Вводные'!$B$59*'Вводные'!$S$90*'Вводные'!$H$5*'Вводные'!$AG$90*(1+'Вводные'!$B$64)^MAX(0,MIN((12*(YEAR(AX$3)-YEAR($B$53))+MONTH(AX$3)-MONTH($B$53)),(12*(YEAR($B$54)-YEAR($B$53))+MONTH($B$54)-MONTH($B$53))))*(1+'Вводные'!$B$65)^MAX(0,(12*(YEAR(AX$3)-YEAR($B$54))+MONTH(AX$3)-MONTH($B$54))))</x:f>
      </x:c>
      <x:c r="AY61" s="107" t="n">
        <x:f>IF(AY60=0,0,'Вводные'!$B$59*'Вводные'!$S$90*'Вводные'!$H$5*'Вводные'!$AG$90*(1+'Вводные'!$B$64)^MAX(0,MIN((12*(YEAR(AY$3)-YEAR($B$53))+MONTH(AY$3)-MONTH($B$53)),(12*(YEAR($B$54)-YEAR($B$53))+MONTH($B$54)-MONTH($B$53))))*(1+'Вводные'!$B$65)^MAX(0,(12*(YEAR(AY$3)-YEAR($B$54))+MONTH(AY$3)-MONTH($B$54))))</x:f>
      </x:c>
      <x:c r="AZ61" s="107" t="n">
        <x:f>IF(AZ60=0,0,'Вводные'!$B$59*'Вводные'!$S$90*'Вводные'!$H$5*'Вводные'!$AG$90*(1+'Вводные'!$B$64)^MAX(0,MIN((12*(YEAR(AZ$3)-YEAR($B$53))+MONTH(AZ$3)-MONTH($B$53)),(12*(YEAR($B$54)-YEAR($B$53))+MONTH($B$54)-MONTH($B$53))))*(1+'Вводные'!$B$65)^MAX(0,(12*(YEAR(AZ$3)-YEAR($B$54))+MONTH(AZ$3)-MONTH($B$54))))</x:f>
      </x:c>
      <x:c r="BA61" s="107" t="n">
        <x:f>IF(BA60=0,0,'Вводные'!$B$59*'Вводные'!$S$90*'Вводные'!$H$5*'Вводные'!$AG$90*(1+'Вводные'!$B$64)^MAX(0,MIN((12*(YEAR(BA$3)-YEAR($B$53))+MONTH(BA$3)-MONTH($B$53)),(12*(YEAR($B$54)-YEAR($B$53))+MONTH($B$54)-MONTH($B$53))))*(1+'Вводные'!$B$65)^MAX(0,(12*(YEAR(BA$3)-YEAR($B$54))+MONTH(BA$3)-MONTH($B$54))))</x:f>
      </x:c>
      <x:c r="BB61" s="107" t="n">
        <x:f>IF(BB60=0,0,'Вводные'!$B$59*'Вводные'!$S$90*'Вводные'!$H$5*'Вводные'!$AG$90*(1+'Вводные'!$B$64)^MAX(0,MIN((12*(YEAR(BB$3)-YEAR($B$53))+MONTH(BB$3)-MONTH($B$53)),(12*(YEAR($B$54)-YEAR($B$53))+MONTH($B$54)-MONTH($B$53))))*(1+'Вводные'!$B$65)^MAX(0,(12*(YEAR(BB$3)-YEAR($B$54))+MONTH(BB$3)-MONTH($B$54))))</x:f>
      </x:c>
      <x:c r="BC61" s="107" t="n">
        <x:f>IF(BC60=0,0,'Вводные'!$B$59*'Вводные'!$S$90*'Вводные'!$H$5*'Вводные'!$AG$90*(1+'Вводные'!$B$64)^MAX(0,MIN((12*(YEAR(BC$3)-YEAR($B$53))+MONTH(BC$3)-MONTH($B$53)),(12*(YEAR($B$54)-YEAR($B$53))+MONTH($B$54)-MONTH($B$53))))*(1+'Вводные'!$B$65)^MAX(0,(12*(YEAR(BC$3)-YEAR($B$54))+MONTH(BC$3)-MONTH($B$54))))</x:f>
      </x:c>
      <x:c r="BD61" s="107" t="n">
        <x:f>IF(BD60=0,0,'Вводные'!$B$59*'Вводные'!$S$90*'Вводные'!$H$5*'Вводные'!$AG$90*(1+'Вводные'!$B$64)^MAX(0,MIN((12*(YEAR(BD$3)-YEAR($B$53))+MONTH(BD$3)-MONTH($B$53)),(12*(YEAR($B$54)-YEAR($B$53))+MONTH($B$54)-MONTH($B$53))))*(1+'Вводные'!$B$65)^MAX(0,(12*(YEAR(BD$3)-YEAR($B$54))+MONTH(BD$3)-MONTH($B$54))))</x:f>
      </x:c>
      <x:c r="BE61" s="107" t="n">
        <x:f>IF(BE60=0,0,'Вводные'!$B$59*'Вводные'!$S$90*'Вводные'!$H$5*'Вводные'!$AG$90*(1+'Вводные'!$B$64)^MAX(0,MIN((12*(YEAR(BE$3)-YEAR($B$53))+MONTH(BE$3)-MONTH($B$53)),(12*(YEAR($B$54)-YEAR($B$53))+MONTH($B$54)-MONTH($B$53))))*(1+'Вводные'!$B$65)^MAX(0,(12*(YEAR(BE$3)-YEAR($B$54))+MONTH(BE$3)-MONTH($B$54))))</x:f>
      </x:c>
      <x:c r="BF61" s="107" t="n">
        <x:f>IF(BF60=0,0,'Вводные'!$B$59*'Вводные'!$S$90*'Вводные'!$H$5*'Вводные'!$AG$90*(1+'Вводные'!$B$64)^MAX(0,MIN((12*(YEAR(BF$3)-YEAR($B$53))+MONTH(BF$3)-MONTH($B$53)),(12*(YEAR($B$54)-YEAR($B$53))+MONTH($B$54)-MONTH($B$53))))*(1+'Вводные'!$B$65)^MAX(0,(12*(YEAR(BF$3)-YEAR($B$54))+MONTH(BF$3)-MONTH($B$54))))</x:f>
      </x:c>
      <x:c r="BG61" s="107" t="n">
        <x:f>IF(BG60=0,0,'Вводные'!$B$59*'Вводные'!$S$90*'Вводные'!$H$5*'Вводные'!$AG$90*(1+'Вводные'!$B$64)^MAX(0,MIN((12*(YEAR(BG$3)-YEAR($B$53))+MONTH(BG$3)-MONTH($B$53)),(12*(YEAR($B$54)-YEAR($B$53))+MONTH($B$54)-MONTH($B$53))))*(1+'Вводные'!$B$65)^MAX(0,(12*(YEAR(BG$3)-YEAR($B$54))+MONTH(BG$3)-MONTH($B$54))))</x:f>
      </x:c>
      <x:c r="BH61" s="107" t="n">
        <x:f>IF(BH60=0,0,'Вводные'!$B$59*'Вводные'!$S$90*'Вводные'!$H$5*'Вводные'!$AG$90*(1+'Вводные'!$B$64)^MAX(0,MIN((12*(YEAR(BH$3)-YEAR($B$53))+MONTH(BH$3)-MONTH($B$53)),(12*(YEAR($B$54)-YEAR($B$53))+MONTH($B$54)-MONTH($B$53))))*(1+'Вводные'!$B$65)^MAX(0,(12*(YEAR(BH$3)-YEAR($B$54))+MONTH(BH$3)-MONTH($B$54))))</x:f>
      </x:c>
      <x:c r="BI61" s="107" t="n">
        <x:f>IF(BI60=0,0,'Вводные'!$B$59*'Вводные'!$S$90*'Вводные'!$H$5*'Вводные'!$AG$90*(1+'Вводные'!$B$64)^MAX(0,MIN((12*(YEAR(BI$3)-YEAR($B$53))+MONTH(BI$3)-MONTH($B$53)),(12*(YEAR($B$54)-YEAR($B$53))+MONTH($B$54)-MONTH($B$53))))*(1+'Вводные'!$B$65)^MAX(0,(12*(YEAR(BI$3)-YEAR($B$54))+MONTH(BI$3)-MONTH($B$54))))</x:f>
      </x:c>
      <x:c r="BJ61" s="107" t="n">
        <x:f>IF(BJ60=0,0,'Вводные'!$B$59*'Вводные'!$S$90*'Вводные'!$H$5*'Вводные'!$AG$90*(1+'Вводные'!$B$64)^MAX(0,MIN((12*(YEAR(BJ$3)-YEAR($B$53))+MONTH(BJ$3)-MONTH($B$53)),(12*(YEAR($B$54)-YEAR($B$53))+MONTH($B$54)-MONTH($B$53))))*(1+'Вводные'!$B$65)^MAX(0,(12*(YEAR(BJ$3)-YEAR($B$54))+MONTH(BJ$3)-MONTH($B$54))))</x:f>
      </x:c>
      <x:c r="BK61" s="107" t="n">
        <x:f>IF(BK60=0,0,'Вводные'!$B$59*'Вводные'!$S$90*'Вводные'!$H$5*'Вводные'!$AG$90*(1+'Вводные'!$B$64)^MAX(0,MIN((12*(YEAR(BK$3)-YEAR($B$53))+MONTH(BK$3)-MONTH($B$53)),(12*(YEAR($B$54)-YEAR($B$53))+MONTH($B$54)-MONTH($B$53))))*(1+'Вводные'!$B$65)^MAX(0,(12*(YEAR(BK$3)-YEAR($B$54))+MONTH(BK$3)-MONTH($B$54))))</x:f>
      </x:c>
      <x:c r="BL61" s="107" t="n">
        <x:f>IF(BL60=0,0,'Вводные'!$B$59*'Вводные'!$S$90*'Вводные'!$H$5*'Вводные'!$AG$90*(1+'Вводные'!$B$64)^MAX(0,MIN((12*(YEAR(BL$3)-YEAR($B$53))+MONTH(BL$3)-MONTH($B$53)),(12*(YEAR($B$54)-YEAR($B$53))+MONTH($B$54)-MONTH($B$53))))*(1+'Вводные'!$B$65)^MAX(0,(12*(YEAR(BL$3)-YEAR($B$54))+MONTH(BL$3)-MONTH($B$54))))</x:f>
      </x:c>
      <x:c r="BM61" s="107" t="n">
        <x:f>IF(BM60=0,0,'Вводные'!$B$59*'Вводные'!$S$90*'Вводные'!$H$5*'Вводные'!$AG$90*(1+'Вводные'!$B$64)^MAX(0,MIN((12*(YEAR(BM$3)-YEAR($B$53))+MONTH(BM$3)-MONTH($B$53)),(12*(YEAR($B$54)-YEAR($B$53))+MONTH($B$54)-MONTH($B$53))))*(1+'Вводные'!$B$65)^MAX(0,(12*(YEAR(BM$3)-YEAR($B$54))+MONTH(BM$3)-MONTH($B$54))))</x:f>
      </x:c>
      <x:c r="BN61" s="107" t="n">
        <x:f>IF(BN60=0,0,'Вводные'!$B$59*'Вводные'!$S$90*'Вводные'!$H$5*'Вводные'!$AG$90*(1+'Вводные'!$B$64)^MAX(0,MIN((12*(YEAR(BN$3)-YEAR($B$53))+MONTH(BN$3)-MONTH($B$53)),(12*(YEAR($B$54)-YEAR($B$53))+MONTH($B$54)-MONTH($B$53))))*(1+'Вводные'!$B$65)^MAX(0,(12*(YEAR(BN$3)-YEAR($B$54))+MONTH(BN$3)-MONTH($B$54))))</x:f>
      </x:c>
      <x:c r="BO61" s="107" t="n">
        <x:f>IF(BO60=0,0,'Вводные'!$B$59*'Вводные'!$S$90*'Вводные'!$H$5*'Вводные'!$AG$90*(1+'Вводные'!$B$64)^MAX(0,MIN((12*(YEAR(BO$3)-YEAR($B$53))+MONTH(BO$3)-MONTH($B$53)),(12*(YEAR($B$54)-YEAR($B$53))+MONTH($B$54)-MONTH($B$53))))*(1+'Вводные'!$B$65)^MAX(0,(12*(YEAR(BO$3)-YEAR($B$54))+MONTH(BO$3)-MONTH($B$54))))</x:f>
      </x:c>
      <x:c r="BP61" s="107" t="n">
        <x:f>IF(BP60=0,0,'Вводные'!$B$59*'Вводные'!$S$90*'Вводные'!$H$5*'Вводные'!$AG$90*(1+'Вводные'!$B$64)^MAX(0,MIN((12*(YEAR(BP$3)-YEAR($B$53))+MONTH(BP$3)-MONTH($B$53)),(12*(YEAR($B$54)-YEAR($B$53))+MONTH($B$54)-MONTH($B$53))))*(1+'Вводные'!$B$65)^MAX(0,(12*(YEAR(BP$3)-YEAR($B$54))+MONTH(BP$3)-MONTH($B$54))))</x:f>
      </x:c>
      <x:c r="BQ61" s="107" t="n">
        <x:f>IF(BQ60=0,0,'Вводные'!$B$59*'Вводные'!$S$90*'Вводные'!$H$5*'Вводные'!$AG$90*(1+'Вводные'!$B$64)^MAX(0,MIN((12*(YEAR(BQ$3)-YEAR($B$53))+MONTH(BQ$3)-MONTH($B$53)),(12*(YEAR($B$54)-YEAR($B$53))+MONTH($B$54)-MONTH($B$53))))*(1+'Вводные'!$B$65)^MAX(0,(12*(YEAR(BQ$3)-YEAR($B$54))+MONTH(BQ$3)-MONTH($B$54))))</x:f>
      </x:c>
      <x:c r="BR61" s="107" t="n">
        <x:f>IF(BR60=0,0,'Вводные'!$B$59*'Вводные'!$S$90*'Вводные'!$H$5*'Вводные'!$AG$90*(1+'Вводные'!$B$64)^MAX(0,MIN((12*(YEAR(BR$3)-YEAR($B$53))+MONTH(BR$3)-MONTH($B$53)),(12*(YEAR($B$54)-YEAR($B$53))+MONTH($B$54)-MONTH($B$53))))*(1+'Вводные'!$B$65)^MAX(0,(12*(YEAR(BR$3)-YEAR($B$54))+MONTH(BR$3)-MONTH($B$54))))</x:f>
      </x:c>
      <x:c r="BS61" s="107" t="n">
        <x:f>IF(BS60=0,0,'Вводные'!$B$59*'Вводные'!$S$90*'Вводные'!$H$5*'Вводные'!$AG$90*(1+'Вводные'!$B$64)^MAX(0,MIN((12*(YEAR(BS$3)-YEAR($B$53))+MONTH(BS$3)-MONTH($B$53)),(12*(YEAR($B$54)-YEAR($B$53))+MONTH($B$54)-MONTH($B$53))))*(1+'Вводные'!$B$65)^MAX(0,(12*(YEAR(BS$3)-YEAR($B$54))+MONTH(BS$3)-MONTH($B$54))))</x:f>
      </x:c>
      <x:c r="BT61" s="107" t="n">
        <x:f>IF(BT60=0,0,'Вводные'!$B$59*'Вводные'!$S$90*'Вводные'!$H$5*'Вводные'!$AG$90*(1+'Вводные'!$B$64)^MAX(0,MIN((12*(YEAR(BT$3)-YEAR($B$53))+MONTH(BT$3)-MONTH($B$53)),(12*(YEAR($B$54)-YEAR($B$53))+MONTH($B$54)-MONTH($B$53))))*(1+'Вводные'!$B$65)^MAX(0,(12*(YEAR(BT$3)-YEAR($B$54))+MONTH(BT$3)-MONTH($B$54))))</x:f>
      </x:c>
      <x:c r="BU61" s="107" t="n">
        <x:f>IF(BU60=0,0,'Вводные'!$B$59*'Вводные'!$S$90*'Вводные'!$H$5*'Вводные'!$AG$90*(1+'Вводные'!$B$64)^MAX(0,MIN((12*(YEAR(BU$3)-YEAR($B$53))+MONTH(BU$3)-MONTH($B$53)),(12*(YEAR($B$54)-YEAR($B$53))+MONTH($B$54)-MONTH($B$53))))*(1+'Вводные'!$B$65)^MAX(0,(12*(YEAR(BU$3)-YEAR($B$54))+MONTH(BU$3)-MONTH($B$54))))</x:f>
      </x:c>
      <x:c r="BV61" s="107" t="n">
        <x:f>IF(BV60=0,0,'Вводные'!$B$59*'Вводные'!$S$90*'Вводные'!$H$5*'Вводные'!$AG$90*(1+'Вводные'!$B$64)^MAX(0,MIN((12*(YEAR(BV$3)-YEAR($B$53))+MONTH(BV$3)-MONTH($B$53)),(12*(YEAR($B$54)-YEAR($B$53))+MONTH($B$54)-MONTH($B$53))))*(1+'Вводные'!$B$65)^MAX(0,(12*(YEAR(BV$3)-YEAR($B$54))+MONTH(BV$3)-MONTH($B$54))))</x:f>
      </x:c>
      <x:c r="BW61" s="107" t="n">
        <x:f>IF(BW60=0,0,'Вводные'!$B$59*'Вводные'!$S$90*'Вводные'!$H$5*'Вводные'!$AG$90*(1+'Вводные'!$B$64)^MAX(0,MIN((12*(YEAR(BW$3)-YEAR($B$53))+MONTH(BW$3)-MONTH($B$53)),(12*(YEAR($B$54)-YEAR($B$53))+MONTH($B$54)-MONTH($B$53))))*(1+'Вводные'!$B$65)^MAX(0,(12*(YEAR(BW$3)-YEAR($B$54))+MONTH(BW$3)-MONTH($B$54))))</x:f>
      </x:c>
      <x:c r="BX61" s="107" t="n">
        <x:f>IF(BX60=0,0,'Вводные'!$B$59*'Вводные'!$S$90*'Вводные'!$H$5*'Вводные'!$AG$90*(1+'Вводные'!$B$64)^MAX(0,MIN((12*(YEAR(BX$3)-YEAR($B$53))+MONTH(BX$3)-MONTH($B$53)),(12*(YEAR($B$54)-YEAR($B$53))+MONTH($B$54)-MONTH($B$53))))*(1+'Вводные'!$B$65)^MAX(0,(12*(YEAR(BX$3)-YEAR($B$54))+MONTH(BX$3)-MONTH($B$54))))</x:f>
      </x:c>
      <x:c r="BY61" s="107" t="n">
        <x:f>IF(BY60=0,0,'Вводные'!$B$59*'Вводные'!$S$90*'Вводные'!$H$5*'Вводные'!$AG$90*(1+'Вводные'!$B$64)^MAX(0,MIN((12*(YEAR(BY$3)-YEAR($B$53))+MONTH(BY$3)-MONTH($B$53)),(12*(YEAR($B$54)-YEAR($B$53))+MONTH($B$54)-MONTH($B$53))))*(1+'Вводные'!$B$65)^MAX(0,(12*(YEAR(BY$3)-YEAR($B$54))+MONTH(BY$3)-MONTH($B$54))))</x:f>
      </x:c>
      <x:c r="BZ61" s="107" t="n">
        <x:f>IF(BZ60=0,0,'Вводные'!$B$59*'Вводные'!$S$90*'Вводные'!$H$5*'Вводные'!$AG$90*(1+'Вводные'!$B$64)^MAX(0,MIN((12*(YEAR(BZ$3)-YEAR($B$53))+MONTH(BZ$3)-MONTH($B$53)),(12*(YEAR($B$54)-YEAR($B$53))+MONTH($B$54)-MONTH($B$53))))*(1+'Вводные'!$B$65)^MAX(0,(12*(YEAR(BZ$3)-YEAR($B$54))+MONTH(BZ$3)-MONTH($B$54))))</x:f>
      </x:c>
      <x:c r="CA61" s="107" t="n">
        <x:f>IF(CA60=0,0,'Вводные'!$B$59*'Вводные'!$S$90*'Вводные'!$H$5*'Вводные'!$AG$90*(1+'Вводные'!$B$64)^MAX(0,MIN((12*(YEAR(CA$3)-YEAR($B$53))+MONTH(CA$3)-MONTH($B$53)),(12*(YEAR($B$54)-YEAR($B$53))+MONTH($B$54)-MONTH($B$53))))*(1+'Вводные'!$B$65)^MAX(0,(12*(YEAR(CA$3)-YEAR($B$54))+MONTH(CA$3)-MONTH($B$54))))</x:f>
      </x:c>
      <x:c r="CB61" s="107" t="n">
        <x:f>IF(CB60=0,0,'Вводные'!$B$59*'Вводные'!$S$90*'Вводные'!$H$5*'Вводные'!$AG$90*(1+'Вводные'!$B$64)^MAX(0,MIN((12*(YEAR(CB$3)-YEAR($B$53))+MONTH(CB$3)-MONTH($B$53)),(12*(YEAR($B$54)-YEAR($B$53))+MONTH($B$54)-MONTH($B$53))))*(1+'Вводные'!$B$65)^MAX(0,(12*(YEAR(CB$3)-YEAR($B$54))+MONTH(CB$3)-MONTH($B$54))))</x:f>
      </x:c>
      <x:c r="CC61" s="107" t="n">
        <x:f>IF(CC60=0,0,'Вводные'!$B$59*'Вводные'!$S$90*'Вводные'!$H$5*'Вводные'!$AG$90*(1+'Вводные'!$B$64)^MAX(0,MIN((12*(YEAR(CC$3)-YEAR($B$53))+MONTH(CC$3)-MONTH($B$53)),(12*(YEAR($B$54)-YEAR($B$53))+MONTH($B$54)-MONTH($B$53))))*(1+'Вводные'!$B$65)^MAX(0,(12*(YEAR(CC$3)-YEAR($B$54))+MONTH(CC$3)-MONTH($B$54))))</x:f>
      </x:c>
      <x:c r="CD61" s="107" t="n">
        <x:f>IF(CD60=0,0,'Вводные'!$B$59*'Вводные'!$S$90*'Вводные'!$H$5*'Вводные'!$AG$90*(1+'Вводные'!$B$64)^MAX(0,MIN((12*(YEAR(CD$3)-YEAR($B$53))+MONTH(CD$3)-MONTH($B$53)),(12*(YEAR($B$54)-YEAR($B$53))+MONTH($B$54)-MONTH($B$53))))*(1+'Вводные'!$B$65)^MAX(0,(12*(YEAR(CD$3)-YEAR($B$54))+MONTH(CD$3)-MONTH($B$54))))</x:f>
      </x:c>
      <x:c r="CE61" s="107" t="n">
        <x:f>IF(CE60=0,0,'Вводные'!$B$59*'Вводные'!$S$90*'Вводные'!$H$5*'Вводные'!$AG$90*(1+'Вводные'!$B$64)^MAX(0,MIN((12*(YEAR(CE$3)-YEAR($B$53))+MONTH(CE$3)-MONTH($B$53)),(12*(YEAR($B$54)-YEAR($B$53))+MONTH($B$54)-MONTH($B$53))))*(1+'Вводные'!$B$65)^MAX(0,(12*(YEAR(CE$3)-YEAR($B$54))+MONTH(CE$3)-MONTH($B$54))))</x:f>
      </x:c>
      <x:c r="CF61" s="107" t="n">
        <x:f>IF(CF60=0,0,'Вводные'!$B$59*'Вводные'!$S$90*'Вводные'!$H$5*'Вводные'!$AG$90*(1+'Вводные'!$B$64)^MAX(0,MIN((12*(YEAR(CF$3)-YEAR($B$53))+MONTH(CF$3)-MONTH($B$53)),(12*(YEAR($B$54)-YEAR($B$53))+MONTH($B$54)-MONTH($B$53))))*(1+'Вводные'!$B$65)^MAX(0,(12*(YEAR(CF$3)-YEAR($B$54))+MONTH(CF$3)-MONTH($B$54))))</x:f>
      </x:c>
      <x:c r="CG61" s="107" t="n">
        <x:f>IF(CG60=0,0,'Вводные'!$B$59*'Вводные'!$S$90*'Вводные'!$H$5*'Вводные'!$AG$90*(1+'Вводные'!$B$64)^MAX(0,MIN((12*(YEAR(CG$3)-YEAR($B$53))+MONTH(CG$3)-MONTH($B$53)),(12*(YEAR($B$54)-YEAR($B$53))+MONTH($B$54)-MONTH($B$53))))*(1+'Вводные'!$B$65)^MAX(0,(12*(YEAR(CG$3)-YEAR($B$54))+MONTH(CG$3)-MONTH($B$54))))</x:f>
      </x:c>
      <x:c r="CH61" s="107" t="n">
        <x:f>IF(CH60=0,0,'Вводные'!$B$59*'Вводные'!$S$90*'Вводные'!$H$5*'Вводные'!$AG$90*(1+'Вводные'!$B$64)^MAX(0,MIN((12*(YEAR(CH$3)-YEAR($B$53))+MONTH(CH$3)-MONTH($B$53)),(12*(YEAR($B$54)-YEAR($B$53))+MONTH($B$54)-MONTH($B$53))))*(1+'Вводные'!$B$65)^MAX(0,(12*(YEAR(CH$3)-YEAR($B$54))+MONTH(CH$3)-MONTH($B$54))))</x:f>
      </x:c>
      <x:c r="CI61" s="107" t="n">
        <x:f>IF(CI60=0,0,'Вводные'!$B$59*'Вводные'!$S$90*'Вводные'!$H$5*'Вводные'!$AG$90*(1+'Вводные'!$B$64)^MAX(0,MIN((12*(YEAR(CI$3)-YEAR($B$53))+MONTH(CI$3)-MONTH($B$53)),(12*(YEAR($B$54)-YEAR($B$53))+MONTH($B$54)-MONTH($B$53))))*(1+'Вводные'!$B$65)^MAX(0,(12*(YEAR(CI$3)-YEAR($B$54))+MONTH(CI$3)-MONTH($B$54))))</x:f>
      </x:c>
      <x:c r="CJ61" s="107" t="n">
        <x:f>IF(CJ60=0,0,'Вводные'!$B$59*'Вводные'!$S$90*'Вводные'!$H$5*'Вводные'!$AG$90*(1+'Вводные'!$B$64)^MAX(0,MIN((12*(YEAR(CJ$3)-YEAR($B$53))+MONTH(CJ$3)-MONTH($B$53)),(12*(YEAR($B$54)-YEAR($B$53))+MONTH($B$54)-MONTH($B$53))))*(1+'Вводные'!$B$65)^MAX(0,(12*(YEAR(CJ$3)-YEAR($B$54))+MONTH(CJ$3)-MONTH($B$54))))</x:f>
      </x:c>
      <x:c r="CK61" s="107" t="n">
        <x:f>IF(CK60=0,0,'Вводные'!$B$59*'Вводные'!$S$90*'Вводные'!$H$5*'Вводные'!$AG$90*(1+'Вводные'!$B$64)^MAX(0,MIN((12*(YEAR(CK$3)-YEAR($B$53))+MONTH(CK$3)-MONTH($B$53)),(12*(YEAR($B$54)-YEAR($B$53))+MONTH($B$54)-MONTH($B$53))))*(1+'Вводные'!$B$65)^MAX(0,(12*(YEAR(CK$3)-YEAR($B$54))+MONTH(CK$3)-MONTH($B$54))))</x:f>
      </x:c>
      <x:c r="CL61" s="107" t="n">
        <x:f>IF(CL60=0,0,'Вводные'!$B$59*'Вводные'!$S$90*'Вводные'!$H$5*'Вводные'!$AG$90*(1+'Вводные'!$B$64)^MAX(0,MIN((12*(YEAR(CL$3)-YEAR($B$53))+MONTH(CL$3)-MONTH($B$53)),(12*(YEAR($B$54)-YEAR($B$53))+MONTH($B$54)-MONTH($B$53))))*(1+'Вводные'!$B$65)^MAX(0,(12*(YEAR(CL$3)-YEAR($B$54))+MONTH(CL$3)-MONTH($B$54))))</x:f>
      </x:c>
      <x:c r="CM61" s="107" t="n">
        <x:f>IF(CM60=0,0,'Вводные'!$B$59*'Вводные'!$S$90*'Вводные'!$H$5*'Вводные'!$AG$90*(1+'Вводные'!$B$64)^MAX(0,MIN((12*(YEAR(CM$3)-YEAR($B$53))+MONTH(CM$3)-MONTH($B$53)),(12*(YEAR($B$54)-YEAR($B$53))+MONTH($B$54)-MONTH($B$53))))*(1+'Вводные'!$B$65)^MAX(0,(12*(YEAR(CM$3)-YEAR($B$54))+MONTH(CM$3)-MONTH($B$54))))</x:f>
      </x:c>
      <x:c r="CN61" s="107" t="n">
        <x:f>IF(CN60=0,0,'Вводные'!$B$59*'Вводные'!$S$90*'Вводные'!$H$5*'Вводные'!$AG$90*(1+'Вводные'!$B$64)^MAX(0,MIN((12*(YEAR(CN$3)-YEAR($B$53))+MONTH(CN$3)-MONTH($B$53)),(12*(YEAR($B$54)-YEAR($B$53))+MONTH($B$54)-MONTH($B$53))))*(1+'Вводные'!$B$65)^MAX(0,(12*(YEAR(CN$3)-YEAR($B$54))+MONTH(CN$3)-MONTH($B$54))))</x:f>
      </x:c>
      <x:c r="CO61" s="107" t="n">
        <x:f>IF(CO60=0,0,'Вводные'!$B$59*'Вводные'!$S$90*'Вводные'!$H$5*'Вводные'!$AG$90*(1+'Вводные'!$B$64)^MAX(0,MIN((12*(YEAR(CO$3)-YEAR($B$53))+MONTH(CO$3)-MONTH($B$53)),(12*(YEAR($B$54)-YEAR($B$53))+MONTH($B$54)-MONTH($B$53))))*(1+'Вводные'!$B$65)^MAX(0,(12*(YEAR(CO$3)-YEAR($B$54))+MONTH(CO$3)-MONTH($B$54))))</x:f>
      </x:c>
      <x:c r="CP61" s="107" t="n">
        <x:f>IF(CP60=0,0,'Вводные'!$B$59*'Вводные'!$S$90*'Вводные'!$H$5*'Вводные'!$AG$90*(1+'Вводные'!$B$64)^MAX(0,MIN((12*(YEAR(CP$3)-YEAR($B$53))+MONTH(CP$3)-MONTH($B$53)),(12*(YEAR($B$54)-YEAR($B$53))+MONTH($B$54)-MONTH($B$53))))*(1+'Вводные'!$B$65)^MAX(0,(12*(YEAR(CP$3)-YEAR($B$54))+MONTH(CP$3)-MONTH($B$54))))</x:f>
      </x:c>
      <x:c r="CQ61" s="107" t="n">
        <x:f>IF(CQ60=0,0,'Вводные'!$B$59*'Вводные'!$S$90*'Вводные'!$H$5*'Вводные'!$AG$90*(1+'Вводные'!$B$64)^MAX(0,MIN((12*(YEAR(CQ$3)-YEAR($B$53))+MONTH(CQ$3)-MONTH($B$53)),(12*(YEAR($B$54)-YEAR($B$53))+MONTH($B$54)-MONTH($B$53))))*(1+'Вводные'!$B$65)^MAX(0,(12*(YEAR(CQ$3)-YEAR($B$54))+MONTH(CQ$3)-MONTH($B$54))))</x:f>
      </x:c>
      <x:c r="CR61" s="107" t="n">
        <x:f>IF(CR60=0,0,'Вводные'!$B$59*'Вводные'!$S$90*'Вводные'!$H$5*'Вводные'!$AG$90*(1+'Вводные'!$B$64)^MAX(0,MIN((12*(YEAR(CR$3)-YEAR($B$53))+MONTH(CR$3)-MONTH($B$53)),(12*(YEAR($B$54)-YEAR($B$53))+MONTH($B$54)-MONTH($B$53))))*(1+'Вводные'!$B$65)^MAX(0,(12*(YEAR(CR$3)-YEAR($B$54))+MONTH(CR$3)-MONTH($B$54))))</x:f>
      </x:c>
      <x:c r="CS61" s="107" t="n">
        <x:f>IF(CS60=0,0,'Вводные'!$B$59*'Вводные'!$S$90*'Вводные'!$H$5*'Вводные'!$AG$90*(1+'Вводные'!$B$64)^MAX(0,MIN((12*(YEAR(CS$3)-YEAR($B$53))+MONTH(CS$3)-MONTH($B$53)),(12*(YEAR($B$54)-YEAR($B$53))+MONTH($B$54)-MONTH($B$53))))*(1+'Вводные'!$B$65)^MAX(0,(12*(YEAR(CS$3)-YEAR($B$54))+MONTH(CS$3)-MONTH($B$54))))</x:f>
      </x:c>
      <x:c r="CT61" s="107" t="n">
        <x:f>IF(CT60=0,0,'Вводные'!$B$59*'Вводные'!$S$90*'Вводные'!$H$5*'Вводные'!$AG$90*(1+'Вводные'!$B$64)^MAX(0,MIN((12*(YEAR(CT$3)-YEAR($B$53))+MONTH(CT$3)-MONTH($B$53)),(12*(YEAR($B$54)-YEAR($B$53))+MONTH($B$54)-MONTH($B$53))))*(1+'Вводные'!$B$65)^MAX(0,(12*(YEAR(CT$3)-YEAR($B$54))+MONTH(CT$3)-MONTH($B$54))))</x:f>
      </x:c>
      <x:c r="CU61" s="107" t="n">
        <x:f>IF(CU60=0,0,'Вводные'!$B$59*'Вводные'!$S$90*'Вводные'!$H$5*'Вводные'!$AG$90*(1+'Вводные'!$B$64)^MAX(0,MIN((12*(YEAR(CU$3)-YEAR($B$53))+MONTH(CU$3)-MONTH($B$53)),(12*(YEAR($B$54)-YEAR($B$53))+MONTH($B$54)-MONTH($B$53))))*(1+'Вводные'!$B$65)^MAX(0,(12*(YEAR(CU$3)-YEAR($B$54))+MONTH(CU$3)-MONTH($B$54))))</x:f>
      </x:c>
      <x:c r="CV61" s="107" t="n">
        <x:f>IF(CV60=0,0,'Вводные'!$B$59*'Вводные'!$S$90*'Вводные'!$H$5*'Вводные'!$AG$90*(1+'Вводные'!$B$64)^MAX(0,MIN((12*(YEAR(CV$3)-YEAR($B$53))+MONTH(CV$3)-MONTH($B$53)),(12*(YEAR($B$54)-YEAR($B$53))+MONTH($B$54)-MONTH($B$53))))*(1+'Вводные'!$B$65)^MAX(0,(12*(YEAR(CV$3)-YEAR($B$54))+MONTH(CV$3)-MONTH($B$54))))</x:f>
      </x:c>
      <x:c r="CW61" s="107" t="n">
        <x:f>IF(CW60=0,0,'Вводные'!$B$59*'Вводные'!$S$90*'Вводные'!$H$5*'Вводные'!$AG$90*(1+'Вводные'!$B$64)^MAX(0,MIN((12*(YEAR(CW$3)-YEAR($B$53))+MONTH(CW$3)-MONTH($B$53)),(12*(YEAR($B$54)-YEAR($B$53))+MONTH($B$54)-MONTH($B$53))))*(1+'Вводные'!$B$65)^MAX(0,(12*(YEAR(CW$3)-YEAR($B$54))+MONTH(CW$3)-MONTH($B$54))))</x:f>
      </x:c>
      <x:c r="CX61" s="107" t="n">
        <x:f>IF(CX60=0,0,'Вводные'!$B$59*'Вводные'!$S$90*'Вводные'!$H$5*'Вводные'!$AG$90*(1+'Вводные'!$B$64)^MAX(0,MIN((12*(YEAR(CX$3)-YEAR($B$53))+MONTH(CX$3)-MONTH($B$53)),(12*(YEAR($B$54)-YEAR($B$53))+MONTH($B$54)-MONTH($B$53))))*(1+'Вводные'!$B$65)^MAX(0,(12*(YEAR(CX$3)-YEAR($B$54))+MONTH(CX$3)-MONTH($B$54))))</x:f>
      </x:c>
      <x:c r="CY61" s="107" t="n">
        <x:f>IF(CY60=0,0,'Вводные'!$B$59*'Вводные'!$S$90*'Вводные'!$H$5*'Вводные'!$AG$90*(1+'Вводные'!$B$64)^MAX(0,MIN((12*(YEAR(CY$3)-YEAR($B$53))+MONTH(CY$3)-MONTH($B$53)),(12*(YEAR($B$54)-YEAR($B$53))+MONTH($B$54)-MONTH($B$53))))*(1+'Вводные'!$B$65)^MAX(0,(12*(YEAR(CY$3)-YEAR($B$54))+MONTH(CY$3)-MONTH($B$54))))</x:f>
      </x:c>
      <x:c r="CZ61" s="107" t="n">
        <x:f>IF(CZ60=0,0,'Вводные'!$B$59*'Вводные'!$S$90*'Вводные'!$H$5*'Вводные'!$AG$90*(1+'Вводные'!$B$64)^MAX(0,MIN((12*(YEAR(CZ$3)-YEAR($B$53))+MONTH(CZ$3)-MONTH($B$53)),(12*(YEAR($B$54)-YEAR($B$53))+MONTH($B$54)-MONTH($B$53))))*(1+'Вводные'!$B$65)^MAX(0,(12*(YEAR(CZ$3)-YEAR($B$54))+MONTH(CZ$3)-MONTH($B$54))))</x:f>
      </x:c>
      <x:c r="DA61" s="107" t="n">
        <x:f>IF(DA60=0,0,'Вводные'!$B$59*'Вводные'!$S$90*'Вводные'!$H$5*'Вводные'!$AG$90*(1+'Вводные'!$B$64)^MAX(0,MIN((12*(YEAR(DA$3)-YEAR($B$53))+MONTH(DA$3)-MONTH($B$53)),(12*(YEAR($B$54)-YEAR($B$53))+MONTH($B$54)-MONTH($B$53))))*(1+'Вводные'!$B$65)^MAX(0,(12*(YEAR(DA$3)-YEAR($B$54))+MONTH(DA$3)-MONTH($B$54))))</x:f>
      </x:c>
      <x:c r="DB61" s="107" t="n">
        <x:f>IF(DB60=0,0,'Вводные'!$B$59*'Вводные'!$S$90*'Вводные'!$H$5*'Вводные'!$AG$90*(1+'Вводные'!$B$64)^MAX(0,MIN((12*(YEAR(DB$3)-YEAR($B$53))+MONTH(DB$3)-MONTH($B$53)),(12*(YEAR($B$54)-YEAR($B$53))+MONTH($B$54)-MONTH($B$53))))*(1+'Вводные'!$B$65)^MAX(0,(12*(YEAR(DB$3)-YEAR($B$54))+MONTH(DB$3)-MONTH($B$54))))</x:f>
      </x:c>
      <x:c r="DC61" s="107" t="n">
        <x:f>IF(DC60=0,0,'Вводные'!$B$59*'Вводные'!$S$90*'Вводные'!$H$5*'Вводные'!$AG$90*(1+'Вводные'!$B$64)^MAX(0,MIN((12*(YEAR(DC$3)-YEAR($B$53))+MONTH(DC$3)-MONTH($B$53)),(12*(YEAR($B$54)-YEAR($B$53))+MONTH($B$54)-MONTH($B$53))))*(1+'Вводные'!$B$65)^MAX(0,(12*(YEAR(DC$3)-YEAR($B$54))+MONTH(DC$3)-MONTH($B$54))))</x:f>
      </x:c>
      <x:c r="DD61" s="107" t="n">
        <x:f>IF(DD60=0,0,'Вводные'!$B$59*'Вводные'!$S$90*'Вводные'!$H$5*'Вводные'!$AG$90*(1+'Вводные'!$B$64)^MAX(0,MIN((12*(YEAR(DD$3)-YEAR($B$53))+MONTH(DD$3)-MONTH($B$53)),(12*(YEAR($B$54)-YEAR($B$53))+MONTH($B$54)-MONTH($B$53))))*(1+'Вводные'!$B$65)^MAX(0,(12*(YEAR(DD$3)-YEAR($B$54))+MONTH(DD$3)-MONTH($B$54))))</x:f>
      </x:c>
      <x:c r="DE61" s="107" t="n">
        <x:f>IF(DE60=0,0,'Вводные'!$B$59*'Вводные'!$S$90*'Вводные'!$H$5*'Вводные'!$AG$90*(1+'Вводные'!$B$64)^MAX(0,MIN((12*(YEAR(DE$3)-YEAR($B$53))+MONTH(DE$3)-MONTH($B$53)),(12*(YEAR($B$54)-YEAR($B$53))+MONTH($B$54)-MONTH($B$53))))*(1+'Вводные'!$B$65)^MAX(0,(12*(YEAR(DE$3)-YEAR($B$54))+MONTH(DE$3)-MONTH($B$54))))</x:f>
      </x:c>
      <x:c r="DF61" s="107" t="n">
        <x:f>IF(DF60=0,0,'Вводные'!$B$59*'Вводные'!$S$90*'Вводные'!$H$5*'Вводные'!$AG$90*(1+'Вводные'!$B$64)^MAX(0,MIN((12*(YEAR(DF$3)-YEAR($B$53))+MONTH(DF$3)-MONTH($B$53)),(12*(YEAR($B$54)-YEAR($B$53))+MONTH($B$54)-MONTH($B$53))))*(1+'Вводные'!$B$65)^MAX(0,(12*(YEAR(DF$3)-YEAR($B$54))+MONTH(DF$3)-MONTH($B$54))))</x:f>
      </x:c>
      <x:c r="DG61" s="107" t="n">
        <x:f>IF(DG60=0,0,'Вводные'!$B$59*'Вводные'!$S$90*'Вводные'!$H$5*'Вводные'!$AG$90*(1+'Вводные'!$B$64)^MAX(0,MIN((12*(YEAR(DG$3)-YEAR($B$53))+MONTH(DG$3)-MONTH($B$53)),(12*(YEAR($B$54)-YEAR($B$53))+MONTH($B$54)-MONTH($B$53))))*(1+'Вводные'!$B$65)^MAX(0,(12*(YEAR(DG$3)-YEAR($B$54))+MONTH(DG$3)-MONTH($B$54))))</x:f>
      </x:c>
      <x:c r="DH61" s="107" t="n">
        <x:f>IF(DH60=0,0,'Вводные'!$B$59*'Вводные'!$S$90*'Вводные'!$H$5*'Вводные'!$AG$90*(1+'Вводные'!$B$64)^MAX(0,MIN((12*(YEAR(DH$3)-YEAR($B$53))+MONTH(DH$3)-MONTH($B$53)),(12*(YEAR($B$54)-YEAR($B$53))+MONTH($B$54)-MONTH($B$53))))*(1+'Вводные'!$B$65)^MAX(0,(12*(YEAR(DH$3)-YEAR($B$54))+MONTH(DH$3)-MONTH($B$54))))</x:f>
      </x:c>
      <x:c r="DI61" s="107" t="n">
        <x:f>IF(DI60=0,0,'Вводные'!$B$59*'Вводные'!$S$90*'Вводные'!$H$5*'Вводные'!$AG$90*(1+'Вводные'!$B$64)^MAX(0,MIN((12*(YEAR(DI$3)-YEAR($B$53))+MONTH(DI$3)-MONTH($B$53)),(12*(YEAR($B$54)-YEAR($B$53))+MONTH($B$54)-MONTH($B$53))))*(1+'Вводные'!$B$65)^MAX(0,(12*(YEAR(DI$3)-YEAR($B$54))+MONTH(DI$3)-MONTH($B$54))))</x:f>
      </x:c>
      <x:c r="DJ61" s="107" t="n">
        <x:f>IF(DJ60=0,0,'Вводные'!$B$59*'Вводные'!$S$90*'Вводные'!$H$5*'Вводные'!$AG$90*(1+'Вводные'!$B$64)^MAX(0,MIN((12*(YEAR(DJ$3)-YEAR($B$53))+MONTH(DJ$3)-MONTH($B$53)),(12*(YEAR($B$54)-YEAR($B$53))+MONTH($B$54)-MONTH($B$53))))*(1+'Вводные'!$B$65)^MAX(0,(12*(YEAR(DJ$3)-YEAR($B$54))+MONTH(DJ$3)-MONTH($B$54))))</x:f>
      </x:c>
      <x:c r="DK61" s="107" t="n">
        <x:f>IF(DK60=0,0,'Вводные'!$B$59*'Вводные'!$S$90*'Вводные'!$H$5*'Вводные'!$AG$90*(1+'Вводные'!$B$64)^MAX(0,MIN((12*(YEAR(DK$3)-YEAR($B$53))+MONTH(DK$3)-MONTH($B$53)),(12*(YEAR($B$54)-YEAR($B$53))+MONTH($B$54)-MONTH($B$53))))*(1+'Вводные'!$B$65)^MAX(0,(12*(YEAR(DK$3)-YEAR($B$54))+MONTH(DK$3)-MONTH($B$54))))</x:f>
      </x:c>
      <x:c r="DL61" s="107" t="n">
        <x:f>IF(DL60=0,0,'Вводные'!$B$59*'Вводные'!$S$90*'Вводные'!$H$5*'Вводные'!$AG$90*(1+'Вводные'!$B$64)^MAX(0,MIN((12*(YEAR(DL$3)-YEAR($B$53))+MONTH(DL$3)-MONTH($B$53)),(12*(YEAR($B$54)-YEAR($B$53))+MONTH($B$54)-MONTH($B$53))))*(1+'Вводные'!$B$65)^MAX(0,(12*(YEAR(DL$3)-YEAR($B$54))+MONTH(DL$3)-MONTH($B$54))))</x:f>
      </x:c>
      <x:c r="DM61" s="107" t="n">
        <x:f>IF(DM60=0,0,'Вводные'!$B$59*'Вводные'!$S$90*'Вводные'!$H$5*'Вводные'!$AG$90*(1+'Вводные'!$B$64)^MAX(0,MIN((12*(YEAR(DM$3)-YEAR($B$53))+MONTH(DM$3)-MONTH($B$53)),(12*(YEAR($B$54)-YEAR($B$53))+MONTH($B$54)-MONTH($B$53))))*(1+'Вводные'!$B$65)^MAX(0,(12*(YEAR(DM$3)-YEAR($B$54))+MONTH(DM$3)-MONTH($B$54))))</x:f>
      </x:c>
      <x:c r="DN61" s="107" t="n">
        <x:f>IF(DN60=0,0,'Вводные'!$B$59*'Вводные'!$S$90*'Вводные'!$H$5*'Вводные'!$AG$90*(1+'Вводные'!$B$64)^MAX(0,MIN((12*(YEAR(DN$3)-YEAR($B$53))+MONTH(DN$3)-MONTH($B$53)),(12*(YEAR($B$54)-YEAR($B$53))+MONTH($B$54)-MONTH($B$53))))*(1+'Вводные'!$B$65)^MAX(0,(12*(YEAR(DN$3)-YEAR($B$54))+MONTH(DN$3)-MONTH($B$54))))</x:f>
      </x:c>
      <x:c r="DO61" s="107" t="n">
        <x:f>IF(DO60=0,0,'Вводные'!$B$59*'Вводные'!$S$90*'Вводные'!$H$5*'Вводные'!$AG$90*(1+'Вводные'!$B$64)^MAX(0,MIN((12*(YEAR(DO$3)-YEAR($B$53))+MONTH(DO$3)-MONTH($B$53)),(12*(YEAR($B$54)-YEAR($B$53))+MONTH($B$54)-MONTH($B$53))))*(1+'Вводные'!$B$65)^MAX(0,(12*(YEAR(DO$3)-YEAR($B$54))+MONTH(DO$3)-MONTH($B$54))))</x:f>
      </x:c>
      <x:c r="DP61" s="107" t="n">
        <x:f>IF(DP60=0,0,'Вводные'!$B$59*'Вводные'!$S$90*'Вводные'!$H$5*'Вводные'!$AG$90*(1+'Вводные'!$B$64)^MAX(0,MIN((12*(YEAR(DP$3)-YEAR($B$53))+MONTH(DP$3)-MONTH($B$53)),(12*(YEAR($B$54)-YEAR($B$53))+MONTH($B$54)-MONTH($B$53))))*(1+'Вводные'!$B$65)^MAX(0,(12*(YEAR(DP$3)-YEAR($B$54))+MONTH(DP$3)-MONTH($B$54))))</x:f>
      </x:c>
      <x:c r="DQ61" s="107" t="n">
        <x:f>IF(DQ60=0,0,'Вводные'!$B$59*'Вводные'!$S$90*'Вводные'!$H$5*'Вводные'!$AG$90*(1+'Вводные'!$B$64)^MAX(0,MIN((12*(YEAR(DQ$3)-YEAR($B$53))+MONTH(DQ$3)-MONTH($B$53)),(12*(YEAR($B$54)-YEAR($B$53))+MONTH($B$54)-MONTH($B$53))))*(1+'Вводные'!$B$65)^MAX(0,(12*(YEAR(DQ$3)-YEAR($B$54))+MONTH(DQ$3)-MONTH($B$54))))</x:f>
      </x:c>
      <x:c r="DR61" s="107" t="n">
        <x:f>IF(DR60=0,0,'Вводные'!$B$59*'Вводные'!$S$90*'Вводные'!$H$5*'Вводные'!$AG$90*(1+'Вводные'!$B$64)^MAX(0,MIN((12*(YEAR(DR$3)-YEAR($B$53))+MONTH(DR$3)-MONTH($B$53)),(12*(YEAR($B$54)-YEAR($B$53))+MONTH($B$54)-MONTH($B$53))))*(1+'Вводные'!$B$65)^MAX(0,(12*(YEAR(DR$3)-YEAR($B$54))+MONTH(DR$3)-MONTH($B$54))))</x:f>
      </x:c>
      <x:c r="DS61" s="107" t="n">
        <x:f>IF(DS60=0,0,'Вводные'!$B$59*'Вводные'!$S$90*'Вводные'!$H$5*'Вводные'!$AG$90*(1+'Вводные'!$B$64)^MAX(0,MIN((12*(YEAR(DS$3)-YEAR($B$53))+MONTH(DS$3)-MONTH($B$53)),(12*(YEAR($B$54)-YEAR($B$53))+MONTH($B$54)-MONTH($B$53))))*(1+'Вводные'!$B$65)^MAX(0,(12*(YEAR(DS$3)-YEAR($B$54))+MONTH(DS$3)-MONTH($B$54))))</x:f>
      </x:c>
      <x:c r="DT61" s="107" t="n">
        <x:f>IF(DT60=0,0,'Вводные'!$B$59*'Вводные'!$S$90*'Вводные'!$H$5*'Вводные'!$AG$90*(1+'Вводные'!$B$64)^MAX(0,MIN((12*(YEAR(DT$3)-YEAR($B$53))+MONTH(DT$3)-MONTH($B$53)),(12*(YEAR($B$54)-YEAR($B$53))+MONTH($B$54)-MONTH($B$53))))*(1+'Вводные'!$B$65)^MAX(0,(12*(YEAR(DT$3)-YEAR($B$54))+MONTH(DT$3)-MONTH($B$54))))</x:f>
      </x:c>
      <x:c r="DU61" s="107" t="n">
        <x:f>IF(DU60=0,0,'Вводные'!$B$59*'Вводные'!$S$90*'Вводные'!$H$5*'Вводные'!$AG$90*(1+'Вводные'!$B$64)^MAX(0,MIN((12*(YEAR(DU$3)-YEAR($B$53))+MONTH(DU$3)-MONTH($B$53)),(12*(YEAR($B$54)-YEAR($B$53))+MONTH($B$54)-MONTH($B$53))))*(1+'Вводные'!$B$65)^MAX(0,(12*(YEAR(DU$3)-YEAR($B$54))+MONTH(DU$3)-MONTH($B$54))))</x:f>
      </x:c>
      <x:c r="DV61" s="107" t="n">
        <x:f>IF(DV60=0,0,'Вводные'!$B$59*'Вводные'!$S$90*'Вводные'!$H$5*'Вводные'!$AG$90*(1+'Вводные'!$B$64)^MAX(0,MIN((12*(YEAR(DV$3)-YEAR($B$53))+MONTH(DV$3)-MONTH($B$53)),(12*(YEAR($B$54)-YEAR($B$53))+MONTH($B$54)-MONTH($B$53))))*(1+'Вводные'!$B$65)^MAX(0,(12*(YEAR(DV$3)-YEAR($B$54))+MONTH(DV$3)-MONTH($B$54))))</x:f>
      </x:c>
      <x:c r="DW61" s="107" t="n">
        <x:f>IF(DW60=0,0,'Вводные'!$B$59*'Вводные'!$S$90*'Вводные'!$H$5*'Вводные'!$AG$90*(1+'Вводные'!$B$64)^MAX(0,MIN((12*(YEAR(DW$3)-YEAR($B$53))+MONTH(DW$3)-MONTH($B$53)),(12*(YEAR($B$54)-YEAR($B$53))+MONTH($B$54)-MONTH($B$53))))*(1+'Вводные'!$B$65)^MAX(0,(12*(YEAR(DW$3)-YEAR($B$54))+MONTH(DW$3)-MONTH($B$54))))</x:f>
      </x:c>
      <x:c r="DX61" s="107" t="n">
        <x:f>IF(DX60=0,0,'Вводные'!$B$59*'Вводные'!$S$90*'Вводные'!$H$5*'Вводные'!$AG$90*(1+'Вводные'!$B$64)^MAX(0,MIN((12*(YEAR(DX$3)-YEAR($B$53))+MONTH(DX$3)-MONTH($B$53)),(12*(YEAR($B$54)-YEAR($B$53))+MONTH($B$54)-MONTH($B$53))))*(1+'Вводные'!$B$65)^MAX(0,(12*(YEAR(DX$3)-YEAR($B$54))+MONTH(DX$3)-MONTH($B$54))))</x:f>
      </x:c>
      <x:c r="DY61" s="107" t="n">
        <x:f>IF(DY60=0,0,'Вводные'!$B$59*'Вводные'!$S$90*'Вводные'!$H$5*'Вводные'!$AG$90*(1+'Вводные'!$B$64)^MAX(0,MIN((12*(YEAR(DY$3)-YEAR($B$53))+MONTH(DY$3)-MONTH($B$53)),(12*(YEAR($B$54)-YEAR($B$53))+MONTH($B$54)-MONTH($B$53))))*(1+'Вводные'!$B$65)^MAX(0,(12*(YEAR(DY$3)-YEAR($B$54))+MONTH(DY$3)-MONTH($B$54))))</x:f>
      </x:c>
      <x:c r="DZ61" s="107" t="n">
        <x:f>IF(DZ60=0,0,'Вводные'!$B$59*'Вводные'!$S$90*'Вводные'!$H$5*'Вводные'!$AG$90*(1+'Вводные'!$B$64)^MAX(0,MIN((12*(YEAR(DZ$3)-YEAR($B$53))+MONTH(DZ$3)-MONTH($B$53)),(12*(YEAR($B$54)-YEAR($B$53))+MONTH($B$54)-MONTH($B$53))))*(1+'Вводные'!$B$65)^MAX(0,(12*(YEAR(DZ$3)-YEAR($B$54))+MONTH(DZ$3)-MONTH($B$54))))</x:f>
      </x:c>
      <x:c r="EA61" s="107" t="n">
        <x:f>IF(EA60=0,0,'Вводные'!$B$59*'Вводные'!$S$90*'Вводные'!$H$5*'Вводные'!$AG$90*(1+'Вводные'!$B$64)^MAX(0,MIN((12*(YEAR(EA$3)-YEAR($B$53))+MONTH(EA$3)-MONTH($B$53)),(12*(YEAR($B$54)-YEAR($B$53))+MONTH($B$54)-MONTH($B$53))))*(1+'Вводные'!$B$65)^MAX(0,(12*(YEAR(EA$3)-YEAR($B$54))+MONTH(EA$3)-MONTH($B$54))))</x:f>
      </x:c>
      <x:c r="EB61" s="107" t="n">
        <x:f>IF(EB60=0,0,'Вводные'!$B$59*'Вводные'!$S$90*'Вводные'!$H$5*'Вводные'!$AG$90*(1+'Вводные'!$B$64)^MAX(0,MIN((12*(YEAR(EB$3)-YEAR($B$53))+MONTH(EB$3)-MONTH($B$53)),(12*(YEAR($B$54)-YEAR($B$53))+MONTH($B$54)-MONTH($B$53))))*(1+'Вводные'!$B$65)^MAX(0,(12*(YEAR(EB$3)-YEAR($B$54))+MONTH(EB$3)-MONTH($B$54))))</x:f>
      </x:c>
      <x:c r="EC61" s="107" t="n">
        <x:f>IF(EC60=0,0,'Вводные'!$B$59*'Вводные'!$S$90*'Вводные'!$H$5*'Вводные'!$AG$90*(1+'Вводные'!$B$64)^MAX(0,MIN((12*(YEAR(EC$3)-YEAR($B$53))+MONTH(EC$3)-MONTH($B$53)),(12*(YEAR($B$54)-YEAR($B$53))+MONTH($B$54)-MONTH($B$53))))*(1+'Вводные'!$B$65)^MAX(0,(12*(YEAR(EC$3)-YEAR($B$54))+MONTH(EC$3)-MONTH($B$54))))</x:f>
      </x:c>
      <x:c r="ED61" s="107" t="n">
        <x:f>IF(ED60=0,0,'Вводные'!$B$59*'Вводные'!$S$90*'Вводные'!$H$5*'Вводные'!$AG$90*(1+'Вводные'!$B$64)^MAX(0,MIN((12*(YEAR(ED$3)-YEAR($B$53))+MONTH(ED$3)-MONTH($B$53)),(12*(YEAR($B$54)-YEAR($B$53))+MONTH($B$54)-MONTH($B$53))))*(1+'Вводные'!$B$65)^MAX(0,(12*(YEAR(ED$3)-YEAR($B$54))+MONTH(ED$3)-MONTH($B$54))))</x:f>
      </x:c>
      <x:c r="EE61" s="107" t="n">
        <x:f>IF(EE60=0,0,'Вводные'!$B$59*'Вводные'!$S$90*'Вводные'!$H$5*'Вводные'!$AG$90*(1+'Вводные'!$B$64)^MAX(0,MIN((12*(YEAR(EE$3)-YEAR($B$53))+MONTH(EE$3)-MONTH($B$53)),(12*(YEAR($B$54)-YEAR($B$53))+MONTH($B$54)-MONTH($B$53))))*(1+'Вводные'!$B$65)^MAX(0,(12*(YEAR(EE$3)-YEAR($B$54))+MONTH(EE$3)-MONTH($B$54))))</x:f>
      </x:c>
      <x:c r="EF61" s="107" t="n">
        <x:f>IF(EF60=0,0,'Вводные'!$B$59*'Вводные'!$S$90*'Вводные'!$H$5*'Вводные'!$AG$90*(1+'Вводные'!$B$64)^MAX(0,MIN((12*(YEAR(EF$3)-YEAR($B$53))+MONTH(EF$3)-MONTH($B$53)),(12*(YEAR($B$54)-YEAR($B$53))+MONTH($B$54)-MONTH($B$53))))*(1+'Вводные'!$B$65)^MAX(0,(12*(YEAR(EF$3)-YEAR($B$54))+MONTH(EF$3)-MONTH($B$54))))</x:f>
      </x:c>
      <x:c r="EG61" s="107" t="n">
        <x:f>IF(EG60=0,0,'Вводные'!$B$59*'Вводные'!$S$90*'Вводные'!$H$5*'Вводные'!$AG$90*(1+'Вводные'!$B$64)^MAX(0,MIN((12*(YEAR(EG$3)-YEAR($B$53))+MONTH(EG$3)-MONTH($B$53)),(12*(YEAR($B$54)-YEAR($B$53))+MONTH($B$54)-MONTH($B$53))))*(1+'Вводные'!$B$65)^MAX(0,(12*(YEAR(EG$3)-YEAR($B$54))+MONTH(EG$3)-MONTH($B$54))))</x:f>
      </x:c>
      <x:c r="EH61" s="107" t="n">
        <x:f>IF(EH60=0,0,'Вводные'!$B$59*'Вводные'!$S$90*'Вводные'!$H$5*'Вводные'!$AG$90*(1+'Вводные'!$B$64)^MAX(0,MIN((12*(YEAR(EH$3)-YEAR($B$53))+MONTH(EH$3)-MONTH($B$53)),(12*(YEAR($B$54)-YEAR($B$53))+MONTH($B$54)-MONTH($B$53))))*(1+'Вводные'!$B$65)^MAX(0,(12*(YEAR(EH$3)-YEAR($B$54))+MONTH(EH$3)-MONTH($B$54))))</x:f>
      </x:c>
      <x:c r="EI61" s="107" t="n">
        <x:f>IF(EI60=0,0,'Вводные'!$B$59*'Вводные'!$S$90*'Вводные'!$H$5*'Вводные'!$AG$90*(1+'Вводные'!$B$64)^MAX(0,MIN((12*(YEAR(EI$3)-YEAR($B$53))+MONTH(EI$3)-MONTH($B$53)),(12*(YEAR($B$54)-YEAR($B$53))+MONTH($B$54)-MONTH($B$53))))*(1+'Вводные'!$B$65)^MAX(0,(12*(YEAR(EI$3)-YEAR($B$54))+MONTH(EI$3)-MONTH($B$54))))</x:f>
      </x:c>
      <x:c r="EJ61" s="107" t="n">
        <x:f>IF(EJ60=0,0,'Вводные'!$B$59*'Вводные'!$S$90*'Вводные'!$H$5*'Вводные'!$AG$90*(1+'Вводные'!$B$64)^MAX(0,MIN((12*(YEAR(EJ$3)-YEAR($B$53))+MONTH(EJ$3)-MONTH($B$53)),(12*(YEAR($B$54)-YEAR($B$53))+MONTH($B$54)-MONTH($B$53))))*(1+'Вводные'!$B$65)^MAX(0,(12*(YEAR(EJ$3)-YEAR($B$54))+MONTH(EJ$3)-MONTH($B$54))))</x:f>
      </x:c>
      <x:c r="EK61" s="107" t="n">
        <x:f>IF(EK60=0,0,'Вводные'!$B$59*'Вводные'!$S$90*'Вводные'!$H$5*'Вводные'!$AG$90*(1+'Вводные'!$B$64)^MAX(0,MIN((12*(YEAR(EK$3)-YEAR($B$53))+MONTH(EK$3)-MONTH($B$53)),(12*(YEAR($B$54)-YEAR($B$53))+MONTH($B$54)-MONTH($B$53))))*(1+'Вводные'!$B$65)^MAX(0,(12*(YEAR(EK$3)-YEAR($B$54))+MONTH(EK$3)-MONTH($B$54))))</x:f>
      </x:c>
      <x:c r="EL61" s="107" t="n">
        <x:f>IF(EL60=0,0,'Вводные'!$B$59*'Вводные'!$S$90*'Вводные'!$H$5*'Вводные'!$AG$90*(1+'Вводные'!$B$64)^MAX(0,MIN((12*(YEAR(EL$3)-YEAR($B$53))+MONTH(EL$3)-MONTH($B$53)),(12*(YEAR($B$54)-YEAR($B$53))+MONTH($B$54)-MONTH($B$53))))*(1+'Вводные'!$B$65)^MAX(0,(12*(YEAR(EL$3)-YEAR($B$54))+MONTH(EL$3)-MONTH($B$54))))</x:f>
      </x:c>
      <x:c r="EM61" s="107" t="n">
        <x:f>IF(EM60=0,0,'Вводные'!$B$59*'Вводные'!$S$90*'Вводные'!$H$5*'Вводные'!$AG$90*(1+'Вводные'!$B$64)^MAX(0,MIN((12*(YEAR(EM$3)-YEAR($B$53))+MONTH(EM$3)-MONTH($B$53)),(12*(YEAR($B$54)-YEAR($B$53))+MONTH($B$54)-MONTH($B$53))))*(1+'Вводные'!$B$65)^MAX(0,(12*(YEAR(EM$3)-YEAR($B$54))+MONTH(EM$3)-MONTH($B$54))))</x:f>
      </x:c>
      <x:c r="EN61" s="107" t="n">
        <x:f>IF(EN60=0,0,'Вводные'!$B$59*'Вводные'!$S$90*'Вводные'!$H$5*'Вводные'!$AG$90*(1+'Вводные'!$B$64)^MAX(0,MIN((12*(YEAR(EN$3)-YEAR($B$53))+MONTH(EN$3)-MONTH($B$53)),(12*(YEAR($B$54)-YEAR($B$53))+MONTH($B$54)-MONTH($B$53))))*(1+'Вводные'!$B$65)^MAX(0,(12*(YEAR(EN$3)-YEAR($B$54))+MONTH(EN$3)-MONTH($B$54))))</x:f>
      </x:c>
      <x:c r="EO61" s="107" t="n">
        <x:f>IF(EO60=0,0,'Вводные'!$B$59*'Вводные'!$S$90*'Вводные'!$H$5*'Вводные'!$AG$90*(1+'Вводные'!$B$64)^MAX(0,MIN((12*(YEAR(EO$3)-YEAR($B$53))+MONTH(EO$3)-MONTH($B$53)),(12*(YEAR($B$54)-YEAR($B$53))+MONTH($B$54)-MONTH($B$53))))*(1+'Вводные'!$B$65)^MAX(0,(12*(YEAR(EO$3)-YEAR($B$54))+MONTH(EO$3)-MONTH($B$54))))</x:f>
      </x:c>
      <x:c r="EP61" s="107" t="n">
        <x:f>IF(EP60=0,0,'Вводные'!$B$59*'Вводные'!$S$90*'Вводные'!$H$5*'Вводные'!$AG$90*(1+'Вводные'!$B$64)^MAX(0,MIN((12*(YEAR(EP$3)-YEAR($B$53))+MONTH(EP$3)-MONTH($B$53)),(12*(YEAR($B$54)-YEAR($B$53))+MONTH($B$54)-MONTH($B$53))))*(1+'Вводные'!$B$65)^MAX(0,(12*(YEAR(EP$3)-YEAR($B$54))+MONTH(EP$3)-MONTH($B$54))))</x:f>
      </x:c>
      <x:c r="EQ61" s="107" t="n">
        <x:f>IF(EQ60=0,0,'Вводные'!$B$59*'Вводные'!$S$90*'Вводные'!$H$5*'Вводные'!$AG$90*(1+'Вводные'!$B$64)^MAX(0,MIN((12*(YEAR(EQ$3)-YEAR($B$53))+MONTH(EQ$3)-MONTH($B$53)),(12*(YEAR($B$54)-YEAR($B$53))+MONTH($B$54)-MONTH($B$53))))*(1+'Вводные'!$B$65)^MAX(0,(12*(YEAR(EQ$3)-YEAR($B$54))+MONTH(EQ$3)-MONTH($B$54))))</x:f>
      </x:c>
      <x:c r="ER61" s="107" t="n">
        <x:f>IF(ER60=0,0,'Вводные'!$B$59*'Вводные'!$S$90*'Вводные'!$H$5*'Вводные'!$AG$90*(1+'Вводные'!$B$64)^MAX(0,MIN((12*(YEAR(ER$3)-YEAR($B$53))+MONTH(ER$3)-MONTH($B$53)),(12*(YEAR($B$54)-YEAR($B$53))+MONTH($B$54)-MONTH($B$53))))*(1+'Вводные'!$B$65)^MAX(0,(12*(YEAR(ER$3)-YEAR($B$54))+MONTH(ER$3)-MONTH($B$54))))</x:f>
      </x:c>
      <x:c r="ES61" s="107" t="n">
        <x:f>IF(ES60=0,0,'Вводные'!$B$59*'Вводные'!$S$90*'Вводные'!$H$5*'Вводные'!$AG$90*(1+'Вводные'!$B$64)^MAX(0,MIN((12*(YEAR(ES$3)-YEAR($B$53))+MONTH(ES$3)-MONTH($B$53)),(12*(YEAR($B$54)-YEAR($B$53))+MONTH($B$54)-MONTH($B$53))))*(1+'Вводные'!$B$65)^MAX(0,(12*(YEAR(ES$3)-YEAR($B$54))+MONTH(ES$3)-MONTH($B$54))))</x:f>
      </x:c>
      <x:c r="ET61" s="107" t="n">
        <x:f>IF(ET60=0,0,'Вводные'!$B$59*'Вводные'!$S$90*'Вводные'!$H$5*'Вводные'!$AG$90*(1+'Вводные'!$B$64)^MAX(0,MIN((12*(YEAR(ET$3)-YEAR($B$53))+MONTH(ET$3)-MONTH($B$53)),(12*(YEAR($B$54)-YEAR($B$53))+MONTH($B$54)-MONTH($B$53))))*(1+'Вводные'!$B$65)^MAX(0,(12*(YEAR(ET$3)-YEAR($B$54))+MONTH(ET$3)-MONTH($B$54))))</x:f>
      </x:c>
      <x:c r="EU61" s="107" t="n">
        <x:f>IF(EU60=0,0,'Вводные'!$B$59*'Вводные'!$S$90*'Вводные'!$H$5*'Вводные'!$AG$90*(1+'Вводные'!$B$64)^MAX(0,MIN((12*(YEAR(EU$3)-YEAR($B$53))+MONTH(EU$3)-MONTH($B$53)),(12*(YEAR($B$54)-YEAR($B$53))+MONTH($B$54)-MONTH($B$53))))*(1+'Вводные'!$B$65)^MAX(0,(12*(YEAR(EU$3)-YEAR($B$54))+MONTH(EU$3)-MONTH($B$54))))</x:f>
      </x:c>
      <x:c r="EV61" s="107" t="n">
        <x:f>IF(EV60=0,0,'Вводные'!$B$59*'Вводные'!$S$90*'Вводные'!$H$5*'Вводные'!$AG$90*(1+'Вводные'!$B$64)^MAX(0,MIN((12*(YEAR(EV$3)-YEAR($B$53))+MONTH(EV$3)-MONTH($B$53)),(12*(YEAR($B$54)-YEAR($B$53))+MONTH($B$54)-MONTH($B$53))))*(1+'Вводные'!$B$65)^MAX(0,(12*(YEAR(EV$3)-YEAR($B$54))+MONTH(EV$3)-MONTH($B$54))))</x:f>
      </x:c>
      <x:c r="EW61" s="107" t="n">
        <x:f>IF(EW60=0,0,'Вводные'!$B$59*'Вводные'!$S$90*'Вводные'!$H$5*'Вводные'!$AG$90*(1+'Вводные'!$B$64)^MAX(0,MIN((12*(YEAR(EW$3)-YEAR($B$53))+MONTH(EW$3)-MONTH($B$53)),(12*(YEAR($B$54)-YEAR($B$53))+MONTH($B$54)-MONTH($B$53))))*(1+'Вводные'!$B$65)^MAX(0,(12*(YEAR(EW$3)-YEAR($B$54))+MONTH(EW$3)-MONTH($B$54))))</x:f>
      </x:c>
      <x:c r="EX61" s="107" t="n">
        <x:f>IF(EX60=0,0,'Вводные'!$B$59*'Вводные'!$S$90*'Вводные'!$H$5*'Вводные'!$AG$90*(1+'Вводные'!$B$64)^MAX(0,MIN((12*(YEAR(EX$3)-YEAR($B$53))+MONTH(EX$3)-MONTH($B$53)),(12*(YEAR($B$54)-YEAR($B$53))+MONTH($B$54)-MONTH($B$53))))*(1+'Вводные'!$B$65)^MAX(0,(12*(YEAR(EX$3)-YEAR($B$54))+MONTH(EX$3)-MONTH($B$54))))</x:f>
      </x:c>
      <x:c r="EY61" s="107" t="n">
        <x:f>IF(EY60=0,0,'Вводные'!$B$59*'Вводные'!$S$90*'Вводные'!$H$5*'Вводные'!$AG$90*(1+'Вводные'!$B$64)^MAX(0,MIN((12*(YEAR(EY$3)-YEAR($B$53))+MONTH(EY$3)-MONTH($B$53)),(12*(YEAR($B$54)-YEAR($B$53))+MONTH($B$54)-MONTH($B$53))))*(1+'Вводные'!$B$65)^MAX(0,(12*(YEAR(EY$3)-YEAR($B$54))+MONTH(EY$3)-MONTH($B$54))))</x:f>
      </x:c>
      <x:c r="EZ61" s="107" t="n">
        <x:f>IF(EZ60=0,0,'Вводные'!$B$59*'Вводные'!$S$90*'Вводные'!$H$5*'Вводные'!$AG$90*(1+'Вводные'!$B$64)^MAX(0,MIN((12*(YEAR(EZ$3)-YEAR($B$53))+MONTH(EZ$3)-MONTH($B$53)),(12*(YEAR($B$54)-YEAR($B$53))+MONTH($B$54)-MONTH($B$53))))*(1+'Вводные'!$B$65)^MAX(0,(12*(YEAR(EZ$3)-YEAR($B$54))+MONTH(EZ$3)-MONTH($B$54))))</x:f>
      </x:c>
      <x:c r="FA61" s="107" t="n">
        <x:f>IF(FA60=0,0,'Вводные'!$B$59*'Вводные'!$S$90*'Вводные'!$H$5*'Вводные'!$AG$90*(1+'Вводные'!$B$64)^MAX(0,MIN((12*(YEAR(FA$3)-YEAR($B$53))+MONTH(FA$3)-MONTH($B$53)),(12*(YEAR($B$54)-YEAR($B$53))+MONTH($B$54)-MONTH($B$53))))*(1+'Вводные'!$B$65)^MAX(0,(12*(YEAR(FA$3)-YEAR($B$54))+MONTH(FA$3)-MONTH($B$54))))</x:f>
      </x:c>
      <x:c r="FB61" s="107" t="n">
        <x:f>IF(FB60=0,0,'Вводные'!$B$59*'Вводные'!$S$90*'Вводные'!$H$5*'Вводные'!$AG$90*(1+'Вводные'!$B$64)^MAX(0,MIN((12*(YEAR(FB$3)-YEAR($B$53))+MONTH(FB$3)-MONTH($B$53)),(12*(YEAR($B$54)-YEAR($B$53))+MONTH($B$54)-MONTH($B$53))))*(1+'Вводные'!$B$65)^MAX(0,(12*(YEAR(FB$3)-YEAR($B$54))+MONTH(FB$3)-MONTH($B$54))))</x:f>
      </x:c>
      <x:c r="FC61" s="107" t="n">
        <x:f>IF(FC60=0,0,'Вводные'!$B$59*'Вводные'!$S$90*'Вводные'!$H$5*'Вводные'!$AG$90*(1+'Вводные'!$B$64)^MAX(0,MIN((12*(YEAR(FC$3)-YEAR($B$53))+MONTH(FC$3)-MONTH($B$53)),(12*(YEAR($B$54)-YEAR($B$53))+MONTH($B$54)-MONTH($B$53))))*(1+'Вводные'!$B$65)^MAX(0,(12*(YEAR(FC$3)-YEAR($B$54))+MONTH(FC$3)-MONTH($B$54))))</x:f>
      </x:c>
      <x:c r="FD61" s="107" t="n">
        <x:f>IF(FD60=0,0,'Вводные'!$B$59*'Вводные'!$S$90*'Вводные'!$H$5*'Вводные'!$AG$90*(1+'Вводные'!$B$64)^MAX(0,MIN((12*(YEAR(FD$3)-YEAR($B$53))+MONTH(FD$3)-MONTH($B$53)),(12*(YEAR($B$54)-YEAR($B$53))+MONTH($B$54)-MONTH($B$53))))*(1+'Вводные'!$B$65)^MAX(0,(12*(YEAR(FD$3)-YEAR($B$54))+MONTH(FD$3)-MONTH($B$54))))</x:f>
      </x:c>
      <x:c r="FE61" s="107" t="n">
        <x:f>IF(FE60=0,0,'Вводные'!$B$59*'Вводные'!$S$90*'Вводные'!$H$5*'Вводные'!$AG$90*(1+'Вводные'!$B$64)^MAX(0,MIN((12*(YEAR(FE$3)-YEAR($B$53))+MONTH(FE$3)-MONTH($B$53)),(12*(YEAR($B$54)-YEAR($B$53))+MONTH($B$54)-MONTH($B$53))))*(1+'Вводные'!$B$65)^MAX(0,(12*(YEAR(FE$3)-YEAR($B$54))+MONTH(FE$3)-MONTH($B$54))))</x:f>
      </x:c>
      <x:c r="FF61" s="107" t="n">
        <x:f>IF(FF60=0,0,'Вводные'!$B$59*'Вводные'!$S$90*'Вводные'!$H$5*'Вводные'!$AG$90*(1+'Вводные'!$B$64)^MAX(0,MIN((12*(YEAR(FF$3)-YEAR($B$53))+MONTH(FF$3)-MONTH($B$53)),(12*(YEAR($B$54)-YEAR($B$53))+MONTH($B$54)-MONTH($B$53))))*(1+'Вводные'!$B$65)^MAX(0,(12*(YEAR(FF$3)-YEAR($B$54))+MONTH(FF$3)-MONTH($B$54))))</x:f>
      </x:c>
      <x:c r="FG61" s="107" t="n">
        <x:f>IF(FG60=0,0,'Вводные'!$B$59*'Вводные'!$S$90*'Вводные'!$H$5*'Вводные'!$AG$90*(1+'Вводные'!$B$64)^MAX(0,MIN((12*(YEAR(FG$3)-YEAR($B$53))+MONTH(FG$3)-MONTH($B$53)),(12*(YEAR($B$54)-YEAR($B$53))+MONTH($B$54)-MONTH($B$53))))*(1+'Вводные'!$B$65)^MAX(0,(12*(YEAR(FG$3)-YEAR($B$54))+MONTH(FG$3)-MONTH($B$54))))</x:f>
      </x:c>
      <x:c r="FH61" s="107" t="n">
        <x:f>IF(FH60=0,0,'Вводные'!$B$59*'Вводные'!$S$90*'Вводные'!$H$5*'Вводные'!$AG$90*(1+'Вводные'!$B$64)^MAX(0,MIN((12*(YEAR(FH$3)-YEAR($B$53))+MONTH(FH$3)-MONTH($B$53)),(12*(YEAR($B$54)-YEAR($B$53))+MONTH($B$54)-MONTH($B$53))))*(1+'Вводные'!$B$65)^MAX(0,(12*(YEAR(FH$3)-YEAR($B$54))+MONTH(FH$3)-MONTH($B$54))))</x:f>
      </x:c>
      <x:c r="FI61" s="107" t="n">
        <x:f>IF(FI60=0,0,'Вводные'!$B$59*'Вводные'!$S$90*'Вводные'!$H$5*'Вводные'!$AG$90*(1+'Вводные'!$B$64)^MAX(0,MIN((12*(YEAR(FI$3)-YEAR($B$53))+MONTH(FI$3)-MONTH($B$53)),(12*(YEAR($B$54)-YEAR($B$53))+MONTH($B$54)-MONTH($B$53))))*(1+'Вводные'!$B$65)^MAX(0,(12*(YEAR(FI$3)-YEAR($B$54))+MONTH(FI$3)-MONTH($B$54))))</x:f>
      </x:c>
      <x:c r="FJ61" s="107" t="n">
        <x:f>IF(FJ60=0,0,'Вводные'!$B$59*'Вводные'!$S$90*'Вводные'!$H$5*'Вводные'!$AG$90*(1+'Вводные'!$B$64)^MAX(0,MIN((12*(YEAR(FJ$3)-YEAR($B$53))+MONTH(FJ$3)-MONTH($B$53)),(12*(YEAR($B$54)-YEAR($B$53))+MONTH($B$54)-MONTH($B$53))))*(1+'Вводные'!$B$65)^MAX(0,(12*(YEAR(FJ$3)-YEAR($B$54))+MONTH(FJ$3)-MONTH($B$54))))</x:f>
      </x:c>
      <x:c r="FK61" s="107" t="n">
        <x:f>IF(FK60=0,0,'Вводные'!$B$59*'Вводные'!$S$90*'Вводные'!$H$5*'Вводные'!$AG$90*(1+'Вводные'!$B$64)^MAX(0,MIN((12*(YEAR(FK$3)-YEAR($B$53))+MONTH(FK$3)-MONTH($B$53)),(12*(YEAR($B$54)-YEAR($B$53))+MONTH($B$54)-MONTH($B$53))))*(1+'Вводные'!$B$65)^MAX(0,(12*(YEAR(FK$3)-YEAR($B$54))+MONTH(FK$3)-MONTH($B$54))))</x:f>
      </x:c>
      <x:c r="FL61" s="107" t="n">
        <x:f>IF(FL60=0,0,'Вводные'!$B$59*'Вводные'!$S$90*'Вводные'!$H$5*'Вводные'!$AG$90*(1+'Вводные'!$B$64)^MAX(0,MIN((12*(YEAR(FL$3)-YEAR($B$53))+MONTH(FL$3)-MONTH($B$53)),(12*(YEAR($B$54)-YEAR($B$53))+MONTH($B$54)-MONTH($B$53))))*(1+'Вводные'!$B$65)^MAX(0,(12*(YEAR(FL$3)-YEAR($B$54))+MONTH(FL$3)-MONTH($B$54))))</x:f>
      </x:c>
      <x:c r="FM61" s="107" t="n">
        <x:f>IF(FM60=0,0,'Вводные'!$B$59*'Вводные'!$S$90*'Вводные'!$H$5*'Вводные'!$AG$90*(1+'Вводные'!$B$64)^MAX(0,MIN((12*(YEAR(FM$3)-YEAR($B$53))+MONTH(FM$3)-MONTH($B$53)),(12*(YEAR($B$54)-YEAR($B$53))+MONTH($B$54)-MONTH($B$53))))*(1+'Вводные'!$B$65)^MAX(0,(12*(YEAR(FM$3)-YEAR($B$54))+MONTH(FM$3)-MONTH($B$54))))</x:f>
      </x:c>
      <x:c r="FN61" s="107" t="n">
        <x:f>IF(FN60=0,0,'Вводные'!$B$59*'Вводные'!$S$90*'Вводные'!$H$5*'Вводные'!$AG$90*(1+'Вводные'!$B$64)^MAX(0,MIN((12*(YEAR(FN$3)-YEAR($B$53))+MONTH(FN$3)-MONTH($B$53)),(12*(YEAR($B$54)-YEAR($B$53))+MONTH($B$54)-MONTH($B$53))))*(1+'Вводные'!$B$65)^MAX(0,(12*(YEAR(FN$3)-YEAR($B$54))+MONTH(FN$3)-MONTH($B$54))))</x:f>
      </x:c>
      <x:c r="FO61" s="107" t="n">
        <x:f>IF(FO60=0,0,'Вводные'!$B$59*'Вводные'!$S$90*'Вводные'!$H$5*'Вводные'!$AG$90*(1+'Вводные'!$B$64)^MAX(0,MIN((12*(YEAR(FO$3)-YEAR($B$53))+MONTH(FO$3)-MONTH($B$53)),(12*(YEAR($B$54)-YEAR($B$53))+MONTH($B$54)-MONTH($B$53))))*(1+'Вводные'!$B$65)^MAX(0,(12*(YEAR(FO$3)-YEAR($B$54))+MONTH(FO$3)-MONTH($B$54))))</x:f>
      </x:c>
      <x:c r="FP61" s="107" t="n">
        <x:f>IF(FP60=0,0,'Вводные'!$B$59*'Вводные'!$S$90*'Вводные'!$H$5*'Вводные'!$AG$90*(1+'Вводные'!$B$64)^MAX(0,MIN((12*(YEAR(FP$3)-YEAR($B$53))+MONTH(FP$3)-MONTH($B$53)),(12*(YEAR($B$54)-YEAR($B$53))+MONTH($B$54)-MONTH($B$53))))*(1+'Вводные'!$B$65)^MAX(0,(12*(YEAR(FP$3)-YEAR($B$54))+MONTH(FP$3)-MONTH($B$54))))</x:f>
      </x:c>
      <x:c r="FQ61" s="107" t="n">
        <x:f>IF(FQ60=0,0,'Вводные'!$B$59*'Вводные'!$S$90*'Вводные'!$H$5*'Вводные'!$AG$90*(1+'Вводные'!$B$64)^MAX(0,MIN((12*(YEAR(FQ$3)-YEAR($B$53))+MONTH(FQ$3)-MONTH($B$53)),(12*(YEAR($B$54)-YEAR($B$53))+MONTH($B$54)-MONTH($B$53))))*(1+'Вводные'!$B$65)^MAX(0,(12*(YEAR(FQ$3)-YEAR($B$54))+MONTH(FQ$3)-MONTH($B$54))))</x:f>
      </x:c>
      <x:c r="FR61" s="107" t="n">
        <x:f>IF(FR60=0,0,'Вводные'!$B$59*'Вводные'!$S$90*'Вводные'!$H$5*'Вводные'!$AG$90*(1+'Вводные'!$B$64)^MAX(0,MIN((12*(YEAR(FR$3)-YEAR($B$53))+MONTH(FR$3)-MONTH($B$53)),(12*(YEAR($B$54)-YEAR($B$53))+MONTH($B$54)-MONTH($B$53))))*(1+'Вводные'!$B$65)^MAX(0,(12*(YEAR(FR$3)-YEAR($B$54))+MONTH(FR$3)-MONTH($B$54))))</x:f>
      </x:c>
      <x:c r="FS61" s="107" t="n">
        <x:f>IF(FS60=0,0,'Вводные'!$B$59*'Вводные'!$S$90*'Вводные'!$H$5*'Вводные'!$AG$90*(1+'Вводные'!$B$64)^MAX(0,MIN((12*(YEAR(FS$3)-YEAR($B$53))+MONTH(FS$3)-MONTH($B$53)),(12*(YEAR($B$54)-YEAR($B$53))+MONTH($B$54)-MONTH($B$53))))*(1+'Вводные'!$B$65)^MAX(0,(12*(YEAR(FS$3)-YEAR($B$54))+MONTH(FS$3)-MONTH($B$54))))</x:f>
      </x:c>
      <x:c r="FT61" s="107" t="n">
        <x:f>IF(FT60=0,0,'Вводные'!$B$59*'Вводные'!$S$90*'Вводные'!$H$5*'Вводные'!$AG$90*(1+'Вводные'!$B$64)^MAX(0,MIN((12*(YEAR(FT$3)-YEAR($B$53))+MONTH(FT$3)-MONTH($B$53)),(12*(YEAR($B$54)-YEAR($B$53))+MONTH($B$54)-MONTH($B$53))))*(1+'Вводные'!$B$65)^MAX(0,(12*(YEAR(FT$3)-YEAR($B$54))+MONTH(FT$3)-MONTH($B$54))))</x:f>
      </x:c>
      <x:c r="FU61" s="107" t="n">
        <x:f>IF(FU60=0,0,'Вводные'!$B$59*'Вводные'!$S$90*'Вводные'!$H$5*'Вводные'!$AG$90*(1+'Вводные'!$B$64)^MAX(0,MIN((12*(YEAR(FU$3)-YEAR($B$53))+MONTH(FU$3)-MONTH($B$53)),(12*(YEAR($B$54)-YEAR($B$53))+MONTH($B$54)-MONTH($B$53))))*(1+'Вводные'!$B$65)^MAX(0,(12*(YEAR(FU$3)-YEAR($B$54))+MONTH(FU$3)-MONTH($B$54))))</x:f>
      </x:c>
      <x:c r="FV61" s="107" t="n">
        <x:f>IF(FV60=0,0,'Вводные'!$B$59*'Вводные'!$S$90*'Вводные'!$H$5*'Вводные'!$AG$90*(1+'Вводные'!$B$64)^MAX(0,MIN((12*(YEAR(FV$3)-YEAR($B$53))+MONTH(FV$3)-MONTH($B$53)),(12*(YEAR($B$54)-YEAR($B$53))+MONTH($B$54)-MONTH($B$53))))*(1+'Вводные'!$B$65)^MAX(0,(12*(YEAR(FV$3)-YEAR($B$54))+MONTH(FV$3)-MONTH($B$54))))</x:f>
      </x:c>
      <x:c r="FW61" s="107" t="n">
        <x:f>IF(FW60=0,0,'Вводные'!$B$59*'Вводные'!$S$90*'Вводные'!$H$5*'Вводные'!$AG$90*(1+'Вводные'!$B$64)^MAX(0,MIN((12*(YEAR(FW$3)-YEAR($B$53))+MONTH(FW$3)-MONTH($B$53)),(12*(YEAR($B$54)-YEAR($B$53))+MONTH($B$54)-MONTH($B$53))))*(1+'Вводные'!$B$65)^MAX(0,(12*(YEAR(FW$3)-YEAR($B$54))+MONTH(FW$3)-MONTH($B$54))))</x:f>
      </x:c>
      <x:c r="FX61" s="107" t="n">
        <x:f>IF(FX60=0,0,'Вводные'!$B$59*'Вводные'!$S$90*'Вводные'!$H$5*'Вводные'!$AG$90*(1+'Вводные'!$B$64)^MAX(0,MIN((12*(YEAR(FX$3)-YEAR($B$53))+MONTH(FX$3)-MONTH($B$53)),(12*(YEAR($B$54)-YEAR($B$53))+MONTH($B$54)-MONTH($B$53))))*(1+'Вводные'!$B$65)^MAX(0,(12*(YEAR(FX$3)-YEAR($B$54))+MONTH(FX$3)-MONTH($B$54))))</x:f>
      </x:c>
      <x:c r="FY61" s="107" t="n">
        <x:f>IF(FY60=0,0,'Вводные'!$B$59*'Вводные'!$S$90*'Вводные'!$H$5*'Вводные'!$AG$90*(1+'Вводные'!$B$64)^MAX(0,MIN((12*(YEAR(FY$3)-YEAR($B$53))+MONTH(FY$3)-MONTH($B$53)),(12*(YEAR($B$54)-YEAR($B$53))+MONTH($B$54)-MONTH($B$53))))*(1+'Вводные'!$B$65)^MAX(0,(12*(YEAR(FY$3)-YEAR($B$54))+MONTH(FY$3)-MONTH($B$54))))</x:f>
      </x:c>
      <x:c r="FZ61" s="107" t="n">
        <x:f>IF(FZ60=0,0,'Вводные'!$B$59*'Вводные'!$S$90*'Вводные'!$H$5*'Вводные'!$AG$90*(1+'Вводные'!$B$64)^MAX(0,MIN((12*(YEAR(FZ$3)-YEAR($B$53))+MONTH(FZ$3)-MONTH($B$53)),(12*(YEAR($B$54)-YEAR($B$53))+MONTH($B$54)-MONTH($B$53))))*(1+'Вводные'!$B$65)^MAX(0,(12*(YEAR(FZ$3)-YEAR($B$54))+MONTH(FZ$3)-MONTH($B$54))))</x:f>
      </x:c>
      <x:c r="GA61" s="107" t="n">
        <x:f>IF(GA60=0,0,'Вводные'!$B$59*'Вводные'!$S$90*'Вводные'!$H$5*'Вводные'!$AG$90*(1+'Вводные'!$B$64)^MAX(0,MIN((12*(YEAR(GA$3)-YEAR($B$53))+MONTH(GA$3)-MONTH($B$53)),(12*(YEAR($B$54)-YEAR($B$53))+MONTH($B$54)-MONTH($B$53))))*(1+'Вводные'!$B$65)^MAX(0,(12*(YEAR(GA$3)-YEAR($B$54))+MONTH(GA$3)-MONTH($B$54))))</x:f>
      </x:c>
    </x:row>
    <x:row r="62">
      <x:c r="A62" t="str">
        <x:v>Квартиры — выручка</x:v>
      </x:c>
      <x:c r="B62" t="n">
        <x:f>SUM(D62:GA62)</x:f>
      </x:c>
      <x:c r="C62" t="str">
        <x:v>млн ₽</x:v>
      </x:c>
      <x:c r="D62" s="107" t="n">
        <x:f>D60*D61/1000</x:f>
      </x:c>
      <x:c r="E62" s="107" t="n">
        <x:f>E60*E61/1000</x:f>
      </x:c>
      <x:c r="F62" s="107" t="n">
        <x:f>F60*F61/1000</x:f>
      </x:c>
      <x:c r="G62" s="107" t="n">
        <x:f>G60*G61/1000</x:f>
      </x:c>
      <x:c r="H62" s="107" t="n">
        <x:f>H60*H61/1000</x:f>
      </x:c>
      <x:c r="I62" s="107" t="n">
        <x:f>I60*I61/1000</x:f>
      </x:c>
      <x:c r="J62" s="107" t="n">
        <x:f>J60*J61/1000</x:f>
      </x:c>
      <x:c r="K62" s="107" t="n">
        <x:f>K60*K61/1000</x:f>
      </x:c>
      <x:c r="L62" s="107" t="n">
        <x:f>L60*L61/1000</x:f>
      </x:c>
      <x:c r="M62" s="107" t="n">
        <x:f>M60*M61/1000</x:f>
      </x:c>
      <x:c r="N62" s="107" t="n">
        <x:f>N60*N61/1000</x:f>
      </x:c>
      <x:c r="O62" s="107" t="n">
        <x:f>O60*O61/1000</x:f>
      </x:c>
      <x:c r="P62" s="107" t="n">
        <x:f>P60*P61/1000</x:f>
      </x:c>
      <x:c r="Q62" s="107" t="n">
        <x:f>Q60*Q61/1000</x:f>
      </x:c>
      <x:c r="R62" s="107" t="n">
        <x:f>R60*R61/1000</x:f>
      </x:c>
      <x:c r="S62" s="107" t="n">
        <x:f>S60*S61/1000</x:f>
      </x:c>
      <x:c r="T62" s="107" t="n">
        <x:f>T60*T61/1000</x:f>
      </x:c>
      <x:c r="U62" s="107" t="n">
        <x:f>U60*U61/1000</x:f>
      </x:c>
      <x:c r="V62" s="107" t="n">
        <x:f>V60*V61/1000</x:f>
      </x:c>
      <x:c r="W62" s="107" t="n">
        <x:f>W60*W61/1000</x:f>
      </x:c>
      <x:c r="X62" s="107" t="n">
        <x:f>X60*X61/1000</x:f>
      </x:c>
      <x:c r="Y62" s="107" t="n">
        <x:f>Y60*Y61/1000</x:f>
      </x:c>
      <x:c r="Z62" s="107" t="n">
        <x:f>Z60*Z61/1000</x:f>
      </x:c>
      <x:c r="AA62" s="107" t="n">
        <x:f>AA60*AA61/1000</x:f>
      </x:c>
      <x:c r="AB62" s="107" t="n">
        <x:f>AB60*AB61/1000</x:f>
      </x:c>
      <x:c r="AC62" s="107" t="n">
        <x:f>AC60*AC61/1000</x:f>
      </x:c>
      <x:c r="AD62" s="107" t="n">
        <x:f>AD60*AD61/1000</x:f>
      </x:c>
      <x:c r="AE62" s="107" t="n">
        <x:f>AE60*AE61/1000</x:f>
      </x:c>
      <x:c r="AF62" s="107" t="n">
        <x:f>AF60*AF61/1000</x:f>
      </x:c>
      <x:c r="AG62" s="107" t="n">
        <x:f>AG60*AG61/1000</x:f>
      </x:c>
      <x:c r="AH62" s="107" t="n">
        <x:f>AH60*AH61/1000</x:f>
      </x:c>
      <x:c r="AI62" s="107" t="n">
        <x:f>AI60*AI61/1000</x:f>
      </x:c>
      <x:c r="AJ62" s="107" t="n">
        <x:f>AJ60*AJ61/1000</x:f>
      </x:c>
      <x:c r="AK62" s="107" t="n">
        <x:f>AK60*AK61/1000</x:f>
      </x:c>
      <x:c r="AL62" s="107" t="n">
        <x:f>AL60*AL61/1000</x:f>
      </x:c>
      <x:c r="AM62" s="107" t="n">
        <x:f>AM60*AM61/1000</x:f>
      </x:c>
      <x:c r="AN62" s="107" t="n">
        <x:f>AN60*AN61/1000</x:f>
      </x:c>
      <x:c r="AO62" s="107" t="n">
        <x:f>AO60*AO61/1000</x:f>
      </x:c>
      <x:c r="AP62" s="107" t="n">
        <x:f>AP60*AP61/1000</x:f>
      </x:c>
      <x:c r="AQ62" s="107" t="n">
        <x:f>AQ60*AQ61/1000</x:f>
      </x:c>
      <x:c r="AR62" s="107" t="n">
        <x:f>AR60*AR61/1000</x:f>
      </x:c>
      <x:c r="AS62" s="107" t="n">
        <x:f>AS60*AS61/1000</x:f>
      </x:c>
      <x:c r="AT62" s="107" t="n">
        <x:f>AT60*AT61/1000</x:f>
      </x:c>
      <x:c r="AU62" s="107" t="n">
        <x:f>AU60*AU61/1000</x:f>
      </x:c>
      <x:c r="AV62" s="107" t="n">
        <x:f>AV60*AV61/1000</x:f>
      </x:c>
      <x:c r="AW62" s="107" t="n">
        <x:f>AW60*AW61/1000</x:f>
      </x:c>
      <x:c r="AX62" s="107" t="n">
        <x:f>AX60*AX61/1000</x:f>
      </x:c>
      <x:c r="AY62" s="107" t="n">
        <x:f>AY60*AY61/1000</x:f>
      </x:c>
      <x:c r="AZ62" s="107" t="n">
        <x:f>AZ60*AZ61/1000</x:f>
      </x:c>
      <x:c r="BA62" s="107" t="n">
        <x:f>BA60*BA61/1000</x:f>
      </x:c>
      <x:c r="BB62" s="107" t="n">
        <x:f>BB60*BB61/1000</x:f>
      </x:c>
      <x:c r="BC62" s="107" t="n">
        <x:f>BC60*BC61/1000</x:f>
      </x:c>
      <x:c r="BD62" s="107" t="n">
        <x:f>BD60*BD61/1000</x:f>
      </x:c>
      <x:c r="BE62" s="107" t="n">
        <x:f>BE60*BE61/1000</x:f>
      </x:c>
      <x:c r="BF62" s="107" t="n">
        <x:f>BF60*BF61/1000</x:f>
      </x:c>
      <x:c r="BG62" s="107" t="n">
        <x:f>BG60*BG61/1000</x:f>
      </x:c>
      <x:c r="BH62" s="107" t="n">
        <x:f>BH60*BH61/1000</x:f>
      </x:c>
      <x:c r="BI62" s="107" t="n">
        <x:f>BI60*BI61/1000</x:f>
      </x:c>
      <x:c r="BJ62" s="107" t="n">
        <x:f>BJ60*BJ61/1000</x:f>
      </x:c>
      <x:c r="BK62" s="107" t="n">
        <x:f>BK60*BK61/1000</x:f>
      </x:c>
      <x:c r="BL62" s="107" t="n">
        <x:f>BL60*BL61/1000</x:f>
      </x:c>
      <x:c r="BM62" s="107" t="n">
        <x:f>BM60*BM61/1000</x:f>
      </x:c>
      <x:c r="BN62" s="107" t="n">
        <x:f>BN60*BN61/1000</x:f>
      </x:c>
      <x:c r="BO62" s="107" t="n">
        <x:f>BO60*BO61/1000</x:f>
      </x:c>
      <x:c r="BP62" s="107" t="n">
        <x:f>BP60*BP61/1000</x:f>
      </x:c>
      <x:c r="BQ62" s="107" t="n">
        <x:f>BQ60*BQ61/1000</x:f>
      </x:c>
      <x:c r="BR62" s="107" t="n">
        <x:f>BR60*BR61/1000</x:f>
      </x:c>
      <x:c r="BS62" s="107" t="n">
        <x:f>BS60*BS61/1000</x:f>
      </x:c>
      <x:c r="BT62" s="107" t="n">
        <x:f>BT60*BT61/1000</x:f>
      </x:c>
      <x:c r="BU62" s="107" t="n">
        <x:f>BU60*BU61/1000</x:f>
      </x:c>
      <x:c r="BV62" s="107" t="n">
        <x:f>BV60*BV61/1000</x:f>
      </x:c>
      <x:c r="BW62" s="107" t="n">
        <x:f>BW60*BW61/1000</x:f>
      </x:c>
      <x:c r="BX62" s="107" t="n">
        <x:f>BX60*BX61/1000</x:f>
      </x:c>
      <x:c r="BY62" s="107" t="n">
        <x:f>BY60*BY61/1000</x:f>
      </x:c>
      <x:c r="BZ62" s="107" t="n">
        <x:f>BZ60*BZ61/1000</x:f>
      </x:c>
      <x:c r="CA62" s="107" t="n">
        <x:f>CA60*CA61/1000</x:f>
      </x:c>
      <x:c r="CB62" s="107" t="n">
        <x:f>CB60*CB61/1000</x:f>
      </x:c>
      <x:c r="CC62" s="107" t="n">
        <x:f>CC60*CC61/1000</x:f>
      </x:c>
      <x:c r="CD62" s="107" t="n">
        <x:f>CD60*CD61/1000</x:f>
      </x:c>
      <x:c r="CE62" s="107" t="n">
        <x:f>CE60*CE61/1000</x:f>
      </x:c>
      <x:c r="CF62" s="107" t="n">
        <x:f>CF60*CF61/1000</x:f>
      </x:c>
      <x:c r="CG62" s="107" t="n">
        <x:f>CG60*CG61/1000</x:f>
      </x:c>
      <x:c r="CH62" s="107" t="n">
        <x:f>CH60*CH61/1000</x:f>
      </x:c>
      <x:c r="CI62" s="107" t="n">
        <x:f>CI60*CI61/1000</x:f>
      </x:c>
      <x:c r="CJ62" s="107" t="n">
        <x:f>CJ60*CJ61/1000</x:f>
      </x:c>
      <x:c r="CK62" s="107" t="n">
        <x:f>CK60*CK61/1000</x:f>
      </x:c>
      <x:c r="CL62" s="107" t="n">
        <x:f>CL60*CL61/1000</x:f>
      </x:c>
      <x:c r="CM62" s="107" t="n">
        <x:f>CM60*CM61/1000</x:f>
      </x:c>
      <x:c r="CN62" s="107" t="n">
        <x:f>CN60*CN61/1000</x:f>
      </x:c>
      <x:c r="CO62" s="107" t="n">
        <x:f>CO60*CO61/1000</x:f>
      </x:c>
      <x:c r="CP62" s="107" t="n">
        <x:f>CP60*CP61/1000</x:f>
      </x:c>
      <x:c r="CQ62" s="107" t="n">
        <x:f>CQ60*CQ61/1000</x:f>
      </x:c>
      <x:c r="CR62" s="107" t="n">
        <x:f>CR60*CR61/1000</x:f>
      </x:c>
      <x:c r="CS62" s="107" t="n">
        <x:f>CS60*CS61/1000</x:f>
      </x:c>
      <x:c r="CT62" s="107" t="n">
        <x:f>CT60*CT61/1000</x:f>
      </x:c>
      <x:c r="CU62" s="107" t="n">
        <x:f>CU60*CU61/1000</x:f>
      </x:c>
      <x:c r="CV62" s="107" t="n">
        <x:f>CV60*CV61/1000</x:f>
      </x:c>
      <x:c r="CW62" s="107" t="n">
        <x:f>CW60*CW61/1000</x:f>
      </x:c>
      <x:c r="CX62" s="107" t="n">
        <x:f>CX60*CX61/1000</x:f>
      </x:c>
      <x:c r="CY62" s="107" t="n">
        <x:f>CY60*CY61/1000</x:f>
      </x:c>
      <x:c r="CZ62" s="107" t="n">
        <x:f>CZ60*CZ61/1000</x:f>
      </x:c>
      <x:c r="DA62" s="107" t="n">
        <x:f>DA60*DA61/1000</x:f>
      </x:c>
      <x:c r="DB62" s="107" t="n">
        <x:f>DB60*DB61/1000</x:f>
      </x:c>
      <x:c r="DC62" s="107" t="n">
        <x:f>DC60*DC61/1000</x:f>
      </x:c>
      <x:c r="DD62" s="107" t="n">
        <x:f>DD60*DD61/1000</x:f>
      </x:c>
      <x:c r="DE62" s="107" t="n">
        <x:f>DE60*DE61/1000</x:f>
      </x:c>
      <x:c r="DF62" s="107" t="n">
        <x:f>DF60*DF61/1000</x:f>
      </x:c>
      <x:c r="DG62" s="107" t="n">
        <x:f>DG60*DG61/1000</x:f>
      </x:c>
      <x:c r="DH62" s="107" t="n">
        <x:f>DH60*DH61/1000</x:f>
      </x:c>
      <x:c r="DI62" s="107" t="n">
        <x:f>DI60*DI61/1000</x:f>
      </x:c>
      <x:c r="DJ62" s="107" t="n">
        <x:f>DJ60*DJ61/1000</x:f>
      </x:c>
      <x:c r="DK62" s="107" t="n">
        <x:f>DK60*DK61/1000</x:f>
      </x:c>
      <x:c r="DL62" s="107" t="n">
        <x:f>DL60*DL61/1000</x:f>
      </x:c>
      <x:c r="DM62" s="107" t="n">
        <x:f>DM60*DM61/1000</x:f>
      </x:c>
      <x:c r="DN62" s="107" t="n">
        <x:f>DN60*DN61/1000</x:f>
      </x:c>
      <x:c r="DO62" s="107" t="n">
        <x:f>DO60*DO61/1000</x:f>
      </x:c>
      <x:c r="DP62" s="107" t="n">
        <x:f>DP60*DP61/1000</x:f>
      </x:c>
      <x:c r="DQ62" s="107" t="n">
        <x:f>DQ60*DQ61/1000</x:f>
      </x:c>
      <x:c r="DR62" s="107" t="n">
        <x:f>DR60*DR61/1000</x:f>
      </x:c>
      <x:c r="DS62" s="107" t="n">
        <x:f>DS60*DS61/1000</x:f>
      </x:c>
      <x:c r="DT62" s="107" t="n">
        <x:f>DT60*DT61/1000</x:f>
      </x:c>
      <x:c r="DU62" s="107" t="n">
        <x:f>DU60*DU61/1000</x:f>
      </x:c>
      <x:c r="DV62" s="107" t="n">
        <x:f>DV60*DV61/1000</x:f>
      </x:c>
      <x:c r="DW62" s="107" t="n">
        <x:f>DW60*DW61/1000</x:f>
      </x:c>
      <x:c r="DX62" s="107" t="n">
        <x:f>DX60*DX61/1000</x:f>
      </x:c>
      <x:c r="DY62" s="107" t="n">
        <x:f>DY60*DY61/1000</x:f>
      </x:c>
      <x:c r="DZ62" s="107" t="n">
        <x:f>DZ60*DZ61/1000</x:f>
      </x:c>
      <x:c r="EA62" s="107" t="n">
        <x:f>EA60*EA61/1000</x:f>
      </x:c>
      <x:c r="EB62" s="107" t="n">
        <x:f>EB60*EB61/1000</x:f>
      </x:c>
      <x:c r="EC62" s="107" t="n">
        <x:f>EC60*EC61/1000</x:f>
      </x:c>
      <x:c r="ED62" s="107" t="n">
        <x:f>ED60*ED61/1000</x:f>
      </x:c>
      <x:c r="EE62" s="107" t="n">
        <x:f>EE60*EE61/1000</x:f>
      </x:c>
      <x:c r="EF62" s="107" t="n">
        <x:f>EF60*EF61/1000</x:f>
      </x:c>
      <x:c r="EG62" s="107" t="n">
        <x:f>EG60*EG61/1000</x:f>
      </x:c>
      <x:c r="EH62" s="107" t="n">
        <x:f>EH60*EH61/1000</x:f>
      </x:c>
      <x:c r="EI62" s="107" t="n">
        <x:f>EI60*EI61/1000</x:f>
      </x:c>
      <x:c r="EJ62" s="107" t="n">
        <x:f>EJ60*EJ61/1000</x:f>
      </x:c>
      <x:c r="EK62" s="107" t="n">
        <x:f>EK60*EK61/1000</x:f>
      </x:c>
      <x:c r="EL62" s="107" t="n">
        <x:f>EL60*EL61/1000</x:f>
      </x:c>
      <x:c r="EM62" s="107" t="n">
        <x:f>EM60*EM61/1000</x:f>
      </x:c>
      <x:c r="EN62" s="107" t="n">
        <x:f>EN60*EN61/1000</x:f>
      </x:c>
      <x:c r="EO62" s="107" t="n">
        <x:f>EO60*EO61/1000</x:f>
      </x:c>
      <x:c r="EP62" s="107" t="n">
        <x:f>EP60*EP61/1000</x:f>
      </x:c>
      <x:c r="EQ62" s="107" t="n">
        <x:f>EQ60*EQ61/1000</x:f>
      </x:c>
      <x:c r="ER62" s="107" t="n">
        <x:f>ER60*ER61/1000</x:f>
      </x:c>
      <x:c r="ES62" s="107" t="n">
        <x:f>ES60*ES61/1000</x:f>
      </x:c>
      <x:c r="ET62" s="107" t="n">
        <x:f>ET60*ET61/1000</x:f>
      </x:c>
      <x:c r="EU62" s="107" t="n">
        <x:f>EU60*EU61/1000</x:f>
      </x:c>
      <x:c r="EV62" s="107" t="n">
        <x:f>EV60*EV61/1000</x:f>
      </x:c>
      <x:c r="EW62" s="107" t="n">
        <x:f>EW60*EW61/1000</x:f>
      </x:c>
      <x:c r="EX62" s="107" t="n">
        <x:f>EX60*EX61/1000</x:f>
      </x:c>
      <x:c r="EY62" s="107" t="n">
        <x:f>EY60*EY61/1000</x:f>
      </x:c>
      <x:c r="EZ62" s="107" t="n">
        <x:f>EZ60*EZ61/1000</x:f>
      </x:c>
      <x:c r="FA62" s="107" t="n">
        <x:f>FA60*FA61/1000</x:f>
      </x:c>
      <x:c r="FB62" s="107" t="n">
        <x:f>FB60*FB61/1000</x:f>
      </x:c>
      <x:c r="FC62" s="107" t="n">
        <x:f>FC60*FC61/1000</x:f>
      </x:c>
      <x:c r="FD62" s="107" t="n">
        <x:f>FD60*FD61/1000</x:f>
      </x:c>
      <x:c r="FE62" s="107" t="n">
        <x:f>FE60*FE61/1000</x:f>
      </x:c>
      <x:c r="FF62" s="107" t="n">
        <x:f>FF60*FF61/1000</x:f>
      </x:c>
      <x:c r="FG62" s="107" t="n">
        <x:f>FG60*FG61/1000</x:f>
      </x:c>
      <x:c r="FH62" s="107" t="n">
        <x:f>FH60*FH61/1000</x:f>
      </x:c>
      <x:c r="FI62" s="107" t="n">
        <x:f>FI60*FI61/1000</x:f>
      </x:c>
      <x:c r="FJ62" s="107" t="n">
        <x:f>FJ60*FJ61/1000</x:f>
      </x:c>
      <x:c r="FK62" s="107" t="n">
        <x:f>FK60*FK61/1000</x:f>
      </x:c>
      <x:c r="FL62" s="107" t="n">
        <x:f>FL60*FL61/1000</x:f>
      </x:c>
      <x:c r="FM62" s="107" t="n">
        <x:f>FM60*FM61/1000</x:f>
      </x:c>
      <x:c r="FN62" s="107" t="n">
        <x:f>FN60*FN61/1000</x:f>
      </x:c>
      <x:c r="FO62" s="107" t="n">
        <x:f>FO60*FO61/1000</x:f>
      </x:c>
      <x:c r="FP62" s="107" t="n">
        <x:f>FP60*FP61/1000</x:f>
      </x:c>
      <x:c r="FQ62" s="107" t="n">
        <x:f>FQ60*FQ61/1000</x:f>
      </x:c>
      <x:c r="FR62" s="107" t="n">
        <x:f>FR60*FR61/1000</x:f>
      </x:c>
      <x:c r="FS62" s="107" t="n">
        <x:f>FS60*FS61/1000</x:f>
      </x:c>
      <x:c r="FT62" s="107" t="n">
        <x:f>FT60*FT61/1000</x:f>
      </x:c>
      <x:c r="FU62" s="107" t="n">
        <x:f>FU60*FU61/1000</x:f>
      </x:c>
      <x:c r="FV62" s="107" t="n">
        <x:f>FV60*FV61/1000</x:f>
      </x:c>
      <x:c r="FW62" s="107" t="n">
        <x:f>FW60*FW61/1000</x:f>
      </x:c>
      <x:c r="FX62" s="107" t="n">
        <x:f>FX60*FX61/1000</x:f>
      </x:c>
      <x:c r="FY62" s="107" t="n">
        <x:f>FY60*FY61/1000</x:f>
      </x:c>
      <x:c r="FZ62" s="107" t="n">
        <x:f>FZ60*FZ61/1000</x:f>
      </x:c>
      <x:c r="GA62" s="107" t="n">
        <x:f>GA60*GA61/1000</x:f>
      </x:c>
    </x:row>
    <x:row r="63">
      <x:c r="A63" t="str">
        <x:v>Коммерция — объём</x:v>
      </x:c>
      <x:c r="B63" t="n">
        <x:f>SUM(D63:GA63)</x:f>
      </x:c>
      <x:c r="C63" t="str">
        <x:v>м²</x:v>
      </x:c>
      <x:c r="D63" s="107" t="n">
        <x:f>'Вводные'!$M$90*((IF(SUM($D55:$GA55)=0,0,IF(SUM($D58:$GA58)=0,1,'Вводные'!$B$63)))*D57+(1-(IF(SUM($D55:$GA55)=0,0,IF(SUM($D58:$GA58)=0,1,'Вводные'!$B$63))))*D59)</x:f>
      </x:c>
      <x:c r="E63" s="107" t="n">
        <x:f>'Вводные'!$M$90*((IF(SUM($D55:$GA55)=0,0,IF(SUM($D58:$GA58)=0,1,'Вводные'!$B$63)))*E57+(1-(IF(SUM($D55:$GA55)=0,0,IF(SUM($D58:$GA58)=0,1,'Вводные'!$B$63))))*E59)</x:f>
      </x:c>
      <x:c r="F63" s="107" t="n">
        <x:f>'Вводные'!$M$90*((IF(SUM($D55:$GA55)=0,0,IF(SUM($D58:$GA58)=0,1,'Вводные'!$B$63)))*F57+(1-(IF(SUM($D55:$GA55)=0,0,IF(SUM($D58:$GA58)=0,1,'Вводные'!$B$63))))*F59)</x:f>
      </x:c>
      <x:c r="G63" s="107" t="n">
        <x:f>'Вводные'!$M$90*((IF(SUM($D55:$GA55)=0,0,IF(SUM($D58:$GA58)=0,1,'Вводные'!$B$63)))*G57+(1-(IF(SUM($D55:$GA55)=0,0,IF(SUM($D58:$GA58)=0,1,'Вводные'!$B$63))))*G59)</x:f>
      </x:c>
      <x:c r="H63" s="107" t="n">
        <x:f>'Вводные'!$M$90*((IF(SUM($D55:$GA55)=0,0,IF(SUM($D58:$GA58)=0,1,'Вводные'!$B$63)))*H57+(1-(IF(SUM($D55:$GA55)=0,0,IF(SUM($D58:$GA58)=0,1,'Вводные'!$B$63))))*H59)</x:f>
      </x:c>
      <x:c r="I63" s="107" t="n">
        <x:f>'Вводные'!$M$90*((IF(SUM($D55:$GA55)=0,0,IF(SUM($D58:$GA58)=0,1,'Вводные'!$B$63)))*I57+(1-(IF(SUM($D55:$GA55)=0,0,IF(SUM($D58:$GA58)=0,1,'Вводные'!$B$63))))*I59)</x:f>
      </x:c>
      <x:c r="J63" s="107" t="n">
        <x:f>'Вводные'!$M$90*((IF(SUM($D55:$GA55)=0,0,IF(SUM($D58:$GA58)=0,1,'Вводные'!$B$63)))*J57+(1-(IF(SUM($D55:$GA55)=0,0,IF(SUM($D58:$GA58)=0,1,'Вводные'!$B$63))))*J59)</x:f>
      </x:c>
      <x:c r="K63" s="107" t="n">
        <x:f>'Вводные'!$M$90*((IF(SUM($D55:$GA55)=0,0,IF(SUM($D58:$GA58)=0,1,'Вводные'!$B$63)))*K57+(1-(IF(SUM($D55:$GA55)=0,0,IF(SUM($D58:$GA58)=0,1,'Вводные'!$B$63))))*K59)</x:f>
      </x:c>
      <x:c r="L63" s="107" t="n">
        <x:f>'Вводные'!$M$90*((IF(SUM($D55:$GA55)=0,0,IF(SUM($D58:$GA58)=0,1,'Вводные'!$B$63)))*L57+(1-(IF(SUM($D55:$GA55)=0,0,IF(SUM($D58:$GA58)=0,1,'Вводные'!$B$63))))*L59)</x:f>
      </x:c>
      <x:c r="M63" s="107" t="n">
        <x:f>'Вводные'!$M$90*((IF(SUM($D55:$GA55)=0,0,IF(SUM($D58:$GA58)=0,1,'Вводные'!$B$63)))*M57+(1-(IF(SUM($D55:$GA55)=0,0,IF(SUM($D58:$GA58)=0,1,'Вводные'!$B$63))))*M59)</x:f>
      </x:c>
      <x:c r="N63" s="107" t="n">
        <x:f>'Вводные'!$M$90*((IF(SUM($D55:$GA55)=0,0,IF(SUM($D58:$GA58)=0,1,'Вводные'!$B$63)))*N57+(1-(IF(SUM($D55:$GA55)=0,0,IF(SUM($D58:$GA58)=0,1,'Вводные'!$B$63))))*N59)</x:f>
      </x:c>
      <x:c r="O63" s="107" t="n">
        <x:f>'Вводные'!$M$90*((IF(SUM($D55:$GA55)=0,0,IF(SUM($D58:$GA58)=0,1,'Вводные'!$B$63)))*O57+(1-(IF(SUM($D55:$GA55)=0,0,IF(SUM($D58:$GA58)=0,1,'Вводные'!$B$63))))*O59)</x:f>
      </x:c>
      <x:c r="P63" s="107" t="n">
        <x:f>'Вводные'!$M$90*((IF(SUM($D55:$GA55)=0,0,IF(SUM($D58:$GA58)=0,1,'Вводные'!$B$63)))*P57+(1-(IF(SUM($D55:$GA55)=0,0,IF(SUM($D58:$GA58)=0,1,'Вводные'!$B$63))))*P59)</x:f>
      </x:c>
      <x:c r="Q63" s="107" t="n">
        <x:f>'Вводные'!$M$90*((IF(SUM($D55:$GA55)=0,0,IF(SUM($D58:$GA58)=0,1,'Вводные'!$B$63)))*Q57+(1-(IF(SUM($D55:$GA55)=0,0,IF(SUM($D58:$GA58)=0,1,'Вводные'!$B$63))))*Q59)</x:f>
      </x:c>
      <x:c r="R63" s="107" t="n">
        <x:f>'Вводные'!$M$90*((IF(SUM($D55:$GA55)=0,0,IF(SUM($D58:$GA58)=0,1,'Вводные'!$B$63)))*R57+(1-(IF(SUM($D55:$GA55)=0,0,IF(SUM($D58:$GA58)=0,1,'Вводные'!$B$63))))*R59)</x:f>
      </x:c>
      <x:c r="S63" s="107" t="n">
        <x:f>'Вводные'!$M$90*((IF(SUM($D55:$GA55)=0,0,IF(SUM($D58:$GA58)=0,1,'Вводные'!$B$63)))*S57+(1-(IF(SUM($D55:$GA55)=0,0,IF(SUM($D58:$GA58)=0,1,'Вводные'!$B$63))))*S59)</x:f>
      </x:c>
      <x:c r="T63" s="107" t="n">
        <x:f>'Вводные'!$M$90*((IF(SUM($D55:$GA55)=0,0,IF(SUM($D58:$GA58)=0,1,'Вводные'!$B$63)))*T57+(1-(IF(SUM($D55:$GA55)=0,0,IF(SUM($D58:$GA58)=0,1,'Вводные'!$B$63))))*T59)</x:f>
      </x:c>
      <x:c r="U63" s="107" t="n">
        <x:f>'Вводные'!$M$90*((IF(SUM($D55:$GA55)=0,0,IF(SUM($D58:$GA58)=0,1,'Вводные'!$B$63)))*U57+(1-(IF(SUM($D55:$GA55)=0,0,IF(SUM($D58:$GA58)=0,1,'Вводные'!$B$63))))*U59)</x:f>
      </x:c>
      <x:c r="V63" s="107" t="n">
        <x:f>'Вводные'!$M$90*((IF(SUM($D55:$GA55)=0,0,IF(SUM($D58:$GA58)=0,1,'Вводные'!$B$63)))*V57+(1-(IF(SUM($D55:$GA55)=0,0,IF(SUM($D58:$GA58)=0,1,'Вводные'!$B$63))))*V59)</x:f>
      </x:c>
      <x:c r="W63" s="107" t="n">
        <x:f>'Вводные'!$M$90*((IF(SUM($D55:$GA55)=0,0,IF(SUM($D58:$GA58)=0,1,'Вводные'!$B$63)))*W57+(1-(IF(SUM($D55:$GA55)=0,0,IF(SUM($D58:$GA58)=0,1,'Вводные'!$B$63))))*W59)</x:f>
      </x:c>
      <x:c r="X63" s="107" t="n">
        <x:f>'Вводные'!$M$90*((IF(SUM($D55:$GA55)=0,0,IF(SUM($D58:$GA58)=0,1,'Вводные'!$B$63)))*X57+(1-(IF(SUM($D55:$GA55)=0,0,IF(SUM($D58:$GA58)=0,1,'Вводные'!$B$63))))*X59)</x:f>
      </x:c>
      <x:c r="Y63" s="107" t="n">
        <x:f>'Вводные'!$M$90*((IF(SUM($D55:$GA55)=0,0,IF(SUM($D58:$GA58)=0,1,'Вводные'!$B$63)))*Y57+(1-(IF(SUM($D55:$GA55)=0,0,IF(SUM($D58:$GA58)=0,1,'Вводные'!$B$63))))*Y59)</x:f>
      </x:c>
      <x:c r="Z63" s="107" t="n">
        <x:f>'Вводные'!$M$90*((IF(SUM($D55:$GA55)=0,0,IF(SUM($D58:$GA58)=0,1,'Вводные'!$B$63)))*Z57+(1-(IF(SUM($D55:$GA55)=0,0,IF(SUM($D58:$GA58)=0,1,'Вводные'!$B$63))))*Z59)</x:f>
      </x:c>
      <x:c r="AA63" s="107" t="n">
        <x:f>'Вводные'!$M$90*((IF(SUM($D55:$GA55)=0,0,IF(SUM($D58:$GA58)=0,1,'Вводные'!$B$63)))*AA57+(1-(IF(SUM($D55:$GA55)=0,0,IF(SUM($D58:$GA58)=0,1,'Вводные'!$B$63))))*AA59)</x:f>
      </x:c>
      <x:c r="AB63" s="107" t="n">
        <x:f>'Вводные'!$M$90*((IF(SUM($D55:$GA55)=0,0,IF(SUM($D58:$GA58)=0,1,'Вводные'!$B$63)))*AB57+(1-(IF(SUM($D55:$GA55)=0,0,IF(SUM($D58:$GA58)=0,1,'Вводные'!$B$63))))*AB59)</x:f>
      </x:c>
      <x:c r="AC63" s="107" t="n">
        <x:f>'Вводные'!$M$90*((IF(SUM($D55:$GA55)=0,0,IF(SUM($D58:$GA58)=0,1,'Вводные'!$B$63)))*AC57+(1-(IF(SUM($D55:$GA55)=0,0,IF(SUM($D58:$GA58)=0,1,'Вводные'!$B$63))))*AC59)</x:f>
      </x:c>
      <x:c r="AD63" s="107" t="n">
        <x:f>'Вводные'!$M$90*((IF(SUM($D55:$GA55)=0,0,IF(SUM($D58:$GA58)=0,1,'Вводные'!$B$63)))*AD57+(1-(IF(SUM($D55:$GA55)=0,0,IF(SUM($D58:$GA58)=0,1,'Вводные'!$B$63))))*AD59)</x:f>
      </x:c>
      <x:c r="AE63" s="107" t="n">
        <x:f>'Вводные'!$M$90*((IF(SUM($D55:$GA55)=0,0,IF(SUM($D58:$GA58)=0,1,'Вводные'!$B$63)))*AE57+(1-(IF(SUM($D55:$GA55)=0,0,IF(SUM($D58:$GA58)=0,1,'Вводные'!$B$63))))*AE59)</x:f>
      </x:c>
      <x:c r="AF63" s="107" t="n">
        <x:f>'Вводные'!$M$90*((IF(SUM($D55:$GA55)=0,0,IF(SUM($D58:$GA58)=0,1,'Вводные'!$B$63)))*AF57+(1-(IF(SUM($D55:$GA55)=0,0,IF(SUM($D58:$GA58)=0,1,'Вводные'!$B$63))))*AF59)</x:f>
      </x:c>
      <x:c r="AG63" s="107" t="n">
        <x:f>'Вводные'!$M$90*((IF(SUM($D55:$GA55)=0,0,IF(SUM($D58:$GA58)=0,1,'Вводные'!$B$63)))*AG57+(1-(IF(SUM($D55:$GA55)=0,0,IF(SUM($D58:$GA58)=0,1,'Вводные'!$B$63))))*AG59)</x:f>
      </x:c>
      <x:c r="AH63" s="107" t="n">
        <x:f>'Вводные'!$M$90*((IF(SUM($D55:$GA55)=0,0,IF(SUM($D58:$GA58)=0,1,'Вводные'!$B$63)))*AH57+(1-(IF(SUM($D55:$GA55)=0,0,IF(SUM($D58:$GA58)=0,1,'Вводные'!$B$63))))*AH59)</x:f>
      </x:c>
      <x:c r="AI63" s="107" t="n">
        <x:f>'Вводные'!$M$90*((IF(SUM($D55:$GA55)=0,0,IF(SUM($D58:$GA58)=0,1,'Вводные'!$B$63)))*AI57+(1-(IF(SUM($D55:$GA55)=0,0,IF(SUM($D58:$GA58)=0,1,'Вводные'!$B$63))))*AI59)</x:f>
      </x:c>
      <x:c r="AJ63" s="107" t="n">
        <x:f>'Вводные'!$M$90*((IF(SUM($D55:$GA55)=0,0,IF(SUM($D58:$GA58)=0,1,'Вводные'!$B$63)))*AJ57+(1-(IF(SUM($D55:$GA55)=0,0,IF(SUM($D58:$GA58)=0,1,'Вводные'!$B$63))))*AJ59)</x:f>
      </x:c>
      <x:c r="AK63" s="107" t="n">
        <x:f>'Вводные'!$M$90*((IF(SUM($D55:$GA55)=0,0,IF(SUM($D58:$GA58)=0,1,'Вводные'!$B$63)))*AK57+(1-(IF(SUM($D55:$GA55)=0,0,IF(SUM($D58:$GA58)=0,1,'Вводные'!$B$63))))*AK59)</x:f>
      </x:c>
      <x:c r="AL63" s="107" t="n">
        <x:f>'Вводные'!$M$90*((IF(SUM($D55:$GA55)=0,0,IF(SUM($D58:$GA58)=0,1,'Вводные'!$B$63)))*AL57+(1-(IF(SUM($D55:$GA55)=0,0,IF(SUM($D58:$GA58)=0,1,'Вводные'!$B$63))))*AL59)</x:f>
      </x:c>
      <x:c r="AM63" s="107" t="n">
        <x:f>'Вводные'!$M$90*((IF(SUM($D55:$GA55)=0,0,IF(SUM($D58:$GA58)=0,1,'Вводные'!$B$63)))*AM57+(1-(IF(SUM($D55:$GA55)=0,0,IF(SUM($D58:$GA58)=0,1,'Вводные'!$B$63))))*AM59)</x:f>
      </x:c>
      <x:c r="AN63" s="107" t="n">
        <x:f>'Вводные'!$M$90*((IF(SUM($D55:$GA55)=0,0,IF(SUM($D58:$GA58)=0,1,'Вводные'!$B$63)))*AN57+(1-(IF(SUM($D55:$GA55)=0,0,IF(SUM($D58:$GA58)=0,1,'Вводные'!$B$63))))*AN59)</x:f>
      </x:c>
      <x:c r="AO63" s="107" t="n">
        <x:f>'Вводные'!$M$90*((IF(SUM($D55:$GA55)=0,0,IF(SUM($D58:$GA58)=0,1,'Вводные'!$B$63)))*AO57+(1-(IF(SUM($D55:$GA55)=0,0,IF(SUM($D58:$GA58)=0,1,'Вводные'!$B$63))))*AO59)</x:f>
      </x:c>
      <x:c r="AP63" s="107" t="n">
        <x:f>'Вводные'!$M$90*((IF(SUM($D55:$GA55)=0,0,IF(SUM($D58:$GA58)=0,1,'Вводные'!$B$63)))*AP57+(1-(IF(SUM($D55:$GA55)=0,0,IF(SUM($D58:$GA58)=0,1,'Вводные'!$B$63))))*AP59)</x:f>
      </x:c>
      <x:c r="AQ63" s="107" t="n">
        <x:f>'Вводные'!$M$90*((IF(SUM($D55:$GA55)=0,0,IF(SUM($D58:$GA58)=0,1,'Вводные'!$B$63)))*AQ57+(1-(IF(SUM($D55:$GA55)=0,0,IF(SUM($D58:$GA58)=0,1,'Вводные'!$B$63))))*AQ59)</x:f>
      </x:c>
      <x:c r="AR63" s="107" t="n">
        <x:f>'Вводные'!$M$90*((IF(SUM($D55:$GA55)=0,0,IF(SUM($D58:$GA58)=0,1,'Вводные'!$B$63)))*AR57+(1-(IF(SUM($D55:$GA55)=0,0,IF(SUM($D58:$GA58)=0,1,'Вводные'!$B$63))))*AR59)</x:f>
      </x:c>
      <x:c r="AS63" s="107" t="n">
        <x:f>'Вводные'!$M$90*((IF(SUM($D55:$GA55)=0,0,IF(SUM($D58:$GA58)=0,1,'Вводные'!$B$63)))*AS57+(1-(IF(SUM($D55:$GA55)=0,0,IF(SUM($D58:$GA58)=0,1,'Вводные'!$B$63))))*AS59)</x:f>
      </x:c>
      <x:c r="AT63" s="107" t="n">
        <x:f>'Вводные'!$M$90*((IF(SUM($D55:$GA55)=0,0,IF(SUM($D58:$GA58)=0,1,'Вводные'!$B$63)))*AT57+(1-(IF(SUM($D55:$GA55)=0,0,IF(SUM($D58:$GA58)=0,1,'Вводные'!$B$63))))*AT59)</x:f>
      </x:c>
      <x:c r="AU63" s="107" t="n">
        <x:f>'Вводные'!$M$90*((IF(SUM($D55:$GA55)=0,0,IF(SUM($D58:$GA58)=0,1,'Вводные'!$B$63)))*AU57+(1-(IF(SUM($D55:$GA55)=0,0,IF(SUM($D58:$GA58)=0,1,'Вводные'!$B$63))))*AU59)</x:f>
      </x:c>
      <x:c r="AV63" s="107" t="n">
        <x:f>'Вводные'!$M$90*((IF(SUM($D55:$GA55)=0,0,IF(SUM($D58:$GA58)=0,1,'Вводные'!$B$63)))*AV57+(1-(IF(SUM($D55:$GA55)=0,0,IF(SUM($D58:$GA58)=0,1,'Вводные'!$B$63))))*AV59)</x:f>
      </x:c>
      <x:c r="AW63" s="107" t="n">
        <x:f>'Вводные'!$M$90*((IF(SUM($D55:$GA55)=0,0,IF(SUM($D58:$GA58)=0,1,'Вводные'!$B$63)))*AW57+(1-(IF(SUM($D55:$GA55)=0,0,IF(SUM($D58:$GA58)=0,1,'Вводные'!$B$63))))*AW59)</x:f>
      </x:c>
      <x:c r="AX63" s="107" t="n">
        <x:f>'Вводные'!$M$90*((IF(SUM($D55:$GA55)=0,0,IF(SUM($D58:$GA58)=0,1,'Вводные'!$B$63)))*AX57+(1-(IF(SUM($D55:$GA55)=0,0,IF(SUM($D58:$GA58)=0,1,'Вводные'!$B$63))))*AX59)</x:f>
      </x:c>
      <x:c r="AY63" s="107" t="n">
        <x:f>'Вводные'!$M$90*((IF(SUM($D55:$GA55)=0,0,IF(SUM($D58:$GA58)=0,1,'Вводные'!$B$63)))*AY57+(1-(IF(SUM($D55:$GA55)=0,0,IF(SUM($D58:$GA58)=0,1,'Вводные'!$B$63))))*AY59)</x:f>
      </x:c>
      <x:c r="AZ63" s="107" t="n">
        <x:f>'Вводные'!$M$90*((IF(SUM($D55:$GA55)=0,0,IF(SUM($D58:$GA58)=0,1,'Вводные'!$B$63)))*AZ57+(1-(IF(SUM($D55:$GA55)=0,0,IF(SUM($D58:$GA58)=0,1,'Вводные'!$B$63))))*AZ59)</x:f>
      </x:c>
      <x:c r="BA63" s="107" t="n">
        <x:f>'Вводные'!$M$90*((IF(SUM($D55:$GA55)=0,0,IF(SUM($D58:$GA58)=0,1,'Вводные'!$B$63)))*BA57+(1-(IF(SUM($D55:$GA55)=0,0,IF(SUM($D58:$GA58)=0,1,'Вводные'!$B$63))))*BA59)</x:f>
      </x:c>
      <x:c r="BB63" s="107" t="n">
        <x:f>'Вводные'!$M$90*((IF(SUM($D55:$GA55)=0,0,IF(SUM($D58:$GA58)=0,1,'Вводные'!$B$63)))*BB57+(1-(IF(SUM($D55:$GA55)=0,0,IF(SUM($D58:$GA58)=0,1,'Вводные'!$B$63))))*BB59)</x:f>
      </x:c>
      <x:c r="BC63" s="107" t="n">
        <x:f>'Вводные'!$M$90*((IF(SUM($D55:$GA55)=0,0,IF(SUM($D58:$GA58)=0,1,'Вводные'!$B$63)))*BC57+(1-(IF(SUM($D55:$GA55)=0,0,IF(SUM($D58:$GA58)=0,1,'Вводные'!$B$63))))*BC59)</x:f>
      </x:c>
      <x:c r="BD63" s="107" t="n">
        <x:f>'Вводные'!$M$90*((IF(SUM($D55:$GA55)=0,0,IF(SUM($D58:$GA58)=0,1,'Вводные'!$B$63)))*BD57+(1-(IF(SUM($D55:$GA55)=0,0,IF(SUM($D58:$GA58)=0,1,'Вводные'!$B$63))))*BD59)</x:f>
      </x:c>
      <x:c r="BE63" s="107" t="n">
        <x:f>'Вводные'!$M$90*((IF(SUM($D55:$GA55)=0,0,IF(SUM($D58:$GA58)=0,1,'Вводные'!$B$63)))*BE57+(1-(IF(SUM($D55:$GA55)=0,0,IF(SUM($D58:$GA58)=0,1,'Вводные'!$B$63))))*BE59)</x:f>
      </x:c>
      <x:c r="BF63" s="107" t="n">
        <x:f>'Вводные'!$M$90*((IF(SUM($D55:$GA55)=0,0,IF(SUM($D58:$GA58)=0,1,'Вводные'!$B$63)))*BF57+(1-(IF(SUM($D55:$GA55)=0,0,IF(SUM($D58:$GA58)=0,1,'Вводные'!$B$63))))*BF59)</x:f>
      </x:c>
      <x:c r="BG63" s="107" t="n">
        <x:f>'Вводные'!$M$90*((IF(SUM($D55:$GA55)=0,0,IF(SUM($D58:$GA58)=0,1,'Вводные'!$B$63)))*BG57+(1-(IF(SUM($D55:$GA55)=0,0,IF(SUM($D58:$GA58)=0,1,'Вводные'!$B$63))))*BG59)</x:f>
      </x:c>
      <x:c r="BH63" s="107" t="n">
        <x:f>'Вводные'!$M$90*((IF(SUM($D55:$GA55)=0,0,IF(SUM($D58:$GA58)=0,1,'Вводные'!$B$63)))*BH57+(1-(IF(SUM($D55:$GA55)=0,0,IF(SUM($D58:$GA58)=0,1,'Вводные'!$B$63))))*BH59)</x:f>
      </x:c>
      <x:c r="BI63" s="107" t="n">
        <x:f>'Вводные'!$M$90*((IF(SUM($D55:$GA55)=0,0,IF(SUM($D58:$GA58)=0,1,'Вводные'!$B$63)))*BI57+(1-(IF(SUM($D55:$GA55)=0,0,IF(SUM($D58:$GA58)=0,1,'Вводные'!$B$63))))*BI59)</x:f>
      </x:c>
      <x:c r="BJ63" s="107" t="n">
        <x:f>'Вводные'!$M$90*((IF(SUM($D55:$GA55)=0,0,IF(SUM($D58:$GA58)=0,1,'Вводные'!$B$63)))*BJ57+(1-(IF(SUM($D55:$GA55)=0,0,IF(SUM($D58:$GA58)=0,1,'Вводные'!$B$63))))*BJ59)</x:f>
      </x:c>
      <x:c r="BK63" s="107" t="n">
        <x:f>'Вводные'!$M$90*((IF(SUM($D55:$GA55)=0,0,IF(SUM($D58:$GA58)=0,1,'Вводные'!$B$63)))*BK57+(1-(IF(SUM($D55:$GA55)=0,0,IF(SUM($D58:$GA58)=0,1,'Вводные'!$B$63))))*BK59)</x:f>
      </x:c>
      <x:c r="BL63" s="107" t="n">
        <x:f>'Вводные'!$M$90*((IF(SUM($D55:$GA55)=0,0,IF(SUM($D58:$GA58)=0,1,'Вводные'!$B$63)))*BL57+(1-(IF(SUM($D55:$GA55)=0,0,IF(SUM($D58:$GA58)=0,1,'Вводные'!$B$63))))*BL59)</x:f>
      </x:c>
      <x:c r="BM63" s="107" t="n">
        <x:f>'Вводные'!$M$90*((IF(SUM($D55:$GA55)=0,0,IF(SUM($D58:$GA58)=0,1,'Вводные'!$B$63)))*BM57+(1-(IF(SUM($D55:$GA55)=0,0,IF(SUM($D58:$GA58)=0,1,'Вводные'!$B$63))))*BM59)</x:f>
      </x:c>
      <x:c r="BN63" s="107" t="n">
        <x:f>'Вводные'!$M$90*((IF(SUM($D55:$GA55)=0,0,IF(SUM($D58:$GA58)=0,1,'Вводные'!$B$63)))*BN57+(1-(IF(SUM($D55:$GA55)=0,0,IF(SUM($D58:$GA58)=0,1,'Вводные'!$B$63))))*BN59)</x:f>
      </x:c>
      <x:c r="BO63" s="107" t="n">
        <x:f>'Вводные'!$M$90*((IF(SUM($D55:$GA55)=0,0,IF(SUM($D58:$GA58)=0,1,'Вводные'!$B$63)))*BO57+(1-(IF(SUM($D55:$GA55)=0,0,IF(SUM($D58:$GA58)=0,1,'Вводные'!$B$63))))*BO59)</x:f>
      </x:c>
      <x:c r="BP63" s="107" t="n">
        <x:f>'Вводные'!$M$90*((IF(SUM($D55:$GA55)=0,0,IF(SUM($D58:$GA58)=0,1,'Вводные'!$B$63)))*BP57+(1-(IF(SUM($D55:$GA55)=0,0,IF(SUM($D58:$GA58)=0,1,'Вводные'!$B$63))))*BP59)</x:f>
      </x:c>
      <x:c r="BQ63" s="107" t="n">
        <x:f>'Вводные'!$M$90*((IF(SUM($D55:$GA55)=0,0,IF(SUM($D58:$GA58)=0,1,'Вводные'!$B$63)))*BQ57+(1-(IF(SUM($D55:$GA55)=0,0,IF(SUM($D58:$GA58)=0,1,'Вводные'!$B$63))))*BQ59)</x:f>
      </x:c>
      <x:c r="BR63" s="107" t="n">
        <x:f>'Вводные'!$M$90*((IF(SUM($D55:$GA55)=0,0,IF(SUM($D58:$GA58)=0,1,'Вводные'!$B$63)))*BR57+(1-(IF(SUM($D55:$GA55)=0,0,IF(SUM($D58:$GA58)=0,1,'Вводные'!$B$63))))*BR59)</x:f>
      </x:c>
      <x:c r="BS63" s="107" t="n">
        <x:f>'Вводные'!$M$90*((IF(SUM($D55:$GA55)=0,0,IF(SUM($D58:$GA58)=0,1,'Вводные'!$B$63)))*BS57+(1-(IF(SUM($D55:$GA55)=0,0,IF(SUM($D58:$GA58)=0,1,'Вводные'!$B$63))))*BS59)</x:f>
      </x:c>
      <x:c r="BT63" s="107" t="n">
        <x:f>'Вводные'!$M$90*((IF(SUM($D55:$GA55)=0,0,IF(SUM($D58:$GA58)=0,1,'Вводные'!$B$63)))*BT57+(1-(IF(SUM($D55:$GA55)=0,0,IF(SUM($D58:$GA58)=0,1,'Вводные'!$B$63))))*BT59)</x:f>
      </x:c>
      <x:c r="BU63" s="107" t="n">
        <x:f>'Вводные'!$M$90*((IF(SUM($D55:$GA55)=0,0,IF(SUM($D58:$GA58)=0,1,'Вводные'!$B$63)))*BU57+(1-(IF(SUM($D55:$GA55)=0,0,IF(SUM($D58:$GA58)=0,1,'Вводные'!$B$63))))*BU59)</x:f>
      </x:c>
      <x:c r="BV63" s="107" t="n">
        <x:f>'Вводные'!$M$90*((IF(SUM($D55:$GA55)=0,0,IF(SUM($D58:$GA58)=0,1,'Вводные'!$B$63)))*BV57+(1-(IF(SUM($D55:$GA55)=0,0,IF(SUM($D58:$GA58)=0,1,'Вводные'!$B$63))))*BV59)</x:f>
      </x:c>
      <x:c r="BW63" s="107" t="n">
        <x:f>'Вводные'!$M$90*((IF(SUM($D55:$GA55)=0,0,IF(SUM($D58:$GA58)=0,1,'Вводные'!$B$63)))*BW57+(1-(IF(SUM($D55:$GA55)=0,0,IF(SUM($D58:$GA58)=0,1,'Вводные'!$B$63))))*BW59)</x:f>
      </x:c>
      <x:c r="BX63" s="107" t="n">
        <x:f>'Вводные'!$M$90*((IF(SUM($D55:$GA55)=0,0,IF(SUM($D58:$GA58)=0,1,'Вводные'!$B$63)))*BX57+(1-(IF(SUM($D55:$GA55)=0,0,IF(SUM($D58:$GA58)=0,1,'Вводные'!$B$63))))*BX59)</x:f>
      </x:c>
      <x:c r="BY63" s="107" t="n">
        <x:f>'Вводные'!$M$90*((IF(SUM($D55:$GA55)=0,0,IF(SUM($D58:$GA58)=0,1,'Вводные'!$B$63)))*BY57+(1-(IF(SUM($D55:$GA55)=0,0,IF(SUM($D58:$GA58)=0,1,'Вводные'!$B$63))))*BY59)</x:f>
      </x:c>
      <x:c r="BZ63" s="107" t="n">
        <x:f>'Вводные'!$M$90*((IF(SUM($D55:$GA55)=0,0,IF(SUM($D58:$GA58)=0,1,'Вводные'!$B$63)))*BZ57+(1-(IF(SUM($D55:$GA55)=0,0,IF(SUM($D58:$GA58)=0,1,'Вводные'!$B$63))))*BZ59)</x:f>
      </x:c>
      <x:c r="CA63" s="107" t="n">
        <x:f>'Вводные'!$M$90*((IF(SUM($D55:$GA55)=0,0,IF(SUM($D58:$GA58)=0,1,'Вводные'!$B$63)))*CA57+(1-(IF(SUM($D55:$GA55)=0,0,IF(SUM($D58:$GA58)=0,1,'Вводные'!$B$63))))*CA59)</x:f>
      </x:c>
      <x:c r="CB63" s="107" t="n">
        <x:f>'Вводные'!$M$90*((IF(SUM($D55:$GA55)=0,0,IF(SUM($D58:$GA58)=0,1,'Вводные'!$B$63)))*CB57+(1-(IF(SUM($D55:$GA55)=0,0,IF(SUM($D58:$GA58)=0,1,'Вводные'!$B$63))))*CB59)</x:f>
      </x:c>
      <x:c r="CC63" s="107" t="n">
        <x:f>'Вводные'!$M$90*((IF(SUM($D55:$GA55)=0,0,IF(SUM($D58:$GA58)=0,1,'Вводные'!$B$63)))*CC57+(1-(IF(SUM($D55:$GA55)=0,0,IF(SUM($D58:$GA58)=0,1,'Вводные'!$B$63))))*CC59)</x:f>
      </x:c>
      <x:c r="CD63" s="107" t="n">
        <x:f>'Вводные'!$M$90*((IF(SUM($D55:$GA55)=0,0,IF(SUM($D58:$GA58)=0,1,'Вводные'!$B$63)))*CD57+(1-(IF(SUM($D55:$GA55)=0,0,IF(SUM($D58:$GA58)=0,1,'Вводные'!$B$63))))*CD59)</x:f>
      </x:c>
      <x:c r="CE63" s="107" t="n">
        <x:f>'Вводные'!$M$90*((IF(SUM($D55:$GA55)=0,0,IF(SUM($D58:$GA58)=0,1,'Вводные'!$B$63)))*CE57+(1-(IF(SUM($D55:$GA55)=0,0,IF(SUM($D58:$GA58)=0,1,'Вводные'!$B$63))))*CE59)</x:f>
      </x:c>
      <x:c r="CF63" s="107" t="n">
        <x:f>'Вводные'!$M$90*((IF(SUM($D55:$GA55)=0,0,IF(SUM($D58:$GA58)=0,1,'Вводные'!$B$63)))*CF57+(1-(IF(SUM($D55:$GA55)=0,0,IF(SUM($D58:$GA58)=0,1,'Вводные'!$B$63))))*CF59)</x:f>
      </x:c>
      <x:c r="CG63" s="107" t="n">
        <x:f>'Вводные'!$M$90*((IF(SUM($D55:$GA55)=0,0,IF(SUM($D58:$GA58)=0,1,'Вводные'!$B$63)))*CG57+(1-(IF(SUM($D55:$GA55)=0,0,IF(SUM($D58:$GA58)=0,1,'Вводные'!$B$63))))*CG59)</x:f>
      </x:c>
      <x:c r="CH63" s="107" t="n">
        <x:f>'Вводные'!$M$90*((IF(SUM($D55:$GA55)=0,0,IF(SUM($D58:$GA58)=0,1,'Вводные'!$B$63)))*CH57+(1-(IF(SUM($D55:$GA55)=0,0,IF(SUM($D58:$GA58)=0,1,'Вводные'!$B$63))))*CH59)</x:f>
      </x:c>
      <x:c r="CI63" s="107" t="n">
        <x:f>'Вводные'!$M$90*((IF(SUM($D55:$GA55)=0,0,IF(SUM($D58:$GA58)=0,1,'Вводные'!$B$63)))*CI57+(1-(IF(SUM($D55:$GA55)=0,0,IF(SUM($D58:$GA58)=0,1,'Вводные'!$B$63))))*CI59)</x:f>
      </x:c>
      <x:c r="CJ63" s="107" t="n">
        <x:f>'Вводные'!$M$90*((IF(SUM($D55:$GA55)=0,0,IF(SUM($D58:$GA58)=0,1,'Вводные'!$B$63)))*CJ57+(1-(IF(SUM($D55:$GA55)=0,0,IF(SUM($D58:$GA58)=0,1,'Вводные'!$B$63))))*CJ59)</x:f>
      </x:c>
      <x:c r="CK63" s="107" t="n">
        <x:f>'Вводные'!$M$90*((IF(SUM($D55:$GA55)=0,0,IF(SUM($D58:$GA58)=0,1,'Вводные'!$B$63)))*CK57+(1-(IF(SUM($D55:$GA55)=0,0,IF(SUM($D58:$GA58)=0,1,'Вводные'!$B$63))))*CK59)</x:f>
      </x:c>
      <x:c r="CL63" s="107" t="n">
        <x:f>'Вводные'!$M$90*((IF(SUM($D55:$GA55)=0,0,IF(SUM($D58:$GA58)=0,1,'Вводные'!$B$63)))*CL57+(1-(IF(SUM($D55:$GA55)=0,0,IF(SUM($D58:$GA58)=0,1,'Вводные'!$B$63))))*CL59)</x:f>
      </x:c>
      <x:c r="CM63" s="107" t="n">
        <x:f>'Вводные'!$M$90*((IF(SUM($D55:$GA55)=0,0,IF(SUM($D58:$GA58)=0,1,'Вводные'!$B$63)))*CM57+(1-(IF(SUM($D55:$GA55)=0,0,IF(SUM($D58:$GA58)=0,1,'Вводные'!$B$63))))*CM59)</x:f>
      </x:c>
      <x:c r="CN63" s="107" t="n">
        <x:f>'Вводные'!$M$90*((IF(SUM($D55:$GA55)=0,0,IF(SUM($D58:$GA58)=0,1,'Вводные'!$B$63)))*CN57+(1-(IF(SUM($D55:$GA55)=0,0,IF(SUM($D58:$GA58)=0,1,'Вводные'!$B$63))))*CN59)</x:f>
      </x:c>
      <x:c r="CO63" s="107" t="n">
        <x:f>'Вводные'!$M$90*((IF(SUM($D55:$GA55)=0,0,IF(SUM($D58:$GA58)=0,1,'Вводные'!$B$63)))*CO57+(1-(IF(SUM($D55:$GA55)=0,0,IF(SUM($D58:$GA58)=0,1,'Вводные'!$B$63))))*CO59)</x:f>
      </x:c>
      <x:c r="CP63" s="107" t="n">
        <x:f>'Вводные'!$M$90*((IF(SUM($D55:$GA55)=0,0,IF(SUM($D58:$GA58)=0,1,'Вводные'!$B$63)))*CP57+(1-(IF(SUM($D55:$GA55)=0,0,IF(SUM($D58:$GA58)=0,1,'Вводные'!$B$63))))*CP59)</x:f>
      </x:c>
      <x:c r="CQ63" s="107" t="n">
        <x:f>'Вводные'!$M$90*((IF(SUM($D55:$GA55)=0,0,IF(SUM($D58:$GA58)=0,1,'Вводные'!$B$63)))*CQ57+(1-(IF(SUM($D55:$GA55)=0,0,IF(SUM($D58:$GA58)=0,1,'Вводные'!$B$63))))*CQ59)</x:f>
      </x:c>
      <x:c r="CR63" s="107" t="n">
        <x:f>'Вводные'!$M$90*((IF(SUM($D55:$GA55)=0,0,IF(SUM($D58:$GA58)=0,1,'Вводные'!$B$63)))*CR57+(1-(IF(SUM($D55:$GA55)=0,0,IF(SUM($D58:$GA58)=0,1,'Вводные'!$B$63))))*CR59)</x:f>
      </x:c>
      <x:c r="CS63" s="107" t="n">
        <x:f>'Вводные'!$M$90*((IF(SUM($D55:$GA55)=0,0,IF(SUM($D58:$GA58)=0,1,'Вводные'!$B$63)))*CS57+(1-(IF(SUM($D55:$GA55)=0,0,IF(SUM($D58:$GA58)=0,1,'Вводные'!$B$63))))*CS59)</x:f>
      </x:c>
      <x:c r="CT63" s="107" t="n">
        <x:f>'Вводные'!$M$90*((IF(SUM($D55:$GA55)=0,0,IF(SUM($D58:$GA58)=0,1,'Вводные'!$B$63)))*CT57+(1-(IF(SUM($D55:$GA55)=0,0,IF(SUM($D58:$GA58)=0,1,'Вводные'!$B$63))))*CT59)</x:f>
      </x:c>
      <x:c r="CU63" s="107" t="n">
        <x:f>'Вводные'!$M$90*((IF(SUM($D55:$GA55)=0,0,IF(SUM($D58:$GA58)=0,1,'Вводные'!$B$63)))*CU57+(1-(IF(SUM($D55:$GA55)=0,0,IF(SUM($D58:$GA58)=0,1,'Вводные'!$B$63))))*CU59)</x:f>
      </x:c>
      <x:c r="CV63" s="107" t="n">
        <x:f>'Вводные'!$M$90*((IF(SUM($D55:$GA55)=0,0,IF(SUM($D58:$GA58)=0,1,'Вводные'!$B$63)))*CV57+(1-(IF(SUM($D55:$GA55)=0,0,IF(SUM($D58:$GA58)=0,1,'Вводные'!$B$63))))*CV59)</x:f>
      </x:c>
      <x:c r="CW63" s="107" t="n">
        <x:f>'Вводные'!$M$90*((IF(SUM($D55:$GA55)=0,0,IF(SUM($D58:$GA58)=0,1,'Вводные'!$B$63)))*CW57+(1-(IF(SUM($D55:$GA55)=0,0,IF(SUM($D58:$GA58)=0,1,'Вводные'!$B$63))))*CW59)</x:f>
      </x:c>
      <x:c r="CX63" s="107" t="n">
        <x:f>'Вводные'!$M$90*((IF(SUM($D55:$GA55)=0,0,IF(SUM($D58:$GA58)=0,1,'Вводные'!$B$63)))*CX57+(1-(IF(SUM($D55:$GA55)=0,0,IF(SUM($D58:$GA58)=0,1,'Вводные'!$B$63))))*CX59)</x:f>
      </x:c>
      <x:c r="CY63" s="107" t="n">
        <x:f>'Вводные'!$M$90*((IF(SUM($D55:$GA55)=0,0,IF(SUM($D58:$GA58)=0,1,'Вводные'!$B$63)))*CY57+(1-(IF(SUM($D55:$GA55)=0,0,IF(SUM($D58:$GA58)=0,1,'Вводные'!$B$63))))*CY59)</x:f>
      </x:c>
      <x:c r="CZ63" s="107" t="n">
        <x:f>'Вводные'!$M$90*((IF(SUM($D55:$GA55)=0,0,IF(SUM($D58:$GA58)=0,1,'Вводные'!$B$63)))*CZ57+(1-(IF(SUM($D55:$GA55)=0,0,IF(SUM($D58:$GA58)=0,1,'Вводные'!$B$63))))*CZ59)</x:f>
      </x:c>
      <x:c r="DA63" s="107" t="n">
        <x:f>'Вводные'!$M$90*((IF(SUM($D55:$GA55)=0,0,IF(SUM($D58:$GA58)=0,1,'Вводные'!$B$63)))*DA57+(1-(IF(SUM($D55:$GA55)=0,0,IF(SUM($D58:$GA58)=0,1,'Вводные'!$B$63))))*DA59)</x:f>
      </x:c>
      <x:c r="DB63" s="107" t="n">
        <x:f>'Вводные'!$M$90*((IF(SUM($D55:$GA55)=0,0,IF(SUM($D58:$GA58)=0,1,'Вводные'!$B$63)))*DB57+(1-(IF(SUM($D55:$GA55)=0,0,IF(SUM($D58:$GA58)=0,1,'Вводные'!$B$63))))*DB59)</x:f>
      </x:c>
      <x:c r="DC63" s="107" t="n">
        <x:f>'Вводные'!$M$90*((IF(SUM($D55:$GA55)=0,0,IF(SUM($D58:$GA58)=0,1,'Вводные'!$B$63)))*DC57+(1-(IF(SUM($D55:$GA55)=0,0,IF(SUM($D58:$GA58)=0,1,'Вводные'!$B$63))))*DC59)</x:f>
      </x:c>
      <x:c r="DD63" s="107" t="n">
        <x:f>'Вводные'!$M$90*((IF(SUM($D55:$GA55)=0,0,IF(SUM($D58:$GA58)=0,1,'Вводные'!$B$63)))*DD57+(1-(IF(SUM($D55:$GA55)=0,0,IF(SUM($D58:$GA58)=0,1,'Вводные'!$B$63))))*DD59)</x:f>
      </x:c>
      <x:c r="DE63" s="107" t="n">
        <x:f>'Вводные'!$M$90*((IF(SUM($D55:$GA55)=0,0,IF(SUM($D58:$GA58)=0,1,'Вводные'!$B$63)))*DE57+(1-(IF(SUM($D55:$GA55)=0,0,IF(SUM($D58:$GA58)=0,1,'Вводные'!$B$63))))*DE59)</x:f>
      </x:c>
      <x:c r="DF63" s="107" t="n">
        <x:f>'Вводные'!$M$90*((IF(SUM($D55:$GA55)=0,0,IF(SUM($D58:$GA58)=0,1,'Вводные'!$B$63)))*DF57+(1-(IF(SUM($D55:$GA55)=0,0,IF(SUM($D58:$GA58)=0,1,'Вводные'!$B$63))))*DF59)</x:f>
      </x:c>
      <x:c r="DG63" s="107" t="n">
        <x:f>'Вводные'!$M$90*((IF(SUM($D55:$GA55)=0,0,IF(SUM($D58:$GA58)=0,1,'Вводные'!$B$63)))*DG57+(1-(IF(SUM($D55:$GA55)=0,0,IF(SUM($D58:$GA58)=0,1,'Вводные'!$B$63))))*DG59)</x:f>
      </x:c>
      <x:c r="DH63" s="107" t="n">
        <x:f>'Вводные'!$M$90*((IF(SUM($D55:$GA55)=0,0,IF(SUM($D58:$GA58)=0,1,'Вводные'!$B$63)))*DH57+(1-(IF(SUM($D55:$GA55)=0,0,IF(SUM($D58:$GA58)=0,1,'Вводные'!$B$63))))*DH59)</x:f>
      </x:c>
      <x:c r="DI63" s="107" t="n">
        <x:f>'Вводные'!$M$90*((IF(SUM($D55:$GA55)=0,0,IF(SUM($D58:$GA58)=0,1,'Вводные'!$B$63)))*DI57+(1-(IF(SUM($D55:$GA55)=0,0,IF(SUM($D58:$GA58)=0,1,'Вводные'!$B$63))))*DI59)</x:f>
      </x:c>
      <x:c r="DJ63" s="107" t="n">
        <x:f>'Вводные'!$M$90*((IF(SUM($D55:$GA55)=0,0,IF(SUM($D58:$GA58)=0,1,'Вводные'!$B$63)))*DJ57+(1-(IF(SUM($D55:$GA55)=0,0,IF(SUM($D58:$GA58)=0,1,'Вводные'!$B$63))))*DJ59)</x:f>
      </x:c>
      <x:c r="DK63" s="107" t="n">
        <x:f>'Вводные'!$M$90*((IF(SUM($D55:$GA55)=0,0,IF(SUM($D58:$GA58)=0,1,'Вводные'!$B$63)))*DK57+(1-(IF(SUM($D55:$GA55)=0,0,IF(SUM($D58:$GA58)=0,1,'Вводные'!$B$63))))*DK59)</x:f>
      </x:c>
      <x:c r="DL63" s="107" t="n">
        <x:f>'Вводные'!$M$90*((IF(SUM($D55:$GA55)=0,0,IF(SUM($D58:$GA58)=0,1,'Вводные'!$B$63)))*DL57+(1-(IF(SUM($D55:$GA55)=0,0,IF(SUM($D58:$GA58)=0,1,'Вводные'!$B$63))))*DL59)</x:f>
      </x:c>
      <x:c r="DM63" s="107" t="n">
        <x:f>'Вводные'!$M$90*((IF(SUM($D55:$GA55)=0,0,IF(SUM($D58:$GA58)=0,1,'Вводные'!$B$63)))*DM57+(1-(IF(SUM($D55:$GA55)=0,0,IF(SUM($D58:$GA58)=0,1,'Вводные'!$B$63))))*DM59)</x:f>
      </x:c>
      <x:c r="DN63" s="107" t="n">
        <x:f>'Вводные'!$M$90*((IF(SUM($D55:$GA55)=0,0,IF(SUM($D58:$GA58)=0,1,'Вводные'!$B$63)))*DN57+(1-(IF(SUM($D55:$GA55)=0,0,IF(SUM($D58:$GA58)=0,1,'Вводные'!$B$63))))*DN59)</x:f>
      </x:c>
      <x:c r="DO63" s="107" t="n">
        <x:f>'Вводные'!$M$90*((IF(SUM($D55:$GA55)=0,0,IF(SUM($D58:$GA58)=0,1,'Вводные'!$B$63)))*DO57+(1-(IF(SUM($D55:$GA55)=0,0,IF(SUM($D58:$GA58)=0,1,'Вводные'!$B$63))))*DO59)</x:f>
      </x:c>
      <x:c r="DP63" s="107" t="n">
        <x:f>'Вводные'!$M$90*((IF(SUM($D55:$GA55)=0,0,IF(SUM($D58:$GA58)=0,1,'Вводные'!$B$63)))*DP57+(1-(IF(SUM($D55:$GA55)=0,0,IF(SUM($D58:$GA58)=0,1,'Вводные'!$B$63))))*DP59)</x:f>
      </x:c>
      <x:c r="DQ63" s="107" t="n">
        <x:f>'Вводные'!$M$90*((IF(SUM($D55:$GA55)=0,0,IF(SUM($D58:$GA58)=0,1,'Вводные'!$B$63)))*DQ57+(1-(IF(SUM($D55:$GA55)=0,0,IF(SUM($D58:$GA58)=0,1,'Вводные'!$B$63))))*DQ59)</x:f>
      </x:c>
      <x:c r="DR63" s="107" t="n">
        <x:f>'Вводные'!$M$90*((IF(SUM($D55:$GA55)=0,0,IF(SUM($D58:$GA58)=0,1,'Вводные'!$B$63)))*DR57+(1-(IF(SUM($D55:$GA55)=0,0,IF(SUM($D58:$GA58)=0,1,'Вводные'!$B$63))))*DR59)</x:f>
      </x:c>
      <x:c r="DS63" s="107" t="n">
        <x:f>'Вводные'!$M$90*((IF(SUM($D55:$GA55)=0,0,IF(SUM($D58:$GA58)=0,1,'Вводные'!$B$63)))*DS57+(1-(IF(SUM($D55:$GA55)=0,0,IF(SUM($D58:$GA58)=0,1,'Вводные'!$B$63))))*DS59)</x:f>
      </x:c>
      <x:c r="DT63" s="107" t="n">
        <x:f>'Вводные'!$M$90*((IF(SUM($D55:$GA55)=0,0,IF(SUM($D58:$GA58)=0,1,'Вводные'!$B$63)))*DT57+(1-(IF(SUM($D55:$GA55)=0,0,IF(SUM($D58:$GA58)=0,1,'Вводные'!$B$63))))*DT59)</x:f>
      </x:c>
      <x:c r="DU63" s="107" t="n">
        <x:f>'Вводные'!$M$90*((IF(SUM($D55:$GA55)=0,0,IF(SUM($D58:$GA58)=0,1,'Вводные'!$B$63)))*DU57+(1-(IF(SUM($D55:$GA55)=0,0,IF(SUM($D58:$GA58)=0,1,'Вводные'!$B$63))))*DU59)</x:f>
      </x:c>
      <x:c r="DV63" s="107" t="n">
        <x:f>'Вводные'!$M$90*((IF(SUM($D55:$GA55)=0,0,IF(SUM($D58:$GA58)=0,1,'Вводные'!$B$63)))*DV57+(1-(IF(SUM($D55:$GA55)=0,0,IF(SUM($D58:$GA58)=0,1,'Вводные'!$B$63))))*DV59)</x:f>
      </x:c>
      <x:c r="DW63" s="107" t="n">
        <x:f>'Вводные'!$M$90*((IF(SUM($D55:$GA55)=0,0,IF(SUM($D58:$GA58)=0,1,'Вводные'!$B$63)))*DW57+(1-(IF(SUM($D55:$GA55)=0,0,IF(SUM($D58:$GA58)=0,1,'Вводные'!$B$63))))*DW59)</x:f>
      </x:c>
      <x:c r="DX63" s="107" t="n">
        <x:f>'Вводные'!$M$90*((IF(SUM($D55:$GA55)=0,0,IF(SUM($D58:$GA58)=0,1,'Вводные'!$B$63)))*DX57+(1-(IF(SUM($D55:$GA55)=0,0,IF(SUM($D58:$GA58)=0,1,'Вводные'!$B$63))))*DX59)</x:f>
      </x:c>
      <x:c r="DY63" s="107" t="n">
        <x:f>'Вводные'!$M$90*((IF(SUM($D55:$GA55)=0,0,IF(SUM($D58:$GA58)=0,1,'Вводные'!$B$63)))*DY57+(1-(IF(SUM($D55:$GA55)=0,0,IF(SUM($D58:$GA58)=0,1,'Вводные'!$B$63))))*DY59)</x:f>
      </x:c>
      <x:c r="DZ63" s="107" t="n">
        <x:f>'Вводные'!$M$90*((IF(SUM($D55:$GA55)=0,0,IF(SUM($D58:$GA58)=0,1,'Вводные'!$B$63)))*DZ57+(1-(IF(SUM($D55:$GA55)=0,0,IF(SUM($D58:$GA58)=0,1,'Вводные'!$B$63))))*DZ59)</x:f>
      </x:c>
      <x:c r="EA63" s="107" t="n">
        <x:f>'Вводные'!$M$90*((IF(SUM($D55:$GA55)=0,0,IF(SUM($D58:$GA58)=0,1,'Вводные'!$B$63)))*EA57+(1-(IF(SUM($D55:$GA55)=0,0,IF(SUM($D58:$GA58)=0,1,'Вводные'!$B$63))))*EA59)</x:f>
      </x:c>
      <x:c r="EB63" s="107" t="n">
        <x:f>'Вводные'!$M$90*((IF(SUM($D55:$GA55)=0,0,IF(SUM($D58:$GA58)=0,1,'Вводные'!$B$63)))*EB57+(1-(IF(SUM($D55:$GA55)=0,0,IF(SUM($D58:$GA58)=0,1,'Вводные'!$B$63))))*EB59)</x:f>
      </x:c>
      <x:c r="EC63" s="107" t="n">
        <x:f>'Вводные'!$M$90*((IF(SUM($D55:$GA55)=0,0,IF(SUM($D58:$GA58)=0,1,'Вводные'!$B$63)))*EC57+(1-(IF(SUM($D55:$GA55)=0,0,IF(SUM($D58:$GA58)=0,1,'Вводные'!$B$63))))*EC59)</x:f>
      </x:c>
      <x:c r="ED63" s="107" t="n">
        <x:f>'Вводные'!$M$90*((IF(SUM($D55:$GA55)=0,0,IF(SUM($D58:$GA58)=0,1,'Вводные'!$B$63)))*ED57+(1-(IF(SUM($D55:$GA55)=0,0,IF(SUM($D58:$GA58)=0,1,'Вводные'!$B$63))))*ED59)</x:f>
      </x:c>
      <x:c r="EE63" s="107" t="n">
        <x:f>'Вводные'!$M$90*((IF(SUM($D55:$GA55)=0,0,IF(SUM($D58:$GA58)=0,1,'Вводные'!$B$63)))*EE57+(1-(IF(SUM($D55:$GA55)=0,0,IF(SUM($D58:$GA58)=0,1,'Вводные'!$B$63))))*EE59)</x:f>
      </x:c>
      <x:c r="EF63" s="107" t="n">
        <x:f>'Вводные'!$M$90*((IF(SUM($D55:$GA55)=0,0,IF(SUM($D58:$GA58)=0,1,'Вводные'!$B$63)))*EF57+(1-(IF(SUM($D55:$GA55)=0,0,IF(SUM($D58:$GA58)=0,1,'Вводные'!$B$63))))*EF59)</x:f>
      </x:c>
      <x:c r="EG63" s="107" t="n">
        <x:f>'Вводные'!$M$90*((IF(SUM($D55:$GA55)=0,0,IF(SUM($D58:$GA58)=0,1,'Вводные'!$B$63)))*EG57+(1-(IF(SUM($D55:$GA55)=0,0,IF(SUM($D58:$GA58)=0,1,'Вводные'!$B$63))))*EG59)</x:f>
      </x:c>
      <x:c r="EH63" s="107" t="n">
        <x:f>'Вводные'!$M$90*((IF(SUM($D55:$GA55)=0,0,IF(SUM($D58:$GA58)=0,1,'Вводные'!$B$63)))*EH57+(1-(IF(SUM($D55:$GA55)=0,0,IF(SUM($D58:$GA58)=0,1,'Вводные'!$B$63))))*EH59)</x:f>
      </x:c>
      <x:c r="EI63" s="107" t="n">
        <x:f>'Вводные'!$M$90*((IF(SUM($D55:$GA55)=0,0,IF(SUM($D58:$GA58)=0,1,'Вводные'!$B$63)))*EI57+(1-(IF(SUM($D55:$GA55)=0,0,IF(SUM($D58:$GA58)=0,1,'Вводные'!$B$63))))*EI59)</x:f>
      </x:c>
      <x:c r="EJ63" s="107" t="n">
        <x:f>'Вводные'!$M$90*((IF(SUM($D55:$GA55)=0,0,IF(SUM($D58:$GA58)=0,1,'Вводные'!$B$63)))*EJ57+(1-(IF(SUM($D55:$GA55)=0,0,IF(SUM($D58:$GA58)=0,1,'Вводные'!$B$63))))*EJ59)</x:f>
      </x:c>
      <x:c r="EK63" s="107" t="n">
        <x:f>'Вводные'!$M$90*((IF(SUM($D55:$GA55)=0,0,IF(SUM($D58:$GA58)=0,1,'Вводные'!$B$63)))*EK57+(1-(IF(SUM($D55:$GA55)=0,0,IF(SUM($D58:$GA58)=0,1,'Вводные'!$B$63))))*EK59)</x:f>
      </x:c>
      <x:c r="EL63" s="107" t="n">
        <x:f>'Вводные'!$M$90*((IF(SUM($D55:$GA55)=0,0,IF(SUM($D58:$GA58)=0,1,'Вводные'!$B$63)))*EL57+(1-(IF(SUM($D55:$GA55)=0,0,IF(SUM($D58:$GA58)=0,1,'Вводные'!$B$63))))*EL59)</x:f>
      </x:c>
      <x:c r="EM63" s="107" t="n">
        <x:f>'Вводные'!$M$90*((IF(SUM($D55:$GA55)=0,0,IF(SUM($D58:$GA58)=0,1,'Вводные'!$B$63)))*EM57+(1-(IF(SUM($D55:$GA55)=0,0,IF(SUM($D58:$GA58)=0,1,'Вводные'!$B$63))))*EM59)</x:f>
      </x:c>
      <x:c r="EN63" s="107" t="n">
        <x:f>'Вводные'!$M$90*((IF(SUM($D55:$GA55)=0,0,IF(SUM($D58:$GA58)=0,1,'Вводные'!$B$63)))*EN57+(1-(IF(SUM($D55:$GA55)=0,0,IF(SUM($D58:$GA58)=0,1,'Вводные'!$B$63))))*EN59)</x:f>
      </x:c>
      <x:c r="EO63" s="107" t="n">
        <x:f>'Вводные'!$M$90*((IF(SUM($D55:$GA55)=0,0,IF(SUM($D58:$GA58)=0,1,'Вводные'!$B$63)))*EO57+(1-(IF(SUM($D55:$GA55)=0,0,IF(SUM($D58:$GA58)=0,1,'Вводные'!$B$63))))*EO59)</x:f>
      </x:c>
      <x:c r="EP63" s="107" t="n">
        <x:f>'Вводные'!$M$90*((IF(SUM($D55:$GA55)=0,0,IF(SUM($D58:$GA58)=0,1,'Вводные'!$B$63)))*EP57+(1-(IF(SUM($D55:$GA55)=0,0,IF(SUM($D58:$GA58)=0,1,'Вводные'!$B$63))))*EP59)</x:f>
      </x:c>
      <x:c r="EQ63" s="107" t="n">
        <x:f>'Вводные'!$M$90*((IF(SUM($D55:$GA55)=0,0,IF(SUM($D58:$GA58)=0,1,'Вводные'!$B$63)))*EQ57+(1-(IF(SUM($D55:$GA55)=0,0,IF(SUM($D58:$GA58)=0,1,'Вводные'!$B$63))))*EQ59)</x:f>
      </x:c>
      <x:c r="ER63" s="107" t="n">
        <x:f>'Вводные'!$M$90*((IF(SUM($D55:$GA55)=0,0,IF(SUM($D58:$GA58)=0,1,'Вводные'!$B$63)))*ER57+(1-(IF(SUM($D55:$GA55)=0,0,IF(SUM($D58:$GA58)=0,1,'Вводные'!$B$63))))*ER59)</x:f>
      </x:c>
      <x:c r="ES63" s="107" t="n">
        <x:f>'Вводные'!$M$90*((IF(SUM($D55:$GA55)=0,0,IF(SUM($D58:$GA58)=0,1,'Вводные'!$B$63)))*ES57+(1-(IF(SUM($D55:$GA55)=0,0,IF(SUM($D58:$GA58)=0,1,'Вводные'!$B$63))))*ES59)</x:f>
      </x:c>
      <x:c r="ET63" s="107" t="n">
        <x:f>'Вводные'!$M$90*((IF(SUM($D55:$GA55)=0,0,IF(SUM($D58:$GA58)=0,1,'Вводные'!$B$63)))*ET57+(1-(IF(SUM($D55:$GA55)=0,0,IF(SUM($D58:$GA58)=0,1,'Вводные'!$B$63))))*ET59)</x:f>
      </x:c>
      <x:c r="EU63" s="107" t="n">
        <x:f>'Вводные'!$M$90*((IF(SUM($D55:$GA55)=0,0,IF(SUM($D58:$GA58)=0,1,'Вводные'!$B$63)))*EU57+(1-(IF(SUM($D55:$GA55)=0,0,IF(SUM($D58:$GA58)=0,1,'Вводные'!$B$63))))*EU59)</x:f>
      </x:c>
      <x:c r="EV63" s="107" t="n">
        <x:f>'Вводные'!$M$90*((IF(SUM($D55:$GA55)=0,0,IF(SUM($D58:$GA58)=0,1,'Вводные'!$B$63)))*EV57+(1-(IF(SUM($D55:$GA55)=0,0,IF(SUM($D58:$GA58)=0,1,'Вводные'!$B$63))))*EV59)</x:f>
      </x:c>
      <x:c r="EW63" s="107" t="n">
        <x:f>'Вводные'!$M$90*((IF(SUM($D55:$GA55)=0,0,IF(SUM($D58:$GA58)=0,1,'Вводные'!$B$63)))*EW57+(1-(IF(SUM($D55:$GA55)=0,0,IF(SUM($D58:$GA58)=0,1,'Вводные'!$B$63))))*EW59)</x:f>
      </x:c>
      <x:c r="EX63" s="107" t="n">
        <x:f>'Вводные'!$M$90*((IF(SUM($D55:$GA55)=0,0,IF(SUM($D58:$GA58)=0,1,'Вводные'!$B$63)))*EX57+(1-(IF(SUM($D55:$GA55)=0,0,IF(SUM($D58:$GA58)=0,1,'Вводные'!$B$63))))*EX59)</x:f>
      </x:c>
      <x:c r="EY63" s="107" t="n">
        <x:f>'Вводные'!$M$90*((IF(SUM($D55:$GA55)=0,0,IF(SUM($D58:$GA58)=0,1,'Вводные'!$B$63)))*EY57+(1-(IF(SUM($D55:$GA55)=0,0,IF(SUM($D58:$GA58)=0,1,'Вводные'!$B$63))))*EY59)</x:f>
      </x:c>
      <x:c r="EZ63" s="107" t="n">
        <x:f>'Вводные'!$M$90*((IF(SUM($D55:$GA55)=0,0,IF(SUM($D58:$GA58)=0,1,'Вводные'!$B$63)))*EZ57+(1-(IF(SUM($D55:$GA55)=0,0,IF(SUM($D58:$GA58)=0,1,'Вводные'!$B$63))))*EZ59)</x:f>
      </x:c>
      <x:c r="FA63" s="107" t="n">
        <x:f>'Вводные'!$M$90*((IF(SUM($D55:$GA55)=0,0,IF(SUM($D58:$GA58)=0,1,'Вводные'!$B$63)))*FA57+(1-(IF(SUM($D55:$GA55)=0,0,IF(SUM($D58:$GA58)=0,1,'Вводные'!$B$63))))*FA59)</x:f>
      </x:c>
      <x:c r="FB63" s="107" t="n">
        <x:f>'Вводные'!$M$90*((IF(SUM($D55:$GA55)=0,0,IF(SUM($D58:$GA58)=0,1,'Вводные'!$B$63)))*FB57+(1-(IF(SUM($D55:$GA55)=0,0,IF(SUM($D58:$GA58)=0,1,'Вводные'!$B$63))))*FB59)</x:f>
      </x:c>
      <x:c r="FC63" s="107" t="n">
        <x:f>'Вводные'!$M$90*((IF(SUM($D55:$GA55)=0,0,IF(SUM($D58:$GA58)=0,1,'Вводные'!$B$63)))*FC57+(1-(IF(SUM($D55:$GA55)=0,0,IF(SUM($D58:$GA58)=0,1,'Вводные'!$B$63))))*FC59)</x:f>
      </x:c>
      <x:c r="FD63" s="107" t="n">
        <x:f>'Вводные'!$M$90*((IF(SUM($D55:$GA55)=0,0,IF(SUM($D58:$GA58)=0,1,'Вводные'!$B$63)))*FD57+(1-(IF(SUM($D55:$GA55)=0,0,IF(SUM($D58:$GA58)=0,1,'Вводные'!$B$63))))*FD59)</x:f>
      </x:c>
      <x:c r="FE63" s="107" t="n">
        <x:f>'Вводные'!$M$90*((IF(SUM($D55:$GA55)=0,0,IF(SUM($D58:$GA58)=0,1,'Вводные'!$B$63)))*FE57+(1-(IF(SUM($D55:$GA55)=0,0,IF(SUM($D58:$GA58)=0,1,'Вводные'!$B$63))))*FE59)</x:f>
      </x:c>
      <x:c r="FF63" s="107" t="n">
        <x:f>'Вводные'!$M$90*((IF(SUM($D55:$GA55)=0,0,IF(SUM($D58:$GA58)=0,1,'Вводные'!$B$63)))*FF57+(1-(IF(SUM($D55:$GA55)=0,0,IF(SUM($D58:$GA58)=0,1,'Вводные'!$B$63))))*FF59)</x:f>
      </x:c>
      <x:c r="FG63" s="107" t="n">
        <x:f>'Вводные'!$M$90*((IF(SUM($D55:$GA55)=0,0,IF(SUM($D58:$GA58)=0,1,'Вводные'!$B$63)))*FG57+(1-(IF(SUM($D55:$GA55)=0,0,IF(SUM($D58:$GA58)=0,1,'Вводные'!$B$63))))*FG59)</x:f>
      </x:c>
      <x:c r="FH63" s="107" t="n">
        <x:f>'Вводные'!$M$90*((IF(SUM($D55:$GA55)=0,0,IF(SUM($D58:$GA58)=0,1,'Вводные'!$B$63)))*FH57+(1-(IF(SUM($D55:$GA55)=0,0,IF(SUM($D58:$GA58)=0,1,'Вводные'!$B$63))))*FH59)</x:f>
      </x:c>
      <x:c r="FI63" s="107" t="n">
        <x:f>'Вводные'!$M$90*((IF(SUM($D55:$GA55)=0,0,IF(SUM($D58:$GA58)=0,1,'Вводные'!$B$63)))*FI57+(1-(IF(SUM($D55:$GA55)=0,0,IF(SUM($D58:$GA58)=0,1,'Вводные'!$B$63))))*FI59)</x:f>
      </x:c>
      <x:c r="FJ63" s="107" t="n">
        <x:f>'Вводные'!$M$90*((IF(SUM($D55:$GA55)=0,0,IF(SUM($D58:$GA58)=0,1,'Вводные'!$B$63)))*FJ57+(1-(IF(SUM($D55:$GA55)=0,0,IF(SUM($D58:$GA58)=0,1,'Вводные'!$B$63))))*FJ59)</x:f>
      </x:c>
      <x:c r="FK63" s="107" t="n">
        <x:f>'Вводные'!$M$90*((IF(SUM($D55:$GA55)=0,0,IF(SUM($D58:$GA58)=0,1,'Вводные'!$B$63)))*FK57+(1-(IF(SUM($D55:$GA55)=0,0,IF(SUM($D58:$GA58)=0,1,'Вводные'!$B$63))))*FK59)</x:f>
      </x:c>
      <x:c r="FL63" s="107" t="n">
        <x:f>'Вводные'!$M$90*((IF(SUM($D55:$GA55)=0,0,IF(SUM($D58:$GA58)=0,1,'Вводные'!$B$63)))*FL57+(1-(IF(SUM($D55:$GA55)=0,0,IF(SUM($D58:$GA58)=0,1,'Вводные'!$B$63))))*FL59)</x:f>
      </x:c>
      <x:c r="FM63" s="107" t="n">
        <x:f>'Вводные'!$M$90*((IF(SUM($D55:$GA55)=0,0,IF(SUM($D58:$GA58)=0,1,'Вводные'!$B$63)))*FM57+(1-(IF(SUM($D55:$GA55)=0,0,IF(SUM($D58:$GA58)=0,1,'Вводные'!$B$63))))*FM59)</x:f>
      </x:c>
      <x:c r="FN63" s="107" t="n">
        <x:f>'Вводные'!$M$90*((IF(SUM($D55:$GA55)=0,0,IF(SUM($D58:$GA58)=0,1,'Вводные'!$B$63)))*FN57+(1-(IF(SUM($D55:$GA55)=0,0,IF(SUM($D58:$GA58)=0,1,'Вводные'!$B$63))))*FN59)</x:f>
      </x:c>
      <x:c r="FO63" s="107" t="n">
        <x:f>'Вводные'!$M$90*((IF(SUM($D55:$GA55)=0,0,IF(SUM($D58:$GA58)=0,1,'Вводные'!$B$63)))*FO57+(1-(IF(SUM($D55:$GA55)=0,0,IF(SUM($D58:$GA58)=0,1,'Вводные'!$B$63))))*FO59)</x:f>
      </x:c>
      <x:c r="FP63" s="107" t="n">
        <x:f>'Вводные'!$M$90*((IF(SUM($D55:$GA55)=0,0,IF(SUM($D58:$GA58)=0,1,'Вводные'!$B$63)))*FP57+(1-(IF(SUM($D55:$GA55)=0,0,IF(SUM($D58:$GA58)=0,1,'Вводные'!$B$63))))*FP59)</x:f>
      </x:c>
      <x:c r="FQ63" s="107" t="n">
        <x:f>'Вводные'!$M$90*((IF(SUM($D55:$GA55)=0,0,IF(SUM($D58:$GA58)=0,1,'Вводные'!$B$63)))*FQ57+(1-(IF(SUM($D55:$GA55)=0,0,IF(SUM($D58:$GA58)=0,1,'Вводные'!$B$63))))*FQ59)</x:f>
      </x:c>
      <x:c r="FR63" s="107" t="n">
        <x:f>'Вводные'!$M$90*((IF(SUM($D55:$GA55)=0,0,IF(SUM($D58:$GA58)=0,1,'Вводные'!$B$63)))*FR57+(1-(IF(SUM($D55:$GA55)=0,0,IF(SUM($D58:$GA58)=0,1,'Вводные'!$B$63))))*FR59)</x:f>
      </x:c>
      <x:c r="FS63" s="107" t="n">
        <x:f>'Вводные'!$M$90*((IF(SUM($D55:$GA55)=0,0,IF(SUM($D58:$GA58)=0,1,'Вводные'!$B$63)))*FS57+(1-(IF(SUM($D55:$GA55)=0,0,IF(SUM($D58:$GA58)=0,1,'Вводные'!$B$63))))*FS59)</x:f>
      </x:c>
      <x:c r="FT63" s="107" t="n">
        <x:f>'Вводные'!$M$90*((IF(SUM($D55:$GA55)=0,0,IF(SUM($D58:$GA58)=0,1,'Вводные'!$B$63)))*FT57+(1-(IF(SUM($D55:$GA55)=0,0,IF(SUM($D58:$GA58)=0,1,'Вводные'!$B$63))))*FT59)</x:f>
      </x:c>
      <x:c r="FU63" s="107" t="n">
        <x:f>'Вводные'!$M$90*((IF(SUM($D55:$GA55)=0,0,IF(SUM($D58:$GA58)=0,1,'Вводные'!$B$63)))*FU57+(1-(IF(SUM($D55:$GA55)=0,0,IF(SUM($D58:$GA58)=0,1,'Вводные'!$B$63))))*FU59)</x:f>
      </x:c>
      <x:c r="FV63" s="107" t="n">
        <x:f>'Вводные'!$M$90*((IF(SUM($D55:$GA55)=0,0,IF(SUM($D58:$GA58)=0,1,'Вводные'!$B$63)))*FV57+(1-(IF(SUM($D55:$GA55)=0,0,IF(SUM($D58:$GA58)=0,1,'Вводные'!$B$63))))*FV59)</x:f>
      </x:c>
      <x:c r="FW63" s="107" t="n">
        <x:f>'Вводные'!$M$90*((IF(SUM($D55:$GA55)=0,0,IF(SUM($D58:$GA58)=0,1,'Вводные'!$B$63)))*FW57+(1-(IF(SUM($D55:$GA55)=0,0,IF(SUM($D58:$GA58)=0,1,'Вводные'!$B$63))))*FW59)</x:f>
      </x:c>
      <x:c r="FX63" s="107" t="n">
        <x:f>'Вводные'!$M$90*((IF(SUM($D55:$GA55)=0,0,IF(SUM($D58:$GA58)=0,1,'Вводные'!$B$63)))*FX57+(1-(IF(SUM($D55:$GA55)=0,0,IF(SUM($D58:$GA58)=0,1,'Вводные'!$B$63))))*FX59)</x:f>
      </x:c>
      <x:c r="FY63" s="107" t="n">
        <x:f>'Вводные'!$M$90*((IF(SUM($D55:$GA55)=0,0,IF(SUM($D58:$GA58)=0,1,'Вводные'!$B$63)))*FY57+(1-(IF(SUM($D55:$GA55)=0,0,IF(SUM($D58:$GA58)=0,1,'Вводные'!$B$63))))*FY59)</x:f>
      </x:c>
      <x:c r="FZ63" s="107" t="n">
        <x:f>'Вводные'!$M$90*((IF(SUM($D55:$GA55)=0,0,IF(SUM($D58:$GA58)=0,1,'Вводные'!$B$63)))*FZ57+(1-(IF(SUM($D55:$GA55)=0,0,IF(SUM($D58:$GA58)=0,1,'Вводные'!$B$63))))*FZ59)</x:f>
      </x:c>
      <x:c r="GA63" s="107" t="n">
        <x:f>'Вводные'!$M$90*((IF(SUM($D55:$GA55)=0,0,IF(SUM($D58:$GA58)=0,1,'Вводные'!$B$63)))*GA57+(1-(IF(SUM($D55:$GA55)=0,0,IF(SUM($D58:$GA58)=0,1,'Вводные'!$B$63))))*GA59)</x:f>
      </x:c>
    </x:row>
    <x:row r="64">
      <x:c r="A64" t="str">
        <x:v>Коммерция — цена</x:v>
      </x:c>
      <x:c r="B64" t="n">
        <x:f>IFERROR(B65*1000/B63,0)</x:f>
      </x:c>
      <x:c r="C64" t="str">
        <x:v>тыс. ₽/м²</x:v>
      </x:c>
      <x:c r="D64" s="107" t="n">
        <x:f>IF(D63=0,0,'Вводные'!$B$60*'Вводные'!$S$90*'Вводные'!$H$5*'Вводные'!$AG$90*(1+'Вводные'!$B$64)^MAX(0,MIN((12*(YEAR(D$3)-YEAR($B$53))+MONTH(D$3)-MONTH($B$53)),(12*(YEAR($B$54)-YEAR($B$53))+MONTH($B$54)-MONTH($B$53))))*(1+'Вводные'!$B$65)^MAX(0,(12*(YEAR(D$3)-YEAR($B$54))+MONTH(D$3)-MONTH($B$54))))</x:f>
      </x:c>
      <x:c r="E64" s="107" t="n">
        <x:f>IF(E63=0,0,'Вводные'!$B$60*'Вводные'!$S$90*'Вводные'!$H$5*'Вводные'!$AG$90*(1+'Вводные'!$B$64)^MAX(0,MIN((12*(YEAR(E$3)-YEAR($B$53))+MONTH(E$3)-MONTH($B$53)),(12*(YEAR($B$54)-YEAR($B$53))+MONTH($B$54)-MONTH($B$53))))*(1+'Вводные'!$B$65)^MAX(0,(12*(YEAR(E$3)-YEAR($B$54))+MONTH(E$3)-MONTH($B$54))))</x:f>
      </x:c>
      <x:c r="F64" s="107" t="n">
        <x:f>IF(F63=0,0,'Вводные'!$B$60*'Вводные'!$S$90*'Вводные'!$H$5*'Вводные'!$AG$90*(1+'Вводные'!$B$64)^MAX(0,MIN((12*(YEAR(F$3)-YEAR($B$53))+MONTH(F$3)-MONTH($B$53)),(12*(YEAR($B$54)-YEAR($B$53))+MONTH($B$54)-MONTH($B$53))))*(1+'Вводные'!$B$65)^MAX(0,(12*(YEAR(F$3)-YEAR($B$54))+MONTH(F$3)-MONTH($B$54))))</x:f>
      </x:c>
      <x:c r="G64" s="107" t="n">
        <x:f>IF(G63=0,0,'Вводные'!$B$60*'Вводные'!$S$90*'Вводные'!$H$5*'Вводные'!$AG$90*(1+'Вводные'!$B$64)^MAX(0,MIN((12*(YEAR(G$3)-YEAR($B$53))+MONTH(G$3)-MONTH($B$53)),(12*(YEAR($B$54)-YEAR($B$53))+MONTH($B$54)-MONTH($B$53))))*(1+'Вводные'!$B$65)^MAX(0,(12*(YEAR(G$3)-YEAR($B$54))+MONTH(G$3)-MONTH($B$54))))</x:f>
      </x:c>
      <x:c r="H64" s="107" t="n">
        <x:f>IF(H63=0,0,'Вводные'!$B$60*'Вводные'!$S$90*'Вводные'!$H$5*'Вводные'!$AG$90*(1+'Вводные'!$B$64)^MAX(0,MIN((12*(YEAR(H$3)-YEAR($B$53))+MONTH(H$3)-MONTH($B$53)),(12*(YEAR($B$54)-YEAR($B$53))+MONTH($B$54)-MONTH($B$53))))*(1+'Вводные'!$B$65)^MAX(0,(12*(YEAR(H$3)-YEAR($B$54))+MONTH(H$3)-MONTH($B$54))))</x:f>
      </x:c>
      <x:c r="I64" s="107" t="n">
        <x:f>IF(I63=0,0,'Вводные'!$B$60*'Вводные'!$S$90*'Вводные'!$H$5*'Вводные'!$AG$90*(1+'Вводные'!$B$64)^MAX(0,MIN((12*(YEAR(I$3)-YEAR($B$53))+MONTH(I$3)-MONTH($B$53)),(12*(YEAR($B$54)-YEAR($B$53))+MONTH($B$54)-MONTH($B$53))))*(1+'Вводные'!$B$65)^MAX(0,(12*(YEAR(I$3)-YEAR($B$54))+MONTH(I$3)-MONTH($B$54))))</x:f>
      </x:c>
      <x:c r="J64" s="107" t="n">
        <x:f>IF(J63=0,0,'Вводные'!$B$60*'Вводные'!$S$90*'Вводные'!$H$5*'Вводные'!$AG$90*(1+'Вводные'!$B$64)^MAX(0,MIN((12*(YEAR(J$3)-YEAR($B$53))+MONTH(J$3)-MONTH($B$53)),(12*(YEAR($B$54)-YEAR($B$53))+MONTH($B$54)-MONTH($B$53))))*(1+'Вводные'!$B$65)^MAX(0,(12*(YEAR(J$3)-YEAR($B$54))+MONTH(J$3)-MONTH($B$54))))</x:f>
      </x:c>
      <x:c r="K64" s="107" t="n">
        <x:f>IF(K63=0,0,'Вводные'!$B$60*'Вводные'!$S$90*'Вводные'!$H$5*'Вводные'!$AG$90*(1+'Вводные'!$B$64)^MAX(0,MIN((12*(YEAR(K$3)-YEAR($B$53))+MONTH(K$3)-MONTH($B$53)),(12*(YEAR($B$54)-YEAR($B$53))+MONTH($B$54)-MONTH($B$53))))*(1+'Вводные'!$B$65)^MAX(0,(12*(YEAR(K$3)-YEAR($B$54))+MONTH(K$3)-MONTH($B$54))))</x:f>
      </x:c>
      <x:c r="L64" s="107" t="n">
        <x:f>IF(L63=0,0,'Вводные'!$B$60*'Вводные'!$S$90*'Вводные'!$H$5*'Вводные'!$AG$90*(1+'Вводные'!$B$64)^MAX(0,MIN((12*(YEAR(L$3)-YEAR($B$53))+MONTH(L$3)-MONTH($B$53)),(12*(YEAR($B$54)-YEAR($B$53))+MONTH($B$54)-MONTH($B$53))))*(1+'Вводные'!$B$65)^MAX(0,(12*(YEAR(L$3)-YEAR($B$54))+MONTH(L$3)-MONTH($B$54))))</x:f>
      </x:c>
      <x:c r="M64" s="107" t="n">
        <x:f>IF(M63=0,0,'Вводные'!$B$60*'Вводные'!$S$90*'Вводные'!$H$5*'Вводные'!$AG$90*(1+'Вводные'!$B$64)^MAX(0,MIN((12*(YEAR(M$3)-YEAR($B$53))+MONTH(M$3)-MONTH($B$53)),(12*(YEAR($B$54)-YEAR($B$53))+MONTH($B$54)-MONTH($B$53))))*(1+'Вводные'!$B$65)^MAX(0,(12*(YEAR(M$3)-YEAR($B$54))+MONTH(M$3)-MONTH($B$54))))</x:f>
      </x:c>
      <x:c r="N64" s="107" t="n">
        <x:f>IF(N63=0,0,'Вводные'!$B$60*'Вводные'!$S$90*'Вводные'!$H$5*'Вводные'!$AG$90*(1+'Вводные'!$B$64)^MAX(0,MIN((12*(YEAR(N$3)-YEAR($B$53))+MONTH(N$3)-MONTH($B$53)),(12*(YEAR($B$54)-YEAR($B$53))+MONTH($B$54)-MONTH($B$53))))*(1+'Вводные'!$B$65)^MAX(0,(12*(YEAR(N$3)-YEAR($B$54))+MONTH(N$3)-MONTH($B$54))))</x:f>
      </x:c>
      <x:c r="O64" s="107" t="n">
        <x:f>IF(O63=0,0,'Вводные'!$B$60*'Вводные'!$S$90*'Вводные'!$H$5*'Вводные'!$AG$90*(1+'Вводные'!$B$64)^MAX(0,MIN((12*(YEAR(O$3)-YEAR($B$53))+MONTH(O$3)-MONTH($B$53)),(12*(YEAR($B$54)-YEAR($B$53))+MONTH($B$54)-MONTH($B$53))))*(1+'Вводные'!$B$65)^MAX(0,(12*(YEAR(O$3)-YEAR($B$54))+MONTH(O$3)-MONTH($B$54))))</x:f>
      </x:c>
      <x:c r="P64" s="107" t="n">
        <x:f>IF(P63=0,0,'Вводные'!$B$60*'Вводные'!$S$90*'Вводные'!$H$5*'Вводные'!$AG$90*(1+'Вводные'!$B$64)^MAX(0,MIN((12*(YEAR(P$3)-YEAR($B$53))+MONTH(P$3)-MONTH($B$53)),(12*(YEAR($B$54)-YEAR($B$53))+MONTH($B$54)-MONTH($B$53))))*(1+'Вводные'!$B$65)^MAX(0,(12*(YEAR(P$3)-YEAR($B$54))+MONTH(P$3)-MONTH($B$54))))</x:f>
      </x:c>
      <x:c r="Q64" s="107" t="n">
        <x:f>IF(Q63=0,0,'Вводные'!$B$60*'Вводные'!$S$90*'Вводные'!$H$5*'Вводные'!$AG$90*(1+'Вводные'!$B$64)^MAX(0,MIN((12*(YEAR(Q$3)-YEAR($B$53))+MONTH(Q$3)-MONTH($B$53)),(12*(YEAR($B$54)-YEAR($B$53))+MONTH($B$54)-MONTH($B$53))))*(1+'Вводные'!$B$65)^MAX(0,(12*(YEAR(Q$3)-YEAR($B$54))+MONTH(Q$3)-MONTH($B$54))))</x:f>
      </x:c>
      <x:c r="R64" s="107" t="n">
        <x:f>IF(R63=0,0,'Вводные'!$B$60*'Вводные'!$S$90*'Вводные'!$H$5*'Вводные'!$AG$90*(1+'Вводные'!$B$64)^MAX(0,MIN((12*(YEAR(R$3)-YEAR($B$53))+MONTH(R$3)-MONTH($B$53)),(12*(YEAR($B$54)-YEAR($B$53))+MONTH($B$54)-MONTH($B$53))))*(1+'Вводные'!$B$65)^MAX(0,(12*(YEAR(R$3)-YEAR($B$54))+MONTH(R$3)-MONTH($B$54))))</x:f>
      </x:c>
      <x:c r="S64" s="107" t="n">
        <x:f>IF(S63=0,0,'Вводные'!$B$60*'Вводные'!$S$90*'Вводные'!$H$5*'Вводные'!$AG$90*(1+'Вводные'!$B$64)^MAX(0,MIN((12*(YEAR(S$3)-YEAR($B$53))+MONTH(S$3)-MONTH($B$53)),(12*(YEAR($B$54)-YEAR($B$53))+MONTH($B$54)-MONTH($B$53))))*(1+'Вводные'!$B$65)^MAX(0,(12*(YEAR(S$3)-YEAR($B$54))+MONTH(S$3)-MONTH($B$54))))</x:f>
      </x:c>
      <x:c r="T64" s="107" t="n">
        <x:f>IF(T63=0,0,'Вводные'!$B$60*'Вводные'!$S$90*'Вводные'!$H$5*'Вводные'!$AG$90*(1+'Вводные'!$B$64)^MAX(0,MIN((12*(YEAR(T$3)-YEAR($B$53))+MONTH(T$3)-MONTH($B$53)),(12*(YEAR($B$54)-YEAR($B$53))+MONTH($B$54)-MONTH($B$53))))*(1+'Вводные'!$B$65)^MAX(0,(12*(YEAR(T$3)-YEAR($B$54))+MONTH(T$3)-MONTH($B$54))))</x:f>
      </x:c>
      <x:c r="U64" s="107" t="n">
        <x:f>IF(U63=0,0,'Вводные'!$B$60*'Вводные'!$S$90*'Вводные'!$H$5*'Вводные'!$AG$90*(1+'Вводные'!$B$64)^MAX(0,MIN((12*(YEAR(U$3)-YEAR($B$53))+MONTH(U$3)-MONTH($B$53)),(12*(YEAR($B$54)-YEAR($B$53))+MONTH($B$54)-MONTH($B$53))))*(1+'Вводные'!$B$65)^MAX(0,(12*(YEAR(U$3)-YEAR($B$54))+MONTH(U$3)-MONTH($B$54))))</x:f>
      </x:c>
      <x:c r="V64" s="107" t="n">
        <x:f>IF(V63=0,0,'Вводные'!$B$60*'Вводные'!$S$90*'Вводные'!$H$5*'Вводные'!$AG$90*(1+'Вводные'!$B$64)^MAX(0,MIN((12*(YEAR(V$3)-YEAR($B$53))+MONTH(V$3)-MONTH($B$53)),(12*(YEAR($B$54)-YEAR($B$53))+MONTH($B$54)-MONTH($B$53))))*(1+'Вводные'!$B$65)^MAX(0,(12*(YEAR(V$3)-YEAR($B$54))+MONTH(V$3)-MONTH($B$54))))</x:f>
      </x:c>
      <x:c r="W64" s="107" t="n">
        <x:f>IF(W63=0,0,'Вводные'!$B$60*'Вводные'!$S$90*'Вводные'!$H$5*'Вводные'!$AG$90*(1+'Вводные'!$B$64)^MAX(0,MIN((12*(YEAR(W$3)-YEAR($B$53))+MONTH(W$3)-MONTH($B$53)),(12*(YEAR($B$54)-YEAR($B$53))+MONTH($B$54)-MONTH($B$53))))*(1+'Вводные'!$B$65)^MAX(0,(12*(YEAR(W$3)-YEAR($B$54))+MONTH(W$3)-MONTH($B$54))))</x:f>
      </x:c>
      <x:c r="X64" s="107" t="n">
        <x:f>IF(X63=0,0,'Вводные'!$B$60*'Вводные'!$S$90*'Вводные'!$H$5*'Вводные'!$AG$90*(1+'Вводные'!$B$64)^MAX(0,MIN((12*(YEAR(X$3)-YEAR($B$53))+MONTH(X$3)-MONTH($B$53)),(12*(YEAR($B$54)-YEAR($B$53))+MONTH($B$54)-MONTH($B$53))))*(1+'Вводные'!$B$65)^MAX(0,(12*(YEAR(X$3)-YEAR($B$54))+MONTH(X$3)-MONTH($B$54))))</x:f>
      </x:c>
      <x:c r="Y64" s="107" t="n">
        <x:f>IF(Y63=0,0,'Вводные'!$B$60*'Вводные'!$S$90*'Вводные'!$H$5*'Вводные'!$AG$90*(1+'Вводные'!$B$64)^MAX(0,MIN((12*(YEAR(Y$3)-YEAR($B$53))+MONTH(Y$3)-MONTH($B$53)),(12*(YEAR($B$54)-YEAR($B$53))+MONTH($B$54)-MONTH($B$53))))*(1+'Вводные'!$B$65)^MAX(0,(12*(YEAR(Y$3)-YEAR($B$54))+MONTH(Y$3)-MONTH($B$54))))</x:f>
      </x:c>
      <x:c r="Z64" s="107" t="n">
        <x:f>IF(Z63=0,0,'Вводные'!$B$60*'Вводные'!$S$90*'Вводные'!$H$5*'Вводные'!$AG$90*(1+'Вводные'!$B$64)^MAX(0,MIN((12*(YEAR(Z$3)-YEAR($B$53))+MONTH(Z$3)-MONTH($B$53)),(12*(YEAR($B$54)-YEAR($B$53))+MONTH($B$54)-MONTH($B$53))))*(1+'Вводные'!$B$65)^MAX(0,(12*(YEAR(Z$3)-YEAR($B$54))+MONTH(Z$3)-MONTH($B$54))))</x:f>
      </x:c>
      <x:c r="AA64" s="107" t="n">
        <x:f>IF(AA63=0,0,'Вводные'!$B$60*'Вводные'!$S$90*'Вводные'!$H$5*'Вводные'!$AG$90*(1+'Вводные'!$B$64)^MAX(0,MIN((12*(YEAR(AA$3)-YEAR($B$53))+MONTH(AA$3)-MONTH($B$53)),(12*(YEAR($B$54)-YEAR($B$53))+MONTH($B$54)-MONTH($B$53))))*(1+'Вводные'!$B$65)^MAX(0,(12*(YEAR(AA$3)-YEAR($B$54))+MONTH(AA$3)-MONTH($B$54))))</x:f>
      </x:c>
      <x:c r="AB64" s="107" t="n">
        <x:f>IF(AB63=0,0,'Вводные'!$B$60*'Вводные'!$S$90*'Вводные'!$H$5*'Вводные'!$AG$90*(1+'Вводные'!$B$64)^MAX(0,MIN((12*(YEAR(AB$3)-YEAR($B$53))+MONTH(AB$3)-MONTH($B$53)),(12*(YEAR($B$54)-YEAR($B$53))+MONTH($B$54)-MONTH($B$53))))*(1+'Вводные'!$B$65)^MAX(0,(12*(YEAR(AB$3)-YEAR($B$54))+MONTH(AB$3)-MONTH($B$54))))</x:f>
      </x:c>
      <x:c r="AC64" s="107" t="n">
        <x:f>IF(AC63=0,0,'Вводные'!$B$60*'Вводные'!$S$90*'Вводные'!$H$5*'Вводные'!$AG$90*(1+'Вводные'!$B$64)^MAX(0,MIN((12*(YEAR(AC$3)-YEAR($B$53))+MONTH(AC$3)-MONTH($B$53)),(12*(YEAR($B$54)-YEAR($B$53))+MONTH($B$54)-MONTH($B$53))))*(1+'Вводные'!$B$65)^MAX(0,(12*(YEAR(AC$3)-YEAR($B$54))+MONTH(AC$3)-MONTH($B$54))))</x:f>
      </x:c>
      <x:c r="AD64" s="107" t="n">
        <x:f>IF(AD63=0,0,'Вводные'!$B$60*'Вводные'!$S$90*'Вводные'!$H$5*'Вводные'!$AG$90*(1+'Вводные'!$B$64)^MAX(0,MIN((12*(YEAR(AD$3)-YEAR($B$53))+MONTH(AD$3)-MONTH($B$53)),(12*(YEAR($B$54)-YEAR($B$53))+MONTH($B$54)-MONTH($B$53))))*(1+'Вводные'!$B$65)^MAX(0,(12*(YEAR(AD$3)-YEAR($B$54))+MONTH(AD$3)-MONTH($B$54))))</x:f>
      </x:c>
      <x:c r="AE64" s="107" t="n">
        <x:f>IF(AE63=0,0,'Вводные'!$B$60*'Вводные'!$S$90*'Вводные'!$H$5*'Вводные'!$AG$90*(1+'Вводные'!$B$64)^MAX(0,MIN((12*(YEAR(AE$3)-YEAR($B$53))+MONTH(AE$3)-MONTH($B$53)),(12*(YEAR($B$54)-YEAR($B$53))+MONTH($B$54)-MONTH($B$53))))*(1+'Вводные'!$B$65)^MAX(0,(12*(YEAR(AE$3)-YEAR($B$54))+MONTH(AE$3)-MONTH($B$54))))</x:f>
      </x:c>
      <x:c r="AF64" s="107" t="n">
        <x:f>IF(AF63=0,0,'Вводные'!$B$60*'Вводные'!$S$90*'Вводные'!$H$5*'Вводные'!$AG$90*(1+'Вводные'!$B$64)^MAX(0,MIN((12*(YEAR(AF$3)-YEAR($B$53))+MONTH(AF$3)-MONTH($B$53)),(12*(YEAR($B$54)-YEAR($B$53))+MONTH($B$54)-MONTH($B$53))))*(1+'Вводные'!$B$65)^MAX(0,(12*(YEAR(AF$3)-YEAR($B$54))+MONTH(AF$3)-MONTH($B$54))))</x:f>
      </x:c>
      <x:c r="AG64" s="107" t="n">
        <x:f>IF(AG63=0,0,'Вводные'!$B$60*'Вводные'!$S$90*'Вводные'!$H$5*'Вводные'!$AG$90*(1+'Вводные'!$B$64)^MAX(0,MIN((12*(YEAR(AG$3)-YEAR($B$53))+MONTH(AG$3)-MONTH($B$53)),(12*(YEAR($B$54)-YEAR($B$53))+MONTH($B$54)-MONTH($B$53))))*(1+'Вводные'!$B$65)^MAX(0,(12*(YEAR(AG$3)-YEAR($B$54))+MONTH(AG$3)-MONTH($B$54))))</x:f>
      </x:c>
      <x:c r="AH64" s="107" t="n">
        <x:f>IF(AH63=0,0,'Вводные'!$B$60*'Вводные'!$S$90*'Вводные'!$H$5*'Вводные'!$AG$90*(1+'Вводные'!$B$64)^MAX(0,MIN((12*(YEAR(AH$3)-YEAR($B$53))+MONTH(AH$3)-MONTH($B$53)),(12*(YEAR($B$54)-YEAR($B$53))+MONTH($B$54)-MONTH($B$53))))*(1+'Вводные'!$B$65)^MAX(0,(12*(YEAR(AH$3)-YEAR($B$54))+MONTH(AH$3)-MONTH($B$54))))</x:f>
      </x:c>
      <x:c r="AI64" s="107" t="n">
        <x:f>IF(AI63=0,0,'Вводные'!$B$60*'Вводные'!$S$90*'Вводные'!$H$5*'Вводные'!$AG$90*(1+'Вводные'!$B$64)^MAX(0,MIN((12*(YEAR(AI$3)-YEAR($B$53))+MONTH(AI$3)-MONTH($B$53)),(12*(YEAR($B$54)-YEAR($B$53))+MONTH($B$54)-MONTH($B$53))))*(1+'Вводные'!$B$65)^MAX(0,(12*(YEAR(AI$3)-YEAR($B$54))+MONTH(AI$3)-MONTH($B$54))))</x:f>
      </x:c>
      <x:c r="AJ64" s="107" t="n">
        <x:f>IF(AJ63=0,0,'Вводные'!$B$60*'Вводные'!$S$90*'Вводные'!$H$5*'Вводные'!$AG$90*(1+'Вводные'!$B$64)^MAX(0,MIN((12*(YEAR(AJ$3)-YEAR($B$53))+MONTH(AJ$3)-MONTH($B$53)),(12*(YEAR($B$54)-YEAR($B$53))+MONTH($B$54)-MONTH($B$53))))*(1+'Вводные'!$B$65)^MAX(0,(12*(YEAR(AJ$3)-YEAR($B$54))+MONTH(AJ$3)-MONTH($B$54))))</x:f>
      </x:c>
      <x:c r="AK64" s="107" t="n">
        <x:f>IF(AK63=0,0,'Вводные'!$B$60*'Вводные'!$S$90*'Вводные'!$H$5*'Вводные'!$AG$90*(1+'Вводные'!$B$64)^MAX(0,MIN((12*(YEAR(AK$3)-YEAR($B$53))+MONTH(AK$3)-MONTH($B$53)),(12*(YEAR($B$54)-YEAR($B$53))+MONTH($B$54)-MONTH($B$53))))*(1+'Вводные'!$B$65)^MAX(0,(12*(YEAR(AK$3)-YEAR($B$54))+MONTH(AK$3)-MONTH($B$54))))</x:f>
      </x:c>
      <x:c r="AL64" s="107" t="n">
        <x:f>IF(AL63=0,0,'Вводные'!$B$60*'Вводные'!$S$90*'Вводные'!$H$5*'Вводные'!$AG$90*(1+'Вводные'!$B$64)^MAX(0,MIN((12*(YEAR(AL$3)-YEAR($B$53))+MONTH(AL$3)-MONTH($B$53)),(12*(YEAR($B$54)-YEAR($B$53))+MONTH($B$54)-MONTH($B$53))))*(1+'Вводные'!$B$65)^MAX(0,(12*(YEAR(AL$3)-YEAR($B$54))+MONTH(AL$3)-MONTH($B$54))))</x:f>
      </x:c>
      <x:c r="AM64" s="107" t="n">
        <x:f>IF(AM63=0,0,'Вводные'!$B$60*'Вводные'!$S$90*'Вводные'!$H$5*'Вводные'!$AG$90*(1+'Вводные'!$B$64)^MAX(0,MIN((12*(YEAR(AM$3)-YEAR($B$53))+MONTH(AM$3)-MONTH($B$53)),(12*(YEAR($B$54)-YEAR($B$53))+MONTH($B$54)-MONTH($B$53))))*(1+'Вводные'!$B$65)^MAX(0,(12*(YEAR(AM$3)-YEAR($B$54))+MONTH(AM$3)-MONTH($B$54))))</x:f>
      </x:c>
      <x:c r="AN64" s="107" t="n">
        <x:f>IF(AN63=0,0,'Вводные'!$B$60*'Вводные'!$S$90*'Вводные'!$H$5*'Вводные'!$AG$90*(1+'Вводные'!$B$64)^MAX(0,MIN((12*(YEAR(AN$3)-YEAR($B$53))+MONTH(AN$3)-MONTH($B$53)),(12*(YEAR($B$54)-YEAR($B$53))+MONTH($B$54)-MONTH($B$53))))*(1+'Вводные'!$B$65)^MAX(0,(12*(YEAR(AN$3)-YEAR($B$54))+MONTH(AN$3)-MONTH($B$54))))</x:f>
      </x:c>
      <x:c r="AO64" s="107" t="n">
        <x:f>IF(AO63=0,0,'Вводные'!$B$60*'Вводные'!$S$90*'Вводные'!$H$5*'Вводные'!$AG$90*(1+'Вводные'!$B$64)^MAX(0,MIN((12*(YEAR(AO$3)-YEAR($B$53))+MONTH(AO$3)-MONTH($B$53)),(12*(YEAR($B$54)-YEAR($B$53))+MONTH($B$54)-MONTH($B$53))))*(1+'Вводные'!$B$65)^MAX(0,(12*(YEAR(AO$3)-YEAR($B$54))+MONTH(AO$3)-MONTH($B$54))))</x:f>
      </x:c>
      <x:c r="AP64" s="107" t="n">
        <x:f>IF(AP63=0,0,'Вводные'!$B$60*'Вводные'!$S$90*'Вводные'!$H$5*'Вводные'!$AG$90*(1+'Вводные'!$B$64)^MAX(0,MIN((12*(YEAR(AP$3)-YEAR($B$53))+MONTH(AP$3)-MONTH($B$53)),(12*(YEAR($B$54)-YEAR($B$53))+MONTH($B$54)-MONTH($B$53))))*(1+'Вводные'!$B$65)^MAX(0,(12*(YEAR(AP$3)-YEAR($B$54))+MONTH(AP$3)-MONTH($B$54))))</x:f>
      </x:c>
      <x:c r="AQ64" s="107" t="n">
        <x:f>IF(AQ63=0,0,'Вводные'!$B$60*'Вводные'!$S$90*'Вводные'!$H$5*'Вводные'!$AG$90*(1+'Вводные'!$B$64)^MAX(0,MIN((12*(YEAR(AQ$3)-YEAR($B$53))+MONTH(AQ$3)-MONTH($B$53)),(12*(YEAR($B$54)-YEAR($B$53))+MONTH($B$54)-MONTH($B$53))))*(1+'Вводные'!$B$65)^MAX(0,(12*(YEAR(AQ$3)-YEAR($B$54))+MONTH(AQ$3)-MONTH($B$54))))</x:f>
      </x:c>
      <x:c r="AR64" s="107" t="n">
        <x:f>IF(AR63=0,0,'Вводные'!$B$60*'Вводные'!$S$90*'Вводные'!$H$5*'Вводные'!$AG$90*(1+'Вводные'!$B$64)^MAX(0,MIN((12*(YEAR(AR$3)-YEAR($B$53))+MONTH(AR$3)-MONTH($B$53)),(12*(YEAR($B$54)-YEAR($B$53))+MONTH($B$54)-MONTH($B$53))))*(1+'Вводные'!$B$65)^MAX(0,(12*(YEAR(AR$3)-YEAR($B$54))+MONTH(AR$3)-MONTH($B$54))))</x:f>
      </x:c>
      <x:c r="AS64" s="107" t="n">
        <x:f>IF(AS63=0,0,'Вводные'!$B$60*'Вводные'!$S$90*'Вводные'!$H$5*'Вводные'!$AG$90*(1+'Вводные'!$B$64)^MAX(0,MIN((12*(YEAR(AS$3)-YEAR($B$53))+MONTH(AS$3)-MONTH($B$53)),(12*(YEAR($B$54)-YEAR($B$53))+MONTH($B$54)-MONTH($B$53))))*(1+'Вводные'!$B$65)^MAX(0,(12*(YEAR(AS$3)-YEAR($B$54))+MONTH(AS$3)-MONTH($B$54))))</x:f>
      </x:c>
      <x:c r="AT64" s="107" t="n">
        <x:f>IF(AT63=0,0,'Вводные'!$B$60*'Вводные'!$S$90*'Вводные'!$H$5*'Вводные'!$AG$90*(1+'Вводные'!$B$64)^MAX(0,MIN((12*(YEAR(AT$3)-YEAR($B$53))+MONTH(AT$3)-MONTH($B$53)),(12*(YEAR($B$54)-YEAR($B$53))+MONTH($B$54)-MONTH($B$53))))*(1+'Вводные'!$B$65)^MAX(0,(12*(YEAR(AT$3)-YEAR($B$54))+MONTH(AT$3)-MONTH($B$54))))</x:f>
      </x:c>
      <x:c r="AU64" s="107" t="n">
        <x:f>IF(AU63=0,0,'Вводные'!$B$60*'Вводные'!$S$90*'Вводные'!$H$5*'Вводные'!$AG$90*(1+'Вводные'!$B$64)^MAX(0,MIN((12*(YEAR(AU$3)-YEAR($B$53))+MONTH(AU$3)-MONTH($B$53)),(12*(YEAR($B$54)-YEAR($B$53))+MONTH($B$54)-MONTH($B$53))))*(1+'Вводные'!$B$65)^MAX(0,(12*(YEAR(AU$3)-YEAR($B$54))+MONTH(AU$3)-MONTH($B$54))))</x:f>
      </x:c>
      <x:c r="AV64" s="107" t="n">
        <x:f>IF(AV63=0,0,'Вводные'!$B$60*'Вводные'!$S$90*'Вводные'!$H$5*'Вводные'!$AG$90*(1+'Вводные'!$B$64)^MAX(0,MIN((12*(YEAR(AV$3)-YEAR($B$53))+MONTH(AV$3)-MONTH($B$53)),(12*(YEAR($B$54)-YEAR($B$53))+MONTH($B$54)-MONTH($B$53))))*(1+'Вводные'!$B$65)^MAX(0,(12*(YEAR(AV$3)-YEAR($B$54))+MONTH(AV$3)-MONTH($B$54))))</x:f>
      </x:c>
      <x:c r="AW64" s="107" t="n">
        <x:f>IF(AW63=0,0,'Вводные'!$B$60*'Вводные'!$S$90*'Вводные'!$H$5*'Вводные'!$AG$90*(1+'Вводные'!$B$64)^MAX(0,MIN((12*(YEAR(AW$3)-YEAR($B$53))+MONTH(AW$3)-MONTH($B$53)),(12*(YEAR($B$54)-YEAR($B$53))+MONTH($B$54)-MONTH($B$53))))*(1+'Вводные'!$B$65)^MAX(0,(12*(YEAR(AW$3)-YEAR($B$54))+MONTH(AW$3)-MONTH($B$54))))</x:f>
      </x:c>
      <x:c r="AX64" s="107" t="n">
        <x:f>IF(AX63=0,0,'Вводные'!$B$60*'Вводные'!$S$90*'Вводные'!$H$5*'Вводные'!$AG$90*(1+'Вводные'!$B$64)^MAX(0,MIN((12*(YEAR(AX$3)-YEAR($B$53))+MONTH(AX$3)-MONTH($B$53)),(12*(YEAR($B$54)-YEAR($B$53))+MONTH($B$54)-MONTH($B$53))))*(1+'Вводные'!$B$65)^MAX(0,(12*(YEAR(AX$3)-YEAR($B$54))+MONTH(AX$3)-MONTH($B$54))))</x:f>
      </x:c>
      <x:c r="AY64" s="107" t="n">
        <x:f>IF(AY63=0,0,'Вводные'!$B$60*'Вводные'!$S$90*'Вводные'!$H$5*'Вводные'!$AG$90*(1+'Вводные'!$B$64)^MAX(0,MIN((12*(YEAR(AY$3)-YEAR($B$53))+MONTH(AY$3)-MONTH($B$53)),(12*(YEAR($B$54)-YEAR($B$53))+MONTH($B$54)-MONTH($B$53))))*(1+'Вводные'!$B$65)^MAX(0,(12*(YEAR(AY$3)-YEAR($B$54))+MONTH(AY$3)-MONTH($B$54))))</x:f>
      </x:c>
      <x:c r="AZ64" s="107" t="n">
        <x:f>IF(AZ63=0,0,'Вводные'!$B$60*'Вводные'!$S$90*'Вводные'!$H$5*'Вводные'!$AG$90*(1+'Вводные'!$B$64)^MAX(0,MIN((12*(YEAR(AZ$3)-YEAR($B$53))+MONTH(AZ$3)-MONTH($B$53)),(12*(YEAR($B$54)-YEAR($B$53))+MONTH($B$54)-MONTH($B$53))))*(1+'Вводные'!$B$65)^MAX(0,(12*(YEAR(AZ$3)-YEAR($B$54))+MONTH(AZ$3)-MONTH($B$54))))</x:f>
      </x:c>
      <x:c r="BA64" s="107" t="n">
        <x:f>IF(BA63=0,0,'Вводные'!$B$60*'Вводные'!$S$90*'Вводные'!$H$5*'Вводные'!$AG$90*(1+'Вводные'!$B$64)^MAX(0,MIN((12*(YEAR(BA$3)-YEAR($B$53))+MONTH(BA$3)-MONTH($B$53)),(12*(YEAR($B$54)-YEAR($B$53))+MONTH($B$54)-MONTH($B$53))))*(1+'Вводные'!$B$65)^MAX(0,(12*(YEAR(BA$3)-YEAR($B$54))+MONTH(BA$3)-MONTH($B$54))))</x:f>
      </x:c>
      <x:c r="BB64" s="107" t="n">
        <x:f>IF(BB63=0,0,'Вводные'!$B$60*'Вводные'!$S$90*'Вводные'!$H$5*'Вводные'!$AG$90*(1+'Вводные'!$B$64)^MAX(0,MIN((12*(YEAR(BB$3)-YEAR($B$53))+MONTH(BB$3)-MONTH($B$53)),(12*(YEAR($B$54)-YEAR($B$53))+MONTH($B$54)-MONTH($B$53))))*(1+'Вводные'!$B$65)^MAX(0,(12*(YEAR(BB$3)-YEAR($B$54))+MONTH(BB$3)-MONTH($B$54))))</x:f>
      </x:c>
      <x:c r="BC64" s="107" t="n">
        <x:f>IF(BC63=0,0,'Вводные'!$B$60*'Вводные'!$S$90*'Вводные'!$H$5*'Вводные'!$AG$90*(1+'Вводные'!$B$64)^MAX(0,MIN((12*(YEAR(BC$3)-YEAR($B$53))+MONTH(BC$3)-MONTH($B$53)),(12*(YEAR($B$54)-YEAR($B$53))+MONTH($B$54)-MONTH($B$53))))*(1+'Вводные'!$B$65)^MAX(0,(12*(YEAR(BC$3)-YEAR($B$54))+MONTH(BC$3)-MONTH($B$54))))</x:f>
      </x:c>
      <x:c r="BD64" s="107" t="n">
        <x:f>IF(BD63=0,0,'Вводные'!$B$60*'Вводные'!$S$90*'Вводные'!$H$5*'Вводные'!$AG$90*(1+'Вводные'!$B$64)^MAX(0,MIN((12*(YEAR(BD$3)-YEAR($B$53))+MONTH(BD$3)-MONTH($B$53)),(12*(YEAR($B$54)-YEAR($B$53))+MONTH($B$54)-MONTH($B$53))))*(1+'Вводные'!$B$65)^MAX(0,(12*(YEAR(BD$3)-YEAR($B$54))+MONTH(BD$3)-MONTH($B$54))))</x:f>
      </x:c>
      <x:c r="BE64" s="107" t="n">
        <x:f>IF(BE63=0,0,'Вводные'!$B$60*'Вводные'!$S$90*'Вводные'!$H$5*'Вводные'!$AG$90*(1+'Вводные'!$B$64)^MAX(0,MIN((12*(YEAR(BE$3)-YEAR($B$53))+MONTH(BE$3)-MONTH($B$53)),(12*(YEAR($B$54)-YEAR($B$53))+MONTH($B$54)-MONTH($B$53))))*(1+'Вводные'!$B$65)^MAX(0,(12*(YEAR(BE$3)-YEAR($B$54))+MONTH(BE$3)-MONTH($B$54))))</x:f>
      </x:c>
      <x:c r="BF64" s="107" t="n">
        <x:f>IF(BF63=0,0,'Вводные'!$B$60*'Вводные'!$S$90*'Вводные'!$H$5*'Вводные'!$AG$90*(1+'Вводные'!$B$64)^MAX(0,MIN((12*(YEAR(BF$3)-YEAR($B$53))+MONTH(BF$3)-MONTH($B$53)),(12*(YEAR($B$54)-YEAR($B$53))+MONTH($B$54)-MONTH($B$53))))*(1+'Вводные'!$B$65)^MAX(0,(12*(YEAR(BF$3)-YEAR($B$54))+MONTH(BF$3)-MONTH($B$54))))</x:f>
      </x:c>
      <x:c r="BG64" s="107" t="n">
        <x:f>IF(BG63=0,0,'Вводные'!$B$60*'Вводные'!$S$90*'Вводные'!$H$5*'Вводные'!$AG$90*(1+'Вводные'!$B$64)^MAX(0,MIN((12*(YEAR(BG$3)-YEAR($B$53))+MONTH(BG$3)-MONTH($B$53)),(12*(YEAR($B$54)-YEAR($B$53))+MONTH($B$54)-MONTH($B$53))))*(1+'Вводные'!$B$65)^MAX(0,(12*(YEAR(BG$3)-YEAR($B$54))+MONTH(BG$3)-MONTH($B$54))))</x:f>
      </x:c>
      <x:c r="BH64" s="107" t="n">
        <x:f>IF(BH63=0,0,'Вводные'!$B$60*'Вводные'!$S$90*'Вводные'!$H$5*'Вводные'!$AG$90*(1+'Вводные'!$B$64)^MAX(0,MIN((12*(YEAR(BH$3)-YEAR($B$53))+MONTH(BH$3)-MONTH($B$53)),(12*(YEAR($B$54)-YEAR($B$53))+MONTH($B$54)-MONTH($B$53))))*(1+'Вводные'!$B$65)^MAX(0,(12*(YEAR(BH$3)-YEAR($B$54))+MONTH(BH$3)-MONTH($B$54))))</x:f>
      </x:c>
      <x:c r="BI64" s="107" t="n">
        <x:f>IF(BI63=0,0,'Вводные'!$B$60*'Вводные'!$S$90*'Вводные'!$H$5*'Вводные'!$AG$90*(1+'Вводные'!$B$64)^MAX(0,MIN((12*(YEAR(BI$3)-YEAR($B$53))+MONTH(BI$3)-MONTH($B$53)),(12*(YEAR($B$54)-YEAR($B$53))+MONTH($B$54)-MONTH($B$53))))*(1+'Вводные'!$B$65)^MAX(0,(12*(YEAR(BI$3)-YEAR($B$54))+MONTH(BI$3)-MONTH($B$54))))</x:f>
      </x:c>
      <x:c r="BJ64" s="107" t="n">
        <x:f>IF(BJ63=0,0,'Вводные'!$B$60*'Вводные'!$S$90*'Вводные'!$H$5*'Вводные'!$AG$90*(1+'Вводные'!$B$64)^MAX(0,MIN((12*(YEAR(BJ$3)-YEAR($B$53))+MONTH(BJ$3)-MONTH($B$53)),(12*(YEAR($B$54)-YEAR($B$53))+MONTH($B$54)-MONTH($B$53))))*(1+'Вводные'!$B$65)^MAX(0,(12*(YEAR(BJ$3)-YEAR($B$54))+MONTH(BJ$3)-MONTH($B$54))))</x:f>
      </x:c>
      <x:c r="BK64" s="107" t="n">
        <x:f>IF(BK63=0,0,'Вводные'!$B$60*'Вводные'!$S$90*'Вводные'!$H$5*'Вводные'!$AG$90*(1+'Вводные'!$B$64)^MAX(0,MIN((12*(YEAR(BK$3)-YEAR($B$53))+MONTH(BK$3)-MONTH($B$53)),(12*(YEAR($B$54)-YEAR($B$53))+MONTH($B$54)-MONTH($B$53))))*(1+'Вводные'!$B$65)^MAX(0,(12*(YEAR(BK$3)-YEAR($B$54))+MONTH(BK$3)-MONTH($B$54))))</x:f>
      </x:c>
      <x:c r="BL64" s="107" t="n">
        <x:f>IF(BL63=0,0,'Вводные'!$B$60*'Вводные'!$S$90*'Вводные'!$H$5*'Вводные'!$AG$90*(1+'Вводные'!$B$64)^MAX(0,MIN((12*(YEAR(BL$3)-YEAR($B$53))+MONTH(BL$3)-MONTH($B$53)),(12*(YEAR($B$54)-YEAR($B$53))+MONTH($B$54)-MONTH($B$53))))*(1+'Вводные'!$B$65)^MAX(0,(12*(YEAR(BL$3)-YEAR($B$54))+MONTH(BL$3)-MONTH($B$54))))</x:f>
      </x:c>
      <x:c r="BM64" s="107" t="n">
        <x:f>IF(BM63=0,0,'Вводные'!$B$60*'Вводные'!$S$90*'Вводные'!$H$5*'Вводные'!$AG$90*(1+'Вводные'!$B$64)^MAX(0,MIN((12*(YEAR(BM$3)-YEAR($B$53))+MONTH(BM$3)-MONTH($B$53)),(12*(YEAR($B$54)-YEAR($B$53))+MONTH($B$54)-MONTH($B$53))))*(1+'Вводные'!$B$65)^MAX(0,(12*(YEAR(BM$3)-YEAR($B$54))+MONTH(BM$3)-MONTH($B$54))))</x:f>
      </x:c>
      <x:c r="BN64" s="107" t="n">
        <x:f>IF(BN63=0,0,'Вводные'!$B$60*'Вводные'!$S$90*'Вводные'!$H$5*'Вводные'!$AG$90*(1+'Вводные'!$B$64)^MAX(0,MIN((12*(YEAR(BN$3)-YEAR($B$53))+MONTH(BN$3)-MONTH($B$53)),(12*(YEAR($B$54)-YEAR($B$53))+MONTH($B$54)-MONTH($B$53))))*(1+'Вводные'!$B$65)^MAX(0,(12*(YEAR(BN$3)-YEAR($B$54))+MONTH(BN$3)-MONTH($B$54))))</x:f>
      </x:c>
      <x:c r="BO64" s="107" t="n">
        <x:f>IF(BO63=0,0,'Вводные'!$B$60*'Вводные'!$S$90*'Вводные'!$H$5*'Вводные'!$AG$90*(1+'Вводные'!$B$64)^MAX(0,MIN((12*(YEAR(BO$3)-YEAR($B$53))+MONTH(BO$3)-MONTH($B$53)),(12*(YEAR($B$54)-YEAR($B$53))+MONTH($B$54)-MONTH($B$53))))*(1+'Вводные'!$B$65)^MAX(0,(12*(YEAR(BO$3)-YEAR($B$54))+MONTH(BO$3)-MONTH($B$54))))</x:f>
      </x:c>
      <x:c r="BP64" s="107" t="n">
        <x:f>IF(BP63=0,0,'Вводные'!$B$60*'Вводные'!$S$90*'Вводные'!$H$5*'Вводные'!$AG$90*(1+'Вводные'!$B$64)^MAX(0,MIN((12*(YEAR(BP$3)-YEAR($B$53))+MONTH(BP$3)-MONTH($B$53)),(12*(YEAR($B$54)-YEAR($B$53))+MONTH($B$54)-MONTH($B$53))))*(1+'Вводные'!$B$65)^MAX(0,(12*(YEAR(BP$3)-YEAR($B$54))+MONTH(BP$3)-MONTH($B$54))))</x:f>
      </x:c>
      <x:c r="BQ64" s="107" t="n">
        <x:f>IF(BQ63=0,0,'Вводные'!$B$60*'Вводные'!$S$90*'Вводные'!$H$5*'Вводные'!$AG$90*(1+'Вводные'!$B$64)^MAX(0,MIN((12*(YEAR(BQ$3)-YEAR($B$53))+MONTH(BQ$3)-MONTH($B$53)),(12*(YEAR($B$54)-YEAR($B$53))+MONTH($B$54)-MONTH($B$53))))*(1+'Вводные'!$B$65)^MAX(0,(12*(YEAR(BQ$3)-YEAR($B$54))+MONTH(BQ$3)-MONTH($B$54))))</x:f>
      </x:c>
      <x:c r="BR64" s="107" t="n">
        <x:f>IF(BR63=0,0,'Вводные'!$B$60*'Вводные'!$S$90*'Вводные'!$H$5*'Вводные'!$AG$90*(1+'Вводные'!$B$64)^MAX(0,MIN((12*(YEAR(BR$3)-YEAR($B$53))+MONTH(BR$3)-MONTH($B$53)),(12*(YEAR($B$54)-YEAR($B$53))+MONTH($B$54)-MONTH($B$53))))*(1+'Вводные'!$B$65)^MAX(0,(12*(YEAR(BR$3)-YEAR($B$54))+MONTH(BR$3)-MONTH($B$54))))</x:f>
      </x:c>
      <x:c r="BS64" s="107" t="n">
        <x:f>IF(BS63=0,0,'Вводные'!$B$60*'Вводные'!$S$90*'Вводные'!$H$5*'Вводные'!$AG$90*(1+'Вводные'!$B$64)^MAX(0,MIN((12*(YEAR(BS$3)-YEAR($B$53))+MONTH(BS$3)-MONTH($B$53)),(12*(YEAR($B$54)-YEAR($B$53))+MONTH($B$54)-MONTH($B$53))))*(1+'Вводные'!$B$65)^MAX(0,(12*(YEAR(BS$3)-YEAR($B$54))+MONTH(BS$3)-MONTH($B$54))))</x:f>
      </x:c>
      <x:c r="BT64" s="107" t="n">
        <x:f>IF(BT63=0,0,'Вводные'!$B$60*'Вводные'!$S$90*'Вводные'!$H$5*'Вводные'!$AG$90*(1+'Вводные'!$B$64)^MAX(0,MIN((12*(YEAR(BT$3)-YEAR($B$53))+MONTH(BT$3)-MONTH($B$53)),(12*(YEAR($B$54)-YEAR($B$53))+MONTH($B$54)-MONTH($B$53))))*(1+'Вводные'!$B$65)^MAX(0,(12*(YEAR(BT$3)-YEAR($B$54))+MONTH(BT$3)-MONTH($B$54))))</x:f>
      </x:c>
      <x:c r="BU64" s="107" t="n">
        <x:f>IF(BU63=0,0,'Вводные'!$B$60*'Вводные'!$S$90*'Вводные'!$H$5*'Вводные'!$AG$90*(1+'Вводные'!$B$64)^MAX(0,MIN((12*(YEAR(BU$3)-YEAR($B$53))+MONTH(BU$3)-MONTH($B$53)),(12*(YEAR($B$54)-YEAR($B$53))+MONTH($B$54)-MONTH($B$53))))*(1+'Вводные'!$B$65)^MAX(0,(12*(YEAR(BU$3)-YEAR($B$54))+MONTH(BU$3)-MONTH($B$54))))</x:f>
      </x:c>
      <x:c r="BV64" s="107" t="n">
        <x:f>IF(BV63=0,0,'Вводные'!$B$60*'Вводные'!$S$90*'Вводные'!$H$5*'Вводные'!$AG$90*(1+'Вводные'!$B$64)^MAX(0,MIN((12*(YEAR(BV$3)-YEAR($B$53))+MONTH(BV$3)-MONTH($B$53)),(12*(YEAR($B$54)-YEAR($B$53))+MONTH($B$54)-MONTH($B$53))))*(1+'Вводные'!$B$65)^MAX(0,(12*(YEAR(BV$3)-YEAR($B$54))+MONTH(BV$3)-MONTH($B$54))))</x:f>
      </x:c>
      <x:c r="BW64" s="107" t="n">
        <x:f>IF(BW63=0,0,'Вводные'!$B$60*'Вводные'!$S$90*'Вводные'!$H$5*'Вводные'!$AG$90*(1+'Вводные'!$B$64)^MAX(0,MIN((12*(YEAR(BW$3)-YEAR($B$53))+MONTH(BW$3)-MONTH($B$53)),(12*(YEAR($B$54)-YEAR($B$53))+MONTH($B$54)-MONTH($B$53))))*(1+'Вводные'!$B$65)^MAX(0,(12*(YEAR(BW$3)-YEAR($B$54))+MONTH(BW$3)-MONTH($B$54))))</x:f>
      </x:c>
      <x:c r="BX64" s="107" t="n">
        <x:f>IF(BX63=0,0,'Вводные'!$B$60*'Вводные'!$S$90*'Вводные'!$H$5*'Вводные'!$AG$90*(1+'Вводные'!$B$64)^MAX(0,MIN((12*(YEAR(BX$3)-YEAR($B$53))+MONTH(BX$3)-MONTH($B$53)),(12*(YEAR($B$54)-YEAR($B$53))+MONTH($B$54)-MONTH($B$53))))*(1+'Вводные'!$B$65)^MAX(0,(12*(YEAR(BX$3)-YEAR($B$54))+MONTH(BX$3)-MONTH($B$54))))</x:f>
      </x:c>
      <x:c r="BY64" s="107" t="n">
        <x:f>IF(BY63=0,0,'Вводные'!$B$60*'Вводные'!$S$90*'Вводные'!$H$5*'Вводные'!$AG$90*(1+'Вводные'!$B$64)^MAX(0,MIN((12*(YEAR(BY$3)-YEAR($B$53))+MONTH(BY$3)-MONTH($B$53)),(12*(YEAR($B$54)-YEAR($B$53))+MONTH($B$54)-MONTH($B$53))))*(1+'Вводные'!$B$65)^MAX(0,(12*(YEAR(BY$3)-YEAR($B$54))+MONTH(BY$3)-MONTH($B$54))))</x:f>
      </x:c>
      <x:c r="BZ64" s="107" t="n">
        <x:f>IF(BZ63=0,0,'Вводные'!$B$60*'Вводные'!$S$90*'Вводные'!$H$5*'Вводные'!$AG$90*(1+'Вводные'!$B$64)^MAX(0,MIN((12*(YEAR(BZ$3)-YEAR($B$53))+MONTH(BZ$3)-MONTH($B$53)),(12*(YEAR($B$54)-YEAR($B$53))+MONTH($B$54)-MONTH($B$53))))*(1+'Вводные'!$B$65)^MAX(0,(12*(YEAR(BZ$3)-YEAR($B$54))+MONTH(BZ$3)-MONTH($B$54))))</x:f>
      </x:c>
      <x:c r="CA64" s="107" t="n">
        <x:f>IF(CA63=0,0,'Вводные'!$B$60*'Вводные'!$S$90*'Вводные'!$H$5*'Вводные'!$AG$90*(1+'Вводные'!$B$64)^MAX(0,MIN((12*(YEAR(CA$3)-YEAR($B$53))+MONTH(CA$3)-MONTH($B$53)),(12*(YEAR($B$54)-YEAR($B$53))+MONTH($B$54)-MONTH($B$53))))*(1+'Вводные'!$B$65)^MAX(0,(12*(YEAR(CA$3)-YEAR($B$54))+MONTH(CA$3)-MONTH($B$54))))</x:f>
      </x:c>
      <x:c r="CB64" s="107" t="n">
        <x:f>IF(CB63=0,0,'Вводные'!$B$60*'Вводные'!$S$90*'Вводные'!$H$5*'Вводные'!$AG$90*(1+'Вводные'!$B$64)^MAX(0,MIN((12*(YEAR(CB$3)-YEAR($B$53))+MONTH(CB$3)-MONTH($B$53)),(12*(YEAR($B$54)-YEAR($B$53))+MONTH($B$54)-MONTH($B$53))))*(1+'Вводные'!$B$65)^MAX(0,(12*(YEAR(CB$3)-YEAR($B$54))+MONTH(CB$3)-MONTH($B$54))))</x:f>
      </x:c>
      <x:c r="CC64" s="107" t="n">
        <x:f>IF(CC63=0,0,'Вводные'!$B$60*'Вводные'!$S$90*'Вводные'!$H$5*'Вводные'!$AG$90*(1+'Вводные'!$B$64)^MAX(0,MIN((12*(YEAR(CC$3)-YEAR($B$53))+MONTH(CC$3)-MONTH($B$53)),(12*(YEAR($B$54)-YEAR($B$53))+MONTH($B$54)-MONTH($B$53))))*(1+'Вводные'!$B$65)^MAX(0,(12*(YEAR(CC$3)-YEAR($B$54))+MONTH(CC$3)-MONTH($B$54))))</x:f>
      </x:c>
      <x:c r="CD64" s="107" t="n">
        <x:f>IF(CD63=0,0,'Вводные'!$B$60*'Вводные'!$S$90*'Вводные'!$H$5*'Вводные'!$AG$90*(1+'Вводные'!$B$64)^MAX(0,MIN((12*(YEAR(CD$3)-YEAR($B$53))+MONTH(CD$3)-MONTH($B$53)),(12*(YEAR($B$54)-YEAR($B$53))+MONTH($B$54)-MONTH($B$53))))*(1+'Вводные'!$B$65)^MAX(0,(12*(YEAR(CD$3)-YEAR($B$54))+MONTH(CD$3)-MONTH($B$54))))</x:f>
      </x:c>
      <x:c r="CE64" s="107" t="n">
        <x:f>IF(CE63=0,0,'Вводные'!$B$60*'Вводные'!$S$90*'Вводные'!$H$5*'Вводные'!$AG$90*(1+'Вводные'!$B$64)^MAX(0,MIN((12*(YEAR(CE$3)-YEAR($B$53))+MONTH(CE$3)-MONTH($B$53)),(12*(YEAR($B$54)-YEAR($B$53))+MONTH($B$54)-MONTH($B$53))))*(1+'Вводные'!$B$65)^MAX(0,(12*(YEAR(CE$3)-YEAR($B$54))+MONTH(CE$3)-MONTH($B$54))))</x:f>
      </x:c>
      <x:c r="CF64" s="107" t="n">
        <x:f>IF(CF63=0,0,'Вводные'!$B$60*'Вводные'!$S$90*'Вводные'!$H$5*'Вводные'!$AG$90*(1+'Вводные'!$B$64)^MAX(0,MIN((12*(YEAR(CF$3)-YEAR($B$53))+MONTH(CF$3)-MONTH($B$53)),(12*(YEAR($B$54)-YEAR($B$53))+MONTH($B$54)-MONTH($B$53))))*(1+'Вводные'!$B$65)^MAX(0,(12*(YEAR(CF$3)-YEAR($B$54))+MONTH(CF$3)-MONTH($B$54))))</x:f>
      </x:c>
      <x:c r="CG64" s="107" t="n">
        <x:f>IF(CG63=0,0,'Вводные'!$B$60*'Вводные'!$S$90*'Вводные'!$H$5*'Вводные'!$AG$90*(1+'Вводные'!$B$64)^MAX(0,MIN((12*(YEAR(CG$3)-YEAR($B$53))+MONTH(CG$3)-MONTH($B$53)),(12*(YEAR($B$54)-YEAR($B$53))+MONTH($B$54)-MONTH($B$53))))*(1+'Вводные'!$B$65)^MAX(0,(12*(YEAR(CG$3)-YEAR($B$54))+MONTH(CG$3)-MONTH($B$54))))</x:f>
      </x:c>
      <x:c r="CH64" s="107" t="n">
        <x:f>IF(CH63=0,0,'Вводные'!$B$60*'Вводные'!$S$90*'Вводные'!$H$5*'Вводные'!$AG$90*(1+'Вводные'!$B$64)^MAX(0,MIN((12*(YEAR(CH$3)-YEAR($B$53))+MONTH(CH$3)-MONTH($B$53)),(12*(YEAR($B$54)-YEAR($B$53))+MONTH($B$54)-MONTH($B$53))))*(1+'Вводные'!$B$65)^MAX(0,(12*(YEAR(CH$3)-YEAR($B$54))+MONTH(CH$3)-MONTH($B$54))))</x:f>
      </x:c>
      <x:c r="CI64" s="107" t="n">
        <x:f>IF(CI63=0,0,'Вводные'!$B$60*'Вводные'!$S$90*'Вводные'!$H$5*'Вводные'!$AG$90*(1+'Вводные'!$B$64)^MAX(0,MIN((12*(YEAR(CI$3)-YEAR($B$53))+MONTH(CI$3)-MONTH($B$53)),(12*(YEAR($B$54)-YEAR($B$53))+MONTH($B$54)-MONTH($B$53))))*(1+'Вводные'!$B$65)^MAX(0,(12*(YEAR(CI$3)-YEAR($B$54))+MONTH(CI$3)-MONTH($B$54))))</x:f>
      </x:c>
      <x:c r="CJ64" s="107" t="n">
        <x:f>IF(CJ63=0,0,'Вводные'!$B$60*'Вводные'!$S$90*'Вводные'!$H$5*'Вводные'!$AG$90*(1+'Вводные'!$B$64)^MAX(0,MIN((12*(YEAR(CJ$3)-YEAR($B$53))+MONTH(CJ$3)-MONTH($B$53)),(12*(YEAR($B$54)-YEAR($B$53))+MONTH($B$54)-MONTH($B$53))))*(1+'Вводные'!$B$65)^MAX(0,(12*(YEAR(CJ$3)-YEAR($B$54))+MONTH(CJ$3)-MONTH($B$54))))</x:f>
      </x:c>
      <x:c r="CK64" s="107" t="n">
        <x:f>IF(CK63=0,0,'Вводные'!$B$60*'Вводные'!$S$90*'Вводные'!$H$5*'Вводные'!$AG$90*(1+'Вводные'!$B$64)^MAX(0,MIN((12*(YEAR(CK$3)-YEAR($B$53))+MONTH(CK$3)-MONTH($B$53)),(12*(YEAR($B$54)-YEAR($B$53))+MONTH($B$54)-MONTH($B$53))))*(1+'Вводные'!$B$65)^MAX(0,(12*(YEAR(CK$3)-YEAR($B$54))+MONTH(CK$3)-MONTH($B$54))))</x:f>
      </x:c>
      <x:c r="CL64" s="107" t="n">
        <x:f>IF(CL63=0,0,'Вводные'!$B$60*'Вводные'!$S$90*'Вводные'!$H$5*'Вводные'!$AG$90*(1+'Вводные'!$B$64)^MAX(0,MIN((12*(YEAR(CL$3)-YEAR($B$53))+MONTH(CL$3)-MONTH($B$53)),(12*(YEAR($B$54)-YEAR($B$53))+MONTH($B$54)-MONTH($B$53))))*(1+'Вводные'!$B$65)^MAX(0,(12*(YEAR(CL$3)-YEAR($B$54))+MONTH(CL$3)-MONTH($B$54))))</x:f>
      </x:c>
      <x:c r="CM64" s="107" t="n">
        <x:f>IF(CM63=0,0,'Вводные'!$B$60*'Вводные'!$S$90*'Вводные'!$H$5*'Вводные'!$AG$90*(1+'Вводные'!$B$64)^MAX(0,MIN((12*(YEAR(CM$3)-YEAR($B$53))+MONTH(CM$3)-MONTH($B$53)),(12*(YEAR($B$54)-YEAR($B$53))+MONTH($B$54)-MONTH($B$53))))*(1+'Вводные'!$B$65)^MAX(0,(12*(YEAR(CM$3)-YEAR($B$54))+MONTH(CM$3)-MONTH($B$54))))</x:f>
      </x:c>
      <x:c r="CN64" s="107" t="n">
        <x:f>IF(CN63=0,0,'Вводные'!$B$60*'Вводные'!$S$90*'Вводные'!$H$5*'Вводные'!$AG$90*(1+'Вводные'!$B$64)^MAX(0,MIN((12*(YEAR(CN$3)-YEAR($B$53))+MONTH(CN$3)-MONTH($B$53)),(12*(YEAR($B$54)-YEAR($B$53))+MONTH($B$54)-MONTH($B$53))))*(1+'Вводные'!$B$65)^MAX(0,(12*(YEAR(CN$3)-YEAR($B$54))+MONTH(CN$3)-MONTH($B$54))))</x:f>
      </x:c>
      <x:c r="CO64" s="107" t="n">
        <x:f>IF(CO63=0,0,'Вводные'!$B$60*'Вводные'!$S$90*'Вводные'!$H$5*'Вводные'!$AG$90*(1+'Вводные'!$B$64)^MAX(0,MIN((12*(YEAR(CO$3)-YEAR($B$53))+MONTH(CO$3)-MONTH($B$53)),(12*(YEAR($B$54)-YEAR($B$53))+MONTH($B$54)-MONTH($B$53))))*(1+'Вводные'!$B$65)^MAX(0,(12*(YEAR(CO$3)-YEAR($B$54))+MONTH(CO$3)-MONTH($B$54))))</x:f>
      </x:c>
      <x:c r="CP64" s="107" t="n">
        <x:f>IF(CP63=0,0,'Вводные'!$B$60*'Вводные'!$S$90*'Вводные'!$H$5*'Вводные'!$AG$90*(1+'Вводные'!$B$64)^MAX(0,MIN((12*(YEAR(CP$3)-YEAR($B$53))+MONTH(CP$3)-MONTH($B$53)),(12*(YEAR($B$54)-YEAR($B$53))+MONTH($B$54)-MONTH($B$53))))*(1+'Вводные'!$B$65)^MAX(0,(12*(YEAR(CP$3)-YEAR($B$54))+MONTH(CP$3)-MONTH($B$54))))</x:f>
      </x:c>
      <x:c r="CQ64" s="107" t="n">
        <x:f>IF(CQ63=0,0,'Вводные'!$B$60*'Вводные'!$S$90*'Вводные'!$H$5*'Вводные'!$AG$90*(1+'Вводные'!$B$64)^MAX(0,MIN((12*(YEAR(CQ$3)-YEAR($B$53))+MONTH(CQ$3)-MONTH($B$53)),(12*(YEAR($B$54)-YEAR($B$53))+MONTH($B$54)-MONTH($B$53))))*(1+'Вводные'!$B$65)^MAX(0,(12*(YEAR(CQ$3)-YEAR($B$54))+MONTH(CQ$3)-MONTH($B$54))))</x:f>
      </x:c>
      <x:c r="CR64" s="107" t="n">
        <x:f>IF(CR63=0,0,'Вводные'!$B$60*'Вводные'!$S$90*'Вводные'!$H$5*'Вводные'!$AG$90*(1+'Вводные'!$B$64)^MAX(0,MIN((12*(YEAR(CR$3)-YEAR($B$53))+MONTH(CR$3)-MONTH($B$53)),(12*(YEAR($B$54)-YEAR($B$53))+MONTH($B$54)-MONTH($B$53))))*(1+'Вводные'!$B$65)^MAX(0,(12*(YEAR(CR$3)-YEAR($B$54))+MONTH(CR$3)-MONTH($B$54))))</x:f>
      </x:c>
      <x:c r="CS64" s="107" t="n">
        <x:f>IF(CS63=0,0,'Вводные'!$B$60*'Вводные'!$S$90*'Вводные'!$H$5*'Вводные'!$AG$90*(1+'Вводные'!$B$64)^MAX(0,MIN((12*(YEAR(CS$3)-YEAR($B$53))+MONTH(CS$3)-MONTH($B$53)),(12*(YEAR($B$54)-YEAR($B$53))+MONTH($B$54)-MONTH($B$53))))*(1+'Вводные'!$B$65)^MAX(0,(12*(YEAR(CS$3)-YEAR($B$54))+MONTH(CS$3)-MONTH($B$54))))</x:f>
      </x:c>
      <x:c r="CT64" s="107" t="n">
        <x:f>IF(CT63=0,0,'Вводные'!$B$60*'Вводные'!$S$90*'Вводные'!$H$5*'Вводные'!$AG$90*(1+'Вводные'!$B$64)^MAX(0,MIN((12*(YEAR(CT$3)-YEAR($B$53))+MONTH(CT$3)-MONTH($B$53)),(12*(YEAR($B$54)-YEAR($B$53))+MONTH($B$54)-MONTH($B$53))))*(1+'Вводные'!$B$65)^MAX(0,(12*(YEAR(CT$3)-YEAR($B$54))+MONTH(CT$3)-MONTH($B$54))))</x:f>
      </x:c>
      <x:c r="CU64" s="107" t="n">
        <x:f>IF(CU63=0,0,'Вводные'!$B$60*'Вводные'!$S$90*'Вводные'!$H$5*'Вводные'!$AG$90*(1+'Вводные'!$B$64)^MAX(0,MIN((12*(YEAR(CU$3)-YEAR($B$53))+MONTH(CU$3)-MONTH($B$53)),(12*(YEAR($B$54)-YEAR($B$53))+MONTH($B$54)-MONTH($B$53))))*(1+'Вводные'!$B$65)^MAX(0,(12*(YEAR(CU$3)-YEAR($B$54))+MONTH(CU$3)-MONTH($B$54))))</x:f>
      </x:c>
      <x:c r="CV64" s="107" t="n">
        <x:f>IF(CV63=0,0,'Вводные'!$B$60*'Вводные'!$S$90*'Вводные'!$H$5*'Вводные'!$AG$90*(1+'Вводные'!$B$64)^MAX(0,MIN((12*(YEAR(CV$3)-YEAR($B$53))+MONTH(CV$3)-MONTH($B$53)),(12*(YEAR($B$54)-YEAR($B$53))+MONTH($B$54)-MONTH($B$53))))*(1+'Вводные'!$B$65)^MAX(0,(12*(YEAR(CV$3)-YEAR($B$54))+MONTH(CV$3)-MONTH($B$54))))</x:f>
      </x:c>
      <x:c r="CW64" s="107" t="n">
        <x:f>IF(CW63=0,0,'Вводные'!$B$60*'Вводные'!$S$90*'Вводные'!$H$5*'Вводные'!$AG$90*(1+'Вводные'!$B$64)^MAX(0,MIN((12*(YEAR(CW$3)-YEAR($B$53))+MONTH(CW$3)-MONTH($B$53)),(12*(YEAR($B$54)-YEAR($B$53))+MONTH($B$54)-MONTH($B$53))))*(1+'Вводные'!$B$65)^MAX(0,(12*(YEAR(CW$3)-YEAR($B$54))+MONTH(CW$3)-MONTH($B$54))))</x:f>
      </x:c>
      <x:c r="CX64" s="107" t="n">
        <x:f>IF(CX63=0,0,'Вводные'!$B$60*'Вводные'!$S$90*'Вводные'!$H$5*'Вводные'!$AG$90*(1+'Вводные'!$B$64)^MAX(0,MIN((12*(YEAR(CX$3)-YEAR($B$53))+MONTH(CX$3)-MONTH($B$53)),(12*(YEAR($B$54)-YEAR($B$53))+MONTH($B$54)-MONTH($B$53))))*(1+'Вводные'!$B$65)^MAX(0,(12*(YEAR(CX$3)-YEAR($B$54))+MONTH(CX$3)-MONTH($B$54))))</x:f>
      </x:c>
      <x:c r="CY64" s="107" t="n">
        <x:f>IF(CY63=0,0,'Вводные'!$B$60*'Вводные'!$S$90*'Вводные'!$H$5*'Вводные'!$AG$90*(1+'Вводные'!$B$64)^MAX(0,MIN((12*(YEAR(CY$3)-YEAR($B$53))+MONTH(CY$3)-MONTH($B$53)),(12*(YEAR($B$54)-YEAR($B$53))+MONTH($B$54)-MONTH($B$53))))*(1+'Вводные'!$B$65)^MAX(0,(12*(YEAR(CY$3)-YEAR($B$54))+MONTH(CY$3)-MONTH($B$54))))</x:f>
      </x:c>
      <x:c r="CZ64" s="107" t="n">
        <x:f>IF(CZ63=0,0,'Вводные'!$B$60*'Вводные'!$S$90*'Вводные'!$H$5*'Вводные'!$AG$90*(1+'Вводные'!$B$64)^MAX(0,MIN((12*(YEAR(CZ$3)-YEAR($B$53))+MONTH(CZ$3)-MONTH($B$53)),(12*(YEAR($B$54)-YEAR($B$53))+MONTH($B$54)-MONTH($B$53))))*(1+'Вводные'!$B$65)^MAX(0,(12*(YEAR(CZ$3)-YEAR($B$54))+MONTH(CZ$3)-MONTH($B$54))))</x:f>
      </x:c>
      <x:c r="DA64" s="107" t="n">
        <x:f>IF(DA63=0,0,'Вводные'!$B$60*'Вводные'!$S$90*'Вводные'!$H$5*'Вводные'!$AG$90*(1+'Вводные'!$B$64)^MAX(0,MIN((12*(YEAR(DA$3)-YEAR($B$53))+MONTH(DA$3)-MONTH($B$53)),(12*(YEAR($B$54)-YEAR($B$53))+MONTH($B$54)-MONTH($B$53))))*(1+'Вводные'!$B$65)^MAX(0,(12*(YEAR(DA$3)-YEAR($B$54))+MONTH(DA$3)-MONTH($B$54))))</x:f>
      </x:c>
      <x:c r="DB64" s="107" t="n">
        <x:f>IF(DB63=0,0,'Вводные'!$B$60*'Вводные'!$S$90*'Вводные'!$H$5*'Вводные'!$AG$90*(1+'Вводные'!$B$64)^MAX(0,MIN((12*(YEAR(DB$3)-YEAR($B$53))+MONTH(DB$3)-MONTH($B$53)),(12*(YEAR($B$54)-YEAR($B$53))+MONTH($B$54)-MONTH($B$53))))*(1+'Вводные'!$B$65)^MAX(0,(12*(YEAR(DB$3)-YEAR($B$54))+MONTH(DB$3)-MONTH($B$54))))</x:f>
      </x:c>
      <x:c r="DC64" s="107" t="n">
        <x:f>IF(DC63=0,0,'Вводные'!$B$60*'Вводные'!$S$90*'Вводные'!$H$5*'Вводные'!$AG$90*(1+'Вводные'!$B$64)^MAX(0,MIN((12*(YEAR(DC$3)-YEAR($B$53))+MONTH(DC$3)-MONTH($B$53)),(12*(YEAR($B$54)-YEAR($B$53))+MONTH($B$54)-MONTH($B$53))))*(1+'Вводные'!$B$65)^MAX(0,(12*(YEAR(DC$3)-YEAR($B$54))+MONTH(DC$3)-MONTH($B$54))))</x:f>
      </x:c>
      <x:c r="DD64" s="107" t="n">
        <x:f>IF(DD63=0,0,'Вводные'!$B$60*'Вводные'!$S$90*'Вводные'!$H$5*'Вводные'!$AG$90*(1+'Вводные'!$B$64)^MAX(0,MIN((12*(YEAR(DD$3)-YEAR($B$53))+MONTH(DD$3)-MONTH($B$53)),(12*(YEAR($B$54)-YEAR($B$53))+MONTH($B$54)-MONTH($B$53))))*(1+'Вводные'!$B$65)^MAX(0,(12*(YEAR(DD$3)-YEAR($B$54))+MONTH(DD$3)-MONTH($B$54))))</x:f>
      </x:c>
      <x:c r="DE64" s="107" t="n">
        <x:f>IF(DE63=0,0,'Вводные'!$B$60*'Вводные'!$S$90*'Вводные'!$H$5*'Вводные'!$AG$90*(1+'Вводные'!$B$64)^MAX(0,MIN((12*(YEAR(DE$3)-YEAR($B$53))+MONTH(DE$3)-MONTH($B$53)),(12*(YEAR($B$54)-YEAR($B$53))+MONTH($B$54)-MONTH($B$53))))*(1+'Вводные'!$B$65)^MAX(0,(12*(YEAR(DE$3)-YEAR($B$54))+MONTH(DE$3)-MONTH($B$54))))</x:f>
      </x:c>
      <x:c r="DF64" s="107" t="n">
        <x:f>IF(DF63=0,0,'Вводные'!$B$60*'Вводные'!$S$90*'Вводные'!$H$5*'Вводные'!$AG$90*(1+'Вводные'!$B$64)^MAX(0,MIN((12*(YEAR(DF$3)-YEAR($B$53))+MONTH(DF$3)-MONTH($B$53)),(12*(YEAR($B$54)-YEAR($B$53))+MONTH($B$54)-MONTH($B$53))))*(1+'Вводные'!$B$65)^MAX(0,(12*(YEAR(DF$3)-YEAR($B$54))+MONTH(DF$3)-MONTH($B$54))))</x:f>
      </x:c>
      <x:c r="DG64" s="107" t="n">
        <x:f>IF(DG63=0,0,'Вводные'!$B$60*'Вводные'!$S$90*'Вводные'!$H$5*'Вводные'!$AG$90*(1+'Вводные'!$B$64)^MAX(0,MIN((12*(YEAR(DG$3)-YEAR($B$53))+MONTH(DG$3)-MONTH($B$53)),(12*(YEAR($B$54)-YEAR($B$53))+MONTH($B$54)-MONTH($B$53))))*(1+'Вводные'!$B$65)^MAX(0,(12*(YEAR(DG$3)-YEAR($B$54))+MONTH(DG$3)-MONTH($B$54))))</x:f>
      </x:c>
      <x:c r="DH64" s="107" t="n">
        <x:f>IF(DH63=0,0,'Вводные'!$B$60*'Вводные'!$S$90*'Вводные'!$H$5*'Вводные'!$AG$90*(1+'Вводные'!$B$64)^MAX(0,MIN((12*(YEAR(DH$3)-YEAR($B$53))+MONTH(DH$3)-MONTH($B$53)),(12*(YEAR($B$54)-YEAR($B$53))+MONTH($B$54)-MONTH($B$53))))*(1+'Вводные'!$B$65)^MAX(0,(12*(YEAR(DH$3)-YEAR($B$54))+MONTH(DH$3)-MONTH($B$54))))</x:f>
      </x:c>
      <x:c r="DI64" s="107" t="n">
        <x:f>IF(DI63=0,0,'Вводные'!$B$60*'Вводные'!$S$90*'Вводные'!$H$5*'Вводные'!$AG$90*(1+'Вводные'!$B$64)^MAX(0,MIN((12*(YEAR(DI$3)-YEAR($B$53))+MONTH(DI$3)-MONTH($B$53)),(12*(YEAR($B$54)-YEAR($B$53))+MONTH($B$54)-MONTH($B$53))))*(1+'Вводные'!$B$65)^MAX(0,(12*(YEAR(DI$3)-YEAR($B$54))+MONTH(DI$3)-MONTH($B$54))))</x:f>
      </x:c>
      <x:c r="DJ64" s="107" t="n">
        <x:f>IF(DJ63=0,0,'Вводные'!$B$60*'Вводные'!$S$90*'Вводные'!$H$5*'Вводные'!$AG$90*(1+'Вводные'!$B$64)^MAX(0,MIN((12*(YEAR(DJ$3)-YEAR($B$53))+MONTH(DJ$3)-MONTH($B$53)),(12*(YEAR($B$54)-YEAR($B$53))+MONTH($B$54)-MONTH($B$53))))*(1+'Вводные'!$B$65)^MAX(0,(12*(YEAR(DJ$3)-YEAR($B$54))+MONTH(DJ$3)-MONTH($B$54))))</x:f>
      </x:c>
      <x:c r="DK64" s="107" t="n">
        <x:f>IF(DK63=0,0,'Вводные'!$B$60*'Вводные'!$S$90*'Вводные'!$H$5*'Вводные'!$AG$90*(1+'Вводные'!$B$64)^MAX(0,MIN((12*(YEAR(DK$3)-YEAR($B$53))+MONTH(DK$3)-MONTH($B$53)),(12*(YEAR($B$54)-YEAR($B$53))+MONTH($B$54)-MONTH($B$53))))*(1+'Вводные'!$B$65)^MAX(0,(12*(YEAR(DK$3)-YEAR($B$54))+MONTH(DK$3)-MONTH($B$54))))</x:f>
      </x:c>
      <x:c r="DL64" s="107" t="n">
        <x:f>IF(DL63=0,0,'Вводные'!$B$60*'Вводные'!$S$90*'Вводные'!$H$5*'Вводные'!$AG$90*(1+'Вводные'!$B$64)^MAX(0,MIN((12*(YEAR(DL$3)-YEAR($B$53))+MONTH(DL$3)-MONTH($B$53)),(12*(YEAR($B$54)-YEAR($B$53))+MONTH($B$54)-MONTH($B$53))))*(1+'Вводные'!$B$65)^MAX(0,(12*(YEAR(DL$3)-YEAR($B$54))+MONTH(DL$3)-MONTH($B$54))))</x:f>
      </x:c>
      <x:c r="DM64" s="107" t="n">
        <x:f>IF(DM63=0,0,'Вводные'!$B$60*'Вводные'!$S$90*'Вводные'!$H$5*'Вводные'!$AG$90*(1+'Вводные'!$B$64)^MAX(0,MIN((12*(YEAR(DM$3)-YEAR($B$53))+MONTH(DM$3)-MONTH($B$53)),(12*(YEAR($B$54)-YEAR($B$53))+MONTH($B$54)-MONTH($B$53))))*(1+'Вводные'!$B$65)^MAX(0,(12*(YEAR(DM$3)-YEAR($B$54))+MONTH(DM$3)-MONTH($B$54))))</x:f>
      </x:c>
      <x:c r="DN64" s="107" t="n">
        <x:f>IF(DN63=0,0,'Вводные'!$B$60*'Вводные'!$S$90*'Вводные'!$H$5*'Вводные'!$AG$90*(1+'Вводные'!$B$64)^MAX(0,MIN((12*(YEAR(DN$3)-YEAR($B$53))+MONTH(DN$3)-MONTH($B$53)),(12*(YEAR($B$54)-YEAR($B$53))+MONTH($B$54)-MONTH($B$53))))*(1+'Вводные'!$B$65)^MAX(0,(12*(YEAR(DN$3)-YEAR($B$54))+MONTH(DN$3)-MONTH($B$54))))</x:f>
      </x:c>
      <x:c r="DO64" s="107" t="n">
        <x:f>IF(DO63=0,0,'Вводные'!$B$60*'Вводные'!$S$90*'Вводные'!$H$5*'Вводные'!$AG$90*(1+'Вводные'!$B$64)^MAX(0,MIN((12*(YEAR(DO$3)-YEAR($B$53))+MONTH(DO$3)-MONTH($B$53)),(12*(YEAR($B$54)-YEAR($B$53))+MONTH($B$54)-MONTH($B$53))))*(1+'Вводные'!$B$65)^MAX(0,(12*(YEAR(DO$3)-YEAR($B$54))+MONTH(DO$3)-MONTH($B$54))))</x:f>
      </x:c>
      <x:c r="DP64" s="107" t="n">
        <x:f>IF(DP63=0,0,'Вводные'!$B$60*'Вводные'!$S$90*'Вводные'!$H$5*'Вводные'!$AG$90*(1+'Вводные'!$B$64)^MAX(0,MIN((12*(YEAR(DP$3)-YEAR($B$53))+MONTH(DP$3)-MONTH($B$53)),(12*(YEAR($B$54)-YEAR($B$53))+MONTH($B$54)-MONTH($B$53))))*(1+'Вводные'!$B$65)^MAX(0,(12*(YEAR(DP$3)-YEAR($B$54))+MONTH(DP$3)-MONTH($B$54))))</x:f>
      </x:c>
      <x:c r="DQ64" s="107" t="n">
        <x:f>IF(DQ63=0,0,'Вводные'!$B$60*'Вводные'!$S$90*'Вводные'!$H$5*'Вводные'!$AG$90*(1+'Вводные'!$B$64)^MAX(0,MIN((12*(YEAR(DQ$3)-YEAR($B$53))+MONTH(DQ$3)-MONTH($B$53)),(12*(YEAR($B$54)-YEAR($B$53))+MONTH($B$54)-MONTH($B$53))))*(1+'Вводные'!$B$65)^MAX(0,(12*(YEAR(DQ$3)-YEAR($B$54))+MONTH(DQ$3)-MONTH($B$54))))</x:f>
      </x:c>
      <x:c r="DR64" s="107" t="n">
        <x:f>IF(DR63=0,0,'Вводные'!$B$60*'Вводные'!$S$90*'Вводные'!$H$5*'Вводные'!$AG$90*(1+'Вводные'!$B$64)^MAX(0,MIN((12*(YEAR(DR$3)-YEAR($B$53))+MONTH(DR$3)-MONTH($B$53)),(12*(YEAR($B$54)-YEAR($B$53))+MONTH($B$54)-MONTH($B$53))))*(1+'Вводные'!$B$65)^MAX(0,(12*(YEAR(DR$3)-YEAR($B$54))+MONTH(DR$3)-MONTH($B$54))))</x:f>
      </x:c>
      <x:c r="DS64" s="107" t="n">
        <x:f>IF(DS63=0,0,'Вводные'!$B$60*'Вводные'!$S$90*'Вводные'!$H$5*'Вводные'!$AG$90*(1+'Вводные'!$B$64)^MAX(0,MIN((12*(YEAR(DS$3)-YEAR($B$53))+MONTH(DS$3)-MONTH($B$53)),(12*(YEAR($B$54)-YEAR($B$53))+MONTH($B$54)-MONTH($B$53))))*(1+'Вводные'!$B$65)^MAX(0,(12*(YEAR(DS$3)-YEAR($B$54))+MONTH(DS$3)-MONTH($B$54))))</x:f>
      </x:c>
      <x:c r="DT64" s="107" t="n">
        <x:f>IF(DT63=0,0,'Вводные'!$B$60*'Вводные'!$S$90*'Вводные'!$H$5*'Вводные'!$AG$90*(1+'Вводные'!$B$64)^MAX(0,MIN((12*(YEAR(DT$3)-YEAR($B$53))+MONTH(DT$3)-MONTH($B$53)),(12*(YEAR($B$54)-YEAR($B$53))+MONTH($B$54)-MONTH($B$53))))*(1+'Вводные'!$B$65)^MAX(0,(12*(YEAR(DT$3)-YEAR($B$54))+MONTH(DT$3)-MONTH($B$54))))</x:f>
      </x:c>
      <x:c r="DU64" s="107" t="n">
        <x:f>IF(DU63=0,0,'Вводные'!$B$60*'Вводные'!$S$90*'Вводные'!$H$5*'Вводные'!$AG$90*(1+'Вводные'!$B$64)^MAX(0,MIN((12*(YEAR(DU$3)-YEAR($B$53))+MONTH(DU$3)-MONTH($B$53)),(12*(YEAR($B$54)-YEAR($B$53))+MONTH($B$54)-MONTH($B$53))))*(1+'Вводные'!$B$65)^MAX(0,(12*(YEAR(DU$3)-YEAR($B$54))+MONTH(DU$3)-MONTH($B$54))))</x:f>
      </x:c>
      <x:c r="DV64" s="107" t="n">
        <x:f>IF(DV63=0,0,'Вводные'!$B$60*'Вводные'!$S$90*'Вводные'!$H$5*'Вводные'!$AG$90*(1+'Вводные'!$B$64)^MAX(0,MIN((12*(YEAR(DV$3)-YEAR($B$53))+MONTH(DV$3)-MONTH($B$53)),(12*(YEAR($B$54)-YEAR($B$53))+MONTH($B$54)-MONTH($B$53))))*(1+'Вводные'!$B$65)^MAX(0,(12*(YEAR(DV$3)-YEAR($B$54))+MONTH(DV$3)-MONTH($B$54))))</x:f>
      </x:c>
      <x:c r="DW64" s="107" t="n">
        <x:f>IF(DW63=0,0,'Вводные'!$B$60*'Вводные'!$S$90*'Вводные'!$H$5*'Вводные'!$AG$90*(1+'Вводные'!$B$64)^MAX(0,MIN((12*(YEAR(DW$3)-YEAR($B$53))+MONTH(DW$3)-MONTH($B$53)),(12*(YEAR($B$54)-YEAR($B$53))+MONTH($B$54)-MONTH($B$53))))*(1+'Вводные'!$B$65)^MAX(0,(12*(YEAR(DW$3)-YEAR($B$54))+MONTH(DW$3)-MONTH($B$54))))</x:f>
      </x:c>
      <x:c r="DX64" s="107" t="n">
        <x:f>IF(DX63=0,0,'Вводные'!$B$60*'Вводные'!$S$90*'Вводные'!$H$5*'Вводные'!$AG$90*(1+'Вводные'!$B$64)^MAX(0,MIN((12*(YEAR(DX$3)-YEAR($B$53))+MONTH(DX$3)-MONTH($B$53)),(12*(YEAR($B$54)-YEAR($B$53))+MONTH($B$54)-MONTH($B$53))))*(1+'Вводные'!$B$65)^MAX(0,(12*(YEAR(DX$3)-YEAR($B$54))+MONTH(DX$3)-MONTH($B$54))))</x:f>
      </x:c>
      <x:c r="DY64" s="107" t="n">
        <x:f>IF(DY63=0,0,'Вводные'!$B$60*'Вводные'!$S$90*'Вводные'!$H$5*'Вводные'!$AG$90*(1+'Вводные'!$B$64)^MAX(0,MIN((12*(YEAR(DY$3)-YEAR($B$53))+MONTH(DY$3)-MONTH($B$53)),(12*(YEAR($B$54)-YEAR($B$53))+MONTH($B$54)-MONTH($B$53))))*(1+'Вводные'!$B$65)^MAX(0,(12*(YEAR(DY$3)-YEAR($B$54))+MONTH(DY$3)-MONTH($B$54))))</x:f>
      </x:c>
      <x:c r="DZ64" s="107" t="n">
        <x:f>IF(DZ63=0,0,'Вводные'!$B$60*'Вводные'!$S$90*'Вводные'!$H$5*'Вводные'!$AG$90*(1+'Вводные'!$B$64)^MAX(0,MIN((12*(YEAR(DZ$3)-YEAR($B$53))+MONTH(DZ$3)-MONTH($B$53)),(12*(YEAR($B$54)-YEAR($B$53))+MONTH($B$54)-MONTH($B$53))))*(1+'Вводные'!$B$65)^MAX(0,(12*(YEAR(DZ$3)-YEAR($B$54))+MONTH(DZ$3)-MONTH($B$54))))</x:f>
      </x:c>
      <x:c r="EA64" s="107" t="n">
        <x:f>IF(EA63=0,0,'Вводные'!$B$60*'Вводные'!$S$90*'Вводные'!$H$5*'Вводные'!$AG$90*(1+'Вводные'!$B$64)^MAX(0,MIN((12*(YEAR(EA$3)-YEAR($B$53))+MONTH(EA$3)-MONTH($B$53)),(12*(YEAR($B$54)-YEAR($B$53))+MONTH($B$54)-MONTH($B$53))))*(1+'Вводные'!$B$65)^MAX(0,(12*(YEAR(EA$3)-YEAR($B$54))+MONTH(EA$3)-MONTH($B$54))))</x:f>
      </x:c>
      <x:c r="EB64" s="107" t="n">
        <x:f>IF(EB63=0,0,'Вводные'!$B$60*'Вводные'!$S$90*'Вводные'!$H$5*'Вводные'!$AG$90*(1+'Вводные'!$B$64)^MAX(0,MIN((12*(YEAR(EB$3)-YEAR($B$53))+MONTH(EB$3)-MONTH($B$53)),(12*(YEAR($B$54)-YEAR($B$53))+MONTH($B$54)-MONTH($B$53))))*(1+'Вводные'!$B$65)^MAX(0,(12*(YEAR(EB$3)-YEAR($B$54))+MONTH(EB$3)-MONTH($B$54))))</x:f>
      </x:c>
      <x:c r="EC64" s="107" t="n">
        <x:f>IF(EC63=0,0,'Вводные'!$B$60*'Вводные'!$S$90*'Вводные'!$H$5*'Вводные'!$AG$90*(1+'Вводные'!$B$64)^MAX(0,MIN((12*(YEAR(EC$3)-YEAR($B$53))+MONTH(EC$3)-MONTH($B$53)),(12*(YEAR($B$54)-YEAR($B$53))+MONTH($B$54)-MONTH($B$53))))*(1+'Вводные'!$B$65)^MAX(0,(12*(YEAR(EC$3)-YEAR($B$54))+MONTH(EC$3)-MONTH($B$54))))</x:f>
      </x:c>
      <x:c r="ED64" s="107" t="n">
        <x:f>IF(ED63=0,0,'Вводные'!$B$60*'Вводные'!$S$90*'Вводные'!$H$5*'Вводные'!$AG$90*(1+'Вводные'!$B$64)^MAX(0,MIN((12*(YEAR(ED$3)-YEAR($B$53))+MONTH(ED$3)-MONTH($B$53)),(12*(YEAR($B$54)-YEAR($B$53))+MONTH($B$54)-MONTH($B$53))))*(1+'Вводные'!$B$65)^MAX(0,(12*(YEAR(ED$3)-YEAR($B$54))+MONTH(ED$3)-MONTH($B$54))))</x:f>
      </x:c>
      <x:c r="EE64" s="107" t="n">
        <x:f>IF(EE63=0,0,'Вводные'!$B$60*'Вводные'!$S$90*'Вводные'!$H$5*'Вводные'!$AG$90*(1+'Вводные'!$B$64)^MAX(0,MIN((12*(YEAR(EE$3)-YEAR($B$53))+MONTH(EE$3)-MONTH($B$53)),(12*(YEAR($B$54)-YEAR($B$53))+MONTH($B$54)-MONTH($B$53))))*(1+'Вводные'!$B$65)^MAX(0,(12*(YEAR(EE$3)-YEAR($B$54))+MONTH(EE$3)-MONTH($B$54))))</x:f>
      </x:c>
      <x:c r="EF64" s="107" t="n">
        <x:f>IF(EF63=0,0,'Вводные'!$B$60*'Вводные'!$S$90*'Вводные'!$H$5*'Вводные'!$AG$90*(1+'Вводные'!$B$64)^MAX(0,MIN((12*(YEAR(EF$3)-YEAR($B$53))+MONTH(EF$3)-MONTH($B$53)),(12*(YEAR($B$54)-YEAR($B$53))+MONTH($B$54)-MONTH($B$53))))*(1+'Вводные'!$B$65)^MAX(0,(12*(YEAR(EF$3)-YEAR($B$54))+MONTH(EF$3)-MONTH($B$54))))</x:f>
      </x:c>
      <x:c r="EG64" s="107" t="n">
        <x:f>IF(EG63=0,0,'Вводные'!$B$60*'Вводные'!$S$90*'Вводные'!$H$5*'Вводные'!$AG$90*(1+'Вводные'!$B$64)^MAX(0,MIN((12*(YEAR(EG$3)-YEAR($B$53))+MONTH(EG$3)-MONTH($B$53)),(12*(YEAR($B$54)-YEAR($B$53))+MONTH($B$54)-MONTH($B$53))))*(1+'Вводные'!$B$65)^MAX(0,(12*(YEAR(EG$3)-YEAR($B$54))+MONTH(EG$3)-MONTH($B$54))))</x:f>
      </x:c>
      <x:c r="EH64" s="107" t="n">
        <x:f>IF(EH63=0,0,'Вводные'!$B$60*'Вводные'!$S$90*'Вводные'!$H$5*'Вводные'!$AG$90*(1+'Вводные'!$B$64)^MAX(0,MIN((12*(YEAR(EH$3)-YEAR($B$53))+MONTH(EH$3)-MONTH($B$53)),(12*(YEAR($B$54)-YEAR($B$53))+MONTH($B$54)-MONTH($B$53))))*(1+'Вводные'!$B$65)^MAX(0,(12*(YEAR(EH$3)-YEAR($B$54))+MONTH(EH$3)-MONTH($B$54))))</x:f>
      </x:c>
      <x:c r="EI64" s="107" t="n">
        <x:f>IF(EI63=0,0,'Вводные'!$B$60*'Вводные'!$S$90*'Вводные'!$H$5*'Вводные'!$AG$90*(1+'Вводные'!$B$64)^MAX(0,MIN((12*(YEAR(EI$3)-YEAR($B$53))+MONTH(EI$3)-MONTH($B$53)),(12*(YEAR($B$54)-YEAR($B$53))+MONTH($B$54)-MONTH($B$53))))*(1+'Вводные'!$B$65)^MAX(0,(12*(YEAR(EI$3)-YEAR($B$54))+MONTH(EI$3)-MONTH($B$54))))</x:f>
      </x:c>
      <x:c r="EJ64" s="107" t="n">
        <x:f>IF(EJ63=0,0,'Вводные'!$B$60*'Вводные'!$S$90*'Вводные'!$H$5*'Вводные'!$AG$90*(1+'Вводные'!$B$64)^MAX(0,MIN((12*(YEAR(EJ$3)-YEAR($B$53))+MONTH(EJ$3)-MONTH($B$53)),(12*(YEAR($B$54)-YEAR($B$53))+MONTH($B$54)-MONTH($B$53))))*(1+'Вводные'!$B$65)^MAX(0,(12*(YEAR(EJ$3)-YEAR($B$54))+MONTH(EJ$3)-MONTH($B$54))))</x:f>
      </x:c>
      <x:c r="EK64" s="107" t="n">
        <x:f>IF(EK63=0,0,'Вводные'!$B$60*'Вводные'!$S$90*'Вводные'!$H$5*'Вводные'!$AG$90*(1+'Вводные'!$B$64)^MAX(0,MIN((12*(YEAR(EK$3)-YEAR($B$53))+MONTH(EK$3)-MONTH($B$53)),(12*(YEAR($B$54)-YEAR($B$53))+MONTH($B$54)-MONTH($B$53))))*(1+'Вводные'!$B$65)^MAX(0,(12*(YEAR(EK$3)-YEAR($B$54))+MONTH(EK$3)-MONTH($B$54))))</x:f>
      </x:c>
      <x:c r="EL64" s="107" t="n">
        <x:f>IF(EL63=0,0,'Вводные'!$B$60*'Вводные'!$S$90*'Вводные'!$H$5*'Вводные'!$AG$90*(1+'Вводные'!$B$64)^MAX(0,MIN((12*(YEAR(EL$3)-YEAR($B$53))+MONTH(EL$3)-MONTH($B$53)),(12*(YEAR($B$54)-YEAR($B$53))+MONTH($B$54)-MONTH($B$53))))*(1+'Вводные'!$B$65)^MAX(0,(12*(YEAR(EL$3)-YEAR($B$54))+MONTH(EL$3)-MONTH($B$54))))</x:f>
      </x:c>
      <x:c r="EM64" s="107" t="n">
        <x:f>IF(EM63=0,0,'Вводные'!$B$60*'Вводные'!$S$90*'Вводные'!$H$5*'Вводные'!$AG$90*(1+'Вводные'!$B$64)^MAX(0,MIN((12*(YEAR(EM$3)-YEAR($B$53))+MONTH(EM$3)-MONTH($B$53)),(12*(YEAR($B$54)-YEAR($B$53))+MONTH($B$54)-MONTH($B$53))))*(1+'Вводные'!$B$65)^MAX(0,(12*(YEAR(EM$3)-YEAR($B$54))+MONTH(EM$3)-MONTH($B$54))))</x:f>
      </x:c>
      <x:c r="EN64" s="107" t="n">
        <x:f>IF(EN63=0,0,'Вводные'!$B$60*'Вводные'!$S$90*'Вводные'!$H$5*'Вводные'!$AG$90*(1+'Вводные'!$B$64)^MAX(0,MIN((12*(YEAR(EN$3)-YEAR($B$53))+MONTH(EN$3)-MONTH($B$53)),(12*(YEAR($B$54)-YEAR($B$53))+MONTH($B$54)-MONTH($B$53))))*(1+'Вводные'!$B$65)^MAX(0,(12*(YEAR(EN$3)-YEAR($B$54))+MONTH(EN$3)-MONTH($B$54))))</x:f>
      </x:c>
      <x:c r="EO64" s="107" t="n">
        <x:f>IF(EO63=0,0,'Вводные'!$B$60*'Вводные'!$S$90*'Вводные'!$H$5*'Вводные'!$AG$90*(1+'Вводные'!$B$64)^MAX(0,MIN((12*(YEAR(EO$3)-YEAR($B$53))+MONTH(EO$3)-MONTH($B$53)),(12*(YEAR($B$54)-YEAR($B$53))+MONTH($B$54)-MONTH($B$53))))*(1+'Вводные'!$B$65)^MAX(0,(12*(YEAR(EO$3)-YEAR($B$54))+MONTH(EO$3)-MONTH($B$54))))</x:f>
      </x:c>
      <x:c r="EP64" s="107" t="n">
        <x:f>IF(EP63=0,0,'Вводные'!$B$60*'Вводные'!$S$90*'Вводные'!$H$5*'Вводные'!$AG$90*(1+'Вводные'!$B$64)^MAX(0,MIN((12*(YEAR(EP$3)-YEAR($B$53))+MONTH(EP$3)-MONTH($B$53)),(12*(YEAR($B$54)-YEAR($B$53))+MONTH($B$54)-MONTH($B$53))))*(1+'Вводные'!$B$65)^MAX(0,(12*(YEAR(EP$3)-YEAR($B$54))+MONTH(EP$3)-MONTH($B$54))))</x:f>
      </x:c>
      <x:c r="EQ64" s="107" t="n">
        <x:f>IF(EQ63=0,0,'Вводные'!$B$60*'Вводные'!$S$90*'Вводные'!$H$5*'Вводные'!$AG$90*(1+'Вводные'!$B$64)^MAX(0,MIN((12*(YEAR(EQ$3)-YEAR($B$53))+MONTH(EQ$3)-MONTH($B$53)),(12*(YEAR($B$54)-YEAR($B$53))+MONTH($B$54)-MONTH($B$53))))*(1+'Вводные'!$B$65)^MAX(0,(12*(YEAR(EQ$3)-YEAR($B$54))+MONTH(EQ$3)-MONTH($B$54))))</x:f>
      </x:c>
      <x:c r="ER64" s="107" t="n">
        <x:f>IF(ER63=0,0,'Вводные'!$B$60*'Вводные'!$S$90*'Вводные'!$H$5*'Вводные'!$AG$90*(1+'Вводные'!$B$64)^MAX(0,MIN((12*(YEAR(ER$3)-YEAR($B$53))+MONTH(ER$3)-MONTH($B$53)),(12*(YEAR($B$54)-YEAR($B$53))+MONTH($B$54)-MONTH($B$53))))*(1+'Вводные'!$B$65)^MAX(0,(12*(YEAR(ER$3)-YEAR($B$54))+MONTH(ER$3)-MONTH($B$54))))</x:f>
      </x:c>
      <x:c r="ES64" s="107" t="n">
        <x:f>IF(ES63=0,0,'Вводные'!$B$60*'Вводные'!$S$90*'Вводные'!$H$5*'Вводные'!$AG$90*(1+'Вводные'!$B$64)^MAX(0,MIN((12*(YEAR(ES$3)-YEAR($B$53))+MONTH(ES$3)-MONTH($B$53)),(12*(YEAR($B$54)-YEAR($B$53))+MONTH($B$54)-MONTH($B$53))))*(1+'Вводные'!$B$65)^MAX(0,(12*(YEAR(ES$3)-YEAR($B$54))+MONTH(ES$3)-MONTH($B$54))))</x:f>
      </x:c>
      <x:c r="ET64" s="107" t="n">
        <x:f>IF(ET63=0,0,'Вводные'!$B$60*'Вводные'!$S$90*'Вводные'!$H$5*'Вводные'!$AG$90*(1+'Вводные'!$B$64)^MAX(0,MIN((12*(YEAR(ET$3)-YEAR($B$53))+MONTH(ET$3)-MONTH($B$53)),(12*(YEAR($B$54)-YEAR($B$53))+MONTH($B$54)-MONTH($B$53))))*(1+'Вводные'!$B$65)^MAX(0,(12*(YEAR(ET$3)-YEAR($B$54))+MONTH(ET$3)-MONTH($B$54))))</x:f>
      </x:c>
      <x:c r="EU64" s="107" t="n">
        <x:f>IF(EU63=0,0,'Вводные'!$B$60*'Вводные'!$S$90*'Вводные'!$H$5*'Вводные'!$AG$90*(1+'Вводные'!$B$64)^MAX(0,MIN((12*(YEAR(EU$3)-YEAR($B$53))+MONTH(EU$3)-MONTH($B$53)),(12*(YEAR($B$54)-YEAR($B$53))+MONTH($B$54)-MONTH($B$53))))*(1+'Вводные'!$B$65)^MAX(0,(12*(YEAR(EU$3)-YEAR($B$54))+MONTH(EU$3)-MONTH($B$54))))</x:f>
      </x:c>
      <x:c r="EV64" s="107" t="n">
        <x:f>IF(EV63=0,0,'Вводные'!$B$60*'Вводные'!$S$90*'Вводные'!$H$5*'Вводные'!$AG$90*(1+'Вводные'!$B$64)^MAX(0,MIN((12*(YEAR(EV$3)-YEAR($B$53))+MONTH(EV$3)-MONTH($B$53)),(12*(YEAR($B$54)-YEAR($B$53))+MONTH($B$54)-MONTH($B$53))))*(1+'Вводные'!$B$65)^MAX(0,(12*(YEAR(EV$3)-YEAR($B$54))+MONTH(EV$3)-MONTH($B$54))))</x:f>
      </x:c>
      <x:c r="EW64" s="107" t="n">
        <x:f>IF(EW63=0,0,'Вводные'!$B$60*'Вводные'!$S$90*'Вводные'!$H$5*'Вводные'!$AG$90*(1+'Вводные'!$B$64)^MAX(0,MIN((12*(YEAR(EW$3)-YEAR($B$53))+MONTH(EW$3)-MONTH($B$53)),(12*(YEAR($B$54)-YEAR($B$53))+MONTH($B$54)-MONTH($B$53))))*(1+'Вводные'!$B$65)^MAX(0,(12*(YEAR(EW$3)-YEAR($B$54))+MONTH(EW$3)-MONTH($B$54))))</x:f>
      </x:c>
      <x:c r="EX64" s="107" t="n">
        <x:f>IF(EX63=0,0,'Вводные'!$B$60*'Вводные'!$S$90*'Вводные'!$H$5*'Вводные'!$AG$90*(1+'Вводные'!$B$64)^MAX(0,MIN((12*(YEAR(EX$3)-YEAR($B$53))+MONTH(EX$3)-MONTH($B$53)),(12*(YEAR($B$54)-YEAR($B$53))+MONTH($B$54)-MONTH($B$53))))*(1+'Вводные'!$B$65)^MAX(0,(12*(YEAR(EX$3)-YEAR($B$54))+MONTH(EX$3)-MONTH($B$54))))</x:f>
      </x:c>
      <x:c r="EY64" s="107" t="n">
        <x:f>IF(EY63=0,0,'Вводные'!$B$60*'Вводные'!$S$90*'Вводные'!$H$5*'Вводные'!$AG$90*(1+'Вводные'!$B$64)^MAX(0,MIN((12*(YEAR(EY$3)-YEAR($B$53))+MONTH(EY$3)-MONTH($B$53)),(12*(YEAR($B$54)-YEAR($B$53))+MONTH($B$54)-MONTH($B$53))))*(1+'Вводные'!$B$65)^MAX(0,(12*(YEAR(EY$3)-YEAR($B$54))+MONTH(EY$3)-MONTH($B$54))))</x:f>
      </x:c>
      <x:c r="EZ64" s="107" t="n">
        <x:f>IF(EZ63=0,0,'Вводные'!$B$60*'Вводные'!$S$90*'Вводные'!$H$5*'Вводные'!$AG$90*(1+'Вводные'!$B$64)^MAX(0,MIN((12*(YEAR(EZ$3)-YEAR($B$53))+MONTH(EZ$3)-MONTH($B$53)),(12*(YEAR($B$54)-YEAR($B$53))+MONTH($B$54)-MONTH($B$53))))*(1+'Вводные'!$B$65)^MAX(0,(12*(YEAR(EZ$3)-YEAR($B$54))+MONTH(EZ$3)-MONTH($B$54))))</x:f>
      </x:c>
      <x:c r="FA64" s="107" t="n">
        <x:f>IF(FA63=0,0,'Вводные'!$B$60*'Вводные'!$S$90*'Вводные'!$H$5*'Вводные'!$AG$90*(1+'Вводные'!$B$64)^MAX(0,MIN((12*(YEAR(FA$3)-YEAR($B$53))+MONTH(FA$3)-MONTH($B$53)),(12*(YEAR($B$54)-YEAR($B$53))+MONTH($B$54)-MONTH($B$53))))*(1+'Вводные'!$B$65)^MAX(0,(12*(YEAR(FA$3)-YEAR($B$54))+MONTH(FA$3)-MONTH($B$54))))</x:f>
      </x:c>
      <x:c r="FB64" s="107" t="n">
        <x:f>IF(FB63=0,0,'Вводные'!$B$60*'Вводные'!$S$90*'Вводные'!$H$5*'Вводные'!$AG$90*(1+'Вводные'!$B$64)^MAX(0,MIN((12*(YEAR(FB$3)-YEAR($B$53))+MONTH(FB$3)-MONTH($B$53)),(12*(YEAR($B$54)-YEAR($B$53))+MONTH($B$54)-MONTH($B$53))))*(1+'Вводные'!$B$65)^MAX(0,(12*(YEAR(FB$3)-YEAR($B$54))+MONTH(FB$3)-MONTH($B$54))))</x:f>
      </x:c>
      <x:c r="FC64" s="107" t="n">
        <x:f>IF(FC63=0,0,'Вводные'!$B$60*'Вводные'!$S$90*'Вводные'!$H$5*'Вводные'!$AG$90*(1+'Вводные'!$B$64)^MAX(0,MIN((12*(YEAR(FC$3)-YEAR($B$53))+MONTH(FC$3)-MONTH($B$53)),(12*(YEAR($B$54)-YEAR($B$53))+MONTH($B$54)-MONTH($B$53))))*(1+'Вводные'!$B$65)^MAX(0,(12*(YEAR(FC$3)-YEAR($B$54))+MONTH(FC$3)-MONTH($B$54))))</x:f>
      </x:c>
      <x:c r="FD64" s="107" t="n">
        <x:f>IF(FD63=0,0,'Вводные'!$B$60*'Вводные'!$S$90*'Вводные'!$H$5*'Вводные'!$AG$90*(1+'Вводные'!$B$64)^MAX(0,MIN((12*(YEAR(FD$3)-YEAR($B$53))+MONTH(FD$3)-MONTH($B$53)),(12*(YEAR($B$54)-YEAR($B$53))+MONTH($B$54)-MONTH($B$53))))*(1+'Вводные'!$B$65)^MAX(0,(12*(YEAR(FD$3)-YEAR($B$54))+MONTH(FD$3)-MONTH($B$54))))</x:f>
      </x:c>
      <x:c r="FE64" s="107" t="n">
        <x:f>IF(FE63=0,0,'Вводные'!$B$60*'Вводные'!$S$90*'Вводные'!$H$5*'Вводные'!$AG$90*(1+'Вводные'!$B$64)^MAX(0,MIN((12*(YEAR(FE$3)-YEAR($B$53))+MONTH(FE$3)-MONTH($B$53)),(12*(YEAR($B$54)-YEAR($B$53))+MONTH($B$54)-MONTH($B$53))))*(1+'Вводные'!$B$65)^MAX(0,(12*(YEAR(FE$3)-YEAR($B$54))+MONTH(FE$3)-MONTH($B$54))))</x:f>
      </x:c>
      <x:c r="FF64" s="107" t="n">
        <x:f>IF(FF63=0,0,'Вводные'!$B$60*'Вводные'!$S$90*'Вводные'!$H$5*'Вводные'!$AG$90*(1+'Вводные'!$B$64)^MAX(0,MIN((12*(YEAR(FF$3)-YEAR($B$53))+MONTH(FF$3)-MONTH($B$53)),(12*(YEAR($B$54)-YEAR($B$53))+MONTH($B$54)-MONTH($B$53))))*(1+'Вводные'!$B$65)^MAX(0,(12*(YEAR(FF$3)-YEAR($B$54))+MONTH(FF$3)-MONTH($B$54))))</x:f>
      </x:c>
      <x:c r="FG64" s="107" t="n">
        <x:f>IF(FG63=0,0,'Вводные'!$B$60*'Вводные'!$S$90*'Вводные'!$H$5*'Вводные'!$AG$90*(1+'Вводные'!$B$64)^MAX(0,MIN((12*(YEAR(FG$3)-YEAR($B$53))+MONTH(FG$3)-MONTH($B$53)),(12*(YEAR($B$54)-YEAR($B$53))+MONTH($B$54)-MONTH($B$53))))*(1+'Вводные'!$B$65)^MAX(0,(12*(YEAR(FG$3)-YEAR($B$54))+MONTH(FG$3)-MONTH($B$54))))</x:f>
      </x:c>
      <x:c r="FH64" s="107" t="n">
        <x:f>IF(FH63=0,0,'Вводные'!$B$60*'Вводные'!$S$90*'Вводные'!$H$5*'Вводные'!$AG$90*(1+'Вводные'!$B$64)^MAX(0,MIN((12*(YEAR(FH$3)-YEAR($B$53))+MONTH(FH$3)-MONTH($B$53)),(12*(YEAR($B$54)-YEAR($B$53))+MONTH($B$54)-MONTH($B$53))))*(1+'Вводные'!$B$65)^MAX(0,(12*(YEAR(FH$3)-YEAR($B$54))+MONTH(FH$3)-MONTH($B$54))))</x:f>
      </x:c>
      <x:c r="FI64" s="107" t="n">
        <x:f>IF(FI63=0,0,'Вводные'!$B$60*'Вводные'!$S$90*'Вводные'!$H$5*'Вводные'!$AG$90*(1+'Вводные'!$B$64)^MAX(0,MIN((12*(YEAR(FI$3)-YEAR($B$53))+MONTH(FI$3)-MONTH($B$53)),(12*(YEAR($B$54)-YEAR($B$53))+MONTH($B$54)-MONTH($B$53))))*(1+'Вводные'!$B$65)^MAX(0,(12*(YEAR(FI$3)-YEAR($B$54))+MONTH(FI$3)-MONTH($B$54))))</x:f>
      </x:c>
      <x:c r="FJ64" s="107" t="n">
        <x:f>IF(FJ63=0,0,'Вводные'!$B$60*'Вводные'!$S$90*'Вводные'!$H$5*'Вводные'!$AG$90*(1+'Вводные'!$B$64)^MAX(0,MIN((12*(YEAR(FJ$3)-YEAR($B$53))+MONTH(FJ$3)-MONTH($B$53)),(12*(YEAR($B$54)-YEAR($B$53))+MONTH($B$54)-MONTH($B$53))))*(1+'Вводные'!$B$65)^MAX(0,(12*(YEAR(FJ$3)-YEAR($B$54))+MONTH(FJ$3)-MONTH($B$54))))</x:f>
      </x:c>
      <x:c r="FK64" s="107" t="n">
        <x:f>IF(FK63=0,0,'Вводные'!$B$60*'Вводные'!$S$90*'Вводные'!$H$5*'Вводные'!$AG$90*(1+'Вводные'!$B$64)^MAX(0,MIN((12*(YEAR(FK$3)-YEAR($B$53))+MONTH(FK$3)-MONTH($B$53)),(12*(YEAR($B$54)-YEAR($B$53))+MONTH($B$54)-MONTH($B$53))))*(1+'Вводные'!$B$65)^MAX(0,(12*(YEAR(FK$3)-YEAR($B$54))+MONTH(FK$3)-MONTH($B$54))))</x:f>
      </x:c>
      <x:c r="FL64" s="107" t="n">
        <x:f>IF(FL63=0,0,'Вводные'!$B$60*'Вводные'!$S$90*'Вводные'!$H$5*'Вводные'!$AG$90*(1+'Вводные'!$B$64)^MAX(0,MIN((12*(YEAR(FL$3)-YEAR($B$53))+MONTH(FL$3)-MONTH($B$53)),(12*(YEAR($B$54)-YEAR($B$53))+MONTH($B$54)-MONTH($B$53))))*(1+'Вводные'!$B$65)^MAX(0,(12*(YEAR(FL$3)-YEAR($B$54))+MONTH(FL$3)-MONTH($B$54))))</x:f>
      </x:c>
      <x:c r="FM64" s="107" t="n">
        <x:f>IF(FM63=0,0,'Вводные'!$B$60*'Вводные'!$S$90*'Вводные'!$H$5*'Вводные'!$AG$90*(1+'Вводные'!$B$64)^MAX(0,MIN((12*(YEAR(FM$3)-YEAR($B$53))+MONTH(FM$3)-MONTH($B$53)),(12*(YEAR($B$54)-YEAR($B$53))+MONTH($B$54)-MONTH($B$53))))*(1+'Вводные'!$B$65)^MAX(0,(12*(YEAR(FM$3)-YEAR($B$54))+MONTH(FM$3)-MONTH($B$54))))</x:f>
      </x:c>
      <x:c r="FN64" s="107" t="n">
        <x:f>IF(FN63=0,0,'Вводные'!$B$60*'Вводные'!$S$90*'Вводные'!$H$5*'Вводные'!$AG$90*(1+'Вводные'!$B$64)^MAX(0,MIN((12*(YEAR(FN$3)-YEAR($B$53))+MONTH(FN$3)-MONTH($B$53)),(12*(YEAR($B$54)-YEAR($B$53))+MONTH($B$54)-MONTH($B$53))))*(1+'Вводные'!$B$65)^MAX(0,(12*(YEAR(FN$3)-YEAR($B$54))+MONTH(FN$3)-MONTH($B$54))))</x:f>
      </x:c>
      <x:c r="FO64" s="107" t="n">
        <x:f>IF(FO63=0,0,'Вводные'!$B$60*'Вводные'!$S$90*'Вводные'!$H$5*'Вводные'!$AG$90*(1+'Вводные'!$B$64)^MAX(0,MIN((12*(YEAR(FO$3)-YEAR($B$53))+MONTH(FO$3)-MONTH($B$53)),(12*(YEAR($B$54)-YEAR($B$53))+MONTH($B$54)-MONTH($B$53))))*(1+'Вводные'!$B$65)^MAX(0,(12*(YEAR(FO$3)-YEAR($B$54))+MONTH(FO$3)-MONTH($B$54))))</x:f>
      </x:c>
      <x:c r="FP64" s="107" t="n">
        <x:f>IF(FP63=0,0,'Вводные'!$B$60*'Вводные'!$S$90*'Вводные'!$H$5*'Вводные'!$AG$90*(1+'Вводные'!$B$64)^MAX(0,MIN((12*(YEAR(FP$3)-YEAR($B$53))+MONTH(FP$3)-MONTH($B$53)),(12*(YEAR($B$54)-YEAR($B$53))+MONTH($B$54)-MONTH($B$53))))*(1+'Вводные'!$B$65)^MAX(0,(12*(YEAR(FP$3)-YEAR($B$54))+MONTH(FP$3)-MONTH($B$54))))</x:f>
      </x:c>
      <x:c r="FQ64" s="107" t="n">
        <x:f>IF(FQ63=0,0,'Вводные'!$B$60*'Вводные'!$S$90*'Вводные'!$H$5*'Вводные'!$AG$90*(1+'Вводные'!$B$64)^MAX(0,MIN((12*(YEAR(FQ$3)-YEAR($B$53))+MONTH(FQ$3)-MONTH($B$53)),(12*(YEAR($B$54)-YEAR($B$53))+MONTH($B$54)-MONTH($B$53))))*(1+'Вводные'!$B$65)^MAX(0,(12*(YEAR(FQ$3)-YEAR($B$54))+MONTH(FQ$3)-MONTH($B$54))))</x:f>
      </x:c>
      <x:c r="FR64" s="107" t="n">
        <x:f>IF(FR63=0,0,'Вводные'!$B$60*'Вводные'!$S$90*'Вводные'!$H$5*'Вводные'!$AG$90*(1+'Вводные'!$B$64)^MAX(0,MIN((12*(YEAR(FR$3)-YEAR($B$53))+MONTH(FR$3)-MONTH($B$53)),(12*(YEAR($B$54)-YEAR($B$53))+MONTH($B$54)-MONTH($B$53))))*(1+'Вводные'!$B$65)^MAX(0,(12*(YEAR(FR$3)-YEAR($B$54))+MONTH(FR$3)-MONTH($B$54))))</x:f>
      </x:c>
      <x:c r="FS64" s="107" t="n">
        <x:f>IF(FS63=0,0,'Вводные'!$B$60*'Вводные'!$S$90*'Вводные'!$H$5*'Вводные'!$AG$90*(1+'Вводные'!$B$64)^MAX(0,MIN((12*(YEAR(FS$3)-YEAR($B$53))+MONTH(FS$3)-MONTH($B$53)),(12*(YEAR($B$54)-YEAR($B$53))+MONTH($B$54)-MONTH($B$53))))*(1+'Вводные'!$B$65)^MAX(0,(12*(YEAR(FS$3)-YEAR($B$54))+MONTH(FS$3)-MONTH($B$54))))</x:f>
      </x:c>
      <x:c r="FT64" s="107" t="n">
        <x:f>IF(FT63=0,0,'Вводные'!$B$60*'Вводные'!$S$90*'Вводные'!$H$5*'Вводные'!$AG$90*(1+'Вводные'!$B$64)^MAX(0,MIN((12*(YEAR(FT$3)-YEAR($B$53))+MONTH(FT$3)-MONTH($B$53)),(12*(YEAR($B$54)-YEAR($B$53))+MONTH($B$54)-MONTH($B$53))))*(1+'Вводные'!$B$65)^MAX(0,(12*(YEAR(FT$3)-YEAR($B$54))+MONTH(FT$3)-MONTH($B$54))))</x:f>
      </x:c>
      <x:c r="FU64" s="107" t="n">
        <x:f>IF(FU63=0,0,'Вводные'!$B$60*'Вводные'!$S$90*'Вводные'!$H$5*'Вводные'!$AG$90*(1+'Вводные'!$B$64)^MAX(0,MIN((12*(YEAR(FU$3)-YEAR($B$53))+MONTH(FU$3)-MONTH($B$53)),(12*(YEAR($B$54)-YEAR($B$53))+MONTH($B$54)-MONTH($B$53))))*(1+'Вводные'!$B$65)^MAX(0,(12*(YEAR(FU$3)-YEAR($B$54))+MONTH(FU$3)-MONTH($B$54))))</x:f>
      </x:c>
      <x:c r="FV64" s="107" t="n">
        <x:f>IF(FV63=0,0,'Вводные'!$B$60*'Вводные'!$S$90*'Вводные'!$H$5*'Вводные'!$AG$90*(1+'Вводные'!$B$64)^MAX(0,MIN((12*(YEAR(FV$3)-YEAR($B$53))+MONTH(FV$3)-MONTH($B$53)),(12*(YEAR($B$54)-YEAR($B$53))+MONTH($B$54)-MONTH($B$53))))*(1+'Вводные'!$B$65)^MAX(0,(12*(YEAR(FV$3)-YEAR($B$54))+MONTH(FV$3)-MONTH($B$54))))</x:f>
      </x:c>
      <x:c r="FW64" s="107" t="n">
        <x:f>IF(FW63=0,0,'Вводные'!$B$60*'Вводные'!$S$90*'Вводные'!$H$5*'Вводные'!$AG$90*(1+'Вводные'!$B$64)^MAX(0,MIN((12*(YEAR(FW$3)-YEAR($B$53))+MONTH(FW$3)-MONTH($B$53)),(12*(YEAR($B$54)-YEAR($B$53))+MONTH($B$54)-MONTH($B$53))))*(1+'Вводные'!$B$65)^MAX(0,(12*(YEAR(FW$3)-YEAR($B$54))+MONTH(FW$3)-MONTH($B$54))))</x:f>
      </x:c>
      <x:c r="FX64" s="107" t="n">
        <x:f>IF(FX63=0,0,'Вводные'!$B$60*'Вводные'!$S$90*'Вводные'!$H$5*'Вводные'!$AG$90*(1+'Вводные'!$B$64)^MAX(0,MIN((12*(YEAR(FX$3)-YEAR($B$53))+MONTH(FX$3)-MONTH($B$53)),(12*(YEAR($B$54)-YEAR($B$53))+MONTH($B$54)-MONTH($B$53))))*(1+'Вводные'!$B$65)^MAX(0,(12*(YEAR(FX$3)-YEAR($B$54))+MONTH(FX$3)-MONTH($B$54))))</x:f>
      </x:c>
      <x:c r="FY64" s="107" t="n">
        <x:f>IF(FY63=0,0,'Вводные'!$B$60*'Вводные'!$S$90*'Вводные'!$H$5*'Вводные'!$AG$90*(1+'Вводные'!$B$64)^MAX(0,MIN((12*(YEAR(FY$3)-YEAR($B$53))+MONTH(FY$3)-MONTH($B$53)),(12*(YEAR($B$54)-YEAR($B$53))+MONTH($B$54)-MONTH($B$53))))*(1+'Вводные'!$B$65)^MAX(0,(12*(YEAR(FY$3)-YEAR($B$54))+MONTH(FY$3)-MONTH($B$54))))</x:f>
      </x:c>
      <x:c r="FZ64" s="107" t="n">
        <x:f>IF(FZ63=0,0,'Вводные'!$B$60*'Вводные'!$S$90*'Вводные'!$H$5*'Вводные'!$AG$90*(1+'Вводные'!$B$64)^MAX(0,MIN((12*(YEAR(FZ$3)-YEAR($B$53))+MONTH(FZ$3)-MONTH($B$53)),(12*(YEAR($B$54)-YEAR($B$53))+MONTH($B$54)-MONTH($B$53))))*(1+'Вводные'!$B$65)^MAX(0,(12*(YEAR(FZ$3)-YEAR($B$54))+MONTH(FZ$3)-MONTH($B$54))))</x:f>
      </x:c>
      <x:c r="GA64" s="107" t="n">
        <x:f>IF(GA63=0,0,'Вводные'!$B$60*'Вводные'!$S$90*'Вводные'!$H$5*'Вводные'!$AG$90*(1+'Вводные'!$B$64)^MAX(0,MIN((12*(YEAR(GA$3)-YEAR($B$53))+MONTH(GA$3)-MONTH($B$53)),(12*(YEAR($B$54)-YEAR($B$53))+MONTH($B$54)-MONTH($B$53))))*(1+'Вводные'!$B$65)^MAX(0,(12*(YEAR(GA$3)-YEAR($B$54))+MONTH(GA$3)-MONTH($B$54))))</x:f>
      </x:c>
    </x:row>
    <x:row r="65">
      <x:c r="A65" t="str">
        <x:v>Коммерция — выручка</x:v>
      </x:c>
      <x:c r="B65" t="n">
        <x:f>SUM(D65:GA65)</x:f>
      </x:c>
      <x:c r="C65" t="str">
        <x:v>млн ₽</x:v>
      </x:c>
      <x:c r="D65" s="107" t="n">
        <x:f>D63*D64/1000</x:f>
      </x:c>
      <x:c r="E65" s="107" t="n">
        <x:f>E63*E64/1000</x:f>
      </x:c>
      <x:c r="F65" s="107" t="n">
        <x:f>F63*F64/1000</x:f>
      </x:c>
      <x:c r="G65" s="107" t="n">
        <x:f>G63*G64/1000</x:f>
      </x:c>
      <x:c r="H65" s="107" t="n">
        <x:f>H63*H64/1000</x:f>
      </x:c>
      <x:c r="I65" s="107" t="n">
        <x:f>I63*I64/1000</x:f>
      </x:c>
      <x:c r="J65" s="107" t="n">
        <x:f>J63*J64/1000</x:f>
      </x:c>
      <x:c r="K65" s="107" t="n">
        <x:f>K63*K64/1000</x:f>
      </x:c>
      <x:c r="L65" s="107" t="n">
        <x:f>L63*L64/1000</x:f>
      </x:c>
      <x:c r="M65" s="107" t="n">
        <x:f>M63*M64/1000</x:f>
      </x:c>
      <x:c r="N65" s="107" t="n">
        <x:f>N63*N64/1000</x:f>
      </x:c>
      <x:c r="O65" s="107" t="n">
        <x:f>O63*O64/1000</x:f>
      </x:c>
      <x:c r="P65" s="107" t="n">
        <x:f>P63*P64/1000</x:f>
      </x:c>
      <x:c r="Q65" s="107" t="n">
        <x:f>Q63*Q64/1000</x:f>
      </x:c>
      <x:c r="R65" s="107" t="n">
        <x:f>R63*R64/1000</x:f>
      </x:c>
      <x:c r="S65" s="107" t="n">
        <x:f>S63*S64/1000</x:f>
      </x:c>
      <x:c r="T65" s="107" t="n">
        <x:f>T63*T64/1000</x:f>
      </x:c>
      <x:c r="U65" s="107" t="n">
        <x:f>U63*U64/1000</x:f>
      </x:c>
      <x:c r="V65" s="107" t="n">
        <x:f>V63*V64/1000</x:f>
      </x:c>
      <x:c r="W65" s="107" t="n">
        <x:f>W63*W64/1000</x:f>
      </x:c>
      <x:c r="X65" s="107" t="n">
        <x:f>X63*X64/1000</x:f>
      </x:c>
      <x:c r="Y65" s="107" t="n">
        <x:f>Y63*Y64/1000</x:f>
      </x:c>
      <x:c r="Z65" s="107" t="n">
        <x:f>Z63*Z64/1000</x:f>
      </x:c>
      <x:c r="AA65" s="107" t="n">
        <x:f>AA63*AA64/1000</x:f>
      </x:c>
      <x:c r="AB65" s="107" t="n">
        <x:f>AB63*AB64/1000</x:f>
      </x:c>
      <x:c r="AC65" s="107" t="n">
        <x:f>AC63*AC64/1000</x:f>
      </x:c>
      <x:c r="AD65" s="107" t="n">
        <x:f>AD63*AD64/1000</x:f>
      </x:c>
      <x:c r="AE65" s="107" t="n">
        <x:f>AE63*AE64/1000</x:f>
      </x:c>
      <x:c r="AF65" s="107" t="n">
        <x:f>AF63*AF64/1000</x:f>
      </x:c>
      <x:c r="AG65" s="107" t="n">
        <x:f>AG63*AG64/1000</x:f>
      </x:c>
      <x:c r="AH65" s="107" t="n">
        <x:f>AH63*AH64/1000</x:f>
      </x:c>
      <x:c r="AI65" s="107" t="n">
        <x:f>AI63*AI64/1000</x:f>
      </x:c>
      <x:c r="AJ65" s="107" t="n">
        <x:f>AJ63*AJ64/1000</x:f>
      </x:c>
      <x:c r="AK65" s="107" t="n">
        <x:f>AK63*AK64/1000</x:f>
      </x:c>
      <x:c r="AL65" s="107" t="n">
        <x:f>AL63*AL64/1000</x:f>
      </x:c>
      <x:c r="AM65" s="107" t="n">
        <x:f>AM63*AM64/1000</x:f>
      </x:c>
      <x:c r="AN65" s="107" t="n">
        <x:f>AN63*AN64/1000</x:f>
      </x:c>
      <x:c r="AO65" s="107" t="n">
        <x:f>AO63*AO64/1000</x:f>
      </x:c>
      <x:c r="AP65" s="107" t="n">
        <x:f>AP63*AP64/1000</x:f>
      </x:c>
      <x:c r="AQ65" s="107" t="n">
        <x:f>AQ63*AQ64/1000</x:f>
      </x:c>
      <x:c r="AR65" s="107" t="n">
        <x:f>AR63*AR64/1000</x:f>
      </x:c>
      <x:c r="AS65" s="107" t="n">
        <x:f>AS63*AS64/1000</x:f>
      </x:c>
      <x:c r="AT65" s="107" t="n">
        <x:f>AT63*AT64/1000</x:f>
      </x:c>
      <x:c r="AU65" s="107" t="n">
        <x:f>AU63*AU64/1000</x:f>
      </x:c>
      <x:c r="AV65" s="107" t="n">
        <x:f>AV63*AV64/1000</x:f>
      </x:c>
      <x:c r="AW65" s="107" t="n">
        <x:f>AW63*AW64/1000</x:f>
      </x:c>
      <x:c r="AX65" s="107" t="n">
        <x:f>AX63*AX64/1000</x:f>
      </x:c>
      <x:c r="AY65" s="107" t="n">
        <x:f>AY63*AY64/1000</x:f>
      </x:c>
      <x:c r="AZ65" s="107" t="n">
        <x:f>AZ63*AZ64/1000</x:f>
      </x:c>
      <x:c r="BA65" s="107" t="n">
        <x:f>BA63*BA64/1000</x:f>
      </x:c>
      <x:c r="BB65" s="107" t="n">
        <x:f>BB63*BB64/1000</x:f>
      </x:c>
      <x:c r="BC65" s="107" t="n">
        <x:f>BC63*BC64/1000</x:f>
      </x:c>
      <x:c r="BD65" s="107" t="n">
        <x:f>BD63*BD64/1000</x:f>
      </x:c>
      <x:c r="BE65" s="107" t="n">
        <x:f>BE63*BE64/1000</x:f>
      </x:c>
      <x:c r="BF65" s="107" t="n">
        <x:f>BF63*BF64/1000</x:f>
      </x:c>
      <x:c r="BG65" s="107" t="n">
        <x:f>BG63*BG64/1000</x:f>
      </x:c>
      <x:c r="BH65" s="107" t="n">
        <x:f>BH63*BH64/1000</x:f>
      </x:c>
      <x:c r="BI65" s="107" t="n">
        <x:f>BI63*BI64/1000</x:f>
      </x:c>
      <x:c r="BJ65" s="107" t="n">
        <x:f>BJ63*BJ64/1000</x:f>
      </x:c>
      <x:c r="BK65" s="107" t="n">
        <x:f>BK63*BK64/1000</x:f>
      </x:c>
      <x:c r="BL65" s="107" t="n">
        <x:f>BL63*BL64/1000</x:f>
      </x:c>
      <x:c r="BM65" s="107" t="n">
        <x:f>BM63*BM64/1000</x:f>
      </x:c>
      <x:c r="BN65" s="107" t="n">
        <x:f>BN63*BN64/1000</x:f>
      </x:c>
      <x:c r="BO65" s="107" t="n">
        <x:f>BO63*BO64/1000</x:f>
      </x:c>
      <x:c r="BP65" s="107" t="n">
        <x:f>BP63*BP64/1000</x:f>
      </x:c>
      <x:c r="BQ65" s="107" t="n">
        <x:f>BQ63*BQ64/1000</x:f>
      </x:c>
      <x:c r="BR65" s="107" t="n">
        <x:f>BR63*BR64/1000</x:f>
      </x:c>
      <x:c r="BS65" s="107" t="n">
        <x:f>BS63*BS64/1000</x:f>
      </x:c>
      <x:c r="BT65" s="107" t="n">
        <x:f>BT63*BT64/1000</x:f>
      </x:c>
      <x:c r="BU65" s="107" t="n">
        <x:f>BU63*BU64/1000</x:f>
      </x:c>
      <x:c r="BV65" s="107" t="n">
        <x:f>BV63*BV64/1000</x:f>
      </x:c>
      <x:c r="BW65" s="107" t="n">
        <x:f>BW63*BW64/1000</x:f>
      </x:c>
      <x:c r="BX65" s="107" t="n">
        <x:f>BX63*BX64/1000</x:f>
      </x:c>
      <x:c r="BY65" s="107" t="n">
        <x:f>BY63*BY64/1000</x:f>
      </x:c>
      <x:c r="BZ65" s="107" t="n">
        <x:f>BZ63*BZ64/1000</x:f>
      </x:c>
      <x:c r="CA65" s="107" t="n">
        <x:f>CA63*CA64/1000</x:f>
      </x:c>
      <x:c r="CB65" s="107" t="n">
        <x:f>CB63*CB64/1000</x:f>
      </x:c>
      <x:c r="CC65" s="107" t="n">
        <x:f>CC63*CC64/1000</x:f>
      </x:c>
      <x:c r="CD65" s="107" t="n">
        <x:f>CD63*CD64/1000</x:f>
      </x:c>
      <x:c r="CE65" s="107" t="n">
        <x:f>CE63*CE64/1000</x:f>
      </x:c>
      <x:c r="CF65" s="107" t="n">
        <x:f>CF63*CF64/1000</x:f>
      </x:c>
      <x:c r="CG65" s="107" t="n">
        <x:f>CG63*CG64/1000</x:f>
      </x:c>
      <x:c r="CH65" s="107" t="n">
        <x:f>CH63*CH64/1000</x:f>
      </x:c>
      <x:c r="CI65" s="107" t="n">
        <x:f>CI63*CI64/1000</x:f>
      </x:c>
      <x:c r="CJ65" s="107" t="n">
        <x:f>CJ63*CJ64/1000</x:f>
      </x:c>
      <x:c r="CK65" s="107" t="n">
        <x:f>CK63*CK64/1000</x:f>
      </x:c>
      <x:c r="CL65" s="107" t="n">
        <x:f>CL63*CL64/1000</x:f>
      </x:c>
      <x:c r="CM65" s="107" t="n">
        <x:f>CM63*CM64/1000</x:f>
      </x:c>
      <x:c r="CN65" s="107" t="n">
        <x:f>CN63*CN64/1000</x:f>
      </x:c>
      <x:c r="CO65" s="107" t="n">
        <x:f>CO63*CO64/1000</x:f>
      </x:c>
      <x:c r="CP65" s="107" t="n">
        <x:f>CP63*CP64/1000</x:f>
      </x:c>
      <x:c r="CQ65" s="107" t="n">
        <x:f>CQ63*CQ64/1000</x:f>
      </x:c>
      <x:c r="CR65" s="107" t="n">
        <x:f>CR63*CR64/1000</x:f>
      </x:c>
      <x:c r="CS65" s="107" t="n">
        <x:f>CS63*CS64/1000</x:f>
      </x:c>
      <x:c r="CT65" s="107" t="n">
        <x:f>CT63*CT64/1000</x:f>
      </x:c>
      <x:c r="CU65" s="107" t="n">
        <x:f>CU63*CU64/1000</x:f>
      </x:c>
      <x:c r="CV65" s="107" t="n">
        <x:f>CV63*CV64/1000</x:f>
      </x:c>
      <x:c r="CW65" s="107" t="n">
        <x:f>CW63*CW64/1000</x:f>
      </x:c>
      <x:c r="CX65" s="107" t="n">
        <x:f>CX63*CX64/1000</x:f>
      </x:c>
      <x:c r="CY65" s="107" t="n">
        <x:f>CY63*CY64/1000</x:f>
      </x:c>
      <x:c r="CZ65" s="107" t="n">
        <x:f>CZ63*CZ64/1000</x:f>
      </x:c>
      <x:c r="DA65" s="107" t="n">
        <x:f>DA63*DA64/1000</x:f>
      </x:c>
      <x:c r="DB65" s="107" t="n">
        <x:f>DB63*DB64/1000</x:f>
      </x:c>
      <x:c r="DC65" s="107" t="n">
        <x:f>DC63*DC64/1000</x:f>
      </x:c>
      <x:c r="DD65" s="107" t="n">
        <x:f>DD63*DD64/1000</x:f>
      </x:c>
      <x:c r="DE65" s="107" t="n">
        <x:f>DE63*DE64/1000</x:f>
      </x:c>
      <x:c r="DF65" s="107" t="n">
        <x:f>DF63*DF64/1000</x:f>
      </x:c>
      <x:c r="DG65" s="107" t="n">
        <x:f>DG63*DG64/1000</x:f>
      </x:c>
      <x:c r="DH65" s="107" t="n">
        <x:f>DH63*DH64/1000</x:f>
      </x:c>
      <x:c r="DI65" s="107" t="n">
        <x:f>DI63*DI64/1000</x:f>
      </x:c>
      <x:c r="DJ65" s="107" t="n">
        <x:f>DJ63*DJ64/1000</x:f>
      </x:c>
      <x:c r="DK65" s="107" t="n">
        <x:f>DK63*DK64/1000</x:f>
      </x:c>
      <x:c r="DL65" s="107" t="n">
        <x:f>DL63*DL64/1000</x:f>
      </x:c>
      <x:c r="DM65" s="107" t="n">
        <x:f>DM63*DM64/1000</x:f>
      </x:c>
      <x:c r="DN65" s="107" t="n">
        <x:f>DN63*DN64/1000</x:f>
      </x:c>
      <x:c r="DO65" s="107" t="n">
        <x:f>DO63*DO64/1000</x:f>
      </x:c>
      <x:c r="DP65" s="107" t="n">
        <x:f>DP63*DP64/1000</x:f>
      </x:c>
      <x:c r="DQ65" s="107" t="n">
        <x:f>DQ63*DQ64/1000</x:f>
      </x:c>
      <x:c r="DR65" s="107" t="n">
        <x:f>DR63*DR64/1000</x:f>
      </x:c>
      <x:c r="DS65" s="107" t="n">
        <x:f>DS63*DS64/1000</x:f>
      </x:c>
      <x:c r="DT65" s="107" t="n">
        <x:f>DT63*DT64/1000</x:f>
      </x:c>
      <x:c r="DU65" s="107" t="n">
        <x:f>DU63*DU64/1000</x:f>
      </x:c>
      <x:c r="DV65" s="107" t="n">
        <x:f>DV63*DV64/1000</x:f>
      </x:c>
      <x:c r="DW65" s="107" t="n">
        <x:f>DW63*DW64/1000</x:f>
      </x:c>
      <x:c r="DX65" s="107" t="n">
        <x:f>DX63*DX64/1000</x:f>
      </x:c>
      <x:c r="DY65" s="107" t="n">
        <x:f>DY63*DY64/1000</x:f>
      </x:c>
      <x:c r="DZ65" s="107" t="n">
        <x:f>DZ63*DZ64/1000</x:f>
      </x:c>
      <x:c r="EA65" s="107" t="n">
        <x:f>EA63*EA64/1000</x:f>
      </x:c>
      <x:c r="EB65" s="107" t="n">
        <x:f>EB63*EB64/1000</x:f>
      </x:c>
      <x:c r="EC65" s="107" t="n">
        <x:f>EC63*EC64/1000</x:f>
      </x:c>
      <x:c r="ED65" s="107" t="n">
        <x:f>ED63*ED64/1000</x:f>
      </x:c>
      <x:c r="EE65" s="107" t="n">
        <x:f>EE63*EE64/1000</x:f>
      </x:c>
      <x:c r="EF65" s="107" t="n">
        <x:f>EF63*EF64/1000</x:f>
      </x:c>
      <x:c r="EG65" s="107" t="n">
        <x:f>EG63*EG64/1000</x:f>
      </x:c>
      <x:c r="EH65" s="107" t="n">
        <x:f>EH63*EH64/1000</x:f>
      </x:c>
      <x:c r="EI65" s="107" t="n">
        <x:f>EI63*EI64/1000</x:f>
      </x:c>
      <x:c r="EJ65" s="107" t="n">
        <x:f>EJ63*EJ64/1000</x:f>
      </x:c>
      <x:c r="EK65" s="107" t="n">
        <x:f>EK63*EK64/1000</x:f>
      </x:c>
      <x:c r="EL65" s="107" t="n">
        <x:f>EL63*EL64/1000</x:f>
      </x:c>
      <x:c r="EM65" s="107" t="n">
        <x:f>EM63*EM64/1000</x:f>
      </x:c>
      <x:c r="EN65" s="107" t="n">
        <x:f>EN63*EN64/1000</x:f>
      </x:c>
      <x:c r="EO65" s="107" t="n">
        <x:f>EO63*EO64/1000</x:f>
      </x:c>
      <x:c r="EP65" s="107" t="n">
        <x:f>EP63*EP64/1000</x:f>
      </x:c>
      <x:c r="EQ65" s="107" t="n">
        <x:f>EQ63*EQ64/1000</x:f>
      </x:c>
      <x:c r="ER65" s="107" t="n">
        <x:f>ER63*ER64/1000</x:f>
      </x:c>
      <x:c r="ES65" s="107" t="n">
        <x:f>ES63*ES64/1000</x:f>
      </x:c>
      <x:c r="ET65" s="107" t="n">
        <x:f>ET63*ET64/1000</x:f>
      </x:c>
      <x:c r="EU65" s="107" t="n">
        <x:f>EU63*EU64/1000</x:f>
      </x:c>
      <x:c r="EV65" s="107" t="n">
        <x:f>EV63*EV64/1000</x:f>
      </x:c>
      <x:c r="EW65" s="107" t="n">
        <x:f>EW63*EW64/1000</x:f>
      </x:c>
      <x:c r="EX65" s="107" t="n">
        <x:f>EX63*EX64/1000</x:f>
      </x:c>
      <x:c r="EY65" s="107" t="n">
        <x:f>EY63*EY64/1000</x:f>
      </x:c>
      <x:c r="EZ65" s="107" t="n">
        <x:f>EZ63*EZ64/1000</x:f>
      </x:c>
      <x:c r="FA65" s="107" t="n">
        <x:f>FA63*FA64/1000</x:f>
      </x:c>
      <x:c r="FB65" s="107" t="n">
        <x:f>FB63*FB64/1000</x:f>
      </x:c>
      <x:c r="FC65" s="107" t="n">
        <x:f>FC63*FC64/1000</x:f>
      </x:c>
      <x:c r="FD65" s="107" t="n">
        <x:f>FD63*FD64/1000</x:f>
      </x:c>
      <x:c r="FE65" s="107" t="n">
        <x:f>FE63*FE64/1000</x:f>
      </x:c>
      <x:c r="FF65" s="107" t="n">
        <x:f>FF63*FF64/1000</x:f>
      </x:c>
      <x:c r="FG65" s="107" t="n">
        <x:f>FG63*FG64/1000</x:f>
      </x:c>
      <x:c r="FH65" s="107" t="n">
        <x:f>FH63*FH64/1000</x:f>
      </x:c>
      <x:c r="FI65" s="107" t="n">
        <x:f>FI63*FI64/1000</x:f>
      </x:c>
      <x:c r="FJ65" s="107" t="n">
        <x:f>FJ63*FJ64/1000</x:f>
      </x:c>
      <x:c r="FK65" s="107" t="n">
        <x:f>FK63*FK64/1000</x:f>
      </x:c>
      <x:c r="FL65" s="107" t="n">
        <x:f>FL63*FL64/1000</x:f>
      </x:c>
      <x:c r="FM65" s="107" t="n">
        <x:f>FM63*FM64/1000</x:f>
      </x:c>
      <x:c r="FN65" s="107" t="n">
        <x:f>FN63*FN64/1000</x:f>
      </x:c>
      <x:c r="FO65" s="107" t="n">
        <x:f>FO63*FO64/1000</x:f>
      </x:c>
      <x:c r="FP65" s="107" t="n">
        <x:f>FP63*FP64/1000</x:f>
      </x:c>
      <x:c r="FQ65" s="107" t="n">
        <x:f>FQ63*FQ64/1000</x:f>
      </x:c>
      <x:c r="FR65" s="107" t="n">
        <x:f>FR63*FR64/1000</x:f>
      </x:c>
      <x:c r="FS65" s="107" t="n">
        <x:f>FS63*FS64/1000</x:f>
      </x:c>
      <x:c r="FT65" s="107" t="n">
        <x:f>FT63*FT64/1000</x:f>
      </x:c>
      <x:c r="FU65" s="107" t="n">
        <x:f>FU63*FU64/1000</x:f>
      </x:c>
      <x:c r="FV65" s="107" t="n">
        <x:f>FV63*FV64/1000</x:f>
      </x:c>
      <x:c r="FW65" s="107" t="n">
        <x:f>FW63*FW64/1000</x:f>
      </x:c>
      <x:c r="FX65" s="107" t="n">
        <x:f>FX63*FX64/1000</x:f>
      </x:c>
      <x:c r="FY65" s="107" t="n">
        <x:f>FY63*FY64/1000</x:f>
      </x:c>
      <x:c r="FZ65" s="107" t="n">
        <x:f>FZ63*FZ64/1000</x:f>
      </x:c>
      <x:c r="GA65" s="107" t="n">
        <x:f>GA63*GA64/1000</x:f>
      </x:c>
    </x:row>
    <x:row r="66">
      <x:c r="A66" t="str">
        <x:v>Паркинг — объём</x:v>
      </x:c>
      <x:c r="B66" t="n">
        <x:f>SUM(D66:GA66)</x:f>
      </x:c>
      <x:c r="C66" t="str">
        <x:v>шт.</x:v>
      </x:c>
      <x:c r="D66" s="107" t="n">
        <x:f>'Вводные'!$N$90*((IF(SUM($D55:$GA55)=0,0,IF(SUM($D58:$GA58)=0,1,'Вводные'!$B$63)))*D57+(1-(IF(SUM($D55:$GA55)=0,0,IF(SUM($D58:$GA58)=0,1,'Вводные'!$B$63))))*D59)</x:f>
      </x:c>
      <x:c r="E66" s="107" t="n">
        <x:f>'Вводные'!$N$90*((IF(SUM($D55:$GA55)=0,0,IF(SUM($D58:$GA58)=0,1,'Вводные'!$B$63)))*E57+(1-(IF(SUM($D55:$GA55)=0,0,IF(SUM($D58:$GA58)=0,1,'Вводные'!$B$63))))*E59)</x:f>
      </x:c>
      <x:c r="F66" s="107" t="n">
        <x:f>'Вводные'!$N$90*((IF(SUM($D55:$GA55)=0,0,IF(SUM($D58:$GA58)=0,1,'Вводные'!$B$63)))*F57+(1-(IF(SUM($D55:$GA55)=0,0,IF(SUM($D58:$GA58)=0,1,'Вводные'!$B$63))))*F59)</x:f>
      </x:c>
      <x:c r="G66" s="107" t="n">
        <x:f>'Вводные'!$N$90*((IF(SUM($D55:$GA55)=0,0,IF(SUM($D58:$GA58)=0,1,'Вводные'!$B$63)))*G57+(1-(IF(SUM($D55:$GA55)=0,0,IF(SUM($D58:$GA58)=0,1,'Вводные'!$B$63))))*G59)</x:f>
      </x:c>
      <x:c r="H66" s="107" t="n">
        <x:f>'Вводные'!$N$90*((IF(SUM($D55:$GA55)=0,0,IF(SUM($D58:$GA58)=0,1,'Вводные'!$B$63)))*H57+(1-(IF(SUM($D55:$GA55)=0,0,IF(SUM($D58:$GA58)=0,1,'Вводные'!$B$63))))*H59)</x:f>
      </x:c>
      <x:c r="I66" s="107" t="n">
        <x:f>'Вводные'!$N$90*((IF(SUM($D55:$GA55)=0,0,IF(SUM($D58:$GA58)=0,1,'Вводные'!$B$63)))*I57+(1-(IF(SUM($D55:$GA55)=0,0,IF(SUM($D58:$GA58)=0,1,'Вводные'!$B$63))))*I59)</x:f>
      </x:c>
      <x:c r="J66" s="107" t="n">
        <x:f>'Вводные'!$N$90*((IF(SUM($D55:$GA55)=0,0,IF(SUM($D58:$GA58)=0,1,'Вводные'!$B$63)))*J57+(1-(IF(SUM($D55:$GA55)=0,0,IF(SUM($D58:$GA58)=0,1,'Вводные'!$B$63))))*J59)</x:f>
      </x:c>
      <x:c r="K66" s="107" t="n">
        <x:f>'Вводные'!$N$90*((IF(SUM($D55:$GA55)=0,0,IF(SUM($D58:$GA58)=0,1,'Вводные'!$B$63)))*K57+(1-(IF(SUM($D55:$GA55)=0,0,IF(SUM($D58:$GA58)=0,1,'Вводные'!$B$63))))*K59)</x:f>
      </x:c>
      <x:c r="L66" s="107" t="n">
        <x:f>'Вводные'!$N$90*((IF(SUM($D55:$GA55)=0,0,IF(SUM($D58:$GA58)=0,1,'Вводные'!$B$63)))*L57+(1-(IF(SUM($D55:$GA55)=0,0,IF(SUM($D58:$GA58)=0,1,'Вводные'!$B$63))))*L59)</x:f>
      </x:c>
      <x:c r="M66" s="107" t="n">
        <x:f>'Вводные'!$N$90*((IF(SUM($D55:$GA55)=0,0,IF(SUM($D58:$GA58)=0,1,'Вводные'!$B$63)))*M57+(1-(IF(SUM($D55:$GA55)=0,0,IF(SUM($D58:$GA58)=0,1,'Вводные'!$B$63))))*M59)</x:f>
      </x:c>
      <x:c r="N66" s="107" t="n">
        <x:f>'Вводные'!$N$90*((IF(SUM($D55:$GA55)=0,0,IF(SUM($D58:$GA58)=0,1,'Вводные'!$B$63)))*N57+(1-(IF(SUM($D55:$GA55)=0,0,IF(SUM($D58:$GA58)=0,1,'Вводные'!$B$63))))*N59)</x:f>
      </x:c>
      <x:c r="O66" s="107" t="n">
        <x:f>'Вводные'!$N$90*((IF(SUM($D55:$GA55)=0,0,IF(SUM($D58:$GA58)=0,1,'Вводные'!$B$63)))*O57+(1-(IF(SUM($D55:$GA55)=0,0,IF(SUM($D58:$GA58)=0,1,'Вводные'!$B$63))))*O59)</x:f>
      </x:c>
      <x:c r="P66" s="107" t="n">
        <x:f>'Вводные'!$N$90*((IF(SUM($D55:$GA55)=0,0,IF(SUM($D58:$GA58)=0,1,'Вводные'!$B$63)))*P57+(1-(IF(SUM($D55:$GA55)=0,0,IF(SUM($D58:$GA58)=0,1,'Вводные'!$B$63))))*P59)</x:f>
      </x:c>
      <x:c r="Q66" s="107" t="n">
        <x:f>'Вводные'!$N$90*((IF(SUM($D55:$GA55)=0,0,IF(SUM($D58:$GA58)=0,1,'Вводные'!$B$63)))*Q57+(1-(IF(SUM($D55:$GA55)=0,0,IF(SUM($D58:$GA58)=0,1,'Вводные'!$B$63))))*Q59)</x:f>
      </x:c>
      <x:c r="R66" s="107" t="n">
        <x:f>'Вводные'!$N$90*((IF(SUM($D55:$GA55)=0,0,IF(SUM($D58:$GA58)=0,1,'Вводные'!$B$63)))*R57+(1-(IF(SUM($D55:$GA55)=0,0,IF(SUM($D58:$GA58)=0,1,'Вводные'!$B$63))))*R59)</x:f>
      </x:c>
      <x:c r="S66" s="107" t="n">
        <x:f>'Вводные'!$N$90*((IF(SUM($D55:$GA55)=0,0,IF(SUM($D58:$GA58)=0,1,'Вводные'!$B$63)))*S57+(1-(IF(SUM($D55:$GA55)=0,0,IF(SUM($D58:$GA58)=0,1,'Вводные'!$B$63))))*S59)</x:f>
      </x:c>
      <x:c r="T66" s="107" t="n">
        <x:f>'Вводные'!$N$90*((IF(SUM($D55:$GA55)=0,0,IF(SUM($D58:$GA58)=0,1,'Вводные'!$B$63)))*T57+(1-(IF(SUM($D55:$GA55)=0,0,IF(SUM($D58:$GA58)=0,1,'Вводные'!$B$63))))*T59)</x:f>
      </x:c>
      <x:c r="U66" s="107" t="n">
        <x:f>'Вводные'!$N$90*((IF(SUM($D55:$GA55)=0,0,IF(SUM($D58:$GA58)=0,1,'Вводные'!$B$63)))*U57+(1-(IF(SUM($D55:$GA55)=0,0,IF(SUM($D58:$GA58)=0,1,'Вводные'!$B$63))))*U59)</x:f>
      </x:c>
      <x:c r="V66" s="107" t="n">
        <x:f>'Вводные'!$N$90*((IF(SUM($D55:$GA55)=0,0,IF(SUM($D58:$GA58)=0,1,'Вводные'!$B$63)))*V57+(1-(IF(SUM($D55:$GA55)=0,0,IF(SUM($D58:$GA58)=0,1,'Вводные'!$B$63))))*V59)</x:f>
      </x:c>
      <x:c r="W66" s="107" t="n">
        <x:f>'Вводные'!$N$90*((IF(SUM($D55:$GA55)=0,0,IF(SUM($D58:$GA58)=0,1,'Вводные'!$B$63)))*W57+(1-(IF(SUM($D55:$GA55)=0,0,IF(SUM($D58:$GA58)=0,1,'Вводные'!$B$63))))*W59)</x:f>
      </x:c>
      <x:c r="X66" s="107" t="n">
        <x:f>'Вводные'!$N$90*((IF(SUM($D55:$GA55)=0,0,IF(SUM($D58:$GA58)=0,1,'Вводные'!$B$63)))*X57+(1-(IF(SUM($D55:$GA55)=0,0,IF(SUM($D58:$GA58)=0,1,'Вводные'!$B$63))))*X59)</x:f>
      </x:c>
      <x:c r="Y66" s="107" t="n">
        <x:f>'Вводные'!$N$90*((IF(SUM($D55:$GA55)=0,0,IF(SUM($D58:$GA58)=0,1,'Вводные'!$B$63)))*Y57+(1-(IF(SUM($D55:$GA55)=0,0,IF(SUM($D58:$GA58)=0,1,'Вводные'!$B$63))))*Y59)</x:f>
      </x:c>
      <x:c r="Z66" s="107" t="n">
        <x:f>'Вводные'!$N$90*((IF(SUM($D55:$GA55)=0,0,IF(SUM($D58:$GA58)=0,1,'Вводные'!$B$63)))*Z57+(1-(IF(SUM($D55:$GA55)=0,0,IF(SUM($D58:$GA58)=0,1,'Вводные'!$B$63))))*Z59)</x:f>
      </x:c>
      <x:c r="AA66" s="107" t="n">
        <x:f>'Вводные'!$N$90*((IF(SUM($D55:$GA55)=0,0,IF(SUM($D58:$GA58)=0,1,'Вводные'!$B$63)))*AA57+(1-(IF(SUM($D55:$GA55)=0,0,IF(SUM($D58:$GA58)=0,1,'Вводные'!$B$63))))*AA59)</x:f>
      </x:c>
      <x:c r="AB66" s="107" t="n">
        <x:f>'Вводные'!$N$90*((IF(SUM($D55:$GA55)=0,0,IF(SUM($D58:$GA58)=0,1,'Вводные'!$B$63)))*AB57+(1-(IF(SUM($D55:$GA55)=0,0,IF(SUM($D58:$GA58)=0,1,'Вводные'!$B$63))))*AB59)</x:f>
      </x:c>
      <x:c r="AC66" s="107" t="n">
        <x:f>'Вводные'!$N$90*((IF(SUM($D55:$GA55)=0,0,IF(SUM($D58:$GA58)=0,1,'Вводные'!$B$63)))*AC57+(1-(IF(SUM($D55:$GA55)=0,0,IF(SUM($D58:$GA58)=0,1,'Вводные'!$B$63))))*AC59)</x:f>
      </x:c>
      <x:c r="AD66" s="107" t="n">
        <x:f>'Вводные'!$N$90*((IF(SUM($D55:$GA55)=0,0,IF(SUM($D58:$GA58)=0,1,'Вводные'!$B$63)))*AD57+(1-(IF(SUM($D55:$GA55)=0,0,IF(SUM($D58:$GA58)=0,1,'Вводные'!$B$63))))*AD59)</x:f>
      </x:c>
      <x:c r="AE66" s="107" t="n">
        <x:f>'Вводные'!$N$90*((IF(SUM($D55:$GA55)=0,0,IF(SUM($D58:$GA58)=0,1,'Вводные'!$B$63)))*AE57+(1-(IF(SUM($D55:$GA55)=0,0,IF(SUM($D58:$GA58)=0,1,'Вводные'!$B$63))))*AE59)</x:f>
      </x:c>
      <x:c r="AF66" s="107" t="n">
        <x:f>'Вводные'!$N$90*((IF(SUM($D55:$GA55)=0,0,IF(SUM($D58:$GA58)=0,1,'Вводные'!$B$63)))*AF57+(1-(IF(SUM($D55:$GA55)=0,0,IF(SUM($D58:$GA58)=0,1,'Вводные'!$B$63))))*AF59)</x:f>
      </x:c>
      <x:c r="AG66" s="107" t="n">
        <x:f>'Вводные'!$N$90*((IF(SUM($D55:$GA55)=0,0,IF(SUM($D58:$GA58)=0,1,'Вводные'!$B$63)))*AG57+(1-(IF(SUM($D55:$GA55)=0,0,IF(SUM($D58:$GA58)=0,1,'Вводные'!$B$63))))*AG59)</x:f>
      </x:c>
      <x:c r="AH66" s="107" t="n">
        <x:f>'Вводные'!$N$90*((IF(SUM($D55:$GA55)=0,0,IF(SUM($D58:$GA58)=0,1,'Вводные'!$B$63)))*AH57+(1-(IF(SUM($D55:$GA55)=0,0,IF(SUM($D58:$GA58)=0,1,'Вводные'!$B$63))))*AH59)</x:f>
      </x:c>
      <x:c r="AI66" s="107" t="n">
        <x:f>'Вводные'!$N$90*((IF(SUM($D55:$GA55)=0,0,IF(SUM($D58:$GA58)=0,1,'Вводные'!$B$63)))*AI57+(1-(IF(SUM($D55:$GA55)=0,0,IF(SUM($D58:$GA58)=0,1,'Вводные'!$B$63))))*AI59)</x:f>
      </x:c>
      <x:c r="AJ66" s="107" t="n">
        <x:f>'Вводные'!$N$90*((IF(SUM($D55:$GA55)=0,0,IF(SUM($D58:$GA58)=0,1,'Вводные'!$B$63)))*AJ57+(1-(IF(SUM($D55:$GA55)=0,0,IF(SUM($D58:$GA58)=0,1,'Вводные'!$B$63))))*AJ59)</x:f>
      </x:c>
      <x:c r="AK66" s="107" t="n">
        <x:f>'Вводные'!$N$90*((IF(SUM($D55:$GA55)=0,0,IF(SUM($D58:$GA58)=0,1,'Вводные'!$B$63)))*AK57+(1-(IF(SUM($D55:$GA55)=0,0,IF(SUM($D58:$GA58)=0,1,'Вводные'!$B$63))))*AK59)</x:f>
      </x:c>
      <x:c r="AL66" s="107" t="n">
        <x:f>'Вводные'!$N$90*((IF(SUM($D55:$GA55)=0,0,IF(SUM($D58:$GA58)=0,1,'Вводные'!$B$63)))*AL57+(1-(IF(SUM($D55:$GA55)=0,0,IF(SUM($D58:$GA58)=0,1,'Вводные'!$B$63))))*AL59)</x:f>
      </x:c>
      <x:c r="AM66" s="107" t="n">
        <x:f>'Вводные'!$N$90*((IF(SUM($D55:$GA55)=0,0,IF(SUM($D58:$GA58)=0,1,'Вводные'!$B$63)))*AM57+(1-(IF(SUM($D55:$GA55)=0,0,IF(SUM($D58:$GA58)=0,1,'Вводные'!$B$63))))*AM59)</x:f>
      </x:c>
      <x:c r="AN66" s="107" t="n">
        <x:f>'Вводные'!$N$90*((IF(SUM($D55:$GA55)=0,0,IF(SUM($D58:$GA58)=0,1,'Вводные'!$B$63)))*AN57+(1-(IF(SUM($D55:$GA55)=0,0,IF(SUM($D58:$GA58)=0,1,'Вводные'!$B$63))))*AN59)</x:f>
      </x:c>
      <x:c r="AO66" s="107" t="n">
        <x:f>'Вводные'!$N$90*((IF(SUM($D55:$GA55)=0,0,IF(SUM($D58:$GA58)=0,1,'Вводные'!$B$63)))*AO57+(1-(IF(SUM($D55:$GA55)=0,0,IF(SUM($D58:$GA58)=0,1,'Вводные'!$B$63))))*AO59)</x:f>
      </x:c>
      <x:c r="AP66" s="107" t="n">
        <x:f>'Вводные'!$N$90*((IF(SUM($D55:$GA55)=0,0,IF(SUM($D58:$GA58)=0,1,'Вводные'!$B$63)))*AP57+(1-(IF(SUM($D55:$GA55)=0,0,IF(SUM($D58:$GA58)=0,1,'Вводные'!$B$63))))*AP59)</x:f>
      </x:c>
      <x:c r="AQ66" s="107" t="n">
        <x:f>'Вводные'!$N$90*((IF(SUM($D55:$GA55)=0,0,IF(SUM($D58:$GA58)=0,1,'Вводные'!$B$63)))*AQ57+(1-(IF(SUM($D55:$GA55)=0,0,IF(SUM($D58:$GA58)=0,1,'Вводные'!$B$63))))*AQ59)</x:f>
      </x:c>
      <x:c r="AR66" s="107" t="n">
        <x:f>'Вводные'!$N$90*((IF(SUM($D55:$GA55)=0,0,IF(SUM($D58:$GA58)=0,1,'Вводные'!$B$63)))*AR57+(1-(IF(SUM($D55:$GA55)=0,0,IF(SUM($D58:$GA58)=0,1,'Вводные'!$B$63))))*AR59)</x:f>
      </x:c>
      <x:c r="AS66" s="107" t="n">
        <x:f>'Вводные'!$N$90*((IF(SUM($D55:$GA55)=0,0,IF(SUM($D58:$GA58)=0,1,'Вводные'!$B$63)))*AS57+(1-(IF(SUM($D55:$GA55)=0,0,IF(SUM($D58:$GA58)=0,1,'Вводные'!$B$63))))*AS59)</x:f>
      </x:c>
      <x:c r="AT66" s="107" t="n">
        <x:f>'Вводные'!$N$90*((IF(SUM($D55:$GA55)=0,0,IF(SUM($D58:$GA58)=0,1,'Вводные'!$B$63)))*AT57+(1-(IF(SUM($D55:$GA55)=0,0,IF(SUM($D58:$GA58)=0,1,'Вводные'!$B$63))))*AT59)</x:f>
      </x:c>
      <x:c r="AU66" s="107" t="n">
        <x:f>'Вводные'!$N$90*((IF(SUM($D55:$GA55)=0,0,IF(SUM($D58:$GA58)=0,1,'Вводные'!$B$63)))*AU57+(1-(IF(SUM($D55:$GA55)=0,0,IF(SUM($D58:$GA58)=0,1,'Вводные'!$B$63))))*AU59)</x:f>
      </x:c>
      <x:c r="AV66" s="107" t="n">
        <x:f>'Вводные'!$N$90*((IF(SUM($D55:$GA55)=0,0,IF(SUM($D58:$GA58)=0,1,'Вводные'!$B$63)))*AV57+(1-(IF(SUM($D55:$GA55)=0,0,IF(SUM($D58:$GA58)=0,1,'Вводные'!$B$63))))*AV59)</x:f>
      </x:c>
      <x:c r="AW66" s="107" t="n">
        <x:f>'Вводные'!$N$90*((IF(SUM($D55:$GA55)=0,0,IF(SUM($D58:$GA58)=0,1,'Вводные'!$B$63)))*AW57+(1-(IF(SUM($D55:$GA55)=0,0,IF(SUM($D58:$GA58)=0,1,'Вводные'!$B$63))))*AW59)</x:f>
      </x:c>
      <x:c r="AX66" s="107" t="n">
        <x:f>'Вводные'!$N$90*((IF(SUM($D55:$GA55)=0,0,IF(SUM($D58:$GA58)=0,1,'Вводные'!$B$63)))*AX57+(1-(IF(SUM($D55:$GA55)=0,0,IF(SUM($D58:$GA58)=0,1,'Вводные'!$B$63))))*AX59)</x:f>
      </x:c>
      <x:c r="AY66" s="107" t="n">
        <x:f>'Вводные'!$N$90*((IF(SUM($D55:$GA55)=0,0,IF(SUM($D58:$GA58)=0,1,'Вводные'!$B$63)))*AY57+(1-(IF(SUM($D55:$GA55)=0,0,IF(SUM($D58:$GA58)=0,1,'Вводные'!$B$63))))*AY59)</x:f>
      </x:c>
      <x:c r="AZ66" s="107" t="n">
        <x:f>'Вводные'!$N$90*((IF(SUM($D55:$GA55)=0,0,IF(SUM($D58:$GA58)=0,1,'Вводные'!$B$63)))*AZ57+(1-(IF(SUM($D55:$GA55)=0,0,IF(SUM($D58:$GA58)=0,1,'Вводные'!$B$63))))*AZ59)</x:f>
      </x:c>
      <x:c r="BA66" s="107" t="n">
        <x:f>'Вводные'!$N$90*((IF(SUM($D55:$GA55)=0,0,IF(SUM($D58:$GA58)=0,1,'Вводные'!$B$63)))*BA57+(1-(IF(SUM($D55:$GA55)=0,0,IF(SUM($D58:$GA58)=0,1,'Вводные'!$B$63))))*BA59)</x:f>
      </x:c>
      <x:c r="BB66" s="107" t="n">
        <x:f>'Вводные'!$N$90*((IF(SUM($D55:$GA55)=0,0,IF(SUM($D58:$GA58)=0,1,'Вводные'!$B$63)))*BB57+(1-(IF(SUM($D55:$GA55)=0,0,IF(SUM($D58:$GA58)=0,1,'Вводные'!$B$63))))*BB59)</x:f>
      </x:c>
      <x:c r="BC66" s="107" t="n">
        <x:f>'Вводные'!$N$90*((IF(SUM($D55:$GA55)=0,0,IF(SUM($D58:$GA58)=0,1,'Вводные'!$B$63)))*BC57+(1-(IF(SUM($D55:$GA55)=0,0,IF(SUM($D58:$GA58)=0,1,'Вводные'!$B$63))))*BC59)</x:f>
      </x:c>
      <x:c r="BD66" s="107" t="n">
        <x:f>'Вводные'!$N$90*((IF(SUM($D55:$GA55)=0,0,IF(SUM($D58:$GA58)=0,1,'Вводные'!$B$63)))*BD57+(1-(IF(SUM($D55:$GA55)=0,0,IF(SUM($D58:$GA58)=0,1,'Вводные'!$B$63))))*BD59)</x:f>
      </x:c>
      <x:c r="BE66" s="107" t="n">
        <x:f>'Вводные'!$N$90*((IF(SUM($D55:$GA55)=0,0,IF(SUM($D58:$GA58)=0,1,'Вводные'!$B$63)))*BE57+(1-(IF(SUM($D55:$GA55)=0,0,IF(SUM($D58:$GA58)=0,1,'Вводные'!$B$63))))*BE59)</x:f>
      </x:c>
      <x:c r="BF66" s="107" t="n">
        <x:f>'Вводные'!$N$90*((IF(SUM($D55:$GA55)=0,0,IF(SUM($D58:$GA58)=0,1,'Вводные'!$B$63)))*BF57+(1-(IF(SUM($D55:$GA55)=0,0,IF(SUM($D58:$GA58)=0,1,'Вводные'!$B$63))))*BF59)</x:f>
      </x:c>
      <x:c r="BG66" s="107" t="n">
        <x:f>'Вводные'!$N$90*((IF(SUM($D55:$GA55)=0,0,IF(SUM($D58:$GA58)=0,1,'Вводные'!$B$63)))*BG57+(1-(IF(SUM($D55:$GA55)=0,0,IF(SUM($D58:$GA58)=0,1,'Вводные'!$B$63))))*BG59)</x:f>
      </x:c>
      <x:c r="BH66" s="107" t="n">
        <x:f>'Вводные'!$N$90*((IF(SUM($D55:$GA55)=0,0,IF(SUM($D58:$GA58)=0,1,'Вводные'!$B$63)))*BH57+(1-(IF(SUM($D55:$GA55)=0,0,IF(SUM($D58:$GA58)=0,1,'Вводные'!$B$63))))*BH59)</x:f>
      </x:c>
      <x:c r="BI66" s="107" t="n">
        <x:f>'Вводные'!$N$90*((IF(SUM($D55:$GA55)=0,0,IF(SUM($D58:$GA58)=0,1,'Вводные'!$B$63)))*BI57+(1-(IF(SUM($D55:$GA55)=0,0,IF(SUM($D58:$GA58)=0,1,'Вводные'!$B$63))))*BI59)</x:f>
      </x:c>
      <x:c r="BJ66" s="107" t="n">
        <x:f>'Вводные'!$N$90*((IF(SUM($D55:$GA55)=0,0,IF(SUM($D58:$GA58)=0,1,'Вводные'!$B$63)))*BJ57+(1-(IF(SUM($D55:$GA55)=0,0,IF(SUM($D58:$GA58)=0,1,'Вводные'!$B$63))))*BJ59)</x:f>
      </x:c>
      <x:c r="BK66" s="107" t="n">
        <x:f>'Вводные'!$N$90*((IF(SUM($D55:$GA55)=0,0,IF(SUM($D58:$GA58)=0,1,'Вводные'!$B$63)))*BK57+(1-(IF(SUM($D55:$GA55)=0,0,IF(SUM($D58:$GA58)=0,1,'Вводные'!$B$63))))*BK59)</x:f>
      </x:c>
      <x:c r="BL66" s="107" t="n">
        <x:f>'Вводные'!$N$90*((IF(SUM($D55:$GA55)=0,0,IF(SUM($D58:$GA58)=0,1,'Вводные'!$B$63)))*BL57+(1-(IF(SUM($D55:$GA55)=0,0,IF(SUM($D58:$GA58)=0,1,'Вводные'!$B$63))))*BL59)</x:f>
      </x:c>
      <x:c r="BM66" s="107" t="n">
        <x:f>'Вводные'!$N$90*((IF(SUM($D55:$GA55)=0,0,IF(SUM($D58:$GA58)=0,1,'Вводные'!$B$63)))*BM57+(1-(IF(SUM($D55:$GA55)=0,0,IF(SUM($D58:$GA58)=0,1,'Вводные'!$B$63))))*BM59)</x:f>
      </x:c>
      <x:c r="BN66" s="107" t="n">
        <x:f>'Вводные'!$N$90*((IF(SUM($D55:$GA55)=0,0,IF(SUM($D58:$GA58)=0,1,'Вводные'!$B$63)))*BN57+(1-(IF(SUM($D55:$GA55)=0,0,IF(SUM($D58:$GA58)=0,1,'Вводные'!$B$63))))*BN59)</x:f>
      </x:c>
      <x:c r="BO66" s="107" t="n">
        <x:f>'Вводные'!$N$90*((IF(SUM($D55:$GA55)=0,0,IF(SUM($D58:$GA58)=0,1,'Вводные'!$B$63)))*BO57+(1-(IF(SUM($D55:$GA55)=0,0,IF(SUM($D58:$GA58)=0,1,'Вводные'!$B$63))))*BO59)</x:f>
      </x:c>
      <x:c r="BP66" s="107" t="n">
        <x:f>'Вводные'!$N$90*((IF(SUM($D55:$GA55)=0,0,IF(SUM($D58:$GA58)=0,1,'Вводные'!$B$63)))*BP57+(1-(IF(SUM($D55:$GA55)=0,0,IF(SUM($D58:$GA58)=0,1,'Вводные'!$B$63))))*BP59)</x:f>
      </x:c>
      <x:c r="BQ66" s="107" t="n">
        <x:f>'Вводные'!$N$90*((IF(SUM($D55:$GA55)=0,0,IF(SUM($D58:$GA58)=0,1,'Вводные'!$B$63)))*BQ57+(1-(IF(SUM($D55:$GA55)=0,0,IF(SUM($D58:$GA58)=0,1,'Вводные'!$B$63))))*BQ59)</x:f>
      </x:c>
      <x:c r="BR66" s="107" t="n">
        <x:f>'Вводные'!$N$90*((IF(SUM($D55:$GA55)=0,0,IF(SUM($D58:$GA58)=0,1,'Вводные'!$B$63)))*BR57+(1-(IF(SUM($D55:$GA55)=0,0,IF(SUM($D58:$GA58)=0,1,'Вводные'!$B$63))))*BR59)</x:f>
      </x:c>
      <x:c r="BS66" s="107" t="n">
        <x:f>'Вводные'!$N$90*((IF(SUM($D55:$GA55)=0,0,IF(SUM($D58:$GA58)=0,1,'Вводные'!$B$63)))*BS57+(1-(IF(SUM($D55:$GA55)=0,0,IF(SUM($D58:$GA58)=0,1,'Вводные'!$B$63))))*BS59)</x:f>
      </x:c>
      <x:c r="BT66" s="107" t="n">
        <x:f>'Вводные'!$N$90*((IF(SUM($D55:$GA55)=0,0,IF(SUM($D58:$GA58)=0,1,'Вводные'!$B$63)))*BT57+(1-(IF(SUM($D55:$GA55)=0,0,IF(SUM($D58:$GA58)=0,1,'Вводные'!$B$63))))*BT59)</x:f>
      </x:c>
      <x:c r="BU66" s="107" t="n">
        <x:f>'Вводные'!$N$90*((IF(SUM($D55:$GA55)=0,0,IF(SUM($D58:$GA58)=0,1,'Вводные'!$B$63)))*BU57+(1-(IF(SUM($D55:$GA55)=0,0,IF(SUM($D58:$GA58)=0,1,'Вводные'!$B$63))))*BU59)</x:f>
      </x:c>
      <x:c r="BV66" s="107" t="n">
        <x:f>'Вводные'!$N$90*((IF(SUM($D55:$GA55)=0,0,IF(SUM($D58:$GA58)=0,1,'Вводные'!$B$63)))*BV57+(1-(IF(SUM($D55:$GA55)=0,0,IF(SUM($D58:$GA58)=0,1,'Вводные'!$B$63))))*BV59)</x:f>
      </x:c>
      <x:c r="BW66" s="107" t="n">
        <x:f>'Вводные'!$N$90*((IF(SUM($D55:$GA55)=0,0,IF(SUM($D58:$GA58)=0,1,'Вводные'!$B$63)))*BW57+(1-(IF(SUM($D55:$GA55)=0,0,IF(SUM($D58:$GA58)=0,1,'Вводные'!$B$63))))*BW59)</x:f>
      </x:c>
      <x:c r="BX66" s="107" t="n">
        <x:f>'Вводные'!$N$90*((IF(SUM($D55:$GA55)=0,0,IF(SUM($D58:$GA58)=0,1,'Вводные'!$B$63)))*BX57+(1-(IF(SUM($D55:$GA55)=0,0,IF(SUM($D58:$GA58)=0,1,'Вводные'!$B$63))))*BX59)</x:f>
      </x:c>
      <x:c r="BY66" s="107" t="n">
        <x:f>'Вводные'!$N$90*((IF(SUM($D55:$GA55)=0,0,IF(SUM($D58:$GA58)=0,1,'Вводные'!$B$63)))*BY57+(1-(IF(SUM($D55:$GA55)=0,0,IF(SUM($D58:$GA58)=0,1,'Вводные'!$B$63))))*BY59)</x:f>
      </x:c>
      <x:c r="BZ66" s="107" t="n">
        <x:f>'Вводные'!$N$90*((IF(SUM($D55:$GA55)=0,0,IF(SUM($D58:$GA58)=0,1,'Вводные'!$B$63)))*BZ57+(1-(IF(SUM($D55:$GA55)=0,0,IF(SUM($D58:$GA58)=0,1,'Вводные'!$B$63))))*BZ59)</x:f>
      </x:c>
      <x:c r="CA66" s="107" t="n">
        <x:f>'Вводные'!$N$90*((IF(SUM($D55:$GA55)=0,0,IF(SUM($D58:$GA58)=0,1,'Вводные'!$B$63)))*CA57+(1-(IF(SUM($D55:$GA55)=0,0,IF(SUM($D58:$GA58)=0,1,'Вводные'!$B$63))))*CA59)</x:f>
      </x:c>
      <x:c r="CB66" s="107" t="n">
        <x:f>'Вводные'!$N$90*((IF(SUM($D55:$GA55)=0,0,IF(SUM($D58:$GA58)=0,1,'Вводные'!$B$63)))*CB57+(1-(IF(SUM($D55:$GA55)=0,0,IF(SUM($D58:$GA58)=0,1,'Вводные'!$B$63))))*CB59)</x:f>
      </x:c>
      <x:c r="CC66" s="107" t="n">
        <x:f>'Вводные'!$N$90*((IF(SUM($D55:$GA55)=0,0,IF(SUM($D58:$GA58)=0,1,'Вводные'!$B$63)))*CC57+(1-(IF(SUM($D55:$GA55)=0,0,IF(SUM($D58:$GA58)=0,1,'Вводные'!$B$63))))*CC59)</x:f>
      </x:c>
      <x:c r="CD66" s="107" t="n">
        <x:f>'Вводные'!$N$90*((IF(SUM($D55:$GA55)=0,0,IF(SUM($D58:$GA58)=0,1,'Вводные'!$B$63)))*CD57+(1-(IF(SUM($D55:$GA55)=0,0,IF(SUM($D58:$GA58)=0,1,'Вводные'!$B$63))))*CD59)</x:f>
      </x:c>
      <x:c r="CE66" s="107" t="n">
        <x:f>'Вводные'!$N$90*((IF(SUM($D55:$GA55)=0,0,IF(SUM($D58:$GA58)=0,1,'Вводные'!$B$63)))*CE57+(1-(IF(SUM($D55:$GA55)=0,0,IF(SUM($D58:$GA58)=0,1,'Вводные'!$B$63))))*CE59)</x:f>
      </x:c>
      <x:c r="CF66" s="107" t="n">
        <x:f>'Вводные'!$N$90*((IF(SUM($D55:$GA55)=0,0,IF(SUM($D58:$GA58)=0,1,'Вводные'!$B$63)))*CF57+(1-(IF(SUM($D55:$GA55)=0,0,IF(SUM($D58:$GA58)=0,1,'Вводные'!$B$63))))*CF59)</x:f>
      </x:c>
      <x:c r="CG66" s="107" t="n">
        <x:f>'Вводные'!$N$90*((IF(SUM($D55:$GA55)=0,0,IF(SUM($D58:$GA58)=0,1,'Вводные'!$B$63)))*CG57+(1-(IF(SUM($D55:$GA55)=0,0,IF(SUM($D58:$GA58)=0,1,'Вводные'!$B$63))))*CG59)</x:f>
      </x:c>
      <x:c r="CH66" s="107" t="n">
        <x:f>'Вводные'!$N$90*((IF(SUM($D55:$GA55)=0,0,IF(SUM($D58:$GA58)=0,1,'Вводные'!$B$63)))*CH57+(1-(IF(SUM($D55:$GA55)=0,0,IF(SUM($D58:$GA58)=0,1,'Вводные'!$B$63))))*CH59)</x:f>
      </x:c>
      <x:c r="CI66" s="107" t="n">
        <x:f>'Вводные'!$N$90*((IF(SUM($D55:$GA55)=0,0,IF(SUM($D58:$GA58)=0,1,'Вводные'!$B$63)))*CI57+(1-(IF(SUM($D55:$GA55)=0,0,IF(SUM($D58:$GA58)=0,1,'Вводные'!$B$63))))*CI59)</x:f>
      </x:c>
      <x:c r="CJ66" s="107" t="n">
        <x:f>'Вводные'!$N$90*((IF(SUM($D55:$GA55)=0,0,IF(SUM($D58:$GA58)=0,1,'Вводные'!$B$63)))*CJ57+(1-(IF(SUM($D55:$GA55)=0,0,IF(SUM($D58:$GA58)=0,1,'Вводные'!$B$63))))*CJ59)</x:f>
      </x:c>
      <x:c r="CK66" s="107" t="n">
        <x:f>'Вводные'!$N$90*((IF(SUM($D55:$GA55)=0,0,IF(SUM($D58:$GA58)=0,1,'Вводные'!$B$63)))*CK57+(1-(IF(SUM($D55:$GA55)=0,0,IF(SUM($D58:$GA58)=0,1,'Вводные'!$B$63))))*CK59)</x:f>
      </x:c>
      <x:c r="CL66" s="107" t="n">
        <x:f>'Вводные'!$N$90*((IF(SUM($D55:$GA55)=0,0,IF(SUM($D58:$GA58)=0,1,'Вводные'!$B$63)))*CL57+(1-(IF(SUM($D55:$GA55)=0,0,IF(SUM($D58:$GA58)=0,1,'Вводные'!$B$63))))*CL59)</x:f>
      </x:c>
      <x:c r="CM66" s="107" t="n">
        <x:f>'Вводные'!$N$90*((IF(SUM($D55:$GA55)=0,0,IF(SUM($D58:$GA58)=0,1,'Вводные'!$B$63)))*CM57+(1-(IF(SUM($D55:$GA55)=0,0,IF(SUM($D58:$GA58)=0,1,'Вводные'!$B$63))))*CM59)</x:f>
      </x:c>
      <x:c r="CN66" s="107" t="n">
        <x:f>'Вводные'!$N$90*((IF(SUM($D55:$GA55)=0,0,IF(SUM($D58:$GA58)=0,1,'Вводные'!$B$63)))*CN57+(1-(IF(SUM($D55:$GA55)=0,0,IF(SUM($D58:$GA58)=0,1,'Вводные'!$B$63))))*CN59)</x:f>
      </x:c>
      <x:c r="CO66" s="107" t="n">
        <x:f>'Вводные'!$N$90*((IF(SUM($D55:$GA55)=0,0,IF(SUM($D58:$GA58)=0,1,'Вводные'!$B$63)))*CO57+(1-(IF(SUM($D55:$GA55)=0,0,IF(SUM($D58:$GA58)=0,1,'Вводные'!$B$63))))*CO59)</x:f>
      </x:c>
      <x:c r="CP66" s="107" t="n">
        <x:f>'Вводные'!$N$90*((IF(SUM($D55:$GA55)=0,0,IF(SUM($D58:$GA58)=0,1,'Вводные'!$B$63)))*CP57+(1-(IF(SUM($D55:$GA55)=0,0,IF(SUM($D58:$GA58)=0,1,'Вводные'!$B$63))))*CP59)</x:f>
      </x:c>
      <x:c r="CQ66" s="107" t="n">
        <x:f>'Вводные'!$N$90*((IF(SUM($D55:$GA55)=0,0,IF(SUM($D58:$GA58)=0,1,'Вводные'!$B$63)))*CQ57+(1-(IF(SUM($D55:$GA55)=0,0,IF(SUM($D58:$GA58)=0,1,'Вводные'!$B$63))))*CQ59)</x:f>
      </x:c>
      <x:c r="CR66" s="107" t="n">
        <x:f>'Вводные'!$N$90*((IF(SUM($D55:$GA55)=0,0,IF(SUM($D58:$GA58)=0,1,'Вводные'!$B$63)))*CR57+(1-(IF(SUM($D55:$GA55)=0,0,IF(SUM($D58:$GA58)=0,1,'Вводные'!$B$63))))*CR59)</x:f>
      </x:c>
      <x:c r="CS66" s="107" t="n">
        <x:f>'Вводные'!$N$90*((IF(SUM($D55:$GA55)=0,0,IF(SUM($D58:$GA58)=0,1,'Вводные'!$B$63)))*CS57+(1-(IF(SUM($D55:$GA55)=0,0,IF(SUM($D58:$GA58)=0,1,'Вводные'!$B$63))))*CS59)</x:f>
      </x:c>
      <x:c r="CT66" s="107" t="n">
        <x:f>'Вводные'!$N$90*((IF(SUM($D55:$GA55)=0,0,IF(SUM($D58:$GA58)=0,1,'Вводные'!$B$63)))*CT57+(1-(IF(SUM($D55:$GA55)=0,0,IF(SUM($D58:$GA58)=0,1,'Вводные'!$B$63))))*CT59)</x:f>
      </x:c>
      <x:c r="CU66" s="107" t="n">
        <x:f>'Вводные'!$N$90*((IF(SUM($D55:$GA55)=0,0,IF(SUM($D58:$GA58)=0,1,'Вводные'!$B$63)))*CU57+(1-(IF(SUM($D55:$GA55)=0,0,IF(SUM($D58:$GA58)=0,1,'Вводные'!$B$63))))*CU59)</x:f>
      </x:c>
      <x:c r="CV66" s="107" t="n">
        <x:f>'Вводные'!$N$90*((IF(SUM($D55:$GA55)=0,0,IF(SUM($D58:$GA58)=0,1,'Вводные'!$B$63)))*CV57+(1-(IF(SUM($D55:$GA55)=0,0,IF(SUM($D58:$GA58)=0,1,'Вводные'!$B$63))))*CV59)</x:f>
      </x:c>
      <x:c r="CW66" s="107" t="n">
        <x:f>'Вводные'!$N$90*((IF(SUM($D55:$GA55)=0,0,IF(SUM($D58:$GA58)=0,1,'Вводные'!$B$63)))*CW57+(1-(IF(SUM($D55:$GA55)=0,0,IF(SUM($D58:$GA58)=0,1,'Вводные'!$B$63))))*CW59)</x:f>
      </x:c>
      <x:c r="CX66" s="107" t="n">
        <x:f>'Вводные'!$N$90*((IF(SUM($D55:$GA55)=0,0,IF(SUM($D58:$GA58)=0,1,'Вводные'!$B$63)))*CX57+(1-(IF(SUM($D55:$GA55)=0,0,IF(SUM($D58:$GA58)=0,1,'Вводные'!$B$63))))*CX59)</x:f>
      </x:c>
      <x:c r="CY66" s="107" t="n">
        <x:f>'Вводные'!$N$90*((IF(SUM($D55:$GA55)=0,0,IF(SUM($D58:$GA58)=0,1,'Вводные'!$B$63)))*CY57+(1-(IF(SUM($D55:$GA55)=0,0,IF(SUM($D58:$GA58)=0,1,'Вводные'!$B$63))))*CY59)</x:f>
      </x:c>
      <x:c r="CZ66" s="107" t="n">
        <x:f>'Вводные'!$N$90*((IF(SUM($D55:$GA55)=0,0,IF(SUM($D58:$GA58)=0,1,'Вводные'!$B$63)))*CZ57+(1-(IF(SUM($D55:$GA55)=0,0,IF(SUM($D58:$GA58)=0,1,'Вводные'!$B$63))))*CZ59)</x:f>
      </x:c>
      <x:c r="DA66" s="107" t="n">
        <x:f>'Вводные'!$N$90*((IF(SUM($D55:$GA55)=0,0,IF(SUM($D58:$GA58)=0,1,'Вводные'!$B$63)))*DA57+(1-(IF(SUM($D55:$GA55)=0,0,IF(SUM($D58:$GA58)=0,1,'Вводные'!$B$63))))*DA59)</x:f>
      </x:c>
      <x:c r="DB66" s="107" t="n">
        <x:f>'Вводные'!$N$90*((IF(SUM($D55:$GA55)=0,0,IF(SUM($D58:$GA58)=0,1,'Вводные'!$B$63)))*DB57+(1-(IF(SUM($D55:$GA55)=0,0,IF(SUM($D58:$GA58)=0,1,'Вводные'!$B$63))))*DB59)</x:f>
      </x:c>
      <x:c r="DC66" s="107" t="n">
        <x:f>'Вводные'!$N$90*((IF(SUM($D55:$GA55)=0,0,IF(SUM($D58:$GA58)=0,1,'Вводные'!$B$63)))*DC57+(1-(IF(SUM($D55:$GA55)=0,0,IF(SUM($D58:$GA58)=0,1,'Вводные'!$B$63))))*DC59)</x:f>
      </x:c>
      <x:c r="DD66" s="107" t="n">
        <x:f>'Вводные'!$N$90*((IF(SUM($D55:$GA55)=0,0,IF(SUM($D58:$GA58)=0,1,'Вводные'!$B$63)))*DD57+(1-(IF(SUM($D55:$GA55)=0,0,IF(SUM($D58:$GA58)=0,1,'Вводные'!$B$63))))*DD59)</x:f>
      </x:c>
      <x:c r="DE66" s="107" t="n">
        <x:f>'Вводные'!$N$90*((IF(SUM($D55:$GA55)=0,0,IF(SUM($D58:$GA58)=0,1,'Вводные'!$B$63)))*DE57+(1-(IF(SUM($D55:$GA55)=0,0,IF(SUM($D58:$GA58)=0,1,'Вводные'!$B$63))))*DE59)</x:f>
      </x:c>
      <x:c r="DF66" s="107" t="n">
        <x:f>'Вводные'!$N$90*((IF(SUM($D55:$GA55)=0,0,IF(SUM($D58:$GA58)=0,1,'Вводные'!$B$63)))*DF57+(1-(IF(SUM($D55:$GA55)=0,0,IF(SUM($D58:$GA58)=0,1,'Вводные'!$B$63))))*DF59)</x:f>
      </x:c>
      <x:c r="DG66" s="107" t="n">
        <x:f>'Вводные'!$N$90*((IF(SUM($D55:$GA55)=0,0,IF(SUM($D58:$GA58)=0,1,'Вводные'!$B$63)))*DG57+(1-(IF(SUM($D55:$GA55)=0,0,IF(SUM($D58:$GA58)=0,1,'Вводные'!$B$63))))*DG59)</x:f>
      </x:c>
      <x:c r="DH66" s="107" t="n">
        <x:f>'Вводные'!$N$90*((IF(SUM($D55:$GA55)=0,0,IF(SUM($D58:$GA58)=0,1,'Вводные'!$B$63)))*DH57+(1-(IF(SUM($D55:$GA55)=0,0,IF(SUM($D58:$GA58)=0,1,'Вводные'!$B$63))))*DH59)</x:f>
      </x:c>
      <x:c r="DI66" s="107" t="n">
        <x:f>'Вводные'!$N$90*((IF(SUM($D55:$GA55)=0,0,IF(SUM($D58:$GA58)=0,1,'Вводные'!$B$63)))*DI57+(1-(IF(SUM($D55:$GA55)=0,0,IF(SUM($D58:$GA58)=0,1,'Вводные'!$B$63))))*DI59)</x:f>
      </x:c>
      <x:c r="DJ66" s="107" t="n">
        <x:f>'Вводные'!$N$90*((IF(SUM($D55:$GA55)=0,0,IF(SUM($D58:$GA58)=0,1,'Вводные'!$B$63)))*DJ57+(1-(IF(SUM($D55:$GA55)=0,0,IF(SUM($D58:$GA58)=0,1,'Вводные'!$B$63))))*DJ59)</x:f>
      </x:c>
      <x:c r="DK66" s="107" t="n">
        <x:f>'Вводные'!$N$90*((IF(SUM($D55:$GA55)=0,0,IF(SUM($D58:$GA58)=0,1,'Вводные'!$B$63)))*DK57+(1-(IF(SUM($D55:$GA55)=0,0,IF(SUM($D58:$GA58)=0,1,'Вводные'!$B$63))))*DK59)</x:f>
      </x:c>
      <x:c r="DL66" s="107" t="n">
        <x:f>'Вводные'!$N$90*((IF(SUM($D55:$GA55)=0,0,IF(SUM($D58:$GA58)=0,1,'Вводные'!$B$63)))*DL57+(1-(IF(SUM($D55:$GA55)=0,0,IF(SUM($D58:$GA58)=0,1,'Вводные'!$B$63))))*DL59)</x:f>
      </x:c>
      <x:c r="DM66" s="107" t="n">
        <x:f>'Вводные'!$N$90*((IF(SUM($D55:$GA55)=0,0,IF(SUM($D58:$GA58)=0,1,'Вводные'!$B$63)))*DM57+(1-(IF(SUM($D55:$GA55)=0,0,IF(SUM($D58:$GA58)=0,1,'Вводные'!$B$63))))*DM59)</x:f>
      </x:c>
      <x:c r="DN66" s="107" t="n">
        <x:f>'Вводные'!$N$90*((IF(SUM($D55:$GA55)=0,0,IF(SUM($D58:$GA58)=0,1,'Вводные'!$B$63)))*DN57+(1-(IF(SUM($D55:$GA55)=0,0,IF(SUM($D58:$GA58)=0,1,'Вводные'!$B$63))))*DN59)</x:f>
      </x:c>
      <x:c r="DO66" s="107" t="n">
        <x:f>'Вводные'!$N$90*((IF(SUM($D55:$GA55)=0,0,IF(SUM($D58:$GA58)=0,1,'Вводные'!$B$63)))*DO57+(1-(IF(SUM($D55:$GA55)=0,0,IF(SUM($D58:$GA58)=0,1,'Вводные'!$B$63))))*DO59)</x:f>
      </x:c>
      <x:c r="DP66" s="107" t="n">
        <x:f>'Вводные'!$N$90*((IF(SUM($D55:$GA55)=0,0,IF(SUM($D58:$GA58)=0,1,'Вводные'!$B$63)))*DP57+(1-(IF(SUM($D55:$GA55)=0,0,IF(SUM($D58:$GA58)=0,1,'Вводные'!$B$63))))*DP59)</x:f>
      </x:c>
      <x:c r="DQ66" s="107" t="n">
        <x:f>'Вводные'!$N$90*((IF(SUM($D55:$GA55)=0,0,IF(SUM($D58:$GA58)=0,1,'Вводные'!$B$63)))*DQ57+(1-(IF(SUM($D55:$GA55)=0,0,IF(SUM($D58:$GA58)=0,1,'Вводные'!$B$63))))*DQ59)</x:f>
      </x:c>
      <x:c r="DR66" s="107" t="n">
        <x:f>'Вводные'!$N$90*((IF(SUM($D55:$GA55)=0,0,IF(SUM($D58:$GA58)=0,1,'Вводные'!$B$63)))*DR57+(1-(IF(SUM($D55:$GA55)=0,0,IF(SUM($D58:$GA58)=0,1,'Вводные'!$B$63))))*DR59)</x:f>
      </x:c>
      <x:c r="DS66" s="107" t="n">
        <x:f>'Вводные'!$N$90*((IF(SUM($D55:$GA55)=0,0,IF(SUM($D58:$GA58)=0,1,'Вводные'!$B$63)))*DS57+(1-(IF(SUM($D55:$GA55)=0,0,IF(SUM($D58:$GA58)=0,1,'Вводные'!$B$63))))*DS59)</x:f>
      </x:c>
      <x:c r="DT66" s="107" t="n">
        <x:f>'Вводные'!$N$90*((IF(SUM($D55:$GA55)=0,0,IF(SUM($D58:$GA58)=0,1,'Вводные'!$B$63)))*DT57+(1-(IF(SUM($D55:$GA55)=0,0,IF(SUM($D58:$GA58)=0,1,'Вводные'!$B$63))))*DT59)</x:f>
      </x:c>
      <x:c r="DU66" s="107" t="n">
        <x:f>'Вводные'!$N$90*((IF(SUM($D55:$GA55)=0,0,IF(SUM($D58:$GA58)=0,1,'Вводные'!$B$63)))*DU57+(1-(IF(SUM($D55:$GA55)=0,0,IF(SUM($D58:$GA58)=0,1,'Вводные'!$B$63))))*DU59)</x:f>
      </x:c>
      <x:c r="DV66" s="107" t="n">
        <x:f>'Вводные'!$N$90*((IF(SUM($D55:$GA55)=0,0,IF(SUM($D58:$GA58)=0,1,'Вводные'!$B$63)))*DV57+(1-(IF(SUM($D55:$GA55)=0,0,IF(SUM($D58:$GA58)=0,1,'Вводные'!$B$63))))*DV59)</x:f>
      </x:c>
      <x:c r="DW66" s="107" t="n">
        <x:f>'Вводные'!$N$90*((IF(SUM($D55:$GA55)=0,0,IF(SUM($D58:$GA58)=0,1,'Вводные'!$B$63)))*DW57+(1-(IF(SUM($D55:$GA55)=0,0,IF(SUM($D58:$GA58)=0,1,'Вводные'!$B$63))))*DW59)</x:f>
      </x:c>
      <x:c r="DX66" s="107" t="n">
        <x:f>'Вводные'!$N$90*((IF(SUM($D55:$GA55)=0,0,IF(SUM($D58:$GA58)=0,1,'Вводные'!$B$63)))*DX57+(1-(IF(SUM($D55:$GA55)=0,0,IF(SUM($D58:$GA58)=0,1,'Вводные'!$B$63))))*DX59)</x:f>
      </x:c>
      <x:c r="DY66" s="107" t="n">
        <x:f>'Вводные'!$N$90*((IF(SUM($D55:$GA55)=0,0,IF(SUM($D58:$GA58)=0,1,'Вводные'!$B$63)))*DY57+(1-(IF(SUM($D55:$GA55)=0,0,IF(SUM($D58:$GA58)=0,1,'Вводные'!$B$63))))*DY59)</x:f>
      </x:c>
      <x:c r="DZ66" s="107" t="n">
        <x:f>'Вводные'!$N$90*((IF(SUM($D55:$GA55)=0,0,IF(SUM($D58:$GA58)=0,1,'Вводные'!$B$63)))*DZ57+(1-(IF(SUM($D55:$GA55)=0,0,IF(SUM($D58:$GA58)=0,1,'Вводные'!$B$63))))*DZ59)</x:f>
      </x:c>
      <x:c r="EA66" s="107" t="n">
        <x:f>'Вводные'!$N$90*((IF(SUM($D55:$GA55)=0,0,IF(SUM($D58:$GA58)=0,1,'Вводные'!$B$63)))*EA57+(1-(IF(SUM($D55:$GA55)=0,0,IF(SUM($D58:$GA58)=0,1,'Вводные'!$B$63))))*EA59)</x:f>
      </x:c>
      <x:c r="EB66" s="107" t="n">
        <x:f>'Вводные'!$N$90*((IF(SUM($D55:$GA55)=0,0,IF(SUM($D58:$GA58)=0,1,'Вводные'!$B$63)))*EB57+(1-(IF(SUM($D55:$GA55)=0,0,IF(SUM($D58:$GA58)=0,1,'Вводные'!$B$63))))*EB59)</x:f>
      </x:c>
      <x:c r="EC66" s="107" t="n">
        <x:f>'Вводные'!$N$90*((IF(SUM($D55:$GA55)=0,0,IF(SUM($D58:$GA58)=0,1,'Вводные'!$B$63)))*EC57+(1-(IF(SUM($D55:$GA55)=0,0,IF(SUM($D58:$GA58)=0,1,'Вводные'!$B$63))))*EC59)</x:f>
      </x:c>
      <x:c r="ED66" s="107" t="n">
        <x:f>'Вводные'!$N$90*((IF(SUM($D55:$GA55)=0,0,IF(SUM($D58:$GA58)=0,1,'Вводные'!$B$63)))*ED57+(1-(IF(SUM($D55:$GA55)=0,0,IF(SUM($D58:$GA58)=0,1,'Вводные'!$B$63))))*ED59)</x:f>
      </x:c>
      <x:c r="EE66" s="107" t="n">
        <x:f>'Вводные'!$N$90*((IF(SUM($D55:$GA55)=0,0,IF(SUM($D58:$GA58)=0,1,'Вводные'!$B$63)))*EE57+(1-(IF(SUM($D55:$GA55)=0,0,IF(SUM($D58:$GA58)=0,1,'Вводные'!$B$63))))*EE59)</x:f>
      </x:c>
      <x:c r="EF66" s="107" t="n">
        <x:f>'Вводные'!$N$90*((IF(SUM($D55:$GA55)=0,0,IF(SUM($D58:$GA58)=0,1,'Вводные'!$B$63)))*EF57+(1-(IF(SUM($D55:$GA55)=0,0,IF(SUM($D58:$GA58)=0,1,'Вводные'!$B$63))))*EF59)</x:f>
      </x:c>
      <x:c r="EG66" s="107" t="n">
        <x:f>'Вводные'!$N$90*((IF(SUM($D55:$GA55)=0,0,IF(SUM($D58:$GA58)=0,1,'Вводные'!$B$63)))*EG57+(1-(IF(SUM($D55:$GA55)=0,0,IF(SUM($D58:$GA58)=0,1,'Вводные'!$B$63))))*EG59)</x:f>
      </x:c>
      <x:c r="EH66" s="107" t="n">
        <x:f>'Вводные'!$N$90*((IF(SUM($D55:$GA55)=0,0,IF(SUM($D58:$GA58)=0,1,'Вводные'!$B$63)))*EH57+(1-(IF(SUM($D55:$GA55)=0,0,IF(SUM($D58:$GA58)=0,1,'Вводные'!$B$63))))*EH59)</x:f>
      </x:c>
      <x:c r="EI66" s="107" t="n">
        <x:f>'Вводные'!$N$90*((IF(SUM($D55:$GA55)=0,0,IF(SUM($D58:$GA58)=0,1,'Вводные'!$B$63)))*EI57+(1-(IF(SUM($D55:$GA55)=0,0,IF(SUM($D58:$GA58)=0,1,'Вводные'!$B$63))))*EI59)</x:f>
      </x:c>
      <x:c r="EJ66" s="107" t="n">
        <x:f>'Вводные'!$N$90*((IF(SUM($D55:$GA55)=0,0,IF(SUM($D58:$GA58)=0,1,'Вводные'!$B$63)))*EJ57+(1-(IF(SUM($D55:$GA55)=0,0,IF(SUM($D58:$GA58)=0,1,'Вводные'!$B$63))))*EJ59)</x:f>
      </x:c>
      <x:c r="EK66" s="107" t="n">
        <x:f>'Вводные'!$N$90*((IF(SUM($D55:$GA55)=0,0,IF(SUM($D58:$GA58)=0,1,'Вводные'!$B$63)))*EK57+(1-(IF(SUM($D55:$GA55)=0,0,IF(SUM($D58:$GA58)=0,1,'Вводные'!$B$63))))*EK59)</x:f>
      </x:c>
      <x:c r="EL66" s="107" t="n">
        <x:f>'Вводные'!$N$90*((IF(SUM($D55:$GA55)=0,0,IF(SUM($D58:$GA58)=0,1,'Вводные'!$B$63)))*EL57+(1-(IF(SUM($D55:$GA55)=0,0,IF(SUM($D58:$GA58)=0,1,'Вводные'!$B$63))))*EL59)</x:f>
      </x:c>
      <x:c r="EM66" s="107" t="n">
        <x:f>'Вводные'!$N$90*((IF(SUM($D55:$GA55)=0,0,IF(SUM($D58:$GA58)=0,1,'Вводные'!$B$63)))*EM57+(1-(IF(SUM($D55:$GA55)=0,0,IF(SUM($D58:$GA58)=0,1,'Вводные'!$B$63))))*EM59)</x:f>
      </x:c>
      <x:c r="EN66" s="107" t="n">
        <x:f>'Вводные'!$N$90*((IF(SUM($D55:$GA55)=0,0,IF(SUM($D58:$GA58)=0,1,'Вводные'!$B$63)))*EN57+(1-(IF(SUM($D55:$GA55)=0,0,IF(SUM($D58:$GA58)=0,1,'Вводные'!$B$63))))*EN59)</x:f>
      </x:c>
      <x:c r="EO66" s="107" t="n">
        <x:f>'Вводные'!$N$90*((IF(SUM($D55:$GA55)=0,0,IF(SUM($D58:$GA58)=0,1,'Вводные'!$B$63)))*EO57+(1-(IF(SUM($D55:$GA55)=0,0,IF(SUM($D58:$GA58)=0,1,'Вводные'!$B$63))))*EO59)</x:f>
      </x:c>
      <x:c r="EP66" s="107" t="n">
        <x:f>'Вводные'!$N$90*((IF(SUM($D55:$GA55)=0,0,IF(SUM($D58:$GA58)=0,1,'Вводные'!$B$63)))*EP57+(1-(IF(SUM($D55:$GA55)=0,0,IF(SUM($D58:$GA58)=0,1,'Вводные'!$B$63))))*EP59)</x:f>
      </x:c>
      <x:c r="EQ66" s="107" t="n">
        <x:f>'Вводные'!$N$90*((IF(SUM($D55:$GA55)=0,0,IF(SUM($D58:$GA58)=0,1,'Вводные'!$B$63)))*EQ57+(1-(IF(SUM($D55:$GA55)=0,0,IF(SUM($D58:$GA58)=0,1,'Вводные'!$B$63))))*EQ59)</x:f>
      </x:c>
      <x:c r="ER66" s="107" t="n">
        <x:f>'Вводные'!$N$90*((IF(SUM($D55:$GA55)=0,0,IF(SUM($D58:$GA58)=0,1,'Вводные'!$B$63)))*ER57+(1-(IF(SUM($D55:$GA55)=0,0,IF(SUM($D58:$GA58)=0,1,'Вводные'!$B$63))))*ER59)</x:f>
      </x:c>
      <x:c r="ES66" s="107" t="n">
        <x:f>'Вводные'!$N$90*((IF(SUM($D55:$GA55)=0,0,IF(SUM($D58:$GA58)=0,1,'Вводные'!$B$63)))*ES57+(1-(IF(SUM($D55:$GA55)=0,0,IF(SUM($D58:$GA58)=0,1,'Вводные'!$B$63))))*ES59)</x:f>
      </x:c>
      <x:c r="ET66" s="107" t="n">
        <x:f>'Вводные'!$N$90*((IF(SUM($D55:$GA55)=0,0,IF(SUM($D58:$GA58)=0,1,'Вводные'!$B$63)))*ET57+(1-(IF(SUM($D55:$GA55)=0,0,IF(SUM($D58:$GA58)=0,1,'Вводные'!$B$63))))*ET59)</x:f>
      </x:c>
      <x:c r="EU66" s="107" t="n">
        <x:f>'Вводные'!$N$90*((IF(SUM($D55:$GA55)=0,0,IF(SUM($D58:$GA58)=0,1,'Вводные'!$B$63)))*EU57+(1-(IF(SUM($D55:$GA55)=0,0,IF(SUM($D58:$GA58)=0,1,'Вводные'!$B$63))))*EU59)</x:f>
      </x:c>
      <x:c r="EV66" s="107" t="n">
        <x:f>'Вводные'!$N$90*((IF(SUM($D55:$GA55)=0,0,IF(SUM($D58:$GA58)=0,1,'Вводные'!$B$63)))*EV57+(1-(IF(SUM($D55:$GA55)=0,0,IF(SUM($D58:$GA58)=0,1,'Вводные'!$B$63))))*EV59)</x:f>
      </x:c>
      <x:c r="EW66" s="107" t="n">
        <x:f>'Вводные'!$N$90*((IF(SUM($D55:$GA55)=0,0,IF(SUM($D58:$GA58)=0,1,'Вводные'!$B$63)))*EW57+(1-(IF(SUM($D55:$GA55)=0,0,IF(SUM($D58:$GA58)=0,1,'Вводные'!$B$63))))*EW59)</x:f>
      </x:c>
      <x:c r="EX66" s="107" t="n">
        <x:f>'Вводные'!$N$90*((IF(SUM($D55:$GA55)=0,0,IF(SUM($D58:$GA58)=0,1,'Вводные'!$B$63)))*EX57+(1-(IF(SUM($D55:$GA55)=0,0,IF(SUM($D58:$GA58)=0,1,'Вводные'!$B$63))))*EX59)</x:f>
      </x:c>
      <x:c r="EY66" s="107" t="n">
        <x:f>'Вводные'!$N$90*((IF(SUM($D55:$GA55)=0,0,IF(SUM($D58:$GA58)=0,1,'Вводные'!$B$63)))*EY57+(1-(IF(SUM($D55:$GA55)=0,0,IF(SUM($D58:$GA58)=0,1,'Вводные'!$B$63))))*EY59)</x:f>
      </x:c>
      <x:c r="EZ66" s="107" t="n">
        <x:f>'Вводные'!$N$90*((IF(SUM($D55:$GA55)=0,0,IF(SUM($D58:$GA58)=0,1,'Вводные'!$B$63)))*EZ57+(1-(IF(SUM($D55:$GA55)=0,0,IF(SUM($D58:$GA58)=0,1,'Вводные'!$B$63))))*EZ59)</x:f>
      </x:c>
      <x:c r="FA66" s="107" t="n">
        <x:f>'Вводные'!$N$90*((IF(SUM($D55:$GA55)=0,0,IF(SUM($D58:$GA58)=0,1,'Вводные'!$B$63)))*FA57+(1-(IF(SUM($D55:$GA55)=0,0,IF(SUM($D58:$GA58)=0,1,'Вводные'!$B$63))))*FA59)</x:f>
      </x:c>
      <x:c r="FB66" s="107" t="n">
        <x:f>'Вводные'!$N$90*((IF(SUM($D55:$GA55)=0,0,IF(SUM($D58:$GA58)=0,1,'Вводные'!$B$63)))*FB57+(1-(IF(SUM($D55:$GA55)=0,0,IF(SUM($D58:$GA58)=0,1,'Вводные'!$B$63))))*FB59)</x:f>
      </x:c>
      <x:c r="FC66" s="107" t="n">
        <x:f>'Вводные'!$N$90*((IF(SUM($D55:$GA55)=0,0,IF(SUM($D58:$GA58)=0,1,'Вводные'!$B$63)))*FC57+(1-(IF(SUM($D55:$GA55)=0,0,IF(SUM($D58:$GA58)=0,1,'Вводные'!$B$63))))*FC59)</x:f>
      </x:c>
      <x:c r="FD66" s="107" t="n">
        <x:f>'Вводные'!$N$90*((IF(SUM($D55:$GA55)=0,0,IF(SUM($D58:$GA58)=0,1,'Вводные'!$B$63)))*FD57+(1-(IF(SUM($D55:$GA55)=0,0,IF(SUM($D58:$GA58)=0,1,'Вводные'!$B$63))))*FD59)</x:f>
      </x:c>
      <x:c r="FE66" s="107" t="n">
        <x:f>'Вводные'!$N$90*((IF(SUM($D55:$GA55)=0,0,IF(SUM($D58:$GA58)=0,1,'Вводные'!$B$63)))*FE57+(1-(IF(SUM($D55:$GA55)=0,0,IF(SUM($D58:$GA58)=0,1,'Вводные'!$B$63))))*FE59)</x:f>
      </x:c>
      <x:c r="FF66" s="107" t="n">
        <x:f>'Вводные'!$N$90*((IF(SUM($D55:$GA55)=0,0,IF(SUM($D58:$GA58)=0,1,'Вводные'!$B$63)))*FF57+(1-(IF(SUM($D55:$GA55)=0,0,IF(SUM($D58:$GA58)=0,1,'Вводные'!$B$63))))*FF59)</x:f>
      </x:c>
      <x:c r="FG66" s="107" t="n">
        <x:f>'Вводные'!$N$90*((IF(SUM($D55:$GA55)=0,0,IF(SUM($D58:$GA58)=0,1,'Вводные'!$B$63)))*FG57+(1-(IF(SUM($D55:$GA55)=0,0,IF(SUM($D58:$GA58)=0,1,'Вводные'!$B$63))))*FG59)</x:f>
      </x:c>
      <x:c r="FH66" s="107" t="n">
        <x:f>'Вводные'!$N$90*((IF(SUM($D55:$GA55)=0,0,IF(SUM($D58:$GA58)=0,1,'Вводные'!$B$63)))*FH57+(1-(IF(SUM($D55:$GA55)=0,0,IF(SUM($D58:$GA58)=0,1,'Вводные'!$B$63))))*FH59)</x:f>
      </x:c>
      <x:c r="FI66" s="107" t="n">
        <x:f>'Вводные'!$N$90*((IF(SUM($D55:$GA55)=0,0,IF(SUM($D58:$GA58)=0,1,'Вводные'!$B$63)))*FI57+(1-(IF(SUM($D55:$GA55)=0,0,IF(SUM($D58:$GA58)=0,1,'Вводные'!$B$63))))*FI59)</x:f>
      </x:c>
      <x:c r="FJ66" s="107" t="n">
        <x:f>'Вводные'!$N$90*((IF(SUM($D55:$GA55)=0,0,IF(SUM($D58:$GA58)=0,1,'Вводные'!$B$63)))*FJ57+(1-(IF(SUM($D55:$GA55)=0,0,IF(SUM($D58:$GA58)=0,1,'Вводные'!$B$63))))*FJ59)</x:f>
      </x:c>
      <x:c r="FK66" s="107" t="n">
        <x:f>'Вводные'!$N$90*((IF(SUM($D55:$GA55)=0,0,IF(SUM($D58:$GA58)=0,1,'Вводные'!$B$63)))*FK57+(1-(IF(SUM($D55:$GA55)=0,0,IF(SUM($D58:$GA58)=0,1,'Вводные'!$B$63))))*FK59)</x:f>
      </x:c>
      <x:c r="FL66" s="107" t="n">
        <x:f>'Вводные'!$N$90*((IF(SUM($D55:$GA55)=0,0,IF(SUM($D58:$GA58)=0,1,'Вводные'!$B$63)))*FL57+(1-(IF(SUM($D55:$GA55)=0,0,IF(SUM($D58:$GA58)=0,1,'Вводные'!$B$63))))*FL59)</x:f>
      </x:c>
      <x:c r="FM66" s="107" t="n">
        <x:f>'Вводные'!$N$90*((IF(SUM($D55:$GA55)=0,0,IF(SUM($D58:$GA58)=0,1,'Вводные'!$B$63)))*FM57+(1-(IF(SUM($D55:$GA55)=0,0,IF(SUM($D58:$GA58)=0,1,'Вводные'!$B$63))))*FM59)</x:f>
      </x:c>
      <x:c r="FN66" s="107" t="n">
        <x:f>'Вводные'!$N$90*((IF(SUM($D55:$GA55)=0,0,IF(SUM($D58:$GA58)=0,1,'Вводные'!$B$63)))*FN57+(1-(IF(SUM($D55:$GA55)=0,0,IF(SUM($D58:$GA58)=0,1,'Вводные'!$B$63))))*FN59)</x:f>
      </x:c>
      <x:c r="FO66" s="107" t="n">
        <x:f>'Вводные'!$N$90*((IF(SUM($D55:$GA55)=0,0,IF(SUM($D58:$GA58)=0,1,'Вводные'!$B$63)))*FO57+(1-(IF(SUM($D55:$GA55)=0,0,IF(SUM($D58:$GA58)=0,1,'Вводные'!$B$63))))*FO59)</x:f>
      </x:c>
      <x:c r="FP66" s="107" t="n">
        <x:f>'Вводные'!$N$90*((IF(SUM($D55:$GA55)=0,0,IF(SUM($D58:$GA58)=0,1,'Вводные'!$B$63)))*FP57+(1-(IF(SUM($D55:$GA55)=0,0,IF(SUM($D58:$GA58)=0,1,'Вводные'!$B$63))))*FP59)</x:f>
      </x:c>
      <x:c r="FQ66" s="107" t="n">
        <x:f>'Вводные'!$N$90*((IF(SUM($D55:$GA55)=0,0,IF(SUM($D58:$GA58)=0,1,'Вводные'!$B$63)))*FQ57+(1-(IF(SUM($D55:$GA55)=0,0,IF(SUM($D58:$GA58)=0,1,'Вводные'!$B$63))))*FQ59)</x:f>
      </x:c>
      <x:c r="FR66" s="107" t="n">
        <x:f>'Вводные'!$N$90*((IF(SUM($D55:$GA55)=0,0,IF(SUM($D58:$GA58)=0,1,'Вводные'!$B$63)))*FR57+(1-(IF(SUM($D55:$GA55)=0,0,IF(SUM($D58:$GA58)=0,1,'Вводные'!$B$63))))*FR59)</x:f>
      </x:c>
      <x:c r="FS66" s="107" t="n">
        <x:f>'Вводные'!$N$90*((IF(SUM($D55:$GA55)=0,0,IF(SUM($D58:$GA58)=0,1,'Вводные'!$B$63)))*FS57+(1-(IF(SUM($D55:$GA55)=0,0,IF(SUM($D58:$GA58)=0,1,'Вводные'!$B$63))))*FS59)</x:f>
      </x:c>
      <x:c r="FT66" s="107" t="n">
        <x:f>'Вводные'!$N$90*((IF(SUM($D55:$GA55)=0,0,IF(SUM($D58:$GA58)=0,1,'Вводные'!$B$63)))*FT57+(1-(IF(SUM($D55:$GA55)=0,0,IF(SUM($D58:$GA58)=0,1,'Вводные'!$B$63))))*FT59)</x:f>
      </x:c>
      <x:c r="FU66" s="107" t="n">
        <x:f>'Вводные'!$N$90*((IF(SUM($D55:$GA55)=0,0,IF(SUM($D58:$GA58)=0,1,'Вводные'!$B$63)))*FU57+(1-(IF(SUM($D55:$GA55)=0,0,IF(SUM($D58:$GA58)=0,1,'Вводные'!$B$63))))*FU59)</x:f>
      </x:c>
      <x:c r="FV66" s="107" t="n">
        <x:f>'Вводные'!$N$90*((IF(SUM($D55:$GA55)=0,0,IF(SUM($D58:$GA58)=0,1,'Вводные'!$B$63)))*FV57+(1-(IF(SUM($D55:$GA55)=0,0,IF(SUM($D58:$GA58)=0,1,'Вводные'!$B$63))))*FV59)</x:f>
      </x:c>
      <x:c r="FW66" s="107" t="n">
        <x:f>'Вводные'!$N$90*((IF(SUM($D55:$GA55)=0,0,IF(SUM($D58:$GA58)=0,1,'Вводные'!$B$63)))*FW57+(1-(IF(SUM($D55:$GA55)=0,0,IF(SUM($D58:$GA58)=0,1,'Вводные'!$B$63))))*FW59)</x:f>
      </x:c>
      <x:c r="FX66" s="107" t="n">
        <x:f>'Вводные'!$N$90*((IF(SUM($D55:$GA55)=0,0,IF(SUM($D58:$GA58)=0,1,'Вводные'!$B$63)))*FX57+(1-(IF(SUM($D55:$GA55)=0,0,IF(SUM($D58:$GA58)=0,1,'Вводные'!$B$63))))*FX59)</x:f>
      </x:c>
      <x:c r="FY66" s="107" t="n">
        <x:f>'Вводные'!$N$90*((IF(SUM($D55:$GA55)=0,0,IF(SUM($D58:$GA58)=0,1,'Вводные'!$B$63)))*FY57+(1-(IF(SUM($D55:$GA55)=0,0,IF(SUM($D58:$GA58)=0,1,'Вводные'!$B$63))))*FY59)</x:f>
      </x:c>
      <x:c r="FZ66" s="107" t="n">
        <x:f>'Вводные'!$N$90*((IF(SUM($D55:$GA55)=0,0,IF(SUM($D58:$GA58)=0,1,'Вводные'!$B$63)))*FZ57+(1-(IF(SUM($D55:$GA55)=0,0,IF(SUM($D58:$GA58)=0,1,'Вводные'!$B$63))))*FZ59)</x:f>
      </x:c>
      <x:c r="GA66" s="107" t="n">
        <x:f>'Вводные'!$N$90*((IF(SUM($D55:$GA55)=0,0,IF(SUM($D58:$GA58)=0,1,'Вводные'!$B$63)))*GA57+(1-(IF(SUM($D55:$GA55)=0,0,IF(SUM($D58:$GA58)=0,1,'Вводные'!$B$63))))*GA59)</x:f>
      </x:c>
    </x:row>
    <x:row r="67">
      <x:c r="A67" t="str">
        <x:v>Паркинг — цена</x:v>
      </x:c>
      <x:c r="B67" t="n">
        <x:f>IFERROR(B68*1000/B66,0)</x:f>
      </x:c>
      <x:c r="C67" t="str">
        <x:v>тыс. ₽/шт.</x:v>
      </x:c>
      <x:c r="D67" s="107" t="n">
        <x:f>IF(D66=0,0,'Вводные'!$B$61*'Вводные'!$S$90*'Вводные'!$H$5*'Вводные'!$AG$90*(1+'Вводные'!$B$64)^MAX(0,MIN((12*(YEAR(D$3)-YEAR($B$53))+MONTH(D$3)-MONTH($B$53)),(12*(YEAR($B$54)-YEAR($B$53))+MONTH($B$54)-MONTH($B$53))))*(1+'Вводные'!$B$65)^MAX(0,(12*(YEAR(D$3)-YEAR($B$54))+MONTH(D$3)-MONTH($B$54))))</x:f>
      </x:c>
      <x:c r="E67" s="107" t="n">
        <x:f>IF(E66=0,0,'Вводные'!$B$61*'Вводные'!$S$90*'Вводные'!$H$5*'Вводные'!$AG$90*(1+'Вводные'!$B$64)^MAX(0,MIN((12*(YEAR(E$3)-YEAR($B$53))+MONTH(E$3)-MONTH($B$53)),(12*(YEAR($B$54)-YEAR($B$53))+MONTH($B$54)-MONTH($B$53))))*(1+'Вводные'!$B$65)^MAX(0,(12*(YEAR(E$3)-YEAR($B$54))+MONTH(E$3)-MONTH($B$54))))</x:f>
      </x:c>
      <x:c r="F67" s="107" t="n">
        <x:f>IF(F66=0,0,'Вводные'!$B$61*'Вводные'!$S$90*'Вводные'!$H$5*'Вводные'!$AG$90*(1+'Вводные'!$B$64)^MAX(0,MIN((12*(YEAR(F$3)-YEAR($B$53))+MONTH(F$3)-MONTH($B$53)),(12*(YEAR($B$54)-YEAR($B$53))+MONTH($B$54)-MONTH($B$53))))*(1+'Вводные'!$B$65)^MAX(0,(12*(YEAR(F$3)-YEAR($B$54))+MONTH(F$3)-MONTH($B$54))))</x:f>
      </x:c>
      <x:c r="G67" s="107" t="n">
        <x:f>IF(G66=0,0,'Вводные'!$B$61*'Вводные'!$S$90*'Вводные'!$H$5*'Вводные'!$AG$90*(1+'Вводные'!$B$64)^MAX(0,MIN((12*(YEAR(G$3)-YEAR($B$53))+MONTH(G$3)-MONTH($B$53)),(12*(YEAR($B$54)-YEAR($B$53))+MONTH($B$54)-MONTH($B$53))))*(1+'Вводные'!$B$65)^MAX(0,(12*(YEAR(G$3)-YEAR($B$54))+MONTH(G$3)-MONTH($B$54))))</x:f>
      </x:c>
      <x:c r="H67" s="107" t="n">
        <x:f>IF(H66=0,0,'Вводные'!$B$61*'Вводные'!$S$90*'Вводные'!$H$5*'Вводные'!$AG$90*(1+'Вводные'!$B$64)^MAX(0,MIN((12*(YEAR(H$3)-YEAR($B$53))+MONTH(H$3)-MONTH($B$53)),(12*(YEAR($B$54)-YEAR($B$53))+MONTH($B$54)-MONTH($B$53))))*(1+'Вводные'!$B$65)^MAX(0,(12*(YEAR(H$3)-YEAR($B$54))+MONTH(H$3)-MONTH($B$54))))</x:f>
      </x:c>
      <x:c r="I67" s="107" t="n">
        <x:f>IF(I66=0,0,'Вводные'!$B$61*'Вводные'!$S$90*'Вводные'!$H$5*'Вводные'!$AG$90*(1+'Вводные'!$B$64)^MAX(0,MIN((12*(YEAR(I$3)-YEAR($B$53))+MONTH(I$3)-MONTH($B$53)),(12*(YEAR($B$54)-YEAR($B$53))+MONTH($B$54)-MONTH($B$53))))*(1+'Вводные'!$B$65)^MAX(0,(12*(YEAR(I$3)-YEAR($B$54))+MONTH(I$3)-MONTH($B$54))))</x:f>
      </x:c>
      <x:c r="J67" s="107" t="n">
        <x:f>IF(J66=0,0,'Вводные'!$B$61*'Вводные'!$S$90*'Вводные'!$H$5*'Вводные'!$AG$90*(1+'Вводные'!$B$64)^MAX(0,MIN((12*(YEAR(J$3)-YEAR($B$53))+MONTH(J$3)-MONTH($B$53)),(12*(YEAR($B$54)-YEAR($B$53))+MONTH($B$54)-MONTH($B$53))))*(1+'Вводные'!$B$65)^MAX(0,(12*(YEAR(J$3)-YEAR($B$54))+MONTH(J$3)-MONTH($B$54))))</x:f>
      </x:c>
      <x:c r="K67" s="107" t="n">
        <x:f>IF(K66=0,0,'Вводные'!$B$61*'Вводные'!$S$90*'Вводные'!$H$5*'Вводные'!$AG$90*(1+'Вводные'!$B$64)^MAX(0,MIN((12*(YEAR(K$3)-YEAR($B$53))+MONTH(K$3)-MONTH($B$53)),(12*(YEAR($B$54)-YEAR($B$53))+MONTH($B$54)-MONTH($B$53))))*(1+'Вводные'!$B$65)^MAX(0,(12*(YEAR(K$3)-YEAR($B$54))+MONTH(K$3)-MONTH($B$54))))</x:f>
      </x:c>
      <x:c r="L67" s="107" t="n">
        <x:f>IF(L66=0,0,'Вводные'!$B$61*'Вводные'!$S$90*'Вводные'!$H$5*'Вводные'!$AG$90*(1+'Вводные'!$B$64)^MAX(0,MIN((12*(YEAR(L$3)-YEAR($B$53))+MONTH(L$3)-MONTH($B$53)),(12*(YEAR($B$54)-YEAR($B$53))+MONTH($B$54)-MONTH($B$53))))*(1+'Вводные'!$B$65)^MAX(0,(12*(YEAR(L$3)-YEAR($B$54))+MONTH(L$3)-MONTH($B$54))))</x:f>
      </x:c>
      <x:c r="M67" s="107" t="n">
        <x:f>IF(M66=0,0,'Вводные'!$B$61*'Вводные'!$S$90*'Вводные'!$H$5*'Вводные'!$AG$90*(1+'Вводные'!$B$64)^MAX(0,MIN((12*(YEAR(M$3)-YEAR($B$53))+MONTH(M$3)-MONTH($B$53)),(12*(YEAR($B$54)-YEAR($B$53))+MONTH($B$54)-MONTH($B$53))))*(1+'Вводные'!$B$65)^MAX(0,(12*(YEAR(M$3)-YEAR($B$54))+MONTH(M$3)-MONTH($B$54))))</x:f>
      </x:c>
      <x:c r="N67" s="107" t="n">
        <x:f>IF(N66=0,0,'Вводные'!$B$61*'Вводные'!$S$90*'Вводные'!$H$5*'Вводные'!$AG$90*(1+'Вводные'!$B$64)^MAX(0,MIN((12*(YEAR(N$3)-YEAR($B$53))+MONTH(N$3)-MONTH($B$53)),(12*(YEAR($B$54)-YEAR($B$53))+MONTH($B$54)-MONTH($B$53))))*(1+'Вводные'!$B$65)^MAX(0,(12*(YEAR(N$3)-YEAR($B$54))+MONTH(N$3)-MONTH($B$54))))</x:f>
      </x:c>
      <x:c r="O67" s="107" t="n">
        <x:f>IF(O66=0,0,'Вводные'!$B$61*'Вводные'!$S$90*'Вводные'!$H$5*'Вводные'!$AG$90*(1+'Вводные'!$B$64)^MAX(0,MIN((12*(YEAR(O$3)-YEAR($B$53))+MONTH(O$3)-MONTH($B$53)),(12*(YEAR($B$54)-YEAR($B$53))+MONTH($B$54)-MONTH($B$53))))*(1+'Вводные'!$B$65)^MAX(0,(12*(YEAR(O$3)-YEAR($B$54))+MONTH(O$3)-MONTH($B$54))))</x:f>
      </x:c>
      <x:c r="P67" s="107" t="n">
        <x:f>IF(P66=0,0,'Вводные'!$B$61*'Вводные'!$S$90*'Вводные'!$H$5*'Вводные'!$AG$90*(1+'Вводные'!$B$64)^MAX(0,MIN((12*(YEAR(P$3)-YEAR($B$53))+MONTH(P$3)-MONTH($B$53)),(12*(YEAR($B$54)-YEAR($B$53))+MONTH($B$54)-MONTH($B$53))))*(1+'Вводные'!$B$65)^MAX(0,(12*(YEAR(P$3)-YEAR($B$54))+MONTH(P$3)-MONTH($B$54))))</x:f>
      </x:c>
      <x:c r="Q67" s="107" t="n">
        <x:f>IF(Q66=0,0,'Вводные'!$B$61*'Вводные'!$S$90*'Вводные'!$H$5*'Вводные'!$AG$90*(1+'Вводные'!$B$64)^MAX(0,MIN((12*(YEAR(Q$3)-YEAR($B$53))+MONTH(Q$3)-MONTH($B$53)),(12*(YEAR($B$54)-YEAR($B$53))+MONTH($B$54)-MONTH($B$53))))*(1+'Вводные'!$B$65)^MAX(0,(12*(YEAR(Q$3)-YEAR($B$54))+MONTH(Q$3)-MONTH($B$54))))</x:f>
      </x:c>
      <x:c r="R67" s="107" t="n">
        <x:f>IF(R66=0,0,'Вводные'!$B$61*'Вводные'!$S$90*'Вводные'!$H$5*'Вводные'!$AG$90*(1+'Вводные'!$B$64)^MAX(0,MIN((12*(YEAR(R$3)-YEAR($B$53))+MONTH(R$3)-MONTH($B$53)),(12*(YEAR($B$54)-YEAR($B$53))+MONTH($B$54)-MONTH($B$53))))*(1+'Вводные'!$B$65)^MAX(0,(12*(YEAR(R$3)-YEAR($B$54))+MONTH(R$3)-MONTH($B$54))))</x:f>
      </x:c>
      <x:c r="S67" s="107" t="n">
        <x:f>IF(S66=0,0,'Вводные'!$B$61*'Вводные'!$S$90*'Вводные'!$H$5*'Вводные'!$AG$90*(1+'Вводные'!$B$64)^MAX(0,MIN((12*(YEAR(S$3)-YEAR($B$53))+MONTH(S$3)-MONTH($B$53)),(12*(YEAR($B$54)-YEAR($B$53))+MONTH($B$54)-MONTH($B$53))))*(1+'Вводные'!$B$65)^MAX(0,(12*(YEAR(S$3)-YEAR($B$54))+MONTH(S$3)-MONTH($B$54))))</x:f>
      </x:c>
      <x:c r="T67" s="107" t="n">
        <x:f>IF(T66=0,0,'Вводные'!$B$61*'Вводные'!$S$90*'Вводные'!$H$5*'Вводные'!$AG$90*(1+'Вводные'!$B$64)^MAX(0,MIN((12*(YEAR(T$3)-YEAR($B$53))+MONTH(T$3)-MONTH($B$53)),(12*(YEAR($B$54)-YEAR($B$53))+MONTH($B$54)-MONTH($B$53))))*(1+'Вводные'!$B$65)^MAX(0,(12*(YEAR(T$3)-YEAR($B$54))+MONTH(T$3)-MONTH($B$54))))</x:f>
      </x:c>
      <x:c r="U67" s="107" t="n">
        <x:f>IF(U66=0,0,'Вводные'!$B$61*'Вводные'!$S$90*'Вводные'!$H$5*'Вводные'!$AG$90*(1+'Вводные'!$B$64)^MAX(0,MIN((12*(YEAR(U$3)-YEAR($B$53))+MONTH(U$3)-MONTH($B$53)),(12*(YEAR($B$54)-YEAR($B$53))+MONTH($B$54)-MONTH($B$53))))*(1+'Вводные'!$B$65)^MAX(0,(12*(YEAR(U$3)-YEAR($B$54))+MONTH(U$3)-MONTH($B$54))))</x:f>
      </x:c>
      <x:c r="V67" s="107" t="n">
        <x:f>IF(V66=0,0,'Вводные'!$B$61*'Вводные'!$S$90*'Вводные'!$H$5*'Вводные'!$AG$90*(1+'Вводные'!$B$64)^MAX(0,MIN((12*(YEAR(V$3)-YEAR($B$53))+MONTH(V$3)-MONTH($B$53)),(12*(YEAR($B$54)-YEAR($B$53))+MONTH($B$54)-MONTH($B$53))))*(1+'Вводные'!$B$65)^MAX(0,(12*(YEAR(V$3)-YEAR($B$54))+MONTH(V$3)-MONTH($B$54))))</x:f>
      </x:c>
      <x:c r="W67" s="107" t="n">
        <x:f>IF(W66=0,0,'Вводные'!$B$61*'Вводные'!$S$90*'Вводные'!$H$5*'Вводные'!$AG$90*(1+'Вводные'!$B$64)^MAX(0,MIN((12*(YEAR(W$3)-YEAR($B$53))+MONTH(W$3)-MONTH($B$53)),(12*(YEAR($B$54)-YEAR($B$53))+MONTH($B$54)-MONTH($B$53))))*(1+'Вводные'!$B$65)^MAX(0,(12*(YEAR(W$3)-YEAR($B$54))+MONTH(W$3)-MONTH($B$54))))</x:f>
      </x:c>
      <x:c r="X67" s="107" t="n">
        <x:f>IF(X66=0,0,'Вводные'!$B$61*'Вводные'!$S$90*'Вводные'!$H$5*'Вводные'!$AG$90*(1+'Вводные'!$B$64)^MAX(0,MIN((12*(YEAR(X$3)-YEAR($B$53))+MONTH(X$3)-MONTH($B$53)),(12*(YEAR($B$54)-YEAR($B$53))+MONTH($B$54)-MONTH($B$53))))*(1+'Вводные'!$B$65)^MAX(0,(12*(YEAR(X$3)-YEAR($B$54))+MONTH(X$3)-MONTH($B$54))))</x:f>
      </x:c>
      <x:c r="Y67" s="107" t="n">
        <x:f>IF(Y66=0,0,'Вводные'!$B$61*'Вводные'!$S$90*'Вводные'!$H$5*'Вводные'!$AG$90*(1+'Вводные'!$B$64)^MAX(0,MIN((12*(YEAR(Y$3)-YEAR($B$53))+MONTH(Y$3)-MONTH($B$53)),(12*(YEAR($B$54)-YEAR($B$53))+MONTH($B$54)-MONTH($B$53))))*(1+'Вводные'!$B$65)^MAX(0,(12*(YEAR(Y$3)-YEAR($B$54))+MONTH(Y$3)-MONTH($B$54))))</x:f>
      </x:c>
      <x:c r="Z67" s="107" t="n">
        <x:f>IF(Z66=0,0,'Вводные'!$B$61*'Вводные'!$S$90*'Вводные'!$H$5*'Вводные'!$AG$90*(1+'Вводные'!$B$64)^MAX(0,MIN((12*(YEAR(Z$3)-YEAR($B$53))+MONTH(Z$3)-MONTH($B$53)),(12*(YEAR($B$54)-YEAR($B$53))+MONTH($B$54)-MONTH($B$53))))*(1+'Вводные'!$B$65)^MAX(0,(12*(YEAR(Z$3)-YEAR($B$54))+MONTH(Z$3)-MONTH($B$54))))</x:f>
      </x:c>
      <x:c r="AA67" s="107" t="n">
        <x:f>IF(AA66=0,0,'Вводные'!$B$61*'Вводные'!$S$90*'Вводные'!$H$5*'Вводные'!$AG$90*(1+'Вводные'!$B$64)^MAX(0,MIN((12*(YEAR(AA$3)-YEAR($B$53))+MONTH(AA$3)-MONTH($B$53)),(12*(YEAR($B$54)-YEAR($B$53))+MONTH($B$54)-MONTH($B$53))))*(1+'Вводные'!$B$65)^MAX(0,(12*(YEAR(AA$3)-YEAR($B$54))+MONTH(AA$3)-MONTH($B$54))))</x:f>
      </x:c>
      <x:c r="AB67" s="107" t="n">
        <x:f>IF(AB66=0,0,'Вводные'!$B$61*'Вводные'!$S$90*'Вводные'!$H$5*'Вводные'!$AG$90*(1+'Вводные'!$B$64)^MAX(0,MIN((12*(YEAR(AB$3)-YEAR($B$53))+MONTH(AB$3)-MONTH($B$53)),(12*(YEAR($B$54)-YEAR($B$53))+MONTH($B$54)-MONTH($B$53))))*(1+'Вводные'!$B$65)^MAX(0,(12*(YEAR(AB$3)-YEAR($B$54))+MONTH(AB$3)-MONTH($B$54))))</x:f>
      </x:c>
      <x:c r="AC67" s="107" t="n">
        <x:f>IF(AC66=0,0,'Вводные'!$B$61*'Вводные'!$S$90*'Вводные'!$H$5*'Вводные'!$AG$90*(1+'Вводные'!$B$64)^MAX(0,MIN((12*(YEAR(AC$3)-YEAR($B$53))+MONTH(AC$3)-MONTH($B$53)),(12*(YEAR($B$54)-YEAR($B$53))+MONTH($B$54)-MONTH($B$53))))*(1+'Вводные'!$B$65)^MAX(0,(12*(YEAR(AC$3)-YEAR($B$54))+MONTH(AC$3)-MONTH($B$54))))</x:f>
      </x:c>
      <x:c r="AD67" s="107" t="n">
        <x:f>IF(AD66=0,0,'Вводные'!$B$61*'Вводные'!$S$90*'Вводные'!$H$5*'Вводные'!$AG$90*(1+'Вводные'!$B$64)^MAX(0,MIN((12*(YEAR(AD$3)-YEAR($B$53))+MONTH(AD$3)-MONTH($B$53)),(12*(YEAR($B$54)-YEAR($B$53))+MONTH($B$54)-MONTH($B$53))))*(1+'Вводные'!$B$65)^MAX(0,(12*(YEAR(AD$3)-YEAR($B$54))+MONTH(AD$3)-MONTH($B$54))))</x:f>
      </x:c>
      <x:c r="AE67" s="107" t="n">
        <x:f>IF(AE66=0,0,'Вводные'!$B$61*'Вводные'!$S$90*'Вводные'!$H$5*'Вводные'!$AG$90*(1+'Вводные'!$B$64)^MAX(0,MIN((12*(YEAR(AE$3)-YEAR($B$53))+MONTH(AE$3)-MONTH($B$53)),(12*(YEAR($B$54)-YEAR($B$53))+MONTH($B$54)-MONTH($B$53))))*(1+'Вводные'!$B$65)^MAX(0,(12*(YEAR(AE$3)-YEAR($B$54))+MONTH(AE$3)-MONTH($B$54))))</x:f>
      </x:c>
      <x:c r="AF67" s="107" t="n">
        <x:f>IF(AF66=0,0,'Вводные'!$B$61*'Вводные'!$S$90*'Вводные'!$H$5*'Вводные'!$AG$90*(1+'Вводные'!$B$64)^MAX(0,MIN((12*(YEAR(AF$3)-YEAR($B$53))+MONTH(AF$3)-MONTH($B$53)),(12*(YEAR($B$54)-YEAR($B$53))+MONTH($B$54)-MONTH($B$53))))*(1+'Вводные'!$B$65)^MAX(0,(12*(YEAR(AF$3)-YEAR($B$54))+MONTH(AF$3)-MONTH($B$54))))</x:f>
      </x:c>
      <x:c r="AG67" s="107" t="n">
        <x:f>IF(AG66=0,0,'Вводные'!$B$61*'Вводные'!$S$90*'Вводные'!$H$5*'Вводные'!$AG$90*(1+'Вводные'!$B$64)^MAX(0,MIN((12*(YEAR(AG$3)-YEAR($B$53))+MONTH(AG$3)-MONTH($B$53)),(12*(YEAR($B$54)-YEAR($B$53))+MONTH($B$54)-MONTH($B$53))))*(1+'Вводные'!$B$65)^MAX(0,(12*(YEAR(AG$3)-YEAR($B$54))+MONTH(AG$3)-MONTH($B$54))))</x:f>
      </x:c>
      <x:c r="AH67" s="107" t="n">
        <x:f>IF(AH66=0,0,'Вводные'!$B$61*'Вводные'!$S$90*'Вводные'!$H$5*'Вводные'!$AG$90*(1+'Вводные'!$B$64)^MAX(0,MIN((12*(YEAR(AH$3)-YEAR($B$53))+MONTH(AH$3)-MONTH($B$53)),(12*(YEAR($B$54)-YEAR($B$53))+MONTH($B$54)-MONTH($B$53))))*(1+'Вводные'!$B$65)^MAX(0,(12*(YEAR(AH$3)-YEAR($B$54))+MONTH(AH$3)-MONTH($B$54))))</x:f>
      </x:c>
      <x:c r="AI67" s="107" t="n">
        <x:f>IF(AI66=0,0,'Вводные'!$B$61*'Вводные'!$S$90*'Вводные'!$H$5*'Вводные'!$AG$90*(1+'Вводные'!$B$64)^MAX(0,MIN((12*(YEAR(AI$3)-YEAR($B$53))+MONTH(AI$3)-MONTH($B$53)),(12*(YEAR($B$54)-YEAR($B$53))+MONTH($B$54)-MONTH($B$53))))*(1+'Вводные'!$B$65)^MAX(0,(12*(YEAR(AI$3)-YEAR($B$54))+MONTH(AI$3)-MONTH($B$54))))</x:f>
      </x:c>
      <x:c r="AJ67" s="107" t="n">
        <x:f>IF(AJ66=0,0,'Вводные'!$B$61*'Вводные'!$S$90*'Вводные'!$H$5*'Вводные'!$AG$90*(1+'Вводные'!$B$64)^MAX(0,MIN((12*(YEAR(AJ$3)-YEAR($B$53))+MONTH(AJ$3)-MONTH($B$53)),(12*(YEAR($B$54)-YEAR($B$53))+MONTH($B$54)-MONTH($B$53))))*(1+'Вводные'!$B$65)^MAX(0,(12*(YEAR(AJ$3)-YEAR($B$54))+MONTH(AJ$3)-MONTH($B$54))))</x:f>
      </x:c>
      <x:c r="AK67" s="107" t="n">
        <x:f>IF(AK66=0,0,'Вводные'!$B$61*'Вводные'!$S$90*'Вводные'!$H$5*'Вводные'!$AG$90*(1+'Вводные'!$B$64)^MAX(0,MIN((12*(YEAR(AK$3)-YEAR($B$53))+MONTH(AK$3)-MONTH($B$53)),(12*(YEAR($B$54)-YEAR($B$53))+MONTH($B$54)-MONTH($B$53))))*(1+'Вводные'!$B$65)^MAX(0,(12*(YEAR(AK$3)-YEAR($B$54))+MONTH(AK$3)-MONTH($B$54))))</x:f>
      </x:c>
      <x:c r="AL67" s="107" t="n">
        <x:f>IF(AL66=0,0,'Вводные'!$B$61*'Вводные'!$S$90*'Вводные'!$H$5*'Вводные'!$AG$90*(1+'Вводные'!$B$64)^MAX(0,MIN((12*(YEAR(AL$3)-YEAR($B$53))+MONTH(AL$3)-MONTH($B$53)),(12*(YEAR($B$54)-YEAR($B$53))+MONTH($B$54)-MONTH($B$53))))*(1+'Вводные'!$B$65)^MAX(0,(12*(YEAR(AL$3)-YEAR($B$54))+MONTH(AL$3)-MONTH($B$54))))</x:f>
      </x:c>
      <x:c r="AM67" s="107" t="n">
        <x:f>IF(AM66=0,0,'Вводные'!$B$61*'Вводные'!$S$90*'Вводные'!$H$5*'Вводные'!$AG$90*(1+'Вводные'!$B$64)^MAX(0,MIN((12*(YEAR(AM$3)-YEAR($B$53))+MONTH(AM$3)-MONTH($B$53)),(12*(YEAR($B$54)-YEAR($B$53))+MONTH($B$54)-MONTH($B$53))))*(1+'Вводные'!$B$65)^MAX(0,(12*(YEAR(AM$3)-YEAR($B$54))+MONTH(AM$3)-MONTH($B$54))))</x:f>
      </x:c>
      <x:c r="AN67" s="107" t="n">
        <x:f>IF(AN66=0,0,'Вводные'!$B$61*'Вводные'!$S$90*'Вводные'!$H$5*'Вводные'!$AG$90*(1+'Вводные'!$B$64)^MAX(0,MIN((12*(YEAR(AN$3)-YEAR($B$53))+MONTH(AN$3)-MONTH($B$53)),(12*(YEAR($B$54)-YEAR($B$53))+MONTH($B$54)-MONTH($B$53))))*(1+'Вводные'!$B$65)^MAX(0,(12*(YEAR(AN$3)-YEAR($B$54))+MONTH(AN$3)-MONTH($B$54))))</x:f>
      </x:c>
      <x:c r="AO67" s="107" t="n">
        <x:f>IF(AO66=0,0,'Вводные'!$B$61*'Вводные'!$S$90*'Вводные'!$H$5*'Вводные'!$AG$90*(1+'Вводные'!$B$64)^MAX(0,MIN((12*(YEAR(AO$3)-YEAR($B$53))+MONTH(AO$3)-MONTH($B$53)),(12*(YEAR($B$54)-YEAR($B$53))+MONTH($B$54)-MONTH($B$53))))*(1+'Вводные'!$B$65)^MAX(0,(12*(YEAR(AO$3)-YEAR($B$54))+MONTH(AO$3)-MONTH($B$54))))</x:f>
      </x:c>
      <x:c r="AP67" s="107" t="n">
        <x:f>IF(AP66=0,0,'Вводные'!$B$61*'Вводные'!$S$90*'Вводные'!$H$5*'Вводные'!$AG$90*(1+'Вводные'!$B$64)^MAX(0,MIN((12*(YEAR(AP$3)-YEAR($B$53))+MONTH(AP$3)-MONTH($B$53)),(12*(YEAR($B$54)-YEAR($B$53))+MONTH($B$54)-MONTH($B$53))))*(1+'Вводные'!$B$65)^MAX(0,(12*(YEAR(AP$3)-YEAR($B$54))+MONTH(AP$3)-MONTH($B$54))))</x:f>
      </x:c>
      <x:c r="AQ67" s="107" t="n">
        <x:f>IF(AQ66=0,0,'Вводные'!$B$61*'Вводные'!$S$90*'Вводные'!$H$5*'Вводные'!$AG$90*(1+'Вводные'!$B$64)^MAX(0,MIN((12*(YEAR(AQ$3)-YEAR($B$53))+MONTH(AQ$3)-MONTH($B$53)),(12*(YEAR($B$54)-YEAR($B$53))+MONTH($B$54)-MONTH($B$53))))*(1+'Вводные'!$B$65)^MAX(0,(12*(YEAR(AQ$3)-YEAR($B$54))+MONTH(AQ$3)-MONTH($B$54))))</x:f>
      </x:c>
      <x:c r="AR67" s="107" t="n">
        <x:f>IF(AR66=0,0,'Вводные'!$B$61*'Вводные'!$S$90*'Вводные'!$H$5*'Вводные'!$AG$90*(1+'Вводные'!$B$64)^MAX(0,MIN((12*(YEAR(AR$3)-YEAR($B$53))+MONTH(AR$3)-MONTH($B$53)),(12*(YEAR($B$54)-YEAR($B$53))+MONTH($B$54)-MONTH($B$53))))*(1+'Вводные'!$B$65)^MAX(0,(12*(YEAR(AR$3)-YEAR($B$54))+MONTH(AR$3)-MONTH($B$54))))</x:f>
      </x:c>
      <x:c r="AS67" s="107" t="n">
        <x:f>IF(AS66=0,0,'Вводные'!$B$61*'Вводные'!$S$90*'Вводные'!$H$5*'Вводные'!$AG$90*(1+'Вводные'!$B$64)^MAX(0,MIN((12*(YEAR(AS$3)-YEAR($B$53))+MONTH(AS$3)-MONTH($B$53)),(12*(YEAR($B$54)-YEAR($B$53))+MONTH($B$54)-MONTH($B$53))))*(1+'Вводные'!$B$65)^MAX(0,(12*(YEAR(AS$3)-YEAR($B$54))+MONTH(AS$3)-MONTH($B$54))))</x:f>
      </x:c>
      <x:c r="AT67" s="107" t="n">
        <x:f>IF(AT66=0,0,'Вводные'!$B$61*'Вводные'!$S$90*'Вводные'!$H$5*'Вводные'!$AG$90*(1+'Вводные'!$B$64)^MAX(0,MIN((12*(YEAR(AT$3)-YEAR($B$53))+MONTH(AT$3)-MONTH($B$53)),(12*(YEAR($B$54)-YEAR($B$53))+MONTH($B$54)-MONTH($B$53))))*(1+'Вводные'!$B$65)^MAX(0,(12*(YEAR(AT$3)-YEAR($B$54))+MONTH(AT$3)-MONTH($B$54))))</x:f>
      </x:c>
      <x:c r="AU67" s="107" t="n">
        <x:f>IF(AU66=0,0,'Вводные'!$B$61*'Вводные'!$S$90*'Вводные'!$H$5*'Вводные'!$AG$90*(1+'Вводные'!$B$64)^MAX(0,MIN((12*(YEAR(AU$3)-YEAR($B$53))+MONTH(AU$3)-MONTH($B$53)),(12*(YEAR($B$54)-YEAR($B$53))+MONTH($B$54)-MONTH($B$53))))*(1+'Вводные'!$B$65)^MAX(0,(12*(YEAR(AU$3)-YEAR($B$54))+MONTH(AU$3)-MONTH($B$54))))</x:f>
      </x:c>
      <x:c r="AV67" s="107" t="n">
        <x:f>IF(AV66=0,0,'Вводные'!$B$61*'Вводные'!$S$90*'Вводные'!$H$5*'Вводные'!$AG$90*(1+'Вводные'!$B$64)^MAX(0,MIN((12*(YEAR(AV$3)-YEAR($B$53))+MONTH(AV$3)-MONTH($B$53)),(12*(YEAR($B$54)-YEAR($B$53))+MONTH($B$54)-MONTH($B$53))))*(1+'Вводные'!$B$65)^MAX(0,(12*(YEAR(AV$3)-YEAR($B$54))+MONTH(AV$3)-MONTH($B$54))))</x:f>
      </x:c>
      <x:c r="AW67" s="107" t="n">
        <x:f>IF(AW66=0,0,'Вводные'!$B$61*'Вводные'!$S$90*'Вводные'!$H$5*'Вводные'!$AG$90*(1+'Вводные'!$B$64)^MAX(0,MIN((12*(YEAR(AW$3)-YEAR($B$53))+MONTH(AW$3)-MONTH($B$53)),(12*(YEAR($B$54)-YEAR($B$53))+MONTH($B$54)-MONTH($B$53))))*(1+'Вводные'!$B$65)^MAX(0,(12*(YEAR(AW$3)-YEAR($B$54))+MONTH(AW$3)-MONTH($B$54))))</x:f>
      </x:c>
      <x:c r="AX67" s="107" t="n">
        <x:f>IF(AX66=0,0,'Вводные'!$B$61*'Вводные'!$S$90*'Вводные'!$H$5*'Вводные'!$AG$90*(1+'Вводные'!$B$64)^MAX(0,MIN((12*(YEAR(AX$3)-YEAR($B$53))+MONTH(AX$3)-MONTH($B$53)),(12*(YEAR($B$54)-YEAR($B$53))+MONTH($B$54)-MONTH($B$53))))*(1+'Вводные'!$B$65)^MAX(0,(12*(YEAR(AX$3)-YEAR($B$54))+MONTH(AX$3)-MONTH($B$54))))</x:f>
      </x:c>
      <x:c r="AY67" s="107" t="n">
        <x:f>IF(AY66=0,0,'Вводные'!$B$61*'Вводные'!$S$90*'Вводные'!$H$5*'Вводные'!$AG$90*(1+'Вводные'!$B$64)^MAX(0,MIN((12*(YEAR(AY$3)-YEAR($B$53))+MONTH(AY$3)-MONTH($B$53)),(12*(YEAR($B$54)-YEAR($B$53))+MONTH($B$54)-MONTH($B$53))))*(1+'Вводные'!$B$65)^MAX(0,(12*(YEAR(AY$3)-YEAR($B$54))+MONTH(AY$3)-MONTH($B$54))))</x:f>
      </x:c>
      <x:c r="AZ67" s="107" t="n">
        <x:f>IF(AZ66=0,0,'Вводные'!$B$61*'Вводные'!$S$90*'Вводные'!$H$5*'Вводные'!$AG$90*(1+'Вводные'!$B$64)^MAX(0,MIN((12*(YEAR(AZ$3)-YEAR($B$53))+MONTH(AZ$3)-MONTH($B$53)),(12*(YEAR($B$54)-YEAR($B$53))+MONTH($B$54)-MONTH($B$53))))*(1+'Вводные'!$B$65)^MAX(0,(12*(YEAR(AZ$3)-YEAR($B$54))+MONTH(AZ$3)-MONTH($B$54))))</x:f>
      </x:c>
      <x:c r="BA67" s="107" t="n">
        <x:f>IF(BA66=0,0,'Вводные'!$B$61*'Вводные'!$S$90*'Вводные'!$H$5*'Вводные'!$AG$90*(1+'Вводные'!$B$64)^MAX(0,MIN((12*(YEAR(BA$3)-YEAR($B$53))+MONTH(BA$3)-MONTH($B$53)),(12*(YEAR($B$54)-YEAR($B$53))+MONTH($B$54)-MONTH($B$53))))*(1+'Вводные'!$B$65)^MAX(0,(12*(YEAR(BA$3)-YEAR($B$54))+MONTH(BA$3)-MONTH($B$54))))</x:f>
      </x:c>
      <x:c r="BB67" s="107" t="n">
        <x:f>IF(BB66=0,0,'Вводные'!$B$61*'Вводные'!$S$90*'Вводные'!$H$5*'Вводные'!$AG$90*(1+'Вводные'!$B$64)^MAX(0,MIN((12*(YEAR(BB$3)-YEAR($B$53))+MONTH(BB$3)-MONTH($B$53)),(12*(YEAR($B$54)-YEAR($B$53))+MONTH($B$54)-MONTH($B$53))))*(1+'Вводные'!$B$65)^MAX(0,(12*(YEAR(BB$3)-YEAR($B$54))+MONTH(BB$3)-MONTH($B$54))))</x:f>
      </x:c>
      <x:c r="BC67" s="107" t="n">
        <x:f>IF(BC66=0,0,'Вводные'!$B$61*'Вводные'!$S$90*'Вводные'!$H$5*'Вводные'!$AG$90*(1+'Вводные'!$B$64)^MAX(0,MIN((12*(YEAR(BC$3)-YEAR($B$53))+MONTH(BC$3)-MONTH($B$53)),(12*(YEAR($B$54)-YEAR($B$53))+MONTH($B$54)-MONTH($B$53))))*(1+'Вводные'!$B$65)^MAX(0,(12*(YEAR(BC$3)-YEAR($B$54))+MONTH(BC$3)-MONTH($B$54))))</x:f>
      </x:c>
      <x:c r="BD67" s="107" t="n">
        <x:f>IF(BD66=0,0,'Вводные'!$B$61*'Вводные'!$S$90*'Вводные'!$H$5*'Вводные'!$AG$90*(1+'Вводные'!$B$64)^MAX(0,MIN((12*(YEAR(BD$3)-YEAR($B$53))+MONTH(BD$3)-MONTH($B$53)),(12*(YEAR($B$54)-YEAR($B$53))+MONTH($B$54)-MONTH($B$53))))*(1+'Вводные'!$B$65)^MAX(0,(12*(YEAR(BD$3)-YEAR($B$54))+MONTH(BD$3)-MONTH($B$54))))</x:f>
      </x:c>
      <x:c r="BE67" s="107" t="n">
        <x:f>IF(BE66=0,0,'Вводные'!$B$61*'Вводные'!$S$90*'Вводные'!$H$5*'Вводные'!$AG$90*(1+'Вводные'!$B$64)^MAX(0,MIN((12*(YEAR(BE$3)-YEAR($B$53))+MONTH(BE$3)-MONTH($B$53)),(12*(YEAR($B$54)-YEAR($B$53))+MONTH($B$54)-MONTH($B$53))))*(1+'Вводные'!$B$65)^MAX(0,(12*(YEAR(BE$3)-YEAR($B$54))+MONTH(BE$3)-MONTH($B$54))))</x:f>
      </x:c>
      <x:c r="BF67" s="107" t="n">
        <x:f>IF(BF66=0,0,'Вводные'!$B$61*'Вводные'!$S$90*'Вводные'!$H$5*'Вводные'!$AG$90*(1+'Вводные'!$B$64)^MAX(0,MIN((12*(YEAR(BF$3)-YEAR($B$53))+MONTH(BF$3)-MONTH($B$53)),(12*(YEAR($B$54)-YEAR($B$53))+MONTH($B$54)-MONTH($B$53))))*(1+'Вводные'!$B$65)^MAX(0,(12*(YEAR(BF$3)-YEAR($B$54))+MONTH(BF$3)-MONTH($B$54))))</x:f>
      </x:c>
      <x:c r="BG67" s="107" t="n">
        <x:f>IF(BG66=0,0,'Вводные'!$B$61*'Вводные'!$S$90*'Вводные'!$H$5*'Вводные'!$AG$90*(1+'Вводные'!$B$64)^MAX(0,MIN((12*(YEAR(BG$3)-YEAR($B$53))+MONTH(BG$3)-MONTH($B$53)),(12*(YEAR($B$54)-YEAR($B$53))+MONTH($B$54)-MONTH($B$53))))*(1+'Вводные'!$B$65)^MAX(0,(12*(YEAR(BG$3)-YEAR($B$54))+MONTH(BG$3)-MONTH($B$54))))</x:f>
      </x:c>
      <x:c r="BH67" s="107" t="n">
        <x:f>IF(BH66=0,0,'Вводные'!$B$61*'Вводные'!$S$90*'Вводные'!$H$5*'Вводные'!$AG$90*(1+'Вводные'!$B$64)^MAX(0,MIN((12*(YEAR(BH$3)-YEAR($B$53))+MONTH(BH$3)-MONTH($B$53)),(12*(YEAR($B$54)-YEAR($B$53))+MONTH($B$54)-MONTH($B$53))))*(1+'Вводные'!$B$65)^MAX(0,(12*(YEAR(BH$3)-YEAR($B$54))+MONTH(BH$3)-MONTH($B$54))))</x:f>
      </x:c>
      <x:c r="BI67" s="107" t="n">
        <x:f>IF(BI66=0,0,'Вводные'!$B$61*'Вводные'!$S$90*'Вводные'!$H$5*'Вводные'!$AG$90*(1+'Вводные'!$B$64)^MAX(0,MIN((12*(YEAR(BI$3)-YEAR($B$53))+MONTH(BI$3)-MONTH($B$53)),(12*(YEAR($B$54)-YEAR($B$53))+MONTH($B$54)-MONTH($B$53))))*(1+'Вводные'!$B$65)^MAX(0,(12*(YEAR(BI$3)-YEAR($B$54))+MONTH(BI$3)-MONTH($B$54))))</x:f>
      </x:c>
      <x:c r="BJ67" s="107" t="n">
        <x:f>IF(BJ66=0,0,'Вводные'!$B$61*'Вводные'!$S$90*'Вводные'!$H$5*'Вводные'!$AG$90*(1+'Вводные'!$B$64)^MAX(0,MIN((12*(YEAR(BJ$3)-YEAR($B$53))+MONTH(BJ$3)-MONTH($B$53)),(12*(YEAR($B$54)-YEAR($B$53))+MONTH($B$54)-MONTH($B$53))))*(1+'Вводные'!$B$65)^MAX(0,(12*(YEAR(BJ$3)-YEAR($B$54))+MONTH(BJ$3)-MONTH($B$54))))</x:f>
      </x:c>
      <x:c r="BK67" s="107" t="n">
        <x:f>IF(BK66=0,0,'Вводные'!$B$61*'Вводные'!$S$90*'Вводные'!$H$5*'Вводные'!$AG$90*(1+'Вводные'!$B$64)^MAX(0,MIN((12*(YEAR(BK$3)-YEAR($B$53))+MONTH(BK$3)-MONTH($B$53)),(12*(YEAR($B$54)-YEAR($B$53))+MONTH($B$54)-MONTH($B$53))))*(1+'Вводные'!$B$65)^MAX(0,(12*(YEAR(BK$3)-YEAR($B$54))+MONTH(BK$3)-MONTH($B$54))))</x:f>
      </x:c>
      <x:c r="BL67" s="107" t="n">
        <x:f>IF(BL66=0,0,'Вводные'!$B$61*'Вводные'!$S$90*'Вводные'!$H$5*'Вводные'!$AG$90*(1+'Вводные'!$B$64)^MAX(0,MIN((12*(YEAR(BL$3)-YEAR($B$53))+MONTH(BL$3)-MONTH($B$53)),(12*(YEAR($B$54)-YEAR($B$53))+MONTH($B$54)-MONTH($B$53))))*(1+'Вводные'!$B$65)^MAX(0,(12*(YEAR(BL$3)-YEAR($B$54))+MONTH(BL$3)-MONTH($B$54))))</x:f>
      </x:c>
      <x:c r="BM67" s="107" t="n">
        <x:f>IF(BM66=0,0,'Вводные'!$B$61*'Вводные'!$S$90*'Вводные'!$H$5*'Вводные'!$AG$90*(1+'Вводные'!$B$64)^MAX(0,MIN((12*(YEAR(BM$3)-YEAR($B$53))+MONTH(BM$3)-MONTH($B$53)),(12*(YEAR($B$54)-YEAR($B$53))+MONTH($B$54)-MONTH($B$53))))*(1+'Вводные'!$B$65)^MAX(0,(12*(YEAR(BM$3)-YEAR($B$54))+MONTH(BM$3)-MONTH($B$54))))</x:f>
      </x:c>
      <x:c r="BN67" s="107" t="n">
        <x:f>IF(BN66=0,0,'Вводные'!$B$61*'Вводные'!$S$90*'Вводные'!$H$5*'Вводные'!$AG$90*(1+'Вводные'!$B$64)^MAX(0,MIN((12*(YEAR(BN$3)-YEAR($B$53))+MONTH(BN$3)-MONTH($B$53)),(12*(YEAR($B$54)-YEAR($B$53))+MONTH($B$54)-MONTH($B$53))))*(1+'Вводные'!$B$65)^MAX(0,(12*(YEAR(BN$3)-YEAR($B$54))+MONTH(BN$3)-MONTH($B$54))))</x:f>
      </x:c>
      <x:c r="BO67" s="107" t="n">
        <x:f>IF(BO66=0,0,'Вводные'!$B$61*'Вводные'!$S$90*'Вводные'!$H$5*'Вводные'!$AG$90*(1+'Вводные'!$B$64)^MAX(0,MIN((12*(YEAR(BO$3)-YEAR($B$53))+MONTH(BO$3)-MONTH($B$53)),(12*(YEAR($B$54)-YEAR($B$53))+MONTH($B$54)-MONTH($B$53))))*(1+'Вводные'!$B$65)^MAX(0,(12*(YEAR(BO$3)-YEAR($B$54))+MONTH(BO$3)-MONTH($B$54))))</x:f>
      </x:c>
      <x:c r="BP67" s="107" t="n">
        <x:f>IF(BP66=0,0,'Вводные'!$B$61*'Вводные'!$S$90*'Вводные'!$H$5*'Вводные'!$AG$90*(1+'Вводные'!$B$64)^MAX(0,MIN((12*(YEAR(BP$3)-YEAR($B$53))+MONTH(BP$3)-MONTH($B$53)),(12*(YEAR($B$54)-YEAR($B$53))+MONTH($B$54)-MONTH($B$53))))*(1+'Вводные'!$B$65)^MAX(0,(12*(YEAR(BP$3)-YEAR($B$54))+MONTH(BP$3)-MONTH($B$54))))</x:f>
      </x:c>
      <x:c r="BQ67" s="107" t="n">
        <x:f>IF(BQ66=0,0,'Вводные'!$B$61*'Вводные'!$S$90*'Вводные'!$H$5*'Вводные'!$AG$90*(1+'Вводные'!$B$64)^MAX(0,MIN((12*(YEAR(BQ$3)-YEAR($B$53))+MONTH(BQ$3)-MONTH($B$53)),(12*(YEAR($B$54)-YEAR($B$53))+MONTH($B$54)-MONTH($B$53))))*(1+'Вводные'!$B$65)^MAX(0,(12*(YEAR(BQ$3)-YEAR($B$54))+MONTH(BQ$3)-MONTH($B$54))))</x:f>
      </x:c>
      <x:c r="BR67" s="107" t="n">
        <x:f>IF(BR66=0,0,'Вводные'!$B$61*'Вводные'!$S$90*'Вводные'!$H$5*'Вводные'!$AG$90*(1+'Вводные'!$B$64)^MAX(0,MIN((12*(YEAR(BR$3)-YEAR($B$53))+MONTH(BR$3)-MONTH($B$53)),(12*(YEAR($B$54)-YEAR($B$53))+MONTH($B$54)-MONTH($B$53))))*(1+'Вводные'!$B$65)^MAX(0,(12*(YEAR(BR$3)-YEAR($B$54))+MONTH(BR$3)-MONTH($B$54))))</x:f>
      </x:c>
      <x:c r="BS67" s="107" t="n">
        <x:f>IF(BS66=0,0,'Вводные'!$B$61*'Вводные'!$S$90*'Вводные'!$H$5*'Вводные'!$AG$90*(1+'Вводные'!$B$64)^MAX(0,MIN((12*(YEAR(BS$3)-YEAR($B$53))+MONTH(BS$3)-MONTH($B$53)),(12*(YEAR($B$54)-YEAR($B$53))+MONTH($B$54)-MONTH($B$53))))*(1+'Вводные'!$B$65)^MAX(0,(12*(YEAR(BS$3)-YEAR($B$54))+MONTH(BS$3)-MONTH($B$54))))</x:f>
      </x:c>
      <x:c r="BT67" s="107" t="n">
        <x:f>IF(BT66=0,0,'Вводные'!$B$61*'Вводные'!$S$90*'Вводные'!$H$5*'Вводные'!$AG$90*(1+'Вводные'!$B$64)^MAX(0,MIN((12*(YEAR(BT$3)-YEAR($B$53))+MONTH(BT$3)-MONTH($B$53)),(12*(YEAR($B$54)-YEAR($B$53))+MONTH($B$54)-MONTH($B$53))))*(1+'Вводные'!$B$65)^MAX(0,(12*(YEAR(BT$3)-YEAR($B$54))+MONTH(BT$3)-MONTH($B$54))))</x:f>
      </x:c>
      <x:c r="BU67" s="107" t="n">
        <x:f>IF(BU66=0,0,'Вводные'!$B$61*'Вводные'!$S$90*'Вводные'!$H$5*'Вводные'!$AG$90*(1+'Вводные'!$B$64)^MAX(0,MIN((12*(YEAR(BU$3)-YEAR($B$53))+MONTH(BU$3)-MONTH($B$53)),(12*(YEAR($B$54)-YEAR($B$53))+MONTH($B$54)-MONTH($B$53))))*(1+'Вводные'!$B$65)^MAX(0,(12*(YEAR(BU$3)-YEAR($B$54))+MONTH(BU$3)-MONTH($B$54))))</x:f>
      </x:c>
      <x:c r="BV67" s="107" t="n">
        <x:f>IF(BV66=0,0,'Вводные'!$B$61*'Вводные'!$S$90*'Вводные'!$H$5*'Вводные'!$AG$90*(1+'Вводные'!$B$64)^MAX(0,MIN((12*(YEAR(BV$3)-YEAR($B$53))+MONTH(BV$3)-MONTH($B$53)),(12*(YEAR($B$54)-YEAR($B$53))+MONTH($B$54)-MONTH($B$53))))*(1+'Вводные'!$B$65)^MAX(0,(12*(YEAR(BV$3)-YEAR($B$54))+MONTH(BV$3)-MONTH($B$54))))</x:f>
      </x:c>
      <x:c r="BW67" s="107" t="n">
        <x:f>IF(BW66=0,0,'Вводные'!$B$61*'Вводные'!$S$90*'Вводные'!$H$5*'Вводные'!$AG$90*(1+'Вводные'!$B$64)^MAX(0,MIN((12*(YEAR(BW$3)-YEAR($B$53))+MONTH(BW$3)-MONTH($B$53)),(12*(YEAR($B$54)-YEAR($B$53))+MONTH($B$54)-MONTH($B$53))))*(1+'Вводные'!$B$65)^MAX(0,(12*(YEAR(BW$3)-YEAR($B$54))+MONTH(BW$3)-MONTH($B$54))))</x:f>
      </x:c>
      <x:c r="BX67" s="107" t="n">
        <x:f>IF(BX66=0,0,'Вводные'!$B$61*'Вводные'!$S$90*'Вводные'!$H$5*'Вводные'!$AG$90*(1+'Вводные'!$B$64)^MAX(0,MIN((12*(YEAR(BX$3)-YEAR($B$53))+MONTH(BX$3)-MONTH($B$53)),(12*(YEAR($B$54)-YEAR($B$53))+MONTH($B$54)-MONTH($B$53))))*(1+'Вводные'!$B$65)^MAX(0,(12*(YEAR(BX$3)-YEAR($B$54))+MONTH(BX$3)-MONTH($B$54))))</x:f>
      </x:c>
      <x:c r="BY67" s="107" t="n">
        <x:f>IF(BY66=0,0,'Вводные'!$B$61*'Вводные'!$S$90*'Вводные'!$H$5*'Вводные'!$AG$90*(1+'Вводные'!$B$64)^MAX(0,MIN((12*(YEAR(BY$3)-YEAR($B$53))+MONTH(BY$3)-MONTH($B$53)),(12*(YEAR($B$54)-YEAR($B$53))+MONTH($B$54)-MONTH($B$53))))*(1+'Вводные'!$B$65)^MAX(0,(12*(YEAR(BY$3)-YEAR($B$54))+MONTH(BY$3)-MONTH($B$54))))</x:f>
      </x:c>
      <x:c r="BZ67" s="107" t="n">
        <x:f>IF(BZ66=0,0,'Вводные'!$B$61*'Вводные'!$S$90*'Вводные'!$H$5*'Вводные'!$AG$90*(1+'Вводные'!$B$64)^MAX(0,MIN((12*(YEAR(BZ$3)-YEAR($B$53))+MONTH(BZ$3)-MONTH($B$53)),(12*(YEAR($B$54)-YEAR($B$53))+MONTH($B$54)-MONTH($B$53))))*(1+'Вводные'!$B$65)^MAX(0,(12*(YEAR(BZ$3)-YEAR($B$54))+MONTH(BZ$3)-MONTH($B$54))))</x:f>
      </x:c>
      <x:c r="CA67" s="107" t="n">
        <x:f>IF(CA66=0,0,'Вводные'!$B$61*'Вводные'!$S$90*'Вводные'!$H$5*'Вводные'!$AG$90*(1+'Вводные'!$B$64)^MAX(0,MIN((12*(YEAR(CA$3)-YEAR($B$53))+MONTH(CA$3)-MONTH($B$53)),(12*(YEAR($B$54)-YEAR($B$53))+MONTH($B$54)-MONTH($B$53))))*(1+'Вводные'!$B$65)^MAX(0,(12*(YEAR(CA$3)-YEAR($B$54))+MONTH(CA$3)-MONTH($B$54))))</x:f>
      </x:c>
      <x:c r="CB67" s="107" t="n">
        <x:f>IF(CB66=0,0,'Вводные'!$B$61*'Вводные'!$S$90*'Вводные'!$H$5*'Вводные'!$AG$90*(1+'Вводные'!$B$64)^MAX(0,MIN((12*(YEAR(CB$3)-YEAR($B$53))+MONTH(CB$3)-MONTH($B$53)),(12*(YEAR($B$54)-YEAR($B$53))+MONTH($B$54)-MONTH($B$53))))*(1+'Вводные'!$B$65)^MAX(0,(12*(YEAR(CB$3)-YEAR($B$54))+MONTH(CB$3)-MONTH($B$54))))</x:f>
      </x:c>
      <x:c r="CC67" s="107" t="n">
        <x:f>IF(CC66=0,0,'Вводные'!$B$61*'Вводные'!$S$90*'Вводные'!$H$5*'Вводные'!$AG$90*(1+'Вводные'!$B$64)^MAX(0,MIN((12*(YEAR(CC$3)-YEAR($B$53))+MONTH(CC$3)-MONTH($B$53)),(12*(YEAR($B$54)-YEAR($B$53))+MONTH($B$54)-MONTH($B$53))))*(1+'Вводные'!$B$65)^MAX(0,(12*(YEAR(CC$3)-YEAR($B$54))+MONTH(CC$3)-MONTH($B$54))))</x:f>
      </x:c>
      <x:c r="CD67" s="107" t="n">
        <x:f>IF(CD66=0,0,'Вводные'!$B$61*'Вводные'!$S$90*'Вводные'!$H$5*'Вводные'!$AG$90*(1+'Вводные'!$B$64)^MAX(0,MIN((12*(YEAR(CD$3)-YEAR($B$53))+MONTH(CD$3)-MONTH($B$53)),(12*(YEAR($B$54)-YEAR($B$53))+MONTH($B$54)-MONTH($B$53))))*(1+'Вводные'!$B$65)^MAX(0,(12*(YEAR(CD$3)-YEAR($B$54))+MONTH(CD$3)-MONTH($B$54))))</x:f>
      </x:c>
      <x:c r="CE67" s="107" t="n">
        <x:f>IF(CE66=0,0,'Вводные'!$B$61*'Вводные'!$S$90*'Вводные'!$H$5*'Вводные'!$AG$90*(1+'Вводные'!$B$64)^MAX(0,MIN((12*(YEAR(CE$3)-YEAR($B$53))+MONTH(CE$3)-MONTH($B$53)),(12*(YEAR($B$54)-YEAR($B$53))+MONTH($B$54)-MONTH($B$53))))*(1+'Вводные'!$B$65)^MAX(0,(12*(YEAR(CE$3)-YEAR($B$54))+MONTH(CE$3)-MONTH($B$54))))</x:f>
      </x:c>
      <x:c r="CF67" s="107" t="n">
        <x:f>IF(CF66=0,0,'Вводные'!$B$61*'Вводные'!$S$90*'Вводные'!$H$5*'Вводные'!$AG$90*(1+'Вводные'!$B$64)^MAX(0,MIN((12*(YEAR(CF$3)-YEAR($B$53))+MONTH(CF$3)-MONTH($B$53)),(12*(YEAR($B$54)-YEAR($B$53))+MONTH($B$54)-MONTH($B$53))))*(1+'Вводные'!$B$65)^MAX(0,(12*(YEAR(CF$3)-YEAR($B$54))+MONTH(CF$3)-MONTH($B$54))))</x:f>
      </x:c>
      <x:c r="CG67" s="107" t="n">
        <x:f>IF(CG66=0,0,'Вводные'!$B$61*'Вводные'!$S$90*'Вводные'!$H$5*'Вводные'!$AG$90*(1+'Вводные'!$B$64)^MAX(0,MIN((12*(YEAR(CG$3)-YEAR($B$53))+MONTH(CG$3)-MONTH($B$53)),(12*(YEAR($B$54)-YEAR($B$53))+MONTH($B$54)-MONTH($B$53))))*(1+'Вводные'!$B$65)^MAX(0,(12*(YEAR(CG$3)-YEAR($B$54))+MONTH(CG$3)-MONTH($B$54))))</x:f>
      </x:c>
      <x:c r="CH67" s="107" t="n">
        <x:f>IF(CH66=0,0,'Вводные'!$B$61*'Вводные'!$S$90*'Вводные'!$H$5*'Вводные'!$AG$90*(1+'Вводные'!$B$64)^MAX(0,MIN((12*(YEAR(CH$3)-YEAR($B$53))+MONTH(CH$3)-MONTH($B$53)),(12*(YEAR($B$54)-YEAR($B$53))+MONTH($B$54)-MONTH($B$53))))*(1+'Вводные'!$B$65)^MAX(0,(12*(YEAR(CH$3)-YEAR($B$54))+MONTH(CH$3)-MONTH($B$54))))</x:f>
      </x:c>
      <x:c r="CI67" s="107" t="n">
        <x:f>IF(CI66=0,0,'Вводные'!$B$61*'Вводные'!$S$90*'Вводные'!$H$5*'Вводные'!$AG$90*(1+'Вводные'!$B$64)^MAX(0,MIN((12*(YEAR(CI$3)-YEAR($B$53))+MONTH(CI$3)-MONTH($B$53)),(12*(YEAR($B$54)-YEAR($B$53))+MONTH($B$54)-MONTH($B$53))))*(1+'Вводные'!$B$65)^MAX(0,(12*(YEAR(CI$3)-YEAR($B$54))+MONTH(CI$3)-MONTH($B$54))))</x:f>
      </x:c>
      <x:c r="CJ67" s="107" t="n">
        <x:f>IF(CJ66=0,0,'Вводные'!$B$61*'Вводные'!$S$90*'Вводные'!$H$5*'Вводные'!$AG$90*(1+'Вводные'!$B$64)^MAX(0,MIN((12*(YEAR(CJ$3)-YEAR($B$53))+MONTH(CJ$3)-MONTH($B$53)),(12*(YEAR($B$54)-YEAR($B$53))+MONTH($B$54)-MONTH($B$53))))*(1+'Вводные'!$B$65)^MAX(0,(12*(YEAR(CJ$3)-YEAR($B$54))+MONTH(CJ$3)-MONTH($B$54))))</x:f>
      </x:c>
      <x:c r="CK67" s="107" t="n">
        <x:f>IF(CK66=0,0,'Вводные'!$B$61*'Вводные'!$S$90*'Вводные'!$H$5*'Вводные'!$AG$90*(1+'Вводные'!$B$64)^MAX(0,MIN((12*(YEAR(CK$3)-YEAR($B$53))+MONTH(CK$3)-MONTH($B$53)),(12*(YEAR($B$54)-YEAR($B$53))+MONTH($B$54)-MONTH($B$53))))*(1+'Вводные'!$B$65)^MAX(0,(12*(YEAR(CK$3)-YEAR($B$54))+MONTH(CK$3)-MONTH($B$54))))</x:f>
      </x:c>
      <x:c r="CL67" s="107" t="n">
        <x:f>IF(CL66=0,0,'Вводные'!$B$61*'Вводные'!$S$90*'Вводные'!$H$5*'Вводные'!$AG$90*(1+'Вводные'!$B$64)^MAX(0,MIN((12*(YEAR(CL$3)-YEAR($B$53))+MONTH(CL$3)-MONTH($B$53)),(12*(YEAR($B$54)-YEAR($B$53))+MONTH($B$54)-MONTH($B$53))))*(1+'Вводные'!$B$65)^MAX(0,(12*(YEAR(CL$3)-YEAR($B$54))+MONTH(CL$3)-MONTH($B$54))))</x:f>
      </x:c>
      <x:c r="CM67" s="107" t="n">
        <x:f>IF(CM66=0,0,'Вводные'!$B$61*'Вводные'!$S$90*'Вводные'!$H$5*'Вводные'!$AG$90*(1+'Вводные'!$B$64)^MAX(0,MIN((12*(YEAR(CM$3)-YEAR($B$53))+MONTH(CM$3)-MONTH($B$53)),(12*(YEAR($B$54)-YEAR($B$53))+MONTH($B$54)-MONTH($B$53))))*(1+'Вводные'!$B$65)^MAX(0,(12*(YEAR(CM$3)-YEAR($B$54))+MONTH(CM$3)-MONTH($B$54))))</x:f>
      </x:c>
      <x:c r="CN67" s="107" t="n">
        <x:f>IF(CN66=0,0,'Вводные'!$B$61*'Вводные'!$S$90*'Вводные'!$H$5*'Вводные'!$AG$90*(1+'Вводные'!$B$64)^MAX(0,MIN((12*(YEAR(CN$3)-YEAR($B$53))+MONTH(CN$3)-MONTH($B$53)),(12*(YEAR($B$54)-YEAR($B$53))+MONTH($B$54)-MONTH($B$53))))*(1+'Вводные'!$B$65)^MAX(0,(12*(YEAR(CN$3)-YEAR($B$54))+MONTH(CN$3)-MONTH($B$54))))</x:f>
      </x:c>
      <x:c r="CO67" s="107" t="n">
        <x:f>IF(CO66=0,0,'Вводные'!$B$61*'Вводные'!$S$90*'Вводные'!$H$5*'Вводные'!$AG$90*(1+'Вводные'!$B$64)^MAX(0,MIN((12*(YEAR(CO$3)-YEAR($B$53))+MONTH(CO$3)-MONTH($B$53)),(12*(YEAR($B$54)-YEAR($B$53))+MONTH($B$54)-MONTH($B$53))))*(1+'Вводные'!$B$65)^MAX(0,(12*(YEAR(CO$3)-YEAR($B$54))+MONTH(CO$3)-MONTH($B$54))))</x:f>
      </x:c>
      <x:c r="CP67" s="107" t="n">
        <x:f>IF(CP66=0,0,'Вводные'!$B$61*'Вводные'!$S$90*'Вводные'!$H$5*'Вводные'!$AG$90*(1+'Вводные'!$B$64)^MAX(0,MIN((12*(YEAR(CP$3)-YEAR($B$53))+MONTH(CP$3)-MONTH($B$53)),(12*(YEAR($B$54)-YEAR($B$53))+MONTH($B$54)-MONTH($B$53))))*(1+'Вводные'!$B$65)^MAX(0,(12*(YEAR(CP$3)-YEAR($B$54))+MONTH(CP$3)-MONTH($B$54))))</x:f>
      </x:c>
      <x:c r="CQ67" s="107" t="n">
        <x:f>IF(CQ66=0,0,'Вводные'!$B$61*'Вводные'!$S$90*'Вводные'!$H$5*'Вводные'!$AG$90*(1+'Вводные'!$B$64)^MAX(0,MIN((12*(YEAR(CQ$3)-YEAR($B$53))+MONTH(CQ$3)-MONTH($B$53)),(12*(YEAR($B$54)-YEAR($B$53))+MONTH($B$54)-MONTH($B$53))))*(1+'Вводные'!$B$65)^MAX(0,(12*(YEAR(CQ$3)-YEAR($B$54))+MONTH(CQ$3)-MONTH($B$54))))</x:f>
      </x:c>
      <x:c r="CR67" s="107" t="n">
        <x:f>IF(CR66=0,0,'Вводные'!$B$61*'Вводные'!$S$90*'Вводные'!$H$5*'Вводные'!$AG$90*(1+'Вводные'!$B$64)^MAX(0,MIN((12*(YEAR(CR$3)-YEAR($B$53))+MONTH(CR$3)-MONTH($B$53)),(12*(YEAR($B$54)-YEAR($B$53))+MONTH($B$54)-MONTH($B$53))))*(1+'Вводные'!$B$65)^MAX(0,(12*(YEAR(CR$3)-YEAR($B$54))+MONTH(CR$3)-MONTH($B$54))))</x:f>
      </x:c>
      <x:c r="CS67" s="107" t="n">
        <x:f>IF(CS66=0,0,'Вводные'!$B$61*'Вводные'!$S$90*'Вводные'!$H$5*'Вводные'!$AG$90*(1+'Вводные'!$B$64)^MAX(0,MIN((12*(YEAR(CS$3)-YEAR($B$53))+MONTH(CS$3)-MONTH($B$53)),(12*(YEAR($B$54)-YEAR($B$53))+MONTH($B$54)-MONTH($B$53))))*(1+'Вводные'!$B$65)^MAX(0,(12*(YEAR(CS$3)-YEAR($B$54))+MONTH(CS$3)-MONTH($B$54))))</x:f>
      </x:c>
      <x:c r="CT67" s="107" t="n">
        <x:f>IF(CT66=0,0,'Вводные'!$B$61*'Вводные'!$S$90*'Вводные'!$H$5*'Вводные'!$AG$90*(1+'Вводные'!$B$64)^MAX(0,MIN((12*(YEAR(CT$3)-YEAR($B$53))+MONTH(CT$3)-MONTH($B$53)),(12*(YEAR($B$54)-YEAR($B$53))+MONTH($B$54)-MONTH($B$53))))*(1+'Вводные'!$B$65)^MAX(0,(12*(YEAR(CT$3)-YEAR($B$54))+MONTH(CT$3)-MONTH($B$54))))</x:f>
      </x:c>
      <x:c r="CU67" s="107" t="n">
        <x:f>IF(CU66=0,0,'Вводные'!$B$61*'Вводные'!$S$90*'Вводные'!$H$5*'Вводные'!$AG$90*(1+'Вводные'!$B$64)^MAX(0,MIN((12*(YEAR(CU$3)-YEAR($B$53))+MONTH(CU$3)-MONTH($B$53)),(12*(YEAR($B$54)-YEAR($B$53))+MONTH($B$54)-MONTH($B$53))))*(1+'Вводные'!$B$65)^MAX(0,(12*(YEAR(CU$3)-YEAR($B$54))+MONTH(CU$3)-MONTH($B$54))))</x:f>
      </x:c>
      <x:c r="CV67" s="107" t="n">
        <x:f>IF(CV66=0,0,'Вводные'!$B$61*'Вводные'!$S$90*'Вводные'!$H$5*'Вводные'!$AG$90*(1+'Вводные'!$B$64)^MAX(0,MIN((12*(YEAR(CV$3)-YEAR($B$53))+MONTH(CV$3)-MONTH($B$53)),(12*(YEAR($B$54)-YEAR($B$53))+MONTH($B$54)-MONTH($B$53))))*(1+'Вводные'!$B$65)^MAX(0,(12*(YEAR(CV$3)-YEAR($B$54))+MONTH(CV$3)-MONTH($B$54))))</x:f>
      </x:c>
      <x:c r="CW67" s="107" t="n">
        <x:f>IF(CW66=0,0,'Вводные'!$B$61*'Вводные'!$S$90*'Вводные'!$H$5*'Вводные'!$AG$90*(1+'Вводные'!$B$64)^MAX(0,MIN((12*(YEAR(CW$3)-YEAR($B$53))+MONTH(CW$3)-MONTH($B$53)),(12*(YEAR($B$54)-YEAR($B$53))+MONTH($B$54)-MONTH($B$53))))*(1+'Вводные'!$B$65)^MAX(0,(12*(YEAR(CW$3)-YEAR($B$54))+MONTH(CW$3)-MONTH($B$54))))</x:f>
      </x:c>
      <x:c r="CX67" s="107" t="n">
        <x:f>IF(CX66=0,0,'Вводные'!$B$61*'Вводные'!$S$90*'Вводные'!$H$5*'Вводные'!$AG$90*(1+'Вводные'!$B$64)^MAX(0,MIN((12*(YEAR(CX$3)-YEAR($B$53))+MONTH(CX$3)-MONTH($B$53)),(12*(YEAR($B$54)-YEAR($B$53))+MONTH($B$54)-MONTH($B$53))))*(1+'Вводные'!$B$65)^MAX(0,(12*(YEAR(CX$3)-YEAR($B$54))+MONTH(CX$3)-MONTH($B$54))))</x:f>
      </x:c>
      <x:c r="CY67" s="107" t="n">
        <x:f>IF(CY66=0,0,'Вводные'!$B$61*'Вводные'!$S$90*'Вводные'!$H$5*'Вводные'!$AG$90*(1+'Вводные'!$B$64)^MAX(0,MIN((12*(YEAR(CY$3)-YEAR($B$53))+MONTH(CY$3)-MONTH($B$53)),(12*(YEAR($B$54)-YEAR($B$53))+MONTH($B$54)-MONTH($B$53))))*(1+'Вводные'!$B$65)^MAX(0,(12*(YEAR(CY$3)-YEAR($B$54))+MONTH(CY$3)-MONTH($B$54))))</x:f>
      </x:c>
      <x:c r="CZ67" s="107" t="n">
        <x:f>IF(CZ66=0,0,'Вводные'!$B$61*'Вводные'!$S$90*'Вводные'!$H$5*'Вводные'!$AG$90*(1+'Вводные'!$B$64)^MAX(0,MIN((12*(YEAR(CZ$3)-YEAR($B$53))+MONTH(CZ$3)-MONTH($B$53)),(12*(YEAR($B$54)-YEAR($B$53))+MONTH($B$54)-MONTH($B$53))))*(1+'Вводные'!$B$65)^MAX(0,(12*(YEAR(CZ$3)-YEAR($B$54))+MONTH(CZ$3)-MONTH($B$54))))</x:f>
      </x:c>
      <x:c r="DA67" s="107" t="n">
        <x:f>IF(DA66=0,0,'Вводные'!$B$61*'Вводные'!$S$90*'Вводные'!$H$5*'Вводные'!$AG$90*(1+'Вводные'!$B$64)^MAX(0,MIN((12*(YEAR(DA$3)-YEAR($B$53))+MONTH(DA$3)-MONTH($B$53)),(12*(YEAR($B$54)-YEAR($B$53))+MONTH($B$54)-MONTH($B$53))))*(1+'Вводные'!$B$65)^MAX(0,(12*(YEAR(DA$3)-YEAR($B$54))+MONTH(DA$3)-MONTH($B$54))))</x:f>
      </x:c>
      <x:c r="DB67" s="107" t="n">
        <x:f>IF(DB66=0,0,'Вводные'!$B$61*'Вводные'!$S$90*'Вводные'!$H$5*'Вводные'!$AG$90*(1+'Вводные'!$B$64)^MAX(0,MIN((12*(YEAR(DB$3)-YEAR($B$53))+MONTH(DB$3)-MONTH($B$53)),(12*(YEAR($B$54)-YEAR($B$53))+MONTH($B$54)-MONTH($B$53))))*(1+'Вводные'!$B$65)^MAX(0,(12*(YEAR(DB$3)-YEAR($B$54))+MONTH(DB$3)-MONTH($B$54))))</x:f>
      </x:c>
      <x:c r="DC67" s="107" t="n">
        <x:f>IF(DC66=0,0,'Вводные'!$B$61*'Вводные'!$S$90*'Вводные'!$H$5*'Вводные'!$AG$90*(1+'Вводные'!$B$64)^MAX(0,MIN((12*(YEAR(DC$3)-YEAR($B$53))+MONTH(DC$3)-MONTH($B$53)),(12*(YEAR($B$54)-YEAR($B$53))+MONTH($B$54)-MONTH($B$53))))*(1+'Вводные'!$B$65)^MAX(0,(12*(YEAR(DC$3)-YEAR($B$54))+MONTH(DC$3)-MONTH($B$54))))</x:f>
      </x:c>
      <x:c r="DD67" s="107" t="n">
        <x:f>IF(DD66=0,0,'Вводные'!$B$61*'Вводные'!$S$90*'Вводные'!$H$5*'Вводные'!$AG$90*(1+'Вводные'!$B$64)^MAX(0,MIN((12*(YEAR(DD$3)-YEAR($B$53))+MONTH(DD$3)-MONTH($B$53)),(12*(YEAR($B$54)-YEAR($B$53))+MONTH($B$54)-MONTH($B$53))))*(1+'Вводные'!$B$65)^MAX(0,(12*(YEAR(DD$3)-YEAR($B$54))+MONTH(DD$3)-MONTH($B$54))))</x:f>
      </x:c>
      <x:c r="DE67" s="107" t="n">
        <x:f>IF(DE66=0,0,'Вводные'!$B$61*'Вводные'!$S$90*'Вводные'!$H$5*'Вводные'!$AG$90*(1+'Вводные'!$B$64)^MAX(0,MIN((12*(YEAR(DE$3)-YEAR($B$53))+MONTH(DE$3)-MONTH($B$53)),(12*(YEAR($B$54)-YEAR($B$53))+MONTH($B$54)-MONTH($B$53))))*(1+'Вводные'!$B$65)^MAX(0,(12*(YEAR(DE$3)-YEAR($B$54))+MONTH(DE$3)-MONTH($B$54))))</x:f>
      </x:c>
      <x:c r="DF67" s="107" t="n">
        <x:f>IF(DF66=0,0,'Вводные'!$B$61*'Вводные'!$S$90*'Вводные'!$H$5*'Вводные'!$AG$90*(1+'Вводные'!$B$64)^MAX(0,MIN((12*(YEAR(DF$3)-YEAR($B$53))+MONTH(DF$3)-MONTH($B$53)),(12*(YEAR($B$54)-YEAR($B$53))+MONTH($B$54)-MONTH($B$53))))*(1+'Вводные'!$B$65)^MAX(0,(12*(YEAR(DF$3)-YEAR($B$54))+MONTH(DF$3)-MONTH($B$54))))</x:f>
      </x:c>
      <x:c r="DG67" s="107" t="n">
        <x:f>IF(DG66=0,0,'Вводные'!$B$61*'Вводные'!$S$90*'Вводные'!$H$5*'Вводные'!$AG$90*(1+'Вводные'!$B$64)^MAX(0,MIN((12*(YEAR(DG$3)-YEAR($B$53))+MONTH(DG$3)-MONTH($B$53)),(12*(YEAR($B$54)-YEAR($B$53))+MONTH($B$54)-MONTH($B$53))))*(1+'Вводные'!$B$65)^MAX(0,(12*(YEAR(DG$3)-YEAR($B$54))+MONTH(DG$3)-MONTH($B$54))))</x:f>
      </x:c>
      <x:c r="DH67" s="107" t="n">
        <x:f>IF(DH66=0,0,'Вводные'!$B$61*'Вводные'!$S$90*'Вводные'!$H$5*'Вводные'!$AG$90*(1+'Вводные'!$B$64)^MAX(0,MIN((12*(YEAR(DH$3)-YEAR($B$53))+MONTH(DH$3)-MONTH($B$53)),(12*(YEAR($B$54)-YEAR($B$53))+MONTH($B$54)-MONTH($B$53))))*(1+'Вводные'!$B$65)^MAX(0,(12*(YEAR(DH$3)-YEAR($B$54))+MONTH(DH$3)-MONTH($B$54))))</x:f>
      </x:c>
      <x:c r="DI67" s="107" t="n">
        <x:f>IF(DI66=0,0,'Вводные'!$B$61*'Вводные'!$S$90*'Вводные'!$H$5*'Вводные'!$AG$90*(1+'Вводные'!$B$64)^MAX(0,MIN((12*(YEAR(DI$3)-YEAR($B$53))+MONTH(DI$3)-MONTH($B$53)),(12*(YEAR($B$54)-YEAR($B$53))+MONTH($B$54)-MONTH($B$53))))*(1+'Вводные'!$B$65)^MAX(0,(12*(YEAR(DI$3)-YEAR($B$54))+MONTH(DI$3)-MONTH($B$54))))</x:f>
      </x:c>
      <x:c r="DJ67" s="107" t="n">
        <x:f>IF(DJ66=0,0,'Вводные'!$B$61*'Вводные'!$S$90*'Вводные'!$H$5*'Вводные'!$AG$90*(1+'Вводные'!$B$64)^MAX(0,MIN((12*(YEAR(DJ$3)-YEAR($B$53))+MONTH(DJ$3)-MONTH($B$53)),(12*(YEAR($B$54)-YEAR($B$53))+MONTH($B$54)-MONTH($B$53))))*(1+'Вводные'!$B$65)^MAX(0,(12*(YEAR(DJ$3)-YEAR($B$54))+MONTH(DJ$3)-MONTH($B$54))))</x:f>
      </x:c>
      <x:c r="DK67" s="107" t="n">
        <x:f>IF(DK66=0,0,'Вводные'!$B$61*'Вводные'!$S$90*'Вводные'!$H$5*'Вводные'!$AG$90*(1+'Вводные'!$B$64)^MAX(0,MIN((12*(YEAR(DK$3)-YEAR($B$53))+MONTH(DK$3)-MONTH($B$53)),(12*(YEAR($B$54)-YEAR($B$53))+MONTH($B$54)-MONTH($B$53))))*(1+'Вводные'!$B$65)^MAX(0,(12*(YEAR(DK$3)-YEAR($B$54))+MONTH(DK$3)-MONTH($B$54))))</x:f>
      </x:c>
      <x:c r="DL67" s="107" t="n">
        <x:f>IF(DL66=0,0,'Вводные'!$B$61*'Вводные'!$S$90*'Вводные'!$H$5*'Вводные'!$AG$90*(1+'Вводные'!$B$64)^MAX(0,MIN((12*(YEAR(DL$3)-YEAR($B$53))+MONTH(DL$3)-MONTH($B$53)),(12*(YEAR($B$54)-YEAR($B$53))+MONTH($B$54)-MONTH($B$53))))*(1+'Вводные'!$B$65)^MAX(0,(12*(YEAR(DL$3)-YEAR($B$54))+MONTH(DL$3)-MONTH($B$54))))</x:f>
      </x:c>
      <x:c r="DM67" s="107" t="n">
        <x:f>IF(DM66=0,0,'Вводные'!$B$61*'Вводные'!$S$90*'Вводные'!$H$5*'Вводные'!$AG$90*(1+'Вводные'!$B$64)^MAX(0,MIN((12*(YEAR(DM$3)-YEAR($B$53))+MONTH(DM$3)-MONTH($B$53)),(12*(YEAR($B$54)-YEAR($B$53))+MONTH($B$54)-MONTH($B$53))))*(1+'Вводные'!$B$65)^MAX(0,(12*(YEAR(DM$3)-YEAR($B$54))+MONTH(DM$3)-MONTH($B$54))))</x:f>
      </x:c>
      <x:c r="DN67" s="107" t="n">
        <x:f>IF(DN66=0,0,'Вводные'!$B$61*'Вводные'!$S$90*'Вводные'!$H$5*'Вводные'!$AG$90*(1+'Вводные'!$B$64)^MAX(0,MIN((12*(YEAR(DN$3)-YEAR($B$53))+MONTH(DN$3)-MONTH($B$53)),(12*(YEAR($B$54)-YEAR($B$53))+MONTH($B$54)-MONTH($B$53))))*(1+'Вводные'!$B$65)^MAX(0,(12*(YEAR(DN$3)-YEAR($B$54))+MONTH(DN$3)-MONTH($B$54))))</x:f>
      </x:c>
      <x:c r="DO67" s="107" t="n">
        <x:f>IF(DO66=0,0,'Вводные'!$B$61*'Вводные'!$S$90*'Вводные'!$H$5*'Вводные'!$AG$90*(1+'Вводные'!$B$64)^MAX(0,MIN((12*(YEAR(DO$3)-YEAR($B$53))+MONTH(DO$3)-MONTH($B$53)),(12*(YEAR($B$54)-YEAR($B$53))+MONTH($B$54)-MONTH($B$53))))*(1+'Вводные'!$B$65)^MAX(0,(12*(YEAR(DO$3)-YEAR($B$54))+MONTH(DO$3)-MONTH($B$54))))</x:f>
      </x:c>
      <x:c r="DP67" s="107" t="n">
        <x:f>IF(DP66=0,0,'Вводные'!$B$61*'Вводные'!$S$90*'Вводные'!$H$5*'Вводные'!$AG$90*(1+'Вводные'!$B$64)^MAX(0,MIN((12*(YEAR(DP$3)-YEAR($B$53))+MONTH(DP$3)-MONTH($B$53)),(12*(YEAR($B$54)-YEAR($B$53))+MONTH($B$54)-MONTH($B$53))))*(1+'Вводные'!$B$65)^MAX(0,(12*(YEAR(DP$3)-YEAR($B$54))+MONTH(DP$3)-MONTH($B$54))))</x:f>
      </x:c>
      <x:c r="DQ67" s="107" t="n">
        <x:f>IF(DQ66=0,0,'Вводные'!$B$61*'Вводные'!$S$90*'Вводные'!$H$5*'Вводные'!$AG$90*(1+'Вводные'!$B$64)^MAX(0,MIN((12*(YEAR(DQ$3)-YEAR($B$53))+MONTH(DQ$3)-MONTH($B$53)),(12*(YEAR($B$54)-YEAR($B$53))+MONTH($B$54)-MONTH($B$53))))*(1+'Вводные'!$B$65)^MAX(0,(12*(YEAR(DQ$3)-YEAR($B$54))+MONTH(DQ$3)-MONTH($B$54))))</x:f>
      </x:c>
      <x:c r="DR67" s="107" t="n">
        <x:f>IF(DR66=0,0,'Вводные'!$B$61*'Вводные'!$S$90*'Вводные'!$H$5*'Вводные'!$AG$90*(1+'Вводные'!$B$64)^MAX(0,MIN((12*(YEAR(DR$3)-YEAR($B$53))+MONTH(DR$3)-MONTH($B$53)),(12*(YEAR($B$54)-YEAR($B$53))+MONTH($B$54)-MONTH($B$53))))*(1+'Вводные'!$B$65)^MAX(0,(12*(YEAR(DR$3)-YEAR($B$54))+MONTH(DR$3)-MONTH($B$54))))</x:f>
      </x:c>
      <x:c r="DS67" s="107" t="n">
        <x:f>IF(DS66=0,0,'Вводные'!$B$61*'Вводные'!$S$90*'Вводные'!$H$5*'Вводные'!$AG$90*(1+'Вводные'!$B$64)^MAX(0,MIN((12*(YEAR(DS$3)-YEAR($B$53))+MONTH(DS$3)-MONTH($B$53)),(12*(YEAR($B$54)-YEAR($B$53))+MONTH($B$54)-MONTH($B$53))))*(1+'Вводные'!$B$65)^MAX(0,(12*(YEAR(DS$3)-YEAR($B$54))+MONTH(DS$3)-MONTH($B$54))))</x:f>
      </x:c>
      <x:c r="DT67" s="107" t="n">
        <x:f>IF(DT66=0,0,'Вводные'!$B$61*'Вводные'!$S$90*'Вводные'!$H$5*'Вводные'!$AG$90*(1+'Вводные'!$B$64)^MAX(0,MIN((12*(YEAR(DT$3)-YEAR($B$53))+MONTH(DT$3)-MONTH($B$53)),(12*(YEAR($B$54)-YEAR($B$53))+MONTH($B$54)-MONTH($B$53))))*(1+'Вводные'!$B$65)^MAX(0,(12*(YEAR(DT$3)-YEAR($B$54))+MONTH(DT$3)-MONTH($B$54))))</x:f>
      </x:c>
      <x:c r="DU67" s="107" t="n">
        <x:f>IF(DU66=0,0,'Вводные'!$B$61*'Вводные'!$S$90*'Вводные'!$H$5*'Вводные'!$AG$90*(1+'Вводные'!$B$64)^MAX(0,MIN((12*(YEAR(DU$3)-YEAR($B$53))+MONTH(DU$3)-MONTH($B$53)),(12*(YEAR($B$54)-YEAR($B$53))+MONTH($B$54)-MONTH($B$53))))*(1+'Вводные'!$B$65)^MAX(0,(12*(YEAR(DU$3)-YEAR($B$54))+MONTH(DU$3)-MONTH($B$54))))</x:f>
      </x:c>
      <x:c r="DV67" s="107" t="n">
        <x:f>IF(DV66=0,0,'Вводные'!$B$61*'Вводные'!$S$90*'Вводные'!$H$5*'Вводные'!$AG$90*(1+'Вводные'!$B$64)^MAX(0,MIN((12*(YEAR(DV$3)-YEAR($B$53))+MONTH(DV$3)-MONTH($B$53)),(12*(YEAR($B$54)-YEAR($B$53))+MONTH($B$54)-MONTH($B$53))))*(1+'Вводные'!$B$65)^MAX(0,(12*(YEAR(DV$3)-YEAR($B$54))+MONTH(DV$3)-MONTH($B$54))))</x:f>
      </x:c>
      <x:c r="DW67" s="107" t="n">
        <x:f>IF(DW66=0,0,'Вводные'!$B$61*'Вводные'!$S$90*'Вводные'!$H$5*'Вводные'!$AG$90*(1+'Вводные'!$B$64)^MAX(0,MIN((12*(YEAR(DW$3)-YEAR($B$53))+MONTH(DW$3)-MONTH($B$53)),(12*(YEAR($B$54)-YEAR($B$53))+MONTH($B$54)-MONTH($B$53))))*(1+'Вводные'!$B$65)^MAX(0,(12*(YEAR(DW$3)-YEAR($B$54))+MONTH(DW$3)-MONTH($B$54))))</x:f>
      </x:c>
      <x:c r="DX67" s="107" t="n">
        <x:f>IF(DX66=0,0,'Вводные'!$B$61*'Вводные'!$S$90*'Вводные'!$H$5*'Вводные'!$AG$90*(1+'Вводные'!$B$64)^MAX(0,MIN((12*(YEAR(DX$3)-YEAR($B$53))+MONTH(DX$3)-MONTH($B$53)),(12*(YEAR($B$54)-YEAR($B$53))+MONTH($B$54)-MONTH($B$53))))*(1+'Вводные'!$B$65)^MAX(0,(12*(YEAR(DX$3)-YEAR($B$54))+MONTH(DX$3)-MONTH($B$54))))</x:f>
      </x:c>
      <x:c r="DY67" s="107" t="n">
        <x:f>IF(DY66=0,0,'Вводные'!$B$61*'Вводные'!$S$90*'Вводные'!$H$5*'Вводные'!$AG$90*(1+'Вводные'!$B$64)^MAX(0,MIN((12*(YEAR(DY$3)-YEAR($B$53))+MONTH(DY$3)-MONTH($B$53)),(12*(YEAR($B$54)-YEAR($B$53))+MONTH($B$54)-MONTH($B$53))))*(1+'Вводные'!$B$65)^MAX(0,(12*(YEAR(DY$3)-YEAR($B$54))+MONTH(DY$3)-MONTH($B$54))))</x:f>
      </x:c>
      <x:c r="DZ67" s="107" t="n">
        <x:f>IF(DZ66=0,0,'Вводные'!$B$61*'Вводные'!$S$90*'Вводные'!$H$5*'Вводные'!$AG$90*(1+'Вводные'!$B$64)^MAX(0,MIN((12*(YEAR(DZ$3)-YEAR($B$53))+MONTH(DZ$3)-MONTH($B$53)),(12*(YEAR($B$54)-YEAR($B$53))+MONTH($B$54)-MONTH($B$53))))*(1+'Вводные'!$B$65)^MAX(0,(12*(YEAR(DZ$3)-YEAR($B$54))+MONTH(DZ$3)-MONTH($B$54))))</x:f>
      </x:c>
      <x:c r="EA67" s="107" t="n">
        <x:f>IF(EA66=0,0,'Вводные'!$B$61*'Вводные'!$S$90*'Вводные'!$H$5*'Вводные'!$AG$90*(1+'Вводные'!$B$64)^MAX(0,MIN((12*(YEAR(EA$3)-YEAR($B$53))+MONTH(EA$3)-MONTH($B$53)),(12*(YEAR($B$54)-YEAR($B$53))+MONTH($B$54)-MONTH($B$53))))*(1+'Вводные'!$B$65)^MAX(0,(12*(YEAR(EA$3)-YEAR($B$54))+MONTH(EA$3)-MONTH($B$54))))</x:f>
      </x:c>
      <x:c r="EB67" s="107" t="n">
        <x:f>IF(EB66=0,0,'Вводные'!$B$61*'Вводные'!$S$90*'Вводные'!$H$5*'Вводные'!$AG$90*(1+'Вводные'!$B$64)^MAX(0,MIN((12*(YEAR(EB$3)-YEAR($B$53))+MONTH(EB$3)-MONTH($B$53)),(12*(YEAR($B$54)-YEAR($B$53))+MONTH($B$54)-MONTH($B$53))))*(1+'Вводные'!$B$65)^MAX(0,(12*(YEAR(EB$3)-YEAR($B$54))+MONTH(EB$3)-MONTH($B$54))))</x:f>
      </x:c>
      <x:c r="EC67" s="107" t="n">
        <x:f>IF(EC66=0,0,'Вводные'!$B$61*'Вводные'!$S$90*'Вводные'!$H$5*'Вводные'!$AG$90*(1+'Вводные'!$B$64)^MAX(0,MIN((12*(YEAR(EC$3)-YEAR($B$53))+MONTH(EC$3)-MONTH($B$53)),(12*(YEAR($B$54)-YEAR($B$53))+MONTH($B$54)-MONTH($B$53))))*(1+'Вводные'!$B$65)^MAX(0,(12*(YEAR(EC$3)-YEAR($B$54))+MONTH(EC$3)-MONTH($B$54))))</x:f>
      </x:c>
      <x:c r="ED67" s="107" t="n">
        <x:f>IF(ED66=0,0,'Вводные'!$B$61*'Вводные'!$S$90*'Вводные'!$H$5*'Вводные'!$AG$90*(1+'Вводные'!$B$64)^MAX(0,MIN((12*(YEAR(ED$3)-YEAR($B$53))+MONTH(ED$3)-MONTH($B$53)),(12*(YEAR($B$54)-YEAR($B$53))+MONTH($B$54)-MONTH($B$53))))*(1+'Вводные'!$B$65)^MAX(0,(12*(YEAR(ED$3)-YEAR($B$54))+MONTH(ED$3)-MONTH($B$54))))</x:f>
      </x:c>
      <x:c r="EE67" s="107" t="n">
        <x:f>IF(EE66=0,0,'Вводные'!$B$61*'Вводные'!$S$90*'Вводные'!$H$5*'Вводные'!$AG$90*(1+'Вводные'!$B$64)^MAX(0,MIN((12*(YEAR(EE$3)-YEAR($B$53))+MONTH(EE$3)-MONTH($B$53)),(12*(YEAR($B$54)-YEAR($B$53))+MONTH($B$54)-MONTH($B$53))))*(1+'Вводные'!$B$65)^MAX(0,(12*(YEAR(EE$3)-YEAR($B$54))+MONTH(EE$3)-MONTH($B$54))))</x:f>
      </x:c>
      <x:c r="EF67" s="107" t="n">
        <x:f>IF(EF66=0,0,'Вводные'!$B$61*'Вводные'!$S$90*'Вводные'!$H$5*'Вводные'!$AG$90*(1+'Вводные'!$B$64)^MAX(0,MIN((12*(YEAR(EF$3)-YEAR($B$53))+MONTH(EF$3)-MONTH($B$53)),(12*(YEAR($B$54)-YEAR($B$53))+MONTH($B$54)-MONTH($B$53))))*(1+'Вводные'!$B$65)^MAX(0,(12*(YEAR(EF$3)-YEAR($B$54))+MONTH(EF$3)-MONTH($B$54))))</x:f>
      </x:c>
      <x:c r="EG67" s="107" t="n">
        <x:f>IF(EG66=0,0,'Вводные'!$B$61*'Вводные'!$S$90*'Вводные'!$H$5*'Вводные'!$AG$90*(1+'Вводные'!$B$64)^MAX(0,MIN((12*(YEAR(EG$3)-YEAR($B$53))+MONTH(EG$3)-MONTH($B$53)),(12*(YEAR($B$54)-YEAR($B$53))+MONTH($B$54)-MONTH($B$53))))*(1+'Вводные'!$B$65)^MAX(0,(12*(YEAR(EG$3)-YEAR($B$54))+MONTH(EG$3)-MONTH($B$54))))</x:f>
      </x:c>
      <x:c r="EH67" s="107" t="n">
        <x:f>IF(EH66=0,0,'Вводные'!$B$61*'Вводные'!$S$90*'Вводные'!$H$5*'Вводные'!$AG$90*(1+'Вводные'!$B$64)^MAX(0,MIN((12*(YEAR(EH$3)-YEAR($B$53))+MONTH(EH$3)-MONTH($B$53)),(12*(YEAR($B$54)-YEAR($B$53))+MONTH($B$54)-MONTH($B$53))))*(1+'Вводные'!$B$65)^MAX(0,(12*(YEAR(EH$3)-YEAR($B$54))+MONTH(EH$3)-MONTH($B$54))))</x:f>
      </x:c>
      <x:c r="EI67" s="107" t="n">
        <x:f>IF(EI66=0,0,'Вводные'!$B$61*'Вводные'!$S$90*'Вводные'!$H$5*'Вводные'!$AG$90*(1+'Вводные'!$B$64)^MAX(0,MIN((12*(YEAR(EI$3)-YEAR($B$53))+MONTH(EI$3)-MONTH($B$53)),(12*(YEAR($B$54)-YEAR($B$53))+MONTH($B$54)-MONTH($B$53))))*(1+'Вводные'!$B$65)^MAX(0,(12*(YEAR(EI$3)-YEAR($B$54))+MONTH(EI$3)-MONTH($B$54))))</x:f>
      </x:c>
      <x:c r="EJ67" s="107" t="n">
        <x:f>IF(EJ66=0,0,'Вводные'!$B$61*'Вводные'!$S$90*'Вводные'!$H$5*'Вводные'!$AG$90*(1+'Вводные'!$B$64)^MAX(0,MIN((12*(YEAR(EJ$3)-YEAR($B$53))+MONTH(EJ$3)-MONTH($B$53)),(12*(YEAR($B$54)-YEAR($B$53))+MONTH($B$54)-MONTH($B$53))))*(1+'Вводные'!$B$65)^MAX(0,(12*(YEAR(EJ$3)-YEAR($B$54))+MONTH(EJ$3)-MONTH($B$54))))</x:f>
      </x:c>
      <x:c r="EK67" s="107" t="n">
        <x:f>IF(EK66=0,0,'Вводные'!$B$61*'Вводные'!$S$90*'Вводные'!$H$5*'Вводные'!$AG$90*(1+'Вводные'!$B$64)^MAX(0,MIN((12*(YEAR(EK$3)-YEAR($B$53))+MONTH(EK$3)-MONTH($B$53)),(12*(YEAR($B$54)-YEAR($B$53))+MONTH($B$54)-MONTH($B$53))))*(1+'Вводные'!$B$65)^MAX(0,(12*(YEAR(EK$3)-YEAR($B$54))+MONTH(EK$3)-MONTH($B$54))))</x:f>
      </x:c>
      <x:c r="EL67" s="107" t="n">
        <x:f>IF(EL66=0,0,'Вводные'!$B$61*'Вводные'!$S$90*'Вводные'!$H$5*'Вводные'!$AG$90*(1+'Вводные'!$B$64)^MAX(0,MIN((12*(YEAR(EL$3)-YEAR($B$53))+MONTH(EL$3)-MONTH($B$53)),(12*(YEAR($B$54)-YEAR($B$53))+MONTH($B$54)-MONTH($B$53))))*(1+'Вводные'!$B$65)^MAX(0,(12*(YEAR(EL$3)-YEAR($B$54))+MONTH(EL$3)-MONTH($B$54))))</x:f>
      </x:c>
      <x:c r="EM67" s="107" t="n">
        <x:f>IF(EM66=0,0,'Вводные'!$B$61*'Вводные'!$S$90*'Вводные'!$H$5*'Вводные'!$AG$90*(1+'Вводные'!$B$64)^MAX(0,MIN((12*(YEAR(EM$3)-YEAR($B$53))+MONTH(EM$3)-MONTH($B$53)),(12*(YEAR($B$54)-YEAR($B$53))+MONTH($B$54)-MONTH($B$53))))*(1+'Вводные'!$B$65)^MAX(0,(12*(YEAR(EM$3)-YEAR($B$54))+MONTH(EM$3)-MONTH($B$54))))</x:f>
      </x:c>
      <x:c r="EN67" s="107" t="n">
        <x:f>IF(EN66=0,0,'Вводные'!$B$61*'Вводные'!$S$90*'Вводные'!$H$5*'Вводные'!$AG$90*(1+'Вводные'!$B$64)^MAX(0,MIN((12*(YEAR(EN$3)-YEAR($B$53))+MONTH(EN$3)-MONTH($B$53)),(12*(YEAR($B$54)-YEAR($B$53))+MONTH($B$54)-MONTH($B$53))))*(1+'Вводные'!$B$65)^MAX(0,(12*(YEAR(EN$3)-YEAR($B$54))+MONTH(EN$3)-MONTH($B$54))))</x:f>
      </x:c>
      <x:c r="EO67" s="107" t="n">
        <x:f>IF(EO66=0,0,'Вводные'!$B$61*'Вводные'!$S$90*'Вводные'!$H$5*'Вводные'!$AG$90*(1+'Вводные'!$B$64)^MAX(0,MIN((12*(YEAR(EO$3)-YEAR($B$53))+MONTH(EO$3)-MONTH($B$53)),(12*(YEAR($B$54)-YEAR($B$53))+MONTH($B$54)-MONTH($B$53))))*(1+'Вводные'!$B$65)^MAX(0,(12*(YEAR(EO$3)-YEAR($B$54))+MONTH(EO$3)-MONTH($B$54))))</x:f>
      </x:c>
      <x:c r="EP67" s="107" t="n">
        <x:f>IF(EP66=0,0,'Вводные'!$B$61*'Вводные'!$S$90*'Вводные'!$H$5*'Вводные'!$AG$90*(1+'Вводные'!$B$64)^MAX(0,MIN((12*(YEAR(EP$3)-YEAR($B$53))+MONTH(EP$3)-MONTH($B$53)),(12*(YEAR($B$54)-YEAR($B$53))+MONTH($B$54)-MONTH($B$53))))*(1+'Вводные'!$B$65)^MAX(0,(12*(YEAR(EP$3)-YEAR($B$54))+MONTH(EP$3)-MONTH($B$54))))</x:f>
      </x:c>
      <x:c r="EQ67" s="107" t="n">
        <x:f>IF(EQ66=0,0,'Вводные'!$B$61*'Вводные'!$S$90*'Вводные'!$H$5*'Вводные'!$AG$90*(1+'Вводные'!$B$64)^MAX(0,MIN((12*(YEAR(EQ$3)-YEAR($B$53))+MONTH(EQ$3)-MONTH($B$53)),(12*(YEAR($B$54)-YEAR($B$53))+MONTH($B$54)-MONTH($B$53))))*(1+'Вводные'!$B$65)^MAX(0,(12*(YEAR(EQ$3)-YEAR($B$54))+MONTH(EQ$3)-MONTH($B$54))))</x:f>
      </x:c>
      <x:c r="ER67" s="107" t="n">
        <x:f>IF(ER66=0,0,'Вводные'!$B$61*'Вводные'!$S$90*'Вводные'!$H$5*'Вводные'!$AG$90*(1+'Вводные'!$B$64)^MAX(0,MIN((12*(YEAR(ER$3)-YEAR($B$53))+MONTH(ER$3)-MONTH($B$53)),(12*(YEAR($B$54)-YEAR($B$53))+MONTH($B$54)-MONTH($B$53))))*(1+'Вводные'!$B$65)^MAX(0,(12*(YEAR(ER$3)-YEAR($B$54))+MONTH(ER$3)-MONTH($B$54))))</x:f>
      </x:c>
      <x:c r="ES67" s="107" t="n">
        <x:f>IF(ES66=0,0,'Вводные'!$B$61*'Вводные'!$S$90*'Вводные'!$H$5*'Вводные'!$AG$90*(1+'Вводные'!$B$64)^MAX(0,MIN((12*(YEAR(ES$3)-YEAR($B$53))+MONTH(ES$3)-MONTH($B$53)),(12*(YEAR($B$54)-YEAR($B$53))+MONTH($B$54)-MONTH($B$53))))*(1+'Вводные'!$B$65)^MAX(0,(12*(YEAR(ES$3)-YEAR($B$54))+MONTH(ES$3)-MONTH($B$54))))</x:f>
      </x:c>
      <x:c r="ET67" s="107" t="n">
        <x:f>IF(ET66=0,0,'Вводные'!$B$61*'Вводные'!$S$90*'Вводные'!$H$5*'Вводные'!$AG$90*(1+'Вводные'!$B$64)^MAX(0,MIN((12*(YEAR(ET$3)-YEAR($B$53))+MONTH(ET$3)-MONTH($B$53)),(12*(YEAR($B$54)-YEAR($B$53))+MONTH($B$54)-MONTH($B$53))))*(1+'Вводные'!$B$65)^MAX(0,(12*(YEAR(ET$3)-YEAR($B$54))+MONTH(ET$3)-MONTH($B$54))))</x:f>
      </x:c>
      <x:c r="EU67" s="107" t="n">
        <x:f>IF(EU66=0,0,'Вводные'!$B$61*'Вводные'!$S$90*'Вводные'!$H$5*'Вводные'!$AG$90*(1+'Вводные'!$B$64)^MAX(0,MIN((12*(YEAR(EU$3)-YEAR($B$53))+MONTH(EU$3)-MONTH($B$53)),(12*(YEAR($B$54)-YEAR($B$53))+MONTH($B$54)-MONTH($B$53))))*(1+'Вводные'!$B$65)^MAX(0,(12*(YEAR(EU$3)-YEAR($B$54))+MONTH(EU$3)-MONTH($B$54))))</x:f>
      </x:c>
      <x:c r="EV67" s="107" t="n">
        <x:f>IF(EV66=0,0,'Вводные'!$B$61*'Вводные'!$S$90*'Вводные'!$H$5*'Вводные'!$AG$90*(1+'Вводные'!$B$64)^MAX(0,MIN((12*(YEAR(EV$3)-YEAR($B$53))+MONTH(EV$3)-MONTH($B$53)),(12*(YEAR($B$54)-YEAR($B$53))+MONTH($B$54)-MONTH($B$53))))*(1+'Вводные'!$B$65)^MAX(0,(12*(YEAR(EV$3)-YEAR($B$54))+MONTH(EV$3)-MONTH($B$54))))</x:f>
      </x:c>
      <x:c r="EW67" s="107" t="n">
        <x:f>IF(EW66=0,0,'Вводные'!$B$61*'Вводные'!$S$90*'Вводные'!$H$5*'Вводные'!$AG$90*(1+'Вводные'!$B$64)^MAX(0,MIN((12*(YEAR(EW$3)-YEAR($B$53))+MONTH(EW$3)-MONTH($B$53)),(12*(YEAR($B$54)-YEAR($B$53))+MONTH($B$54)-MONTH($B$53))))*(1+'Вводные'!$B$65)^MAX(0,(12*(YEAR(EW$3)-YEAR($B$54))+MONTH(EW$3)-MONTH($B$54))))</x:f>
      </x:c>
      <x:c r="EX67" s="107" t="n">
        <x:f>IF(EX66=0,0,'Вводные'!$B$61*'Вводные'!$S$90*'Вводные'!$H$5*'Вводные'!$AG$90*(1+'Вводные'!$B$64)^MAX(0,MIN((12*(YEAR(EX$3)-YEAR($B$53))+MONTH(EX$3)-MONTH($B$53)),(12*(YEAR($B$54)-YEAR($B$53))+MONTH($B$54)-MONTH($B$53))))*(1+'Вводные'!$B$65)^MAX(0,(12*(YEAR(EX$3)-YEAR($B$54))+MONTH(EX$3)-MONTH($B$54))))</x:f>
      </x:c>
      <x:c r="EY67" s="107" t="n">
        <x:f>IF(EY66=0,0,'Вводные'!$B$61*'Вводные'!$S$90*'Вводные'!$H$5*'Вводные'!$AG$90*(1+'Вводные'!$B$64)^MAX(0,MIN((12*(YEAR(EY$3)-YEAR($B$53))+MONTH(EY$3)-MONTH($B$53)),(12*(YEAR($B$54)-YEAR($B$53))+MONTH($B$54)-MONTH($B$53))))*(1+'Вводные'!$B$65)^MAX(0,(12*(YEAR(EY$3)-YEAR($B$54))+MONTH(EY$3)-MONTH($B$54))))</x:f>
      </x:c>
      <x:c r="EZ67" s="107" t="n">
        <x:f>IF(EZ66=0,0,'Вводные'!$B$61*'Вводные'!$S$90*'Вводные'!$H$5*'Вводные'!$AG$90*(1+'Вводные'!$B$64)^MAX(0,MIN((12*(YEAR(EZ$3)-YEAR($B$53))+MONTH(EZ$3)-MONTH($B$53)),(12*(YEAR($B$54)-YEAR($B$53))+MONTH($B$54)-MONTH($B$53))))*(1+'Вводные'!$B$65)^MAX(0,(12*(YEAR(EZ$3)-YEAR($B$54))+MONTH(EZ$3)-MONTH($B$54))))</x:f>
      </x:c>
      <x:c r="FA67" s="107" t="n">
        <x:f>IF(FA66=0,0,'Вводные'!$B$61*'Вводные'!$S$90*'Вводные'!$H$5*'Вводные'!$AG$90*(1+'Вводные'!$B$64)^MAX(0,MIN((12*(YEAR(FA$3)-YEAR($B$53))+MONTH(FA$3)-MONTH($B$53)),(12*(YEAR($B$54)-YEAR($B$53))+MONTH($B$54)-MONTH($B$53))))*(1+'Вводные'!$B$65)^MAX(0,(12*(YEAR(FA$3)-YEAR($B$54))+MONTH(FA$3)-MONTH($B$54))))</x:f>
      </x:c>
      <x:c r="FB67" s="107" t="n">
        <x:f>IF(FB66=0,0,'Вводные'!$B$61*'Вводные'!$S$90*'Вводные'!$H$5*'Вводные'!$AG$90*(1+'Вводные'!$B$64)^MAX(0,MIN((12*(YEAR(FB$3)-YEAR($B$53))+MONTH(FB$3)-MONTH($B$53)),(12*(YEAR($B$54)-YEAR($B$53))+MONTH($B$54)-MONTH($B$53))))*(1+'Вводные'!$B$65)^MAX(0,(12*(YEAR(FB$3)-YEAR($B$54))+MONTH(FB$3)-MONTH($B$54))))</x:f>
      </x:c>
      <x:c r="FC67" s="107" t="n">
        <x:f>IF(FC66=0,0,'Вводные'!$B$61*'Вводные'!$S$90*'Вводные'!$H$5*'Вводные'!$AG$90*(1+'Вводные'!$B$64)^MAX(0,MIN((12*(YEAR(FC$3)-YEAR($B$53))+MONTH(FC$3)-MONTH($B$53)),(12*(YEAR($B$54)-YEAR($B$53))+MONTH($B$54)-MONTH($B$53))))*(1+'Вводные'!$B$65)^MAX(0,(12*(YEAR(FC$3)-YEAR($B$54))+MONTH(FC$3)-MONTH($B$54))))</x:f>
      </x:c>
      <x:c r="FD67" s="107" t="n">
        <x:f>IF(FD66=0,0,'Вводные'!$B$61*'Вводные'!$S$90*'Вводные'!$H$5*'Вводные'!$AG$90*(1+'Вводные'!$B$64)^MAX(0,MIN((12*(YEAR(FD$3)-YEAR($B$53))+MONTH(FD$3)-MONTH($B$53)),(12*(YEAR($B$54)-YEAR($B$53))+MONTH($B$54)-MONTH($B$53))))*(1+'Вводные'!$B$65)^MAX(0,(12*(YEAR(FD$3)-YEAR($B$54))+MONTH(FD$3)-MONTH($B$54))))</x:f>
      </x:c>
      <x:c r="FE67" s="107" t="n">
        <x:f>IF(FE66=0,0,'Вводные'!$B$61*'Вводные'!$S$90*'Вводные'!$H$5*'Вводные'!$AG$90*(1+'Вводные'!$B$64)^MAX(0,MIN((12*(YEAR(FE$3)-YEAR($B$53))+MONTH(FE$3)-MONTH($B$53)),(12*(YEAR($B$54)-YEAR($B$53))+MONTH($B$54)-MONTH($B$53))))*(1+'Вводные'!$B$65)^MAX(0,(12*(YEAR(FE$3)-YEAR($B$54))+MONTH(FE$3)-MONTH($B$54))))</x:f>
      </x:c>
      <x:c r="FF67" s="107" t="n">
        <x:f>IF(FF66=0,0,'Вводные'!$B$61*'Вводные'!$S$90*'Вводные'!$H$5*'Вводные'!$AG$90*(1+'Вводные'!$B$64)^MAX(0,MIN((12*(YEAR(FF$3)-YEAR($B$53))+MONTH(FF$3)-MONTH($B$53)),(12*(YEAR($B$54)-YEAR($B$53))+MONTH($B$54)-MONTH($B$53))))*(1+'Вводные'!$B$65)^MAX(0,(12*(YEAR(FF$3)-YEAR($B$54))+MONTH(FF$3)-MONTH($B$54))))</x:f>
      </x:c>
      <x:c r="FG67" s="107" t="n">
        <x:f>IF(FG66=0,0,'Вводные'!$B$61*'Вводные'!$S$90*'Вводные'!$H$5*'Вводные'!$AG$90*(1+'Вводные'!$B$64)^MAX(0,MIN((12*(YEAR(FG$3)-YEAR($B$53))+MONTH(FG$3)-MONTH($B$53)),(12*(YEAR($B$54)-YEAR($B$53))+MONTH($B$54)-MONTH($B$53))))*(1+'Вводные'!$B$65)^MAX(0,(12*(YEAR(FG$3)-YEAR($B$54))+MONTH(FG$3)-MONTH($B$54))))</x:f>
      </x:c>
      <x:c r="FH67" s="107" t="n">
        <x:f>IF(FH66=0,0,'Вводные'!$B$61*'Вводные'!$S$90*'Вводные'!$H$5*'Вводные'!$AG$90*(1+'Вводные'!$B$64)^MAX(0,MIN((12*(YEAR(FH$3)-YEAR($B$53))+MONTH(FH$3)-MONTH($B$53)),(12*(YEAR($B$54)-YEAR($B$53))+MONTH($B$54)-MONTH($B$53))))*(1+'Вводные'!$B$65)^MAX(0,(12*(YEAR(FH$3)-YEAR($B$54))+MONTH(FH$3)-MONTH($B$54))))</x:f>
      </x:c>
      <x:c r="FI67" s="107" t="n">
        <x:f>IF(FI66=0,0,'Вводные'!$B$61*'Вводные'!$S$90*'Вводные'!$H$5*'Вводные'!$AG$90*(1+'Вводные'!$B$64)^MAX(0,MIN((12*(YEAR(FI$3)-YEAR($B$53))+MONTH(FI$3)-MONTH($B$53)),(12*(YEAR($B$54)-YEAR($B$53))+MONTH($B$54)-MONTH($B$53))))*(1+'Вводные'!$B$65)^MAX(0,(12*(YEAR(FI$3)-YEAR($B$54))+MONTH(FI$3)-MONTH($B$54))))</x:f>
      </x:c>
      <x:c r="FJ67" s="107" t="n">
        <x:f>IF(FJ66=0,0,'Вводные'!$B$61*'Вводные'!$S$90*'Вводные'!$H$5*'Вводные'!$AG$90*(1+'Вводные'!$B$64)^MAX(0,MIN((12*(YEAR(FJ$3)-YEAR($B$53))+MONTH(FJ$3)-MONTH($B$53)),(12*(YEAR($B$54)-YEAR($B$53))+MONTH($B$54)-MONTH($B$53))))*(1+'Вводные'!$B$65)^MAX(0,(12*(YEAR(FJ$3)-YEAR($B$54))+MONTH(FJ$3)-MONTH($B$54))))</x:f>
      </x:c>
      <x:c r="FK67" s="107" t="n">
        <x:f>IF(FK66=0,0,'Вводные'!$B$61*'Вводные'!$S$90*'Вводные'!$H$5*'Вводные'!$AG$90*(1+'Вводные'!$B$64)^MAX(0,MIN((12*(YEAR(FK$3)-YEAR($B$53))+MONTH(FK$3)-MONTH($B$53)),(12*(YEAR($B$54)-YEAR($B$53))+MONTH($B$54)-MONTH($B$53))))*(1+'Вводные'!$B$65)^MAX(0,(12*(YEAR(FK$3)-YEAR($B$54))+MONTH(FK$3)-MONTH($B$54))))</x:f>
      </x:c>
      <x:c r="FL67" s="107" t="n">
        <x:f>IF(FL66=0,0,'Вводные'!$B$61*'Вводные'!$S$90*'Вводные'!$H$5*'Вводные'!$AG$90*(1+'Вводные'!$B$64)^MAX(0,MIN((12*(YEAR(FL$3)-YEAR($B$53))+MONTH(FL$3)-MONTH($B$53)),(12*(YEAR($B$54)-YEAR($B$53))+MONTH($B$54)-MONTH($B$53))))*(1+'Вводные'!$B$65)^MAX(0,(12*(YEAR(FL$3)-YEAR($B$54))+MONTH(FL$3)-MONTH($B$54))))</x:f>
      </x:c>
      <x:c r="FM67" s="107" t="n">
        <x:f>IF(FM66=0,0,'Вводные'!$B$61*'Вводные'!$S$90*'Вводные'!$H$5*'Вводные'!$AG$90*(1+'Вводные'!$B$64)^MAX(0,MIN((12*(YEAR(FM$3)-YEAR($B$53))+MONTH(FM$3)-MONTH($B$53)),(12*(YEAR($B$54)-YEAR($B$53))+MONTH($B$54)-MONTH($B$53))))*(1+'Вводные'!$B$65)^MAX(0,(12*(YEAR(FM$3)-YEAR($B$54))+MONTH(FM$3)-MONTH($B$54))))</x:f>
      </x:c>
      <x:c r="FN67" s="107" t="n">
        <x:f>IF(FN66=0,0,'Вводные'!$B$61*'Вводные'!$S$90*'Вводные'!$H$5*'Вводные'!$AG$90*(1+'Вводные'!$B$64)^MAX(0,MIN((12*(YEAR(FN$3)-YEAR($B$53))+MONTH(FN$3)-MONTH($B$53)),(12*(YEAR($B$54)-YEAR($B$53))+MONTH($B$54)-MONTH($B$53))))*(1+'Вводные'!$B$65)^MAX(0,(12*(YEAR(FN$3)-YEAR($B$54))+MONTH(FN$3)-MONTH($B$54))))</x:f>
      </x:c>
      <x:c r="FO67" s="107" t="n">
        <x:f>IF(FO66=0,0,'Вводные'!$B$61*'Вводные'!$S$90*'Вводные'!$H$5*'Вводные'!$AG$90*(1+'Вводные'!$B$64)^MAX(0,MIN((12*(YEAR(FO$3)-YEAR($B$53))+MONTH(FO$3)-MONTH($B$53)),(12*(YEAR($B$54)-YEAR($B$53))+MONTH($B$54)-MONTH($B$53))))*(1+'Вводные'!$B$65)^MAX(0,(12*(YEAR(FO$3)-YEAR($B$54))+MONTH(FO$3)-MONTH($B$54))))</x:f>
      </x:c>
      <x:c r="FP67" s="107" t="n">
        <x:f>IF(FP66=0,0,'Вводные'!$B$61*'Вводные'!$S$90*'Вводные'!$H$5*'Вводные'!$AG$90*(1+'Вводные'!$B$64)^MAX(0,MIN((12*(YEAR(FP$3)-YEAR($B$53))+MONTH(FP$3)-MONTH($B$53)),(12*(YEAR($B$54)-YEAR($B$53))+MONTH($B$54)-MONTH($B$53))))*(1+'Вводные'!$B$65)^MAX(0,(12*(YEAR(FP$3)-YEAR($B$54))+MONTH(FP$3)-MONTH($B$54))))</x:f>
      </x:c>
      <x:c r="FQ67" s="107" t="n">
        <x:f>IF(FQ66=0,0,'Вводные'!$B$61*'Вводные'!$S$90*'Вводные'!$H$5*'Вводные'!$AG$90*(1+'Вводные'!$B$64)^MAX(0,MIN((12*(YEAR(FQ$3)-YEAR($B$53))+MONTH(FQ$3)-MONTH($B$53)),(12*(YEAR($B$54)-YEAR($B$53))+MONTH($B$54)-MONTH($B$53))))*(1+'Вводные'!$B$65)^MAX(0,(12*(YEAR(FQ$3)-YEAR($B$54))+MONTH(FQ$3)-MONTH($B$54))))</x:f>
      </x:c>
      <x:c r="FR67" s="107" t="n">
        <x:f>IF(FR66=0,0,'Вводные'!$B$61*'Вводные'!$S$90*'Вводные'!$H$5*'Вводные'!$AG$90*(1+'Вводные'!$B$64)^MAX(0,MIN((12*(YEAR(FR$3)-YEAR($B$53))+MONTH(FR$3)-MONTH($B$53)),(12*(YEAR($B$54)-YEAR($B$53))+MONTH($B$54)-MONTH($B$53))))*(1+'Вводные'!$B$65)^MAX(0,(12*(YEAR(FR$3)-YEAR($B$54))+MONTH(FR$3)-MONTH($B$54))))</x:f>
      </x:c>
      <x:c r="FS67" s="107" t="n">
        <x:f>IF(FS66=0,0,'Вводные'!$B$61*'Вводные'!$S$90*'Вводные'!$H$5*'Вводные'!$AG$90*(1+'Вводные'!$B$64)^MAX(0,MIN((12*(YEAR(FS$3)-YEAR($B$53))+MONTH(FS$3)-MONTH($B$53)),(12*(YEAR($B$54)-YEAR($B$53))+MONTH($B$54)-MONTH($B$53))))*(1+'Вводные'!$B$65)^MAX(0,(12*(YEAR(FS$3)-YEAR($B$54))+MONTH(FS$3)-MONTH($B$54))))</x:f>
      </x:c>
      <x:c r="FT67" s="107" t="n">
        <x:f>IF(FT66=0,0,'Вводные'!$B$61*'Вводные'!$S$90*'Вводные'!$H$5*'Вводные'!$AG$90*(1+'Вводные'!$B$64)^MAX(0,MIN((12*(YEAR(FT$3)-YEAR($B$53))+MONTH(FT$3)-MONTH($B$53)),(12*(YEAR($B$54)-YEAR($B$53))+MONTH($B$54)-MONTH($B$53))))*(1+'Вводные'!$B$65)^MAX(0,(12*(YEAR(FT$3)-YEAR($B$54))+MONTH(FT$3)-MONTH($B$54))))</x:f>
      </x:c>
      <x:c r="FU67" s="107" t="n">
        <x:f>IF(FU66=0,0,'Вводные'!$B$61*'Вводные'!$S$90*'Вводные'!$H$5*'Вводные'!$AG$90*(1+'Вводные'!$B$64)^MAX(0,MIN((12*(YEAR(FU$3)-YEAR($B$53))+MONTH(FU$3)-MONTH($B$53)),(12*(YEAR($B$54)-YEAR($B$53))+MONTH($B$54)-MONTH($B$53))))*(1+'Вводные'!$B$65)^MAX(0,(12*(YEAR(FU$3)-YEAR($B$54))+MONTH(FU$3)-MONTH($B$54))))</x:f>
      </x:c>
      <x:c r="FV67" s="107" t="n">
        <x:f>IF(FV66=0,0,'Вводные'!$B$61*'Вводные'!$S$90*'Вводные'!$H$5*'Вводные'!$AG$90*(1+'Вводные'!$B$64)^MAX(0,MIN((12*(YEAR(FV$3)-YEAR($B$53))+MONTH(FV$3)-MONTH($B$53)),(12*(YEAR($B$54)-YEAR($B$53))+MONTH($B$54)-MONTH($B$53))))*(1+'Вводные'!$B$65)^MAX(0,(12*(YEAR(FV$3)-YEAR($B$54))+MONTH(FV$3)-MONTH($B$54))))</x:f>
      </x:c>
      <x:c r="FW67" s="107" t="n">
        <x:f>IF(FW66=0,0,'Вводные'!$B$61*'Вводные'!$S$90*'Вводные'!$H$5*'Вводные'!$AG$90*(1+'Вводные'!$B$64)^MAX(0,MIN((12*(YEAR(FW$3)-YEAR($B$53))+MONTH(FW$3)-MONTH($B$53)),(12*(YEAR($B$54)-YEAR($B$53))+MONTH($B$54)-MONTH($B$53))))*(1+'Вводные'!$B$65)^MAX(0,(12*(YEAR(FW$3)-YEAR($B$54))+MONTH(FW$3)-MONTH($B$54))))</x:f>
      </x:c>
      <x:c r="FX67" s="107" t="n">
        <x:f>IF(FX66=0,0,'Вводные'!$B$61*'Вводные'!$S$90*'Вводные'!$H$5*'Вводные'!$AG$90*(1+'Вводные'!$B$64)^MAX(0,MIN((12*(YEAR(FX$3)-YEAR($B$53))+MONTH(FX$3)-MONTH($B$53)),(12*(YEAR($B$54)-YEAR($B$53))+MONTH($B$54)-MONTH($B$53))))*(1+'Вводные'!$B$65)^MAX(0,(12*(YEAR(FX$3)-YEAR($B$54))+MONTH(FX$3)-MONTH($B$54))))</x:f>
      </x:c>
      <x:c r="FY67" s="107" t="n">
        <x:f>IF(FY66=0,0,'Вводные'!$B$61*'Вводные'!$S$90*'Вводные'!$H$5*'Вводные'!$AG$90*(1+'Вводные'!$B$64)^MAX(0,MIN((12*(YEAR(FY$3)-YEAR($B$53))+MONTH(FY$3)-MONTH($B$53)),(12*(YEAR($B$54)-YEAR($B$53))+MONTH($B$54)-MONTH($B$53))))*(1+'Вводные'!$B$65)^MAX(0,(12*(YEAR(FY$3)-YEAR($B$54))+MONTH(FY$3)-MONTH($B$54))))</x:f>
      </x:c>
      <x:c r="FZ67" s="107" t="n">
        <x:f>IF(FZ66=0,0,'Вводные'!$B$61*'Вводные'!$S$90*'Вводные'!$H$5*'Вводные'!$AG$90*(1+'Вводные'!$B$64)^MAX(0,MIN((12*(YEAR(FZ$3)-YEAR($B$53))+MONTH(FZ$3)-MONTH($B$53)),(12*(YEAR($B$54)-YEAR($B$53))+MONTH($B$54)-MONTH($B$53))))*(1+'Вводные'!$B$65)^MAX(0,(12*(YEAR(FZ$3)-YEAR($B$54))+MONTH(FZ$3)-MONTH($B$54))))</x:f>
      </x:c>
      <x:c r="GA67" s="107" t="n">
        <x:f>IF(GA66=0,0,'Вводные'!$B$61*'Вводные'!$S$90*'Вводные'!$H$5*'Вводные'!$AG$90*(1+'Вводные'!$B$64)^MAX(0,MIN((12*(YEAR(GA$3)-YEAR($B$53))+MONTH(GA$3)-MONTH($B$53)),(12*(YEAR($B$54)-YEAR($B$53))+MONTH($B$54)-MONTH($B$53))))*(1+'Вводные'!$B$65)^MAX(0,(12*(YEAR(GA$3)-YEAR($B$54))+MONTH(GA$3)-MONTH($B$54))))</x:f>
      </x:c>
    </x:row>
    <x:row r="68">
      <x:c r="A68" t="str">
        <x:v>Паркинг — выручка</x:v>
      </x:c>
      <x:c r="B68" t="n">
        <x:f>SUM(D68:GA68)</x:f>
      </x:c>
      <x:c r="C68" t="str">
        <x:v>млн ₽</x:v>
      </x:c>
      <x:c r="D68" s="107" t="n">
        <x:f>D66*D67/1000</x:f>
      </x:c>
      <x:c r="E68" s="107" t="n">
        <x:f>E66*E67/1000</x:f>
      </x:c>
      <x:c r="F68" s="107" t="n">
        <x:f>F66*F67/1000</x:f>
      </x:c>
      <x:c r="G68" s="107" t="n">
        <x:f>G66*G67/1000</x:f>
      </x:c>
      <x:c r="H68" s="107" t="n">
        <x:f>H66*H67/1000</x:f>
      </x:c>
      <x:c r="I68" s="107" t="n">
        <x:f>I66*I67/1000</x:f>
      </x:c>
      <x:c r="J68" s="107" t="n">
        <x:f>J66*J67/1000</x:f>
      </x:c>
      <x:c r="K68" s="107" t="n">
        <x:f>K66*K67/1000</x:f>
      </x:c>
      <x:c r="L68" s="107" t="n">
        <x:f>L66*L67/1000</x:f>
      </x:c>
      <x:c r="M68" s="107" t="n">
        <x:f>M66*M67/1000</x:f>
      </x:c>
      <x:c r="N68" s="107" t="n">
        <x:f>N66*N67/1000</x:f>
      </x:c>
      <x:c r="O68" s="107" t="n">
        <x:f>O66*O67/1000</x:f>
      </x:c>
      <x:c r="P68" s="107" t="n">
        <x:f>P66*P67/1000</x:f>
      </x:c>
      <x:c r="Q68" s="107" t="n">
        <x:f>Q66*Q67/1000</x:f>
      </x:c>
      <x:c r="R68" s="107" t="n">
        <x:f>R66*R67/1000</x:f>
      </x:c>
      <x:c r="S68" s="107" t="n">
        <x:f>S66*S67/1000</x:f>
      </x:c>
      <x:c r="T68" s="107" t="n">
        <x:f>T66*T67/1000</x:f>
      </x:c>
      <x:c r="U68" s="107" t="n">
        <x:f>U66*U67/1000</x:f>
      </x:c>
      <x:c r="V68" s="107" t="n">
        <x:f>V66*V67/1000</x:f>
      </x:c>
      <x:c r="W68" s="107" t="n">
        <x:f>W66*W67/1000</x:f>
      </x:c>
      <x:c r="X68" s="107" t="n">
        <x:f>X66*X67/1000</x:f>
      </x:c>
      <x:c r="Y68" s="107" t="n">
        <x:f>Y66*Y67/1000</x:f>
      </x:c>
      <x:c r="Z68" s="107" t="n">
        <x:f>Z66*Z67/1000</x:f>
      </x:c>
      <x:c r="AA68" s="107" t="n">
        <x:f>AA66*AA67/1000</x:f>
      </x:c>
      <x:c r="AB68" s="107" t="n">
        <x:f>AB66*AB67/1000</x:f>
      </x:c>
      <x:c r="AC68" s="107" t="n">
        <x:f>AC66*AC67/1000</x:f>
      </x:c>
      <x:c r="AD68" s="107" t="n">
        <x:f>AD66*AD67/1000</x:f>
      </x:c>
      <x:c r="AE68" s="107" t="n">
        <x:f>AE66*AE67/1000</x:f>
      </x:c>
      <x:c r="AF68" s="107" t="n">
        <x:f>AF66*AF67/1000</x:f>
      </x:c>
      <x:c r="AG68" s="107" t="n">
        <x:f>AG66*AG67/1000</x:f>
      </x:c>
      <x:c r="AH68" s="107" t="n">
        <x:f>AH66*AH67/1000</x:f>
      </x:c>
      <x:c r="AI68" s="107" t="n">
        <x:f>AI66*AI67/1000</x:f>
      </x:c>
      <x:c r="AJ68" s="107" t="n">
        <x:f>AJ66*AJ67/1000</x:f>
      </x:c>
      <x:c r="AK68" s="107" t="n">
        <x:f>AK66*AK67/1000</x:f>
      </x:c>
      <x:c r="AL68" s="107" t="n">
        <x:f>AL66*AL67/1000</x:f>
      </x:c>
      <x:c r="AM68" s="107" t="n">
        <x:f>AM66*AM67/1000</x:f>
      </x:c>
      <x:c r="AN68" s="107" t="n">
        <x:f>AN66*AN67/1000</x:f>
      </x:c>
      <x:c r="AO68" s="107" t="n">
        <x:f>AO66*AO67/1000</x:f>
      </x:c>
      <x:c r="AP68" s="107" t="n">
        <x:f>AP66*AP67/1000</x:f>
      </x:c>
      <x:c r="AQ68" s="107" t="n">
        <x:f>AQ66*AQ67/1000</x:f>
      </x:c>
      <x:c r="AR68" s="107" t="n">
        <x:f>AR66*AR67/1000</x:f>
      </x:c>
      <x:c r="AS68" s="107" t="n">
        <x:f>AS66*AS67/1000</x:f>
      </x:c>
      <x:c r="AT68" s="107" t="n">
        <x:f>AT66*AT67/1000</x:f>
      </x:c>
      <x:c r="AU68" s="107" t="n">
        <x:f>AU66*AU67/1000</x:f>
      </x:c>
      <x:c r="AV68" s="107" t="n">
        <x:f>AV66*AV67/1000</x:f>
      </x:c>
      <x:c r="AW68" s="107" t="n">
        <x:f>AW66*AW67/1000</x:f>
      </x:c>
      <x:c r="AX68" s="107" t="n">
        <x:f>AX66*AX67/1000</x:f>
      </x:c>
      <x:c r="AY68" s="107" t="n">
        <x:f>AY66*AY67/1000</x:f>
      </x:c>
      <x:c r="AZ68" s="107" t="n">
        <x:f>AZ66*AZ67/1000</x:f>
      </x:c>
      <x:c r="BA68" s="107" t="n">
        <x:f>BA66*BA67/1000</x:f>
      </x:c>
      <x:c r="BB68" s="107" t="n">
        <x:f>BB66*BB67/1000</x:f>
      </x:c>
      <x:c r="BC68" s="107" t="n">
        <x:f>BC66*BC67/1000</x:f>
      </x:c>
      <x:c r="BD68" s="107" t="n">
        <x:f>BD66*BD67/1000</x:f>
      </x:c>
      <x:c r="BE68" s="107" t="n">
        <x:f>BE66*BE67/1000</x:f>
      </x:c>
      <x:c r="BF68" s="107" t="n">
        <x:f>BF66*BF67/1000</x:f>
      </x:c>
      <x:c r="BG68" s="107" t="n">
        <x:f>BG66*BG67/1000</x:f>
      </x:c>
      <x:c r="BH68" s="107" t="n">
        <x:f>BH66*BH67/1000</x:f>
      </x:c>
      <x:c r="BI68" s="107" t="n">
        <x:f>BI66*BI67/1000</x:f>
      </x:c>
      <x:c r="BJ68" s="107" t="n">
        <x:f>BJ66*BJ67/1000</x:f>
      </x:c>
      <x:c r="BK68" s="107" t="n">
        <x:f>BK66*BK67/1000</x:f>
      </x:c>
      <x:c r="BL68" s="107" t="n">
        <x:f>BL66*BL67/1000</x:f>
      </x:c>
      <x:c r="BM68" s="107" t="n">
        <x:f>BM66*BM67/1000</x:f>
      </x:c>
      <x:c r="BN68" s="107" t="n">
        <x:f>BN66*BN67/1000</x:f>
      </x:c>
      <x:c r="BO68" s="107" t="n">
        <x:f>BO66*BO67/1000</x:f>
      </x:c>
      <x:c r="BP68" s="107" t="n">
        <x:f>BP66*BP67/1000</x:f>
      </x:c>
      <x:c r="BQ68" s="107" t="n">
        <x:f>BQ66*BQ67/1000</x:f>
      </x:c>
      <x:c r="BR68" s="107" t="n">
        <x:f>BR66*BR67/1000</x:f>
      </x:c>
      <x:c r="BS68" s="107" t="n">
        <x:f>BS66*BS67/1000</x:f>
      </x:c>
      <x:c r="BT68" s="107" t="n">
        <x:f>BT66*BT67/1000</x:f>
      </x:c>
      <x:c r="BU68" s="107" t="n">
        <x:f>BU66*BU67/1000</x:f>
      </x:c>
      <x:c r="BV68" s="107" t="n">
        <x:f>BV66*BV67/1000</x:f>
      </x:c>
      <x:c r="BW68" s="107" t="n">
        <x:f>BW66*BW67/1000</x:f>
      </x:c>
      <x:c r="BX68" s="107" t="n">
        <x:f>BX66*BX67/1000</x:f>
      </x:c>
      <x:c r="BY68" s="107" t="n">
        <x:f>BY66*BY67/1000</x:f>
      </x:c>
      <x:c r="BZ68" s="107" t="n">
        <x:f>BZ66*BZ67/1000</x:f>
      </x:c>
      <x:c r="CA68" s="107" t="n">
        <x:f>CA66*CA67/1000</x:f>
      </x:c>
      <x:c r="CB68" s="107" t="n">
        <x:f>CB66*CB67/1000</x:f>
      </x:c>
      <x:c r="CC68" s="107" t="n">
        <x:f>CC66*CC67/1000</x:f>
      </x:c>
      <x:c r="CD68" s="107" t="n">
        <x:f>CD66*CD67/1000</x:f>
      </x:c>
      <x:c r="CE68" s="107" t="n">
        <x:f>CE66*CE67/1000</x:f>
      </x:c>
      <x:c r="CF68" s="107" t="n">
        <x:f>CF66*CF67/1000</x:f>
      </x:c>
      <x:c r="CG68" s="107" t="n">
        <x:f>CG66*CG67/1000</x:f>
      </x:c>
      <x:c r="CH68" s="107" t="n">
        <x:f>CH66*CH67/1000</x:f>
      </x:c>
      <x:c r="CI68" s="107" t="n">
        <x:f>CI66*CI67/1000</x:f>
      </x:c>
      <x:c r="CJ68" s="107" t="n">
        <x:f>CJ66*CJ67/1000</x:f>
      </x:c>
      <x:c r="CK68" s="107" t="n">
        <x:f>CK66*CK67/1000</x:f>
      </x:c>
      <x:c r="CL68" s="107" t="n">
        <x:f>CL66*CL67/1000</x:f>
      </x:c>
      <x:c r="CM68" s="107" t="n">
        <x:f>CM66*CM67/1000</x:f>
      </x:c>
      <x:c r="CN68" s="107" t="n">
        <x:f>CN66*CN67/1000</x:f>
      </x:c>
      <x:c r="CO68" s="107" t="n">
        <x:f>CO66*CO67/1000</x:f>
      </x:c>
      <x:c r="CP68" s="107" t="n">
        <x:f>CP66*CP67/1000</x:f>
      </x:c>
      <x:c r="CQ68" s="107" t="n">
        <x:f>CQ66*CQ67/1000</x:f>
      </x:c>
      <x:c r="CR68" s="107" t="n">
        <x:f>CR66*CR67/1000</x:f>
      </x:c>
      <x:c r="CS68" s="107" t="n">
        <x:f>CS66*CS67/1000</x:f>
      </x:c>
      <x:c r="CT68" s="107" t="n">
        <x:f>CT66*CT67/1000</x:f>
      </x:c>
      <x:c r="CU68" s="107" t="n">
        <x:f>CU66*CU67/1000</x:f>
      </x:c>
      <x:c r="CV68" s="107" t="n">
        <x:f>CV66*CV67/1000</x:f>
      </x:c>
      <x:c r="CW68" s="107" t="n">
        <x:f>CW66*CW67/1000</x:f>
      </x:c>
      <x:c r="CX68" s="107" t="n">
        <x:f>CX66*CX67/1000</x:f>
      </x:c>
      <x:c r="CY68" s="107" t="n">
        <x:f>CY66*CY67/1000</x:f>
      </x:c>
      <x:c r="CZ68" s="107" t="n">
        <x:f>CZ66*CZ67/1000</x:f>
      </x:c>
      <x:c r="DA68" s="107" t="n">
        <x:f>DA66*DA67/1000</x:f>
      </x:c>
      <x:c r="DB68" s="107" t="n">
        <x:f>DB66*DB67/1000</x:f>
      </x:c>
      <x:c r="DC68" s="107" t="n">
        <x:f>DC66*DC67/1000</x:f>
      </x:c>
      <x:c r="DD68" s="107" t="n">
        <x:f>DD66*DD67/1000</x:f>
      </x:c>
      <x:c r="DE68" s="107" t="n">
        <x:f>DE66*DE67/1000</x:f>
      </x:c>
      <x:c r="DF68" s="107" t="n">
        <x:f>DF66*DF67/1000</x:f>
      </x:c>
      <x:c r="DG68" s="107" t="n">
        <x:f>DG66*DG67/1000</x:f>
      </x:c>
      <x:c r="DH68" s="107" t="n">
        <x:f>DH66*DH67/1000</x:f>
      </x:c>
      <x:c r="DI68" s="107" t="n">
        <x:f>DI66*DI67/1000</x:f>
      </x:c>
      <x:c r="DJ68" s="107" t="n">
        <x:f>DJ66*DJ67/1000</x:f>
      </x:c>
      <x:c r="DK68" s="107" t="n">
        <x:f>DK66*DK67/1000</x:f>
      </x:c>
      <x:c r="DL68" s="107" t="n">
        <x:f>DL66*DL67/1000</x:f>
      </x:c>
      <x:c r="DM68" s="107" t="n">
        <x:f>DM66*DM67/1000</x:f>
      </x:c>
      <x:c r="DN68" s="107" t="n">
        <x:f>DN66*DN67/1000</x:f>
      </x:c>
      <x:c r="DO68" s="107" t="n">
        <x:f>DO66*DO67/1000</x:f>
      </x:c>
      <x:c r="DP68" s="107" t="n">
        <x:f>DP66*DP67/1000</x:f>
      </x:c>
      <x:c r="DQ68" s="107" t="n">
        <x:f>DQ66*DQ67/1000</x:f>
      </x:c>
      <x:c r="DR68" s="107" t="n">
        <x:f>DR66*DR67/1000</x:f>
      </x:c>
      <x:c r="DS68" s="107" t="n">
        <x:f>DS66*DS67/1000</x:f>
      </x:c>
      <x:c r="DT68" s="107" t="n">
        <x:f>DT66*DT67/1000</x:f>
      </x:c>
      <x:c r="DU68" s="107" t="n">
        <x:f>DU66*DU67/1000</x:f>
      </x:c>
      <x:c r="DV68" s="107" t="n">
        <x:f>DV66*DV67/1000</x:f>
      </x:c>
      <x:c r="DW68" s="107" t="n">
        <x:f>DW66*DW67/1000</x:f>
      </x:c>
      <x:c r="DX68" s="107" t="n">
        <x:f>DX66*DX67/1000</x:f>
      </x:c>
      <x:c r="DY68" s="107" t="n">
        <x:f>DY66*DY67/1000</x:f>
      </x:c>
      <x:c r="DZ68" s="107" t="n">
        <x:f>DZ66*DZ67/1000</x:f>
      </x:c>
      <x:c r="EA68" s="107" t="n">
        <x:f>EA66*EA67/1000</x:f>
      </x:c>
      <x:c r="EB68" s="107" t="n">
        <x:f>EB66*EB67/1000</x:f>
      </x:c>
      <x:c r="EC68" s="107" t="n">
        <x:f>EC66*EC67/1000</x:f>
      </x:c>
      <x:c r="ED68" s="107" t="n">
        <x:f>ED66*ED67/1000</x:f>
      </x:c>
      <x:c r="EE68" s="107" t="n">
        <x:f>EE66*EE67/1000</x:f>
      </x:c>
      <x:c r="EF68" s="107" t="n">
        <x:f>EF66*EF67/1000</x:f>
      </x:c>
      <x:c r="EG68" s="107" t="n">
        <x:f>EG66*EG67/1000</x:f>
      </x:c>
      <x:c r="EH68" s="107" t="n">
        <x:f>EH66*EH67/1000</x:f>
      </x:c>
      <x:c r="EI68" s="107" t="n">
        <x:f>EI66*EI67/1000</x:f>
      </x:c>
      <x:c r="EJ68" s="107" t="n">
        <x:f>EJ66*EJ67/1000</x:f>
      </x:c>
      <x:c r="EK68" s="107" t="n">
        <x:f>EK66*EK67/1000</x:f>
      </x:c>
      <x:c r="EL68" s="107" t="n">
        <x:f>EL66*EL67/1000</x:f>
      </x:c>
      <x:c r="EM68" s="107" t="n">
        <x:f>EM66*EM67/1000</x:f>
      </x:c>
      <x:c r="EN68" s="107" t="n">
        <x:f>EN66*EN67/1000</x:f>
      </x:c>
      <x:c r="EO68" s="107" t="n">
        <x:f>EO66*EO67/1000</x:f>
      </x:c>
      <x:c r="EP68" s="107" t="n">
        <x:f>EP66*EP67/1000</x:f>
      </x:c>
      <x:c r="EQ68" s="107" t="n">
        <x:f>EQ66*EQ67/1000</x:f>
      </x:c>
      <x:c r="ER68" s="107" t="n">
        <x:f>ER66*ER67/1000</x:f>
      </x:c>
      <x:c r="ES68" s="107" t="n">
        <x:f>ES66*ES67/1000</x:f>
      </x:c>
      <x:c r="ET68" s="107" t="n">
        <x:f>ET66*ET67/1000</x:f>
      </x:c>
      <x:c r="EU68" s="107" t="n">
        <x:f>EU66*EU67/1000</x:f>
      </x:c>
      <x:c r="EV68" s="107" t="n">
        <x:f>EV66*EV67/1000</x:f>
      </x:c>
      <x:c r="EW68" s="107" t="n">
        <x:f>EW66*EW67/1000</x:f>
      </x:c>
      <x:c r="EX68" s="107" t="n">
        <x:f>EX66*EX67/1000</x:f>
      </x:c>
      <x:c r="EY68" s="107" t="n">
        <x:f>EY66*EY67/1000</x:f>
      </x:c>
      <x:c r="EZ68" s="107" t="n">
        <x:f>EZ66*EZ67/1000</x:f>
      </x:c>
      <x:c r="FA68" s="107" t="n">
        <x:f>FA66*FA67/1000</x:f>
      </x:c>
      <x:c r="FB68" s="107" t="n">
        <x:f>FB66*FB67/1000</x:f>
      </x:c>
      <x:c r="FC68" s="107" t="n">
        <x:f>FC66*FC67/1000</x:f>
      </x:c>
      <x:c r="FD68" s="107" t="n">
        <x:f>FD66*FD67/1000</x:f>
      </x:c>
      <x:c r="FE68" s="107" t="n">
        <x:f>FE66*FE67/1000</x:f>
      </x:c>
      <x:c r="FF68" s="107" t="n">
        <x:f>FF66*FF67/1000</x:f>
      </x:c>
      <x:c r="FG68" s="107" t="n">
        <x:f>FG66*FG67/1000</x:f>
      </x:c>
      <x:c r="FH68" s="107" t="n">
        <x:f>FH66*FH67/1000</x:f>
      </x:c>
      <x:c r="FI68" s="107" t="n">
        <x:f>FI66*FI67/1000</x:f>
      </x:c>
      <x:c r="FJ68" s="107" t="n">
        <x:f>FJ66*FJ67/1000</x:f>
      </x:c>
      <x:c r="FK68" s="107" t="n">
        <x:f>FK66*FK67/1000</x:f>
      </x:c>
      <x:c r="FL68" s="107" t="n">
        <x:f>FL66*FL67/1000</x:f>
      </x:c>
      <x:c r="FM68" s="107" t="n">
        <x:f>FM66*FM67/1000</x:f>
      </x:c>
      <x:c r="FN68" s="107" t="n">
        <x:f>FN66*FN67/1000</x:f>
      </x:c>
      <x:c r="FO68" s="107" t="n">
        <x:f>FO66*FO67/1000</x:f>
      </x:c>
      <x:c r="FP68" s="107" t="n">
        <x:f>FP66*FP67/1000</x:f>
      </x:c>
      <x:c r="FQ68" s="107" t="n">
        <x:f>FQ66*FQ67/1000</x:f>
      </x:c>
      <x:c r="FR68" s="107" t="n">
        <x:f>FR66*FR67/1000</x:f>
      </x:c>
      <x:c r="FS68" s="107" t="n">
        <x:f>FS66*FS67/1000</x:f>
      </x:c>
      <x:c r="FT68" s="107" t="n">
        <x:f>FT66*FT67/1000</x:f>
      </x:c>
      <x:c r="FU68" s="107" t="n">
        <x:f>FU66*FU67/1000</x:f>
      </x:c>
      <x:c r="FV68" s="107" t="n">
        <x:f>FV66*FV67/1000</x:f>
      </x:c>
      <x:c r="FW68" s="107" t="n">
        <x:f>FW66*FW67/1000</x:f>
      </x:c>
      <x:c r="FX68" s="107" t="n">
        <x:f>FX66*FX67/1000</x:f>
      </x:c>
      <x:c r="FY68" s="107" t="n">
        <x:f>FY66*FY67/1000</x:f>
      </x:c>
      <x:c r="FZ68" s="107" t="n">
        <x:f>FZ66*FZ67/1000</x:f>
      </x:c>
      <x:c r="GA68" s="107" t="n">
        <x:f>GA66*GA67/1000</x:f>
      </x:c>
    </x:row>
    <x:row r="69">
      <x:c r="A69" t="str">
        <x:v>Кладовые — объём</x:v>
      </x:c>
      <x:c r="B69" t="n">
        <x:f>SUM(D69:GA69)</x:f>
      </x:c>
      <x:c r="C69" t="str">
        <x:v>шт.</x:v>
      </x:c>
      <x:c r="D69" s="107" t="n">
        <x:f>'Вводные'!$O$90*((IF(SUM($D55:$GA55)=0,0,IF(SUM($D58:$GA58)=0,1,'Вводные'!$B$63)))*D57+(1-(IF(SUM($D55:$GA55)=0,0,IF(SUM($D58:$GA58)=0,1,'Вводные'!$B$63))))*D59)</x:f>
      </x:c>
      <x:c r="E69" s="107" t="n">
        <x:f>'Вводные'!$O$90*((IF(SUM($D55:$GA55)=0,0,IF(SUM($D58:$GA58)=0,1,'Вводные'!$B$63)))*E57+(1-(IF(SUM($D55:$GA55)=0,0,IF(SUM($D58:$GA58)=0,1,'Вводные'!$B$63))))*E59)</x:f>
      </x:c>
      <x:c r="F69" s="107" t="n">
        <x:f>'Вводные'!$O$90*((IF(SUM($D55:$GA55)=0,0,IF(SUM($D58:$GA58)=0,1,'Вводные'!$B$63)))*F57+(1-(IF(SUM($D55:$GA55)=0,0,IF(SUM($D58:$GA58)=0,1,'Вводные'!$B$63))))*F59)</x:f>
      </x:c>
      <x:c r="G69" s="107" t="n">
        <x:f>'Вводные'!$O$90*((IF(SUM($D55:$GA55)=0,0,IF(SUM($D58:$GA58)=0,1,'Вводные'!$B$63)))*G57+(1-(IF(SUM($D55:$GA55)=0,0,IF(SUM($D58:$GA58)=0,1,'Вводные'!$B$63))))*G59)</x:f>
      </x:c>
      <x:c r="H69" s="107" t="n">
        <x:f>'Вводные'!$O$90*((IF(SUM($D55:$GA55)=0,0,IF(SUM($D58:$GA58)=0,1,'Вводные'!$B$63)))*H57+(1-(IF(SUM($D55:$GA55)=0,0,IF(SUM($D58:$GA58)=0,1,'Вводные'!$B$63))))*H59)</x:f>
      </x:c>
      <x:c r="I69" s="107" t="n">
        <x:f>'Вводные'!$O$90*((IF(SUM($D55:$GA55)=0,0,IF(SUM($D58:$GA58)=0,1,'Вводные'!$B$63)))*I57+(1-(IF(SUM($D55:$GA55)=0,0,IF(SUM($D58:$GA58)=0,1,'Вводные'!$B$63))))*I59)</x:f>
      </x:c>
      <x:c r="J69" s="107" t="n">
        <x:f>'Вводные'!$O$90*((IF(SUM($D55:$GA55)=0,0,IF(SUM($D58:$GA58)=0,1,'Вводные'!$B$63)))*J57+(1-(IF(SUM($D55:$GA55)=0,0,IF(SUM($D58:$GA58)=0,1,'Вводные'!$B$63))))*J59)</x:f>
      </x:c>
      <x:c r="K69" s="107" t="n">
        <x:f>'Вводные'!$O$90*((IF(SUM($D55:$GA55)=0,0,IF(SUM($D58:$GA58)=0,1,'Вводные'!$B$63)))*K57+(1-(IF(SUM($D55:$GA55)=0,0,IF(SUM($D58:$GA58)=0,1,'Вводные'!$B$63))))*K59)</x:f>
      </x:c>
      <x:c r="L69" s="107" t="n">
        <x:f>'Вводные'!$O$90*((IF(SUM($D55:$GA55)=0,0,IF(SUM($D58:$GA58)=0,1,'Вводные'!$B$63)))*L57+(1-(IF(SUM($D55:$GA55)=0,0,IF(SUM($D58:$GA58)=0,1,'Вводные'!$B$63))))*L59)</x:f>
      </x:c>
      <x:c r="M69" s="107" t="n">
        <x:f>'Вводные'!$O$90*((IF(SUM($D55:$GA55)=0,0,IF(SUM($D58:$GA58)=0,1,'Вводные'!$B$63)))*M57+(1-(IF(SUM($D55:$GA55)=0,0,IF(SUM($D58:$GA58)=0,1,'Вводные'!$B$63))))*M59)</x:f>
      </x:c>
      <x:c r="N69" s="107" t="n">
        <x:f>'Вводные'!$O$90*((IF(SUM($D55:$GA55)=0,0,IF(SUM($D58:$GA58)=0,1,'Вводные'!$B$63)))*N57+(1-(IF(SUM($D55:$GA55)=0,0,IF(SUM($D58:$GA58)=0,1,'Вводные'!$B$63))))*N59)</x:f>
      </x:c>
      <x:c r="O69" s="107" t="n">
        <x:f>'Вводные'!$O$90*((IF(SUM($D55:$GA55)=0,0,IF(SUM($D58:$GA58)=0,1,'Вводные'!$B$63)))*O57+(1-(IF(SUM($D55:$GA55)=0,0,IF(SUM($D58:$GA58)=0,1,'Вводные'!$B$63))))*O59)</x:f>
      </x:c>
      <x:c r="P69" s="107" t="n">
        <x:f>'Вводные'!$O$90*((IF(SUM($D55:$GA55)=0,0,IF(SUM($D58:$GA58)=0,1,'Вводные'!$B$63)))*P57+(1-(IF(SUM($D55:$GA55)=0,0,IF(SUM($D58:$GA58)=0,1,'Вводные'!$B$63))))*P59)</x:f>
      </x:c>
      <x:c r="Q69" s="107" t="n">
        <x:f>'Вводные'!$O$90*((IF(SUM($D55:$GA55)=0,0,IF(SUM($D58:$GA58)=0,1,'Вводные'!$B$63)))*Q57+(1-(IF(SUM($D55:$GA55)=0,0,IF(SUM($D58:$GA58)=0,1,'Вводные'!$B$63))))*Q59)</x:f>
      </x:c>
      <x:c r="R69" s="107" t="n">
        <x:f>'Вводные'!$O$90*((IF(SUM($D55:$GA55)=0,0,IF(SUM($D58:$GA58)=0,1,'Вводные'!$B$63)))*R57+(1-(IF(SUM($D55:$GA55)=0,0,IF(SUM($D58:$GA58)=0,1,'Вводные'!$B$63))))*R59)</x:f>
      </x:c>
      <x:c r="S69" s="107" t="n">
        <x:f>'Вводные'!$O$90*((IF(SUM($D55:$GA55)=0,0,IF(SUM($D58:$GA58)=0,1,'Вводные'!$B$63)))*S57+(1-(IF(SUM($D55:$GA55)=0,0,IF(SUM($D58:$GA58)=0,1,'Вводные'!$B$63))))*S59)</x:f>
      </x:c>
      <x:c r="T69" s="107" t="n">
        <x:f>'Вводные'!$O$90*((IF(SUM($D55:$GA55)=0,0,IF(SUM($D58:$GA58)=0,1,'Вводные'!$B$63)))*T57+(1-(IF(SUM($D55:$GA55)=0,0,IF(SUM($D58:$GA58)=0,1,'Вводные'!$B$63))))*T59)</x:f>
      </x:c>
      <x:c r="U69" s="107" t="n">
        <x:f>'Вводные'!$O$90*((IF(SUM($D55:$GA55)=0,0,IF(SUM($D58:$GA58)=0,1,'Вводные'!$B$63)))*U57+(1-(IF(SUM($D55:$GA55)=0,0,IF(SUM($D58:$GA58)=0,1,'Вводные'!$B$63))))*U59)</x:f>
      </x:c>
      <x:c r="V69" s="107" t="n">
        <x:f>'Вводные'!$O$90*((IF(SUM($D55:$GA55)=0,0,IF(SUM($D58:$GA58)=0,1,'Вводные'!$B$63)))*V57+(1-(IF(SUM($D55:$GA55)=0,0,IF(SUM($D58:$GA58)=0,1,'Вводные'!$B$63))))*V59)</x:f>
      </x:c>
      <x:c r="W69" s="107" t="n">
        <x:f>'Вводные'!$O$90*((IF(SUM($D55:$GA55)=0,0,IF(SUM($D58:$GA58)=0,1,'Вводные'!$B$63)))*W57+(1-(IF(SUM($D55:$GA55)=0,0,IF(SUM($D58:$GA58)=0,1,'Вводные'!$B$63))))*W59)</x:f>
      </x:c>
      <x:c r="X69" s="107" t="n">
        <x:f>'Вводные'!$O$90*((IF(SUM($D55:$GA55)=0,0,IF(SUM($D58:$GA58)=0,1,'Вводные'!$B$63)))*X57+(1-(IF(SUM($D55:$GA55)=0,0,IF(SUM($D58:$GA58)=0,1,'Вводные'!$B$63))))*X59)</x:f>
      </x:c>
      <x:c r="Y69" s="107" t="n">
        <x:f>'Вводные'!$O$90*((IF(SUM($D55:$GA55)=0,0,IF(SUM($D58:$GA58)=0,1,'Вводные'!$B$63)))*Y57+(1-(IF(SUM($D55:$GA55)=0,0,IF(SUM($D58:$GA58)=0,1,'Вводные'!$B$63))))*Y59)</x:f>
      </x:c>
      <x:c r="Z69" s="107" t="n">
        <x:f>'Вводные'!$O$90*((IF(SUM($D55:$GA55)=0,0,IF(SUM($D58:$GA58)=0,1,'Вводные'!$B$63)))*Z57+(1-(IF(SUM($D55:$GA55)=0,0,IF(SUM($D58:$GA58)=0,1,'Вводные'!$B$63))))*Z59)</x:f>
      </x:c>
      <x:c r="AA69" s="107" t="n">
        <x:f>'Вводные'!$O$90*((IF(SUM($D55:$GA55)=0,0,IF(SUM($D58:$GA58)=0,1,'Вводные'!$B$63)))*AA57+(1-(IF(SUM($D55:$GA55)=0,0,IF(SUM($D58:$GA58)=0,1,'Вводные'!$B$63))))*AA59)</x:f>
      </x:c>
      <x:c r="AB69" s="107" t="n">
        <x:f>'Вводные'!$O$90*((IF(SUM($D55:$GA55)=0,0,IF(SUM($D58:$GA58)=0,1,'Вводные'!$B$63)))*AB57+(1-(IF(SUM($D55:$GA55)=0,0,IF(SUM($D58:$GA58)=0,1,'Вводные'!$B$63))))*AB59)</x:f>
      </x:c>
      <x:c r="AC69" s="107" t="n">
        <x:f>'Вводные'!$O$90*((IF(SUM($D55:$GA55)=0,0,IF(SUM($D58:$GA58)=0,1,'Вводные'!$B$63)))*AC57+(1-(IF(SUM($D55:$GA55)=0,0,IF(SUM($D58:$GA58)=0,1,'Вводные'!$B$63))))*AC59)</x:f>
      </x:c>
      <x:c r="AD69" s="107" t="n">
        <x:f>'Вводные'!$O$90*((IF(SUM($D55:$GA55)=0,0,IF(SUM($D58:$GA58)=0,1,'Вводные'!$B$63)))*AD57+(1-(IF(SUM($D55:$GA55)=0,0,IF(SUM($D58:$GA58)=0,1,'Вводные'!$B$63))))*AD59)</x:f>
      </x:c>
      <x:c r="AE69" s="107" t="n">
        <x:f>'Вводные'!$O$90*((IF(SUM($D55:$GA55)=0,0,IF(SUM($D58:$GA58)=0,1,'Вводные'!$B$63)))*AE57+(1-(IF(SUM($D55:$GA55)=0,0,IF(SUM($D58:$GA58)=0,1,'Вводные'!$B$63))))*AE59)</x:f>
      </x:c>
      <x:c r="AF69" s="107" t="n">
        <x:f>'Вводные'!$O$90*((IF(SUM($D55:$GA55)=0,0,IF(SUM($D58:$GA58)=0,1,'Вводные'!$B$63)))*AF57+(1-(IF(SUM($D55:$GA55)=0,0,IF(SUM($D58:$GA58)=0,1,'Вводные'!$B$63))))*AF59)</x:f>
      </x:c>
      <x:c r="AG69" s="107" t="n">
        <x:f>'Вводные'!$O$90*((IF(SUM($D55:$GA55)=0,0,IF(SUM($D58:$GA58)=0,1,'Вводные'!$B$63)))*AG57+(1-(IF(SUM($D55:$GA55)=0,0,IF(SUM($D58:$GA58)=0,1,'Вводные'!$B$63))))*AG59)</x:f>
      </x:c>
      <x:c r="AH69" s="107" t="n">
        <x:f>'Вводные'!$O$90*((IF(SUM($D55:$GA55)=0,0,IF(SUM($D58:$GA58)=0,1,'Вводные'!$B$63)))*AH57+(1-(IF(SUM($D55:$GA55)=0,0,IF(SUM($D58:$GA58)=0,1,'Вводные'!$B$63))))*AH59)</x:f>
      </x:c>
      <x:c r="AI69" s="107" t="n">
        <x:f>'Вводные'!$O$90*((IF(SUM($D55:$GA55)=0,0,IF(SUM($D58:$GA58)=0,1,'Вводные'!$B$63)))*AI57+(1-(IF(SUM($D55:$GA55)=0,0,IF(SUM($D58:$GA58)=0,1,'Вводные'!$B$63))))*AI59)</x:f>
      </x:c>
      <x:c r="AJ69" s="107" t="n">
        <x:f>'Вводные'!$O$90*((IF(SUM($D55:$GA55)=0,0,IF(SUM($D58:$GA58)=0,1,'Вводные'!$B$63)))*AJ57+(1-(IF(SUM($D55:$GA55)=0,0,IF(SUM($D58:$GA58)=0,1,'Вводные'!$B$63))))*AJ59)</x:f>
      </x:c>
      <x:c r="AK69" s="107" t="n">
        <x:f>'Вводные'!$O$90*((IF(SUM($D55:$GA55)=0,0,IF(SUM($D58:$GA58)=0,1,'Вводные'!$B$63)))*AK57+(1-(IF(SUM($D55:$GA55)=0,0,IF(SUM($D58:$GA58)=0,1,'Вводные'!$B$63))))*AK59)</x:f>
      </x:c>
      <x:c r="AL69" s="107" t="n">
        <x:f>'Вводные'!$O$90*((IF(SUM($D55:$GA55)=0,0,IF(SUM($D58:$GA58)=0,1,'Вводные'!$B$63)))*AL57+(1-(IF(SUM($D55:$GA55)=0,0,IF(SUM($D58:$GA58)=0,1,'Вводные'!$B$63))))*AL59)</x:f>
      </x:c>
      <x:c r="AM69" s="107" t="n">
        <x:f>'Вводные'!$O$90*((IF(SUM($D55:$GA55)=0,0,IF(SUM($D58:$GA58)=0,1,'Вводные'!$B$63)))*AM57+(1-(IF(SUM($D55:$GA55)=0,0,IF(SUM($D58:$GA58)=0,1,'Вводные'!$B$63))))*AM59)</x:f>
      </x:c>
      <x:c r="AN69" s="107" t="n">
        <x:f>'Вводные'!$O$90*((IF(SUM($D55:$GA55)=0,0,IF(SUM($D58:$GA58)=0,1,'Вводные'!$B$63)))*AN57+(1-(IF(SUM($D55:$GA55)=0,0,IF(SUM($D58:$GA58)=0,1,'Вводные'!$B$63))))*AN59)</x:f>
      </x:c>
      <x:c r="AO69" s="107" t="n">
        <x:f>'Вводные'!$O$90*((IF(SUM($D55:$GA55)=0,0,IF(SUM($D58:$GA58)=0,1,'Вводные'!$B$63)))*AO57+(1-(IF(SUM($D55:$GA55)=0,0,IF(SUM($D58:$GA58)=0,1,'Вводные'!$B$63))))*AO59)</x:f>
      </x:c>
      <x:c r="AP69" s="107" t="n">
        <x:f>'Вводные'!$O$90*((IF(SUM($D55:$GA55)=0,0,IF(SUM($D58:$GA58)=0,1,'Вводные'!$B$63)))*AP57+(1-(IF(SUM($D55:$GA55)=0,0,IF(SUM($D58:$GA58)=0,1,'Вводные'!$B$63))))*AP59)</x:f>
      </x:c>
      <x:c r="AQ69" s="107" t="n">
        <x:f>'Вводные'!$O$90*((IF(SUM($D55:$GA55)=0,0,IF(SUM($D58:$GA58)=0,1,'Вводные'!$B$63)))*AQ57+(1-(IF(SUM($D55:$GA55)=0,0,IF(SUM($D58:$GA58)=0,1,'Вводные'!$B$63))))*AQ59)</x:f>
      </x:c>
      <x:c r="AR69" s="107" t="n">
        <x:f>'Вводные'!$O$90*((IF(SUM($D55:$GA55)=0,0,IF(SUM($D58:$GA58)=0,1,'Вводные'!$B$63)))*AR57+(1-(IF(SUM($D55:$GA55)=0,0,IF(SUM($D58:$GA58)=0,1,'Вводные'!$B$63))))*AR59)</x:f>
      </x:c>
      <x:c r="AS69" s="107" t="n">
        <x:f>'Вводные'!$O$90*((IF(SUM($D55:$GA55)=0,0,IF(SUM($D58:$GA58)=0,1,'Вводные'!$B$63)))*AS57+(1-(IF(SUM($D55:$GA55)=0,0,IF(SUM($D58:$GA58)=0,1,'Вводные'!$B$63))))*AS59)</x:f>
      </x:c>
      <x:c r="AT69" s="107" t="n">
        <x:f>'Вводные'!$O$90*((IF(SUM($D55:$GA55)=0,0,IF(SUM($D58:$GA58)=0,1,'Вводные'!$B$63)))*AT57+(1-(IF(SUM($D55:$GA55)=0,0,IF(SUM($D58:$GA58)=0,1,'Вводные'!$B$63))))*AT59)</x:f>
      </x:c>
      <x:c r="AU69" s="107" t="n">
        <x:f>'Вводные'!$O$90*((IF(SUM($D55:$GA55)=0,0,IF(SUM($D58:$GA58)=0,1,'Вводные'!$B$63)))*AU57+(1-(IF(SUM($D55:$GA55)=0,0,IF(SUM($D58:$GA58)=0,1,'Вводные'!$B$63))))*AU59)</x:f>
      </x:c>
      <x:c r="AV69" s="107" t="n">
        <x:f>'Вводные'!$O$90*((IF(SUM($D55:$GA55)=0,0,IF(SUM($D58:$GA58)=0,1,'Вводные'!$B$63)))*AV57+(1-(IF(SUM($D55:$GA55)=0,0,IF(SUM($D58:$GA58)=0,1,'Вводные'!$B$63))))*AV59)</x:f>
      </x:c>
      <x:c r="AW69" s="107" t="n">
        <x:f>'Вводные'!$O$90*((IF(SUM($D55:$GA55)=0,0,IF(SUM($D58:$GA58)=0,1,'Вводные'!$B$63)))*AW57+(1-(IF(SUM($D55:$GA55)=0,0,IF(SUM($D58:$GA58)=0,1,'Вводные'!$B$63))))*AW59)</x:f>
      </x:c>
      <x:c r="AX69" s="107" t="n">
        <x:f>'Вводные'!$O$90*((IF(SUM($D55:$GA55)=0,0,IF(SUM($D58:$GA58)=0,1,'Вводные'!$B$63)))*AX57+(1-(IF(SUM($D55:$GA55)=0,0,IF(SUM($D58:$GA58)=0,1,'Вводные'!$B$63))))*AX59)</x:f>
      </x:c>
      <x:c r="AY69" s="107" t="n">
        <x:f>'Вводные'!$O$90*((IF(SUM($D55:$GA55)=0,0,IF(SUM($D58:$GA58)=0,1,'Вводные'!$B$63)))*AY57+(1-(IF(SUM($D55:$GA55)=0,0,IF(SUM($D58:$GA58)=0,1,'Вводные'!$B$63))))*AY59)</x:f>
      </x:c>
      <x:c r="AZ69" s="107" t="n">
        <x:f>'Вводные'!$O$90*((IF(SUM($D55:$GA55)=0,0,IF(SUM($D58:$GA58)=0,1,'Вводные'!$B$63)))*AZ57+(1-(IF(SUM($D55:$GA55)=0,0,IF(SUM($D58:$GA58)=0,1,'Вводные'!$B$63))))*AZ59)</x:f>
      </x:c>
      <x:c r="BA69" s="107" t="n">
        <x:f>'Вводные'!$O$90*((IF(SUM($D55:$GA55)=0,0,IF(SUM($D58:$GA58)=0,1,'Вводные'!$B$63)))*BA57+(1-(IF(SUM($D55:$GA55)=0,0,IF(SUM($D58:$GA58)=0,1,'Вводные'!$B$63))))*BA59)</x:f>
      </x:c>
      <x:c r="BB69" s="107" t="n">
        <x:f>'Вводные'!$O$90*((IF(SUM($D55:$GA55)=0,0,IF(SUM($D58:$GA58)=0,1,'Вводные'!$B$63)))*BB57+(1-(IF(SUM($D55:$GA55)=0,0,IF(SUM($D58:$GA58)=0,1,'Вводные'!$B$63))))*BB59)</x:f>
      </x:c>
      <x:c r="BC69" s="107" t="n">
        <x:f>'Вводные'!$O$90*((IF(SUM($D55:$GA55)=0,0,IF(SUM($D58:$GA58)=0,1,'Вводные'!$B$63)))*BC57+(1-(IF(SUM($D55:$GA55)=0,0,IF(SUM($D58:$GA58)=0,1,'Вводные'!$B$63))))*BC59)</x:f>
      </x:c>
      <x:c r="BD69" s="107" t="n">
        <x:f>'Вводные'!$O$90*((IF(SUM($D55:$GA55)=0,0,IF(SUM($D58:$GA58)=0,1,'Вводные'!$B$63)))*BD57+(1-(IF(SUM($D55:$GA55)=0,0,IF(SUM($D58:$GA58)=0,1,'Вводные'!$B$63))))*BD59)</x:f>
      </x:c>
      <x:c r="BE69" s="107" t="n">
        <x:f>'Вводные'!$O$90*((IF(SUM($D55:$GA55)=0,0,IF(SUM($D58:$GA58)=0,1,'Вводные'!$B$63)))*BE57+(1-(IF(SUM($D55:$GA55)=0,0,IF(SUM($D58:$GA58)=0,1,'Вводные'!$B$63))))*BE59)</x:f>
      </x:c>
      <x:c r="BF69" s="107" t="n">
        <x:f>'Вводные'!$O$90*((IF(SUM($D55:$GA55)=0,0,IF(SUM($D58:$GA58)=0,1,'Вводные'!$B$63)))*BF57+(1-(IF(SUM($D55:$GA55)=0,0,IF(SUM($D58:$GA58)=0,1,'Вводные'!$B$63))))*BF59)</x:f>
      </x:c>
      <x:c r="BG69" s="107" t="n">
        <x:f>'Вводные'!$O$90*((IF(SUM($D55:$GA55)=0,0,IF(SUM($D58:$GA58)=0,1,'Вводные'!$B$63)))*BG57+(1-(IF(SUM($D55:$GA55)=0,0,IF(SUM($D58:$GA58)=0,1,'Вводные'!$B$63))))*BG59)</x:f>
      </x:c>
      <x:c r="BH69" s="107" t="n">
        <x:f>'Вводные'!$O$90*((IF(SUM($D55:$GA55)=0,0,IF(SUM($D58:$GA58)=0,1,'Вводные'!$B$63)))*BH57+(1-(IF(SUM($D55:$GA55)=0,0,IF(SUM($D58:$GA58)=0,1,'Вводные'!$B$63))))*BH59)</x:f>
      </x:c>
      <x:c r="BI69" s="107" t="n">
        <x:f>'Вводные'!$O$90*((IF(SUM($D55:$GA55)=0,0,IF(SUM($D58:$GA58)=0,1,'Вводные'!$B$63)))*BI57+(1-(IF(SUM($D55:$GA55)=0,0,IF(SUM($D58:$GA58)=0,1,'Вводные'!$B$63))))*BI59)</x:f>
      </x:c>
      <x:c r="BJ69" s="107" t="n">
        <x:f>'Вводные'!$O$90*((IF(SUM($D55:$GA55)=0,0,IF(SUM($D58:$GA58)=0,1,'Вводные'!$B$63)))*BJ57+(1-(IF(SUM($D55:$GA55)=0,0,IF(SUM($D58:$GA58)=0,1,'Вводные'!$B$63))))*BJ59)</x:f>
      </x:c>
      <x:c r="BK69" s="107" t="n">
        <x:f>'Вводные'!$O$90*((IF(SUM($D55:$GA55)=0,0,IF(SUM($D58:$GA58)=0,1,'Вводные'!$B$63)))*BK57+(1-(IF(SUM($D55:$GA55)=0,0,IF(SUM($D58:$GA58)=0,1,'Вводные'!$B$63))))*BK59)</x:f>
      </x:c>
      <x:c r="BL69" s="107" t="n">
        <x:f>'Вводные'!$O$90*((IF(SUM($D55:$GA55)=0,0,IF(SUM($D58:$GA58)=0,1,'Вводные'!$B$63)))*BL57+(1-(IF(SUM($D55:$GA55)=0,0,IF(SUM($D58:$GA58)=0,1,'Вводные'!$B$63))))*BL59)</x:f>
      </x:c>
      <x:c r="BM69" s="107" t="n">
        <x:f>'Вводные'!$O$90*((IF(SUM($D55:$GA55)=0,0,IF(SUM($D58:$GA58)=0,1,'Вводные'!$B$63)))*BM57+(1-(IF(SUM($D55:$GA55)=0,0,IF(SUM($D58:$GA58)=0,1,'Вводные'!$B$63))))*BM59)</x:f>
      </x:c>
      <x:c r="BN69" s="107" t="n">
        <x:f>'Вводные'!$O$90*((IF(SUM($D55:$GA55)=0,0,IF(SUM($D58:$GA58)=0,1,'Вводные'!$B$63)))*BN57+(1-(IF(SUM($D55:$GA55)=0,0,IF(SUM($D58:$GA58)=0,1,'Вводные'!$B$63))))*BN59)</x:f>
      </x:c>
      <x:c r="BO69" s="107" t="n">
        <x:f>'Вводные'!$O$90*((IF(SUM($D55:$GA55)=0,0,IF(SUM($D58:$GA58)=0,1,'Вводные'!$B$63)))*BO57+(1-(IF(SUM($D55:$GA55)=0,0,IF(SUM($D58:$GA58)=0,1,'Вводные'!$B$63))))*BO59)</x:f>
      </x:c>
      <x:c r="BP69" s="107" t="n">
        <x:f>'Вводные'!$O$90*((IF(SUM($D55:$GA55)=0,0,IF(SUM($D58:$GA58)=0,1,'Вводные'!$B$63)))*BP57+(1-(IF(SUM($D55:$GA55)=0,0,IF(SUM($D58:$GA58)=0,1,'Вводные'!$B$63))))*BP59)</x:f>
      </x:c>
      <x:c r="BQ69" s="107" t="n">
        <x:f>'Вводные'!$O$90*((IF(SUM($D55:$GA55)=0,0,IF(SUM($D58:$GA58)=0,1,'Вводные'!$B$63)))*BQ57+(1-(IF(SUM($D55:$GA55)=0,0,IF(SUM($D58:$GA58)=0,1,'Вводные'!$B$63))))*BQ59)</x:f>
      </x:c>
      <x:c r="BR69" s="107" t="n">
        <x:f>'Вводные'!$O$90*((IF(SUM($D55:$GA55)=0,0,IF(SUM($D58:$GA58)=0,1,'Вводные'!$B$63)))*BR57+(1-(IF(SUM($D55:$GA55)=0,0,IF(SUM($D58:$GA58)=0,1,'Вводные'!$B$63))))*BR59)</x:f>
      </x:c>
      <x:c r="BS69" s="107" t="n">
        <x:f>'Вводные'!$O$90*((IF(SUM($D55:$GA55)=0,0,IF(SUM($D58:$GA58)=0,1,'Вводные'!$B$63)))*BS57+(1-(IF(SUM($D55:$GA55)=0,0,IF(SUM($D58:$GA58)=0,1,'Вводные'!$B$63))))*BS59)</x:f>
      </x:c>
      <x:c r="BT69" s="107" t="n">
        <x:f>'Вводные'!$O$90*((IF(SUM($D55:$GA55)=0,0,IF(SUM($D58:$GA58)=0,1,'Вводные'!$B$63)))*BT57+(1-(IF(SUM($D55:$GA55)=0,0,IF(SUM($D58:$GA58)=0,1,'Вводные'!$B$63))))*BT59)</x:f>
      </x:c>
      <x:c r="BU69" s="107" t="n">
        <x:f>'Вводные'!$O$90*((IF(SUM($D55:$GA55)=0,0,IF(SUM($D58:$GA58)=0,1,'Вводные'!$B$63)))*BU57+(1-(IF(SUM($D55:$GA55)=0,0,IF(SUM($D58:$GA58)=0,1,'Вводные'!$B$63))))*BU59)</x:f>
      </x:c>
      <x:c r="BV69" s="107" t="n">
        <x:f>'Вводные'!$O$90*((IF(SUM($D55:$GA55)=0,0,IF(SUM($D58:$GA58)=0,1,'Вводные'!$B$63)))*BV57+(1-(IF(SUM($D55:$GA55)=0,0,IF(SUM($D58:$GA58)=0,1,'Вводные'!$B$63))))*BV59)</x:f>
      </x:c>
      <x:c r="BW69" s="107" t="n">
        <x:f>'Вводные'!$O$90*((IF(SUM($D55:$GA55)=0,0,IF(SUM($D58:$GA58)=0,1,'Вводные'!$B$63)))*BW57+(1-(IF(SUM($D55:$GA55)=0,0,IF(SUM($D58:$GA58)=0,1,'Вводные'!$B$63))))*BW59)</x:f>
      </x:c>
      <x:c r="BX69" s="107" t="n">
        <x:f>'Вводные'!$O$90*((IF(SUM($D55:$GA55)=0,0,IF(SUM($D58:$GA58)=0,1,'Вводные'!$B$63)))*BX57+(1-(IF(SUM($D55:$GA55)=0,0,IF(SUM($D58:$GA58)=0,1,'Вводные'!$B$63))))*BX59)</x:f>
      </x:c>
      <x:c r="BY69" s="107" t="n">
        <x:f>'Вводные'!$O$90*((IF(SUM($D55:$GA55)=0,0,IF(SUM($D58:$GA58)=0,1,'Вводные'!$B$63)))*BY57+(1-(IF(SUM($D55:$GA55)=0,0,IF(SUM($D58:$GA58)=0,1,'Вводные'!$B$63))))*BY59)</x:f>
      </x:c>
      <x:c r="BZ69" s="107" t="n">
        <x:f>'Вводные'!$O$90*((IF(SUM($D55:$GA55)=0,0,IF(SUM($D58:$GA58)=0,1,'Вводные'!$B$63)))*BZ57+(1-(IF(SUM($D55:$GA55)=0,0,IF(SUM($D58:$GA58)=0,1,'Вводные'!$B$63))))*BZ59)</x:f>
      </x:c>
      <x:c r="CA69" s="107" t="n">
        <x:f>'Вводные'!$O$90*((IF(SUM($D55:$GA55)=0,0,IF(SUM($D58:$GA58)=0,1,'Вводные'!$B$63)))*CA57+(1-(IF(SUM($D55:$GA55)=0,0,IF(SUM($D58:$GA58)=0,1,'Вводные'!$B$63))))*CA59)</x:f>
      </x:c>
      <x:c r="CB69" s="107" t="n">
        <x:f>'Вводные'!$O$90*((IF(SUM($D55:$GA55)=0,0,IF(SUM($D58:$GA58)=0,1,'Вводные'!$B$63)))*CB57+(1-(IF(SUM($D55:$GA55)=0,0,IF(SUM($D58:$GA58)=0,1,'Вводные'!$B$63))))*CB59)</x:f>
      </x:c>
      <x:c r="CC69" s="107" t="n">
        <x:f>'Вводные'!$O$90*((IF(SUM($D55:$GA55)=0,0,IF(SUM($D58:$GA58)=0,1,'Вводные'!$B$63)))*CC57+(1-(IF(SUM($D55:$GA55)=0,0,IF(SUM($D58:$GA58)=0,1,'Вводные'!$B$63))))*CC59)</x:f>
      </x:c>
      <x:c r="CD69" s="107" t="n">
        <x:f>'Вводные'!$O$90*((IF(SUM($D55:$GA55)=0,0,IF(SUM($D58:$GA58)=0,1,'Вводные'!$B$63)))*CD57+(1-(IF(SUM($D55:$GA55)=0,0,IF(SUM($D58:$GA58)=0,1,'Вводные'!$B$63))))*CD59)</x:f>
      </x:c>
      <x:c r="CE69" s="107" t="n">
        <x:f>'Вводные'!$O$90*((IF(SUM($D55:$GA55)=0,0,IF(SUM($D58:$GA58)=0,1,'Вводные'!$B$63)))*CE57+(1-(IF(SUM($D55:$GA55)=0,0,IF(SUM($D58:$GA58)=0,1,'Вводные'!$B$63))))*CE59)</x:f>
      </x:c>
      <x:c r="CF69" s="107" t="n">
        <x:f>'Вводные'!$O$90*((IF(SUM($D55:$GA55)=0,0,IF(SUM($D58:$GA58)=0,1,'Вводные'!$B$63)))*CF57+(1-(IF(SUM($D55:$GA55)=0,0,IF(SUM($D58:$GA58)=0,1,'Вводные'!$B$63))))*CF59)</x:f>
      </x:c>
      <x:c r="CG69" s="107" t="n">
        <x:f>'Вводные'!$O$90*((IF(SUM($D55:$GA55)=0,0,IF(SUM($D58:$GA58)=0,1,'Вводные'!$B$63)))*CG57+(1-(IF(SUM($D55:$GA55)=0,0,IF(SUM($D58:$GA58)=0,1,'Вводные'!$B$63))))*CG59)</x:f>
      </x:c>
      <x:c r="CH69" s="107" t="n">
        <x:f>'Вводные'!$O$90*((IF(SUM($D55:$GA55)=0,0,IF(SUM($D58:$GA58)=0,1,'Вводные'!$B$63)))*CH57+(1-(IF(SUM($D55:$GA55)=0,0,IF(SUM($D58:$GA58)=0,1,'Вводные'!$B$63))))*CH59)</x:f>
      </x:c>
      <x:c r="CI69" s="107" t="n">
        <x:f>'Вводные'!$O$90*((IF(SUM($D55:$GA55)=0,0,IF(SUM($D58:$GA58)=0,1,'Вводные'!$B$63)))*CI57+(1-(IF(SUM($D55:$GA55)=0,0,IF(SUM($D58:$GA58)=0,1,'Вводные'!$B$63))))*CI59)</x:f>
      </x:c>
      <x:c r="CJ69" s="107" t="n">
        <x:f>'Вводные'!$O$90*((IF(SUM($D55:$GA55)=0,0,IF(SUM($D58:$GA58)=0,1,'Вводные'!$B$63)))*CJ57+(1-(IF(SUM($D55:$GA55)=0,0,IF(SUM($D58:$GA58)=0,1,'Вводные'!$B$63))))*CJ59)</x:f>
      </x:c>
      <x:c r="CK69" s="107" t="n">
        <x:f>'Вводные'!$O$90*((IF(SUM($D55:$GA55)=0,0,IF(SUM($D58:$GA58)=0,1,'Вводные'!$B$63)))*CK57+(1-(IF(SUM($D55:$GA55)=0,0,IF(SUM($D58:$GA58)=0,1,'Вводные'!$B$63))))*CK59)</x:f>
      </x:c>
      <x:c r="CL69" s="107" t="n">
        <x:f>'Вводные'!$O$90*((IF(SUM($D55:$GA55)=0,0,IF(SUM($D58:$GA58)=0,1,'Вводные'!$B$63)))*CL57+(1-(IF(SUM($D55:$GA55)=0,0,IF(SUM($D58:$GA58)=0,1,'Вводные'!$B$63))))*CL59)</x:f>
      </x:c>
      <x:c r="CM69" s="107" t="n">
        <x:f>'Вводные'!$O$90*((IF(SUM($D55:$GA55)=0,0,IF(SUM($D58:$GA58)=0,1,'Вводные'!$B$63)))*CM57+(1-(IF(SUM($D55:$GA55)=0,0,IF(SUM($D58:$GA58)=0,1,'Вводные'!$B$63))))*CM59)</x:f>
      </x:c>
      <x:c r="CN69" s="107" t="n">
        <x:f>'Вводные'!$O$90*((IF(SUM($D55:$GA55)=0,0,IF(SUM($D58:$GA58)=0,1,'Вводные'!$B$63)))*CN57+(1-(IF(SUM($D55:$GA55)=0,0,IF(SUM($D58:$GA58)=0,1,'Вводные'!$B$63))))*CN59)</x:f>
      </x:c>
      <x:c r="CO69" s="107" t="n">
        <x:f>'Вводные'!$O$90*((IF(SUM($D55:$GA55)=0,0,IF(SUM($D58:$GA58)=0,1,'Вводные'!$B$63)))*CO57+(1-(IF(SUM($D55:$GA55)=0,0,IF(SUM($D58:$GA58)=0,1,'Вводные'!$B$63))))*CO59)</x:f>
      </x:c>
      <x:c r="CP69" s="107" t="n">
        <x:f>'Вводные'!$O$90*((IF(SUM($D55:$GA55)=0,0,IF(SUM($D58:$GA58)=0,1,'Вводные'!$B$63)))*CP57+(1-(IF(SUM($D55:$GA55)=0,0,IF(SUM($D58:$GA58)=0,1,'Вводные'!$B$63))))*CP59)</x:f>
      </x:c>
      <x:c r="CQ69" s="107" t="n">
        <x:f>'Вводные'!$O$90*((IF(SUM($D55:$GA55)=0,0,IF(SUM($D58:$GA58)=0,1,'Вводные'!$B$63)))*CQ57+(1-(IF(SUM($D55:$GA55)=0,0,IF(SUM($D58:$GA58)=0,1,'Вводные'!$B$63))))*CQ59)</x:f>
      </x:c>
      <x:c r="CR69" s="107" t="n">
        <x:f>'Вводные'!$O$90*((IF(SUM($D55:$GA55)=0,0,IF(SUM($D58:$GA58)=0,1,'Вводные'!$B$63)))*CR57+(1-(IF(SUM($D55:$GA55)=0,0,IF(SUM($D58:$GA58)=0,1,'Вводные'!$B$63))))*CR59)</x:f>
      </x:c>
      <x:c r="CS69" s="107" t="n">
        <x:f>'Вводные'!$O$90*((IF(SUM($D55:$GA55)=0,0,IF(SUM($D58:$GA58)=0,1,'Вводные'!$B$63)))*CS57+(1-(IF(SUM($D55:$GA55)=0,0,IF(SUM($D58:$GA58)=0,1,'Вводные'!$B$63))))*CS59)</x:f>
      </x:c>
      <x:c r="CT69" s="107" t="n">
        <x:f>'Вводные'!$O$90*((IF(SUM($D55:$GA55)=0,0,IF(SUM($D58:$GA58)=0,1,'Вводные'!$B$63)))*CT57+(1-(IF(SUM($D55:$GA55)=0,0,IF(SUM($D58:$GA58)=0,1,'Вводные'!$B$63))))*CT59)</x:f>
      </x:c>
      <x:c r="CU69" s="107" t="n">
        <x:f>'Вводные'!$O$90*((IF(SUM($D55:$GA55)=0,0,IF(SUM($D58:$GA58)=0,1,'Вводные'!$B$63)))*CU57+(1-(IF(SUM($D55:$GA55)=0,0,IF(SUM($D58:$GA58)=0,1,'Вводные'!$B$63))))*CU59)</x:f>
      </x:c>
      <x:c r="CV69" s="107" t="n">
        <x:f>'Вводные'!$O$90*((IF(SUM($D55:$GA55)=0,0,IF(SUM($D58:$GA58)=0,1,'Вводные'!$B$63)))*CV57+(1-(IF(SUM($D55:$GA55)=0,0,IF(SUM($D58:$GA58)=0,1,'Вводные'!$B$63))))*CV59)</x:f>
      </x:c>
      <x:c r="CW69" s="107" t="n">
        <x:f>'Вводные'!$O$90*((IF(SUM($D55:$GA55)=0,0,IF(SUM($D58:$GA58)=0,1,'Вводные'!$B$63)))*CW57+(1-(IF(SUM($D55:$GA55)=0,0,IF(SUM($D58:$GA58)=0,1,'Вводные'!$B$63))))*CW59)</x:f>
      </x:c>
      <x:c r="CX69" s="107" t="n">
        <x:f>'Вводные'!$O$90*((IF(SUM($D55:$GA55)=0,0,IF(SUM($D58:$GA58)=0,1,'Вводные'!$B$63)))*CX57+(1-(IF(SUM($D55:$GA55)=0,0,IF(SUM($D58:$GA58)=0,1,'Вводные'!$B$63))))*CX59)</x:f>
      </x:c>
      <x:c r="CY69" s="107" t="n">
        <x:f>'Вводные'!$O$90*((IF(SUM($D55:$GA55)=0,0,IF(SUM($D58:$GA58)=0,1,'Вводные'!$B$63)))*CY57+(1-(IF(SUM($D55:$GA55)=0,0,IF(SUM($D58:$GA58)=0,1,'Вводные'!$B$63))))*CY59)</x:f>
      </x:c>
      <x:c r="CZ69" s="107" t="n">
        <x:f>'Вводные'!$O$90*((IF(SUM($D55:$GA55)=0,0,IF(SUM($D58:$GA58)=0,1,'Вводные'!$B$63)))*CZ57+(1-(IF(SUM($D55:$GA55)=0,0,IF(SUM($D58:$GA58)=0,1,'Вводные'!$B$63))))*CZ59)</x:f>
      </x:c>
      <x:c r="DA69" s="107" t="n">
        <x:f>'Вводные'!$O$90*((IF(SUM($D55:$GA55)=0,0,IF(SUM($D58:$GA58)=0,1,'Вводные'!$B$63)))*DA57+(1-(IF(SUM($D55:$GA55)=0,0,IF(SUM($D58:$GA58)=0,1,'Вводные'!$B$63))))*DA59)</x:f>
      </x:c>
      <x:c r="DB69" s="107" t="n">
        <x:f>'Вводные'!$O$90*((IF(SUM($D55:$GA55)=0,0,IF(SUM($D58:$GA58)=0,1,'Вводные'!$B$63)))*DB57+(1-(IF(SUM($D55:$GA55)=0,0,IF(SUM($D58:$GA58)=0,1,'Вводные'!$B$63))))*DB59)</x:f>
      </x:c>
      <x:c r="DC69" s="107" t="n">
        <x:f>'Вводные'!$O$90*((IF(SUM($D55:$GA55)=0,0,IF(SUM($D58:$GA58)=0,1,'Вводные'!$B$63)))*DC57+(1-(IF(SUM($D55:$GA55)=0,0,IF(SUM($D58:$GA58)=0,1,'Вводные'!$B$63))))*DC59)</x:f>
      </x:c>
      <x:c r="DD69" s="107" t="n">
        <x:f>'Вводные'!$O$90*((IF(SUM($D55:$GA55)=0,0,IF(SUM($D58:$GA58)=0,1,'Вводные'!$B$63)))*DD57+(1-(IF(SUM($D55:$GA55)=0,0,IF(SUM($D58:$GA58)=0,1,'Вводные'!$B$63))))*DD59)</x:f>
      </x:c>
      <x:c r="DE69" s="107" t="n">
        <x:f>'Вводные'!$O$90*((IF(SUM($D55:$GA55)=0,0,IF(SUM($D58:$GA58)=0,1,'Вводные'!$B$63)))*DE57+(1-(IF(SUM($D55:$GA55)=0,0,IF(SUM($D58:$GA58)=0,1,'Вводные'!$B$63))))*DE59)</x:f>
      </x:c>
      <x:c r="DF69" s="107" t="n">
        <x:f>'Вводные'!$O$90*((IF(SUM($D55:$GA55)=0,0,IF(SUM($D58:$GA58)=0,1,'Вводные'!$B$63)))*DF57+(1-(IF(SUM($D55:$GA55)=0,0,IF(SUM($D58:$GA58)=0,1,'Вводные'!$B$63))))*DF59)</x:f>
      </x:c>
      <x:c r="DG69" s="107" t="n">
        <x:f>'Вводные'!$O$90*((IF(SUM($D55:$GA55)=0,0,IF(SUM($D58:$GA58)=0,1,'Вводные'!$B$63)))*DG57+(1-(IF(SUM($D55:$GA55)=0,0,IF(SUM($D58:$GA58)=0,1,'Вводные'!$B$63))))*DG59)</x:f>
      </x:c>
      <x:c r="DH69" s="107" t="n">
        <x:f>'Вводные'!$O$90*((IF(SUM($D55:$GA55)=0,0,IF(SUM($D58:$GA58)=0,1,'Вводные'!$B$63)))*DH57+(1-(IF(SUM($D55:$GA55)=0,0,IF(SUM($D58:$GA58)=0,1,'Вводные'!$B$63))))*DH59)</x:f>
      </x:c>
      <x:c r="DI69" s="107" t="n">
        <x:f>'Вводные'!$O$90*((IF(SUM($D55:$GA55)=0,0,IF(SUM($D58:$GA58)=0,1,'Вводные'!$B$63)))*DI57+(1-(IF(SUM($D55:$GA55)=0,0,IF(SUM($D58:$GA58)=0,1,'Вводные'!$B$63))))*DI59)</x:f>
      </x:c>
      <x:c r="DJ69" s="107" t="n">
        <x:f>'Вводные'!$O$90*((IF(SUM($D55:$GA55)=0,0,IF(SUM($D58:$GA58)=0,1,'Вводные'!$B$63)))*DJ57+(1-(IF(SUM($D55:$GA55)=0,0,IF(SUM($D58:$GA58)=0,1,'Вводные'!$B$63))))*DJ59)</x:f>
      </x:c>
      <x:c r="DK69" s="107" t="n">
        <x:f>'Вводные'!$O$90*((IF(SUM($D55:$GA55)=0,0,IF(SUM($D58:$GA58)=0,1,'Вводные'!$B$63)))*DK57+(1-(IF(SUM($D55:$GA55)=0,0,IF(SUM($D58:$GA58)=0,1,'Вводные'!$B$63))))*DK59)</x:f>
      </x:c>
      <x:c r="DL69" s="107" t="n">
        <x:f>'Вводные'!$O$90*((IF(SUM($D55:$GA55)=0,0,IF(SUM($D58:$GA58)=0,1,'Вводные'!$B$63)))*DL57+(1-(IF(SUM($D55:$GA55)=0,0,IF(SUM($D58:$GA58)=0,1,'Вводные'!$B$63))))*DL59)</x:f>
      </x:c>
      <x:c r="DM69" s="107" t="n">
        <x:f>'Вводные'!$O$90*((IF(SUM($D55:$GA55)=0,0,IF(SUM($D58:$GA58)=0,1,'Вводные'!$B$63)))*DM57+(1-(IF(SUM($D55:$GA55)=0,0,IF(SUM($D58:$GA58)=0,1,'Вводные'!$B$63))))*DM59)</x:f>
      </x:c>
      <x:c r="DN69" s="107" t="n">
        <x:f>'Вводные'!$O$90*((IF(SUM($D55:$GA55)=0,0,IF(SUM($D58:$GA58)=0,1,'Вводные'!$B$63)))*DN57+(1-(IF(SUM($D55:$GA55)=0,0,IF(SUM($D58:$GA58)=0,1,'Вводные'!$B$63))))*DN59)</x:f>
      </x:c>
      <x:c r="DO69" s="107" t="n">
        <x:f>'Вводные'!$O$90*((IF(SUM($D55:$GA55)=0,0,IF(SUM($D58:$GA58)=0,1,'Вводные'!$B$63)))*DO57+(1-(IF(SUM($D55:$GA55)=0,0,IF(SUM($D58:$GA58)=0,1,'Вводные'!$B$63))))*DO59)</x:f>
      </x:c>
      <x:c r="DP69" s="107" t="n">
        <x:f>'Вводные'!$O$90*((IF(SUM($D55:$GA55)=0,0,IF(SUM($D58:$GA58)=0,1,'Вводные'!$B$63)))*DP57+(1-(IF(SUM($D55:$GA55)=0,0,IF(SUM($D58:$GA58)=0,1,'Вводные'!$B$63))))*DP59)</x:f>
      </x:c>
      <x:c r="DQ69" s="107" t="n">
        <x:f>'Вводные'!$O$90*((IF(SUM($D55:$GA55)=0,0,IF(SUM($D58:$GA58)=0,1,'Вводные'!$B$63)))*DQ57+(1-(IF(SUM($D55:$GA55)=0,0,IF(SUM($D58:$GA58)=0,1,'Вводные'!$B$63))))*DQ59)</x:f>
      </x:c>
      <x:c r="DR69" s="107" t="n">
        <x:f>'Вводные'!$O$90*((IF(SUM($D55:$GA55)=0,0,IF(SUM($D58:$GA58)=0,1,'Вводные'!$B$63)))*DR57+(1-(IF(SUM($D55:$GA55)=0,0,IF(SUM($D58:$GA58)=0,1,'Вводные'!$B$63))))*DR59)</x:f>
      </x:c>
      <x:c r="DS69" s="107" t="n">
        <x:f>'Вводные'!$O$90*((IF(SUM($D55:$GA55)=0,0,IF(SUM($D58:$GA58)=0,1,'Вводные'!$B$63)))*DS57+(1-(IF(SUM($D55:$GA55)=0,0,IF(SUM($D58:$GA58)=0,1,'Вводные'!$B$63))))*DS59)</x:f>
      </x:c>
      <x:c r="DT69" s="107" t="n">
        <x:f>'Вводные'!$O$90*((IF(SUM($D55:$GA55)=0,0,IF(SUM($D58:$GA58)=0,1,'Вводные'!$B$63)))*DT57+(1-(IF(SUM($D55:$GA55)=0,0,IF(SUM($D58:$GA58)=0,1,'Вводные'!$B$63))))*DT59)</x:f>
      </x:c>
      <x:c r="DU69" s="107" t="n">
        <x:f>'Вводные'!$O$90*((IF(SUM($D55:$GA55)=0,0,IF(SUM($D58:$GA58)=0,1,'Вводные'!$B$63)))*DU57+(1-(IF(SUM($D55:$GA55)=0,0,IF(SUM($D58:$GA58)=0,1,'Вводные'!$B$63))))*DU59)</x:f>
      </x:c>
      <x:c r="DV69" s="107" t="n">
        <x:f>'Вводные'!$O$90*((IF(SUM($D55:$GA55)=0,0,IF(SUM($D58:$GA58)=0,1,'Вводные'!$B$63)))*DV57+(1-(IF(SUM($D55:$GA55)=0,0,IF(SUM($D58:$GA58)=0,1,'Вводные'!$B$63))))*DV59)</x:f>
      </x:c>
      <x:c r="DW69" s="107" t="n">
        <x:f>'Вводные'!$O$90*((IF(SUM($D55:$GA55)=0,0,IF(SUM($D58:$GA58)=0,1,'Вводные'!$B$63)))*DW57+(1-(IF(SUM($D55:$GA55)=0,0,IF(SUM($D58:$GA58)=0,1,'Вводные'!$B$63))))*DW59)</x:f>
      </x:c>
      <x:c r="DX69" s="107" t="n">
        <x:f>'Вводные'!$O$90*((IF(SUM($D55:$GA55)=0,0,IF(SUM($D58:$GA58)=0,1,'Вводные'!$B$63)))*DX57+(1-(IF(SUM($D55:$GA55)=0,0,IF(SUM($D58:$GA58)=0,1,'Вводные'!$B$63))))*DX59)</x:f>
      </x:c>
      <x:c r="DY69" s="107" t="n">
        <x:f>'Вводные'!$O$90*((IF(SUM($D55:$GA55)=0,0,IF(SUM($D58:$GA58)=0,1,'Вводные'!$B$63)))*DY57+(1-(IF(SUM($D55:$GA55)=0,0,IF(SUM($D58:$GA58)=0,1,'Вводные'!$B$63))))*DY59)</x:f>
      </x:c>
      <x:c r="DZ69" s="107" t="n">
        <x:f>'Вводные'!$O$90*((IF(SUM($D55:$GA55)=0,0,IF(SUM($D58:$GA58)=0,1,'Вводные'!$B$63)))*DZ57+(1-(IF(SUM($D55:$GA55)=0,0,IF(SUM($D58:$GA58)=0,1,'Вводные'!$B$63))))*DZ59)</x:f>
      </x:c>
      <x:c r="EA69" s="107" t="n">
        <x:f>'Вводные'!$O$90*((IF(SUM($D55:$GA55)=0,0,IF(SUM($D58:$GA58)=0,1,'Вводные'!$B$63)))*EA57+(1-(IF(SUM($D55:$GA55)=0,0,IF(SUM($D58:$GA58)=0,1,'Вводные'!$B$63))))*EA59)</x:f>
      </x:c>
      <x:c r="EB69" s="107" t="n">
        <x:f>'Вводные'!$O$90*((IF(SUM($D55:$GA55)=0,0,IF(SUM($D58:$GA58)=0,1,'Вводные'!$B$63)))*EB57+(1-(IF(SUM($D55:$GA55)=0,0,IF(SUM($D58:$GA58)=0,1,'Вводные'!$B$63))))*EB59)</x:f>
      </x:c>
      <x:c r="EC69" s="107" t="n">
        <x:f>'Вводные'!$O$90*((IF(SUM($D55:$GA55)=0,0,IF(SUM($D58:$GA58)=0,1,'Вводные'!$B$63)))*EC57+(1-(IF(SUM($D55:$GA55)=0,0,IF(SUM($D58:$GA58)=0,1,'Вводные'!$B$63))))*EC59)</x:f>
      </x:c>
      <x:c r="ED69" s="107" t="n">
        <x:f>'Вводные'!$O$90*((IF(SUM($D55:$GA55)=0,0,IF(SUM($D58:$GA58)=0,1,'Вводные'!$B$63)))*ED57+(1-(IF(SUM($D55:$GA55)=0,0,IF(SUM($D58:$GA58)=0,1,'Вводные'!$B$63))))*ED59)</x:f>
      </x:c>
      <x:c r="EE69" s="107" t="n">
        <x:f>'Вводные'!$O$90*((IF(SUM($D55:$GA55)=0,0,IF(SUM($D58:$GA58)=0,1,'Вводные'!$B$63)))*EE57+(1-(IF(SUM($D55:$GA55)=0,0,IF(SUM($D58:$GA58)=0,1,'Вводные'!$B$63))))*EE59)</x:f>
      </x:c>
      <x:c r="EF69" s="107" t="n">
        <x:f>'Вводные'!$O$90*((IF(SUM($D55:$GA55)=0,0,IF(SUM($D58:$GA58)=0,1,'Вводные'!$B$63)))*EF57+(1-(IF(SUM($D55:$GA55)=0,0,IF(SUM($D58:$GA58)=0,1,'Вводные'!$B$63))))*EF59)</x:f>
      </x:c>
      <x:c r="EG69" s="107" t="n">
        <x:f>'Вводные'!$O$90*((IF(SUM($D55:$GA55)=0,0,IF(SUM($D58:$GA58)=0,1,'Вводные'!$B$63)))*EG57+(1-(IF(SUM($D55:$GA55)=0,0,IF(SUM($D58:$GA58)=0,1,'Вводные'!$B$63))))*EG59)</x:f>
      </x:c>
      <x:c r="EH69" s="107" t="n">
        <x:f>'Вводные'!$O$90*((IF(SUM($D55:$GA55)=0,0,IF(SUM($D58:$GA58)=0,1,'Вводные'!$B$63)))*EH57+(1-(IF(SUM($D55:$GA55)=0,0,IF(SUM($D58:$GA58)=0,1,'Вводные'!$B$63))))*EH59)</x:f>
      </x:c>
      <x:c r="EI69" s="107" t="n">
        <x:f>'Вводные'!$O$90*((IF(SUM($D55:$GA55)=0,0,IF(SUM($D58:$GA58)=0,1,'Вводные'!$B$63)))*EI57+(1-(IF(SUM($D55:$GA55)=0,0,IF(SUM($D58:$GA58)=0,1,'Вводные'!$B$63))))*EI59)</x:f>
      </x:c>
      <x:c r="EJ69" s="107" t="n">
        <x:f>'Вводные'!$O$90*((IF(SUM($D55:$GA55)=0,0,IF(SUM($D58:$GA58)=0,1,'Вводные'!$B$63)))*EJ57+(1-(IF(SUM($D55:$GA55)=0,0,IF(SUM($D58:$GA58)=0,1,'Вводные'!$B$63))))*EJ59)</x:f>
      </x:c>
      <x:c r="EK69" s="107" t="n">
        <x:f>'Вводные'!$O$90*((IF(SUM($D55:$GA55)=0,0,IF(SUM($D58:$GA58)=0,1,'Вводные'!$B$63)))*EK57+(1-(IF(SUM($D55:$GA55)=0,0,IF(SUM($D58:$GA58)=0,1,'Вводные'!$B$63))))*EK59)</x:f>
      </x:c>
      <x:c r="EL69" s="107" t="n">
        <x:f>'Вводные'!$O$90*((IF(SUM($D55:$GA55)=0,0,IF(SUM($D58:$GA58)=0,1,'Вводные'!$B$63)))*EL57+(1-(IF(SUM($D55:$GA55)=0,0,IF(SUM($D58:$GA58)=0,1,'Вводные'!$B$63))))*EL59)</x:f>
      </x:c>
      <x:c r="EM69" s="107" t="n">
        <x:f>'Вводные'!$O$90*((IF(SUM($D55:$GA55)=0,0,IF(SUM($D58:$GA58)=0,1,'Вводные'!$B$63)))*EM57+(1-(IF(SUM($D55:$GA55)=0,0,IF(SUM($D58:$GA58)=0,1,'Вводные'!$B$63))))*EM59)</x:f>
      </x:c>
      <x:c r="EN69" s="107" t="n">
        <x:f>'Вводные'!$O$90*((IF(SUM($D55:$GA55)=0,0,IF(SUM($D58:$GA58)=0,1,'Вводные'!$B$63)))*EN57+(1-(IF(SUM($D55:$GA55)=0,0,IF(SUM($D58:$GA58)=0,1,'Вводные'!$B$63))))*EN59)</x:f>
      </x:c>
      <x:c r="EO69" s="107" t="n">
        <x:f>'Вводные'!$O$90*((IF(SUM($D55:$GA55)=0,0,IF(SUM($D58:$GA58)=0,1,'Вводные'!$B$63)))*EO57+(1-(IF(SUM($D55:$GA55)=0,0,IF(SUM($D58:$GA58)=0,1,'Вводные'!$B$63))))*EO59)</x:f>
      </x:c>
      <x:c r="EP69" s="107" t="n">
        <x:f>'Вводные'!$O$90*((IF(SUM($D55:$GA55)=0,0,IF(SUM($D58:$GA58)=0,1,'Вводные'!$B$63)))*EP57+(1-(IF(SUM($D55:$GA55)=0,0,IF(SUM($D58:$GA58)=0,1,'Вводные'!$B$63))))*EP59)</x:f>
      </x:c>
      <x:c r="EQ69" s="107" t="n">
        <x:f>'Вводные'!$O$90*((IF(SUM($D55:$GA55)=0,0,IF(SUM($D58:$GA58)=0,1,'Вводные'!$B$63)))*EQ57+(1-(IF(SUM($D55:$GA55)=0,0,IF(SUM($D58:$GA58)=0,1,'Вводные'!$B$63))))*EQ59)</x:f>
      </x:c>
      <x:c r="ER69" s="107" t="n">
        <x:f>'Вводные'!$O$90*((IF(SUM($D55:$GA55)=0,0,IF(SUM($D58:$GA58)=0,1,'Вводные'!$B$63)))*ER57+(1-(IF(SUM($D55:$GA55)=0,0,IF(SUM($D58:$GA58)=0,1,'Вводные'!$B$63))))*ER59)</x:f>
      </x:c>
      <x:c r="ES69" s="107" t="n">
        <x:f>'Вводные'!$O$90*((IF(SUM($D55:$GA55)=0,0,IF(SUM($D58:$GA58)=0,1,'Вводные'!$B$63)))*ES57+(1-(IF(SUM($D55:$GA55)=0,0,IF(SUM($D58:$GA58)=0,1,'Вводные'!$B$63))))*ES59)</x:f>
      </x:c>
      <x:c r="ET69" s="107" t="n">
        <x:f>'Вводные'!$O$90*((IF(SUM($D55:$GA55)=0,0,IF(SUM($D58:$GA58)=0,1,'Вводные'!$B$63)))*ET57+(1-(IF(SUM($D55:$GA55)=0,0,IF(SUM($D58:$GA58)=0,1,'Вводные'!$B$63))))*ET59)</x:f>
      </x:c>
      <x:c r="EU69" s="107" t="n">
        <x:f>'Вводные'!$O$90*((IF(SUM($D55:$GA55)=0,0,IF(SUM($D58:$GA58)=0,1,'Вводные'!$B$63)))*EU57+(1-(IF(SUM($D55:$GA55)=0,0,IF(SUM($D58:$GA58)=0,1,'Вводные'!$B$63))))*EU59)</x:f>
      </x:c>
      <x:c r="EV69" s="107" t="n">
        <x:f>'Вводные'!$O$90*((IF(SUM($D55:$GA55)=0,0,IF(SUM($D58:$GA58)=0,1,'Вводные'!$B$63)))*EV57+(1-(IF(SUM($D55:$GA55)=0,0,IF(SUM($D58:$GA58)=0,1,'Вводные'!$B$63))))*EV59)</x:f>
      </x:c>
      <x:c r="EW69" s="107" t="n">
        <x:f>'Вводные'!$O$90*((IF(SUM($D55:$GA55)=0,0,IF(SUM($D58:$GA58)=0,1,'Вводные'!$B$63)))*EW57+(1-(IF(SUM($D55:$GA55)=0,0,IF(SUM($D58:$GA58)=0,1,'Вводные'!$B$63))))*EW59)</x:f>
      </x:c>
      <x:c r="EX69" s="107" t="n">
        <x:f>'Вводные'!$O$90*((IF(SUM($D55:$GA55)=0,0,IF(SUM($D58:$GA58)=0,1,'Вводные'!$B$63)))*EX57+(1-(IF(SUM($D55:$GA55)=0,0,IF(SUM($D58:$GA58)=0,1,'Вводные'!$B$63))))*EX59)</x:f>
      </x:c>
      <x:c r="EY69" s="107" t="n">
        <x:f>'Вводные'!$O$90*((IF(SUM($D55:$GA55)=0,0,IF(SUM($D58:$GA58)=0,1,'Вводные'!$B$63)))*EY57+(1-(IF(SUM($D55:$GA55)=0,0,IF(SUM($D58:$GA58)=0,1,'Вводные'!$B$63))))*EY59)</x:f>
      </x:c>
      <x:c r="EZ69" s="107" t="n">
        <x:f>'Вводные'!$O$90*((IF(SUM($D55:$GA55)=0,0,IF(SUM($D58:$GA58)=0,1,'Вводные'!$B$63)))*EZ57+(1-(IF(SUM($D55:$GA55)=0,0,IF(SUM($D58:$GA58)=0,1,'Вводные'!$B$63))))*EZ59)</x:f>
      </x:c>
      <x:c r="FA69" s="107" t="n">
        <x:f>'Вводные'!$O$90*((IF(SUM($D55:$GA55)=0,0,IF(SUM($D58:$GA58)=0,1,'Вводные'!$B$63)))*FA57+(1-(IF(SUM($D55:$GA55)=0,0,IF(SUM($D58:$GA58)=0,1,'Вводные'!$B$63))))*FA59)</x:f>
      </x:c>
      <x:c r="FB69" s="107" t="n">
        <x:f>'Вводные'!$O$90*((IF(SUM($D55:$GA55)=0,0,IF(SUM($D58:$GA58)=0,1,'Вводные'!$B$63)))*FB57+(1-(IF(SUM($D55:$GA55)=0,0,IF(SUM($D58:$GA58)=0,1,'Вводные'!$B$63))))*FB59)</x:f>
      </x:c>
      <x:c r="FC69" s="107" t="n">
        <x:f>'Вводные'!$O$90*((IF(SUM($D55:$GA55)=0,0,IF(SUM($D58:$GA58)=0,1,'Вводные'!$B$63)))*FC57+(1-(IF(SUM($D55:$GA55)=0,0,IF(SUM($D58:$GA58)=0,1,'Вводные'!$B$63))))*FC59)</x:f>
      </x:c>
      <x:c r="FD69" s="107" t="n">
        <x:f>'Вводные'!$O$90*((IF(SUM($D55:$GA55)=0,0,IF(SUM($D58:$GA58)=0,1,'Вводные'!$B$63)))*FD57+(1-(IF(SUM($D55:$GA55)=0,0,IF(SUM($D58:$GA58)=0,1,'Вводные'!$B$63))))*FD59)</x:f>
      </x:c>
      <x:c r="FE69" s="107" t="n">
        <x:f>'Вводные'!$O$90*((IF(SUM($D55:$GA55)=0,0,IF(SUM($D58:$GA58)=0,1,'Вводные'!$B$63)))*FE57+(1-(IF(SUM($D55:$GA55)=0,0,IF(SUM($D58:$GA58)=0,1,'Вводные'!$B$63))))*FE59)</x:f>
      </x:c>
      <x:c r="FF69" s="107" t="n">
        <x:f>'Вводные'!$O$90*((IF(SUM($D55:$GA55)=0,0,IF(SUM($D58:$GA58)=0,1,'Вводные'!$B$63)))*FF57+(1-(IF(SUM($D55:$GA55)=0,0,IF(SUM($D58:$GA58)=0,1,'Вводные'!$B$63))))*FF59)</x:f>
      </x:c>
      <x:c r="FG69" s="107" t="n">
        <x:f>'Вводные'!$O$90*((IF(SUM($D55:$GA55)=0,0,IF(SUM($D58:$GA58)=0,1,'Вводные'!$B$63)))*FG57+(1-(IF(SUM($D55:$GA55)=0,0,IF(SUM($D58:$GA58)=0,1,'Вводные'!$B$63))))*FG59)</x:f>
      </x:c>
      <x:c r="FH69" s="107" t="n">
        <x:f>'Вводные'!$O$90*((IF(SUM($D55:$GA55)=0,0,IF(SUM($D58:$GA58)=0,1,'Вводные'!$B$63)))*FH57+(1-(IF(SUM($D55:$GA55)=0,0,IF(SUM($D58:$GA58)=0,1,'Вводные'!$B$63))))*FH59)</x:f>
      </x:c>
      <x:c r="FI69" s="107" t="n">
        <x:f>'Вводные'!$O$90*((IF(SUM($D55:$GA55)=0,0,IF(SUM($D58:$GA58)=0,1,'Вводные'!$B$63)))*FI57+(1-(IF(SUM($D55:$GA55)=0,0,IF(SUM($D58:$GA58)=0,1,'Вводные'!$B$63))))*FI59)</x:f>
      </x:c>
      <x:c r="FJ69" s="107" t="n">
        <x:f>'Вводные'!$O$90*((IF(SUM($D55:$GA55)=0,0,IF(SUM($D58:$GA58)=0,1,'Вводные'!$B$63)))*FJ57+(1-(IF(SUM($D55:$GA55)=0,0,IF(SUM($D58:$GA58)=0,1,'Вводные'!$B$63))))*FJ59)</x:f>
      </x:c>
      <x:c r="FK69" s="107" t="n">
        <x:f>'Вводные'!$O$90*((IF(SUM($D55:$GA55)=0,0,IF(SUM($D58:$GA58)=0,1,'Вводные'!$B$63)))*FK57+(1-(IF(SUM($D55:$GA55)=0,0,IF(SUM($D58:$GA58)=0,1,'Вводные'!$B$63))))*FK59)</x:f>
      </x:c>
      <x:c r="FL69" s="107" t="n">
        <x:f>'Вводные'!$O$90*((IF(SUM($D55:$GA55)=0,0,IF(SUM($D58:$GA58)=0,1,'Вводные'!$B$63)))*FL57+(1-(IF(SUM($D55:$GA55)=0,0,IF(SUM($D58:$GA58)=0,1,'Вводные'!$B$63))))*FL59)</x:f>
      </x:c>
      <x:c r="FM69" s="107" t="n">
        <x:f>'Вводные'!$O$90*((IF(SUM($D55:$GA55)=0,0,IF(SUM($D58:$GA58)=0,1,'Вводные'!$B$63)))*FM57+(1-(IF(SUM($D55:$GA55)=0,0,IF(SUM($D58:$GA58)=0,1,'Вводные'!$B$63))))*FM59)</x:f>
      </x:c>
      <x:c r="FN69" s="107" t="n">
        <x:f>'Вводные'!$O$90*((IF(SUM($D55:$GA55)=0,0,IF(SUM($D58:$GA58)=0,1,'Вводные'!$B$63)))*FN57+(1-(IF(SUM($D55:$GA55)=0,0,IF(SUM($D58:$GA58)=0,1,'Вводные'!$B$63))))*FN59)</x:f>
      </x:c>
      <x:c r="FO69" s="107" t="n">
        <x:f>'Вводные'!$O$90*((IF(SUM($D55:$GA55)=0,0,IF(SUM($D58:$GA58)=0,1,'Вводные'!$B$63)))*FO57+(1-(IF(SUM($D55:$GA55)=0,0,IF(SUM($D58:$GA58)=0,1,'Вводные'!$B$63))))*FO59)</x:f>
      </x:c>
      <x:c r="FP69" s="107" t="n">
        <x:f>'Вводные'!$O$90*((IF(SUM($D55:$GA55)=0,0,IF(SUM($D58:$GA58)=0,1,'Вводные'!$B$63)))*FP57+(1-(IF(SUM($D55:$GA55)=0,0,IF(SUM($D58:$GA58)=0,1,'Вводные'!$B$63))))*FP59)</x:f>
      </x:c>
      <x:c r="FQ69" s="107" t="n">
        <x:f>'Вводные'!$O$90*((IF(SUM($D55:$GA55)=0,0,IF(SUM($D58:$GA58)=0,1,'Вводные'!$B$63)))*FQ57+(1-(IF(SUM($D55:$GA55)=0,0,IF(SUM($D58:$GA58)=0,1,'Вводные'!$B$63))))*FQ59)</x:f>
      </x:c>
      <x:c r="FR69" s="107" t="n">
        <x:f>'Вводные'!$O$90*((IF(SUM($D55:$GA55)=0,0,IF(SUM($D58:$GA58)=0,1,'Вводные'!$B$63)))*FR57+(1-(IF(SUM($D55:$GA55)=0,0,IF(SUM($D58:$GA58)=0,1,'Вводные'!$B$63))))*FR59)</x:f>
      </x:c>
      <x:c r="FS69" s="107" t="n">
        <x:f>'Вводные'!$O$90*((IF(SUM($D55:$GA55)=0,0,IF(SUM($D58:$GA58)=0,1,'Вводные'!$B$63)))*FS57+(1-(IF(SUM($D55:$GA55)=0,0,IF(SUM($D58:$GA58)=0,1,'Вводные'!$B$63))))*FS59)</x:f>
      </x:c>
      <x:c r="FT69" s="107" t="n">
        <x:f>'Вводные'!$O$90*((IF(SUM($D55:$GA55)=0,0,IF(SUM($D58:$GA58)=0,1,'Вводные'!$B$63)))*FT57+(1-(IF(SUM($D55:$GA55)=0,0,IF(SUM($D58:$GA58)=0,1,'Вводные'!$B$63))))*FT59)</x:f>
      </x:c>
      <x:c r="FU69" s="107" t="n">
        <x:f>'Вводные'!$O$90*((IF(SUM($D55:$GA55)=0,0,IF(SUM($D58:$GA58)=0,1,'Вводные'!$B$63)))*FU57+(1-(IF(SUM($D55:$GA55)=0,0,IF(SUM($D58:$GA58)=0,1,'Вводные'!$B$63))))*FU59)</x:f>
      </x:c>
      <x:c r="FV69" s="107" t="n">
        <x:f>'Вводные'!$O$90*((IF(SUM($D55:$GA55)=0,0,IF(SUM($D58:$GA58)=0,1,'Вводные'!$B$63)))*FV57+(1-(IF(SUM($D55:$GA55)=0,0,IF(SUM($D58:$GA58)=0,1,'Вводные'!$B$63))))*FV59)</x:f>
      </x:c>
      <x:c r="FW69" s="107" t="n">
        <x:f>'Вводные'!$O$90*((IF(SUM($D55:$GA55)=0,0,IF(SUM($D58:$GA58)=0,1,'Вводные'!$B$63)))*FW57+(1-(IF(SUM($D55:$GA55)=0,0,IF(SUM($D58:$GA58)=0,1,'Вводные'!$B$63))))*FW59)</x:f>
      </x:c>
      <x:c r="FX69" s="107" t="n">
        <x:f>'Вводные'!$O$90*((IF(SUM($D55:$GA55)=0,0,IF(SUM($D58:$GA58)=0,1,'Вводные'!$B$63)))*FX57+(1-(IF(SUM($D55:$GA55)=0,0,IF(SUM($D58:$GA58)=0,1,'Вводные'!$B$63))))*FX59)</x:f>
      </x:c>
      <x:c r="FY69" s="107" t="n">
        <x:f>'Вводные'!$O$90*((IF(SUM($D55:$GA55)=0,0,IF(SUM($D58:$GA58)=0,1,'Вводные'!$B$63)))*FY57+(1-(IF(SUM($D55:$GA55)=0,0,IF(SUM($D58:$GA58)=0,1,'Вводные'!$B$63))))*FY59)</x:f>
      </x:c>
      <x:c r="FZ69" s="107" t="n">
        <x:f>'Вводные'!$O$90*((IF(SUM($D55:$GA55)=0,0,IF(SUM($D58:$GA58)=0,1,'Вводные'!$B$63)))*FZ57+(1-(IF(SUM($D55:$GA55)=0,0,IF(SUM($D58:$GA58)=0,1,'Вводные'!$B$63))))*FZ59)</x:f>
      </x:c>
      <x:c r="GA69" s="107" t="n">
        <x:f>'Вводные'!$O$90*((IF(SUM($D55:$GA55)=0,0,IF(SUM($D58:$GA58)=0,1,'Вводные'!$B$63)))*GA57+(1-(IF(SUM($D55:$GA55)=0,0,IF(SUM($D58:$GA58)=0,1,'Вводные'!$B$63))))*GA59)</x:f>
      </x:c>
    </x:row>
    <x:row r="70">
      <x:c r="A70" t="str">
        <x:v>Кладовые — цена</x:v>
      </x:c>
      <x:c r="B70" t="n">
        <x:f>IFERROR(B71*1000/B69,0)</x:f>
      </x:c>
      <x:c r="C70" t="str">
        <x:v>тыс. ₽/шт.</x:v>
      </x:c>
      <x:c r="D70" s="107" t="n">
        <x:f>IF(D69=0,0,'Вводные'!$B$62*'Вводные'!$S$90*'Вводные'!$H$5*'Вводные'!$AG$90*(1+'Вводные'!$B$64)^MAX(0,MIN((12*(YEAR(D$3)-YEAR($B$53))+MONTH(D$3)-MONTH($B$53)),(12*(YEAR($B$54)-YEAR($B$53))+MONTH($B$54)-MONTH($B$53))))*(1+'Вводные'!$B$65)^MAX(0,(12*(YEAR(D$3)-YEAR($B$54))+MONTH(D$3)-MONTH($B$54))))</x:f>
      </x:c>
      <x:c r="E70" s="107" t="n">
        <x:f>IF(E69=0,0,'Вводные'!$B$62*'Вводные'!$S$90*'Вводные'!$H$5*'Вводные'!$AG$90*(1+'Вводные'!$B$64)^MAX(0,MIN((12*(YEAR(E$3)-YEAR($B$53))+MONTH(E$3)-MONTH($B$53)),(12*(YEAR($B$54)-YEAR($B$53))+MONTH($B$54)-MONTH($B$53))))*(1+'Вводные'!$B$65)^MAX(0,(12*(YEAR(E$3)-YEAR($B$54))+MONTH(E$3)-MONTH($B$54))))</x:f>
      </x:c>
      <x:c r="F70" s="107" t="n">
        <x:f>IF(F69=0,0,'Вводные'!$B$62*'Вводные'!$S$90*'Вводные'!$H$5*'Вводные'!$AG$90*(1+'Вводные'!$B$64)^MAX(0,MIN((12*(YEAR(F$3)-YEAR($B$53))+MONTH(F$3)-MONTH($B$53)),(12*(YEAR($B$54)-YEAR($B$53))+MONTH($B$54)-MONTH($B$53))))*(1+'Вводные'!$B$65)^MAX(0,(12*(YEAR(F$3)-YEAR($B$54))+MONTH(F$3)-MONTH($B$54))))</x:f>
      </x:c>
      <x:c r="G70" s="107" t="n">
        <x:f>IF(G69=0,0,'Вводные'!$B$62*'Вводные'!$S$90*'Вводные'!$H$5*'Вводные'!$AG$90*(1+'Вводные'!$B$64)^MAX(0,MIN((12*(YEAR(G$3)-YEAR($B$53))+MONTH(G$3)-MONTH($B$53)),(12*(YEAR($B$54)-YEAR($B$53))+MONTH($B$54)-MONTH($B$53))))*(1+'Вводные'!$B$65)^MAX(0,(12*(YEAR(G$3)-YEAR($B$54))+MONTH(G$3)-MONTH($B$54))))</x:f>
      </x:c>
      <x:c r="H70" s="107" t="n">
        <x:f>IF(H69=0,0,'Вводные'!$B$62*'Вводные'!$S$90*'Вводные'!$H$5*'Вводные'!$AG$90*(1+'Вводные'!$B$64)^MAX(0,MIN((12*(YEAR(H$3)-YEAR($B$53))+MONTH(H$3)-MONTH($B$53)),(12*(YEAR($B$54)-YEAR($B$53))+MONTH($B$54)-MONTH($B$53))))*(1+'Вводные'!$B$65)^MAX(0,(12*(YEAR(H$3)-YEAR($B$54))+MONTH(H$3)-MONTH($B$54))))</x:f>
      </x:c>
      <x:c r="I70" s="107" t="n">
        <x:f>IF(I69=0,0,'Вводные'!$B$62*'Вводные'!$S$90*'Вводные'!$H$5*'Вводные'!$AG$90*(1+'Вводные'!$B$64)^MAX(0,MIN((12*(YEAR(I$3)-YEAR($B$53))+MONTH(I$3)-MONTH($B$53)),(12*(YEAR($B$54)-YEAR($B$53))+MONTH($B$54)-MONTH($B$53))))*(1+'Вводные'!$B$65)^MAX(0,(12*(YEAR(I$3)-YEAR($B$54))+MONTH(I$3)-MONTH($B$54))))</x:f>
      </x:c>
      <x:c r="J70" s="107" t="n">
        <x:f>IF(J69=0,0,'Вводные'!$B$62*'Вводные'!$S$90*'Вводные'!$H$5*'Вводные'!$AG$90*(1+'Вводные'!$B$64)^MAX(0,MIN((12*(YEAR(J$3)-YEAR($B$53))+MONTH(J$3)-MONTH($B$53)),(12*(YEAR($B$54)-YEAR($B$53))+MONTH($B$54)-MONTH($B$53))))*(1+'Вводные'!$B$65)^MAX(0,(12*(YEAR(J$3)-YEAR($B$54))+MONTH(J$3)-MONTH($B$54))))</x:f>
      </x:c>
      <x:c r="K70" s="107" t="n">
        <x:f>IF(K69=0,0,'Вводные'!$B$62*'Вводные'!$S$90*'Вводные'!$H$5*'Вводные'!$AG$90*(1+'Вводные'!$B$64)^MAX(0,MIN((12*(YEAR(K$3)-YEAR($B$53))+MONTH(K$3)-MONTH($B$53)),(12*(YEAR($B$54)-YEAR($B$53))+MONTH($B$54)-MONTH($B$53))))*(1+'Вводные'!$B$65)^MAX(0,(12*(YEAR(K$3)-YEAR($B$54))+MONTH(K$3)-MONTH($B$54))))</x:f>
      </x:c>
      <x:c r="L70" s="107" t="n">
        <x:f>IF(L69=0,0,'Вводные'!$B$62*'Вводные'!$S$90*'Вводные'!$H$5*'Вводные'!$AG$90*(1+'Вводные'!$B$64)^MAX(0,MIN((12*(YEAR(L$3)-YEAR($B$53))+MONTH(L$3)-MONTH($B$53)),(12*(YEAR($B$54)-YEAR($B$53))+MONTH($B$54)-MONTH($B$53))))*(1+'Вводные'!$B$65)^MAX(0,(12*(YEAR(L$3)-YEAR($B$54))+MONTH(L$3)-MONTH($B$54))))</x:f>
      </x:c>
      <x:c r="M70" s="107" t="n">
        <x:f>IF(M69=0,0,'Вводные'!$B$62*'Вводные'!$S$90*'Вводные'!$H$5*'Вводные'!$AG$90*(1+'Вводные'!$B$64)^MAX(0,MIN((12*(YEAR(M$3)-YEAR($B$53))+MONTH(M$3)-MONTH($B$53)),(12*(YEAR($B$54)-YEAR($B$53))+MONTH($B$54)-MONTH($B$53))))*(1+'Вводные'!$B$65)^MAX(0,(12*(YEAR(M$3)-YEAR($B$54))+MONTH(M$3)-MONTH($B$54))))</x:f>
      </x:c>
      <x:c r="N70" s="107" t="n">
        <x:f>IF(N69=0,0,'Вводные'!$B$62*'Вводные'!$S$90*'Вводные'!$H$5*'Вводные'!$AG$90*(1+'Вводные'!$B$64)^MAX(0,MIN((12*(YEAR(N$3)-YEAR($B$53))+MONTH(N$3)-MONTH($B$53)),(12*(YEAR($B$54)-YEAR($B$53))+MONTH($B$54)-MONTH($B$53))))*(1+'Вводные'!$B$65)^MAX(0,(12*(YEAR(N$3)-YEAR($B$54))+MONTH(N$3)-MONTH($B$54))))</x:f>
      </x:c>
      <x:c r="O70" s="107" t="n">
        <x:f>IF(O69=0,0,'Вводные'!$B$62*'Вводные'!$S$90*'Вводные'!$H$5*'Вводные'!$AG$90*(1+'Вводные'!$B$64)^MAX(0,MIN((12*(YEAR(O$3)-YEAR($B$53))+MONTH(O$3)-MONTH($B$53)),(12*(YEAR($B$54)-YEAR($B$53))+MONTH($B$54)-MONTH($B$53))))*(1+'Вводные'!$B$65)^MAX(0,(12*(YEAR(O$3)-YEAR($B$54))+MONTH(O$3)-MONTH($B$54))))</x:f>
      </x:c>
      <x:c r="P70" s="107" t="n">
        <x:f>IF(P69=0,0,'Вводные'!$B$62*'Вводные'!$S$90*'Вводные'!$H$5*'Вводные'!$AG$90*(1+'Вводные'!$B$64)^MAX(0,MIN((12*(YEAR(P$3)-YEAR($B$53))+MONTH(P$3)-MONTH($B$53)),(12*(YEAR($B$54)-YEAR($B$53))+MONTH($B$54)-MONTH($B$53))))*(1+'Вводные'!$B$65)^MAX(0,(12*(YEAR(P$3)-YEAR($B$54))+MONTH(P$3)-MONTH($B$54))))</x:f>
      </x:c>
      <x:c r="Q70" s="107" t="n">
        <x:f>IF(Q69=0,0,'Вводные'!$B$62*'Вводные'!$S$90*'Вводные'!$H$5*'Вводные'!$AG$90*(1+'Вводные'!$B$64)^MAX(0,MIN((12*(YEAR(Q$3)-YEAR($B$53))+MONTH(Q$3)-MONTH($B$53)),(12*(YEAR($B$54)-YEAR($B$53))+MONTH($B$54)-MONTH($B$53))))*(1+'Вводные'!$B$65)^MAX(0,(12*(YEAR(Q$3)-YEAR($B$54))+MONTH(Q$3)-MONTH($B$54))))</x:f>
      </x:c>
      <x:c r="R70" s="107" t="n">
        <x:f>IF(R69=0,0,'Вводные'!$B$62*'Вводные'!$S$90*'Вводные'!$H$5*'Вводные'!$AG$90*(1+'Вводные'!$B$64)^MAX(0,MIN((12*(YEAR(R$3)-YEAR($B$53))+MONTH(R$3)-MONTH($B$53)),(12*(YEAR($B$54)-YEAR($B$53))+MONTH($B$54)-MONTH($B$53))))*(1+'Вводные'!$B$65)^MAX(0,(12*(YEAR(R$3)-YEAR($B$54))+MONTH(R$3)-MONTH($B$54))))</x:f>
      </x:c>
      <x:c r="S70" s="107" t="n">
        <x:f>IF(S69=0,0,'Вводные'!$B$62*'Вводные'!$S$90*'Вводные'!$H$5*'Вводные'!$AG$90*(1+'Вводные'!$B$64)^MAX(0,MIN((12*(YEAR(S$3)-YEAR($B$53))+MONTH(S$3)-MONTH($B$53)),(12*(YEAR($B$54)-YEAR($B$53))+MONTH($B$54)-MONTH($B$53))))*(1+'Вводные'!$B$65)^MAX(0,(12*(YEAR(S$3)-YEAR($B$54))+MONTH(S$3)-MONTH($B$54))))</x:f>
      </x:c>
      <x:c r="T70" s="107" t="n">
        <x:f>IF(T69=0,0,'Вводные'!$B$62*'Вводные'!$S$90*'Вводные'!$H$5*'Вводные'!$AG$90*(1+'Вводные'!$B$64)^MAX(0,MIN((12*(YEAR(T$3)-YEAR($B$53))+MONTH(T$3)-MONTH($B$53)),(12*(YEAR($B$54)-YEAR($B$53))+MONTH($B$54)-MONTH($B$53))))*(1+'Вводные'!$B$65)^MAX(0,(12*(YEAR(T$3)-YEAR($B$54))+MONTH(T$3)-MONTH($B$54))))</x:f>
      </x:c>
      <x:c r="U70" s="107" t="n">
        <x:f>IF(U69=0,0,'Вводные'!$B$62*'Вводные'!$S$90*'Вводные'!$H$5*'Вводные'!$AG$90*(1+'Вводные'!$B$64)^MAX(0,MIN((12*(YEAR(U$3)-YEAR($B$53))+MONTH(U$3)-MONTH($B$53)),(12*(YEAR($B$54)-YEAR($B$53))+MONTH($B$54)-MONTH($B$53))))*(1+'Вводные'!$B$65)^MAX(0,(12*(YEAR(U$3)-YEAR($B$54))+MONTH(U$3)-MONTH($B$54))))</x:f>
      </x:c>
      <x:c r="V70" s="107" t="n">
        <x:f>IF(V69=0,0,'Вводные'!$B$62*'Вводные'!$S$90*'Вводные'!$H$5*'Вводные'!$AG$90*(1+'Вводные'!$B$64)^MAX(0,MIN((12*(YEAR(V$3)-YEAR($B$53))+MONTH(V$3)-MONTH($B$53)),(12*(YEAR($B$54)-YEAR($B$53))+MONTH($B$54)-MONTH($B$53))))*(1+'Вводные'!$B$65)^MAX(0,(12*(YEAR(V$3)-YEAR($B$54))+MONTH(V$3)-MONTH($B$54))))</x:f>
      </x:c>
      <x:c r="W70" s="107" t="n">
        <x:f>IF(W69=0,0,'Вводные'!$B$62*'Вводные'!$S$90*'Вводные'!$H$5*'Вводные'!$AG$90*(1+'Вводные'!$B$64)^MAX(0,MIN((12*(YEAR(W$3)-YEAR($B$53))+MONTH(W$3)-MONTH($B$53)),(12*(YEAR($B$54)-YEAR($B$53))+MONTH($B$54)-MONTH($B$53))))*(1+'Вводные'!$B$65)^MAX(0,(12*(YEAR(W$3)-YEAR($B$54))+MONTH(W$3)-MONTH($B$54))))</x:f>
      </x:c>
      <x:c r="X70" s="107" t="n">
        <x:f>IF(X69=0,0,'Вводные'!$B$62*'Вводные'!$S$90*'Вводные'!$H$5*'Вводные'!$AG$90*(1+'Вводные'!$B$64)^MAX(0,MIN((12*(YEAR(X$3)-YEAR($B$53))+MONTH(X$3)-MONTH($B$53)),(12*(YEAR($B$54)-YEAR($B$53))+MONTH($B$54)-MONTH($B$53))))*(1+'Вводные'!$B$65)^MAX(0,(12*(YEAR(X$3)-YEAR($B$54))+MONTH(X$3)-MONTH($B$54))))</x:f>
      </x:c>
      <x:c r="Y70" s="107" t="n">
        <x:f>IF(Y69=0,0,'Вводные'!$B$62*'Вводные'!$S$90*'Вводные'!$H$5*'Вводные'!$AG$90*(1+'Вводные'!$B$64)^MAX(0,MIN((12*(YEAR(Y$3)-YEAR($B$53))+MONTH(Y$3)-MONTH($B$53)),(12*(YEAR($B$54)-YEAR($B$53))+MONTH($B$54)-MONTH($B$53))))*(1+'Вводные'!$B$65)^MAX(0,(12*(YEAR(Y$3)-YEAR($B$54))+MONTH(Y$3)-MONTH($B$54))))</x:f>
      </x:c>
      <x:c r="Z70" s="107" t="n">
        <x:f>IF(Z69=0,0,'Вводные'!$B$62*'Вводные'!$S$90*'Вводные'!$H$5*'Вводные'!$AG$90*(1+'Вводные'!$B$64)^MAX(0,MIN((12*(YEAR(Z$3)-YEAR($B$53))+MONTH(Z$3)-MONTH($B$53)),(12*(YEAR($B$54)-YEAR($B$53))+MONTH($B$54)-MONTH($B$53))))*(1+'Вводные'!$B$65)^MAX(0,(12*(YEAR(Z$3)-YEAR($B$54))+MONTH(Z$3)-MONTH($B$54))))</x:f>
      </x:c>
      <x:c r="AA70" s="107" t="n">
        <x:f>IF(AA69=0,0,'Вводные'!$B$62*'Вводные'!$S$90*'Вводные'!$H$5*'Вводные'!$AG$90*(1+'Вводные'!$B$64)^MAX(0,MIN((12*(YEAR(AA$3)-YEAR($B$53))+MONTH(AA$3)-MONTH($B$53)),(12*(YEAR($B$54)-YEAR($B$53))+MONTH($B$54)-MONTH($B$53))))*(1+'Вводные'!$B$65)^MAX(0,(12*(YEAR(AA$3)-YEAR($B$54))+MONTH(AA$3)-MONTH($B$54))))</x:f>
      </x:c>
      <x:c r="AB70" s="107" t="n">
        <x:f>IF(AB69=0,0,'Вводные'!$B$62*'Вводные'!$S$90*'Вводные'!$H$5*'Вводные'!$AG$90*(1+'Вводные'!$B$64)^MAX(0,MIN((12*(YEAR(AB$3)-YEAR($B$53))+MONTH(AB$3)-MONTH($B$53)),(12*(YEAR($B$54)-YEAR($B$53))+MONTH($B$54)-MONTH($B$53))))*(1+'Вводные'!$B$65)^MAX(0,(12*(YEAR(AB$3)-YEAR($B$54))+MONTH(AB$3)-MONTH($B$54))))</x:f>
      </x:c>
      <x:c r="AC70" s="107" t="n">
        <x:f>IF(AC69=0,0,'Вводные'!$B$62*'Вводные'!$S$90*'Вводные'!$H$5*'Вводные'!$AG$90*(1+'Вводные'!$B$64)^MAX(0,MIN((12*(YEAR(AC$3)-YEAR($B$53))+MONTH(AC$3)-MONTH($B$53)),(12*(YEAR($B$54)-YEAR($B$53))+MONTH($B$54)-MONTH($B$53))))*(1+'Вводные'!$B$65)^MAX(0,(12*(YEAR(AC$3)-YEAR($B$54))+MONTH(AC$3)-MONTH($B$54))))</x:f>
      </x:c>
      <x:c r="AD70" s="107" t="n">
        <x:f>IF(AD69=0,0,'Вводные'!$B$62*'Вводные'!$S$90*'Вводные'!$H$5*'Вводные'!$AG$90*(1+'Вводные'!$B$64)^MAX(0,MIN((12*(YEAR(AD$3)-YEAR($B$53))+MONTH(AD$3)-MONTH($B$53)),(12*(YEAR($B$54)-YEAR($B$53))+MONTH($B$54)-MONTH($B$53))))*(1+'Вводные'!$B$65)^MAX(0,(12*(YEAR(AD$3)-YEAR($B$54))+MONTH(AD$3)-MONTH($B$54))))</x:f>
      </x:c>
      <x:c r="AE70" s="107" t="n">
        <x:f>IF(AE69=0,0,'Вводные'!$B$62*'Вводные'!$S$90*'Вводные'!$H$5*'Вводные'!$AG$90*(1+'Вводные'!$B$64)^MAX(0,MIN((12*(YEAR(AE$3)-YEAR($B$53))+MONTH(AE$3)-MONTH($B$53)),(12*(YEAR($B$54)-YEAR($B$53))+MONTH($B$54)-MONTH($B$53))))*(1+'Вводные'!$B$65)^MAX(0,(12*(YEAR(AE$3)-YEAR($B$54))+MONTH(AE$3)-MONTH($B$54))))</x:f>
      </x:c>
      <x:c r="AF70" s="107" t="n">
        <x:f>IF(AF69=0,0,'Вводные'!$B$62*'Вводные'!$S$90*'Вводные'!$H$5*'Вводные'!$AG$90*(1+'Вводные'!$B$64)^MAX(0,MIN((12*(YEAR(AF$3)-YEAR($B$53))+MONTH(AF$3)-MONTH($B$53)),(12*(YEAR($B$54)-YEAR($B$53))+MONTH($B$54)-MONTH($B$53))))*(1+'Вводные'!$B$65)^MAX(0,(12*(YEAR(AF$3)-YEAR($B$54))+MONTH(AF$3)-MONTH($B$54))))</x:f>
      </x:c>
      <x:c r="AG70" s="107" t="n">
        <x:f>IF(AG69=0,0,'Вводные'!$B$62*'Вводные'!$S$90*'Вводные'!$H$5*'Вводные'!$AG$90*(1+'Вводные'!$B$64)^MAX(0,MIN((12*(YEAR(AG$3)-YEAR($B$53))+MONTH(AG$3)-MONTH($B$53)),(12*(YEAR($B$54)-YEAR($B$53))+MONTH($B$54)-MONTH($B$53))))*(1+'Вводные'!$B$65)^MAX(0,(12*(YEAR(AG$3)-YEAR($B$54))+MONTH(AG$3)-MONTH($B$54))))</x:f>
      </x:c>
      <x:c r="AH70" s="107" t="n">
        <x:f>IF(AH69=0,0,'Вводные'!$B$62*'Вводные'!$S$90*'Вводные'!$H$5*'Вводные'!$AG$90*(1+'Вводные'!$B$64)^MAX(0,MIN((12*(YEAR(AH$3)-YEAR($B$53))+MONTH(AH$3)-MONTH($B$53)),(12*(YEAR($B$54)-YEAR($B$53))+MONTH($B$54)-MONTH($B$53))))*(1+'Вводные'!$B$65)^MAX(0,(12*(YEAR(AH$3)-YEAR($B$54))+MONTH(AH$3)-MONTH($B$54))))</x:f>
      </x:c>
      <x:c r="AI70" s="107" t="n">
        <x:f>IF(AI69=0,0,'Вводные'!$B$62*'Вводные'!$S$90*'Вводные'!$H$5*'Вводные'!$AG$90*(1+'Вводные'!$B$64)^MAX(0,MIN((12*(YEAR(AI$3)-YEAR($B$53))+MONTH(AI$3)-MONTH($B$53)),(12*(YEAR($B$54)-YEAR($B$53))+MONTH($B$54)-MONTH($B$53))))*(1+'Вводные'!$B$65)^MAX(0,(12*(YEAR(AI$3)-YEAR($B$54))+MONTH(AI$3)-MONTH($B$54))))</x:f>
      </x:c>
      <x:c r="AJ70" s="107" t="n">
        <x:f>IF(AJ69=0,0,'Вводные'!$B$62*'Вводные'!$S$90*'Вводные'!$H$5*'Вводные'!$AG$90*(1+'Вводные'!$B$64)^MAX(0,MIN((12*(YEAR(AJ$3)-YEAR($B$53))+MONTH(AJ$3)-MONTH($B$53)),(12*(YEAR($B$54)-YEAR($B$53))+MONTH($B$54)-MONTH($B$53))))*(1+'Вводные'!$B$65)^MAX(0,(12*(YEAR(AJ$3)-YEAR($B$54))+MONTH(AJ$3)-MONTH($B$54))))</x:f>
      </x:c>
      <x:c r="AK70" s="107" t="n">
        <x:f>IF(AK69=0,0,'Вводные'!$B$62*'Вводные'!$S$90*'Вводные'!$H$5*'Вводные'!$AG$90*(1+'Вводные'!$B$64)^MAX(0,MIN((12*(YEAR(AK$3)-YEAR($B$53))+MONTH(AK$3)-MONTH($B$53)),(12*(YEAR($B$54)-YEAR($B$53))+MONTH($B$54)-MONTH($B$53))))*(1+'Вводные'!$B$65)^MAX(0,(12*(YEAR(AK$3)-YEAR($B$54))+MONTH(AK$3)-MONTH($B$54))))</x:f>
      </x:c>
      <x:c r="AL70" s="107" t="n">
        <x:f>IF(AL69=0,0,'Вводные'!$B$62*'Вводные'!$S$90*'Вводные'!$H$5*'Вводные'!$AG$90*(1+'Вводные'!$B$64)^MAX(0,MIN((12*(YEAR(AL$3)-YEAR($B$53))+MONTH(AL$3)-MONTH($B$53)),(12*(YEAR($B$54)-YEAR($B$53))+MONTH($B$54)-MONTH($B$53))))*(1+'Вводные'!$B$65)^MAX(0,(12*(YEAR(AL$3)-YEAR($B$54))+MONTH(AL$3)-MONTH($B$54))))</x:f>
      </x:c>
      <x:c r="AM70" s="107" t="n">
        <x:f>IF(AM69=0,0,'Вводные'!$B$62*'Вводные'!$S$90*'Вводные'!$H$5*'Вводные'!$AG$90*(1+'Вводные'!$B$64)^MAX(0,MIN((12*(YEAR(AM$3)-YEAR($B$53))+MONTH(AM$3)-MONTH($B$53)),(12*(YEAR($B$54)-YEAR($B$53))+MONTH($B$54)-MONTH($B$53))))*(1+'Вводные'!$B$65)^MAX(0,(12*(YEAR(AM$3)-YEAR($B$54))+MONTH(AM$3)-MONTH($B$54))))</x:f>
      </x:c>
      <x:c r="AN70" s="107" t="n">
        <x:f>IF(AN69=0,0,'Вводные'!$B$62*'Вводные'!$S$90*'Вводные'!$H$5*'Вводные'!$AG$90*(1+'Вводные'!$B$64)^MAX(0,MIN((12*(YEAR(AN$3)-YEAR($B$53))+MONTH(AN$3)-MONTH($B$53)),(12*(YEAR($B$54)-YEAR($B$53))+MONTH($B$54)-MONTH($B$53))))*(1+'Вводные'!$B$65)^MAX(0,(12*(YEAR(AN$3)-YEAR($B$54))+MONTH(AN$3)-MONTH($B$54))))</x:f>
      </x:c>
      <x:c r="AO70" s="107" t="n">
        <x:f>IF(AO69=0,0,'Вводные'!$B$62*'Вводные'!$S$90*'Вводные'!$H$5*'Вводные'!$AG$90*(1+'Вводные'!$B$64)^MAX(0,MIN((12*(YEAR(AO$3)-YEAR($B$53))+MONTH(AO$3)-MONTH($B$53)),(12*(YEAR($B$54)-YEAR($B$53))+MONTH($B$54)-MONTH($B$53))))*(1+'Вводные'!$B$65)^MAX(0,(12*(YEAR(AO$3)-YEAR($B$54))+MONTH(AO$3)-MONTH($B$54))))</x:f>
      </x:c>
      <x:c r="AP70" s="107" t="n">
        <x:f>IF(AP69=0,0,'Вводные'!$B$62*'Вводные'!$S$90*'Вводные'!$H$5*'Вводные'!$AG$90*(1+'Вводные'!$B$64)^MAX(0,MIN((12*(YEAR(AP$3)-YEAR($B$53))+MONTH(AP$3)-MONTH($B$53)),(12*(YEAR($B$54)-YEAR($B$53))+MONTH($B$54)-MONTH($B$53))))*(1+'Вводные'!$B$65)^MAX(0,(12*(YEAR(AP$3)-YEAR($B$54))+MONTH(AP$3)-MONTH($B$54))))</x:f>
      </x:c>
      <x:c r="AQ70" s="107" t="n">
        <x:f>IF(AQ69=0,0,'Вводные'!$B$62*'Вводные'!$S$90*'Вводные'!$H$5*'Вводные'!$AG$90*(1+'Вводные'!$B$64)^MAX(0,MIN((12*(YEAR(AQ$3)-YEAR($B$53))+MONTH(AQ$3)-MONTH($B$53)),(12*(YEAR($B$54)-YEAR($B$53))+MONTH($B$54)-MONTH($B$53))))*(1+'Вводные'!$B$65)^MAX(0,(12*(YEAR(AQ$3)-YEAR($B$54))+MONTH(AQ$3)-MONTH($B$54))))</x:f>
      </x:c>
      <x:c r="AR70" s="107" t="n">
        <x:f>IF(AR69=0,0,'Вводные'!$B$62*'Вводные'!$S$90*'Вводные'!$H$5*'Вводные'!$AG$90*(1+'Вводные'!$B$64)^MAX(0,MIN((12*(YEAR(AR$3)-YEAR($B$53))+MONTH(AR$3)-MONTH($B$53)),(12*(YEAR($B$54)-YEAR($B$53))+MONTH($B$54)-MONTH($B$53))))*(1+'Вводные'!$B$65)^MAX(0,(12*(YEAR(AR$3)-YEAR($B$54))+MONTH(AR$3)-MONTH($B$54))))</x:f>
      </x:c>
      <x:c r="AS70" s="107" t="n">
        <x:f>IF(AS69=0,0,'Вводные'!$B$62*'Вводные'!$S$90*'Вводные'!$H$5*'Вводные'!$AG$90*(1+'Вводные'!$B$64)^MAX(0,MIN((12*(YEAR(AS$3)-YEAR($B$53))+MONTH(AS$3)-MONTH($B$53)),(12*(YEAR($B$54)-YEAR($B$53))+MONTH($B$54)-MONTH($B$53))))*(1+'Вводные'!$B$65)^MAX(0,(12*(YEAR(AS$3)-YEAR($B$54))+MONTH(AS$3)-MONTH($B$54))))</x:f>
      </x:c>
      <x:c r="AT70" s="107" t="n">
        <x:f>IF(AT69=0,0,'Вводные'!$B$62*'Вводные'!$S$90*'Вводные'!$H$5*'Вводные'!$AG$90*(1+'Вводные'!$B$64)^MAX(0,MIN((12*(YEAR(AT$3)-YEAR($B$53))+MONTH(AT$3)-MONTH($B$53)),(12*(YEAR($B$54)-YEAR($B$53))+MONTH($B$54)-MONTH($B$53))))*(1+'Вводные'!$B$65)^MAX(0,(12*(YEAR(AT$3)-YEAR($B$54))+MONTH(AT$3)-MONTH($B$54))))</x:f>
      </x:c>
      <x:c r="AU70" s="107" t="n">
        <x:f>IF(AU69=0,0,'Вводные'!$B$62*'Вводные'!$S$90*'Вводные'!$H$5*'Вводные'!$AG$90*(1+'Вводные'!$B$64)^MAX(0,MIN((12*(YEAR(AU$3)-YEAR($B$53))+MONTH(AU$3)-MONTH($B$53)),(12*(YEAR($B$54)-YEAR($B$53))+MONTH($B$54)-MONTH($B$53))))*(1+'Вводные'!$B$65)^MAX(0,(12*(YEAR(AU$3)-YEAR($B$54))+MONTH(AU$3)-MONTH($B$54))))</x:f>
      </x:c>
      <x:c r="AV70" s="107" t="n">
        <x:f>IF(AV69=0,0,'Вводные'!$B$62*'Вводные'!$S$90*'Вводные'!$H$5*'Вводные'!$AG$90*(1+'Вводные'!$B$64)^MAX(0,MIN((12*(YEAR(AV$3)-YEAR($B$53))+MONTH(AV$3)-MONTH($B$53)),(12*(YEAR($B$54)-YEAR($B$53))+MONTH($B$54)-MONTH($B$53))))*(1+'Вводные'!$B$65)^MAX(0,(12*(YEAR(AV$3)-YEAR($B$54))+MONTH(AV$3)-MONTH($B$54))))</x:f>
      </x:c>
      <x:c r="AW70" s="107" t="n">
        <x:f>IF(AW69=0,0,'Вводные'!$B$62*'Вводные'!$S$90*'Вводные'!$H$5*'Вводные'!$AG$90*(1+'Вводные'!$B$64)^MAX(0,MIN((12*(YEAR(AW$3)-YEAR($B$53))+MONTH(AW$3)-MONTH($B$53)),(12*(YEAR($B$54)-YEAR($B$53))+MONTH($B$54)-MONTH($B$53))))*(1+'Вводные'!$B$65)^MAX(0,(12*(YEAR(AW$3)-YEAR($B$54))+MONTH(AW$3)-MONTH($B$54))))</x:f>
      </x:c>
      <x:c r="AX70" s="107" t="n">
        <x:f>IF(AX69=0,0,'Вводные'!$B$62*'Вводные'!$S$90*'Вводные'!$H$5*'Вводные'!$AG$90*(1+'Вводные'!$B$64)^MAX(0,MIN((12*(YEAR(AX$3)-YEAR($B$53))+MONTH(AX$3)-MONTH($B$53)),(12*(YEAR($B$54)-YEAR($B$53))+MONTH($B$54)-MONTH($B$53))))*(1+'Вводные'!$B$65)^MAX(0,(12*(YEAR(AX$3)-YEAR($B$54))+MONTH(AX$3)-MONTH($B$54))))</x:f>
      </x:c>
      <x:c r="AY70" s="107" t="n">
        <x:f>IF(AY69=0,0,'Вводные'!$B$62*'Вводные'!$S$90*'Вводные'!$H$5*'Вводные'!$AG$90*(1+'Вводные'!$B$64)^MAX(0,MIN((12*(YEAR(AY$3)-YEAR($B$53))+MONTH(AY$3)-MONTH($B$53)),(12*(YEAR($B$54)-YEAR($B$53))+MONTH($B$54)-MONTH($B$53))))*(1+'Вводные'!$B$65)^MAX(0,(12*(YEAR(AY$3)-YEAR($B$54))+MONTH(AY$3)-MONTH($B$54))))</x:f>
      </x:c>
      <x:c r="AZ70" s="107" t="n">
        <x:f>IF(AZ69=0,0,'Вводные'!$B$62*'Вводные'!$S$90*'Вводные'!$H$5*'Вводные'!$AG$90*(1+'Вводные'!$B$64)^MAX(0,MIN((12*(YEAR(AZ$3)-YEAR($B$53))+MONTH(AZ$3)-MONTH($B$53)),(12*(YEAR($B$54)-YEAR($B$53))+MONTH($B$54)-MONTH($B$53))))*(1+'Вводные'!$B$65)^MAX(0,(12*(YEAR(AZ$3)-YEAR($B$54))+MONTH(AZ$3)-MONTH($B$54))))</x:f>
      </x:c>
      <x:c r="BA70" s="107" t="n">
        <x:f>IF(BA69=0,0,'Вводные'!$B$62*'Вводные'!$S$90*'Вводные'!$H$5*'Вводные'!$AG$90*(1+'Вводные'!$B$64)^MAX(0,MIN((12*(YEAR(BA$3)-YEAR($B$53))+MONTH(BA$3)-MONTH($B$53)),(12*(YEAR($B$54)-YEAR($B$53))+MONTH($B$54)-MONTH($B$53))))*(1+'Вводные'!$B$65)^MAX(0,(12*(YEAR(BA$3)-YEAR($B$54))+MONTH(BA$3)-MONTH($B$54))))</x:f>
      </x:c>
      <x:c r="BB70" s="107" t="n">
        <x:f>IF(BB69=0,0,'Вводные'!$B$62*'Вводные'!$S$90*'Вводные'!$H$5*'Вводные'!$AG$90*(1+'Вводные'!$B$64)^MAX(0,MIN((12*(YEAR(BB$3)-YEAR($B$53))+MONTH(BB$3)-MONTH($B$53)),(12*(YEAR($B$54)-YEAR($B$53))+MONTH($B$54)-MONTH($B$53))))*(1+'Вводные'!$B$65)^MAX(0,(12*(YEAR(BB$3)-YEAR($B$54))+MONTH(BB$3)-MONTH($B$54))))</x:f>
      </x:c>
      <x:c r="BC70" s="107" t="n">
        <x:f>IF(BC69=0,0,'Вводные'!$B$62*'Вводные'!$S$90*'Вводные'!$H$5*'Вводные'!$AG$90*(1+'Вводные'!$B$64)^MAX(0,MIN((12*(YEAR(BC$3)-YEAR($B$53))+MONTH(BC$3)-MONTH($B$53)),(12*(YEAR($B$54)-YEAR($B$53))+MONTH($B$54)-MONTH($B$53))))*(1+'Вводные'!$B$65)^MAX(0,(12*(YEAR(BC$3)-YEAR($B$54))+MONTH(BC$3)-MONTH($B$54))))</x:f>
      </x:c>
      <x:c r="BD70" s="107" t="n">
        <x:f>IF(BD69=0,0,'Вводные'!$B$62*'Вводные'!$S$90*'Вводные'!$H$5*'Вводные'!$AG$90*(1+'Вводные'!$B$64)^MAX(0,MIN((12*(YEAR(BD$3)-YEAR($B$53))+MONTH(BD$3)-MONTH($B$53)),(12*(YEAR($B$54)-YEAR($B$53))+MONTH($B$54)-MONTH($B$53))))*(1+'Вводные'!$B$65)^MAX(0,(12*(YEAR(BD$3)-YEAR($B$54))+MONTH(BD$3)-MONTH($B$54))))</x:f>
      </x:c>
      <x:c r="BE70" s="107" t="n">
        <x:f>IF(BE69=0,0,'Вводные'!$B$62*'Вводные'!$S$90*'Вводные'!$H$5*'Вводные'!$AG$90*(1+'Вводные'!$B$64)^MAX(0,MIN((12*(YEAR(BE$3)-YEAR($B$53))+MONTH(BE$3)-MONTH($B$53)),(12*(YEAR($B$54)-YEAR($B$53))+MONTH($B$54)-MONTH($B$53))))*(1+'Вводные'!$B$65)^MAX(0,(12*(YEAR(BE$3)-YEAR($B$54))+MONTH(BE$3)-MONTH($B$54))))</x:f>
      </x:c>
      <x:c r="BF70" s="107" t="n">
        <x:f>IF(BF69=0,0,'Вводные'!$B$62*'Вводные'!$S$90*'Вводные'!$H$5*'Вводные'!$AG$90*(1+'Вводные'!$B$64)^MAX(0,MIN((12*(YEAR(BF$3)-YEAR($B$53))+MONTH(BF$3)-MONTH($B$53)),(12*(YEAR($B$54)-YEAR($B$53))+MONTH($B$54)-MONTH($B$53))))*(1+'Вводные'!$B$65)^MAX(0,(12*(YEAR(BF$3)-YEAR($B$54))+MONTH(BF$3)-MONTH($B$54))))</x:f>
      </x:c>
      <x:c r="BG70" s="107" t="n">
        <x:f>IF(BG69=0,0,'Вводные'!$B$62*'Вводные'!$S$90*'Вводные'!$H$5*'Вводные'!$AG$90*(1+'Вводные'!$B$64)^MAX(0,MIN((12*(YEAR(BG$3)-YEAR($B$53))+MONTH(BG$3)-MONTH($B$53)),(12*(YEAR($B$54)-YEAR($B$53))+MONTH($B$54)-MONTH($B$53))))*(1+'Вводные'!$B$65)^MAX(0,(12*(YEAR(BG$3)-YEAR($B$54))+MONTH(BG$3)-MONTH($B$54))))</x:f>
      </x:c>
      <x:c r="BH70" s="107" t="n">
        <x:f>IF(BH69=0,0,'Вводные'!$B$62*'Вводные'!$S$90*'Вводные'!$H$5*'Вводные'!$AG$90*(1+'Вводные'!$B$64)^MAX(0,MIN((12*(YEAR(BH$3)-YEAR($B$53))+MONTH(BH$3)-MONTH($B$53)),(12*(YEAR($B$54)-YEAR($B$53))+MONTH($B$54)-MONTH($B$53))))*(1+'Вводные'!$B$65)^MAX(0,(12*(YEAR(BH$3)-YEAR($B$54))+MONTH(BH$3)-MONTH($B$54))))</x:f>
      </x:c>
      <x:c r="BI70" s="107" t="n">
        <x:f>IF(BI69=0,0,'Вводные'!$B$62*'Вводные'!$S$90*'Вводные'!$H$5*'Вводные'!$AG$90*(1+'Вводные'!$B$64)^MAX(0,MIN((12*(YEAR(BI$3)-YEAR($B$53))+MONTH(BI$3)-MONTH($B$53)),(12*(YEAR($B$54)-YEAR($B$53))+MONTH($B$54)-MONTH($B$53))))*(1+'Вводные'!$B$65)^MAX(0,(12*(YEAR(BI$3)-YEAR($B$54))+MONTH(BI$3)-MONTH($B$54))))</x:f>
      </x:c>
      <x:c r="BJ70" s="107" t="n">
        <x:f>IF(BJ69=0,0,'Вводные'!$B$62*'Вводные'!$S$90*'Вводные'!$H$5*'Вводные'!$AG$90*(1+'Вводные'!$B$64)^MAX(0,MIN((12*(YEAR(BJ$3)-YEAR($B$53))+MONTH(BJ$3)-MONTH($B$53)),(12*(YEAR($B$54)-YEAR($B$53))+MONTH($B$54)-MONTH($B$53))))*(1+'Вводные'!$B$65)^MAX(0,(12*(YEAR(BJ$3)-YEAR($B$54))+MONTH(BJ$3)-MONTH($B$54))))</x:f>
      </x:c>
      <x:c r="BK70" s="107" t="n">
        <x:f>IF(BK69=0,0,'Вводные'!$B$62*'Вводные'!$S$90*'Вводные'!$H$5*'Вводные'!$AG$90*(1+'Вводные'!$B$64)^MAX(0,MIN((12*(YEAR(BK$3)-YEAR($B$53))+MONTH(BK$3)-MONTH($B$53)),(12*(YEAR($B$54)-YEAR($B$53))+MONTH($B$54)-MONTH($B$53))))*(1+'Вводные'!$B$65)^MAX(0,(12*(YEAR(BK$3)-YEAR($B$54))+MONTH(BK$3)-MONTH($B$54))))</x:f>
      </x:c>
      <x:c r="BL70" s="107" t="n">
        <x:f>IF(BL69=0,0,'Вводные'!$B$62*'Вводные'!$S$90*'Вводные'!$H$5*'Вводные'!$AG$90*(1+'Вводные'!$B$64)^MAX(0,MIN((12*(YEAR(BL$3)-YEAR($B$53))+MONTH(BL$3)-MONTH($B$53)),(12*(YEAR($B$54)-YEAR($B$53))+MONTH($B$54)-MONTH($B$53))))*(1+'Вводные'!$B$65)^MAX(0,(12*(YEAR(BL$3)-YEAR($B$54))+MONTH(BL$3)-MONTH($B$54))))</x:f>
      </x:c>
      <x:c r="BM70" s="107" t="n">
        <x:f>IF(BM69=0,0,'Вводные'!$B$62*'Вводные'!$S$90*'Вводные'!$H$5*'Вводные'!$AG$90*(1+'Вводные'!$B$64)^MAX(0,MIN((12*(YEAR(BM$3)-YEAR($B$53))+MONTH(BM$3)-MONTH($B$53)),(12*(YEAR($B$54)-YEAR($B$53))+MONTH($B$54)-MONTH($B$53))))*(1+'Вводные'!$B$65)^MAX(0,(12*(YEAR(BM$3)-YEAR($B$54))+MONTH(BM$3)-MONTH($B$54))))</x:f>
      </x:c>
      <x:c r="BN70" s="107" t="n">
        <x:f>IF(BN69=0,0,'Вводные'!$B$62*'Вводные'!$S$90*'Вводные'!$H$5*'Вводные'!$AG$90*(1+'Вводные'!$B$64)^MAX(0,MIN((12*(YEAR(BN$3)-YEAR($B$53))+MONTH(BN$3)-MONTH($B$53)),(12*(YEAR($B$54)-YEAR($B$53))+MONTH($B$54)-MONTH($B$53))))*(1+'Вводные'!$B$65)^MAX(0,(12*(YEAR(BN$3)-YEAR($B$54))+MONTH(BN$3)-MONTH($B$54))))</x:f>
      </x:c>
      <x:c r="BO70" s="107" t="n">
        <x:f>IF(BO69=0,0,'Вводные'!$B$62*'Вводные'!$S$90*'Вводные'!$H$5*'Вводные'!$AG$90*(1+'Вводные'!$B$64)^MAX(0,MIN((12*(YEAR(BO$3)-YEAR($B$53))+MONTH(BO$3)-MONTH($B$53)),(12*(YEAR($B$54)-YEAR($B$53))+MONTH($B$54)-MONTH($B$53))))*(1+'Вводные'!$B$65)^MAX(0,(12*(YEAR(BO$3)-YEAR($B$54))+MONTH(BO$3)-MONTH($B$54))))</x:f>
      </x:c>
      <x:c r="BP70" s="107" t="n">
        <x:f>IF(BP69=0,0,'Вводные'!$B$62*'Вводные'!$S$90*'Вводные'!$H$5*'Вводные'!$AG$90*(1+'Вводные'!$B$64)^MAX(0,MIN((12*(YEAR(BP$3)-YEAR($B$53))+MONTH(BP$3)-MONTH($B$53)),(12*(YEAR($B$54)-YEAR($B$53))+MONTH($B$54)-MONTH($B$53))))*(1+'Вводные'!$B$65)^MAX(0,(12*(YEAR(BP$3)-YEAR($B$54))+MONTH(BP$3)-MONTH($B$54))))</x:f>
      </x:c>
      <x:c r="BQ70" s="107" t="n">
        <x:f>IF(BQ69=0,0,'Вводные'!$B$62*'Вводные'!$S$90*'Вводные'!$H$5*'Вводные'!$AG$90*(1+'Вводные'!$B$64)^MAX(0,MIN((12*(YEAR(BQ$3)-YEAR($B$53))+MONTH(BQ$3)-MONTH($B$53)),(12*(YEAR($B$54)-YEAR($B$53))+MONTH($B$54)-MONTH($B$53))))*(1+'Вводные'!$B$65)^MAX(0,(12*(YEAR(BQ$3)-YEAR($B$54))+MONTH(BQ$3)-MONTH($B$54))))</x:f>
      </x:c>
      <x:c r="BR70" s="107" t="n">
        <x:f>IF(BR69=0,0,'Вводные'!$B$62*'Вводные'!$S$90*'Вводные'!$H$5*'Вводные'!$AG$90*(1+'Вводные'!$B$64)^MAX(0,MIN((12*(YEAR(BR$3)-YEAR($B$53))+MONTH(BR$3)-MONTH($B$53)),(12*(YEAR($B$54)-YEAR($B$53))+MONTH($B$54)-MONTH($B$53))))*(1+'Вводные'!$B$65)^MAX(0,(12*(YEAR(BR$3)-YEAR($B$54))+MONTH(BR$3)-MONTH($B$54))))</x:f>
      </x:c>
      <x:c r="BS70" s="107" t="n">
        <x:f>IF(BS69=0,0,'Вводные'!$B$62*'Вводные'!$S$90*'Вводные'!$H$5*'Вводные'!$AG$90*(1+'Вводные'!$B$64)^MAX(0,MIN((12*(YEAR(BS$3)-YEAR($B$53))+MONTH(BS$3)-MONTH($B$53)),(12*(YEAR($B$54)-YEAR($B$53))+MONTH($B$54)-MONTH($B$53))))*(1+'Вводные'!$B$65)^MAX(0,(12*(YEAR(BS$3)-YEAR($B$54))+MONTH(BS$3)-MONTH($B$54))))</x:f>
      </x:c>
      <x:c r="BT70" s="107" t="n">
        <x:f>IF(BT69=0,0,'Вводные'!$B$62*'Вводные'!$S$90*'Вводные'!$H$5*'Вводные'!$AG$90*(1+'Вводные'!$B$64)^MAX(0,MIN((12*(YEAR(BT$3)-YEAR($B$53))+MONTH(BT$3)-MONTH($B$53)),(12*(YEAR($B$54)-YEAR($B$53))+MONTH($B$54)-MONTH($B$53))))*(1+'Вводные'!$B$65)^MAX(0,(12*(YEAR(BT$3)-YEAR($B$54))+MONTH(BT$3)-MONTH($B$54))))</x:f>
      </x:c>
      <x:c r="BU70" s="107" t="n">
        <x:f>IF(BU69=0,0,'Вводные'!$B$62*'Вводные'!$S$90*'Вводные'!$H$5*'Вводные'!$AG$90*(1+'Вводные'!$B$64)^MAX(0,MIN((12*(YEAR(BU$3)-YEAR($B$53))+MONTH(BU$3)-MONTH($B$53)),(12*(YEAR($B$54)-YEAR($B$53))+MONTH($B$54)-MONTH($B$53))))*(1+'Вводные'!$B$65)^MAX(0,(12*(YEAR(BU$3)-YEAR($B$54))+MONTH(BU$3)-MONTH($B$54))))</x:f>
      </x:c>
      <x:c r="BV70" s="107" t="n">
        <x:f>IF(BV69=0,0,'Вводные'!$B$62*'Вводные'!$S$90*'Вводные'!$H$5*'Вводные'!$AG$90*(1+'Вводные'!$B$64)^MAX(0,MIN((12*(YEAR(BV$3)-YEAR($B$53))+MONTH(BV$3)-MONTH($B$53)),(12*(YEAR($B$54)-YEAR($B$53))+MONTH($B$54)-MONTH($B$53))))*(1+'Вводные'!$B$65)^MAX(0,(12*(YEAR(BV$3)-YEAR($B$54))+MONTH(BV$3)-MONTH($B$54))))</x:f>
      </x:c>
      <x:c r="BW70" s="107" t="n">
        <x:f>IF(BW69=0,0,'Вводные'!$B$62*'Вводные'!$S$90*'Вводные'!$H$5*'Вводные'!$AG$90*(1+'Вводные'!$B$64)^MAX(0,MIN((12*(YEAR(BW$3)-YEAR($B$53))+MONTH(BW$3)-MONTH($B$53)),(12*(YEAR($B$54)-YEAR($B$53))+MONTH($B$54)-MONTH($B$53))))*(1+'Вводные'!$B$65)^MAX(0,(12*(YEAR(BW$3)-YEAR($B$54))+MONTH(BW$3)-MONTH($B$54))))</x:f>
      </x:c>
      <x:c r="BX70" s="107" t="n">
        <x:f>IF(BX69=0,0,'Вводные'!$B$62*'Вводные'!$S$90*'Вводные'!$H$5*'Вводные'!$AG$90*(1+'Вводные'!$B$64)^MAX(0,MIN((12*(YEAR(BX$3)-YEAR($B$53))+MONTH(BX$3)-MONTH($B$53)),(12*(YEAR($B$54)-YEAR($B$53))+MONTH($B$54)-MONTH($B$53))))*(1+'Вводные'!$B$65)^MAX(0,(12*(YEAR(BX$3)-YEAR($B$54))+MONTH(BX$3)-MONTH($B$54))))</x:f>
      </x:c>
      <x:c r="BY70" s="107" t="n">
        <x:f>IF(BY69=0,0,'Вводные'!$B$62*'Вводные'!$S$90*'Вводные'!$H$5*'Вводные'!$AG$90*(1+'Вводные'!$B$64)^MAX(0,MIN((12*(YEAR(BY$3)-YEAR($B$53))+MONTH(BY$3)-MONTH($B$53)),(12*(YEAR($B$54)-YEAR($B$53))+MONTH($B$54)-MONTH($B$53))))*(1+'Вводные'!$B$65)^MAX(0,(12*(YEAR(BY$3)-YEAR($B$54))+MONTH(BY$3)-MONTH($B$54))))</x:f>
      </x:c>
      <x:c r="BZ70" s="107" t="n">
        <x:f>IF(BZ69=0,0,'Вводные'!$B$62*'Вводные'!$S$90*'Вводные'!$H$5*'Вводные'!$AG$90*(1+'Вводные'!$B$64)^MAX(0,MIN((12*(YEAR(BZ$3)-YEAR($B$53))+MONTH(BZ$3)-MONTH($B$53)),(12*(YEAR($B$54)-YEAR($B$53))+MONTH($B$54)-MONTH($B$53))))*(1+'Вводные'!$B$65)^MAX(0,(12*(YEAR(BZ$3)-YEAR($B$54))+MONTH(BZ$3)-MONTH($B$54))))</x:f>
      </x:c>
      <x:c r="CA70" s="107" t="n">
        <x:f>IF(CA69=0,0,'Вводные'!$B$62*'Вводные'!$S$90*'Вводные'!$H$5*'Вводные'!$AG$90*(1+'Вводные'!$B$64)^MAX(0,MIN((12*(YEAR(CA$3)-YEAR($B$53))+MONTH(CA$3)-MONTH($B$53)),(12*(YEAR($B$54)-YEAR($B$53))+MONTH($B$54)-MONTH($B$53))))*(1+'Вводные'!$B$65)^MAX(0,(12*(YEAR(CA$3)-YEAR($B$54))+MONTH(CA$3)-MONTH($B$54))))</x:f>
      </x:c>
      <x:c r="CB70" s="107" t="n">
        <x:f>IF(CB69=0,0,'Вводные'!$B$62*'Вводные'!$S$90*'Вводные'!$H$5*'Вводные'!$AG$90*(1+'Вводные'!$B$64)^MAX(0,MIN((12*(YEAR(CB$3)-YEAR($B$53))+MONTH(CB$3)-MONTH($B$53)),(12*(YEAR($B$54)-YEAR($B$53))+MONTH($B$54)-MONTH($B$53))))*(1+'Вводные'!$B$65)^MAX(0,(12*(YEAR(CB$3)-YEAR($B$54))+MONTH(CB$3)-MONTH($B$54))))</x:f>
      </x:c>
      <x:c r="CC70" s="107" t="n">
        <x:f>IF(CC69=0,0,'Вводные'!$B$62*'Вводные'!$S$90*'Вводные'!$H$5*'Вводные'!$AG$90*(1+'Вводные'!$B$64)^MAX(0,MIN((12*(YEAR(CC$3)-YEAR($B$53))+MONTH(CC$3)-MONTH($B$53)),(12*(YEAR($B$54)-YEAR($B$53))+MONTH($B$54)-MONTH($B$53))))*(1+'Вводные'!$B$65)^MAX(0,(12*(YEAR(CC$3)-YEAR($B$54))+MONTH(CC$3)-MONTH($B$54))))</x:f>
      </x:c>
      <x:c r="CD70" s="107" t="n">
        <x:f>IF(CD69=0,0,'Вводные'!$B$62*'Вводные'!$S$90*'Вводные'!$H$5*'Вводные'!$AG$90*(1+'Вводные'!$B$64)^MAX(0,MIN((12*(YEAR(CD$3)-YEAR($B$53))+MONTH(CD$3)-MONTH($B$53)),(12*(YEAR($B$54)-YEAR($B$53))+MONTH($B$54)-MONTH($B$53))))*(1+'Вводные'!$B$65)^MAX(0,(12*(YEAR(CD$3)-YEAR($B$54))+MONTH(CD$3)-MONTH($B$54))))</x:f>
      </x:c>
      <x:c r="CE70" s="107" t="n">
        <x:f>IF(CE69=0,0,'Вводные'!$B$62*'Вводные'!$S$90*'Вводные'!$H$5*'Вводные'!$AG$90*(1+'Вводные'!$B$64)^MAX(0,MIN((12*(YEAR(CE$3)-YEAR($B$53))+MONTH(CE$3)-MONTH($B$53)),(12*(YEAR($B$54)-YEAR($B$53))+MONTH($B$54)-MONTH($B$53))))*(1+'Вводные'!$B$65)^MAX(0,(12*(YEAR(CE$3)-YEAR($B$54))+MONTH(CE$3)-MONTH($B$54))))</x:f>
      </x:c>
      <x:c r="CF70" s="107" t="n">
        <x:f>IF(CF69=0,0,'Вводные'!$B$62*'Вводные'!$S$90*'Вводные'!$H$5*'Вводные'!$AG$90*(1+'Вводные'!$B$64)^MAX(0,MIN((12*(YEAR(CF$3)-YEAR($B$53))+MONTH(CF$3)-MONTH($B$53)),(12*(YEAR($B$54)-YEAR($B$53))+MONTH($B$54)-MONTH($B$53))))*(1+'Вводные'!$B$65)^MAX(0,(12*(YEAR(CF$3)-YEAR($B$54))+MONTH(CF$3)-MONTH($B$54))))</x:f>
      </x:c>
      <x:c r="CG70" s="107" t="n">
        <x:f>IF(CG69=0,0,'Вводные'!$B$62*'Вводные'!$S$90*'Вводные'!$H$5*'Вводные'!$AG$90*(1+'Вводные'!$B$64)^MAX(0,MIN((12*(YEAR(CG$3)-YEAR($B$53))+MONTH(CG$3)-MONTH($B$53)),(12*(YEAR($B$54)-YEAR($B$53))+MONTH($B$54)-MONTH($B$53))))*(1+'Вводные'!$B$65)^MAX(0,(12*(YEAR(CG$3)-YEAR($B$54))+MONTH(CG$3)-MONTH($B$54))))</x:f>
      </x:c>
      <x:c r="CH70" s="107" t="n">
        <x:f>IF(CH69=0,0,'Вводные'!$B$62*'Вводные'!$S$90*'Вводные'!$H$5*'Вводные'!$AG$90*(1+'Вводные'!$B$64)^MAX(0,MIN((12*(YEAR(CH$3)-YEAR($B$53))+MONTH(CH$3)-MONTH($B$53)),(12*(YEAR($B$54)-YEAR($B$53))+MONTH($B$54)-MONTH($B$53))))*(1+'Вводные'!$B$65)^MAX(0,(12*(YEAR(CH$3)-YEAR($B$54))+MONTH(CH$3)-MONTH($B$54))))</x:f>
      </x:c>
      <x:c r="CI70" s="107" t="n">
        <x:f>IF(CI69=0,0,'Вводные'!$B$62*'Вводные'!$S$90*'Вводные'!$H$5*'Вводные'!$AG$90*(1+'Вводные'!$B$64)^MAX(0,MIN((12*(YEAR(CI$3)-YEAR($B$53))+MONTH(CI$3)-MONTH($B$53)),(12*(YEAR($B$54)-YEAR($B$53))+MONTH($B$54)-MONTH($B$53))))*(1+'Вводные'!$B$65)^MAX(0,(12*(YEAR(CI$3)-YEAR($B$54))+MONTH(CI$3)-MONTH($B$54))))</x:f>
      </x:c>
      <x:c r="CJ70" s="107" t="n">
        <x:f>IF(CJ69=0,0,'Вводные'!$B$62*'Вводные'!$S$90*'Вводные'!$H$5*'Вводные'!$AG$90*(1+'Вводные'!$B$64)^MAX(0,MIN((12*(YEAR(CJ$3)-YEAR($B$53))+MONTH(CJ$3)-MONTH($B$53)),(12*(YEAR($B$54)-YEAR($B$53))+MONTH($B$54)-MONTH($B$53))))*(1+'Вводные'!$B$65)^MAX(0,(12*(YEAR(CJ$3)-YEAR($B$54))+MONTH(CJ$3)-MONTH($B$54))))</x:f>
      </x:c>
      <x:c r="CK70" s="107" t="n">
        <x:f>IF(CK69=0,0,'Вводные'!$B$62*'Вводные'!$S$90*'Вводные'!$H$5*'Вводные'!$AG$90*(1+'Вводные'!$B$64)^MAX(0,MIN((12*(YEAR(CK$3)-YEAR($B$53))+MONTH(CK$3)-MONTH($B$53)),(12*(YEAR($B$54)-YEAR($B$53))+MONTH($B$54)-MONTH($B$53))))*(1+'Вводные'!$B$65)^MAX(0,(12*(YEAR(CK$3)-YEAR($B$54))+MONTH(CK$3)-MONTH($B$54))))</x:f>
      </x:c>
      <x:c r="CL70" s="107" t="n">
        <x:f>IF(CL69=0,0,'Вводные'!$B$62*'Вводные'!$S$90*'Вводные'!$H$5*'Вводные'!$AG$90*(1+'Вводные'!$B$64)^MAX(0,MIN((12*(YEAR(CL$3)-YEAR($B$53))+MONTH(CL$3)-MONTH($B$53)),(12*(YEAR($B$54)-YEAR($B$53))+MONTH($B$54)-MONTH($B$53))))*(1+'Вводные'!$B$65)^MAX(0,(12*(YEAR(CL$3)-YEAR($B$54))+MONTH(CL$3)-MONTH($B$54))))</x:f>
      </x:c>
      <x:c r="CM70" s="107" t="n">
        <x:f>IF(CM69=0,0,'Вводные'!$B$62*'Вводные'!$S$90*'Вводные'!$H$5*'Вводные'!$AG$90*(1+'Вводные'!$B$64)^MAX(0,MIN((12*(YEAR(CM$3)-YEAR($B$53))+MONTH(CM$3)-MONTH($B$53)),(12*(YEAR($B$54)-YEAR($B$53))+MONTH($B$54)-MONTH($B$53))))*(1+'Вводные'!$B$65)^MAX(0,(12*(YEAR(CM$3)-YEAR($B$54))+MONTH(CM$3)-MONTH($B$54))))</x:f>
      </x:c>
      <x:c r="CN70" s="107" t="n">
        <x:f>IF(CN69=0,0,'Вводные'!$B$62*'Вводные'!$S$90*'Вводные'!$H$5*'Вводные'!$AG$90*(1+'Вводные'!$B$64)^MAX(0,MIN((12*(YEAR(CN$3)-YEAR($B$53))+MONTH(CN$3)-MONTH($B$53)),(12*(YEAR($B$54)-YEAR($B$53))+MONTH($B$54)-MONTH($B$53))))*(1+'Вводные'!$B$65)^MAX(0,(12*(YEAR(CN$3)-YEAR($B$54))+MONTH(CN$3)-MONTH($B$54))))</x:f>
      </x:c>
      <x:c r="CO70" s="107" t="n">
        <x:f>IF(CO69=0,0,'Вводные'!$B$62*'Вводные'!$S$90*'Вводные'!$H$5*'Вводные'!$AG$90*(1+'Вводные'!$B$64)^MAX(0,MIN((12*(YEAR(CO$3)-YEAR($B$53))+MONTH(CO$3)-MONTH($B$53)),(12*(YEAR($B$54)-YEAR($B$53))+MONTH($B$54)-MONTH($B$53))))*(1+'Вводные'!$B$65)^MAX(0,(12*(YEAR(CO$3)-YEAR($B$54))+MONTH(CO$3)-MONTH($B$54))))</x:f>
      </x:c>
      <x:c r="CP70" s="107" t="n">
        <x:f>IF(CP69=0,0,'Вводные'!$B$62*'Вводные'!$S$90*'Вводные'!$H$5*'Вводные'!$AG$90*(1+'Вводные'!$B$64)^MAX(0,MIN((12*(YEAR(CP$3)-YEAR($B$53))+MONTH(CP$3)-MONTH($B$53)),(12*(YEAR($B$54)-YEAR($B$53))+MONTH($B$54)-MONTH($B$53))))*(1+'Вводные'!$B$65)^MAX(0,(12*(YEAR(CP$3)-YEAR($B$54))+MONTH(CP$3)-MONTH($B$54))))</x:f>
      </x:c>
      <x:c r="CQ70" s="107" t="n">
        <x:f>IF(CQ69=0,0,'Вводные'!$B$62*'Вводные'!$S$90*'Вводные'!$H$5*'Вводные'!$AG$90*(1+'Вводные'!$B$64)^MAX(0,MIN((12*(YEAR(CQ$3)-YEAR($B$53))+MONTH(CQ$3)-MONTH($B$53)),(12*(YEAR($B$54)-YEAR($B$53))+MONTH($B$54)-MONTH($B$53))))*(1+'Вводные'!$B$65)^MAX(0,(12*(YEAR(CQ$3)-YEAR($B$54))+MONTH(CQ$3)-MONTH($B$54))))</x:f>
      </x:c>
      <x:c r="CR70" s="107" t="n">
        <x:f>IF(CR69=0,0,'Вводные'!$B$62*'Вводные'!$S$90*'Вводные'!$H$5*'Вводные'!$AG$90*(1+'Вводные'!$B$64)^MAX(0,MIN((12*(YEAR(CR$3)-YEAR($B$53))+MONTH(CR$3)-MONTH($B$53)),(12*(YEAR($B$54)-YEAR($B$53))+MONTH($B$54)-MONTH($B$53))))*(1+'Вводные'!$B$65)^MAX(0,(12*(YEAR(CR$3)-YEAR($B$54))+MONTH(CR$3)-MONTH($B$54))))</x:f>
      </x:c>
      <x:c r="CS70" s="107" t="n">
        <x:f>IF(CS69=0,0,'Вводные'!$B$62*'Вводные'!$S$90*'Вводные'!$H$5*'Вводные'!$AG$90*(1+'Вводные'!$B$64)^MAX(0,MIN((12*(YEAR(CS$3)-YEAR($B$53))+MONTH(CS$3)-MONTH($B$53)),(12*(YEAR($B$54)-YEAR($B$53))+MONTH($B$54)-MONTH($B$53))))*(1+'Вводные'!$B$65)^MAX(0,(12*(YEAR(CS$3)-YEAR($B$54))+MONTH(CS$3)-MONTH($B$54))))</x:f>
      </x:c>
      <x:c r="CT70" s="107" t="n">
        <x:f>IF(CT69=0,0,'Вводные'!$B$62*'Вводные'!$S$90*'Вводные'!$H$5*'Вводные'!$AG$90*(1+'Вводные'!$B$64)^MAX(0,MIN((12*(YEAR(CT$3)-YEAR($B$53))+MONTH(CT$3)-MONTH($B$53)),(12*(YEAR($B$54)-YEAR($B$53))+MONTH($B$54)-MONTH($B$53))))*(1+'Вводные'!$B$65)^MAX(0,(12*(YEAR(CT$3)-YEAR($B$54))+MONTH(CT$3)-MONTH($B$54))))</x:f>
      </x:c>
      <x:c r="CU70" s="107" t="n">
        <x:f>IF(CU69=0,0,'Вводные'!$B$62*'Вводные'!$S$90*'Вводные'!$H$5*'Вводные'!$AG$90*(1+'Вводные'!$B$64)^MAX(0,MIN((12*(YEAR(CU$3)-YEAR($B$53))+MONTH(CU$3)-MONTH($B$53)),(12*(YEAR($B$54)-YEAR($B$53))+MONTH($B$54)-MONTH($B$53))))*(1+'Вводные'!$B$65)^MAX(0,(12*(YEAR(CU$3)-YEAR($B$54))+MONTH(CU$3)-MONTH($B$54))))</x:f>
      </x:c>
      <x:c r="CV70" s="107" t="n">
        <x:f>IF(CV69=0,0,'Вводные'!$B$62*'Вводные'!$S$90*'Вводные'!$H$5*'Вводные'!$AG$90*(1+'Вводные'!$B$64)^MAX(0,MIN((12*(YEAR(CV$3)-YEAR($B$53))+MONTH(CV$3)-MONTH($B$53)),(12*(YEAR($B$54)-YEAR($B$53))+MONTH($B$54)-MONTH($B$53))))*(1+'Вводные'!$B$65)^MAX(0,(12*(YEAR(CV$3)-YEAR($B$54))+MONTH(CV$3)-MONTH($B$54))))</x:f>
      </x:c>
      <x:c r="CW70" s="107" t="n">
        <x:f>IF(CW69=0,0,'Вводные'!$B$62*'Вводные'!$S$90*'Вводные'!$H$5*'Вводные'!$AG$90*(1+'Вводные'!$B$64)^MAX(0,MIN((12*(YEAR(CW$3)-YEAR($B$53))+MONTH(CW$3)-MONTH($B$53)),(12*(YEAR($B$54)-YEAR($B$53))+MONTH($B$54)-MONTH($B$53))))*(1+'Вводные'!$B$65)^MAX(0,(12*(YEAR(CW$3)-YEAR($B$54))+MONTH(CW$3)-MONTH($B$54))))</x:f>
      </x:c>
      <x:c r="CX70" s="107" t="n">
        <x:f>IF(CX69=0,0,'Вводные'!$B$62*'Вводные'!$S$90*'Вводные'!$H$5*'Вводные'!$AG$90*(1+'Вводные'!$B$64)^MAX(0,MIN((12*(YEAR(CX$3)-YEAR($B$53))+MONTH(CX$3)-MONTH($B$53)),(12*(YEAR($B$54)-YEAR($B$53))+MONTH($B$54)-MONTH($B$53))))*(1+'Вводные'!$B$65)^MAX(0,(12*(YEAR(CX$3)-YEAR($B$54))+MONTH(CX$3)-MONTH($B$54))))</x:f>
      </x:c>
      <x:c r="CY70" s="107" t="n">
        <x:f>IF(CY69=0,0,'Вводные'!$B$62*'Вводные'!$S$90*'Вводные'!$H$5*'Вводные'!$AG$90*(1+'Вводные'!$B$64)^MAX(0,MIN((12*(YEAR(CY$3)-YEAR($B$53))+MONTH(CY$3)-MONTH($B$53)),(12*(YEAR($B$54)-YEAR($B$53))+MONTH($B$54)-MONTH($B$53))))*(1+'Вводные'!$B$65)^MAX(0,(12*(YEAR(CY$3)-YEAR($B$54))+MONTH(CY$3)-MONTH($B$54))))</x:f>
      </x:c>
      <x:c r="CZ70" s="107" t="n">
        <x:f>IF(CZ69=0,0,'Вводные'!$B$62*'Вводные'!$S$90*'Вводные'!$H$5*'Вводные'!$AG$90*(1+'Вводные'!$B$64)^MAX(0,MIN((12*(YEAR(CZ$3)-YEAR($B$53))+MONTH(CZ$3)-MONTH($B$53)),(12*(YEAR($B$54)-YEAR($B$53))+MONTH($B$54)-MONTH($B$53))))*(1+'Вводные'!$B$65)^MAX(0,(12*(YEAR(CZ$3)-YEAR($B$54))+MONTH(CZ$3)-MONTH($B$54))))</x:f>
      </x:c>
      <x:c r="DA70" s="107" t="n">
        <x:f>IF(DA69=0,0,'Вводные'!$B$62*'Вводные'!$S$90*'Вводные'!$H$5*'Вводные'!$AG$90*(1+'Вводные'!$B$64)^MAX(0,MIN((12*(YEAR(DA$3)-YEAR($B$53))+MONTH(DA$3)-MONTH($B$53)),(12*(YEAR($B$54)-YEAR($B$53))+MONTH($B$54)-MONTH($B$53))))*(1+'Вводные'!$B$65)^MAX(0,(12*(YEAR(DA$3)-YEAR($B$54))+MONTH(DA$3)-MONTH($B$54))))</x:f>
      </x:c>
      <x:c r="DB70" s="107" t="n">
        <x:f>IF(DB69=0,0,'Вводные'!$B$62*'Вводные'!$S$90*'Вводные'!$H$5*'Вводные'!$AG$90*(1+'Вводные'!$B$64)^MAX(0,MIN((12*(YEAR(DB$3)-YEAR($B$53))+MONTH(DB$3)-MONTH($B$53)),(12*(YEAR($B$54)-YEAR($B$53))+MONTH($B$54)-MONTH($B$53))))*(1+'Вводные'!$B$65)^MAX(0,(12*(YEAR(DB$3)-YEAR($B$54))+MONTH(DB$3)-MONTH($B$54))))</x:f>
      </x:c>
      <x:c r="DC70" s="107" t="n">
        <x:f>IF(DC69=0,0,'Вводные'!$B$62*'Вводные'!$S$90*'Вводные'!$H$5*'Вводные'!$AG$90*(1+'Вводные'!$B$64)^MAX(0,MIN((12*(YEAR(DC$3)-YEAR($B$53))+MONTH(DC$3)-MONTH($B$53)),(12*(YEAR($B$54)-YEAR($B$53))+MONTH($B$54)-MONTH($B$53))))*(1+'Вводные'!$B$65)^MAX(0,(12*(YEAR(DC$3)-YEAR($B$54))+MONTH(DC$3)-MONTH($B$54))))</x:f>
      </x:c>
      <x:c r="DD70" s="107" t="n">
        <x:f>IF(DD69=0,0,'Вводные'!$B$62*'Вводные'!$S$90*'Вводные'!$H$5*'Вводные'!$AG$90*(1+'Вводные'!$B$64)^MAX(0,MIN((12*(YEAR(DD$3)-YEAR($B$53))+MONTH(DD$3)-MONTH($B$53)),(12*(YEAR($B$54)-YEAR($B$53))+MONTH($B$54)-MONTH($B$53))))*(1+'Вводные'!$B$65)^MAX(0,(12*(YEAR(DD$3)-YEAR($B$54))+MONTH(DD$3)-MONTH($B$54))))</x:f>
      </x:c>
      <x:c r="DE70" s="107" t="n">
        <x:f>IF(DE69=0,0,'Вводные'!$B$62*'Вводные'!$S$90*'Вводные'!$H$5*'Вводные'!$AG$90*(1+'Вводные'!$B$64)^MAX(0,MIN((12*(YEAR(DE$3)-YEAR($B$53))+MONTH(DE$3)-MONTH($B$53)),(12*(YEAR($B$54)-YEAR($B$53))+MONTH($B$54)-MONTH($B$53))))*(1+'Вводные'!$B$65)^MAX(0,(12*(YEAR(DE$3)-YEAR($B$54))+MONTH(DE$3)-MONTH($B$54))))</x:f>
      </x:c>
      <x:c r="DF70" s="107" t="n">
        <x:f>IF(DF69=0,0,'Вводные'!$B$62*'Вводные'!$S$90*'Вводные'!$H$5*'Вводные'!$AG$90*(1+'Вводные'!$B$64)^MAX(0,MIN((12*(YEAR(DF$3)-YEAR($B$53))+MONTH(DF$3)-MONTH($B$53)),(12*(YEAR($B$54)-YEAR($B$53))+MONTH($B$54)-MONTH($B$53))))*(1+'Вводные'!$B$65)^MAX(0,(12*(YEAR(DF$3)-YEAR($B$54))+MONTH(DF$3)-MONTH($B$54))))</x:f>
      </x:c>
      <x:c r="DG70" s="107" t="n">
        <x:f>IF(DG69=0,0,'Вводные'!$B$62*'Вводные'!$S$90*'Вводные'!$H$5*'Вводные'!$AG$90*(1+'Вводные'!$B$64)^MAX(0,MIN((12*(YEAR(DG$3)-YEAR($B$53))+MONTH(DG$3)-MONTH($B$53)),(12*(YEAR($B$54)-YEAR($B$53))+MONTH($B$54)-MONTH($B$53))))*(1+'Вводные'!$B$65)^MAX(0,(12*(YEAR(DG$3)-YEAR($B$54))+MONTH(DG$3)-MONTH($B$54))))</x:f>
      </x:c>
      <x:c r="DH70" s="107" t="n">
        <x:f>IF(DH69=0,0,'Вводные'!$B$62*'Вводные'!$S$90*'Вводные'!$H$5*'Вводные'!$AG$90*(1+'Вводные'!$B$64)^MAX(0,MIN((12*(YEAR(DH$3)-YEAR($B$53))+MONTH(DH$3)-MONTH($B$53)),(12*(YEAR($B$54)-YEAR($B$53))+MONTH($B$54)-MONTH($B$53))))*(1+'Вводные'!$B$65)^MAX(0,(12*(YEAR(DH$3)-YEAR($B$54))+MONTH(DH$3)-MONTH($B$54))))</x:f>
      </x:c>
      <x:c r="DI70" s="107" t="n">
        <x:f>IF(DI69=0,0,'Вводные'!$B$62*'Вводные'!$S$90*'Вводные'!$H$5*'Вводные'!$AG$90*(1+'Вводные'!$B$64)^MAX(0,MIN((12*(YEAR(DI$3)-YEAR($B$53))+MONTH(DI$3)-MONTH($B$53)),(12*(YEAR($B$54)-YEAR($B$53))+MONTH($B$54)-MONTH($B$53))))*(1+'Вводные'!$B$65)^MAX(0,(12*(YEAR(DI$3)-YEAR($B$54))+MONTH(DI$3)-MONTH($B$54))))</x:f>
      </x:c>
      <x:c r="DJ70" s="107" t="n">
        <x:f>IF(DJ69=0,0,'Вводные'!$B$62*'Вводные'!$S$90*'Вводные'!$H$5*'Вводные'!$AG$90*(1+'Вводные'!$B$64)^MAX(0,MIN((12*(YEAR(DJ$3)-YEAR($B$53))+MONTH(DJ$3)-MONTH($B$53)),(12*(YEAR($B$54)-YEAR($B$53))+MONTH($B$54)-MONTH($B$53))))*(1+'Вводные'!$B$65)^MAX(0,(12*(YEAR(DJ$3)-YEAR($B$54))+MONTH(DJ$3)-MONTH($B$54))))</x:f>
      </x:c>
      <x:c r="DK70" s="107" t="n">
        <x:f>IF(DK69=0,0,'Вводные'!$B$62*'Вводные'!$S$90*'Вводные'!$H$5*'Вводные'!$AG$90*(1+'Вводные'!$B$64)^MAX(0,MIN((12*(YEAR(DK$3)-YEAR($B$53))+MONTH(DK$3)-MONTH($B$53)),(12*(YEAR($B$54)-YEAR($B$53))+MONTH($B$54)-MONTH($B$53))))*(1+'Вводные'!$B$65)^MAX(0,(12*(YEAR(DK$3)-YEAR($B$54))+MONTH(DK$3)-MONTH($B$54))))</x:f>
      </x:c>
      <x:c r="DL70" s="107" t="n">
        <x:f>IF(DL69=0,0,'Вводные'!$B$62*'Вводные'!$S$90*'Вводные'!$H$5*'Вводные'!$AG$90*(1+'Вводные'!$B$64)^MAX(0,MIN((12*(YEAR(DL$3)-YEAR($B$53))+MONTH(DL$3)-MONTH($B$53)),(12*(YEAR($B$54)-YEAR($B$53))+MONTH($B$54)-MONTH($B$53))))*(1+'Вводные'!$B$65)^MAX(0,(12*(YEAR(DL$3)-YEAR($B$54))+MONTH(DL$3)-MONTH($B$54))))</x:f>
      </x:c>
      <x:c r="DM70" s="107" t="n">
        <x:f>IF(DM69=0,0,'Вводные'!$B$62*'Вводные'!$S$90*'Вводные'!$H$5*'Вводные'!$AG$90*(1+'Вводные'!$B$64)^MAX(0,MIN((12*(YEAR(DM$3)-YEAR($B$53))+MONTH(DM$3)-MONTH($B$53)),(12*(YEAR($B$54)-YEAR($B$53))+MONTH($B$54)-MONTH($B$53))))*(1+'Вводные'!$B$65)^MAX(0,(12*(YEAR(DM$3)-YEAR($B$54))+MONTH(DM$3)-MONTH($B$54))))</x:f>
      </x:c>
      <x:c r="DN70" s="107" t="n">
        <x:f>IF(DN69=0,0,'Вводные'!$B$62*'Вводные'!$S$90*'Вводные'!$H$5*'Вводные'!$AG$90*(1+'Вводные'!$B$64)^MAX(0,MIN((12*(YEAR(DN$3)-YEAR($B$53))+MONTH(DN$3)-MONTH($B$53)),(12*(YEAR($B$54)-YEAR($B$53))+MONTH($B$54)-MONTH($B$53))))*(1+'Вводные'!$B$65)^MAX(0,(12*(YEAR(DN$3)-YEAR($B$54))+MONTH(DN$3)-MONTH($B$54))))</x:f>
      </x:c>
      <x:c r="DO70" s="107" t="n">
        <x:f>IF(DO69=0,0,'Вводные'!$B$62*'Вводные'!$S$90*'Вводные'!$H$5*'Вводные'!$AG$90*(1+'Вводные'!$B$64)^MAX(0,MIN((12*(YEAR(DO$3)-YEAR($B$53))+MONTH(DO$3)-MONTH($B$53)),(12*(YEAR($B$54)-YEAR($B$53))+MONTH($B$54)-MONTH($B$53))))*(1+'Вводные'!$B$65)^MAX(0,(12*(YEAR(DO$3)-YEAR($B$54))+MONTH(DO$3)-MONTH($B$54))))</x:f>
      </x:c>
      <x:c r="DP70" s="107" t="n">
        <x:f>IF(DP69=0,0,'Вводные'!$B$62*'Вводные'!$S$90*'Вводные'!$H$5*'Вводные'!$AG$90*(1+'Вводные'!$B$64)^MAX(0,MIN((12*(YEAR(DP$3)-YEAR($B$53))+MONTH(DP$3)-MONTH($B$53)),(12*(YEAR($B$54)-YEAR($B$53))+MONTH($B$54)-MONTH($B$53))))*(1+'Вводные'!$B$65)^MAX(0,(12*(YEAR(DP$3)-YEAR($B$54))+MONTH(DP$3)-MONTH($B$54))))</x:f>
      </x:c>
      <x:c r="DQ70" s="107" t="n">
        <x:f>IF(DQ69=0,0,'Вводные'!$B$62*'Вводные'!$S$90*'Вводные'!$H$5*'Вводные'!$AG$90*(1+'Вводные'!$B$64)^MAX(0,MIN((12*(YEAR(DQ$3)-YEAR($B$53))+MONTH(DQ$3)-MONTH($B$53)),(12*(YEAR($B$54)-YEAR($B$53))+MONTH($B$54)-MONTH($B$53))))*(1+'Вводные'!$B$65)^MAX(0,(12*(YEAR(DQ$3)-YEAR($B$54))+MONTH(DQ$3)-MONTH($B$54))))</x:f>
      </x:c>
      <x:c r="DR70" s="107" t="n">
        <x:f>IF(DR69=0,0,'Вводные'!$B$62*'Вводные'!$S$90*'Вводные'!$H$5*'Вводные'!$AG$90*(1+'Вводные'!$B$64)^MAX(0,MIN((12*(YEAR(DR$3)-YEAR($B$53))+MONTH(DR$3)-MONTH($B$53)),(12*(YEAR($B$54)-YEAR($B$53))+MONTH($B$54)-MONTH($B$53))))*(1+'Вводные'!$B$65)^MAX(0,(12*(YEAR(DR$3)-YEAR($B$54))+MONTH(DR$3)-MONTH($B$54))))</x:f>
      </x:c>
      <x:c r="DS70" s="107" t="n">
        <x:f>IF(DS69=0,0,'Вводные'!$B$62*'Вводные'!$S$90*'Вводные'!$H$5*'Вводные'!$AG$90*(1+'Вводные'!$B$64)^MAX(0,MIN((12*(YEAR(DS$3)-YEAR($B$53))+MONTH(DS$3)-MONTH($B$53)),(12*(YEAR($B$54)-YEAR($B$53))+MONTH($B$54)-MONTH($B$53))))*(1+'Вводные'!$B$65)^MAX(0,(12*(YEAR(DS$3)-YEAR($B$54))+MONTH(DS$3)-MONTH($B$54))))</x:f>
      </x:c>
      <x:c r="DT70" s="107" t="n">
        <x:f>IF(DT69=0,0,'Вводные'!$B$62*'Вводные'!$S$90*'Вводные'!$H$5*'Вводные'!$AG$90*(1+'Вводные'!$B$64)^MAX(0,MIN((12*(YEAR(DT$3)-YEAR($B$53))+MONTH(DT$3)-MONTH($B$53)),(12*(YEAR($B$54)-YEAR($B$53))+MONTH($B$54)-MONTH($B$53))))*(1+'Вводные'!$B$65)^MAX(0,(12*(YEAR(DT$3)-YEAR($B$54))+MONTH(DT$3)-MONTH($B$54))))</x:f>
      </x:c>
      <x:c r="DU70" s="107" t="n">
        <x:f>IF(DU69=0,0,'Вводные'!$B$62*'Вводные'!$S$90*'Вводные'!$H$5*'Вводные'!$AG$90*(1+'Вводные'!$B$64)^MAX(0,MIN((12*(YEAR(DU$3)-YEAR($B$53))+MONTH(DU$3)-MONTH($B$53)),(12*(YEAR($B$54)-YEAR($B$53))+MONTH($B$54)-MONTH($B$53))))*(1+'Вводные'!$B$65)^MAX(0,(12*(YEAR(DU$3)-YEAR($B$54))+MONTH(DU$3)-MONTH($B$54))))</x:f>
      </x:c>
      <x:c r="DV70" s="107" t="n">
        <x:f>IF(DV69=0,0,'Вводные'!$B$62*'Вводные'!$S$90*'Вводные'!$H$5*'Вводные'!$AG$90*(1+'Вводные'!$B$64)^MAX(0,MIN((12*(YEAR(DV$3)-YEAR($B$53))+MONTH(DV$3)-MONTH($B$53)),(12*(YEAR($B$54)-YEAR($B$53))+MONTH($B$54)-MONTH($B$53))))*(1+'Вводные'!$B$65)^MAX(0,(12*(YEAR(DV$3)-YEAR($B$54))+MONTH(DV$3)-MONTH($B$54))))</x:f>
      </x:c>
      <x:c r="DW70" s="107" t="n">
        <x:f>IF(DW69=0,0,'Вводные'!$B$62*'Вводные'!$S$90*'Вводные'!$H$5*'Вводные'!$AG$90*(1+'Вводные'!$B$64)^MAX(0,MIN((12*(YEAR(DW$3)-YEAR($B$53))+MONTH(DW$3)-MONTH($B$53)),(12*(YEAR($B$54)-YEAR($B$53))+MONTH($B$54)-MONTH($B$53))))*(1+'Вводные'!$B$65)^MAX(0,(12*(YEAR(DW$3)-YEAR($B$54))+MONTH(DW$3)-MONTH($B$54))))</x:f>
      </x:c>
      <x:c r="DX70" s="107" t="n">
        <x:f>IF(DX69=0,0,'Вводные'!$B$62*'Вводные'!$S$90*'Вводные'!$H$5*'Вводные'!$AG$90*(1+'Вводные'!$B$64)^MAX(0,MIN((12*(YEAR(DX$3)-YEAR($B$53))+MONTH(DX$3)-MONTH($B$53)),(12*(YEAR($B$54)-YEAR($B$53))+MONTH($B$54)-MONTH($B$53))))*(1+'Вводные'!$B$65)^MAX(0,(12*(YEAR(DX$3)-YEAR($B$54))+MONTH(DX$3)-MONTH($B$54))))</x:f>
      </x:c>
      <x:c r="DY70" s="107" t="n">
        <x:f>IF(DY69=0,0,'Вводные'!$B$62*'Вводные'!$S$90*'Вводные'!$H$5*'Вводные'!$AG$90*(1+'Вводные'!$B$64)^MAX(0,MIN((12*(YEAR(DY$3)-YEAR($B$53))+MONTH(DY$3)-MONTH($B$53)),(12*(YEAR($B$54)-YEAR($B$53))+MONTH($B$54)-MONTH($B$53))))*(1+'Вводные'!$B$65)^MAX(0,(12*(YEAR(DY$3)-YEAR($B$54))+MONTH(DY$3)-MONTH($B$54))))</x:f>
      </x:c>
      <x:c r="DZ70" s="107" t="n">
        <x:f>IF(DZ69=0,0,'Вводные'!$B$62*'Вводные'!$S$90*'Вводные'!$H$5*'Вводные'!$AG$90*(1+'Вводные'!$B$64)^MAX(0,MIN((12*(YEAR(DZ$3)-YEAR($B$53))+MONTH(DZ$3)-MONTH($B$53)),(12*(YEAR($B$54)-YEAR($B$53))+MONTH($B$54)-MONTH($B$53))))*(1+'Вводные'!$B$65)^MAX(0,(12*(YEAR(DZ$3)-YEAR($B$54))+MONTH(DZ$3)-MONTH($B$54))))</x:f>
      </x:c>
      <x:c r="EA70" s="107" t="n">
        <x:f>IF(EA69=0,0,'Вводные'!$B$62*'Вводные'!$S$90*'Вводные'!$H$5*'Вводные'!$AG$90*(1+'Вводные'!$B$64)^MAX(0,MIN((12*(YEAR(EA$3)-YEAR($B$53))+MONTH(EA$3)-MONTH($B$53)),(12*(YEAR($B$54)-YEAR($B$53))+MONTH($B$54)-MONTH($B$53))))*(1+'Вводные'!$B$65)^MAX(0,(12*(YEAR(EA$3)-YEAR($B$54))+MONTH(EA$3)-MONTH($B$54))))</x:f>
      </x:c>
      <x:c r="EB70" s="107" t="n">
        <x:f>IF(EB69=0,0,'Вводные'!$B$62*'Вводные'!$S$90*'Вводные'!$H$5*'Вводные'!$AG$90*(1+'Вводные'!$B$64)^MAX(0,MIN((12*(YEAR(EB$3)-YEAR($B$53))+MONTH(EB$3)-MONTH($B$53)),(12*(YEAR($B$54)-YEAR($B$53))+MONTH($B$54)-MONTH($B$53))))*(1+'Вводные'!$B$65)^MAX(0,(12*(YEAR(EB$3)-YEAR($B$54))+MONTH(EB$3)-MONTH($B$54))))</x:f>
      </x:c>
      <x:c r="EC70" s="107" t="n">
        <x:f>IF(EC69=0,0,'Вводные'!$B$62*'Вводные'!$S$90*'Вводные'!$H$5*'Вводные'!$AG$90*(1+'Вводные'!$B$64)^MAX(0,MIN((12*(YEAR(EC$3)-YEAR($B$53))+MONTH(EC$3)-MONTH($B$53)),(12*(YEAR($B$54)-YEAR($B$53))+MONTH($B$54)-MONTH($B$53))))*(1+'Вводные'!$B$65)^MAX(0,(12*(YEAR(EC$3)-YEAR($B$54))+MONTH(EC$3)-MONTH($B$54))))</x:f>
      </x:c>
      <x:c r="ED70" s="107" t="n">
        <x:f>IF(ED69=0,0,'Вводные'!$B$62*'Вводные'!$S$90*'Вводные'!$H$5*'Вводные'!$AG$90*(1+'Вводные'!$B$64)^MAX(0,MIN((12*(YEAR(ED$3)-YEAR($B$53))+MONTH(ED$3)-MONTH($B$53)),(12*(YEAR($B$54)-YEAR($B$53))+MONTH($B$54)-MONTH($B$53))))*(1+'Вводные'!$B$65)^MAX(0,(12*(YEAR(ED$3)-YEAR($B$54))+MONTH(ED$3)-MONTH($B$54))))</x:f>
      </x:c>
      <x:c r="EE70" s="107" t="n">
        <x:f>IF(EE69=0,0,'Вводные'!$B$62*'Вводные'!$S$90*'Вводные'!$H$5*'Вводные'!$AG$90*(1+'Вводные'!$B$64)^MAX(0,MIN((12*(YEAR(EE$3)-YEAR($B$53))+MONTH(EE$3)-MONTH($B$53)),(12*(YEAR($B$54)-YEAR($B$53))+MONTH($B$54)-MONTH($B$53))))*(1+'Вводные'!$B$65)^MAX(0,(12*(YEAR(EE$3)-YEAR($B$54))+MONTH(EE$3)-MONTH($B$54))))</x:f>
      </x:c>
      <x:c r="EF70" s="107" t="n">
        <x:f>IF(EF69=0,0,'Вводные'!$B$62*'Вводные'!$S$90*'Вводные'!$H$5*'Вводные'!$AG$90*(1+'Вводные'!$B$64)^MAX(0,MIN((12*(YEAR(EF$3)-YEAR($B$53))+MONTH(EF$3)-MONTH($B$53)),(12*(YEAR($B$54)-YEAR($B$53))+MONTH($B$54)-MONTH($B$53))))*(1+'Вводные'!$B$65)^MAX(0,(12*(YEAR(EF$3)-YEAR($B$54))+MONTH(EF$3)-MONTH($B$54))))</x:f>
      </x:c>
      <x:c r="EG70" s="107" t="n">
        <x:f>IF(EG69=0,0,'Вводные'!$B$62*'Вводные'!$S$90*'Вводные'!$H$5*'Вводные'!$AG$90*(1+'Вводные'!$B$64)^MAX(0,MIN((12*(YEAR(EG$3)-YEAR($B$53))+MONTH(EG$3)-MONTH($B$53)),(12*(YEAR($B$54)-YEAR($B$53))+MONTH($B$54)-MONTH($B$53))))*(1+'Вводные'!$B$65)^MAX(0,(12*(YEAR(EG$3)-YEAR($B$54))+MONTH(EG$3)-MONTH($B$54))))</x:f>
      </x:c>
      <x:c r="EH70" s="107" t="n">
        <x:f>IF(EH69=0,0,'Вводные'!$B$62*'Вводные'!$S$90*'Вводные'!$H$5*'Вводные'!$AG$90*(1+'Вводные'!$B$64)^MAX(0,MIN((12*(YEAR(EH$3)-YEAR($B$53))+MONTH(EH$3)-MONTH($B$53)),(12*(YEAR($B$54)-YEAR($B$53))+MONTH($B$54)-MONTH($B$53))))*(1+'Вводные'!$B$65)^MAX(0,(12*(YEAR(EH$3)-YEAR($B$54))+MONTH(EH$3)-MONTH($B$54))))</x:f>
      </x:c>
      <x:c r="EI70" s="107" t="n">
        <x:f>IF(EI69=0,0,'Вводные'!$B$62*'Вводные'!$S$90*'Вводные'!$H$5*'Вводные'!$AG$90*(1+'Вводные'!$B$64)^MAX(0,MIN((12*(YEAR(EI$3)-YEAR($B$53))+MONTH(EI$3)-MONTH($B$53)),(12*(YEAR($B$54)-YEAR($B$53))+MONTH($B$54)-MONTH($B$53))))*(1+'Вводные'!$B$65)^MAX(0,(12*(YEAR(EI$3)-YEAR($B$54))+MONTH(EI$3)-MONTH($B$54))))</x:f>
      </x:c>
      <x:c r="EJ70" s="107" t="n">
        <x:f>IF(EJ69=0,0,'Вводные'!$B$62*'Вводные'!$S$90*'Вводные'!$H$5*'Вводные'!$AG$90*(1+'Вводные'!$B$64)^MAX(0,MIN((12*(YEAR(EJ$3)-YEAR($B$53))+MONTH(EJ$3)-MONTH($B$53)),(12*(YEAR($B$54)-YEAR($B$53))+MONTH($B$54)-MONTH($B$53))))*(1+'Вводные'!$B$65)^MAX(0,(12*(YEAR(EJ$3)-YEAR($B$54))+MONTH(EJ$3)-MONTH($B$54))))</x:f>
      </x:c>
      <x:c r="EK70" s="107" t="n">
        <x:f>IF(EK69=0,0,'Вводные'!$B$62*'Вводные'!$S$90*'Вводные'!$H$5*'Вводные'!$AG$90*(1+'Вводные'!$B$64)^MAX(0,MIN((12*(YEAR(EK$3)-YEAR($B$53))+MONTH(EK$3)-MONTH($B$53)),(12*(YEAR($B$54)-YEAR($B$53))+MONTH($B$54)-MONTH($B$53))))*(1+'Вводные'!$B$65)^MAX(0,(12*(YEAR(EK$3)-YEAR($B$54))+MONTH(EK$3)-MONTH($B$54))))</x:f>
      </x:c>
      <x:c r="EL70" s="107" t="n">
        <x:f>IF(EL69=0,0,'Вводные'!$B$62*'Вводные'!$S$90*'Вводные'!$H$5*'Вводные'!$AG$90*(1+'Вводные'!$B$64)^MAX(0,MIN((12*(YEAR(EL$3)-YEAR($B$53))+MONTH(EL$3)-MONTH($B$53)),(12*(YEAR($B$54)-YEAR($B$53))+MONTH($B$54)-MONTH($B$53))))*(1+'Вводные'!$B$65)^MAX(0,(12*(YEAR(EL$3)-YEAR($B$54))+MONTH(EL$3)-MONTH($B$54))))</x:f>
      </x:c>
      <x:c r="EM70" s="107" t="n">
        <x:f>IF(EM69=0,0,'Вводные'!$B$62*'Вводные'!$S$90*'Вводные'!$H$5*'Вводные'!$AG$90*(1+'Вводные'!$B$64)^MAX(0,MIN((12*(YEAR(EM$3)-YEAR($B$53))+MONTH(EM$3)-MONTH($B$53)),(12*(YEAR($B$54)-YEAR($B$53))+MONTH($B$54)-MONTH($B$53))))*(1+'Вводные'!$B$65)^MAX(0,(12*(YEAR(EM$3)-YEAR($B$54))+MONTH(EM$3)-MONTH($B$54))))</x:f>
      </x:c>
      <x:c r="EN70" s="107" t="n">
        <x:f>IF(EN69=0,0,'Вводные'!$B$62*'Вводные'!$S$90*'Вводные'!$H$5*'Вводные'!$AG$90*(1+'Вводные'!$B$64)^MAX(0,MIN((12*(YEAR(EN$3)-YEAR($B$53))+MONTH(EN$3)-MONTH($B$53)),(12*(YEAR($B$54)-YEAR($B$53))+MONTH($B$54)-MONTH($B$53))))*(1+'Вводные'!$B$65)^MAX(0,(12*(YEAR(EN$3)-YEAR($B$54))+MONTH(EN$3)-MONTH($B$54))))</x:f>
      </x:c>
      <x:c r="EO70" s="107" t="n">
        <x:f>IF(EO69=0,0,'Вводные'!$B$62*'Вводные'!$S$90*'Вводные'!$H$5*'Вводные'!$AG$90*(1+'Вводные'!$B$64)^MAX(0,MIN((12*(YEAR(EO$3)-YEAR($B$53))+MONTH(EO$3)-MONTH($B$53)),(12*(YEAR($B$54)-YEAR($B$53))+MONTH($B$54)-MONTH($B$53))))*(1+'Вводные'!$B$65)^MAX(0,(12*(YEAR(EO$3)-YEAR($B$54))+MONTH(EO$3)-MONTH($B$54))))</x:f>
      </x:c>
      <x:c r="EP70" s="107" t="n">
        <x:f>IF(EP69=0,0,'Вводные'!$B$62*'Вводные'!$S$90*'Вводные'!$H$5*'Вводные'!$AG$90*(1+'Вводные'!$B$64)^MAX(0,MIN((12*(YEAR(EP$3)-YEAR($B$53))+MONTH(EP$3)-MONTH($B$53)),(12*(YEAR($B$54)-YEAR($B$53))+MONTH($B$54)-MONTH($B$53))))*(1+'Вводные'!$B$65)^MAX(0,(12*(YEAR(EP$3)-YEAR($B$54))+MONTH(EP$3)-MONTH($B$54))))</x:f>
      </x:c>
      <x:c r="EQ70" s="107" t="n">
        <x:f>IF(EQ69=0,0,'Вводные'!$B$62*'Вводные'!$S$90*'Вводные'!$H$5*'Вводные'!$AG$90*(1+'Вводные'!$B$64)^MAX(0,MIN((12*(YEAR(EQ$3)-YEAR($B$53))+MONTH(EQ$3)-MONTH($B$53)),(12*(YEAR($B$54)-YEAR($B$53))+MONTH($B$54)-MONTH($B$53))))*(1+'Вводные'!$B$65)^MAX(0,(12*(YEAR(EQ$3)-YEAR($B$54))+MONTH(EQ$3)-MONTH($B$54))))</x:f>
      </x:c>
      <x:c r="ER70" s="107" t="n">
        <x:f>IF(ER69=0,0,'Вводные'!$B$62*'Вводные'!$S$90*'Вводные'!$H$5*'Вводные'!$AG$90*(1+'Вводные'!$B$64)^MAX(0,MIN((12*(YEAR(ER$3)-YEAR($B$53))+MONTH(ER$3)-MONTH($B$53)),(12*(YEAR($B$54)-YEAR($B$53))+MONTH($B$54)-MONTH($B$53))))*(1+'Вводные'!$B$65)^MAX(0,(12*(YEAR(ER$3)-YEAR($B$54))+MONTH(ER$3)-MONTH($B$54))))</x:f>
      </x:c>
      <x:c r="ES70" s="107" t="n">
        <x:f>IF(ES69=0,0,'Вводные'!$B$62*'Вводные'!$S$90*'Вводные'!$H$5*'Вводные'!$AG$90*(1+'Вводные'!$B$64)^MAX(0,MIN((12*(YEAR(ES$3)-YEAR($B$53))+MONTH(ES$3)-MONTH($B$53)),(12*(YEAR($B$54)-YEAR($B$53))+MONTH($B$54)-MONTH($B$53))))*(1+'Вводные'!$B$65)^MAX(0,(12*(YEAR(ES$3)-YEAR($B$54))+MONTH(ES$3)-MONTH($B$54))))</x:f>
      </x:c>
      <x:c r="ET70" s="107" t="n">
        <x:f>IF(ET69=0,0,'Вводные'!$B$62*'Вводные'!$S$90*'Вводные'!$H$5*'Вводные'!$AG$90*(1+'Вводные'!$B$64)^MAX(0,MIN((12*(YEAR(ET$3)-YEAR($B$53))+MONTH(ET$3)-MONTH($B$53)),(12*(YEAR($B$54)-YEAR($B$53))+MONTH($B$54)-MONTH($B$53))))*(1+'Вводные'!$B$65)^MAX(0,(12*(YEAR(ET$3)-YEAR($B$54))+MONTH(ET$3)-MONTH($B$54))))</x:f>
      </x:c>
      <x:c r="EU70" s="107" t="n">
        <x:f>IF(EU69=0,0,'Вводные'!$B$62*'Вводные'!$S$90*'Вводные'!$H$5*'Вводные'!$AG$90*(1+'Вводные'!$B$64)^MAX(0,MIN((12*(YEAR(EU$3)-YEAR($B$53))+MONTH(EU$3)-MONTH($B$53)),(12*(YEAR($B$54)-YEAR($B$53))+MONTH($B$54)-MONTH($B$53))))*(1+'Вводные'!$B$65)^MAX(0,(12*(YEAR(EU$3)-YEAR($B$54))+MONTH(EU$3)-MONTH($B$54))))</x:f>
      </x:c>
      <x:c r="EV70" s="107" t="n">
        <x:f>IF(EV69=0,0,'Вводные'!$B$62*'Вводные'!$S$90*'Вводные'!$H$5*'Вводные'!$AG$90*(1+'Вводные'!$B$64)^MAX(0,MIN((12*(YEAR(EV$3)-YEAR($B$53))+MONTH(EV$3)-MONTH($B$53)),(12*(YEAR($B$54)-YEAR($B$53))+MONTH($B$54)-MONTH($B$53))))*(1+'Вводные'!$B$65)^MAX(0,(12*(YEAR(EV$3)-YEAR($B$54))+MONTH(EV$3)-MONTH($B$54))))</x:f>
      </x:c>
      <x:c r="EW70" s="107" t="n">
        <x:f>IF(EW69=0,0,'Вводные'!$B$62*'Вводные'!$S$90*'Вводные'!$H$5*'Вводные'!$AG$90*(1+'Вводные'!$B$64)^MAX(0,MIN((12*(YEAR(EW$3)-YEAR($B$53))+MONTH(EW$3)-MONTH($B$53)),(12*(YEAR($B$54)-YEAR($B$53))+MONTH($B$54)-MONTH($B$53))))*(1+'Вводные'!$B$65)^MAX(0,(12*(YEAR(EW$3)-YEAR($B$54))+MONTH(EW$3)-MONTH($B$54))))</x:f>
      </x:c>
      <x:c r="EX70" s="107" t="n">
        <x:f>IF(EX69=0,0,'Вводные'!$B$62*'Вводные'!$S$90*'Вводные'!$H$5*'Вводные'!$AG$90*(1+'Вводные'!$B$64)^MAX(0,MIN((12*(YEAR(EX$3)-YEAR($B$53))+MONTH(EX$3)-MONTH($B$53)),(12*(YEAR($B$54)-YEAR($B$53))+MONTH($B$54)-MONTH($B$53))))*(1+'Вводные'!$B$65)^MAX(0,(12*(YEAR(EX$3)-YEAR($B$54))+MONTH(EX$3)-MONTH($B$54))))</x:f>
      </x:c>
      <x:c r="EY70" s="107" t="n">
        <x:f>IF(EY69=0,0,'Вводные'!$B$62*'Вводные'!$S$90*'Вводные'!$H$5*'Вводные'!$AG$90*(1+'Вводные'!$B$64)^MAX(0,MIN((12*(YEAR(EY$3)-YEAR($B$53))+MONTH(EY$3)-MONTH($B$53)),(12*(YEAR($B$54)-YEAR($B$53))+MONTH($B$54)-MONTH($B$53))))*(1+'Вводные'!$B$65)^MAX(0,(12*(YEAR(EY$3)-YEAR($B$54))+MONTH(EY$3)-MONTH($B$54))))</x:f>
      </x:c>
      <x:c r="EZ70" s="107" t="n">
        <x:f>IF(EZ69=0,0,'Вводные'!$B$62*'Вводные'!$S$90*'Вводные'!$H$5*'Вводные'!$AG$90*(1+'Вводные'!$B$64)^MAX(0,MIN((12*(YEAR(EZ$3)-YEAR($B$53))+MONTH(EZ$3)-MONTH($B$53)),(12*(YEAR($B$54)-YEAR($B$53))+MONTH($B$54)-MONTH($B$53))))*(1+'Вводные'!$B$65)^MAX(0,(12*(YEAR(EZ$3)-YEAR($B$54))+MONTH(EZ$3)-MONTH($B$54))))</x:f>
      </x:c>
      <x:c r="FA70" s="107" t="n">
        <x:f>IF(FA69=0,0,'Вводные'!$B$62*'Вводные'!$S$90*'Вводные'!$H$5*'Вводные'!$AG$90*(1+'Вводные'!$B$64)^MAX(0,MIN((12*(YEAR(FA$3)-YEAR($B$53))+MONTH(FA$3)-MONTH($B$53)),(12*(YEAR($B$54)-YEAR($B$53))+MONTH($B$54)-MONTH($B$53))))*(1+'Вводные'!$B$65)^MAX(0,(12*(YEAR(FA$3)-YEAR($B$54))+MONTH(FA$3)-MONTH($B$54))))</x:f>
      </x:c>
      <x:c r="FB70" s="107" t="n">
        <x:f>IF(FB69=0,0,'Вводные'!$B$62*'Вводные'!$S$90*'Вводные'!$H$5*'Вводные'!$AG$90*(1+'Вводные'!$B$64)^MAX(0,MIN((12*(YEAR(FB$3)-YEAR($B$53))+MONTH(FB$3)-MONTH($B$53)),(12*(YEAR($B$54)-YEAR($B$53))+MONTH($B$54)-MONTH($B$53))))*(1+'Вводные'!$B$65)^MAX(0,(12*(YEAR(FB$3)-YEAR($B$54))+MONTH(FB$3)-MONTH($B$54))))</x:f>
      </x:c>
      <x:c r="FC70" s="107" t="n">
        <x:f>IF(FC69=0,0,'Вводные'!$B$62*'Вводные'!$S$90*'Вводные'!$H$5*'Вводные'!$AG$90*(1+'Вводные'!$B$64)^MAX(0,MIN((12*(YEAR(FC$3)-YEAR($B$53))+MONTH(FC$3)-MONTH($B$53)),(12*(YEAR($B$54)-YEAR($B$53))+MONTH($B$54)-MONTH($B$53))))*(1+'Вводные'!$B$65)^MAX(0,(12*(YEAR(FC$3)-YEAR($B$54))+MONTH(FC$3)-MONTH($B$54))))</x:f>
      </x:c>
      <x:c r="FD70" s="107" t="n">
        <x:f>IF(FD69=0,0,'Вводные'!$B$62*'Вводные'!$S$90*'Вводные'!$H$5*'Вводные'!$AG$90*(1+'Вводные'!$B$64)^MAX(0,MIN((12*(YEAR(FD$3)-YEAR($B$53))+MONTH(FD$3)-MONTH($B$53)),(12*(YEAR($B$54)-YEAR($B$53))+MONTH($B$54)-MONTH($B$53))))*(1+'Вводные'!$B$65)^MAX(0,(12*(YEAR(FD$3)-YEAR($B$54))+MONTH(FD$3)-MONTH($B$54))))</x:f>
      </x:c>
      <x:c r="FE70" s="107" t="n">
        <x:f>IF(FE69=0,0,'Вводные'!$B$62*'Вводные'!$S$90*'Вводные'!$H$5*'Вводные'!$AG$90*(1+'Вводные'!$B$64)^MAX(0,MIN((12*(YEAR(FE$3)-YEAR($B$53))+MONTH(FE$3)-MONTH($B$53)),(12*(YEAR($B$54)-YEAR($B$53))+MONTH($B$54)-MONTH($B$53))))*(1+'Вводные'!$B$65)^MAX(0,(12*(YEAR(FE$3)-YEAR($B$54))+MONTH(FE$3)-MONTH($B$54))))</x:f>
      </x:c>
      <x:c r="FF70" s="107" t="n">
        <x:f>IF(FF69=0,0,'Вводные'!$B$62*'Вводные'!$S$90*'Вводные'!$H$5*'Вводные'!$AG$90*(1+'Вводные'!$B$64)^MAX(0,MIN((12*(YEAR(FF$3)-YEAR($B$53))+MONTH(FF$3)-MONTH($B$53)),(12*(YEAR($B$54)-YEAR($B$53))+MONTH($B$54)-MONTH($B$53))))*(1+'Вводные'!$B$65)^MAX(0,(12*(YEAR(FF$3)-YEAR($B$54))+MONTH(FF$3)-MONTH($B$54))))</x:f>
      </x:c>
      <x:c r="FG70" s="107" t="n">
        <x:f>IF(FG69=0,0,'Вводные'!$B$62*'Вводные'!$S$90*'Вводные'!$H$5*'Вводные'!$AG$90*(1+'Вводные'!$B$64)^MAX(0,MIN((12*(YEAR(FG$3)-YEAR($B$53))+MONTH(FG$3)-MONTH($B$53)),(12*(YEAR($B$54)-YEAR($B$53))+MONTH($B$54)-MONTH($B$53))))*(1+'Вводные'!$B$65)^MAX(0,(12*(YEAR(FG$3)-YEAR($B$54))+MONTH(FG$3)-MONTH($B$54))))</x:f>
      </x:c>
      <x:c r="FH70" s="107" t="n">
        <x:f>IF(FH69=0,0,'Вводные'!$B$62*'Вводные'!$S$90*'Вводные'!$H$5*'Вводные'!$AG$90*(1+'Вводные'!$B$64)^MAX(0,MIN((12*(YEAR(FH$3)-YEAR($B$53))+MONTH(FH$3)-MONTH($B$53)),(12*(YEAR($B$54)-YEAR($B$53))+MONTH($B$54)-MONTH($B$53))))*(1+'Вводные'!$B$65)^MAX(0,(12*(YEAR(FH$3)-YEAR($B$54))+MONTH(FH$3)-MONTH($B$54))))</x:f>
      </x:c>
      <x:c r="FI70" s="107" t="n">
        <x:f>IF(FI69=0,0,'Вводные'!$B$62*'Вводные'!$S$90*'Вводные'!$H$5*'Вводные'!$AG$90*(1+'Вводные'!$B$64)^MAX(0,MIN((12*(YEAR(FI$3)-YEAR($B$53))+MONTH(FI$3)-MONTH($B$53)),(12*(YEAR($B$54)-YEAR($B$53))+MONTH($B$54)-MONTH($B$53))))*(1+'Вводные'!$B$65)^MAX(0,(12*(YEAR(FI$3)-YEAR($B$54))+MONTH(FI$3)-MONTH($B$54))))</x:f>
      </x:c>
      <x:c r="FJ70" s="107" t="n">
        <x:f>IF(FJ69=0,0,'Вводные'!$B$62*'Вводные'!$S$90*'Вводные'!$H$5*'Вводные'!$AG$90*(1+'Вводные'!$B$64)^MAX(0,MIN((12*(YEAR(FJ$3)-YEAR($B$53))+MONTH(FJ$3)-MONTH($B$53)),(12*(YEAR($B$54)-YEAR($B$53))+MONTH($B$54)-MONTH($B$53))))*(1+'Вводные'!$B$65)^MAX(0,(12*(YEAR(FJ$3)-YEAR($B$54))+MONTH(FJ$3)-MONTH($B$54))))</x:f>
      </x:c>
      <x:c r="FK70" s="107" t="n">
        <x:f>IF(FK69=0,0,'Вводные'!$B$62*'Вводные'!$S$90*'Вводные'!$H$5*'Вводные'!$AG$90*(1+'Вводные'!$B$64)^MAX(0,MIN((12*(YEAR(FK$3)-YEAR($B$53))+MONTH(FK$3)-MONTH($B$53)),(12*(YEAR($B$54)-YEAR($B$53))+MONTH($B$54)-MONTH($B$53))))*(1+'Вводные'!$B$65)^MAX(0,(12*(YEAR(FK$3)-YEAR($B$54))+MONTH(FK$3)-MONTH($B$54))))</x:f>
      </x:c>
      <x:c r="FL70" s="107" t="n">
        <x:f>IF(FL69=0,0,'Вводные'!$B$62*'Вводные'!$S$90*'Вводные'!$H$5*'Вводные'!$AG$90*(1+'Вводные'!$B$64)^MAX(0,MIN((12*(YEAR(FL$3)-YEAR($B$53))+MONTH(FL$3)-MONTH($B$53)),(12*(YEAR($B$54)-YEAR($B$53))+MONTH($B$54)-MONTH($B$53))))*(1+'Вводные'!$B$65)^MAX(0,(12*(YEAR(FL$3)-YEAR($B$54))+MONTH(FL$3)-MONTH($B$54))))</x:f>
      </x:c>
      <x:c r="FM70" s="107" t="n">
        <x:f>IF(FM69=0,0,'Вводные'!$B$62*'Вводные'!$S$90*'Вводные'!$H$5*'Вводные'!$AG$90*(1+'Вводные'!$B$64)^MAX(0,MIN((12*(YEAR(FM$3)-YEAR($B$53))+MONTH(FM$3)-MONTH($B$53)),(12*(YEAR($B$54)-YEAR($B$53))+MONTH($B$54)-MONTH($B$53))))*(1+'Вводные'!$B$65)^MAX(0,(12*(YEAR(FM$3)-YEAR($B$54))+MONTH(FM$3)-MONTH($B$54))))</x:f>
      </x:c>
      <x:c r="FN70" s="107" t="n">
        <x:f>IF(FN69=0,0,'Вводные'!$B$62*'Вводные'!$S$90*'Вводные'!$H$5*'Вводные'!$AG$90*(1+'Вводные'!$B$64)^MAX(0,MIN((12*(YEAR(FN$3)-YEAR($B$53))+MONTH(FN$3)-MONTH($B$53)),(12*(YEAR($B$54)-YEAR($B$53))+MONTH($B$54)-MONTH($B$53))))*(1+'Вводные'!$B$65)^MAX(0,(12*(YEAR(FN$3)-YEAR($B$54))+MONTH(FN$3)-MONTH($B$54))))</x:f>
      </x:c>
      <x:c r="FO70" s="107" t="n">
        <x:f>IF(FO69=0,0,'Вводные'!$B$62*'Вводные'!$S$90*'Вводные'!$H$5*'Вводные'!$AG$90*(1+'Вводные'!$B$64)^MAX(0,MIN((12*(YEAR(FO$3)-YEAR($B$53))+MONTH(FO$3)-MONTH($B$53)),(12*(YEAR($B$54)-YEAR($B$53))+MONTH($B$54)-MONTH($B$53))))*(1+'Вводные'!$B$65)^MAX(0,(12*(YEAR(FO$3)-YEAR($B$54))+MONTH(FO$3)-MONTH($B$54))))</x:f>
      </x:c>
      <x:c r="FP70" s="107" t="n">
        <x:f>IF(FP69=0,0,'Вводные'!$B$62*'Вводные'!$S$90*'Вводные'!$H$5*'Вводные'!$AG$90*(1+'Вводные'!$B$64)^MAX(0,MIN((12*(YEAR(FP$3)-YEAR($B$53))+MONTH(FP$3)-MONTH($B$53)),(12*(YEAR($B$54)-YEAR($B$53))+MONTH($B$54)-MONTH($B$53))))*(1+'Вводные'!$B$65)^MAX(0,(12*(YEAR(FP$3)-YEAR($B$54))+MONTH(FP$3)-MONTH($B$54))))</x:f>
      </x:c>
      <x:c r="FQ70" s="107" t="n">
        <x:f>IF(FQ69=0,0,'Вводные'!$B$62*'Вводные'!$S$90*'Вводные'!$H$5*'Вводные'!$AG$90*(1+'Вводные'!$B$64)^MAX(0,MIN((12*(YEAR(FQ$3)-YEAR($B$53))+MONTH(FQ$3)-MONTH($B$53)),(12*(YEAR($B$54)-YEAR($B$53))+MONTH($B$54)-MONTH($B$53))))*(1+'Вводные'!$B$65)^MAX(0,(12*(YEAR(FQ$3)-YEAR($B$54))+MONTH(FQ$3)-MONTH($B$54))))</x:f>
      </x:c>
      <x:c r="FR70" s="107" t="n">
        <x:f>IF(FR69=0,0,'Вводные'!$B$62*'Вводные'!$S$90*'Вводные'!$H$5*'Вводные'!$AG$90*(1+'Вводные'!$B$64)^MAX(0,MIN((12*(YEAR(FR$3)-YEAR($B$53))+MONTH(FR$3)-MONTH($B$53)),(12*(YEAR($B$54)-YEAR($B$53))+MONTH($B$54)-MONTH($B$53))))*(1+'Вводные'!$B$65)^MAX(0,(12*(YEAR(FR$3)-YEAR($B$54))+MONTH(FR$3)-MONTH($B$54))))</x:f>
      </x:c>
      <x:c r="FS70" s="107" t="n">
        <x:f>IF(FS69=0,0,'Вводные'!$B$62*'Вводные'!$S$90*'Вводные'!$H$5*'Вводные'!$AG$90*(1+'Вводные'!$B$64)^MAX(0,MIN((12*(YEAR(FS$3)-YEAR($B$53))+MONTH(FS$3)-MONTH($B$53)),(12*(YEAR($B$54)-YEAR($B$53))+MONTH($B$54)-MONTH($B$53))))*(1+'Вводные'!$B$65)^MAX(0,(12*(YEAR(FS$3)-YEAR($B$54))+MONTH(FS$3)-MONTH($B$54))))</x:f>
      </x:c>
      <x:c r="FT70" s="107" t="n">
        <x:f>IF(FT69=0,0,'Вводные'!$B$62*'Вводные'!$S$90*'Вводные'!$H$5*'Вводные'!$AG$90*(1+'Вводные'!$B$64)^MAX(0,MIN((12*(YEAR(FT$3)-YEAR($B$53))+MONTH(FT$3)-MONTH($B$53)),(12*(YEAR($B$54)-YEAR($B$53))+MONTH($B$54)-MONTH($B$53))))*(1+'Вводные'!$B$65)^MAX(0,(12*(YEAR(FT$3)-YEAR($B$54))+MONTH(FT$3)-MONTH($B$54))))</x:f>
      </x:c>
      <x:c r="FU70" s="107" t="n">
        <x:f>IF(FU69=0,0,'Вводные'!$B$62*'Вводные'!$S$90*'Вводные'!$H$5*'Вводные'!$AG$90*(1+'Вводные'!$B$64)^MAX(0,MIN((12*(YEAR(FU$3)-YEAR($B$53))+MONTH(FU$3)-MONTH($B$53)),(12*(YEAR($B$54)-YEAR($B$53))+MONTH($B$54)-MONTH($B$53))))*(1+'Вводные'!$B$65)^MAX(0,(12*(YEAR(FU$3)-YEAR($B$54))+MONTH(FU$3)-MONTH($B$54))))</x:f>
      </x:c>
      <x:c r="FV70" s="107" t="n">
        <x:f>IF(FV69=0,0,'Вводные'!$B$62*'Вводные'!$S$90*'Вводные'!$H$5*'Вводные'!$AG$90*(1+'Вводные'!$B$64)^MAX(0,MIN((12*(YEAR(FV$3)-YEAR($B$53))+MONTH(FV$3)-MONTH($B$53)),(12*(YEAR($B$54)-YEAR($B$53))+MONTH($B$54)-MONTH($B$53))))*(1+'Вводные'!$B$65)^MAX(0,(12*(YEAR(FV$3)-YEAR($B$54))+MONTH(FV$3)-MONTH($B$54))))</x:f>
      </x:c>
      <x:c r="FW70" s="107" t="n">
        <x:f>IF(FW69=0,0,'Вводные'!$B$62*'Вводные'!$S$90*'Вводные'!$H$5*'Вводные'!$AG$90*(1+'Вводные'!$B$64)^MAX(0,MIN((12*(YEAR(FW$3)-YEAR($B$53))+MONTH(FW$3)-MONTH($B$53)),(12*(YEAR($B$54)-YEAR($B$53))+MONTH($B$54)-MONTH($B$53))))*(1+'Вводные'!$B$65)^MAX(0,(12*(YEAR(FW$3)-YEAR($B$54))+MONTH(FW$3)-MONTH($B$54))))</x:f>
      </x:c>
      <x:c r="FX70" s="107" t="n">
        <x:f>IF(FX69=0,0,'Вводные'!$B$62*'Вводные'!$S$90*'Вводные'!$H$5*'Вводные'!$AG$90*(1+'Вводные'!$B$64)^MAX(0,MIN((12*(YEAR(FX$3)-YEAR($B$53))+MONTH(FX$3)-MONTH($B$53)),(12*(YEAR($B$54)-YEAR($B$53))+MONTH($B$54)-MONTH($B$53))))*(1+'Вводные'!$B$65)^MAX(0,(12*(YEAR(FX$3)-YEAR($B$54))+MONTH(FX$3)-MONTH($B$54))))</x:f>
      </x:c>
      <x:c r="FY70" s="107" t="n">
        <x:f>IF(FY69=0,0,'Вводные'!$B$62*'Вводные'!$S$90*'Вводные'!$H$5*'Вводные'!$AG$90*(1+'Вводные'!$B$64)^MAX(0,MIN((12*(YEAR(FY$3)-YEAR($B$53))+MONTH(FY$3)-MONTH($B$53)),(12*(YEAR($B$54)-YEAR($B$53))+MONTH($B$54)-MONTH($B$53))))*(1+'Вводные'!$B$65)^MAX(0,(12*(YEAR(FY$3)-YEAR($B$54))+MONTH(FY$3)-MONTH($B$54))))</x:f>
      </x:c>
      <x:c r="FZ70" s="107" t="n">
        <x:f>IF(FZ69=0,0,'Вводные'!$B$62*'Вводные'!$S$90*'Вводные'!$H$5*'Вводные'!$AG$90*(1+'Вводные'!$B$64)^MAX(0,MIN((12*(YEAR(FZ$3)-YEAR($B$53))+MONTH(FZ$3)-MONTH($B$53)),(12*(YEAR($B$54)-YEAR($B$53))+MONTH($B$54)-MONTH($B$53))))*(1+'Вводные'!$B$65)^MAX(0,(12*(YEAR(FZ$3)-YEAR($B$54))+MONTH(FZ$3)-MONTH($B$54))))</x:f>
      </x:c>
      <x:c r="GA70" s="107" t="n">
        <x:f>IF(GA69=0,0,'Вводные'!$B$62*'Вводные'!$S$90*'Вводные'!$H$5*'Вводные'!$AG$90*(1+'Вводные'!$B$64)^MAX(0,MIN((12*(YEAR(GA$3)-YEAR($B$53))+MONTH(GA$3)-MONTH($B$53)),(12*(YEAR($B$54)-YEAR($B$53))+MONTH($B$54)-MONTH($B$53))))*(1+'Вводные'!$B$65)^MAX(0,(12*(YEAR(GA$3)-YEAR($B$54))+MONTH(GA$3)-MONTH($B$54))))</x:f>
      </x:c>
    </x:row>
    <x:row r="71">
      <x:c r="A71" t="str">
        <x:v>Кладовые — выручка</x:v>
      </x:c>
      <x:c r="B71" t="n">
        <x:f>SUM(D71:GA71)</x:f>
      </x:c>
      <x:c r="C71" t="str">
        <x:v>млн ₽</x:v>
      </x:c>
      <x:c r="D71" s="107" t="n">
        <x:f>D69*D70/1000</x:f>
      </x:c>
      <x:c r="E71" s="107" t="n">
        <x:f>E69*E70/1000</x:f>
      </x:c>
      <x:c r="F71" s="107" t="n">
        <x:f>F69*F70/1000</x:f>
      </x:c>
      <x:c r="G71" s="107" t="n">
        <x:f>G69*G70/1000</x:f>
      </x:c>
      <x:c r="H71" s="107" t="n">
        <x:f>H69*H70/1000</x:f>
      </x:c>
      <x:c r="I71" s="107" t="n">
        <x:f>I69*I70/1000</x:f>
      </x:c>
      <x:c r="J71" s="107" t="n">
        <x:f>J69*J70/1000</x:f>
      </x:c>
      <x:c r="K71" s="107" t="n">
        <x:f>K69*K70/1000</x:f>
      </x:c>
      <x:c r="L71" s="107" t="n">
        <x:f>L69*L70/1000</x:f>
      </x:c>
      <x:c r="M71" s="107" t="n">
        <x:f>M69*M70/1000</x:f>
      </x:c>
      <x:c r="N71" s="107" t="n">
        <x:f>N69*N70/1000</x:f>
      </x:c>
      <x:c r="O71" s="107" t="n">
        <x:f>O69*O70/1000</x:f>
      </x:c>
      <x:c r="P71" s="107" t="n">
        <x:f>P69*P70/1000</x:f>
      </x:c>
      <x:c r="Q71" s="107" t="n">
        <x:f>Q69*Q70/1000</x:f>
      </x:c>
      <x:c r="R71" s="107" t="n">
        <x:f>R69*R70/1000</x:f>
      </x:c>
      <x:c r="S71" s="107" t="n">
        <x:f>S69*S70/1000</x:f>
      </x:c>
      <x:c r="T71" s="107" t="n">
        <x:f>T69*T70/1000</x:f>
      </x:c>
      <x:c r="U71" s="107" t="n">
        <x:f>U69*U70/1000</x:f>
      </x:c>
      <x:c r="V71" s="107" t="n">
        <x:f>V69*V70/1000</x:f>
      </x:c>
      <x:c r="W71" s="107" t="n">
        <x:f>W69*W70/1000</x:f>
      </x:c>
      <x:c r="X71" s="107" t="n">
        <x:f>X69*X70/1000</x:f>
      </x:c>
      <x:c r="Y71" s="107" t="n">
        <x:f>Y69*Y70/1000</x:f>
      </x:c>
      <x:c r="Z71" s="107" t="n">
        <x:f>Z69*Z70/1000</x:f>
      </x:c>
      <x:c r="AA71" s="107" t="n">
        <x:f>AA69*AA70/1000</x:f>
      </x:c>
      <x:c r="AB71" s="107" t="n">
        <x:f>AB69*AB70/1000</x:f>
      </x:c>
      <x:c r="AC71" s="107" t="n">
        <x:f>AC69*AC70/1000</x:f>
      </x:c>
      <x:c r="AD71" s="107" t="n">
        <x:f>AD69*AD70/1000</x:f>
      </x:c>
      <x:c r="AE71" s="107" t="n">
        <x:f>AE69*AE70/1000</x:f>
      </x:c>
      <x:c r="AF71" s="107" t="n">
        <x:f>AF69*AF70/1000</x:f>
      </x:c>
      <x:c r="AG71" s="107" t="n">
        <x:f>AG69*AG70/1000</x:f>
      </x:c>
      <x:c r="AH71" s="107" t="n">
        <x:f>AH69*AH70/1000</x:f>
      </x:c>
      <x:c r="AI71" s="107" t="n">
        <x:f>AI69*AI70/1000</x:f>
      </x:c>
      <x:c r="AJ71" s="107" t="n">
        <x:f>AJ69*AJ70/1000</x:f>
      </x:c>
      <x:c r="AK71" s="107" t="n">
        <x:f>AK69*AK70/1000</x:f>
      </x:c>
      <x:c r="AL71" s="107" t="n">
        <x:f>AL69*AL70/1000</x:f>
      </x:c>
      <x:c r="AM71" s="107" t="n">
        <x:f>AM69*AM70/1000</x:f>
      </x:c>
      <x:c r="AN71" s="107" t="n">
        <x:f>AN69*AN70/1000</x:f>
      </x:c>
      <x:c r="AO71" s="107" t="n">
        <x:f>AO69*AO70/1000</x:f>
      </x:c>
      <x:c r="AP71" s="107" t="n">
        <x:f>AP69*AP70/1000</x:f>
      </x:c>
      <x:c r="AQ71" s="107" t="n">
        <x:f>AQ69*AQ70/1000</x:f>
      </x:c>
      <x:c r="AR71" s="107" t="n">
        <x:f>AR69*AR70/1000</x:f>
      </x:c>
      <x:c r="AS71" s="107" t="n">
        <x:f>AS69*AS70/1000</x:f>
      </x:c>
      <x:c r="AT71" s="107" t="n">
        <x:f>AT69*AT70/1000</x:f>
      </x:c>
      <x:c r="AU71" s="107" t="n">
        <x:f>AU69*AU70/1000</x:f>
      </x:c>
      <x:c r="AV71" s="107" t="n">
        <x:f>AV69*AV70/1000</x:f>
      </x:c>
      <x:c r="AW71" s="107" t="n">
        <x:f>AW69*AW70/1000</x:f>
      </x:c>
      <x:c r="AX71" s="107" t="n">
        <x:f>AX69*AX70/1000</x:f>
      </x:c>
      <x:c r="AY71" s="107" t="n">
        <x:f>AY69*AY70/1000</x:f>
      </x:c>
      <x:c r="AZ71" s="107" t="n">
        <x:f>AZ69*AZ70/1000</x:f>
      </x:c>
      <x:c r="BA71" s="107" t="n">
        <x:f>BA69*BA70/1000</x:f>
      </x:c>
      <x:c r="BB71" s="107" t="n">
        <x:f>BB69*BB70/1000</x:f>
      </x:c>
      <x:c r="BC71" s="107" t="n">
        <x:f>BC69*BC70/1000</x:f>
      </x:c>
      <x:c r="BD71" s="107" t="n">
        <x:f>BD69*BD70/1000</x:f>
      </x:c>
      <x:c r="BE71" s="107" t="n">
        <x:f>BE69*BE70/1000</x:f>
      </x:c>
      <x:c r="BF71" s="107" t="n">
        <x:f>BF69*BF70/1000</x:f>
      </x:c>
      <x:c r="BG71" s="107" t="n">
        <x:f>BG69*BG70/1000</x:f>
      </x:c>
      <x:c r="BH71" s="107" t="n">
        <x:f>BH69*BH70/1000</x:f>
      </x:c>
      <x:c r="BI71" s="107" t="n">
        <x:f>BI69*BI70/1000</x:f>
      </x:c>
      <x:c r="BJ71" s="107" t="n">
        <x:f>BJ69*BJ70/1000</x:f>
      </x:c>
      <x:c r="BK71" s="107" t="n">
        <x:f>BK69*BK70/1000</x:f>
      </x:c>
      <x:c r="BL71" s="107" t="n">
        <x:f>BL69*BL70/1000</x:f>
      </x:c>
      <x:c r="BM71" s="107" t="n">
        <x:f>BM69*BM70/1000</x:f>
      </x:c>
      <x:c r="BN71" s="107" t="n">
        <x:f>BN69*BN70/1000</x:f>
      </x:c>
      <x:c r="BO71" s="107" t="n">
        <x:f>BO69*BO70/1000</x:f>
      </x:c>
      <x:c r="BP71" s="107" t="n">
        <x:f>BP69*BP70/1000</x:f>
      </x:c>
      <x:c r="BQ71" s="107" t="n">
        <x:f>BQ69*BQ70/1000</x:f>
      </x:c>
      <x:c r="BR71" s="107" t="n">
        <x:f>BR69*BR70/1000</x:f>
      </x:c>
      <x:c r="BS71" s="107" t="n">
        <x:f>BS69*BS70/1000</x:f>
      </x:c>
      <x:c r="BT71" s="107" t="n">
        <x:f>BT69*BT70/1000</x:f>
      </x:c>
      <x:c r="BU71" s="107" t="n">
        <x:f>BU69*BU70/1000</x:f>
      </x:c>
      <x:c r="BV71" s="107" t="n">
        <x:f>BV69*BV70/1000</x:f>
      </x:c>
      <x:c r="BW71" s="107" t="n">
        <x:f>BW69*BW70/1000</x:f>
      </x:c>
      <x:c r="BX71" s="107" t="n">
        <x:f>BX69*BX70/1000</x:f>
      </x:c>
      <x:c r="BY71" s="107" t="n">
        <x:f>BY69*BY70/1000</x:f>
      </x:c>
      <x:c r="BZ71" s="107" t="n">
        <x:f>BZ69*BZ70/1000</x:f>
      </x:c>
      <x:c r="CA71" s="107" t="n">
        <x:f>CA69*CA70/1000</x:f>
      </x:c>
      <x:c r="CB71" s="107" t="n">
        <x:f>CB69*CB70/1000</x:f>
      </x:c>
      <x:c r="CC71" s="107" t="n">
        <x:f>CC69*CC70/1000</x:f>
      </x:c>
      <x:c r="CD71" s="107" t="n">
        <x:f>CD69*CD70/1000</x:f>
      </x:c>
      <x:c r="CE71" s="107" t="n">
        <x:f>CE69*CE70/1000</x:f>
      </x:c>
      <x:c r="CF71" s="107" t="n">
        <x:f>CF69*CF70/1000</x:f>
      </x:c>
      <x:c r="CG71" s="107" t="n">
        <x:f>CG69*CG70/1000</x:f>
      </x:c>
      <x:c r="CH71" s="107" t="n">
        <x:f>CH69*CH70/1000</x:f>
      </x:c>
      <x:c r="CI71" s="107" t="n">
        <x:f>CI69*CI70/1000</x:f>
      </x:c>
      <x:c r="CJ71" s="107" t="n">
        <x:f>CJ69*CJ70/1000</x:f>
      </x:c>
      <x:c r="CK71" s="107" t="n">
        <x:f>CK69*CK70/1000</x:f>
      </x:c>
      <x:c r="CL71" s="107" t="n">
        <x:f>CL69*CL70/1000</x:f>
      </x:c>
      <x:c r="CM71" s="107" t="n">
        <x:f>CM69*CM70/1000</x:f>
      </x:c>
      <x:c r="CN71" s="107" t="n">
        <x:f>CN69*CN70/1000</x:f>
      </x:c>
      <x:c r="CO71" s="107" t="n">
        <x:f>CO69*CO70/1000</x:f>
      </x:c>
      <x:c r="CP71" s="107" t="n">
        <x:f>CP69*CP70/1000</x:f>
      </x:c>
      <x:c r="CQ71" s="107" t="n">
        <x:f>CQ69*CQ70/1000</x:f>
      </x:c>
      <x:c r="CR71" s="107" t="n">
        <x:f>CR69*CR70/1000</x:f>
      </x:c>
      <x:c r="CS71" s="107" t="n">
        <x:f>CS69*CS70/1000</x:f>
      </x:c>
      <x:c r="CT71" s="107" t="n">
        <x:f>CT69*CT70/1000</x:f>
      </x:c>
      <x:c r="CU71" s="107" t="n">
        <x:f>CU69*CU70/1000</x:f>
      </x:c>
      <x:c r="CV71" s="107" t="n">
        <x:f>CV69*CV70/1000</x:f>
      </x:c>
      <x:c r="CW71" s="107" t="n">
        <x:f>CW69*CW70/1000</x:f>
      </x:c>
      <x:c r="CX71" s="107" t="n">
        <x:f>CX69*CX70/1000</x:f>
      </x:c>
      <x:c r="CY71" s="107" t="n">
        <x:f>CY69*CY70/1000</x:f>
      </x:c>
      <x:c r="CZ71" s="107" t="n">
        <x:f>CZ69*CZ70/1000</x:f>
      </x:c>
      <x:c r="DA71" s="107" t="n">
        <x:f>DA69*DA70/1000</x:f>
      </x:c>
      <x:c r="DB71" s="107" t="n">
        <x:f>DB69*DB70/1000</x:f>
      </x:c>
      <x:c r="DC71" s="107" t="n">
        <x:f>DC69*DC70/1000</x:f>
      </x:c>
      <x:c r="DD71" s="107" t="n">
        <x:f>DD69*DD70/1000</x:f>
      </x:c>
      <x:c r="DE71" s="107" t="n">
        <x:f>DE69*DE70/1000</x:f>
      </x:c>
      <x:c r="DF71" s="107" t="n">
        <x:f>DF69*DF70/1000</x:f>
      </x:c>
      <x:c r="DG71" s="107" t="n">
        <x:f>DG69*DG70/1000</x:f>
      </x:c>
      <x:c r="DH71" s="107" t="n">
        <x:f>DH69*DH70/1000</x:f>
      </x:c>
      <x:c r="DI71" s="107" t="n">
        <x:f>DI69*DI70/1000</x:f>
      </x:c>
      <x:c r="DJ71" s="107" t="n">
        <x:f>DJ69*DJ70/1000</x:f>
      </x:c>
      <x:c r="DK71" s="107" t="n">
        <x:f>DK69*DK70/1000</x:f>
      </x:c>
      <x:c r="DL71" s="107" t="n">
        <x:f>DL69*DL70/1000</x:f>
      </x:c>
      <x:c r="DM71" s="107" t="n">
        <x:f>DM69*DM70/1000</x:f>
      </x:c>
      <x:c r="DN71" s="107" t="n">
        <x:f>DN69*DN70/1000</x:f>
      </x:c>
      <x:c r="DO71" s="107" t="n">
        <x:f>DO69*DO70/1000</x:f>
      </x:c>
      <x:c r="DP71" s="107" t="n">
        <x:f>DP69*DP70/1000</x:f>
      </x:c>
      <x:c r="DQ71" s="107" t="n">
        <x:f>DQ69*DQ70/1000</x:f>
      </x:c>
      <x:c r="DR71" s="107" t="n">
        <x:f>DR69*DR70/1000</x:f>
      </x:c>
      <x:c r="DS71" s="107" t="n">
        <x:f>DS69*DS70/1000</x:f>
      </x:c>
      <x:c r="DT71" s="107" t="n">
        <x:f>DT69*DT70/1000</x:f>
      </x:c>
      <x:c r="DU71" s="107" t="n">
        <x:f>DU69*DU70/1000</x:f>
      </x:c>
      <x:c r="DV71" s="107" t="n">
        <x:f>DV69*DV70/1000</x:f>
      </x:c>
      <x:c r="DW71" s="107" t="n">
        <x:f>DW69*DW70/1000</x:f>
      </x:c>
      <x:c r="DX71" s="107" t="n">
        <x:f>DX69*DX70/1000</x:f>
      </x:c>
      <x:c r="DY71" s="107" t="n">
        <x:f>DY69*DY70/1000</x:f>
      </x:c>
      <x:c r="DZ71" s="107" t="n">
        <x:f>DZ69*DZ70/1000</x:f>
      </x:c>
      <x:c r="EA71" s="107" t="n">
        <x:f>EA69*EA70/1000</x:f>
      </x:c>
      <x:c r="EB71" s="107" t="n">
        <x:f>EB69*EB70/1000</x:f>
      </x:c>
      <x:c r="EC71" s="107" t="n">
        <x:f>EC69*EC70/1000</x:f>
      </x:c>
      <x:c r="ED71" s="107" t="n">
        <x:f>ED69*ED70/1000</x:f>
      </x:c>
      <x:c r="EE71" s="107" t="n">
        <x:f>EE69*EE70/1000</x:f>
      </x:c>
      <x:c r="EF71" s="107" t="n">
        <x:f>EF69*EF70/1000</x:f>
      </x:c>
      <x:c r="EG71" s="107" t="n">
        <x:f>EG69*EG70/1000</x:f>
      </x:c>
      <x:c r="EH71" s="107" t="n">
        <x:f>EH69*EH70/1000</x:f>
      </x:c>
      <x:c r="EI71" s="107" t="n">
        <x:f>EI69*EI70/1000</x:f>
      </x:c>
      <x:c r="EJ71" s="107" t="n">
        <x:f>EJ69*EJ70/1000</x:f>
      </x:c>
      <x:c r="EK71" s="107" t="n">
        <x:f>EK69*EK70/1000</x:f>
      </x:c>
      <x:c r="EL71" s="107" t="n">
        <x:f>EL69*EL70/1000</x:f>
      </x:c>
      <x:c r="EM71" s="107" t="n">
        <x:f>EM69*EM70/1000</x:f>
      </x:c>
      <x:c r="EN71" s="107" t="n">
        <x:f>EN69*EN70/1000</x:f>
      </x:c>
      <x:c r="EO71" s="107" t="n">
        <x:f>EO69*EO70/1000</x:f>
      </x:c>
      <x:c r="EP71" s="107" t="n">
        <x:f>EP69*EP70/1000</x:f>
      </x:c>
      <x:c r="EQ71" s="107" t="n">
        <x:f>EQ69*EQ70/1000</x:f>
      </x:c>
      <x:c r="ER71" s="107" t="n">
        <x:f>ER69*ER70/1000</x:f>
      </x:c>
      <x:c r="ES71" s="107" t="n">
        <x:f>ES69*ES70/1000</x:f>
      </x:c>
      <x:c r="ET71" s="107" t="n">
        <x:f>ET69*ET70/1000</x:f>
      </x:c>
      <x:c r="EU71" s="107" t="n">
        <x:f>EU69*EU70/1000</x:f>
      </x:c>
      <x:c r="EV71" s="107" t="n">
        <x:f>EV69*EV70/1000</x:f>
      </x:c>
      <x:c r="EW71" s="107" t="n">
        <x:f>EW69*EW70/1000</x:f>
      </x:c>
      <x:c r="EX71" s="107" t="n">
        <x:f>EX69*EX70/1000</x:f>
      </x:c>
      <x:c r="EY71" s="107" t="n">
        <x:f>EY69*EY70/1000</x:f>
      </x:c>
      <x:c r="EZ71" s="107" t="n">
        <x:f>EZ69*EZ70/1000</x:f>
      </x:c>
      <x:c r="FA71" s="107" t="n">
        <x:f>FA69*FA70/1000</x:f>
      </x:c>
      <x:c r="FB71" s="107" t="n">
        <x:f>FB69*FB70/1000</x:f>
      </x:c>
      <x:c r="FC71" s="107" t="n">
        <x:f>FC69*FC70/1000</x:f>
      </x:c>
      <x:c r="FD71" s="107" t="n">
        <x:f>FD69*FD70/1000</x:f>
      </x:c>
      <x:c r="FE71" s="107" t="n">
        <x:f>FE69*FE70/1000</x:f>
      </x:c>
      <x:c r="FF71" s="107" t="n">
        <x:f>FF69*FF70/1000</x:f>
      </x:c>
      <x:c r="FG71" s="107" t="n">
        <x:f>FG69*FG70/1000</x:f>
      </x:c>
      <x:c r="FH71" s="107" t="n">
        <x:f>FH69*FH70/1000</x:f>
      </x:c>
      <x:c r="FI71" s="107" t="n">
        <x:f>FI69*FI70/1000</x:f>
      </x:c>
      <x:c r="FJ71" s="107" t="n">
        <x:f>FJ69*FJ70/1000</x:f>
      </x:c>
      <x:c r="FK71" s="107" t="n">
        <x:f>FK69*FK70/1000</x:f>
      </x:c>
      <x:c r="FL71" s="107" t="n">
        <x:f>FL69*FL70/1000</x:f>
      </x:c>
      <x:c r="FM71" s="107" t="n">
        <x:f>FM69*FM70/1000</x:f>
      </x:c>
      <x:c r="FN71" s="107" t="n">
        <x:f>FN69*FN70/1000</x:f>
      </x:c>
      <x:c r="FO71" s="107" t="n">
        <x:f>FO69*FO70/1000</x:f>
      </x:c>
      <x:c r="FP71" s="107" t="n">
        <x:f>FP69*FP70/1000</x:f>
      </x:c>
      <x:c r="FQ71" s="107" t="n">
        <x:f>FQ69*FQ70/1000</x:f>
      </x:c>
      <x:c r="FR71" s="107" t="n">
        <x:f>FR69*FR70/1000</x:f>
      </x:c>
      <x:c r="FS71" s="107" t="n">
        <x:f>FS69*FS70/1000</x:f>
      </x:c>
      <x:c r="FT71" s="107" t="n">
        <x:f>FT69*FT70/1000</x:f>
      </x:c>
      <x:c r="FU71" s="107" t="n">
        <x:f>FU69*FU70/1000</x:f>
      </x:c>
      <x:c r="FV71" s="107" t="n">
        <x:f>FV69*FV70/1000</x:f>
      </x:c>
      <x:c r="FW71" s="107" t="n">
        <x:f>FW69*FW70/1000</x:f>
      </x:c>
      <x:c r="FX71" s="107" t="n">
        <x:f>FX69*FX70/1000</x:f>
      </x:c>
      <x:c r="FY71" s="107" t="n">
        <x:f>FY69*FY70/1000</x:f>
      </x:c>
      <x:c r="FZ71" s="107" t="n">
        <x:f>FZ69*FZ70/1000</x:f>
      </x:c>
      <x:c r="GA71" s="107" t="n">
        <x:f>GA69*GA70/1000</x:f>
      </x:c>
    </x:row>
    <x:row r="72">
      <x:c r="A72" s="113" t="str">
        <x:v>ВЫРУЧКА ОЧЕРЕДИ</x:v>
      </x:c>
      <x:c r="B72" s="113" t="n">
        <x:f>SUM(D72:GA72)</x:f>
      </x:c>
      <x:c r="C72" s="113" t="str">
        <x:v>млн ₽</x:v>
      </x:c>
      <x:c r="D72" s="113" t="n">
        <x:f>SUM(D62,D65,D68,D71)</x:f>
      </x:c>
      <x:c r="E72" s="113" t="n">
        <x:f>SUM(E62,E65,E68,E71)</x:f>
      </x:c>
      <x:c r="F72" s="113" t="n">
        <x:f>SUM(F62,F65,F68,F71)</x:f>
      </x:c>
      <x:c r="G72" s="113" t="n">
        <x:f>SUM(G62,G65,G68,G71)</x:f>
      </x:c>
      <x:c r="H72" s="113" t="n">
        <x:f>SUM(H62,H65,H68,H71)</x:f>
      </x:c>
      <x:c r="I72" s="113" t="n">
        <x:f>SUM(I62,I65,I68,I71)</x:f>
      </x:c>
      <x:c r="J72" s="113" t="n">
        <x:f>SUM(J62,J65,J68,J71)</x:f>
      </x:c>
      <x:c r="K72" s="113" t="n">
        <x:f>SUM(K62,K65,K68,K71)</x:f>
      </x:c>
      <x:c r="L72" s="113" t="n">
        <x:f>SUM(L62,L65,L68,L71)</x:f>
      </x:c>
      <x:c r="M72" s="113" t="n">
        <x:f>SUM(M62,M65,M68,M71)</x:f>
      </x:c>
      <x:c r="N72" s="113" t="n">
        <x:f>SUM(N62,N65,N68,N71)</x:f>
      </x:c>
      <x:c r="O72" s="113" t="n">
        <x:f>SUM(O62,O65,O68,O71)</x:f>
      </x:c>
      <x:c r="P72" s="113" t="n">
        <x:f>SUM(P62,P65,P68,P71)</x:f>
      </x:c>
      <x:c r="Q72" s="113" t="n">
        <x:f>SUM(Q62,Q65,Q68,Q71)</x:f>
      </x:c>
      <x:c r="R72" s="113" t="n">
        <x:f>SUM(R62,R65,R68,R71)</x:f>
      </x:c>
      <x:c r="S72" s="113" t="n">
        <x:f>SUM(S62,S65,S68,S71)</x:f>
      </x:c>
      <x:c r="T72" s="113" t="n">
        <x:f>SUM(T62,T65,T68,T71)</x:f>
      </x:c>
      <x:c r="U72" s="113" t="n">
        <x:f>SUM(U62,U65,U68,U71)</x:f>
      </x:c>
      <x:c r="V72" s="113" t="n">
        <x:f>SUM(V62,V65,V68,V71)</x:f>
      </x:c>
      <x:c r="W72" s="113" t="n">
        <x:f>SUM(W62,W65,W68,W71)</x:f>
      </x:c>
      <x:c r="X72" s="113" t="n">
        <x:f>SUM(X62,X65,X68,X71)</x:f>
      </x:c>
      <x:c r="Y72" s="113" t="n">
        <x:f>SUM(Y62,Y65,Y68,Y71)</x:f>
      </x:c>
      <x:c r="Z72" s="113" t="n">
        <x:f>SUM(Z62,Z65,Z68,Z71)</x:f>
      </x:c>
      <x:c r="AA72" s="113" t="n">
        <x:f>SUM(AA62,AA65,AA68,AA71)</x:f>
      </x:c>
      <x:c r="AB72" s="113" t="n">
        <x:f>SUM(AB62,AB65,AB68,AB71)</x:f>
      </x:c>
      <x:c r="AC72" s="113" t="n">
        <x:f>SUM(AC62,AC65,AC68,AC71)</x:f>
      </x:c>
      <x:c r="AD72" s="113" t="n">
        <x:f>SUM(AD62,AD65,AD68,AD71)</x:f>
      </x:c>
      <x:c r="AE72" s="113" t="n">
        <x:f>SUM(AE62,AE65,AE68,AE71)</x:f>
      </x:c>
      <x:c r="AF72" s="113" t="n">
        <x:f>SUM(AF62,AF65,AF68,AF71)</x:f>
      </x:c>
      <x:c r="AG72" s="113" t="n">
        <x:f>SUM(AG62,AG65,AG68,AG71)</x:f>
      </x:c>
      <x:c r="AH72" s="113" t="n">
        <x:f>SUM(AH62,AH65,AH68,AH71)</x:f>
      </x:c>
      <x:c r="AI72" s="113" t="n">
        <x:f>SUM(AI62,AI65,AI68,AI71)</x:f>
      </x:c>
      <x:c r="AJ72" s="113" t="n">
        <x:f>SUM(AJ62,AJ65,AJ68,AJ71)</x:f>
      </x:c>
      <x:c r="AK72" s="113" t="n">
        <x:f>SUM(AK62,AK65,AK68,AK71)</x:f>
      </x:c>
      <x:c r="AL72" s="113" t="n">
        <x:f>SUM(AL62,AL65,AL68,AL71)</x:f>
      </x:c>
      <x:c r="AM72" s="113" t="n">
        <x:f>SUM(AM62,AM65,AM68,AM71)</x:f>
      </x:c>
      <x:c r="AN72" s="113" t="n">
        <x:f>SUM(AN62,AN65,AN68,AN71)</x:f>
      </x:c>
      <x:c r="AO72" s="113" t="n">
        <x:f>SUM(AO62,AO65,AO68,AO71)</x:f>
      </x:c>
      <x:c r="AP72" s="113" t="n">
        <x:f>SUM(AP62,AP65,AP68,AP71)</x:f>
      </x:c>
      <x:c r="AQ72" s="113" t="n">
        <x:f>SUM(AQ62,AQ65,AQ68,AQ71)</x:f>
      </x:c>
      <x:c r="AR72" s="113" t="n">
        <x:f>SUM(AR62,AR65,AR68,AR71)</x:f>
      </x:c>
      <x:c r="AS72" s="113" t="n">
        <x:f>SUM(AS62,AS65,AS68,AS71)</x:f>
      </x:c>
      <x:c r="AT72" s="113" t="n">
        <x:f>SUM(AT62,AT65,AT68,AT71)</x:f>
      </x:c>
      <x:c r="AU72" s="113" t="n">
        <x:f>SUM(AU62,AU65,AU68,AU71)</x:f>
      </x:c>
      <x:c r="AV72" s="113" t="n">
        <x:f>SUM(AV62,AV65,AV68,AV71)</x:f>
      </x:c>
      <x:c r="AW72" s="113" t="n">
        <x:f>SUM(AW62,AW65,AW68,AW71)</x:f>
      </x:c>
      <x:c r="AX72" s="113" t="n">
        <x:f>SUM(AX62,AX65,AX68,AX71)</x:f>
      </x:c>
      <x:c r="AY72" s="113" t="n">
        <x:f>SUM(AY62,AY65,AY68,AY71)</x:f>
      </x:c>
      <x:c r="AZ72" s="113" t="n">
        <x:f>SUM(AZ62,AZ65,AZ68,AZ71)</x:f>
      </x:c>
      <x:c r="BA72" s="113" t="n">
        <x:f>SUM(BA62,BA65,BA68,BA71)</x:f>
      </x:c>
      <x:c r="BB72" s="113" t="n">
        <x:f>SUM(BB62,BB65,BB68,BB71)</x:f>
      </x:c>
      <x:c r="BC72" s="113" t="n">
        <x:f>SUM(BC62,BC65,BC68,BC71)</x:f>
      </x:c>
      <x:c r="BD72" s="113" t="n">
        <x:f>SUM(BD62,BD65,BD68,BD71)</x:f>
      </x:c>
      <x:c r="BE72" s="113" t="n">
        <x:f>SUM(BE62,BE65,BE68,BE71)</x:f>
      </x:c>
      <x:c r="BF72" s="113" t="n">
        <x:f>SUM(BF62,BF65,BF68,BF71)</x:f>
      </x:c>
      <x:c r="BG72" s="113" t="n">
        <x:f>SUM(BG62,BG65,BG68,BG71)</x:f>
      </x:c>
      <x:c r="BH72" s="113" t="n">
        <x:f>SUM(BH62,BH65,BH68,BH71)</x:f>
      </x:c>
      <x:c r="BI72" s="113" t="n">
        <x:f>SUM(BI62,BI65,BI68,BI71)</x:f>
      </x:c>
      <x:c r="BJ72" s="113" t="n">
        <x:f>SUM(BJ62,BJ65,BJ68,BJ71)</x:f>
      </x:c>
      <x:c r="BK72" s="113" t="n">
        <x:f>SUM(BK62,BK65,BK68,BK71)</x:f>
      </x:c>
      <x:c r="BL72" s="113" t="n">
        <x:f>SUM(BL62,BL65,BL68,BL71)</x:f>
      </x:c>
      <x:c r="BM72" s="113" t="n">
        <x:f>SUM(BM62,BM65,BM68,BM71)</x:f>
      </x:c>
      <x:c r="BN72" s="113" t="n">
        <x:f>SUM(BN62,BN65,BN68,BN71)</x:f>
      </x:c>
      <x:c r="BO72" s="113" t="n">
        <x:f>SUM(BO62,BO65,BO68,BO71)</x:f>
      </x:c>
      <x:c r="BP72" s="113" t="n">
        <x:f>SUM(BP62,BP65,BP68,BP71)</x:f>
      </x:c>
      <x:c r="BQ72" s="113" t="n">
        <x:f>SUM(BQ62,BQ65,BQ68,BQ71)</x:f>
      </x:c>
      <x:c r="BR72" s="113" t="n">
        <x:f>SUM(BR62,BR65,BR68,BR71)</x:f>
      </x:c>
      <x:c r="BS72" s="113" t="n">
        <x:f>SUM(BS62,BS65,BS68,BS71)</x:f>
      </x:c>
      <x:c r="BT72" s="113" t="n">
        <x:f>SUM(BT62,BT65,BT68,BT71)</x:f>
      </x:c>
      <x:c r="BU72" s="113" t="n">
        <x:f>SUM(BU62,BU65,BU68,BU71)</x:f>
      </x:c>
      <x:c r="BV72" s="113" t="n">
        <x:f>SUM(BV62,BV65,BV68,BV71)</x:f>
      </x:c>
      <x:c r="BW72" s="113" t="n">
        <x:f>SUM(BW62,BW65,BW68,BW71)</x:f>
      </x:c>
      <x:c r="BX72" s="113" t="n">
        <x:f>SUM(BX62,BX65,BX68,BX71)</x:f>
      </x:c>
      <x:c r="BY72" s="113" t="n">
        <x:f>SUM(BY62,BY65,BY68,BY71)</x:f>
      </x:c>
      <x:c r="BZ72" s="113" t="n">
        <x:f>SUM(BZ62,BZ65,BZ68,BZ71)</x:f>
      </x:c>
      <x:c r="CA72" s="113" t="n">
        <x:f>SUM(CA62,CA65,CA68,CA71)</x:f>
      </x:c>
      <x:c r="CB72" s="113" t="n">
        <x:f>SUM(CB62,CB65,CB68,CB71)</x:f>
      </x:c>
      <x:c r="CC72" s="113" t="n">
        <x:f>SUM(CC62,CC65,CC68,CC71)</x:f>
      </x:c>
      <x:c r="CD72" s="113" t="n">
        <x:f>SUM(CD62,CD65,CD68,CD71)</x:f>
      </x:c>
      <x:c r="CE72" s="113" t="n">
        <x:f>SUM(CE62,CE65,CE68,CE71)</x:f>
      </x:c>
      <x:c r="CF72" s="113" t="n">
        <x:f>SUM(CF62,CF65,CF68,CF71)</x:f>
      </x:c>
      <x:c r="CG72" s="113" t="n">
        <x:f>SUM(CG62,CG65,CG68,CG71)</x:f>
      </x:c>
      <x:c r="CH72" s="113" t="n">
        <x:f>SUM(CH62,CH65,CH68,CH71)</x:f>
      </x:c>
      <x:c r="CI72" s="113" t="n">
        <x:f>SUM(CI62,CI65,CI68,CI71)</x:f>
      </x:c>
      <x:c r="CJ72" s="113" t="n">
        <x:f>SUM(CJ62,CJ65,CJ68,CJ71)</x:f>
      </x:c>
      <x:c r="CK72" s="113" t="n">
        <x:f>SUM(CK62,CK65,CK68,CK71)</x:f>
      </x:c>
      <x:c r="CL72" s="113" t="n">
        <x:f>SUM(CL62,CL65,CL68,CL71)</x:f>
      </x:c>
      <x:c r="CM72" s="113" t="n">
        <x:f>SUM(CM62,CM65,CM68,CM71)</x:f>
      </x:c>
      <x:c r="CN72" s="113" t="n">
        <x:f>SUM(CN62,CN65,CN68,CN71)</x:f>
      </x:c>
      <x:c r="CO72" s="113" t="n">
        <x:f>SUM(CO62,CO65,CO68,CO71)</x:f>
      </x:c>
      <x:c r="CP72" s="113" t="n">
        <x:f>SUM(CP62,CP65,CP68,CP71)</x:f>
      </x:c>
      <x:c r="CQ72" s="113" t="n">
        <x:f>SUM(CQ62,CQ65,CQ68,CQ71)</x:f>
      </x:c>
      <x:c r="CR72" s="113" t="n">
        <x:f>SUM(CR62,CR65,CR68,CR71)</x:f>
      </x:c>
      <x:c r="CS72" s="113" t="n">
        <x:f>SUM(CS62,CS65,CS68,CS71)</x:f>
      </x:c>
      <x:c r="CT72" s="113" t="n">
        <x:f>SUM(CT62,CT65,CT68,CT71)</x:f>
      </x:c>
      <x:c r="CU72" s="113" t="n">
        <x:f>SUM(CU62,CU65,CU68,CU71)</x:f>
      </x:c>
      <x:c r="CV72" s="113" t="n">
        <x:f>SUM(CV62,CV65,CV68,CV71)</x:f>
      </x:c>
      <x:c r="CW72" s="113" t="n">
        <x:f>SUM(CW62,CW65,CW68,CW71)</x:f>
      </x:c>
      <x:c r="CX72" s="113" t="n">
        <x:f>SUM(CX62,CX65,CX68,CX71)</x:f>
      </x:c>
      <x:c r="CY72" s="113" t="n">
        <x:f>SUM(CY62,CY65,CY68,CY71)</x:f>
      </x:c>
      <x:c r="CZ72" s="113" t="n">
        <x:f>SUM(CZ62,CZ65,CZ68,CZ71)</x:f>
      </x:c>
      <x:c r="DA72" s="113" t="n">
        <x:f>SUM(DA62,DA65,DA68,DA71)</x:f>
      </x:c>
      <x:c r="DB72" s="113" t="n">
        <x:f>SUM(DB62,DB65,DB68,DB71)</x:f>
      </x:c>
      <x:c r="DC72" s="113" t="n">
        <x:f>SUM(DC62,DC65,DC68,DC71)</x:f>
      </x:c>
      <x:c r="DD72" s="113" t="n">
        <x:f>SUM(DD62,DD65,DD68,DD71)</x:f>
      </x:c>
      <x:c r="DE72" s="113" t="n">
        <x:f>SUM(DE62,DE65,DE68,DE71)</x:f>
      </x:c>
      <x:c r="DF72" s="113" t="n">
        <x:f>SUM(DF62,DF65,DF68,DF71)</x:f>
      </x:c>
      <x:c r="DG72" s="113" t="n">
        <x:f>SUM(DG62,DG65,DG68,DG71)</x:f>
      </x:c>
      <x:c r="DH72" s="113" t="n">
        <x:f>SUM(DH62,DH65,DH68,DH71)</x:f>
      </x:c>
      <x:c r="DI72" s="113" t="n">
        <x:f>SUM(DI62,DI65,DI68,DI71)</x:f>
      </x:c>
      <x:c r="DJ72" s="113" t="n">
        <x:f>SUM(DJ62,DJ65,DJ68,DJ71)</x:f>
      </x:c>
      <x:c r="DK72" s="113" t="n">
        <x:f>SUM(DK62,DK65,DK68,DK71)</x:f>
      </x:c>
      <x:c r="DL72" s="113" t="n">
        <x:f>SUM(DL62,DL65,DL68,DL71)</x:f>
      </x:c>
      <x:c r="DM72" s="113" t="n">
        <x:f>SUM(DM62,DM65,DM68,DM71)</x:f>
      </x:c>
      <x:c r="DN72" s="113" t="n">
        <x:f>SUM(DN62,DN65,DN68,DN71)</x:f>
      </x:c>
      <x:c r="DO72" s="113" t="n">
        <x:f>SUM(DO62,DO65,DO68,DO71)</x:f>
      </x:c>
      <x:c r="DP72" s="113" t="n">
        <x:f>SUM(DP62,DP65,DP68,DP71)</x:f>
      </x:c>
      <x:c r="DQ72" s="113" t="n">
        <x:f>SUM(DQ62,DQ65,DQ68,DQ71)</x:f>
      </x:c>
      <x:c r="DR72" s="113" t="n">
        <x:f>SUM(DR62,DR65,DR68,DR71)</x:f>
      </x:c>
      <x:c r="DS72" s="113" t="n">
        <x:f>SUM(DS62,DS65,DS68,DS71)</x:f>
      </x:c>
      <x:c r="DT72" s="113" t="n">
        <x:f>SUM(DT62,DT65,DT68,DT71)</x:f>
      </x:c>
      <x:c r="DU72" s="113" t="n">
        <x:f>SUM(DU62,DU65,DU68,DU71)</x:f>
      </x:c>
      <x:c r="DV72" s="113" t="n">
        <x:f>SUM(DV62,DV65,DV68,DV71)</x:f>
      </x:c>
      <x:c r="DW72" s="113" t="n">
        <x:f>SUM(DW62,DW65,DW68,DW71)</x:f>
      </x:c>
      <x:c r="DX72" s="113" t="n">
        <x:f>SUM(DX62,DX65,DX68,DX71)</x:f>
      </x:c>
      <x:c r="DY72" s="113" t="n">
        <x:f>SUM(DY62,DY65,DY68,DY71)</x:f>
      </x:c>
      <x:c r="DZ72" s="113" t="n">
        <x:f>SUM(DZ62,DZ65,DZ68,DZ71)</x:f>
      </x:c>
      <x:c r="EA72" s="113" t="n">
        <x:f>SUM(EA62,EA65,EA68,EA71)</x:f>
      </x:c>
      <x:c r="EB72" s="113" t="n">
        <x:f>SUM(EB62,EB65,EB68,EB71)</x:f>
      </x:c>
      <x:c r="EC72" s="113" t="n">
        <x:f>SUM(EC62,EC65,EC68,EC71)</x:f>
      </x:c>
      <x:c r="ED72" s="113" t="n">
        <x:f>SUM(ED62,ED65,ED68,ED71)</x:f>
      </x:c>
      <x:c r="EE72" s="113" t="n">
        <x:f>SUM(EE62,EE65,EE68,EE71)</x:f>
      </x:c>
      <x:c r="EF72" s="113" t="n">
        <x:f>SUM(EF62,EF65,EF68,EF71)</x:f>
      </x:c>
      <x:c r="EG72" s="113" t="n">
        <x:f>SUM(EG62,EG65,EG68,EG71)</x:f>
      </x:c>
      <x:c r="EH72" s="113" t="n">
        <x:f>SUM(EH62,EH65,EH68,EH71)</x:f>
      </x:c>
      <x:c r="EI72" s="113" t="n">
        <x:f>SUM(EI62,EI65,EI68,EI71)</x:f>
      </x:c>
      <x:c r="EJ72" s="113" t="n">
        <x:f>SUM(EJ62,EJ65,EJ68,EJ71)</x:f>
      </x:c>
      <x:c r="EK72" s="113" t="n">
        <x:f>SUM(EK62,EK65,EK68,EK71)</x:f>
      </x:c>
      <x:c r="EL72" s="113" t="n">
        <x:f>SUM(EL62,EL65,EL68,EL71)</x:f>
      </x:c>
      <x:c r="EM72" s="113" t="n">
        <x:f>SUM(EM62,EM65,EM68,EM71)</x:f>
      </x:c>
      <x:c r="EN72" s="113" t="n">
        <x:f>SUM(EN62,EN65,EN68,EN71)</x:f>
      </x:c>
      <x:c r="EO72" s="113" t="n">
        <x:f>SUM(EO62,EO65,EO68,EO71)</x:f>
      </x:c>
      <x:c r="EP72" s="113" t="n">
        <x:f>SUM(EP62,EP65,EP68,EP71)</x:f>
      </x:c>
      <x:c r="EQ72" s="113" t="n">
        <x:f>SUM(EQ62,EQ65,EQ68,EQ71)</x:f>
      </x:c>
      <x:c r="ER72" s="113" t="n">
        <x:f>SUM(ER62,ER65,ER68,ER71)</x:f>
      </x:c>
      <x:c r="ES72" s="113" t="n">
        <x:f>SUM(ES62,ES65,ES68,ES71)</x:f>
      </x:c>
      <x:c r="ET72" s="113" t="n">
        <x:f>SUM(ET62,ET65,ET68,ET71)</x:f>
      </x:c>
      <x:c r="EU72" s="113" t="n">
        <x:f>SUM(EU62,EU65,EU68,EU71)</x:f>
      </x:c>
      <x:c r="EV72" s="113" t="n">
        <x:f>SUM(EV62,EV65,EV68,EV71)</x:f>
      </x:c>
      <x:c r="EW72" s="113" t="n">
        <x:f>SUM(EW62,EW65,EW68,EW71)</x:f>
      </x:c>
      <x:c r="EX72" s="113" t="n">
        <x:f>SUM(EX62,EX65,EX68,EX71)</x:f>
      </x:c>
      <x:c r="EY72" s="113" t="n">
        <x:f>SUM(EY62,EY65,EY68,EY71)</x:f>
      </x:c>
      <x:c r="EZ72" s="113" t="n">
        <x:f>SUM(EZ62,EZ65,EZ68,EZ71)</x:f>
      </x:c>
      <x:c r="FA72" s="113" t="n">
        <x:f>SUM(FA62,FA65,FA68,FA71)</x:f>
      </x:c>
      <x:c r="FB72" s="113" t="n">
        <x:f>SUM(FB62,FB65,FB68,FB71)</x:f>
      </x:c>
      <x:c r="FC72" s="113" t="n">
        <x:f>SUM(FC62,FC65,FC68,FC71)</x:f>
      </x:c>
      <x:c r="FD72" s="113" t="n">
        <x:f>SUM(FD62,FD65,FD68,FD71)</x:f>
      </x:c>
      <x:c r="FE72" s="113" t="n">
        <x:f>SUM(FE62,FE65,FE68,FE71)</x:f>
      </x:c>
      <x:c r="FF72" s="113" t="n">
        <x:f>SUM(FF62,FF65,FF68,FF71)</x:f>
      </x:c>
      <x:c r="FG72" s="113" t="n">
        <x:f>SUM(FG62,FG65,FG68,FG71)</x:f>
      </x:c>
      <x:c r="FH72" s="113" t="n">
        <x:f>SUM(FH62,FH65,FH68,FH71)</x:f>
      </x:c>
      <x:c r="FI72" s="113" t="n">
        <x:f>SUM(FI62,FI65,FI68,FI71)</x:f>
      </x:c>
      <x:c r="FJ72" s="113" t="n">
        <x:f>SUM(FJ62,FJ65,FJ68,FJ71)</x:f>
      </x:c>
      <x:c r="FK72" s="113" t="n">
        <x:f>SUM(FK62,FK65,FK68,FK71)</x:f>
      </x:c>
      <x:c r="FL72" s="113" t="n">
        <x:f>SUM(FL62,FL65,FL68,FL71)</x:f>
      </x:c>
      <x:c r="FM72" s="113" t="n">
        <x:f>SUM(FM62,FM65,FM68,FM71)</x:f>
      </x:c>
      <x:c r="FN72" s="113" t="n">
        <x:f>SUM(FN62,FN65,FN68,FN71)</x:f>
      </x:c>
      <x:c r="FO72" s="113" t="n">
        <x:f>SUM(FO62,FO65,FO68,FO71)</x:f>
      </x:c>
      <x:c r="FP72" s="113" t="n">
        <x:f>SUM(FP62,FP65,FP68,FP71)</x:f>
      </x:c>
      <x:c r="FQ72" s="113" t="n">
        <x:f>SUM(FQ62,FQ65,FQ68,FQ71)</x:f>
      </x:c>
      <x:c r="FR72" s="113" t="n">
        <x:f>SUM(FR62,FR65,FR68,FR71)</x:f>
      </x:c>
      <x:c r="FS72" s="113" t="n">
        <x:f>SUM(FS62,FS65,FS68,FS71)</x:f>
      </x:c>
      <x:c r="FT72" s="113" t="n">
        <x:f>SUM(FT62,FT65,FT68,FT71)</x:f>
      </x:c>
      <x:c r="FU72" s="113" t="n">
        <x:f>SUM(FU62,FU65,FU68,FU71)</x:f>
      </x:c>
      <x:c r="FV72" s="113" t="n">
        <x:f>SUM(FV62,FV65,FV68,FV71)</x:f>
      </x:c>
      <x:c r="FW72" s="113" t="n">
        <x:f>SUM(FW62,FW65,FW68,FW71)</x:f>
      </x:c>
      <x:c r="FX72" s="113" t="n">
        <x:f>SUM(FX62,FX65,FX68,FX71)</x:f>
      </x:c>
      <x:c r="FY72" s="113" t="n">
        <x:f>SUM(FY62,FY65,FY68,FY71)</x:f>
      </x:c>
      <x:c r="FZ72" s="113" t="n">
        <x:f>SUM(FZ62,FZ65,FZ68,FZ71)</x:f>
      </x:c>
      <x:c r="GA72" s="113" t="n">
        <x:f>SUM(GA62,GA65,GA68,GA71)</x:f>
      </x:c>
    </x:row>
    <x:row r="75" ht="21" customHeight="1">
      <x:c r="A75" s="52" t="str">
        <x:v>ОЧЕРЕДЬ 4</x:v>
      </x:c>
      <x:c r="B75" s="53" t="str">
        <x:v>ОЧЕРЕДЬ 4</x:v>
      </x:c>
      <x:c r="C75" s="53" t="str">
        <x:v>ОЧЕРЕДЬ 4</x:v>
      </x:c>
      <x:c r="D75" s="53" t="str">
        <x:v>ОЧЕРЕДЬ 4</x:v>
      </x:c>
      <x:c r="E75" s="53" t="str">
        <x:v>ОЧЕРЕДЬ 4</x:v>
      </x:c>
      <x:c r="F75" s="53" t="str">
        <x:v>ОЧЕРЕДЬ 4</x:v>
      </x:c>
      <x:c r="G75" s="53" t="str">
        <x:v>ОЧЕРЕДЬ 4</x:v>
      </x:c>
      <x:c r="H75" s="53" t="str">
        <x:v>ОЧЕРЕДЬ 4</x:v>
      </x:c>
      <x:c r="I75" s="53" t="str">
        <x:v>ОЧЕРЕДЬ 4</x:v>
      </x:c>
      <x:c r="J75" s="53" t="str">
        <x:v>ОЧЕРЕДЬ 4</x:v>
      </x:c>
      <x:c r="K75" s="53" t="str">
        <x:v>ОЧЕРЕДЬ 4</x:v>
      </x:c>
      <x:c r="L75" s="53" t="str">
        <x:v>ОЧЕРЕДЬ 4</x:v>
      </x:c>
      <x:c r="M75" s="53" t="str">
        <x:v>ОЧЕРЕДЬ 4</x:v>
      </x:c>
      <x:c r="N75" s="53" t="str">
        <x:v>ОЧЕРЕДЬ 4</x:v>
      </x:c>
      <x:c r="O75" s="53" t="str">
        <x:v>ОЧЕРЕДЬ 4</x:v>
      </x:c>
      <x:c r="P75" s="53" t="str">
        <x:v>ОЧЕРЕДЬ 4</x:v>
      </x:c>
      <x:c r="Q75" s="53" t="str">
        <x:v>ОЧЕРЕДЬ 4</x:v>
      </x:c>
      <x:c r="R75" s="53" t="str">
        <x:v>ОЧЕРЕДЬ 4</x:v>
      </x:c>
      <x:c r="S75" s="53" t="str">
        <x:v>ОЧЕРЕДЬ 4</x:v>
      </x:c>
      <x:c r="T75" s="53" t="str">
        <x:v>ОЧЕРЕДЬ 4</x:v>
      </x:c>
      <x:c r="U75" s="53" t="str">
        <x:v>ОЧЕРЕДЬ 4</x:v>
      </x:c>
      <x:c r="V75" s="53" t="str">
        <x:v>ОЧЕРЕДЬ 4</x:v>
      </x:c>
      <x:c r="W75" s="53" t="str">
        <x:v>ОЧЕРЕДЬ 4</x:v>
      </x:c>
      <x:c r="X75" s="53" t="str">
        <x:v>ОЧЕРЕДЬ 4</x:v>
      </x:c>
      <x:c r="Y75" s="53" t="str">
        <x:v>ОЧЕРЕДЬ 4</x:v>
      </x:c>
      <x:c r="Z75" s="53" t="str">
        <x:v>ОЧЕРЕДЬ 4</x:v>
      </x:c>
      <x:c r="AA75" s="53" t="str">
        <x:v>ОЧЕРЕДЬ 4</x:v>
      </x:c>
      <x:c r="AB75" s="53" t="str">
        <x:v>ОЧЕРЕДЬ 4</x:v>
      </x:c>
      <x:c r="AC75" s="53" t="str">
        <x:v>ОЧЕРЕДЬ 4</x:v>
      </x:c>
      <x:c r="AD75" s="53" t="str">
        <x:v>ОЧЕРЕДЬ 4</x:v>
      </x:c>
      <x:c r="AE75" s="53" t="str">
        <x:v>ОЧЕРЕДЬ 4</x:v>
      </x:c>
      <x:c r="AF75" s="53" t="str">
        <x:v>ОЧЕРЕДЬ 4</x:v>
      </x:c>
      <x:c r="AG75" s="53" t="str">
        <x:v>ОЧЕРЕДЬ 4</x:v>
      </x:c>
      <x:c r="AH75" s="53" t="str">
        <x:v>ОЧЕРЕДЬ 4</x:v>
      </x:c>
      <x:c r="AI75" s="53" t="str">
        <x:v>ОЧЕРЕДЬ 4</x:v>
      </x:c>
      <x:c r="AJ75" s="53" t="str">
        <x:v>ОЧЕРЕДЬ 4</x:v>
      </x:c>
      <x:c r="AK75" s="53" t="str">
        <x:v>ОЧЕРЕДЬ 4</x:v>
      </x:c>
      <x:c r="AL75" s="53" t="str">
        <x:v>ОЧЕРЕДЬ 4</x:v>
      </x:c>
      <x:c r="AM75" s="53" t="str">
        <x:v>ОЧЕРЕДЬ 4</x:v>
      </x:c>
      <x:c r="AN75" s="53" t="str">
        <x:v>ОЧЕРЕДЬ 4</x:v>
      </x:c>
      <x:c r="AO75" s="53" t="str">
        <x:v>ОЧЕРЕДЬ 4</x:v>
      </x:c>
      <x:c r="AP75" s="53" t="str">
        <x:v>ОЧЕРЕДЬ 4</x:v>
      </x:c>
      <x:c r="AQ75" s="53" t="str">
        <x:v>ОЧЕРЕДЬ 4</x:v>
      </x:c>
      <x:c r="AR75" s="53" t="str">
        <x:v>ОЧЕРЕДЬ 4</x:v>
      </x:c>
      <x:c r="AS75" s="53" t="str">
        <x:v>ОЧЕРЕДЬ 4</x:v>
      </x:c>
      <x:c r="AT75" s="53" t="str">
        <x:v>ОЧЕРЕДЬ 4</x:v>
      </x:c>
      <x:c r="AU75" s="53" t="str">
        <x:v>ОЧЕРЕДЬ 4</x:v>
      </x:c>
      <x:c r="AV75" s="53" t="str">
        <x:v>ОЧЕРЕДЬ 4</x:v>
      </x:c>
      <x:c r="AW75" s="53" t="str">
        <x:v>ОЧЕРЕДЬ 4</x:v>
      </x:c>
      <x:c r="AX75" s="53" t="str">
        <x:v>ОЧЕРЕДЬ 4</x:v>
      </x:c>
      <x:c r="AY75" s="53" t="str">
        <x:v>ОЧЕРЕДЬ 4</x:v>
      </x:c>
      <x:c r="AZ75" s="53" t="str">
        <x:v>ОЧЕРЕДЬ 4</x:v>
      </x:c>
      <x:c r="BA75" s="53" t="str">
        <x:v>ОЧЕРЕДЬ 4</x:v>
      </x:c>
      <x:c r="BB75" s="53" t="str">
        <x:v>ОЧЕРЕДЬ 4</x:v>
      </x:c>
      <x:c r="BC75" s="53" t="str">
        <x:v>ОЧЕРЕДЬ 4</x:v>
      </x:c>
      <x:c r="BD75" s="53" t="str">
        <x:v>ОЧЕРЕДЬ 4</x:v>
      </x:c>
      <x:c r="BE75" s="53" t="str">
        <x:v>ОЧЕРЕДЬ 4</x:v>
      </x:c>
      <x:c r="BF75" s="53" t="str">
        <x:v>ОЧЕРЕДЬ 4</x:v>
      </x:c>
      <x:c r="BG75" s="53" t="str">
        <x:v>ОЧЕРЕДЬ 4</x:v>
      </x:c>
      <x:c r="BH75" s="53" t="str">
        <x:v>ОЧЕРЕДЬ 4</x:v>
      </x:c>
      <x:c r="BI75" s="53" t="str">
        <x:v>ОЧЕРЕДЬ 4</x:v>
      </x:c>
      <x:c r="BJ75" s="53" t="str">
        <x:v>ОЧЕРЕДЬ 4</x:v>
      </x:c>
      <x:c r="BK75" s="53" t="str">
        <x:v>ОЧЕРЕДЬ 4</x:v>
      </x:c>
      <x:c r="BL75" s="53" t="str">
        <x:v>ОЧЕРЕДЬ 4</x:v>
      </x:c>
      <x:c r="BM75" s="53" t="str">
        <x:v>ОЧЕРЕДЬ 4</x:v>
      </x:c>
      <x:c r="BN75" s="53" t="str">
        <x:v>ОЧЕРЕДЬ 4</x:v>
      </x:c>
      <x:c r="BO75" s="53" t="str">
        <x:v>ОЧЕРЕДЬ 4</x:v>
      </x:c>
      <x:c r="BP75" s="53" t="str">
        <x:v>ОЧЕРЕДЬ 4</x:v>
      </x:c>
      <x:c r="BQ75" s="53" t="str">
        <x:v>ОЧЕРЕДЬ 4</x:v>
      </x:c>
      <x:c r="BR75" s="53" t="str">
        <x:v>ОЧЕРЕДЬ 4</x:v>
      </x:c>
      <x:c r="BS75" s="53" t="str">
        <x:v>ОЧЕРЕДЬ 4</x:v>
      </x:c>
      <x:c r="BT75" s="53" t="str">
        <x:v>ОЧЕРЕДЬ 4</x:v>
      </x:c>
      <x:c r="BU75" s="53" t="str">
        <x:v>ОЧЕРЕДЬ 4</x:v>
      </x:c>
      <x:c r="BV75" s="53" t="str">
        <x:v>ОЧЕРЕДЬ 4</x:v>
      </x:c>
      <x:c r="BW75" s="53" t="str">
        <x:v>ОЧЕРЕДЬ 4</x:v>
      </x:c>
      <x:c r="BX75" s="53" t="str">
        <x:v>ОЧЕРЕДЬ 4</x:v>
      </x:c>
      <x:c r="BY75" s="53" t="str">
        <x:v>ОЧЕРЕДЬ 4</x:v>
      </x:c>
      <x:c r="BZ75" s="53" t="str">
        <x:v>ОЧЕРЕДЬ 4</x:v>
      </x:c>
      <x:c r="CA75" s="53" t="str">
        <x:v>ОЧЕРЕДЬ 4</x:v>
      </x:c>
      <x:c r="CB75" s="53" t="str">
        <x:v>ОЧЕРЕДЬ 4</x:v>
      </x:c>
      <x:c r="CC75" s="53" t="str">
        <x:v>ОЧЕРЕДЬ 4</x:v>
      </x:c>
      <x:c r="CD75" s="53" t="str">
        <x:v>ОЧЕРЕДЬ 4</x:v>
      </x:c>
      <x:c r="CE75" s="53" t="str">
        <x:v>ОЧЕРЕДЬ 4</x:v>
      </x:c>
      <x:c r="CF75" s="53" t="str">
        <x:v>ОЧЕРЕДЬ 4</x:v>
      </x:c>
      <x:c r="CG75" s="53" t="str">
        <x:v>ОЧЕРЕДЬ 4</x:v>
      </x:c>
      <x:c r="CH75" s="53" t="str">
        <x:v>ОЧЕРЕДЬ 4</x:v>
      </x:c>
      <x:c r="CI75" s="53" t="str">
        <x:v>ОЧЕРЕДЬ 4</x:v>
      </x:c>
      <x:c r="CJ75" s="53" t="str">
        <x:v>ОЧЕРЕДЬ 4</x:v>
      </x:c>
      <x:c r="CK75" s="53" t="str">
        <x:v>ОЧЕРЕДЬ 4</x:v>
      </x:c>
      <x:c r="CL75" s="53" t="str">
        <x:v>ОЧЕРЕДЬ 4</x:v>
      </x:c>
      <x:c r="CM75" s="53" t="str">
        <x:v>ОЧЕРЕДЬ 4</x:v>
      </x:c>
      <x:c r="CN75" s="53" t="str">
        <x:v>ОЧЕРЕДЬ 4</x:v>
      </x:c>
      <x:c r="CO75" s="53" t="str">
        <x:v>ОЧЕРЕДЬ 4</x:v>
      </x:c>
      <x:c r="CP75" s="53" t="str">
        <x:v>ОЧЕРЕДЬ 4</x:v>
      </x:c>
      <x:c r="CQ75" s="53" t="str">
        <x:v>ОЧЕРЕДЬ 4</x:v>
      </x:c>
      <x:c r="CR75" s="53" t="str">
        <x:v>ОЧЕРЕДЬ 4</x:v>
      </x:c>
      <x:c r="CS75" s="53" t="str">
        <x:v>ОЧЕРЕДЬ 4</x:v>
      </x:c>
      <x:c r="CT75" s="53" t="str">
        <x:v>ОЧЕРЕДЬ 4</x:v>
      </x:c>
      <x:c r="CU75" s="53" t="str">
        <x:v>ОЧЕРЕДЬ 4</x:v>
      </x:c>
      <x:c r="CV75" s="53" t="str">
        <x:v>ОЧЕРЕДЬ 4</x:v>
      </x:c>
      <x:c r="CW75" s="53" t="str">
        <x:v>ОЧЕРЕДЬ 4</x:v>
      </x:c>
      <x:c r="CX75" s="53" t="str">
        <x:v>ОЧЕРЕДЬ 4</x:v>
      </x:c>
      <x:c r="CY75" s="53" t="str">
        <x:v>ОЧЕРЕДЬ 4</x:v>
      </x:c>
      <x:c r="CZ75" s="53" t="str">
        <x:v>ОЧЕРЕДЬ 4</x:v>
      </x:c>
      <x:c r="DA75" s="53" t="str">
        <x:v>ОЧЕРЕДЬ 4</x:v>
      </x:c>
      <x:c r="DB75" s="53" t="str">
        <x:v>ОЧЕРЕДЬ 4</x:v>
      </x:c>
      <x:c r="DC75" s="53" t="str">
        <x:v>ОЧЕРЕДЬ 4</x:v>
      </x:c>
      <x:c r="DD75" s="53" t="str">
        <x:v>ОЧЕРЕДЬ 4</x:v>
      </x:c>
      <x:c r="DE75" s="53" t="str">
        <x:v>ОЧЕРЕДЬ 4</x:v>
      </x:c>
      <x:c r="DF75" s="53" t="str">
        <x:v>ОЧЕРЕДЬ 4</x:v>
      </x:c>
      <x:c r="DG75" s="53" t="str">
        <x:v>ОЧЕРЕДЬ 4</x:v>
      </x:c>
      <x:c r="DH75" s="53" t="str">
        <x:v>ОЧЕРЕДЬ 4</x:v>
      </x:c>
      <x:c r="DI75" s="53" t="str">
        <x:v>ОЧЕРЕДЬ 4</x:v>
      </x:c>
      <x:c r="DJ75" s="53" t="str">
        <x:v>ОЧЕРЕДЬ 4</x:v>
      </x:c>
      <x:c r="DK75" s="53" t="str">
        <x:v>ОЧЕРЕДЬ 4</x:v>
      </x:c>
      <x:c r="DL75" s="53" t="str">
        <x:v>ОЧЕРЕДЬ 4</x:v>
      </x:c>
      <x:c r="DM75" s="53" t="str">
        <x:v>ОЧЕРЕДЬ 4</x:v>
      </x:c>
      <x:c r="DN75" s="53" t="str">
        <x:v>ОЧЕРЕДЬ 4</x:v>
      </x:c>
      <x:c r="DO75" s="53" t="str">
        <x:v>ОЧЕРЕДЬ 4</x:v>
      </x:c>
      <x:c r="DP75" s="53" t="str">
        <x:v>ОЧЕРЕДЬ 4</x:v>
      </x:c>
      <x:c r="DQ75" s="53" t="str">
        <x:v>ОЧЕРЕДЬ 4</x:v>
      </x:c>
      <x:c r="DR75" s="53" t="str">
        <x:v>ОЧЕРЕДЬ 4</x:v>
      </x:c>
      <x:c r="DS75" s="54" t="str">
        <x:v>ОЧЕРЕДЬ 4</x:v>
      </x:c>
      <x:c r="DT75" s="54" t="str"/>
      <x:c r="DU75" s="54" t="str"/>
      <x:c r="DV75" s="54" t="str"/>
      <x:c r="DW75" s="54" t="str"/>
      <x:c r="DX75" s="54" t="str"/>
      <x:c r="DY75" s="54" t="str"/>
      <x:c r="DZ75" s="54" t="str"/>
      <x:c r="EA75" s="54" t="str"/>
      <x:c r="EB75" s="54" t="str"/>
      <x:c r="EC75" s="54" t="str"/>
      <x:c r="ED75" s="54" t="str"/>
      <x:c r="EE75" s="54" t="str"/>
      <x:c r="EF75" s="54" t="str"/>
      <x:c r="EG75" s="54" t="str"/>
      <x:c r="EH75" s="54" t="str"/>
      <x:c r="EI75" s="54" t="str"/>
      <x:c r="EJ75" s="54" t="str"/>
      <x:c r="EK75" s="54" t="str"/>
      <x:c r="EL75" s="54" t="str"/>
      <x:c r="EM75" s="54" t="str"/>
      <x:c r="EN75" s="54" t="str"/>
      <x:c r="EO75" s="54" t="str"/>
      <x:c r="EP75" s="54" t="str"/>
      <x:c r="EQ75" s="54" t="str"/>
      <x:c r="ER75" s="54" t="str"/>
      <x:c r="ES75" s="54" t="str"/>
      <x:c r="ET75" s="54" t="str"/>
      <x:c r="EU75" s="54" t="str"/>
      <x:c r="EV75" s="54" t="str"/>
      <x:c r="EW75" s="54" t="str"/>
      <x:c r="EX75" s="54" t="str"/>
      <x:c r="EY75" s="54" t="str"/>
      <x:c r="EZ75" s="54" t="str"/>
      <x:c r="FA75" s="54" t="str"/>
      <x:c r="FB75" s="54" t="str"/>
      <x:c r="FC75" s="54" t="str"/>
      <x:c r="FD75" s="54" t="str"/>
      <x:c r="FE75" s="54" t="str"/>
      <x:c r="FF75" s="54" t="str"/>
      <x:c r="FG75" s="54" t="str"/>
      <x:c r="FH75" s="54" t="str"/>
      <x:c r="FI75" s="54" t="str"/>
      <x:c r="FJ75" s="54" t="str"/>
      <x:c r="FK75" s="54" t="str"/>
      <x:c r="FL75" s="54" t="str"/>
      <x:c r="FM75" s="54" t="str"/>
      <x:c r="FN75" s="54" t="str"/>
      <x:c r="FO75" s="54" t="str"/>
      <x:c r="FP75" s="54" t="str"/>
      <x:c r="FQ75" s="54" t="str"/>
      <x:c r="FR75" s="54" t="str"/>
      <x:c r="FS75" s="54" t="str"/>
      <x:c r="FT75" s="54" t="str"/>
      <x:c r="FU75" s="54" t="str"/>
      <x:c r="FV75" s="54" t="str"/>
      <x:c r="FW75" s="54" t="str"/>
      <x:c r="FX75" s="54" t="str"/>
      <x:c r="FY75" s="54" t="str"/>
      <x:c r="FZ75" s="54" t="str"/>
      <x:c r="GA75" s="54" t="str"/>
    </x:row>
    <x:row r="76">
      <x:c r="A76" t="str">
        <x:v>Старт продаж</x:v>
      </x:c>
      <x:c r="B76" s="106" t="n">
        <x:f>EDATE('Вводные'!$D$91,'Вводные'!$E$91+'Вводные'!$G$91+'Вводные'!$H$9)</x:f>
      </x:c>
      <x:c r="C76" t="str">
        <x:v>дата</x:v>
      </x:c>
    </x:row>
    <x:row r="77">
      <x:c r="A77" t="str">
        <x:v>РВЭ</x:v>
      </x:c>
      <x:c r="B77" s="106" t="n">
        <x:f>EDATE('Вводные'!$D$91,'Вводные'!$E$91+'Вводные'!$F$91+'Вводные'!$H$9)</x:f>
      </x:c>
      <x:c r="C77" t="str">
        <x:v>дата</x:v>
      </x:c>
    </x:row>
    <x:row r="78">
      <x:c r="A78" t="str">
        <x:v>Флаг продаж до РВЭ</x:v>
      </x:c>
      <x:c r="B78"/>
      <x:c r="C78" t="str">
        <x:v>0/1</x:v>
      </x:c>
      <x:c r="D78" t="n">
        <x:f>--AND(D$3&gt;=$B$76,D$3&lt;$B$77,D$3&lt;EDATE($B$76,MAX(1,'Вводные'!$H$91)),'Вводные'!$B$91="Да")</x:f>
      </x:c>
      <x:c r="E78" t="n">
        <x:f>--AND(E$3&gt;=$B$76,E$3&lt;$B$77,E$3&lt;EDATE($B$76,MAX(1,'Вводные'!$H$91)),'Вводные'!$B$91="Да")</x:f>
      </x:c>
      <x:c r="F78" t="n">
        <x:f>--AND(F$3&gt;=$B$76,F$3&lt;$B$77,F$3&lt;EDATE($B$76,MAX(1,'Вводные'!$H$91)),'Вводные'!$B$91="Да")</x:f>
      </x:c>
      <x:c r="G78" t="n">
        <x:f>--AND(G$3&gt;=$B$76,G$3&lt;$B$77,G$3&lt;EDATE($B$76,MAX(1,'Вводные'!$H$91)),'Вводные'!$B$91="Да")</x:f>
      </x:c>
      <x:c r="H78" t="n">
        <x:f>--AND(H$3&gt;=$B$76,H$3&lt;$B$77,H$3&lt;EDATE($B$76,MAX(1,'Вводные'!$H$91)),'Вводные'!$B$91="Да")</x:f>
      </x:c>
      <x:c r="I78" t="n">
        <x:f>--AND(I$3&gt;=$B$76,I$3&lt;$B$77,I$3&lt;EDATE($B$76,MAX(1,'Вводные'!$H$91)),'Вводные'!$B$91="Да")</x:f>
      </x:c>
      <x:c r="J78" t="n">
        <x:f>--AND(J$3&gt;=$B$76,J$3&lt;$B$77,J$3&lt;EDATE($B$76,MAX(1,'Вводные'!$H$91)),'Вводные'!$B$91="Да")</x:f>
      </x:c>
      <x:c r="K78" t="n">
        <x:f>--AND(K$3&gt;=$B$76,K$3&lt;$B$77,K$3&lt;EDATE($B$76,MAX(1,'Вводные'!$H$91)),'Вводные'!$B$91="Да")</x:f>
      </x:c>
      <x:c r="L78" t="n">
        <x:f>--AND(L$3&gt;=$B$76,L$3&lt;$B$77,L$3&lt;EDATE($B$76,MAX(1,'Вводные'!$H$91)),'Вводные'!$B$91="Да")</x:f>
      </x:c>
      <x:c r="M78" t="n">
        <x:f>--AND(M$3&gt;=$B$76,M$3&lt;$B$77,M$3&lt;EDATE($B$76,MAX(1,'Вводные'!$H$91)),'Вводные'!$B$91="Да")</x:f>
      </x:c>
      <x:c r="N78" t="n">
        <x:f>--AND(N$3&gt;=$B$76,N$3&lt;$B$77,N$3&lt;EDATE($B$76,MAX(1,'Вводные'!$H$91)),'Вводные'!$B$91="Да")</x:f>
      </x:c>
      <x:c r="O78" t="n">
        <x:f>--AND(O$3&gt;=$B$76,O$3&lt;$B$77,O$3&lt;EDATE($B$76,MAX(1,'Вводные'!$H$91)),'Вводные'!$B$91="Да")</x:f>
      </x:c>
      <x:c r="P78" t="n">
        <x:f>--AND(P$3&gt;=$B$76,P$3&lt;$B$77,P$3&lt;EDATE($B$76,MAX(1,'Вводные'!$H$91)),'Вводные'!$B$91="Да")</x:f>
      </x:c>
      <x:c r="Q78" t="n">
        <x:f>--AND(Q$3&gt;=$B$76,Q$3&lt;$B$77,Q$3&lt;EDATE($B$76,MAX(1,'Вводные'!$H$91)),'Вводные'!$B$91="Да")</x:f>
      </x:c>
      <x:c r="R78" t="n">
        <x:f>--AND(R$3&gt;=$B$76,R$3&lt;$B$77,R$3&lt;EDATE($B$76,MAX(1,'Вводные'!$H$91)),'Вводные'!$B$91="Да")</x:f>
      </x:c>
      <x:c r="S78" t="n">
        <x:f>--AND(S$3&gt;=$B$76,S$3&lt;$B$77,S$3&lt;EDATE($B$76,MAX(1,'Вводные'!$H$91)),'Вводные'!$B$91="Да")</x:f>
      </x:c>
      <x:c r="T78" t="n">
        <x:f>--AND(T$3&gt;=$B$76,T$3&lt;$B$77,T$3&lt;EDATE($B$76,MAX(1,'Вводные'!$H$91)),'Вводные'!$B$91="Да")</x:f>
      </x:c>
      <x:c r="U78" t="n">
        <x:f>--AND(U$3&gt;=$B$76,U$3&lt;$B$77,U$3&lt;EDATE($B$76,MAX(1,'Вводные'!$H$91)),'Вводные'!$B$91="Да")</x:f>
      </x:c>
      <x:c r="V78" t="n">
        <x:f>--AND(V$3&gt;=$B$76,V$3&lt;$B$77,V$3&lt;EDATE($B$76,MAX(1,'Вводные'!$H$91)),'Вводные'!$B$91="Да")</x:f>
      </x:c>
      <x:c r="W78" t="n">
        <x:f>--AND(W$3&gt;=$B$76,W$3&lt;$B$77,W$3&lt;EDATE($B$76,MAX(1,'Вводные'!$H$91)),'Вводные'!$B$91="Да")</x:f>
      </x:c>
      <x:c r="X78" t="n">
        <x:f>--AND(X$3&gt;=$B$76,X$3&lt;$B$77,X$3&lt;EDATE($B$76,MAX(1,'Вводные'!$H$91)),'Вводные'!$B$91="Да")</x:f>
      </x:c>
      <x:c r="Y78" t="n">
        <x:f>--AND(Y$3&gt;=$B$76,Y$3&lt;$B$77,Y$3&lt;EDATE($B$76,MAX(1,'Вводные'!$H$91)),'Вводные'!$B$91="Да")</x:f>
      </x:c>
      <x:c r="Z78" t="n">
        <x:f>--AND(Z$3&gt;=$B$76,Z$3&lt;$B$77,Z$3&lt;EDATE($B$76,MAX(1,'Вводные'!$H$91)),'Вводные'!$B$91="Да")</x:f>
      </x:c>
      <x:c r="AA78" t="n">
        <x:f>--AND(AA$3&gt;=$B$76,AA$3&lt;$B$77,AA$3&lt;EDATE($B$76,MAX(1,'Вводные'!$H$91)),'Вводные'!$B$91="Да")</x:f>
      </x:c>
      <x:c r="AB78" t="n">
        <x:f>--AND(AB$3&gt;=$B$76,AB$3&lt;$B$77,AB$3&lt;EDATE($B$76,MAX(1,'Вводные'!$H$91)),'Вводные'!$B$91="Да")</x:f>
      </x:c>
      <x:c r="AC78" t="n">
        <x:f>--AND(AC$3&gt;=$B$76,AC$3&lt;$B$77,AC$3&lt;EDATE($B$76,MAX(1,'Вводные'!$H$91)),'Вводные'!$B$91="Да")</x:f>
      </x:c>
      <x:c r="AD78" t="n">
        <x:f>--AND(AD$3&gt;=$B$76,AD$3&lt;$B$77,AD$3&lt;EDATE($B$76,MAX(1,'Вводные'!$H$91)),'Вводные'!$B$91="Да")</x:f>
      </x:c>
      <x:c r="AE78" t="n">
        <x:f>--AND(AE$3&gt;=$B$76,AE$3&lt;$B$77,AE$3&lt;EDATE($B$76,MAX(1,'Вводные'!$H$91)),'Вводные'!$B$91="Да")</x:f>
      </x:c>
      <x:c r="AF78" t="n">
        <x:f>--AND(AF$3&gt;=$B$76,AF$3&lt;$B$77,AF$3&lt;EDATE($B$76,MAX(1,'Вводные'!$H$91)),'Вводные'!$B$91="Да")</x:f>
      </x:c>
      <x:c r="AG78" t="n">
        <x:f>--AND(AG$3&gt;=$B$76,AG$3&lt;$B$77,AG$3&lt;EDATE($B$76,MAX(1,'Вводные'!$H$91)),'Вводные'!$B$91="Да")</x:f>
      </x:c>
      <x:c r="AH78" t="n">
        <x:f>--AND(AH$3&gt;=$B$76,AH$3&lt;$B$77,AH$3&lt;EDATE($B$76,MAX(1,'Вводные'!$H$91)),'Вводные'!$B$91="Да")</x:f>
      </x:c>
      <x:c r="AI78" t="n">
        <x:f>--AND(AI$3&gt;=$B$76,AI$3&lt;$B$77,AI$3&lt;EDATE($B$76,MAX(1,'Вводные'!$H$91)),'Вводные'!$B$91="Да")</x:f>
      </x:c>
      <x:c r="AJ78" t="n">
        <x:f>--AND(AJ$3&gt;=$B$76,AJ$3&lt;$B$77,AJ$3&lt;EDATE($B$76,MAX(1,'Вводные'!$H$91)),'Вводные'!$B$91="Да")</x:f>
      </x:c>
      <x:c r="AK78" t="n">
        <x:f>--AND(AK$3&gt;=$B$76,AK$3&lt;$B$77,AK$3&lt;EDATE($B$76,MAX(1,'Вводные'!$H$91)),'Вводные'!$B$91="Да")</x:f>
      </x:c>
      <x:c r="AL78" t="n">
        <x:f>--AND(AL$3&gt;=$B$76,AL$3&lt;$B$77,AL$3&lt;EDATE($B$76,MAX(1,'Вводные'!$H$91)),'Вводные'!$B$91="Да")</x:f>
      </x:c>
      <x:c r="AM78" t="n">
        <x:f>--AND(AM$3&gt;=$B$76,AM$3&lt;$B$77,AM$3&lt;EDATE($B$76,MAX(1,'Вводные'!$H$91)),'Вводные'!$B$91="Да")</x:f>
      </x:c>
      <x:c r="AN78" t="n">
        <x:f>--AND(AN$3&gt;=$B$76,AN$3&lt;$B$77,AN$3&lt;EDATE($B$76,MAX(1,'Вводные'!$H$91)),'Вводные'!$B$91="Да")</x:f>
      </x:c>
      <x:c r="AO78" t="n">
        <x:f>--AND(AO$3&gt;=$B$76,AO$3&lt;$B$77,AO$3&lt;EDATE($B$76,MAX(1,'Вводные'!$H$91)),'Вводные'!$B$91="Да")</x:f>
      </x:c>
      <x:c r="AP78" t="n">
        <x:f>--AND(AP$3&gt;=$B$76,AP$3&lt;$B$77,AP$3&lt;EDATE($B$76,MAX(1,'Вводные'!$H$91)),'Вводные'!$B$91="Да")</x:f>
      </x:c>
      <x:c r="AQ78" t="n">
        <x:f>--AND(AQ$3&gt;=$B$76,AQ$3&lt;$B$77,AQ$3&lt;EDATE($B$76,MAX(1,'Вводные'!$H$91)),'Вводные'!$B$91="Да")</x:f>
      </x:c>
      <x:c r="AR78" t="n">
        <x:f>--AND(AR$3&gt;=$B$76,AR$3&lt;$B$77,AR$3&lt;EDATE($B$76,MAX(1,'Вводные'!$H$91)),'Вводные'!$B$91="Да")</x:f>
      </x:c>
      <x:c r="AS78" t="n">
        <x:f>--AND(AS$3&gt;=$B$76,AS$3&lt;$B$77,AS$3&lt;EDATE($B$76,MAX(1,'Вводные'!$H$91)),'Вводные'!$B$91="Да")</x:f>
      </x:c>
      <x:c r="AT78" t="n">
        <x:f>--AND(AT$3&gt;=$B$76,AT$3&lt;$B$77,AT$3&lt;EDATE($B$76,MAX(1,'Вводные'!$H$91)),'Вводные'!$B$91="Да")</x:f>
      </x:c>
      <x:c r="AU78" t="n">
        <x:f>--AND(AU$3&gt;=$B$76,AU$3&lt;$B$77,AU$3&lt;EDATE($B$76,MAX(1,'Вводные'!$H$91)),'Вводные'!$B$91="Да")</x:f>
      </x:c>
      <x:c r="AV78" t="n">
        <x:f>--AND(AV$3&gt;=$B$76,AV$3&lt;$B$77,AV$3&lt;EDATE($B$76,MAX(1,'Вводные'!$H$91)),'Вводные'!$B$91="Да")</x:f>
      </x:c>
      <x:c r="AW78" t="n">
        <x:f>--AND(AW$3&gt;=$B$76,AW$3&lt;$B$77,AW$3&lt;EDATE($B$76,MAX(1,'Вводные'!$H$91)),'Вводные'!$B$91="Да")</x:f>
      </x:c>
      <x:c r="AX78" t="n">
        <x:f>--AND(AX$3&gt;=$B$76,AX$3&lt;$B$77,AX$3&lt;EDATE($B$76,MAX(1,'Вводные'!$H$91)),'Вводные'!$B$91="Да")</x:f>
      </x:c>
      <x:c r="AY78" t="n">
        <x:f>--AND(AY$3&gt;=$B$76,AY$3&lt;$B$77,AY$3&lt;EDATE($B$76,MAX(1,'Вводные'!$H$91)),'Вводные'!$B$91="Да")</x:f>
      </x:c>
      <x:c r="AZ78" t="n">
        <x:f>--AND(AZ$3&gt;=$B$76,AZ$3&lt;$B$77,AZ$3&lt;EDATE($B$76,MAX(1,'Вводные'!$H$91)),'Вводные'!$B$91="Да")</x:f>
      </x:c>
      <x:c r="BA78" t="n">
        <x:f>--AND(BA$3&gt;=$B$76,BA$3&lt;$B$77,BA$3&lt;EDATE($B$76,MAX(1,'Вводные'!$H$91)),'Вводные'!$B$91="Да")</x:f>
      </x:c>
      <x:c r="BB78" t="n">
        <x:f>--AND(BB$3&gt;=$B$76,BB$3&lt;$B$77,BB$3&lt;EDATE($B$76,MAX(1,'Вводные'!$H$91)),'Вводные'!$B$91="Да")</x:f>
      </x:c>
      <x:c r="BC78" t="n">
        <x:f>--AND(BC$3&gt;=$B$76,BC$3&lt;$B$77,BC$3&lt;EDATE($B$76,MAX(1,'Вводные'!$H$91)),'Вводные'!$B$91="Да")</x:f>
      </x:c>
      <x:c r="BD78" t="n">
        <x:f>--AND(BD$3&gt;=$B$76,BD$3&lt;$B$77,BD$3&lt;EDATE($B$76,MAX(1,'Вводные'!$H$91)),'Вводные'!$B$91="Да")</x:f>
      </x:c>
      <x:c r="BE78" t="n">
        <x:f>--AND(BE$3&gt;=$B$76,BE$3&lt;$B$77,BE$3&lt;EDATE($B$76,MAX(1,'Вводные'!$H$91)),'Вводные'!$B$91="Да")</x:f>
      </x:c>
      <x:c r="BF78" t="n">
        <x:f>--AND(BF$3&gt;=$B$76,BF$3&lt;$B$77,BF$3&lt;EDATE($B$76,MAX(1,'Вводные'!$H$91)),'Вводные'!$B$91="Да")</x:f>
      </x:c>
      <x:c r="BG78" t="n">
        <x:f>--AND(BG$3&gt;=$B$76,BG$3&lt;$B$77,BG$3&lt;EDATE($B$76,MAX(1,'Вводные'!$H$91)),'Вводные'!$B$91="Да")</x:f>
      </x:c>
      <x:c r="BH78" t="n">
        <x:f>--AND(BH$3&gt;=$B$76,BH$3&lt;$B$77,BH$3&lt;EDATE($B$76,MAX(1,'Вводные'!$H$91)),'Вводные'!$B$91="Да")</x:f>
      </x:c>
      <x:c r="BI78" t="n">
        <x:f>--AND(BI$3&gt;=$B$76,BI$3&lt;$B$77,BI$3&lt;EDATE($B$76,MAX(1,'Вводные'!$H$91)),'Вводные'!$B$91="Да")</x:f>
      </x:c>
      <x:c r="BJ78" t="n">
        <x:f>--AND(BJ$3&gt;=$B$76,BJ$3&lt;$B$77,BJ$3&lt;EDATE($B$76,MAX(1,'Вводные'!$H$91)),'Вводные'!$B$91="Да")</x:f>
      </x:c>
      <x:c r="BK78" t="n">
        <x:f>--AND(BK$3&gt;=$B$76,BK$3&lt;$B$77,BK$3&lt;EDATE($B$76,MAX(1,'Вводные'!$H$91)),'Вводные'!$B$91="Да")</x:f>
      </x:c>
      <x:c r="BL78" t="n">
        <x:f>--AND(BL$3&gt;=$B$76,BL$3&lt;$B$77,BL$3&lt;EDATE($B$76,MAX(1,'Вводные'!$H$91)),'Вводные'!$B$91="Да")</x:f>
      </x:c>
      <x:c r="BM78" t="n">
        <x:f>--AND(BM$3&gt;=$B$76,BM$3&lt;$B$77,BM$3&lt;EDATE($B$76,MAX(1,'Вводные'!$H$91)),'Вводные'!$B$91="Да")</x:f>
      </x:c>
      <x:c r="BN78" t="n">
        <x:f>--AND(BN$3&gt;=$B$76,BN$3&lt;$B$77,BN$3&lt;EDATE($B$76,MAX(1,'Вводные'!$H$91)),'Вводные'!$B$91="Да")</x:f>
      </x:c>
      <x:c r="BO78" t="n">
        <x:f>--AND(BO$3&gt;=$B$76,BO$3&lt;$B$77,BO$3&lt;EDATE($B$76,MAX(1,'Вводные'!$H$91)),'Вводные'!$B$91="Да")</x:f>
      </x:c>
      <x:c r="BP78" t="n">
        <x:f>--AND(BP$3&gt;=$B$76,BP$3&lt;$B$77,BP$3&lt;EDATE($B$76,MAX(1,'Вводные'!$H$91)),'Вводные'!$B$91="Да")</x:f>
      </x:c>
      <x:c r="BQ78" t="n">
        <x:f>--AND(BQ$3&gt;=$B$76,BQ$3&lt;$B$77,BQ$3&lt;EDATE($B$76,MAX(1,'Вводные'!$H$91)),'Вводные'!$B$91="Да")</x:f>
      </x:c>
      <x:c r="BR78" t="n">
        <x:f>--AND(BR$3&gt;=$B$76,BR$3&lt;$B$77,BR$3&lt;EDATE($B$76,MAX(1,'Вводные'!$H$91)),'Вводные'!$B$91="Да")</x:f>
      </x:c>
      <x:c r="BS78" t="n">
        <x:f>--AND(BS$3&gt;=$B$76,BS$3&lt;$B$77,BS$3&lt;EDATE($B$76,MAX(1,'Вводные'!$H$91)),'Вводные'!$B$91="Да")</x:f>
      </x:c>
      <x:c r="BT78" t="n">
        <x:f>--AND(BT$3&gt;=$B$76,BT$3&lt;$B$77,BT$3&lt;EDATE($B$76,MAX(1,'Вводные'!$H$91)),'Вводные'!$B$91="Да")</x:f>
      </x:c>
      <x:c r="BU78" t="n">
        <x:f>--AND(BU$3&gt;=$B$76,BU$3&lt;$B$77,BU$3&lt;EDATE($B$76,MAX(1,'Вводные'!$H$91)),'Вводные'!$B$91="Да")</x:f>
      </x:c>
      <x:c r="BV78" t="n">
        <x:f>--AND(BV$3&gt;=$B$76,BV$3&lt;$B$77,BV$3&lt;EDATE($B$76,MAX(1,'Вводные'!$H$91)),'Вводные'!$B$91="Да")</x:f>
      </x:c>
      <x:c r="BW78" t="n">
        <x:f>--AND(BW$3&gt;=$B$76,BW$3&lt;$B$77,BW$3&lt;EDATE($B$76,MAX(1,'Вводные'!$H$91)),'Вводные'!$B$91="Да")</x:f>
      </x:c>
      <x:c r="BX78" t="n">
        <x:f>--AND(BX$3&gt;=$B$76,BX$3&lt;$B$77,BX$3&lt;EDATE($B$76,MAX(1,'Вводные'!$H$91)),'Вводные'!$B$91="Да")</x:f>
      </x:c>
      <x:c r="BY78" t="n">
        <x:f>--AND(BY$3&gt;=$B$76,BY$3&lt;$B$77,BY$3&lt;EDATE($B$76,MAX(1,'Вводные'!$H$91)),'Вводные'!$B$91="Да")</x:f>
      </x:c>
      <x:c r="BZ78" t="n">
        <x:f>--AND(BZ$3&gt;=$B$76,BZ$3&lt;$B$77,BZ$3&lt;EDATE($B$76,MAX(1,'Вводные'!$H$91)),'Вводные'!$B$91="Да")</x:f>
      </x:c>
      <x:c r="CA78" t="n">
        <x:f>--AND(CA$3&gt;=$B$76,CA$3&lt;$B$77,CA$3&lt;EDATE($B$76,MAX(1,'Вводные'!$H$91)),'Вводные'!$B$91="Да")</x:f>
      </x:c>
      <x:c r="CB78" t="n">
        <x:f>--AND(CB$3&gt;=$B$76,CB$3&lt;$B$77,CB$3&lt;EDATE($B$76,MAX(1,'Вводные'!$H$91)),'Вводные'!$B$91="Да")</x:f>
      </x:c>
      <x:c r="CC78" t="n">
        <x:f>--AND(CC$3&gt;=$B$76,CC$3&lt;$B$77,CC$3&lt;EDATE($B$76,MAX(1,'Вводные'!$H$91)),'Вводные'!$B$91="Да")</x:f>
      </x:c>
      <x:c r="CD78" t="n">
        <x:f>--AND(CD$3&gt;=$B$76,CD$3&lt;$B$77,CD$3&lt;EDATE($B$76,MAX(1,'Вводные'!$H$91)),'Вводные'!$B$91="Да")</x:f>
      </x:c>
      <x:c r="CE78" t="n">
        <x:f>--AND(CE$3&gt;=$B$76,CE$3&lt;$B$77,CE$3&lt;EDATE($B$76,MAX(1,'Вводные'!$H$91)),'Вводные'!$B$91="Да")</x:f>
      </x:c>
      <x:c r="CF78" t="n">
        <x:f>--AND(CF$3&gt;=$B$76,CF$3&lt;$B$77,CF$3&lt;EDATE($B$76,MAX(1,'Вводные'!$H$91)),'Вводные'!$B$91="Да")</x:f>
      </x:c>
      <x:c r="CG78" t="n">
        <x:f>--AND(CG$3&gt;=$B$76,CG$3&lt;$B$77,CG$3&lt;EDATE($B$76,MAX(1,'Вводные'!$H$91)),'Вводные'!$B$91="Да")</x:f>
      </x:c>
      <x:c r="CH78" t="n">
        <x:f>--AND(CH$3&gt;=$B$76,CH$3&lt;$B$77,CH$3&lt;EDATE($B$76,MAX(1,'Вводные'!$H$91)),'Вводные'!$B$91="Да")</x:f>
      </x:c>
      <x:c r="CI78" t="n">
        <x:f>--AND(CI$3&gt;=$B$76,CI$3&lt;$B$77,CI$3&lt;EDATE($B$76,MAX(1,'Вводные'!$H$91)),'Вводные'!$B$91="Да")</x:f>
      </x:c>
      <x:c r="CJ78" t="n">
        <x:f>--AND(CJ$3&gt;=$B$76,CJ$3&lt;$B$77,CJ$3&lt;EDATE($B$76,MAX(1,'Вводные'!$H$91)),'Вводные'!$B$91="Да")</x:f>
      </x:c>
      <x:c r="CK78" t="n">
        <x:f>--AND(CK$3&gt;=$B$76,CK$3&lt;$B$77,CK$3&lt;EDATE($B$76,MAX(1,'Вводные'!$H$91)),'Вводные'!$B$91="Да")</x:f>
      </x:c>
      <x:c r="CL78" t="n">
        <x:f>--AND(CL$3&gt;=$B$76,CL$3&lt;$B$77,CL$3&lt;EDATE($B$76,MAX(1,'Вводные'!$H$91)),'Вводные'!$B$91="Да")</x:f>
      </x:c>
      <x:c r="CM78" t="n">
        <x:f>--AND(CM$3&gt;=$B$76,CM$3&lt;$B$77,CM$3&lt;EDATE($B$76,MAX(1,'Вводные'!$H$91)),'Вводные'!$B$91="Да")</x:f>
      </x:c>
      <x:c r="CN78" t="n">
        <x:f>--AND(CN$3&gt;=$B$76,CN$3&lt;$B$77,CN$3&lt;EDATE($B$76,MAX(1,'Вводные'!$H$91)),'Вводные'!$B$91="Да")</x:f>
      </x:c>
      <x:c r="CO78" t="n">
        <x:f>--AND(CO$3&gt;=$B$76,CO$3&lt;$B$77,CO$3&lt;EDATE($B$76,MAX(1,'Вводные'!$H$91)),'Вводные'!$B$91="Да")</x:f>
      </x:c>
      <x:c r="CP78" t="n">
        <x:f>--AND(CP$3&gt;=$B$76,CP$3&lt;$B$77,CP$3&lt;EDATE($B$76,MAX(1,'Вводные'!$H$91)),'Вводные'!$B$91="Да")</x:f>
      </x:c>
      <x:c r="CQ78" t="n">
        <x:f>--AND(CQ$3&gt;=$B$76,CQ$3&lt;$B$77,CQ$3&lt;EDATE($B$76,MAX(1,'Вводные'!$H$91)),'Вводные'!$B$91="Да")</x:f>
      </x:c>
      <x:c r="CR78" t="n">
        <x:f>--AND(CR$3&gt;=$B$76,CR$3&lt;$B$77,CR$3&lt;EDATE($B$76,MAX(1,'Вводные'!$H$91)),'Вводные'!$B$91="Да")</x:f>
      </x:c>
      <x:c r="CS78" t="n">
        <x:f>--AND(CS$3&gt;=$B$76,CS$3&lt;$B$77,CS$3&lt;EDATE($B$76,MAX(1,'Вводные'!$H$91)),'Вводные'!$B$91="Да")</x:f>
      </x:c>
      <x:c r="CT78" t="n">
        <x:f>--AND(CT$3&gt;=$B$76,CT$3&lt;$B$77,CT$3&lt;EDATE($B$76,MAX(1,'Вводные'!$H$91)),'Вводные'!$B$91="Да")</x:f>
      </x:c>
      <x:c r="CU78" t="n">
        <x:f>--AND(CU$3&gt;=$B$76,CU$3&lt;$B$77,CU$3&lt;EDATE($B$76,MAX(1,'Вводные'!$H$91)),'Вводные'!$B$91="Да")</x:f>
      </x:c>
      <x:c r="CV78" t="n">
        <x:f>--AND(CV$3&gt;=$B$76,CV$3&lt;$B$77,CV$3&lt;EDATE($B$76,MAX(1,'Вводные'!$H$91)),'Вводные'!$B$91="Да")</x:f>
      </x:c>
      <x:c r="CW78" t="n">
        <x:f>--AND(CW$3&gt;=$B$76,CW$3&lt;$B$77,CW$3&lt;EDATE($B$76,MAX(1,'Вводные'!$H$91)),'Вводные'!$B$91="Да")</x:f>
      </x:c>
      <x:c r="CX78" t="n">
        <x:f>--AND(CX$3&gt;=$B$76,CX$3&lt;$B$77,CX$3&lt;EDATE($B$76,MAX(1,'Вводные'!$H$91)),'Вводные'!$B$91="Да")</x:f>
      </x:c>
      <x:c r="CY78" t="n">
        <x:f>--AND(CY$3&gt;=$B$76,CY$3&lt;$B$77,CY$3&lt;EDATE($B$76,MAX(1,'Вводные'!$H$91)),'Вводные'!$B$91="Да")</x:f>
      </x:c>
      <x:c r="CZ78" t="n">
        <x:f>--AND(CZ$3&gt;=$B$76,CZ$3&lt;$B$77,CZ$3&lt;EDATE($B$76,MAX(1,'Вводные'!$H$91)),'Вводные'!$B$91="Да")</x:f>
      </x:c>
      <x:c r="DA78" t="n">
        <x:f>--AND(DA$3&gt;=$B$76,DA$3&lt;$B$77,DA$3&lt;EDATE($B$76,MAX(1,'Вводные'!$H$91)),'Вводные'!$B$91="Да")</x:f>
      </x:c>
      <x:c r="DB78" t="n">
        <x:f>--AND(DB$3&gt;=$B$76,DB$3&lt;$B$77,DB$3&lt;EDATE($B$76,MAX(1,'Вводные'!$H$91)),'Вводные'!$B$91="Да")</x:f>
      </x:c>
      <x:c r="DC78" t="n">
        <x:f>--AND(DC$3&gt;=$B$76,DC$3&lt;$B$77,DC$3&lt;EDATE($B$76,MAX(1,'Вводные'!$H$91)),'Вводные'!$B$91="Да")</x:f>
      </x:c>
      <x:c r="DD78" t="n">
        <x:f>--AND(DD$3&gt;=$B$76,DD$3&lt;$B$77,DD$3&lt;EDATE($B$76,MAX(1,'Вводные'!$H$91)),'Вводные'!$B$91="Да")</x:f>
      </x:c>
      <x:c r="DE78" t="n">
        <x:f>--AND(DE$3&gt;=$B$76,DE$3&lt;$B$77,DE$3&lt;EDATE($B$76,MAX(1,'Вводные'!$H$91)),'Вводные'!$B$91="Да")</x:f>
      </x:c>
      <x:c r="DF78" t="n">
        <x:f>--AND(DF$3&gt;=$B$76,DF$3&lt;$B$77,DF$3&lt;EDATE($B$76,MAX(1,'Вводные'!$H$91)),'Вводные'!$B$91="Да")</x:f>
      </x:c>
      <x:c r="DG78" t="n">
        <x:f>--AND(DG$3&gt;=$B$76,DG$3&lt;$B$77,DG$3&lt;EDATE($B$76,MAX(1,'Вводные'!$H$91)),'Вводные'!$B$91="Да")</x:f>
      </x:c>
      <x:c r="DH78" t="n">
        <x:f>--AND(DH$3&gt;=$B$76,DH$3&lt;$B$77,DH$3&lt;EDATE($B$76,MAX(1,'Вводные'!$H$91)),'Вводные'!$B$91="Да")</x:f>
      </x:c>
      <x:c r="DI78" t="n">
        <x:f>--AND(DI$3&gt;=$B$76,DI$3&lt;$B$77,DI$3&lt;EDATE($B$76,MAX(1,'Вводные'!$H$91)),'Вводные'!$B$91="Да")</x:f>
      </x:c>
      <x:c r="DJ78" t="n">
        <x:f>--AND(DJ$3&gt;=$B$76,DJ$3&lt;$B$77,DJ$3&lt;EDATE($B$76,MAX(1,'Вводные'!$H$91)),'Вводные'!$B$91="Да")</x:f>
      </x:c>
      <x:c r="DK78" t="n">
        <x:f>--AND(DK$3&gt;=$B$76,DK$3&lt;$B$77,DK$3&lt;EDATE($B$76,MAX(1,'Вводные'!$H$91)),'Вводные'!$B$91="Да")</x:f>
      </x:c>
      <x:c r="DL78" t="n">
        <x:f>--AND(DL$3&gt;=$B$76,DL$3&lt;$B$77,DL$3&lt;EDATE($B$76,MAX(1,'Вводные'!$H$91)),'Вводные'!$B$91="Да")</x:f>
      </x:c>
      <x:c r="DM78" t="n">
        <x:f>--AND(DM$3&gt;=$B$76,DM$3&lt;$B$77,DM$3&lt;EDATE($B$76,MAX(1,'Вводные'!$H$91)),'Вводные'!$B$91="Да")</x:f>
      </x:c>
      <x:c r="DN78" t="n">
        <x:f>--AND(DN$3&gt;=$B$76,DN$3&lt;$B$77,DN$3&lt;EDATE($B$76,MAX(1,'Вводные'!$H$91)),'Вводные'!$B$91="Да")</x:f>
      </x:c>
      <x:c r="DO78" t="n">
        <x:f>--AND(DO$3&gt;=$B$76,DO$3&lt;$B$77,DO$3&lt;EDATE($B$76,MAX(1,'Вводные'!$H$91)),'Вводные'!$B$91="Да")</x:f>
      </x:c>
      <x:c r="DP78" t="n">
        <x:f>--AND(DP$3&gt;=$B$76,DP$3&lt;$B$77,DP$3&lt;EDATE($B$76,MAX(1,'Вводные'!$H$91)),'Вводные'!$B$91="Да")</x:f>
      </x:c>
      <x:c r="DQ78" t="n">
        <x:f>--AND(DQ$3&gt;=$B$76,DQ$3&lt;$B$77,DQ$3&lt;EDATE($B$76,MAX(1,'Вводные'!$H$91)),'Вводные'!$B$91="Да")</x:f>
      </x:c>
      <x:c r="DR78" t="n">
        <x:f>--AND(DR$3&gt;=$B$76,DR$3&lt;$B$77,DR$3&lt;EDATE($B$76,MAX(1,'Вводные'!$H$91)),'Вводные'!$B$91="Да")</x:f>
      </x:c>
      <x:c r="DS78" t="n">
        <x:f>--AND(DS$3&gt;=$B$76,DS$3&lt;$B$77,DS$3&lt;EDATE($B$76,MAX(1,'Вводные'!$H$91)),'Вводные'!$B$91="Да")</x:f>
      </x:c>
      <x:c r="DT78" t="n">
        <x:f>--AND(DT$3&gt;=$B$76,DT$3&lt;$B$77,DT$3&lt;EDATE($B$76,MAX(1,'Вводные'!$H$91)),'Вводные'!$B$91="Да")</x:f>
      </x:c>
      <x:c r="DU78" t="n">
        <x:f>--AND(DU$3&gt;=$B$76,DU$3&lt;$B$77,DU$3&lt;EDATE($B$76,MAX(1,'Вводные'!$H$91)),'Вводные'!$B$91="Да")</x:f>
      </x:c>
      <x:c r="DV78" t="n">
        <x:f>--AND(DV$3&gt;=$B$76,DV$3&lt;$B$77,DV$3&lt;EDATE($B$76,MAX(1,'Вводные'!$H$91)),'Вводные'!$B$91="Да")</x:f>
      </x:c>
      <x:c r="DW78" t="n">
        <x:f>--AND(DW$3&gt;=$B$76,DW$3&lt;$B$77,DW$3&lt;EDATE($B$76,MAX(1,'Вводные'!$H$91)),'Вводные'!$B$91="Да")</x:f>
      </x:c>
      <x:c r="DX78" t="n">
        <x:f>--AND(DX$3&gt;=$B$76,DX$3&lt;$B$77,DX$3&lt;EDATE($B$76,MAX(1,'Вводные'!$H$91)),'Вводные'!$B$91="Да")</x:f>
      </x:c>
      <x:c r="DY78" t="n">
        <x:f>--AND(DY$3&gt;=$B$76,DY$3&lt;$B$77,DY$3&lt;EDATE($B$76,MAX(1,'Вводные'!$H$91)),'Вводные'!$B$91="Да")</x:f>
      </x:c>
      <x:c r="DZ78" t="n">
        <x:f>--AND(DZ$3&gt;=$B$76,DZ$3&lt;$B$77,DZ$3&lt;EDATE($B$76,MAX(1,'Вводные'!$H$91)),'Вводные'!$B$91="Да")</x:f>
      </x:c>
      <x:c r="EA78" t="n">
        <x:f>--AND(EA$3&gt;=$B$76,EA$3&lt;$B$77,EA$3&lt;EDATE($B$76,MAX(1,'Вводные'!$H$91)),'Вводные'!$B$91="Да")</x:f>
      </x:c>
      <x:c r="EB78" t="n">
        <x:f>--AND(EB$3&gt;=$B$76,EB$3&lt;$B$77,EB$3&lt;EDATE($B$76,MAX(1,'Вводные'!$H$91)),'Вводные'!$B$91="Да")</x:f>
      </x:c>
      <x:c r="EC78" t="n">
        <x:f>--AND(EC$3&gt;=$B$76,EC$3&lt;$B$77,EC$3&lt;EDATE($B$76,MAX(1,'Вводные'!$H$91)),'Вводные'!$B$91="Да")</x:f>
      </x:c>
      <x:c r="ED78" t="n">
        <x:f>--AND(ED$3&gt;=$B$76,ED$3&lt;$B$77,ED$3&lt;EDATE($B$76,MAX(1,'Вводные'!$H$91)),'Вводные'!$B$91="Да")</x:f>
      </x:c>
      <x:c r="EE78" t="n">
        <x:f>--AND(EE$3&gt;=$B$76,EE$3&lt;$B$77,EE$3&lt;EDATE($B$76,MAX(1,'Вводные'!$H$91)),'Вводные'!$B$91="Да")</x:f>
      </x:c>
      <x:c r="EF78" t="n">
        <x:f>--AND(EF$3&gt;=$B$76,EF$3&lt;$B$77,EF$3&lt;EDATE($B$76,MAX(1,'Вводные'!$H$91)),'Вводные'!$B$91="Да")</x:f>
      </x:c>
      <x:c r="EG78" t="n">
        <x:f>--AND(EG$3&gt;=$B$76,EG$3&lt;$B$77,EG$3&lt;EDATE($B$76,MAX(1,'Вводные'!$H$91)),'Вводные'!$B$91="Да")</x:f>
      </x:c>
      <x:c r="EH78" t="n">
        <x:f>--AND(EH$3&gt;=$B$76,EH$3&lt;$B$77,EH$3&lt;EDATE($B$76,MAX(1,'Вводные'!$H$91)),'Вводные'!$B$91="Да")</x:f>
      </x:c>
      <x:c r="EI78" t="n">
        <x:f>--AND(EI$3&gt;=$B$76,EI$3&lt;$B$77,EI$3&lt;EDATE($B$76,MAX(1,'Вводные'!$H$91)),'Вводные'!$B$91="Да")</x:f>
      </x:c>
      <x:c r="EJ78" t="n">
        <x:f>--AND(EJ$3&gt;=$B$76,EJ$3&lt;$B$77,EJ$3&lt;EDATE($B$76,MAX(1,'Вводные'!$H$91)),'Вводные'!$B$91="Да")</x:f>
      </x:c>
      <x:c r="EK78" t="n">
        <x:f>--AND(EK$3&gt;=$B$76,EK$3&lt;$B$77,EK$3&lt;EDATE($B$76,MAX(1,'Вводные'!$H$91)),'Вводные'!$B$91="Да")</x:f>
      </x:c>
      <x:c r="EL78" t="n">
        <x:f>--AND(EL$3&gt;=$B$76,EL$3&lt;$B$77,EL$3&lt;EDATE($B$76,MAX(1,'Вводные'!$H$91)),'Вводные'!$B$91="Да")</x:f>
      </x:c>
      <x:c r="EM78" t="n">
        <x:f>--AND(EM$3&gt;=$B$76,EM$3&lt;$B$77,EM$3&lt;EDATE($B$76,MAX(1,'Вводные'!$H$91)),'Вводные'!$B$91="Да")</x:f>
      </x:c>
      <x:c r="EN78" t="n">
        <x:f>--AND(EN$3&gt;=$B$76,EN$3&lt;$B$77,EN$3&lt;EDATE($B$76,MAX(1,'Вводные'!$H$91)),'Вводные'!$B$91="Да")</x:f>
      </x:c>
      <x:c r="EO78" t="n">
        <x:f>--AND(EO$3&gt;=$B$76,EO$3&lt;$B$77,EO$3&lt;EDATE($B$76,MAX(1,'Вводные'!$H$91)),'Вводные'!$B$91="Да")</x:f>
      </x:c>
      <x:c r="EP78" t="n">
        <x:f>--AND(EP$3&gt;=$B$76,EP$3&lt;$B$77,EP$3&lt;EDATE($B$76,MAX(1,'Вводные'!$H$91)),'Вводные'!$B$91="Да")</x:f>
      </x:c>
      <x:c r="EQ78" t="n">
        <x:f>--AND(EQ$3&gt;=$B$76,EQ$3&lt;$B$77,EQ$3&lt;EDATE($B$76,MAX(1,'Вводные'!$H$91)),'Вводные'!$B$91="Да")</x:f>
      </x:c>
      <x:c r="ER78" t="n">
        <x:f>--AND(ER$3&gt;=$B$76,ER$3&lt;$B$77,ER$3&lt;EDATE($B$76,MAX(1,'Вводные'!$H$91)),'Вводные'!$B$91="Да")</x:f>
      </x:c>
      <x:c r="ES78" t="n">
        <x:f>--AND(ES$3&gt;=$B$76,ES$3&lt;$B$77,ES$3&lt;EDATE($B$76,MAX(1,'Вводные'!$H$91)),'Вводные'!$B$91="Да")</x:f>
      </x:c>
      <x:c r="ET78" t="n">
        <x:f>--AND(ET$3&gt;=$B$76,ET$3&lt;$B$77,ET$3&lt;EDATE($B$76,MAX(1,'Вводные'!$H$91)),'Вводные'!$B$91="Да")</x:f>
      </x:c>
      <x:c r="EU78" t="n">
        <x:f>--AND(EU$3&gt;=$B$76,EU$3&lt;$B$77,EU$3&lt;EDATE($B$76,MAX(1,'Вводные'!$H$91)),'Вводные'!$B$91="Да")</x:f>
      </x:c>
      <x:c r="EV78" t="n">
        <x:f>--AND(EV$3&gt;=$B$76,EV$3&lt;$B$77,EV$3&lt;EDATE($B$76,MAX(1,'Вводные'!$H$91)),'Вводные'!$B$91="Да")</x:f>
      </x:c>
      <x:c r="EW78" t="n">
        <x:f>--AND(EW$3&gt;=$B$76,EW$3&lt;$B$77,EW$3&lt;EDATE($B$76,MAX(1,'Вводные'!$H$91)),'Вводные'!$B$91="Да")</x:f>
      </x:c>
      <x:c r="EX78" t="n">
        <x:f>--AND(EX$3&gt;=$B$76,EX$3&lt;$B$77,EX$3&lt;EDATE($B$76,MAX(1,'Вводные'!$H$91)),'Вводные'!$B$91="Да")</x:f>
      </x:c>
      <x:c r="EY78" t="n">
        <x:f>--AND(EY$3&gt;=$B$76,EY$3&lt;$B$77,EY$3&lt;EDATE($B$76,MAX(1,'Вводные'!$H$91)),'Вводные'!$B$91="Да")</x:f>
      </x:c>
      <x:c r="EZ78" t="n">
        <x:f>--AND(EZ$3&gt;=$B$76,EZ$3&lt;$B$77,EZ$3&lt;EDATE($B$76,MAX(1,'Вводные'!$H$91)),'Вводные'!$B$91="Да")</x:f>
      </x:c>
      <x:c r="FA78" t="n">
        <x:f>--AND(FA$3&gt;=$B$76,FA$3&lt;$B$77,FA$3&lt;EDATE($B$76,MAX(1,'Вводные'!$H$91)),'Вводные'!$B$91="Да")</x:f>
      </x:c>
      <x:c r="FB78" t="n">
        <x:f>--AND(FB$3&gt;=$B$76,FB$3&lt;$B$77,FB$3&lt;EDATE($B$76,MAX(1,'Вводные'!$H$91)),'Вводные'!$B$91="Да")</x:f>
      </x:c>
      <x:c r="FC78" t="n">
        <x:f>--AND(FC$3&gt;=$B$76,FC$3&lt;$B$77,FC$3&lt;EDATE($B$76,MAX(1,'Вводные'!$H$91)),'Вводные'!$B$91="Да")</x:f>
      </x:c>
      <x:c r="FD78" t="n">
        <x:f>--AND(FD$3&gt;=$B$76,FD$3&lt;$B$77,FD$3&lt;EDATE($B$76,MAX(1,'Вводные'!$H$91)),'Вводные'!$B$91="Да")</x:f>
      </x:c>
      <x:c r="FE78" t="n">
        <x:f>--AND(FE$3&gt;=$B$76,FE$3&lt;$B$77,FE$3&lt;EDATE($B$76,MAX(1,'Вводные'!$H$91)),'Вводные'!$B$91="Да")</x:f>
      </x:c>
      <x:c r="FF78" t="n">
        <x:f>--AND(FF$3&gt;=$B$76,FF$3&lt;$B$77,FF$3&lt;EDATE($B$76,MAX(1,'Вводные'!$H$91)),'Вводные'!$B$91="Да")</x:f>
      </x:c>
      <x:c r="FG78" t="n">
        <x:f>--AND(FG$3&gt;=$B$76,FG$3&lt;$B$77,FG$3&lt;EDATE($B$76,MAX(1,'Вводные'!$H$91)),'Вводные'!$B$91="Да")</x:f>
      </x:c>
      <x:c r="FH78" t="n">
        <x:f>--AND(FH$3&gt;=$B$76,FH$3&lt;$B$77,FH$3&lt;EDATE($B$76,MAX(1,'Вводные'!$H$91)),'Вводные'!$B$91="Да")</x:f>
      </x:c>
      <x:c r="FI78" t="n">
        <x:f>--AND(FI$3&gt;=$B$76,FI$3&lt;$B$77,FI$3&lt;EDATE($B$76,MAX(1,'Вводные'!$H$91)),'Вводные'!$B$91="Да")</x:f>
      </x:c>
      <x:c r="FJ78" t="n">
        <x:f>--AND(FJ$3&gt;=$B$76,FJ$3&lt;$B$77,FJ$3&lt;EDATE($B$76,MAX(1,'Вводные'!$H$91)),'Вводные'!$B$91="Да")</x:f>
      </x:c>
      <x:c r="FK78" t="n">
        <x:f>--AND(FK$3&gt;=$B$76,FK$3&lt;$B$77,FK$3&lt;EDATE($B$76,MAX(1,'Вводные'!$H$91)),'Вводные'!$B$91="Да")</x:f>
      </x:c>
      <x:c r="FL78" t="n">
        <x:f>--AND(FL$3&gt;=$B$76,FL$3&lt;$B$77,FL$3&lt;EDATE($B$76,MAX(1,'Вводные'!$H$91)),'Вводные'!$B$91="Да")</x:f>
      </x:c>
      <x:c r="FM78" t="n">
        <x:f>--AND(FM$3&gt;=$B$76,FM$3&lt;$B$77,FM$3&lt;EDATE($B$76,MAX(1,'Вводные'!$H$91)),'Вводные'!$B$91="Да")</x:f>
      </x:c>
      <x:c r="FN78" t="n">
        <x:f>--AND(FN$3&gt;=$B$76,FN$3&lt;$B$77,FN$3&lt;EDATE($B$76,MAX(1,'Вводные'!$H$91)),'Вводные'!$B$91="Да")</x:f>
      </x:c>
      <x:c r="FO78" t="n">
        <x:f>--AND(FO$3&gt;=$B$76,FO$3&lt;$B$77,FO$3&lt;EDATE($B$76,MAX(1,'Вводные'!$H$91)),'Вводные'!$B$91="Да")</x:f>
      </x:c>
      <x:c r="FP78" t="n">
        <x:f>--AND(FP$3&gt;=$B$76,FP$3&lt;$B$77,FP$3&lt;EDATE($B$76,MAX(1,'Вводные'!$H$91)),'Вводные'!$B$91="Да")</x:f>
      </x:c>
      <x:c r="FQ78" t="n">
        <x:f>--AND(FQ$3&gt;=$B$76,FQ$3&lt;$B$77,FQ$3&lt;EDATE($B$76,MAX(1,'Вводные'!$H$91)),'Вводные'!$B$91="Да")</x:f>
      </x:c>
      <x:c r="FR78" t="n">
        <x:f>--AND(FR$3&gt;=$B$76,FR$3&lt;$B$77,FR$3&lt;EDATE($B$76,MAX(1,'Вводные'!$H$91)),'Вводные'!$B$91="Да")</x:f>
      </x:c>
      <x:c r="FS78" t="n">
        <x:f>--AND(FS$3&gt;=$B$76,FS$3&lt;$B$77,FS$3&lt;EDATE($B$76,MAX(1,'Вводные'!$H$91)),'Вводные'!$B$91="Да")</x:f>
      </x:c>
      <x:c r="FT78" t="n">
        <x:f>--AND(FT$3&gt;=$B$76,FT$3&lt;$B$77,FT$3&lt;EDATE($B$76,MAX(1,'Вводные'!$H$91)),'Вводные'!$B$91="Да")</x:f>
      </x:c>
      <x:c r="FU78" t="n">
        <x:f>--AND(FU$3&gt;=$B$76,FU$3&lt;$B$77,FU$3&lt;EDATE($B$76,MAX(1,'Вводные'!$H$91)),'Вводные'!$B$91="Да")</x:f>
      </x:c>
      <x:c r="FV78" t="n">
        <x:f>--AND(FV$3&gt;=$B$76,FV$3&lt;$B$77,FV$3&lt;EDATE($B$76,MAX(1,'Вводные'!$H$91)),'Вводные'!$B$91="Да")</x:f>
      </x:c>
      <x:c r="FW78" t="n">
        <x:f>--AND(FW$3&gt;=$B$76,FW$3&lt;$B$77,FW$3&lt;EDATE($B$76,MAX(1,'Вводные'!$H$91)),'Вводные'!$B$91="Да")</x:f>
      </x:c>
      <x:c r="FX78" t="n">
        <x:f>--AND(FX$3&gt;=$B$76,FX$3&lt;$B$77,FX$3&lt;EDATE($B$76,MAX(1,'Вводные'!$H$91)),'Вводные'!$B$91="Да")</x:f>
      </x:c>
      <x:c r="FY78" t="n">
        <x:f>--AND(FY$3&gt;=$B$76,FY$3&lt;$B$77,FY$3&lt;EDATE($B$76,MAX(1,'Вводные'!$H$91)),'Вводные'!$B$91="Да")</x:f>
      </x:c>
      <x:c r="FZ78" t="n">
        <x:f>--AND(FZ$3&gt;=$B$76,FZ$3&lt;$B$77,FZ$3&lt;EDATE($B$76,MAX(1,'Вводные'!$H$91)),'Вводные'!$B$91="Да")</x:f>
      </x:c>
      <x:c r="GA78" t="n">
        <x:f>--AND(GA$3&gt;=$B$76,GA$3&lt;$B$77,GA$3&lt;EDATE($B$76,MAX(1,'Вводные'!$H$91)),'Вводные'!$B$91="Да")</x:f>
      </x:c>
    </x:row>
    <x:row r="79">
      <x:c r="A79" t="str">
        <x:v>Вес темпа продаж</x:v>
      </x:c>
      <x:c r="B79"/>
      <x:c r="C79" t="str">
        <x:v>вес</x:v>
      </x:c>
      <x:c r="D79" t="n">
        <x:f>IF(AND(D$3&gt;=$B$76,D$3&lt;EDATE($B$76,MAX(1,'Вводные'!$H$91)),'Вводные'!$B$91="Да"),(1+'Вводные'!$AD$91*'Вводные'!$H$7*MIN(1,(12*(YEAR(D$3)-YEAR($B$76))+MONTH(D$3)-MONTH($B$76))/MAX(1,12*(YEAR($B$77)-YEAR($B$76))+MONTH($B$77)-MONTH($B$76))))*(1+IF(MONTH(D$3)=1,'Вводные'!$B$67,IF(AND(MONTH(D$3)&gt;=5,MONTH(D$3)&lt;=8),'Вводные'!$B$70,0))),0)</x:f>
      </x:c>
      <x:c r="E79" t="n">
        <x:f>IF(AND(E$3&gt;=$B$76,E$3&lt;EDATE($B$76,MAX(1,'Вводные'!$H$91)),'Вводные'!$B$91="Да"),(1+'Вводные'!$AD$91*'Вводные'!$H$7*MIN(1,(12*(YEAR(E$3)-YEAR($B$76))+MONTH(E$3)-MONTH($B$76))/MAX(1,12*(YEAR($B$77)-YEAR($B$76))+MONTH($B$77)-MONTH($B$76))))*(1+IF(MONTH(E$3)=1,'Вводные'!$B$67,IF(AND(MONTH(E$3)&gt;=5,MONTH(E$3)&lt;=8),'Вводные'!$B$70,0))),0)</x:f>
      </x:c>
      <x:c r="F79" t="n">
        <x:f>IF(AND(F$3&gt;=$B$76,F$3&lt;EDATE($B$76,MAX(1,'Вводные'!$H$91)),'Вводные'!$B$91="Да"),(1+'Вводные'!$AD$91*'Вводные'!$H$7*MIN(1,(12*(YEAR(F$3)-YEAR($B$76))+MONTH(F$3)-MONTH($B$76))/MAX(1,12*(YEAR($B$77)-YEAR($B$76))+MONTH($B$77)-MONTH($B$76))))*(1+IF(MONTH(F$3)=1,'Вводные'!$B$67,IF(AND(MONTH(F$3)&gt;=5,MONTH(F$3)&lt;=8),'Вводные'!$B$70,0))),0)</x:f>
      </x:c>
      <x:c r="G79" t="n">
        <x:f>IF(AND(G$3&gt;=$B$76,G$3&lt;EDATE($B$76,MAX(1,'Вводные'!$H$91)),'Вводные'!$B$91="Да"),(1+'Вводные'!$AD$91*'Вводные'!$H$7*MIN(1,(12*(YEAR(G$3)-YEAR($B$76))+MONTH(G$3)-MONTH($B$76))/MAX(1,12*(YEAR($B$77)-YEAR($B$76))+MONTH($B$77)-MONTH($B$76))))*(1+IF(MONTH(G$3)=1,'Вводные'!$B$67,IF(AND(MONTH(G$3)&gt;=5,MONTH(G$3)&lt;=8),'Вводные'!$B$70,0))),0)</x:f>
      </x:c>
      <x:c r="H79" t="n">
        <x:f>IF(AND(H$3&gt;=$B$76,H$3&lt;EDATE($B$76,MAX(1,'Вводные'!$H$91)),'Вводные'!$B$91="Да"),(1+'Вводные'!$AD$91*'Вводные'!$H$7*MIN(1,(12*(YEAR(H$3)-YEAR($B$76))+MONTH(H$3)-MONTH($B$76))/MAX(1,12*(YEAR($B$77)-YEAR($B$76))+MONTH($B$77)-MONTH($B$76))))*(1+IF(MONTH(H$3)=1,'Вводные'!$B$67,IF(AND(MONTH(H$3)&gt;=5,MONTH(H$3)&lt;=8),'Вводные'!$B$70,0))),0)</x:f>
      </x:c>
      <x:c r="I79" t="n">
        <x:f>IF(AND(I$3&gt;=$B$76,I$3&lt;EDATE($B$76,MAX(1,'Вводные'!$H$91)),'Вводные'!$B$91="Да"),(1+'Вводные'!$AD$91*'Вводные'!$H$7*MIN(1,(12*(YEAR(I$3)-YEAR($B$76))+MONTH(I$3)-MONTH($B$76))/MAX(1,12*(YEAR($B$77)-YEAR($B$76))+MONTH($B$77)-MONTH($B$76))))*(1+IF(MONTH(I$3)=1,'Вводные'!$B$67,IF(AND(MONTH(I$3)&gt;=5,MONTH(I$3)&lt;=8),'Вводные'!$B$70,0))),0)</x:f>
      </x:c>
      <x:c r="J79" t="n">
        <x:f>IF(AND(J$3&gt;=$B$76,J$3&lt;EDATE($B$76,MAX(1,'Вводные'!$H$91)),'Вводные'!$B$91="Да"),(1+'Вводные'!$AD$91*'Вводные'!$H$7*MIN(1,(12*(YEAR(J$3)-YEAR($B$76))+MONTH(J$3)-MONTH($B$76))/MAX(1,12*(YEAR($B$77)-YEAR($B$76))+MONTH($B$77)-MONTH($B$76))))*(1+IF(MONTH(J$3)=1,'Вводные'!$B$67,IF(AND(MONTH(J$3)&gt;=5,MONTH(J$3)&lt;=8),'Вводные'!$B$70,0))),0)</x:f>
      </x:c>
      <x:c r="K79" t="n">
        <x:f>IF(AND(K$3&gt;=$B$76,K$3&lt;EDATE($B$76,MAX(1,'Вводные'!$H$91)),'Вводные'!$B$91="Да"),(1+'Вводные'!$AD$91*'Вводные'!$H$7*MIN(1,(12*(YEAR(K$3)-YEAR($B$76))+MONTH(K$3)-MONTH($B$76))/MAX(1,12*(YEAR($B$77)-YEAR($B$76))+MONTH($B$77)-MONTH($B$76))))*(1+IF(MONTH(K$3)=1,'Вводные'!$B$67,IF(AND(MONTH(K$3)&gt;=5,MONTH(K$3)&lt;=8),'Вводные'!$B$70,0))),0)</x:f>
      </x:c>
      <x:c r="L79" t="n">
        <x:f>IF(AND(L$3&gt;=$B$76,L$3&lt;EDATE($B$76,MAX(1,'Вводные'!$H$91)),'Вводные'!$B$91="Да"),(1+'Вводные'!$AD$91*'Вводные'!$H$7*MIN(1,(12*(YEAR(L$3)-YEAR($B$76))+MONTH(L$3)-MONTH($B$76))/MAX(1,12*(YEAR($B$77)-YEAR($B$76))+MONTH($B$77)-MONTH($B$76))))*(1+IF(MONTH(L$3)=1,'Вводные'!$B$67,IF(AND(MONTH(L$3)&gt;=5,MONTH(L$3)&lt;=8),'Вводные'!$B$70,0))),0)</x:f>
      </x:c>
      <x:c r="M79" t="n">
        <x:f>IF(AND(M$3&gt;=$B$76,M$3&lt;EDATE($B$76,MAX(1,'Вводные'!$H$91)),'Вводные'!$B$91="Да"),(1+'Вводные'!$AD$91*'Вводные'!$H$7*MIN(1,(12*(YEAR(M$3)-YEAR($B$76))+MONTH(M$3)-MONTH($B$76))/MAX(1,12*(YEAR($B$77)-YEAR($B$76))+MONTH($B$77)-MONTH($B$76))))*(1+IF(MONTH(M$3)=1,'Вводные'!$B$67,IF(AND(MONTH(M$3)&gt;=5,MONTH(M$3)&lt;=8),'Вводные'!$B$70,0))),0)</x:f>
      </x:c>
      <x:c r="N79" t="n">
        <x:f>IF(AND(N$3&gt;=$B$76,N$3&lt;EDATE($B$76,MAX(1,'Вводные'!$H$91)),'Вводные'!$B$91="Да"),(1+'Вводные'!$AD$91*'Вводные'!$H$7*MIN(1,(12*(YEAR(N$3)-YEAR($B$76))+MONTH(N$3)-MONTH($B$76))/MAX(1,12*(YEAR($B$77)-YEAR($B$76))+MONTH($B$77)-MONTH($B$76))))*(1+IF(MONTH(N$3)=1,'Вводные'!$B$67,IF(AND(MONTH(N$3)&gt;=5,MONTH(N$3)&lt;=8),'Вводные'!$B$70,0))),0)</x:f>
      </x:c>
      <x:c r="O79" t="n">
        <x:f>IF(AND(O$3&gt;=$B$76,O$3&lt;EDATE($B$76,MAX(1,'Вводные'!$H$91)),'Вводные'!$B$91="Да"),(1+'Вводные'!$AD$91*'Вводные'!$H$7*MIN(1,(12*(YEAR(O$3)-YEAR($B$76))+MONTH(O$3)-MONTH($B$76))/MAX(1,12*(YEAR($B$77)-YEAR($B$76))+MONTH($B$77)-MONTH($B$76))))*(1+IF(MONTH(O$3)=1,'Вводные'!$B$67,IF(AND(MONTH(O$3)&gt;=5,MONTH(O$3)&lt;=8),'Вводные'!$B$70,0))),0)</x:f>
      </x:c>
      <x:c r="P79" t="n">
        <x:f>IF(AND(P$3&gt;=$B$76,P$3&lt;EDATE($B$76,MAX(1,'Вводные'!$H$91)),'Вводные'!$B$91="Да"),(1+'Вводные'!$AD$91*'Вводные'!$H$7*MIN(1,(12*(YEAR(P$3)-YEAR($B$76))+MONTH(P$3)-MONTH($B$76))/MAX(1,12*(YEAR($B$77)-YEAR($B$76))+MONTH($B$77)-MONTH($B$76))))*(1+IF(MONTH(P$3)=1,'Вводные'!$B$67,IF(AND(MONTH(P$3)&gt;=5,MONTH(P$3)&lt;=8),'Вводные'!$B$70,0))),0)</x:f>
      </x:c>
      <x:c r="Q79" t="n">
        <x:f>IF(AND(Q$3&gt;=$B$76,Q$3&lt;EDATE($B$76,MAX(1,'Вводные'!$H$91)),'Вводные'!$B$91="Да"),(1+'Вводные'!$AD$91*'Вводные'!$H$7*MIN(1,(12*(YEAR(Q$3)-YEAR($B$76))+MONTH(Q$3)-MONTH($B$76))/MAX(1,12*(YEAR($B$77)-YEAR($B$76))+MONTH($B$77)-MONTH($B$76))))*(1+IF(MONTH(Q$3)=1,'Вводные'!$B$67,IF(AND(MONTH(Q$3)&gt;=5,MONTH(Q$3)&lt;=8),'Вводные'!$B$70,0))),0)</x:f>
      </x:c>
      <x:c r="R79" t="n">
        <x:f>IF(AND(R$3&gt;=$B$76,R$3&lt;EDATE($B$76,MAX(1,'Вводные'!$H$91)),'Вводные'!$B$91="Да"),(1+'Вводные'!$AD$91*'Вводные'!$H$7*MIN(1,(12*(YEAR(R$3)-YEAR($B$76))+MONTH(R$3)-MONTH($B$76))/MAX(1,12*(YEAR($B$77)-YEAR($B$76))+MONTH($B$77)-MONTH($B$76))))*(1+IF(MONTH(R$3)=1,'Вводные'!$B$67,IF(AND(MONTH(R$3)&gt;=5,MONTH(R$3)&lt;=8),'Вводные'!$B$70,0))),0)</x:f>
      </x:c>
      <x:c r="S79" t="n">
        <x:f>IF(AND(S$3&gt;=$B$76,S$3&lt;EDATE($B$76,MAX(1,'Вводные'!$H$91)),'Вводные'!$B$91="Да"),(1+'Вводные'!$AD$91*'Вводные'!$H$7*MIN(1,(12*(YEAR(S$3)-YEAR($B$76))+MONTH(S$3)-MONTH($B$76))/MAX(1,12*(YEAR($B$77)-YEAR($B$76))+MONTH($B$77)-MONTH($B$76))))*(1+IF(MONTH(S$3)=1,'Вводные'!$B$67,IF(AND(MONTH(S$3)&gt;=5,MONTH(S$3)&lt;=8),'Вводные'!$B$70,0))),0)</x:f>
      </x:c>
      <x:c r="T79" t="n">
        <x:f>IF(AND(T$3&gt;=$B$76,T$3&lt;EDATE($B$76,MAX(1,'Вводные'!$H$91)),'Вводные'!$B$91="Да"),(1+'Вводные'!$AD$91*'Вводные'!$H$7*MIN(1,(12*(YEAR(T$3)-YEAR($B$76))+MONTH(T$3)-MONTH($B$76))/MAX(1,12*(YEAR($B$77)-YEAR($B$76))+MONTH($B$77)-MONTH($B$76))))*(1+IF(MONTH(T$3)=1,'Вводные'!$B$67,IF(AND(MONTH(T$3)&gt;=5,MONTH(T$3)&lt;=8),'Вводные'!$B$70,0))),0)</x:f>
      </x:c>
      <x:c r="U79" t="n">
        <x:f>IF(AND(U$3&gt;=$B$76,U$3&lt;EDATE($B$76,MAX(1,'Вводные'!$H$91)),'Вводные'!$B$91="Да"),(1+'Вводные'!$AD$91*'Вводные'!$H$7*MIN(1,(12*(YEAR(U$3)-YEAR($B$76))+MONTH(U$3)-MONTH($B$76))/MAX(1,12*(YEAR($B$77)-YEAR($B$76))+MONTH($B$77)-MONTH($B$76))))*(1+IF(MONTH(U$3)=1,'Вводные'!$B$67,IF(AND(MONTH(U$3)&gt;=5,MONTH(U$3)&lt;=8),'Вводные'!$B$70,0))),0)</x:f>
      </x:c>
      <x:c r="V79" t="n">
        <x:f>IF(AND(V$3&gt;=$B$76,V$3&lt;EDATE($B$76,MAX(1,'Вводные'!$H$91)),'Вводные'!$B$91="Да"),(1+'Вводные'!$AD$91*'Вводные'!$H$7*MIN(1,(12*(YEAR(V$3)-YEAR($B$76))+MONTH(V$3)-MONTH($B$76))/MAX(1,12*(YEAR($B$77)-YEAR($B$76))+MONTH($B$77)-MONTH($B$76))))*(1+IF(MONTH(V$3)=1,'Вводные'!$B$67,IF(AND(MONTH(V$3)&gt;=5,MONTH(V$3)&lt;=8),'Вводные'!$B$70,0))),0)</x:f>
      </x:c>
      <x:c r="W79" t="n">
        <x:f>IF(AND(W$3&gt;=$B$76,W$3&lt;EDATE($B$76,MAX(1,'Вводные'!$H$91)),'Вводные'!$B$91="Да"),(1+'Вводные'!$AD$91*'Вводные'!$H$7*MIN(1,(12*(YEAR(W$3)-YEAR($B$76))+MONTH(W$3)-MONTH($B$76))/MAX(1,12*(YEAR($B$77)-YEAR($B$76))+MONTH($B$77)-MONTH($B$76))))*(1+IF(MONTH(W$3)=1,'Вводные'!$B$67,IF(AND(MONTH(W$3)&gt;=5,MONTH(W$3)&lt;=8),'Вводные'!$B$70,0))),0)</x:f>
      </x:c>
      <x:c r="X79" t="n">
        <x:f>IF(AND(X$3&gt;=$B$76,X$3&lt;EDATE($B$76,MAX(1,'Вводные'!$H$91)),'Вводные'!$B$91="Да"),(1+'Вводные'!$AD$91*'Вводные'!$H$7*MIN(1,(12*(YEAR(X$3)-YEAR($B$76))+MONTH(X$3)-MONTH($B$76))/MAX(1,12*(YEAR($B$77)-YEAR($B$76))+MONTH($B$77)-MONTH($B$76))))*(1+IF(MONTH(X$3)=1,'Вводные'!$B$67,IF(AND(MONTH(X$3)&gt;=5,MONTH(X$3)&lt;=8),'Вводные'!$B$70,0))),0)</x:f>
      </x:c>
      <x:c r="Y79" t="n">
        <x:f>IF(AND(Y$3&gt;=$B$76,Y$3&lt;EDATE($B$76,MAX(1,'Вводные'!$H$91)),'Вводные'!$B$91="Да"),(1+'Вводные'!$AD$91*'Вводные'!$H$7*MIN(1,(12*(YEAR(Y$3)-YEAR($B$76))+MONTH(Y$3)-MONTH($B$76))/MAX(1,12*(YEAR($B$77)-YEAR($B$76))+MONTH($B$77)-MONTH($B$76))))*(1+IF(MONTH(Y$3)=1,'Вводные'!$B$67,IF(AND(MONTH(Y$3)&gt;=5,MONTH(Y$3)&lt;=8),'Вводные'!$B$70,0))),0)</x:f>
      </x:c>
      <x:c r="Z79" t="n">
        <x:f>IF(AND(Z$3&gt;=$B$76,Z$3&lt;EDATE($B$76,MAX(1,'Вводные'!$H$91)),'Вводные'!$B$91="Да"),(1+'Вводные'!$AD$91*'Вводные'!$H$7*MIN(1,(12*(YEAR(Z$3)-YEAR($B$76))+MONTH(Z$3)-MONTH($B$76))/MAX(1,12*(YEAR($B$77)-YEAR($B$76))+MONTH($B$77)-MONTH($B$76))))*(1+IF(MONTH(Z$3)=1,'Вводные'!$B$67,IF(AND(MONTH(Z$3)&gt;=5,MONTH(Z$3)&lt;=8),'Вводные'!$B$70,0))),0)</x:f>
      </x:c>
      <x:c r="AA79" t="n">
        <x:f>IF(AND(AA$3&gt;=$B$76,AA$3&lt;EDATE($B$76,MAX(1,'Вводные'!$H$91)),'Вводные'!$B$91="Да"),(1+'Вводные'!$AD$91*'Вводные'!$H$7*MIN(1,(12*(YEAR(AA$3)-YEAR($B$76))+MONTH(AA$3)-MONTH($B$76))/MAX(1,12*(YEAR($B$77)-YEAR($B$76))+MONTH($B$77)-MONTH($B$76))))*(1+IF(MONTH(AA$3)=1,'Вводные'!$B$67,IF(AND(MONTH(AA$3)&gt;=5,MONTH(AA$3)&lt;=8),'Вводные'!$B$70,0))),0)</x:f>
      </x:c>
      <x:c r="AB79" t="n">
        <x:f>IF(AND(AB$3&gt;=$B$76,AB$3&lt;EDATE($B$76,MAX(1,'Вводные'!$H$91)),'Вводные'!$B$91="Да"),(1+'Вводные'!$AD$91*'Вводные'!$H$7*MIN(1,(12*(YEAR(AB$3)-YEAR($B$76))+MONTH(AB$3)-MONTH($B$76))/MAX(1,12*(YEAR($B$77)-YEAR($B$76))+MONTH($B$77)-MONTH($B$76))))*(1+IF(MONTH(AB$3)=1,'Вводные'!$B$67,IF(AND(MONTH(AB$3)&gt;=5,MONTH(AB$3)&lt;=8),'Вводные'!$B$70,0))),0)</x:f>
      </x:c>
      <x:c r="AC79" t="n">
        <x:f>IF(AND(AC$3&gt;=$B$76,AC$3&lt;EDATE($B$76,MAX(1,'Вводные'!$H$91)),'Вводные'!$B$91="Да"),(1+'Вводные'!$AD$91*'Вводные'!$H$7*MIN(1,(12*(YEAR(AC$3)-YEAR($B$76))+MONTH(AC$3)-MONTH($B$76))/MAX(1,12*(YEAR($B$77)-YEAR($B$76))+MONTH($B$77)-MONTH($B$76))))*(1+IF(MONTH(AC$3)=1,'Вводные'!$B$67,IF(AND(MONTH(AC$3)&gt;=5,MONTH(AC$3)&lt;=8),'Вводные'!$B$70,0))),0)</x:f>
      </x:c>
      <x:c r="AD79" t="n">
        <x:f>IF(AND(AD$3&gt;=$B$76,AD$3&lt;EDATE($B$76,MAX(1,'Вводные'!$H$91)),'Вводные'!$B$91="Да"),(1+'Вводные'!$AD$91*'Вводные'!$H$7*MIN(1,(12*(YEAR(AD$3)-YEAR($B$76))+MONTH(AD$3)-MONTH($B$76))/MAX(1,12*(YEAR($B$77)-YEAR($B$76))+MONTH($B$77)-MONTH($B$76))))*(1+IF(MONTH(AD$3)=1,'Вводные'!$B$67,IF(AND(MONTH(AD$3)&gt;=5,MONTH(AD$3)&lt;=8),'Вводные'!$B$70,0))),0)</x:f>
      </x:c>
      <x:c r="AE79" t="n">
        <x:f>IF(AND(AE$3&gt;=$B$76,AE$3&lt;EDATE($B$76,MAX(1,'Вводные'!$H$91)),'Вводные'!$B$91="Да"),(1+'Вводные'!$AD$91*'Вводные'!$H$7*MIN(1,(12*(YEAR(AE$3)-YEAR($B$76))+MONTH(AE$3)-MONTH($B$76))/MAX(1,12*(YEAR($B$77)-YEAR($B$76))+MONTH($B$77)-MONTH($B$76))))*(1+IF(MONTH(AE$3)=1,'Вводные'!$B$67,IF(AND(MONTH(AE$3)&gt;=5,MONTH(AE$3)&lt;=8),'Вводные'!$B$70,0))),0)</x:f>
      </x:c>
      <x:c r="AF79" t="n">
        <x:f>IF(AND(AF$3&gt;=$B$76,AF$3&lt;EDATE($B$76,MAX(1,'Вводные'!$H$91)),'Вводные'!$B$91="Да"),(1+'Вводные'!$AD$91*'Вводные'!$H$7*MIN(1,(12*(YEAR(AF$3)-YEAR($B$76))+MONTH(AF$3)-MONTH($B$76))/MAX(1,12*(YEAR($B$77)-YEAR($B$76))+MONTH($B$77)-MONTH($B$76))))*(1+IF(MONTH(AF$3)=1,'Вводные'!$B$67,IF(AND(MONTH(AF$3)&gt;=5,MONTH(AF$3)&lt;=8),'Вводные'!$B$70,0))),0)</x:f>
      </x:c>
      <x:c r="AG79" t="n">
        <x:f>IF(AND(AG$3&gt;=$B$76,AG$3&lt;EDATE($B$76,MAX(1,'Вводные'!$H$91)),'Вводные'!$B$91="Да"),(1+'Вводные'!$AD$91*'Вводные'!$H$7*MIN(1,(12*(YEAR(AG$3)-YEAR($B$76))+MONTH(AG$3)-MONTH($B$76))/MAX(1,12*(YEAR($B$77)-YEAR($B$76))+MONTH($B$77)-MONTH($B$76))))*(1+IF(MONTH(AG$3)=1,'Вводные'!$B$67,IF(AND(MONTH(AG$3)&gt;=5,MONTH(AG$3)&lt;=8),'Вводные'!$B$70,0))),0)</x:f>
      </x:c>
      <x:c r="AH79" t="n">
        <x:f>IF(AND(AH$3&gt;=$B$76,AH$3&lt;EDATE($B$76,MAX(1,'Вводные'!$H$91)),'Вводные'!$B$91="Да"),(1+'Вводные'!$AD$91*'Вводные'!$H$7*MIN(1,(12*(YEAR(AH$3)-YEAR($B$76))+MONTH(AH$3)-MONTH($B$76))/MAX(1,12*(YEAR($B$77)-YEAR($B$76))+MONTH($B$77)-MONTH($B$76))))*(1+IF(MONTH(AH$3)=1,'Вводные'!$B$67,IF(AND(MONTH(AH$3)&gt;=5,MONTH(AH$3)&lt;=8),'Вводные'!$B$70,0))),0)</x:f>
      </x:c>
      <x:c r="AI79" t="n">
        <x:f>IF(AND(AI$3&gt;=$B$76,AI$3&lt;EDATE($B$76,MAX(1,'Вводные'!$H$91)),'Вводные'!$B$91="Да"),(1+'Вводные'!$AD$91*'Вводные'!$H$7*MIN(1,(12*(YEAR(AI$3)-YEAR($B$76))+MONTH(AI$3)-MONTH($B$76))/MAX(1,12*(YEAR($B$77)-YEAR($B$76))+MONTH($B$77)-MONTH($B$76))))*(1+IF(MONTH(AI$3)=1,'Вводные'!$B$67,IF(AND(MONTH(AI$3)&gt;=5,MONTH(AI$3)&lt;=8),'Вводные'!$B$70,0))),0)</x:f>
      </x:c>
      <x:c r="AJ79" t="n">
        <x:f>IF(AND(AJ$3&gt;=$B$76,AJ$3&lt;EDATE($B$76,MAX(1,'Вводные'!$H$91)),'Вводные'!$B$91="Да"),(1+'Вводные'!$AD$91*'Вводные'!$H$7*MIN(1,(12*(YEAR(AJ$3)-YEAR($B$76))+MONTH(AJ$3)-MONTH($B$76))/MAX(1,12*(YEAR($B$77)-YEAR($B$76))+MONTH($B$77)-MONTH($B$76))))*(1+IF(MONTH(AJ$3)=1,'Вводные'!$B$67,IF(AND(MONTH(AJ$3)&gt;=5,MONTH(AJ$3)&lt;=8),'Вводные'!$B$70,0))),0)</x:f>
      </x:c>
      <x:c r="AK79" t="n">
        <x:f>IF(AND(AK$3&gt;=$B$76,AK$3&lt;EDATE($B$76,MAX(1,'Вводные'!$H$91)),'Вводные'!$B$91="Да"),(1+'Вводные'!$AD$91*'Вводные'!$H$7*MIN(1,(12*(YEAR(AK$3)-YEAR($B$76))+MONTH(AK$3)-MONTH($B$76))/MAX(1,12*(YEAR($B$77)-YEAR($B$76))+MONTH($B$77)-MONTH($B$76))))*(1+IF(MONTH(AK$3)=1,'Вводные'!$B$67,IF(AND(MONTH(AK$3)&gt;=5,MONTH(AK$3)&lt;=8),'Вводные'!$B$70,0))),0)</x:f>
      </x:c>
      <x:c r="AL79" t="n">
        <x:f>IF(AND(AL$3&gt;=$B$76,AL$3&lt;EDATE($B$76,MAX(1,'Вводные'!$H$91)),'Вводные'!$B$91="Да"),(1+'Вводные'!$AD$91*'Вводные'!$H$7*MIN(1,(12*(YEAR(AL$3)-YEAR($B$76))+MONTH(AL$3)-MONTH($B$76))/MAX(1,12*(YEAR($B$77)-YEAR($B$76))+MONTH($B$77)-MONTH($B$76))))*(1+IF(MONTH(AL$3)=1,'Вводные'!$B$67,IF(AND(MONTH(AL$3)&gt;=5,MONTH(AL$3)&lt;=8),'Вводные'!$B$70,0))),0)</x:f>
      </x:c>
      <x:c r="AM79" t="n">
        <x:f>IF(AND(AM$3&gt;=$B$76,AM$3&lt;EDATE($B$76,MAX(1,'Вводные'!$H$91)),'Вводные'!$B$91="Да"),(1+'Вводные'!$AD$91*'Вводные'!$H$7*MIN(1,(12*(YEAR(AM$3)-YEAR($B$76))+MONTH(AM$3)-MONTH($B$76))/MAX(1,12*(YEAR($B$77)-YEAR($B$76))+MONTH($B$77)-MONTH($B$76))))*(1+IF(MONTH(AM$3)=1,'Вводные'!$B$67,IF(AND(MONTH(AM$3)&gt;=5,MONTH(AM$3)&lt;=8),'Вводные'!$B$70,0))),0)</x:f>
      </x:c>
      <x:c r="AN79" t="n">
        <x:f>IF(AND(AN$3&gt;=$B$76,AN$3&lt;EDATE($B$76,MAX(1,'Вводные'!$H$91)),'Вводные'!$B$91="Да"),(1+'Вводные'!$AD$91*'Вводные'!$H$7*MIN(1,(12*(YEAR(AN$3)-YEAR($B$76))+MONTH(AN$3)-MONTH($B$76))/MAX(1,12*(YEAR($B$77)-YEAR($B$76))+MONTH($B$77)-MONTH($B$76))))*(1+IF(MONTH(AN$3)=1,'Вводные'!$B$67,IF(AND(MONTH(AN$3)&gt;=5,MONTH(AN$3)&lt;=8),'Вводные'!$B$70,0))),0)</x:f>
      </x:c>
      <x:c r="AO79" t="n">
        <x:f>IF(AND(AO$3&gt;=$B$76,AO$3&lt;EDATE($B$76,MAX(1,'Вводные'!$H$91)),'Вводные'!$B$91="Да"),(1+'Вводные'!$AD$91*'Вводные'!$H$7*MIN(1,(12*(YEAR(AO$3)-YEAR($B$76))+MONTH(AO$3)-MONTH($B$76))/MAX(1,12*(YEAR($B$77)-YEAR($B$76))+MONTH($B$77)-MONTH($B$76))))*(1+IF(MONTH(AO$3)=1,'Вводные'!$B$67,IF(AND(MONTH(AO$3)&gt;=5,MONTH(AO$3)&lt;=8),'Вводные'!$B$70,0))),0)</x:f>
      </x:c>
      <x:c r="AP79" t="n">
        <x:f>IF(AND(AP$3&gt;=$B$76,AP$3&lt;EDATE($B$76,MAX(1,'Вводные'!$H$91)),'Вводные'!$B$91="Да"),(1+'Вводные'!$AD$91*'Вводные'!$H$7*MIN(1,(12*(YEAR(AP$3)-YEAR($B$76))+MONTH(AP$3)-MONTH($B$76))/MAX(1,12*(YEAR($B$77)-YEAR($B$76))+MONTH($B$77)-MONTH($B$76))))*(1+IF(MONTH(AP$3)=1,'Вводные'!$B$67,IF(AND(MONTH(AP$3)&gt;=5,MONTH(AP$3)&lt;=8),'Вводные'!$B$70,0))),0)</x:f>
      </x:c>
      <x:c r="AQ79" t="n">
        <x:f>IF(AND(AQ$3&gt;=$B$76,AQ$3&lt;EDATE($B$76,MAX(1,'Вводные'!$H$91)),'Вводные'!$B$91="Да"),(1+'Вводные'!$AD$91*'Вводные'!$H$7*MIN(1,(12*(YEAR(AQ$3)-YEAR($B$76))+MONTH(AQ$3)-MONTH($B$76))/MAX(1,12*(YEAR($B$77)-YEAR($B$76))+MONTH($B$77)-MONTH($B$76))))*(1+IF(MONTH(AQ$3)=1,'Вводные'!$B$67,IF(AND(MONTH(AQ$3)&gt;=5,MONTH(AQ$3)&lt;=8),'Вводные'!$B$70,0))),0)</x:f>
      </x:c>
      <x:c r="AR79" t="n">
        <x:f>IF(AND(AR$3&gt;=$B$76,AR$3&lt;EDATE($B$76,MAX(1,'Вводные'!$H$91)),'Вводные'!$B$91="Да"),(1+'Вводные'!$AD$91*'Вводные'!$H$7*MIN(1,(12*(YEAR(AR$3)-YEAR($B$76))+MONTH(AR$3)-MONTH($B$76))/MAX(1,12*(YEAR($B$77)-YEAR($B$76))+MONTH($B$77)-MONTH($B$76))))*(1+IF(MONTH(AR$3)=1,'Вводные'!$B$67,IF(AND(MONTH(AR$3)&gt;=5,MONTH(AR$3)&lt;=8),'Вводные'!$B$70,0))),0)</x:f>
      </x:c>
      <x:c r="AS79" t="n">
        <x:f>IF(AND(AS$3&gt;=$B$76,AS$3&lt;EDATE($B$76,MAX(1,'Вводные'!$H$91)),'Вводные'!$B$91="Да"),(1+'Вводные'!$AD$91*'Вводные'!$H$7*MIN(1,(12*(YEAR(AS$3)-YEAR($B$76))+MONTH(AS$3)-MONTH($B$76))/MAX(1,12*(YEAR($B$77)-YEAR($B$76))+MONTH($B$77)-MONTH($B$76))))*(1+IF(MONTH(AS$3)=1,'Вводные'!$B$67,IF(AND(MONTH(AS$3)&gt;=5,MONTH(AS$3)&lt;=8),'Вводные'!$B$70,0))),0)</x:f>
      </x:c>
      <x:c r="AT79" t="n">
        <x:f>IF(AND(AT$3&gt;=$B$76,AT$3&lt;EDATE($B$76,MAX(1,'Вводные'!$H$91)),'Вводные'!$B$91="Да"),(1+'Вводные'!$AD$91*'Вводные'!$H$7*MIN(1,(12*(YEAR(AT$3)-YEAR($B$76))+MONTH(AT$3)-MONTH($B$76))/MAX(1,12*(YEAR($B$77)-YEAR($B$76))+MONTH($B$77)-MONTH($B$76))))*(1+IF(MONTH(AT$3)=1,'Вводные'!$B$67,IF(AND(MONTH(AT$3)&gt;=5,MONTH(AT$3)&lt;=8),'Вводные'!$B$70,0))),0)</x:f>
      </x:c>
      <x:c r="AU79" t="n">
        <x:f>IF(AND(AU$3&gt;=$B$76,AU$3&lt;EDATE($B$76,MAX(1,'Вводные'!$H$91)),'Вводные'!$B$91="Да"),(1+'Вводные'!$AD$91*'Вводные'!$H$7*MIN(1,(12*(YEAR(AU$3)-YEAR($B$76))+MONTH(AU$3)-MONTH($B$76))/MAX(1,12*(YEAR($B$77)-YEAR($B$76))+MONTH($B$77)-MONTH($B$76))))*(1+IF(MONTH(AU$3)=1,'Вводные'!$B$67,IF(AND(MONTH(AU$3)&gt;=5,MONTH(AU$3)&lt;=8),'Вводные'!$B$70,0))),0)</x:f>
      </x:c>
      <x:c r="AV79" t="n">
        <x:f>IF(AND(AV$3&gt;=$B$76,AV$3&lt;EDATE($B$76,MAX(1,'Вводные'!$H$91)),'Вводные'!$B$91="Да"),(1+'Вводные'!$AD$91*'Вводные'!$H$7*MIN(1,(12*(YEAR(AV$3)-YEAR($B$76))+MONTH(AV$3)-MONTH($B$76))/MAX(1,12*(YEAR($B$77)-YEAR($B$76))+MONTH($B$77)-MONTH($B$76))))*(1+IF(MONTH(AV$3)=1,'Вводные'!$B$67,IF(AND(MONTH(AV$3)&gt;=5,MONTH(AV$3)&lt;=8),'Вводные'!$B$70,0))),0)</x:f>
      </x:c>
      <x:c r="AW79" t="n">
        <x:f>IF(AND(AW$3&gt;=$B$76,AW$3&lt;EDATE($B$76,MAX(1,'Вводные'!$H$91)),'Вводные'!$B$91="Да"),(1+'Вводные'!$AD$91*'Вводные'!$H$7*MIN(1,(12*(YEAR(AW$3)-YEAR($B$76))+MONTH(AW$3)-MONTH($B$76))/MAX(1,12*(YEAR($B$77)-YEAR($B$76))+MONTH($B$77)-MONTH($B$76))))*(1+IF(MONTH(AW$3)=1,'Вводные'!$B$67,IF(AND(MONTH(AW$3)&gt;=5,MONTH(AW$3)&lt;=8),'Вводные'!$B$70,0))),0)</x:f>
      </x:c>
      <x:c r="AX79" t="n">
        <x:f>IF(AND(AX$3&gt;=$B$76,AX$3&lt;EDATE($B$76,MAX(1,'Вводные'!$H$91)),'Вводные'!$B$91="Да"),(1+'Вводные'!$AD$91*'Вводные'!$H$7*MIN(1,(12*(YEAR(AX$3)-YEAR($B$76))+MONTH(AX$3)-MONTH($B$76))/MAX(1,12*(YEAR($B$77)-YEAR($B$76))+MONTH($B$77)-MONTH($B$76))))*(1+IF(MONTH(AX$3)=1,'Вводные'!$B$67,IF(AND(MONTH(AX$3)&gt;=5,MONTH(AX$3)&lt;=8),'Вводные'!$B$70,0))),0)</x:f>
      </x:c>
      <x:c r="AY79" t="n">
        <x:f>IF(AND(AY$3&gt;=$B$76,AY$3&lt;EDATE($B$76,MAX(1,'Вводные'!$H$91)),'Вводные'!$B$91="Да"),(1+'Вводные'!$AD$91*'Вводные'!$H$7*MIN(1,(12*(YEAR(AY$3)-YEAR($B$76))+MONTH(AY$3)-MONTH($B$76))/MAX(1,12*(YEAR($B$77)-YEAR($B$76))+MONTH($B$77)-MONTH($B$76))))*(1+IF(MONTH(AY$3)=1,'Вводные'!$B$67,IF(AND(MONTH(AY$3)&gt;=5,MONTH(AY$3)&lt;=8),'Вводные'!$B$70,0))),0)</x:f>
      </x:c>
      <x:c r="AZ79" t="n">
        <x:f>IF(AND(AZ$3&gt;=$B$76,AZ$3&lt;EDATE($B$76,MAX(1,'Вводные'!$H$91)),'Вводные'!$B$91="Да"),(1+'Вводные'!$AD$91*'Вводные'!$H$7*MIN(1,(12*(YEAR(AZ$3)-YEAR($B$76))+MONTH(AZ$3)-MONTH($B$76))/MAX(1,12*(YEAR($B$77)-YEAR($B$76))+MONTH($B$77)-MONTH($B$76))))*(1+IF(MONTH(AZ$3)=1,'Вводные'!$B$67,IF(AND(MONTH(AZ$3)&gt;=5,MONTH(AZ$3)&lt;=8),'Вводные'!$B$70,0))),0)</x:f>
      </x:c>
      <x:c r="BA79" t="n">
        <x:f>IF(AND(BA$3&gt;=$B$76,BA$3&lt;EDATE($B$76,MAX(1,'Вводные'!$H$91)),'Вводные'!$B$91="Да"),(1+'Вводные'!$AD$91*'Вводные'!$H$7*MIN(1,(12*(YEAR(BA$3)-YEAR($B$76))+MONTH(BA$3)-MONTH($B$76))/MAX(1,12*(YEAR($B$77)-YEAR($B$76))+MONTH($B$77)-MONTH($B$76))))*(1+IF(MONTH(BA$3)=1,'Вводные'!$B$67,IF(AND(MONTH(BA$3)&gt;=5,MONTH(BA$3)&lt;=8),'Вводные'!$B$70,0))),0)</x:f>
      </x:c>
      <x:c r="BB79" t="n">
        <x:f>IF(AND(BB$3&gt;=$B$76,BB$3&lt;EDATE($B$76,MAX(1,'Вводные'!$H$91)),'Вводные'!$B$91="Да"),(1+'Вводные'!$AD$91*'Вводные'!$H$7*MIN(1,(12*(YEAR(BB$3)-YEAR($B$76))+MONTH(BB$3)-MONTH($B$76))/MAX(1,12*(YEAR($B$77)-YEAR($B$76))+MONTH($B$77)-MONTH($B$76))))*(1+IF(MONTH(BB$3)=1,'Вводные'!$B$67,IF(AND(MONTH(BB$3)&gt;=5,MONTH(BB$3)&lt;=8),'Вводные'!$B$70,0))),0)</x:f>
      </x:c>
      <x:c r="BC79" t="n">
        <x:f>IF(AND(BC$3&gt;=$B$76,BC$3&lt;EDATE($B$76,MAX(1,'Вводные'!$H$91)),'Вводные'!$B$91="Да"),(1+'Вводные'!$AD$91*'Вводные'!$H$7*MIN(1,(12*(YEAR(BC$3)-YEAR($B$76))+MONTH(BC$3)-MONTH($B$76))/MAX(1,12*(YEAR($B$77)-YEAR($B$76))+MONTH($B$77)-MONTH($B$76))))*(1+IF(MONTH(BC$3)=1,'Вводные'!$B$67,IF(AND(MONTH(BC$3)&gt;=5,MONTH(BC$3)&lt;=8),'Вводные'!$B$70,0))),0)</x:f>
      </x:c>
      <x:c r="BD79" t="n">
        <x:f>IF(AND(BD$3&gt;=$B$76,BD$3&lt;EDATE($B$76,MAX(1,'Вводные'!$H$91)),'Вводные'!$B$91="Да"),(1+'Вводные'!$AD$91*'Вводные'!$H$7*MIN(1,(12*(YEAR(BD$3)-YEAR($B$76))+MONTH(BD$3)-MONTH($B$76))/MAX(1,12*(YEAR($B$77)-YEAR($B$76))+MONTH($B$77)-MONTH($B$76))))*(1+IF(MONTH(BD$3)=1,'Вводные'!$B$67,IF(AND(MONTH(BD$3)&gt;=5,MONTH(BD$3)&lt;=8),'Вводные'!$B$70,0))),0)</x:f>
      </x:c>
      <x:c r="BE79" t="n">
        <x:f>IF(AND(BE$3&gt;=$B$76,BE$3&lt;EDATE($B$76,MAX(1,'Вводные'!$H$91)),'Вводные'!$B$91="Да"),(1+'Вводные'!$AD$91*'Вводные'!$H$7*MIN(1,(12*(YEAR(BE$3)-YEAR($B$76))+MONTH(BE$3)-MONTH($B$76))/MAX(1,12*(YEAR($B$77)-YEAR($B$76))+MONTH($B$77)-MONTH($B$76))))*(1+IF(MONTH(BE$3)=1,'Вводные'!$B$67,IF(AND(MONTH(BE$3)&gt;=5,MONTH(BE$3)&lt;=8),'Вводные'!$B$70,0))),0)</x:f>
      </x:c>
      <x:c r="BF79" t="n">
        <x:f>IF(AND(BF$3&gt;=$B$76,BF$3&lt;EDATE($B$76,MAX(1,'Вводные'!$H$91)),'Вводные'!$B$91="Да"),(1+'Вводные'!$AD$91*'Вводные'!$H$7*MIN(1,(12*(YEAR(BF$3)-YEAR($B$76))+MONTH(BF$3)-MONTH($B$76))/MAX(1,12*(YEAR($B$77)-YEAR($B$76))+MONTH($B$77)-MONTH($B$76))))*(1+IF(MONTH(BF$3)=1,'Вводные'!$B$67,IF(AND(MONTH(BF$3)&gt;=5,MONTH(BF$3)&lt;=8),'Вводные'!$B$70,0))),0)</x:f>
      </x:c>
      <x:c r="BG79" t="n">
        <x:f>IF(AND(BG$3&gt;=$B$76,BG$3&lt;EDATE($B$76,MAX(1,'Вводные'!$H$91)),'Вводные'!$B$91="Да"),(1+'Вводные'!$AD$91*'Вводные'!$H$7*MIN(1,(12*(YEAR(BG$3)-YEAR($B$76))+MONTH(BG$3)-MONTH($B$76))/MAX(1,12*(YEAR($B$77)-YEAR($B$76))+MONTH($B$77)-MONTH($B$76))))*(1+IF(MONTH(BG$3)=1,'Вводные'!$B$67,IF(AND(MONTH(BG$3)&gt;=5,MONTH(BG$3)&lt;=8),'Вводные'!$B$70,0))),0)</x:f>
      </x:c>
      <x:c r="BH79" t="n">
        <x:f>IF(AND(BH$3&gt;=$B$76,BH$3&lt;EDATE($B$76,MAX(1,'Вводные'!$H$91)),'Вводные'!$B$91="Да"),(1+'Вводные'!$AD$91*'Вводные'!$H$7*MIN(1,(12*(YEAR(BH$3)-YEAR($B$76))+MONTH(BH$3)-MONTH($B$76))/MAX(1,12*(YEAR($B$77)-YEAR($B$76))+MONTH($B$77)-MONTH($B$76))))*(1+IF(MONTH(BH$3)=1,'Вводные'!$B$67,IF(AND(MONTH(BH$3)&gt;=5,MONTH(BH$3)&lt;=8),'Вводные'!$B$70,0))),0)</x:f>
      </x:c>
      <x:c r="BI79" t="n">
        <x:f>IF(AND(BI$3&gt;=$B$76,BI$3&lt;EDATE($B$76,MAX(1,'Вводные'!$H$91)),'Вводные'!$B$91="Да"),(1+'Вводные'!$AD$91*'Вводные'!$H$7*MIN(1,(12*(YEAR(BI$3)-YEAR($B$76))+MONTH(BI$3)-MONTH($B$76))/MAX(1,12*(YEAR($B$77)-YEAR($B$76))+MONTH($B$77)-MONTH($B$76))))*(1+IF(MONTH(BI$3)=1,'Вводные'!$B$67,IF(AND(MONTH(BI$3)&gt;=5,MONTH(BI$3)&lt;=8),'Вводные'!$B$70,0))),0)</x:f>
      </x:c>
      <x:c r="BJ79" t="n">
        <x:f>IF(AND(BJ$3&gt;=$B$76,BJ$3&lt;EDATE($B$76,MAX(1,'Вводные'!$H$91)),'Вводные'!$B$91="Да"),(1+'Вводные'!$AD$91*'Вводные'!$H$7*MIN(1,(12*(YEAR(BJ$3)-YEAR($B$76))+MONTH(BJ$3)-MONTH($B$76))/MAX(1,12*(YEAR($B$77)-YEAR($B$76))+MONTH($B$77)-MONTH($B$76))))*(1+IF(MONTH(BJ$3)=1,'Вводные'!$B$67,IF(AND(MONTH(BJ$3)&gt;=5,MONTH(BJ$3)&lt;=8),'Вводные'!$B$70,0))),0)</x:f>
      </x:c>
      <x:c r="BK79" t="n">
        <x:f>IF(AND(BK$3&gt;=$B$76,BK$3&lt;EDATE($B$76,MAX(1,'Вводные'!$H$91)),'Вводные'!$B$91="Да"),(1+'Вводные'!$AD$91*'Вводные'!$H$7*MIN(1,(12*(YEAR(BK$3)-YEAR($B$76))+MONTH(BK$3)-MONTH($B$76))/MAX(1,12*(YEAR($B$77)-YEAR($B$76))+MONTH($B$77)-MONTH($B$76))))*(1+IF(MONTH(BK$3)=1,'Вводные'!$B$67,IF(AND(MONTH(BK$3)&gt;=5,MONTH(BK$3)&lt;=8),'Вводные'!$B$70,0))),0)</x:f>
      </x:c>
      <x:c r="BL79" t="n">
        <x:f>IF(AND(BL$3&gt;=$B$76,BL$3&lt;EDATE($B$76,MAX(1,'Вводные'!$H$91)),'Вводные'!$B$91="Да"),(1+'Вводные'!$AD$91*'Вводные'!$H$7*MIN(1,(12*(YEAR(BL$3)-YEAR($B$76))+MONTH(BL$3)-MONTH($B$76))/MAX(1,12*(YEAR($B$77)-YEAR($B$76))+MONTH($B$77)-MONTH($B$76))))*(1+IF(MONTH(BL$3)=1,'Вводные'!$B$67,IF(AND(MONTH(BL$3)&gt;=5,MONTH(BL$3)&lt;=8),'Вводные'!$B$70,0))),0)</x:f>
      </x:c>
      <x:c r="BM79" t="n">
        <x:f>IF(AND(BM$3&gt;=$B$76,BM$3&lt;EDATE($B$76,MAX(1,'Вводные'!$H$91)),'Вводные'!$B$91="Да"),(1+'Вводные'!$AD$91*'Вводные'!$H$7*MIN(1,(12*(YEAR(BM$3)-YEAR($B$76))+MONTH(BM$3)-MONTH($B$76))/MAX(1,12*(YEAR($B$77)-YEAR($B$76))+MONTH($B$77)-MONTH($B$76))))*(1+IF(MONTH(BM$3)=1,'Вводные'!$B$67,IF(AND(MONTH(BM$3)&gt;=5,MONTH(BM$3)&lt;=8),'Вводные'!$B$70,0))),0)</x:f>
      </x:c>
      <x:c r="BN79" t="n">
        <x:f>IF(AND(BN$3&gt;=$B$76,BN$3&lt;EDATE($B$76,MAX(1,'Вводные'!$H$91)),'Вводные'!$B$91="Да"),(1+'Вводные'!$AD$91*'Вводные'!$H$7*MIN(1,(12*(YEAR(BN$3)-YEAR($B$76))+MONTH(BN$3)-MONTH($B$76))/MAX(1,12*(YEAR($B$77)-YEAR($B$76))+MONTH($B$77)-MONTH($B$76))))*(1+IF(MONTH(BN$3)=1,'Вводные'!$B$67,IF(AND(MONTH(BN$3)&gt;=5,MONTH(BN$3)&lt;=8),'Вводные'!$B$70,0))),0)</x:f>
      </x:c>
      <x:c r="BO79" t="n">
        <x:f>IF(AND(BO$3&gt;=$B$76,BO$3&lt;EDATE($B$76,MAX(1,'Вводные'!$H$91)),'Вводные'!$B$91="Да"),(1+'Вводные'!$AD$91*'Вводные'!$H$7*MIN(1,(12*(YEAR(BO$3)-YEAR($B$76))+MONTH(BO$3)-MONTH($B$76))/MAX(1,12*(YEAR($B$77)-YEAR($B$76))+MONTH($B$77)-MONTH($B$76))))*(1+IF(MONTH(BO$3)=1,'Вводные'!$B$67,IF(AND(MONTH(BO$3)&gt;=5,MONTH(BO$3)&lt;=8),'Вводные'!$B$70,0))),0)</x:f>
      </x:c>
      <x:c r="BP79" t="n">
        <x:f>IF(AND(BP$3&gt;=$B$76,BP$3&lt;EDATE($B$76,MAX(1,'Вводные'!$H$91)),'Вводные'!$B$91="Да"),(1+'Вводные'!$AD$91*'Вводные'!$H$7*MIN(1,(12*(YEAR(BP$3)-YEAR($B$76))+MONTH(BP$3)-MONTH($B$76))/MAX(1,12*(YEAR($B$77)-YEAR($B$76))+MONTH($B$77)-MONTH($B$76))))*(1+IF(MONTH(BP$3)=1,'Вводные'!$B$67,IF(AND(MONTH(BP$3)&gt;=5,MONTH(BP$3)&lt;=8),'Вводные'!$B$70,0))),0)</x:f>
      </x:c>
      <x:c r="BQ79" t="n">
        <x:f>IF(AND(BQ$3&gt;=$B$76,BQ$3&lt;EDATE($B$76,MAX(1,'Вводные'!$H$91)),'Вводные'!$B$91="Да"),(1+'Вводные'!$AD$91*'Вводные'!$H$7*MIN(1,(12*(YEAR(BQ$3)-YEAR($B$76))+MONTH(BQ$3)-MONTH($B$76))/MAX(1,12*(YEAR($B$77)-YEAR($B$76))+MONTH($B$77)-MONTH($B$76))))*(1+IF(MONTH(BQ$3)=1,'Вводные'!$B$67,IF(AND(MONTH(BQ$3)&gt;=5,MONTH(BQ$3)&lt;=8),'Вводные'!$B$70,0))),0)</x:f>
      </x:c>
      <x:c r="BR79" t="n">
        <x:f>IF(AND(BR$3&gt;=$B$76,BR$3&lt;EDATE($B$76,MAX(1,'Вводные'!$H$91)),'Вводные'!$B$91="Да"),(1+'Вводные'!$AD$91*'Вводные'!$H$7*MIN(1,(12*(YEAR(BR$3)-YEAR($B$76))+MONTH(BR$3)-MONTH($B$76))/MAX(1,12*(YEAR($B$77)-YEAR($B$76))+MONTH($B$77)-MONTH($B$76))))*(1+IF(MONTH(BR$3)=1,'Вводные'!$B$67,IF(AND(MONTH(BR$3)&gt;=5,MONTH(BR$3)&lt;=8),'Вводные'!$B$70,0))),0)</x:f>
      </x:c>
      <x:c r="BS79" t="n">
        <x:f>IF(AND(BS$3&gt;=$B$76,BS$3&lt;EDATE($B$76,MAX(1,'Вводные'!$H$91)),'Вводные'!$B$91="Да"),(1+'Вводные'!$AD$91*'Вводные'!$H$7*MIN(1,(12*(YEAR(BS$3)-YEAR($B$76))+MONTH(BS$3)-MONTH($B$76))/MAX(1,12*(YEAR($B$77)-YEAR($B$76))+MONTH($B$77)-MONTH($B$76))))*(1+IF(MONTH(BS$3)=1,'Вводные'!$B$67,IF(AND(MONTH(BS$3)&gt;=5,MONTH(BS$3)&lt;=8),'Вводные'!$B$70,0))),0)</x:f>
      </x:c>
      <x:c r="BT79" t="n">
        <x:f>IF(AND(BT$3&gt;=$B$76,BT$3&lt;EDATE($B$76,MAX(1,'Вводные'!$H$91)),'Вводные'!$B$91="Да"),(1+'Вводные'!$AD$91*'Вводные'!$H$7*MIN(1,(12*(YEAR(BT$3)-YEAR($B$76))+MONTH(BT$3)-MONTH($B$76))/MAX(1,12*(YEAR($B$77)-YEAR($B$76))+MONTH($B$77)-MONTH($B$76))))*(1+IF(MONTH(BT$3)=1,'Вводные'!$B$67,IF(AND(MONTH(BT$3)&gt;=5,MONTH(BT$3)&lt;=8),'Вводные'!$B$70,0))),0)</x:f>
      </x:c>
      <x:c r="BU79" t="n">
        <x:f>IF(AND(BU$3&gt;=$B$76,BU$3&lt;EDATE($B$76,MAX(1,'Вводные'!$H$91)),'Вводные'!$B$91="Да"),(1+'Вводные'!$AD$91*'Вводные'!$H$7*MIN(1,(12*(YEAR(BU$3)-YEAR($B$76))+MONTH(BU$3)-MONTH($B$76))/MAX(1,12*(YEAR($B$77)-YEAR($B$76))+MONTH($B$77)-MONTH($B$76))))*(1+IF(MONTH(BU$3)=1,'Вводные'!$B$67,IF(AND(MONTH(BU$3)&gt;=5,MONTH(BU$3)&lt;=8),'Вводные'!$B$70,0))),0)</x:f>
      </x:c>
      <x:c r="BV79" t="n">
        <x:f>IF(AND(BV$3&gt;=$B$76,BV$3&lt;EDATE($B$76,MAX(1,'Вводные'!$H$91)),'Вводные'!$B$91="Да"),(1+'Вводные'!$AD$91*'Вводные'!$H$7*MIN(1,(12*(YEAR(BV$3)-YEAR($B$76))+MONTH(BV$3)-MONTH($B$76))/MAX(1,12*(YEAR($B$77)-YEAR($B$76))+MONTH($B$77)-MONTH($B$76))))*(1+IF(MONTH(BV$3)=1,'Вводные'!$B$67,IF(AND(MONTH(BV$3)&gt;=5,MONTH(BV$3)&lt;=8),'Вводные'!$B$70,0))),0)</x:f>
      </x:c>
      <x:c r="BW79" t="n">
        <x:f>IF(AND(BW$3&gt;=$B$76,BW$3&lt;EDATE($B$76,MAX(1,'Вводные'!$H$91)),'Вводные'!$B$91="Да"),(1+'Вводные'!$AD$91*'Вводные'!$H$7*MIN(1,(12*(YEAR(BW$3)-YEAR($B$76))+MONTH(BW$3)-MONTH($B$76))/MAX(1,12*(YEAR($B$77)-YEAR($B$76))+MONTH($B$77)-MONTH($B$76))))*(1+IF(MONTH(BW$3)=1,'Вводные'!$B$67,IF(AND(MONTH(BW$3)&gt;=5,MONTH(BW$3)&lt;=8),'Вводные'!$B$70,0))),0)</x:f>
      </x:c>
      <x:c r="BX79" t="n">
        <x:f>IF(AND(BX$3&gt;=$B$76,BX$3&lt;EDATE($B$76,MAX(1,'Вводные'!$H$91)),'Вводные'!$B$91="Да"),(1+'Вводные'!$AD$91*'Вводные'!$H$7*MIN(1,(12*(YEAR(BX$3)-YEAR($B$76))+MONTH(BX$3)-MONTH($B$76))/MAX(1,12*(YEAR($B$77)-YEAR($B$76))+MONTH($B$77)-MONTH($B$76))))*(1+IF(MONTH(BX$3)=1,'Вводные'!$B$67,IF(AND(MONTH(BX$3)&gt;=5,MONTH(BX$3)&lt;=8),'Вводные'!$B$70,0))),0)</x:f>
      </x:c>
      <x:c r="BY79" t="n">
        <x:f>IF(AND(BY$3&gt;=$B$76,BY$3&lt;EDATE($B$76,MAX(1,'Вводные'!$H$91)),'Вводные'!$B$91="Да"),(1+'Вводные'!$AD$91*'Вводные'!$H$7*MIN(1,(12*(YEAR(BY$3)-YEAR($B$76))+MONTH(BY$3)-MONTH($B$76))/MAX(1,12*(YEAR($B$77)-YEAR($B$76))+MONTH($B$77)-MONTH($B$76))))*(1+IF(MONTH(BY$3)=1,'Вводные'!$B$67,IF(AND(MONTH(BY$3)&gt;=5,MONTH(BY$3)&lt;=8),'Вводные'!$B$70,0))),0)</x:f>
      </x:c>
      <x:c r="BZ79" t="n">
        <x:f>IF(AND(BZ$3&gt;=$B$76,BZ$3&lt;EDATE($B$76,MAX(1,'Вводные'!$H$91)),'Вводные'!$B$91="Да"),(1+'Вводные'!$AD$91*'Вводные'!$H$7*MIN(1,(12*(YEAR(BZ$3)-YEAR($B$76))+MONTH(BZ$3)-MONTH($B$76))/MAX(1,12*(YEAR($B$77)-YEAR($B$76))+MONTH($B$77)-MONTH($B$76))))*(1+IF(MONTH(BZ$3)=1,'Вводные'!$B$67,IF(AND(MONTH(BZ$3)&gt;=5,MONTH(BZ$3)&lt;=8),'Вводные'!$B$70,0))),0)</x:f>
      </x:c>
      <x:c r="CA79" t="n">
        <x:f>IF(AND(CA$3&gt;=$B$76,CA$3&lt;EDATE($B$76,MAX(1,'Вводные'!$H$91)),'Вводные'!$B$91="Да"),(1+'Вводные'!$AD$91*'Вводные'!$H$7*MIN(1,(12*(YEAR(CA$3)-YEAR($B$76))+MONTH(CA$3)-MONTH($B$76))/MAX(1,12*(YEAR($B$77)-YEAR($B$76))+MONTH($B$77)-MONTH($B$76))))*(1+IF(MONTH(CA$3)=1,'Вводные'!$B$67,IF(AND(MONTH(CA$3)&gt;=5,MONTH(CA$3)&lt;=8),'Вводные'!$B$70,0))),0)</x:f>
      </x:c>
      <x:c r="CB79" t="n">
        <x:f>IF(AND(CB$3&gt;=$B$76,CB$3&lt;EDATE($B$76,MAX(1,'Вводные'!$H$91)),'Вводные'!$B$91="Да"),(1+'Вводные'!$AD$91*'Вводные'!$H$7*MIN(1,(12*(YEAR(CB$3)-YEAR($B$76))+MONTH(CB$3)-MONTH($B$76))/MAX(1,12*(YEAR($B$77)-YEAR($B$76))+MONTH($B$77)-MONTH($B$76))))*(1+IF(MONTH(CB$3)=1,'Вводные'!$B$67,IF(AND(MONTH(CB$3)&gt;=5,MONTH(CB$3)&lt;=8),'Вводные'!$B$70,0))),0)</x:f>
      </x:c>
      <x:c r="CC79" t="n">
        <x:f>IF(AND(CC$3&gt;=$B$76,CC$3&lt;EDATE($B$76,MAX(1,'Вводные'!$H$91)),'Вводные'!$B$91="Да"),(1+'Вводные'!$AD$91*'Вводные'!$H$7*MIN(1,(12*(YEAR(CC$3)-YEAR($B$76))+MONTH(CC$3)-MONTH($B$76))/MAX(1,12*(YEAR($B$77)-YEAR($B$76))+MONTH($B$77)-MONTH($B$76))))*(1+IF(MONTH(CC$3)=1,'Вводные'!$B$67,IF(AND(MONTH(CC$3)&gt;=5,MONTH(CC$3)&lt;=8),'Вводные'!$B$70,0))),0)</x:f>
      </x:c>
      <x:c r="CD79" t="n">
        <x:f>IF(AND(CD$3&gt;=$B$76,CD$3&lt;EDATE($B$76,MAX(1,'Вводные'!$H$91)),'Вводные'!$B$91="Да"),(1+'Вводные'!$AD$91*'Вводные'!$H$7*MIN(1,(12*(YEAR(CD$3)-YEAR($B$76))+MONTH(CD$3)-MONTH($B$76))/MAX(1,12*(YEAR($B$77)-YEAR($B$76))+MONTH($B$77)-MONTH($B$76))))*(1+IF(MONTH(CD$3)=1,'Вводные'!$B$67,IF(AND(MONTH(CD$3)&gt;=5,MONTH(CD$3)&lt;=8),'Вводные'!$B$70,0))),0)</x:f>
      </x:c>
      <x:c r="CE79" t="n">
        <x:f>IF(AND(CE$3&gt;=$B$76,CE$3&lt;EDATE($B$76,MAX(1,'Вводные'!$H$91)),'Вводные'!$B$91="Да"),(1+'Вводные'!$AD$91*'Вводные'!$H$7*MIN(1,(12*(YEAR(CE$3)-YEAR($B$76))+MONTH(CE$3)-MONTH($B$76))/MAX(1,12*(YEAR($B$77)-YEAR($B$76))+MONTH($B$77)-MONTH($B$76))))*(1+IF(MONTH(CE$3)=1,'Вводные'!$B$67,IF(AND(MONTH(CE$3)&gt;=5,MONTH(CE$3)&lt;=8),'Вводные'!$B$70,0))),0)</x:f>
      </x:c>
      <x:c r="CF79" t="n">
        <x:f>IF(AND(CF$3&gt;=$B$76,CF$3&lt;EDATE($B$76,MAX(1,'Вводные'!$H$91)),'Вводные'!$B$91="Да"),(1+'Вводные'!$AD$91*'Вводные'!$H$7*MIN(1,(12*(YEAR(CF$3)-YEAR($B$76))+MONTH(CF$3)-MONTH($B$76))/MAX(1,12*(YEAR($B$77)-YEAR($B$76))+MONTH($B$77)-MONTH($B$76))))*(1+IF(MONTH(CF$3)=1,'Вводные'!$B$67,IF(AND(MONTH(CF$3)&gt;=5,MONTH(CF$3)&lt;=8),'Вводные'!$B$70,0))),0)</x:f>
      </x:c>
      <x:c r="CG79" t="n">
        <x:f>IF(AND(CG$3&gt;=$B$76,CG$3&lt;EDATE($B$76,MAX(1,'Вводные'!$H$91)),'Вводные'!$B$91="Да"),(1+'Вводные'!$AD$91*'Вводные'!$H$7*MIN(1,(12*(YEAR(CG$3)-YEAR($B$76))+MONTH(CG$3)-MONTH($B$76))/MAX(1,12*(YEAR($B$77)-YEAR($B$76))+MONTH($B$77)-MONTH($B$76))))*(1+IF(MONTH(CG$3)=1,'Вводные'!$B$67,IF(AND(MONTH(CG$3)&gt;=5,MONTH(CG$3)&lt;=8),'Вводные'!$B$70,0))),0)</x:f>
      </x:c>
      <x:c r="CH79" t="n">
        <x:f>IF(AND(CH$3&gt;=$B$76,CH$3&lt;EDATE($B$76,MAX(1,'Вводные'!$H$91)),'Вводные'!$B$91="Да"),(1+'Вводные'!$AD$91*'Вводные'!$H$7*MIN(1,(12*(YEAR(CH$3)-YEAR($B$76))+MONTH(CH$3)-MONTH($B$76))/MAX(1,12*(YEAR($B$77)-YEAR($B$76))+MONTH($B$77)-MONTH($B$76))))*(1+IF(MONTH(CH$3)=1,'Вводные'!$B$67,IF(AND(MONTH(CH$3)&gt;=5,MONTH(CH$3)&lt;=8),'Вводные'!$B$70,0))),0)</x:f>
      </x:c>
      <x:c r="CI79" t="n">
        <x:f>IF(AND(CI$3&gt;=$B$76,CI$3&lt;EDATE($B$76,MAX(1,'Вводные'!$H$91)),'Вводные'!$B$91="Да"),(1+'Вводные'!$AD$91*'Вводные'!$H$7*MIN(1,(12*(YEAR(CI$3)-YEAR($B$76))+MONTH(CI$3)-MONTH($B$76))/MAX(1,12*(YEAR($B$77)-YEAR($B$76))+MONTH($B$77)-MONTH($B$76))))*(1+IF(MONTH(CI$3)=1,'Вводные'!$B$67,IF(AND(MONTH(CI$3)&gt;=5,MONTH(CI$3)&lt;=8),'Вводные'!$B$70,0))),0)</x:f>
      </x:c>
      <x:c r="CJ79" t="n">
        <x:f>IF(AND(CJ$3&gt;=$B$76,CJ$3&lt;EDATE($B$76,MAX(1,'Вводные'!$H$91)),'Вводные'!$B$91="Да"),(1+'Вводные'!$AD$91*'Вводные'!$H$7*MIN(1,(12*(YEAR(CJ$3)-YEAR($B$76))+MONTH(CJ$3)-MONTH($B$76))/MAX(1,12*(YEAR($B$77)-YEAR($B$76))+MONTH($B$77)-MONTH($B$76))))*(1+IF(MONTH(CJ$3)=1,'Вводные'!$B$67,IF(AND(MONTH(CJ$3)&gt;=5,MONTH(CJ$3)&lt;=8),'Вводные'!$B$70,0))),0)</x:f>
      </x:c>
      <x:c r="CK79" t="n">
        <x:f>IF(AND(CK$3&gt;=$B$76,CK$3&lt;EDATE($B$76,MAX(1,'Вводные'!$H$91)),'Вводные'!$B$91="Да"),(1+'Вводные'!$AD$91*'Вводные'!$H$7*MIN(1,(12*(YEAR(CK$3)-YEAR($B$76))+MONTH(CK$3)-MONTH($B$76))/MAX(1,12*(YEAR($B$77)-YEAR($B$76))+MONTH($B$77)-MONTH($B$76))))*(1+IF(MONTH(CK$3)=1,'Вводные'!$B$67,IF(AND(MONTH(CK$3)&gt;=5,MONTH(CK$3)&lt;=8),'Вводные'!$B$70,0))),0)</x:f>
      </x:c>
      <x:c r="CL79" t="n">
        <x:f>IF(AND(CL$3&gt;=$B$76,CL$3&lt;EDATE($B$76,MAX(1,'Вводные'!$H$91)),'Вводные'!$B$91="Да"),(1+'Вводные'!$AD$91*'Вводные'!$H$7*MIN(1,(12*(YEAR(CL$3)-YEAR($B$76))+MONTH(CL$3)-MONTH($B$76))/MAX(1,12*(YEAR($B$77)-YEAR($B$76))+MONTH($B$77)-MONTH($B$76))))*(1+IF(MONTH(CL$3)=1,'Вводные'!$B$67,IF(AND(MONTH(CL$3)&gt;=5,MONTH(CL$3)&lt;=8),'Вводные'!$B$70,0))),0)</x:f>
      </x:c>
      <x:c r="CM79" t="n">
        <x:f>IF(AND(CM$3&gt;=$B$76,CM$3&lt;EDATE($B$76,MAX(1,'Вводные'!$H$91)),'Вводные'!$B$91="Да"),(1+'Вводные'!$AD$91*'Вводные'!$H$7*MIN(1,(12*(YEAR(CM$3)-YEAR($B$76))+MONTH(CM$3)-MONTH($B$76))/MAX(1,12*(YEAR($B$77)-YEAR($B$76))+MONTH($B$77)-MONTH($B$76))))*(1+IF(MONTH(CM$3)=1,'Вводные'!$B$67,IF(AND(MONTH(CM$3)&gt;=5,MONTH(CM$3)&lt;=8),'Вводные'!$B$70,0))),0)</x:f>
      </x:c>
      <x:c r="CN79" t="n">
        <x:f>IF(AND(CN$3&gt;=$B$76,CN$3&lt;EDATE($B$76,MAX(1,'Вводные'!$H$91)),'Вводные'!$B$91="Да"),(1+'Вводные'!$AD$91*'Вводные'!$H$7*MIN(1,(12*(YEAR(CN$3)-YEAR($B$76))+MONTH(CN$3)-MONTH($B$76))/MAX(1,12*(YEAR($B$77)-YEAR($B$76))+MONTH($B$77)-MONTH($B$76))))*(1+IF(MONTH(CN$3)=1,'Вводные'!$B$67,IF(AND(MONTH(CN$3)&gt;=5,MONTH(CN$3)&lt;=8),'Вводные'!$B$70,0))),0)</x:f>
      </x:c>
      <x:c r="CO79" t="n">
        <x:f>IF(AND(CO$3&gt;=$B$76,CO$3&lt;EDATE($B$76,MAX(1,'Вводные'!$H$91)),'Вводные'!$B$91="Да"),(1+'Вводные'!$AD$91*'Вводные'!$H$7*MIN(1,(12*(YEAR(CO$3)-YEAR($B$76))+MONTH(CO$3)-MONTH($B$76))/MAX(1,12*(YEAR($B$77)-YEAR($B$76))+MONTH($B$77)-MONTH($B$76))))*(1+IF(MONTH(CO$3)=1,'Вводные'!$B$67,IF(AND(MONTH(CO$3)&gt;=5,MONTH(CO$3)&lt;=8),'Вводные'!$B$70,0))),0)</x:f>
      </x:c>
      <x:c r="CP79" t="n">
        <x:f>IF(AND(CP$3&gt;=$B$76,CP$3&lt;EDATE($B$76,MAX(1,'Вводные'!$H$91)),'Вводные'!$B$91="Да"),(1+'Вводные'!$AD$91*'Вводные'!$H$7*MIN(1,(12*(YEAR(CP$3)-YEAR($B$76))+MONTH(CP$3)-MONTH($B$76))/MAX(1,12*(YEAR($B$77)-YEAR($B$76))+MONTH($B$77)-MONTH($B$76))))*(1+IF(MONTH(CP$3)=1,'Вводные'!$B$67,IF(AND(MONTH(CP$3)&gt;=5,MONTH(CP$3)&lt;=8),'Вводные'!$B$70,0))),0)</x:f>
      </x:c>
      <x:c r="CQ79" t="n">
        <x:f>IF(AND(CQ$3&gt;=$B$76,CQ$3&lt;EDATE($B$76,MAX(1,'Вводные'!$H$91)),'Вводные'!$B$91="Да"),(1+'Вводные'!$AD$91*'Вводные'!$H$7*MIN(1,(12*(YEAR(CQ$3)-YEAR($B$76))+MONTH(CQ$3)-MONTH($B$76))/MAX(1,12*(YEAR($B$77)-YEAR($B$76))+MONTH($B$77)-MONTH($B$76))))*(1+IF(MONTH(CQ$3)=1,'Вводные'!$B$67,IF(AND(MONTH(CQ$3)&gt;=5,MONTH(CQ$3)&lt;=8),'Вводные'!$B$70,0))),0)</x:f>
      </x:c>
      <x:c r="CR79" t="n">
        <x:f>IF(AND(CR$3&gt;=$B$76,CR$3&lt;EDATE($B$76,MAX(1,'Вводные'!$H$91)),'Вводные'!$B$91="Да"),(1+'Вводные'!$AD$91*'Вводные'!$H$7*MIN(1,(12*(YEAR(CR$3)-YEAR($B$76))+MONTH(CR$3)-MONTH($B$76))/MAX(1,12*(YEAR($B$77)-YEAR($B$76))+MONTH($B$77)-MONTH($B$76))))*(1+IF(MONTH(CR$3)=1,'Вводные'!$B$67,IF(AND(MONTH(CR$3)&gt;=5,MONTH(CR$3)&lt;=8),'Вводные'!$B$70,0))),0)</x:f>
      </x:c>
      <x:c r="CS79" t="n">
        <x:f>IF(AND(CS$3&gt;=$B$76,CS$3&lt;EDATE($B$76,MAX(1,'Вводные'!$H$91)),'Вводные'!$B$91="Да"),(1+'Вводные'!$AD$91*'Вводные'!$H$7*MIN(1,(12*(YEAR(CS$3)-YEAR($B$76))+MONTH(CS$3)-MONTH($B$76))/MAX(1,12*(YEAR($B$77)-YEAR($B$76))+MONTH($B$77)-MONTH($B$76))))*(1+IF(MONTH(CS$3)=1,'Вводные'!$B$67,IF(AND(MONTH(CS$3)&gt;=5,MONTH(CS$3)&lt;=8),'Вводные'!$B$70,0))),0)</x:f>
      </x:c>
      <x:c r="CT79" t="n">
        <x:f>IF(AND(CT$3&gt;=$B$76,CT$3&lt;EDATE($B$76,MAX(1,'Вводные'!$H$91)),'Вводные'!$B$91="Да"),(1+'Вводные'!$AD$91*'Вводные'!$H$7*MIN(1,(12*(YEAR(CT$3)-YEAR($B$76))+MONTH(CT$3)-MONTH($B$76))/MAX(1,12*(YEAR($B$77)-YEAR($B$76))+MONTH($B$77)-MONTH($B$76))))*(1+IF(MONTH(CT$3)=1,'Вводные'!$B$67,IF(AND(MONTH(CT$3)&gt;=5,MONTH(CT$3)&lt;=8),'Вводные'!$B$70,0))),0)</x:f>
      </x:c>
      <x:c r="CU79" t="n">
        <x:f>IF(AND(CU$3&gt;=$B$76,CU$3&lt;EDATE($B$76,MAX(1,'Вводные'!$H$91)),'Вводные'!$B$91="Да"),(1+'Вводные'!$AD$91*'Вводные'!$H$7*MIN(1,(12*(YEAR(CU$3)-YEAR($B$76))+MONTH(CU$3)-MONTH($B$76))/MAX(1,12*(YEAR($B$77)-YEAR($B$76))+MONTH($B$77)-MONTH($B$76))))*(1+IF(MONTH(CU$3)=1,'Вводные'!$B$67,IF(AND(MONTH(CU$3)&gt;=5,MONTH(CU$3)&lt;=8),'Вводные'!$B$70,0))),0)</x:f>
      </x:c>
      <x:c r="CV79" t="n">
        <x:f>IF(AND(CV$3&gt;=$B$76,CV$3&lt;EDATE($B$76,MAX(1,'Вводные'!$H$91)),'Вводные'!$B$91="Да"),(1+'Вводные'!$AD$91*'Вводные'!$H$7*MIN(1,(12*(YEAR(CV$3)-YEAR($B$76))+MONTH(CV$3)-MONTH($B$76))/MAX(1,12*(YEAR($B$77)-YEAR($B$76))+MONTH($B$77)-MONTH($B$76))))*(1+IF(MONTH(CV$3)=1,'Вводные'!$B$67,IF(AND(MONTH(CV$3)&gt;=5,MONTH(CV$3)&lt;=8),'Вводные'!$B$70,0))),0)</x:f>
      </x:c>
      <x:c r="CW79" t="n">
        <x:f>IF(AND(CW$3&gt;=$B$76,CW$3&lt;EDATE($B$76,MAX(1,'Вводные'!$H$91)),'Вводные'!$B$91="Да"),(1+'Вводные'!$AD$91*'Вводные'!$H$7*MIN(1,(12*(YEAR(CW$3)-YEAR($B$76))+MONTH(CW$3)-MONTH($B$76))/MAX(1,12*(YEAR($B$77)-YEAR($B$76))+MONTH($B$77)-MONTH($B$76))))*(1+IF(MONTH(CW$3)=1,'Вводные'!$B$67,IF(AND(MONTH(CW$3)&gt;=5,MONTH(CW$3)&lt;=8),'Вводные'!$B$70,0))),0)</x:f>
      </x:c>
      <x:c r="CX79" t="n">
        <x:f>IF(AND(CX$3&gt;=$B$76,CX$3&lt;EDATE($B$76,MAX(1,'Вводные'!$H$91)),'Вводные'!$B$91="Да"),(1+'Вводные'!$AD$91*'Вводные'!$H$7*MIN(1,(12*(YEAR(CX$3)-YEAR($B$76))+MONTH(CX$3)-MONTH($B$76))/MAX(1,12*(YEAR($B$77)-YEAR($B$76))+MONTH($B$77)-MONTH($B$76))))*(1+IF(MONTH(CX$3)=1,'Вводные'!$B$67,IF(AND(MONTH(CX$3)&gt;=5,MONTH(CX$3)&lt;=8),'Вводные'!$B$70,0))),0)</x:f>
      </x:c>
      <x:c r="CY79" t="n">
        <x:f>IF(AND(CY$3&gt;=$B$76,CY$3&lt;EDATE($B$76,MAX(1,'Вводные'!$H$91)),'Вводные'!$B$91="Да"),(1+'Вводные'!$AD$91*'Вводные'!$H$7*MIN(1,(12*(YEAR(CY$3)-YEAR($B$76))+MONTH(CY$3)-MONTH($B$76))/MAX(1,12*(YEAR($B$77)-YEAR($B$76))+MONTH($B$77)-MONTH($B$76))))*(1+IF(MONTH(CY$3)=1,'Вводные'!$B$67,IF(AND(MONTH(CY$3)&gt;=5,MONTH(CY$3)&lt;=8),'Вводные'!$B$70,0))),0)</x:f>
      </x:c>
      <x:c r="CZ79" t="n">
        <x:f>IF(AND(CZ$3&gt;=$B$76,CZ$3&lt;EDATE($B$76,MAX(1,'Вводные'!$H$91)),'Вводные'!$B$91="Да"),(1+'Вводные'!$AD$91*'Вводные'!$H$7*MIN(1,(12*(YEAR(CZ$3)-YEAR($B$76))+MONTH(CZ$3)-MONTH($B$76))/MAX(1,12*(YEAR($B$77)-YEAR($B$76))+MONTH($B$77)-MONTH($B$76))))*(1+IF(MONTH(CZ$3)=1,'Вводные'!$B$67,IF(AND(MONTH(CZ$3)&gt;=5,MONTH(CZ$3)&lt;=8),'Вводные'!$B$70,0))),0)</x:f>
      </x:c>
      <x:c r="DA79" t="n">
        <x:f>IF(AND(DA$3&gt;=$B$76,DA$3&lt;EDATE($B$76,MAX(1,'Вводные'!$H$91)),'Вводные'!$B$91="Да"),(1+'Вводные'!$AD$91*'Вводные'!$H$7*MIN(1,(12*(YEAR(DA$3)-YEAR($B$76))+MONTH(DA$3)-MONTH($B$76))/MAX(1,12*(YEAR($B$77)-YEAR($B$76))+MONTH($B$77)-MONTH($B$76))))*(1+IF(MONTH(DA$3)=1,'Вводные'!$B$67,IF(AND(MONTH(DA$3)&gt;=5,MONTH(DA$3)&lt;=8),'Вводные'!$B$70,0))),0)</x:f>
      </x:c>
      <x:c r="DB79" t="n">
        <x:f>IF(AND(DB$3&gt;=$B$76,DB$3&lt;EDATE($B$76,MAX(1,'Вводные'!$H$91)),'Вводные'!$B$91="Да"),(1+'Вводные'!$AD$91*'Вводные'!$H$7*MIN(1,(12*(YEAR(DB$3)-YEAR($B$76))+MONTH(DB$3)-MONTH($B$76))/MAX(1,12*(YEAR($B$77)-YEAR($B$76))+MONTH($B$77)-MONTH($B$76))))*(1+IF(MONTH(DB$3)=1,'Вводные'!$B$67,IF(AND(MONTH(DB$3)&gt;=5,MONTH(DB$3)&lt;=8),'Вводные'!$B$70,0))),0)</x:f>
      </x:c>
      <x:c r="DC79" t="n">
        <x:f>IF(AND(DC$3&gt;=$B$76,DC$3&lt;EDATE($B$76,MAX(1,'Вводные'!$H$91)),'Вводные'!$B$91="Да"),(1+'Вводные'!$AD$91*'Вводные'!$H$7*MIN(1,(12*(YEAR(DC$3)-YEAR($B$76))+MONTH(DC$3)-MONTH($B$76))/MAX(1,12*(YEAR($B$77)-YEAR($B$76))+MONTH($B$77)-MONTH($B$76))))*(1+IF(MONTH(DC$3)=1,'Вводные'!$B$67,IF(AND(MONTH(DC$3)&gt;=5,MONTH(DC$3)&lt;=8),'Вводные'!$B$70,0))),0)</x:f>
      </x:c>
      <x:c r="DD79" t="n">
        <x:f>IF(AND(DD$3&gt;=$B$76,DD$3&lt;EDATE($B$76,MAX(1,'Вводные'!$H$91)),'Вводные'!$B$91="Да"),(1+'Вводные'!$AD$91*'Вводные'!$H$7*MIN(1,(12*(YEAR(DD$3)-YEAR($B$76))+MONTH(DD$3)-MONTH($B$76))/MAX(1,12*(YEAR($B$77)-YEAR($B$76))+MONTH($B$77)-MONTH($B$76))))*(1+IF(MONTH(DD$3)=1,'Вводные'!$B$67,IF(AND(MONTH(DD$3)&gt;=5,MONTH(DD$3)&lt;=8),'Вводные'!$B$70,0))),0)</x:f>
      </x:c>
      <x:c r="DE79" t="n">
        <x:f>IF(AND(DE$3&gt;=$B$76,DE$3&lt;EDATE($B$76,MAX(1,'Вводные'!$H$91)),'Вводные'!$B$91="Да"),(1+'Вводные'!$AD$91*'Вводные'!$H$7*MIN(1,(12*(YEAR(DE$3)-YEAR($B$76))+MONTH(DE$3)-MONTH($B$76))/MAX(1,12*(YEAR($B$77)-YEAR($B$76))+MONTH($B$77)-MONTH($B$76))))*(1+IF(MONTH(DE$3)=1,'Вводные'!$B$67,IF(AND(MONTH(DE$3)&gt;=5,MONTH(DE$3)&lt;=8),'Вводные'!$B$70,0))),0)</x:f>
      </x:c>
      <x:c r="DF79" t="n">
        <x:f>IF(AND(DF$3&gt;=$B$76,DF$3&lt;EDATE($B$76,MAX(1,'Вводные'!$H$91)),'Вводные'!$B$91="Да"),(1+'Вводные'!$AD$91*'Вводные'!$H$7*MIN(1,(12*(YEAR(DF$3)-YEAR($B$76))+MONTH(DF$3)-MONTH($B$76))/MAX(1,12*(YEAR($B$77)-YEAR($B$76))+MONTH($B$77)-MONTH($B$76))))*(1+IF(MONTH(DF$3)=1,'Вводные'!$B$67,IF(AND(MONTH(DF$3)&gt;=5,MONTH(DF$3)&lt;=8),'Вводные'!$B$70,0))),0)</x:f>
      </x:c>
      <x:c r="DG79" t="n">
        <x:f>IF(AND(DG$3&gt;=$B$76,DG$3&lt;EDATE($B$76,MAX(1,'Вводные'!$H$91)),'Вводные'!$B$91="Да"),(1+'Вводные'!$AD$91*'Вводные'!$H$7*MIN(1,(12*(YEAR(DG$3)-YEAR($B$76))+MONTH(DG$3)-MONTH($B$76))/MAX(1,12*(YEAR($B$77)-YEAR($B$76))+MONTH($B$77)-MONTH($B$76))))*(1+IF(MONTH(DG$3)=1,'Вводные'!$B$67,IF(AND(MONTH(DG$3)&gt;=5,MONTH(DG$3)&lt;=8),'Вводные'!$B$70,0))),0)</x:f>
      </x:c>
      <x:c r="DH79" t="n">
        <x:f>IF(AND(DH$3&gt;=$B$76,DH$3&lt;EDATE($B$76,MAX(1,'Вводные'!$H$91)),'Вводные'!$B$91="Да"),(1+'Вводные'!$AD$91*'Вводные'!$H$7*MIN(1,(12*(YEAR(DH$3)-YEAR($B$76))+MONTH(DH$3)-MONTH($B$76))/MAX(1,12*(YEAR($B$77)-YEAR($B$76))+MONTH($B$77)-MONTH($B$76))))*(1+IF(MONTH(DH$3)=1,'Вводные'!$B$67,IF(AND(MONTH(DH$3)&gt;=5,MONTH(DH$3)&lt;=8),'Вводные'!$B$70,0))),0)</x:f>
      </x:c>
      <x:c r="DI79" t="n">
        <x:f>IF(AND(DI$3&gt;=$B$76,DI$3&lt;EDATE($B$76,MAX(1,'Вводные'!$H$91)),'Вводные'!$B$91="Да"),(1+'Вводные'!$AD$91*'Вводные'!$H$7*MIN(1,(12*(YEAR(DI$3)-YEAR($B$76))+MONTH(DI$3)-MONTH($B$76))/MAX(1,12*(YEAR($B$77)-YEAR($B$76))+MONTH($B$77)-MONTH($B$76))))*(1+IF(MONTH(DI$3)=1,'Вводные'!$B$67,IF(AND(MONTH(DI$3)&gt;=5,MONTH(DI$3)&lt;=8),'Вводные'!$B$70,0))),0)</x:f>
      </x:c>
      <x:c r="DJ79" t="n">
        <x:f>IF(AND(DJ$3&gt;=$B$76,DJ$3&lt;EDATE($B$76,MAX(1,'Вводные'!$H$91)),'Вводные'!$B$91="Да"),(1+'Вводные'!$AD$91*'Вводные'!$H$7*MIN(1,(12*(YEAR(DJ$3)-YEAR($B$76))+MONTH(DJ$3)-MONTH($B$76))/MAX(1,12*(YEAR($B$77)-YEAR($B$76))+MONTH($B$77)-MONTH($B$76))))*(1+IF(MONTH(DJ$3)=1,'Вводные'!$B$67,IF(AND(MONTH(DJ$3)&gt;=5,MONTH(DJ$3)&lt;=8),'Вводные'!$B$70,0))),0)</x:f>
      </x:c>
      <x:c r="DK79" t="n">
        <x:f>IF(AND(DK$3&gt;=$B$76,DK$3&lt;EDATE($B$76,MAX(1,'Вводные'!$H$91)),'Вводные'!$B$91="Да"),(1+'Вводные'!$AD$91*'Вводные'!$H$7*MIN(1,(12*(YEAR(DK$3)-YEAR($B$76))+MONTH(DK$3)-MONTH($B$76))/MAX(1,12*(YEAR($B$77)-YEAR($B$76))+MONTH($B$77)-MONTH($B$76))))*(1+IF(MONTH(DK$3)=1,'Вводные'!$B$67,IF(AND(MONTH(DK$3)&gt;=5,MONTH(DK$3)&lt;=8),'Вводные'!$B$70,0))),0)</x:f>
      </x:c>
      <x:c r="DL79" t="n">
        <x:f>IF(AND(DL$3&gt;=$B$76,DL$3&lt;EDATE($B$76,MAX(1,'Вводные'!$H$91)),'Вводные'!$B$91="Да"),(1+'Вводные'!$AD$91*'Вводные'!$H$7*MIN(1,(12*(YEAR(DL$3)-YEAR($B$76))+MONTH(DL$3)-MONTH($B$76))/MAX(1,12*(YEAR($B$77)-YEAR($B$76))+MONTH($B$77)-MONTH($B$76))))*(1+IF(MONTH(DL$3)=1,'Вводные'!$B$67,IF(AND(MONTH(DL$3)&gt;=5,MONTH(DL$3)&lt;=8),'Вводные'!$B$70,0))),0)</x:f>
      </x:c>
      <x:c r="DM79" t="n">
        <x:f>IF(AND(DM$3&gt;=$B$76,DM$3&lt;EDATE($B$76,MAX(1,'Вводные'!$H$91)),'Вводные'!$B$91="Да"),(1+'Вводные'!$AD$91*'Вводные'!$H$7*MIN(1,(12*(YEAR(DM$3)-YEAR($B$76))+MONTH(DM$3)-MONTH($B$76))/MAX(1,12*(YEAR($B$77)-YEAR($B$76))+MONTH($B$77)-MONTH($B$76))))*(1+IF(MONTH(DM$3)=1,'Вводные'!$B$67,IF(AND(MONTH(DM$3)&gt;=5,MONTH(DM$3)&lt;=8),'Вводные'!$B$70,0))),0)</x:f>
      </x:c>
      <x:c r="DN79" t="n">
        <x:f>IF(AND(DN$3&gt;=$B$76,DN$3&lt;EDATE($B$76,MAX(1,'Вводные'!$H$91)),'Вводные'!$B$91="Да"),(1+'Вводные'!$AD$91*'Вводные'!$H$7*MIN(1,(12*(YEAR(DN$3)-YEAR($B$76))+MONTH(DN$3)-MONTH($B$76))/MAX(1,12*(YEAR($B$77)-YEAR($B$76))+MONTH($B$77)-MONTH($B$76))))*(1+IF(MONTH(DN$3)=1,'Вводные'!$B$67,IF(AND(MONTH(DN$3)&gt;=5,MONTH(DN$3)&lt;=8),'Вводные'!$B$70,0))),0)</x:f>
      </x:c>
      <x:c r="DO79" t="n">
        <x:f>IF(AND(DO$3&gt;=$B$76,DO$3&lt;EDATE($B$76,MAX(1,'Вводные'!$H$91)),'Вводные'!$B$91="Да"),(1+'Вводные'!$AD$91*'Вводные'!$H$7*MIN(1,(12*(YEAR(DO$3)-YEAR($B$76))+MONTH(DO$3)-MONTH($B$76))/MAX(1,12*(YEAR($B$77)-YEAR($B$76))+MONTH($B$77)-MONTH($B$76))))*(1+IF(MONTH(DO$3)=1,'Вводные'!$B$67,IF(AND(MONTH(DO$3)&gt;=5,MONTH(DO$3)&lt;=8),'Вводные'!$B$70,0))),0)</x:f>
      </x:c>
      <x:c r="DP79" t="n">
        <x:f>IF(AND(DP$3&gt;=$B$76,DP$3&lt;EDATE($B$76,MAX(1,'Вводные'!$H$91)),'Вводные'!$B$91="Да"),(1+'Вводные'!$AD$91*'Вводные'!$H$7*MIN(1,(12*(YEAR(DP$3)-YEAR($B$76))+MONTH(DP$3)-MONTH($B$76))/MAX(1,12*(YEAR($B$77)-YEAR($B$76))+MONTH($B$77)-MONTH($B$76))))*(1+IF(MONTH(DP$3)=1,'Вводные'!$B$67,IF(AND(MONTH(DP$3)&gt;=5,MONTH(DP$3)&lt;=8),'Вводные'!$B$70,0))),0)</x:f>
      </x:c>
      <x:c r="DQ79" t="n">
        <x:f>IF(AND(DQ$3&gt;=$B$76,DQ$3&lt;EDATE($B$76,MAX(1,'Вводные'!$H$91)),'Вводные'!$B$91="Да"),(1+'Вводные'!$AD$91*'Вводные'!$H$7*MIN(1,(12*(YEAR(DQ$3)-YEAR($B$76))+MONTH(DQ$3)-MONTH($B$76))/MAX(1,12*(YEAR($B$77)-YEAR($B$76))+MONTH($B$77)-MONTH($B$76))))*(1+IF(MONTH(DQ$3)=1,'Вводные'!$B$67,IF(AND(MONTH(DQ$3)&gt;=5,MONTH(DQ$3)&lt;=8),'Вводные'!$B$70,0))),0)</x:f>
      </x:c>
      <x:c r="DR79" t="n">
        <x:f>IF(AND(DR$3&gt;=$B$76,DR$3&lt;EDATE($B$76,MAX(1,'Вводные'!$H$91)),'Вводные'!$B$91="Да"),(1+'Вводные'!$AD$91*'Вводные'!$H$7*MIN(1,(12*(YEAR(DR$3)-YEAR($B$76))+MONTH(DR$3)-MONTH($B$76))/MAX(1,12*(YEAR($B$77)-YEAR($B$76))+MONTH($B$77)-MONTH($B$76))))*(1+IF(MONTH(DR$3)=1,'Вводные'!$B$67,IF(AND(MONTH(DR$3)&gt;=5,MONTH(DR$3)&lt;=8),'Вводные'!$B$70,0))),0)</x:f>
      </x:c>
      <x:c r="DS79" t="n">
        <x:f>IF(AND(DS$3&gt;=$B$76,DS$3&lt;EDATE($B$76,MAX(1,'Вводные'!$H$91)),'Вводные'!$B$91="Да"),(1+'Вводные'!$AD$91*'Вводные'!$H$7*MIN(1,(12*(YEAR(DS$3)-YEAR($B$76))+MONTH(DS$3)-MONTH($B$76))/MAX(1,12*(YEAR($B$77)-YEAR($B$76))+MONTH($B$77)-MONTH($B$76))))*(1+IF(MONTH(DS$3)=1,'Вводные'!$B$67,IF(AND(MONTH(DS$3)&gt;=5,MONTH(DS$3)&lt;=8),'Вводные'!$B$70,0))),0)</x:f>
      </x:c>
      <x:c r="DT79" t="n">
        <x:f>IF(AND(DT$3&gt;=$B$76,DT$3&lt;EDATE($B$76,MAX(1,'Вводные'!$H$91)),'Вводные'!$B$91="Да"),(1+'Вводные'!$AD$91*'Вводные'!$H$7*MIN(1,(12*(YEAR(DT$3)-YEAR($B$76))+MONTH(DT$3)-MONTH($B$76))/MAX(1,12*(YEAR($B$77)-YEAR($B$76))+MONTH($B$77)-MONTH($B$76))))*(1+IF(MONTH(DT$3)=1,'Вводные'!$B$67,IF(AND(MONTH(DT$3)&gt;=5,MONTH(DT$3)&lt;=8),'Вводные'!$B$70,0))),0)</x:f>
      </x:c>
      <x:c r="DU79" t="n">
        <x:f>IF(AND(DU$3&gt;=$B$76,DU$3&lt;EDATE($B$76,MAX(1,'Вводные'!$H$91)),'Вводные'!$B$91="Да"),(1+'Вводные'!$AD$91*'Вводные'!$H$7*MIN(1,(12*(YEAR(DU$3)-YEAR($B$76))+MONTH(DU$3)-MONTH($B$76))/MAX(1,12*(YEAR($B$77)-YEAR($B$76))+MONTH($B$77)-MONTH($B$76))))*(1+IF(MONTH(DU$3)=1,'Вводные'!$B$67,IF(AND(MONTH(DU$3)&gt;=5,MONTH(DU$3)&lt;=8),'Вводные'!$B$70,0))),0)</x:f>
      </x:c>
      <x:c r="DV79" t="n">
        <x:f>IF(AND(DV$3&gt;=$B$76,DV$3&lt;EDATE($B$76,MAX(1,'Вводные'!$H$91)),'Вводные'!$B$91="Да"),(1+'Вводные'!$AD$91*'Вводные'!$H$7*MIN(1,(12*(YEAR(DV$3)-YEAR($B$76))+MONTH(DV$3)-MONTH($B$76))/MAX(1,12*(YEAR($B$77)-YEAR($B$76))+MONTH($B$77)-MONTH($B$76))))*(1+IF(MONTH(DV$3)=1,'Вводные'!$B$67,IF(AND(MONTH(DV$3)&gt;=5,MONTH(DV$3)&lt;=8),'Вводные'!$B$70,0))),0)</x:f>
      </x:c>
      <x:c r="DW79" t="n">
        <x:f>IF(AND(DW$3&gt;=$B$76,DW$3&lt;EDATE($B$76,MAX(1,'Вводные'!$H$91)),'Вводные'!$B$91="Да"),(1+'Вводные'!$AD$91*'Вводные'!$H$7*MIN(1,(12*(YEAR(DW$3)-YEAR($B$76))+MONTH(DW$3)-MONTH($B$76))/MAX(1,12*(YEAR($B$77)-YEAR($B$76))+MONTH($B$77)-MONTH($B$76))))*(1+IF(MONTH(DW$3)=1,'Вводные'!$B$67,IF(AND(MONTH(DW$3)&gt;=5,MONTH(DW$3)&lt;=8),'Вводные'!$B$70,0))),0)</x:f>
      </x:c>
      <x:c r="DX79" t="n">
        <x:f>IF(AND(DX$3&gt;=$B$76,DX$3&lt;EDATE($B$76,MAX(1,'Вводные'!$H$91)),'Вводные'!$B$91="Да"),(1+'Вводные'!$AD$91*'Вводные'!$H$7*MIN(1,(12*(YEAR(DX$3)-YEAR($B$76))+MONTH(DX$3)-MONTH($B$76))/MAX(1,12*(YEAR($B$77)-YEAR($B$76))+MONTH($B$77)-MONTH($B$76))))*(1+IF(MONTH(DX$3)=1,'Вводные'!$B$67,IF(AND(MONTH(DX$3)&gt;=5,MONTH(DX$3)&lt;=8),'Вводные'!$B$70,0))),0)</x:f>
      </x:c>
      <x:c r="DY79" t="n">
        <x:f>IF(AND(DY$3&gt;=$B$76,DY$3&lt;EDATE($B$76,MAX(1,'Вводные'!$H$91)),'Вводные'!$B$91="Да"),(1+'Вводные'!$AD$91*'Вводные'!$H$7*MIN(1,(12*(YEAR(DY$3)-YEAR($B$76))+MONTH(DY$3)-MONTH($B$76))/MAX(1,12*(YEAR($B$77)-YEAR($B$76))+MONTH($B$77)-MONTH($B$76))))*(1+IF(MONTH(DY$3)=1,'Вводные'!$B$67,IF(AND(MONTH(DY$3)&gt;=5,MONTH(DY$3)&lt;=8),'Вводные'!$B$70,0))),0)</x:f>
      </x:c>
      <x:c r="DZ79" t="n">
        <x:f>IF(AND(DZ$3&gt;=$B$76,DZ$3&lt;EDATE($B$76,MAX(1,'Вводные'!$H$91)),'Вводные'!$B$91="Да"),(1+'Вводные'!$AD$91*'Вводные'!$H$7*MIN(1,(12*(YEAR(DZ$3)-YEAR($B$76))+MONTH(DZ$3)-MONTH($B$76))/MAX(1,12*(YEAR($B$77)-YEAR($B$76))+MONTH($B$77)-MONTH($B$76))))*(1+IF(MONTH(DZ$3)=1,'Вводные'!$B$67,IF(AND(MONTH(DZ$3)&gt;=5,MONTH(DZ$3)&lt;=8),'Вводные'!$B$70,0))),0)</x:f>
      </x:c>
      <x:c r="EA79" t="n">
        <x:f>IF(AND(EA$3&gt;=$B$76,EA$3&lt;EDATE($B$76,MAX(1,'Вводные'!$H$91)),'Вводные'!$B$91="Да"),(1+'Вводные'!$AD$91*'Вводные'!$H$7*MIN(1,(12*(YEAR(EA$3)-YEAR($B$76))+MONTH(EA$3)-MONTH($B$76))/MAX(1,12*(YEAR($B$77)-YEAR($B$76))+MONTH($B$77)-MONTH($B$76))))*(1+IF(MONTH(EA$3)=1,'Вводные'!$B$67,IF(AND(MONTH(EA$3)&gt;=5,MONTH(EA$3)&lt;=8),'Вводные'!$B$70,0))),0)</x:f>
      </x:c>
      <x:c r="EB79" t="n">
        <x:f>IF(AND(EB$3&gt;=$B$76,EB$3&lt;EDATE($B$76,MAX(1,'Вводные'!$H$91)),'Вводные'!$B$91="Да"),(1+'Вводные'!$AD$91*'Вводные'!$H$7*MIN(1,(12*(YEAR(EB$3)-YEAR($B$76))+MONTH(EB$3)-MONTH($B$76))/MAX(1,12*(YEAR($B$77)-YEAR($B$76))+MONTH($B$77)-MONTH($B$76))))*(1+IF(MONTH(EB$3)=1,'Вводные'!$B$67,IF(AND(MONTH(EB$3)&gt;=5,MONTH(EB$3)&lt;=8),'Вводные'!$B$70,0))),0)</x:f>
      </x:c>
      <x:c r="EC79" t="n">
        <x:f>IF(AND(EC$3&gt;=$B$76,EC$3&lt;EDATE($B$76,MAX(1,'Вводные'!$H$91)),'Вводные'!$B$91="Да"),(1+'Вводные'!$AD$91*'Вводные'!$H$7*MIN(1,(12*(YEAR(EC$3)-YEAR($B$76))+MONTH(EC$3)-MONTH($B$76))/MAX(1,12*(YEAR($B$77)-YEAR($B$76))+MONTH($B$77)-MONTH($B$76))))*(1+IF(MONTH(EC$3)=1,'Вводные'!$B$67,IF(AND(MONTH(EC$3)&gt;=5,MONTH(EC$3)&lt;=8),'Вводные'!$B$70,0))),0)</x:f>
      </x:c>
      <x:c r="ED79" t="n">
        <x:f>IF(AND(ED$3&gt;=$B$76,ED$3&lt;EDATE($B$76,MAX(1,'Вводные'!$H$91)),'Вводные'!$B$91="Да"),(1+'Вводные'!$AD$91*'Вводные'!$H$7*MIN(1,(12*(YEAR(ED$3)-YEAR($B$76))+MONTH(ED$3)-MONTH($B$76))/MAX(1,12*(YEAR($B$77)-YEAR($B$76))+MONTH($B$77)-MONTH($B$76))))*(1+IF(MONTH(ED$3)=1,'Вводные'!$B$67,IF(AND(MONTH(ED$3)&gt;=5,MONTH(ED$3)&lt;=8),'Вводные'!$B$70,0))),0)</x:f>
      </x:c>
      <x:c r="EE79" t="n">
        <x:f>IF(AND(EE$3&gt;=$B$76,EE$3&lt;EDATE($B$76,MAX(1,'Вводные'!$H$91)),'Вводные'!$B$91="Да"),(1+'Вводные'!$AD$91*'Вводные'!$H$7*MIN(1,(12*(YEAR(EE$3)-YEAR($B$76))+MONTH(EE$3)-MONTH($B$76))/MAX(1,12*(YEAR($B$77)-YEAR($B$76))+MONTH($B$77)-MONTH($B$76))))*(1+IF(MONTH(EE$3)=1,'Вводные'!$B$67,IF(AND(MONTH(EE$3)&gt;=5,MONTH(EE$3)&lt;=8),'Вводные'!$B$70,0))),0)</x:f>
      </x:c>
      <x:c r="EF79" t="n">
        <x:f>IF(AND(EF$3&gt;=$B$76,EF$3&lt;EDATE($B$76,MAX(1,'Вводные'!$H$91)),'Вводные'!$B$91="Да"),(1+'Вводные'!$AD$91*'Вводные'!$H$7*MIN(1,(12*(YEAR(EF$3)-YEAR($B$76))+MONTH(EF$3)-MONTH($B$76))/MAX(1,12*(YEAR($B$77)-YEAR($B$76))+MONTH($B$77)-MONTH($B$76))))*(1+IF(MONTH(EF$3)=1,'Вводные'!$B$67,IF(AND(MONTH(EF$3)&gt;=5,MONTH(EF$3)&lt;=8),'Вводные'!$B$70,0))),0)</x:f>
      </x:c>
      <x:c r="EG79" t="n">
        <x:f>IF(AND(EG$3&gt;=$B$76,EG$3&lt;EDATE($B$76,MAX(1,'Вводные'!$H$91)),'Вводные'!$B$91="Да"),(1+'Вводные'!$AD$91*'Вводные'!$H$7*MIN(1,(12*(YEAR(EG$3)-YEAR($B$76))+MONTH(EG$3)-MONTH($B$76))/MAX(1,12*(YEAR($B$77)-YEAR($B$76))+MONTH($B$77)-MONTH($B$76))))*(1+IF(MONTH(EG$3)=1,'Вводные'!$B$67,IF(AND(MONTH(EG$3)&gt;=5,MONTH(EG$3)&lt;=8),'Вводные'!$B$70,0))),0)</x:f>
      </x:c>
      <x:c r="EH79" t="n">
        <x:f>IF(AND(EH$3&gt;=$B$76,EH$3&lt;EDATE($B$76,MAX(1,'Вводные'!$H$91)),'Вводные'!$B$91="Да"),(1+'Вводные'!$AD$91*'Вводные'!$H$7*MIN(1,(12*(YEAR(EH$3)-YEAR($B$76))+MONTH(EH$3)-MONTH($B$76))/MAX(1,12*(YEAR($B$77)-YEAR($B$76))+MONTH($B$77)-MONTH($B$76))))*(1+IF(MONTH(EH$3)=1,'Вводные'!$B$67,IF(AND(MONTH(EH$3)&gt;=5,MONTH(EH$3)&lt;=8),'Вводные'!$B$70,0))),0)</x:f>
      </x:c>
      <x:c r="EI79" t="n">
        <x:f>IF(AND(EI$3&gt;=$B$76,EI$3&lt;EDATE($B$76,MAX(1,'Вводные'!$H$91)),'Вводные'!$B$91="Да"),(1+'Вводные'!$AD$91*'Вводные'!$H$7*MIN(1,(12*(YEAR(EI$3)-YEAR($B$76))+MONTH(EI$3)-MONTH($B$76))/MAX(1,12*(YEAR($B$77)-YEAR($B$76))+MONTH($B$77)-MONTH($B$76))))*(1+IF(MONTH(EI$3)=1,'Вводные'!$B$67,IF(AND(MONTH(EI$3)&gt;=5,MONTH(EI$3)&lt;=8),'Вводные'!$B$70,0))),0)</x:f>
      </x:c>
      <x:c r="EJ79" t="n">
        <x:f>IF(AND(EJ$3&gt;=$B$76,EJ$3&lt;EDATE($B$76,MAX(1,'Вводные'!$H$91)),'Вводные'!$B$91="Да"),(1+'Вводные'!$AD$91*'Вводные'!$H$7*MIN(1,(12*(YEAR(EJ$3)-YEAR($B$76))+MONTH(EJ$3)-MONTH($B$76))/MAX(1,12*(YEAR($B$77)-YEAR($B$76))+MONTH($B$77)-MONTH($B$76))))*(1+IF(MONTH(EJ$3)=1,'Вводные'!$B$67,IF(AND(MONTH(EJ$3)&gt;=5,MONTH(EJ$3)&lt;=8),'Вводные'!$B$70,0))),0)</x:f>
      </x:c>
      <x:c r="EK79" t="n">
        <x:f>IF(AND(EK$3&gt;=$B$76,EK$3&lt;EDATE($B$76,MAX(1,'Вводные'!$H$91)),'Вводные'!$B$91="Да"),(1+'Вводные'!$AD$91*'Вводные'!$H$7*MIN(1,(12*(YEAR(EK$3)-YEAR($B$76))+MONTH(EK$3)-MONTH($B$76))/MAX(1,12*(YEAR($B$77)-YEAR($B$76))+MONTH($B$77)-MONTH($B$76))))*(1+IF(MONTH(EK$3)=1,'Вводные'!$B$67,IF(AND(MONTH(EK$3)&gt;=5,MONTH(EK$3)&lt;=8),'Вводные'!$B$70,0))),0)</x:f>
      </x:c>
      <x:c r="EL79" t="n">
        <x:f>IF(AND(EL$3&gt;=$B$76,EL$3&lt;EDATE($B$76,MAX(1,'Вводные'!$H$91)),'Вводные'!$B$91="Да"),(1+'Вводные'!$AD$91*'Вводные'!$H$7*MIN(1,(12*(YEAR(EL$3)-YEAR($B$76))+MONTH(EL$3)-MONTH($B$76))/MAX(1,12*(YEAR($B$77)-YEAR($B$76))+MONTH($B$77)-MONTH($B$76))))*(1+IF(MONTH(EL$3)=1,'Вводные'!$B$67,IF(AND(MONTH(EL$3)&gt;=5,MONTH(EL$3)&lt;=8),'Вводные'!$B$70,0))),0)</x:f>
      </x:c>
      <x:c r="EM79" t="n">
        <x:f>IF(AND(EM$3&gt;=$B$76,EM$3&lt;EDATE($B$76,MAX(1,'Вводные'!$H$91)),'Вводные'!$B$91="Да"),(1+'Вводные'!$AD$91*'Вводные'!$H$7*MIN(1,(12*(YEAR(EM$3)-YEAR($B$76))+MONTH(EM$3)-MONTH($B$76))/MAX(1,12*(YEAR($B$77)-YEAR($B$76))+MONTH($B$77)-MONTH($B$76))))*(1+IF(MONTH(EM$3)=1,'Вводные'!$B$67,IF(AND(MONTH(EM$3)&gt;=5,MONTH(EM$3)&lt;=8),'Вводные'!$B$70,0))),0)</x:f>
      </x:c>
      <x:c r="EN79" t="n">
        <x:f>IF(AND(EN$3&gt;=$B$76,EN$3&lt;EDATE($B$76,MAX(1,'Вводные'!$H$91)),'Вводные'!$B$91="Да"),(1+'Вводные'!$AD$91*'Вводные'!$H$7*MIN(1,(12*(YEAR(EN$3)-YEAR($B$76))+MONTH(EN$3)-MONTH($B$76))/MAX(1,12*(YEAR($B$77)-YEAR($B$76))+MONTH($B$77)-MONTH($B$76))))*(1+IF(MONTH(EN$3)=1,'Вводные'!$B$67,IF(AND(MONTH(EN$3)&gt;=5,MONTH(EN$3)&lt;=8),'Вводные'!$B$70,0))),0)</x:f>
      </x:c>
      <x:c r="EO79" t="n">
        <x:f>IF(AND(EO$3&gt;=$B$76,EO$3&lt;EDATE($B$76,MAX(1,'Вводные'!$H$91)),'Вводные'!$B$91="Да"),(1+'Вводные'!$AD$91*'Вводные'!$H$7*MIN(1,(12*(YEAR(EO$3)-YEAR($B$76))+MONTH(EO$3)-MONTH($B$76))/MAX(1,12*(YEAR($B$77)-YEAR($B$76))+MONTH($B$77)-MONTH($B$76))))*(1+IF(MONTH(EO$3)=1,'Вводные'!$B$67,IF(AND(MONTH(EO$3)&gt;=5,MONTH(EO$3)&lt;=8),'Вводные'!$B$70,0))),0)</x:f>
      </x:c>
      <x:c r="EP79" t="n">
        <x:f>IF(AND(EP$3&gt;=$B$76,EP$3&lt;EDATE($B$76,MAX(1,'Вводные'!$H$91)),'Вводные'!$B$91="Да"),(1+'Вводные'!$AD$91*'Вводные'!$H$7*MIN(1,(12*(YEAR(EP$3)-YEAR($B$76))+MONTH(EP$3)-MONTH($B$76))/MAX(1,12*(YEAR($B$77)-YEAR($B$76))+MONTH($B$77)-MONTH($B$76))))*(1+IF(MONTH(EP$3)=1,'Вводные'!$B$67,IF(AND(MONTH(EP$3)&gt;=5,MONTH(EP$3)&lt;=8),'Вводные'!$B$70,0))),0)</x:f>
      </x:c>
      <x:c r="EQ79" t="n">
        <x:f>IF(AND(EQ$3&gt;=$B$76,EQ$3&lt;EDATE($B$76,MAX(1,'Вводные'!$H$91)),'Вводные'!$B$91="Да"),(1+'Вводные'!$AD$91*'Вводные'!$H$7*MIN(1,(12*(YEAR(EQ$3)-YEAR($B$76))+MONTH(EQ$3)-MONTH($B$76))/MAX(1,12*(YEAR($B$77)-YEAR($B$76))+MONTH($B$77)-MONTH($B$76))))*(1+IF(MONTH(EQ$3)=1,'Вводные'!$B$67,IF(AND(MONTH(EQ$3)&gt;=5,MONTH(EQ$3)&lt;=8),'Вводные'!$B$70,0))),0)</x:f>
      </x:c>
      <x:c r="ER79" t="n">
        <x:f>IF(AND(ER$3&gt;=$B$76,ER$3&lt;EDATE($B$76,MAX(1,'Вводные'!$H$91)),'Вводные'!$B$91="Да"),(1+'Вводные'!$AD$91*'Вводные'!$H$7*MIN(1,(12*(YEAR(ER$3)-YEAR($B$76))+MONTH(ER$3)-MONTH($B$76))/MAX(1,12*(YEAR($B$77)-YEAR($B$76))+MONTH($B$77)-MONTH($B$76))))*(1+IF(MONTH(ER$3)=1,'Вводные'!$B$67,IF(AND(MONTH(ER$3)&gt;=5,MONTH(ER$3)&lt;=8),'Вводные'!$B$70,0))),0)</x:f>
      </x:c>
      <x:c r="ES79" t="n">
        <x:f>IF(AND(ES$3&gt;=$B$76,ES$3&lt;EDATE($B$76,MAX(1,'Вводные'!$H$91)),'Вводные'!$B$91="Да"),(1+'Вводные'!$AD$91*'Вводные'!$H$7*MIN(1,(12*(YEAR(ES$3)-YEAR($B$76))+MONTH(ES$3)-MONTH($B$76))/MAX(1,12*(YEAR($B$77)-YEAR($B$76))+MONTH($B$77)-MONTH($B$76))))*(1+IF(MONTH(ES$3)=1,'Вводные'!$B$67,IF(AND(MONTH(ES$3)&gt;=5,MONTH(ES$3)&lt;=8),'Вводные'!$B$70,0))),0)</x:f>
      </x:c>
      <x:c r="ET79" t="n">
        <x:f>IF(AND(ET$3&gt;=$B$76,ET$3&lt;EDATE($B$76,MAX(1,'Вводные'!$H$91)),'Вводные'!$B$91="Да"),(1+'Вводные'!$AD$91*'Вводные'!$H$7*MIN(1,(12*(YEAR(ET$3)-YEAR($B$76))+MONTH(ET$3)-MONTH($B$76))/MAX(1,12*(YEAR($B$77)-YEAR($B$76))+MONTH($B$77)-MONTH($B$76))))*(1+IF(MONTH(ET$3)=1,'Вводные'!$B$67,IF(AND(MONTH(ET$3)&gt;=5,MONTH(ET$3)&lt;=8),'Вводные'!$B$70,0))),0)</x:f>
      </x:c>
      <x:c r="EU79" t="n">
        <x:f>IF(AND(EU$3&gt;=$B$76,EU$3&lt;EDATE($B$76,MAX(1,'Вводные'!$H$91)),'Вводные'!$B$91="Да"),(1+'Вводные'!$AD$91*'Вводные'!$H$7*MIN(1,(12*(YEAR(EU$3)-YEAR($B$76))+MONTH(EU$3)-MONTH($B$76))/MAX(1,12*(YEAR($B$77)-YEAR($B$76))+MONTH($B$77)-MONTH($B$76))))*(1+IF(MONTH(EU$3)=1,'Вводные'!$B$67,IF(AND(MONTH(EU$3)&gt;=5,MONTH(EU$3)&lt;=8),'Вводные'!$B$70,0))),0)</x:f>
      </x:c>
      <x:c r="EV79" t="n">
        <x:f>IF(AND(EV$3&gt;=$B$76,EV$3&lt;EDATE($B$76,MAX(1,'Вводные'!$H$91)),'Вводные'!$B$91="Да"),(1+'Вводные'!$AD$91*'Вводные'!$H$7*MIN(1,(12*(YEAR(EV$3)-YEAR($B$76))+MONTH(EV$3)-MONTH($B$76))/MAX(1,12*(YEAR($B$77)-YEAR($B$76))+MONTH($B$77)-MONTH($B$76))))*(1+IF(MONTH(EV$3)=1,'Вводные'!$B$67,IF(AND(MONTH(EV$3)&gt;=5,MONTH(EV$3)&lt;=8),'Вводные'!$B$70,0))),0)</x:f>
      </x:c>
      <x:c r="EW79" t="n">
        <x:f>IF(AND(EW$3&gt;=$B$76,EW$3&lt;EDATE($B$76,MAX(1,'Вводные'!$H$91)),'Вводные'!$B$91="Да"),(1+'Вводные'!$AD$91*'Вводные'!$H$7*MIN(1,(12*(YEAR(EW$3)-YEAR($B$76))+MONTH(EW$3)-MONTH($B$76))/MAX(1,12*(YEAR($B$77)-YEAR($B$76))+MONTH($B$77)-MONTH($B$76))))*(1+IF(MONTH(EW$3)=1,'Вводные'!$B$67,IF(AND(MONTH(EW$3)&gt;=5,MONTH(EW$3)&lt;=8),'Вводные'!$B$70,0))),0)</x:f>
      </x:c>
      <x:c r="EX79" t="n">
        <x:f>IF(AND(EX$3&gt;=$B$76,EX$3&lt;EDATE($B$76,MAX(1,'Вводные'!$H$91)),'Вводные'!$B$91="Да"),(1+'Вводные'!$AD$91*'Вводные'!$H$7*MIN(1,(12*(YEAR(EX$3)-YEAR($B$76))+MONTH(EX$3)-MONTH($B$76))/MAX(1,12*(YEAR($B$77)-YEAR($B$76))+MONTH($B$77)-MONTH($B$76))))*(1+IF(MONTH(EX$3)=1,'Вводные'!$B$67,IF(AND(MONTH(EX$3)&gt;=5,MONTH(EX$3)&lt;=8),'Вводные'!$B$70,0))),0)</x:f>
      </x:c>
      <x:c r="EY79" t="n">
        <x:f>IF(AND(EY$3&gt;=$B$76,EY$3&lt;EDATE($B$76,MAX(1,'Вводные'!$H$91)),'Вводные'!$B$91="Да"),(1+'Вводные'!$AD$91*'Вводные'!$H$7*MIN(1,(12*(YEAR(EY$3)-YEAR($B$76))+MONTH(EY$3)-MONTH($B$76))/MAX(1,12*(YEAR($B$77)-YEAR($B$76))+MONTH($B$77)-MONTH($B$76))))*(1+IF(MONTH(EY$3)=1,'Вводные'!$B$67,IF(AND(MONTH(EY$3)&gt;=5,MONTH(EY$3)&lt;=8),'Вводные'!$B$70,0))),0)</x:f>
      </x:c>
      <x:c r="EZ79" t="n">
        <x:f>IF(AND(EZ$3&gt;=$B$76,EZ$3&lt;EDATE($B$76,MAX(1,'Вводные'!$H$91)),'Вводные'!$B$91="Да"),(1+'Вводные'!$AD$91*'Вводные'!$H$7*MIN(1,(12*(YEAR(EZ$3)-YEAR($B$76))+MONTH(EZ$3)-MONTH($B$76))/MAX(1,12*(YEAR($B$77)-YEAR($B$76))+MONTH($B$77)-MONTH($B$76))))*(1+IF(MONTH(EZ$3)=1,'Вводные'!$B$67,IF(AND(MONTH(EZ$3)&gt;=5,MONTH(EZ$3)&lt;=8),'Вводные'!$B$70,0))),0)</x:f>
      </x:c>
      <x:c r="FA79" t="n">
        <x:f>IF(AND(FA$3&gt;=$B$76,FA$3&lt;EDATE($B$76,MAX(1,'Вводные'!$H$91)),'Вводные'!$B$91="Да"),(1+'Вводные'!$AD$91*'Вводные'!$H$7*MIN(1,(12*(YEAR(FA$3)-YEAR($B$76))+MONTH(FA$3)-MONTH($B$76))/MAX(1,12*(YEAR($B$77)-YEAR($B$76))+MONTH($B$77)-MONTH($B$76))))*(1+IF(MONTH(FA$3)=1,'Вводные'!$B$67,IF(AND(MONTH(FA$3)&gt;=5,MONTH(FA$3)&lt;=8),'Вводные'!$B$70,0))),0)</x:f>
      </x:c>
      <x:c r="FB79" t="n">
        <x:f>IF(AND(FB$3&gt;=$B$76,FB$3&lt;EDATE($B$76,MAX(1,'Вводные'!$H$91)),'Вводные'!$B$91="Да"),(1+'Вводные'!$AD$91*'Вводные'!$H$7*MIN(1,(12*(YEAR(FB$3)-YEAR($B$76))+MONTH(FB$3)-MONTH($B$76))/MAX(1,12*(YEAR($B$77)-YEAR($B$76))+MONTH($B$77)-MONTH($B$76))))*(1+IF(MONTH(FB$3)=1,'Вводные'!$B$67,IF(AND(MONTH(FB$3)&gt;=5,MONTH(FB$3)&lt;=8),'Вводные'!$B$70,0))),0)</x:f>
      </x:c>
      <x:c r="FC79" t="n">
        <x:f>IF(AND(FC$3&gt;=$B$76,FC$3&lt;EDATE($B$76,MAX(1,'Вводные'!$H$91)),'Вводные'!$B$91="Да"),(1+'Вводные'!$AD$91*'Вводные'!$H$7*MIN(1,(12*(YEAR(FC$3)-YEAR($B$76))+MONTH(FC$3)-MONTH($B$76))/MAX(1,12*(YEAR($B$77)-YEAR($B$76))+MONTH($B$77)-MONTH($B$76))))*(1+IF(MONTH(FC$3)=1,'Вводные'!$B$67,IF(AND(MONTH(FC$3)&gt;=5,MONTH(FC$3)&lt;=8),'Вводные'!$B$70,0))),0)</x:f>
      </x:c>
      <x:c r="FD79" t="n">
        <x:f>IF(AND(FD$3&gt;=$B$76,FD$3&lt;EDATE($B$76,MAX(1,'Вводные'!$H$91)),'Вводные'!$B$91="Да"),(1+'Вводные'!$AD$91*'Вводные'!$H$7*MIN(1,(12*(YEAR(FD$3)-YEAR($B$76))+MONTH(FD$3)-MONTH($B$76))/MAX(1,12*(YEAR($B$77)-YEAR($B$76))+MONTH($B$77)-MONTH($B$76))))*(1+IF(MONTH(FD$3)=1,'Вводные'!$B$67,IF(AND(MONTH(FD$3)&gt;=5,MONTH(FD$3)&lt;=8),'Вводные'!$B$70,0))),0)</x:f>
      </x:c>
      <x:c r="FE79" t="n">
        <x:f>IF(AND(FE$3&gt;=$B$76,FE$3&lt;EDATE($B$76,MAX(1,'Вводные'!$H$91)),'Вводные'!$B$91="Да"),(1+'Вводные'!$AD$91*'Вводные'!$H$7*MIN(1,(12*(YEAR(FE$3)-YEAR($B$76))+MONTH(FE$3)-MONTH($B$76))/MAX(1,12*(YEAR($B$77)-YEAR($B$76))+MONTH($B$77)-MONTH($B$76))))*(1+IF(MONTH(FE$3)=1,'Вводные'!$B$67,IF(AND(MONTH(FE$3)&gt;=5,MONTH(FE$3)&lt;=8),'Вводные'!$B$70,0))),0)</x:f>
      </x:c>
      <x:c r="FF79" t="n">
        <x:f>IF(AND(FF$3&gt;=$B$76,FF$3&lt;EDATE($B$76,MAX(1,'Вводные'!$H$91)),'Вводные'!$B$91="Да"),(1+'Вводные'!$AD$91*'Вводные'!$H$7*MIN(1,(12*(YEAR(FF$3)-YEAR($B$76))+MONTH(FF$3)-MONTH($B$76))/MAX(1,12*(YEAR($B$77)-YEAR($B$76))+MONTH($B$77)-MONTH($B$76))))*(1+IF(MONTH(FF$3)=1,'Вводные'!$B$67,IF(AND(MONTH(FF$3)&gt;=5,MONTH(FF$3)&lt;=8),'Вводные'!$B$70,0))),0)</x:f>
      </x:c>
      <x:c r="FG79" t="n">
        <x:f>IF(AND(FG$3&gt;=$B$76,FG$3&lt;EDATE($B$76,MAX(1,'Вводные'!$H$91)),'Вводные'!$B$91="Да"),(1+'Вводные'!$AD$91*'Вводные'!$H$7*MIN(1,(12*(YEAR(FG$3)-YEAR($B$76))+MONTH(FG$3)-MONTH($B$76))/MAX(1,12*(YEAR($B$77)-YEAR($B$76))+MONTH($B$77)-MONTH($B$76))))*(1+IF(MONTH(FG$3)=1,'Вводные'!$B$67,IF(AND(MONTH(FG$3)&gt;=5,MONTH(FG$3)&lt;=8),'Вводные'!$B$70,0))),0)</x:f>
      </x:c>
      <x:c r="FH79" t="n">
        <x:f>IF(AND(FH$3&gt;=$B$76,FH$3&lt;EDATE($B$76,MAX(1,'Вводные'!$H$91)),'Вводные'!$B$91="Да"),(1+'Вводные'!$AD$91*'Вводные'!$H$7*MIN(1,(12*(YEAR(FH$3)-YEAR($B$76))+MONTH(FH$3)-MONTH($B$76))/MAX(1,12*(YEAR($B$77)-YEAR($B$76))+MONTH($B$77)-MONTH($B$76))))*(1+IF(MONTH(FH$3)=1,'Вводные'!$B$67,IF(AND(MONTH(FH$3)&gt;=5,MONTH(FH$3)&lt;=8),'Вводные'!$B$70,0))),0)</x:f>
      </x:c>
      <x:c r="FI79" t="n">
        <x:f>IF(AND(FI$3&gt;=$B$76,FI$3&lt;EDATE($B$76,MAX(1,'Вводные'!$H$91)),'Вводные'!$B$91="Да"),(1+'Вводные'!$AD$91*'Вводные'!$H$7*MIN(1,(12*(YEAR(FI$3)-YEAR($B$76))+MONTH(FI$3)-MONTH($B$76))/MAX(1,12*(YEAR($B$77)-YEAR($B$76))+MONTH($B$77)-MONTH($B$76))))*(1+IF(MONTH(FI$3)=1,'Вводные'!$B$67,IF(AND(MONTH(FI$3)&gt;=5,MONTH(FI$3)&lt;=8),'Вводные'!$B$70,0))),0)</x:f>
      </x:c>
      <x:c r="FJ79" t="n">
        <x:f>IF(AND(FJ$3&gt;=$B$76,FJ$3&lt;EDATE($B$76,MAX(1,'Вводные'!$H$91)),'Вводные'!$B$91="Да"),(1+'Вводные'!$AD$91*'Вводные'!$H$7*MIN(1,(12*(YEAR(FJ$3)-YEAR($B$76))+MONTH(FJ$3)-MONTH($B$76))/MAX(1,12*(YEAR($B$77)-YEAR($B$76))+MONTH($B$77)-MONTH($B$76))))*(1+IF(MONTH(FJ$3)=1,'Вводные'!$B$67,IF(AND(MONTH(FJ$3)&gt;=5,MONTH(FJ$3)&lt;=8),'Вводные'!$B$70,0))),0)</x:f>
      </x:c>
      <x:c r="FK79" t="n">
        <x:f>IF(AND(FK$3&gt;=$B$76,FK$3&lt;EDATE($B$76,MAX(1,'Вводные'!$H$91)),'Вводные'!$B$91="Да"),(1+'Вводные'!$AD$91*'Вводные'!$H$7*MIN(1,(12*(YEAR(FK$3)-YEAR($B$76))+MONTH(FK$3)-MONTH($B$76))/MAX(1,12*(YEAR($B$77)-YEAR($B$76))+MONTH($B$77)-MONTH($B$76))))*(1+IF(MONTH(FK$3)=1,'Вводные'!$B$67,IF(AND(MONTH(FK$3)&gt;=5,MONTH(FK$3)&lt;=8),'Вводные'!$B$70,0))),0)</x:f>
      </x:c>
      <x:c r="FL79" t="n">
        <x:f>IF(AND(FL$3&gt;=$B$76,FL$3&lt;EDATE($B$76,MAX(1,'Вводные'!$H$91)),'Вводные'!$B$91="Да"),(1+'Вводные'!$AD$91*'Вводные'!$H$7*MIN(1,(12*(YEAR(FL$3)-YEAR($B$76))+MONTH(FL$3)-MONTH($B$76))/MAX(1,12*(YEAR($B$77)-YEAR($B$76))+MONTH($B$77)-MONTH($B$76))))*(1+IF(MONTH(FL$3)=1,'Вводные'!$B$67,IF(AND(MONTH(FL$3)&gt;=5,MONTH(FL$3)&lt;=8),'Вводные'!$B$70,0))),0)</x:f>
      </x:c>
      <x:c r="FM79" t="n">
        <x:f>IF(AND(FM$3&gt;=$B$76,FM$3&lt;EDATE($B$76,MAX(1,'Вводные'!$H$91)),'Вводные'!$B$91="Да"),(1+'Вводные'!$AD$91*'Вводные'!$H$7*MIN(1,(12*(YEAR(FM$3)-YEAR($B$76))+MONTH(FM$3)-MONTH($B$76))/MAX(1,12*(YEAR($B$77)-YEAR($B$76))+MONTH($B$77)-MONTH($B$76))))*(1+IF(MONTH(FM$3)=1,'Вводные'!$B$67,IF(AND(MONTH(FM$3)&gt;=5,MONTH(FM$3)&lt;=8),'Вводные'!$B$70,0))),0)</x:f>
      </x:c>
      <x:c r="FN79" t="n">
        <x:f>IF(AND(FN$3&gt;=$B$76,FN$3&lt;EDATE($B$76,MAX(1,'Вводные'!$H$91)),'Вводные'!$B$91="Да"),(1+'Вводные'!$AD$91*'Вводные'!$H$7*MIN(1,(12*(YEAR(FN$3)-YEAR($B$76))+MONTH(FN$3)-MONTH($B$76))/MAX(1,12*(YEAR($B$77)-YEAR($B$76))+MONTH($B$77)-MONTH($B$76))))*(1+IF(MONTH(FN$3)=1,'Вводные'!$B$67,IF(AND(MONTH(FN$3)&gt;=5,MONTH(FN$3)&lt;=8),'Вводные'!$B$70,0))),0)</x:f>
      </x:c>
      <x:c r="FO79" t="n">
        <x:f>IF(AND(FO$3&gt;=$B$76,FO$3&lt;EDATE($B$76,MAX(1,'Вводные'!$H$91)),'Вводные'!$B$91="Да"),(1+'Вводные'!$AD$91*'Вводные'!$H$7*MIN(1,(12*(YEAR(FO$3)-YEAR($B$76))+MONTH(FO$3)-MONTH($B$76))/MAX(1,12*(YEAR($B$77)-YEAR($B$76))+MONTH($B$77)-MONTH($B$76))))*(1+IF(MONTH(FO$3)=1,'Вводные'!$B$67,IF(AND(MONTH(FO$3)&gt;=5,MONTH(FO$3)&lt;=8),'Вводные'!$B$70,0))),0)</x:f>
      </x:c>
      <x:c r="FP79" t="n">
        <x:f>IF(AND(FP$3&gt;=$B$76,FP$3&lt;EDATE($B$76,MAX(1,'Вводные'!$H$91)),'Вводные'!$B$91="Да"),(1+'Вводные'!$AD$91*'Вводные'!$H$7*MIN(1,(12*(YEAR(FP$3)-YEAR($B$76))+MONTH(FP$3)-MONTH($B$76))/MAX(1,12*(YEAR($B$77)-YEAR($B$76))+MONTH($B$77)-MONTH($B$76))))*(1+IF(MONTH(FP$3)=1,'Вводные'!$B$67,IF(AND(MONTH(FP$3)&gt;=5,MONTH(FP$3)&lt;=8),'Вводные'!$B$70,0))),0)</x:f>
      </x:c>
      <x:c r="FQ79" t="n">
        <x:f>IF(AND(FQ$3&gt;=$B$76,FQ$3&lt;EDATE($B$76,MAX(1,'Вводные'!$H$91)),'Вводные'!$B$91="Да"),(1+'Вводные'!$AD$91*'Вводные'!$H$7*MIN(1,(12*(YEAR(FQ$3)-YEAR($B$76))+MONTH(FQ$3)-MONTH($B$76))/MAX(1,12*(YEAR($B$77)-YEAR($B$76))+MONTH($B$77)-MONTH($B$76))))*(1+IF(MONTH(FQ$3)=1,'Вводные'!$B$67,IF(AND(MONTH(FQ$3)&gt;=5,MONTH(FQ$3)&lt;=8),'Вводные'!$B$70,0))),0)</x:f>
      </x:c>
      <x:c r="FR79" t="n">
        <x:f>IF(AND(FR$3&gt;=$B$76,FR$3&lt;EDATE($B$76,MAX(1,'Вводные'!$H$91)),'Вводные'!$B$91="Да"),(1+'Вводные'!$AD$91*'Вводные'!$H$7*MIN(1,(12*(YEAR(FR$3)-YEAR($B$76))+MONTH(FR$3)-MONTH($B$76))/MAX(1,12*(YEAR($B$77)-YEAR($B$76))+MONTH($B$77)-MONTH($B$76))))*(1+IF(MONTH(FR$3)=1,'Вводные'!$B$67,IF(AND(MONTH(FR$3)&gt;=5,MONTH(FR$3)&lt;=8),'Вводные'!$B$70,0))),0)</x:f>
      </x:c>
      <x:c r="FS79" t="n">
        <x:f>IF(AND(FS$3&gt;=$B$76,FS$3&lt;EDATE($B$76,MAX(1,'Вводные'!$H$91)),'Вводные'!$B$91="Да"),(1+'Вводные'!$AD$91*'Вводные'!$H$7*MIN(1,(12*(YEAR(FS$3)-YEAR($B$76))+MONTH(FS$3)-MONTH($B$76))/MAX(1,12*(YEAR($B$77)-YEAR($B$76))+MONTH($B$77)-MONTH($B$76))))*(1+IF(MONTH(FS$3)=1,'Вводные'!$B$67,IF(AND(MONTH(FS$3)&gt;=5,MONTH(FS$3)&lt;=8),'Вводные'!$B$70,0))),0)</x:f>
      </x:c>
      <x:c r="FT79" t="n">
        <x:f>IF(AND(FT$3&gt;=$B$76,FT$3&lt;EDATE($B$76,MAX(1,'Вводные'!$H$91)),'Вводные'!$B$91="Да"),(1+'Вводные'!$AD$91*'Вводные'!$H$7*MIN(1,(12*(YEAR(FT$3)-YEAR($B$76))+MONTH(FT$3)-MONTH($B$76))/MAX(1,12*(YEAR($B$77)-YEAR($B$76))+MONTH($B$77)-MONTH($B$76))))*(1+IF(MONTH(FT$3)=1,'Вводные'!$B$67,IF(AND(MONTH(FT$3)&gt;=5,MONTH(FT$3)&lt;=8),'Вводные'!$B$70,0))),0)</x:f>
      </x:c>
      <x:c r="FU79" t="n">
        <x:f>IF(AND(FU$3&gt;=$B$76,FU$3&lt;EDATE($B$76,MAX(1,'Вводные'!$H$91)),'Вводные'!$B$91="Да"),(1+'Вводные'!$AD$91*'Вводные'!$H$7*MIN(1,(12*(YEAR(FU$3)-YEAR($B$76))+MONTH(FU$3)-MONTH($B$76))/MAX(1,12*(YEAR($B$77)-YEAR($B$76))+MONTH($B$77)-MONTH($B$76))))*(1+IF(MONTH(FU$3)=1,'Вводные'!$B$67,IF(AND(MONTH(FU$3)&gt;=5,MONTH(FU$3)&lt;=8),'Вводные'!$B$70,0))),0)</x:f>
      </x:c>
      <x:c r="FV79" t="n">
        <x:f>IF(AND(FV$3&gt;=$B$76,FV$3&lt;EDATE($B$76,MAX(1,'Вводные'!$H$91)),'Вводные'!$B$91="Да"),(1+'Вводные'!$AD$91*'Вводные'!$H$7*MIN(1,(12*(YEAR(FV$3)-YEAR($B$76))+MONTH(FV$3)-MONTH($B$76))/MAX(1,12*(YEAR($B$77)-YEAR($B$76))+MONTH($B$77)-MONTH($B$76))))*(1+IF(MONTH(FV$3)=1,'Вводные'!$B$67,IF(AND(MONTH(FV$3)&gt;=5,MONTH(FV$3)&lt;=8),'Вводные'!$B$70,0))),0)</x:f>
      </x:c>
      <x:c r="FW79" t="n">
        <x:f>IF(AND(FW$3&gt;=$B$76,FW$3&lt;EDATE($B$76,MAX(1,'Вводные'!$H$91)),'Вводные'!$B$91="Да"),(1+'Вводные'!$AD$91*'Вводные'!$H$7*MIN(1,(12*(YEAR(FW$3)-YEAR($B$76))+MONTH(FW$3)-MONTH($B$76))/MAX(1,12*(YEAR($B$77)-YEAR($B$76))+MONTH($B$77)-MONTH($B$76))))*(1+IF(MONTH(FW$3)=1,'Вводные'!$B$67,IF(AND(MONTH(FW$3)&gt;=5,MONTH(FW$3)&lt;=8),'Вводные'!$B$70,0))),0)</x:f>
      </x:c>
      <x:c r="FX79" t="n">
        <x:f>IF(AND(FX$3&gt;=$B$76,FX$3&lt;EDATE($B$76,MAX(1,'Вводные'!$H$91)),'Вводные'!$B$91="Да"),(1+'Вводные'!$AD$91*'Вводные'!$H$7*MIN(1,(12*(YEAR(FX$3)-YEAR($B$76))+MONTH(FX$3)-MONTH($B$76))/MAX(1,12*(YEAR($B$77)-YEAR($B$76))+MONTH($B$77)-MONTH($B$76))))*(1+IF(MONTH(FX$3)=1,'Вводные'!$B$67,IF(AND(MONTH(FX$3)&gt;=5,MONTH(FX$3)&lt;=8),'Вводные'!$B$70,0))),0)</x:f>
      </x:c>
      <x:c r="FY79" t="n">
        <x:f>IF(AND(FY$3&gt;=$B$76,FY$3&lt;EDATE($B$76,MAX(1,'Вводные'!$H$91)),'Вводные'!$B$91="Да"),(1+'Вводные'!$AD$91*'Вводные'!$H$7*MIN(1,(12*(YEAR(FY$3)-YEAR($B$76))+MONTH(FY$3)-MONTH($B$76))/MAX(1,12*(YEAR($B$77)-YEAR($B$76))+MONTH($B$77)-MONTH($B$76))))*(1+IF(MONTH(FY$3)=1,'Вводные'!$B$67,IF(AND(MONTH(FY$3)&gt;=5,MONTH(FY$3)&lt;=8),'Вводные'!$B$70,0))),0)</x:f>
      </x:c>
      <x:c r="FZ79" t="n">
        <x:f>IF(AND(FZ$3&gt;=$B$76,FZ$3&lt;EDATE($B$76,MAX(1,'Вводные'!$H$91)),'Вводные'!$B$91="Да"),(1+'Вводные'!$AD$91*'Вводные'!$H$7*MIN(1,(12*(YEAR(FZ$3)-YEAR($B$76))+MONTH(FZ$3)-MONTH($B$76))/MAX(1,12*(YEAR($B$77)-YEAR($B$76))+MONTH($B$77)-MONTH($B$76))))*(1+IF(MONTH(FZ$3)=1,'Вводные'!$B$67,IF(AND(MONTH(FZ$3)&gt;=5,MONTH(FZ$3)&lt;=8),'Вводные'!$B$70,0))),0)</x:f>
      </x:c>
      <x:c r="GA79" t="n">
        <x:f>IF(AND(GA$3&gt;=$B$76,GA$3&lt;EDATE($B$76,MAX(1,'Вводные'!$H$91)),'Вводные'!$B$91="Да"),(1+'Вводные'!$AD$91*'Вводные'!$H$7*MIN(1,(12*(YEAR(GA$3)-YEAR($B$76))+MONTH(GA$3)-MONTH($B$76))/MAX(1,12*(YEAR($B$77)-YEAR($B$76))+MONTH($B$77)-MONTH($B$76))))*(1+IF(MONTH(GA$3)=1,'Вводные'!$B$67,IF(AND(MONTH(GA$3)&gt;=5,MONTH(GA$3)&lt;=8),'Вводные'!$B$70,0))),0)</x:f>
      </x:c>
    </x:row>
    <x:row r="80">
      <x:c r="A80" t="str">
        <x:v>Нормированный вес до РВЭ</x:v>
      </x:c>
      <x:c r="B80" t="n">
        <x:f>SUM(D80:GA80)</x:f>
      </x:c>
      <x:c r="C80" t="str">
        <x:v>%</x:v>
      </x:c>
      <x:c r="D80" s="35" t="n">
        <x:f>IFERROR(D79*D78/SUMPRODUCT($D79:$GA79,$D78:$GA78),0)</x:f>
      </x:c>
      <x:c r="E80" s="35" t="n">
        <x:f>IFERROR(E79*E78/SUMPRODUCT($D79:$GA79,$D78:$GA78),0)</x:f>
      </x:c>
      <x:c r="F80" s="35" t="n">
        <x:f>IFERROR(F79*F78/SUMPRODUCT($D79:$GA79,$D78:$GA78),0)</x:f>
      </x:c>
      <x:c r="G80" s="35" t="n">
        <x:f>IFERROR(G79*G78/SUMPRODUCT($D79:$GA79,$D78:$GA78),0)</x:f>
      </x:c>
      <x:c r="H80" s="35" t="n">
        <x:f>IFERROR(H79*H78/SUMPRODUCT($D79:$GA79,$D78:$GA78),0)</x:f>
      </x:c>
      <x:c r="I80" s="35" t="n">
        <x:f>IFERROR(I79*I78/SUMPRODUCT($D79:$GA79,$D78:$GA78),0)</x:f>
      </x:c>
      <x:c r="J80" s="35" t="n">
        <x:f>IFERROR(J79*J78/SUMPRODUCT($D79:$GA79,$D78:$GA78),0)</x:f>
      </x:c>
      <x:c r="K80" s="35" t="n">
        <x:f>IFERROR(K79*K78/SUMPRODUCT($D79:$GA79,$D78:$GA78),0)</x:f>
      </x:c>
      <x:c r="L80" s="35" t="n">
        <x:f>IFERROR(L79*L78/SUMPRODUCT($D79:$GA79,$D78:$GA78),0)</x:f>
      </x:c>
      <x:c r="M80" s="35" t="n">
        <x:f>IFERROR(M79*M78/SUMPRODUCT($D79:$GA79,$D78:$GA78),0)</x:f>
      </x:c>
      <x:c r="N80" s="35" t="n">
        <x:f>IFERROR(N79*N78/SUMPRODUCT($D79:$GA79,$D78:$GA78),0)</x:f>
      </x:c>
      <x:c r="O80" s="35" t="n">
        <x:f>IFERROR(O79*O78/SUMPRODUCT($D79:$GA79,$D78:$GA78),0)</x:f>
      </x:c>
      <x:c r="P80" s="35" t="n">
        <x:f>IFERROR(P79*P78/SUMPRODUCT($D79:$GA79,$D78:$GA78),0)</x:f>
      </x:c>
      <x:c r="Q80" s="35" t="n">
        <x:f>IFERROR(Q79*Q78/SUMPRODUCT($D79:$GA79,$D78:$GA78),0)</x:f>
      </x:c>
      <x:c r="R80" s="35" t="n">
        <x:f>IFERROR(R79*R78/SUMPRODUCT($D79:$GA79,$D78:$GA78),0)</x:f>
      </x:c>
      <x:c r="S80" s="35" t="n">
        <x:f>IFERROR(S79*S78/SUMPRODUCT($D79:$GA79,$D78:$GA78),0)</x:f>
      </x:c>
      <x:c r="T80" s="35" t="n">
        <x:f>IFERROR(T79*T78/SUMPRODUCT($D79:$GA79,$D78:$GA78),0)</x:f>
      </x:c>
      <x:c r="U80" s="35" t="n">
        <x:f>IFERROR(U79*U78/SUMPRODUCT($D79:$GA79,$D78:$GA78),0)</x:f>
      </x:c>
      <x:c r="V80" s="35" t="n">
        <x:f>IFERROR(V79*V78/SUMPRODUCT($D79:$GA79,$D78:$GA78),0)</x:f>
      </x:c>
      <x:c r="W80" s="35" t="n">
        <x:f>IFERROR(W79*W78/SUMPRODUCT($D79:$GA79,$D78:$GA78),0)</x:f>
      </x:c>
      <x:c r="X80" s="35" t="n">
        <x:f>IFERROR(X79*X78/SUMPRODUCT($D79:$GA79,$D78:$GA78),0)</x:f>
      </x:c>
      <x:c r="Y80" s="35" t="n">
        <x:f>IFERROR(Y79*Y78/SUMPRODUCT($D79:$GA79,$D78:$GA78),0)</x:f>
      </x:c>
      <x:c r="Z80" s="35" t="n">
        <x:f>IFERROR(Z79*Z78/SUMPRODUCT($D79:$GA79,$D78:$GA78),0)</x:f>
      </x:c>
      <x:c r="AA80" s="35" t="n">
        <x:f>IFERROR(AA79*AA78/SUMPRODUCT($D79:$GA79,$D78:$GA78),0)</x:f>
      </x:c>
      <x:c r="AB80" s="35" t="n">
        <x:f>IFERROR(AB79*AB78/SUMPRODUCT($D79:$GA79,$D78:$GA78),0)</x:f>
      </x:c>
      <x:c r="AC80" s="35" t="n">
        <x:f>IFERROR(AC79*AC78/SUMPRODUCT($D79:$GA79,$D78:$GA78),0)</x:f>
      </x:c>
      <x:c r="AD80" s="35" t="n">
        <x:f>IFERROR(AD79*AD78/SUMPRODUCT($D79:$GA79,$D78:$GA78),0)</x:f>
      </x:c>
      <x:c r="AE80" s="35" t="n">
        <x:f>IFERROR(AE79*AE78/SUMPRODUCT($D79:$GA79,$D78:$GA78),0)</x:f>
      </x:c>
      <x:c r="AF80" s="35" t="n">
        <x:f>IFERROR(AF79*AF78/SUMPRODUCT($D79:$GA79,$D78:$GA78),0)</x:f>
      </x:c>
      <x:c r="AG80" s="35" t="n">
        <x:f>IFERROR(AG79*AG78/SUMPRODUCT($D79:$GA79,$D78:$GA78),0)</x:f>
      </x:c>
      <x:c r="AH80" s="35" t="n">
        <x:f>IFERROR(AH79*AH78/SUMPRODUCT($D79:$GA79,$D78:$GA78),0)</x:f>
      </x:c>
      <x:c r="AI80" s="35" t="n">
        <x:f>IFERROR(AI79*AI78/SUMPRODUCT($D79:$GA79,$D78:$GA78),0)</x:f>
      </x:c>
      <x:c r="AJ80" s="35" t="n">
        <x:f>IFERROR(AJ79*AJ78/SUMPRODUCT($D79:$GA79,$D78:$GA78),0)</x:f>
      </x:c>
      <x:c r="AK80" s="35" t="n">
        <x:f>IFERROR(AK79*AK78/SUMPRODUCT($D79:$GA79,$D78:$GA78),0)</x:f>
      </x:c>
      <x:c r="AL80" s="35" t="n">
        <x:f>IFERROR(AL79*AL78/SUMPRODUCT($D79:$GA79,$D78:$GA78),0)</x:f>
      </x:c>
      <x:c r="AM80" s="35" t="n">
        <x:f>IFERROR(AM79*AM78/SUMPRODUCT($D79:$GA79,$D78:$GA78),0)</x:f>
      </x:c>
      <x:c r="AN80" s="35" t="n">
        <x:f>IFERROR(AN79*AN78/SUMPRODUCT($D79:$GA79,$D78:$GA78),0)</x:f>
      </x:c>
      <x:c r="AO80" s="35" t="n">
        <x:f>IFERROR(AO79*AO78/SUMPRODUCT($D79:$GA79,$D78:$GA78),0)</x:f>
      </x:c>
      <x:c r="AP80" s="35" t="n">
        <x:f>IFERROR(AP79*AP78/SUMPRODUCT($D79:$GA79,$D78:$GA78),0)</x:f>
      </x:c>
      <x:c r="AQ80" s="35" t="n">
        <x:f>IFERROR(AQ79*AQ78/SUMPRODUCT($D79:$GA79,$D78:$GA78),0)</x:f>
      </x:c>
      <x:c r="AR80" s="35" t="n">
        <x:f>IFERROR(AR79*AR78/SUMPRODUCT($D79:$GA79,$D78:$GA78),0)</x:f>
      </x:c>
      <x:c r="AS80" s="35" t="n">
        <x:f>IFERROR(AS79*AS78/SUMPRODUCT($D79:$GA79,$D78:$GA78),0)</x:f>
      </x:c>
      <x:c r="AT80" s="35" t="n">
        <x:f>IFERROR(AT79*AT78/SUMPRODUCT($D79:$GA79,$D78:$GA78),0)</x:f>
      </x:c>
      <x:c r="AU80" s="35" t="n">
        <x:f>IFERROR(AU79*AU78/SUMPRODUCT($D79:$GA79,$D78:$GA78),0)</x:f>
      </x:c>
      <x:c r="AV80" s="35" t="n">
        <x:f>IFERROR(AV79*AV78/SUMPRODUCT($D79:$GA79,$D78:$GA78),0)</x:f>
      </x:c>
      <x:c r="AW80" s="35" t="n">
        <x:f>IFERROR(AW79*AW78/SUMPRODUCT($D79:$GA79,$D78:$GA78),0)</x:f>
      </x:c>
      <x:c r="AX80" s="35" t="n">
        <x:f>IFERROR(AX79*AX78/SUMPRODUCT($D79:$GA79,$D78:$GA78),0)</x:f>
      </x:c>
      <x:c r="AY80" s="35" t="n">
        <x:f>IFERROR(AY79*AY78/SUMPRODUCT($D79:$GA79,$D78:$GA78),0)</x:f>
      </x:c>
      <x:c r="AZ80" s="35" t="n">
        <x:f>IFERROR(AZ79*AZ78/SUMPRODUCT($D79:$GA79,$D78:$GA78),0)</x:f>
      </x:c>
      <x:c r="BA80" s="35" t="n">
        <x:f>IFERROR(BA79*BA78/SUMPRODUCT($D79:$GA79,$D78:$GA78),0)</x:f>
      </x:c>
      <x:c r="BB80" s="35" t="n">
        <x:f>IFERROR(BB79*BB78/SUMPRODUCT($D79:$GA79,$D78:$GA78),0)</x:f>
      </x:c>
      <x:c r="BC80" s="35" t="n">
        <x:f>IFERROR(BC79*BC78/SUMPRODUCT($D79:$GA79,$D78:$GA78),0)</x:f>
      </x:c>
      <x:c r="BD80" s="35" t="n">
        <x:f>IFERROR(BD79*BD78/SUMPRODUCT($D79:$GA79,$D78:$GA78),0)</x:f>
      </x:c>
      <x:c r="BE80" s="35" t="n">
        <x:f>IFERROR(BE79*BE78/SUMPRODUCT($D79:$GA79,$D78:$GA78),0)</x:f>
      </x:c>
      <x:c r="BF80" s="35" t="n">
        <x:f>IFERROR(BF79*BF78/SUMPRODUCT($D79:$GA79,$D78:$GA78),0)</x:f>
      </x:c>
      <x:c r="BG80" s="35" t="n">
        <x:f>IFERROR(BG79*BG78/SUMPRODUCT($D79:$GA79,$D78:$GA78),0)</x:f>
      </x:c>
      <x:c r="BH80" s="35" t="n">
        <x:f>IFERROR(BH79*BH78/SUMPRODUCT($D79:$GA79,$D78:$GA78),0)</x:f>
      </x:c>
      <x:c r="BI80" s="35" t="n">
        <x:f>IFERROR(BI79*BI78/SUMPRODUCT($D79:$GA79,$D78:$GA78),0)</x:f>
      </x:c>
      <x:c r="BJ80" s="35" t="n">
        <x:f>IFERROR(BJ79*BJ78/SUMPRODUCT($D79:$GA79,$D78:$GA78),0)</x:f>
      </x:c>
      <x:c r="BK80" s="35" t="n">
        <x:f>IFERROR(BK79*BK78/SUMPRODUCT($D79:$GA79,$D78:$GA78),0)</x:f>
      </x:c>
      <x:c r="BL80" s="35" t="n">
        <x:f>IFERROR(BL79*BL78/SUMPRODUCT($D79:$GA79,$D78:$GA78),0)</x:f>
      </x:c>
      <x:c r="BM80" s="35" t="n">
        <x:f>IFERROR(BM79*BM78/SUMPRODUCT($D79:$GA79,$D78:$GA78),0)</x:f>
      </x:c>
      <x:c r="BN80" s="35" t="n">
        <x:f>IFERROR(BN79*BN78/SUMPRODUCT($D79:$GA79,$D78:$GA78),0)</x:f>
      </x:c>
      <x:c r="BO80" s="35" t="n">
        <x:f>IFERROR(BO79*BO78/SUMPRODUCT($D79:$GA79,$D78:$GA78),0)</x:f>
      </x:c>
      <x:c r="BP80" s="35" t="n">
        <x:f>IFERROR(BP79*BP78/SUMPRODUCT($D79:$GA79,$D78:$GA78),0)</x:f>
      </x:c>
      <x:c r="BQ80" s="35" t="n">
        <x:f>IFERROR(BQ79*BQ78/SUMPRODUCT($D79:$GA79,$D78:$GA78),0)</x:f>
      </x:c>
      <x:c r="BR80" s="35" t="n">
        <x:f>IFERROR(BR79*BR78/SUMPRODUCT($D79:$GA79,$D78:$GA78),0)</x:f>
      </x:c>
      <x:c r="BS80" s="35" t="n">
        <x:f>IFERROR(BS79*BS78/SUMPRODUCT($D79:$GA79,$D78:$GA78),0)</x:f>
      </x:c>
      <x:c r="BT80" s="35" t="n">
        <x:f>IFERROR(BT79*BT78/SUMPRODUCT($D79:$GA79,$D78:$GA78),0)</x:f>
      </x:c>
      <x:c r="BU80" s="35" t="n">
        <x:f>IFERROR(BU79*BU78/SUMPRODUCT($D79:$GA79,$D78:$GA78),0)</x:f>
      </x:c>
      <x:c r="BV80" s="35" t="n">
        <x:f>IFERROR(BV79*BV78/SUMPRODUCT($D79:$GA79,$D78:$GA78),0)</x:f>
      </x:c>
      <x:c r="BW80" s="35" t="n">
        <x:f>IFERROR(BW79*BW78/SUMPRODUCT($D79:$GA79,$D78:$GA78),0)</x:f>
      </x:c>
      <x:c r="BX80" s="35" t="n">
        <x:f>IFERROR(BX79*BX78/SUMPRODUCT($D79:$GA79,$D78:$GA78),0)</x:f>
      </x:c>
      <x:c r="BY80" s="35" t="n">
        <x:f>IFERROR(BY79*BY78/SUMPRODUCT($D79:$GA79,$D78:$GA78),0)</x:f>
      </x:c>
      <x:c r="BZ80" s="35" t="n">
        <x:f>IFERROR(BZ79*BZ78/SUMPRODUCT($D79:$GA79,$D78:$GA78),0)</x:f>
      </x:c>
      <x:c r="CA80" s="35" t="n">
        <x:f>IFERROR(CA79*CA78/SUMPRODUCT($D79:$GA79,$D78:$GA78),0)</x:f>
      </x:c>
      <x:c r="CB80" s="35" t="n">
        <x:f>IFERROR(CB79*CB78/SUMPRODUCT($D79:$GA79,$D78:$GA78),0)</x:f>
      </x:c>
      <x:c r="CC80" s="35" t="n">
        <x:f>IFERROR(CC79*CC78/SUMPRODUCT($D79:$GA79,$D78:$GA78),0)</x:f>
      </x:c>
      <x:c r="CD80" s="35" t="n">
        <x:f>IFERROR(CD79*CD78/SUMPRODUCT($D79:$GA79,$D78:$GA78),0)</x:f>
      </x:c>
      <x:c r="CE80" s="35" t="n">
        <x:f>IFERROR(CE79*CE78/SUMPRODUCT($D79:$GA79,$D78:$GA78),0)</x:f>
      </x:c>
      <x:c r="CF80" s="35" t="n">
        <x:f>IFERROR(CF79*CF78/SUMPRODUCT($D79:$GA79,$D78:$GA78),0)</x:f>
      </x:c>
      <x:c r="CG80" s="35" t="n">
        <x:f>IFERROR(CG79*CG78/SUMPRODUCT($D79:$GA79,$D78:$GA78),0)</x:f>
      </x:c>
      <x:c r="CH80" s="35" t="n">
        <x:f>IFERROR(CH79*CH78/SUMPRODUCT($D79:$GA79,$D78:$GA78),0)</x:f>
      </x:c>
      <x:c r="CI80" s="35" t="n">
        <x:f>IFERROR(CI79*CI78/SUMPRODUCT($D79:$GA79,$D78:$GA78),0)</x:f>
      </x:c>
      <x:c r="CJ80" s="35" t="n">
        <x:f>IFERROR(CJ79*CJ78/SUMPRODUCT($D79:$GA79,$D78:$GA78),0)</x:f>
      </x:c>
      <x:c r="CK80" s="35" t="n">
        <x:f>IFERROR(CK79*CK78/SUMPRODUCT($D79:$GA79,$D78:$GA78),0)</x:f>
      </x:c>
      <x:c r="CL80" s="35" t="n">
        <x:f>IFERROR(CL79*CL78/SUMPRODUCT($D79:$GA79,$D78:$GA78),0)</x:f>
      </x:c>
      <x:c r="CM80" s="35" t="n">
        <x:f>IFERROR(CM79*CM78/SUMPRODUCT($D79:$GA79,$D78:$GA78),0)</x:f>
      </x:c>
      <x:c r="CN80" s="35" t="n">
        <x:f>IFERROR(CN79*CN78/SUMPRODUCT($D79:$GA79,$D78:$GA78),0)</x:f>
      </x:c>
      <x:c r="CO80" s="35" t="n">
        <x:f>IFERROR(CO79*CO78/SUMPRODUCT($D79:$GA79,$D78:$GA78),0)</x:f>
      </x:c>
      <x:c r="CP80" s="35" t="n">
        <x:f>IFERROR(CP79*CP78/SUMPRODUCT($D79:$GA79,$D78:$GA78),0)</x:f>
      </x:c>
      <x:c r="CQ80" s="35" t="n">
        <x:f>IFERROR(CQ79*CQ78/SUMPRODUCT($D79:$GA79,$D78:$GA78),0)</x:f>
      </x:c>
      <x:c r="CR80" s="35" t="n">
        <x:f>IFERROR(CR79*CR78/SUMPRODUCT($D79:$GA79,$D78:$GA78),0)</x:f>
      </x:c>
      <x:c r="CS80" s="35" t="n">
        <x:f>IFERROR(CS79*CS78/SUMPRODUCT($D79:$GA79,$D78:$GA78),0)</x:f>
      </x:c>
      <x:c r="CT80" s="35" t="n">
        <x:f>IFERROR(CT79*CT78/SUMPRODUCT($D79:$GA79,$D78:$GA78),0)</x:f>
      </x:c>
      <x:c r="CU80" s="35" t="n">
        <x:f>IFERROR(CU79*CU78/SUMPRODUCT($D79:$GA79,$D78:$GA78),0)</x:f>
      </x:c>
      <x:c r="CV80" s="35" t="n">
        <x:f>IFERROR(CV79*CV78/SUMPRODUCT($D79:$GA79,$D78:$GA78),0)</x:f>
      </x:c>
      <x:c r="CW80" s="35" t="n">
        <x:f>IFERROR(CW79*CW78/SUMPRODUCT($D79:$GA79,$D78:$GA78),0)</x:f>
      </x:c>
      <x:c r="CX80" s="35" t="n">
        <x:f>IFERROR(CX79*CX78/SUMPRODUCT($D79:$GA79,$D78:$GA78),0)</x:f>
      </x:c>
      <x:c r="CY80" s="35" t="n">
        <x:f>IFERROR(CY79*CY78/SUMPRODUCT($D79:$GA79,$D78:$GA78),0)</x:f>
      </x:c>
      <x:c r="CZ80" s="35" t="n">
        <x:f>IFERROR(CZ79*CZ78/SUMPRODUCT($D79:$GA79,$D78:$GA78),0)</x:f>
      </x:c>
      <x:c r="DA80" s="35" t="n">
        <x:f>IFERROR(DA79*DA78/SUMPRODUCT($D79:$GA79,$D78:$GA78),0)</x:f>
      </x:c>
      <x:c r="DB80" s="35" t="n">
        <x:f>IFERROR(DB79*DB78/SUMPRODUCT($D79:$GA79,$D78:$GA78),0)</x:f>
      </x:c>
      <x:c r="DC80" s="35" t="n">
        <x:f>IFERROR(DC79*DC78/SUMPRODUCT($D79:$GA79,$D78:$GA78),0)</x:f>
      </x:c>
      <x:c r="DD80" s="35" t="n">
        <x:f>IFERROR(DD79*DD78/SUMPRODUCT($D79:$GA79,$D78:$GA78),0)</x:f>
      </x:c>
      <x:c r="DE80" s="35" t="n">
        <x:f>IFERROR(DE79*DE78/SUMPRODUCT($D79:$GA79,$D78:$GA78),0)</x:f>
      </x:c>
      <x:c r="DF80" s="35" t="n">
        <x:f>IFERROR(DF79*DF78/SUMPRODUCT($D79:$GA79,$D78:$GA78),0)</x:f>
      </x:c>
      <x:c r="DG80" s="35" t="n">
        <x:f>IFERROR(DG79*DG78/SUMPRODUCT($D79:$GA79,$D78:$GA78),0)</x:f>
      </x:c>
      <x:c r="DH80" s="35" t="n">
        <x:f>IFERROR(DH79*DH78/SUMPRODUCT($D79:$GA79,$D78:$GA78),0)</x:f>
      </x:c>
      <x:c r="DI80" s="35" t="n">
        <x:f>IFERROR(DI79*DI78/SUMPRODUCT($D79:$GA79,$D78:$GA78),0)</x:f>
      </x:c>
      <x:c r="DJ80" s="35" t="n">
        <x:f>IFERROR(DJ79*DJ78/SUMPRODUCT($D79:$GA79,$D78:$GA78),0)</x:f>
      </x:c>
      <x:c r="DK80" s="35" t="n">
        <x:f>IFERROR(DK79*DK78/SUMPRODUCT($D79:$GA79,$D78:$GA78),0)</x:f>
      </x:c>
      <x:c r="DL80" s="35" t="n">
        <x:f>IFERROR(DL79*DL78/SUMPRODUCT($D79:$GA79,$D78:$GA78),0)</x:f>
      </x:c>
      <x:c r="DM80" s="35" t="n">
        <x:f>IFERROR(DM79*DM78/SUMPRODUCT($D79:$GA79,$D78:$GA78),0)</x:f>
      </x:c>
      <x:c r="DN80" s="35" t="n">
        <x:f>IFERROR(DN79*DN78/SUMPRODUCT($D79:$GA79,$D78:$GA78),0)</x:f>
      </x:c>
      <x:c r="DO80" s="35" t="n">
        <x:f>IFERROR(DO79*DO78/SUMPRODUCT($D79:$GA79,$D78:$GA78),0)</x:f>
      </x:c>
      <x:c r="DP80" s="35" t="n">
        <x:f>IFERROR(DP79*DP78/SUMPRODUCT($D79:$GA79,$D78:$GA78),0)</x:f>
      </x:c>
      <x:c r="DQ80" s="35" t="n">
        <x:f>IFERROR(DQ79*DQ78/SUMPRODUCT($D79:$GA79,$D78:$GA78),0)</x:f>
      </x:c>
      <x:c r="DR80" s="35" t="n">
        <x:f>IFERROR(DR79*DR78/SUMPRODUCT($D79:$GA79,$D78:$GA78),0)</x:f>
      </x:c>
      <x:c r="DS80" s="35" t="n">
        <x:f>IFERROR(DS79*DS78/SUMPRODUCT($D79:$GA79,$D78:$GA78),0)</x:f>
      </x:c>
      <x:c r="DT80" s="35" t="n">
        <x:f>IFERROR(DT79*DT78/SUMPRODUCT($D79:$GA79,$D78:$GA78),0)</x:f>
      </x:c>
      <x:c r="DU80" s="35" t="n">
        <x:f>IFERROR(DU79*DU78/SUMPRODUCT($D79:$GA79,$D78:$GA78),0)</x:f>
      </x:c>
      <x:c r="DV80" s="35" t="n">
        <x:f>IFERROR(DV79*DV78/SUMPRODUCT($D79:$GA79,$D78:$GA78),0)</x:f>
      </x:c>
      <x:c r="DW80" s="35" t="n">
        <x:f>IFERROR(DW79*DW78/SUMPRODUCT($D79:$GA79,$D78:$GA78),0)</x:f>
      </x:c>
      <x:c r="DX80" s="35" t="n">
        <x:f>IFERROR(DX79*DX78/SUMPRODUCT($D79:$GA79,$D78:$GA78),0)</x:f>
      </x:c>
      <x:c r="DY80" s="35" t="n">
        <x:f>IFERROR(DY79*DY78/SUMPRODUCT($D79:$GA79,$D78:$GA78),0)</x:f>
      </x:c>
      <x:c r="DZ80" s="35" t="n">
        <x:f>IFERROR(DZ79*DZ78/SUMPRODUCT($D79:$GA79,$D78:$GA78),0)</x:f>
      </x:c>
      <x:c r="EA80" s="35" t="n">
        <x:f>IFERROR(EA79*EA78/SUMPRODUCT($D79:$GA79,$D78:$GA78),0)</x:f>
      </x:c>
      <x:c r="EB80" s="35" t="n">
        <x:f>IFERROR(EB79*EB78/SUMPRODUCT($D79:$GA79,$D78:$GA78),0)</x:f>
      </x:c>
      <x:c r="EC80" s="35" t="n">
        <x:f>IFERROR(EC79*EC78/SUMPRODUCT($D79:$GA79,$D78:$GA78),0)</x:f>
      </x:c>
      <x:c r="ED80" s="35" t="n">
        <x:f>IFERROR(ED79*ED78/SUMPRODUCT($D79:$GA79,$D78:$GA78),0)</x:f>
      </x:c>
      <x:c r="EE80" s="35" t="n">
        <x:f>IFERROR(EE79*EE78/SUMPRODUCT($D79:$GA79,$D78:$GA78),0)</x:f>
      </x:c>
      <x:c r="EF80" s="35" t="n">
        <x:f>IFERROR(EF79*EF78/SUMPRODUCT($D79:$GA79,$D78:$GA78),0)</x:f>
      </x:c>
      <x:c r="EG80" s="35" t="n">
        <x:f>IFERROR(EG79*EG78/SUMPRODUCT($D79:$GA79,$D78:$GA78),0)</x:f>
      </x:c>
      <x:c r="EH80" s="35" t="n">
        <x:f>IFERROR(EH79*EH78/SUMPRODUCT($D79:$GA79,$D78:$GA78),0)</x:f>
      </x:c>
      <x:c r="EI80" s="35" t="n">
        <x:f>IFERROR(EI79*EI78/SUMPRODUCT($D79:$GA79,$D78:$GA78),0)</x:f>
      </x:c>
      <x:c r="EJ80" s="35" t="n">
        <x:f>IFERROR(EJ79*EJ78/SUMPRODUCT($D79:$GA79,$D78:$GA78),0)</x:f>
      </x:c>
      <x:c r="EK80" s="35" t="n">
        <x:f>IFERROR(EK79*EK78/SUMPRODUCT($D79:$GA79,$D78:$GA78),0)</x:f>
      </x:c>
      <x:c r="EL80" s="35" t="n">
        <x:f>IFERROR(EL79*EL78/SUMPRODUCT($D79:$GA79,$D78:$GA78),0)</x:f>
      </x:c>
      <x:c r="EM80" s="35" t="n">
        <x:f>IFERROR(EM79*EM78/SUMPRODUCT($D79:$GA79,$D78:$GA78),0)</x:f>
      </x:c>
      <x:c r="EN80" s="35" t="n">
        <x:f>IFERROR(EN79*EN78/SUMPRODUCT($D79:$GA79,$D78:$GA78),0)</x:f>
      </x:c>
      <x:c r="EO80" s="35" t="n">
        <x:f>IFERROR(EO79*EO78/SUMPRODUCT($D79:$GA79,$D78:$GA78),0)</x:f>
      </x:c>
      <x:c r="EP80" s="35" t="n">
        <x:f>IFERROR(EP79*EP78/SUMPRODUCT($D79:$GA79,$D78:$GA78),0)</x:f>
      </x:c>
      <x:c r="EQ80" s="35" t="n">
        <x:f>IFERROR(EQ79*EQ78/SUMPRODUCT($D79:$GA79,$D78:$GA78),0)</x:f>
      </x:c>
      <x:c r="ER80" s="35" t="n">
        <x:f>IFERROR(ER79*ER78/SUMPRODUCT($D79:$GA79,$D78:$GA78),0)</x:f>
      </x:c>
      <x:c r="ES80" s="35" t="n">
        <x:f>IFERROR(ES79*ES78/SUMPRODUCT($D79:$GA79,$D78:$GA78),0)</x:f>
      </x:c>
      <x:c r="ET80" s="35" t="n">
        <x:f>IFERROR(ET79*ET78/SUMPRODUCT($D79:$GA79,$D78:$GA78),0)</x:f>
      </x:c>
      <x:c r="EU80" s="35" t="n">
        <x:f>IFERROR(EU79*EU78/SUMPRODUCT($D79:$GA79,$D78:$GA78),0)</x:f>
      </x:c>
      <x:c r="EV80" s="35" t="n">
        <x:f>IFERROR(EV79*EV78/SUMPRODUCT($D79:$GA79,$D78:$GA78),0)</x:f>
      </x:c>
      <x:c r="EW80" s="35" t="n">
        <x:f>IFERROR(EW79*EW78/SUMPRODUCT($D79:$GA79,$D78:$GA78),0)</x:f>
      </x:c>
      <x:c r="EX80" s="35" t="n">
        <x:f>IFERROR(EX79*EX78/SUMPRODUCT($D79:$GA79,$D78:$GA78),0)</x:f>
      </x:c>
      <x:c r="EY80" s="35" t="n">
        <x:f>IFERROR(EY79*EY78/SUMPRODUCT($D79:$GA79,$D78:$GA78),0)</x:f>
      </x:c>
      <x:c r="EZ80" s="35" t="n">
        <x:f>IFERROR(EZ79*EZ78/SUMPRODUCT($D79:$GA79,$D78:$GA78),0)</x:f>
      </x:c>
      <x:c r="FA80" s="35" t="n">
        <x:f>IFERROR(FA79*FA78/SUMPRODUCT($D79:$GA79,$D78:$GA78),0)</x:f>
      </x:c>
      <x:c r="FB80" s="35" t="n">
        <x:f>IFERROR(FB79*FB78/SUMPRODUCT($D79:$GA79,$D78:$GA78),0)</x:f>
      </x:c>
      <x:c r="FC80" s="35" t="n">
        <x:f>IFERROR(FC79*FC78/SUMPRODUCT($D79:$GA79,$D78:$GA78),0)</x:f>
      </x:c>
      <x:c r="FD80" s="35" t="n">
        <x:f>IFERROR(FD79*FD78/SUMPRODUCT($D79:$GA79,$D78:$GA78),0)</x:f>
      </x:c>
      <x:c r="FE80" s="35" t="n">
        <x:f>IFERROR(FE79*FE78/SUMPRODUCT($D79:$GA79,$D78:$GA78),0)</x:f>
      </x:c>
      <x:c r="FF80" s="35" t="n">
        <x:f>IFERROR(FF79*FF78/SUMPRODUCT($D79:$GA79,$D78:$GA78),0)</x:f>
      </x:c>
      <x:c r="FG80" s="35" t="n">
        <x:f>IFERROR(FG79*FG78/SUMPRODUCT($D79:$GA79,$D78:$GA78),0)</x:f>
      </x:c>
      <x:c r="FH80" s="35" t="n">
        <x:f>IFERROR(FH79*FH78/SUMPRODUCT($D79:$GA79,$D78:$GA78),0)</x:f>
      </x:c>
      <x:c r="FI80" s="35" t="n">
        <x:f>IFERROR(FI79*FI78/SUMPRODUCT($D79:$GA79,$D78:$GA78),0)</x:f>
      </x:c>
      <x:c r="FJ80" s="35" t="n">
        <x:f>IFERROR(FJ79*FJ78/SUMPRODUCT($D79:$GA79,$D78:$GA78),0)</x:f>
      </x:c>
      <x:c r="FK80" s="35" t="n">
        <x:f>IFERROR(FK79*FK78/SUMPRODUCT($D79:$GA79,$D78:$GA78),0)</x:f>
      </x:c>
      <x:c r="FL80" s="35" t="n">
        <x:f>IFERROR(FL79*FL78/SUMPRODUCT($D79:$GA79,$D78:$GA78),0)</x:f>
      </x:c>
      <x:c r="FM80" s="35" t="n">
        <x:f>IFERROR(FM79*FM78/SUMPRODUCT($D79:$GA79,$D78:$GA78),0)</x:f>
      </x:c>
      <x:c r="FN80" s="35" t="n">
        <x:f>IFERROR(FN79*FN78/SUMPRODUCT($D79:$GA79,$D78:$GA78),0)</x:f>
      </x:c>
      <x:c r="FO80" s="35" t="n">
        <x:f>IFERROR(FO79*FO78/SUMPRODUCT($D79:$GA79,$D78:$GA78),0)</x:f>
      </x:c>
      <x:c r="FP80" s="35" t="n">
        <x:f>IFERROR(FP79*FP78/SUMPRODUCT($D79:$GA79,$D78:$GA78),0)</x:f>
      </x:c>
      <x:c r="FQ80" s="35" t="n">
        <x:f>IFERROR(FQ79*FQ78/SUMPRODUCT($D79:$GA79,$D78:$GA78),0)</x:f>
      </x:c>
      <x:c r="FR80" s="35" t="n">
        <x:f>IFERROR(FR79*FR78/SUMPRODUCT($D79:$GA79,$D78:$GA78),0)</x:f>
      </x:c>
      <x:c r="FS80" s="35" t="n">
        <x:f>IFERROR(FS79*FS78/SUMPRODUCT($D79:$GA79,$D78:$GA78),0)</x:f>
      </x:c>
      <x:c r="FT80" s="35" t="n">
        <x:f>IFERROR(FT79*FT78/SUMPRODUCT($D79:$GA79,$D78:$GA78),0)</x:f>
      </x:c>
      <x:c r="FU80" s="35" t="n">
        <x:f>IFERROR(FU79*FU78/SUMPRODUCT($D79:$GA79,$D78:$GA78),0)</x:f>
      </x:c>
      <x:c r="FV80" s="35" t="n">
        <x:f>IFERROR(FV79*FV78/SUMPRODUCT($D79:$GA79,$D78:$GA78),0)</x:f>
      </x:c>
      <x:c r="FW80" s="35" t="n">
        <x:f>IFERROR(FW79*FW78/SUMPRODUCT($D79:$GA79,$D78:$GA78),0)</x:f>
      </x:c>
      <x:c r="FX80" s="35" t="n">
        <x:f>IFERROR(FX79*FX78/SUMPRODUCT($D79:$GA79,$D78:$GA78),0)</x:f>
      </x:c>
      <x:c r="FY80" s="35" t="n">
        <x:f>IFERROR(FY79*FY78/SUMPRODUCT($D79:$GA79,$D78:$GA78),0)</x:f>
      </x:c>
      <x:c r="FZ80" s="35" t="n">
        <x:f>IFERROR(FZ79*FZ78/SUMPRODUCT($D79:$GA79,$D78:$GA78),0)</x:f>
      </x:c>
      <x:c r="GA80" s="35" t="n">
        <x:f>IFERROR(GA79*GA78/SUMPRODUCT($D79:$GA79,$D78:$GA78),0)</x:f>
      </x:c>
    </x:row>
    <x:row r="81">
      <x:c r="A81" t="str">
        <x:v>Флаг продаж после РВЭ</x:v>
      </x:c>
      <x:c r="B81"/>
      <x:c r="C81" t="str">
        <x:v>0/1</x:v>
      </x:c>
      <x:c r="D81" s="35" t="n">
        <x:f>--AND(D$3&gt;=MAX($B$76,$B$77),D$3&lt;EDATE($B$76,MAX(1,'Вводные'!$H$91)),'Вводные'!$B$91="Да")</x:f>
      </x:c>
      <x:c r="E81" s="35" t="n">
        <x:f>--AND(E$3&gt;=MAX($B$76,$B$77),E$3&lt;EDATE($B$76,MAX(1,'Вводные'!$H$91)),'Вводные'!$B$91="Да")</x:f>
      </x:c>
      <x:c r="F81" s="35" t="n">
        <x:f>--AND(F$3&gt;=MAX($B$76,$B$77),F$3&lt;EDATE($B$76,MAX(1,'Вводные'!$H$91)),'Вводные'!$B$91="Да")</x:f>
      </x:c>
      <x:c r="G81" s="35" t="n">
        <x:f>--AND(G$3&gt;=MAX($B$76,$B$77),G$3&lt;EDATE($B$76,MAX(1,'Вводные'!$H$91)),'Вводные'!$B$91="Да")</x:f>
      </x:c>
      <x:c r="H81" s="35" t="n">
        <x:f>--AND(H$3&gt;=MAX($B$76,$B$77),H$3&lt;EDATE($B$76,MAX(1,'Вводные'!$H$91)),'Вводные'!$B$91="Да")</x:f>
      </x:c>
      <x:c r="I81" s="35" t="n">
        <x:f>--AND(I$3&gt;=MAX($B$76,$B$77),I$3&lt;EDATE($B$76,MAX(1,'Вводные'!$H$91)),'Вводные'!$B$91="Да")</x:f>
      </x:c>
      <x:c r="J81" s="35" t="n">
        <x:f>--AND(J$3&gt;=MAX($B$76,$B$77),J$3&lt;EDATE($B$76,MAX(1,'Вводные'!$H$91)),'Вводные'!$B$91="Да")</x:f>
      </x:c>
      <x:c r="K81" s="35" t="n">
        <x:f>--AND(K$3&gt;=MAX($B$76,$B$77),K$3&lt;EDATE($B$76,MAX(1,'Вводные'!$H$91)),'Вводные'!$B$91="Да")</x:f>
      </x:c>
      <x:c r="L81" s="35" t="n">
        <x:f>--AND(L$3&gt;=MAX($B$76,$B$77),L$3&lt;EDATE($B$76,MAX(1,'Вводные'!$H$91)),'Вводные'!$B$91="Да")</x:f>
      </x:c>
      <x:c r="M81" s="35" t="n">
        <x:f>--AND(M$3&gt;=MAX($B$76,$B$77),M$3&lt;EDATE($B$76,MAX(1,'Вводные'!$H$91)),'Вводные'!$B$91="Да")</x:f>
      </x:c>
      <x:c r="N81" s="35" t="n">
        <x:f>--AND(N$3&gt;=MAX($B$76,$B$77),N$3&lt;EDATE($B$76,MAX(1,'Вводные'!$H$91)),'Вводные'!$B$91="Да")</x:f>
      </x:c>
      <x:c r="O81" s="35" t="n">
        <x:f>--AND(O$3&gt;=MAX($B$76,$B$77),O$3&lt;EDATE($B$76,MAX(1,'Вводные'!$H$91)),'Вводные'!$B$91="Да")</x:f>
      </x:c>
      <x:c r="P81" s="35" t="n">
        <x:f>--AND(P$3&gt;=MAX($B$76,$B$77),P$3&lt;EDATE($B$76,MAX(1,'Вводные'!$H$91)),'Вводные'!$B$91="Да")</x:f>
      </x:c>
      <x:c r="Q81" s="35" t="n">
        <x:f>--AND(Q$3&gt;=MAX($B$76,$B$77),Q$3&lt;EDATE($B$76,MAX(1,'Вводные'!$H$91)),'Вводные'!$B$91="Да")</x:f>
      </x:c>
      <x:c r="R81" s="35" t="n">
        <x:f>--AND(R$3&gt;=MAX($B$76,$B$77),R$3&lt;EDATE($B$76,MAX(1,'Вводные'!$H$91)),'Вводные'!$B$91="Да")</x:f>
      </x:c>
      <x:c r="S81" s="35" t="n">
        <x:f>--AND(S$3&gt;=MAX($B$76,$B$77),S$3&lt;EDATE($B$76,MAX(1,'Вводные'!$H$91)),'Вводные'!$B$91="Да")</x:f>
      </x:c>
      <x:c r="T81" s="35" t="n">
        <x:f>--AND(T$3&gt;=MAX($B$76,$B$77),T$3&lt;EDATE($B$76,MAX(1,'Вводные'!$H$91)),'Вводные'!$B$91="Да")</x:f>
      </x:c>
      <x:c r="U81" s="35" t="n">
        <x:f>--AND(U$3&gt;=MAX($B$76,$B$77),U$3&lt;EDATE($B$76,MAX(1,'Вводные'!$H$91)),'Вводные'!$B$91="Да")</x:f>
      </x:c>
      <x:c r="V81" s="35" t="n">
        <x:f>--AND(V$3&gt;=MAX($B$76,$B$77),V$3&lt;EDATE($B$76,MAX(1,'Вводные'!$H$91)),'Вводные'!$B$91="Да")</x:f>
      </x:c>
      <x:c r="W81" s="35" t="n">
        <x:f>--AND(W$3&gt;=MAX($B$76,$B$77),W$3&lt;EDATE($B$76,MAX(1,'Вводные'!$H$91)),'Вводные'!$B$91="Да")</x:f>
      </x:c>
      <x:c r="X81" s="35" t="n">
        <x:f>--AND(X$3&gt;=MAX($B$76,$B$77),X$3&lt;EDATE($B$76,MAX(1,'Вводные'!$H$91)),'Вводные'!$B$91="Да")</x:f>
      </x:c>
      <x:c r="Y81" s="35" t="n">
        <x:f>--AND(Y$3&gt;=MAX($B$76,$B$77),Y$3&lt;EDATE($B$76,MAX(1,'Вводные'!$H$91)),'Вводные'!$B$91="Да")</x:f>
      </x:c>
      <x:c r="Z81" s="35" t="n">
        <x:f>--AND(Z$3&gt;=MAX($B$76,$B$77),Z$3&lt;EDATE($B$76,MAX(1,'Вводные'!$H$91)),'Вводные'!$B$91="Да")</x:f>
      </x:c>
      <x:c r="AA81" s="35" t="n">
        <x:f>--AND(AA$3&gt;=MAX($B$76,$B$77),AA$3&lt;EDATE($B$76,MAX(1,'Вводные'!$H$91)),'Вводные'!$B$91="Да")</x:f>
      </x:c>
      <x:c r="AB81" s="35" t="n">
        <x:f>--AND(AB$3&gt;=MAX($B$76,$B$77),AB$3&lt;EDATE($B$76,MAX(1,'Вводные'!$H$91)),'Вводные'!$B$91="Да")</x:f>
      </x:c>
      <x:c r="AC81" s="35" t="n">
        <x:f>--AND(AC$3&gt;=MAX($B$76,$B$77),AC$3&lt;EDATE($B$76,MAX(1,'Вводные'!$H$91)),'Вводные'!$B$91="Да")</x:f>
      </x:c>
      <x:c r="AD81" s="35" t="n">
        <x:f>--AND(AD$3&gt;=MAX($B$76,$B$77),AD$3&lt;EDATE($B$76,MAX(1,'Вводные'!$H$91)),'Вводные'!$B$91="Да")</x:f>
      </x:c>
      <x:c r="AE81" s="35" t="n">
        <x:f>--AND(AE$3&gt;=MAX($B$76,$B$77),AE$3&lt;EDATE($B$76,MAX(1,'Вводные'!$H$91)),'Вводные'!$B$91="Да")</x:f>
      </x:c>
      <x:c r="AF81" s="35" t="n">
        <x:f>--AND(AF$3&gt;=MAX($B$76,$B$77),AF$3&lt;EDATE($B$76,MAX(1,'Вводные'!$H$91)),'Вводные'!$B$91="Да")</x:f>
      </x:c>
      <x:c r="AG81" s="35" t="n">
        <x:f>--AND(AG$3&gt;=MAX($B$76,$B$77),AG$3&lt;EDATE($B$76,MAX(1,'Вводные'!$H$91)),'Вводные'!$B$91="Да")</x:f>
      </x:c>
      <x:c r="AH81" s="35" t="n">
        <x:f>--AND(AH$3&gt;=MAX($B$76,$B$77),AH$3&lt;EDATE($B$76,MAX(1,'Вводные'!$H$91)),'Вводные'!$B$91="Да")</x:f>
      </x:c>
      <x:c r="AI81" s="35" t="n">
        <x:f>--AND(AI$3&gt;=MAX($B$76,$B$77),AI$3&lt;EDATE($B$76,MAX(1,'Вводные'!$H$91)),'Вводные'!$B$91="Да")</x:f>
      </x:c>
      <x:c r="AJ81" s="35" t="n">
        <x:f>--AND(AJ$3&gt;=MAX($B$76,$B$77),AJ$3&lt;EDATE($B$76,MAX(1,'Вводные'!$H$91)),'Вводные'!$B$91="Да")</x:f>
      </x:c>
      <x:c r="AK81" s="35" t="n">
        <x:f>--AND(AK$3&gt;=MAX($B$76,$B$77),AK$3&lt;EDATE($B$76,MAX(1,'Вводные'!$H$91)),'Вводные'!$B$91="Да")</x:f>
      </x:c>
      <x:c r="AL81" s="35" t="n">
        <x:f>--AND(AL$3&gt;=MAX($B$76,$B$77),AL$3&lt;EDATE($B$76,MAX(1,'Вводные'!$H$91)),'Вводные'!$B$91="Да")</x:f>
      </x:c>
      <x:c r="AM81" s="35" t="n">
        <x:f>--AND(AM$3&gt;=MAX($B$76,$B$77),AM$3&lt;EDATE($B$76,MAX(1,'Вводные'!$H$91)),'Вводные'!$B$91="Да")</x:f>
      </x:c>
      <x:c r="AN81" s="35" t="n">
        <x:f>--AND(AN$3&gt;=MAX($B$76,$B$77),AN$3&lt;EDATE($B$76,MAX(1,'Вводные'!$H$91)),'Вводные'!$B$91="Да")</x:f>
      </x:c>
      <x:c r="AO81" s="35" t="n">
        <x:f>--AND(AO$3&gt;=MAX($B$76,$B$77),AO$3&lt;EDATE($B$76,MAX(1,'Вводные'!$H$91)),'Вводные'!$B$91="Да")</x:f>
      </x:c>
      <x:c r="AP81" s="35" t="n">
        <x:f>--AND(AP$3&gt;=MAX($B$76,$B$77),AP$3&lt;EDATE($B$76,MAX(1,'Вводные'!$H$91)),'Вводные'!$B$91="Да")</x:f>
      </x:c>
      <x:c r="AQ81" s="35" t="n">
        <x:f>--AND(AQ$3&gt;=MAX($B$76,$B$77),AQ$3&lt;EDATE($B$76,MAX(1,'Вводные'!$H$91)),'Вводные'!$B$91="Да")</x:f>
      </x:c>
      <x:c r="AR81" s="35" t="n">
        <x:f>--AND(AR$3&gt;=MAX($B$76,$B$77),AR$3&lt;EDATE($B$76,MAX(1,'Вводные'!$H$91)),'Вводные'!$B$91="Да")</x:f>
      </x:c>
      <x:c r="AS81" s="35" t="n">
        <x:f>--AND(AS$3&gt;=MAX($B$76,$B$77),AS$3&lt;EDATE($B$76,MAX(1,'Вводные'!$H$91)),'Вводные'!$B$91="Да")</x:f>
      </x:c>
      <x:c r="AT81" s="35" t="n">
        <x:f>--AND(AT$3&gt;=MAX($B$76,$B$77),AT$3&lt;EDATE($B$76,MAX(1,'Вводные'!$H$91)),'Вводные'!$B$91="Да")</x:f>
      </x:c>
      <x:c r="AU81" s="35" t="n">
        <x:f>--AND(AU$3&gt;=MAX($B$76,$B$77),AU$3&lt;EDATE($B$76,MAX(1,'Вводные'!$H$91)),'Вводные'!$B$91="Да")</x:f>
      </x:c>
      <x:c r="AV81" s="35" t="n">
        <x:f>--AND(AV$3&gt;=MAX($B$76,$B$77),AV$3&lt;EDATE($B$76,MAX(1,'Вводные'!$H$91)),'Вводные'!$B$91="Да")</x:f>
      </x:c>
      <x:c r="AW81" s="35" t="n">
        <x:f>--AND(AW$3&gt;=MAX($B$76,$B$77),AW$3&lt;EDATE($B$76,MAX(1,'Вводные'!$H$91)),'Вводные'!$B$91="Да")</x:f>
      </x:c>
      <x:c r="AX81" s="35" t="n">
        <x:f>--AND(AX$3&gt;=MAX($B$76,$B$77),AX$3&lt;EDATE($B$76,MAX(1,'Вводные'!$H$91)),'Вводные'!$B$91="Да")</x:f>
      </x:c>
      <x:c r="AY81" s="35" t="n">
        <x:f>--AND(AY$3&gt;=MAX($B$76,$B$77),AY$3&lt;EDATE($B$76,MAX(1,'Вводные'!$H$91)),'Вводные'!$B$91="Да")</x:f>
      </x:c>
      <x:c r="AZ81" s="35" t="n">
        <x:f>--AND(AZ$3&gt;=MAX($B$76,$B$77),AZ$3&lt;EDATE($B$76,MAX(1,'Вводные'!$H$91)),'Вводные'!$B$91="Да")</x:f>
      </x:c>
      <x:c r="BA81" s="35" t="n">
        <x:f>--AND(BA$3&gt;=MAX($B$76,$B$77),BA$3&lt;EDATE($B$76,MAX(1,'Вводные'!$H$91)),'Вводные'!$B$91="Да")</x:f>
      </x:c>
      <x:c r="BB81" s="35" t="n">
        <x:f>--AND(BB$3&gt;=MAX($B$76,$B$77),BB$3&lt;EDATE($B$76,MAX(1,'Вводные'!$H$91)),'Вводные'!$B$91="Да")</x:f>
      </x:c>
      <x:c r="BC81" s="35" t="n">
        <x:f>--AND(BC$3&gt;=MAX($B$76,$B$77),BC$3&lt;EDATE($B$76,MAX(1,'Вводные'!$H$91)),'Вводные'!$B$91="Да")</x:f>
      </x:c>
      <x:c r="BD81" s="35" t="n">
        <x:f>--AND(BD$3&gt;=MAX($B$76,$B$77),BD$3&lt;EDATE($B$76,MAX(1,'Вводные'!$H$91)),'Вводные'!$B$91="Да")</x:f>
      </x:c>
      <x:c r="BE81" s="35" t="n">
        <x:f>--AND(BE$3&gt;=MAX($B$76,$B$77),BE$3&lt;EDATE($B$76,MAX(1,'Вводные'!$H$91)),'Вводные'!$B$91="Да")</x:f>
      </x:c>
      <x:c r="BF81" s="35" t="n">
        <x:f>--AND(BF$3&gt;=MAX($B$76,$B$77),BF$3&lt;EDATE($B$76,MAX(1,'Вводные'!$H$91)),'Вводные'!$B$91="Да")</x:f>
      </x:c>
      <x:c r="BG81" s="35" t="n">
        <x:f>--AND(BG$3&gt;=MAX($B$76,$B$77),BG$3&lt;EDATE($B$76,MAX(1,'Вводные'!$H$91)),'Вводные'!$B$91="Да")</x:f>
      </x:c>
      <x:c r="BH81" s="35" t="n">
        <x:f>--AND(BH$3&gt;=MAX($B$76,$B$77),BH$3&lt;EDATE($B$76,MAX(1,'Вводные'!$H$91)),'Вводные'!$B$91="Да")</x:f>
      </x:c>
      <x:c r="BI81" s="35" t="n">
        <x:f>--AND(BI$3&gt;=MAX($B$76,$B$77),BI$3&lt;EDATE($B$76,MAX(1,'Вводные'!$H$91)),'Вводные'!$B$91="Да")</x:f>
      </x:c>
      <x:c r="BJ81" s="35" t="n">
        <x:f>--AND(BJ$3&gt;=MAX($B$76,$B$77),BJ$3&lt;EDATE($B$76,MAX(1,'Вводные'!$H$91)),'Вводные'!$B$91="Да")</x:f>
      </x:c>
      <x:c r="BK81" s="35" t="n">
        <x:f>--AND(BK$3&gt;=MAX($B$76,$B$77),BK$3&lt;EDATE($B$76,MAX(1,'Вводные'!$H$91)),'Вводные'!$B$91="Да")</x:f>
      </x:c>
      <x:c r="BL81" s="35" t="n">
        <x:f>--AND(BL$3&gt;=MAX($B$76,$B$77),BL$3&lt;EDATE($B$76,MAX(1,'Вводные'!$H$91)),'Вводные'!$B$91="Да")</x:f>
      </x:c>
      <x:c r="BM81" s="35" t="n">
        <x:f>--AND(BM$3&gt;=MAX($B$76,$B$77),BM$3&lt;EDATE($B$76,MAX(1,'Вводные'!$H$91)),'Вводные'!$B$91="Да")</x:f>
      </x:c>
      <x:c r="BN81" s="35" t="n">
        <x:f>--AND(BN$3&gt;=MAX($B$76,$B$77),BN$3&lt;EDATE($B$76,MAX(1,'Вводные'!$H$91)),'Вводные'!$B$91="Да")</x:f>
      </x:c>
      <x:c r="BO81" s="35" t="n">
        <x:f>--AND(BO$3&gt;=MAX($B$76,$B$77),BO$3&lt;EDATE($B$76,MAX(1,'Вводные'!$H$91)),'Вводные'!$B$91="Да")</x:f>
      </x:c>
      <x:c r="BP81" s="35" t="n">
        <x:f>--AND(BP$3&gt;=MAX($B$76,$B$77),BP$3&lt;EDATE($B$76,MAX(1,'Вводные'!$H$91)),'Вводные'!$B$91="Да")</x:f>
      </x:c>
      <x:c r="BQ81" s="35" t="n">
        <x:f>--AND(BQ$3&gt;=MAX($B$76,$B$77),BQ$3&lt;EDATE($B$76,MAX(1,'Вводные'!$H$91)),'Вводные'!$B$91="Да")</x:f>
      </x:c>
      <x:c r="BR81" s="35" t="n">
        <x:f>--AND(BR$3&gt;=MAX($B$76,$B$77),BR$3&lt;EDATE($B$76,MAX(1,'Вводные'!$H$91)),'Вводные'!$B$91="Да")</x:f>
      </x:c>
      <x:c r="BS81" s="35" t="n">
        <x:f>--AND(BS$3&gt;=MAX($B$76,$B$77),BS$3&lt;EDATE($B$76,MAX(1,'Вводные'!$H$91)),'Вводные'!$B$91="Да")</x:f>
      </x:c>
      <x:c r="BT81" s="35" t="n">
        <x:f>--AND(BT$3&gt;=MAX($B$76,$B$77),BT$3&lt;EDATE($B$76,MAX(1,'Вводные'!$H$91)),'Вводные'!$B$91="Да")</x:f>
      </x:c>
      <x:c r="BU81" s="35" t="n">
        <x:f>--AND(BU$3&gt;=MAX($B$76,$B$77),BU$3&lt;EDATE($B$76,MAX(1,'Вводные'!$H$91)),'Вводные'!$B$91="Да")</x:f>
      </x:c>
      <x:c r="BV81" s="35" t="n">
        <x:f>--AND(BV$3&gt;=MAX($B$76,$B$77),BV$3&lt;EDATE($B$76,MAX(1,'Вводные'!$H$91)),'Вводные'!$B$91="Да")</x:f>
      </x:c>
      <x:c r="BW81" s="35" t="n">
        <x:f>--AND(BW$3&gt;=MAX($B$76,$B$77),BW$3&lt;EDATE($B$76,MAX(1,'Вводные'!$H$91)),'Вводные'!$B$91="Да")</x:f>
      </x:c>
      <x:c r="BX81" s="35" t="n">
        <x:f>--AND(BX$3&gt;=MAX($B$76,$B$77),BX$3&lt;EDATE($B$76,MAX(1,'Вводные'!$H$91)),'Вводные'!$B$91="Да")</x:f>
      </x:c>
      <x:c r="BY81" s="35" t="n">
        <x:f>--AND(BY$3&gt;=MAX($B$76,$B$77),BY$3&lt;EDATE($B$76,MAX(1,'Вводные'!$H$91)),'Вводные'!$B$91="Да")</x:f>
      </x:c>
      <x:c r="BZ81" s="35" t="n">
        <x:f>--AND(BZ$3&gt;=MAX($B$76,$B$77),BZ$3&lt;EDATE($B$76,MAX(1,'Вводные'!$H$91)),'Вводные'!$B$91="Да")</x:f>
      </x:c>
      <x:c r="CA81" s="35" t="n">
        <x:f>--AND(CA$3&gt;=MAX($B$76,$B$77),CA$3&lt;EDATE($B$76,MAX(1,'Вводные'!$H$91)),'Вводные'!$B$91="Да")</x:f>
      </x:c>
      <x:c r="CB81" s="35" t="n">
        <x:f>--AND(CB$3&gt;=MAX($B$76,$B$77),CB$3&lt;EDATE($B$76,MAX(1,'Вводные'!$H$91)),'Вводные'!$B$91="Да")</x:f>
      </x:c>
      <x:c r="CC81" s="35" t="n">
        <x:f>--AND(CC$3&gt;=MAX($B$76,$B$77),CC$3&lt;EDATE($B$76,MAX(1,'Вводные'!$H$91)),'Вводные'!$B$91="Да")</x:f>
      </x:c>
      <x:c r="CD81" s="35" t="n">
        <x:f>--AND(CD$3&gt;=MAX($B$76,$B$77),CD$3&lt;EDATE($B$76,MAX(1,'Вводные'!$H$91)),'Вводные'!$B$91="Да")</x:f>
      </x:c>
      <x:c r="CE81" s="35" t="n">
        <x:f>--AND(CE$3&gt;=MAX($B$76,$B$77),CE$3&lt;EDATE($B$76,MAX(1,'Вводные'!$H$91)),'Вводные'!$B$91="Да")</x:f>
      </x:c>
      <x:c r="CF81" s="35" t="n">
        <x:f>--AND(CF$3&gt;=MAX($B$76,$B$77),CF$3&lt;EDATE($B$76,MAX(1,'Вводные'!$H$91)),'Вводные'!$B$91="Да")</x:f>
      </x:c>
      <x:c r="CG81" s="35" t="n">
        <x:f>--AND(CG$3&gt;=MAX($B$76,$B$77),CG$3&lt;EDATE($B$76,MAX(1,'Вводные'!$H$91)),'Вводные'!$B$91="Да")</x:f>
      </x:c>
      <x:c r="CH81" s="35" t="n">
        <x:f>--AND(CH$3&gt;=MAX($B$76,$B$77),CH$3&lt;EDATE($B$76,MAX(1,'Вводные'!$H$91)),'Вводные'!$B$91="Да")</x:f>
      </x:c>
      <x:c r="CI81" s="35" t="n">
        <x:f>--AND(CI$3&gt;=MAX($B$76,$B$77),CI$3&lt;EDATE($B$76,MAX(1,'Вводные'!$H$91)),'Вводные'!$B$91="Да")</x:f>
      </x:c>
      <x:c r="CJ81" s="35" t="n">
        <x:f>--AND(CJ$3&gt;=MAX($B$76,$B$77),CJ$3&lt;EDATE($B$76,MAX(1,'Вводные'!$H$91)),'Вводные'!$B$91="Да")</x:f>
      </x:c>
      <x:c r="CK81" s="35" t="n">
        <x:f>--AND(CK$3&gt;=MAX($B$76,$B$77),CK$3&lt;EDATE($B$76,MAX(1,'Вводные'!$H$91)),'Вводные'!$B$91="Да")</x:f>
      </x:c>
      <x:c r="CL81" s="35" t="n">
        <x:f>--AND(CL$3&gt;=MAX($B$76,$B$77),CL$3&lt;EDATE($B$76,MAX(1,'Вводные'!$H$91)),'Вводные'!$B$91="Да")</x:f>
      </x:c>
      <x:c r="CM81" s="35" t="n">
        <x:f>--AND(CM$3&gt;=MAX($B$76,$B$77),CM$3&lt;EDATE($B$76,MAX(1,'Вводные'!$H$91)),'Вводные'!$B$91="Да")</x:f>
      </x:c>
      <x:c r="CN81" s="35" t="n">
        <x:f>--AND(CN$3&gt;=MAX($B$76,$B$77),CN$3&lt;EDATE($B$76,MAX(1,'Вводные'!$H$91)),'Вводные'!$B$91="Да")</x:f>
      </x:c>
      <x:c r="CO81" s="35" t="n">
        <x:f>--AND(CO$3&gt;=MAX($B$76,$B$77),CO$3&lt;EDATE($B$76,MAX(1,'Вводные'!$H$91)),'Вводные'!$B$91="Да")</x:f>
      </x:c>
      <x:c r="CP81" s="35" t="n">
        <x:f>--AND(CP$3&gt;=MAX($B$76,$B$77),CP$3&lt;EDATE($B$76,MAX(1,'Вводные'!$H$91)),'Вводные'!$B$91="Да")</x:f>
      </x:c>
      <x:c r="CQ81" s="35" t="n">
        <x:f>--AND(CQ$3&gt;=MAX($B$76,$B$77),CQ$3&lt;EDATE($B$76,MAX(1,'Вводные'!$H$91)),'Вводные'!$B$91="Да")</x:f>
      </x:c>
      <x:c r="CR81" s="35" t="n">
        <x:f>--AND(CR$3&gt;=MAX($B$76,$B$77),CR$3&lt;EDATE($B$76,MAX(1,'Вводные'!$H$91)),'Вводные'!$B$91="Да")</x:f>
      </x:c>
      <x:c r="CS81" s="35" t="n">
        <x:f>--AND(CS$3&gt;=MAX($B$76,$B$77),CS$3&lt;EDATE($B$76,MAX(1,'Вводные'!$H$91)),'Вводные'!$B$91="Да")</x:f>
      </x:c>
      <x:c r="CT81" s="35" t="n">
        <x:f>--AND(CT$3&gt;=MAX($B$76,$B$77),CT$3&lt;EDATE($B$76,MAX(1,'Вводные'!$H$91)),'Вводные'!$B$91="Да")</x:f>
      </x:c>
      <x:c r="CU81" s="35" t="n">
        <x:f>--AND(CU$3&gt;=MAX($B$76,$B$77),CU$3&lt;EDATE($B$76,MAX(1,'Вводные'!$H$91)),'Вводные'!$B$91="Да")</x:f>
      </x:c>
      <x:c r="CV81" s="35" t="n">
        <x:f>--AND(CV$3&gt;=MAX($B$76,$B$77),CV$3&lt;EDATE($B$76,MAX(1,'Вводные'!$H$91)),'Вводные'!$B$91="Да")</x:f>
      </x:c>
      <x:c r="CW81" s="35" t="n">
        <x:f>--AND(CW$3&gt;=MAX($B$76,$B$77),CW$3&lt;EDATE($B$76,MAX(1,'Вводные'!$H$91)),'Вводные'!$B$91="Да")</x:f>
      </x:c>
      <x:c r="CX81" s="35" t="n">
        <x:f>--AND(CX$3&gt;=MAX($B$76,$B$77),CX$3&lt;EDATE($B$76,MAX(1,'Вводные'!$H$91)),'Вводные'!$B$91="Да")</x:f>
      </x:c>
      <x:c r="CY81" s="35" t="n">
        <x:f>--AND(CY$3&gt;=MAX($B$76,$B$77),CY$3&lt;EDATE($B$76,MAX(1,'Вводные'!$H$91)),'Вводные'!$B$91="Да")</x:f>
      </x:c>
      <x:c r="CZ81" s="35" t="n">
        <x:f>--AND(CZ$3&gt;=MAX($B$76,$B$77),CZ$3&lt;EDATE($B$76,MAX(1,'Вводные'!$H$91)),'Вводные'!$B$91="Да")</x:f>
      </x:c>
      <x:c r="DA81" s="35" t="n">
        <x:f>--AND(DA$3&gt;=MAX($B$76,$B$77),DA$3&lt;EDATE($B$76,MAX(1,'Вводные'!$H$91)),'Вводные'!$B$91="Да")</x:f>
      </x:c>
      <x:c r="DB81" s="35" t="n">
        <x:f>--AND(DB$3&gt;=MAX($B$76,$B$77),DB$3&lt;EDATE($B$76,MAX(1,'Вводные'!$H$91)),'Вводные'!$B$91="Да")</x:f>
      </x:c>
      <x:c r="DC81" s="35" t="n">
        <x:f>--AND(DC$3&gt;=MAX($B$76,$B$77),DC$3&lt;EDATE($B$76,MAX(1,'Вводные'!$H$91)),'Вводные'!$B$91="Да")</x:f>
      </x:c>
      <x:c r="DD81" s="35" t="n">
        <x:f>--AND(DD$3&gt;=MAX($B$76,$B$77),DD$3&lt;EDATE($B$76,MAX(1,'Вводные'!$H$91)),'Вводные'!$B$91="Да")</x:f>
      </x:c>
      <x:c r="DE81" s="35" t="n">
        <x:f>--AND(DE$3&gt;=MAX($B$76,$B$77),DE$3&lt;EDATE($B$76,MAX(1,'Вводные'!$H$91)),'Вводные'!$B$91="Да")</x:f>
      </x:c>
      <x:c r="DF81" s="35" t="n">
        <x:f>--AND(DF$3&gt;=MAX($B$76,$B$77),DF$3&lt;EDATE($B$76,MAX(1,'Вводные'!$H$91)),'Вводные'!$B$91="Да")</x:f>
      </x:c>
      <x:c r="DG81" s="35" t="n">
        <x:f>--AND(DG$3&gt;=MAX($B$76,$B$77),DG$3&lt;EDATE($B$76,MAX(1,'Вводные'!$H$91)),'Вводные'!$B$91="Да")</x:f>
      </x:c>
      <x:c r="DH81" s="35" t="n">
        <x:f>--AND(DH$3&gt;=MAX($B$76,$B$77),DH$3&lt;EDATE($B$76,MAX(1,'Вводные'!$H$91)),'Вводные'!$B$91="Да")</x:f>
      </x:c>
      <x:c r="DI81" s="35" t="n">
        <x:f>--AND(DI$3&gt;=MAX($B$76,$B$77),DI$3&lt;EDATE($B$76,MAX(1,'Вводные'!$H$91)),'Вводные'!$B$91="Да")</x:f>
      </x:c>
      <x:c r="DJ81" s="35" t="n">
        <x:f>--AND(DJ$3&gt;=MAX($B$76,$B$77),DJ$3&lt;EDATE($B$76,MAX(1,'Вводные'!$H$91)),'Вводные'!$B$91="Да")</x:f>
      </x:c>
      <x:c r="DK81" s="35" t="n">
        <x:f>--AND(DK$3&gt;=MAX($B$76,$B$77),DK$3&lt;EDATE($B$76,MAX(1,'Вводные'!$H$91)),'Вводные'!$B$91="Да")</x:f>
      </x:c>
      <x:c r="DL81" s="35" t="n">
        <x:f>--AND(DL$3&gt;=MAX($B$76,$B$77),DL$3&lt;EDATE($B$76,MAX(1,'Вводные'!$H$91)),'Вводные'!$B$91="Да")</x:f>
      </x:c>
      <x:c r="DM81" s="35" t="n">
        <x:f>--AND(DM$3&gt;=MAX($B$76,$B$77),DM$3&lt;EDATE($B$76,MAX(1,'Вводные'!$H$91)),'Вводные'!$B$91="Да")</x:f>
      </x:c>
      <x:c r="DN81" s="35" t="n">
        <x:f>--AND(DN$3&gt;=MAX($B$76,$B$77),DN$3&lt;EDATE($B$76,MAX(1,'Вводные'!$H$91)),'Вводные'!$B$91="Да")</x:f>
      </x:c>
      <x:c r="DO81" s="35" t="n">
        <x:f>--AND(DO$3&gt;=MAX($B$76,$B$77),DO$3&lt;EDATE($B$76,MAX(1,'Вводные'!$H$91)),'Вводные'!$B$91="Да")</x:f>
      </x:c>
      <x:c r="DP81" s="35" t="n">
        <x:f>--AND(DP$3&gt;=MAX($B$76,$B$77),DP$3&lt;EDATE($B$76,MAX(1,'Вводные'!$H$91)),'Вводные'!$B$91="Да")</x:f>
      </x:c>
      <x:c r="DQ81" s="35" t="n">
        <x:f>--AND(DQ$3&gt;=MAX($B$76,$B$77),DQ$3&lt;EDATE($B$76,MAX(1,'Вводные'!$H$91)),'Вводные'!$B$91="Да")</x:f>
      </x:c>
      <x:c r="DR81" s="35" t="n">
        <x:f>--AND(DR$3&gt;=MAX($B$76,$B$77),DR$3&lt;EDATE($B$76,MAX(1,'Вводные'!$H$91)),'Вводные'!$B$91="Да")</x:f>
      </x:c>
      <x:c r="DS81" s="35" t="n">
        <x:f>--AND(DS$3&gt;=MAX($B$76,$B$77),DS$3&lt;EDATE($B$76,MAX(1,'Вводные'!$H$91)),'Вводные'!$B$91="Да")</x:f>
      </x:c>
      <x:c r="DT81" s="35" t="n">
        <x:f>--AND(DT$3&gt;=MAX($B$76,$B$77),DT$3&lt;EDATE($B$76,MAX(1,'Вводные'!$H$91)),'Вводные'!$B$91="Да")</x:f>
      </x:c>
      <x:c r="DU81" s="35" t="n">
        <x:f>--AND(DU$3&gt;=MAX($B$76,$B$77),DU$3&lt;EDATE($B$76,MAX(1,'Вводные'!$H$91)),'Вводные'!$B$91="Да")</x:f>
      </x:c>
      <x:c r="DV81" s="35" t="n">
        <x:f>--AND(DV$3&gt;=MAX($B$76,$B$77),DV$3&lt;EDATE($B$76,MAX(1,'Вводные'!$H$91)),'Вводные'!$B$91="Да")</x:f>
      </x:c>
      <x:c r="DW81" s="35" t="n">
        <x:f>--AND(DW$3&gt;=MAX($B$76,$B$77),DW$3&lt;EDATE($B$76,MAX(1,'Вводные'!$H$91)),'Вводные'!$B$91="Да")</x:f>
      </x:c>
      <x:c r="DX81" s="35" t="n">
        <x:f>--AND(DX$3&gt;=MAX($B$76,$B$77),DX$3&lt;EDATE($B$76,MAX(1,'Вводные'!$H$91)),'Вводные'!$B$91="Да")</x:f>
      </x:c>
      <x:c r="DY81" s="35" t="n">
        <x:f>--AND(DY$3&gt;=MAX($B$76,$B$77),DY$3&lt;EDATE($B$76,MAX(1,'Вводные'!$H$91)),'Вводные'!$B$91="Да")</x:f>
      </x:c>
      <x:c r="DZ81" s="35" t="n">
        <x:f>--AND(DZ$3&gt;=MAX($B$76,$B$77),DZ$3&lt;EDATE($B$76,MAX(1,'Вводные'!$H$91)),'Вводные'!$B$91="Да")</x:f>
      </x:c>
      <x:c r="EA81" s="35" t="n">
        <x:f>--AND(EA$3&gt;=MAX($B$76,$B$77),EA$3&lt;EDATE($B$76,MAX(1,'Вводные'!$H$91)),'Вводные'!$B$91="Да")</x:f>
      </x:c>
      <x:c r="EB81" s="35" t="n">
        <x:f>--AND(EB$3&gt;=MAX($B$76,$B$77),EB$3&lt;EDATE($B$76,MAX(1,'Вводные'!$H$91)),'Вводные'!$B$91="Да")</x:f>
      </x:c>
      <x:c r="EC81" s="35" t="n">
        <x:f>--AND(EC$3&gt;=MAX($B$76,$B$77),EC$3&lt;EDATE($B$76,MAX(1,'Вводные'!$H$91)),'Вводные'!$B$91="Да")</x:f>
      </x:c>
      <x:c r="ED81" s="35" t="n">
        <x:f>--AND(ED$3&gt;=MAX($B$76,$B$77),ED$3&lt;EDATE($B$76,MAX(1,'Вводные'!$H$91)),'Вводные'!$B$91="Да")</x:f>
      </x:c>
      <x:c r="EE81" s="35" t="n">
        <x:f>--AND(EE$3&gt;=MAX($B$76,$B$77),EE$3&lt;EDATE($B$76,MAX(1,'Вводные'!$H$91)),'Вводные'!$B$91="Да")</x:f>
      </x:c>
      <x:c r="EF81" s="35" t="n">
        <x:f>--AND(EF$3&gt;=MAX($B$76,$B$77),EF$3&lt;EDATE($B$76,MAX(1,'Вводные'!$H$91)),'Вводные'!$B$91="Да")</x:f>
      </x:c>
      <x:c r="EG81" s="35" t="n">
        <x:f>--AND(EG$3&gt;=MAX($B$76,$B$77),EG$3&lt;EDATE($B$76,MAX(1,'Вводные'!$H$91)),'Вводные'!$B$91="Да")</x:f>
      </x:c>
      <x:c r="EH81" s="35" t="n">
        <x:f>--AND(EH$3&gt;=MAX($B$76,$B$77),EH$3&lt;EDATE($B$76,MAX(1,'Вводные'!$H$91)),'Вводные'!$B$91="Да")</x:f>
      </x:c>
      <x:c r="EI81" s="35" t="n">
        <x:f>--AND(EI$3&gt;=MAX($B$76,$B$77),EI$3&lt;EDATE($B$76,MAX(1,'Вводные'!$H$91)),'Вводные'!$B$91="Да")</x:f>
      </x:c>
      <x:c r="EJ81" s="35" t="n">
        <x:f>--AND(EJ$3&gt;=MAX($B$76,$B$77),EJ$3&lt;EDATE($B$76,MAX(1,'Вводные'!$H$91)),'Вводные'!$B$91="Да")</x:f>
      </x:c>
      <x:c r="EK81" s="35" t="n">
        <x:f>--AND(EK$3&gt;=MAX($B$76,$B$77),EK$3&lt;EDATE($B$76,MAX(1,'Вводные'!$H$91)),'Вводные'!$B$91="Да")</x:f>
      </x:c>
      <x:c r="EL81" s="35" t="n">
        <x:f>--AND(EL$3&gt;=MAX($B$76,$B$77),EL$3&lt;EDATE($B$76,MAX(1,'Вводные'!$H$91)),'Вводные'!$B$91="Да")</x:f>
      </x:c>
      <x:c r="EM81" s="35" t="n">
        <x:f>--AND(EM$3&gt;=MAX($B$76,$B$77),EM$3&lt;EDATE($B$76,MAX(1,'Вводные'!$H$91)),'Вводные'!$B$91="Да")</x:f>
      </x:c>
      <x:c r="EN81" s="35" t="n">
        <x:f>--AND(EN$3&gt;=MAX($B$76,$B$77),EN$3&lt;EDATE($B$76,MAX(1,'Вводные'!$H$91)),'Вводные'!$B$91="Да")</x:f>
      </x:c>
      <x:c r="EO81" s="35" t="n">
        <x:f>--AND(EO$3&gt;=MAX($B$76,$B$77),EO$3&lt;EDATE($B$76,MAX(1,'Вводные'!$H$91)),'Вводные'!$B$91="Да")</x:f>
      </x:c>
      <x:c r="EP81" s="35" t="n">
        <x:f>--AND(EP$3&gt;=MAX($B$76,$B$77),EP$3&lt;EDATE($B$76,MAX(1,'Вводные'!$H$91)),'Вводные'!$B$91="Да")</x:f>
      </x:c>
      <x:c r="EQ81" s="35" t="n">
        <x:f>--AND(EQ$3&gt;=MAX($B$76,$B$77),EQ$3&lt;EDATE($B$76,MAX(1,'Вводные'!$H$91)),'Вводные'!$B$91="Да")</x:f>
      </x:c>
      <x:c r="ER81" s="35" t="n">
        <x:f>--AND(ER$3&gt;=MAX($B$76,$B$77),ER$3&lt;EDATE($B$76,MAX(1,'Вводные'!$H$91)),'Вводные'!$B$91="Да")</x:f>
      </x:c>
      <x:c r="ES81" s="35" t="n">
        <x:f>--AND(ES$3&gt;=MAX($B$76,$B$77),ES$3&lt;EDATE($B$76,MAX(1,'Вводные'!$H$91)),'Вводные'!$B$91="Да")</x:f>
      </x:c>
      <x:c r="ET81" s="35" t="n">
        <x:f>--AND(ET$3&gt;=MAX($B$76,$B$77),ET$3&lt;EDATE($B$76,MAX(1,'Вводные'!$H$91)),'Вводные'!$B$91="Да")</x:f>
      </x:c>
      <x:c r="EU81" s="35" t="n">
        <x:f>--AND(EU$3&gt;=MAX($B$76,$B$77),EU$3&lt;EDATE($B$76,MAX(1,'Вводные'!$H$91)),'Вводные'!$B$91="Да")</x:f>
      </x:c>
      <x:c r="EV81" s="35" t="n">
        <x:f>--AND(EV$3&gt;=MAX($B$76,$B$77),EV$3&lt;EDATE($B$76,MAX(1,'Вводные'!$H$91)),'Вводные'!$B$91="Да")</x:f>
      </x:c>
      <x:c r="EW81" s="35" t="n">
        <x:f>--AND(EW$3&gt;=MAX($B$76,$B$77),EW$3&lt;EDATE($B$76,MAX(1,'Вводные'!$H$91)),'Вводные'!$B$91="Да")</x:f>
      </x:c>
      <x:c r="EX81" s="35" t="n">
        <x:f>--AND(EX$3&gt;=MAX($B$76,$B$77),EX$3&lt;EDATE($B$76,MAX(1,'Вводные'!$H$91)),'Вводные'!$B$91="Да")</x:f>
      </x:c>
      <x:c r="EY81" s="35" t="n">
        <x:f>--AND(EY$3&gt;=MAX($B$76,$B$77),EY$3&lt;EDATE($B$76,MAX(1,'Вводные'!$H$91)),'Вводные'!$B$91="Да")</x:f>
      </x:c>
      <x:c r="EZ81" s="35" t="n">
        <x:f>--AND(EZ$3&gt;=MAX($B$76,$B$77),EZ$3&lt;EDATE($B$76,MAX(1,'Вводные'!$H$91)),'Вводные'!$B$91="Да")</x:f>
      </x:c>
      <x:c r="FA81" s="35" t="n">
        <x:f>--AND(FA$3&gt;=MAX($B$76,$B$77),FA$3&lt;EDATE($B$76,MAX(1,'Вводные'!$H$91)),'Вводные'!$B$91="Да")</x:f>
      </x:c>
      <x:c r="FB81" s="35" t="n">
        <x:f>--AND(FB$3&gt;=MAX($B$76,$B$77),FB$3&lt;EDATE($B$76,MAX(1,'Вводные'!$H$91)),'Вводные'!$B$91="Да")</x:f>
      </x:c>
      <x:c r="FC81" s="35" t="n">
        <x:f>--AND(FC$3&gt;=MAX($B$76,$B$77),FC$3&lt;EDATE($B$76,MAX(1,'Вводные'!$H$91)),'Вводные'!$B$91="Да")</x:f>
      </x:c>
      <x:c r="FD81" s="35" t="n">
        <x:f>--AND(FD$3&gt;=MAX($B$76,$B$77),FD$3&lt;EDATE($B$76,MAX(1,'Вводные'!$H$91)),'Вводные'!$B$91="Да")</x:f>
      </x:c>
      <x:c r="FE81" s="35" t="n">
        <x:f>--AND(FE$3&gt;=MAX($B$76,$B$77),FE$3&lt;EDATE($B$76,MAX(1,'Вводные'!$H$91)),'Вводные'!$B$91="Да")</x:f>
      </x:c>
      <x:c r="FF81" s="35" t="n">
        <x:f>--AND(FF$3&gt;=MAX($B$76,$B$77),FF$3&lt;EDATE($B$76,MAX(1,'Вводные'!$H$91)),'Вводные'!$B$91="Да")</x:f>
      </x:c>
      <x:c r="FG81" s="35" t="n">
        <x:f>--AND(FG$3&gt;=MAX($B$76,$B$77),FG$3&lt;EDATE($B$76,MAX(1,'Вводные'!$H$91)),'Вводные'!$B$91="Да")</x:f>
      </x:c>
      <x:c r="FH81" s="35" t="n">
        <x:f>--AND(FH$3&gt;=MAX($B$76,$B$77),FH$3&lt;EDATE($B$76,MAX(1,'Вводные'!$H$91)),'Вводные'!$B$91="Да")</x:f>
      </x:c>
      <x:c r="FI81" s="35" t="n">
        <x:f>--AND(FI$3&gt;=MAX($B$76,$B$77),FI$3&lt;EDATE($B$76,MAX(1,'Вводные'!$H$91)),'Вводные'!$B$91="Да")</x:f>
      </x:c>
      <x:c r="FJ81" s="35" t="n">
        <x:f>--AND(FJ$3&gt;=MAX($B$76,$B$77),FJ$3&lt;EDATE($B$76,MAX(1,'Вводные'!$H$91)),'Вводные'!$B$91="Да")</x:f>
      </x:c>
      <x:c r="FK81" s="35" t="n">
        <x:f>--AND(FK$3&gt;=MAX($B$76,$B$77),FK$3&lt;EDATE($B$76,MAX(1,'Вводные'!$H$91)),'Вводные'!$B$91="Да")</x:f>
      </x:c>
      <x:c r="FL81" s="35" t="n">
        <x:f>--AND(FL$3&gt;=MAX($B$76,$B$77),FL$3&lt;EDATE($B$76,MAX(1,'Вводные'!$H$91)),'Вводные'!$B$91="Да")</x:f>
      </x:c>
      <x:c r="FM81" s="35" t="n">
        <x:f>--AND(FM$3&gt;=MAX($B$76,$B$77),FM$3&lt;EDATE($B$76,MAX(1,'Вводные'!$H$91)),'Вводные'!$B$91="Да")</x:f>
      </x:c>
      <x:c r="FN81" s="35" t="n">
        <x:f>--AND(FN$3&gt;=MAX($B$76,$B$77),FN$3&lt;EDATE($B$76,MAX(1,'Вводные'!$H$91)),'Вводные'!$B$91="Да")</x:f>
      </x:c>
      <x:c r="FO81" s="35" t="n">
        <x:f>--AND(FO$3&gt;=MAX($B$76,$B$77),FO$3&lt;EDATE($B$76,MAX(1,'Вводные'!$H$91)),'Вводные'!$B$91="Да")</x:f>
      </x:c>
      <x:c r="FP81" s="35" t="n">
        <x:f>--AND(FP$3&gt;=MAX($B$76,$B$77),FP$3&lt;EDATE($B$76,MAX(1,'Вводные'!$H$91)),'Вводные'!$B$91="Да")</x:f>
      </x:c>
      <x:c r="FQ81" s="35" t="n">
        <x:f>--AND(FQ$3&gt;=MAX($B$76,$B$77),FQ$3&lt;EDATE($B$76,MAX(1,'Вводные'!$H$91)),'Вводные'!$B$91="Да")</x:f>
      </x:c>
      <x:c r="FR81" s="35" t="n">
        <x:f>--AND(FR$3&gt;=MAX($B$76,$B$77),FR$3&lt;EDATE($B$76,MAX(1,'Вводные'!$H$91)),'Вводные'!$B$91="Да")</x:f>
      </x:c>
      <x:c r="FS81" s="35" t="n">
        <x:f>--AND(FS$3&gt;=MAX($B$76,$B$77),FS$3&lt;EDATE($B$76,MAX(1,'Вводные'!$H$91)),'Вводные'!$B$91="Да")</x:f>
      </x:c>
      <x:c r="FT81" s="35" t="n">
        <x:f>--AND(FT$3&gt;=MAX($B$76,$B$77),FT$3&lt;EDATE($B$76,MAX(1,'Вводные'!$H$91)),'Вводные'!$B$91="Да")</x:f>
      </x:c>
      <x:c r="FU81" s="35" t="n">
        <x:f>--AND(FU$3&gt;=MAX($B$76,$B$77),FU$3&lt;EDATE($B$76,MAX(1,'Вводные'!$H$91)),'Вводные'!$B$91="Да")</x:f>
      </x:c>
      <x:c r="FV81" s="35" t="n">
        <x:f>--AND(FV$3&gt;=MAX($B$76,$B$77),FV$3&lt;EDATE($B$76,MAX(1,'Вводные'!$H$91)),'Вводные'!$B$91="Да")</x:f>
      </x:c>
      <x:c r="FW81" s="35" t="n">
        <x:f>--AND(FW$3&gt;=MAX($B$76,$B$77),FW$3&lt;EDATE($B$76,MAX(1,'Вводные'!$H$91)),'Вводные'!$B$91="Да")</x:f>
      </x:c>
      <x:c r="FX81" s="35" t="n">
        <x:f>--AND(FX$3&gt;=MAX($B$76,$B$77),FX$3&lt;EDATE($B$76,MAX(1,'Вводные'!$H$91)),'Вводные'!$B$91="Да")</x:f>
      </x:c>
      <x:c r="FY81" s="35" t="n">
        <x:f>--AND(FY$3&gt;=MAX($B$76,$B$77),FY$3&lt;EDATE($B$76,MAX(1,'Вводные'!$H$91)),'Вводные'!$B$91="Да")</x:f>
      </x:c>
      <x:c r="FZ81" s="35" t="n">
        <x:f>--AND(FZ$3&gt;=MAX($B$76,$B$77),FZ$3&lt;EDATE($B$76,MAX(1,'Вводные'!$H$91)),'Вводные'!$B$91="Да")</x:f>
      </x:c>
      <x:c r="GA81" s="35" t="n">
        <x:f>--AND(GA$3&gt;=MAX($B$76,$B$77),GA$3&lt;EDATE($B$76,MAX(1,'Вводные'!$H$91)),'Вводные'!$B$91="Да")</x:f>
      </x:c>
    </x:row>
    <x:row r="82">
      <x:c r="A82" t="str">
        <x:v>Нормированный вес после РВЭ</x:v>
      </x:c>
      <x:c r="B82" t="n">
        <x:f>SUM(D82:GA82)</x:f>
      </x:c>
      <x:c r="C82" t="str">
        <x:v>%</x:v>
      </x:c>
      <x:c r="D82" s="35" t="n">
        <x:f>IFERROR(D79*D81/SUMPRODUCT($D79:$GA79,$D81:$GA81),0)</x:f>
      </x:c>
      <x:c r="E82" s="35" t="n">
        <x:f>IFERROR(E79*E81/SUMPRODUCT($D79:$GA79,$D81:$GA81),0)</x:f>
      </x:c>
      <x:c r="F82" s="35" t="n">
        <x:f>IFERROR(F79*F81/SUMPRODUCT($D79:$GA79,$D81:$GA81),0)</x:f>
      </x:c>
      <x:c r="G82" s="35" t="n">
        <x:f>IFERROR(G79*G81/SUMPRODUCT($D79:$GA79,$D81:$GA81),0)</x:f>
      </x:c>
      <x:c r="H82" s="35" t="n">
        <x:f>IFERROR(H79*H81/SUMPRODUCT($D79:$GA79,$D81:$GA81),0)</x:f>
      </x:c>
      <x:c r="I82" s="35" t="n">
        <x:f>IFERROR(I79*I81/SUMPRODUCT($D79:$GA79,$D81:$GA81),0)</x:f>
      </x:c>
      <x:c r="J82" s="35" t="n">
        <x:f>IFERROR(J79*J81/SUMPRODUCT($D79:$GA79,$D81:$GA81),0)</x:f>
      </x:c>
      <x:c r="K82" s="35" t="n">
        <x:f>IFERROR(K79*K81/SUMPRODUCT($D79:$GA79,$D81:$GA81),0)</x:f>
      </x:c>
      <x:c r="L82" s="35" t="n">
        <x:f>IFERROR(L79*L81/SUMPRODUCT($D79:$GA79,$D81:$GA81),0)</x:f>
      </x:c>
      <x:c r="M82" s="35" t="n">
        <x:f>IFERROR(M79*M81/SUMPRODUCT($D79:$GA79,$D81:$GA81),0)</x:f>
      </x:c>
      <x:c r="N82" s="35" t="n">
        <x:f>IFERROR(N79*N81/SUMPRODUCT($D79:$GA79,$D81:$GA81),0)</x:f>
      </x:c>
      <x:c r="O82" s="35" t="n">
        <x:f>IFERROR(O79*O81/SUMPRODUCT($D79:$GA79,$D81:$GA81),0)</x:f>
      </x:c>
      <x:c r="P82" s="35" t="n">
        <x:f>IFERROR(P79*P81/SUMPRODUCT($D79:$GA79,$D81:$GA81),0)</x:f>
      </x:c>
      <x:c r="Q82" s="35" t="n">
        <x:f>IFERROR(Q79*Q81/SUMPRODUCT($D79:$GA79,$D81:$GA81),0)</x:f>
      </x:c>
      <x:c r="R82" s="35" t="n">
        <x:f>IFERROR(R79*R81/SUMPRODUCT($D79:$GA79,$D81:$GA81),0)</x:f>
      </x:c>
      <x:c r="S82" s="35" t="n">
        <x:f>IFERROR(S79*S81/SUMPRODUCT($D79:$GA79,$D81:$GA81),0)</x:f>
      </x:c>
      <x:c r="T82" s="35" t="n">
        <x:f>IFERROR(T79*T81/SUMPRODUCT($D79:$GA79,$D81:$GA81),0)</x:f>
      </x:c>
      <x:c r="U82" s="35" t="n">
        <x:f>IFERROR(U79*U81/SUMPRODUCT($D79:$GA79,$D81:$GA81),0)</x:f>
      </x:c>
      <x:c r="V82" s="35" t="n">
        <x:f>IFERROR(V79*V81/SUMPRODUCT($D79:$GA79,$D81:$GA81),0)</x:f>
      </x:c>
      <x:c r="W82" s="35" t="n">
        <x:f>IFERROR(W79*W81/SUMPRODUCT($D79:$GA79,$D81:$GA81),0)</x:f>
      </x:c>
      <x:c r="X82" s="35" t="n">
        <x:f>IFERROR(X79*X81/SUMPRODUCT($D79:$GA79,$D81:$GA81),0)</x:f>
      </x:c>
      <x:c r="Y82" s="35" t="n">
        <x:f>IFERROR(Y79*Y81/SUMPRODUCT($D79:$GA79,$D81:$GA81),0)</x:f>
      </x:c>
      <x:c r="Z82" s="35" t="n">
        <x:f>IFERROR(Z79*Z81/SUMPRODUCT($D79:$GA79,$D81:$GA81),0)</x:f>
      </x:c>
      <x:c r="AA82" s="35" t="n">
        <x:f>IFERROR(AA79*AA81/SUMPRODUCT($D79:$GA79,$D81:$GA81),0)</x:f>
      </x:c>
      <x:c r="AB82" s="35" t="n">
        <x:f>IFERROR(AB79*AB81/SUMPRODUCT($D79:$GA79,$D81:$GA81),0)</x:f>
      </x:c>
      <x:c r="AC82" s="35" t="n">
        <x:f>IFERROR(AC79*AC81/SUMPRODUCT($D79:$GA79,$D81:$GA81),0)</x:f>
      </x:c>
      <x:c r="AD82" s="35" t="n">
        <x:f>IFERROR(AD79*AD81/SUMPRODUCT($D79:$GA79,$D81:$GA81),0)</x:f>
      </x:c>
      <x:c r="AE82" s="35" t="n">
        <x:f>IFERROR(AE79*AE81/SUMPRODUCT($D79:$GA79,$D81:$GA81),0)</x:f>
      </x:c>
      <x:c r="AF82" s="35" t="n">
        <x:f>IFERROR(AF79*AF81/SUMPRODUCT($D79:$GA79,$D81:$GA81),0)</x:f>
      </x:c>
      <x:c r="AG82" s="35" t="n">
        <x:f>IFERROR(AG79*AG81/SUMPRODUCT($D79:$GA79,$D81:$GA81),0)</x:f>
      </x:c>
      <x:c r="AH82" s="35" t="n">
        <x:f>IFERROR(AH79*AH81/SUMPRODUCT($D79:$GA79,$D81:$GA81),0)</x:f>
      </x:c>
      <x:c r="AI82" s="35" t="n">
        <x:f>IFERROR(AI79*AI81/SUMPRODUCT($D79:$GA79,$D81:$GA81),0)</x:f>
      </x:c>
      <x:c r="AJ82" s="35" t="n">
        <x:f>IFERROR(AJ79*AJ81/SUMPRODUCT($D79:$GA79,$D81:$GA81),0)</x:f>
      </x:c>
      <x:c r="AK82" s="35" t="n">
        <x:f>IFERROR(AK79*AK81/SUMPRODUCT($D79:$GA79,$D81:$GA81),0)</x:f>
      </x:c>
      <x:c r="AL82" s="35" t="n">
        <x:f>IFERROR(AL79*AL81/SUMPRODUCT($D79:$GA79,$D81:$GA81),0)</x:f>
      </x:c>
      <x:c r="AM82" s="35" t="n">
        <x:f>IFERROR(AM79*AM81/SUMPRODUCT($D79:$GA79,$D81:$GA81),0)</x:f>
      </x:c>
      <x:c r="AN82" s="35" t="n">
        <x:f>IFERROR(AN79*AN81/SUMPRODUCT($D79:$GA79,$D81:$GA81),0)</x:f>
      </x:c>
      <x:c r="AO82" s="35" t="n">
        <x:f>IFERROR(AO79*AO81/SUMPRODUCT($D79:$GA79,$D81:$GA81),0)</x:f>
      </x:c>
      <x:c r="AP82" s="35" t="n">
        <x:f>IFERROR(AP79*AP81/SUMPRODUCT($D79:$GA79,$D81:$GA81),0)</x:f>
      </x:c>
      <x:c r="AQ82" s="35" t="n">
        <x:f>IFERROR(AQ79*AQ81/SUMPRODUCT($D79:$GA79,$D81:$GA81),0)</x:f>
      </x:c>
      <x:c r="AR82" s="35" t="n">
        <x:f>IFERROR(AR79*AR81/SUMPRODUCT($D79:$GA79,$D81:$GA81),0)</x:f>
      </x:c>
      <x:c r="AS82" s="35" t="n">
        <x:f>IFERROR(AS79*AS81/SUMPRODUCT($D79:$GA79,$D81:$GA81),0)</x:f>
      </x:c>
      <x:c r="AT82" s="35" t="n">
        <x:f>IFERROR(AT79*AT81/SUMPRODUCT($D79:$GA79,$D81:$GA81),0)</x:f>
      </x:c>
      <x:c r="AU82" s="35" t="n">
        <x:f>IFERROR(AU79*AU81/SUMPRODUCT($D79:$GA79,$D81:$GA81),0)</x:f>
      </x:c>
      <x:c r="AV82" s="35" t="n">
        <x:f>IFERROR(AV79*AV81/SUMPRODUCT($D79:$GA79,$D81:$GA81),0)</x:f>
      </x:c>
      <x:c r="AW82" s="35" t="n">
        <x:f>IFERROR(AW79*AW81/SUMPRODUCT($D79:$GA79,$D81:$GA81),0)</x:f>
      </x:c>
      <x:c r="AX82" s="35" t="n">
        <x:f>IFERROR(AX79*AX81/SUMPRODUCT($D79:$GA79,$D81:$GA81),0)</x:f>
      </x:c>
      <x:c r="AY82" s="35" t="n">
        <x:f>IFERROR(AY79*AY81/SUMPRODUCT($D79:$GA79,$D81:$GA81),0)</x:f>
      </x:c>
      <x:c r="AZ82" s="35" t="n">
        <x:f>IFERROR(AZ79*AZ81/SUMPRODUCT($D79:$GA79,$D81:$GA81),0)</x:f>
      </x:c>
      <x:c r="BA82" s="35" t="n">
        <x:f>IFERROR(BA79*BA81/SUMPRODUCT($D79:$GA79,$D81:$GA81),0)</x:f>
      </x:c>
      <x:c r="BB82" s="35" t="n">
        <x:f>IFERROR(BB79*BB81/SUMPRODUCT($D79:$GA79,$D81:$GA81),0)</x:f>
      </x:c>
      <x:c r="BC82" s="35" t="n">
        <x:f>IFERROR(BC79*BC81/SUMPRODUCT($D79:$GA79,$D81:$GA81),0)</x:f>
      </x:c>
      <x:c r="BD82" s="35" t="n">
        <x:f>IFERROR(BD79*BD81/SUMPRODUCT($D79:$GA79,$D81:$GA81),0)</x:f>
      </x:c>
      <x:c r="BE82" s="35" t="n">
        <x:f>IFERROR(BE79*BE81/SUMPRODUCT($D79:$GA79,$D81:$GA81),0)</x:f>
      </x:c>
      <x:c r="BF82" s="35" t="n">
        <x:f>IFERROR(BF79*BF81/SUMPRODUCT($D79:$GA79,$D81:$GA81),0)</x:f>
      </x:c>
      <x:c r="BG82" s="35" t="n">
        <x:f>IFERROR(BG79*BG81/SUMPRODUCT($D79:$GA79,$D81:$GA81),0)</x:f>
      </x:c>
      <x:c r="BH82" s="35" t="n">
        <x:f>IFERROR(BH79*BH81/SUMPRODUCT($D79:$GA79,$D81:$GA81),0)</x:f>
      </x:c>
      <x:c r="BI82" s="35" t="n">
        <x:f>IFERROR(BI79*BI81/SUMPRODUCT($D79:$GA79,$D81:$GA81),0)</x:f>
      </x:c>
      <x:c r="BJ82" s="35" t="n">
        <x:f>IFERROR(BJ79*BJ81/SUMPRODUCT($D79:$GA79,$D81:$GA81),0)</x:f>
      </x:c>
      <x:c r="BK82" s="35" t="n">
        <x:f>IFERROR(BK79*BK81/SUMPRODUCT($D79:$GA79,$D81:$GA81),0)</x:f>
      </x:c>
      <x:c r="BL82" s="35" t="n">
        <x:f>IFERROR(BL79*BL81/SUMPRODUCT($D79:$GA79,$D81:$GA81),0)</x:f>
      </x:c>
      <x:c r="BM82" s="35" t="n">
        <x:f>IFERROR(BM79*BM81/SUMPRODUCT($D79:$GA79,$D81:$GA81),0)</x:f>
      </x:c>
      <x:c r="BN82" s="35" t="n">
        <x:f>IFERROR(BN79*BN81/SUMPRODUCT($D79:$GA79,$D81:$GA81),0)</x:f>
      </x:c>
      <x:c r="BO82" s="35" t="n">
        <x:f>IFERROR(BO79*BO81/SUMPRODUCT($D79:$GA79,$D81:$GA81),0)</x:f>
      </x:c>
      <x:c r="BP82" s="35" t="n">
        <x:f>IFERROR(BP79*BP81/SUMPRODUCT($D79:$GA79,$D81:$GA81),0)</x:f>
      </x:c>
      <x:c r="BQ82" s="35" t="n">
        <x:f>IFERROR(BQ79*BQ81/SUMPRODUCT($D79:$GA79,$D81:$GA81),0)</x:f>
      </x:c>
      <x:c r="BR82" s="35" t="n">
        <x:f>IFERROR(BR79*BR81/SUMPRODUCT($D79:$GA79,$D81:$GA81),0)</x:f>
      </x:c>
      <x:c r="BS82" s="35" t="n">
        <x:f>IFERROR(BS79*BS81/SUMPRODUCT($D79:$GA79,$D81:$GA81),0)</x:f>
      </x:c>
      <x:c r="BT82" s="35" t="n">
        <x:f>IFERROR(BT79*BT81/SUMPRODUCT($D79:$GA79,$D81:$GA81),0)</x:f>
      </x:c>
      <x:c r="BU82" s="35" t="n">
        <x:f>IFERROR(BU79*BU81/SUMPRODUCT($D79:$GA79,$D81:$GA81),0)</x:f>
      </x:c>
      <x:c r="BV82" s="35" t="n">
        <x:f>IFERROR(BV79*BV81/SUMPRODUCT($D79:$GA79,$D81:$GA81),0)</x:f>
      </x:c>
      <x:c r="BW82" s="35" t="n">
        <x:f>IFERROR(BW79*BW81/SUMPRODUCT($D79:$GA79,$D81:$GA81),0)</x:f>
      </x:c>
      <x:c r="BX82" s="35" t="n">
        <x:f>IFERROR(BX79*BX81/SUMPRODUCT($D79:$GA79,$D81:$GA81),0)</x:f>
      </x:c>
      <x:c r="BY82" s="35" t="n">
        <x:f>IFERROR(BY79*BY81/SUMPRODUCT($D79:$GA79,$D81:$GA81),0)</x:f>
      </x:c>
      <x:c r="BZ82" s="35" t="n">
        <x:f>IFERROR(BZ79*BZ81/SUMPRODUCT($D79:$GA79,$D81:$GA81),0)</x:f>
      </x:c>
      <x:c r="CA82" s="35" t="n">
        <x:f>IFERROR(CA79*CA81/SUMPRODUCT($D79:$GA79,$D81:$GA81),0)</x:f>
      </x:c>
      <x:c r="CB82" s="35" t="n">
        <x:f>IFERROR(CB79*CB81/SUMPRODUCT($D79:$GA79,$D81:$GA81),0)</x:f>
      </x:c>
      <x:c r="CC82" s="35" t="n">
        <x:f>IFERROR(CC79*CC81/SUMPRODUCT($D79:$GA79,$D81:$GA81),0)</x:f>
      </x:c>
      <x:c r="CD82" s="35" t="n">
        <x:f>IFERROR(CD79*CD81/SUMPRODUCT($D79:$GA79,$D81:$GA81),0)</x:f>
      </x:c>
      <x:c r="CE82" s="35" t="n">
        <x:f>IFERROR(CE79*CE81/SUMPRODUCT($D79:$GA79,$D81:$GA81),0)</x:f>
      </x:c>
      <x:c r="CF82" s="35" t="n">
        <x:f>IFERROR(CF79*CF81/SUMPRODUCT($D79:$GA79,$D81:$GA81),0)</x:f>
      </x:c>
      <x:c r="CG82" s="35" t="n">
        <x:f>IFERROR(CG79*CG81/SUMPRODUCT($D79:$GA79,$D81:$GA81),0)</x:f>
      </x:c>
      <x:c r="CH82" s="35" t="n">
        <x:f>IFERROR(CH79*CH81/SUMPRODUCT($D79:$GA79,$D81:$GA81),0)</x:f>
      </x:c>
      <x:c r="CI82" s="35" t="n">
        <x:f>IFERROR(CI79*CI81/SUMPRODUCT($D79:$GA79,$D81:$GA81),0)</x:f>
      </x:c>
      <x:c r="CJ82" s="35" t="n">
        <x:f>IFERROR(CJ79*CJ81/SUMPRODUCT($D79:$GA79,$D81:$GA81),0)</x:f>
      </x:c>
      <x:c r="CK82" s="35" t="n">
        <x:f>IFERROR(CK79*CK81/SUMPRODUCT($D79:$GA79,$D81:$GA81),0)</x:f>
      </x:c>
      <x:c r="CL82" s="35" t="n">
        <x:f>IFERROR(CL79*CL81/SUMPRODUCT($D79:$GA79,$D81:$GA81),0)</x:f>
      </x:c>
      <x:c r="CM82" s="35" t="n">
        <x:f>IFERROR(CM79*CM81/SUMPRODUCT($D79:$GA79,$D81:$GA81),0)</x:f>
      </x:c>
      <x:c r="CN82" s="35" t="n">
        <x:f>IFERROR(CN79*CN81/SUMPRODUCT($D79:$GA79,$D81:$GA81),0)</x:f>
      </x:c>
      <x:c r="CO82" s="35" t="n">
        <x:f>IFERROR(CO79*CO81/SUMPRODUCT($D79:$GA79,$D81:$GA81),0)</x:f>
      </x:c>
      <x:c r="CP82" s="35" t="n">
        <x:f>IFERROR(CP79*CP81/SUMPRODUCT($D79:$GA79,$D81:$GA81),0)</x:f>
      </x:c>
      <x:c r="CQ82" s="35" t="n">
        <x:f>IFERROR(CQ79*CQ81/SUMPRODUCT($D79:$GA79,$D81:$GA81),0)</x:f>
      </x:c>
      <x:c r="CR82" s="35" t="n">
        <x:f>IFERROR(CR79*CR81/SUMPRODUCT($D79:$GA79,$D81:$GA81),0)</x:f>
      </x:c>
      <x:c r="CS82" s="35" t="n">
        <x:f>IFERROR(CS79*CS81/SUMPRODUCT($D79:$GA79,$D81:$GA81),0)</x:f>
      </x:c>
      <x:c r="CT82" s="35" t="n">
        <x:f>IFERROR(CT79*CT81/SUMPRODUCT($D79:$GA79,$D81:$GA81),0)</x:f>
      </x:c>
      <x:c r="CU82" s="35" t="n">
        <x:f>IFERROR(CU79*CU81/SUMPRODUCT($D79:$GA79,$D81:$GA81),0)</x:f>
      </x:c>
      <x:c r="CV82" s="35" t="n">
        <x:f>IFERROR(CV79*CV81/SUMPRODUCT($D79:$GA79,$D81:$GA81),0)</x:f>
      </x:c>
      <x:c r="CW82" s="35" t="n">
        <x:f>IFERROR(CW79*CW81/SUMPRODUCT($D79:$GA79,$D81:$GA81),0)</x:f>
      </x:c>
      <x:c r="CX82" s="35" t="n">
        <x:f>IFERROR(CX79*CX81/SUMPRODUCT($D79:$GA79,$D81:$GA81),0)</x:f>
      </x:c>
      <x:c r="CY82" s="35" t="n">
        <x:f>IFERROR(CY79*CY81/SUMPRODUCT($D79:$GA79,$D81:$GA81),0)</x:f>
      </x:c>
      <x:c r="CZ82" s="35" t="n">
        <x:f>IFERROR(CZ79*CZ81/SUMPRODUCT($D79:$GA79,$D81:$GA81),0)</x:f>
      </x:c>
      <x:c r="DA82" s="35" t="n">
        <x:f>IFERROR(DA79*DA81/SUMPRODUCT($D79:$GA79,$D81:$GA81),0)</x:f>
      </x:c>
      <x:c r="DB82" s="35" t="n">
        <x:f>IFERROR(DB79*DB81/SUMPRODUCT($D79:$GA79,$D81:$GA81),0)</x:f>
      </x:c>
      <x:c r="DC82" s="35" t="n">
        <x:f>IFERROR(DC79*DC81/SUMPRODUCT($D79:$GA79,$D81:$GA81),0)</x:f>
      </x:c>
      <x:c r="DD82" s="35" t="n">
        <x:f>IFERROR(DD79*DD81/SUMPRODUCT($D79:$GA79,$D81:$GA81),0)</x:f>
      </x:c>
      <x:c r="DE82" s="35" t="n">
        <x:f>IFERROR(DE79*DE81/SUMPRODUCT($D79:$GA79,$D81:$GA81),0)</x:f>
      </x:c>
      <x:c r="DF82" s="35" t="n">
        <x:f>IFERROR(DF79*DF81/SUMPRODUCT($D79:$GA79,$D81:$GA81),0)</x:f>
      </x:c>
      <x:c r="DG82" s="35" t="n">
        <x:f>IFERROR(DG79*DG81/SUMPRODUCT($D79:$GA79,$D81:$GA81),0)</x:f>
      </x:c>
      <x:c r="DH82" s="35" t="n">
        <x:f>IFERROR(DH79*DH81/SUMPRODUCT($D79:$GA79,$D81:$GA81),0)</x:f>
      </x:c>
      <x:c r="DI82" s="35" t="n">
        <x:f>IFERROR(DI79*DI81/SUMPRODUCT($D79:$GA79,$D81:$GA81),0)</x:f>
      </x:c>
      <x:c r="DJ82" s="35" t="n">
        <x:f>IFERROR(DJ79*DJ81/SUMPRODUCT($D79:$GA79,$D81:$GA81),0)</x:f>
      </x:c>
      <x:c r="DK82" s="35" t="n">
        <x:f>IFERROR(DK79*DK81/SUMPRODUCT($D79:$GA79,$D81:$GA81),0)</x:f>
      </x:c>
      <x:c r="DL82" s="35" t="n">
        <x:f>IFERROR(DL79*DL81/SUMPRODUCT($D79:$GA79,$D81:$GA81),0)</x:f>
      </x:c>
      <x:c r="DM82" s="35" t="n">
        <x:f>IFERROR(DM79*DM81/SUMPRODUCT($D79:$GA79,$D81:$GA81),0)</x:f>
      </x:c>
      <x:c r="DN82" s="35" t="n">
        <x:f>IFERROR(DN79*DN81/SUMPRODUCT($D79:$GA79,$D81:$GA81),0)</x:f>
      </x:c>
      <x:c r="DO82" s="35" t="n">
        <x:f>IFERROR(DO79*DO81/SUMPRODUCT($D79:$GA79,$D81:$GA81),0)</x:f>
      </x:c>
      <x:c r="DP82" s="35" t="n">
        <x:f>IFERROR(DP79*DP81/SUMPRODUCT($D79:$GA79,$D81:$GA81),0)</x:f>
      </x:c>
      <x:c r="DQ82" s="35" t="n">
        <x:f>IFERROR(DQ79*DQ81/SUMPRODUCT($D79:$GA79,$D81:$GA81),0)</x:f>
      </x:c>
      <x:c r="DR82" s="35" t="n">
        <x:f>IFERROR(DR79*DR81/SUMPRODUCT($D79:$GA79,$D81:$GA81),0)</x:f>
      </x:c>
      <x:c r="DS82" s="35" t="n">
        <x:f>IFERROR(DS79*DS81/SUMPRODUCT($D79:$GA79,$D81:$GA81),0)</x:f>
      </x:c>
      <x:c r="DT82" s="35" t="n">
        <x:f>IFERROR(DT79*DT81/SUMPRODUCT($D79:$GA79,$D81:$GA81),0)</x:f>
      </x:c>
      <x:c r="DU82" s="35" t="n">
        <x:f>IFERROR(DU79*DU81/SUMPRODUCT($D79:$GA79,$D81:$GA81),0)</x:f>
      </x:c>
      <x:c r="DV82" s="35" t="n">
        <x:f>IFERROR(DV79*DV81/SUMPRODUCT($D79:$GA79,$D81:$GA81),0)</x:f>
      </x:c>
      <x:c r="DW82" s="35" t="n">
        <x:f>IFERROR(DW79*DW81/SUMPRODUCT($D79:$GA79,$D81:$GA81),0)</x:f>
      </x:c>
      <x:c r="DX82" s="35" t="n">
        <x:f>IFERROR(DX79*DX81/SUMPRODUCT($D79:$GA79,$D81:$GA81),0)</x:f>
      </x:c>
      <x:c r="DY82" s="35" t="n">
        <x:f>IFERROR(DY79*DY81/SUMPRODUCT($D79:$GA79,$D81:$GA81),0)</x:f>
      </x:c>
      <x:c r="DZ82" s="35" t="n">
        <x:f>IFERROR(DZ79*DZ81/SUMPRODUCT($D79:$GA79,$D81:$GA81),0)</x:f>
      </x:c>
      <x:c r="EA82" s="35" t="n">
        <x:f>IFERROR(EA79*EA81/SUMPRODUCT($D79:$GA79,$D81:$GA81),0)</x:f>
      </x:c>
      <x:c r="EB82" s="35" t="n">
        <x:f>IFERROR(EB79*EB81/SUMPRODUCT($D79:$GA79,$D81:$GA81),0)</x:f>
      </x:c>
      <x:c r="EC82" s="35" t="n">
        <x:f>IFERROR(EC79*EC81/SUMPRODUCT($D79:$GA79,$D81:$GA81),0)</x:f>
      </x:c>
      <x:c r="ED82" s="35" t="n">
        <x:f>IFERROR(ED79*ED81/SUMPRODUCT($D79:$GA79,$D81:$GA81),0)</x:f>
      </x:c>
      <x:c r="EE82" s="35" t="n">
        <x:f>IFERROR(EE79*EE81/SUMPRODUCT($D79:$GA79,$D81:$GA81),0)</x:f>
      </x:c>
      <x:c r="EF82" s="35" t="n">
        <x:f>IFERROR(EF79*EF81/SUMPRODUCT($D79:$GA79,$D81:$GA81),0)</x:f>
      </x:c>
      <x:c r="EG82" s="35" t="n">
        <x:f>IFERROR(EG79*EG81/SUMPRODUCT($D79:$GA79,$D81:$GA81),0)</x:f>
      </x:c>
      <x:c r="EH82" s="35" t="n">
        <x:f>IFERROR(EH79*EH81/SUMPRODUCT($D79:$GA79,$D81:$GA81),0)</x:f>
      </x:c>
      <x:c r="EI82" s="35" t="n">
        <x:f>IFERROR(EI79*EI81/SUMPRODUCT($D79:$GA79,$D81:$GA81),0)</x:f>
      </x:c>
      <x:c r="EJ82" s="35" t="n">
        <x:f>IFERROR(EJ79*EJ81/SUMPRODUCT($D79:$GA79,$D81:$GA81),0)</x:f>
      </x:c>
      <x:c r="EK82" s="35" t="n">
        <x:f>IFERROR(EK79*EK81/SUMPRODUCT($D79:$GA79,$D81:$GA81),0)</x:f>
      </x:c>
      <x:c r="EL82" s="35" t="n">
        <x:f>IFERROR(EL79*EL81/SUMPRODUCT($D79:$GA79,$D81:$GA81),0)</x:f>
      </x:c>
      <x:c r="EM82" s="35" t="n">
        <x:f>IFERROR(EM79*EM81/SUMPRODUCT($D79:$GA79,$D81:$GA81),0)</x:f>
      </x:c>
      <x:c r="EN82" s="35" t="n">
        <x:f>IFERROR(EN79*EN81/SUMPRODUCT($D79:$GA79,$D81:$GA81),0)</x:f>
      </x:c>
      <x:c r="EO82" s="35" t="n">
        <x:f>IFERROR(EO79*EO81/SUMPRODUCT($D79:$GA79,$D81:$GA81),0)</x:f>
      </x:c>
      <x:c r="EP82" s="35" t="n">
        <x:f>IFERROR(EP79*EP81/SUMPRODUCT($D79:$GA79,$D81:$GA81),0)</x:f>
      </x:c>
      <x:c r="EQ82" s="35" t="n">
        <x:f>IFERROR(EQ79*EQ81/SUMPRODUCT($D79:$GA79,$D81:$GA81),0)</x:f>
      </x:c>
      <x:c r="ER82" s="35" t="n">
        <x:f>IFERROR(ER79*ER81/SUMPRODUCT($D79:$GA79,$D81:$GA81),0)</x:f>
      </x:c>
      <x:c r="ES82" s="35" t="n">
        <x:f>IFERROR(ES79*ES81/SUMPRODUCT($D79:$GA79,$D81:$GA81),0)</x:f>
      </x:c>
      <x:c r="ET82" s="35" t="n">
        <x:f>IFERROR(ET79*ET81/SUMPRODUCT($D79:$GA79,$D81:$GA81),0)</x:f>
      </x:c>
      <x:c r="EU82" s="35" t="n">
        <x:f>IFERROR(EU79*EU81/SUMPRODUCT($D79:$GA79,$D81:$GA81),0)</x:f>
      </x:c>
      <x:c r="EV82" s="35" t="n">
        <x:f>IFERROR(EV79*EV81/SUMPRODUCT($D79:$GA79,$D81:$GA81),0)</x:f>
      </x:c>
      <x:c r="EW82" s="35" t="n">
        <x:f>IFERROR(EW79*EW81/SUMPRODUCT($D79:$GA79,$D81:$GA81),0)</x:f>
      </x:c>
      <x:c r="EX82" s="35" t="n">
        <x:f>IFERROR(EX79*EX81/SUMPRODUCT($D79:$GA79,$D81:$GA81),0)</x:f>
      </x:c>
      <x:c r="EY82" s="35" t="n">
        <x:f>IFERROR(EY79*EY81/SUMPRODUCT($D79:$GA79,$D81:$GA81),0)</x:f>
      </x:c>
      <x:c r="EZ82" s="35" t="n">
        <x:f>IFERROR(EZ79*EZ81/SUMPRODUCT($D79:$GA79,$D81:$GA81),0)</x:f>
      </x:c>
      <x:c r="FA82" s="35" t="n">
        <x:f>IFERROR(FA79*FA81/SUMPRODUCT($D79:$GA79,$D81:$GA81),0)</x:f>
      </x:c>
      <x:c r="FB82" s="35" t="n">
        <x:f>IFERROR(FB79*FB81/SUMPRODUCT($D79:$GA79,$D81:$GA81),0)</x:f>
      </x:c>
      <x:c r="FC82" s="35" t="n">
        <x:f>IFERROR(FC79*FC81/SUMPRODUCT($D79:$GA79,$D81:$GA81),0)</x:f>
      </x:c>
      <x:c r="FD82" s="35" t="n">
        <x:f>IFERROR(FD79*FD81/SUMPRODUCT($D79:$GA79,$D81:$GA81),0)</x:f>
      </x:c>
      <x:c r="FE82" s="35" t="n">
        <x:f>IFERROR(FE79*FE81/SUMPRODUCT($D79:$GA79,$D81:$GA81),0)</x:f>
      </x:c>
      <x:c r="FF82" s="35" t="n">
        <x:f>IFERROR(FF79*FF81/SUMPRODUCT($D79:$GA79,$D81:$GA81),0)</x:f>
      </x:c>
      <x:c r="FG82" s="35" t="n">
        <x:f>IFERROR(FG79*FG81/SUMPRODUCT($D79:$GA79,$D81:$GA81),0)</x:f>
      </x:c>
      <x:c r="FH82" s="35" t="n">
        <x:f>IFERROR(FH79*FH81/SUMPRODUCT($D79:$GA79,$D81:$GA81),0)</x:f>
      </x:c>
      <x:c r="FI82" s="35" t="n">
        <x:f>IFERROR(FI79*FI81/SUMPRODUCT($D79:$GA79,$D81:$GA81),0)</x:f>
      </x:c>
      <x:c r="FJ82" s="35" t="n">
        <x:f>IFERROR(FJ79*FJ81/SUMPRODUCT($D79:$GA79,$D81:$GA81),0)</x:f>
      </x:c>
      <x:c r="FK82" s="35" t="n">
        <x:f>IFERROR(FK79*FK81/SUMPRODUCT($D79:$GA79,$D81:$GA81),0)</x:f>
      </x:c>
      <x:c r="FL82" s="35" t="n">
        <x:f>IFERROR(FL79*FL81/SUMPRODUCT($D79:$GA79,$D81:$GA81),0)</x:f>
      </x:c>
      <x:c r="FM82" s="35" t="n">
        <x:f>IFERROR(FM79*FM81/SUMPRODUCT($D79:$GA79,$D81:$GA81),0)</x:f>
      </x:c>
      <x:c r="FN82" s="35" t="n">
        <x:f>IFERROR(FN79*FN81/SUMPRODUCT($D79:$GA79,$D81:$GA81),0)</x:f>
      </x:c>
      <x:c r="FO82" s="35" t="n">
        <x:f>IFERROR(FO79*FO81/SUMPRODUCT($D79:$GA79,$D81:$GA81),0)</x:f>
      </x:c>
      <x:c r="FP82" s="35" t="n">
        <x:f>IFERROR(FP79*FP81/SUMPRODUCT($D79:$GA79,$D81:$GA81),0)</x:f>
      </x:c>
      <x:c r="FQ82" s="35" t="n">
        <x:f>IFERROR(FQ79*FQ81/SUMPRODUCT($D79:$GA79,$D81:$GA81),0)</x:f>
      </x:c>
      <x:c r="FR82" s="35" t="n">
        <x:f>IFERROR(FR79*FR81/SUMPRODUCT($D79:$GA79,$D81:$GA81),0)</x:f>
      </x:c>
      <x:c r="FS82" s="35" t="n">
        <x:f>IFERROR(FS79*FS81/SUMPRODUCT($D79:$GA79,$D81:$GA81),0)</x:f>
      </x:c>
      <x:c r="FT82" s="35" t="n">
        <x:f>IFERROR(FT79*FT81/SUMPRODUCT($D79:$GA79,$D81:$GA81),0)</x:f>
      </x:c>
      <x:c r="FU82" s="35" t="n">
        <x:f>IFERROR(FU79*FU81/SUMPRODUCT($D79:$GA79,$D81:$GA81),0)</x:f>
      </x:c>
      <x:c r="FV82" s="35" t="n">
        <x:f>IFERROR(FV79*FV81/SUMPRODUCT($D79:$GA79,$D81:$GA81),0)</x:f>
      </x:c>
      <x:c r="FW82" s="35" t="n">
        <x:f>IFERROR(FW79*FW81/SUMPRODUCT($D79:$GA79,$D81:$GA81),0)</x:f>
      </x:c>
      <x:c r="FX82" s="35" t="n">
        <x:f>IFERROR(FX79*FX81/SUMPRODUCT($D79:$GA79,$D81:$GA81),0)</x:f>
      </x:c>
      <x:c r="FY82" s="35" t="n">
        <x:f>IFERROR(FY79*FY81/SUMPRODUCT($D79:$GA79,$D81:$GA81),0)</x:f>
      </x:c>
      <x:c r="FZ82" s="35" t="n">
        <x:f>IFERROR(FZ79*FZ81/SUMPRODUCT($D79:$GA79,$D81:$GA81),0)</x:f>
      </x:c>
      <x:c r="GA82" s="35" t="n">
        <x:f>IFERROR(GA79*GA81/SUMPRODUCT($D79:$GA79,$D81:$GA81),0)</x:f>
      </x:c>
    </x:row>
    <x:row r="83">
      <x:c r="A83" t="str">
        <x:v>Квартиры — объём</x:v>
      </x:c>
      <x:c r="B83" t="n">
        <x:f>SUM(D83:GA83)</x:f>
      </x:c>
      <x:c r="C83" t="str">
        <x:v>м²</x:v>
      </x:c>
      <x:c r="D83" s="107" t="n">
        <x:f>'Вводные'!$L$91*((IF(SUM($D78:$GA78)=0,0,IF(SUM($D81:$GA81)=0,1,'Вводные'!$B$63)))*D80+(1-(IF(SUM($D78:$GA78)=0,0,IF(SUM($D81:$GA81)=0,1,'Вводные'!$B$63))))*D82)</x:f>
      </x:c>
      <x:c r="E83" s="107" t="n">
        <x:f>'Вводные'!$L$91*((IF(SUM($D78:$GA78)=0,0,IF(SUM($D81:$GA81)=0,1,'Вводные'!$B$63)))*E80+(1-(IF(SUM($D78:$GA78)=0,0,IF(SUM($D81:$GA81)=0,1,'Вводные'!$B$63))))*E82)</x:f>
      </x:c>
      <x:c r="F83" s="107" t="n">
        <x:f>'Вводные'!$L$91*((IF(SUM($D78:$GA78)=0,0,IF(SUM($D81:$GA81)=0,1,'Вводные'!$B$63)))*F80+(1-(IF(SUM($D78:$GA78)=0,0,IF(SUM($D81:$GA81)=0,1,'Вводные'!$B$63))))*F82)</x:f>
      </x:c>
      <x:c r="G83" s="107" t="n">
        <x:f>'Вводные'!$L$91*((IF(SUM($D78:$GA78)=0,0,IF(SUM($D81:$GA81)=0,1,'Вводные'!$B$63)))*G80+(1-(IF(SUM($D78:$GA78)=0,0,IF(SUM($D81:$GA81)=0,1,'Вводные'!$B$63))))*G82)</x:f>
      </x:c>
      <x:c r="H83" s="107" t="n">
        <x:f>'Вводные'!$L$91*((IF(SUM($D78:$GA78)=0,0,IF(SUM($D81:$GA81)=0,1,'Вводные'!$B$63)))*H80+(1-(IF(SUM($D78:$GA78)=0,0,IF(SUM($D81:$GA81)=0,1,'Вводные'!$B$63))))*H82)</x:f>
      </x:c>
      <x:c r="I83" s="107" t="n">
        <x:f>'Вводные'!$L$91*((IF(SUM($D78:$GA78)=0,0,IF(SUM($D81:$GA81)=0,1,'Вводные'!$B$63)))*I80+(1-(IF(SUM($D78:$GA78)=0,0,IF(SUM($D81:$GA81)=0,1,'Вводные'!$B$63))))*I82)</x:f>
      </x:c>
      <x:c r="J83" s="107" t="n">
        <x:f>'Вводные'!$L$91*((IF(SUM($D78:$GA78)=0,0,IF(SUM($D81:$GA81)=0,1,'Вводные'!$B$63)))*J80+(1-(IF(SUM($D78:$GA78)=0,0,IF(SUM($D81:$GA81)=0,1,'Вводные'!$B$63))))*J82)</x:f>
      </x:c>
      <x:c r="K83" s="107" t="n">
        <x:f>'Вводные'!$L$91*((IF(SUM($D78:$GA78)=0,0,IF(SUM($D81:$GA81)=0,1,'Вводные'!$B$63)))*K80+(1-(IF(SUM($D78:$GA78)=0,0,IF(SUM($D81:$GA81)=0,1,'Вводные'!$B$63))))*K82)</x:f>
      </x:c>
      <x:c r="L83" s="107" t="n">
        <x:f>'Вводные'!$L$91*((IF(SUM($D78:$GA78)=0,0,IF(SUM($D81:$GA81)=0,1,'Вводные'!$B$63)))*L80+(1-(IF(SUM($D78:$GA78)=0,0,IF(SUM($D81:$GA81)=0,1,'Вводные'!$B$63))))*L82)</x:f>
      </x:c>
      <x:c r="M83" s="107" t="n">
        <x:f>'Вводные'!$L$91*((IF(SUM($D78:$GA78)=0,0,IF(SUM($D81:$GA81)=0,1,'Вводные'!$B$63)))*M80+(1-(IF(SUM($D78:$GA78)=0,0,IF(SUM($D81:$GA81)=0,1,'Вводные'!$B$63))))*M82)</x:f>
      </x:c>
      <x:c r="N83" s="107" t="n">
        <x:f>'Вводные'!$L$91*((IF(SUM($D78:$GA78)=0,0,IF(SUM($D81:$GA81)=0,1,'Вводные'!$B$63)))*N80+(1-(IF(SUM($D78:$GA78)=0,0,IF(SUM($D81:$GA81)=0,1,'Вводные'!$B$63))))*N82)</x:f>
      </x:c>
      <x:c r="O83" s="107" t="n">
        <x:f>'Вводные'!$L$91*((IF(SUM($D78:$GA78)=0,0,IF(SUM($D81:$GA81)=0,1,'Вводные'!$B$63)))*O80+(1-(IF(SUM($D78:$GA78)=0,0,IF(SUM($D81:$GA81)=0,1,'Вводные'!$B$63))))*O82)</x:f>
      </x:c>
      <x:c r="P83" s="107" t="n">
        <x:f>'Вводные'!$L$91*((IF(SUM($D78:$GA78)=0,0,IF(SUM($D81:$GA81)=0,1,'Вводные'!$B$63)))*P80+(1-(IF(SUM($D78:$GA78)=0,0,IF(SUM($D81:$GA81)=0,1,'Вводные'!$B$63))))*P82)</x:f>
      </x:c>
      <x:c r="Q83" s="107" t="n">
        <x:f>'Вводные'!$L$91*((IF(SUM($D78:$GA78)=0,0,IF(SUM($D81:$GA81)=0,1,'Вводные'!$B$63)))*Q80+(1-(IF(SUM($D78:$GA78)=0,0,IF(SUM($D81:$GA81)=0,1,'Вводные'!$B$63))))*Q82)</x:f>
      </x:c>
      <x:c r="R83" s="107" t="n">
        <x:f>'Вводные'!$L$91*((IF(SUM($D78:$GA78)=0,0,IF(SUM($D81:$GA81)=0,1,'Вводные'!$B$63)))*R80+(1-(IF(SUM($D78:$GA78)=0,0,IF(SUM($D81:$GA81)=0,1,'Вводные'!$B$63))))*R82)</x:f>
      </x:c>
      <x:c r="S83" s="107" t="n">
        <x:f>'Вводные'!$L$91*((IF(SUM($D78:$GA78)=0,0,IF(SUM($D81:$GA81)=0,1,'Вводные'!$B$63)))*S80+(1-(IF(SUM($D78:$GA78)=0,0,IF(SUM($D81:$GA81)=0,1,'Вводные'!$B$63))))*S82)</x:f>
      </x:c>
      <x:c r="T83" s="107" t="n">
        <x:f>'Вводные'!$L$91*((IF(SUM($D78:$GA78)=0,0,IF(SUM($D81:$GA81)=0,1,'Вводные'!$B$63)))*T80+(1-(IF(SUM($D78:$GA78)=0,0,IF(SUM($D81:$GA81)=0,1,'Вводные'!$B$63))))*T82)</x:f>
      </x:c>
      <x:c r="U83" s="107" t="n">
        <x:f>'Вводные'!$L$91*((IF(SUM($D78:$GA78)=0,0,IF(SUM($D81:$GA81)=0,1,'Вводные'!$B$63)))*U80+(1-(IF(SUM($D78:$GA78)=0,0,IF(SUM($D81:$GA81)=0,1,'Вводные'!$B$63))))*U82)</x:f>
      </x:c>
      <x:c r="V83" s="107" t="n">
        <x:f>'Вводные'!$L$91*((IF(SUM($D78:$GA78)=0,0,IF(SUM($D81:$GA81)=0,1,'Вводные'!$B$63)))*V80+(1-(IF(SUM($D78:$GA78)=0,0,IF(SUM($D81:$GA81)=0,1,'Вводные'!$B$63))))*V82)</x:f>
      </x:c>
      <x:c r="W83" s="107" t="n">
        <x:f>'Вводные'!$L$91*((IF(SUM($D78:$GA78)=0,0,IF(SUM($D81:$GA81)=0,1,'Вводные'!$B$63)))*W80+(1-(IF(SUM($D78:$GA78)=0,0,IF(SUM($D81:$GA81)=0,1,'Вводные'!$B$63))))*W82)</x:f>
      </x:c>
      <x:c r="X83" s="107" t="n">
        <x:f>'Вводные'!$L$91*((IF(SUM($D78:$GA78)=0,0,IF(SUM($D81:$GA81)=0,1,'Вводные'!$B$63)))*X80+(1-(IF(SUM($D78:$GA78)=0,0,IF(SUM($D81:$GA81)=0,1,'Вводные'!$B$63))))*X82)</x:f>
      </x:c>
      <x:c r="Y83" s="107" t="n">
        <x:f>'Вводные'!$L$91*((IF(SUM($D78:$GA78)=0,0,IF(SUM($D81:$GA81)=0,1,'Вводные'!$B$63)))*Y80+(1-(IF(SUM($D78:$GA78)=0,0,IF(SUM($D81:$GA81)=0,1,'Вводные'!$B$63))))*Y82)</x:f>
      </x:c>
      <x:c r="Z83" s="107" t="n">
        <x:f>'Вводные'!$L$91*((IF(SUM($D78:$GA78)=0,0,IF(SUM($D81:$GA81)=0,1,'Вводные'!$B$63)))*Z80+(1-(IF(SUM($D78:$GA78)=0,0,IF(SUM($D81:$GA81)=0,1,'Вводные'!$B$63))))*Z82)</x:f>
      </x:c>
      <x:c r="AA83" s="107" t="n">
        <x:f>'Вводные'!$L$91*((IF(SUM($D78:$GA78)=0,0,IF(SUM($D81:$GA81)=0,1,'Вводные'!$B$63)))*AA80+(1-(IF(SUM($D78:$GA78)=0,0,IF(SUM($D81:$GA81)=0,1,'Вводные'!$B$63))))*AA82)</x:f>
      </x:c>
      <x:c r="AB83" s="107" t="n">
        <x:f>'Вводные'!$L$91*((IF(SUM($D78:$GA78)=0,0,IF(SUM($D81:$GA81)=0,1,'Вводные'!$B$63)))*AB80+(1-(IF(SUM($D78:$GA78)=0,0,IF(SUM($D81:$GA81)=0,1,'Вводные'!$B$63))))*AB82)</x:f>
      </x:c>
      <x:c r="AC83" s="107" t="n">
        <x:f>'Вводные'!$L$91*((IF(SUM($D78:$GA78)=0,0,IF(SUM($D81:$GA81)=0,1,'Вводные'!$B$63)))*AC80+(1-(IF(SUM($D78:$GA78)=0,0,IF(SUM($D81:$GA81)=0,1,'Вводные'!$B$63))))*AC82)</x:f>
      </x:c>
      <x:c r="AD83" s="107" t="n">
        <x:f>'Вводные'!$L$91*((IF(SUM($D78:$GA78)=0,0,IF(SUM($D81:$GA81)=0,1,'Вводные'!$B$63)))*AD80+(1-(IF(SUM($D78:$GA78)=0,0,IF(SUM($D81:$GA81)=0,1,'Вводные'!$B$63))))*AD82)</x:f>
      </x:c>
      <x:c r="AE83" s="107" t="n">
        <x:f>'Вводные'!$L$91*((IF(SUM($D78:$GA78)=0,0,IF(SUM($D81:$GA81)=0,1,'Вводные'!$B$63)))*AE80+(1-(IF(SUM($D78:$GA78)=0,0,IF(SUM($D81:$GA81)=0,1,'Вводные'!$B$63))))*AE82)</x:f>
      </x:c>
      <x:c r="AF83" s="107" t="n">
        <x:f>'Вводные'!$L$91*((IF(SUM($D78:$GA78)=0,0,IF(SUM($D81:$GA81)=0,1,'Вводные'!$B$63)))*AF80+(1-(IF(SUM($D78:$GA78)=0,0,IF(SUM($D81:$GA81)=0,1,'Вводные'!$B$63))))*AF82)</x:f>
      </x:c>
      <x:c r="AG83" s="107" t="n">
        <x:f>'Вводные'!$L$91*((IF(SUM($D78:$GA78)=0,0,IF(SUM($D81:$GA81)=0,1,'Вводные'!$B$63)))*AG80+(1-(IF(SUM($D78:$GA78)=0,0,IF(SUM($D81:$GA81)=0,1,'Вводные'!$B$63))))*AG82)</x:f>
      </x:c>
      <x:c r="AH83" s="107" t="n">
        <x:f>'Вводные'!$L$91*((IF(SUM($D78:$GA78)=0,0,IF(SUM($D81:$GA81)=0,1,'Вводные'!$B$63)))*AH80+(1-(IF(SUM($D78:$GA78)=0,0,IF(SUM($D81:$GA81)=0,1,'Вводные'!$B$63))))*AH82)</x:f>
      </x:c>
      <x:c r="AI83" s="107" t="n">
        <x:f>'Вводные'!$L$91*((IF(SUM($D78:$GA78)=0,0,IF(SUM($D81:$GA81)=0,1,'Вводные'!$B$63)))*AI80+(1-(IF(SUM($D78:$GA78)=0,0,IF(SUM($D81:$GA81)=0,1,'Вводные'!$B$63))))*AI82)</x:f>
      </x:c>
      <x:c r="AJ83" s="107" t="n">
        <x:f>'Вводные'!$L$91*((IF(SUM($D78:$GA78)=0,0,IF(SUM($D81:$GA81)=0,1,'Вводные'!$B$63)))*AJ80+(1-(IF(SUM($D78:$GA78)=0,0,IF(SUM($D81:$GA81)=0,1,'Вводные'!$B$63))))*AJ82)</x:f>
      </x:c>
      <x:c r="AK83" s="107" t="n">
        <x:f>'Вводные'!$L$91*((IF(SUM($D78:$GA78)=0,0,IF(SUM($D81:$GA81)=0,1,'Вводные'!$B$63)))*AK80+(1-(IF(SUM($D78:$GA78)=0,0,IF(SUM($D81:$GA81)=0,1,'Вводные'!$B$63))))*AK82)</x:f>
      </x:c>
      <x:c r="AL83" s="107" t="n">
        <x:f>'Вводные'!$L$91*((IF(SUM($D78:$GA78)=0,0,IF(SUM($D81:$GA81)=0,1,'Вводные'!$B$63)))*AL80+(1-(IF(SUM($D78:$GA78)=0,0,IF(SUM($D81:$GA81)=0,1,'Вводные'!$B$63))))*AL82)</x:f>
      </x:c>
      <x:c r="AM83" s="107" t="n">
        <x:f>'Вводные'!$L$91*((IF(SUM($D78:$GA78)=0,0,IF(SUM($D81:$GA81)=0,1,'Вводные'!$B$63)))*AM80+(1-(IF(SUM($D78:$GA78)=0,0,IF(SUM($D81:$GA81)=0,1,'Вводные'!$B$63))))*AM82)</x:f>
      </x:c>
      <x:c r="AN83" s="107" t="n">
        <x:f>'Вводные'!$L$91*((IF(SUM($D78:$GA78)=0,0,IF(SUM($D81:$GA81)=0,1,'Вводные'!$B$63)))*AN80+(1-(IF(SUM($D78:$GA78)=0,0,IF(SUM($D81:$GA81)=0,1,'Вводные'!$B$63))))*AN82)</x:f>
      </x:c>
      <x:c r="AO83" s="107" t="n">
        <x:f>'Вводные'!$L$91*((IF(SUM($D78:$GA78)=0,0,IF(SUM($D81:$GA81)=0,1,'Вводные'!$B$63)))*AO80+(1-(IF(SUM($D78:$GA78)=0,0,IF(SUM($D81:$GA81)=0,1,'Вводные'!$B$63))))*AO82)</x:f>
      </x:c>
      <x:c r="AP83" s="107" t="n">
        <x:f>'Вводные'!$L$91*((IF(SUM($D78:$GA78)=0,0,IF(SUM($D81:$GA81)=0,1,'Вводные'!$B$63)))*AP80+(1-(IF(SUM($D78:$GA78)=0,0,IF(SUM($D81:$GA81)=0,1,'Вводные'!$B$63))))*AP82)</x:f>
      </x:c>
      <x:c r="AQ83" s="107" t="n">
        <x:f>'Вводные'!$L$91*((IF(SUM($D78:$GA78)=0,0,IF(SUM($D81:$GA81)=0,1,'Вводные'!$B$63)))*AQ80+(1-(IF(SUM($D78:$GA78)=0,0,IF(SUM($D81:$GA81)=0,1,'Вводные'!$B$63))))*AQ82)</x:f>
      </x:c>
      <x:c r="AR83" s="107" t="n">
        <x:f>'Вводные'!$L$91*((IF(SUM($D78:$GA78)=0,0,IF(SUM($D81:$GA81)=0,1,'Вводные'!$B$63)))*AR80+(1-(IF(SUM($D78:$GA78)=0,0,IF(SUM($D81:$GA81)=0,1,'Вводные'!$B$63))))*AR82)</x:f>
      </x:c>
      <x:c r="AS83" s="107" t="n">
        <x:f>'Вводные'!$L$91*((IF(SUM($D78:$GA78)=0,0,IF(SUM($D81:$GA81)=0,1,'Вводные'!$B$63)))*AS80+(1-(IF(SUM($D78:$GA78)=0,0,IF(SUM($D81:$GA81)=0,1,'Вводные'!$B$63))))*AS82)</x:f>
      </x:c>
      <x:c r="AT83" s="107" t="n">
        <x:f>'Вводные'!$L$91*((IF(SUM($D78:$GA78)=0,0,IF(SUM($D81:$GA81)=0,1,'Вводные'!$B$63)))*AT80+(1-(IF(SUM($D78:$GA78)=0,0,IF(SUM($D81:$GA81)=0,1,'Вводные'!$B$63))))*AT82)</x:f>
      </x:c>
      <x:c r="AU83" s="107" t="n">
        <x:f>'Вводные'!$L$91*((IF(SUM($D78:$GA78)=0,0,IF(SUM($D81:$GA81)=0,1,'Вводные'!$B$63)))*AU80+(1-(IF(SUM($D78:$GA78)=0,0,IF(SUM($D81:$GA81)=0,1,'Вводные'!$B$63))))*AU82)</x:f>
      </x:c>
      <x:c r="AV83" s="107" t="n">
        <x:f>'Вводные'!$L$91*((IF(SUM($D78:$GA78)=0,0,IF(SUM($D81:$GA81)=0,1,'Вводные'!$B$63)))*AV80+(1-(IF(SUM($D78:$GA78)=0,0,IF(SUM($D81:$GA81)=0,1,'Вводные'!$B$63))))*AV82)</x:f>
      </x:c>
      <x:c r="AW83" s="107" t="n">
        <x:f>'Вводные'!$L$91*((IF(SUM($D78:$GA78)=0,0,IF(SUM($D81:$GA81)=0,1,'Вводные'!$B$63)))*AW80+(1-(IF(SUM($D78:$GA78)=0,0,IF(SUM($D81:$GA81)=0,1,'Вводные'!$B$63))))*AW82)</x:f>
      </x:c>
      <x:c r="AX83" s="107" t="n">
        <x:f>'Вводные'!$L$91*((IF(SUM($D78:$GA78)=0,0,IF(SUM($D81:$GA81)=0,1,'Вводные'!$B$63)))*AX80+(1-(IF(SUM($D78:$GA78)=0,0,IF(SUM($D81:$GA81)=0,1,'Вводные'!$B$63))))*AX82)</x:f>
      </x:c>
      <x:c r="AY83" s="107" t="n">
        <x:f>'Вводные'!$L$91*((IF(SUM($D78:$GA78)=0,0,IF(SUM($D81:$GA81)=0,1,'Вводные'!$B$63)))*AY80+(1-(IF(SUM($D78:$GA78)=0,0,IF(SUM($D81:$GA81)=0,1,'Вводные'!$B$63))))*AY82)</x:f>
      </x:c>
      <x:c r="AZ83" s="107" t="n">
        <x:f>'Вводные'!$L$91*((IF(SUM($D78:$GA78)=0,0,IF(SUM($D81:$GA81)=0,1,'Вводные'!$B$63)))*AZ80+(1-(IF(SUM($D78:$GA78)=0,0,IF(SUM($D81:$GA81)=0,1,'Вводные'!$B$63))))*AZ82)</x:f>
      </x:c>
      <x:c r="BA83" s="107" t="n">
        <x:f>'Вводные'!$L$91*((IF(SUM($D78:$GA78)=0,0,IF(SUM($D81:$GA81)=0,1,'Вводные'!$B$63)))*BA80+(1-(IF(SUM($D78:$GA78)=0,0,IF(SUM($D81:$GA81)=0,1,'Вводные'!$B$63))))*BA82)</x:f>
      </x:c>
      <x:c r="BB83" s="107" t="n">
        <x:f>'Вводные'!$L$91*((IF(SUM($D78:$GA78)=0,0,IF(SUM($D81:$GA81)=0,1,'Вводные'!$B$63)))*BB80+(1-(IF(SUM($D78:$GA78)=0,0,IF(SUM($D81:$GA81)=0,1,'Вводные'!$B$63))))*BB82)</x:f>
      </x:c>
      <x:c r="BC83" s="107" t="n">
        <x:f>'Вводные'!$L$91*((IF(SUM($D78:$GA78)=0,0,IF(SUM($D81:$GA81)=0,1,'Вводные'!$B$63)))*BC80+(1-(IF(SUM($D78:$GA78)=0,0,IF(SUM($D81:$GA81)=0,1,'Вводные'!$B$63))))*BC82)</x:f>
      </x:c>
      <x:c r="BD83" s="107" t="n">
        <x:f>'Вводные'!$L$91*((IF(SUM($D78:$GA78)=0,0,IF(SUM($D81:$GA81)=0,1,'Вводные'!$B$63)))*BD80+(1-(IF(SUM($D78:$GA78)=0,0,IF(SUM($D81:$GA81)=0,1,'Вводные'!$B$63))))*BD82)</x:f>
      </x:c>
      <x:c r="BE83" s="107" t="n">
        <x:f>'Вводные'!$L$91*((IF(SUM($D78:$GA78)=0,0,IF(SUM($D81:$GA81)=0,1,'Вводные'!$B$63)))*BE80+(1-(IF(SUM($D78:$GA78)=0,0,IF(SUM($D81:$GA81)=0,1,'Вводные'!$B$63))))*BE82)</x:f>
      </x:c>
      <x:c r="BF83" s="107" t="n">
        <x:f>'Вводные'!$L$91*((IF(SUM($D78:$GA78)=0,0,IF(SUM($D81:$GA81)=0,1,'Вводные'!$B$63)))*BF80+(1-(IF(SUM($D78:$GA78)=0,0,IF(SUM($D81:$GA81)=0,1,'Вводные'!$B$63))))*BF82)</x:f>
      </x:c>
      <x:c r="BG83" s="107" t="n">
        <x:f>'Вводные'!$L$91*((IF(SUM($D78:$GA78)=0,0,IF(SUM($D81:$GA81)=0,1,'Вводные'!$B$63)))*BG80+(1-(IF(SUM($D78:$GA78)=0,0,IF(SUM($D81:$GA81)=0,1,'Вводные'!$B$63))))*BG82)</x:f>
      </x:c>
      <x:c r="BH83" s="107" t="n">
        <x:f>'Вводные'!$L$91*((IF(SUM($D78:$GA78)=0,0,IF(SUM($D81:$GA81)=0,1,'Вводные'!$B$63)))*BH80+(1-(IF(SUM($D78:$GA78)=0,0,IF(SUM($D81:$GA81)=0,1,'Вводные'!$B$63))))*BH82)</x:f>
      </x:c>
      <x:c r="BI83" s="107" t="n">
        <x:f>'Вводные'!$L$91*((IF(SUM($D78:$GA78)=0,0,IF(SUM($D81:$GA81)=0,1,'Вводные'!$B$63)))*BI80+(1-(IF(SUM($D78:$GA78)=0,0,IF(SUM($D81:$GA81)=0,1,'Вводные'!$B$63))))*BI82)</x:f>
      </x:c>
      <x:c r="BJ83" s="107" t="n">
        <x:f>'Вводные'!$L$91*((IF(SUM($D78:$GA78)=0,0,IF(SUM($D81:$GA81)=0,1,'Вводные'!$B$63)))*BJ80+(1-(IF(SUM($D78:$GA78)=0,0,IF(SUM($D81:$GA81)=0,1,'Вводные'!$B$63))))*BJ82)</x:f>
      </x:c>
      <x:c r="BK83" s="107" t="n">
        <x:f>'Вводные'!$L$91*((IF(SUM($D78:$GA78)=0,0,IF(SUM($D81:$GA81)=0,1,'Вводные'!$B$63)))*BK80+(1-(IF(SUM($D78:$GA78)=0,0,IF(SUM($D81:$GA81)=0,1,'Вводные'!$B$63))))*BK82)</x:f>
      </x:c>
      <x:c r="BL83" s="107" t="n">
        <x:f>'Вводные'!$L$91*((IF(SUM($D78:$GA78)=0,0,IF(SUM($D81:$GA81)=0,1,'Вводные'!$B$63)))*BL80+(1-(IF(SUM($D78:$GA78)=0,0,IF(SUM($D81:$GA81)=0,1,'Вводные'!$B$63))))*BL82)</x:f>
      </x:c>
      <x:c r="BM83" s="107" t="n">
        <x:f>'Вводные'!$L$91*((IF(SUM($D78:$GA78)=0,0,IF(SUM($D81:$GA81)=0,1,'Вводные'!$B$63)))*BM80+(1-(IF(SUM($D78:$GA78)=0,0,IF(SUM($D81:$GA81)=0,1,'Вводные'!$B$63))))*BM82)</x:f>
      </x:c>
      <x:c r="BN83" s="107" t="n">
        <x:f>'Вводные'!$L$91*((IF(SUM($D78:$GA78)=0,0,IF(SUM($D81:$GA81)=0,1,'Вводные'!$B$63)))*BN80+(1-(IF(SUM($D78:$GA78)=0,0,IF(SUM($D81:$GA81)=0,1,'Вводные'!$B$63))))*BN82)</x:f>
      </x:c>
      <x:c r="BO83" s="107" t="n">
        <x:f>'Вводные'!$L$91*((IF(SUM($D78:$GA78)=0,0,IF(SUM($D81:$GA81)=0,1,'Вводные'!$B$63)))*BO80+(1-(IF(SUM($D78:$GA78)=0,0,IF(SUM($D81:$GA81)=0,1,'Вводные'!$B$63))))*BO82)</x:f>
      </x:c>
      <x:c r="BP83" s="107" t="n">
        <x:f>'Вводные'!$L$91*((IF(SUM($D78:$GA78)=0,0,IF(SUM($D81:$GA81)=0,1,'Вводные'!$B$63)))*BP80+(1-(IF(SUM($D78:$GA78)=0,0,IF(SUM($D81:$GA81)=0,1,'Вводные'!$B$63))))*BP82)</x:f>
      </x:c>
      <x:c r="BQ83" s="107" t="n">
        <x:f>'Вводные'!$L$91*((IF(SUM($D78:$GA78)=0,0,IF(SUM($D81:$GA81)=0,1,'Вводные'!$B$63)))*BQ80+(1-(IF(SUM($D78:$GA78)=0,0,IF(SUM($D81:$GA81)=0,1,'Вводные'!$B$63))))*BQ82)</x:f>
      </x:c>
      <x:c r="BR83" s="107" t="n">
        <x:f>'Вводные'!$L$91*((IF(SUM($D78:$GA78)=0,0,IF(SUM($D81:$GA81)=0,1,'Вводные'!$B$63)))*BR80+(1-(IF(SUM($D78:$GA78)=0,0,IF(SUM($D81:$GA81)=0,1,'Вводные'!$B$63))))*BR82)</x:f>
      </x:c>
      <x:c r="BS83" s="107" t="n">
        <x:f>'Вводные'!$L$91*((IF(SUM($D78:$GA78)=0,0,IF(SUM($D81:$GA81)=0,1,'Вводные'!$B$63)))*BS80+(1-(IF(SUM($D78:$GA78)=0,0,IF(SUM($D81:$GA81)=0,1,'Вводные'!$B$63))))*BS82)</x:f>
      </x:c>
      <x:c r="BT83" s="107" t="n">
        <x:f>'Вводные'!$L$91*((IF(SUM($D78:$GA78)=0,0,IF(SUM($D81:$GA81)=0,1,'Вводные'!$B$63)))*BT80+(1-(IF(SUM($D78:$GA78)=0,0,IF(SUM($D81:$GA81)=0,1,'Вводные'!$B$63))))*BT82)</x:f>
      </x:c>
      <x:c r="BU83" s="107" t="n">
        <x:f>'Вводные'!$L$91*((IF(SUM($D78:$GA78)=0,0,IF(SUM($D81:$GA81)=0,1,'Вводные'!$B$63)))*BU80+(1-(IF(SUM($D78:$GA78)=0,0,IF(SUM($D81:$GA81)=0,1,'Вводные'!$B$63))))*BU82)</x:f>
      </x:c>
      <x:c r="BV83" s="107" t="n">
        <x:f>'Вводные'!$L$91*((IF(SUM($D78:$GA78)=0,0,IF(SUM($D81:$GA81)=0,1,'Вводные'!$B$63)))*BV80+(1-(IF(SUM($D78:$GA78)=0,0,IF(SUM($D81:$GA81)=0,1,'Вводные'!$B$63))))*BV82)</x:f>
      </x:c>
      <x:c r="BW83" s="107" t="n">
        <x:f>'Вводные'!$L$91*((IF(SUM($D78:$GA78)=0,0,IF(SUM($D81:$GA81)=0,1,'Вводные'!$B$63)))*BW80+(1-(IF(SUM($D78:$GA78)=0,0,IF(SUM($D81:$GA81)=0,1,'Вводные'!$B$63))))*BW82)</x:f>
      </x:c>
      <x:c r="BX83" s="107" t="n">
        <x:f>'Вводные'!$L$91*((IF(SUM($D78:$GA78)=0,0,IF(SUM($D81:$GA81)=0,1,'Вводные'!$B$63)))*BX80+(1-(IF(SUM($D78:$GA78)=0,0,IF(SUM($D81:$GA81)=0,1,'Вводные'!$B$63))))*BX82)</x:f>
      </x:c>
      <x:c r="BY83" s="107" t="n">
        <x:f>'Вводные'!$L$91*((IF(SUM($D78:$GA78)=0,0,IF(SUM($D81:$GA81)=0,1,'Вводные'!$B$63)))*BY80+(1-(IF(SUM($D78:$GA78)=0,0,IF(SUM($D81:$GA81)=0,1,'Вводные'!$B$63))))*BY82)</x:f>
      </x:c>
      <x:c r="BZ83" s="107" t="n">
        <x:f>'Вводные'!$L$91*((IF(SUM($D78:$GA78)=0,0,IF(SUM($D81:$GA81)=0,1,'Вводные'!$B$63)))*BZ80+(1-(IF(SUM($D78:$GA78)=0,0,IF(SUM($D81:$GA81)=0,1,'Вводные'!$B$63))))*BZ82)</x:f>
      </x:c>
      <x:c r="CA83" s="107" t="n">
        <x:f>'Вводные'!$L$91*((IF(SUM($D78:$GA78)=0,0,IF(SUM($D81:$GA81)=0,1,'Вводные'!$B$63)))*CA80+(1-(IF(SUM($D78:$GA78)=0,0,IF(SUM($D81:$GA81)=0,1,'Вводные'!$B$63))))*CA82)</x:f>
      </x:c>
      <x:c r="CB83" s="107" t="n">
        <x:f>'Вводные'!$L$91*((IF(SUM($D78:$GA78)=0,0,IF(SUM($D81:$GA81)=0,1,'Вводные'!$B$63)))*CB80+(1-(IF(SUM($D78:$GA78)=0,0,IF(SUM($D81:$GA81)=0,1,'Вводные'!$B$63))))*CB82)</x:f>
      </x:c>
      <x:c r="CC83" s="107" t="n">
        <x:f>'Вводные'!$L$91*((IF(SUM($D78:$GA78)=0,0,IF(SUM($D81:$GA81)=0,1,'Вводные'!$B$63)))*CC80+(1-(IF(SUM($D78:$GA78)=0,0,IF(SUM($D81:$GA81)=0,1,'Вводные'!$B$63))))*CC82)</x:f>
      </x:c>
      <x:c r="CD83" s="107" t="n">
        <x:f>'Вводные'!$L$91*((IF(SUM($D78:$GA78)=0,0,IF(SUM($D81:$GA81)=0,1,'Вводные'!$B$63)))*CD80+(1-(IF(SUM($D78:$GA78)=0,0,IF(SUM($D81:$GA81)=0,1,'Вводные'!$B$63))))*CD82)</x:f>
      </x:c>
      <x:c r="CE83" s="107" t="n">
        <x:f>'Вводные'!$L$91*((IF(SUM($D78:$GA78)=0,0,IF(SUM($D81:$GA81)=0,1,'Вводные'!$B$63)))*CE80+(1-(IF(SUM($D78:$GA78)=0,0,IF(SUM($D81:$GA81)=0,1,'Вводные'!$B$63))))*CE82)</x:f>
      </x:c>
      <x:c r="CF83" s="107" t="n">
        <x:f>'Вводные'!$L$91*((IF(SUM($D78:$GA78)=0,0,IF(SUM($D81:$GA81)=0,1,'Вводные'!$B$63)))*CF80+(1-(IF(SUM($D78:$GA78)=0,0,IF(SUM($D81:$GA81)=0,1,'Вводные'!$B$63))))*CF82)</x:f>
      </x:c>
      <x:c r="CG83" s="107" t="n">
        <x:f>'Вводные'!$L$91*((IF(SUM($D78:$GA78)=0,0,IF(SUM($D81:$GA81)=0,1,'Вводные'!$B$63)))*CG80+(1-(IF(SUM($D78:$GA78)=0,0,IF(SUM($D81:$GA81)=0,1,'Вводные'!$B$63))))*CG82)</x:f>
      </x:c>
      <x:c r="CH83" s="107" t="n">
        <x:f>'Вводные'!$L$91*((IF(SUM($D78:$GA78)=0,0,IF(SUM($D81:$GA81)=0,1,'Вводные'!$B$63)))*CH80+(1-(IF(SUM($D78:$GA78)=0,0,IF(SUM($D81:$GA81)=0,1,'Вводные'!$B$63))))*CH82)</x:f>
      </x:c>
      <x:c r="CI83" s="107" t="n">
        <x:f>'Вводные'!$L$91*((IF(SUM($D78:$GA78)=0,0,IF(SUM($D81:$GA81)=0,1,'Вводные'!$B$63)))*CI80+(1-(IF(SUM($D78:$GA78)=0,0,IF(SUM($D81:$GA81)=0,1,'Вводные'!$B$63))))*CI82)</x:f>
      </x:c>
      <x:c r="CJ83" s="107" t="n">
        <x:f>'Вводные'!$L$91*((IF(SUM($D78:$GA78)=0,0,IF(SUM($D81:$GA81)=0,1,'Вводные'!$B$63)))*CJ80+(1-(IF(SUM($D78:$GA78)=0,0,IF(SUM($D81:$GA81)=0,1,'Вводные'!$B$63))))*CJ82)</x:f>
      </x:c>
      <x:c r="CK83" s="107" t="n">
        <x:f>'Вводные'!$L$91*((IF(SUM($D78:$GA78)=0,0,IF(SUM($D81:$GA81)=0,1,'Вводные'!$B$63)))*CK80+(1-(IF(SUM($D78:$GA78)=0,0,IF(SUM($D81:$GA81)=0,1,'Вводные'!$B$63))))*CK82)</x:f>
      </x:c>
      <x:c r="CL83" s="107" t="n">
        <x:f>'Вводные'!$L$91*((IF(SUM($D78:$GA78)=0,0,IF(SUM($D81:$GA81)=0,1,'Вводные'!$B$63)))*CL80+(1-(IF(SUM($D78:$GA78)=0,0,IF(SUM($D81:$GA81)=0,1,'Вводные'!$B$63))))*CL82)</x:f>
      </x:c>
      <x:c r="CM83" s="107" t="n">
        <x:f>'Вводные'!$L$91*((IF(SUM($D78:$GA78)=0,0,IF(SUM($D81:$GA81)=0,1,'Вводные'!$B$63)))*CM80+(1-(IF(SUM($D78:$GA78)=0,0,IF(SUM($D81:$GA81)=0,1,'Вводные'!$B$63))))*CM82)</x:f>
      </x:c>
      <x:c r="CN83" s="107" t="n">
        <x:f>'Вводные'!$L$91*((IF(SUM($D78:$GA78)=0,0,IF(SUM($D81:$GA81)=0,1,'Вводные'!$B$63)))*CN80+(1-(IF(SUM($D78:$GA78)=0,0,IF(SUM($D81:$GA81)=0,1,'Вводные'!$B$63))))*CN82)</x:f>
      </x:c>
      <x:c r="CO83" s="107" t="n">
        <x:f>'Вводные'!$L$91*((IF(SUM($D78:$GA78)=0,0,IF(SUM($D81:$GA81)=0,1,'Вводные'!$B$63)))*CO80+(1-(IF(SUM($D78:$GA78)=0,0,IF(SUM($D81:$GA81)=0,1,'Вводные'!$B$63))))*CO82)</x:f>
      </x:c>
      <x:c r="CP83" s="107" t="n">
        <x:f>'Вводные'!$L$91*((IF(SUM($D78:$GA78)=0,0,IF(SUM($D81:$GA81)=0,1,'Вводные'!$B$63)))*CP80+(1-(IF(SUM($D78:$GA78)=0,0,IF(SUM($D81:$GA81)=0,1,'Вводные'!$B$63))))*CP82)</x:f>
      </x:c>
      <x:c r="CQ83" s="107" t="n">
        <x:f>'Вводные'!$L$91*((IF(SUM($D78:$GA78)=0,0,IF(SUM($D81:$GA81)=0,1,'Вводные'!$B$63)))*CQ80+(1-(IF(SUM($D78:$GA78)=0,0,IF(SUM($D81:$GA81)=0,1,'Вводные'!$B$63))))*CQ82)</x:f>
      </x:c>
      <x:c r="CR83" s="107" t="n">
        <x:f>'Вводные'!$L$91*((IF(SUM($D78:$GA78)=0,0,IF(SUM($D81:$GA81)=0,1,'Вводные'!$B$63)))*CR80+(1-(IF(SUM($D78:$GA78)=0,0,IF(SUM($D81:$GA81)=0,1,'Вводные'!$B$63))))*CR82)</x:f>
      </x:c>
      <x:c r="CS83" s="107" t="n">
        <x:f>'Вводные'!$L$91*((IF(SUM($D78:$GA78)=0,0,IF(SUM($D81:$GA81)=0,1,'Вводные'!$B$63)))*CS80+(1-(IF(SUM($D78:$GA78)=0,0,IF(SUM($D81:$GA81)=0,1,'Вводные'!$B$63))))*CS82)</x:f>
      </x:c>
      <x:c r="CT83" s="107" t="n">
        <x:f>'Вводные'!$L$91*((IF(SUM($D78:$GA78)=0,0,IF(SUM($D81:$GA81)=0,1,'Вводные'!$B$63)))*CT80+(1-(IF(SUM($D78:$GA78)=0,0,IF(SUM($D81:$GA81)=0,1,'Вводные'!$B$63))))*CT82)</x:f>
      </x:c>
      <x:c r="CU83" s="107" t="n">
        <x:f>'Вводные'!$L$91*((IF(SUM($D78:$GA78)=0,0,IF(SUM($D81:$GA81)=0,1,'Вводные'!$B$63)))*CU80+(1-(IF(SUM($D78:$GA78)=0,0,IF(SUM($D81:$GA81)=0,1,'Вводные'!$B$63))))*CU82)</x:f>
      </x:c>
      <x:c r="CV83" s="107" t="n">
        <x:f>'Вводные'!$L$91*((IF(SUM($D78:$GA78)=0,0,IF(SUM($D81:$GA81)=0,1,'Вводные'!$B$63)))*CV80+(1-(IF(SUM($D78:$GA78)=0,0,IF(SUM($D81:$GA81)=0,1,'Вводные'!$B$63))))*CV82)</x:f>
      </x:c>
      <x:c r="CW83" s="107" t="n">
        <x:f>'Вводные'!$L$91*((IF(SUM($D78:$GA78)=0,0,IF(SUM($D81:$GA81)=0,1,'Вводные'!$B$63)))*CW80+(1-(IF(SUM($D78:$GA78)=0,0,IF(SUM($D81:$GA81)=0,1,'Вводные'!$B$63))))*CW82)</x:f>
      </x:c>
      <x:c r="CX83" s="107" t="n">
        <x:f>'Вводные'!$L$91*((IF(SUM($D78:$GA78)=0,0,IF(SUM($D81:$GA81)=0,1,'Вводные'!$B$63)))*CX80+(1-(IF(SUM($D78:$GA78)=0,0,IF(SUM($D81:$GA81)=0,1,'Вводные'!$B$63))))*CX82)</x:f>
      </x:c>
      <x:c r="CY83" s="107" t="n">
        <x:f>'Вводные'!$L$91*((IF(SUM($D78:$GA78)=0,0,IF(SUM($D81:$GA81)=0,1,'Вводные'!$B$63)))*CY80+(1-(IF(SUM($D78:$GA78)=0,0,IF(SUM($D81:$GA81)=0,1,'Вводные'!$B$63))))*CY82)</x:f>
      </x:c>
      <x:c r="CZ83" s="107" t="n">
        <x:f>'Вводные'!$L$91*((IF(SUM($D78:$GA78)=0,0,IF(SUM($D81:$GA81)=0,1,'Вводные'!$B$63)))*CZ80+(1-(IF(SUM($D78:$GA78)=0,0,IF(SUM($D81:$GA81)=0,1,'Вводные'!$B$63))))*CZ82)</x:f>
      </x:c>
      <x:c r="DA83" s="107" t="n">
        <x:f>'Вводные'!$L$91*((IF(SUM($D78:$GA78)=0,0,IF(SUM($D81:$GA81)=0,1,'Вводные'!$B$63)))*DA80+(1-(IF(SUM($D78:$GA78)=0,0,IF(SUM($D81:$GA81)=0,1,'Вводные'!$B$63))))*DA82)</x:f>
      </x:c>
      <x:c r="DB83" s="107" t="n">
        <x:f>'Вводные'!$L$91*((IF(SUM($D78:$GA78)=0,0,IF(SUM($D81:$GA81)=0,1,'Вводные'!$B$63)))*DB80+(1-(IF(SUM($D78:$GA78)=0,0,IF(SUM($D81:$GA81)=0,1,'Вводные'!$B$63))))*DB82)</x:f>
      </x:c>
      <x:c r="DC83" s="107" t="n">
        <x:f>'Вводные'!$L$91*((IF(SUM($D78:$GA78)=0,0,IF(SUM($D81:$GA81)=0,1,'Вводные'!$B$63)))*DC80+(1-(IF(SUM($D78:$GA78)=0,0,IF(SUM($D81:$GA81)=0,1,'Вводные'!$B$63))))*DC82)</x:f>
      </x:c>
      <x:c r="DD83" s="107" t="n">
        <x:f>'Вводные'!$L$91*((IF(SUM($D78:$GA78)=0,0,IF(SUM($D81:$GA81)=0,1,'Вводные'!$B$63)))*DD80+(1-(IF(SUM($D78:$GA78)=0,0,IF(SUM($D81:$GA81)=0,1,'Вводные'!$B$63))))*DD82)</x:f>
      </x:c>
      <x:c r="DE83" s="107" t="n">
        <x:f>'Вводные'!$L$91*((IF(SUM($D78:$GA78)=0,0,IF(SUM($D81:$GA81)=0,1,'Вводные'!$B$63)))*DE80+(1-(IF(SUM($D78:$GA78)=0,0,IF(SUM($D81:$GA81)=0,1,'Вводные'!$B$63))))*DE82)</x:f>
      </x:c>
      <x:c r="DF83" s="107" t="n">
        <x:f>'Вводные'!$L$91*((IF(SUM($D78:$GA78)=0,0,IF(SUM($D81:$GA81)=0,1,'Вводные'!$B$63)))*DF80+(1-(IF(SUM($D78:$GA78)=0,0,IF(SUM($D81:$GA81)=0,1,'Вводные'!$B$63))))*DF82)</x:f>
      </x:c>
      <x:c r="DG83" s="107" t="n">
        <x:f>'Вводные'!$L$91*((IF(SUM($D78:$GA78)=0,0,IF(SUM($D81:$GA81)=0,1,'Вводные'!$B$63)))*DG80+(1-(IF(SUM($D78:$GA78)=0,0,IF(SUM($D81:$GA81)=0,1,'Вводные'!$B$63))))*DG82)</x:f>
      </x:c>
      <x:c r="DH83" s="107" t="n">
        <x:f>'Вводные'!$L$91*((IF(SUM($D78:$GA78)=0,0,IF(SUM($D81:$GA81)=0,1,'Вводные'!$B$63)))*DH80+(1-(IF(SUM($D78:$GA78)=0,0,IF(SUM($D81:$GA81)=0,1,'Вводные'!$B$63))))*DH82)</x:f>
      </x:c>
      <x:c r="DI83" s="107" t="n">
        <x:f>'Вводные'!$L$91*((IF(SUM($D78:$GA78)=0,0,IF(SUM($D81:$GA81)=0,1,'Вводные'!$B$63)))*DI80+(1-(IF(SUM($D78:$GA78)=0,0,IF(SUM($D81:$GA81)=0,1,'Вводные'!$B$63))))*DI82)</x:f>
      </x:c>
      <x:c r="DJ83" s="107" t="n">
        <x:f>'Вводные'!$L$91*((IF(SUM($D78:$GA78)=0,0,IF(SUM($D81:$GA81)=0,1,'Вводные'!$B$63)))*DJ80+(1-(IF(SUM($D78:$GA78)=0,0,IF(SUM($D81:$GA81)=0,1,'Вводные'!$B$63))))*DJ82)</x:f>
      </x:c>
      <x:c r="DK83" s="107" t="n">
        <x:f>'Вводные'!$L$91*((IF(SUM($D78:$GA78)=0,0,IF(SUM($D81:$GA81)=0,1,'Вводные'!$B$63)))*DK80+(1-(IF(SUM($D78:$GA78)=0,0,IF(SUM($D81:$GA81)=0,1,'Вводные'!$B$63))))*DK82)</x:f>
      </x:c>
      <x:c r="DL83" s="107" t="n">
        <x:f>'Вводные'!$L$91*((IF(SUM($D78:$GA78)=0,0,IF(SUM($D81:$GA81)=0,1,'Вводные'!$B$63)))*DL80+(1-(IF(SUM($D78:$GA78)=0,0,IF(SUM($D81:$GA81)=0,1,'Вводные'!$B$63))))*DL82)</x:f>
      </x:c>
      <x:c r="DM83" s="107" t="n">
        <x:f>'Вводные'!$L$91*((IF(SUM($D78:$GA78)=0,0,IF(SUM($D81:$GA81)=0,1,'Вводные'!$B$63)))*DM80+(1-(IF(SUM($D78:$GA78)=0,0,IF(SUM($D81:$GA81)=0,1,'Вводные'!$B$63))))*DM82)</x:f>
      </x:c>
      <x:c r="DN83" s="107" t="n">
        <x:f>'Вводные'!$L$91*((IF(SUM($D78:$GA78)=0,0,IF(SUM($D81:$GA81)=0,1,'Вводные'!$B$63)))*DN80+(1-(IF(SUM($D78:$GA78)=0,0,IF(SUM($D81:$GA81)=0,1,'Вводные'!$B$63))))*DN82)</x:f>
      </x:c>
      <x:c r="DO83" s="107" t="n">
        <x:f>'Вводные'!$L$91*((IF(SUM($D78:$GA78)=0,0,IF(SUM($D81:$GA81)=0,1,'Вводные'!$B$63)))*DO80+(1-(IF(SUM($D78:$GA78)=0,0,IF(SUM($D81:$GA81)=0,1,'Вводные'!$B$63))))*DO82)</x:f>
      </x:c>
      <x:c r="DP83" s="107" t="n">
        <x:f>'Вводные'!$L$91*((IF(SUM($D78:$GA78)=0,0,IF(SUM($D81:$GA81)=0,1,'Вводные'!$B$63)))*DP80+(1-(IF(SUM($D78:$GA78)=0,0,IF(SUM($D81:$GA81)=0,1,'Вводные'!$B$63))))*DP82)</x:f>
      </x:c>
      <x:c r="DQ83" s="107" t="n">
        <x:f>'Вводные'!$L$91*((IF(SUM($D78:$GA78)=0,0,IF(SUM($D81:$GA81)=0,1,'Вводные'!$B$63)))*DQ80+(1-(IF(SUM($D78:$GA78)=0,0,IF(SUM($D81:$GA81)=0,1,'Вводные'!$B$63))))*DQ82)</x:f>
      </x:c>
      <x:c r="DR83" s="107" t="n">
        <x:f>'Вводные'!$L$91*((IF(SUM($D78:$GA78)=0,0,IF(SUM($D81:$GA81)=0,1,'Вводные'!$B$63)))*DR80+(1-(IF(SUM($D78:$GA78)=0,0,IF(SUM($D81:$GA81)=0,1,'Вводные'!$B$63))))*DR82)</x:f>
      </x:c>
      <x:c r="DS83" s="107" t="n">
        <x:f>'Вводные'!$L$91*((IF(SUM($D78:$GA78)=0,0,IF(SUM($D81:$GA81)=0,1,'Вводные'!$B$63)))*DS80+(1-(IF(SUM($D78:$GA78)=0,0,IF(SUM($D81:$GA81)=0,1,'Вводные'!$B$63))))*DS82)</x:f>
      </x:c>
      <x:c r="DT83" s="107" t="n">
        <x:f>'Вводные'!$L$91*((IF(SUM($D78:$GA78)=0,0,IF(SUM($D81:$GA81)=0,1,'Вводные'!$B$63)))*DT80+(1-(IF(SUM($D78:$GA78)=0,0,IF(SUM($D81:$GA81)=0,1,'Вводные'!$B$63))))*DT82)</x:f>
      </x:c>
      <x:c r="DU83" s="107" t="n">
        <x:f>'Вводные'!$L$91*((IF(SUM($D78:$GA78)=0,0,IF(SUM($D81:$GA81)=0,1,'Вводные'!$B$63)))*DU80+(1-(IF(SUM($D78:$GA78)=0,0,IF(SUM($D81:$GA81)=0,1,'Вводные'!$B$63))))*DU82)</x:f>
      </x:c>
      <x:c r="DV83" s="107" t="n">
        <x:f>'Вводные'!$L$91*((IF(SUM($D78:$GA78)=0,0,IF(SUM($D81:$GA81)=0,1,'Вводные'!$B$63)))*DV80+(1-(IF(SUM($D78:$GA78)=0,0,IF(SUM($D81:$GA81)=0,1,'Вводные'!$B$63))))*DV82)</x:f>
      </x:c>
      <x:c r="DW83" s="107" t="n">
        <x:f>'Вводные'!$L$91*((IF(SUM($D78:$GA78)=0,0,IF(SUM($D81:$GA81)=0,1,'Вводные'!$B$63)))*DW80+(1-(IF(SUM($D78:$GA78)=0,0,IF(SUM($D81:$GA81)=0,1,'Вводные'!$B$63))))*DW82)</x:f>
      </x:c>
      <x:c r="DX83" s="107" t="n">
        <x:f>'Вводные'!$L$91*((IF(SUM($D78:$GA78)=0,0,IF(SUM($D81:$GA81)=0,1,'Вводные'!$B$63)))*DX80+(1-(IF(SUM($D78:$GA78)=0,0,IF(SUM($D81:$GA81)=0,1,'Вводные'!$B$63))))*DX82)</x:f>
      </x:c>
      <x:c r="DY83" s="107" t="n">
        <x:f>'Вводные'!$L$91*((IF(SUM($D78:$GA78)=0,0,IF(SUM($D81:$GA81)=0,1,'Вводные'!$B$63)))*DY80+(1-(IF(SUM($D78:$GA78)=0,0,IF(SUM($D81:$GA81)=0,1,'Вводные'!$B$63))))*DY82)</x:f>
      </x:c>
      <x:c r="DZ83" s="107" t="n">
        <x:f>'Вводные'!$L$91*((IF(SUM($D78:$GA78)=0,0,IF(SUM($D81:$GA81)=0,1,'Вводные'!$B$63)))*DZ80+(1-(IF(SUM($D78:$GA78)=0,0,IF(SUM($D81:$GA81)=0,1,'Вводные'!$B$63))))*DZ82)</x:f>
      </x:c>
      <x:c r="EA83" s="107" t="n">
        <x:f>'Вводные'!$L$91*((IF(SUM($D78:$GA78)=0,0,IF(SUM($D81:$GA81)=0,1,'Вводные'!$B$63)))*EA80+(1-(IF(SUM($D78:$GA78)=0,0,IF(SUM($D81:$GA81)=0,1,'Вводные'!$B$63))))*EA82)</x:f>
      </x:c>
      <x:c r="EB83" s="107" t="n">
        <x:f>'Вводные'!$L$91*((IF(SUM($D78:$GA78)=0,0,IF(SUM($D81:$GA81)=0,1,'Вводные'!$B$63)))*EB80+(1-(IF(SUM($D78:$GA78)=0,0,IF(SUM($D81:$GA81)=0,1,'Вводные'!$B$63))))*EB82)</x:f>
      </x:c>
      <x:c r="EC83" s="107" t="n">
        <x:f>'Вводные'!$L$91*((IF(SUM($D78:$GA78)=0,0,IF(SUM($D81:$GA81)=0,1,'Вводные'!$B$63)))*EC80+(1-(IF(SUM($D78:$GA78)=0,0,IF(SUM($D81:$GA81)=0,1,'Вводные'!$B$63))))*EC82)</x:f>
      </x:c>
      <x:c r="ED83" s="107" t="n">
        <x:f>'Вводные'!$L$91*((IF(SUM($D78:$GA78)=0,0,IF(SUM($D81:$GA81)=0,1,'Вводные'!$B$63)))*ED80+(1-(IF(SUM($D78:$GA78)=0,0,IF(SUM($D81:$GA81)=0,1,'Вводные'!$B$63))))*ED82)</x:f>
      </x:c>
      <x:c r="EE83" s="107" t="n">
        <x:f>'Вводные'!$L$91*((IF(SUM($D78:$GA78)=0,0,IF(SUM($D81:$GA81)=0,1,'Вводные'!$B$63)))*EE80+(1-(IF(SUM($D78:$GA78)=0,0,IF(SUM($D81:$GA81)=0,1,'Вводные'!$B$63))))*EE82)</x:f>
      </x:c>
      <x:c r="EF83" s="107" t="n">
        <x:f>'Вводные'!$L$91*((IF(SUM($D78:$GA78)=0,0,IF(SUM($D81:$GA81)=0,1,'Вводные'!$B$63)))*EF80+(1-(IF(SUM($D78:$GA78)=0,0,IF(SUM($D81:$GA81)=0,1,'Вводные'!$B$63))))*EF82)</x:f>
      </x:c>
      <x:c r="EG83" s="107" t="n">
        <x:f>'Вводные'!$L$91*((IF(SUM($D78:$GA78)=0,0,IF(SUM($D81:$GA81)=0,1,'Вводные'!$B$63)))*EG80+(1-(IF(SUM($D78:$GA78)=0,0,IF(SUM($D81:$GA81)=0,1,'Вводные'!$B$63))))*EG82)</x:f>
      </x:c>
      <x:c r="EH83" s="107" t="n">
        <x:f>'Вводные'!$L$91*((IF(SUM($D78:$GA78)=0,0,IF(SUM($D81:$GA81)=0,1,'Вводные'!$B$63)))*EH80+(1-(IF(SUM($D78:$GA78)=0,0,IF(SUM($D81:$GA81)=0,1,'Вводные'!$B$63))))*EH82)</x:f>
      </x:c>
      <x:c r="EI83" s="107" t="n">
        <x:f>'Вводные'!$L$91*((IF(SUM($D78:$GA78)=0,0,IF(SUM($D81:$GA81)=0,1,'Вводные'!$B$63)))*EI80+(1-(IF(SUM($D78:$GA78)=0,0,IF(SUM($D81:$GA81)=0,1,'Вводные'!$B$63))))*EI82)</x:f>
      </x:c>
      <x:c r="EJ83" s="107" t="n">
        <x:f>'Вводные'!$L$91*((IF(SUM($D78:$GA78)=0,0,IF(SUM($D81:$GA81)=0,1,'Вводные'!$B$63)))*EJ80+(1-(IF(SUM($D78:$GA78)=0,0,IF(SUM($D81:$GA81)=0,1,'Вводные'!$B$63))))*EJ82)</x:f>
      </x:c>
      <x:c r="EK83" s="107" t="n">
        <x:f>'Вводные'!$L$91*((IF(SUM($D78:$GA78)=0,0,IF(SUM($D81:$GA81)=0,1,'Вводные'!$B$63)))*EK80+(1-(IF(SUM($D78:$GA78)=0,0,IF(SUM($D81:$GA81)=0,1,'Вводные'!$B$63))))*EK82)</x:f>
      </x:c>
      <x:c r="EL83" s="107" t="n">
        <x:f>'Вводные'!$L$91*((IF(SUM($D78:$GA78)=0,0,IF(SUM($D81:$GA81)=0,1,'Вводные'!$B$63)))*EL80+(1-(IF(SUM($D78:$GA78)=0,0,IF(SUM($D81:$GA81)=0,1,'Вводные'!$B$63))))*EL82)</x:f>
      </x:c>
      <x:c r="EM83" s="107" t="n">
        <x:f>'Вводные'!$L$91*((IF(SUM($D78:$GA78)=0,0,IF(SUM($D81:$GA81)=0,1,'Вводные'!$B$63)))*EM80+(1-(IF(SUM($D78:$GA78)=0,0,IF(SUM($D81:$GA81)=0,1,'Вводные'!$B$63))))*EM82)</x:f>
      </x:c>
      <x:c r="EN83" s="107" t="n">
        <x:f>'Вводные'!$L$91*((IF(SUM($D78:$GA78)=0,0,IF(SUM($D81:$GA81)=0,1,'Вводные'!$B$63)))*EN80+(1-(IF(SUM($D78:$GA78)=0,0,IF(SUM($D81:$GA81)=0,1,'Вводные'!$B$63))))*EN82)</x:f>
      </x:c>
      <x:c r="EO83" s="107" t="n">
        <x:f>'Вводные'!$L$91*((IF(SUM($D78:$GA78)=0,0,IF(SUM($D81:$GA81)=0,1,'Вводные'!$B$63)))*EO80+(1-(IF(SUM($D78:$GA78)=0,0,IF(SUM($D81:$GA81)=0,1,'Вводные'!$B$63))))*EO82)</x:f>
      </x:c>
      <x:c r="EP83" s="107" t="n">
        <x:f>'Вводные'!$L$91*((IF(SUM($D78:$GA78)=0,0,IF(SUM($D81:$GA81)=0,1,'Вводные'!$B$63)))*EP80+(1-(IF(SUM($D78:$GA78)=0,0,IF(SUM($D81:$GA81)=0,1,'Вводные'!$B$63))))*EP82)</x:f>
      </x:c>
      <x:c r="EQ83" s="107" t="n">
        <x:f>'Вводные'!$L$91*((IF(SUM($D78:$GA78)=0,0,IF(SUM($D81:$GA81)=0,1,'Вводные'!$B$63)))*EQ80+(1-(IF(SUM($D78:$GA78)=0,0,IF(SUM($D81:$GA81)=0,1,'Вводные'!$B$63))))*EQ82)</x:f>
      </x:c>
      <x:c r="ER83" s="107" t="n">
        <x:f>'Вводные'!$L$91*((IF(SUM($D78:$GA78)=0,0,IF(SUM($D81:$GA81)=0,1,'Вводные'!$B$63)))*ER80+(1-(IF(SUM($D78:$GA78)=0,0,IF(SUM($D81:$GA81)=0,1,'Вводные'!$B$63))))*ER82)</x:f>
      </x:c>
      <x:c r="ES83" s="107" t="n">
        <x:f>'Вводные'!$L$91*((IF(SUM($D78:$GA78)=0,0,IF(SUM($D81:$GA81)=0,1,'Вводные'!$B$63)))*ES80+(1-(IF(SUM($D78:$GA78)=0,0,IF(SUM($D81:$GA81)=0,1,'Вводные'!$B$63))))*ES82)</x:f>
      </x:c>
      <x:c r="ET83" s="107" t="n">
        <x:f>'Вводные'!$L$91*((IF(SUM($D78:$GA78)=0,0,IF(SUM($D81:$GA81)=0,1,'Вводные'!$B$63)))*ET80+(1-(IF(SUM($D78:$GA78)=0,0,IF(SUM($D81:$GA81)=0,1,'Вводные'!$B$63))))*ET82)</x:f>
      </x:c>
      <x:c r="EU83" s="107" t="n">
        <x:f>'Вводные'!$L$91*((IF(SUM($D78:$GA78)=0,0,IF(SUM($D81:$GA81)=0,1,'Вводные'!$B$63)))*EU80+(1-(IF(SUM($D78:$GA78)=0,0,IF(SUM($D81:$GA81)=0,1,'Вводные'!$B$63))))*EU82)</x:f>
      </x:c>
      <x:c r="EV83" s="107" t="n">
        <x:f>'Вводные'!$L$91*((IF(SUM($D78:$GA78)=0,0,IF(SUM($D81:$GA81)=0,1,'Вводные'!$B$63)))*EV80+(1-(IF(SUM($D78:$GA78)=0,0,IF(SUM($D81:$GA81)=0,1,'Вводные'!$B$63))))*EV82)</x:f>
      </x:c>
      <x:c r="EW83" s="107" t="n">
        <x:f>'Вводные'!$L$91*((IF(SUM($D78:$GA78)=0,0,IF(SUM($D81:$GA81)=0,1,'Вводные'!$B$63)))*EW80+(1-(IF(SUM($D78:$GA78)=0,0,IF(SUM($D81:$GA81)=0,1,'Вводные'!$B$63))))*EW82)</x:f>
      </x:c>
      <x:c r="EX83" s="107" t="n">
        <x:f>'Вводные'!$L$91*((IF(SUM($D78:$GA78)=0,0,IF(SUM($D81:$GA81)=0,1,'Вводные'!$B$63)))*EX80+(1-(IF(SUM($D78:$GA78)=0,0,IF(SUM($D81:$GA81)=0,1,'Вводные'!$B$63))))*EX82)</x:f>
      </x:c>
      <x:c r="EY83" s="107" t="n">
        <x:f>'Вводные'!$L$91*((IF(SUM($D78:$GA78)=0,0,IF(SUM($D81:$GA81)=0,1,'Вводные'!$B$63)))*EY80+(1-(IF(SUM($D78:$GA78)=0,0,IF(SUM($D81:$GA81)=0,1,'Вводные'!$B$63))))*EY82)</x:f>
      </x:c>
      <x:c r="EZ83" s="107" t="n">
        <x:f>'Вводные'!$L$91*((IF(SUM($D78:$GA78)=0,0,IF(SUM($D81:$GA81)=0,1,'Вводные'!$B$63)))*EZ80+(1-(IF(SUM($D78:$GA78)=0,0,IF(SUM($D81:$GA81)=0,1,'Вводные'!$B$63))))*EZ82)</x:f>
      </x:c>
      <x:c r="FA83" s="107" t="n">
        <x:f>'Вводные'!$L$91*((IF(SUM($D78:$GA78)=0,0,IF(SUM($D81:$GA81)=0,1,'Вводные'!$B$63)))*FA80+(1-(IF(SUM($D78:$GA78)=0,0,IF(SUM($D81:$GA81)=0,1,'Вводные'!$B$63))))*FA82)</x:f>
      </x:c>
      <x:c r="FB83" s="107" t="n">
        <x:f>'Вводные'!$L$91*((IF(SUM($D78:$GA78)=0,0,IF(SUM($D81:$GA81)=0,1,'Вводные'!$B$63)))*FB80+(1-(IF(SUM($D78:$GA78)=0,0,IF(SUM($D81:$GA81)=0,1,'Вводные'!$B$63))))*FB82)</x:f>
      </x:c>
      <x:c r="FC83" s="107" t="n">
        <x:f>'Вводные'!$L$91*((IF(SUM($D78:$GA78)=0,0,IF(SUM($D81:$GA81)=0,1,'Вводные'!$B$63)))*FC80+(1-(IF(SUM($D78:$GA78)=0,0,IF(SUM($D81:$GA81)=0,1,'Вводные'!$B$63))))*FC82)</x:f>
      </x:c>
      <x:c r="FD83" s="107" t="n">
        <x:f>'Вводные'!$L$91*((IF(SUM($D78:$GA78)=0,0,IF(SUM($D81:$GA81)=0,1,'Вводные'!$B$63)))*FD80+(1-(IF(SUM($D78:$GA78)=0,0,IF(SUM($D81:$GA81)=0,1,'Вводные'!$B$63))))*FD82)</x:f>
      </x:c>
      <x:c r="FE83" s="107" t="n">
        <x:f>'Вводные'!$L$91*((IF(SUM($D78:$GA78)=0,0,IF(SUM($D81:$GA81)=0,1,'Вводные'!$B$63)))*FE80+(1-(IF(SUM($D78:$GA78)=0,0,IF(SUM($D81:$GA81)=0,1,'Вводные'!$B$63))))*FE82)</x:f>
      </x:c>
      <x:c r="FF83" s="107" t="n">
        <x:f>'Вводные'!$L$91*((IF(SUM($D78:$GA78)=0,0,IF(SUM($D81:$GA81)=0,1,'Вводные'!$B$63)))*FF80+(1-(IF(SUM($D78:$GA78)=0,0,IF(SUM($D81:$GA81)=0,1,'Вводные'!$B$63))))*FF82)</x:f>
      </x:c>
      <x:c r="FG83" s="107" t="n">
        <x:f>'Вводные'!$L$91*((IF(SUM($D78:$GA78)=0,0,IF(SUM($D81:$GA81)=0,1,'Вводные'!$B$63)))*FG80+(1-(IF(SUM($D78:$GA78)=0,0,IF(SUM($D81:$GA81)=0,1,'Вводные'!$B$63))))*FG82)</x:f>
      </x:c>
      <x:c r="FH83" s="107" t="n">
        <x:f>'Вводные'!$L$91*((IF(SUM($D78:$GA78)=0,0,IF(SUM($D81:$GA81)=0,1,'Вводные'!$B$63)))*FH80+(1-(IF(SUM($D78:$GA78)=0,0,IF(SUM($D81:$GA81)=0,1,'Вводные'!$B$63))))*FH82)</x:f>
      </x:c>
      <x:c r="FI83" s="107" t="n">
        <x:f>'Вводные'!$L$91*((IF(SUM($D78:$GA78)=0,0,IF(SUM($D81:$GA81)=0,1,'Вводные'!$B$63)))*FI80+(1-(IF(SUM($D78:$GA78)=0,0,IF(SUM($D81:$GA81)=0,1,'Вводные'!$B$63))))*FI82)</x:f>
      </x:c>
      <x:c r="FJ83" s="107" t="n">
        <x:f>'Вводные'!$L$91*((IF(SUM($D78:$GA78)=0,0,IF(SUM($D81:$GA81)=0,1,'Вводные'!$B$63)))*FJ80+(1-(IF(SUM($D78:$GA78)=0,0,IF(SUM($D81:$GA81)=0,1,'Вводные'!$B$63))))*FJ82)</x:f>
      </x:c>
      <x:c r="FK83" s="107" t="n">
        <x:f>'Вводные'!$L$91*((IF(SUM($D78:$GA78)=0,0,IF(SUM($D81:$GA81)=0,1,'Вводные'!$B$63)))*FK80+(1-(IF(SUM($D78:$GA78)=0,0,IF(SUM($D81:$GA81)=0,1,'Вводные'!$B$63))))*FK82)</x:f>
      </x:c>
      <x:c r="FL83" s="107" t="n">
        <x:f>'Вводные'!$L$91*((IF(SUM($D78:$GA78)=0,0,IF(SUM($D81:$GA81)=0,1,'Вводные'!$B$63)))*FL80+(1-(IF(SUM($D78:$GA78)=0,0,IF(SUM($D81:$GA81)=0,1,'Вводные'!$B$63))))*FL82)</x:f>
      </x:c>
      <x:c r="FM83" s="107" t="n">
        <x:f>'Вводные'!$L$91*((IF(SUM($D78:$GA78)=0,0,IF(SUM($D81:$GA81)=0,1,'Вводные'!$B$63)))*FM80+(1-(IF(SUM($D78:$GA78)=0,0,IF(SUM($D81:$GA81)=0,1,'Вводные'!$B$63))))*FM82)</x:f>
      </x:c>
      <x:c r="FN83" s="107" t="n">
        <x:f>'Вводные'!$L$91*((IF(SUM($D78:$GA78)=0,0,IF(SUM($D81:$GA81)=0,1,'Вводные'!$B$63)))*FN80+(1-(IF(SUM($D78:$GA78)=0,0,IF(SUM($D81:$GA81)=0,1,'Вводные'!$B$63))))*FN82)</x:f>
      </x:c>
      <x:c r="FO83" s="107" t="n">
        <x:f>'Вводные'!$L$91*((IF(SUM($D78:$GA78)=0,0,IF(SUM($D81:$GA81)=0,1,'Вводные'!$B$63)))*FO80+(1-(IF(SUM($D78:$GA78)=0,0,IF(SUM($D81:$GA81)=0,1,'Вводные'!$B$63))))*FO82)</x:f>
      </x:c>
      <x:c r="FP83" s="107" t="n">
        <x:f>'Вводные'!$L$91*((IF(SUM($D78:$GA78)=0,0,IF(SUM($D81:$GA81)=0,1,'Вводные'!$B$63)))*FP80+(1-(IF(SUM($D78:$GA78)=0,0,IF(SUM($D81:$GA81)=0,1,'Вводные'!$B$63))))*FP82)</x:f>
      </x:c>
      <x:c r="FQ83" s="107" t="n">
        <x:f>'Вводные'!$L$91*((IF(SUM($D78:$GA78)=0,0,IF(SUM($D81:$GA81)=0,1,'Вводные'!$B$63)))*FQ80+(1-(IF(SUM($D78:$GA78)=0,0,IF(SUM($D81:$GA81)=0,1,'Вводные'!$B$63))))*FQ82)</x:f>
      </x:c>
      <x:c r="FR83" s="107" t="n">
        <x:f>'Вводные'!$L$91*((IF(SUM($D78:$GA78)=0,0,IF(SUM($D81:$GA81)=0,1,'Вводные'!$B$63)))*FR80+(1-(IF(SUM($D78:$GA78)=0,0,IF(SUM($D81:$GA81)=0,1,'Вводные'!$B$63))))*FR82)</x:f>
      </x:c>
      <x:c r="FS83" s="107" t="n">
        <x:f>'Вводные'!$L$91*((IF(SUM($D78:$GA78)=0,0,IF(SUM($D81:$GA81)=0,1,'Вводные'!$B$63)))*FS80+(1-(IF(SUM($D78:$GA78)=0,0,IF(SUM($D81:$GA81)=0,1,'Вводные'!$B$63))))*FS82)</x:f>
      </x:c>
      <x:c r="FT83" s="107" t="n">
        <x:f>'Вводные'!$L$91*((IF(SUM($D78:$GA78)=0,0,IF(SUM($D81:$GA81)=0,1,'Вводные'!$B$63)))*FT80+(1-(IF(SUM($D78:$GA78)=0,0,IF(SUM($D81:$GA81)=0,1,'Вводные'!$B$63))))*FT82)</x:f>
      </x:c>
      <x:c r="FU83" s="107" t="n">
        <x:f>'Вводные'!$L$91*((IF(SUM($D78:$GA78)=0,0,IF(SUM($D81:$GA81)=0,1,'Вводные'!$B$63)))*FU80+(1-(IF(SUM($D78:$GA78)=0,0,IF(SUM($D81:$GA81)=0,1,'Вводные'!$B$63))))*FU82)</x:f>
      </x:c>
      <x:c r="FV83" s="107" t="n">
        <x:f>'Вводные'!$L$91*((IF(SUM($D78:$GA78)=0,0,IF(SUM($D81:$GA81)=0,1,'Вводные'!$B$63)))*FV80+(1-(IF(SUM($D78:$GA78)=0,0,IF(SUM($D81:$GA81)=0,1,'Вводные'!$B$63))))*FV82)</x:f>
      </x:c>
      <x:c r="FW83" s="107" t="n">
        <x:f>'Вводные'!$L$91*((IF(SUM($D78:$GA78)=0,0,IF(SUM($D81:$GA81)=0,1,'Вводные'!$B$63)))*FW80+(1-(IF(SUM($D78:$GA78)=0,0,IF(SUM($D81:$GA81)=0,1,'Вводные'!$B$63))))*FW82)</x:f>
      </x:c>
      <x:c r="FX83" s="107" t="n">
        <x:f>'Вводные'!$L$91*((IF(SUM($D78:$GA78)=0,0,IF(SUM($D81:$GA81)=0,1,'Вводные'!$B$63)))*FX80+(1-(IF(SUM($D78:$GA78)=0,0,IF(SUM($D81:$GA81)=0,1,'Вводные'!$B$63))))*FX82)</x:f>
      </x:c>
      <x:c r="FY83" s="107" t="n">
        <x:f>'Вводные'!$L$91*((IF(SUM($D78:$GA78)=0,0,IF(SUM($D81:$GA81)=0,1,'Вводные'!$B$63)))*FY80+(1-(IF(SUM($D78:$GA78)=0,0,IF(SUM($D81:$GA81)=0,1,'Вводные'!$B$63))))*FY82)</x:f>
      </x:c>
      <x:c r="FZ83" s="107" t="n">
        <x:f>'Вводные'!$L$91*((IF(SUM($D78:$GA78)=0,0,IF(SUM($D81:$GA81)=0,1,'Вводные'!$B$63)))*FZ80+(1-(IF(SUM($D78:$GA78)=0,0,IF(SUM($D81:$GA81)=0,1,'Вводные'!$B$63))))*FZ82)</x:f>
      </x:c>
      <x:c r="GA83" s="107" t="n">
        <x:f>'Вводные'!$L$91*((IF(SUM($D78:$GA78)=0,0,IF(SUM($D81:$GA81)=0,1,'Вводные'!$B$63)))*GA80+(1-(IF(SUM($D78:$GA78)=0,0,IF(SUM($D81:$GA81)=0,1,'Вводные'!$B$63))))*GA82)</x:f>
      </x:c>
    </x:row>
    <x:row r="84">
      <x:c r="A84" t="str">
        <x:v>Квартиры — цена</x:v>
      </x:c>
      <x:c r="B84" t="n">
        <x:f>IFERROR(B85*1000/B83,0)</x:f>
      </x:c>
      <x:c r="C84" t="str">
        <x:v>тыс. ₽/м²</x:v>
      </x:c>
      <x:c r="D84" s="107" t="n">
        <x:f>IF(D83=0,0,'Вводные'!$B$59*'Вводные'!$S$91*'Вводные'!$H$5*'Вводные'!$AG$91*(1+'Вводные'!$B$64)^MAX(0,MIN((12*(YEAR(D$3)-YEAR($B$76))+MONTH(D$3)-MONTH($B$76)),(12*(YEAR($B$77)-YEAR($B$76))+MONTH($B$77)-MONTH($B$76))))*(1+'Вводные'!$B$65)^MAX(0,(12*(YEAR(D$3)-YEAR($B$77))+MONTH(D$3)-MONTH($B$77))))</x:f>
      </x:c>
      <x:c r="E84" s="107" t="n">
        <x:f>IF(E83=0,0,'Вводные'!$B$59*'Вводные'!$S$91*'Вводные'!$H$5*'Вводные'!$AG$91*(1+'Вводные'!$B$64)^MAX(0,MIN((12*(YEAR(E$3)-YEAR($B$76))+MONTH(E$3)-MONTH($B$76)),(12*(YEAR($B$77)-YEAR($B$76))+MONTH($B$77)-MONTH($B$76))))*(1+'Вводные'!$B$65)^MAX(0,(12*(YEAR(E$3)-YEAR($B$77))+MONTH(E$3)-MONTH($B$77))))</x:f>
      </x:c>
      <x:c r="F84" s="107" t="n">
        <x:f>IF(F83=0,0,'Вводные'!$B$59*'Вводные'!$S$91*'Вводные'!$H$5*'Вводные'!$AG$91*(1+'Вводные'!$B$64)^MAX(0,MIN((12*(YEAR(F$3)-YEAR($B$76))+MONTH(F$3)-MONTH($B$76)),(12*(YEAR($B$77)-YEAR($B$76))+MONTH($B$77)-MONTH($B$76))))*(1+'Вводные'!$B$65)^MAX(0,(12*(YEAR(F$3)-YEAR($B$77))+MONTH(F$3)-MONTH($B$77))))</x:f>
      </x:c>
      <x:c r="G84" s="107" t="n">
        <x:f>IF(G83=0,0,'Вводные'!$B$59*'Вводные'!$S$91*'Вводные'!$H$5*'Вводные'!$AG$91*(1+'Вводные'!$B$64)^MAX(0,MIN((12*(YEAR(G$3)-YEAR($B$76))+MONTH(G$3)-MONTH($B$76)),(12*(YEAR($B$77)-YEAR($B$76))+MONTH($B$77)-MONTH($B$76))))*(1+'Вводные'!$B$65)^MAX(0,(12*(YEAR(G$3)-YEAR($B$77))+MONTH(G$3)-MONTH($B$77))))</x:f>
      </x:c>
      <x:c r="H84" s="107" t="n">
        <x:f>IF(H83=0,0,'Вводные'!$B$59*'Вводные'!$S$91*'Вводные'!$H$5*'Вводные'!$AG$91*(1+'Вводные'!$B$64)^MAX(0,MIN((12*(YEAR(H$3)-YEAR($B$76))+MONTH(H$3)-MONTH($B$76)),(12*(YEAR($B$77)-YEAR($B$76))+MONTH($B$77)-MONTH($B$76))))*(1+'Вводные'!$B$65)^MAX(0,(12*(YEAR(H$3)-YEAR($B$77))+MONTH(H$3)-MONTH($B$77))))</x:f>
      </x:c>
      <x:c r="I84" s="107" t="n">
        <x:f>IF(I83=0,0,'Вводные'!$B$59*'Вводные'!$S$91*'Вводные'!$H$5*'Вводные'!$AG$91*(1+'Вводные'!$B$64)^MAX(0,MIN((12*(YEAR(I$3)-YEAR($B$76))+MONTH(I$3)-MONTH($B$76)),(12*(YEAR($B$77)-YEAR($B$76))+MONTH($B$77)-MONTH($B$76))))*(1+'Вводные'!$B$65)^MAX(0,(12*(YEAR(I$3)-YEAR($B$77))+MONTH(I$3)-MONTH($B$77))))</x:f>
      </x:c>
      <x:c r="J84" s="107" t="n">
        <x:f>IF(J83=0,0,'Вводные'!$B$59*'Вводные'!$S$91*'Вводные'!$H$5*'Вводные'!$AG$91*(1+'Вводные'!$B$64)^MAX(0,MIN((12*(YEAR(J$3)-YEAR($B$76))+MONTH(J$3)-MONTH($B$76)),(12*(YEAR($B$77)-YEAR($B$76))+MONTH($B$77)-MONTH($B$76))))*(1+'Вводные'!$B$65)^MAX(0,(12*(YEAR(J$3)-YEAR($B$77))+MONTH(J$3)-MONTH($B$77))))</x:f>
      </x:c>
      <x:c r="K84" s="107" t="n">
        <x:f>IF(K83=0,0,'Вводные'!$B$59*'Вводные'!$S$91*'Вводные'!$H$5*'Вводные'!$AG$91*(1+'Вводные'!$B$64)^MAX(0,MIN((12*(YEAR(K$3)-YEAR($B$76))+MONTH(K$3)-MONTH($B$76)),(12*(YEAR($B$77)-YEAR($B$76))+MONTH($B$77)-MONTH($B$76))))*(1+'Вводные'!$B$65)^MAX(0,(12*(YEAR(K$3)-YEAR($B$77))+MONTH(K$3)-MONTH($B$77))))</x:f>
      </x:c>
      <x:c r="L84" s="107" t="n">
        <x:f>IF(L83=0,0,'Вводные'!$B$59*'Вводные'!$S$91*'Вводные'!$H$5*'Вводные'!$AG$91*(1+'Вводные'!$B$64)^MAX(0,MIN((12*(YEAR(L$3)-YEAR($B$76))+MONTH(L$3)-MONTH($B$76)),(12*(YEAR($B$77)-YEAR($B$76))+MONTH($B$77)-MONTH($B$76))))*(1+'Вводные'!$B$65)^MAX(0,(12*(YEAR(L$3)-YEAR($B$77))+MONTH(L$3)-MONTH($B$77))))</x:f>
      </x:c>
      <x:c r="M84" s="107" t="n">
        <x:f>IF(M83=0,0,'Вводные'!$B$59*'Вводные'!$S$91*'Вводные'!$H$5*'Вводные'!$AG$91*(1+'Вводные'!$B$64)^MAX(0,MIN((12*(YEAR(M$3)-YEAR($B$76))+MONTH(M$3)-MONTH($B$76)),(12*(YEAR($B$77)-YEAR($B$76))+MONTH($B$77)-MONTH($B$76))))*(1+'Вводные'!$B$65)^MAX(0,(12*(YEAR(M$3)-YEAR($B$77))+MONTH(M$3)-MONTH($B$77))))</x:f>
      </x:c>
      <x:c r="N84" s="107" t="n">
        <x:f>IF(N83=0,0,'Вводные'!$B$59*'Вводные'!$S$91*'Вводные'!$H$5*'Вводные'!$AG$91*(1+'Вводные'!$B$64)^MAX(0,MIN((12*(YEAR(N$3)-YEAR($B$76))+MONTH(N$3)-MONTH($B$76)),(12*(YEAR($B$77)-YEAR($B$76))+MONTH($B$77)-MONTH($B$76))))*(1+'Вводные'!$B$65)^MAX(0,(12*(YEAR(N$3)-YEAR($B$77))+MONTH(N$3)-MONTH($B$77))))</x:f>
      </x:c>
      <x:c r="O84" s="107" t="n">
        <x:f>IF(O83=0,0,'Вводные'!$B$59*'Вводные'!$S$91*'Вводные'!$H$5*'Вводные'!$AG$91*(1+'Вводные'!$B$64)^MAX(0,MIN((12*(YEAR(O$3)-YEAR($B$76))+MONTH(O$3)-MONTH($B$76)),(12*(YEAR($B$77)-YEAR($B$76))+MONTH($B$77)-MONTH($B$76))))*(1+'Вводные'!$B$65)^MAX(0,(12*(YEAR(O$3)-YEAR($B$77))+MONTH(O$3)-MONTH($B$77))))</x:f>
      </x:c>
      <x:c r="P84" s="107" t="n">
        <x:f>IF(P83=0,0,'Вводные'!$B$59*'Вводные'!$S$91*'Вводные'!$H$5*'Вводные'!$AG$91*(1+'Вводные'!$B$64)^MAX(0,MIN((12*(YEAR(P$3)-YEAR($B$76))+MONTH(P$3)-MONTH($B$76)),(12*(YEAR($B$77)-YEAR($B$76))+MONTH($B$77)-MONTH($B$76))))*(1+'Вводные'!$B$65)^MAX(0,(12*(YEAR(P$3)-YEAR($B$77))+MONTH(P$3)-MONTH($B$77))))</x:f>
      </x:c>
      <x:c r="Q84" s="107" t="n">
        <x:f>IF(Q83=0,0,'Вводные'!$B$59*'Вводные'!$S$91*'Вводные'!$H$5*'Вводные'!$AG$91*(1+'Вводные'!$B$64)^MAX(0,MIN((12*(YEAR(Q$3)-YEAR($B$76))+MONTH(Q$3)-MONTH($B$76)),(12*(YEAR($B$77)-YEAR($B$76))+MONTH($B$77)-MONTH($B$76))))*(1+'Вводные'!$B$65)^MAX(0,(12*(YEAR(Q$3)-YEAR($B$77))+MONTH(Q$3)-MONTH($B$77))))</x:f>
      </x:c>
      <x:c r="R84" s="107" t="n">
        <x:f>IF(R83=0,0,'Вводные'!$B$59*'Вводные'!$S$91*'Вводные'!$H$5*'Вводные'!$AG$91*(1+'Вводные'!$B$64)^MAX(0,MIN((12*(YEAR(R$3)-YEAR($B$76))+MONTH(R$3)-MONTH($B$76)),(12*(YEAR($B$77)-YEAR($B$76))+MONTH($B$77)-MONTH($B$76))))*(1+'Вводные'!$B$65)^MAX(0,(12*(YEAR(R$3)-YEAR($B$77))+MONTH(R$3)-MONTH($B$77))))</x:f>
      </x:c>
      <x:c r="S84" s="107" t="n">
        <x:f>IF(S83=0,0,'Вводные'!$B$59*'Вводные'!$S$91*'Вводные'!$H$5*'Вводные'!$AG$91*(1+'Вводные'!$B$64)^MAX(0,MIN((12*(YEAR(S$3)-YEAR($B$76))+MONTH(S$3)-MONTH($B$76)),(12*(YEAR($B$77)-YEAR($B$76))+MONTH($B$77)-MONTH($B$76))))*(1+'Вводные'!$B$65)^MAX(0,(12*(YEAR(S$3)-YEAR($B$77))+MONTH(S$3)-MONTH($B$77))))</x:f>
      </x:c>
      <x:c r="T84" s="107" t="n">
        <x:f>IF(T83=0,0,'Вводные'!$B$59*'Вводные'!$S$91*'Вводные'!$H$5*'Вводные'!$AG$91*(1+'Вводные'!$B$64)^MAX(0,MIN((12*(YEAR(T$3)-YEAR($B$76))+MONTH(T$3)-MONTH($B$76)),(12*(YEAR($B$77)-YEAR($B$76))+MONTH($B$77)-MONTH($B$76))))*(1+'Вводные'!$B$65)^MAX(0,(12*(YEAR(T$3)-YEAR($B$77))+MONTH(T$3)-MONTH($B$77))))</x:f>
      </x:c>
      <x:c r="U84" s="107" t="n">
        <x:f>IF(U83=0,0,'Вводные'!$B$59*'Вводные'!$S$91*'Вводные'!$H$5*'Вводные'!$AG$91*(1+'Вводные'!$B$64)^MAX(0,MIN((12*(YEAR(U$3)-YEAR($B$76))+MONTH(U$3)-MONTH($B$76)),(12*(YEAR($B$77)-YEAR($B$76))+MONTH($B$77)-MONTH($B$76))))*(1+'Вводные'!$B$65)^MAX(0,(12*(YEAR(U$3)-YEAR($B$77))+MONTH(U$3)-MONTH($B$77))))</x:f>
      </x:c>
      <x:c r="V84" s="107" t="n">
        <x:f>IF(V83=0,0,'Вводные'!$B$59*'Вводные'!$S$91*'Вводные'!$H$5*'Вводные'!$AG$91*(1+'Вводные'!$B$64)^MAX(0,MIN((12*(YEAR(V$3)-YEAR($B$76))+MONTH(V$3)-MONTH($B$76)),(12*(YEAR($B$77)-YEAR($B$76))+MONTH($B$77)-MONTH($B$76))))*(1+'Вводные'!$B$65)^MAX(0,(12*(YEAR(V$3)-YEAR($B$77))+MONTH(V$3)-MONTH($B$77))))</x:f>
      </x:c>
      <x:c r="W84" s="107" t="n">
        <x:f>IF(W83=0,0,'Вводные'!$B$59*'Вводные'!$S$91*'Вводные'!$H$5*'Вводные'!$AG$91*(1+'Вводные'!$B$64)^MAX(0,MIN((12*(YEAR(W$3)-YEAR($B$76))+MONTH(W$3)-MONTH($B$76)),(12*(YEAR($B$77)-YEAR($B$76))+MONTH($B$77)-MONTH($B$76))))*(1+'Вводные'!$B$65)^MAX(0,(12*(YEAR(W$3)-YEAR($B$77))+MONTH(W$3)-MONTH($B$77))))</x:f>
      </x:c>
      <x:c r="X84" s="107" t="n">
        <x:f>IF(X83=0,0,'Вводные'!$B$59*'Вводные'!$S$91*'Вводные'!$H$5*'Вводные'!$AG$91*(1+'Вводные'!$B$64)^MAX(0,MIN((12*(YEAR(X$3)-YEAR($B$76))+MONTH(X$3)-MONTH($B$76)),(12*(YEAR($B$77)-YEAR($B$76))+MONTH($B$77)-MONTH($B$76))))*(1+'Вводные'!$B$65)^MAX(0,(12*(YEAR(X$3)-YEAR($B$77))+MONTH(X$3)-MONTH($B$77))))</x:f>
      </x:c>
      <x:c r="Y84" s="107" t="n">
        <x:f>IF(Y83=0,0,'Вводные'!$B$59*'Вводные'!$S$91*'Вводные'!$H$5*'Вводные'!$AG$91*(1+'Вводные'!$B$64)^MAX(0,MIN((12*(YEAR(Y$3)-YEAR($B$76))+MONTH(Y$3)-MONTH($B$76)),(12*(YEAR($B$77)-YEAR($B$76))+MONTH($B$77)-MONTH($B$76))))*(1+'Вводные'!$B$65)^MAX(0,(12*(YEAR(Y$3)-YEAR($B$77))+MONTH(Y$3)-MONTH($B$77))))</x:f>
      </x:c>
      <x:c r="Z84" s="107" t="n">
        <x:f>IF(Z83=0,0,'Вводные'!$B$59*'Вводные'!$S$91*'Вводные'!$H$5*'Вводные'!$AG$91*(1+'Вводные'!$B$64)^MAX(0,MIN((12*(YEAR(Z$3)-YEAR($B$76))+MONTH(Z$3)-MONTH($B$76)),(12*(YEAR($B$77)-YEAR($B$76))+MONTH($B$77)-MONTH($B$76))))*(1+'Вводные'!$B$65)^MAX(0,(12*(YEAR(Z$3)-YEAR($B$77))+MONTH(Z$3)-MONTH($B$77))))</x:f>
      </x:c>
      <x:c r="AA84" s="107" t="n">
        <x:f>IF(AA83=0,0,'Вводные'!$B$59*'Вводные'!$S$91*'Вводные'!$H$5*'Вводные'!$AG$91*(1+'Вводные'!$B$64)^MAX(0,MIN((12*(YEAR(AA$3)-YEAR($B$76))+MONTH(AA$3)-MONTH($B$76)),(12*(YEAR($B$77)-YEAR($B$76))+MONTH($B$77)-MONTH($B$76))))*(1+'Вводные'!$B$65)^MAX(0,(12*(YEAR(AA$3)-YEAR($B$77))+MONTH(AA$3)-MONTH($B$77))))</x:f>
      </x:c>
      <x:c r="AB84" s="107" t="n">
        <x:f>IF(AB83=0,0,'Вводные'!$B$59*'Вводные'!$S$91*'Вводные'!$H$5*'Вводные'!$AG$91*(1+'Вводные'!$B$64)^MAX(0,MIN((12*(YEAR(AB$3)-YEAR($B$76))+MONTH(AB$3)-MONTH($B$76)),(12*(YEAR($B$77)-YEAR($B$76))+MONTH($B$77)-MONTH($B$76))))*(1+'Вводные'!$B$65)^MAX(0,(12*(YEAR(AB$3)-YEAR($B$77))+MONTH(AB$3)-MONTH($B$77))))</x:f>
      </x:c>
      <x:c r="AC84" s="107" t="n">
        <x:f>IF(AC83=0,0,'Вводные'!$B$59*'Вводные'!$S$91*'Вводные'!$H$5*'Вводные'!$AG$91*(1+'Вводные'!$B$64)^MAX(0,MIN((12*(YEAR(AC$3)-YEAR($B$76))+MONTH(AC$3)-MONTH($B$76)),(12*(YEAR($B$77)-YEAR($B$76))+MONTH($B$77)-MONTH($B$76))))*(1+'Вводные'!$B$65)^MAX(0,(12*(YEAR(AC$3)-YEAR($B$77))+MONTH(AC$3)-MONTH($B$77))))</x:f>
      </x:c>
      <x:c r="AD84" s="107" t="n">
        <x:f>IF(AD83=0,0,'Вводные'!$B$59*'Вводные'!$S$91*'Вводные'!$H$5*'Вводные'!$AG$91*(1+'Вводные'!$B$64)^MAX(0,MIN((12*(YEAR(AD$3)-YEAR($B$76))+MONTH(AD$3)-MONTH($B$76)),(12*(YEAR($B$77)-YEAR($B$76))+MONTH($B$77)-MONTH($B$76))))*(1+'Вводные'!$B$65)^MAX(0,(12*(YEAR(AD$3)-YEAR($B$77))+MONTH(AD$3)-MONTH($B$77))))</x:f>
      </x:c>
      <x:c r="AE84" s="107" t="n">
        <x:f>IF(AE83=0,0,'Вводные'!$B$59*'Вводные'!$S$91*'Вводные'!$H$5*'Вводные'!$AG$91*(1+'Вводные'!$B$64)^MAX(0,MIN((12*(YEAR(AE$3)-YEAR($B$76))+MONTH(AE$3)-MONTH($B$76)),(12*(YEAR($B$77)-YEAR($B$76))+MONTH($B$77)-MONTH($B$76))))*(1+'Вводные'!$B$65)^MAX(0,(12*(YEAR(AE$3)-YEAR($B$77))+MONTH(AE$3)-MONTH($B$77))))</x:f>
      </x:c>
      <x:c r="AF84" s="107" t="n">
        <x:f>IF(AF83=0,0,'Вводные'!$B$59*'Вводные'!$S$91*'Вводные'!$H$5*'Вводные'!$AG$91*(1+'Вводные'!$B$64)^MAX(0,MIN((12*(YEAR(AF$3)-YEAR($B$76))+MONTH(AF$3)-MONTH($B$76)),(12*(YEAR($B$77)-YEAR($B$76))+MONTH($B$77)-MONTH($B$76))))*(1+'Вводные'!$B$65)^MAX(0,(12*(YEAR(AF$3)-YEAR($B$77))+MONTH(AF$3)-MONTH($B$77))))</x:f>
      </x:c>
      <x:c r="AG84" s="107" t="n">
        <x:f>IF(AG83=0,0,'Вводные'!$B$59*'Вводные'!$S$91*'Вводные'!$H$5*'Вводные'!$AG$91*(1+'Вводные'!$B$64)^MAX(0,MIN((12*(YEAR(AG$3)-YEAR($B$76))+MONTH(AG$3)-MONTH($B$76)),(12*(YEAR($B$77)-YEAR($B$76))+MONTH($B$77)-MONTH($B$76))))*(1+'Вводные'!$B$65)^MAX(0,(12*(YEAR(AG$3)-YEAR($B$77))+MONTH(AG$3)-MONTH($B$77))))</x:f>
      </x:c>
      <x:c r="AH84" s="107" t="n">
        <x:f>IF(AH83=0,0,'Вводные'!$B$59*'Вводные'!$S$91*'Вводные'!$H$5*'Вводные'!$AG$91*(1+'Вводные'!$B$64)^MAX(0,MIN((12*(YEAR(AH$3)-YEAR($B$76))+MONTH(AH$3)-MONTH($B$76)),(12*(YEAR($B$77)-YEAR($B$76))+MONTH($B$77)-MONTH($B$76))))*(1+'Вводные'!$B$65)^MAX(0,(12*(YEAR(AH$3)-YEAR($B$77))+MONTH(AH$3)-MONTH($B$77))))</x:f>
      </x:c>
      <x:c r="AI84" s="107" t="n">
        <x:f>IF(AI83=0,0,'Вводные'!$B$59*'Вводные'!$S$91*'Вводные'!$H$5*'Вводные'!$AG$91*(1+'Вводные'!$B$64)^MAX(0,MIN((12*(YEAR(AI$3)-YEAR($B$76))+MONTH(AI$3)-MONTH($B$76)),(12*(YEAR($B$77)-YEAR($B$76))+MONTH($B$77)-MONTH($B$76))))*(1+'Вводные'!$B$65)^MAX(0,(12*(YEAR(AI$3)-YEAR($B$77))+MONTH(AI$3)-MONTH($B$77))))</x:f>
      </x:c>
      <x:c r="AJ84" s="107" t="n">
        <x:f>IF(AJ83=0,0,'Вводные'!$B$59*'Вводные'!$S$91*'Вводные'!$H$5*'Вводные'!$AG$91*(1+'Вводные'!$B$64)^MAX(0,MIN((12*(YEAR(AJ$3)-YEAR($B$76))+MONTH(AJ$3)-MONTH($B$76)),(12*(YEAR($B$77)-YEAR($B$76))+MONTH($B$77)-MONTH($B$76))))*(1+'Вводные'!$B$65)^MAX(0,(12*(YEAR(AJ$3)-YEAR($B$77))+MONTH(AJ$3)-MONTH($B$77))))</x:f>
      </x:c>
      <x:c r="AK84" s="107" t="n">
        <x:f>IF(AK83=0,0,'Вводные'!$B$59*'Вводные'!$S$91*'Вводные'!$H$5*'Вводные'!$AG$91*(1+'Вводные'!$B$64)^MAX(0,MIN((12*(YEAR(AK$3)-YEAR($B$76))+MONTH(AK$3)-MONTH($B$76)),(12*(YEAR($B$77)-YEAR($B$76))+MONTH($B$77)-MONTH($B$76))))*(1+'Вводные'!$B$65)^MAX(0,(12*(YEAR(AK$3)-YEAR($B$77))+MONTH(AK$3)-MONTH($B$77))))</x:f>
      </x:c>
      <x:c r="AL84" s="107" t="n">
        <x:f>IF(AL83=0,0,'Вводные'!$B$59*'Вводные'!$S$91*'Вводные'!$H$5*'Вводные'!$AG$91*(1+'Вводные'!$B$64)^MAX(0,MIN((12*(YEAR(AL$3)-YEAR($B$76))+MONTH(AL$3)-MONTH($B$76)),(12*(YEAR($B$77)-YEAR($B$76))+MONTH($B$77)-MONTH($B$76))))*(1+'Вводные'!$B$65)^MAX(0,(12*(YEAR(AL$3)-YEAR($B$77))+MONTH(AL$3)-MONTH($B$77))))</x:f>
      </x:c>
      <x:c r="AM84" s="107" t="n">
        <x:f>IF(AM83=0,0,'Вводные'!$B$59*'Вводные'!$S$91*'Вводные'!$H$5*'Вводные'!$AG$91*(1+'Вводные'!$B$64)^MAX(0,MIN((12*(YEAR(AM$3)-YEAR($B$76))+MONTH(AM$3)-MONTH($B$76)),(12*(YEAR($B$77)-YEAR($B$76))+MONTH($B$77)-MONTH($B$76))))*(1+'Вводные'!$B$65)^MAX(0,(12*(YEAR(AM$3)-YEAR($B$77))+MONTH(AM$3)-MONTH($B$77))))</x:f>
      </x:c>
      <x:c r="AN84" s="107" t="n">
        <x:f>IF(AN83=0,0,'Вводные'!$B$59*'Вводные'!$S$91*'Вводные'!$H$5*'Вводные'!$AG$91*(1+'Вводные'!$B$64)^MAX(0,MIN((12*(YEAR(AN$3)-YEAR($B$76))+MONTH(AN$3)-MONTH($B$76)),(12*(YEAR($B$77)-YEAR($B$76))+MONTH($B$77)-MONTH($B$76))))*(1+'Вводные'!$B$65)^MAX(0,(12*(YEAR(AN$3)-YEAR($B$77))+MONTH(AN$3)-MONTH($B$77))))</x:f>
      </x:c>
      <x:c r="AO84" s="107" t="n">
        <x:f>IF(AO83=0,0,'Вводные'!$B$59*'Вводные'!$S$91*'Вводные'!$H$5*'Вводные'!$AG$91*(1+'Вводные'!$B$64)^MAX(0,MIN((12*(YEAR(AO$3)-YEAR($B$76))+MONTH(AO$3)-MONTH($B$76)),(12*(YEAR($B$77)-YEAR($B$76))+MONTH($B$77)-MONTH($B$76))))*(1+'Вводные'!$B$65)^MAX(0,(12*(YEAR(AO$3)-YEAR($B$77))+MONTH(AO$3)-MONTH($B$77))))</x:f>
      </x:c>
      <x:c r="AP84" s="107" t="n">
        <x:f>IF(AP83=0,0,'Вводные'!$B$59*'Вводные'!$S$91*'Вводные'!$H$5*'Вводные'!$AG$91*(1+'Вводные'!$B$64)^MAX(0,MIN((12*(YEAR(AP$3)-YEAR($B$76))+MONTH(AP$3)-MONTH($B$76)),(12*(YEAR($B$77)-YEAR($B$76))+MONTH($B$77)-MONTH($B$76))))*(1+'Вводные'!$B$65)^MAX(0,(12*(YEAR(AP$3)-YEAR($B$77))+MONTH(AP$3)-MONTH($B$77))))</x:f>
      </x:c>
      <x:c r="AQ84" s="107" t="n">
        <x:f>IF(AQ83=0,0,'Вводные'!$B$59*'Вводные'!$S$91*'Вводные'!$H$5*'Вводные'!$AG$91*(1+'Вводные'!$B$64)^MAX(0,MIN((12*(YEAR(AQ$3)-YEAR($B$76))+MONTH(AQ$3)-MONTH($B$76)),(12*(YEAR($B$77)-YEAR($B$76))+MONTH($B$77)-MONTH($B$76))))*(1+'Вводные'!$B$65)^MAX(0,(12*(YEAR(AQ$3)-YEAR($B$77))+MONTH(AQ$3)-MONTH($B$77))))</x:f>
      </x:c>
      <x:c r="AR84" s="107" t="n">
        <x:f>IF(AR83=0,0,'Вводные'!$B$59*'Вводные'!$S$91*'Вводные'!$H$5*'Вводные'!$AG$91*(1+'Вводные'!$B$64)^MAX(0,MIN((12*(YEAR(AR$3)-YEAR($B$76))+MONTH(AR$3)-MONTH($B$76)),(12*(YEAR($B$77)-YEAR($B$76))+MONTH($B$77)-MONTH($B$76))))*(1+'Вводные'!$B$65)^MAX(0,(12*(YEAR(AR$3)-YEAR($B$77))+MONTH(AR$3)-MONTH($B$77))))</x:f>
      </x:c>
      <x:c r="AS84" s="107" t="n">
        <x:f>IF(AS83=0,0,'Вводные'!$B$59*'Вводные'!$S$91*'Вводные'!$H$5*'Вводные'!$AG$91*(1+'Вводные'!$B$64)^MAX(0,MIN((12*(YEAR(AS$3)-YEAR($B$76))+MONTH(AS$3)-MONTH($B$76)),(12*(YEAR($B$77)-YEAR($B$76))+MONTH($B$77)-MONTH($B$76))))*(1+'Вводные'!$B$65)^MAX(0,(12*(YEAR(AS$3)-YEAR($B$77))+MONTH(AS$3)-MONTH($B$77))))</x:f>
      </x:c>
      <x:c r="AT84" s="107" t="n">
        <x:f>IF(AT83=0,0,'Вводные'!$B$59*'Вводные'!$S$91*'Вводные'!$H$5*'Вводные'!$AG$91*(1+'Вводные'!$B$64)^MAX(0,MIN((12*(YEAR(AT$3)-YEAR($B$76))+MONTH(AT$3)-MONTH($B$76)),(12*(YEAR($B$77)-YEAR($B$76))+MONTH($B$77)-MONTH($B$76))))*(1+'Вводные'!$B$65)^MAX(0,(12*(YEAR(AT$3)-YEAR($B$77))+MONTH(AT$3)-MONTH($B$77))))</x:f>
      </x:c>
      <x:c r="AU84" s="107" t="n">
        <x:f>IF(AU83=0,0,'Вводные'!$B$59*'Вводные'!$S$91*'Вводные'!$H$5*'Вводные'!$AG$91*(1+'Вводные'!$B$64)^MAX(0,MIN((12*(YEAR(AU$3)-YEAR($B$76))+MONTH(AU$3)-MONTH($B$76)),(12*(YEAR($B$77)-YEAR($B$76))+MONTH($B$77)-MONTH($B$76))))*(1+'Вводные'!$B$65)^MAX(0,(12*(YEAR(AU$3)-YEAR($B$77))+MONTH(AU$3)-MONTH($B$77))))</x:f>
      </x:c>
      <x:c r="AV84" s="107" t="n">
        <x:f>IF(AV83=0,0,'Вводные'!$B$59*'Вводные'!$S$91*'Вводные'!$H$5*'Вводные'!$AG$91*(1+'Вводные'!$B$64)^MAX(0,MIN((12*(YEAR(AV$3)-YEAR($B$76))+MONTH(AV$3)-MONTH($B$76)),(12*(YEAR($B$77)-YEAR($B$76))+MONTH($B$77)-MONTH($B$76))))*(1+'Вводные'!$B$65)^MAX(0,(12*(YEAR(AV$3)-YEAR($B$77))+MONTH(AV$3)-MONTH($B$77))))</x:f>
      </x:c>
      <x:c r="AW84" s="107" t="n">
        <x:f>IF(AW83=0,0,'Вводные'!$B$59*'Вводные'!$S$91*'Вводные'!$H$5*'Вводные'!$AG$91*(1+'Вводные'!$B$64)^MAX(0,MIN((12*(YEAR(AW$3)-YEAR($B$76))+MONTH(AW$3)-MONTH($B$76)),(12*(YEAR($B$77)-YEAR($B$76))+MONTH($B$77)-MONTH($B$76))))*(1+'Вводные'!$B$65)^MAX(0,(12*(YEAR(AW$3)-YEAR($B$77))+MONTH(AW$3)-MONTH($B$77))))</x:f>
      </x:c>
      <x:c r="AX84" s="107" t="n">
        <x:f>IF(AX83=0,0,'Вводные'!$B$59*'Вводные'!$S$91*'Вводные'!$H$5*'Вводные'!$AG$91*(1+'Вводные'!$B$64)^MAX(0,MIN((12*(YEAR(AX$3)-YEAR($B$76))+MONTH(AX$3)-MONTH($B$76)),(12*(YEAR($B$77)-YEAR($B$76))+MONTH($B$77)-MONTH($B$76))))*(1+'Вводные'!$B$65)^MAX(0,(12*(YEAR(AX$3)-YEAR($B$77))+MONTH(AX$3)-MONTH($B$77))))</x:f>
      </x:c>
      <x:c r="AY84" s="107" t="n">
        <x:f>IF(AY83=0,0,'Вводные'!$B$59*'Вводные'!$S$91*'Вводные'!$H$5*'Вводные'!$AG$91*(1+'Вводные'!$B$64)^MAX(0,MIN((12*(YEAR(AY$3)-YEAR($B$76))+MONTH(AY$3)-MONTH($B$76)),(12*(YEAR($B$77)-YEAR($B$76))+MONTH($B$77)-MONTH($B$76))))*(1+'Вводные'!$B$65)^MAX(0,(12*(YEAR(AY$3)-YEAR($B$77))+MONTH(AY$3)-MONTH($B$77))))</x:f>
      </x:c>
      <x:c r="AZ84" s="107" t="n">
        <x:f>IF(AZ83=0,0,'Вводные'!$B$59*'Вводные'!$S$91*'Вводные'!$H$5*'Вводные'!$AG$91*(1+'Вводные'!$B$64)^MAX(0,MIN((12*(YEAR(AZ$3)-YEAR($B$76))+MONTH(AZ$3)-MONTH($B$76)),(12*(YEAR($B$77)-YEAR($B$76))+MONTH($B$77)-MONTH($B$76))))*(1+'Вводные'!$B$65)^MAX(0,(12*(YEAR(AZ$3)-YEAR($B$77))+MONTH(AZ$3)-MONTH($B$77))))</x:f>
      </x:c>
      <x:c r="BA84" s="107" t="n">
        <x:f>IF(BA83=0,0,'Вводные'!$B$59*'Вводные'!$S$91*'Вводные'!$H$5*'Вводные'!$AG$91*(1+'Вводные'!$B$64)^MAX(0,MIN((12*(YEAR(BA$3)-YEAR($B$76))+MONTH(BA$3)-MONTH($B$76)),(12*(YEAR($B$77)-YEAR($B$76))+MONTH($B$77)-MONTH($B$76))))*(1+'Вводные'!$B$65)^MAX(0,(12*(YEAR(BA$3)-YEAR($B$77))+MONTH(BA$3)-MONTH($B$77))))</x:f>
      </x:c>
      <x:c r="BB84" s="107" t="n">
        <x:f>IF(BB83=0,0,'Вводные'!$B$59*'Вводные'!$S$91*'Вводные'!$H$5*'Вводные'!$AG$91*(1+'Вводные'!$B$64)^MAX(0,MIN((12*(YEAR(BB$3)-YEAR($B$76))+MONTH(BB$3)-MONTH($B$76)),(12*(YEAR($B$77)-YEAR($B$76))+MONTH($B$77)-MONTH($B$76))))*(1+'Вводные'!$B$65)^MAX(0,(12*(YEAR(BB$3)-YEAR($B$77))+MONTH(BB$3)-MONTH($B$77))))</x:f>
      </x:c>
      <x:c r="BC84" s="107" t="n">
        <x:f>IF(BC83=0,0,'Вводные'!$B$59*'Вводные'!$S$91*'Вводные'!$H$5*'Вводные'!$AG$91*(1+'Вводные'!$B$64)^MAX(0,MIN((12*(YEAR(BC$3)-YEAR($B$76))+MONTH(BC$3)-MONTH($B$76)),(12*(YEAR($B$77)-YEAR($B$76))+MONTH($B$77)-MONTH($B$76))))*(1+'Вводные'!$B$65)^MAX(0,(12*(YEAR(BC$3)-YEAR($B$77))+MONTH(BC$3)-MONTH($B$77))))</x:f>
      </x:c>
      <x:c r="BD84" s="107" t="n">
        <x:f>IF(BD83=0,0,'Вводные'!$B$59*'Вводные'!$S$91*'Вводные'!$H$5*'Вводные'!$AG$91*(1+'Вводные'!$B$64)^MAX(0,MIN((12*(YEAR(BD$3)-YEAR($B$76))+MONTH(BD$3)-MONTH($B$76)),(12*(YEAR($B$77)-YEAR($B$76))+MONTH($B$77)-MONTH($B$76))))*(1+'Вводные'!$B$65)^MAX(0,(12*(YEAR(BD$3)-YEAR($B$77))+MONTH(BD$3)-MONTH($B$77))))</x:f>
      </x:c>
      <x:c r="BE84" s="107" t="n">
        <x:f>IF(BE83=0,0,'Вводные'!$B$59*'Вводные'!$S$91*'Вводные'!$H$5*'Вводные'!$AG$91*(1+'Вводные'!$B$64)^MAX(0,MIN((12*(YEAR(BE$3)-YEAR($B$76))+MONTH(BE$3)-MONTH($B$76)),(12*(YEAR($B$77)-YEAR($B$76))+MONTH($B$77)-MONTH($B$76))))*(1+'Вводные'!$B$65)^MAX(0,(12*(YEAR(BE$3)-YEAR($B$77))+MONTH(BE$3)-MONTH($B$77))))</x:f>
      </x:c>
      <x:c r="BF84" s="107" t="n">
        <x:f>IF(BF83=0,0,'Вводные'!$B$59*'Вводные'!$S$91*'Вводные'!$H$5*'Вводные'!$AG$91*(1+'Вводные'!$B$64)^MAX(0,MIN((12*(YEAR(BF$3)-YEAR($B$76))+MONTH(BF$3)-MONTH($B$76)),(12*(YEAR($B$77)-YEAR($B$76))+MONTH($B$77)-MONTH($B$76))))*(1+'Вводные'!$B$65)^MAX(0,(12*(YEAR(BF$3)-YEAR($B$77))+MONTH(BF$3)-MONTH($B$77))))</x:f>
      </x:c>
      <x:c r="BG84" s="107" t="n">
        <x:f>IF(BG83=0,0,'Вводные'!$B$59*'Вводные'!$S$91*'Вводные'!$H$5*'Вводные'!$AG$91*(1+'Вводные'!$B$64)^MAX(0,MIN((12*(YEAR(BG$3)-YEAR($B$76))+MONTH(BG$3)-MONTH($B$76)),(12*(YEAR($B$77)-YEAR($B$76))+MONTH($B$77)-MONTH($B$76))))*(1+'Вводные'!$B$65)^MAX(0,(12*(YEAR(BG$3)-YEAR($B$77))+MONTH(BG$3)-MONTH($B$77))))</x:f>
      </x:c>
      <x:c r="BH84" s="107" t="n">
        <x:f>IF(BH83=0,0,'Вводные'!$B$59*'Вводные'!$S$91*'Вводные'!$H$5*'Вводные'!$AG$91*(1+'Вводные'!$B$64)^MAX(0,MIN((12*(YEAR(BH$3)-YEAR($B$76))+MONTH(BH$3)-MONTH($B$76)),(12*(YEAR($B$77)-YEAR($B$76))+MONTH($B$77)-MONTH($B$76))))*(1+'Вводные'!$B$65)^MAX(0,(12*(YEAR(BH$3)-YEAR($B$77))+MONTH(BH$3)-MONTH($B$77))))</x:f>
      </x:c>
      <x:c r="BI84" s="107" t="n">
        <x:f>IF(BI83=0,0,'Вводные'!$B$59*'Вводные'!$S$91*'Вводные'!$H$5*'Вводные'!$AG$91*(1+'Вводные'!$B$64)^MAX(0,MIN((12*(YEAR(BI$3)-YEAR($B$76))+MONTH(BI$3)-MONTH($B$76)),(12*(YEAR($B$77)-YEAR($B$76))+MONTH($B$77)-MONTH($B$76))))*(1+'Вводные'!$B$65)^MAX(0,(12*(YEAR(BI$3)-YEAR($B$77))+MONTH(BI$3)-MONTH($B$77))))</x:f>
      </x:c>
      <x:c r="BJ84" s="107" t="n">
        <x:f>IF(BJ83=0,0,'Вводные'!$B$59*'Вводные'!$S$91*'Вводные'!$H$5*'Вводные'!$AG$91*(1+'Вводные'!$B$64)^MAX(0,MIN((12*(YEAR(BJ$3)-YEAR($B$76))+MONTH(BJ$3)-MONTH($B$76)),(12*(YEAR($B$77)-YEAR($B$76))+MONTH($B$77)-MONTH($B$76))))*(1+'Вводные'!$B$65)^MAX(0,(12*(YEAR(BJ$3)-YEAR($B$77))+MONTH(BJ$3)-MONTH($B$77))))</x:f>
      </x:c>
      <x:c r="BK84" s="107" t="n">
        <x:f>IF(BK83=0,0,'Вводные'!$B$59*'Вводные'!$S$91*'Вводные'!$H$5*'Вводные'!$AG$91*(1+'Вводные'!$B$64)^MAX(0,MIN((12*(YEAR(BK$3)-YEAR($B$76))+MONTH(BK$3)-MONTH($B$76)),(12*(YEAR($B$77)-YEAR($B$76))+MONTH($B$77)-MONTH($B$76))))*(1+'Вводные'!$B$65)^MAX(0,(12*(YEAR(BK$3)-YEAR($B$77))+MONTH(BK$3)-MONTH($B$77))))</x:f>
      </x:c>
      <x:c r="BL84" s="107" t="n">
        <x:f>IF(BL83=0,0,'Вводные'!$B$59*'Вводные'!$S$91*'Вводные'!$H$5*'Вводные'!$AG$91*(1+'Вводные'!$B$64)^MAX(0,MIN((12*(YEAR(BL$3)-YEAR($B$76))+MONTH(BL$3)-MONTH($B$76)),(12*(YEAR($B$77)-YEAR($B$76))+MONTH($B$77)-MONTH($B$76))))*(1+'Вводные'!$B$65)^MAX(0,(12*(YEAR(BL$3)-YEAR($B$77))+MONTH(BL$3)-MONTH($B$77))))</x:f>
      </x:c>
      <x:c r="BM84" s="107" t="n">
        <x:f>IF(BM83=0,0,'Вводные'!$B$59*'Вводные'!$S$91*'Вводные'!$H$5*'Вводные'!$AG$91*(1+'Вводные'!$B$64)^MAX(0,MIN((12*(YEAR(BM$3)-YEAR($B$76))+MONTH(BM$3)-MONTH($B$76)),(12*(YEAR($B$77)-YEAR($B$76))+MONTH($B$77)-MONTH($B$76))))*(1+'Вводные'!$B$65)^MAX(0,(12*(YEAR(BM$3)-YEAR($B$77))+MONTH(BM$3)-MONTH($B$77))))</x:f>
      </x:c>
      <x:c r="BN84" s="107" t="n">
        <x:f>IF(BN83=0,0,'Вводные'!$B$59*'Вводные'!$S$91*'Вводные'!$H$5*'Вводные'!$AG$91*(1+'Вводные'!$B$64)^MAX(0,MIN((12*(YEAR(BN$3)-YEAR($B$76))+MONTH(BN$3)-MONTH($B$76)),(12*(YEAR($B$77)-YEAR($B$76))+MONTH($B$77)-MONTH($B$76))))*(1+'Вводные'!$B$65)^MAX(0,(12*(YEAR(BN$3)-YEAR($B$77))+MONTH(BN$3)-MONTH($B$77))))</x:f>
      </x:c>
      <x:c r="BO84" s="107" t="n">
        <x:f>IF(BO83=0,0,'Вводные'!$B$59*'Вводные'!$S$91*'Вводные'!$H$5*'Вводные'!$AG$91*(1+'Вводные'!$B$64)^MAX(0,MIN((12*(YEAR(BO$3)-YEAR($B$76))+MONTH(BO$3)-MONTH($B$76)),(12*(YEAR($B$77)-YEAR($B$76))+MONTH($B$77)-MONTH($B$76))))*(1+'Вводные'!$B$65)^MAX(0,(12*(YEAR(BO$3)-YEAR($B$77))+MONTH(BO$3)-MONTH($B$77))))</x:f>
      </x:c>
      <x:c r="BP84" s="107" t="n">
        <x:f>IF(BP83=0,0,'Вводные'!$B$59*'Вводные'!$S$91*'Вводные'!$H$5*'Вводные'!$AG$91*(1+'Вводные'!$B$64)^MAX(0,MIN((12*(YEAR(BP$3)-YEAR($B$76))+MONTH(BP$3)-MONTH($B$76)),(12*(YEAR($B$77)-YEAR($B$76))+MONTH($B$77)-MONTH($B$76))))*(1+'Вводные'!$B$65)^MAX(0,(12*(YEAR(BP$3)-YEAR($B$77))+MONTH(BP$3)-MONTH($B$77))))</x:f>
      </x:c>
      <x:c r="BQ84" s="107" t="n">
        <x:f>IF(BQ83=0,0,'Вводные'!$B$59*'Вводные'!$S$91*'Вводные'!$H$5*'Вводные'!$AG$91*(1+'Вводные'!$B$64)^MAX(0,MIN((12*(YEAR(BQ$3)-YEAR($B$76))+MONTH(BQ$3)-MONTH($B$76)),(12*(YEAR($B$77)-YEAR($B$76))+MONTH($B$77)-MONTH($B$76))))*(1+'Вводные'!$B$65)^MAX(0,(12*(YEAR(BQ$3)-YEAR($B$77))+MONTH(BQ$3)-MONTH($B$77))))</x:f>
      </x:c>
      <x:c r="BR84" s="107" t="n">
        <x:f>IF(BR83=0,0,'Вводные'!$B$59*'Вводные'!$S$91*'Вводные'!$H$5*'Вводные'!$AG$91*(1+'Вводные'!$B$64)^MAX(0,MIN((12*(YEAR(BR$3)-YEAR($B$76))+MONTH(BR$3)-MONTH($B$76)),(12*(YEAR($B$77)-YEAR($B$76))+MONTH($B$77)-MONTH($B$76))))*(1+'Вводные'!$B$65)^MAX(0,(12*(YEAR(BR$3)-YEAR($B$77))+MONTH(BR$3)-MONTH($B$77))))</x:f>
      </x:c>
      <x:c r="BS84" s="107" t="n">
        <x:f>IF(BS83=0,0,'Вводные'!$B$59*'Вводные'!$S$91*'Вводные'!$H$5*'Вводные'!$AG$91*(1+'Вводные'!$B$64)^MAX(0,MIN((12*(YEAR(BS$3)-YEAR($B$76))+MONTH(BS$3)-MONTH($B$76)),(12*(YEAR($B$77)-YEAR($B$76))+MONTH($B$77)-MONTH($B$76))))*(1+'Вводные'!$B$65)^MAX(0,(12*(YEAR(BS$3)-YEAR($B$77))+MONTH(BS$3)-MONTH($B$77))))</x:f>
      </x:c>
      <x:c r="BT84" s="107" t="n">
        <x:f>IF(BT83=0,0,'Вводные'!$B$59*'Вводные'!$S$91*'Вводные'!$H$5*'Вводные'!$AG$91*(1+'Вводные'!$B$64)^MAX(0,MIN((12*(YEAR(BT$3)-YEAR($B$76))+MONTH(BT$3)-MONTH($B$76)),(12*(YEAR($B$77)-YEAR($B$76))+MONTH($B$77)-MONTH($B$76))))*(1+'Вводные'!$B$65)^MAX(0,(12*(YEAR(BT$3)-YEAR($B$77))+MONTH(BT$3)-MONTH($B$77))))</x:f>
      </x:c>
      <x:c r="BU84" s="107" t="n">
        <x:f>IF(BU83=0,0,'Вводные'!$B$59*'Вводные'!$S$91*'Вводные'!$H$5*'Вводные'!$AG$91*(1+'Вводные'!$B$64)^MAX(0,MIN((12*(YEAR(BU$3)-YEAR($B$76))+MONTH(BU$3)-MONTH($B$76)),(12*(YEAR($B$77)-YEAR($B$76))+MONTH($B$77)-MONTH($B$76))))*(1+'Вводные'!$B$65)^MAX(0,(12*(YEAR(BU$3)-YEAR($B$77))+MONTH(BU$3)-MONTH($B$77))))</x:f>
      </x:c>
      <x:c r="BV84" s="107" t="n">
        <x:f>IF(BV83=0,0,'Вводные'!$B$59*'Вводные'!$S$91*'Вводные'!$H$5*'Вводные'!$AG$91*(1+'Вводные'!$B$64)^MAX(0,MIN((12*(YEAR(BV$3)-YEAR($B$76))+MONTH(BV$3)-MONTH($B$76)),(12*(YEAR($B$77)-YEAR($B$76))+MONTH($B$77)-MONTH($B$76))))*(1+'Вводные'!$B$65)^MAX(0,(12*(YEAR(BV$3)-YEAR($B$77))+MONTH(BV$3)-MONTH($B$77))))</x:f>
      </x:c>
      <x:c r="BW84" s="107" t="n">
        <x:f>IF(BW83=0,0,'Вводные'!$B$59*'Вводные'!$S$91*'Вводные'!$H$5*'Вводные'!$AG$91*(1+'Вводные'!$B$64)^MAX(0,MIN((12*(YEAR(BW$3)-YEAR($B$76))+MONTH(BW$3)-MONTH($B$76)),(12*(YEAR($B$77)-YEAR($B$76))+MONTH($B$77)-MONTH($B$76))))*(1+'Вводные'!$B$65)^MAX(0,(12*(YEAR(BW$3)-YEAR($B$77))+MONTH(BW$3)-MONTH($B$77))))</x:f>
      </x:c>
      <x:c r="BX84" s="107" t="n">
        <x:f>IF(BX83=0,0,'Вводные'!$B$59*'Вводные'!$S$91*'Вводные'!$H$5*'Вводные'!$AG$91*(1+'Вводные'!$B$64)^MAX(0,MIN((12*(YEAR(BX$3)-YEAR($B$76))+MONTH(BX$3)-MONTH($B$76)),(12*(YEAR($B$77)-YEAR($B$76))+MONTH($B$77)-MONTH($B$76))))*(1+'Вводные'!$B$65)^MAX(0,(12*(YEAR(BX$3)-YEAR($B$77))+MONTH(BX$3)-MONTH($B$77))))</x:f>
      </x:c>
      <x:c r="BY84" s="107" t="n">
        <x:f>IF(BY83=0,0,'Вводные'!$B$59*'Вводные'!$S$91*'Вводные'!$H$5*'Вводные'!$AG$91*(1+'Вводные'!$B$64)^MAX(0,MIN((12*(YEAR(BY$3)-YEAR($B$76))+MONTH(BY$3)-MONTH($B$76)),(12*(YEAR($B$77)-YEAR($B$76))+MONTH($B$77)-MONTH($B$76))))*(1+'Вводные'!$B$65)^MAX(0,(12*(YEAR(BY$3)-YEAR($B$77))+MONTH(BY$3)-MONTH($B$77))))</x:f>
      </x:c>
      <x:c r="BZ84" s="107" t="n">
        <x:f>IF(BZ83=0,0,'Вводные'!$B$59*'Вводные'!$S$91*'Вводные'!$H$5*'Вводные'!$AG$91*(1+'Вводные'!$B$64)^MAX(0,MIN((12*(YEAR(BZ$3)-YEAR($B$76))+MONTH(BZ$3)-MONTH($B$76)),(12*(YEAR($B$77)-YEAR($B$76))+MONTH($B$77)-MONTH($B$76))))*(1+'Вводные'!$B$65)^MAX(0,(12*(YEAR(BZ$3)-YEAR($B$77))+MONTH(BZ$3)-MONTH($B$77))))</x:f>
      </x:c>
      <x:c r="CA84" s="107" t="n">
        <x:f>IF(CA83=0,0,'Вводные'!$B$59*'Вводные'!$S$91*'Вводные'!$H$5*'Вводные'!$AG$91*(1+'Вводные'!$B$64)^MAX(0,MIN((12*(YEAR(CA$3)-YEAR($B$76))+MONTH(CA$3)-MONTH($B$76)),(12*(YEAR($B$77)-YEAR($B$76))+MONTH($B$77)-MONTH($B$76))))*(1+'Вводные'!$B$65)^MAX(0,(12*(YEAR(CA$3)-YEAR($B$77))+MONTH(CA$3)-MONTH($B$77))))</x:f>
      </x:c>
      <x:c r="CB84" s="107" t="n">
        <x:f>IF(CB83=0,0,'Вводные'!$B$59*'Вводные'!$S$91*'Вводные'!$H$5*'Вводные'!$AG$91*(1+'Вводные'!$B$64)^MAX(0,MIN((12*(YEAR(CB$3)-YEAR($B$76))+MONTH(CB$3)-MONTH($B$76)),(12*(YEAR($B$77)-YEAR($B$76))+MONTH($B$77)-MONTH($B$76))))*(1+'Вводные'!$B$65)^MAX(0,(12*(YEAR(CB$3)-YEAR($B$77))+MONTH(CB$3)-MONTH($B$77))))</x:f>
      </x:c>
      <x:c r="CC84" s="107" t="n">
        <x:f>IF(CC83=0,0,'Вводные'!$B$59*'Вводные'!$S$91*'Вводные'!$H$5*'Вводные'!$AG$91*(1+'Вводные'!$B$64)^MAX(0,MIN((12*(YEAR(CC$3)-YEAR($B$76))+MONTH(CC$3)-MONTH($B$76)),(12*(YEAR($B$77)-YEAR($B$76))+MONTH($B$77)-MONTH($B$76))))*(1+'Вводные'!$B$65)^MAX(0,(12*(YEAR(CC$3)-YEAR($B$77))+MONTH(CC$3)-MONTH($B$77))))</x:f>
      </x:c>
      <x:c r="CD84" s="107" t="n">
        <x:f>IF(CD83=0,0,'Вводные'!$B$59*'Вводные'!$S$91*'Вводные'!$H$5*'Вводные'!$AG$91*(1+'Вводные'!$B$64)^MAX(0,MIN((12*(YEAR(CD$3)-YEAR($B$76))+MONTH(CD$3)-MONTH($B$76)),(12*(YEAR($B$77)-YEAR($B$76))+MONTH($B$77)-MONTH($B$76))))*(1+'Вводные'!$B$65)^MAX(0,(12*(YEAR(CD$3)-YEAR($B$77))+MONTH(CD$3)-MONTH($B$77))))</x:f>
      </x:c>
      <x:c r="CE84" s="107" t="n">
        <x:f>IF(CE83=0,0,'Вводные'!$B$59*'Вводные'!$S$91*'Вводные'!$H$5*'Вводные'!$AG$91*(1+'Вводные'!$B$64)^MAX(0,MIN((12*(YEAR(CE$3)-YEAR($B$76))+MONTH(CE$3)-MONTH($B$76)),(12*(YEAR($B$77)-YEAR($B$76))+MONTH($B$77)-MONTH($B$76))))*(1+'Вводные'!$B$65)^MAX(0,(12*(YEAR(CE$3)-YEAR($B$77))+MONTH(CE$3)-MONTH($B$77))))</x:f>
      </x:c>
      <x:c r="CF84" s="107" t="n">
        <x:f>IF(CF83=0,0,'Вводные'!$B$59*'Вводные'!$S$91*'Вводные'!$H$5*'Вводные'!$AG$91*(1+'Вводные'!$B$64)^MAX(0,MIN((12*(YEAR(CF$3)-YEAR($B$76))+MONTH(CF$3)-MONTH($B$76)),(12*(YEAR($B$77)-YEAR($B$76))+MONTH($B$77)-MONTH($B$76))))*(1+'Вводные'!$B$65)^MAX(0,(12*(YEAR(CF$3)-YEAR($B$77))+MONTH(CF$3)-MONTH($B$77))))</x:f>
      </x:c>
      <x:c r="CG84" s="107" t="n">
        <x:f>IF(CG83=0,0,'Вводные'!$B$59*'Вводные'!$S$91*'Вводные'!$H$5*'Вводные'!$AG$91*(1+'Вводные'!$B$64)^MAX(0,MIN((12*(YEAR(CG$3)-YEAR($B$76))+MONTH(CG$3)-MONTH($B$76)),(12*(YEAR($B$77)-YEAR($B$76))+MONTH($B$77)-MONTH($B$76))))*(1+'Вводные'!$B$65)^MAX(0,(12*(YEAR(CG$3)-YEAR($B$77))+MONTH(CG$3)-MONTH($B$77))))</x:f>
      </x:c>
      <x:c r="CH84" s="107" t="n">
        <x:f>IF(CH83=0,0,'Вводные'!$B$59*'Вводные'!$S$91*'Вводные'!$H$5*'Вводные'!$AG$91*(1+'Вводные'!$B$64)^MAX(0,MIN((12*(YEAR(CH$3)-YEAR($B$76))+MONTH(CH$3)-MONTH($B$76)),(12*(YEAR($B$77)-YEAR($B$76))+MONTH($B$77)-MONTH($B$76))))*(1+'Вводные'!$B$65)^MAX(0,(12*(YEAR(CH$3)-YEAR($B$77))+MONTH(CH$3)-MONTH($B$77))))</x:f>
      </x:c>
      <x:c r="CI84" s="107" t="n">
        <x:f>IF(CI83=0,0,'Вводные'!$B$59*'Вводные'!$S$91*'Вводные'!$H$5*'Вводные'!$AG$91*(1+'Вводные'!$B$64)^MAX(0,MIN((12*(YEAR(CI$3)-YEAR($B$76))+MONTH(CI$3)-MONTH($B$76)),(12*(YEAR($B$77)-YEAR($B$76))+MONTH($B$77)-MONTH($B$76))))*(1+'Вводные'!$B$65)^MAX(0,(12*(YEAR(CI$3)-YEAR($B$77))+MONTH(CI$3)-MONTH($B$77))))</x:f>
      </x:c>
      <x:c r="CJ84" s="107" t="n">
        <x:f>IF(CJ83=0,0,'Вводные'!$B$59*'Вводные'!$S$91*'Вводные'!$H$5*'Вводные'!$AG$91*(1+'Вводные'!$B$64)^MAX(0,MIN((12*(YEAR(CJ$3)-YEAR($B$76))+MONTH(CJ$3)-MONTH($B$76)),(12*(YEAR($B$77)-YEAR($B$76))+MONTH($B$77)-MONTH($B$76))))*(1+'Вводные'!$B$65)^MAX(0,(12*(YEAR(CJ$3)-YEAR($B$77))+MONTH(CJ$3)-MONTH($B$77))))</x:f>
      </x:c>
      <x:c r="CK84" s="107" t="n">
        <x:f>IF(CK83=0,0,'Вводные'!$B$59*'Вводные'!$S$91*'Вводные'!$H$5*'Вводные'!$AG$91*(1+'Вводные'!$B$64)^MAX(0,MIN((12*(YEAR(CK$3)-YEAR($B$76))+MONTH(CK$3)-MONTH($B$76)),(12*(YEAR($B$77)-YEAR($B$76))+MONTH($B$77)-MONTH($B$76))))*(1+'Вводные'!$B$65)^MAX(0,(12*(YEAR(CK$3)-YEAR($B$77))+MONTH(CK$3)-MONTH($B$77))))</x:f>
      </x:c>
      <x:c r="CL84" s="107" t="n">
        <x:f>IF(CL83=0,0,'Вводные'!$B$59*'Вводные'!$S$91*'Вводные'!$H$5*'Вводные'!$AG$91*(1+'Вводные'!$B$64)^MAX(0,MIN((12*(YEAR(CL$3)-YEAR($B$76))+MONTH(CL$3)-MONTH($B$76)),(12*(YEAR($B$77)-YEAR($B$76))+MONTH($B$77)-MONTH($B$76))))*(1+'Вводные'!$B$65)^MAX(0,(12*(YEAR(CL$3)-YEAR($B$77))+MONTH(CL$3)-MONTH($B$77))))</x:f>
      </x:c>
      <x:c r="CM84" s="107" t="n">
        <x:f>IF(CM83=0,0,'Вводные'!$B$59*'Вводные'!$S$91*'Вводные'!$H$5*'Вводные'!$AG$91*(1+'Вводные'!$B$64)^MAX(0,MIN((12*(YEAR(CM$3)-YEAR($B$76))+MONTH(CM$3)-MONTH($B$76)),(12*(YEAR($B$77)-YEAR($B$76))+MONTH($B$77)-MONTH($B$76))))*(1+'Вводные'!$B$65)^MAX(0,(12*(YEAR(CM$3)-YEAR($B$77))+MONTH(CM$3)-MONTH($B$77))))</x:f>
      </x:c>
      <x:c r="CN84" s="107" t="n">
        <x:f>IF(CN83=0,0,'Вводные'!$B$59*'Вводные'!$S$91*'Вводные'!$H$5*'Вводные'!$AG$91*(1+'Вводные'!$B$64)^MAX(0,MIN((12*(YEAR(CN$3)-YEAR($B$76))+MONTH(CN$3)-MONTH($B$76)),(12*(YEAR($B$77)-YEAR($B$76))+MONTH($B$77)-MONTH($B$76))))*(1+'Вводные'!$B$65)^MAX(0,(12*(YEAR(CN$3)-YEAR($B$77))+MONTH(CN$3)-MONTH($B$77))))</x:f>
      </x:c>
      <x:c r="CO84" s="107" t="n">
        <x:f>IF(CO83=0,0,'Вводные'!$B$59*'Вводные'!$S$91*'Вводные'!$H$5*'Вводные'!$AG$91*(1+'Вводные'!$B$64)^MAX(0,MIN((12*(YEAR(CO$3)-YEAR($B$76))+MONTH(CO$3)-MONTH($B$76)),(12*(YEAR($B$77)-YEAR($B$76))+MONTH($B$77)-MONTH($B$76))))*(1+'Вводные'!$B$65)^MAX(0,(12*(YEAR(CO$3)-YEAR($B$77))+MONTH(CO$3)-MONTH($B$77))))</x:f>
      </x:c>
      <x:c r="CP84" s="107" t="n">
        <x:f>IF(CP83=0,0,'Вводные'!$B$59*'Вводные'!$S$91*'Вводные'!$H$5*'Вводные'!$AG$91*(1+'Вводные'!$B$64)^MAX(0,MIN((12*(YEAR(CP$3)-YEAR($B$76))+MONTH(CP$3)-MONTH($B$76)),(12*(YEAR($B$77)-YEAR($B$76))+MONTH($B$77)-MONTH($B$76))))*(1+'Вводные'!$B$65)^MAX(0,(12*(YEAR(CP$3)-YEAR($B$77))+MONTH(CP$3)-MONTH($B$77))))</x:f>
      </x:c>
      <x:c r="CQ84" s="107" t="n">
        <x:f>IF(CQ83=0,0,'Вводные'!$B$59*'Вводные'!$S$91*'Вводные'!$H$5*'Вводные'!$AG$91*(1+'Вводные'!$B$64)^MAX(0,MIN((12*(YEAR(CQ$3)-YEAR($B$76))+MONTH(CQ$3)-MONTH($B$76)),(12*(YEAR($B$77)-YEAR($B$76))+MONTH($B$77)-MONTH($B$76))))*(1+'Вводные'!$B$65)^MAX(0,(12*(YEAR(CQ$3)-YEAR($B$77))+MONTH(CQ$3)-MONTH($B$77))))</x:f>
      </x:c>
      <x:c r="CR84" s="107" t="n">
        <x:f>IF(CR83=0,0,'Вводные'!$B$59*'Вводные'!$S$91*'Вводные'!$H$5*'Вводные'!$AG$91*(1+'Вводные'!$B$64)^MAX(0,MIN((12*(YEAR(CR$3)-YEAR($B$76))+MONTH(CR$3)-MONTH($B$76)),(12*(YEAR($B$77)-YEAR($B$76))+MONTH($B$77)-MONTH($B$76))))*(1+'Вводные'!$B$65)^MAX(0,(12*(YEAR(CR$3)-YEAR($B$77))+MONTH(CR$3)-MONTH($B$77))))</x:f>
      </x:c>
      <x:c r="CS84" s="107" t="n">
        <x:f>IF(CS83=0,0,'Вводные'!$B$59*'Вводные'!$S$91*'Вводные'!$H$5*'Вводные'!$AG$91*(1+'Вводные'!$B$64)^MAX(0,MIN((12*(YEAR(CS$3)-YEAR($B$76))+MONTH(CS$3)-MONTH($B$76)),(12*(YEAR($B$77)-YEAR($B$76))+MONTH($B$77)-MONTH($B$76))))*(1+'Вводные'!$B$65)^MAX(0,(12*(YEAR(CS$3)-YEAR($B$77))+MONTH(CS$3)-MONTH($B$77))))</x:f>
      </x:c>
      <x:c r="CT84" s="107" t="n">
        <x:f>IF(CT83=0,0,'Вводные'!$B$59*'Вводные'!$S$91*'Вводные'!$H$5*'Вводные'!$AG$91*(1+'Вводные'!$B$64)^MAX(0,MIN((12*(YEAR(CT$3)-YEAR($B$76))+MONTH(CT$3)-MONTH($B$76)),(12*(YEAR($B$77)-YEAR($B$76))+MONTH($B$77)-MONTH($B$76))))*(1+'Вводные'!$B$65)^MAX(0,(12*(YEAR(CT$3)-YEAR($B$77))+MONTH(CT$3)-MONTH($B$77))))</x:f>
      </x:c>
      <x:c r="CU84" s="107" t="n">
        <x:f>IF(CU83=0,0,'Вводные'!$B$59*'Вводные'!$S$91*'Вводные'!$H$5*'Вводные'!$AG$91*(1+'Вводные'!$B$64)^MAX(0,MIN((12*(YEAR(CU$3)-YEAR($B$76))+MONTH(CU$3)-MONTH($B$76)),(12*(YEAR($B$77)-YEAR($B$76))+MONTH($B$77)-MONTH($B$76))))*(1+'Вводные'!$B$65)^MAX(0,(12*(YEAR(CU$3)-YEAR($B$77))+MONTH(CU$3)-MONTH($B$77))))</x:f>
      </x:c>
      <x:c r="CV84" s="107" t="n">
        <x:f>IF(CV83=0,0,'Вводные'!$B$59*'Вводные'!$S$91*'Вводные'!$H$5*'Вводные'!$AG$91*(1+'Вводные'!$B$64)^MAX(0,MIN((12*(YEAR(CV$3)-YEAR($B$76))+MONTH(CV$3)-MONTH($B$76)),(12*(YEAR($B$77)-YEAR($B$76))+MONTH($B$77)-MONTH($B$76))))*(1+'Вводные'!$B$65)^MAX(0,(12*(YEAR(CV$3)-YEAR($B$77))+MONTH(CV$3)-MONTH($B$77))))</x:f>
      </x:c>
      <x:c r="CW84" s="107" t="n">
        <x:f>IF(CW83=0,0,'Вводные'!$B$59*'Вводные'!$S$91*'Вводные'!$H$5*'Вводные'!$AG$91*(1+'Вводные'!$B$64)^MAX(0,MIN((12*(YEAR(CW$3)-YEAR($B$76))+MONTH(CW$3)-MONTH($B$76)),(12*(YEAR($B$77)-YEAR($B$76))+MONTH($B$77)-MONTH($B$76))))*(1+'Вводные'!$B$65)^MAX(0,(12*(YEAR(CW$3)-YEAR($B$77))+MONTH(CW$3)-MONTH($B$77))))</x:f>
      </x:c>
      <x:c r="CX84" s="107" t="n">
        <x:f>IF(CX83=0,0,'Вводные'!$B$59*'Вводные'!$S$91*'Вводные'!$H$5*'Вводные'!$AG$91*(1+'Вводные'!$B$64)^MAX(0,MIN((12*(YEAR(CX$3)-YEAR($B$76))+MONTH(CX$3)-MONTH($B$76)),(12*(YEAR($B$77)-YEAR($B$76))+MONTH($B$77)-MONTH($B$76))))*(1+'Вводные'!$B$65)^MAX(0,(12*(YEAR(CX$3)-YEAR($B$77))+MONTH(CX$3)-MONTH($B$77))))</x:f>
      </x:c>
      <x:c r="CY84" s="107" t="n">
        <x:f>IF(CY83=0,0,'Вводные'!$B$59*'Вводные'!$S$91*'Вводные'!$H$5*'Вводные'!$AG$91*(1+'Вводные'!$B$64)^MAX(0,MIN((12*(YEAR(CY$3)-YEAR($B$76))+MONTH(CY$3)-MONTH($B$76)),(12*(YEAR($B$77)-YEAR($B$76))+MONTH($B$77)-MONTH($B$76))))*(1+'Вводные'!$B$65)^MAX(0,(12*(YEAR(CY$3)-YEAR($B$77))+MONTH(CY$3)-MONTH($B$77))))</x:f>
      </x:c>
      <x:c r="CZ84" s="107" t="n">
        <x:f>IF(CZ83=0,0,'Вводные'!$B$59*'Вводные'!$S$91*'Вводные'!$H$5*'Вводные'!$AG$91*(1+'Вводные'!$B$64)^MAX(0,MIN((12*(YEAR(CZ$3)-YEAR($B$76))+MONTH(CZ$3)-MONTH($B$76)),(12*(YEAR($B$77)-YEAR($B$76))+MONTH($B$77)-MONTH($B$76))))*(1+'Вводные'!$B$65)^MAX(0,(12*(YEAR(CZ$3)-YEAR($B$77))+MONTH(CZ$3)-MONTH($B$77))))</x:f>
      </x:c>
      <x:c r="DA84" s="107" t="n">
        <x:f>IF(DA83=0,0,'Вводные'!$B$59*'Вводные'!$S$91*'Вводные'!$H$5*'Вводные'!$AG$91*(1+'Вводные'!$B$64)^MAX(0,MIN((12*(YEAR(DA$3)-YEAR($B$76))+MONTH(DA$3)-MONTH($B$76)),(12*(YEAR($B$77)-YEAR($B$76))+MONTH($B$77)-MONTH($B$76))))*(1+'Вводные'!$B$65)^MAX(0,(12*(YEAR(DA$3)-YEAR($B$77))+MONTH(DA$3)-MONTH($B$77))))</x:f>
      </x:c>
      <x:c r="DB84" s="107" t="n">
        <x:f>IF(DB83=0,0,'Вводные'!$B$59*'Вводные'!$S$91*'Вводные'!$H$5*'Вводные'!$AG$91*(1+'Вводные'!$B$64)^MAX(0,MIN((12*(YEAR(DB$3)-YEAR($B$76))+MONTH(DB$3)-MONTH($B$76)),(12*(YEAR($B$77)-YEAR($B$76))+MONTH($B$77)-MONTH($B$76))))*(1+'Вводные'!$B$65)^MAX(0,(12*(YEAR(DB$3)-YEAR($B$77))+MONTH(DB$3)-MONTH($B$77))))</x:f>
      </x:c>
      <x:c r="DC84" s="107" t="n">
        <x:f>IF(DC83=0,0,'Вводные'!$B$59*'Вводные'!$S$91*'Вводные'!$H$5*'Вводные'!$AG$91*(1+'Вводные'!$B$64)^MAX(0,MIN((12*(YEAR(DC$3)-YEAR($B$76))+MONTH(DC$3)-MONTH($B$76)),(12*(YEAR($B$77)-YEAR($B$76))+MONTH($B$77)-MONTH($B$76))))*(1+'Вводные'!$B$65)^MAX(0,(12*(YEAR(DC$3)-YEAR($B$77))+MONTH(DC$3)-MONTH($B$77))))</x:f>
      </x:c>
      <x:c r="DD84" s="107" t="n">
        <x:f>IF(DD83=0,0,'Вводные'!$B$59*'Вводные'!$S$91*'Вводные'!$H$5*'Вводные'!$AG$91*(1+'Вводные'!$B$64)^MAX(0,MIN((12*(YEAR(DD$3)-YEAR($B$76))+MONTH(DD$3)-MONTH($B$76)),(12*(YEAR($B$77)-YEAR($B$76))+MONTH($B$77)-MONTH($B$76))))*(1+'Вводные'!$B$65)^MAX(0,(12*(YEAR(DD$3)-YEAR($B$77))+MONTH(DD$3)-MONTH($B$77))))</x:f>
      </x:c>
      <x:c r="DE84" s="107" t="n">
        <x:f>IF(DE83=0,0,'Вводные'!$B$59*'Вводные'!$S$91*'Вводные'!$H$5*'Вводные'!$AG$91*(1+'Вводные'!$B$64)^MAX(0,MIN((12*(YEAR(DE$3)-YEAR($B$76))+MONTH(DE$3)-MONTH($B$76)),(12*(YEAR($B$77)-YEAR($B$76))+MONTH($B$77)-MONTH($B$76))))*(1+'Вводные'!$B$65)^MAX(0,(12*(YEAR(DE$3)-YEAR($B$77))+MONTH(DE$3)-MONTH($B$77))))</x:f>
      </x:c>
      <x:c r="DF84" s="107" t="n">
        <x:f>IF(DF83=0,0,'Вводные'!$B$59*'Вводные'!$S$91*'Вводные'!$H$5*'Вводные'!$AG$91*(1+'Вводные'!$B$64)^MAX(0,MIN((12*(YEAR(DF$3)-YEAR($B$76))+MONTH(DF$3)-MONTH($B$76)),(12*(YEAR($B$77)-YEAR($B$76))+MONTH($B$77)-MONTH($B$76))))*(1+'Вводные'!$B$65)^MAX(0,(12*(YEAR(DF$3)-YEAR($B$77))+MONTH(DF$3)-MONTH($B$77))))</x:f>
      </x:c>
      <x:c r="DG84" s="107" t="n">
        <x:f>IF(DG83=0,0,'Вводные'!$B$59*'Вводные'!$S$91*'Вводные'!$H$5*'Вводные'!$AG$91*(1+'Вводные'!$B$64)^MAX(0,MIN((12*(YEAR(DG$3)-YEAR($B$76))+MONTH(DG$3)-MONTH($B$76)),(12*(YEAR($B$77)-YEAR($B$76))+MONTH($B$77)-MONTH($B$76))))*(1+'Вводные'!$B$65)^MAX(0,(12*(YEAR(DG$3)-YEAR($B$77))+MONTH(DG$3)-MONTH($B$77))))</x:f>
      </x:c>
      <x:c r="DH84" s="107" t="n">
        <x:f>IF(DH83=0,0,'Вводные'!$B$59*'Вводные'!$S$91*'Вводные'!$H$5*'Вводные'!$AG$91*(1+'Вводные'!$B$64)^MAX(0,MIN((12*(YEAR(DH$3)-YEAR($B$76))+MONTH(DH$3)-MONTH($B$76)),(12*(YEAR($B$77)-YEAR($B$76))+MONTH($B$77)-MONTH($B$76))))*(1+'Вводные'!$B$65)^MAX(0,(12*(YEAR(DH$3)-YEAR($B$77))+MONTH(DH$3)-MONTH($B$77))))</x:f>
      </x:c>
      <x:c r="DI84" s="107" t="n">
        <x:f>IF(DI83=0,0,'Вводные'!$B$59*'Вводные'!$S$91*'Вводные'!$H$5*'Вводные'!$AG$91*(1+'Вводные'!$B$64)^MAX(0,MIN((12*(YEAR(DI$3)-YEAR($B$76))+MONTH(DI$3)-MONTH($B$76)),(12*(YEAR($B$77)-YEAR($B$76))+MONTH($B$77)-MONTH($B$76))))*(1+'Вводные'!$B$65)^MAX(0,(12*(YEAR(DI$3)-YEAR($B$77))+MONTH(DI$3)-MONTH($B$77))))</x:f>
      </x:c>
      <x:c r="DJ84" s="107" t="n">
        <x:f>IF(DJ83=0,0,'Вводные'!$B$59*'Вводные'!$S$91*'Вводные'!$H$5*'Вводные'!$AG$91*(1+'Вводные'!$B$64)^MAX(0,MIN((12*(YEAR(DJ$3)-YEAR($B$76))+MONTH(DJ$3)-MONTH($B$76)),(12*(YEAR($B$77)-YEAR($B$76))+MONTH($B$77)-MONTH($B$76))))*(1+'Вводные'!$B$65)^MAX(0,(12*(YEAR(DJ$3)-YEAR($B$77))+MONTH(DJ$3)-MONTH($B$77))))</x:f>
      </x:c>
      <x:c r="DK84" s="107" t="n">
        <x:f>IF(DK83=0,0,'Вводные'!$B$59*'Вводные'!$S$91*'Вводные'!$H$5*'Вводные'!$AG$91*(1+'Вводные'!$B$64)^MAX(0,MIN((12*(YEAR(DK$3)-YEAR($B$76))+MONTH(DK$3)-MONTH($B$76)),(12*(YEAR($B$77)-YEAR($B$76))+MONTH($B$77)-MONTH($B$76))))*(1+'Вводные'!$B$65)^MAX(0,(12*(YEAR(DK$3)-YEAR($B$77))+MONTH(DK$3)-MONTH($B$77))))</x:f>
      </x:c>
      <x:c r="DL84" s="107" t="n">
        <x:f>IF(DL83=0,0,'Вводные'!$B$59*'Вводные'!$S$91*'Вводные'!$H$5*'Вводные'!$AG$91*(1+'Вводные'!$B$64)^MAX(0,MIN((12*(YEAR(DL$3)-YEAR($B$76))+MONTH(DL$3)-MONTH($B$76)),(12*(YEAR($B$77)-YEAR($B$76))+MONTH($B$77)-MONTH($B$76))))*(1+'Вводные'!$B$65)^MAX(0,(12*(YEAR(DL$3)-YEAR($B$77))+MONTH(DL$3)-MONTH($B$77))))</x:f>
      </x:c>
      <x:c r="DM84" s="107" t="n">
        <x:f>IF(DM83=0,0,'Вводные'!$B$59*'Вводные'!$S$91*'Вводные'!$H$5*'Вводные'!$AG$91*(1+'Вводные'!$B$64)^MAX(0,MIN((12*(YEAR(DM$3)-YEAR($B$76))+MONTH(DM$3)-MONTH($B$76)),(12*(YEAR($B$77)-YEAR($B$76))+MONTH($B$77)-MONTH($B$76))))*(1+'Вводные'!$B$65)^MAX(0,(12*(YEAR(DM$3)-YEAR($B$77))+MONTH(DM$3)-MONTH($B$77))))</x:f>
      </x:c>
      <x:c r="DN84" s="107" t="n">
        <x:f>IF(DN83=0,0,'Вводные'!$B$59*'Вводные'!$S$91*'Вводные'!$H$5*'Вводные'!$AG$91*(1+'Вводные'!$B$64)^MAX(0,MIN((12*(YEAR(DN$3)-YEAR($B$76))+MONTH(DN$3)-MONTH($B$76)),(12*(YEAR($B$77)-YEAR($B$76))+MONTH($B$77)-MONTH($B$76))))*(1+'Вводные'!$B$65)^MAX(0,(12*(YEAR(DN$3)-YEAR($B$77))+MONTH(DN$3)-MONTH($B$77))))</x:f>
      </x:c>
      <x:c r="DO84" s="107" t="n">
        <x:f>IF(DO83=0,0,'Вводные'!$B$59*'Вводные'!$S$91*'Вводные'!$H$5*'Вводные'!$AG$91*(1+'Вводные'!$B$64)^MAX(0,MIN((12*(YEAR(DO$3)-YEAR($B$76))+MONTH(DO$3)-MONTH($B$76)),(12*(YEAR($B$77)-YEAR($B$76))+MONTH($B$77)-MONTH($B$76))))*(1+'Вводные'!$B$65)^MAX(0,(12*(YEAR(DO$3)-YEAR($B$77))+MONTH(DO$3)-MONTH($B$77))))</x:f>
      </x:c>
      <x:c r="DP84" s="107" t="n">
        <x:f>IF(DP83=0,0,'Вводные'!$B$59*'Вводные'!$S$91*'Вводные'!$H$5*'Вводные'!$AG$91*(1+'Вводные'!$B$64)^MAX(0,MIN((12*(YEAR(DP$3)-YEAR($B$76))+MONTH(DP$3)-MONTH($B$76)),(12*(YEAR($B$77)-YEAR($B$76))+MONTH($B$77)-MONTH($B$76))))*(1+'Вводные'!$B$65)^MAX(0,(12*(YEAR(DP$3)-YEAR($B$77))+MONTH(DP$3)-MONTH($B$77))))</x:f>
      </x:c>
      <x:c r="DQ84" s="107" t="n">
        <x:f>IF(DQ83=0,0,'Вводные'!$B$59*'Вводные'!$S$91*'Вводные'!$H$5*'Вводные'!$AG$91*(1+'Вводные'!$B$64)^MAX(0,MIN((12*(YEAR(DQ$3)-YEAR($B$76))+MONTH(DQ$3)-MONTH($B$76)),(12*(YEAR($B$77)-YEAR($B$76))+MONTH($B$77)-MONTH($B$76))))*(1+'Вводные'!$B$65)^MAX(0,(12*(YEAR(DQ$3)-YEAR($B$77))+MONTH(DQ$3)-MONTH($B$77))))</x:f>
      </x:c>
      <x:c r="DR84" s="107" t="n">
        <x:f>IF(DR83=0,0,'Вводные'!$B$59*'Вводные'!$S$91*'Вводные'!$H$5*'Вводные'!$AG$91*(1+'Вводные'!$B$64)^MAX(0,MIN((12*(YEAR(DR$3)-YEAR($B$76))+MONTH(DR$3)-MONTH($B$76)),(12*(YEAR($B$77)-YEAR($B$76))+MONTH($B$77)-MONTH($B$76))))*(1+'Вводные'!$B$65)^MAX(0,(12*(YEAR(DR$3)-YEAR($B$77))+MONTH(DR$3)-MONTH($B$77))))</x:f>
      </x:c>
      <x:c r="DS84" s="107" t="n">
        <x:f>IF(DS83=0,0,'Вводные'!$B$59*'Вводные'!$S$91*'Вводные'!$H$5*'Вводные'!$AG$91*(1+'Вводные'!$B$64)^MAX(0,MIN((12*(YEAR(DS$3)-YEAR($B$76))+MONTH(DS$3)-MONTH($B$76)),(12*(YEAR($B$77)-YEAR($B$76))+MONTH($B$77)-MONTH($B$76))))*(1+'Вводные'!$B$65)^MAX(0,(12*(YEAR(DS$3)-YEAR($B$77))+MONTH(DS$3)-MONTH($B$77))))</x:f>
      </x:c>
      <x:c r="DT84" s="107" t="n">
        <x:f>IF(DT83=0,0,'Вводные'!$B$59*'Вводные'!$S$91*'Вводные'!$H$5*'Вводные'!$AG$91*(1+'Вводные'!$B$64)^MAX(0,MIN((12*(YEAR(DT$3)-YEAR($B$76))+MONTH(DT$3)-MONTH($B$76)),(12*(YEAR($B$77)-YEAR($B$76))+MONTH($B$77)-MONTH($B$76))))*(1+'Вводные'!$B$65)^MAX(0,(12*(YEAR(DT$3)-YEAR($B$77))+MONTH(DT$3)-MONTH($B$77))))</x:f>
      </x:c>
      <x:c r="DU84" s="107" t="n">
        <x:f>IF(DU83=0,0,'Вводные'!$B$59*'Вводные'!$S$91*'Вводные'!$H$5*'Вводные'!$AG$91*(1+'Вводные'!$B$64)^MAX(0,MIN((12*(YEAR(DU$3)-YEAR($B$76))+MONTH(DU$3)-MONTH($B$76)),(12*(YEAR($B$77)-YEAR($B$76))+MONTH($B$77)-MONTH($B$76))))*(1+'Вводные'!$B$65)^MAX(0,(12*(YEAR(DU$3)-YEAR($B$77))+MONTH(DU$3)-MONTH($B$77))))</x:f>
      </x:c>
      <x:c r="DV84" s="107" t="n">
        <x:f>IF(DV83=0,0,'Вводные'!$B$59*'Вводные'!$S$91*'Вводные'!$H$5*'Вводные'!$AG$91*(1+'Вводные'!$B$64)^MAX(0,MIN((12*(YEAR(DV$3)-YEAR($B$76))+MONTH(DV$3)-MONTH($B$76)),(12*(YEAR($B$77)-YEAR($B$76))+MONTH($B$77)-MONTH($B$76))))*(1+'Вводные'!$B$65)^MAX(0,(12*(YEAR(DV$3)-YEAR($B$77))+MONTH(DV$3)-MONTH($B$77))))</x:f>
      </x:c>
      <x:c r="DW84" s="107" t="n">
        <x:f>IF(DW83=0,0,'Вводные'!$B$59*'Вводные'!$S$91*'Вводные'!$H$5*'Вводные'!$AG$91*(1+'Вводные'!$B$64)^MAX(0,MIN((12*(YEAR(DW$3)-YEAR($B$76))+MONTH(DW$3)-MONTH($B$76)),(12*(YEAR($B$77)-YEAR($B$76))+MONTH($B$77)-MONTH($B$76))))*(1+'Вводные'!$B$65)^MAX(0,(12*(YEAR(DW$3)-YEAR($B$77))+MONTH(DW$3)-MONTH($B$77))))</x:f>
      </x:c>
      <x:c r="DX84" s="107" t="n">
        <x:f>IF(DX83=0,0,'Вводные'!$B$59*'Вводные'!$S$91*'Вводные'!$H$5*'Вводные'!$AG$91*(1+'Вводные'!$B$64)^MAX(0,MIN((12*(YEAR(DX$3)-YEAR($B$76))+MONTH(DX$3)-MONTH($B$76)),(12*(YEAR($B$77)-YEAR($B$76))+MONTH($B$77)-MONTH($B$76))))*(1+'Вводные'!$B$65)^MAX(0,(12*(YEAR(DX$3)-YEAR($B$77))+MONTH(DX$3)-MONTH($B$77))))</x:f>
      </x:c>
      <x:c r="DY84" s="107" t="n">
        <x:f>IF(DY83=0,0,'Вводные'!$B$59*'Вводные'!$S$91*'Вводные'!$H$5*'Вводные'!$AG$91*(1+'Вводные'!$B$64)^MAX(0,MIN((12*(YEAR(DY$3)-YEAR($B$76))+MONTH(DY$3)-MONTH($B$76)),(12*(YEAR($B$77)-YEAR($B$76))+MONTH($B$77)-MONTH($B$76))))*(1+'Вводные'!$B$65)^MAX(0,(12*(YEAR(DY$3)-YEAR($B$77))+MONTH(DY$3)-MONTH($B$77))))</x:f>
      </x:c>
      <x:c r="DZ84" s="107" t="n">
        <x:f>IF(DZ83=0,0,'Вводные'!$B$59*'Вводные'!$S$91*'Вводные'!$H$5*'Вводные'!$AG$91*(1+'Вводные'!$B$64)^MAX(0,MIN((12*(YEAR(DZ$3)-YEAR($B$76))+MONTH(DZ$3)-MONTH($B$76)),(12*(YEAR($B$77)-YEAR($B$76))+MONTH($B$77)-MONTH($B$76))))*(1+'Вводные'!$B$65)^MAX(0,(12*(YEAR(DZ$3)-YEAR($B$77))+MONTH(DZ$3)-MONTH($B$77))))</x:f>
      </x:c>
      <x:c r="EA84" s="107" t="n">
        <x:f>IF(EA83=0,0,'Вводные'!$B$59*'Вводные'!$S$91*'Вводные'!$H$5*'Вводные'!$AG$91*(1+'Вводные'!$B$64)^MAX(0,MIN((12*(YEAR(EA$3)-YEAR($B$76))+MONTH(EA$3)-MONTH($B$76)),(12*(YEAR($B$77)-YEAR($B$76))+MONTH($B$77)-MONTH($B$76))))*(1+'Вводные'!$B$65)^MAX(0,(12*(YEAR(EA$3)-YEAR($B$77))+MONTH(EA$3)-MONTH($B$77))))</x:f>
      </x:c>
      <x:c r="EB84" s="107" t="n">
        <x:f>IF(EB83=0,0,'Вводные'!$B$59*'Вводные'!$S$91*'Вводные'!$H$5*'Вводные'!$AG$91*(1+'Вводные'!$B$64)^MAX(0,MIN((12*(YEAR(EB$3)-YEAR($B$76))+MONTH(EB$3)-MONTH($B$76)),(12*(YEAR($B$77)-YEAR($B$76))+MONTH($B$77)-MONTH($B$76))))*(1+'Вводные'!$B$65)^MAX(0,(12*(YEAR(EB$3)-YEAR($B$77))+MONTH(EB$3)-MONTH($B$77))))</x:f>
      </x:c>
      <x:c r="EC84" s="107" t="n">
        <x:f>IF(EC83=0,0,'Вводные'!$B$59*'Вводные'!$S$91*'Вводные'!$H$5*'Вводные'!$AG$91*(1+'Вводные'!$B$64)^MAX(0,MIN((12*(YEAR(EC$3)-YEAR($B$76))+MONTH(EC$3)-MONTH($B$76)),(12*(YEAR($B$77)-YEAR($B$76))+MONTH($B$77)-MONTH($B$76))))*(1+'Вводные'!$B$65)^MAX(0,(12*(YEAR(EC$3)-YEAR($B$77))+MONTH(EC$3)-MONTH($B$77))))</x:f>
      </x:c>
      <x:c r="ED84" s="107" t="n">
        <x:f>IF(ED83=0,0,'Вводные'!$B$59*'Вводные'!$S$91*'Вводные'!$H$5*'Вводные'!$AG$91*(1+'Вводные'!$B$64)^MAX(0,MIN((12*(YEAR(ED$3)-YEAR($B$76))+MONTH(ED$3)-MONTH($B$76)),(12*(YEAR($B$77)-YEAR($B$76))+MONTH($B$77)-MONTH($B$76))))*(1+'Вводные'!$B$65)^MAX(0,(12*(YEAR(ED$3)-YEAR($B$77))+MONTH(ED$3)-MONTH($B$77))))</x:f>
      </x:c>
      <x:c r="EE84" s="107" t="n">
        <x:f>IF(EE83=0,0,'Вводные'!$B$59*'Вводные'!$S$91*'Вводные'!$H$5*'Вводные'!$AG$91*(1+'Вводные'!$B$64)^MAX(0,MIN((12*(YEAR(EE$3)-YEAR($B$76))+MONTH(EE$3)-MONTH($B$76)),(12*(YEAR($B$77)-YEAR($B$76))+MONTH($B$77)-MONTH($B$76))))*(1+'Вводные'!$B$65)^MAX(0,(12*(YEAR(EE$3)-YEAR($B$77))+MONTH(EE$3)-MONTH($B$77))))</x:f>
      </x:c>
      <x:c r="EF84" s="107" t="n">
        <x:f>IF(EF83=0,0,'Вводные'!$B$59*'Вводные'!$S$91*'Вводные'!$H$5*'Вводные'!$AG$91*(1+'Вводные'!$B$64)^MAX(0,MIN((12*(YEAR(EF$3)-YEAR($B$76))+MONTH(EF$3)-MONTH($B$76)),(12*(YEAR($B$77)-YEAR($B$76))+MONTH($B$77)-MONTH($B$76))))*(1+'Вводные'!$B$65)^MAX(0,(12*(YEAR(EF$3)-YEAR($B$77))+MONTH(EF$3)-MONTH($B$77))))</x:f>
      </x:c>
      <x:c r="EG84" s="107" t="n">
        <x:f>IF(EG83=0,0,'Вводные'!$B$59*'Вводные'!$S$91*'Вводные'!$H$5*'Вводные'!$AG$91*(1+'Вводные'!$B$64)^MAX(0,MIN((12*(YEAR(EG$3)-YEAR($B$76))+MONTH(EG$3)-MONTH($B$76)),(12*(YEAR($B$77)-YEAR($B$76))+MONTH($B$77)-MONTH($B$76))))*(1+'Вводные'!$B$65)^MAX(0,(12*(YEAR(EG$3)-YEAR($B$77))+MONTH(EG$3)-MONTH($B$77))))</x:f>
      </x:c>
      <x:c r="EH84" s="107" t="n">
        <x:f>IF(EH83=0,0,'Вводные'!$B$59*'Вводные'!$S$91*'Вводные'!$H$5*'Вводные'!$AG$91*(1+'Вводные'!$B$64)^MAX(0,MIN((12*(YEAR(EH$3)-YEAR($B$76))+MONTH(EH$3)-MONTH($B$76)),(12*(YEAR($B$77)-YEAR($B$76))+MONTH($B$77)-MONTH($B$76))))*(1+'Вводные'!$B$65)^MAX(0,(12*(YEAR(EH$3)-YEAR($B$77))+MONTH(EH$3)-MONTH($B$77))))</x:f>
      </x:c>
      <x:c r="EI84" s="107" t="n">
        <x:f>IF(EI83=0,0,'Вводные'!$B$59*'Вводные'!$S$91*'Вводные'!$H$5*'Вводные'!$AG$91*(1+'Вводные'!$B$64)^MAX(0,MIN((12*(YEAR(EI$3)-YEAR($B$76))+MONTH(EI$3)-MONTH($B$76)),(12*(YEAR($B$77)-YEAR($B$76))+MONTH($B$77)-MONTH($B$76))))*(1+'Вводные'!$B$65)^MAX(0,(12*(YEAR(EI$3)-YEAR($B$77))+MONTH(EI$3)-MONTH($B$77))))</x:f>
      </x:c>
      <x:c r="EJ84" s="107" t="n">
        <x:f>IF(EJ83=0,0,'Вводные'!$B$59*'Вводные'!$S$91*'Вводные'!$H$5*'Вводные'!$AG$91*(1+'Вводные'!$B$64)^MAX(0,MIN((12*(YEAR(EJ$3)-YEAR($B$76))+MONTH(EJ$3)-MONTH($B$76)),(12*(YEAR($B$77)-YEAR($B$76))+MONTH($B$77)-MONTH($B$76))))*(1+'Вводные'!$B$65)^MAX(0,(12*(YEAR(EJ$3)-YEAR($B$77))+MONTH(EJ$3)-MONTH($B$77))))</x:f>
      </x:c>
      <x:c r="EK84" s="107" t="n">
        <x:f>IF(EK83=0,0,'Вводные'!$B$59*'Вводные'!$S$91*'Вводные'!$H$5*'Вводные'!$AG$91*(1+'Вводные'!$B$64)^MAX(0,MIN((12*(YEAR(EK$3)-YEAR($B$76))+MONTH(EK$3)-MONTH($B$76)),(12*(YEAR($B$77)-YEAR($B$76))+MONTH($B$77)-MONTH($B$76))))*(1+'Вводные'!$B$65)^MAX(0,(12*(YEAR(EK$3)-YEAR($B$77))+MONTH(EK$3)-MONTH($B$77))))</x:f>
      </x:c>
      <x:c r="EL84" s="107" t="n">
        <x:f>IF(EL83=0,0,'Вводные'!$B$59*'Вводные'!$S$91*'Вводные'!$H$5*'Вводные'!$AG$91*(1+'Вводные'!$B$64)^MAX(0,MIN((12*(YEAR(EL$3)-YEAR($B$76))+MONTH(EL$3)-MONTH($B$76)),(12*(YEAR($B$77)-YEAR($B$76))+MONTH($B$77)-MONTH($B$76))))*(1+'Вводные'!$B$65)^MAX(0,(12*(YEAR(EL$3)-YEAR($B$77))+MONTH(EL$3)-MONTH($B$77))))</x:f>
      </x:c>
      <x:c r="EM84" s="107" t="n">
        <x:f>IF(EM83=0,0,'Вводные'!$B$59*'Вводные'!$S$91*'Вводные'!$H$5*'Вводные'!$AG$91*(1+'Вводные'!$B$64)^MAX(0,MIN((12*(YEAR(EM$3)-YEAR($B$76))+MONTH(EM$3)-MONTH($B$76)),(12*(YEAR($B$77)-YEAR($B$76))+MONTH($B$77)-MONTH($B$76))))*(1+'Вводные'!$B$65)^MAX(0,(12*(YEAR(EM$3)-YEAR($B$77))+MONTH(EM$3)-MONTH($B$77))))</x:f>
      </x:c>
      <x:c r="EN84" s="107" t="n">
        <x:f>IF(EN83=0,0,'Вводные'!$B$59*'Вводные'!$S$91*'Вводные'!$H$5*'Вводные'!$AG$91*(1+'Вводные'!$B$64)^MAX(0,MIN((12*(YEAR(EN$3)-YEAR($B$76))+MONTH(EN$3)-MONTH($B$76)),(12*(YEAR($B$77)-YEAR($B$76))+MONTH($B$77)-MONTH($B$76))))*(1+'Вводные'!$B$65)^MAX(0,(12*(YEAR(EN$3)-YEAR($B$77))+MONTH(EN$3)-MONTH($B$77))))</x:f>
      </x:c>
      <x:c r="EO84" s="107" t="n">
        <x:f>IF(EO83=0,0,'Вводные'!$B$59*'Вводные'!$S$91*'Вводные'!$H$5*'Вводные'!$AG$91*(1+'Вводные'!$B$64)^MAX(0,MIN((12*(YEAR(EO$3)-YEAR($B$76))+MONTH(EO$3)-MONTH($B$76)),(12*(YEAR($B$77)-YEAR($B$76))+MONTH($B$77)-MONTH($B$76))))*(1+'Вводные'!$B$65)^MAX(0,(12*(YEAR(EO$3)-YEAR($B$77))+MONTH(EO$3)-MONTH($B$77))))</x:f>
      </x:c>
      <x:c r="EP84" s="107" t="n">
        <x:f>IF(EP83=0,0,'Вводные'!$B$59*'Вводные'!$S$91*'Вводные'!$H$5*'Вводные'!$AG$91*(1+'Вводные'!$B$64)^MAX(0,MIN((12*(YEAR(EP$3)-YEAR($B$76))+MONTH(EP$3)-MONTH($B$76)),(12*(YEAR($B$77)-YEAR($B$76))+MONTH($B$77)-MONTH($B$76))))*(1+'Вводные'!$B$65)^MAX(0,(12*(YEAR(EP$3)-YEAR($B$77))+MONTH(EP$3)-MONTH($B$77))))</x:f>
      </x:c>
      <x:c r="EQ84" s="107" t="n">
        <x:f>IF(EQ83=0,0,'Вводные'!$B$59*'Вводные'!$S$91*'Вводные'!$H$5*'Вводные'!$AG$91*(1+'Вводные'!$B$64)^MAX(0,MIN((12*(YEAR(EQ$3)-YEAR($B$76))+MONTH(EQ$3)-MONTH($B$76)),(12*(YEAR($B$77)-YEAR($B$76))+MONTH($B$77)-MONTH($B$76))))*(1+'Вводные'!$B$65)^MAX(0,(12*(YEAR(EQ$3)-YEAR($B$77))+MONTH(EQ$3)-MONTH($B$77))))</x:f>
      </x:c>
      <x:c r="ER84" s="107" t="n">
        <x:f>IF(ER83=0,0,'Вводные'!$B$59*'Вводные'!$S$91*'Вводные'!$H$5*'Вводные'!$AG$91*(1+'Вводные'!$B$64)^MAX(0,MIN((12*(YEAR(ER$3)-YEAR($B$76))+MONTH(ER$3)-MONTH($B$76)),(12*(YEAR($B$77)-YEAR($B$76))+MONTH($B$77)-MONTH($B$76))))*(1+'Вводные'!$B$65)^MAX(0,(12*(YEAR(ER$3)-YEAR($B$77))+MONTH(ER$3)-MONTH($B$77))))</x:f>
      </x:c>
      <x:c r="ES84" s="107" t="n">
        <x:f>IF(ES83=0,0,'Вводные'!$B$59*'Вводные'!$S$91*'Вводные'!$H$5*'Вводные'!$AG$91*(1+'Вводные'!$B$64)^MAX(0,MIN((12*(YEAR(ES$3)-YEAR($B$76))+MONTH(ES$3)-MONTH($B$76)),(12*(YEAR($B$77)-YEAR($B$76))+MONTH($B$77)-MONTH($B$76))))*(1+'Вводные'!$B$65)^MAX(0,(12*(YEAR(ES$3)-YEAR($B$77))+MONTH(ES$3)-MONTH($B$77))))</x:f>
      </x:c>
      <x:c r="ET84" s="107" t="n">
        <x:f>IF(ET83=0,0,'Вводные'!$B$59*'Вводные'!$S$91*'Вводные'!$H$5*'Вводные'!$AG$91*(1+'Вводные'!$B$64)^MAX(0,MIN((12*(YEAR(ET$3)-YEAR($B$76))+MONTH(ET$3)-MONTH($B$76)),(12*(YEAR($B$77)-YEAR($B$76))+MONTH($B$77)-MONTH($B$76))))*(1+'Вводные'!$B$65)^MAX(0,(12*(YEAR(ET$3)-YEAR($B$77))+MONTH(ET$3)-MONTH($B$77))))</x:f>
      </x:c>
      <x:c r="EU84" s="107" t="n">
        <x:f>IF(EU83=0,0,'Вводные'!$B$59*'Вводные'!$S$91*'Вводные'!$H$5*'Вводные'!$AG$91*(1+'Вводные'!$B$64)^MAX(0,MIN((12*(YEAR(EU$3)-YEAR($B$76))+MONTH(EU$3)-MONTH($B$76)),(12*(YEAR($B$77)-YEAR($B$76))+MONTH($B$77)-MONTH($B$76))))*(1+'Вводные'!$B$65)^MAX(0,(12*(YEAR(EU$3)-YEAR($B$77))+MONTH(EU$3)-MONTH($B$77))))</x:f>
      </x:c>
      <x:c r="EV84" s="107" t="n">
        <x:f>IF(EV83=0,0,'Вводные'!$B$59*'Вводные'!$S$91*'Вводные'!$H$5*'Вводные'!$AG$91*(1+'Вводные'!$B$64)^MAX(0,MIN((12*(YEAR(EV$3)-YEAR($B$76))+MONTH(EV$3)-MONTH($B$76)),(12*(YEAR($B$77)-YEAR($B$76))+MONTH($B$77)-MONTH($B$76))))*(1+'Вводные'!$B$65)^MAX(0,(12*(YEAR(EV$3)-YEAR($B$77))+MONTH(EV$3)-MONTH($B$77))))</x:f>
      </x:c>
      <x:c r="EW84" s="107" t="n">
        <x:f>IF(EW83=0,0,'Вводные'!$B$59*'Вводные'!$S$91*'Вводные'!$H$5*'Вводные'!$AG$91*(1+'Вводные'!$B$64)^MAX(0,MIN((12*(YEAR(EW$3)-YEAR($B$76))+MONTH(EW$3)-MONTH($B$76)),(12*(YEAR($B$77)-YEAR($B$76))+MONTH($B$77)-MONTH($B$76))))*(1+'Вводные'!$B$65)^MAX(0,(12*(YEAR(EW$3)-YEAR($B$77))+MONTH(EW$3)-MONTH($B$77))))</x:f>
      </x:c>
      <x:c r="EX84" s="107" t="n">
        <x:f>IF(EX83=0,0,'Вводные'!$B$59*'Вводные'!$S$91*'Вводные'!$H$5*'Вводные'!$AG$91*(1+'Вводные'!$B$64)^MAX(0,MIN((12*(YEAR(EX$3)-YEAR($B$76))+MONTH(EX$3)-MONTH($B$76)),(12*(YEAR($B$77)-YEAR($B$76))+MONTH($B$77)-MONTH($B$76))))*(1+'Вводные'!$B$65)^MAX(0,(12*(YEAR(EX$3)-YEAR($B$77))+MONTH(EX$3)-MONTH($B$77))))</x:f>
      </x:c>
      <x:c r="EY84" s="107" t="n">
        <x:f>IF(EY83=0,0,'Вводные'!$B$59*'Вводные'!$S$91*'Вводные'!$H$5*'Вводные'!$AG$91*(1+'Вводные'!$B$64)^MAX(0,MIN((12*(YEAR(EY$3)-YEAR($B$76))+MONTH(EY$3)-MONTH($B$76)),(12*(YEAR($B$77)-YEAR($B$76))+MONTH($B$77)-MONTH($B$76))))*(1+'Вводные'!$B$65)^MAX(0,(12*(YEAR(EY$3)-YEAR($B$77))+MONTH(EY$3)-MONTH($B$77))))</x:f>
      </x:c>
      <x:c r="EZ84" s="107" t="n">
        <x:f>IF(EZ83=0,0,'Вводные'!$B$59*'Вводные'!$S$91*'Вводные'!$H$5*'Вводные'!$AG$91*(1+'Вводные'!$B$64)^MAX(0,MIN((12*(YEAR(EZ$3)-YEAR($B$76))+MONTH(EZ$3)-MONTH($B$76)),(12*(YEAR($B$77)-YEAR($B$76))+MONTH($B$77)-MONTH($B$76))))*(1+'Вводные'!$B$65)^MAX(0,(12*(YEAR(EZ$3)-YEAR($B$77))+MONTH(EZ$3)-MONTH($B$77))))</x:f>
      </x:c>
      <x:c r="FA84" s="107" t="n">
        <x:f>IF(FA83=0,0,'Вводные'!$B$59*'Вводные'!$S$91*'Вводные'!$H$5*'Вводные'!$AG$91*(1+'Вводные'!$B$64)^MAX(0,MIN((12*(YEAR(FA$3)-YEAR($B$76))+MONTH(FA$3)-MONTH($B$76)),(12*(YEAR($B$77)-YEAR($B$76))+MONTH($B$77)-MONTH($B$76))))*(1+'Вводные'!$B$65)^MAX(0,(12*(YEAR(FA$3)-YEAR($B$77))+MONTH(FA$3)-MONTH($B$77))))</x:f>
      </x:c>
      <x:c r="FB84" s="107" t="n">
        <x:f>IF(FB83=0,0,'Вводные'!$B$59*'Вводные'!$S$91*'Вводные'!$H$5*'Вводные'!$AG$91*(1+'Вводные'!$B$64)^MAX(0,MIN((12*(YEAR(FB$3)-YEAR($B$76))+MONTH(FB$3)-MONTH($B$76)),(12*(YEAR($B$77)-YEAR($B$76))+MONTH($B$77)-MONTH($B$76))))*(1+'Вводные'!$B$65)^MAX(0,(12*(YEAR(FB$3)-YEAR($B$77))+MONTH(FB$3)-MONTH($B$77))))</x:f>
      </x:c>
      <x:c r="FC84" s="107" t="n">
        <x:f>IF(FC83=0,0,'Вводные'!$B$59*'Вводные'!$S$91*'Вводные'!$H$5*'Вводные'!$AG$91*(1+'Вводные'!$B$64)^MAX(0,MIN((12*(YEAR(FC$3)-YEAR($B$76))+MONTH(FC$3)-MONTH($B$76)),(12*(YEAR($B$77)-YEAR($B$76))+MONTH($B$77)-MONTH($B$76))))*(1+'Вводные'!$B$65)^MAX(0,(12*(YEAR(FC$3)-YEAR($B$77))+MONTH(FC$3)-MONTH($B$77))))</x:f>
      </x:c>
      <x:c r="FD84" s="107" t="n">
        <x:f>IF(FD83=0,0,'Вводные'!$B$59*'Вводные'!$S$91*'Вводные'!$H$5*'Вводные'!$AG$91*(1+'Вводные'!$B$64)^MAX(0,MIN((12*(YEAR(FD$3)-YEAR($B$76))+MONTH(FD$3)-MONTH($B$76)),(12*(YEAR($B$77)-YEAR($B$76))+MONTH($B$77)-MONTH($B$76))))*(1+'Вводные'!$B$65)^MAX(0,(12*(YEAR(FD$3)-YEAR($B$77))+MONTH(FD$3)-MONTH($B$77))))</x:f>
      </x:c>
      <x:c r="FE84" s="107" t="n">
        <x:f>IF(FE83=0,0,'Вводные'!$B$59*'Вводные'!$S$91*'Вводные'!$H$5*'Вводные'!$AG$91*(1+'Вводные'!$B$64)^MAX(0,MIN((12*(YEAR(FE$3)-YEAR($B$76))+MONTH(FE$3)-MONTH($B$76)),(12*(YEAR($B$77)-YEAR($B$76))+MONTH($B$77)-MONTH($B$76))))*(1+'Вводные'!$B$65)^MAX(0,(12*(YEAR(FE$3)-YEAR($B$77))+MONTH(FE$3)-MONTH($B$77))))</x:f>
      </x:c>
      <x:c r="FF84" s="107" t="n">
        <x:f>IF(FF83=0,0,'Вводные'!$B$59*'Вводные'!$S$91*'Вводные'!$H$5*'Вводные'!$AG$91*(1+'Вводные'!$B$64)^MAX(0,MIN((12*(YEAR(FF$3)-YEAR($B$76))+MONTH(FF$3)-MONTH($B$76)),(12*(YEAR($B$77)-YEAR($B$76))+MONTH($B$77)-MONTH($B$76))))*(1+'Вводные'!$B$65)^MAX(0,(12*(YEAR(FF$3)-YEAR($B$77))+MONTH(FF$3)-MONTH($B$77))))</x:f>
      </x:c>
      <x:c r="FG84" s="107" t="n">
        <x:f>IF(FG83=0,0,'Вводные'!$B$59*'Вводные'!$S$91*'Вводные'!$H$5*'Вводные'!$AG$91*(1+'Вводные'!$B$64)^MAX(0,MIN((12*(YEAR(FG$3)-YEAR($B$76))+MONTH(FG$3)-MONTH($B$76)),(12*(YEAR($B$77)-YEAR($B$76))+MONTH($B$77)-MONTH($B$76))))*(1+'Вводные'!$B$65)^MAX(0,(12*(YEAR(FG$3)-YEAR($B$77))+MONTH(FG$3)-MONTH($B$77))))</x:f>
      </x:c>
      <x:c r="FH84" s="107" t="n">
        <x:f>IF(FH83=0,0,'Вводные'!$B$59*'Вводные'!$S$91*'Вводные'!$H$5*'Вводные'!$AG$91*(1+'Вводные'!$B$64)^MAX(0,MIN((12*(YEAR(FH$3)-YEAR($B$76))+MONTH(FH$3)-MONTH($B$76)),(12*(YEAR($B$77)-YEAR($B$76))+MONTH($B$77)-MONTH($B$76))))*(1+'Вводные'!$B$65)^MAX(0,(12*(YEAR(FH$3)-YEAR($B$77))+MONTH(FH$3)-MONTH($B$77))))</x:f>
      </x:c>
      <x:c r="FI84" s="107" t="n">
        <x:f>IF(FI83=0,0,'Вводные'!$B$59*'Вводные'!$S$91*'Вводные'!$H$5*'Вводные'!$AG$91*(1+'Вводные'!$B$64)^MAX(0,MIN((12*(YEAR(FI$3)-YEAR($B$76))+MONTH(FI$3)-MONTH($B$76)),(12*(YEAR($B$77)-YEAR($B$76))+MONTH($B$77)-MONTH($B$76))))*(1+'Вводные'!$B$65)^MAX(0,(12*(YEAR(FI$3)-YEAR($B$77))+MONTH(FI$3)-MONTH($B$77))))</x:f>
      </x:c>
      <x:c r="FJ84" s="107" t="n">
        <x:f>IF(FJ83=0,0,'Вводные'!$B$59*'Вводные'!$S$91*'Вводные'!$H$5*'Вводные'!$AG$91*(1+'Вводные'!$B$64)^MAX(0,MIN((12*(YEAR(FJ$3)-YEAR($B$76))+MONTH(FJ$3)-MONTH($B$76)),(12*(YEAR($B$77)-YEAR($B$76))+MONTH($B$77)-MONTH($B$76))))*(1+'Вводные'!$B$65)^MAX(0,(12*(YEAR(FJ$3)-YEAR($B$77))+MONTH(FJ$3)-MONTH($B$77))))</x:f>
      </x:c>
      <x:c r="FK84" s="107" t="n">
        <x:f>IF(FK83=0,0,'Вводные'!$B$59*'Вводные'!$S$91*'Вводные'!$H$5*'Вводные'!$AG$91*(1+'Вводные'!$B$64)^MAX(0,MIN((12*(YEAR(FK$3)-YEAR($B$76))+MONTH(FK$3)-MONTH($B$76)),(12*(YEAR($B$77)-YEAR($B$76))+MONTH($B$77)-MONTH($B$76))))*(1+'Вводные'!$B$65)^MAX(0,(12*(YEAR(FK$3)-YEAR($B$77))+MONTH(FK$3)-MONTH($B$77))))</x:f>
      </x:c>
      <x:c r="FL84" s="107" t="n">
        <x:f>IF(FL83=0,0,'Вводные'!$B$59*'Вводные'!$S$91*'Вводные'!$H$5*'Вводные'!$AG$91*(1+'Вводные'!$B$64)^MAX(0,MIN((12*(YEAR(FL$3)-YEAR($B$76))+MONTH(FL$3)-MONTH($B$76)),(12*(YEAR($B$77)-YEAR($B$76))+MONTH($B$77)-MONTH($B$76))))*(1+'Вводные'!$B$65)^MAX(0,(12*(YEAR(FL$3)-YEAR($B$77))+MONTH(FL$3)-MONTH($B$77))))</x:f>
      </x:c>
      <x:c r="FM84" s="107" t="n">
        <x:f>IF(FM83=0,0,'Вводные'!$B$59*'Вводные'!$S$91*'Вводные'!$H$5*'Вводные'!$AG$91*(1+'Вводные'!$B$64)^MAX(0,MIN((12*(YEAR(FM$3)-YEAR($B$76))+MONTH(FM$3)-MONTH($B$76)),(12*(YEAR($B$77)-YEAR($B$76))+MONTH($B$77)-MONTH($B$76))))*(1+'Вводные'!$B$65)^MAX(0,(12*(YEAR(FM$3)-YEAR($B$77))+MONTH(FM$3)-MONTH($B$77))))</x:f>
      </x:c>
      <x:c r="FN84" s="107" t="n">
        <x:f>IF(FN83=0,0,'Вводные'!$B$59*'Вводные'!$S$91*'Вводные'!$H$5*'Вводные'!$AG$91*(1+'Вводные'!$B$64)^MAX(0,MIN((12*(YEAR(FN$3)-YEAR($B$76))+MONTH(FN$3)-MONTH($B$76)),(12*(YEAR($B$77)-YEAR($B$76))+MONTH($B$77)-MONTH($B$76))))*(1+'Вводные'!$B$65)^MAX(0,(12*(YEAR(FN$3)-YEAR($B$77))+MONTH(FN$3)-MONTH($B$77))))</x:f>
      </x:c>
      <x:c r="FO84" s="107" t="n">
        <x:f>IF(FO83=0,0,'Вводные'!$B$59*'Вводные'!$S$91*'Вводные'!$H$5*'Вводные'!$AG$91*(1+'Вводные'!$B$64)^MAX(0,MIN((12*(YEAR(FO$3)-YEAR($B$76))+MONTH(FO$3)-MONTH($B$76)),(12*(YEAR($B$77)-YEAR($B$76))+MONTH($B$77)-MONTH($B$76))))*(1+'Вводные'!$B$65)^MAX(0,(12*(YEAR(FO$3)-YEAR($B$77))+MONTH(FO$3)-MONTH($B$77))))</x:f>
      </x:c>
      <x:c r="FP84" s="107" t="n">
        <x:f>IF(FP83=0,0,'Вводные'!$B$59*'Вводные'!$S$91*'Вводные'!$H$5*'Вводные'!$AG$91*(1+'Вводные'!$B$64)^MAX(0,MIN((12*(YEAR(FP$3)-YEAR($B$76))+MONTH(FP$3)-MONTH($B$76)),(12*(YEAR($B$77)-YEAR($B$76))+MONTH($B$77)-MONTH($B$76))))*(1+'Вводные'!$B$65)^MAX(0,(12*(YEAR(FP$3)-YEAR($B$77))+MONTH(FP$3)-MONTH($B$77))))</x:f>
      </x:c>
      <x:c r="FQ84" s="107" t="n">
        <x:f>IF(FQ83=0,0,'Вводные'!$B$59*'Вводные'!$S$91*'Вводные'!$H$5*'Вводные'!$AG$91*(1+'Вводные'!$B$64)^MAX(0,MIN((12*(YEAR(FQ$3)-YEAR($B$76))+MONTH(FQ$3)-MONTH($B$76)),(12*(YEAR($B$77)-YEAR($B$76))+MONTH($B$77)-MONTH($B$76))))*(1+'Вводные'!$B$65)^MAX(0,(12*(YEAR(FQ$3)-YEAR($B$77))+MONTH(FQ$3)-MONTH($B$77))))</x:f>
      </x:c>
      <x:c r="FR84" s="107" t="n">
        <x:f>IF(FR83=0,0,'Вводные'!$B$59*'Вводные'!$S$91*'Вводные'!$H$5*'Вводные'!$AG$91*(1+'Вводные'!$B$64)^MAX(0,MIN((12*(YEAR(FR$3)-YEAR($B$76))+MONTH(FR$3)-MONTH($B$76)),(12*(YEAR($B$77)-YEAR($B$76))+MONTH($B$77)-MONTH($B$76))))*(1+'Вводные'!$B$65)^MAX(0,(12*(YEAR(FR$3)-YEAR($B$77))+MONTH(FR$3)-MONTH($B$77))))</x:f>
      </x:c>
      <x:c r="FS84" s="107" t="n">
        <x:f>IF(FS83=0,0,'Вводные'!$B$59*'Вводные'!$S$91*'Вводные'!$H$5*'Вводные'!$AG$91*(1+'Вводные'!$B$64)^MAX(0,MIN((12*(YEAR(FS$3)-YEAR($B$76))+MONTH(FS$3)-MONTH($B$76)),(12*(YEAR($B$77)-YEAR($B$76))+MONTH($B$77)-MONTH($B$76))))*(1+'Вводные'!$B$65)^MAX(0,(12*(YEAR(FS$3)-YEAR($B$77))+MONTH(FS$3)-MONTH($B$77))))</x:f>
      </x:c>
      <x:c r="FT84" s="107" t="n">
        <x:f>IF(FT83=0,0,'Вводные'!$B$59*'Вводные'!$S$91*'Вводные'!$H$5*'Вводные'!$AG$91*(1+'Вводные'!$B$64)^MAX(0,MIN((12*(YEAR(FT$3)-YEAR($B$76))+MONTH(FT$3)-MONTH($B$76)),(12*(YEAR($B$77)-YEAR($B$76))+MONTH($B$77)-MONTH($B$76))))*(1+'Вводные'!$B$65)^MAX(0,(12*(YEAR(FT$3)-YEAR($B$77))+MONTH(FT$3)-MONTH($B$77))))</x:f>
      </x:c>
      <x:c r="FU84" s="107" t="n">
        <x:f>IF(FU83=0,0,'Вводные'!$B$59*'Вводные'!$S$91*'Вводные'!$H$5*'Вводные'!$AG$91*(1+'Вводные'!$B$64)^MAX(0,MIN((12*(YEAR(FU$3)-YEAR($B$76))+MONTH(FU$3)-MONTH($B$76)),(12*(YEAR($B$77)-YEAR($B$76))+MONTH($B$77)-MONTH($B$76))))*(1+'Вводные'!$B$65)^MAX(0,(12*(YEAR(FU$3)-YEAR($B$77))+MONTH(FU$3)-MONTH($B$77))))</x:f>
      </x:c>
      <x:c r="FV84" s="107" t="n">
        <x:f>IF(FV83=0,0,'Вводные'!$B$59*'Вводные'!$S$91*'Вводные'!$H$5*'Вводные'!$AG$91*(1+'Вводные'!$B$64)^MAX(0,MIN((12*(YEAR(FV$3)-YEAR($B$76))+MONTH(FV$3)-MONTH($B$76)),(12*(YEAR($B$77)-YEAR($B$76))+MONTH($B$77)-MONTH($B$76))))*(1+'Вводные'!$B$65)^MAX(0,(12*(YEAR(FV$3)-YEAR($B$77))+MONTH(FV$3)-MONTH($B$77))))</x:f>
      </x:c>
      <x:c r="FW84" s="107" t="n">
        <x:f>IF(FW83=0,0,'Вводные'!$B$59*'Вводные'!$S$91*'Вводные'!$H$5*'Вводные'!$AG$91*(1+'Вводные'!$B$64)^MAX(0,MIN((12*(YEAR(FW$3)-YEAR($B$76))+MONTH(FW$3)-MONTH($B$76)),(12*(YEAR($B$77)-YEAR($B$76))+MONTH($B$77)-MONTH($B$76))))*(1+'Вводные'!$B$65)^MAX(0,(12*(YEAR(FW$3)-YEAR($B$77))+MONTH(FW$3)-MONTH($B$77))))</x:f>
      </x:c>
      <x:c r="FX84" s="107" t="n">
        <x:f>IF(FX83=0,0,'Вводные'!$B$59*'Вводные'!$S$91*'Вводные'!$H$5*'Вводные'!$AG$91*(1+'Вводные'!$B$64)^MAX(0,MIN((12*(YEAR(FX$3)-YEAR($B$76))+MONTH(FX$3)-MONTH($B$76)),(12*(YEAR($B$77)-YEAR($B$76))+MONTH($B$77)-MONTH($B$76))))*(1+'Вводные'!$B$65)^MAX(0,(12*(YEAR(FX$3)-YEAR($B$77))+MONTH(FX$3)-MONTH($B$77))))</x:f>
      </x:c>
      <x:c r="FY84" s="107" t="n">
        <x:f>IF(FY83=0,0,'Вводные'!$B$59*'Вводные'!$S$91*'Вводные'!$H$5*'Вводные'!$AG$91*(1+'Вводные'!$B$64)^MAX(0,MIN((12*(YEAR(FY$3)-YEAR($B$76))+MONTH(FY$3)-MONTH($B$76)),(12*(YEAR($B$77)-YEAR($B$76))+MONTH($B$77)-MONTH($B$76))))*(1+'Вводные'!$B$65)^MAX(0,(12*(YEAR(FY$3)-YEAR($B$77))+MONTH(FY$3)-MONTH($B$77))))</x:f>
      </x:c>
      <x:c r="FZ84" s="107" t="n">
        <x:f>IF(FZ83=0,0,'Вводные'!$B$59*'Вводные'!$S$91*'Вводные'!$H$5*'Вводные'!$AG$91*(1+'Вводные'!$B$64)^MAX(0,MIN((12*(YEAR(FZ$3)-YEAR($B$76))+MONTH(FZ$3)-MONTH($B$76)),(12*(YEAR($B$77)-YEAR($B$76))+MONTH($B$77)-MONTH($B$76))))*(1+'Вводные'!$B$65)^MAX(0,(12*(YEAR(FZ$3)-YEAR($B$77))+MONTH(FZ$3)-MONTH($B$77))))</x:f>
      </x:c>
      <x:c r="GA84" s="107" t="n">
        <x:f>IF(GA83=0,0,'Вводные'!$B$59*'Вводные'!$S$91*'Вводные'!$H$5*'Вводные'!$AG$91*(1+'Вводные'!$B$64)^MAX(0,MIN((12*(YEAR(GA$3)-YEAR($B$76))+MONTH(GA$3)-MONTH($B$76)),(12*(YEAR($B$77)-YEAR($B$76))+MONTH($B$77)-MONTH($B$76))))*(1+'Вводные'!$B$65)^MAX(0,(12*(YEAR(GA$3)-YEAR($B$77))+MONTH(GA$3)-MONTH($B$77))))</x:f>
      </x:c>
    </x:row>
    <x:row r="85">
      <x:c r="A85" t="str">
        <x:v>Квартиры — выручка</x:v>
      </x:c>
      <x:c r="B85" t="n">
        <x:f>SUM(D85:GA85)</x:f>
      </x:c>
      <x:c r="C85" t="str">
        <x:v>млн ₽</x:v>
      </x:c>
      <x:c r="D85" s="107" t="n">
        <x:f>D83*D84/1000</x:f>
      </x:c>
      <x:c r="E85" s="107" t="n">
        <x:f>E83*E84/1000</x:f>
      </x:c>
      <x:c r="F85" s="107" t="n">
        <x:f>F83*F84/1000</x:f>
      </x:c>
      <x:c r="G85" s="107" t="n">
        <x:f>G83*G84/1000</x:f>
      </x:c>
      <x:c r="H85" s="107" t="n">
        <x:f>H83*H84/1000</x:f>
      </x:c>
      <x:c r="I85" s="107" t="n">
        <x:f>I83*I84/1000</x:f>
      </x:c>
      <x:c r="J85" s="107" t="n">
        <x:f>J83*J84/1000</x:f>
      </x:c>
      <x:c r="K85" s="107" t="n">
        <x:f>K83*K84/1000</x:f>
      </x:c>
      <x:c r="L85" s="107" t="n">
        <x:f>L83*L84/1000</x:f>
      </x:c>
      <x:c r="M85" s="107" t="n">
        <x:f>M83*M84/1000</x:f>
      </x:c>
      <x:c r="N85" s="107" t="n">
        <x:f>N83*N84/1000</x:f>
      </x:c>
      <x:c r="O85" s="107" t="n">
        <x:f>O83*O84/1000</x:f>
      </x:c>
      <x:c r="P85" s="107" t="n">
        <x:f>P83*P84/1000</x:f>
      </x:c>
      <x:c r="Q85" s="107" t="n">
        <x:f>Q83*Q84/1000</x:f>
      </x:c>
      <x:c r="R85" s="107" t="n">
        <x:f>R83*R84/1000</x:f>
      </x:c>
      <x:c r="S85" s="107" t="n">
        <x:f>S83*S84/1000</x:f>
      </x:c>
      <x:c r="T85" s="107" t="n">
        <x:f>T83*T84/1000</x:f>
      </x:c>
      <x:c r="U85" s="107" t="n">
        <x:f>U83*U84/1000</x:f>
      </x:c>
      <x:c r="V85" s="107" t="n">
        <x:f>V83*V84/1000</x:f>
      </x:c>
      <x:c r="W85" s="107" t="n">
        <x:f>W83*W84/1000</x:f>
      </x:c>
      <x:c r="X85" s="107" t="n">
        <x:f>X83*X84/1000</x:f>
      </x:c>
      <x:c r="Y85" s="107" t="n">
        <x:f>Y83*Y84/1000</x:f>
      </x:c>
      <x:c r="Z85" s="107" t="n">
        <x:f>Z83*Z84/1000</x:f>
      </x:c>
      <x:c r="AA85" s="107" t="n">
        <x:f>AA83*AA84/1000</x:f>
      </x:c>
      <x:c r="AB85" s="107" t="n">
        <x:f>AB83*AB84/1000</x:f>
      </x:c>
      <x:c r="AC85" s="107" t="n">
        <x:f>AC83*AC84/1000</x:f>
      </x:c>
      <x:c r="AD85" s="107" t="n">
        <x:f>AD83*AD84/1000</x:f>
      </x:c>
      <x:c r="AE85" s="107" t="n">
        <x:f>AE83*AE84/1000</x:f>
      </x:c>
      <x:c r="AF85" s="107" t="n">
        <x:f>AF83*AF84/1000</x:f>
      </x:c>
      <x:c r="AG85" s="107" t="n">
        <x:f>AG83*AG84/1000</x:f>
      </x:c>
      <x:c r="AH85" s="107" t="n">
        <x:f>AH83*AH84/1000</x:f>
      </x:c>
      <x:c r="AI85" s="107" t="n">
        <x:f>AI83*AI84/1000</x:f>
      </x:c>
      <x:c r="AJ85" s="107" t="n">
        <x:f>AJ83*AJ84/1000</x:f>
      </x:c>
      <x:c r="AK85" s="107" t="n">
        <x:f>AK83*AK84/1000</x:f>
      </x:c>
      <x:c r="AL85" s="107" t="n">
        <x:f>AL83*AL84/1000</x:f>
      </x:c>
      <x:c r="AM85" s="107" t="n">
        <x:f>AM83*AM84/1000</x:f>
      </x:c>
      <x:c r="AN85" s="107" t="n">
        <x:f>AN83*AN84/1000</x:f>
      </x:c>
      <x:c r="AO85" s="107" t="n">
        <x:f>AO83*AO84/1000</x:f>
      </x:c>
      <x:c r="AP85" s="107" t="n">
        <x:f>AP83*AP84/1000</x:f>
      </x:c>
      <x:c r="AQ85" s="107" t="n">
        <x:f>AQ83*AQ84/1000</x:f>
      </x:c>
      <x:c r="AR85" s="107" t="n">
        <x:f>AR83*AR84/1000</x:f>
      </x:c>
      <x:c r="AS85" s="107" t="n">
        <x:f>AS83*AS84/1000</x:f>
      </x:c>
      <x:c r="AT85" s="107" t="n">
        <x:f>AT83*AT84/1000</x:f>
      </x:c>
      <x:c r="AU85" s="107" t="n">
        <x:f>AU83*AU84/1000</x:f>
      </x:c>
      <x:c r="AV85" s="107" t="n">
        <x:f>AV83*AV84/1000</x:f>
      </x:c>
      <x:c r="AW85" s="107" t="n">
        <x:f>AW83*AW84/1000</x:f>
      </x:c>
      <x:c r="AX85" s="107" t="n">
        <x:f>AX83*AX84/1000</x:f>
      </x:c>
      <x:c r="AY85" s="107" t="n">
        <x:f>AY83*AY84/1000</x:f>
      </x:c>
      <x:c r="AZ85" s="107" t="n">
        <x:f>AZ83*AZ84/1000</x:f>
      </x:c>
      <x:c r="BA85" s="107" t="n">
        <x:f>BA83*BA84/1000</x:f>
      </x:c>
      <x:c r="BB85" s="107" t="n">
        <x:f>BB83*BB84/1000</x:f>
      </x:c>
      <x:c r="BC85" s="107" t="n">
        <x:f>BC83*BC84/1000</x:f>
      </x:c>
      <x:c r="BD85" s="107" t="n">
        <x:f>BD83*BD84/1000</x:f>
      </x:c>
      <x:c r="BE85" s="107" t="n">
        <x:f>BE83*BE84/1000</x:f>
      </x:c>
      <x:c r="BF85" s="107" t="n">
        <x:f>BF83*BF84/1000</x:f>
      </x:c>
      <x:c r="BG85" s="107" t="n">
        <x:f>BG83*BG84/1000</x:f>
      </x:c>
      <x:c r="BH85" s="107" t="n">
        <x:f>BH83*BH84/1000</x:f>
      </x:c>
      <x:c r="BI85" s="107" t="n">
        <x:f>BI83*BI84/1000</x:f>
      </x:c>
      <x:c r="BJ85" s="107" t="n">
        <x:f>BJ83*BJ84/1000</x:f>
      </x:c>
      <x:c r="BK85" s="107" t="n">
        <x:f>BK83*BK84/1000</x:f>
      </x:c>
      <x:c r="BL85" s="107" t="n">
        <x:f>BL83*BL84/1000</x:f>
      </x:c>
      <x:c r="BM85" s="107" t="n">
        <x:f>BM83*BM84/1000</x:f>
      </x:c>
      <x:c r="BN85" s="107" t="n">
        <x:f>BN83*BN84/1000</x:f>
      </x:c>
      <x:c r="BO85" s="107" t="n">
        <x:f>BO83*BO84/1000</x:f>
      </x:c>
      <x:c r="BP85" s="107" t="n">
        <x:f>BP83*BP84/1000</x:f>
      </x:c>
      <x:c r="BQ85" s="107" t="n">
        <x:f>BQ83*BQ84/1000</x:f>
      </x:c>
      <x:c r="BR85" s="107" t="n">
        <x:f>BR83*BR84/1000</x:f>
      </x:c>
      <x:c r="BS85" s="107" t="n">
        <x:f>BS83*BS84/1000</x:f>
      </x:c>
      <x:c r="BT85" s="107" t="n">
        <x:f>BT83*BT84/1000</x:f>
      </x:c>
      <x:c r="BU85" s="107" t="n">
        <x:f>BU83*BU84/1000</x:f>
      </x:c>
      <x:c r="BV85" s="107" t="n">
        <x:f>BV83*BV84/1000</x:f>
      </x:c>
      <x:c r="BW85" s="107" t="n">
        <x:f>BW83*BW84/1000</x:f>
      </x:c>
      <x:c r="BX85" s="107" t="n">
        <x:f>BX83*BX84/1000</x:f>
      </x:c>
      <x:c r="BY85" s="107" t="n">
        <x:f>BY83*BY84/1000</x:f>
      </x:c>
      <x:c r="BZ85" s="107" t="n">
        <x:f>BZ83*BZ84/1000</x:f>
      </x:c>
      <x:c r="CA85" s="107" t="n">
        <x:f>CA83*CA84/1000</x:f>
      </x:c>
      <x:c r="CB85" s="107" t="n">
        <x:f>CB83*CB84/1000</x:f>
      </x:c>
      <x:c r="CC85" s="107" t="n">
        <x:f>CC83*CC84/1000</x:f>
      </x:c>
      <x:c r="CD85" s="107" t="n">
        <x:f>CD83*CD84/1000</x:f>
      </x:c>
      <x:c r="CE85" s="107" t="n">
        <x:f>CE83*CE84/1000</x:f>
      </x:c>
      <x:c r="CF85" s="107" t="n">
        <x:f>CF83*CF84/1000</x:f>
      </x:c>
      <x:c r="CG85" s="107" t="n">
        <x:f>CG83*CG84/1000</x:f>
      </x:c>
      <x:c r="CH85" s="107" t="n">
        <x:f>CH83*CH84/1000</x:f>
      </x:c>
      <x:c r="CI85" s="107" t="n">
        <x:f>CI83*CI84/1000</x:f>
      </x:c>
      <x:c r="CJ85" s="107" t="n">
        <x:f>CJ83*CJ84/1000</x:f>
      </x:c>
      <x:c r="CK85" s="107" t="n">
        <x:f>CK83*CK84/1000</x:f>
      </x:c>
      <x:c r="CL85" s="107" t="n">
        <x:f>CL83*CL84/1000</x:f>
      </x:c>
      <x:c r="CM85" s="107" t="n">
        <x:f>CM83*CM84/1000</x:f>
      </x:c>
      <x:c r="CN85" s="107" t="n">
        <x:f>CN83*CN84/1000</x:f>
      </x:c>
      <x:c r="CO85" s="107" t="n">
        <x:f>CO83*CO84/1000</x:f>
      </x:c>
      <x:c r="CP85" s="107" t="n">
        <x:f>CP83*CP84/1000</x:f>
      </x:c>
      <x:c r="CQ85" s="107" t="n">
        <x:f>CQ83*CQ84/1000</x:f>
      </x:c>
      <x:c r="CR85" s="107" t="n">
        <x:f>CR83*CR84/1000</x:f>
      </x:c>
      <x:c r="CS85" s="107" t="n">
        <x:f>CS83*CS84/1000</x:f>
      </x:c>
      <x:c r="CT85" s="107" t="n">
        <x:f>CT83*CT84/1000</x:f>
      </x:c>
      <x:c r="CU85" s="107" t="n">
        <x:f>CU83*CU84/1000</x:f>
      </x:c>
      <x:c r="CV85" s="107" t="n">
        <x:f>CV83*CV84/1000</x:f>
      </x:c>
      <x:c r="CW85" s="107" t="n">
        <x:f>CW83*CW84/1000</x:f>
      </x:c>
      <x:c r="CX85" s="107" t="n">
        <x:f>CX83*CX84/1000</x:f>
      </x:c>
      <x:c r="CY85" s="107" t="n">
        <x:f>CY83*CY84/1000</x:f>
      </x:c>
      <x:c r="CZ85" s="107" t="n">
        <x:f>CZ83*CZ84/1000</x:f>
      </x:c>
      <x:c r="DA85" s="107" t="n">
        <x:f>DA83*DA84/1000</x:f>
      </x:c>
      <x:c r="DB85" s="107" t="n">
        <x:f>DB83*DB84/1000</x:f>
      </x:c>
      <x:c r="DC85" s="107" t="n">
        <x:f>DC83*DC84/1000</x:f>
      </x:c>
      <x:c r="DD85" s="107" t="n">
        <x:f>DD83*DD84/1000</x:f>
      </x:c>
      <x:c r="DE85" s="107" t="n">
        <x:f>DE83*DE84/1000</x:f>
      </x:c>
      <x:c r="DF85" s="107" t="n">
        <x:f>DF83*DF84/1000</x:f>
      </x:c>
      <x:c r="DG85" s="107" t="n">
        <x:f>DG83*DG84/1000</x:f>
      </x:c>
      <x:c r="DH85" s="107" t="n">
        <x:f>DH83*DH84/1000</x:f>
      </x:c>
      <x:c r="DI85" s="107" t="n">
        <x:f>DI83*DI84/1000</x:f>
      </x:c>
      <x:c r="DJ85" s="107" t="n">
        <x:f>DJ83*DJ84/1000</x:f>
      </x:c>
      <x:c r="DK85" s="107" t="n">
        <x:f>DK83*DK84/1000</x:f>
      </x:c>
      <x:c r="DL85" s="107" t="n">
        <x:f>DL83*DL84/1000</x:f>
      </x:c>
      <x:c r="DM85" s="107" t="n">
        <x:f>DM83*DM84/1000</x:f>
      </x:c>
      <x:c r="DN85" s="107" t="n">
        <x:f>DN83*DN84/1000</x:f>
      </x:c>
      <x:c r="DO85" s="107" t="n">
        <x:f>DO83*DO84/1000</x:f>
      </x:c>
      <x:c r="DP85" s="107" t="n">
        <x:f>DP83*DP84/1000</x:f>
      </x:c>
      <x:c r="DQ85" s="107" t="n">
        <x:f>DQ83*DQ84/1000</x:f>
      </x:c>
      <x:c r="DR85" s="107" t="n">
        <x:f>DR83*DR84/1000</x:f>
      </x:c>
      <x:c r="DS85" s="107" t="n">
        <x:f>DS83*DS84/1000</x:f>
      </x:c>
      <x:c r="DT85" s="107" t="n">
        <x:f>DT83*DT84/1000</x:f>
      </x:c>
      <x:c r="DU85" s="107" t="n">
        <x:f>DU83*DU84/1000</x:f>
      </x:c>
      <x:c r="DV85" s="107" t="n">
        <x:f>DV83*DV84/1000</x:f>
      </x:c>
      <x:c r="DW85" s="107" t="n">
        <x:f>DW83*DW84/1000</x:f>
      </x:c>
      <x:c r="DX85" s="107" t="n">
        <x:f>DX83*DX84/1000</x:f>
      </x:c>
      <x:c r="DY85" s="107" t="n">
        <x:f>DY83*DY84/1000</x:f>
      </x:c>
      <x:c r="DZ85" s="107" t="n">
        <x:f>DZ83*DZ84/1000</x:f>
      </x:c>
      <x:c r="EA85" s="107" t="n">
        <x:f>EA83*EA84/1000</x:f>
      </x:c>
      <x:c r="EB85" s="107" t="n">
        <x:f>EB83*EB84/1000</x:f>
      </x:c>
      <x:c r="EC85" s="107" t="n">
        <x:f>EC83*EC84/1000</x:f>
      </x:c>
      <x:c r="ED85" s="107" t="n">
        <x:f>ED83*ED84/1000</x:f>
      </x:c>
      <x:c r="EE85" s="107" t="n">
        <x:f>EE83*EE84/1000</x:f>
      </x:c>
      <x:c r="EF85" s="107" t="n">
        <x:f>EF83*EF84/1000</x:f>
      </x:c>
      <x:c r="EG85" s="107" t="n">
        <x:f>EG83*EG84/1000</x:f>
      </x:c>
      <x:c r="EH85" s="107" t="n">
        <x:f>EH83*EH84/1000</x:f>
      </x:c>
      <x:c r="EI85" s="107" t="n">
        <x:f>EI83*EI84/1000</x:f>
      </x:c>
      <x:c r="EJ85" s="107" t="n">
        <x:f>EJ83*EJ84/1000</x:f>
      </x:c>
      <x:c r="EK85" s="107" t="n">
        <x:f>EK83*EK84/1000</x:f>
      </x:c>
      <x:c r="EL85" s="107" t="n">
        <x:f>EL83*EL84/1000</x:f>
      </x:c>
      <x:c r="EM85" s="107" t="n">
        <x:f>EM83*EM84/1000</x:f>
      </x:c>
      <x:c r="EN85" s="107" t="n">
        <x:f>EN83*EN84/1000</x:f>
      </x:c>
      <x:c r="EO85" s="107" t="n">
        <x:f>EO83*EO84/1000</x:f>
      </x:c>
      <x:c r="EP85" s="107" t="n">
        <x:f>EP83*EP84/1000</x:f>
      </x:c>
      <x:c r="EQ85" s="107" t="n">
        <x:f>EQ83*EQ84/1000</x:f>
      </x:c>
      <x:c r="ER85" s="107" t="n">
        <x:f>ER83*ER84/1000</x:f>
      </x:c>
      <x:c r="ES85" s="107" t="n">
        <x:f>ES83*ES84/1000</x:f>
      </x:c>
      <x:c r="ET85" s="107" t="n">
        <x:f>ET83*ET84/1000</x:f>
      </x:c>
      <x:c r="EU85" s="107" t="n">
        <x:f>EU83*EU84/1000</x:f>
      </x:c>
      <x:c r="EV85" s="107" t="n">
        <x:f>EV83*EV84/1000</x:f>
      </x:c>
      <x:c r="EW85" s="107" t="n">
        <x:f>EW83*EW84/1000</x:f>
      </x:c>
      <x:c r="EX85" s="107" t="n">
        <x:f>EX83*EX84/1000</x:f>
      </x:c>
      <x:c r="EY85" s="107" t="n">
        <x:f>EY83*EY84/1000</x:f>
      </x:c>
      <x:c r="EZ85" s="107" t="n">
        <x:f>EZ83*EZ84/1000</x:f>
      </x:c>
      <x:c r="FA85" s="107" t="n">
        <x:f>FA83*FA84/1000</x:f>
      </x:c>
      <x:c r="FB85" s="107" t="n">
        <x:f>FB83*FB84/1000</x:f>
      </x:c>
      <x:c r="FC85" s="107" t="n">
        <x:f>FC83*FC84/1000</x:f>
      </x:c>
      <x:c r="FD85" s="107" t="n">
        <x:f>FD83*FD84/1000</x:f>
      </x:c>
      <x:c r="FE85" s="107" t="n">
        <x:f>FE83*FE84/1000</x:f>
      </x:c>
      <x:c r="FF85" s="107" t="n">
        <x:f>FF83*FF84/1000</x:f>
      </x:c>
      <x:c r="FG85" s="107" t="n">
        <x:f>FG83*FG84/1000</x:f>
      </x:c>
      <x:c r="FH85" s="107" t="n">
        <x:f>FH83*FH84/1000</x:f>
      </x:c>
      <x:c r="FI85" s="107" t="n">
        <x:f>FI83*FI84/1000</x:f>
      </x:c>
      <x:c r="FJ85" s="107" t="n">
        <x:f>FJ83*FJ84/1000</x:f>
      </x:c>
      <x:c r="FK85" s="107" t="n">
        <x:f>FK83*FK84/1000</x:f>
      </x:c>
      <x:c r="FL85" s="107" t="n">
        <x:f>FL83*FL84/1000</x:f>
      </x:c>
      <x:c r="FM85" s="107" t="n">
        <x:f>FM83*FM84/1000</x:f>
      </x:c>
      <x:c r="FN85" s="107" t="n">
        <x:f>FN83*FN84/1000</x:f>
      </x:c>
      <x:c r="FO85" s="107" t="n">
        <x:f>FO83*FO84/1000</x:f>
      </x:c>
      <x:c r="FP85" s="107" t="n">
        <x:f>FP83*FP84/1000</x:f>
      </x:c>
      <x:c r="FQ85" s="107" t="n">
        <x:f>FQ83*FQ84/1000</x:f>
      </x:c>
      <x:c r="FR85" s="107" t="n">
        <x:f>FR83*FR84/1000</x:f>
      </x:c>
      <x:c r="FS85" s="107" t="n">
        <x:f>FS83*FS84/1000</x:f>
      </x:c>
      <x:c r="FT85" s="107" t="n">
        <x:f>FT83*FT84/1000</x:f>
      </x:c>
      <x:c r="FU85" s="107" t="n">
        <x:f>FU83*FU84/1000</x:f>
      </x:c>
      <x:c r="FV85" s="107" t="n">
        <x:f>FV83*FV84/1000</x:f>
      </x:c>
      <x:c r="FW85" s="107" t="n">
        <x:f>FW83*FW84/1000</x:f>
      </x:c>
      <x:c r="FX85" s="107" t="n">
        <x:f>FX83*FX84/1000</x:f>
      </x:c>
      <x:c r="FY85" s="107" t="n">
        <x:f>FY83*FY84/1000</x:f>
      </x:c>
      <x:c r="FZ85" s="107" t="n">
        <x:f>FZ83*FZ84/1000</x:f>
      </x:c>
      <x:c r="GA85" s="107" t="n">
        <x:f>GA83*GA84/1000</x:f>
      </x:c>
    </x:row>
    <x:row r="86">
      <x:c r="A86" t="str">
        <x:v>Коммерция — объём</x:v>
      </x:c>
      <x:c r="B86" t="n">
        <x:f>SUM(D86:GA86)</x:f>
      </x:c>
      <x:c r="C86" t="str">
        <x:v>м²</x:v>
      </x:c>
      <x:c r="D86" s="107" t="n">
        <x:f>'Вводные'!$M$91*((IF(SUM($D78:$GA78)=0,0,IF(SUM($D81:$GA81)=0,1,'Вводные'!$B$63)))*D80+(1-(IF(SUM($D78:$GA78)=0,0,IF(SUM($D81:$GA81)=0,1,'Вводные'!$B$63))))*D82)</x:f>
      </x:c>
      <x:c r="E86" s="107" t="n">
        <x:f>'Вводные'!$M$91*((IF(SUM($D78:$GA78)=0,0,IF(SUM($D81:$GA81)=0,1,'Вводные'!$B$63)))*E80+(1-(IF(SUM($D78:$GA78)=0,0,IF(SUM($D81:$GA81)=0,1,'Вводные'!$B$63))))*E82)</x:f>
      </x:c>
      <x:c r="F86" s="107" t="n">
        <x:f>'Вводные'!$M$91*((IF(SUM($D78:$GA78)=0,0,IF(SUM($D81:$GA81)=0,1,'Вводные'!$B$63)))*F80+(1-(IF(SUM($D78:$GA78)=0,0,IF(SUM($D81:$GA81)=0,1,'Вводные'!$B$63))))*F82)</x:f>
      </x:c>
      <x:c r="G86" s="107" t="n">
        <x:f>'Вводные'!$M$91*((IF(SUM($D78:$GA78)=0,0,IF(SUM($D81:$GA81)=0,1,'Вводные'!$B$63)))*G80+(1-(IF(SUM($D78:$GA78)=0,0,IF(SUM($D81:$GA81)=0,1,'Вводные'!$B$63))))*G82)</x:f>
      </x:c>
      <x:c r="H86" s="107" t="n">
        <x:f>'Вводные'!$M$91*((IF(SUM($D78:$GA78)=0,0,IF(SUM($D81:$GA81)=0,1,'Вводные'!$B$63)))*H80+(1-(IF(SUM($D78:$GA78)=0,0,IF(SUM($D81:$GA81)=0,1,'Вводные'!$B$63))))*H82)</x:f>
      </x:c>
      <x:c r="I86" s="107" t="n">
        <x:f>'Вводные'!$M$91*((IF(SUM($D78:$GA78)=0,0,IF(SUM($D81:$GA81)=0,1,'Вводные'!$B$63)))*I80+(1-(IF(SUM($D78:$GA78)=0,0,IF(SUM($D81:$GA81)=0,1,'Вводные'!$B$63))))*I82)</x:f>
      </x:c>
      <x:c r="J86" s="107" t="n">
        <x:f>'Вводные'!$M$91*((IF(SUM($D78:$GA78)=0,0,IF(SUM($D81:$GA81)=0,1,'Вводные'!$B$63)))*J80+(1-(IF(SUM($D78:$GA78)=0,0,IF(SUM($D81:$GA81)=0,1,'Вводные'!$B$63))))*J82)</x:f>
      </x:c>
      <x:c r="K86" s="107" t="n">
        <x:f>'Вводные'!$M$91*((IF(SUM($D78:$GA78)=0,0,IF(SUM($D81:$GA81)=0,1,'Вводные'!$B$63)))*K80+(1-(IF(SUM($D78:$GA78)=0,0,IF(SUM($D81:$GA81)=0,1,'Вводные'!$B$63))))*K82)</x:f>
      </x:c>
      <x:c r="L86" s="107" t="n">
        <x:f>'Вводные'!$M$91*((IF(SUM($D78:$GA78)=0,0,IF(SUM($D81:$GA81)=0,1,'Вводные'!$B$63)))*L80+(1-(IF(SUM($D78:$GA78)=0,0,IF(SUM($D81:$GA81)=0,1,'Вводные'!$B$63))))*L82)</x:f>
      </x:c>
      <x:c r="M86" s="107" t="n">
        <x:f>'Вводные'!$M$91*((IF(SUM($D78:$GA78)=0,0,IF(SUM($D81:$GA81)=0,1,'Вводные'!$B$63)))*M80+(1-(IF(SUM($D78:$GA78)=0,0,IF(SUM($D81:$GA81)=0,1,'Вводные'!$B$63))))*M82)</x:f>
      </x:c>
      <x:c r="N86" s="107" t="n">
        <x:f>'Вводные'!$M$91*((IF(SUM($D78:$GA78)=0,0,IF(SUM($D81:$GA81)=0,1,'Вводные'!$B$63)))*N80+(1-(IF(SUM($D78:$GA78)=0,0,IF(SUM($D81:$GA81)=0,1,'Вводные'!$B$63))))*N82)</x:f>
      </x:c>
      <x:c r="O86" s="107" t="n">
        <x:f>'Вводные'!$M$91*((IF(SUM($D78:$GA78)=0,0,IF(SUM($D81:$GA81)=0,1,'Вводные'!$B$63)))*O80+(1-(IF(SUM($D78:$GA78)=0,0,IF(SUM($D81:$GA81)=0,1,'Вводные'!$B$63))))*O82)</x:f>
      </x:c>
      <x:c r="P86" s="107" t="n">
        <x:f>'Вводные'!$M$91*((IF(SUM($D78:$GA78)=0,0,IF(SUM($D81:$GA81)=0,1,'Вводные'!$B$63)))*P80+(1-(IF(SUM($D78:$GA78)=0,0,IF(SUM($D81:$GA81)=0,1,'Вводные'!$B$63))))*P82)</x:f>
      </x:c>
      <x:c r="Q86" s="107" t="n">
        <x:f>'Вводные'!$M$91*((IF(SUM($D78:$GA78)=0,0,IF(SUM($D81:$GA81)=0,1,'Вводные'!$B$63)))*Q80+(1-(IF(SUM($D78:$GA78)=0,0,IF(SUM($D81:$GA81)=0,1,'Вводные'!$B$63))))*Q82)</x:f>
      </x:c>
      <x:c r="R86" s="107" t="n">
        <x:f>'Вводные'!$M$91*((IF(SUM($D78:$GA78)=0,0,IF(SUM($D81:$GA81)=0,1,'Вводные'!$B$63)))*R80+(1-(IF(SUM($D78:$GA78)=0,0,IF(SUM($D81:$GA81)=0,1,'Вводные'!$B$63))))*R82)</x:f>
      </x:c>
      <x:c r="S86" s="107" t="n">
        <x:f>'Вводные'!$M$91*((IF(SUM($D78:$GA78)=0,0,IF(SUM($D81:$GA81)=0,1,'Вводные'!$B$63)))*S80+(1-(IF(SUM($D78:$GA78)=0,0,IF(SUM($D81:$GA81)=0,1,'Вводные'!$B$63))))*S82)</x:f>
      </x:c>
      <x:c r="T86" s="107" t="n">
        <x:f>'Вводные'!$M$91*((IF(SUM($D78:$GA78)=0,0,IF(SUM($D81:$GA81)=0,1,'Вводные'!$B$63)))*T80+(1-(IF(SUM($D78:$GA78)=0,0,IF(SUM($D81:$GA81)=0,1,'Вводные'!$B$63))))*T82)</x:f>
      </x:c>
      <x:c r="U86" s="107" t="n">
        <x:f>'Вводные'!$M$91*((IF(SUM($D78:$GA78)=0,0,IF(SUM($D81:$GA81)=0,1,'Вводные'!$B$63)))*U80+(1-(IF(SUM($D78:$GA78)=0,0,IF(SUM($D81:$GA81)=0,1,'Вводные'!$B$63))))*U82)</x:f>
      </x:c>
      <x:c r="V86" s="107" t="n">
        <x:f>'Вводные'!$M$91*((IF(SUM($D78:$GA78)=0,0,IF(SUM($D81:$GA81)=0,1,'Вводные'!$B$63)))*V80+(1-(IF(SUM($D78:$GA78)=0,0,IF(SUM($D81:$GA81)=0,1,'Вводные'!$B$63))))*V82)</x:f>
      </x:c>
      <x:c r="W86" s="107" t="n">
        <x:f>'Вводные'!$M$91*((IF(SUM($D78:$GA78)=0,0,IF(SUM($D81:$GA81)=0,1,'Вводные'!$B$63)))*W80+(1-(IF(SUM($D78:$GA78)=0,0,IF(SUM($D81:$GA81)=0,1,'Вводные'!$B$63))))*W82)</x:f>
      </x:c>
      <x:c r="X86" s="107" t="n">
        <x:f>'Вводные'!$M$91*((IF(SUM($D78:$GA78)=0,0,IF(SUM($D81:$GA81)=0,1,'Вводные'!$B$63)))*X80+(1-(IF(SUM($D78:$GA78)=0,0,IF(SUM($D81:$GA81)=0,1,'Вводные'!$B$63))))*X82)</x:f>
      </x:c>
      <x:c r="Y86" s="107" t="n">
        <x:f>'Вводные'!$M$91*((IF(SUM($D78:$GA78)=0,0,IF(SUM($D81:$GA81)=0,1,'Вводные'!$B$63)))*Y80+(1-(IF(SUM($D78:$GA78)=0,0,IF(SUM($D81:$GA81)=0,1,'Вводные'!$B$63))))*Y82)</x:f>
      </x:c>
      <x:c r="Z86" s="107" t="n">
        <x:f>'Вводные'!$M$91*((IF(SUM($D78:$GA78)=0,0,IF(SUM($D81:$GA81)=0,1,'Вводные'!$B$63)))*Z80+(1-(IF(SUM($D78:$GA78)=0,0,IF(SUM($D81:$GA81)=0,1,'Вводные'!$B$63))))*Z82)</x:f>
      </x:c>
      <x:c r="AA86" s="107" t="n">
        <x:f>'Вводные'!$M$91*((IF(SUM($D78:$GA78)=0,0,IF(SUM($D81:$GA81)=0,1,'Вводные'!$B$63)))*AA80+(1-(IF(SUM($D78:$GA78)=0,0,IF(SUM($D81:$GA81)=0,1,'Вводные'!$B$63))))*AA82)</x:f>
      </x:c>
      <x:c r="AB86" s="107" t="n">
        <x:f>'Вводные'!$M$91*((IF(SUM($D78:$GA78)=0,0,IF(SUM($D81:$GA81)=0,1,'Вводные'!$B$63)))*AB80+(1-(IF(SUM($D78:$GA78)=0,0,IF(SUM($D81:$GA81)=0,1,'Вводные'!$B$63))))*AB82)</x:f>
      </x:c>
      <x:c r="AC86" s="107" t="n">
        <x:f>'Вводные'!$M$91*((IF(SUM($D78:$GA78)=0,0,IF(SUM($D81:$GA81)=0,1,'Вводные'!$B$63)))*AC80+(1-(IF(SUM($D78:$GA78)=0,0,IF(SUM($D81:$GA81)=0,1,'Вводные'!$B$63))))*AC82)</x:f>
      </x:c>
      <x:c r="AD86" s="107" t="n">
        <x:f>'Вводные'!$M$91*((IF(SUM($D78:$GA78)=0,0,IF(SUM($D81:$GA81)=0,1,'Вводные'!$B$63)))*AD80+(1-(IF(SUM($D78:$GA78)=0,0,IF(SUM($D81:$GA81)=0,1,'Вводные'!$B$63))))*AD82)</x:f>
      </x:c>
      <x:c r="AE86" s="107" t="n">
        <x:f>'Вводные'!$M$91*((IF(SUM($D78:$GA78)=0,0,IF(SUM($D81:$GA81)=0,1,'Вводные'!$B$63)))*AE80+(1-(IF(SUM($D78:$GA78)=0,0,IF(SUM($D81:$GA81)=0,1,'Вводные'!$B$63))))*AE82)</x:f>
      </x:c>
      <x:c r="AF86" s="107" t="n">
        <x:f>'Вводные'!$M$91*((IF(SUM($D78:$GA78)=0,0,IF(SUM($D81:$GA81)=0,1,'Вводные'!$B$63)))*AF80+(1-(IF(SUM($D78:$GA78)=0,0,IF(SUM($D81:$GA81)=0,1,'Вводные'!$B$63))))*AF82)</x:f>
      </x:c>
      <x:c r="AG86" s="107" t="n">
        <x:f>'Вводные'!$M$91*((IF(SUM($D78:$GA78)=0,0,IF(SUM($D81:$GA81)=0,1,'Вводные'!$B$63)))*AG80+(1-(IF(SUM($D78:$GA78)=0,0,IF(SUM($D81:$GA81)=0,1,'Вводные'!$B$63))))*AG82)</x:f>
      </x:c>
      <x:c r="AH86" s="107" t="n">
        <x:f>'Вводные'!$M$91*((IF(SUM($D78:$GA78)=0,0,IF(SUM($D81:$GA81)=0,1,'Вводные'!$B$63)))*AH80+(1-(IF(SUM($D78:$GA78)=0,0,IF(SUM($D81:$GA81)=0,1,'Вводные'!$B$63))))*AH82)</x:f>
      </x:c>
      <x:c r="AI86" s="107" t="n">
        <x:f>'Вводные'!$M$91*((IF(SUM($D78:$GA78)=0,0,IF(SUM($D81:$GA81)=0,1,'Вводные'!$B$63)))*AI80+(1-(IF(SUM($D78:$GA78)=0,0,IF(SUM($D81:$GA81)=0,1,'Вводные'!$B$63))))*AI82)</x:f>
      </x:c>
      <x:c r="AJ86" s="107" t="n">
        <x:f>'Вводные'!$M$91*((IF(SUM($D78:$GA78)=0,0,IF(SUM($D81:$GA81)=0,1,'Вводные'!$B$63)))*AJ80+(1-(IF(SUM($D78:$GA78)=0,0,IF(SUM($D81:$GA81)=0,1,'Вводные'!$B$63))))*AJ82)</x:f>
      </x:c>
      <x:c r="AK86" s="107" t="n">
        <x:f>'Вводные'!$M$91*((IF(SUM($D78:$GA78)=0,0,IF(SUM($D81:$GA81)=0,1,'Вводные'!$B$63)))*AK80+(1-(IF(SUM($D78:$GA78)=0,0,IF(SUM($D81:$GA81)=0,1,'Вводные'!$B$63))))*AK82)</x:f>
      </x:c>
      <x:c r="AL86" s="107" t="n">
        <x:f>'Вводные'!$M$91*((IF(SUM($D78:$GA78)=0,0,IF(SUM($D81:$GA81)=0,1,'Вводные'!$B$63)))*AL80+(1-(IF(SUM($D78:$GA78)=0,0,IF(SUM($D81:$GA81)=0,1,'Вводные'!$B$63))))*AL82)</x:f>
      </x:c>
      <x:c r="AM86" s="107" t="n">
        <x:f>'Вводные'!$M$91*((IF(SUM($D78:$GA78)=0,0,IF(SUM($D81:$GA81)=0,1,'Вводные'!$B$63)))*AM80+(1-(IF(SUM($D78:$GA78)=0,0,IF(SUM($D81:$GA81)=0,1,'Вводные'!$B$63))))*AM82)</x:f>
      </x:c>
      <x:c r="AN86" s="107" t="n">
        <x:f>'Вводные'!$M$91*((IF(SUM($D78:$GA78)=0,0,IF(SUM($D81:$GA81)=0,1,'Вводные'!$B$63)))*AN80+(1-(IF(SUM($D78:$GA78)=0,0,IF(SUM($D81:$GA81)=0,1,'Вводные'!$B$63))))*AN82)</x:f>
      </x:c>
      <x:c r="AO86" s="107" t="n">
        <x:f>'Вводные'!$M$91*((IF(SUM($D78:$GA78)=0,0,IF(SUM($D81:$GA81)=0,1,'Вводные'!$B$63)))*AO80+(1-(IF(SUM($D78:$GA78)=0,0,IF(SUM($D81:$GA81)=0,1,'Вводные'!$B$63))))*AO82)</x:f>
      </x:c>
      <x:c r="AP86" s="107" t="n">
        <x:f>'Вводные'!$M$91*((IF(SUM($D78:$GA78)=0,0,IF(SUM($D81:$GA81)=0,1,'Вводные'!$B$63)))*AP80+(1-(IF(SUM($D78:$GA78)=0,0,IF(SUM($D81:$GA81)=0,1,'Вводные'!$B$63))))*AP82)</x:f>
      </x:c>
      <x:c r="AQ86" s="107" t="n">
        <x:f>'Вводные'!$M$91*((IF(SUM($D78:$GA78)=0,0,IF(SUM($D81:$GA81)=0,1,'Вводные'!$B$63)))*AQ80+(1-(IF(SUM($D78:$GA78)=0,0,IF(SUM($D81:$GA81)=0,1,'Вводные'!$B$63))))*AQ82)</x:f>
      </x:c>
      <x:c r="AR86" s="107" t="n">
        <x:f>'Вводные'!$M$91*((IF(SUM($D78:$GA78)=0,0,IF(SUM($D81:$GA81)=0,1,'Вводные'!$B$63)))*AR80+(1-(IF(SUM($D78:$GA78)=0,0,IF(SUM($D81:$GA81)=0,1,'Вводные'!$B$63))))*AR82)</x:f>
      </x:c>
      <x:c r="AS86" s="107" t="n">
        <x:f>'Вводные'!$M$91*((IF(SUM($D78:$GA78)=0,0,IF(SUM($D81:$GA81)=0,1,'Вводные'!$B$63)))*AS80+(1-(IF(SUM($D78:$GA78)=0,0,IF(SUM($D81:$GA81)=0,1,'Вводные'!$B$63))))*AS82)</x:f>
      </x:c>
      <x:c r="AT86" s="107" t="n">
        <x:f>'Вводные'!$M$91*((IF(SUM($D78:$GA78)=0,0,IF(SUM($D81:$GA81)=0,1,'Вводные'!$B$63)))*AT80+(1-(IF(SUM($D78:$GA78)=0,0,IF(SUM($D81:$GA81)=0,1,'Вводные'!$B$63))))*AT82)</x:f>
      </x:c>
      <x:c r="AU86" s="107" t="n">
        <x:f>'Вводные'!$M$91*((IF(SUM($D78:$GA78)=0,0,IF(SUM($D81:$GA81)=0,1,'Вводные'!$B$63)))*AU80+(1-(IF(SUM($D78:$GA78)=0,0,IF(SUM($D81:$GA81)=0,1,'Вводные'!$B$63))))*AU82)</x:f>
      </x:c>
      <x:c r="AV86" s="107" t="n">
        <x:f>'Вводные'!$M$91*((IF(SUM($D78:$GA78)=0,0,IF(SUM($D81:$GA81)=0,1,'Вводные'!$B$63)))*AV80+(1-(IF(SUM($D78:$GA78)=0,0,IF(SUM($D81:$GA81)=0,1,'Вводные'!$B$63))))*AV82)</x:f>
      </x:c>
      <x:c r="AW86" s="107" t="n">
        <x:f>'Вводные'!$M$91*((IF(SUM($D78:$GA78)=0,0,IF(SUM($D81:$GA81)=0,1,'Вводные'!$B$63)))*AW80+(1-(IF(SUM($D78:$GA78)=0,0,IF(SUM($D81:$GA81)=0,1,'Вводные'!$B$63))))*AW82)</x:f>
      </x:c>
      <x:c r="AX86" s="107" t="n">
        <x:f>'Вводные'!$M$91*((IF(SUM($D78:$GA78)=0,0,IF(SUM($D81:$GA81)=0,1,'Вводные'!$B$63)))*AX80+(1-(IF(SUM($D78:$GA78)=0,0,IF(SUM($D81:$GA81)=0,1,'Вводные'!$B$63))))*AX82)</x:f>
      </x:c>
      <x:c r="AY86" s="107" t="n">
        <x:f>'Вводные'!$M$91*((IF(SUM($D78:$GA78)=0,0,IF(SUM($D81:$GA81)=0,1,'Вводные'!$B$63)))*AY80+(1-(IF(SUM($D78:$GA78)=0,0,IF(SUM($D81:$GA81)=0,1,'Вводные'!$B$63))))*AY82)</x:f>
      </x:c>
      <x:c r="AZ86" s="107" t="n">
        <x:f>'Вводные'!$M$91*((IF(SUM($D78:$GA78)=0,0,IF(SUM($D81:$GA81)=0,1,'Вводные'!$B$63)))*AZ80+(1-(IF(SUM($D78:$GA78)=0,0,IF(SUM($D81:$GA81)=0,1,'Вводные'!$B$63))))*AZ82)</x:f>
      </x:c>
      <x:c r="BA86" s="107" t="n">
        <x:f>'Вводные'!$M$91*((IF(SUM($D78:$GA78)=0,0,IF(SUM($D81:$GA81)=0,1,'Вводные'!$B$63)))*BA80+(1-(IF(SUM($D78:$GA78)=0,0,IF(SUM($D81:$GA81)=0,1,'Вводные'!$B$63))))*BA82)</x:f>
      </x:c>
      <x:c r="BB86" s="107" t="n">
        <x:f>'Вводные'!$M$91*((IF(SUM($D78:$GA78)=0,0,IF(SUM($D81:$GA81)=0,1,'Вводные'!$B$63)))*BB80+(1-(IF(SUM($D78:$GA78)=0,0,IF(SUM($D81:$GA81)=0,1,'Вводные'!$B$63))))*BB82)</x:f>
      </x:c>
      <x:c r="BC86" s="107" t="n">
        <x:f>'Вводные'!$M$91*((IF(SUM($D78:$GA78)=0,0,IF(SUM($D81:$GA81)=0,1,'Вводные'!$B$63)))*BC80+(1-(IF(SUM($D78:$GA78)=0,0,IF(SUM($D81:$GA81)=0,1,'Вводные'!$B$63))))*BC82)</x:f>
      </x:c>
      <x:c r="BD86" s="107" t="n">
        <x:f>'Вводные'!$M$91*((IF(SUM($D78:$GA78)=0,0,IF(SUM($D81:$GA81)=0,1,'Вводные'!$B$63)))*BD80+(1-(IF(SUM($D78:$GA78)=0,0,IF(SUM($D81:$GA81)=0,1,'Вводные'!$B$63))))*BD82)</x:f>
      </x:c>
      <x:c r="BE86" s="107" t="n">
        <x:f>'Вводные'!$M$91*((IF(SUM($D78:$GA78)=0,0,IF(SUM($D81:$GA81)=0,1,'Вводные'!$B$63)))*BE80+(1-(IF(SUM($D78:$GA78)=0,0,IF(SUM($D81:$GA81)=0,1,'Вводные'!$B$63))))*BE82)</x:f>
      </x:c>
      <x:c r="BF86" s="107" t="n">
        <x:f>'Вводные'!$M$91*((IF(SUM($D78:$GA78)=0,0,IF(SUM($D81:$GA81)=0,1,'Вводные'!$B$63)))*BF80+(1-(IF(SUM($D78:$GA78)=0,0,IF(SUM($D81:$GA81)=0,1,'Вводные'!$B$63))))*BF82)</x:f>
      </x:c>
      <x:c r="BG86" s="107" t="n">
        <x:f>'Вводные'!$M$91*((IF(SUM($D78:$GA78)=0,0,IF(SUM($D81:$GA81)=0,1,'Вводные'!$B$63)))*BG80+(1-(IF(SUM($D78:$GA78)=0,0,IF(SUM($D81:$GA81)=0,1,'Вводные'!$B$63))))*BG82)</x:f>
      </x:c>
      <x:c r="BH86" s="107" t="n">
        <x:f>'Вводные'!$M$91*((IF(SUM($D78:$GA78)=0,0,IF(SUM($D81:$GA81)=0,1,'Вводные'!$B$63)))*BH80+(1-(IF(SUM($D78:$GA78)=0,0,IF(SUM($D81:$GA81)=0,1,'Вводные'!$B$63))))*BH82)</x:f>
      </x:c>
      <x:c r="BI86" s="107" t="n">
        <x:f>'Вводные'!$M$91*((IF(SUM($D78:$GA78)=0,0,IF(SUM($D81:$GA81)=0,1,'Вводные'!$B$63)))*BI80+(1-(IF(SUM($D78:$GA78)=0,0,IF(SUM($D81:$GA81)=0,1,'Вводные'!$B$63))))*BI82)</x:f>
      </x:c>
      <x:c r="BJ86" s="107" t="n">
        <x:f>'Вводные'!$M$91*((IF(SUM($D78:$GA78)=0,0,IF(SUM($D81:$GA81)=0,1,'Вводные'!$B$63)))*BJ80+(1-(IF(SUM($D78:$GA78)=0,0,IF(SUM($D81:$GA81)=0,1,'Вводные'!$B$63))))*BJ82)</x:f>
      </x:c>
      <x:c r="BK86" s="107" t="n">
        <x:f>'Вводные'!$M$91*((IF(SUM($D78:$GA78)=0,0,IF(SUM($D81:$GA81)=0,1,'Вводные'!$B$63)))*BK80+(1-(IF(SUM($D78:$GA78)=0,0,IF(SUM($D81:$GA81)=0,1,'Вводные'!$B$63))))*BK82)</x:f>
      </x:c>
      <x:c r="BL86" s="107" t="n">
        <x:f>'Вводные'!$M$91*((IF(SUM($D78:$GA78)=0,0,IF(SUM($D81:$GA81)=0,1,'Вводные'!$B$63)))*BL80+(1-(IF(SUM($D78:$GA78)=0,0,IF(SUM($D81:$GA81)=0,1,'Вводные'!$B$63))))*BL82)</x:f>
      </x:c>
      <x:c r="BM86" s="107" t="n">
        <x:f>'Вводные'!$M$91*((IF(SUM($D78:$GA78)=0,0,IF(SUM($D81:$GA81)=0,1,'Вводные'!$B$63)))*BM80+(1-(IF(SUM($D78:$GA78)=0,0,IF(SUM($D81:$GA81)=0,1,'Вводные'!$B$63))))*BM82)</x:f>
      </x:c>
      <x:c r="BN86" s="107" t="n">
        <x:f>'Вводные'!$M$91*((IF(SUM($D78:$GA78)=0,0,IF(SUM($D81:$GA81)=0,1,'Вводные'!$B$63)))*BN80+(1-(IF(SUM($D78:$GA78)=0,0,IF(SUM($D81:$GA81)=0,1,'Вводные'!$B$63))))*BN82)</x:f>
      </x:c>
      <x:c r="BO86" s="107" t="n">
        <x:f>'Вводные'!$M$91*((IF(SUM($D78:$GA78)=0,0,IF(SUM($D81:$GA81)=0,1,'Вводные'!$B$63)))*BO80+(1-(IF(SUM($D78:$GA78)=0,0,IF(SUM($D81:$GA81)=0,1,'Вводные'!$B$63))))*BO82)</x:f>
      </x:c>
      <x:c r="BP86" s="107" t="n">
        <x:f>'Вводные'!$M$91*((IF(SUM($D78:$GA78)=0,0,IF(SUM($D81:$GA81)=0,1,'Вводные'!$B$63)))*BP80+(1-(IF(SUM($D78:$GA78)=0,0,IF(SUM($D81:$GA81)=0,1,'Вводные'!$B$63))))*BP82)</x:f>
      </x:c>
      <x:c r="BQ86" s="107" t="n">
        <x:f>'Вводные'!$M$91*((IF(SUM($D78:$GA78)=0,0,IF(SUM($D81:$GA81)=0,1,'Вводные'!$B$63)))*BQ80+(1-(IF(SUM($D78:$GA78)=0,0,IF(SUM($D81:$GA81)=0,1,'Вводные'!$B$63))))*BQ82)</x:f>
      </x:c>
      <x:c r="BR86" s="107" t="n">
        <x:f>'Вводные'!$M$91*((IF(SUM($D78:$GA78)=0,0,IF(SUM($D81:$GA81)=0,1,'Вводные'!$B$63)))*BR80+(1-(IF(SUM($D78:$GA78)=0,0,IF(SUM($D81:$GA81)=0,1,'Вводные'!$B$63))))*BR82)</x:f>
      </x:c>
      <x:c r="BS86" s="107" t="n">
        <x:f>'Вводные'!$M$91*((IF(SUM($D78:$GA78)=0,0,IF(SUM($D81:$GA81)=0,1,'Вводные'!$B$63)))*BS80+(1-(IF(SUM($D78:$GA78)=0,0,IF(SUM($D81:$GA81)=0,1,'Вводные'!$B$63))))*BS82)</x:f>
      </x:c>
      <x:c r="BT86" s="107" t="n">
        <x:f>'Вводные'!$M$91*((IF(SUM($D78:$GA78)=0,0,IF(SUM($D81:$GA81)=0,1,'Вводные'!$B$63)))*BT80+(1-(IF(SUM($D78:$GA78)=0,0,IF(SUM($D81:$GA81)=0,1,'Вводные'!$B$63))))*BT82)</x:f>
      </x:c>
      <x:c r="BU86" s="107" t="n">
        <x:f>'Вводные'!$M$91*((IF(SUM($D78:$GA78)=0,0,IF(SUM($D81:$GA81)=0,1,'Вводные'!$B$63)))*BU80+(1-(IF(SUM($D78:$GA78)=0,0,IF(SUM($D81:$GA81)=0,1,'Вводные'!$B$63))))*BU82)</x:f>
      </x:c>
      <x:c r="BV86" s="107" t="n">
        <x:f>'Вводные'!$M$91*((IF(SUM($D78:$GA78)=0,0,IF(SUM($D81:$GA81)=0,1,'Вводные'!$B$63)))*BV80+(1-(IF(SUM($D78:$GA78)=0,0,IF(SUM($D81:$GA81)=0,1,'Вводные'!$B$63))))*BV82)</x:f>
      </x:c>
      <x:c r="BW86" s="107" t="n">
        <x:f>'Вводные'!$M$91*((IF(SUM($D78:$GA78)=0,0,IF(SUM($D81:$GA81)=0,1,'Вводные'!$B$63)))*BW80+(1-(IF(SUM($D78:$GA78)=0,0,IF(SUM($D81:$GA81)=0,1,'Вводные'!$B$63))))*BW82)</x:f>
      </x:c>
      <x:c r="BX86" s="107" t="n">
        <x:f>'Вводные'!$M$91*((IF(SUM($D78:$GA78)=0,0,IF(SUM($D81:$GA81)=0,1,'Вводные'!$B$63)))*BX80+(1-(IF(SUM($D78:$GA78)=0,0,IF(SUM($D81:$GA81)=0,1,'Вводные'!$B$63))))*BX82)</x:f>
      </x:c>
      <x:c r="BY86" s="107" t="n">
        <x:f>'Вводные'!$M$91*((IF(SUM($D78:$GA78)=0,0,IF(SUM($D81:$GA81)=0,1,'Вводные'!$B$63)))*BY80+(1-(IF(SUM($D78:$GA78)=0,0,IF(SUM($D81:$GA81)=0,1,'Вводные'!$B$63))))*BY82)</x:f>
      </x:c>
      <x:c r="BZ86" s="107" t="n">
        <x:f>'Вводные'!$M$91*((IF(SUM($D78:$GA78)=0,0,IF(SUM($D81:$GA81)=0,1,'Вводные'!$B$63)))*BZ80+(1-(IF(SUM($D78:$GA78)=0,0,IF(SUM($D81:$GA81)=0,1,'Вводные'!$B$63))))*BZ82)</x:f>
      </x:c>
      <x:c r="CA86" s="107" t="n">
        <x:f>'Вводные'!$M$91*((IF(SUM($D78:$GA78)=0,0,IF(SUM($D81:$GA81)=0,1,'Вводные'!$B$63)))*CA80+(1-(IF(SUM($D78:$GA78)=0,0,IF(SUM($D81:$GA81)=0,1,'Вводные'!$B$63))))*CA82)</x:f>
      </x:c>
      <x:c r="CB86" s="107" t="n">
        <x:f>'Вводные'!$M$91*((IF(SUM($D78:$GA78)=0,0,IF(SUM($D81:$GA81)=0,1,'Вводные'!$B$63)))*CB80+(1-(IF(SUM($D78:$GA78)=0,0,IF(SUM($D81:$GA81)=0,1,'Вводные'!$B$63))))*CB82)</x:f>
      </x:c>
      <x:c r="CC86" s="107" t="n">
        <x:f>'Вводные'!$M$91*((IF(SUM($D78:$GA78)=0,0,IF(SUM($D81:$GA81)=0,1,'Вводные'!$B$63)))*CC80+(1-(IF(SUM($D78:$GA78)=0,0,IF(SUM($D81:$GA81)=0,1,'Вводные'!$B$63))))*CC82)</x:f>
      </x:c>
      <x:c r="CD86" s="107" t="n">
        <x:f>'Вводные'!$M$91*((IF(SUM($D78:$GA78)=0,0,IF(SUM($D81:$GA81)=0,1,'Вводные'!$B$63)))*CD80+(1-(IF(SUM($D78:$GA78)=0,0,IF(SUM($D81:$GA81)=0,1,'Вводные'!$B$63))))*CD82)</x:f>
      </x:c>
      <x:c r="CE86" s="107" t="n">
        <x:f>'Вводные'!$M$91*((IF(SUM($D78:$GA78)=0,0,IF(SUM($D81:$GA81)=0,1,'Вводные'!$B$63)))*CE80+(1-(IF(SUM($D78:$GA78)=0,0,IF(SUM($D81:$GA81)=0,1,'Вводные'!$B$63))))*CE82)</x:f>
      </x:c>
      <x:c r="CF86" s="107" t="n">
        <x:f>'Вводные'!$M$91*((IF(SUM($D78:$GA78)=0,0,IF(SUM($D81:$GA81)=0,1,'Вводные'!$B$63)))*CF80+(1-(IF(SUM($D78:$GA78)=0,0,IF(SUM($D81:$GA81)=0,1,'Вводные'!$B$63))))*CF82)</x:f>
      </x:c>
      <x:c r="CG86" s="107" t="n">
        <x:f>'Вводные'!$M$91*((IF(SUM($D78:$GA78)=0,0,IF(SUM($D81:$GA81)=0,1,'Вводные'!$B$63)))*CG80+(1-(IF(SUM($D78:$GA78)=0,0,IF(SUM($D81:$GA81)=0,1,'Вводные'!$B$63))))*CG82)</x:f>
      </x:c>
      <x:c r="CH86" s="107" t="n">
        <x:f>'Вводные'!$M$91*((IF(SUM($D78:$GA78)=0,0,IF(SUM($D81:$GA81)=0,1,'Вводные'!$B$63)))*CH80+(1-(IF(SUM($D78:$GA78)=0,0,IF(SUM($D81:$GA81)=0,1,'Вводные'!$B$63))))*CH82)</x:f>
      </x:c>
      <x:c r="CI86" s="107" t="n">
        <x:f>'Вводные'!$M$91*((IF(SUM($D78:$GA78)=0,0,IF(SUM($D81:$GA81)=0,1,'Вводные'!$B$63)))*CI80+(1-(IF(SUM($D78:$GA78)=0,0,IF(SUM($D81:$GA81)=0,1,'Вводные'!$B$63))))*CI82)</x:f>
      </x:c>
      <x:c r="CJ86" s="107" t="n">
        <x:f>'Вводные'!$M$91*((IF(SUM($D78:$GA78)=0,0,IF(SUM($D81:$GA81)=0,1,'Вводные'!$B$63)))*CJ80+(1-(IF(SUM($D78:$GA78)=0,0,IF(SUM($D81:$GA81)=0,1,'Вводные'!$B$63))))*CJ82)</x:f>
      </x:c>
      <x:c r="CK86" s="107" t="n">
        <x:f>'Вводные'!$M$91*((IF(SUM($D78:$GA78)=0,0,IF(SUM($D81:$GA81)=0,1,'Вводные'!$B$63)))*CK80+(1-(IF(SUM($D78:$GA78)=0,0,IF(SUM($D81:$GA81)=0,1,'Вводные'!$B$63))))*CK82)</x:f>
      </x:c>
      <x:c r="CL86" s="107" t="n">
        <x:f>'Вводные'!$M$91*((IF(SUM($D78:$GA78)=0,0,IF(SUM($D81:$GA81)=0,1,'Вводные'!$B$63)))*CL80+(1-(IF(SUM($D78:$GA78)=0,0,IF(SUM($D81:$GA81)=0,1,'Вводные'!$B$63))))*CL82)</x:f>
      </x:c>
      <x:c r="CM86" s="107" t="n">
        <x:f>'Вводные'!$M$91*((IF(SUM($D78:$GA78)=0,0,IF(SUM($D81:$GA81)=0,1,'Вводные'!$B$63)))*CM80+(1-(IF(SUM($D78:$GA78)=0,0,IF(SUM($D81:$GA81)=0,1,'Вводные'!$B$63))))*CM82)</x:f>
      </x:c>
      <x:c r="CN86" s="107" t="n">
        <x:f>'Вводные'!$M$91*((IF(SUM($D78:$GA78)=0,0,IF(SUM($D81:$GA81)=0,1,'Вводные'!$B$63)))*CN80+(1-(IF(SUM($D78:$GA78)=0,0,IF(SUM($D81:$GA81)=0,1,'Вводные'!$B$63))))*CN82)</x:f>
      </x:c>
      <x:c r="CO86" s="107" t="n">
        <x:f>'Вводные'!$M$91*((IF(SUM($D78:$GA78)=0,0,IF(SUM($D81:$GA81)=0,1,'Вводные'!$B$63)))*CO80+(1-(IF(SUM($D78:$GA78)=0,0,IF(SUM($D81:$GA81)=0,1,'Вводные'!$B$63))))*CO82)</x:f>
      </x:c>
      <x:c r="CP86" s="107" t="n">
        <x:f>'Вводные'!$M$91*((IF(SUM($D78:$GA78)=0,0,IF(SUM($D81:$GA81)=0,1,'Вводные'!$B$63)))*CP80+(1-(IF(SUM($D78:$GA78)=0,0,IF(SUM($D81:$GA81)=0,1,'Вводные'!$B$63))))*CP82)</x:f>
      </x:c>
      <x:c r="CQ86" s="107" t="n">
        <x:f>'Вводные'!$M$91*((IF(SUM($D78:$GA78)=0,0,IF(SUM($D81:$GA81)=0,1,'Вводные'!$B$63)))*CQ80+(1-(IF(SUM($D78:$GA78)=0,0,IF(SUM($D81:$GA81)=0,1,'Вводные'!$B$63))))*CQ82)</x:f>
      </x:c>
      <x:c r="CR86" s="107" t="n">
        <x:f>'Вводные'!$M$91*((IF(SUM($D78:$GA78)=0,0,IF(SUM($D81:$GA81)=0,1,'Вводные'!$B$63)))*CR80+(1-(IF(SUM($D78:$GA78)=0,0,IF(SUM($D81:$GA81)=0,1,'Вводные'!$B$63))))*CR82)</x:f>
      </x:c>
      <x:c r="CS86" s="107" t="n">
        <x:f>'Вводные'!$M$91*((IF(SUM($D78:$GA78)=0,0,IF(SUM($D81:$GA81)=0,1,'Вводные'!$B$63)))*CS80+(1-(IF(SUM($D78:$GA78)=0,0,IF(SUM($D81:$GA81)=0,1,'Вводные'!$B$63))))*CS82)</x:f>
      </x:c>
      <x:c r="CT86" s="107" t="n">
        <x:f>'Вводные'!$M$91*((IF(SUM($D78:$GA78)=0,0,IF(SUM($D81:$GA81)=0,1,'Вводные'!$B$63)))*CT80+(1-(IF(SUM($D78:$GA78)=0,0,IF(SUM($D81:$GA81)=0,1,'Вводные'!$B$63))))*CT82)</x:f>
      </x:c>
      <x:c r="CU86" s="107" t="n">
        <x:f>'Вводные'!$M$91*((IF(SUM($D78:$GA78)=0,0,IF(SUM($D81:$GA81)=0,1,'Вводные'!$B$63)))*CU80+(1-(IF(SUM($D78:$GA78)=0,0,IF(SUM($D81:$GA81)=0,1,'Вводные'!$B$63))))*CU82)</x:f>
      </x:c>
      <x:c r="CV86" s="107" t="n">
        <x:f>'Вводные'!$M$91*((IF(SUM($D78:$GA78)=0,0,IF(SUM($D81:$GA81)=0,1,'Вводные'!$B$63)))*CV80+(1-(IF(SUM($D78:$GA78)=0,0,IF(SUM($D81:$GA81)=0,1,'Вводные'!$B$63))))*CV82)</x:f>
      </x:c>
      <x:c r="CW86" s="107" t="n">
        <x:f>'Вводные'!$M$91*((IF(SUM($D78:$GA78)=0,0,IF(SUM($D81:$GA81)=0,1,'Вводные'!$B$63)))*CW80+(1-(IF(SUM($D78:$GA78)=0,0,IF(SUM($D81:$GA81)=0,1,'Вводные'!$B$63))))*CW82)</x:f>
      </x:c>
      <x:c r="CX86" s="107" t="n">
        <x:f>'Вводные'!$M$91*((IF(SUM($D78:$GA78)=0,0,IF(SUM($D81:$GA81)=0,1,'Вводные'!$B$63)))*CX80+(1-(IF(SUM($D78:$GA78)=0,0,IF(SUM($D81:$GA81)=0,1,'Вводные'!$B$63))))*CX82)</x:f>
      </x:c>
      <x:c r="CY86" s="107" t="n">
        <x:f>'Вводные'!$M$91*((IF(SUM($D78:$GA78)=0,0,IF(SUM($D81:$GA81)=0,1,'Вводные'!$B$63)))*CY80+(1-(IF(SUM($D78:$GA78)=0,0,IF(SUM($D81:$GA81)=0,1,'Вводные'!$B$63))))*CY82)</x:f>
      </x:c>
      <x:c r="CZ86" s="107" t="n">
        <x:f>'Вводные'!$M$91*((IF(SUM($D78:$GA78)=0,0,IF(SUM($D81:$GA81)=0,1,'Вводные'!$B$63)))*CZ80+(1-(IF(SUM($D78:$GA78)=0,0,IF(SUM($D81:$GA81)=0,1,'Вводные'!$B$63))))*CZ82)</x:f>
      </x:c>
      <x:c r="DA86" s="107" t="n">
        <x:f>'Вводные'!$M$91*((IF(SUM($D78:$GA78)=0,0,IF(SUM($D81:$GA81)=0,1,'Вводные'!$B$63)))*DA80+(1-(IF(SUM($D78:$GA78)=0,0,IF(SUM($D81:$GA81)=0,1,'Вводные'!$B$63))))*DA82)</x:f>
      </x:c>
      <x:c r="DB86" s="107" t="n">
        <x:f>'Вводные'!$M$91*((IF(SUM($D78:$GA78)=0,0,IF(SUM($D81:$GA81)=0,1,'Вводные'!$B$63)))*DB80+(1-(IF(SUM($D78:$GA78)=0,0,IF(SUM($D81:$GA81)=0,1,'Вводные'!$B$63))))*DB82)</x:f>
      </x:c>
      <x:c r="DC86" s="107" t="n">
        <x:f>'Вводные'!$M$91*((IF(SUM($D78:$GA78)=0,0,IF(SUM($D81:$GA81)=0,1,'Вводные'!$B$63)))*DC80+(1-(IF(SUM($D78:$GA78)=0,0,IF(SUM($D81:$GA81)=0,1,'Вводные'!$B$63))))*DC82)</x:f>
      </x:c>
      <x:c r="DD86" s="107" t="n">
        <x:f>'Вводные'!$M$91*((IF(SUM($D78:$GA78)=0,0,IF(SUM($D81:$GA81)=0,1,'Вводные'!$B$63)))*DD80+(1-(IF(SUM($D78:$GA78)=0,0,IF(SUM($D81:$GA81)=0,1,'Вводные'!$B$63))))*DD82)</x:f>
      </x:c>
      <x:c r="DE86" s="107" t="n">
        <x:f>'Вводные'!$M$91*((IF(SUM($D78:$GA78)=0,0,IF(SUM($D81:$GA81)=0,1,'Вводные'!$B$63)))*DE80+(1-(IF(SUM($D78:$GA78)=0,0,IF(SUM($D81:$GA81)=0,1,'Вводные'!$B$63))))*DE82)</x:f>
      </x:c>
      <x:c r="DF86" s="107" t="n">
        <x:f>'Вводные'!$M$91*((IF(SUM($D78:$GA78)=0,0,IF(SUM($D81:$GA81)=0,1,'Вводные'!$B$63)))*DF80+(1-(IF(SUM($D78:$GA78)=0,0,IF(SUM($D81:$GA81)=0,1,'Вводные'!$B$63))))*DF82)</x:f>
      </x:c>
      <x:c r="DG86" s="107" t="n">
        <x:f>'Вводные'!$M$91*((IF(SUM($D78:$GA78)=0,0,IF(SUM($D81:$GA81)=0,1,'Вводные'!$B$63)))*DG80+(1-(IF(SUM($D78:$GA78)=0,0,IF(SUM($D81:$GA81)=0,1,'Вводные'!$B$63))))*DG82)</x:f>
      </x:c>
      <x:c r="DH86" s="107" t="n">
        <x:f>'Вводные'!$M$91*((IF(SUM($D78:$GA78)=0,0,IF(SUM($D81:$GA81)=0,1,'Вводные'!$B$63)))*DH80+(1-(IF(SUM($D78:$GA78)=0,0,IF(SUM($D81:$GA81)=0,1,'Вводные'!$B$63))))*DH82)</x:f>
      </x:c>
      <x:c r="DI86" s="107" t="n">
        <x:f>'Вводные'!$M$91*((IF(SUM($D78:$GA78)=0,0,IF(SUM($D81:$GA81)=0,1,'Вводные'!$B$63)))*DI80+(1-(IF(SUM($D78:$GA78)=0,0,IF(SUM($D81:$GA81)=0,1,'Вводные'!$B$63))))*DI82)</x:f>
      </x:c>
      <x:c r="DJ86" s="107" t="n">
        <x:f>'Вводные'!$M$91*((IF(SUM($D78:$GA78)=0,0,IF(SUM($D81:$GA81)=0,1,'Вводные'!$B$63)))*DJ80+(1-(IF(SUM($D78:$GA78)=0,0,IF(SUM($D81:$GA81)=0,1,'Вводные'!$B$63))))*DJ82)</x:f>
      </x:c>
      <x:c r="DK86" s="107" t="n">
        <x:f>'Вводные'!$M$91*((IF(SUM($D78:$GA78)=0,0,IF(SUM($D81:$GA81)=0,1,'Вводные'!$B$63)))*DK80+(1-(IF(SUM($D78:$GA78)=0,0,IF(SUM($D81:$GA81)=0,1,'Вводные'!$B$63))))*DK82)</x:f>
      </x:c>
      <x:c r="DL86" s="107" t="n">
        <x:f>'Вводные'!$M$91*((IF(SUM($D78:$GA78)=0,0,IF(SUM($D81:$GA81)=0,1,'Вводные'!$B$63)))*DL80+(1-(IF(SUM($D78:$GA78)=0,0,IF(SUM($D81:$GA81)=0,1,'Вводные'!$B$63))))*DL82)</x:f>
      </x:c>
      <x:c r="DM86" s="107" t="n">
        <x:f>'Вводные'!$M$91*((IF(SUM($D78:$GA78)=0,0,IF(SUM($D81:$GA81)=0,1,'Вводные'!$B$63)))*DM80+(1-(IF(SUM($D78:$GA78)=0,0,IF(SUM($D81:$GA81)=0,1,'Вводные'!$B$63))))*DM82)</x:f>
      </x:c>
      <x:c r="DN86" s="107" t="n">
        <x:f>'Вводные'!$M$91*((IF(SUM($D78:$GA78)=0,0,IF(SUM($D81:$GA81)=0,1,'Вводные'!$B$63)))*DN80+(1-(IF(SUM($D78:$GA78)=0,0,IF(SUM($D81:$GA81)=0,1,'Вводные'!$B$63))))*DN82)</x:f>
      </x:c>
      <x:c r="DO86" s="107" t="n">
        <x:f>'Вводные'!$M$91*((IF(SUM($D78:$GA78)=0,0,IF(SUM($D81:$GA81)=0,1,'Вводные'!$B$63)))*DO80+(1-(IF(SUM($D78:$GA78)=0,0,IF(SUM($D81:$GA81)=0,1,'Вводные'!$B$63))))*DO82)</x:f>
      </x:c>
      <x:c r="DP86" s="107" t="n">
        <x:f>'Вводные'!$M$91*((IF(SUM($D78:$GA78)=0,0,IF(SUM($D81:$GA81)=0,1,'Вводные'!$B$63)))*DP80+(1-(IF(SUM($D78:$GA78)=0,0,IF(SUM($D81:$GA81)=0,1,'Вводные'!$B$63))))*DP82)</x:f>
      </x:c>
      <x:c r="DQ86" s="107" t="n">
        <x:f>'Вводные'!$M$91*((IF(SUM($D78:$GA78)=0,0,IF(SUM($D81:$GA81)=0,1,'Вводные'!$B$63)))*DQ80+(1-(IF(SUM($D78:$GA78)=0,0,IF(SUM($D81:$GA81)=0,1,'Вводные'!$B$63))))*DQ82)</x:f>
      </x:c>
      <x:c r="DR86" s="107" t="n">
        <x:f>'Вводные'!$M$91*((IF(SUM($D78:$GA78)=0,0,IF(SUM($D81:$GA81)=0,1,'Вводные'!$B$63)))*DR80+(1-(IF(SUM($D78:$GA78)=0,0,IF(SUM($D81:$GA81)=0,1,'Вводные'!$B$63))))*DR82)</x:f>
      </x:c>
      <x:c r="DS86" s="107" t="n">
        <x:f>'Вводные'!$M$91*((IF(SUM($D78:$GA78)=0,0,IF(SUM($D81:$GA81)=0,1,'Вводные'!$B$63)))*DS80+(1-(IF(SUM($D78:$GA78)=0,0,IF(SUM($D81:$GA81)=0,1,'Вводные'!$B$63))))*DS82)</x:f>
      </x:c>
      <x:c r="DT86" s="107" t="n">
        <x:f>'Вводные'!$M$91*((IF(SUM($D78:$GA78)=0,0,IF(SUM($D81:$GA81)=0,1,'Вводные'!$B$63)))*DT80+(1-(IF(SUM($D78:$GA78)=0,0,IF(SUM($D81:$GA81)=0,1,'Вводные'!$B$63))))*DT82)</x:f>
      </x:c>
      <x:c r="DU86" s="107" t="n">
        <x:f>'Вводные'!$M$91*((IF(SUM($D78:$GA78)=0,0,IF(SUM($D81:$GA81)=0,1,'Вводные'!$B$63)))*DU80+(1-(IF(SUM($D78:$GA78)=0,0,IF(SUM($D81:$GA81)=0,1,'Вводные'!$B$63))))*DU82)</x:f>
      </x:c>
      <x:c r="DV86" s="107" t="n">
        <x:f>'Вводные'!$M$91*((IF(SUM($D78:$GA78)=0,0,IF(SUM($D81:$GA81)=0,1,'Вводные'!$B$63)))*DV80+(1-(IF(SUM($D78:$GA78)=0,0,IF(SUM($D81:$GA81)=0,1,'Вводные'!$B$63))))*DV82)</x:f>
      </x:c>
      <x:c r="DW86" s="107" t="n">
        <x:f>'Вводные'!$M$91*((IF(SUM($D78:$GA78)=0,0,IF(SUM($D81:$GA81)=0,1,'Вводные'!$B$63)))*DW80+(1-(IF(SUM($D78:$GA78)=0,0,IF(SUM($D81:$GA81)=0,1,'Вводные'!$B$63))))*DW82)</x:f>
      </x:c>
      <x:c r="DX86" s="107" t="n">
        <x:f>'Вводные'!$M$91*((IF(SUM($D78:$GA78)=0,0,IF(SUM($D81:$GA81)=0,1,'Вводные'!$B$63)))*DX80+(1-(IF(SUM($D78:$GA78)=0,0,IF(SUM($D81:$GA81)=0,1,'Вводные'!$B$63))))*DX82)</x:f>
      </x:c>
      <x:c r="DY86" s="107" t="n">
        <x:f>'Вводные'!$M$91*((IF(SUM($D78:$GA78)=0,0,IF(SUM($D81:$GA81)=0,1,'Вводные'!$B$63)))*DY80+(1-(IF(SUM($D78:$GA78)=0,0,IF(SUM($D81:$GA81)=0,1,'Вводные'!$B$63))))*DY82)</x:f>
      </x:c>
      <x:c r="DZ86" s="107" t="n">
        <x:f>'Вводные'!$M$91*((IF(SUM($D78:$GA78)=0,0,IF(SUM($D81:$GA81)=0,1,'Вводные'!$B$63)))*DZ80+(1-(IF(SUM($D78:$GA78)=0,0,IF(SUM($D81:$GA81)=0,1,'Вводные'!$B$63))))*DZ82)</x:f>
      </x:c>
      <x:c r="EA86" s="107" t="n">
        <x:f>'Вводные'!$M$91*((IF(SUM($D78:$GA78)=0,0,IF(SUM($D81:$GA81)=0,1,'Вводные'!$B$63)))*EA80+(1-(IF(SUM($D78:$GA78)=0,0,IF(SUM($D81:$GA81)=0,1,'Вводные'!$B$63))))*EA82)</x:f>
      </x:c>
      <x:c r="EB86" s="107" t="n">
        <x:f>'Вводные'!$M$91*((IF(SUM($D78:$GA78)=0,0,IF(SUM($D81:$GA81)=0,1,'Вводные'!$B$63)))*EB80+(1-(IF(SUM($D78:$GA78)=0,0,IF(SUM($D81:$GA81)=0,1,'Вводные'!$B$63))))*EB82)</x:f>
      </x:c>
      <x:c r="EC86" s="107" t="n">
        <x:f>'Вводные'!$M$91*((IF(SUM($D78:$GA78)=0,0,IF(SUM($D81:$GA81)=0,1,'Вводные'!$B$63)))*EC80+(1-(IF(SUM($D78:$GA78)=0,0,IF(SUM($D81:$GA81)=0,1,'Вводные'!$B$63))))*EC82)</x:f>
      </x:c>
      <x:c r="ED86" s="107" t="n">
        <x:f>'Вводные'!$M$91*((IF(SUM($D78:$GA78)=0,0,IF(SUM($D81:$GA81)=0,1,'Вводные'!$B$63)))*ED80+(1-(IF(SUM($D78:$GA78)=0,0,IF(SUM($D81:$GA81)=0,1,'Вводные'!$B$63))))*ED82)</x:f>
      </x:c>
      <x:c r="EE86" s="107" t="n">
        <x:f>'Вводные'!$M$91*((IF(SUM($D78:$GA78)=0,0,IF(SUM($D81:$GA81)=0,1,'Вводные'!$B$63)))*EE80+(1-(IF(SUM($D78:$GA78)=0,0,IF(SUM($D81:$GA81)=0,1,'Вводные'!$B$63))))*EE82)</x:f>
      </x:c>
      <x:c r="EF86" s="107" t="n">
        <x:f>'Вводные'!$M$91*((IF(SUM($D78:$GA78)=0,0,IF(SUM($D81:$GA81)=0,1,'Вводные'!$B$63)))*EF80+(1-(IF(SUM($D78:$GA78)=0,0,IF(SUM($D81:$GA81)=0,1,'Вводные'!$B$63))))*EF82)</x:f>
      </x:c>
      <x:c r="EG86" s="107" t="n">
        <x:f>'Вводные'!$M$91*((IF(SUM($D78:$GA78)=0,0,IF(SUM($D81:$GA81)=0,1,'Вводные'!$B$63)))*EG80+(1-(IF(SUM($D78:$GA78)=0,0,IF(SUM($D81:$GA81)=0,1,'Вводные'!$B$63))))*EG82)</x:f>
      </x:c>
      <x:c r="EH86" s="107" t="n">
        <x:f>'Вводные'!$M$91*((IF(SUM($D78:$GA78)=0,0,IF(SUM($D81:$GA81)=0,1,'Вводные'!$B$63)))*EH80+(1-(IF(SUM($D78:$GA78)=0,0,IF(SUM($D81:$GA81)=0,1,'Вводные'!$B$63))))*EH82)</x:f>
      </x:c>
      <x:c r="EI86" s="107" t="n">
        <x:f>'Вводные'!$M$91*((IF(SUM($D78:$GA78)=0,0,IF(SUM($D81:$GA81)=0,1,'Вводные'!$B$63)))*EI80+(1-(IF(SUM($D78:$GA78)=0,0,IF(SUM($D81:$GA81)=0,1,'Вводные'!$B$63))))*EI82)</x:f>
      </x:c>
      <x:c r="EJ86" s="107" t="n">
        <x:f>'Вводные'!$M$91*((IF(SUM($D78:$GA78)=0,0,IF(SUM($D81:$GA81)=0,1,'Вводные'!$B$63)))*EJ80+(1-(IF(SUM($D78:$GA78)=0,0,IF(SUM($D81:$GA81)=0,1,'Вводные'!$B$63))))*EJ82)</x:f>
      </x:c>
      <x:c r="EK86" s="107" t="n">
        <x:f>'Вводные'!$M$91*((IF(SUM($D78:$GA78)=0,0,IF(SUM($D81:$GA81)=0,1,'Вводные'!$B$63)))*EK80+(1-(IF(SUM($D78:$GA78)=0,0,IF(SUM($D81:$GA81)=0,1,'Вводные'!$B$63))))*EK82)</x:f>
      </x:c>
      <x:c r="EL86" s="107" t="n">
        <x:f>'Вводные'!$M$91*((IF(SUM($D78:$GA78)=0,0,IF(SUM($D81:$GA81)=0,1,'Вводные'!$B$63)))*EL80+(1-(IF(SUM($D78:$GA78)=0,0,IF(SUM($D81:$GA81)=0,1,'Вводные'!$B$63))))*EL82)</x:f>
      </x:c>
      <x:c r="EM86" s="107" t="n">
        <x:f>'Вводные'!$M$91*((IF(SUM($D78:$GA78)=0,0,IF(SUM($D81:$GA81)=0,1,'Вводные'!$B$63)))*EM80+(1-(IF(SUM($D78:$GA78)=0,0,IF(SUM($D81:$GA81)=0,1,'Вводные'!$B$63))))*EM82)</x:f>
      </x:c>
      <x:c r="EN86" s="107" t="n">
        <x:f>'Вводные'!$M$91*((IF(SUM($D78:$GA78)=0,0,IF(SUM($D81:$GA81)=0,1,'Вводные'!$B$63)))*EN80+(1-(IF(SUM($D78:$GA78)=0,0,IF(SUM($D81:$GA81)=0,1,'Вводные'!$B$63))))*EN82)</x:f>
      </x:c>
      <x:c r="EO86" s="107" t="n">
        <x:f>'Вводные'!$M$91*((IF(SUM($D78:$GA78)=0,0,IF(SUM($D81:$GA81)=0,1,'Вводные'!$B$63)))*EO80+(1-(IF(SUM($D78:$GA78)=0,0,IF(SUM($D81:$GA81)=0,1,'Вводные'!$B$63))))*EO82)</x:f>
      </x:c>
      <x:c r="EP86" s="107" t="n">
        <x:f>'Вводные'!$M$91*((IF(SUM($D78:$GA78)=0,0,IF(SUM($D81:$GA81)=0,1,'Вводные'!$B$63)))*EP80+(1-(IF(SUM($D78:$GA78)=0,0,IF(SUM($D81:$GA81)=0,1,'Вводные'!$B$63))))*EP82)</x:f>
      </x:c>
      <x:c r="EQ86" s="107" t="n">
        <x:f>'Вводные'!$M$91*((IF(SUM($D78:$GA78)=0,0,IF(SUM($D81:$GA81)=0,1,'Вводные'!$B$63)))*EQ80+(1-(IF(SUM($D78:$GA78)=0,0,IF(SUM($D81:$GA81)=0,1,'Вводные'!$B$63))))*EQ82)</x:f>
      </x:c>
      <x:c r="ER86" s="107" t="n">
        <x:f>'Вводные'!$M$91*((IF(SUM($D78:$GA78)=0,0,IF(SUM($D81:$GA81)=0,1,'Вводные'!$B$63)))*ER80+(1-(IF(SUM($D78:$GA78)=0,0,IF(SUM($D81:$GA81)=0,1,'Вводные'!$B$63))))*ER82)</x:f>
      </x:c>
      <x:c r="ES86" s="107" t="n">
        <x:f>'Вводные'!$M$91*((IF(SUM($D78:$GA78)=0,0,IF(SUM($D81:$GA81)=0,1,'Вводные'!$B$63)))*ES80+(1-(IF(SUM($D78:$GA78)=0,0,IF(SUM($D81:$GA81)=0,1,'Вводные'!$B$63))))*ES82)</x:f>
      </x:c>
      <x:c r="ET86" s="107" t="n">
        <x:f>'Вводные'!$M$91*((IF(SUM($D78:$GA78)=0,0,IF(SUM($D81:$GA81)=0,1,'Вводные'!$B$63)))*ET80+(1-(IF(SUM($D78:$GA78)=0,0,IF(SUM($D81:$GA81)=0,1,'Вводные'!$B$63))))*ET82)</x:f>
      </x:c>
      <x:c r="EU86" s="107" t="n">
        <x:f>'Вводные'!$M$91*((IF(SUM($D78:$GA78)=0,0,IF(SUM($D81:$GA81)=0,1,'Вводные'!$B$63)))*EU80+(1-(IF(SUM($D78:$GA78)=0,0,IF(SUM($D81:$GA81)=0,1,'Вводные'!$B$63))))*EU82)</x:f>
      </x:c>
      <x:c r="EV86" s="107" t="n">
        <x:f>'Вводные'!$M$91*((IF(SUM($D78:$GA78)=0,0,IF(SUM($D81:$GA81)=0,1,'Вводные'!$B$63)))*EV80+(1-(IF(SUM($D78:$GA78)=0,0,IF(SUM($D81:$GA81)=0,1,'Вводные'!$B$63))))*EV82)</x:f>
      </x:c>
      <x:c r="EW86" s="107" t="n">
        <x:f>'Вводные'!$M$91*((IF(SUM($D78:$GA78)=0,0,IF(SUM($D81:$GA81)=0,1,'Вводные'!$B$63)))*EW80+(1-(IF(SUM($D78:$GA78)=0,0,IF(SUM($D81:$GA81)=0,1,'Вводные'!$B$63))))*EW82)</x:f>
      </x:c>
      <x:c r="EX86" s="107" t="n">
        <x:f>'Вводные'!$M$91*((IF(SUM($D78:$GA78)=0,0,IF(SUM($D81:$GA81)=0,1,'Вводные'!$B$63)))*EX80+(1-(IF(SUM($D78:$GA78)=0,0,IF(SUM($D81:$GA81)=0,1,'Вводные'!$B$63))))*EX82)</x:f>
      </x:c>
      <x:c r="EY86" s="107" t="n">
        <x:f>'Вводные'!$M$91*((IF(SUM($D78:$GA78)=0,0,IF(SUM($D81:$GA81)=0,1,'Вводные'!$B$63)))*EY80+(1-(IF(SUM($D78:$GA78)=0,0,IF(SUM($D81:$GA81)=0,1,'Вводные'!$B$63))))*EY82)</x:f>
      </x:c>
      <x:c r="EZ86" s="107" t="n">
        <x:f>'Вводные'!$M$91*((IF(SUM($D78:$GA78)=0,0,IF(SUM($D81:$GA81)=0,1,'Вводные'!$B$63)))*EZ80+(1-(IF(SUM($D78:$GA78)=0,0,IF(SUM($D81:$GA81)=0,1,'Вводные'!$B$63))))*EZ82)</x:f>
      </x:c>
      <x:c r="FA86" s="107" t="n">
        <x:f>'Вводные'!$M$91*((IF(SUM($D78:$GA78)=0,0,IF(SUM($D81:$GA81)=0,1,'Вводные'!$B$63)))*FA80+(1-(IF(SUM($D78:$GA78)=0,0,IF(SUM($D81:$GA81)=0,1,'Вводные'!$B$63))))*FA82)</x:f>
      </x:c>
      <x:c r="FB86" s="107" t="n">
        <x:f>'Вводные'!$M$91*((IF(SUM($D78:$GA78)=0,0,IF(SUM($D81:$GA81)=0,1,'Вводные'!$B$63)))*FB80+(1-(IF(SUM($D78:$GA78)=0,0,IF(SUM($D81:$GA81)=0,1,'Вводные'!$B$63))))*FB82)</x:f>
      </x:c>
      <x:c r="FC86" s="107" t="n">
        <x:f>'Вводные'!$M$91*((IF(SUM($D78:$GA78)=0,0,IF(SUM($D81:$GA81)=0,1,'Вводные'!$B$63)))*FC80+(1-(IF(SUM($D78:$GA78)=0,0,IF(SUM($D81:$GA81)=0,1,'Вводные'!$B$63))))*FC82)</x:f>
      </x:c>
      <x:c r="FD86" s="107" t="n">
        <x:f>'Вводные'!$M$91*((IF(SUM($D78:$GA78)=0,0,IF(SUM($D81:$GA81)=0,1,'Вводные'!$B$63)))*FD80+(1-(IF(SUM($D78:$GA78)=0,0,IF(SUM($D81:$GA81)=0,1,'Вводные'!$B$63))))*FD82)</x:f>
      </x:c>
      <x:c r="FE86" s="107" t="n">
        <x:f>'Вводные'!$M$91*((IF(SUM($D78:$GA78)=0,0,IF(SUM($D81:$GA81)=0,1,'Вводные'!$B$63)))*FE80+(1-(IF(SUM($D78:$GA78)=0,0,IF(SUM($D81:$GA81)=0,1,'Вводные'!$B$63))))*FE82)</x:f>
      </x:c>
      <x:c r="FF86" s="107" t="n">
        <x:f>'Вводные'!$M$91*((IF(SUM($D78:$GA78)=0,0,IF(SUM($D81:$GA81)=0,1,'Вводные'!$B$63)))*FF80+(1-(IF(SUM($D78:$GA78)=0,0,IF(SUM($D81:$GA81)=0,1,'Вводные'!$B$63))))*FF82)</x:f>
      </x:c>
      <x:c r="FG86" s="107" t="n">
        <x:f>'Вводные'!$M$91*((IF(SUM($D78:$GA78)=0,0,IF(SUM($D81:$GA81)=0,1,'Вводные'!$B$63)))*FG80+(1-(IF(SUM($D78:$GA78)=0,0,IF(SUM($D81:$GA81)=0,1,'Вводные'!$B$63))))*FG82)</x:f>
      </x:c>
      <x:c r="FH86" s="107" t="n">
        <x:f>'Вводные'!$M$91*((IF(SUM($D78:$GA78)=0,0,IF(SUM($D81:$GA81)=0,1,'Вводные'!$B$63)))*FH80+(1-(IF(SUM($D78:$GA78)=0,0,IF(SUM($D81:$GA81)=0,1,'Вводные'!$B$63))))*FH82)</x:f>
      </x:c>
      <x:c r="FI86" s="107" t="n">
        <x:f>'Вводные'!$M$91*((IF(SUM($D78:$GA78)=0,0,IF(SUM($D81:$GA81)=0,1,'Вводные'!$B$63)))*FI80+(1-(IF(SUM($D78:$GA78)=0,0,IF(SUM($D81:$GA81)=0,1,'Вводные'!$B$63))))*FI82)</x:f>
      </x:c>
      <x:c r="FJ86" s="107" t="n">
        <x:f>'Вводные'!$M$91*((IF(SUM($D78:$GA78)=0,0,IF(SUM($D81:$GA81)=0,1,'Вводные'!$B$63)))*FJ80+(1-(IF(SUM($D78:$GA78)=0,0,IF(SUM($D81:$GA81)=0,1,'Вводные'!$B$63))))*FJ82)</x:f>
      </x:c>
      <x:c r="FK86" s="107" t="n">
        <x:f>'Вводные'!$M$91*((IF(SUM($D78:$GA78)=0,0,IF(SUM($D81:$GA81)=0,1,'Вводные'!$B$63)))*FK80+(1-(IF(SUM($D78:$GA78)=0,0,IF(SUM($D81:$GA81)=0,1,'Вводные'!$B$63))))*FK82)</x:f>
      </x:c>
      <x:c r="FL86" s="107" t="n">
        <x:f>'Вводные'!$M$91*((IF(SUM($D78:$GA78)=0,0,IF(SUM($D81:$GA81)=0,1,'Вводные'!$B$63)))*FL80+(1-(IF(SUM($D78:$GA78)=0,0,IF(SUM($D81:$GA81)=0,1,'Вводные'!$B$63))))*FL82)</x:f>
      </x:c>
      <x:c r="FM86" s="107" t="n">
        <x:f>'Вводные'!$M$91*((IF(SUM($D78:$GA78)=0,0,IF(SUM($D81:$GA81)=0,1,'Вводные'!$B$63)))*FM80+(1-(IF(SUM($D78:$GA78)=0,0,IF(SUM($D81:$GA81)=0,1,'Вводные'!$B$63))))*FM82)</x:f>
      </x:c>
      <x:c r="FN86" s="107" t="n">
        <x:f>'Вводные'!$M$91*((IF(SUM($D78:$GA78)=0,0,IF(SUM($D81:$GA81)=0,1,'Вводные'!$B$63)))*FN80+(1-(IF(SUM($D78:$GA78)=0,0,IF(SUM($D81:$GA81)=0,1,'Вводные'!$B$63))))*FN82)</x:f>
      </x:c>
      <x:c r="FO86" s="107" t="n">
        <x:f>'Вводные'!$M$91*((IF(SUM($D78:$GA78)=0,0,IF(SUM($D81:$GA81)=0,1,'Вводные'!$B$63)))*FO80+(1-(IF(SUM($D78:$GA78)=0,0,IF(SUM($D81:$GA81)=0,1,'Вводные'!$B$63))))*FO82)</x:f>
      </x:c>
      <x:c r="FP86" s="107" t="n">
        <x:f>'Вводные'!$M$91*((IF(SUM($D78:$GA78)=0,0,IF(SUM($D81:$GA81)=0,1,'Вводные'!$B$63)))*FP80+(1-(IF(SUM($D78:$GA78)=0,0,IF(SUM($D81:$GA81)=0,1,'Вводные'!$B$63))))*FP82)</x:f>
      </x:c>
      <x:c r="FQ86" s="107" t="n">
        <x:f>'Вводные'!$M$91*((IF(SUM($D78:$GA78)=0,0,IF(SUM($D81:$GA81)=0,1,'Вводные'!$B$63)))*FQ80+(1-(IF(SUM($D78:$GA78)=0,0,IF(SUM($D81:$GA81)=0,1,'Вводные'!$B$63))))*FQ82)</x:f>
      </x:c>
      <x:c r="FR86" s="107" t="n">
        <x:f>'Вводные'!$M$91*((IF(SUM($D78:$GA78)=0,0,IF(SUM($D81:$GA81)=0,1,'Вводные'!$B$63)))*FR80+(1-(IF(SUM($D78:$GA78)=0,0,IF(SUM($D81:$GA81)=0,1,'Вводные'!$B$63))))*FR82)</x:f>
      </x:c>
      <x:c r="FS86" s="107" t="n">
        <x:f>'Вводные'!$M$91*((IF(SUM($D78:$GA78)=0,0,IF(SUM($D81:$GA81)=0,1,'Вводные'!$B$63)))*FS80+(1-(IF(SUM($D78:$GA78)=0,0,IF(SUM($D81:$GA81)=0,1,'Вводные'!$B$63))))*FS82)</x:f>
      </x:c>
      <x:c r="FT86" s="107" t="n">
        <x:f>'Вводные'!$M$91*((IF(SUM($D78:$GA78)=0,0,IF(SUM($D81:$GA81)=0,1,'Вводные'!$B$63)))*FT80+(1-(IF(SUM($D78:$GA78)=0,0,IF(SUM($D81:$GA81)=0,1,'Вводные'!$B$63))))*FT82)</x:f>
      </x:c>
      <x:c r="FU86" s="107" t="n">
        <x:f>'Вводные'!$M$91*((IF(SUM($D78:$GA78)=0,0,IF(SUM($D81:$GA81)=0,1,'Вводные'!$B$63)))*FU80+(1-(IF(SUM($D78:$GA78)=0,0,IF(SUM($D81:$GA81)=0,1,'Вводные'!$B$63))))*FU82)</x:f>
      </x:c>
      <x:c r="FV86" s="107" t="n">
        <x:f>'Вводные'!$M$91*((IF(SUM($D78:$GA78)=0,0,IF(SUM($D81:$GA81)=0,1,'Вводные'!$B$63)))*FV80+(1-(IF(SUM($D78:$GA78)=0,0,IF(SUM($D81:$GA81)=0,1,'Вводные'!$B$63))))*FV82)</x:f>
      </x:c>
      <x:c r="FW86" s="107" t="n">
        <x:f>'Вводные'!$M$91*((IF(SUM($D78:$GA78)=0,0,IF(SUM($D81:$GA81)=0,1,'Вводные'!$B$63)))*FW80+(1-(IF(SUM($D78:$GA78)=0,0,IF(SUM($D81:$GA81)=0,1,'Вводные'!$B$63))))*FW82)</x:f>
      </x:c>
      <x:c r="FX86" s="107" t="n">
        <x:f>'Вводные'!$M$91*((IF(SUM($D78:$GA78)=0,0,IF(SUM($D81:$GA81)=0,1,'Вводные'!$B$63)))*FX80+(1-(IF(SUM($D78:$GA78)=0,0,IF(SUM($D81:$GA81)=0,1,'Вводные'!$B$63))))*FX82)</x:f>
      </x:c>
      <x:c r="FY86" s="107" t="n">
        <x:f>'Вводные'!$M$91*((IF(SUM($D78:$GA78)=0,0,IF(SUM($D81:$GA81)=0,1,'Вводные'!$B$63)))*FY80+(1-(IF(SUM($D78:$GA78)=0,0,IF(SUM($D81:$GA81)=0,1,'Вводные'!$B$63))))*FY82)</x:f>
      </x:c>
      <x:c r="FZ86" s="107" t="n">
        <x:f>'Вводные'!$M$91*((IF(SUM($D78:$GA78)=0,0,IF(SUM($D81:$GA81)=0,1,'Вводные'!$B$63)))*FZ80+(1-(IF(SUM($D78:$GA78)=0,0,IF(SUM($D81:$GA81)=0,1,'Вводные'!$B$63))))*FZ82)</x:f>
      </x:c>
      <x:c r="GA86" s="107" t="n">
        <x:f>'Вводные'!$M$91*((IF(SUM($D78:$GA78)=0,0,IF(SUM($D81:$GA81)=0,1,'Вводные'!$B$63)))*GA80+(1-(IF(SUM($D78:$GA78)=0,0,IF(SUM($D81:$GA81)=0,1,'Вводные'!$B$63))))*GA82)</x:f>
      </x:c>
    </x:row>
    <x:row r="87">
      <x:c r="A87" t="str">
        <x:v>Коммерция — цена</x:v>
      </x:c>
      <x:c r="B87" t="n">
        <x:f>IFERROR(B88*1000/B86,0)</x:f>
      </x:c>
      <x:c r="C87" t="str">
        <x:v>тыс. ₽/м²</x:v>
      </x:c>
      <x:c r="D87" s="107" t="n">
        <x:f>IF(D86=0,0,'Вводные'!$B$60*'Вводные'!$S$91*'Вводные'!$H$5*'Вводные'!$AG$91*(1+'Вводные'!$B$64)^MAX(0,MIN((12*(YEAR(D$3)-YEAR($B$76))+MONTH(D$3)-MONTH($B$76)),(12*(YEAR($B$77)-YEAR($B$76))+MONTH($B$77)-MONTH($B$76))))*(1+'Вводные'!$B$65)^MAX(0,(12*(YEAR(D$3)-YEAR($B$77))+MONTH(D$3)-MONTH($B$77))))</x:f>
      </x:c>
      <x:c r="E87" s="107" t="n">
        <x:f>IF(E86=0,0,'Вводные'!$B$60*'Вводные'!$S$91*'Вводные'!$H$5*'Вводные'!$AG$91*(1+'Вводные'!$B$64)^MAX(0,MIN((12*(YEAR(E$3)-YEAR($B$76))+MONTH(E$3)-MONTH($B$76)),(12*(YEAR($B$77)-YEAR($B$76))+MONTH($B$77)-MONTH($B$76))))*(1+'Вводные'!$B$65)^MAX(0,(12*(YEAR(E$3)-YEAR($B$77))+MONTH(E$3)-MONTH($B$77))))</x:f>
      </x:c>
      <x:c r="F87" s="107" t="n">
        <x:f>IF(F86=0,0,'Вводные'!$B$60*'Вводные'!$S$91*'Вводные'!$H$5*'Вводные'!$AG$91*(1+'Вводные'!$B$64)^MAX(0,MIN((12*(YEAR(F$3)-YEAR($B$76))+MONTH(F$3)-MONTH($B$76)),(12*(YEAR($B$77)-YEAR($B$76))+MONTH($B$77)-MONTH($B$76))))*(1+'Вводные'!$B$65)^MAX(0,(12*(YEAR(F$3)-YEAR($B$77))+MONTH(F$3)-MONTH($B$77))))</x:f>
      </x:c>
      <x:c r="G87" s="107" t="n">
        <x:f>IF(G86=0,0,'Вводные'!$B$60*'Вводные'!$S$91*'Вводные'!$H$5*'Вводные'!$AG$91*(1+'Вводные'!$B$64)^MAX(0,MIN((12*(YEAR(G$3)-YEAR($B$76))+MONTH(G$3)-MONTH($B$76)),(12*(YEAR($B$77)-YEAR($B$76))+MONTH($B$77)-MONTH($B$76))))*(1+'Вводные'!$B$65)^MAX(0,(12*(YEAR(G$3)-YEAR($B$77))+MONTH(G$3)-MONTH($B$77))))</x:f>
      </x:c>
      <x:c r="H87" s="107" t="n">
        <x:f>IF(H86=0,0,'Вводные'!$B$60*'Вводные'!$S$91*'Вводные'!$H$5*'Вводные'!$AG$91*(1+'Вводные'!$B$64)^MAX(0,MIN((12*(YEAR(H$3)-YEAR($B$76))+MONTH(H$3)-MONTH($B$76)),(12*(YEAR($B$77)-YEAR($B$76))+MONTH($B$77)-MONTH($B$76))))*(1+'Вводные'!$B$65)^MAX(0,(12*(YEAR(H$3)-YEAR($B$77))+MONTH(H$3)-MONTH($B$77))))</x:f>
      </x:c>
      <x:c r="I87" s="107" t="n">
        <x:f>IF(I86=0,0,'Вводные'!$B$60*'Вводные'!$S$91*'Вводные'!$H$5*'Вводные'!$AG$91*(1+'Вводные'!$B$64)^MAX(0,MIN((12*(YEAR(I$3)-YEAR($B$76))+MONTH(I$3)-MONTH($B$76)),(12*(YEAR($B$77)-YEAR($B$76))+MONTH($B$77)-MONTH($B$76))))*(1+'Вводные'!$B$65)^MAX(0,(12*(YEAR(I$3)-YEAR($B$77))+MONTH(I$3)-MONTH($B$77))))</x:f>
      </x:c>
      <x:c r="J87" s="107" t="n">
        <x:f>IF(J86=0,0,'Вводные'!$B$60*'Вводные'!$S$91*'Вводные'!$H$5*'Вводные'!$AG$91*(1+'Вводные'!$B$64)^MAX(0,MIN((12*(YEAR(J$3)-YEAR($B$76))+MONTH(J$3)-MONTH($B$76)),(12*(YEAR($B$77)-YEAR($B$76))+MONTH($B$77)-MONTH($B$76))))*(1+'Вводные'!$B$65)^MAX(0,(12*(YEAR(J$3)-YEAR($B$77))+MONTH(J$3)-MONTH($B$77))))</x:f>
      </x:c>
      <x:c r="K87" s="107" t="n">
        <x:f>IF(K86=0,0,'Вводные'!$B$60*'Вводные'!$S$91*'Вводные'!$H$5*'Вводные'!$AG$91*(1+'Вводные'!$B$64)^MAX(0,MIN((12*(YEAR(K$3)-YEAR($B$76))+MONTH(K$3)-MONTH($B$76)),(12*(YEAR($B$77)-YEAR($B$76))+MONTH($B$77)-MONTH($B$76))))*(1+'Вводные'!$B$65)^MAX(0,(12*(YEAR(K$3)-YEAR($B$77))+MONTH(K$3)-MONTH($B$77))))</x:f>
      </x:c>
      <x:c r="L87" s="107" t="n">
        <x:f>IF(L86=0,0,'Вводные'!$B$60*'Вводные'!$S$91*'Вводные'!$H$5*'Вводные'!$AG$91*(1+'Вводные'!$B$64)^MAX(0,MIN((12*(YEAR(L$3)-YEAR($B$76))+MONTH(L$3)-MONTH($B$76)),(12*(YEAR($B$77)-YEAR($B$76))+MONTH($B$77)-MONTH($B$76))))*(1+'Вводные'!$B$65)^MAX(0,(12*(YEAR(L$3)-YEAR($B$77))+MONTH(L$3)-MONTH($B$77))))</x:f>
      </x:c>
      <x:c r="M87" s="107" t="n">
        <x:f>IF(M86=0,0,'Вводные'!$B$60*'Вводные'!$S$91*'Вводные'!$H$5*'Вводные'!$AG$91*(1+'Вводные'!$B$64)^MAX(0,MIN((12*(YEAR(M$3)-YEAR($B$76))+MONTH(M$3)-MONTH($B$76)),(12*(YEAR($B$77)-YEAR($B$76))+MONTH($B$77)-MONTH($B$76))))*(1+'Вводные'!$B$65)^MAX(0,(12*(YEAR(M$3)-YEAR($B$77))+MONTH(M$3)-MONTH($B$77))))</x:f>
      </x:c>
      <x:c r="N87" s="107" t="n">
        <x:f>IF(N86=0,0,'Вводные'!$B$60*'Вводные'!$S$91*'Вводные'!$H$5*'Вводные'!$AG$91*(1+'Вводные'!$B$64)^MAX(0,MIN((12*(YEAR(N$3)-YEAR($B$76))+MONTH(N$3)-MONTH($B$76)),(12*(YEAR($B$77)-YEAR($B$76))+MONTH($B$77)-MONTH($B$76))))*(1+'Вводные'!$B$65)^MAX(0,(12*(YEAR(N$3)-YEAR($B$77))+MONTH(N$3)-MONTH($B$77))))</x:f>
      </x:c>
      <x:c r="O87" s="107" t="n">
        <x:f>IF(O86=0,0,'Вводные'!$B$60*'Вводные'!$S$91*'Вводные'!$H$5*'Вводные'!$AG$91*(1+'Вводные'!$B$64)^MAX(0,MIN((12*(YEAR(O$3)-YEAR($B$76))+MONTH(O$3)-MONTH($B$76)),(12*(YEAR($B$77)-YEAR($B$76))+MONTH($B$77)-MONTH($B$76))))*(1+'Вводные'!$B$65)^MAX(0,(12*(YEAR(O$3)-YEAR($B$77))+MONTH(O$3)-MONTH($B$77))))</x:f>
      </x:c>
      <x:c r="P87" s="107" t="n">
        <x:f>IF(P86=0,0,'Вводные'!$B$60*'Вводные'!$S$91*'Вводные'!$H$5*'Вводные'!$AG$91*(1+'Вводные'!$B$64)^MAX(0,MIN((12*(YEAR(P$3)-YEAR($B$76))+MONTH(P$3)-MONTH($B$76)),(12*(YEAR($B$77)-YEAR($B$76))+MONTH($B$77)-MONTH($B$76))))*(1+'Вводные'!$B$65)^MAX(0,(12*(YEAR(P$3)-YEAR($B$77))+MONTH(P$3)-MONTH($B$77))))</x:f>
      </x:c>
      <x:c r="Q87" s="107" t="n">
        <x:f>IF(Q86=0,0,'Вводные'!$B$60*'Вводные'!$S$91*'Вводные'!$H$5*'Вводные'!$AG$91*(1+'Вводные'!$B$64)^MAX(0,MIN((12*(YEAR(Q$3)-YEAR($B$76))+MONTH(Q$3)-MONTH($B$76)),(12*(YEAR($B$77)-YEAR($B$76))+MONTH($B$77)-MONTH($B$76))))*(1+'Вводные'!$B$65)^MAX(0,(12*(YEAR(Q$3)-YEAR($B$77))+MONTH(Q$3)-MONTH($B$77))))</x:f>
      </x:c>
      <x:c r="R87" s="107" t="n">
        <x:f>IF(R86=0,0,'Вводные'!$B$60*'Вводные'!$S$91*'Вводные'!$H$5*'Вводные'!$AG$91*(1+'Вводные'!$B$64)^MAX(0,MIN((12*(YEAR(R$3)-YEAR($B$76))+MONTH(R$3)-MONTH($B$76)),(12*(YEAR($B$77)-YEAR($B$76))+MONTH($B$77)-MONTH($B$76))))*(1+'Вводные'!$B$65)^MAX(0,(12*(YEAR(R$3)-YEAR($B$77))+MONTH(R$3)-MONTH($B$77))))</x:f>
      </x:c>
      <x:c r="S87" s="107" t="n">
        <x:f>IF(S86=0,0,'Вводные'!$B$60*'Вводные'!$S$91*'Вводные'!$H$5*'Вводные'!$AG$91*(1+'Вводные'!$B$64)^MAX(0,MIN((12*(YEAR(S$3)-YEAR($B$76))+MONTH(S$3)-MONTH($B$76)),(12*(YEAR($B$77)-YEAR($B$76))+MONTH($B$77)-MONTH($B$76))))*(1+'Вводные'!$B$65)^MAX(0,(12*(YEAR(S$3)-YEAR($B$77))+MONTH(S$3)-MONTH($B$77))))</x:f>
      </x:c>
      <x:c r="T87" s="107" t="n">
        <x:f>IF(T86=0,0,'Вводные'!$B$60*'Вводные'!$S$91*'Вводные'!$H$5*'Вводные'!$AG$91*(1+'Вводные'!$B$64)^MAX(0,MIN((12*(YEAR(T$3)-YEAR($B$76))+MONTH(T$3)-MONTH($B$76)),(12*(YEAR($B$77)-YEAR($B$76))+MONTH($B$77)-MONTH($B$76))))*(1+'Вводные'!$B$65)^MAX(0,(12*(YEAR(T$3)-YEAR($B$77))+MONTH(T$3)-MONTH($B$77))))</x:f>
      </x:c>
      <x:c r="U87" s="107" t="n">
        <x:f>IF(U86=0,0,'Вводные'!$B$60*'Вводные'!$S$91*'Вводные'!$H$5*'Вводные'!$AG$91*(1+'Вводные'!$B$64)^MAX(0,MIN((12*(YEAR(U$3)-YEAR($B$76))+MONTH(U$3)-MONTH($B$76)),(12*(YEAR($B$77)-YEAR($B$76))+MONTH($B$77)-MONTH($B$76))))*(1+'Вводные'!$B$65)^MAX(0,(12*(YEAR(U$3)-YEAR($B$77))+MONTH(U$3)-MONTH($B$77))))</x:f>
      </x:c>
      <x:c r="V87" s="107" t="n">
        <x:f>IF(V86=0,0,'Вводные'!$B$60*'Вводные'!$S$91*'Вводные'!$H$5*'Вводные'!$AG$91*(1+'Вводные'!$B$64)^MAX(0,MIN((12*(YEAR(V$3)-YEAR($B$76))+MONTH(V$3)-MONTH($B$76)),(12*(YEAR($B$77)-YEAR($B$76))+MONTH($B$77)-MONTH($B$76))))*(1+'Вводные'!$B$65)^MAX(0,(12*(YEAR(V$3)-YEAR($B$77))+MONTH(V$3)-MONTH($B$77))))</x:f>
      </x:c>
      <x:c r="W87" s="107" t="n">
        <x:f>IF(W86=0,0,'Вводные'!$B$60*'Вводные'!$S$91*'Вводные'!$H$5*'Вводные'!$AG$91*(1+'Вводные'!$B$64)^MAX(0,MIN((12*(YEAR(W$3)-YEAR($B$76))+MONTH(W$3)-MONTH($B$76)),(12*(YEAR($B$77)-YEAR($B$76))+MONTH($B$77)-MONTH($B$76))))*(1+'Вводные'!$B$65)^MAX(0,(12*(YEAR(W$3)-YEAR($B$77))+MONTH(W$3)-MONTH($B$77))))</x:f>
      </x:c>
      <x:c r="X87" s="107" t="n">
        <x:f>IF(X86=0,0,'Вводные'!$B$60*'Вводные'!$S$91*'Вводные'!$H$5*'Вводные'!$AG$91*(1+'Вводные'!$B$64)^MAX(0,MIN((12*(YEAR(X$3)-YEAR($B$76))+MONTH(X$3)-MONTH($B$76)),(12*(YEAR($B$77)-YEAR($B$76))+MONTH($B$77)-MONTH($B$76))))*(1+'Вводные'!$B$65)^MAX(0,(12*(YEAR(X$3)-YEAR($B$77))+MONTH(X$3)-MONTH($B$77))))</x:f>
      </x:c>
      <x:c r="Y87" s="107" t="n">
        <x:f>IF(Y86=0,0,'Вводные'!$B$60*'Вводные'!$S$91*'Вводные'!$H$5*'Вводные'!$AG$91*(1+'Вводные'!$B$64)^MAX(0,MIN((12*(YEAR(Y$3)-YEAR($B$76))+MONTH(Y$3)-MONTH($B$76)),(12*(YEAR($B$77)-YEAR($B$76))+MONTH($B$77)-MONTH($B$76))))*(1+'Вводные'!$B$65)^MAX(0,(12*(YEAR(Y$3)-YEAR($B$77))+MONTH(Y$3)-MONTH($B$77))))</x:f>
      </x:c>
      <x:c r="Z87" s="107" t="n">
        <x:f>IF(Z86=0,0,'Вводные'!$B$60*'Вводные'!$S$91*'Вводные'!$H$5*'Вводные'!$AG$91*(1+'Вводные'!$B$64)^MAX(0,MIN((12*(YEAR(Z$3)-YEAR($B$76))+MONTH(Z$3)-MONTH($B$76)),(12*(YEAR($B$77)-YEAR($B$76))+MONTH($B$77)-MONTH($B$76))))*(1+'Вводные'!$B$65)^MAX(0,(12*(YEAR(Z$3)-YEAR($B$77))+MONTH(Z$3)-MONTH($B$77))))</x:f>
      </x:c>
      <x:c r="AA87" s="107" t="n">
        <x:f>IF(AA86=0,0,'Вводные'!$B$60*'Вводные'!$S$91*'Вводные'!$H$5*'Вводные'!$AG$91*(1+'Вводные'!$B$64)^MAX(0,MIN((12*(YEAR(AA$3)-YEAR($B$76))+MONTH(AA$3)-MONTH($B$76)),(12*(YEAR($B$77)-YEAR($B$76))+MONTH($B$77)-MONTH($B$76))))*(1+'Вводные'!$B$65)^MAX(0,(12*(YEAR(AA$3)-YEAR($B$77))+MONTH(AA$3)-MONTH($B$77))))</x:f>
      </x:c>
      <x:c r="AB87" s="107" t="n">
        <x:f>IF(AB86=0,0,'Вводные'!$B$60*'Вводные'!$S$91*'Вводные'!$H$5*'Вводные'!$AG$91*(1+'Вводные'!$B$64)^MAX(0,MIN((12*(YEAR(AB$3)-YEAR($B$76))+MONTH(AB$3)-MONTH($B$76)),(12*(YEAR($B$77)-YEAR($B$76))+MONTH($B$77)-MONTH($B$76))))*(1+'Вводные'!$B$65)^MAX(0,(12*(YEAR(AB$3)-YEAR($B$77))+MONTH(AB$3)-MONTH($B$77))))</x:f>
      </x:c>
      <x:c r="AC87" s="107" t="n">
        <x:f>IF(AC86=0,0,'Вводные'!$B$60*'Вводные'!$S$91*'Вводные'!$H$5*'Вводные'!$AG$91*(1+'Вводные'!$B$64)^MAX(0,MIN((12*(YEAR(AC$3)-YEAR($B$76))+MONTH(AC$3)-MONTH($B$76)),(12*(YEAR($B$77)-YEAR($B$76))+MONTH($B$77)-MONTH($B$76))))*(1+'Вводные'!$B$65)^MAX(0,(12*(YEAR(AC$3)-YEAR($B$77))+MONTH(AC$3)-MONTH($B$77))))</x:f>
      </x:c>
      <x:c r="AD87" s="107" t="n">
        <x:f>IF(AD86=0,0,'Вводные'!$B$60*'Вводные'!$S$91*'Вводные'!$H$5*'Вводные'!$AG$91*(1+'Вводные'!$B$64)^MAX(0,MIN((12*(YEAR(AD$3)-YEAR($B$76))+MONTH(AD$3)-MONTH($B$76)),(12*(YEAR($B$77)-YEAR($B$76))+MONTH($B$77)-MONTH($B$76))))*(1+'Вводные'!$B$65)^MAX(0,(12*(YEAR(AD$3)-YEAR($B$77))+MONTH(AD$3)-MONTH($B$77))))</x:f>
      </x:c>
      <x:c r="AE87" s="107" t="n">
        <x:f>IF(AE86=0,0,'Вводные'!$B$60*'Вводные'!$S$91*'Вводные'!$H$5*'Вводные'!$AG$91*(1+'Вводные'!$B$64)^MAX(0,MIN((12*(YEAR(AE$3)-YEAR($B$76))+MONTH(AE$3)-MONTH($B$76)),(12*(YEAR($B$77)-YEAR($B$76))+MONTH($B$77)-MONTH($B$76))))*(1+'Вводные'!$B$65)^MAX(0,(12*(YEAR(AE$3)-YEAR($B$77))+MONTH(AE$3)-MONTH($B$77))))</x:f>
      </x:c>
      <x:c r="AF87" s="107" t="n">
        <x:f>IF(AF86=0,0,'Вводные'!$B$60*'Вводные'!$S$91*'Вводные'!$H$5*'Вводные'!$AG$91*(1+'Вводные'!$B$64)^MAX(0,MIN((12*(YEAR(AF$3)-YEAR($B$76))+MONTH(AF$3)-MONTH($B$76)),(12*(YEAR($B$77)-YEAR($B$76))+MONTH($B$77)-MONTH($B$76))))*(1+'Вводные'!$B$65)^MAX(0,(12*(YEAR(AF$3)-YEAR($B$77))+MONTH(AF$3)-MONTH($B$77))))</x:f>
      </x:c>
      <x:c r="AG87" s="107" t="n">
        <x:f>IF(AG86=0,0,'Вводные'!$B$60*'Вводные'!$S$91*'Вводные'!$H$5*'Вводные'!$AG$91*(1+'Вводные'!$B$64)^MAX(0,MIN((12*(YEAR(AG$3)-YEAR($B$76))+MONTH(AG$3)-MONTH($B$76)),(12*(YEAR($B$77)-YEAR($B$76))+MONTH($B$77)-MONTH($B$76))))*(1+'Вводные'!$B$65)^MAX(0,(12*(YEAR(AG$3)-YEAR($B$77))+MONTH(AG$3)-MONTH($B$77))))</x:f>
      </x:c>
      <x:c r="AH87" s="107" t="n">
        <x:f>IF(AH86=0,0,'Вводные'!$B$60*'Вводные'!$S$91*'Вводные'!$H$5*'Вводные'!$AG$91*(1+'Вводные'!$B$64)^MAX(0,MIN((12*(YEAR(AH$3)-YEAR($B$76))+MONTH(AH$3)-MONTH($B$76)),(12*(YEAR($B$77)-YEAR($B$76))+MONTH($B$77)-MONTH($B$76))))*(1+'Вводные'!$B$65)^MAX(0,(12*(YEAR(AH$3)-YEAR($B$77))+MONTH(AH$3)-MONTH($B$77))))</x:f>
      </x:c>
      <x:c r="AI87" s="107" t="n">
        <x:f>IF(AI86=0,0,'Вводные'!$B$60*'Вводные'!$S$91*'Вводные'!$H$5*'Вводные'!$AG$91*(1+'Вводные'!$B$64)^MAX(0,MIN((12*(YEAR(AI$3)-YEAR($B$76))+MONTH(AI$3)-MONTH($B$76)),(12*(YEAR($B$77)-YEAR($B$76))+MONTH($B$77)-MONTH($B$76))))*(1+'Вводные'!$B$65)^MAX(0,(12*(YEAR(AI$3)-YEAR($B$77))+MONTH(AI$3)-MONTH($B$77))))</x:f>
      </x:c>
      <x:c r="AJ87" s="107" t="n">
        <x:f>IF(AJ86=0,0,'Вводные'!$B$60*'Вводные'!$S$91*'Вводные'!$H$5*'Вводные'!$AG$91*(1+'Вводные'!$B$64)^MAX(0,MIN((12*(YEAR(AJ$3)-YEAR($B$76))+MONTH(AJ$3)-MONTH($B$76)),(12*(YEAR($B$77)-YEAR($B$76))+MONTH($B$77)-MONTH($B$76))))*(1+'Вводные'!$B$65)^MAX(0,(12*(YEAR(AJ$3)-YEAR($B$77))+MONTH(AJ$3)-MONTH($B$77))))</x:f>
      </x:c>
      <x:c r="AK87" s="107" t="n">
        <x:f>IF(AK86=0,0,'Вводные'!$B$60*'Вводные'!$S$91*'Вводные'!$H$5*'Вводные'!$AG$91*(1+'Вводные'!$B$64)^MAX(0,MIN((12*(YEAR(AK$3)-YEAR($B$76))+MONTH(AK$3)-MONTH($B$76)),(12*(YEAR($B$77)-YEAR($B$76))+MONTH($B$77)-MONTH($B$76))))*(1+'Вводные'!$B$65)^MAX(0,(12*(YEAR(AK$3)-YEAR($B$77))+MONTH(AK$3)-MONTH($B$77))))</x:f>
      </x:c>
      <x:c r="AL87" s="107" t="n">
        <x:f>IF(AL86=0,0,'Вводные'!$B$60*'Вводные'!$S$91*'Вводные'!$H$5*'Вводные'!$AG$91*(1+'Вводные'!$B$64)^MAX(0,MIN((12*(YEAR(AL$3)-YEAR($B$76))+MONTH(AL$3)-MONTH($B$76)),(12*(YEAR($B$77)-YEAR($B$76))+MONTH($B$77)-MONTH($B$76))))*(1+'Вводные'!$B$65)^MAX(0,(12*(YEAR(AL$3)-YEAR($B$77))+MONTH(AL$3)-MONTH($B$77))))</x:f>
      </x:c>
      <x:c r="AM87" s="107" t="n">
        <x:f>IF(AM86=0,0,'Вводные'!$B$60*'Вводные'!$S$91*'Вводные'!$H$5*'Вводные'!$AG$91*(1+'Вводные'!$B$64)^MAX(0,MIN((12*(YEAR(AM$3)-YEAR($B$76))+MONTH(AM$3)-MONTH($B$76)),(12*(YEAR($B$77)-YEAR($B$76))+MONTH($B$77)-MONTH($B$76))))*(1+'Вводные'!$B$65)^MAX(0,(12*(YEAR(AM$3)-YEAR($B$77))+MONTH(AM$3)-MONTH($B$77))))</x:f>
      </x:c>
      <x:c r="AN87" s="107" t="n">
        <x:f>IF(AN86=0,0,'Вводные'!$B$60*'Вводные'!$S$91*'Вводные'!$H$5*'Вводные'!$AG$91*(1+'Вводные'!$B$64)^MAX(0,MIN((12*(YEAR(AN$3)-YEAR($B$76))+MONTH(AN$3)-MONTH($B$76)),(12*(YEAR($B$77)-YEAR($B$76))+MONTH($B$77)-MONTH($B$76))))*(1+'Вводные'!$B$65)^MAX(0,(12*(YEAR(AN$3)-YEAR($B$77))+MONTH(AN$3)-MONTH($B$77))))</x:f>
      </x:c>
      <x:c r="AO87" s="107" t="n">
        <x:f>IF(AO86=0,0,'Вводные'!$B$60*'Вводные'!$S$91*'Вводные'!$H$5*'Вводные'!$AG$91*(1+'Вводные'!$B$64)^MAX(0,MIN((12*(YEAR(AO$3)-YEAR($B$76))+MONTH(AO$3)-MONTH($B$76)),(12*(YEAR($B$77)-YEAR($B$76))+MONTH($B$77)-MONTH($B$76))))*(1+'Вводные'!$B$65)^MAX(0,(12*(YEAR(AO$3)-YEAR($B$77))+MONTH(AO$3)-MONTH($B$77))))</x:f>
      </x:c>
      <x:c r="AP87" s="107" t="n">
        <x:f>IF(AP86=0,0,'Вводные'!$B$60*'Вводные'!$S$91*'Вводные'!$H$5*'Вводные'!$AG$91*(1+'Вводные'!$B$64)^MAX(0,MIN((12*(YEAR(AP$3)-YEAR($B$76))+MONTH(AP$3)-MONTH($B$76)),(12*(YEAR($B$77)-YEAR($B$76))+MONTH($B$77)-MONTH($B$76))))*(1+'Вводные'!$B$65)^MAX(0,(12*(YEAR(AP$3)-YEAR($B$77))+MONTH(AP$3)-MONTH($B$77))))</x:f>
      </x:c>
      <x:c r="AQ87" s="107" t="n">
        <x:f>IF(AQ86=0,0,'Вводные'!$B$60*'Вводные'!$S$91*'Вводные'!$H$5*'Вводные'!$AG$91*(1+'Вводные'!$B$64)^MAX(0,MIN((12*(YEAR(AQ$3)-YEAR($B$76))+MONTH(AQ$3)-MONTH($B$76)),(12*(YEAR($B$77)-YEAR($B$76))+MONTH($B$77)-MONTH($B$76))))*(1+'Вводные'!$B$65)^MAX(0,(12*(YEAR(AQ$3)-YEAR($B$77))+MONTH(AQ$3)-MONTH($B$77))))</x:f>
      </x:c>
      <x:c r="AR87" s="107" t="n">
        <x:f>IF(AR86=0,0,'Вводные'!$B$60*'Вводные'!$S$91*'Вводные'!$H$5*'Вводные'!$AG$91*(1+'Вводные'!$B$64)^MAX(0,MIN((12*(YEAR(AR$3)-YEAR($B$76))+MONTH(AR$3)-MONTH($B$76)),(12*(YEAR($B$77)-YEAR($B$76))+MONTH($B$77)-MONTH($B$76))))*(1+'Вводные'!$B$65)^MAX(0,(12*(YEAR(AR$3)-YEAR($B$77))+MONTH(AR$3)-MONTH($B$77))))</x:f>
      </x:c>
      <x:c r="AS87" s="107" t="n">
        <x:f>IF(AS86=0,0,'Вводные'!$B$60*'Вводные'!$S$91*'Вводные'!$H$5*'Вводные'!$AG$91*(1+'Вводные'!$B$64)^MAX(0,MIN((12*(YEAR(AS$3)-YEAR($B$76))+MONTH(AS$3)-MONTH($B$76)),(12*(YEAR($B$77)-YEAR($B$76))+MONTH($B$77)-MONTH($B$76))))*(1+'Вводные'!$B$65)^MAX(0,(12*(YEAR(AS$3)-YEAR($B$77))+MONTH(AS$3)-MONTH($B$77))))</x:f>
      </x:c>
      <x:c r="AT87" s="107" t="n">
        <x:f>IF(AT86=0,0,'Вводные'!$B$60*'Вводные'!$S$91*'Вводные'!$H$5*'Вводные'!$AG$91*(1+'Вводные'!$B$64)^MAX(0,MIN((12*(YEAR(AT$3)-YEAR($B$76))+MONTH(AT$3)-MONTH($B$76)),(12*(YEAR($B$77)-YEAR($B$76))+MONTH($B$77)-MONTH($B$76))))*(1+'Вводные'!$B$65)^MAX(0,(12*(YEAR(AT$3)-YEAR($B$77))+MONTH(AT$3)-MONTH($B$77))))</x:f>
      </x:c>
      <x:c r="AU87" s="107" t="n">
        <x:f>IF(AU86=0,0,'Вводные'!$B$60*'Вводные'!$S$91*'Вводные'!$H$5*'Вводные'!$AG$91*(1+'Вводные'!$B$64)^MAX(0,MIN((12*(YEAR(AU$3)-YEAR($B$76))+MONTH(AU$3)-MONTH($B$76)),(12*(YEAR($B$77)-YEAR($B$76))+MONTH($B$77)-MONTH($B$76))))*(1+'Вводные'!$B$65)^MAX(0,(12*(YEAR(AU$3)-YEAR($B$77))+MONTH(AU$3)-MONTH($B$77))))</x:f>
      </x:c>
      <x:c r="AV87" s="107" t="n">
        <x:f>IF(AV86=0,0,'Вводные'!$B$60*'Вводные'!$S$91*'Вводные'!$H$5*'Вводные'!$AG$91*(1+'Вводные'!$B$64)^MAX(0,MIN((12*(YEAR(AV$3)-YEAR($B$76))+MONTH(AV$3)-MONTH($B$76)),(12*(YEAR($B$77)-YEAR($B$76))+MONTH($B$77)-MONTH($B$76))))*(1+'Вводные'!$B$65)^MAX(0,(12*(YEAR(AV$3)-YEAR($B$77))+MONTH(AV$3)-MONTH($B$77))))</x:f>
      </x:c>
      <x:c r="AW87" s="107" t="n">
        <x:f>IF(AW86=0,0,'Вводные'!$B$60*'Вводные'!$S$91*'Вводные'!$H$5*'Вводные'!$AG$91*(1+'Вводные'!$B$64)^MAX(0,MIN((12*(YEAR(AW$3)-YEAR($B$76))+MONTH(AW$3)-MONTH($B$76)),(12*(YEAR($B$77)-YEAR($B$76))+MONTH($B$77)-MONTH($B$76))))*(1+'Вводные'!$B$65)^MAX(0,(12*(YEAR(AW$3)-YEAR($B$77))+MONTH(AW$3)-MONTH($B$77))))</x:f>
      </x:c>
      <x:c r="AX87" s="107" t="n">
        <x:f>IF(AX86=0,0,'Вводные'!$B$60*'Вводные'!$S$91*'Вводные'!$H$5*'Вводные'!$AG$91*(1+'Вводные'!$B$64)^MAX(0,MIN((12*(YEAR(AX$3)-YEAR($B$76))+MONTH(AX$3)-MONTH($B$76)),(12*(YEAR($B$77)-YEAR($B$76))+MONTH($B$77)-MONTH($B$76))))*(1+'Вводные'!$B$65)^MAX(0,(12*(YEAR(AX$3)-YEAR($B$77))+MONTH(AX$3)-MONTH($B$77))))</x:f>
      </x:c>
      <x:c r="AY87" s="107" t="n">
        <x:f>IF(AY86=0,0,'Вводные'!$B$60*'Вводные'!$S$91*'Вводные'!$H$5*'Вводные'!$AG$91*(1+'Вводные'!$B$64)^MAX(0,MIN((12*(YEAR(AY$3)-YEAR($B$76))+MONTH(AY$3)-MONTH($B$76)),(12*(YEAR($B$77)-YEAR($B$76))+MONTH($B$77)-MONTH($B$76))))*(1+'Вводные'!$B$65)^MAX(0,(12*(YEAR(AY$3)-YEAR($B$77))+MONTH(AY$3)-MONTH($B$77))))</x:f>
      </x:c>
      <x:c r="AZ87" s="107" t="n">
        <x:f>IF(AZ86=0,0,'Вводные'!$B$60*'Вводные'!$S$91*'Вводные'!$H$5*'Вводные'!$AG$91*(1+'Вводные'!$B$64)^MAX(0,MIN((12*(YEAR(AZ$3)-YEAR($B$76))+MONTH(AZ$3)-MONTH($B$76)),(12*(YEAR($B$77)-YEAR($B$76))+MONTH($B$77)-MONTH($B$76))))*(1+'Вводные'!$B$65)^MAX(0,(12*(YEAR(AZ$3)-YEAR($B$77))+MONTH(AZ$3)-MONTH($B$77))))</x:f>
      </x:c>
      <x:c r="BA87" s="107" t="n">
        <x:f>IF(BA86=0,0,'Вводные'!$B$60*'Вводные'!$S$91*'Вводные'!$H$5*'Вводные'!$AG$91*(1+'Вводные'!$B$64)^MAX(0,MIN((12*(YEAR(BA$3)-YEAR($B$76))+MONTH(BA$3)-MONTH($B$76)),(12*(YEAR($B$77)-YEAR($B$76))+MONTH($B$77)-MONTH($B$76))))*(1+'Вводные'!$B$65)^MAX(0,(12*(YEAR(BA$3)-YEAR($B$77))+MONTH(BA$3)-MONTH($B$77))))</x:f>
      </x:c>
      <x:c r="BB87" s="107" t="n">
        <x:f>IF(BB86=0,0,'Вводные'!$B$60*'Вводные'!$S$91*'Вводные'!$H$5*'Вводные'!$AG$91*(1+'Вводные'!$B$64)^MAX(0,MIN((12*(YEAR(BB$3)-YEAR($B$76))+MONTH(BB$3)-MONTH($B$76)),(12*(YEAR($B$77)-YEAR($B$76))+MONTH($B$77)-MONTH($B$76))))*(1+'Вводные'!$B$65)^MAX(0,(12*(YEAR(BB$3)-YEAR($B$77))+MONTH(BB$3)-MONTH($B$77))))</x:f>
      </x:c>
      <x:c r="BC87" s="107" t="n">
        <x:f>IF(BC86=0,0,'Вводные'!$B$60*'Вводные'!$S$91*'Вводные'!$H$5*'Вводные'!$AG$91*(1+'Вводные'!$B$64)^MAX(0,MIN((12*(YEAR(BC$3)-YEAR($B$76))+MONTH(BC$3)-MONTH($B$76)),(12*(YEAR($B$77)-YEAR($B$76))+MONTH($B$77)-MONTH($B$76))))*(1+'Вводные'!$B$65)^MAX(0,(12*(YEAR(BC$3)-YEAR($B$77))+MONTH(BC$3)-MONTH($B$77))))</x:f>
      </x:c>
      <x:c r="BD87" s="107" t="n">
        <x:f>IF(BD86=0,0,'Вводные'!$B$60*'Вводные'!$S$91*'Вводные'!$H$5*'Вводные'!$AG$91*(1+'Вводные'!$B$64)^MAX(0,MIN((12*(YEAR(BD$3)-YEAR($B$76))+MONTH(BD$3)-MONTH($B$76)),(12*(YEAR($B$77)-YEAR($B$76))+MONTH($B$77)-MONTH($B$76))))*(1+'Вводные'!$B$65)^MAX(0,(12*(YEAR(BD$3)-YEAR($B$77))+MONTH(BD$3)-MONTH($B$77))))</x:f>
      </x:c>
      <x:c r="BE87" s="107" t="n">
        <x:f>IF(BE86=0,0,'Вводные'!$B$60*'Вводные'!$S$91*'Вводные'!$H$5*'Вводные'!$AG$91*(1+'Вводные'!$B$64)^MAX(0,MIN((12*(YEAR(BE$3)-YEAR($B$76))+MONTH(BE$3)-MONTH($B$76)),(12*(YEAR($B$77)-YEAR($B$76))+MONTH($B$77)-MONTH($B$76))))*(1+'Вводные'!$B$65)^MAX(0,(12*(YEAR(BE$3)-YEAR($B$77))+MONTH(BE$3)-MONTH($B$77))))</x:f>
      </x:c>
      <x:c r="BF87" s="107" t="n">
        <x:f>IF(BF86=0,0,'Вводные'!$B$60*'Вводные'!$S$91*'Вводные'!$H$5*'Вводные'!$AG$91*(1+'Вводные'!$B$64)^MAX(0,MIN((12*(YEAR(BF$3)-YEAR($B$76))+MONTH(BF$3)-MONTH($B$76)),(12*(YEAR($B$77)-YEAR($B$76))+MONTH($B$77)-MONTH($B$76))))*(1+'Вводные'!$B$65)^MAX(0,(12*(YEAR(BF$3)-YEAR($B$77))+MONTH(BF$3)-MONTH($B$77))))</x:f>
      </x:c>
      <x:c r="BG87" s="107" t="n">
        <x:f>IF(BG86=0,0,'Вводные'!$B$60*'Вводные'!$S$91*'Вводные'!$H$5*'Вводные'!$AG$91*(1+'Вводные'!$B$64)^MAX(0,MIN((12*(YEAR(BG$3)-YEAR($B$76))+MONTH(BG$3)-MONTH($B$76)),(12*(YEAR($B$77)-YEAR($B$76))+MONTH($B$77)-MONTH($B$76))))*(1+'Вводные'!$B$65)^MAX(0,(12*(YEAR(BG$3)-YEAR($B$77))+MONTH(BG$3)-MONTH($B$77))))</x:f>
      </x:c>
      <x:c r="BH87" s="107" t="n">
        <x:f>IF(BH86=0,0,'Вводные'!$B$60*'Вводные'!$S$91*'Вводные'!$H$5*'Вводные'!$AG$91*(1+'Вводные'!$B$64)^MAX(0,MIN((12*(YEAR(BH$3)-YEAR($B$76))+MONTH(BH$3)-MONTH($B$76)),(12*(YEAR($B$77)-YEAR($B$76))+MONTH($B$77)-MONTH($B$76))))*(1+'Вводные'!$B$65)^MAX(0,(12*(YEAR(BH$3)-YEAR($B$77))+MONTH(BH$3)-MONTH($B$77))))</x:f>
      </x:c>
      <x:c r="BI87" s="107" t="n">
        <x:f>IF(BI86=0,0,'Вводные'!$B$60*'Вводные'!$S$91*'Вводные'!$H$5*'Вводные'!$AG$91*(1+'Вводные'!$B$64)^MAX(0,MIN((12*(YEAR(BI$3)-YEAR($B$76))+MONTH(BI$3)-MONTH($B$76)),(12*(YEAR($B$77)-YEAR($B$76))+MONTH($B$77)-MONTH($B$76))))*(1+'Вводные'!$B$65)^MAX(0,(12*(YEAR(BI$3)-YEAR($B$77))+MONTH(BI$3)-MONTH($B$77))))</x:f>
      </x:c>
      <x:c r="BJ87" s="107" t="n">
        <x:f>IF(BJ86=0,0,'Вводные'!$B$60*'Вводные'!$S$91*'Вводные'!$H$5*'Вводные'!$AG$91*(1+'Вводные'!$B$64)^MAX(0,MIN((12*(YEAR(BJ$3)-YEAR($B$76))+MONTH(BJ$3)-MONTH($B$76)),(12*(YEAR($B$77)-YEAR($B$76))+MONTH($B$77)-MONTH($B$76))))*(1+'Вводные'!$B$65)^MAX(0,(12*(YEAR(BJ$3)-YEAR($B$77))+MONTH(BJ$3)-MONTH($B$77))))</x:f>
      </x:c>
      <x:c r="BK87" s="107" t="n">
        <x:f>IF(BK86=0,0,'Вводные'!$B$60*'Вводные'!$S$91*'Вводные'!$H$5*'Вводные'!$AG$91*(1+'Вводные'!$B$64)^MAX(0,MIN((12*(YEAR(BK$3)-YEAR($B$76))+MONTH(BK$3)-MONTH($B$76)),(12*(YEAR($B$77)-YEAR($B$76))+MONTH($B$77)-MONTH($B$76))))*(1+'Вводные'!$B$65)^MAX(0,(12*(YEAR(BK$3)-YEAR($B$77))+MONTH(BK$3)-MONTH($B$77))))</x:f>
      </x:c>
      <x:c r="BL87" s="107" t="n">
        <x:f>IF(BL86=0,0,'Вводные'!$B$60*'Вводные'!$S$91*'Вводные'!$H$5*'Вводные'!$AG$91*(1+'Вводные'!$B$64)^MAX(0,MIN((12*(YEAR(BL$3)-YEAR($B$76))+MONTH(BL$3)-MONTH($B$76)),(12*(YEAR($B$77)-YEAR($B$76))+MONTH($B$77)-MONTH($B$76))))*(1+'Вводные'!$B$65)^MAX(0,(12*(YEAR(BL$3)-YEAR($B$77))+MONTH(BL$3)-MONTH($B$77))))</x:f>
      </x:c>
      <x:c r="BM87" s="107" t="n">
        <x:f>IF(BM86=0,0,'Вводные'!$B$60*'Вводные'!$S$91*'Вводные'!$H$5*'Вводные'!$AG$91*(1+'Вводные'!$B$64)^MAX(0,MIN((12*(YEAR(BM$3)-YEAR($B$76))+MONTH(BM$3)-MONTH($B$76)),(12*(YEAR($B$77)-YEAR($B$76))+MONTH($B$77)-MONTH($B$76))))*(1+'Вводные'!$B$65)^MAX(0,(12*(YEAR(BM$3)-YEAR($B$77))+MONTH(BM$3)-MONTH($B$77))))</x:f>
      </x:c>
      <x:c r="BN87" s="107" t="n">
        <x:f>IF(BN86=0,0,'Вводные'!$B$60*'Вводные'!$S$91*'Вводные'!$H$5*'Вводные'!$AG$91*(1+'Вводные'!$B$64)^MAX(0,MIN((12*(YEAR(BN$3)-YEAR($B$76))+MONTH(BN$3)-MONTH($B$76)),(12*(YEAR($B$77)-YEAR($B$76))+MONTH($B$77)-MONTH($B$76))))*(1+'Вводные'!$B$65)^MAX(0,(12*(YEAR(BN$3)-YEAR($B$77))+MONTH(BN$3)-MONTH($B$77))))</x:f>
      </x:c>
      <x:c r="BO87" s="107" t="n">
        <x:f>IF(BO86=0,0,'Вводные'!$B$60*'Вводные'!$S$91*'Вводные'!$H$5*'Вводные'!$AG$91*(1+'Вводные'!$B$64)^MAX(0,MIN((12*(YEAR(BO$3)-YEAR($B$76))+MONTH(BO$3)-MONTH($B$76)),(12*(YEAR($B$77)-YEAR($B$76))+MONTH($B$77)-MONTH($B$76))))*(1+'Вводные'!$B$65)^MAX(0,(12*(YEAR(BO$3)-YEAR($B$77))+MONTH(BO$3)-MONTH($B$77))))</x:f>
      </x:c>
      <x:c r="BP87" s="107" t="n">
        <x:f>IF(BP86=0,0,'Вводные'!$B$60*'Вводные'!$S$91*'Вводные'!$H$5*'Вводные'!$AG$91*(1+'Вводные'!$B$64)^MAX(0,MIN((12*(YEAR(BP$3)-YEAR($B$76))+MONTH(BP$3)-MONTH($B$76)),(12*(YEAR($B$77)-YEAR($B$76))+MONTH($B$77)-MONTH($B$76))))*(1+'Вводные'!$B$65)^MAX(0,(12*(YEAR(BP$3)-YEAR($B$77))+MONTH(BP$3)-MONTH($B$77))))</x:f>
      </x:c>
      <x:c r="BQ87" s="107" t="n">
        <x:f>IF(BQ86=0,0,'Вводные'!$B$60*'Вводные'!$S$91*'Вводные'!$H$5*'Вводные'!$AG$91*(1+'Вводные'!$B$64)^MAX(0,MIN((12*(YEAR(BQ$3)-YEAR($B$76))+MONTH(BQ$3)-MONTH($B$76)),(12*(YEAR($B$77)-YEAR($B$76))+MONTH($B$77)-MONTH($B$76))))*(1+'Вводные'!$B$65)^MAX(0,(12*(YEAR(BQ$3)-YEAR($B$77))+MONTH(BQ$3)-MONTH($B$77))))</x:f>
      </x:c>
      <x:c r="BR87" s="107" t="n">
        <x:f>IF(BR86=0,0,'Вводные'!$B$60*'Вводные'!$S$91*'Вводные'!$H$5*'Вводные'!$AG$91*(1+'Вводные'!$B$64)^MAX(0,MIN((12*(YEAR(BR$3)-YEAR($B$76))+MONTH(BR$3)-MONTH($B$76)),(12*(YEAR($B$77)-YEAR($B$76))+MONTH($B$77)-MONTH($B$76))))*(1+'Вводные'!$B$65)^MAX(0,(12*(YEAR(BR$3)-YEAR($B$77))+MONTH(BR$3)-MONTH($B$77))))</x:f>
      </x:c>
      <x:c r="BS87" s="107" t="n">
        <x:f>IF(BS86=0,0,'Вводные'!$B$60*'Вводные'!$S$91*'Вводные'!$H$5*'Вводные'!$AG$91*(1+'Вводные'!$B$64)^MAX(0,MIN((12*(YEAR(BS$3)-YEAR($B$76))+MONTH(BS$3)-MONTH($B$76)),(12*(YEAR($B$77)-YEAR($B$76))+MONTH($B$77)-MONTH($B$76))))*(1+'Вводные'!$B$65)^MAX(0,(12*(YEAR(BS$3)-YEAR($B$77))+MONTH(BS$3)-MONTH($B$77))))</x:f>
      </x:c>
      <x:c r="BT87" s="107" t="n">
        <x:f>IF(BT86=0,0,'Вводные'!$B$60*'Вводные'!$S$91*'Вводные'!$H$5*'Вводные'!$AG$91*(1+'Вводные'!$B$64)^MAX(0,MIN((12*(YEAR(BT$3)-YEAR($B$76))+MONTH(BT$3)-MONTH($B$76)),(12*(YEAR($B$77)-YEAR($B$76))+MONTH($B$77)-MONTH($B$76))))*(1+'Вводные'!$B$65)^MAX(0,(12*(YEAR(BT$3)-YEAR($B$77))+MONTH(BT$3)-MONTH($B$77))))</x:f>
      </x:c>
      <x:c r="BU87" s="107" t="n">
        <x:f>IF(BU86=0,0,'Вводные'!$B$60*'Вводные'!$S$91*'Вводные'!$H$5*'Вводные'!$AG$91*(1+'Вводные'!$B$64)^MAX(0,MIN((12*(YEAR(BU$3)-YEAR($B$76))+MONTH(BU$3)-MONTH($B$76)),(12*(YEAR($B$77)-YEAR($B$76))+MONTH($B$77)-MONTH($B$76))))*(1+'Вводные'!$B$65)^MAX(0,(12*(YEAR(BU$3)-YEAR($B$77))+MONTH(BU$3)-MONTH($B$77))))</x:f>
      </x:c>
      <x:c r="BV87" s="107" t="n">
        <x:f>IF(BV86=0,0,'Вводные'!$B$60*'Вводные'!$S$91*'Вводные'!$H$5*'Вводные'!$AG$91*(1+'Вводные'!$B$64)^MAX(0,MIN((12*(YEAR(BV$3)-YEAR($B$76))+MONTH(BV$3)-MONTH($B$76)),(12*(YEAR($B$77)-YEAR($B$76))+MONTH($B$77)-MONTH($B$76))))*(1+'Вводные'!$B$65)^MAX(0,(12*(YEAR(BV$3)-YEAR($B$77))+MONTH(BV$3)-MONTH($B$77))))</x:f>
      </x:c>
      <x:c r="BW87" s="107" t="n">
        <x:f>IF(BW86=0,0,'Вводные'!$B$60*'Вводные'!$S$91*'Вводные'!$H$5*'Вводные'!$AG$91*(1+'Вводные'!$B$64)^MAX(0,MIN((12*(YEAR(BW$3)-YEAR($B$76))+MONTH(BW$3)-MONTH($B$76)),(12*(YEAR($B$77)-YEAR($B$76))+MONTH($B$77)-MONTH($B$76))))*(1+'Вводные'!$B$65)^MAX(0,(12*(YEAR(BW$3)-YEAR($B$77))+MONTH(BW$3)-MONTH($B$77))))</x:f>
      </x:c>
      <x:c r="BX87" s="107" t="n">
        <x:f>IF(BX86=0,0,'Вводные'!$B$60*'Вводные'!$S$91*'Вводные'!$H$5*'Вводные'!$AG$91*(1+'Вводные'!$B$64)^MAX(0,MIN((12*(YEAR(BX$3)-YEAR($B$76))+MONTH(BX$3)-MONTH($B$76)),(12*(YEAR($B$77)-YEAR($B$76))+MONTH($B$77)-MONTH($B$76))))*(1+'Вводные'!$B$65)^MAX(0,(12*(YEAR(BX$3)-YEAR($B$77))+MONTH(BX$3)-MONTH($B$77))))</x:f>
      </x:c>
      <x:c r="BY87" s="107" t="n">
        <x:f>IF(BY86=0,0,'Вводные'!$B$60*'Вводные'!$S$91*'Вводные'!$H$5*'Вводные'!$AG$91*(1+'Вводные'!$B$64)^MAX(0,MIN((12*(YEAR(BY$3)-YEAR($B$76))+MONTH(BY$3)-MONTH($B$76)),(12*(YEAR($B$77)-YEAR($B$76))+MONTH($B$77)-MONTH($B$76))))*(1+'Вводные'!$B$65)^MAX(0,(12*(YEAR(BY$3)-YEAR($B$77))+MONTH(BY$3)-MONTH($B$77))))</x:f>
      </x:c>
      <x:c r="BZ87" s="107" t="n">
        <x:f>IF(BZ86=0,0,'Вводные'!$B$60*'Вводные'!$S$91*'Вводные'!$H$5*'Вводные'!$AG$91*(1+'Вводные'!$B$64)^MAX(0,MIN((12*(YEAR(BZ$3)-YEAR($B$76))+MONTH(BZ$3)-MONTH($B$76)),(12*(YEAR($B$77)-YEAR($B$76))+MONTH($B$77)-MONTH($B$76))))*(1+'Вводные'!$B$65)^MAX(0,(12*(YEAR(BZ$3)-YEAR($B$77))+MONTH(BZ$3)-MONTH($B$77))))</x:f>
      </x:c>
      <x:c r="CA87" s="107" t="n">
        <x:f>IF(CA86=0,0,'Вводные'!$B$60*'Вводные'!$S$91*'Вводные'!$H$5*'Вводные'!$AG$91*(1+'Вводные'!$B$64)^MAX(0,MIN((12*(YEAR(CA$3)-YEAR($B$76))+MONTH(CA$3)-MONTH($B$76)),(12*(YEAR($B$77)-YEAR($B$76))+MONTH($B$77)-MONTH($B$76))))*(1+'Вводные'!$B$65)^MAX(0,(12*(YEAR(CA$3)-YEAR($B$77))+MONTH(CA$3)-MONTH($B$77))))</x:f>
      </x:c>
      <x:c r="CB87" s="107" t="n">
        <x:f>IF(CB86=0,0,'Вводные'!$B$60*'Вводные'!$S$91*'Вводные'!$H$5*'Вводные'!$AG$91*(1+'Вводные'!$B$64)^MAX(0,MIN((12*(YEAR(CB$3)-YEAR($B$76))+MONTH(CB$3)-MONTH($B$76)),(12*(YEAR($B$77)-YEAR($B$76))+MONTH($B$77)-MONTH($B$76))))*(1+'Вводные'!$B$65)^MAX(0,(12*(YEAR(CB$3)-YEAR($B$77))+MONTH(CB$3)-MONTH($B$77))))</x:f>
      </x:c>
      <x:c r="CC87" s="107" t="n">
        <x:f>IF(CC86=0,0,'Вводные'!$B$60*'Вводные'!$S$91*'Вводные'!$H$5*'Вводные'!$AG$91*(1+'Вводные'!$B$64)^MAX(0,MIN((12*(YEAR(CC$3)-YEAR($B$76))+MONTH(CC$3)-MONTH($B$76)),(12*(YEAR($B$77)-YEAR($B$76))+MONTH($B$77)-MONTH($B$76))))*(1+'Вводные'!$B$65)^MAX(0,(12*(YEAR(CC$3)-YEAR($B$77))+MONTH(CC$3)-MONTH($B$77))))</x:f>
      </x:c>
      <x:c r="CD87" s="107" t="n">
        <x:f>IF(CD86=0,0,'Вводные'!$B$60*'Вводные'!$S$91*'Вводные'!$H$5*'Вводные'!$AG$91*(1+'Вводные'!$B$64)^MAX(0,MIN((12*(YEAR(CD$3)-YEAR($B$76))+MONTH(CD$3)-MONTH($B$76)),(12*(YEAR($B$77)-YEAR($B$76))+MONTH($B$77)-MONTH($B$76))))*(1+'Вводные'!$B$65)^MAX(0,(12*(YEAR(CD$3)-YEAR($B$77))+MONTH(CD$3)-MONTH($B$77))))</x:f>
      </x:c>
      <x:c r="CE87" s="107" t="n">
        <x:f>IF(CE86=0,0,'Вводные'!$B$60*'Вводные'!$S$91*'Вводные'!$H$5*'Вводные'!$AG$91*(1+'Вводные'!$B$64)^MAX(0,MIN((12*(YEAR(CE$3)-YEAR($B$76))+MONTH(CE$3)-MONTH($B$76)),(12*(YEAR($B$77)-YEAR($B$76))+MONTH($B$77)-MONTH($B$76))))*(1+'Вводные'!$B$65)^MAX(0,(12*(YEAR(CE$3)-YEAR($B$77))+MONTH(CE$3)-MONTH($B$77))))</x:f>
      </x:c>
      <x:c r="CF87" s="107" t="n">
        <x:f>IF(CF86=0,0,'Вводные'!$B$60*'Вводные'!$S$91*'Вводные'!$H$5*'Вводные'!$AG$91*(1+'Вводные'!$B$64)^MAX(0,MIN((12*(YEAR(CF$3)-YEAR($B$76))+MONTH(CF$3)-MONTH($B$76)),(12*(YEAR($B$77)-YEAR($B$76))+MONTH($B$77)-MONTH($B$76))))*(1+'Вводные'!$B$65)^MAX(0,(12*(YEAR(CF$3)-YEAR($B$77))+MONTH(CF$3)-MONTH($B$77))))</x:f>
      </x:c>
      <x:c r="CG87" s="107" t="n">
        <x:f>IF(CG86=0,0,'Вводные'!$B$60*'Вводные'!$S$91*'Вводные'!$H$5*'Вводные'!$AG$91*(1+'Вводные'!$B$64)^MAX(0,MIN((12*(YEAR(CG$3)-YEAR($B$76))+MONTH(CG$3)-MONTH($B$76)),(12*(YEAR($B$77)-YEAR($B$76))+MONTH($B$77)-MONTH($B$76))))*(1+'Вводные'!$B$65)^MAX(0,(12*(YEAR(CG$3)-YEAR($B$77))+MONTH(CG$3)-MONTH($B$77))))</x:f>
      </x:c>
      <x:c r="CH87" s="107" t="n">
        <x:f>IF(CH86=0,0,'Вводные'!$B$60*'Вводные'!$S$91*'Вводные'!$H$5*'Вводные'!$AG$91*(1+'Вводные'!$B$64)^MAX(0,MIN((12*(YEAR(CH$3)-YEAR($B$76))+MONTH(CH$3)-MONTH($B$76)),(12*(YEAR($B$77)-YEAR($B$76))+MONTH($B$77)-MONTH($B$76))))*(1+'Вводные'!$B$65)^MAX(0,(12*(YEAR(CH$3)-YEAR($B$77))+MONTH(CH$3)-MONTH($B$77))))</x:f>
      </x:c>
      <x:c r="CI87" s="107" t="n">
        <x:f>IF(CI86=0,0,'Вводные'!$B$60*'Вводные'!$S$91*'Вводные'!$H$5*'Вводные'!$AG$91*(1+'Вводные'!$B$64)^MAX(0,MIN((12*(YEAR(CI$3)-YEAR($B$76))+MONTH(CI$3)-MONTH($B$76)),(12*(YEAR($B$77)-YEAR($B$76))+MONTH($B$77)-MONTH($B$76))))*(1+'Вводные'!$B$65)^MAX(0,(12*(YEAR(CI$3)-YEAR($B$77))+MONTH(CI$3)-MONTH($B$77))))</x:f>
      </x:c>
      <x:c r="CJ87" s="107" t="n">
        <x:f>IF(CJ86=0,0,'Вводные'!$B$60*'Вводные'!$S$91*'Вводные'!$H$5*'Вводные'!$AG$91*(1+'Вводные'!$B$64)^MAX(0,MIN((12*(YEAR(CJ$3)-YEAR($B$76))+MONTH(CJ$3)-MONTH($B$76)),(12*(YEAR($B$77)-YEAR($B$76))+MONTH($B$77)-MONTH($B$76))))*(1+'Вводные'!$B$65)^MAX(0,(12*(YEAR(CJ$3)-YEAR($B$77))+MONTH(CJ$3)-MONTH($B$77))))</x:f>
      </x:c>
      <x:c r="CK87" s="107" t="n">
        <x:f>IF(CK86=0,0,'Вводные'!$B$60*'Вводные'!$S$91*'Вводные'!$H$5*'Вводные'!$AG$91*(1+'Вводные'!$B$64)^MAX(0,MIN((12*(YEAR(CK$3)-YEAR($B$76))+MONTH(CK$3)-MONTH($B$76)),(12*(YEAR($B$77)-YEAR($B$76))+MONTH($B$77)-MONTH($B$76))))*(1+'Вводные'!$B$65)^MAX(0,(12*(YEAR(CK$3)-YEAR($B$77))+MONTH(CK$3)-MONTH($B$77))))</x:f>
      </x:c>
      <x:c r="CL87" s="107" t="n">
        <x:f>IF(CL86=0,0,'Вводные'!$B$60*'Вводные'!$S$91*'Вводные'!$H$5*'Вводные'!$AG$91*(1+'Вводные'!$B$64)^MAX(0,MIN((12*(YEAR(CL$3)-YEAR($B$76))+MONTH(CL$3)-MONTH($B$76)),(12*(YEAR($B$77)-YEAR($B$76))+MONTH($B$77)-MONTH($B$76))))*(1+'Вводные'!$B$65)^MAX(0,(12*(YEAR(CL$3)-YEAR($B$77))+MONTH(CL$3)-MONTH($B$77))))</x:f>
      </x:c>
      <x:c r="CM87" s="107" t="n">
        <x:f>IF(CM86=0,0,'Вводные'!$B$60*'Вводные'!$S$91*'Вводные'!$H$5*'Вводные'!$AG$91*(1+'Вводные'!$B$64)^MAX(0,MIN((12*(YEAR(CM$3)-YEAR($B$76))+MONTH(CM$3)-MONTH($B$76)),(12*(YEAR($B$77)-YEAR($B$76))+MONTH($B$77)-MONTH($B$76))))*(1+'Вводные'!$B$65)^MAX(0,(12*(YEAR(CM$3)-YEAR($B$77))+MONTH(CM$3)-MONTH($B$77))))</x:f>
      </x:c>
      <x:c r="CN87" s="107" t="n">
        <x:f>IF(CN86=0,0,'Вводные'!$B$60*'Вводные'!$S$91*'Вводные'!$H$5*'Вводные'!$AG$91*(1+'Вводные'!$B$64)^MAX(0,MIN((12*(YEAR(CN$3)-YEAR($B$76))+MONTH(CN$3)-MONTH($B$76)),(12*(YEAR($B$77)-YEAR($B$76))+MONTH($B$77)-MONTH($B$76))))*(1+'Вводные'!$B$65)^MAX(0,(12*(YEAR(CN$3)-YEAR($B$77))+MONTH(CN$3)-MONTH($B$77))))</x:f>
      </x:c>
      <x:c r="CO87" s="107" t="n">
        <x:f>IF(CO86=0,0,'Вводные'!$B$60*'Вводные'!$S$91*'Вводные'!$H$5*'Вводные'!$AG$91*(1+'Вводные'!$B$64)^MAX(0,MIN((12*(YEAR(CO$3)-YEAR($B$76))+MONTH(CO$3)-MONTH($B$76)),(12*(YEAR($B$77)-YEAR($B$76))+MONTH($B$77)-MONTH($B$76))))*(1+'Вводные'!$B$65)^MAX(0,(12*(YEAR(CO$3)-YEAR($B$77))+MONTH(CO$3)-MONTH($B$77))))</x:f>
      </x:c>
      <x:c r="CP87" s="107" t="n">
        <x:f>IF(CP86=0,0,'Вводные'!$B$60*'Вводные'!$S$91*'Вводные'!$H$5*'Вводные'!$AG$91*(1+'Вводные'!$B$64)^MAX(0,MIN((12*(YEAR(CP$3)-YEAR($B$76))+MONTH(CP$3)-MONTH($B$76)),(12*(YEAR($B$77)-YEAR($B$76))+MONTH($B$77)-MONTH($B$76))))*(1+'Вводные'!$B$65)^MAX(0,(12*(YEAR(CP$3)-YEAR($B$77))+MONTH(CP$3)-MONTH($B$77))))</x:f>
      </x:c>
      <x:c r="CQ87" s="107" t="n">
        <x:f>IF(CQ86=0,0,'Вводные'!$B$60*'Вводные'!$S$91*'Вводные'!$H$5*'Вводные'!$AG$91*(1+'Вводные'!$B$64)^MAX(0,MIN((12*(YEAR(CQ$3)-YEAR($B$76))+MONTH(CQ$3)-MONTH($B$76)),(12*(YEAR($B$77)-YEAR($B$76))+MONTH($B$77)-MONTH($B$76))))*(1+'Вводные'!$B$65)^MAX(0,(12*(YEAR(CQ$3)-YEAR($B$77))+MONTH(CQ$3)-MONTH($B$77))))</x:f>
      </x:c>
      <x:c r="CR87" s="107" t="n">
        <x:f>IF(CR86=0,0,'Вводные'!$B$60*'Вводные'!$S$91*'Вводные'!$H$5*'Вводные'!$AG$91*(1+'Вводные'!$B$64)^MAX(0,MIN((12*(YEAR(CR$3)-YEAR($B$76))+MONTH(CR$3)-MONTH($B$76)),(12*(YEAR($B$77)-YEAR($B$76))+MONTH($B$77)-MONTH($B$76))))*(1+'Вводные'!$B$65)^MAX(0,(12*(YEAR(CR$3)-YEAR($B$77))+MONTH(CR$3)-MONTH($B$77))))</x:f>
      </x:c>
      <x:c r="CS87" s="107" t="n">
        <x:f>IF(CS86=0,0,'Вводные'!$B$60*'Вводные'!$S$91*'Вводные'!$H$5*'Вводные'!$AG$91*(1+'Вводные'!$B$64)^MAX(0,MIN((12*(YEAR(CS$3)-YEAR($B$76))+MONTH(CS$3)-MONTH($B$76)),(12*(YEAR($B$77)-YEAR($B$76))+MONTH($B$77)-MONTH($B$76))))*(1+'Вводные'!$B$65)^MAX(0,(12*(YEAR(CS$3)-YEAR($B$77))+MONTH(CS$3)-MONTH($B$77))))</x:f>
      </x:c>
      <x:c r="CT87" s="107" t="n">
        <x:f>IF(CT86=0,0,'Вводные'!$B$60*'Вводные'!$S$91*'Вводные'!$H$5*'Вводные'!$AG$91*(1+'Вводные'!$B$64)^MAX(0,MIN((12*(YEAR(CT$3)-YEAR($B$76))+MONTH(CT$3)-MONTH($B$76)),(12*(YEAR($B$77)-YEAR($B$76))+MONTH($B$77)-MONTH($B$76))))*(1+'Вводные'!$B$65)^MAX(0,(12*(YEAR(CT$3)-YEAR($B$77))+MONTH(CT$3)-MONTH($B$77))))</x:f>
      </x:c>
      <x:c r="CU87" s="107" t="n">
        <x:f>IF(CU86=0,0,'Вводные'!$B$60*'Вводные'!$S$91*'Вводные'!$H$5*'Вводные'!$AG$91*(1+'Вводные'!$B$64)^MAX(0,MIN((12*(YEAR(CU$3)-YEAR($B$76))+MONTH(CU$3)-MONTH($B$76)),(12*(YEAR($B$77)-YEAR($B$76))+MONTH($B$77)-MONTH($B$76))))*(1+'Вводные'!$B$65)^MAX(0,(12*(YEAR(CU$3)-YEAR($B$77))+MONTH(CU$3)-MONTH($B$77))))</x:f>
      </x:c>
      <x:c r="CV87" s="107" t="n">
        <x:f>IF(CV86=0,0,'Вводные'!$B$60*'Вводные'!$S$91*'Вводные'!$H$5*'Вводные'!$AG$91*(1+'Вводные'!$B$64)^MAX(0,MIN((12*(YEAR(CV$3)-YEAR($B$76))+MONTH(CV$3)-MONTH($B$76)),(12*(YEAR($B$77)-YEAR($B$76))+MONTH($B$77)-MONTH($B$76))))*(1+'Вводные'!$B$65)^MAX(0,(12*(YEAR(CV$3)-YEAR($B$77))+MONTH(CV$3)-MONTH($B$77))))</x:f>
      </x:c>
      <x:c r="CW87" s="107" t="n">
        <x:f>IF(CW86=0,0,'Вводные'!$B$60*'Вводные'!$S$91*'Вводные'!$H$5*'Вводные'!$AG$91*(1+'Вводные'!$B$64)^MAX(0,MIN((12*(YEAR(CW$3)-YEAR($B$76))+MONTH(CW$3)-MONTH($B$76)),(12*(YEAR($B$77)-YEAR($B$76))+MONTH($B$77)-MONTH($B$76))))*(1+'Вводные'!$B$65)^MAX(0,(12*(YEAR(CW$3)-YEAR($B$77))+MONTH(CW$3)-MONTH($B$77))))</x:f>
      </x:c>
      <x:c r="CX87" s="107" t="n">
        <x:f>IF(CX86=0,0,'Вводные'!$B$60*'Вводные'!$S$91*'Вводные'!$H$5*'Вводные'!$AG$91*(1+'Вводные'!$B$64)^MAX(0,MIN((12*(YEAR(CX$3)-YEAR($B$76))+MONTH(CX$3)-MONTH($B$76)),(12*(YEAR($B$77)-YEAR($B$76))+MONTH($B$77)-MONTH($B$76))))*(1+'Вводные'!$B$65)^MAX(0,(12*(YEAR(CX$3)-YEAR($B$77))+MONTH(CX$3)-MONTH($B$77))))</x:f>
      </x:c>
      <x:c r="CY87" s="107" t="n">
        <x:f>IF(CY86=0,0,'Вводные'!$B$60*'Вводные'!$S$91*'Вводные'!$H$5*'Вводные'!$AG$91*(1+'Вводные'!$B$64)^MAX(0,MIN((12*(YEAR(CY$3)-YEAR($B$76))+MONTH(CY$3)-MONTH($B$76)),(12*(YEAR($B$77)-YEAR($B$76))+MONTH($B$77)-MONTH($B$76))))*(1+'Вводные'!$B$65)^MAX(0,(12*(YEAR(CY$3)-YEAR($B$77))+MONTH(CY$3)-MONTH($B$77))))</x:f>
      </x:c>
      <x:c r="CZ87" s="107" t="n">
        <x:f>IF(CZ86=0,0,'Вводные'!$B$60*'Вводные'!$S$91*'Вводные'!$H$5*'Вводные'!$AG$91*(1+'Вводные'!$B$64)^MAX(0,MIN((12*(YEAR(CZ$3)-YEAR($B$76))+MONTH(CZ$3)-MONTH($B$76)),(12*(YEAR($B$77)-YEAR($B$76))+MONTH($B$77)-MONTH($B$76))))*(1+'Вводные'!$B$65)^MAX(0,(12*(YEAR(CZ$3)-YEAR($B$77))+MONTH(CZ$3)-MONTH($B$77))))</x:f>
      </x:c>
      <x:c r="DA87" s="107" t="n">
        <x:f>IF(DA86=0,0,'Вводные'!$B$60*'Вводные'!$S$91*'Вводные'!$H$5*'Вводные'!$AG$91*(1+'Вводные'!$B$64)^MAX(0,MIN((12*(YEAR(DA$3)-YEAR($B$76))+MONTH(DA$3)-MONTH($B$76)),(12*(YEAR($B$77)-YEAR($B$76))+MONTH($B$77)-MONTH($B$76))))*(1+'Вводные'!$B$65)^MAX(0,(12*(YEAR(DA$3)-YEAR($B$77))+MONTH(DA$3)-MONTH($B$77))))</x:f>
      </x:c>
      <x:c r="DB87" s="107" t="n">
        <x:f>IF(DB86=0,0,'Вводные'!$B$60*'Вводные'!$S$91*'Вводные'!$H$5*'Вводные'!$AG$91*(1+'Вводные'!$B$64)^MAX(0,MIN((12*(YEAR(DB$3)-YEAR($B$76))+MONTH(DB$3)-MONTH($B$76)),(12*(YEAR($B$77)-YEAR($B$76))+MONTH($B$77)-MONTH($B$76))))*(1+'Вводные'!$B$65)^MAX(0,(12*(YEAR(DB$3)-YEAR($B$77))+MONTH(DB$3)-MONTH($B$77))))</x:f>
      </x:c>
      <x:c r="DC87" s="107" t="n">
        <x:f>IF(DC86=0,0,'Вводные'!$B$60*'Вводные'!$S$91*'Вводные'!$H$5*'Вводные'!$AG$91*(1+'Вводные'!$B$64)^MAX(0,MIN((12*(YEAR(DC$3)-YEAR($B$76))+MONTH(DC$3)-MONTH($B$76)),(12*(YEAR($B$77)-YEAR($B$76))+MONTH($B$77)-MONTH($B$76))))*(1+'Вводные'!$B$65)^MAX(0,(12*(YEAR(DC$3)-YEAR($B$77))+MONTH(DC$3)-MONTH($B$77))))</x:f>
      </x:c>
      <x:c r="DD87" s="107" t="n">
        <x:f>IF(DD86=0,0,'Вводные'!$B$60*'Вводные'!$S$91*'Вводные'!$H$5*'Вводные'!$AG$91*(1+'Вводные'!$B$64)^MAX(0,MIN((12*(YEAR(DD$3)-YEAR($B$76))+MONTH(DD$3)-MONTH($B$76)),(12*(YEAR($B$77)-YEAR($B$76))+MONTH($B$77)-MONTH($B$76))))*(1+'Вводные'!$B$65)^MAX(0,(12*(YEAR(DD$3)-YEAR($B$77))+MONTH(DD$3)-MONTH($B$77))))</x:f>
      </x:c>
      <x:c r="DE87" s="107" t="n">
        <x:f>IF(DE86=0,0,'Вводные'!$B$60*'Вводные'!$S$91*'Вводные'!$H$5*'Вводные'!$AG$91*(1+'Вводные'!$B$64)^MAX(0,MIN((12*(YEAR(DE$3)-YEAR($B$76))+MONTH(DE$3)-MONTH($B$76)),(12*(YEAR($B$77)-YEAR($B$76))+MONTH($B$77)-MONTH($B$76))))*(1+'Вводные'!$B$65)^MAX(0,(12*(YEAR(DE$3)-YEAR($B$77))+MONTH(DE$3)-MONTH($B$77))))</x:f>
      </x:c>
      <x:c r="DF87" s="107" t="n">
        <x:f>IF(DF86=0,0,'Вводные'!$B$60*'Вводные'!$S$91*'Вводные'!$H$5*'Вводные'!$AG$91*(1+'Вводные'!$B$64)^MAX(0,MIN((12*(YEAR(DF$3)-YEAR($B$76))+MONTH(DF$3)-MONTH($B$76)),(12*(YEAR($B$77)-YEAR($B$76))+MONTH($B$77)-MONTH($B$76))))*(1+'Вводные'!$B$65)^MAX(0,(12*(YEAR(DF$3)-YEAR($B$77))+MONTH(DF$3)-MONTH($B$77))))</x:f>
      </x:c>
      <x:c r="DG87" s="107" t="n">
        <x:f>IF(DG86=0,0,'Вводные'!$B$60*'Вводные'!$S$91*'Вводные'!$H$5*'Вводные'!$AG$91*(1+'Вводные'!$B$64)^MAX(0,MIN((12*(YEAR(DG$3)-YEAR($B$76))+MONTH(DG$3)-MONTH($B$76)),(12*(YEAR($B$77)-YEAR($B$76))+MONTH($B$77)-MONTH($B$76))))*(1+'Вводные'!$B$65)^MAX(0,(12*(YEAR(DG$3)-YEAR($B$77))+MONTH(DG$3)-MONTH($B$77))))</x:f>
      </x:c>
      <x:c r="DH87" s="107" t="n">
        <x:f>IF(DH86=0,0,'Вводные'!$B$60*'Вводные'!$S$91*'Вводные'!$H$5*'Вводные'!$AG$91*(1+'Вводные'!$B$64)^MAX(0,MIN((12*(YEAR(DH$3)-YEAR($B$76))+MONTH(DH$3)-MONTH($B$76)),(12*(YEAR($B$77)-YEAR($B$76))+MONTH($B$77)-MONTH($B$76))))*(1+'Вводные'!$B$65)^MAX(0,(12*(YEAR(DH$3)-YEAR($B$77))+MONTH(DH$3)-MONTH($B$77))))</x:f>
      </x:c>
      <x:c r="DI87" s="107" t="n">
        <x:f>IF(DI86=0,0,'Вводные'!$B$60*'Вводные'!$S$91*'Вводные'!$H$5*'Вводные'!$AG$91*(1+'Вводные'!$B$64)^MAX(0,MIN((12*(YEAR(DI$3)-YEAR($B$76))+MONTH(DI$3)-MONTH($B$76)),(12*(YEAR($B$77)-YEAR($B$76))+MONTH($B$77)-MONTH($B$76))))*(1+'Вводные'!$B$65)^MAX(0,(12*(YEAR(DI$3)-YEAR($B$77))+MONTH(DI$3)-MONTH($B$77))))</x:f>
      </x:c>
      <x:c r="DJ87" s="107" t="n">
        <x:f>IF(DJ86=0,0,'Вводные'!$B$60*'Вводные'!$S$91*'Вводные'!$H$5*'Вводные'!$AG$91*(1+'Вводные'!$B$64)^MAX(0,MIN((12*(YEAR(DJ$3)-YEAR($B$76))+MONTH(DJ$3)-MONTH($B$76)),(12*(YEAR($B$77)-YEAR($B$76))+MONTH($B$77)-MONTH($B$76))))*(1+'Вводные'!$B$65)^MAX(0,(12*(YEAR(DJ$3)-YEAR($B$77))+MONTH(DJ$3)-MONTH($B$77))))</x:f>
      </x:c>
      <x:c r="DK87" s="107" t="n">
        <x:f>IF(DK86=0,0,'Вводные'!$B$60*'Вводные'!$S$91*'Вводные'!$H$5*'Вводные'!$AG$91*(1+'Вводные'!$B$64)^MAX(0,MIN((12*(YEAR(DK$3)-YEAR($B$76))+MONTH(DK$3)-MONTH($B$76)),(12*(YEAR($B$77)-YEAR($B$76))+MONTH($B$77)-MONTH($B$76))))*(1+'Вводные'!$B$65)^MAX(0,(12*(YEAR(DK$3)-YEAR($B$77))+MONTH(DK$3)-MONTH($B$77))))</x:f>
      </x:c>
      <x:c r="DL87" s="107" t="n">
        <x:f>IF(DL86=0,0,'Вводные'!$B$60*'Вводные'!$S$91*'Вводные'!$H$5*'Вводные'!$AG$91*(1+'Вводные'!$B$64)^MAX(0,MIN((12*(YEAR(DL$3)-YEAR($B$76))+MONTH(DL$3)-MONTH($B$76)),(12*(YEAR($B$77)-YEAR($B$76))+MONTH($B$77)-MONTH($B$76))))*(1+'Вводные'!$B$65)^MAX(0,(12*(YEAR(DL$3)-YEAR($B$77))+MONTH(DL$3)-MONTH($B$77))))</x:f>
      </x:c>
      <x:c r="DM87" s="107" t="n">
        <x:f>IF(DM86=0,0,'Вводные'!$B$60*'Вводные'!$S$91*'Вводные'!$H$5*'Вводные'!$AG$91*(1+'Вводные'!$B$64)^MAX(0,MIN((12*(YEAR(DM$3)-YEAR($B$76))+MONTH(DM$3)-MONTH($B$76)),(12*(YEAR($B$77)-YEAR($B$76))+MONTH($B$77)-MONTH($B$76))))*(1+'Вводные'!$B$65)^MAX(0,(12*(YEAR(DM$3)-YEAR($B$77))+MONTH(DM$3)-MONTH($B$77))))</x:f>
      </x:c>
      <x:c r="DN87" s="107" t="n">
        <x:f>IF(DN86=0,0,'Вводные'!$B$60*'Вводные'!$S$91*'Вводные'!$H$5*'Вводные'!$AG$91*(1+'Вводные'!$B$64)^MAX(0,MIN((12*(YEAR(DN$3)-YEAR($B$76))+MONTH(DN$3)-MONTH($B$76)),(12*(YEAR($B$77)-YEAR($B$76))+MONTH($B$77)-MONTH($B$76))))*(1+'Вводные'!$B$65)^MAX(0,(12*(YEAR(DN$3)-YEAR($B$77))+MONTH(DN$3)-MONTH($B$77))))</x:f>
      </x:c>
      <x:c r="DO87" s="107" t="n">
        <x:f>IF(DO86=0,0,'Вводные'!$B$60*'Вводные'!$S$91*'Вводные'!$H$5*'Вводные'!$AG$91*(1+'Вводные'!$B$64)^MAX(0,MIN((12*(YEAR(DO$3)-YEAR($B$76))+MONTH(DO$3)-MONTH($B$76)),(12*(YEAR($B$77)-YEAR($B$76))+MONTH($B$77)-MONTH($B$76))))*(1+'Вводные'!$B$65)^MAX(0,(12*(YEAR(DO$3)-YEAR($B$77))+MONTH(DO$3)-MONTH($B$77))))</x:f>
      </x:c>
      <x:c r="DP87" s="107" t="n">
        <x:f>IF(DP86=0,0,'Вводные'!$B$60*'Вводные'!$S$91*'Вводные'!$H$5*'Вводные'!$AG$91*(1+'Вводные'!$B$64)^MAX(0,MIN((12*(YEAR(DP$3)-YEAR($B$76))+MONTH(DP$3)-MONTH($B$76)),(12*(YEAR($B$77)-YEAR($B$76))+MONTH($B$77)-MONTH($B$76))))*(1+'Вводные'!$B$65)^MAX(0,(12*(YEAR(DP$3)-YEAR($B$77))+MONTH(DP$3)-MONTH($B$77))))</x:f>
      </x:c>
      <x:c r="DQ87" s="107" t="n">
        <x:f>IF(DQ86=0,0,'Вводные'!$B$60*'Вводные'!$S$91*'Вводные'!$H$5*'Вводные'!$AG$91*(1+'Вводные'!$B$64)^MAX(0,MIN((12*(YEAR(DQ$3)-YEAR($B$76))+MONTH(DQ$3)-MONTH($B$76)),(12*(YEAR($B$77)-YEAR($B$76))+MONTH($B$77)-MONTH($B$76))))*(1+'Вводные'!$B$65)^MAX(0,(12*(YEAR(DQ$3)-YEAR($B$77))+MONTH(DQ$3)-MONTH($B$77))))</x:f>
      </x:c>
      <x:c r="DR87" s="107" t="n">
        <x:f>IF(DR86=0,0,'Вводные'!$B$60*'Вводные'!$S$91*'Вводные'!$H$5*'Вводные'!$AG$91*(1+'Вводные'!$B$64)^MAX(0,MIN((12*(YEAR(DR$3)-YEAR($B$76))+MONTH(DR$3)-MONTH($B$76)),(12*(YEAR($B$77)-YEAR($B$76))+MONTH($B$77)-MONTH($B$76))))*(1+'Вводные'!$B$65)^MAX(0,(12*(YEAR(DR$3)-YEAR($B$77))+MONTH(DR$3)-MONTH($B$77))))</x:f>
      </x:c>
      <x:c r="DS87" s="107" t="n">
        <x:f>IF(DS86=0,0,'Вводные'!$B$60*'Вводные'!$S$91*'Вводные'!$H$5*'Вводные'!$AG$91*(1+'Вводные'!$B$64)^MAX(0,MIN((12*(YEAR(DS$3)-YEAR($B$76))+MONTH(DS$3)-MONTH($B$76)),(12*(YEAR($B$77)-YEAR($B$76))+MONTH($B$77)-MONTH($B$76))))*(1+'Вводные'!$B$65)^MAX(0,(12*(YEAR(DS$3)-YEAR($B$77))+MONTH(DS$3)-MONTH($B$77))))</x:f>
      </x:c>
      <x:c r="DT87" s="107" t="n">
        <x:f>IF(DT86=0,0,'Вводные'!$B$60*'Вводные'!$S$91*'Вводные'!$H$5*'Вводные'!$AG$91*(1+'Вводные'!$B$64)^MAX(0,MIN((12*(YEAR(DT$3)-YEAR($B$76))+MONTH(DT$3)-MONTH($B$76)),(12*(YEAR($B$77)-YEAR($B$76))+MONTH($B$77)-MONTH($B$76))))*(1+'Вводные'!$B$65)^MAX(0,(12*(YEAR(DT$3)-YEAR($B$77))+MONTH(DT$3)-MONTH($B$77))))</x:f>
      </x:c>
      <x:c r="DU87" s="107" t="n">
        <x:f>IF(DU86=0,0,'Вводные'!$B$60*'Вводные'!$S$91*'Вводные'!$H$5*'Вводные'!$AG$91*(1+'Вводные'!$B$64)^MAX(0,MIN((12*(YEAR(DU$3)-YEAR($B$76))+MONTH(DU$3)-MONTH($B$76)),(12*(YEAR($B$77)-YEAR($B$76))+MONTH($B$77)-MONTH($B$76))))*(1+'Вводные'!$B$65)^MAX(0,(12*(YEAR(DU$3)-YEAR($B$77))+MONTH(DU$3)-MONTH($B$77))))</x:f>
      </x:c>
      <x:c r="DV87" s="107" t="n">
        <x:f>IF(DV86=0,0,'Вводные'!$B$60*'Вводные'!$S$91*'Вводные'!$H$5*'Вводные'!$AG$91*(1+'Вводные'!$B$64)^MAX(0,MIN((12*(YEAR(DV$3)-YEAR($B$76))+MONTH(DV$3)-MONTH($B$76)),(12*(YEAR($B$77)-YEAR($B$76))+MONTH($B$77)-MONTH($B$76))))*(1+'Вводные'!$B$65)^MAX(0,(12*(YEAR(DV$3)-YEAR($B$77))+MONTH(DV$3)-MONTH($B$77))))</x:f>
      </x:c>
      <x:c r="DW87" s="107" t="n">
        <x:f>IF(DW86=0,0,'Вводные'!$B$60*'Вводные'!$S$91*'Вводные'!$H$5*'Вводные'!$AG$91*(1+'Вводные'!$B$64)^MAX(0,MIN((12*(YEAR(DW$3)-YEAR($B$76))+MONTH(DW$3)-MONTH($B$76)),(12*(YEAR($B$77)-YEAR($B$76))+MONTH($B$77)-MONTH($B$76))))*(1+'Вводные'!$B$65)^MAX(0,(12*(YEAR(DW$3)-YEAR($B$77))+MONTH(DW$3)-MONTH($B$77))))</x:f>
      </x:c>
      <x:c r="DX87" s="107" t="n">
        <x:f>IF(DX86=0,0,'Вводные'!$B$60*'Вводные'!$S$91*'Вводные'!$H$5*'Вводные'!$AG$91*(1+'Вводные'!$B$64)^MAX(0,MIN((12*(YEAR(DX$3)-YEAR($B$76))+MONTH(DX$3)-MONTH($B$76)),(12*(YEAR($B$77)-YEAR($B$76))+MONTH($B$77)-MONTH($B$76))))*(1+'Вводные'!$B$65)^MAX(0,(12*(YEAR(DX$3)-YEAR($B$77))+MONTH(DX$3)-MONTH($B$77))))</x:f>
      </x:c>
      <x:c r="DY87" s="107" t="n">
        <x:f>IF(DY86=0,0,'Вводные'!$B$60*'Вводные'!$S$91*'Вводные'!$H$5*'Вводные'!$AG$91*(1+'Вводные'!$B$64)^MAX(0,MIN((12*(YEAR(DY$3)-YEAR($B$76))+MONTH(DY$3)-MONTH($B$76)),(12*(YEAR($B$77)-YEAR($B$76))+MONTH($B$77)-MONTH($B$76))))*(1+'Вводные'!$B$65)^MAX(0,(12*(YEAR(DY$3)-YEAR($B$77))+MONTH(DY$3)-MONTH($B$77))))</x:f>
      </x:c>
      <x:c r="DZ87" s="107" t="n">
        <x:f>IF(DZ86=0,0,'Вводные'!$B$60*'Вводные'!$S$91*'Вводные'!$H$5*'Вводные'!$AG$91*(1+'Вводные'!$B$64)^MAX(0,MIN((12*(YEAR(DZ$3)-YEAR($B$76))+MONTH(DZ$3)-MONTH($B$76)),(12*(YEAR($B$77)-YEAR($B$76))+MONTH($B$77)-MONTH($B$76))))*(1+'Вводные'!$B$65)^MAX(0,(12*(YEAR(DZ$3)-YEAR($B$77))+MONTH(DZ$3)-MONTH($B$77))))</x:f>
      </x:c>
      <x:c r="EA87" s="107" t="n">
        <x:f>IF(EA86=0,0,'Вводные'!$B$60*'Вводные'!$S$91*'Вводные'!$H$5*'Вводные'!$AG$91*(1+'Вводные'!$B$64)^MAX(0,MIN((12*(YEAR(EA$3)-YEAR($B$76))+MONTH(EA$3)-MONTH($B$76)),(12*(YEAR($B$77)-YEAR($B$76))+MONTH($B$77)-MONTH($B$76))))*(1+'Вводные'!$B$65)^MAX(0,(12*(YEAR(EA$3)-YEAR($B$77))+MONTH(EA$3)-MONTH($B$77))))</x:f>
      </x:c>
      <x:c r="EB87" s="107" t="n">
        <x:f>IF(EB86=0,0,'Вводные'!$B$60*'Вводные'!$S$91*'Вводные'!$H$5*'Вводные'!$AG$91*(1+'Вводные'!$B$64)^MAX(0,MIN((12*(YEAR(EB$3)-YEAR($B$76))+MONTH(EB$3)-MONTH($B$76)),(12*(YEAR($B$77)-YEAR($B$76))+MONTH($B$77)-MONTH($B$76))))*(1+'Вводные'!$B$65)^MAX(0,(12*(YEAR(EB$3)-YEAR($B$77))+MONTH(EB$3)-MONTH($B$77))))</x:f>
      </x:c>
      <x:c r="EC87" s="107" t="n">
        <x:f>IF(EC86=0,0,'Вводные'!$B$60*'Вводные'!$S$91*'Вводные'!$H$5*'Вводные'!$AG$91*(1+'Вводные'!$B$64)^MAX(0,MIN((12*(YEAR(EC$3)-YEAR($B$76))+MONTH(EC$3)-MONTH($B$76)),(12*(YEAR($B$77)-YEAR($B$76))+MONTH($B$77)-MONTH($B$76))))*(1+'Вводные'!$B$65)^MAX(0,(12*(YEAR(EC$3)-YEAR($B$77))+MONTH(EC$3)-MONTH($B$77))))</x:f>
      </x:c>
      <x:c r="ED87" s="107" t="n">
        <x:f>IF(ED86=0,0,'Вводные'!$B$60*'Вводные'!$S$91*'Вводные'!$H$5*'Вводные'!$AG$91*(1+'Вводные'!$B$64)^MAX(0,MIN((12*(YEAR(ED$3)-YEAR($B$76))+MONTH(ED$3)-MONTH($B$76)),(12*(YEAR($B$77)-YEAR($B$76))+MONTH($B$77)-MONTH($B$76))))*(1+'Вводные'!$B$65)^MAX(0,(12*(YEAR(ED$3)-YEAR($B$77))+MONTH(ED$3)-MONTH($B$77))))</x:f>
      </x:c>
      <x:c r="EE87" s="107" t="n">
        <x:f>IF(EE86=0,0,'Вводные'!$B$60*'Вводные'!$S$91*'Вводные'!$H$5*'Вводные'!$AG$91*(1+'Вводные'!$B$64)^MAX(0,MIN((12*(YEAR(EE$3)-YEAR($B$76))+MONTH(EE$3)-MONTH($B$76)),(12*(YEAR($B$77)-YEAR($B$76))+MONTH($B$77)-MONTH($B$76))))*(1+'Вводные'!$B$65)^MAX(0,(12*(YEAR(EE$3)-YEAR($B$77))+MONTH(EE$3)-MONTH($B$77))))</x:f>
      </x:c>
      <x:c r="EF87" s="107" t="n">
        <x:f>IF(EF86=0,0,'Вводные'!$B$60*'Вводные'!$S$91*'Вводные'!$H$5*'Вводные'!$AG$91*(1+'Вводные'!$B$64)^MAX(0,MIN((12*(YEAR(EF$3)-YEAR($B$76))+MONTH(EF$3)-MONTH($B$76)),(12*(YEAR($B$77)-YEAR($B$76))+MONTH($B$77)-MONTH($B$76))))*(1+'Вводные'!$B$65)^MAX(0,(12*(YEAR(EF$3)-YEAR($B$77))+MONTH(EF$3)-MONTH($B$77))))</x:f>
      </x:c>
      <x:c r="EG87" s="107" t="n">
        <x:f>IF(EG86=0,0,'Вводные'!$B$60*'Вводные'!$S$91*'Вводные'!$H$5*'Вводные'!$AG$91*(1+'Вводные'!$B$64)^MAX(0,MIN((12*(YEAR(EG$3)-YEAR($B$76))+MONTH(EG$3)-MONTH($B$76)),(12*(YEAR($B$77)-YEAR($B$76))+MONTH($B$77)-MONTH($B$76))))*(1+'Вводные'!$B$65)^MAX(0,(12*(YEAR(EG$3)-YEAR($B$77))+MONTH(EG$3)-MONTH($B$77))))</x:f>
      </x:c>
      <x:c r="EH87" s="107" t="n">
        <x:f>IF(EH86=0,0,'Вводные'!$B$60*'Вводные'!$S$91*'Вводные'!$H$5*'Вводные'!$AG$91*(1+'Вводные'!$B$64)^MAX(0,MIN((12*(YEAR(EH$3)-YEAR($B$76))+MONTH(EH$3)-MONTH($B$76)),(12*(YEAR($B$77)-YEAR($B$76))+MONTH($B$77)-MONTH($B$76))))*(1+'Вводные'!$B$65)^MAX(0,(12*(YEAR(EH$3)-YEAR($B$77))+MONTH(EH$3)-MONTH($B$77))))</x:f>
      </x:c>
      <x:c r="EI87" s="107" t="n">
        <x:f>IF(EI86=0,0,'Вводные'!$B$60*'Вводные'!$S$91*'Вводные'!$H$5*'Вводные'!$AG$91*(1+'Вводные'!$B$64)^MAX(0,MIN((12*(YEAR(EI$3)-YEAR($B$76))+MONTH(EI$3)-MONTH($B$76)),(12*(YEAR($B$77)-YEAR($B$76))+MONTH($B$77)-MONTH($B$76))))*(1+'Вводные'!$B$65)^MAX(0,(12*(YEAR(EI$3)-YEAR($B$77))+MONTH(EI$3)-MONTH($B$77))))</x:f>
      </x:c>
      <x:c r="EJ87" s="107" t="n">
        <x:f>IF(EJ86=0,0,'Вводные'!$B$60*'Вводные'!$S$91*'Вводные'!$H$5*'Вводные'!$AG$91*(1+'Вводные'!$B$64)^MAX(0,MIN((12*(YEAR(EJ$3)-YEAR($B$76))+MONTH(EJ$3)-MONTH($B$76)),(12*(YEAR($B$77)-YEAR($B$76))+MONTH($B$77)-MONTH($B$76))))*(1+'Вводные'!$B$65)^MAX(0,(12*(YEAR(EJ$3)-YEAR($B$77))+MONTH(EJ$3)-MONTH($B$77))))</x:f>
      </x:c>
      <x:c r="EK87" s="107" t="n">
        <x:f>IF(EK86=0,0,'Вводные'!$B$60*'Вводные'!$S$91*'Вводные'!$H$5*'Вводные'!$AG$91*(1+'Вводные'!$B$64)^MAX(0,MIN((12*(YEAR(EK$3)-YEAR($B$76))+MONTH(EK$3)-MONTH($B$76)),(12*(YEAR($B$77)-YEAR($B$76))+MONTH($B$77)-MONTH($B$76))))*(1+'Вводные'!$B$65)^MAX(0,(12*(YEAR(EK$3)-YEAR($B$77))+MONTH(EK$3)-MONTH($B$77))))</x:f>
      </x:c>
      <x:c r="EL87" s="107" t="n">
        <x:f>IF(EL86=0,0,'Вводные'!$B$60*'Вводные'!$S$91*'Вводные'!$H$5*'Вводные'!$AG$91*(1+'Вводные'!$B$64)^MAX(0,MIN((12*(YEAR(EL$3)-YEAR($B$76))+MONTH(EL$3)-MONTH($B$76)),(12*(YEAR($B$77)-YEAR($B$76))+MONTH($B$77)-MONTH($B$76))))*(1+'Вводные'!$B$65)^MAX(0,(12*(YEAR(EL$3)-YEAR($B$77))+MONTH(EL$3)-MONTH($B$77))))</x:f>
      </x:c>
      <x:c r="EM87" s="107" t="n">
        <x:f>IF(EM86=0,0,'Вводные'!$B$60*'Вводные'!$S$91*'Вводные'!$H$5*'Вводные'!$AG$91*(1+'Вводные'!$B$64)^MAX(0,MIN((12*(YEAR(EM$3)-YEAR($B$76))+MONTH(EM$3)-MONTH($B$76)),(12*(YEAR($B$77)-YEAR($B$76))+MONTH($B$77)-MONTH($B$76))))*(1+'Вводные'!$B$65)^MAX(0,(12*(YEAR(EM$3)-YEAR($B$77))+MONTH(EM$3)-MONTH($B$77))))</x:f>
      </x:c>
      <x:c r="EN87" s="107" t="n">
        <x:f>IF(EN86=0,0,'Вводные'!$B$60*'Вводные'!$S$91*'Вводные'!$H$5*'Вводные'!$AG$91*(1+'Вводные'!$B$64)^MAX(0,MIN((12*(YEAR(EN$3)-YEAR($B$76))+MONTH(EN$3)-MONTH($B$76)),(12*(YEAR($B$77)-YEAR($B$76))+MONTH($B$77)-MONTH($B$76))))*(1+'Вводные'!$B$65)^MAX(0,(12*(YEAR(EN$3)-YEAR($B$77))+MONTH(EN$3)-MONTH($B$77))))</x:f>
      </x:c>
      <x:c r="EO87" s="107" t="n">
        <x:f>IF(EO86=0,0,'Вводные'!$B$60*'Вводные'!$S$91*'Вводные'!$H$5*'Вводные'!$AG$91*(1+'Вводные'!$B$64)^MAX(0,MIN((12*(YEAR(EO$3)-YEAR($B$76))+MONTH(EO$3)-MONTH($B$76)),(12*(YEAR($B$77)-YEAR($B$76))+MONTH($B$77)-MONTH($B$76))))*(1+'Вводные'!$B$65)^MAX(0,(12*(YEAR(EO$3)-YEAR($B$77))+MONTH(EO$3)-MONTH($B$77))))</x:f>
      </x:c>
      <x:c r="EP87" s="107" t="n">
        <x:f>IF(EP86=0,0,'Вводные'!$B$60*'Вводные'!$S$91*'Вводные'!$H$5*'Вводные'!$AG$91*(1+'Вводные'!$B$64)^MAX(0,MIN((12*(YEAR(EP$3)-YEAR($B$76))+MONTH(EP$3)-MONTH($B$76)),(12*(YEAR($B$77)-YEAR($B$76))+MONTH($B$77)-MONTH($B$76))))*(1+'Вводные'!$B$65)^MAX(0,(12*(YEAR(EP$3)-YEAR($B$77))+MONTH(EP$3)-MONTH($B$77))))</x:f>
      </x:c>
      <x:c r="EQ87" s="107" t="n">
        <x:f>IF(EQ86=0,0,'Вводные'!$B$60*'Вводные'!$S$91*'Вводные'!$H$5*'Вводные'!$AG$91*(1+'Вводные'!$B$64)^MAX(0,MIN((12*(YEAR(EQ$3)-YEAR($B$76))+MONTH(EQ$3)-MONTH($B$76)),(12*(YEAR($B$77)-YEAR($B$76))+MONTH($B$77)-MONTH($B$76))))*(1+'Вводные'!$B$65)^MAX(0,(12*(YEAR(EQ$3)-YEAR($B$77))+MONTH(EQ$3)-MONTH($B$77))))</x:f>
      </x:c>
      <x:c r="ER87" s="107" t="n">
        <x:f>IF(ER86=0,0,'Вводные'!$B$60*'Вводные'!$S$91*'Вводные'!$H$5*'Вводные'!$AG$91*(1+'Вводные'!$B$64)^MAX(0,MIN((12*(YEAR(ER$3)-YEAR($B$76))+MONTH(ER$3)-MONTH($B$76)),(12*(YEAR($B$77)-YEAR($B$76))+MONTH($B$77)-MONTH($B$76))))*(1+'Вводные'!$B$65)^MAX(0,(12*(YEAR(ER$3)-YEAR($B$77))+MONTH(ER$3)-MONTH($B$77))))</x:f>
      </x:c>
      <x:c r="ES87" s="107" t="n">
        <x:f>IF(ES86=0,0,'Вводные'!$B$60*'Вводные'!$S$91*'Вводные'!$H$5*'Вводные'!$AG$91*(1+'Вводные'!$B$64)^MAX(0,MIN((12*(YEAR(ES$3)-YEAR($B$76))+MONTH(ES$3)-MONTH($B$76)),(12*(YEAR($B$77)-YEAR($B$76))+MONTH($B$77)-MONTH($B$76))))*(1+'Вводные'!$B$65)^MAX(0,(12*(YEAR(ES$3)-YEAR($B$77))+MONTH(ES$3)-MONTH($B$77))))</x:f>
      </x:c>
      <x:c r="ET87" s="107" t="n">
        <x:f>IF(ET86=0,0,'Вводные'!$B$60*'Вводные'!$S$91*'Вводные'!$H$5*'Вводные'!$AG$91*(1+'Вводные'!$B$64)^MAX(0,MIN((12*(YEAR(ET$3)-YEAR($B$76))+MONTH(ET$3)-MONTH($B$76)),(12*(YEAR($B$77)-YEAR($B$76))+MONTH($B$77)-MONTH($B$76))))*(1+'Вводные'!$B$65)^MAX(0,(12*(YEAR(ET$3)-YEAR($B$77))+MONTH(ET$3)-MONTH($B$77))))</x:f>
      </x:c>
      <x:c r="EU87" s="107" t="n">
        <x:f>IF(EU86=0,0,'Вводные'!$B$60*'Вводные'!$S$91*'Вводные'!$H$5*'Вводные'!$AG$91*(1+'Вводные'!$B$64)^MAX(0,MIN((12*(YEAR(EU$3)-YEAR($B$76))+MONTH(EU$3)-MONTH($B$76)),(12*(YEAR($B$77)-YEAR($B$76))+MONTH($B$77)-MONTH($B$76))))*(1+'Вводные'!$B$65)^MAX(0,(12*(YEAR(EU$3)-YEAR($B$77))+MONTH(EU$3)-MONTH($B$77))))</x:f>
      </x:c>
      <x:c r="EV87" s="107" t="n">
        <x:f>IF(EV86=0,0,'Вводные'!$B$60*'Вводные'!$S$91*'Вводные'!$H$5*'Вводные'!$AG$91*(1+'Вводные'!$B$64)^MAX(0,MIN((12*(YEAR(EV$3)-YEAR($B$76))+MONTH(EV$3)-MONTH($B$76)),(12*(YEAR($B$77)-YEAR($B$76))+MONTH($B$77)-MONTH($B$76))))*(1+'Вводные'!$B$65)^MAX(0,(12*(YEAR(EV$3)-YEAR($B$77))+MONTH(EV$3)-MONTH($B$77))))</x:f>
      </x:c>
      <x:c r="EW87" s="107" t="n">
        <x:f>IF(EW86=0,0,'Вводные'!$B$60*'Вводные'!$S$91*'Вводные'!$H$5*'Вводные'!$AG$91*(1+'Вводные'!$B$64)^MAX(0,MIN((12*(YEAR(EW$3)-YEAR($B$76))+MONTH(EW$3)-MONTH($B$76)),(12*(YEAR($B$77)-YEAR($B$76))+MONTH($B$77)-MONTH($B$76))))*(1+'Вводные'!$B$65)^MAX(0,(12*(YEAR(EW$3)-YEAR($B$77))+MONTH(EW$3)-MONTH($B$77))))</x:f>
      </x:c>
      <x:c r="EX87" s="107" t="n">
        <x:f>IF(EX86=0,0,'Вводные'!$B$60*'Вводные'!$S$91*'Вводные'!$H$5*'Вводные'!$AG$91*(1+'Вводные'!$B$64)^MAX(0,MIN((12*(YEAR(EX$3)-YEAR($B$76))+MONTH(EX$3)-MONTH($B$76)),(12*(YEAR($B$77)-YEAR($B$76))+MONTH($B$77)-MONTH($B$76))))*(1+'Вводные'!$B$65)^MAX(0,(12*(YEAR(EX$3)-YEAR($B$77))+MONTH(EX$3)-MONTH($B$77))))</x:f>
      </x:c>
      <x:c r="EY87" s="107" t="n">
        <x:f>IF(EY86=0,0,'Вводные'!$B$60*'Вводные'!$S$91*'Вводные'!$H$5*'Вводные'!$AG$91*(1+'Вводные'!$B$64)^MAX(0,MIN((12*(YEAR(EY$3)-YEAR($B$76))+MONTH(EY$3)-MONTH($B$76)),(12*(YEAR($B$77)-YEAR($B$76))+MONTH($B$77)-MONTH($B$76))))*(1+'Вводные'!$B$65)^MAX(0,(12*(YEAR(EY$3)-YEAR($B$77))+MONTH(EY$3)-MONTH($B$77))))</x:f>
      </x:c>
      <x:c r="EZ87" s="107" t="n">
        <x:f>IF(EZ86=0,0,'Вводные'!$B$60*'Вводные'!$S$91*'Вводные'!$H$5*'Вводные'!$AG$91*(1+'Вводные'!$B$64)^MAX(0,MIN((12*(YEAR(EZ$3)-YEAR($B$76))+MONTH(EZ$3)-MONTH($B$76)),(12*(YEAR($B$77)-YEAR($B$76))+MONTH($B$77)-MONTH($B$76))))*(1+'Вводные'!$B$65)^MAX(0,(12*(YEAR(EZ$3)-YEAR($B$77))+MONTH(EZ$3)-MONTH($B$77))))</x:f>
      </x:c>
      <x:c r="FA87" s="107" t="n">
        <x:f>IF(FA86=0,0,'Вводные'!$B$60*'Вводные'!$S$91*'Вводные'!$H$5*'Вводные'!$AG$91*(1+'Вводные'!$B$64)^MAX(0,MIN((12*(YEAR(FA$3)-YEAR($B$76))+MONTH(FA$3)-MONTH($B$76)),(12*(YEAR($B$77)-YEAR($B$76))+MONTH($B$77)-MONTH($B$76))))*(1+'Вводные'!$B$65)^MAX(0,(12*(YEAR(FA$3)-YEAR($B$77))+MONTH(FA$3)-MONTH($B$77))))</x:f>
      </x:c>
      <x:c r="FB87" s="107" t="n">
        <x:f>IF(FB86=0,0,'Вводные'!$B$60*'Вводные'!$S$91*'Вводные'!$H$5*'Вводные'!$AG$91*(1+'Вводные'!$B$64)^MAX(0,MIN((12*(YEAR(FB$3)-YEAR($B$76))+MONTH(FB$3)-MONTH($B$76)),(12*(YEAR($B$77)-YEAR($B$76))+MONTH($B$77)-MONTH($B$76))))*(1+'Вводные'!$B$65)^MAX(0,(12*(YEAR(FB$3)-YEAR($B$77))+MONTH(FB$3)-MONTH($B$77))))</x:f>
      </x:c>
      <x:c r="FC87" s="107" t="n">
        <x:f>IF(FC86=0,0,'Вводные'!$B$60*'Вводные'!$S$91*'Вводные'!$H$5*'Вводные'!$AG$91*(1+'Вводные'!$B$64)^MAX(0,MIN((12*(YEAR(FC$3)-YEAR($B$76))+MONTH(FC$3)-MONTH($B$76)),(12*(YEAR($B$77)-YEAR($B$76))+MONTH($B$77)-MONTH($B$76))))*(1+'Вводные'!$B$65)^MAX(0,(12*(YEAR(FC$3)-YEAR($B$77))+MONTH(FC$3)-MONTH($B$77))))</x:f>
      </x:c>
      <x:c r="FD87" s="107" t="n">
        <x:f>IF(FD86=0,0,'Вводные'!$B$60*'Вводные'!$S$91*'Вводные'!$H$5*'Вводные'!$AG$91*(1+'Вводные'!$B$64)^MAX(0,MIN((12*(YEAR(FD$3)-YEAR($B$76))+MONTH(FD$3)-MONTH($B$76)),(12*(YEAR($B$77)-YEAR($B$76))+MONTH($B$77)-MONTH($B$76))))*(1+'Вводные'!$B$65)^MAX(0,(12*(YEAR(FD$3)-YEAR($B$77))+MONTH(FD$3)-MONTH($B$77))))</x:f>
      </x:c>
      <x:c r="FE87" s="107" t="n">
        <x:f>IF(FE86=0,0,'Вводные'!$B$60*'Вводные'!$S$91*'Вводные'!$H$5*'Вводные'!$AG$91*(1+'Вводные'!$B$64)^MAX(0,MIN((12*(YEAR(FE$3)-YEAR($B$76))+MONTH(FE$3)-MONTH($B$76)),(12*(YEAR($B$77)-YEAR($B$76))+MONTH($B$77)-MONTH($B$76))))*(1+'Вводные'!$B$65)^MAX(0,(12*(YEAR(FE$3)-YEAR($B$77))+MONTH(FE$3)-MONTH($B$77))))</x:f>
      </x:c>
      <x:c r="FF87" s="107" t="n">
        <x:f>IF(FF86=0,0,'Вводные'!$B$60*'Вводные'!$S$91*'Вводные'!$H$5*'Вводные'!$AG$91*(1+'Вводные'!$B$64)^MAX(0,MIN((12*(YEAR(FF$3)-YEAR($B$76))+MONTH(FF$3)-MONTH($B$76)),(12*(YEAR($B$77)-YEAR($B$76))+MONTH($B$77)-MONTH($B$76))))*(1+'Вводные'!$B$65)^MAX(0,(12*(YEAR(FF$3)-YEAR($B$77))+MONTH(FF$3)-MONTH($B$77))))</x:f>
      </x:c>
      <x:c r="FG87" s="107" t="n">
        <x:f>IF(FG86=0,0,'Вводные'!$B$60*'Вводные'!$S$91*'Вводные'!$H$5*'Вводные'!$AG$91*(1+'Вводные'!$B$64)^MAX(0,MIN((12*(YEAR(FG$3)-YEAR($B$76))+MONTH(FG$3)-MONTH($B$76)),(12*(YEAR($B$77)-YEAR($B$76))+MONTH($B$77)-MONTH($B$76))))*(1+'Вводные'!$B$65)^MAX(0,(12*(YEAR(FG$3)-YEAR($B$77))+MONTH(FG$3)-MONTH($B$77))))</x:f>
      </x:c>
      <x:c r="FH87" s="107" t="n">
        <x:f>IF(FH86=0,0,'Вводные'!$B$60*'Вводные'!$S$91*'Вводные'!$H$5*'Вводные'!$AG$91*(1+'Вводные'!$B$64)^MAX(0,MIN((12*(YEAR(FH$3)-YEAR($B$76))+MONTH(FH$3)-MONTH($B$76)),(12*(YEAR($B$77)-YEAR($B$76))+MONTH($B$77)-MONTH($B$76))))*(1+'Вводные'!$B$65)^MAX(0,(12*(YEAR(FH$3)-YEAR($B$77))+MONTH(FH$3)-MONTH($B$77))))</x:f>
      </x:c>
      <x:c r="FI87" s="107" t="n">
        <x:f>IF(FI86=0,0,'Вводные'!$B$60*'Вводные'!$S$91*'Вводные'!$H$5*'Вводные'!$AG$91*(1+'Вводные'!$B$64)^MAX(0,MIN((12*(YEAR(FI$3)-YEAR($B$76))+MONTH(FI$3)-MONTH($B$76)),(12*(YEAR($B$77)-YEAR($B$76))+MONTH($B$77)-MONTH($B$76))))*(1+'Вводные'!$B$65)^MAX(0,(12*(YEAR(FI$3)-YEAR($B$77))+MONTH(FI$3)-MONTH($B$77))))</x:f>
      </x:c>
      <x:c r="FJ87" s="107" t="n">
        <x:f>IF(FJ86=0,0,'Вводные'!$B$60*'Вводные'!$S$91*'Вводные'!$H$5*'Вводные'!$AG$91*(1+'Вводные'!$B$64)^MAX(0,MIN((12*(YEAR(FJ$3)-YEAR($B$76))+MONTH(FJ$3)-MONTH($B$76)),(12*(YEAR($B$77)-YEAR($B$76))+MONTH($B$77)-MONTH($B$76))))*(1+'Вводные'!$B$65)^MAX(0,(12*(YEAR(FJ$3)-YEAR($B$77))+MONTH(FJ$3)-MONTH($B$77))))</x:f>
      </x:c>
      <x:c r="FK87" s="107" t="n">
        <x:f>IF(FK86=0,0,'Вводные'!$B$60*'Вводные'!$S$91*'Вводные'!$H$5*'Вводные'!$AG$91*(1+'Вводные'!$B$64)^MAX(0,MIN((12*(YEAR(FK$3)-YEAR($B$76))+MONTH(FK$3)-MONTH($B$76)),(12*(YEAR($B$77)-YEAR($B$76))+MONTH($B$77)-MONTH($B$76))))*(1+'Вводные'!$B$65)^MAX(0,(12*(YEAR(FK$3)-YEAR($B$77))+MONTH(FK$3)-MONTH($B$77))))</x:f>
      </x:c>
      <x:c r="FL87" s="107" t="n">
        <x:f>IF(FL86=0,0,'Вводные'!$B$60*'Вводные'!$S$91*'Вводные'!$H$5*'Вводные'!$AG$91*(1+'Вводные'!$B$64)^MAX(0,MIN((12*(YEAR(FL$3)-YEAR($B$76))+MONTH(FL$3)-MONTH($B$76)),(12*(YEAR($B$77)-YEAR($B$76))+MONTH($B$77)-MONTH($B$76))))*(1+'Вводные'!$B$65)^MAX(0,(12*(YEAR(FL$3)-YEAR($B$77))+MONTH(FL$3)-MONTH($B$77))))</x:f>
      </x:c>
      <x:c r="FM87" s="107" t="n">
        <x:f>IF(FM86=0,0,'Вводные'!$B$60*'Вводные'!$S$91*'Вводные'!$H$5*'Вводные'!$AG$91*(1+'Вводные'!$B$64)^MAX(0,MIN((12*(YEAR(FM$3)-YEAR($B$76))+MONTH(FM$3)-MONTH($B$76)),(12*(YEAR($B$77)-YEAR($B$76))+MONTH($B$77)-MONTH($B$76))))*(1+'Вводные'!$B$65)^MAX(0,(12*(YEAR(FM$3)-YEAR($B$77))+MONTH(FM$3)-MONTH($B$77))))</x:f>
      </x:c>
      <x:c r="FN87" s="107" t="n">
        <x:f>IF(FN86=0,0,'Вводные'!$B$60*'Вводные'!$S$91*'Вводные'!$H$5*'Вводные'!$AG$91*(1+'Вводные'!$B$64)^MAX(0,MIN((12*(YEAR(FN$3)-YEAR($B$76))+MONTH(FN$3)-MONTH($B$76)),(12*(YEAR($B$77)-YEAR($B$76))+MONTH($B$77)-MONTH($B$76))))*(1+'Вводные'!$B$65)^MAX(0,(12*(YEAR(FN$3)-YEAR($B$77))+MONTH(FN$3)-MONTH($B$77))))</x:f>
      </x:c>
      <x:c r="FO87" s="107" t="n">
        <x:f>IF(FO86=0,0,'Вводные'!$B$60*'Вводные'!$S$91*'Вводные'!$H$5*'Вводные'!$AG$91*(1+'Вводные'!$B$64)^MAX(0,MIN((12*(YEAR(FO$3)-YEAR($B$76))+MONTH(FO$3)-MONTH($B$76)),(12*(YEAR($B$77)-YEAR($B$76))+MONTH($B$77)-MONTH($B$76))))*(1+'Вводные'!$B$65)^MAX(0,(12*(YEAR(FO$3)-YEAR($B$77))+MONTH(FO$3)-MONTH($B$77))))</x:f>
      </x:c>
      <x:c r="FP87" s="107" t="n">
        <x:f>IF(FP86=0,0,'Вводные'!$B$60*'Вводные'!$S$91*'Вводные'!$H$5*'Вводные'!$AG$91*(1+'Вводные'!$B$64)^MAX(0,MIN((12*(YEAR(FP$3)-YEAR($B$76))+MONTH(FP$3)-MONTH($B$76)),(12*(YEAR($B$77)-YEAR($B$76))+MONTH($B$77)-MONTH($B$76))))*(1+'Вводные'!$B$65)^MAX(0,(12*(YEAR(FP$3)-YEAR($B$77))+MONTH(FP$3)-MONTH($B$77))))</x:f>
      </x:c>
      <x:c r="FQ87" s="107" t="n">
        <x:f>IF(FQ86=0,0,'Вводные'!$B$60*'Вводные'!$S$91*'Вводные'!$H$5*'Вводные'!$AG$91*(1+'Вводные'!$B$64)^MAX(0,MIN((12*(YEAR(FQ$3)-YEAR($B$76))+MONTH(FQ$3)-MONTH($B$76)),(12*(YEAR($B$77)-YEAR($B$76))+MONTH($B$77)-MONTH($B$76))))*(1+'Вводные'!$B$65)^MAX(0,(12*(YEAR(FQ$3)-YEAR($B$77))+MONTH(FQ$3)-MONTH($B$77))))</x:f>
      </x:c>
      <x:c r="FR87" s="107" t="n">
        <x:f>IF(FR86=0,0,'Вводные'!$B$60*'Вводные'!$S$91*'Вводные'!$H$5*'Вводные'!$AG$91*(1+'Вводные'!$B$64)^MAX(0,MIN((12*(YEAR(FR$3)-YEAR($B$76))+MONTH(FR$3)-MONTH($B$76)),(12*(YEAR($B$77)-YEAR($B$76))+MONTH($B$77)-MONTH($B$76))))*(1+'Вводные'!$B$65)^MAX(0,(12*(YEAR(FR$3)-YEAR($B$77))+MONTH(FR$3)-MONTH($B$77))))</x:f>
      </x:c>
      <x:c r="FS87" s="107" t="n">
        <x:f>IF(FS86=0,0,'Вводные'!$B$60*'Вводные'!$S$91*'Вводные'!$H$5*'Вводные'!$AG$91*(1+'Вводные'!$B$64)^MAX(0,MIN((12*(YEAR(FS$3)-YEAR($B$76))+MONTH(FS$3)-MONTH($B$76)),(12*(YEAR($B$77)-YEAR($B$76))+MONTH($B$77)-MONTH($B$76))))*(1+'Вводные'!$B$65)^MAX(0,(12*(YEAR(FS$3)-YEAR($B$77))+MONTH(FS$3)-MONTH($B$77))))</x:f>
      </x:c>
      <x:c r="FT87" s="107" t="n">
        <x:f>IF(FT86=0,0,'Вводные'!$B$60*'Вводные'!$S$91*'Вводные'!$H$5*'Вводные'!$AG$91*(1+'Вводные'!$B$64)^MAX(0,MIN((12*(YEAR(FT$3)-YEAR($B$76))+MONTH(FT$3)-MONTH($B$76)),(12*(YEAR($B$77)-YEAR($B$76))+MONTH($B$77)-MONTH($B$76))))*(1+'Вводные'!$B$65)^MAX(0,(12*(YEAR(FT$3)-YEAR($B$77))+MONTH(FT$3)-MONTH($B$77))))</x:f>
      </x:c>
      <x:c r="FU87" s="107" t="n">
        <x:f>IF(FU86=0,0,'Вводные'!$B$60*'Вводные'!$S$91*'Вводные'!$H$5*'Вводные'!$AG$91*(1+'Вводные'!$B$64)^MAX(0,MIN((12*(YEAR(FU$3)-YEAR($B$76))+MONTH(FU$3)-MONTH($B$76)),(12*(YEAR($B$77)-YEAR($B$76))+MONTH($B$77)-MONTH($B$76))))*(1+'Вводные'!$B$65)^MAX(0,(12*(YEAR(FU$3)-YEAR($B$77))+MONTH(FU$3)-MONTH($B$77))))</x:f>
      </x:c>
      <x:c r="FV87" s="107" t="n">
        <x:f>IF(FV86=0,0,'Вводные'!$B$60*'Вводные'!$S$91*'Вводные'!$H$5*'Вводные'!$AG$91*(1+'Вводные'!$B$64)^MAX(0,MIN((12*(YEAR(FV$3)-YEAR($B$76))+MONTH(FV$3)-MONTH($B$76)),(12*(YEAR($B$77)-YEAR($B$76))+MONTH($B$77)-MONTH($B$76))))*(1+'Вводные'!$B$65)^MAX(0,(12*(YEAR(FV$3)-YEAR($B$77))+MONTH(FV$3)-MONTH($B$77))))</x:f>
      </x:c>
      <x:c r="FW87" s="107" t="n">
        <x:f>IF(FW86=0,0,'Вводные'!$B$60*'Вводные'!$S$91*'Вводные'!$H$5*'Вводные'!$AG$91*(1+'Вводные'!$B$64)^MAX(0,MIN((12*(YEAR(FW$3)-YEAR($B$76))+MONTH(FW$3)-MONTH($B$76)),(12*(YEAR($B$77)-YEAR($B$76))+MONTH($B$77)-MONTH($B$76))))*(1+'Вводные'!$B$65)^MAX(0,(12*(YEAR(FW$3)-YEAR($B$77))+MONTH(FW$3)-MONTH($B$77))))</x:f>
      </x:c>
      <x:c r="FX87" s="107" t="n">
        <x:f>IF(FX86=0,0,'Вводные'!$B$60*'Вводные'!$S$91*'Вводные'!$H$5*'Вводные'!$AG$91*(1+'Вводные'!$B$64)^MAX(0,MIN((12*(YEAR(FX$3)-YEAR($B$76))+MONTH(FX$3)-MONTH($B$76)),(12*(YEAR($B$77)-YEAR($B$76))+MONTH($B$77)-MONTH($B$76))))*(1+'Вводные'!$B$65)^MAX(0,(12*(YEAR(FX$3)-YEAR($B$77))+MONTH(FX$3)-MONTH($B$77))))</x:f>
      </x:c>
      <x:c r="FY87" s="107" t="n">
        <x:f>IF(FY86=0,0,'Вводные'!$B$60*'Вводные'!$S$91*'Вводные'!$H$5*'Вводные'!$AG$91*(1+'Вводные'!$B$64)^MAX(0,MIN((12*(YEAR(FY$3)-YEAR($B$76))+MONTH(FY$3)-MONTH($B$76)),(12*(YEAR($B$77)-YEAR($B$76))+MONTH($B$77)-MONTH($B$76))))*(1+'Вводные'!$B$65)^MAX(0,(12*(YEAR(FY$3)-YEAR($B$77))+MONTH(FY$3)-MONTH($B$77))))</x:f>
      </x:c>
      <x:c r="FZ87" s="107" t="n">
        <x:f>IF(FZ86=0,0,'Вводные'!$B$60*'Вводные'!$S$91*'Вводные'!$H$5*'Вводные'!$AG$91*(1+'Вводные'!$B$64)^MAX(0,MIN((12*(YEAR(FZ$3)-YEAR($B$76))+MONTH(FZ$3)-MONTH($B$76)),(12*(YEAR($B$77)-YEAR($B$76))+MONTH($B$77)-MONTH($B$76))))*(1+'Вводные'!$B$65)^MAX(0,(12*(YEAR(FZ$3)-YEAR($B$77))+MONTH(FZ$3)-MONTH($B$77))))</x:f>
      </x:c>
      <x:c r="GA87" s="107" t="n">
        <x:f>IF(GA86=0,0,'Вводные'!$B$60*'Вводные'!$S$91*'Вводные'!$H$5*'Вводные'!$AG$91*(1+'Вводные'!$B$64)^MAX(0,MIN((12*(YEAR(GA$3)-YEAR($B$76))+MONTH(GA$3)-MONTH($B$76)),(12*(YEAR($B$77)-YEAR($B$76))+MONTH($B$77)-MONTH($B$76))))*(1+'Вводные'!$B$65)^MAX(0,(12*(YEAR(GA$3)-YEAR($B$77))+MONTH(GA$3)-MONTH($B$77))))</x:f>
      </x:c>
    </x:row>
    <x:row r="88">
      <x:c r="A88" t="str">
        <x:v>Коммерция — выручка</x:v>
      </x:c>
      <x:c r="B88" t="n">
        <x:f>SUM(D88:GA88)</x:f>
      </x:c>
      <x:c r="C88" t="str">
        <x:v>млн ₽</x:v>
      </x:c>
      <x:c r="D88" s="107" t="n">
        <x:f>D86*D87/1000</x:f>
      </x:c>
      <x:c r="E88" s="107" t="n">
        <x:f>E86*E87/1000</x:f>
      </x:c>
      <x:c r="F88" s="107" t="n">
        <x:f>F86*F87/1000</x:f>
      </x:c>
      <x:c r="G88" s="107" t="n">
        <x:f>G86*G87/1000</x:f>
      </x:c>
      <x:c r="H88" s="107" t="n">
        <x:f>H86*H87/1000</x:f>
      </x:c>
      <x:c r="I88" s="107" t="n">
        <x:f>I86*I87/1000</x:f>
      </x:c>
      <x:c r="J88" s="107" t="n">
        <x:f>J86*J87/1000</x:f>
      </x:c>
      <x:c r="K88" s="107" t="n">
        <x:f>K86*K87/1000</x:f>
      </x:c>
      <x:c r="L88" s="107" t="n">
        <x:f>L86*L87/1000</x:f>
      </x:c>
      <x:c r="M88" s="107" t="n">
        <x:f>M86*M87/1000</x:f>
      </x:c>
      <x:c r="N88" s="107" t="n">
        <x:f>N86*N87/1000</x:f>
      </x:c>
      <x:c r="O88" s="107" t="n">
        <x:f>O86*O87/1000</x:f>
      </x:c>
      <x:c r="P88" s="107" t="n">
        <x:f>P86*P87/1000</x:f>
      </x:c>
      <x:c r="Q88" s="107" t="n">
        <x:f>Q86*Q87/1000</x:f>
      </x:c>
      <x:c r="R88" s="107" t="n">
        <x:f>R86*R87/1000</x:f>
      </x:c>
      <x:c r="S88" s="107" t="n">
        <x:f>S86*S87/1000</x:f>
      </x:c>
      <x:c r="T88" s="107" t="n">
        <x:f>T86*T87/1000</x:f>
      </x:c>
      <x:c r="U88" s="107" t="n">
        <x:f>U86*U87/1000</x:f>
      </x:c>
      <x:c r="V88" s="107" t="n">
        <x:f>V86*V87/1000</x:f>
      </x:c>
      <x:c r="W88" s="107" t="n">
        <x:f>W86*W87/1000</x:f>
      </x:c>
      <x:c r="X88" s="107" t="n">
        <x:f>X86*X87/1000</x:f>
      </x:c>
      <x:c r="Y88" s="107" t="n">
        <x:f>Y86*Y87/1000</x:f>
      </x:c>
      <x:c r="Z88" s="107" t="n">
        <x:f>Z86*Z87/1000</x:f>
      </x:c>
      <x:c r="AA88" s="107" t="n">
        <x:f>AA86*AA87/1000</x:f>
      </x:c>
      <x:c r="AB88" s="107" t="n">
        <x:f>AB86*AB87/1000</x:f>
      </x:c>
      <x:c r="AC88" s="107" t="n">
        <x:f>AC86*AC87/1000</x:f>
      </x:c>
      <x:c r="AD88" s="107" t="n">
        <x:f>AD86*AD87/1000</x:f>
      </x:c>
      <x:c r="AE88" s="107" t="n">
        <x:f>AE86*AE87/1000</x:f>
      </x:c>
      <x:c r="AF88" s="107" t="n">
        <x:f>AF86*AF87/1000</x:f>
      </x:c>
      <x:c r="AG88" s="107" t="n">
        <x:f>AG86*AG87/1000</x:f>
      </x:c>
      <x:c r="AH88" s="107" t="n">
        <x:f>AH86*AH87/1000</x:f>
      </x:c>
      <x:c r="AI88" s="107" t="n">
        <x:f>AI86*AI87/1000</x:f>
      </x:c>
      <x:c r="AJ88" s="107" t="n">
        <x:f>AJ86*AJ87/1000</x:f>
      </x:c>
      <x:c r="AK88" s="107" t="n">
        <x:f>AK86*AK87/1000</x:f>
      </x:c>
      <x:c r="AL88" s="107" t="n">
        <x:f>AL86*AL87/1000</x:f>
      </x:c>
      <x:c r="AM88" s="107" t="n">
        <x:f>AM86*AM87/1000</x:f>
      </x:c>
      <x:c r="AN88" s="107" t="n">
        <x:f>AN86*AN87/1000</x:f>
      </x:c>
      <x:c r="AO88" s="107" t="n">
        <x:f>AO86*AO87/1000</x:f>
      </x:c>
      <x:c r="AP88" s="107" t="n">
        <x:f>AP86*AP87/1000</x:f>
      </x:c>
      <x:c r="AQ88" s="107" t="n">
        <x:f>AQ86*AQ87/1000</x:f>
      </x:c>
      <x:c r="AR88" s="107" t="n">
        <x:f>AR86*AR87/1000</x:f>
      </x:c>
      <x:c r="AS88" s="107" t="n">
        <x:f>AS86*AS87/1000</x:f>
      </x:c>
      <x:c r="AT88" s="107" t="n">
        <x:f>AT86*AT87/1000</x:f>
      </x:c>
      <x:c r="AU88" s="107" t="n">
        <x:f>AU86*AU87/1000</x:f>
      </x:c>
      <x:c r="AV88" s="107" t="n">
        <x:f>AV86*AV87/1000</x:f>
      </x:c>
      <x:c r="AW88" s="107" t="n">
        <x:f>AW86*AW87/1000</x:f>
      </x:c>
      <x:c r="AX88" s="107" t="n">
        <x:f>AX86*AX87/1000</x:f>
      </x:c>
      <x:c r="AY88" s="107" t="n">
        <x:f>AY86*AY87/1000</x:f>
      </x:c>
      <x:c r="AZ88" s="107" t="n">
        <x:f>AZ86*AZ87/1000</x:f>
      </x:c>
      <x:c r="BA88" s="107" t="n">
        <x:f>BA86*BA87/1000</x:f>
      </x:c>
      <x:c r="BB88" s="107" t="n">
        <x:f>BB86*BB87/1000</x:f>
      </x:c>
      <x:c r="BC88" s="107" t="n">
        <x:f>BC86*BC87/1000</x:f>
      </x:c>
      <x:c r="BD88" s="107" t="n">
        <x:f>BD86*BD87/1000</x:f>
      </x:c>
      <x:c r="BE88" s="107" t="n">
        <x:f>BE86*BE87/1000</x:f>
      </x:c>
      <x:c r="BF88" s="107" t="n">
        <x:f>BF86*BF87/1000</x:f>
      </x:c>
      <x:c r="BG88" s="107" t="n">
        <x:f>BG86*BG87/1000</x:f>
      </x:c>
      <x:c r="BH88" s="107" t="n">
        <x:f>BH86*BH87/1000</x:f>
      </x:c>
      <x:c r="BI88" s="107" t="n">
        <x:f>BI86*BI87/1000</x:f>
      </x:c>
      <x:c r="BJ88" s="107" t="n">
        <x:f>BJ86*BJ87/1000</x:f>
      </x:c>
      <x:c r="BK88" s="107" t="n">
        <x:f>BK86*BK87/1000</x:f>
      </x:c>
      <x:c r="BL88" s="107" t="n">
        <x:f>BL86*BL87/1000</x:f>
      </x:c>
      <x:c r="BM88" s="107" t="n">
        <x:f>BM86*BM87/1000</x:f>
      </x:c>
      <x:c r="BN88" s="107" t="n">
        <x:f>BN86*BN87/1000</x:f>
      </x:c>
      <x:c r="BO88" s="107" t="n">
        <x:f>BO86*BO87/1000</x:f>
      </x:c>
      <x:c r="BP88" s="107" t="n">
        <x:f>BP86*BP87/1000</x:f>
      </x:c>
      <x:c r="BQ88" s="107" t="n">
        <x:f>BQ86*BQ87/1000</x:f>
      </x:c>
      <x:c r="BR88" s="107" t="n">
        <x:f>BR86*BR87/1000</x:f>
      </x:c>
      <x:c r="BS88" s="107" t="n">
        <x:f>BS86*BS87/1000</x:f>
      </x:c>
      <x:c r="BT88" s="107" t="n">
        <x:f>BT86*BT87/1000</x:f>
      </x:c>
      <x:c r="BU88" s="107" t="n">
        <x:f>BU86*BU87/1000</x:f>
      </x:c>
      <x:c r="BV88" s="107" t="n">
        <x:f>BV86*BV87/1000</x:f>
      </x:c>
      <x:c r="BW88" s="107" t="n">
        <x:f>BW86*BW87/1000</x:f>
      </x:c>
      <x:c r="BX88" s="107" t="n">
        <x:f>BX86*BX87/1000</x:f>
      </x:c>
      <x:c r="BY88" s="107" t="n">
        <x:f>BY86*BY87/1000</x:f>
      </x:c>
      <x:c r="BZ88" s="107" t="n">
        <x:f>BZ86*BZ87/1000</x:f>
      </x:c>
      <x:c r="CA88" s="107" t="n">
        <x:f>CA86*CA87/1000</x:f>
      </x:c>
      <x:c r="CB88" s="107" t="n">
        <x:f>CB86*CB87/1000</x:f>
      </x:c>
      <x:c r="CC88" s="107" t="n">
        <x:f>CC86*CC87/1000</x:f>
      </x:c>
      <x:c r="CD88" s="107" t="n">
        <x:f>CD86*CD87/1000</x:f>
      </x:c>
      <x:c r="CE88" s="107" t="n">
        <x:f>CE86*CE87/1000</x:f>
      </x:c>
      <x:c r="CF88" s="107" t="n">
        <x:f>CF86*CF87/1000</x:f>
      </x:c>
      <x:c r="CG88" s="107" t="n">
        <x:f>CG86*CG87/1000</x:f>
      </x:c>
      <x:c r="CH88" s="107" t="n">
        <x:f>CH86*CH87/1000</x:f>
      </x:c>
      <x:c r="CI88" s="107" t="n">
        <x:f>CI86*CI87/1000</x:f>
      </x:c>
      <x:c r="CJ88" s="107" t="n">
        <x:f>CJ86*CJ87/1000</x:f>
      </x:c>
      <x:c r="CK88" s="107" t="n">
        <x:f>CK86*CK87/1000</x:f>
      </x:c>
      <x:c r="CL88" s="107" t="n">
        <x:f>CL86*CL87/1000</x:f>
      </x:c>
      <x:c r="CM88" s="107" t="n">
        <x:f>CM86*CM87/1000</x:f>
      </x:c>
      <x:c r="CN88" s="107" t="n">
        <x:f>CN86*CN87/1000</x:f>
      </x:c>
      <x:c r="CO88" s="107" t="n">
        <x:f>CO86*CO87/1000</x:f>
      </x:c>
      <x:c r="CP88" s="107" t="n">
        <x:f>CP86*CP87/1000</x:f>
      </x:c>
      <x:c r="CQ88" s="107" t="n">
        <x:f>CQ86*CQ87/1000</x:f>
      </x:c>
      <x:c r="CR88" s="107" t="n">
        <x:f>CR86*CR87/1000</x:f>
      </x:c>
      <x:c r="CS88" s="107" t="n">
        <x:f>CS86*CS87/1000</x:f>
      </x:c>
      <x:c r="CT88" s="107" t="n">
        <x:f>CT86*CT87/1000</x:f>
      </x:c>
      <x:c r="CU88" s="107" t="n">
        <x:f>CU86*CU87/1000</x:f>
      </x:c>
      <x:c r="CV88" s="107" t="n">
        <x:f>CV86*CV87/1000</x:f>
      </x:c>
      <x:c r="CW88" s="107" t="n">
        <x:f>CW86*CW87/1000</x:f>
      </x:c>
      <x:c r="CX88" s="107" t="n">
        <x:f>CX86*CX87/1000</x:f>
      </x:c>
      <x:c r="CY88" s="107" t="n">
        <x:f>CY86*CY87/1000</x:f>
      </x:c>
      <x:c r="CZ88" s="107" t="n">
        <x:f>CZ86*CZ87/1000</x:f>
      </x:c>
      <x:c r="DA88" s="107" t="n">
        <x:f>DA86*DA87/1000</x:f>
      </x:c>
      <x:c r="DB88" s="107" t="n">
        <x:f>DB86*DB87/1000</x:f>
      </x:c>
      <x:c r="DC88" s="107" t="n">
        <x:f>DC86*DC87/1000</x:f>
      </x:c>
      <x:c r="DD88" s="107" t="n">
        <x:f>DD86*DD87/1000</x:f>
      </x:c>
      <x:c r="DE88" s="107" t="n">
        <x:f>DE86*DE87/1000</x:f>
      </x:c>
      <x:c r="DF88" s="107" t="n">
        <x:f>DF86*DF87/1000</x:f>
      </x:c>
      <x:c r="DG88" s="107" t="n">
        <x:f>DG86*DG87/1000</x:f>
      </x:c>
      <x:c r="DH88" s="107" t="n">
        <x:f>DH86*DH87/1000</x:f>
      </x:c>
      <x:c r="DI88" s="107" t="n">
        <x:f>DI86*DI87/1000</x:f>
      </x:c>
      <x:c r="DJ88" s="107" t="n">
        <x:f>DJ86*DJ87/1000</x:f>
      </x:c>
      <x:c r="DK88" s="107" t="n">
        <x:f>DK86*DK87/1000</x:f>
      </x:c>
      <x:c r="DL88" s="107" t="n">
        <x:f>DL86*DL87/1000</x:f>
      </x:c>
      <x:c r="DM88" s="107" t="n">
        <x:f>DM86*DM87/1000</x:f>
      </x:c>
      <x:c r="DN88" s="107" t="n">
        <x:f>DN86*DN87/1000</x:f>
      </x:c>
      <x:c r="DO88" s="107" t="n">
        <x:f>DO86*DO87/1000</x:f>
      </x:c>
      <x:c r="DP88" s="107" t="n">
        <x:f>DP86*DP87/1000</x:f>
      </x:c>
      <x:c r="DQ88" s="107" t="n">
        <x:f>DQ86*DQ87/1000</x:f>
      </x:c>
      <x:c r="DR88" s="107" t="n">
        <x:f>DR86*DR87/1000</x:f>
      </x:c>
      <x:c r="DS88" s="107" t="n">
        <x:f>DS86*DS87/1000</x:f>
      </x:c>
      <x:c r="DT88" s="107" t="n">
        <x:f>DT86*DT87/1000</x:f>
      </x:c>
      <x:c r="DU88" s="107" t="n">
        <x:f>DU86*DU87/1000</x:f>
      </x:c>
      <x:c r="DV88" s="107" t="n">
        <x:f>DV86*DV87/1000</x:f>
      </x:c>
      <x:c r="DW88" s="107" t="n">
        <x:f>DW86*DW87/1000</x:f>
      </x:c>
      <x:c r="DX88" s="107" t="n">
        <x:f>DX86*DX87/1000</x:f>
      </x:c>
      <x:c r="DY88" s="107" t="n">
        <x:f>DY86*DY87/1000</x:f>
      </x:c>
      <x:c r="DZ88" s="107" t="n">
        <x:f>DZ86*DZ87/1000</x:f>
      </x:c>
      <x:c r="EA88" s="107" t="n">
        <x:f>EA86*EA87/1000</x:f>
      </x:c>
      <x:c r="EB88" s="107" t="n">
        <x:f>EB86*EB87/1000</x:f>
      </x:c>
      <x:c r="EC88" s="107" t="n">
        <x:f>EC86*EC87/1000</x:f>
      </x:c>
      <x:c r="ED88" s="107" t="n">
        <x:f>ED86*ED87/1000</x:f>
      </x:c>
      <x:c r="EE88" s="107" t="n">
        <x:f>EE86*EE87/1000</x:f>
      </x:c>
      <x:c r="EF88" s="107" t="n">
        <x:f>EF86*EF87/1000</x:f>
      </x:c>
      <x:c r="EG88" s="107" t="n">
        <x:f>EG86*EG87/1000</x:f>
      </x:c>
      <x:c r="EH88" s="107" t="n">
        <x:f>EH86*EH87/1000</x:f>
      </x:c>
      <x:c r="EI88" s="107" t="n">
        <x:f>EI86*EI87/1000</x:f>
      </x:c>
      <x:c r="EJ88" s="107" t="n">
        <x:f>EJ86*EJ87/1000</x:f>
      </x:c>
      <x:c r="EK88" s="107" t="n">
        <x:f>EK86*EK87/1000</x:f>
      </x:c>
      <x:c r="EL88" s="107" t="n">
        <x:f>EL86*EL87/1000</x:f>
      </x:c>
      <x:c r="EM88" s="107" t="n">
        <x:f>EM86*EM87/1000</x:f>
      </x:c>
      <x:c r="EN88" s="107" t="n">
        <x:f>EN86*EN87/1000</x:f>
      </x:c>
      <x:c r="EO88" s="107" t="n">
        <x:f>EO86*EO87/1000</x:f>
      </x:c>
      <x:c r="EP88" s="107" t="n">
        <x:f>EP86*EP87/1000</x:f>
      </x:c>
      <x:c r="EQ88" s="107" t="n">
        <x:f>EQ86*EQ87/1000</x:f>
      </x:c>
      <x:c r="ER88" s="107" t="n">
        <x:f>ER86*ER87/1000</x:f>
      </x:c>
      <x:c r="ES88" s="107" t="n">
        <x:f>ES86*ES87/1000</x:f>
      </x:c>
      <x:c r="ET88" s="107" t="n">
        <x:f>ET86*ET87/1000</x:f>
      </x:c>
      <x:c r="EU88" s="107" t="n">
        <x:f>EU86*EU87/1000</x:f>
      </x:c>
      <x:c r="EV88" s="107" t="n">
        <x:f>EV86*EV87/1000</x:f>
      </x:c>
      <x:c r="EW88" s="107" t="n">
        <x:f>EW86*EW87/1000</x:f>
      </x:c>
      <x:c r="EX88" s="107" t="n">
        <x:f>EX86*EX87/1000</x:f>
      </x:c>
      <x:c r="EY88" s="107" t="n">
        <x:f>EY86*EY87/1000</x:f>
      </x:c>
      <x:c r="EZ88" s="107" t="n">
        <x:f>EZ86*EZ87/1000</x:f>
      </x:c>
      <x:c r="FA88" s="107" t="n">
        <x:f>FA86*FA87/1000</x:f>
      </x:c>
      <x:c r="FB88" s="107" t="n">
        <x:f>FB86*FB87/1000</x:f>
      </x:c>
      <x:c r="FC88" s="107" t="n">
        <x:f>FC86*FC87/1000</x:f>
      </x:c>
      <x:c r="FD88" s="107" t="n">
        <x:f>FD86*FD87/1000</x:f>
      </x:c>
      <x:c r="FE88" s="107" t="n">
        <x:f>FE86*FE87/1000</x:f>
      </x:c>
      <x:c r="FF88" s="107" t="n">
        <x:f>FF86*FF87/1000</x:f>
      </x:c>
      <x:c r="FG88" s="107" t="n">
        <x:f>FG86*FG87/1000</x:f>
      </x:c>
      <x:c r="FH88" s="107" t="n">
        <x:f>FH86*FH87/1000</x:f>
      </x:c>
      <x:c r="FI88" s="107" t="n">
        <x:f>FI86*FI87/1000</x:f>
      </x:c>
      <x:c r="FJ88" s="107" t="n">
        <x:f>FJ86*FJ87/1000</x:f>
      </x:c>
      <x:c r="FK88" s="107" t="n">
        <x:f>FK86*FK87/1000</x:f>
      </x:c>
      <x:c r="FL88" s="107" t="n">
        <x:f>FL86*FL87/1000</x:f>
      </x:c>
      <x:c r="FM88" s="107" t="n">
        <x:f>FM86*FM87/1000</x:f>
      </x:c>
      <x:c r="FN88" s="107" t="n">
        <x:f>FN86*FN87/1000</x:f>
      </x:c>
      <x:c r="FO88" s="107" t="n">
        <x:f>FO86*FO87/1000</x:f>
      </x:c>
      <x:c r="FP88" s="107" t="n">
        <x:f>FP86*FP87/1000</x:f>
      </x:c>
      <x:c r="FQ88" s="107" t="n">
        <x:f>FQ86*FQ87/1000</x:f>
      </x:c>
      <x:c r="FR88" s="107" t="n">
        <x:f>FR86*FR87/1000</x:f>
      </x:c>
      <x:c r="FS88" s="107" t="n">
        <x:f>FS86*FS87/1000</x:f>
      </x:c>
      <x:c r="FT88" s="107" t="n">
        <x:f>FT86*FT87/1000</x:f>
      </x:c>
      <x:c r="FU88" s="107" t="n">
        <x:f>FU86*FU87/1000</x:f>
      </x:c>
      <x:c r="FV88" s="107" t="n">
        <x:f>FV86*FV87/1000</x:f>
      </x:c>
      <x:c r="FW88" s="107" t="n">
        <x:f>FW86*FW87/1000</x:f>
      </x:c>
      <x:c r="FX88" s="107" t="n">
        <x:f>FX86*FX87/1000</x:f>
      </x:c>
      <x:c r="FY88" s="107" t="n">
        <x:f>FY86*FY87/1000</x:f>
      </x:c>
      <x:c r="FZ88" s="107" t="n">
        <x:f>FZ86*FZ87/1000</x:f>
      </x:c>
      <x:c r="GA88" s="107" t="n">
        <x:f>GA86*GA87/1000</x:f>
      </x:c>
    </x:row>
    <x:row r="89">
      <x:c r="A89" t="str">
        <x:v>Паркинг — объём</x:v>
      </x:c>
      <x:c r="B89" t="n">
        <x:f>SUM(D89:GA89)</x:f>
      </x:c>
      <x:c r="C89" t="str">
        <x:v>шт.</x:v>
      </x:c>
      <x:c r="D89" s="107" t="n">
        <x:f>'Вводные'!$N$91*((IF(SUM($D78:$GA78)=0,0,IF(SUM($D81:$GA81)=0,1,'Вводные'!$B$63)))*D80+(1-(IF(SUM($D78:$GA78)=0,0,IF(SUM($D81:$GA81)=0,1,'Вводные'!$B$63))))*D82)</x:f>
      </x:c>
      <x:c r="E89" s="107" t="n">
        <x:f>'Вводные'!$N$91*((IF(SUM($D78:$GA78)=0,0,IF(SUM($D81:$GA81)=0,1,'Вводные'!$B$63)))*E80+(1-(IF(SUM($D78:$GA78)=0,0,IF(SUM($D81:$GA81)=0,1,'Вводные'!$B$63))))*E82)</x:f>
      </x:c>
      <x:c r="F89" s="107" t="n">
        <x:f>'Вводные'!$N$91*((IF(SUM($D78:$GA78)=0,0,IF(SUM($D81:$GA81)=0,1,'Вводные'!$B$63)))*F80+(1-(IF(SUM($D78:$GA78)=0,0,IF(SUM($D81:$GA81)=0,1,'Вводные'!$B$63))))*F82)</x:f>
      </x:c>
      <x:c r="G89" s="107" t="n">
        <x:f>'Вводные'!$N$91*((IF(SUM($D78:$GA78)=0,0,IF(SUM($D81:$GA81)=0,1,'Вводные'!$B$63)))*G80+(1-(IF(SUM($D78:$GA78)=0,0,IF(SUM($D81:$GA81)=0,1,'Вводные'!$B$63))))*G82)</x:f>
      </x:c>
      <x:c r="H89" s="107" t="n">
        <x:f>'Вводные'!$N$91*((IF(SUM($D78:$GA78)=0,0,IF(SUM($D81:$GA81)=0,1,'Вводные'!$B$63)))*H80+(1-(IF(SUM($D78:$GA78)=0,0,IF(SUM($D81:$GA81)=0,1,'Вводные'!$B$63))))*H82)</x:f>
      </x:c>
      <x:c r="I89" s="107" t="n">
        <x:f>'Вводные'!$N$91*((IF(SUM($D78:$GA78)=0,0,IF(SUM($D81:$GA81)=0,1,'Вводные'!$B$63)))*I80+(1-(IF(SUM($D78:$GA78)=0,0,IF(SUM($D81:$GA81)=0,1,'Вводные'!$B$63))))*I82)</x:f>
      </x:c>
      <x:c r="J89" s="107" t="n">
        <x:f>'Вводные'!$N$91*((IF(SUM($D78:$GA78)=0,0,IF(SUM($D81:$GA81)=0,1,'Вводные'!$B$63)))*J80+(1-(IF(SUM($D78:$GA78)=0,0,IF(SUM($D81:$GA81)=0,1,'Вводные'!$B$63))))*J82)</x:f>
      </x:c>
      <x:c r="K89" s="107" t="n">
        <x:f>'Вводные'!$N$91*((IF(SUM($D78:$GA78)=0,0,IF(SUM($D81:$GA81)=0,1,'Вводные'!$B$63)))*K80+(1-(IF(SUM($D78:$GA78)=0,0,IF(SUM($D81:$GA81)=0,1,'Вводные'!$B$63))))*K82)</x:f>
      </x:c>
      <x:c r="L89" s="107" t="n">
        <x:f>'Вводные'!$N$91*((IF(SUM($D78:$GA78)=0,0,IF(SUM($D81:$GA81)=0,1,'Вводные'!$B$63)))*L80+(1-(IF(SUM($D78:$GA78)=0,0,IF(SUM($D81:$GA81)=0,1,'Вводные'!$B$63))))*L82)</x:f>
      </x:c>
      <x:c r="M89" s="107" t="n">
        <x:f>'Вводные'!$N$91*((IF(SUM($D78:$GA78)=0,0,IF(SUM($D81:$GA81)=0,1,'Вводные'!$B$63)))*M80+(1-(IF(SUM($D78:$GA78)=0,0,IF(SUM($D81:$GA81)=0,1,'Вводные'!$B$63))))*M82)</x:f>
      </x:c>
      <x:c r="N89" s="107" t="n">
        <x:f>'Вводные'!$N$91*((IF(SUM($D78:$GA78)=0,0,IF(SUM($D81:$GA81)=0,1,'Вводные'!$B$63)))*N80+(1-(IF(SUM($D78:$GA78)=0,0,IF(SUM($D81:$GA81)=0,1,'Вводные'!$B$63))))*N82)</x:f>
      </x:c>
      <x:c r="O89" s="107" t="n">
        <x:f>'Вводные'!$N$91*((IF(SUM($D78:$GA78)=0,0,IF(SUM($D81:$GA81)=0,1,'Вводные'!$B$63)))*O80+(1-(IF(SUM($D78:$GA78)=0,0,IF(SUM($D81:$GA81)=0,1,'Вводные'!$B$63))))*O82)</x:f>
      </x:c>
      <x:c r="P89" s="107" t="n">
        <x:f>'Вводные'!$N$91*((IF(SUM($D78:$GA78)=0,0,IF(SUM($D81:$GA81)=0,1,'Вводные'!$B$63)))*P80+(1-(IF(SUM($D78:$GA78)=0,0,IF(SUM($D81:$GA81)=0,1,'Вводные'!$B$63))))*P82)</x:f>
      </x:c>
      <x:c r="Q89" s="107" t="n">
        <x:f>'Вводные'!$N$91*((IF(SUM($D78:$GA78)=0,0,IF(SUM($D81:$GA81)=0,1,'Вводные'!$B$63)))*Q80+(1-(IF(SUM($D78:$GA78)=0,0,IF(SUM($D81:$GA81)=0,1,'Вводные'!$B$63))))*Q82)</x:f>
      </x:c>
      <x:c r="R89" s="107" t="n">
        <x:f>'Вводные'!$N$91*((IF(SUM($D78:$GA78)=0,0,IF(SUM($D81:$GA81)=0,1,'Вводные'!$B$63)))*R80+(1-(IF(SUM($D78:$GA78)=0,0,IF(SUM($D81:$GA81)=0,1,'Вводные'!$B$63))))*R82)</x:f>
      </x:c>
      <x:c r="S89" s="107" t="n">
        <x:f>'Вводные'!$N$91*((IF(SUM($D78:$GA78)=0,0,IF(SUM($D81:$GA81)=0,1,'Вводные'!$B$63)))*S80+(1-(IF(SUM($D78:$GA78)=0,0,IF(SUM($D81:$GA81)=0,1,'Вводные'!$B$63))))*S82)</x:f>
      </x:c>
      <x:c r="T89" s="107" t="n">
        <x:f>'Вводные'!$N$91*((IF(SUM($D78:$GA78)=0,0,IF(SUM($D81:$GA81)=0,1,'Вводные'!$B$63)))*T80+(1-(IF(SUM($D78:$GA78)=0,0,IF(SUM($D81:$GA81)=0,1,'Вводные'!$B$63))))*T82)</x:f>
      </x:c>
      <x:c r="U89" s="107" t="n">
        <x:f>'Вводные'!$N$91*((IF(SUM($D78:$GA78)=0,0,IF(SUM($D81:$GA81)=0,1,'Вводные'!$B$63)))*U80+(1-(IF(SUM($D78:$GA78)=0,0,IF(SUM($D81:$GA81)=0,1,'Вводные'!$B$63))))*U82)</x:f>
      </x:c>
      <x:c r="V89" s="107" t="n">
        <x:f>'Вводные'!$N$91*((IF(SUM($D78:$GA78)=0,0,IF(SUM($D81:$GA81)=0,1,'Вводные'!$B$63)))*V80+(1-(IF(SUM($D78:$GA78)=0,0,IF(SUM($D81:$GA81)=0,1,'Вводные'!$B$63))))*V82)</x:f>
      </x:c>
      <x:c r="W89" s="107" t="n">
        <x:f>'Вводные'!$N$91*((IF(SUM($D78:$GA78)=0,0,IF(SUM($D81:$GA81)=0,1,'Вводные'!$B$63)))*W80+(1-(IF(SUM($D78:$GA78)=0,0,IF(SUM($D81:$GA81)=0,1,'Вводные'!$B$63))))*W82)</x:f>
      </x:c>
      <x:c r="X89" s="107" t="n">
        <x:f>'Вводные'!$N$91*((IF(SUM($D78:$GA78)=0,0,IF(SUM($D81:$GA81)=0,1,'Вводные'!$B$63)))*X80+(1-(IF(SUM($D78:$GA78)=0,0,IF(SUM($D81:$GA81)=0,1,'Вводные'!$B$63))))*X82)</x:f>
      </x:c>
      <x:c r="Y89" s="107" t="n">
        <x:f>'Вводные'!$N$91*((IF(SUM($D78:$GA78)=0,0,IF(SUM($D81:$GA81)=0,1,'Вводные'!$B$63)))*Y80+(1-(IF(SUM($D78:$GA78)=0,0,IF(SUM($D81:$GA81)=0,1,'Вводные'!$B$63))))*Y82)</x:f>
      </x:c>
      <x:c r="Z89" s="107" t="n">
        <x:f>'Вводные'!$N$91*((IF(SUM($D78:$GA78)=0,0,IF(SUM($D81:$GA81)=0,1,'Вводные'!$B$63)))*Z80+(1-(IF(SUM($D78:$GA78)=0,0,IF(SUM($D81:$GA81)=0,1,'Вводные'!$B$63))))*Z82)</x:f>
      </x:c>
      <x:c r="AA89" s="107" t="n">
        <x:f>'Вводные'!$N$91*((IF(SUM($D78:$GA78)=0,0,IF(SUM($D81:$GA81)=0,1,'Вводные'!$B$63)))*AA80+(1-(IF(SUM($D78:$GA78)=0,0,IF(SUM($D81:$GA81)=0,1,'Вводные'!$B$63))))*AA82)</x:f>
      </x:c>
      <x:c r="AB89" s="107" t="n">
        <x:f>'Вводные'!$N$91*((IF(SUM($D78:$GA78)=0,0,IF(SUM($D81:$GA81)=0,1,'Вводные'!$B$63)))*AB80+(1-(IF(SUM($D78:$GA78)=0,0,IF(SUM($D81:$GA81)=0,1,'Вводные'!$B$63))))*AB82)</x:f>
      </x:c>
      <x:c r="AC89" s="107" t="n">
        <x:f>'Вводные'!$N$91*((IF(SUM($D78:$GA78)=0,0,IF(SUM($D81:$GA81)=0,1,'Вводные'!$B$63)))*AC80+(1-(IF(SUM($D78:$GA78)=0,0,IF(SUM($D81:$GA81)=0,1,'Вводные'!$B$63))))*AC82)</x:f>
      </x:c>
      <x:c r="AD89" s="107" t="n">
        <x:f>'Вводные'!$N$91*((IF(SUM($D78:$GA78)=0,0,IF(SUM($D81:$GA81)=0,1,'Вводные'!$B$63)))*AD80+(1-(IF(SUM($D78:$GA78)=0,0,IF(SUM($D81:$GA81)=0,1,'Вводные'!$B$63))))*AD82)</x:f>
      </x:c>
      <x:c r="AE89" s="107" t="n">
        <x:f>'Вводные'!$N$91*((IF(SUM($D78:$GA78)=0,0,IF(SUM($D81:$GA81)=0,1,'Вводные'!$B$63)))*AE80+(1-(IF(SUM($D78:$GA78)=0,0,IF(SUM($D81:$GA81)=0,1,'Вводные'!$B$63))))*AE82)</x:f>
      </x:c>
      <x:c r="AF89" s="107" t="n">
        <x:f>'Вводные'!$N$91*((IF(SUM($D78:$GA78)=0,0,IF(SUM($D81:$GA81)=0,1,'Вводные'!$B$63)))*AF80+(1-(IF(SUM($D78:$GA78)=0,0,IF(SUM($D81:$GA81)=0,1,'Вводные'!$B$63))))*AF82)</x:f>
      </x:c>
      <x:c r="AG89" s="107" t="n">
        <x:f>'Вводные'!$N$91*((IF(SUM($D78:$GA78)=0,0,IF(SUM($D81:$GA81)=0,1,'Вводные'!$B$63)))*AG80+(1-(IF(SUM($D78:$GA78)=0,0,IF(SUM($D81:$GA81)=0,1,'Вводные'!$B$63))))*AG82)</x:f>
      </x:c>
      <x:c r="AH89" s="107" t="n">
        <x:f>'Вводные'!$N$91*((IF(SUM($D78:$GA78)=0,0,IF(SUM($D81:$GA81)=0,1,'Вводные'!$B$63)))*AH80+(1-(IF(SUM($D78:$GA78)=0,0,IF(SUM($D81:$GA81)=0,1,'Вводные'!$B$63))))*AH82)</x:f>
      </x:c>
      <x:c r="AI89" s="107" t="n">
        <x:f>'Вводные'!$N$91*((IF(SUM($D78:$GA78)=0,0,IF(SUM($D81:$GA81)=0,1,'Вводные'!$B$63)))*AI80+(1-(IF(SUM($D78:$GA78)=0,0,IF(SUM($D81:$GA81)=0,1,'Вводные'!$B$63))))*AI82)</x:f>
      </x:c>
      <x:c r="AJ89" s="107" t="n">
        <x:f>'Вводные'!$N$91*((IF(SUM($D78:$GA78)=0,0,IF(SUM($D81:$GA81)=0,1,'Вводные'!$B$63)))*AJ80+(1-(IF(SUM($D78:$GA78)=0,0,IF(SUM($D81:$GA81)=0,1,'Вводные'!$B$63))))*AJ82)</x:f>
      </x:c>
      <x:c r="AK89" s="107" t="n">
        <x:f>'Вводные'!$N$91*((IF(SUM($D78:$GA78)=0,0,IF(SUM($D81:$GA81)=0,1,'Вводные'!$B$63)))*AK80+(1-(IF(SUM($D78:$GA78)=0,0,IF(SUM($D81:$GA81)=0,1,'Вводные'!$B$63))))*AK82)</x:f>
      </x:c>
      <x:c r="AL89" s="107" t="n">
        <x:f>'Вводные'!$N$91*((IF(SUM($D78:$GA78)=0,0,IF(SUM($D81:$GA81)=0,1,'Вводные'!$B$63)))*AL80+(1-(IF(SUM($D78:$GA78)=0,0,IF(SUM($D81:$GA81)=0,1,'Вводные'!$B$63))))*AL82)</x:f>
      </x:c>
      <x:c r="AM89" s="107" t="n">
        <x:f>'Вводные'!$N$91*((IF(SUM($D78:$GA78)=0,0,IF(SUM($D81:$GA81)=0,1,'Вводные'!$B$63)))*AM80+(1-(IF(SUM($D78:$GA78)=0,0,IF(SUM($D81:$GA81)=0,1,'Вводные'!$B$63))))*AM82)</x:f>
      </x:c>
      <x:c r="AN89" s="107" t="n">
        <x:f>'Вводные'!$N$91*((IF(SUM($D78:$GA78)=0,0,IF(SUM($D81:$GA81)=0,1,'Вводные'!$B$63)))*AN80+(1-(IF(SUM($D78:$GA78)=0,0,IF(SUM($D81:$GA81)=0,1,'Вводные'!$B$63))))*AN82)</x:f>
      </x:c>
      <x:c r="AO89" s="107" t="n">
        <x:f>'Вводные'!$N$91*((IF(SUM($D78:$GA78)=0,0,IF(SUM($D81:$GA81)=0,1,'Вводные'!$B$63)))*AO80+(1-(IF(SUM($D78:$GA78)=0,0,IF(SUM($D81:$GA81)=0,1,'Вводные'!$B$63))))*AO82)</x:f>
      </x:c>
      <x:c r="AP89" s="107" t="n">
        <x:f>'Вводные'!$N$91*((IF(SUM($D78:$GA78)=0,0,IF(SUM($D81:$GA81)=0,1,'Вводные'!$B$63)))*AP80+(1-(IF(SUM($D78:$GA78)=0,0,IF(SUM($D81:$GA81)=0,1,'Вводные'!$B$63))))*AP82)</x:f>
      </x:c>
      <x:c r="AQ89" s="107" t="n">
        <x:f>'Вводные'!$N$91*((IF(SUM($D78:$GA78)=0,0,IF(SUM($D81:$GA81)=0,1,'Вводные'!$B$63)))*AQ80+(1-(IF(SUM($D78:$GA78)=0,0,IF(SUM($D81:$GA81)=0,1,'Вводные'!$B$63))))*AQ82)</x:f>
      </x:c>
      <x:c r="AR89" s="107" t="n">
        <x:f>'Вводные'!$N$91*((IF(SUM($D78:$GA78)=0,0,IF(SUM($D81:$GA81)=0,1,'Вводные'!$B$63)))*AR80+(1-(IF(SUM($D78:$GA78)=0,0,IF(SUM($D81:$GA81)=0,1,'Вводные'!$B$63))))*AR82)</x:f>
      </x:c>
      <x:c r="AS89" s="107" t="n">
        <x:f>'Вводные'!$N$91*((IF(SUM($D78:$GA78)=0,0,IF(SUM($D81:$GA81)=0,1,'Вводные'!$B$63)))*AS80+(1-(IF(SUM($D78:$GA78)=0,0,IF(SUM($D81:$GA81)=0,1,'Вводные'!$B$63))))*AS82)</x:f>
      </x:c>
      <x:c r="AT89" s="107" t="n">
        <x:f>'Вводные'!$N$91*((IF(SUM($D78:$GA78)=0,0,IF(SUM($D81:$GA81)=0,1,'Вводные'!$B$63)))*AT80+(1-(IF(SUM($D78:$GA78)=0,0,IF(SUM($D81:$GA81)=0,1,'Вводные'!$B$63))))*AT82)</x:f>
      </x:c>
      <x:c r="AU89" s="107" t="n">
        <x:f>'Вводные'!$N$91*((IF(SUM($D78:$GA78)=0,0,IF(SUM($D81:$GA81)=0,1,'Вводные'!$B$63)))*AU80+(1-(IF(SUM($D78:$GA78)=0,0,IF(SUM($D81:$GA81)=0,1,'Вводные'!$B$63))))*AU82)</x:f>
      </x:c>
      <x:c r="AV89" s="107" t="n">
        <x:f>'Вводные'!$N$91*((IF(SUM($D78:$GA78)=0,0,IF(SUM($D81:$GA81)=0,1,'Вводные'!$B$63)))*AV80+(1-(IF(SUM($D78:$GA78)=0,0,IF(SUM($D81:$GA81)=0,1,'Вводные'!$B$63))))*AV82)</x:f>
      </x:c>
      <x:c r="AW89" s="107" t="n">
        <x:f>'Вводные'!$N$91*((IF(SUM($D78:$GA78)=0,0,IF(SUM($D81:$GA81)=0,1,'Вводные'!$B$63)))*AW80+(1-(IF(SUM($D78:$GA78)=0,0,IF(SUM($D81:$GA81)=0,1,'Вводные'!$B$63))))*AW82)</x:f>
      </x:c>
      <x:c r="AX89" s="107" t="n">
        <x:f>'Вводные'!$N$91*((IF(SUM($D78:$GA78)=0,0,IF(SUM($D81:$GA81)=0,1,'Вводные'!$B$63)))*AX80+(1-(IF(SUM($D78:$GA78)=0,0,IF(SUM($D81:$GA81)=0,1,'Вводные'!$B$63))))*AX82)</x:f>
      </x:c>
      <x:c r="AY89" s="107" t="n">
        <x:f>'Вводные'!$N$91*((IF(SUM($D78:$GA78)=0,0,IF(SUM($D81:$GA81)=0,1,'Вводные'!$B$63)))*AY80+(1-(IF(SUM($D78:$GA78)=0,0,IF(SUM($D81:$GA81)=0,1,'Вводные'!$B$63))))*AY82)</x:f>
      </x:c>
      <x:c r="AZ89" s="107" t="n">
        <x:f>'Вводные'!$N$91*((IF(SUM($D78:$GA78)=0,0,IF(SUM($D81:$GA81)=0,1,'Вводные'!$B$63)))*AZ80+(1-(IF(SUM($D78:$GA78)=0,0,IF(SUM($D81:$GA81)=0,1,'Вводные'!$B$63))))*AZ82)</x:f>
      </x:c>
      <x:c r="BA89" s="107" t="n">
        <x:f>'Вводные'!$N$91*((IF(SUM($D78:$GA78)=0,0,IF(SUM($D81:$GA81)=0,1,'Вводные'!$B$63)))*BA80+(1-(IF(SUM($D78:$GA78)=0,0,IF(SUM($D81:$GA81)=0,1,'Вводные'!$B$63))))*BA82)</x:f>
      </x:c>
      <x:c r="BB89" s="107" t="n">
        <x:f>'Вводные'!$N$91*((IF(SUM($D78:$GA78)=0,0,IF(SUM($D81:$GA81)=0,1,'Вводные'!$B$63)))*BB80+(1-(IF(SUM($D78:$GA78)=0,0,IF(SUM($D81:$GA81)=0,1,'Вводные'!$B$63))))*BB82)</x:f>
      </x:c>
      <x:c r="BC89" s="107" t="n">
        <x:f>'Вводные'!$N$91*((IF(SUM($D78:$GA78)=0,0,IF(SUM($D81:$GA81)=0,1,'Вводные'!$B$63)))*BC80+(1-(IF(SUM($D78:$GA78)=0,0,IF(SUM($D81:$GA81)=0,1,'Вводные'!$B$63))))*BC82)</x:f>
      </x:c>
      <x:c r="BD89" s="107" t="n">
        <x:f>'Вводные'!$N$91*((IF(SUM($D78:$GA78)=0,0,IF(SUM($D81:$GA81)=0,1,'Вводные'!$B$63)))*BD80+(1-(IF(SUM($D78:$GA78)=0,0,IF(SUM($D81:$GA81)=0,1,'Вводные'!$B$63))))*BD82)</x:f>
      </x:c>
      <x:c r="BE89" s="107" t="n">
        <x:f>'Вводные'!$N$91*((IF(SUM($D78:$GA78)=0,0,IF(SUM($D81:$GA81)=0,1,'Вводные'!$B$63)))*BE80+(1-(IF(SUM($D78:$GA78)=0,0,IF(SUM($D81:$GA81)=0,1,'Вводные'!$B$63))))*BE82)</x:f>
      </x:c>
      <x:c r="BF89" s="107" t="n">
        <x:f>'Вводные'!$N$91*((IF(SUM($D78:$GA78)=0,0,IF(SUM($D81:$GA81)=0,1,'Вводные'!$B$63)))*BF80+(1-(IF(SUM($D78:$GA78)=0,0,IF(SUM($D81:$GA81)=0,1,'Вводные'!$B$63))))*BF82)</x:f>
      </x:c>
      <x:c r="BG89" s="107" t="n">
        <x:f>'Вводные'!$N$91*((IF(SUM($D78:$GA78)=0,0,IF(SUM($D81:$GA81)=0,1,'Вводные'!$B$63)))*BG80+(1-(IF(SUM($D78:$GA78)=0,0,IF(SUM($D81:$GA81)=0,1,'Вводные'!$B$63))))*BG82)</x:f>
      </x:c>
      <x:c r="BH89" s="107" t="n">
        <x:f>'Вводные'!$N$91*((IF(SUM($D78:$GA78)=0,0,IF(SUM($D81:$GA81)=0,1,'Вводные'!$B$63)))*BH80+(1-(IF(SUM($D78:$GA78)=0,0,IF(SUM($D81:$GA81)=0,1,'Вводные'!$B$63))))*BH82)</x:f>
      </x:c>
      <x:c r="BI89" s="107" t="n">
        <x:f>'Вводные'!$N$91*((IF(SUM($D78:$GA78)=0,0,IF(SUM($D81:$GA81)=0,1,'Вводные'!$B$63)))*BI80+(1-(IF(SUM($D78:$GA78)=0,0,IF(SUM($D81:$GA81)=0,1,'Вводные'!$B$63))))*BI82)</x:f>
      </x:c>
      <x:c r="BJ89" s="107" t="n">
        <x:f>'Вводные'!$N$91*((IF(SUM($D78:$GA78)=0,0,IF(SUM($D81:$GA81)=0,1,'Вводные'!$B$63)))*BJ80+(1-(IF(SUM($D78:$GA78)=0,0,IF(SUM($D81:$GA81)=0,1,'Вводные'!$B$63))))*BJ82)</x:f>
      </x:c>
      <x:c r="BK89" s="107" t="n">
        <x:f>'Вводные'!$N$91*((IF(SUM($D78:$GA78)=0,0,IF(SUM($D81:$GA81)=0,1,'Вводные'!$B$63)))*BK80+(1-(IF(SUM($D78:$GA78)=0,0,IF(SUM($D81:$GA81)=0,1,'Вводные'!$B$63))))*BK82)</x:f>
      </x:c>
      <x:c r="BL89" s="107" t="n">
        <x:f>'Вводные'!$N$91*((IF(SUM($D78:$GA78)=0,0,IF(SUM($D81:$GA81)=0,1,'Вводные'!$B$63)))*BL80+(1-(IF(SUM($D78:$GA78)=0,0,IF(SUM($D81:$GA81)=0,1,'Вводные'!$B$63))))*BL82)</x:f>
      </x:c>
      <x:c r="BM89" s="107" t="n">
        <x:f>'Вводные'!$N$91*((IF(SUM($D78:$GA78)=0,0,IF(SUM($D81:$GA81)=0,1,'Вводные'!$B$63)))*BM80+(1-(IF(SUM($D78:$GA78)=0,0,IF(SUM($D81:$GA81)=0,1,'Вводные'!$B$63))))*BM82)</x:f>
      </x:c>
      <x:c r="BN89" s="107" t="n">
        <x:f>'Вводные'!$N$91*((IF(SUM($D78:$GA78)=0,0,IF(SUM($D81:$GA81)=0,1,'Вводные'!$B$63)))*BN80+(1-(IF(SUM($D78:$GA78)=0,0,IF(SUM($D81:$GA81)=0,1,'Вводные'!$B$63))))*BN82)</x:f>
      </x:c>
      <x:c r="BO89" s="107" t="n">
        <x:f>'Вводные'!$N$91*((IF(SUM($D78:$GA78)=0,0,IF(SUM($D81:$GA81)=0,1,'Вводные'!$B$63)))*BO80+(1-(IF(SUM($D78:$GA78)=0,0,IF(SUM($D81:$GA81)=0,1,'Вводные'!$B$63))))*BO82)</x:f>
      </x:c>
      <x:c r="BP89" s="107" t="n">
        <x:f>'Вводные'!$N$91*((IF(SUM($D78:$GA78)=0,0,IF(SUM($D81:$GA81)=0,1,'Вводные'!$B$63)))*BP80+(1-(IF(SUM($D78:$GA78)=0,0,IF(SUM($D81:$GA81)=0,1,'Вводные'!$B$63))))*BP82)</x:f>
      </x:c>
      <x:c r="BQ89" s="107" t="n">
        <x:f>'Вводные'!$N$91*((IF(SUM($D78:$GA78)=0,0,IF(SUM($D81:$GA81)=0,1,'Вводные'!$B$63)))*BQ80+(1-(IF(SUM($D78:$GA78)=0,0,IF(SUM($D81:$GA81)=0,1,'Вводные'!$B$63))))*BQ82)</x:f>
      </x:c>
      <x:c r="BR89" s="107" t="n">
        <x:f>'Вводные'!$N$91*((IF(SUM($D78:$GA78)=0,0,IF(SUM($D81:$GA81)=0,1,'Вводные'!$B$63)))*BR80+(1-(IF(SUM($D78:$GA78)=0,0,IF(SUM($D81:$GA81)=0,1,'Вводные'!$B$63))))*BR82)</x:f>
      </x:c>
      <x:c r="BS89" s="107" t="n">
        <x:f>'Вводные'!$N$91*((IF(SUM($D78:$GA78)=0,0,IF(SUM($D81:$GA81)=0,1,'Вводные'!$B$63)))*BS80+(1-(IF(SUM($D78:$GA78)=0,0,IF(SUM($D81:$GA81)=0,1,'Вводные'!$B$63))))*BS82)</x:f>
      </x:c>
      <x:c r="BT89" s="107" t="n">
        <x:f>'Вводные'!$N$91*((IF(SUM($D78:$GA78)=0,0,IF(SUM($D81:$GA81)=0,1,'Вводные'!$B$63)))*BT80+(1-(IF(SUM($D78:$GA78)=0,0,IF(SUM($D81:$GA81)=0,1,'Вводные'!$B$63))))*BT82)</x:f>
      </x:c>
      <x:c r="BU89" s="107" t="n">
        <x:f>'Вводные'!$N$91*((IF(SUM($D78:$GA78)=0,0,IF(SUM($D81:$GA81)=0,1,'Вводные'!$B$63)))*BU80+(1-(IF(SUM($D78:$GA78)=0,0,IF(SUM($D81:$GA81)=0,1,'Вводные'!$B$63))))*BU82)</x:f>
      </x:c>
      <x:c r="BV89" s="107" t="n">
        <x:f>'Вводные'!$N$91*((IF(SUM($D78:$GA78)=0,0,IF(SUM($D81:$GA81)=0,1,'Вводные'!$B$63)))*BV80+(1-(IF(SUM($D78:$GA78)=0,0,IF(SUM($D81:$GA81)=0,1,'Вводные'!$B$63))))*BV82)</x:f>
      </x:c>
      <x:c r="BW89" s="107" t="n">
        <x:f>'Вводные'!$N$91*((IF(SUM($D78:$GA78)=0,0,IF(SUM($D81:$GA81)=0,1,'Вводные'!$B$63)))*BW80+(1-(IF(SUM($D78:$GA78)=0,0,IF(SUM($D81:$GA81)=0,1,'Вводные'!$B$63))))*BW82)</x:f>
      </x:c>
      <x:c r="BX89" s="107" t="n">
        <x:f>'Вводные'!$N$91*((IF(SUM($D78:$GA78)=0,0,IF(SUM($D81:$GA81)=0,1,'Вводные'!$B$63)))*BX80+(1-(IF(SUM($D78:$GA78)=0,0,IF(SUM($D81:$GA81)=0,1,'Вводные'!$B$63))))*BX82)</x:f>
      </x:c>
      <x:c r="BY89" s="107" t="n">
        <x:f>'Вводные'!$N$91*((IF(SUM($D78:$GA78)=0,0,IF(SUM($D81:$GA81)=0,1,'Вводные'!$B$63)))*BY80+(1-(IF(SUM($D78:$GA78)=0,0,IF(SUM($D81:$GA81)=0,1,'Вводные'!$B$63))))*BY82)</x:f>
      </x:c>
      <x:c r="BZ89" s="107" t="n">
        <x:f>'Вводные'!$N$91*((IF(SUM($D78:$GA78)=0,0,IF(SUM($D81:$GA81)=0,1,'Вводные'!$B$63)))*BZ80+(1-(IF(SUM($D78:$GA78)=0,0,IF(SUM($D81:$GA81)=0,1,'Вводные'!$B$63))))*BZ82)</x:f>
      </x:c>
      <x:c r="CA89" s="107" t="n">
        <x:f>'Вводные'!$N$91*((IF(SUM($D78:$GA78)=0,0,IF(SUM($D81:$GA81)=0,1,'Вводные'!$B$63)))*CA80+(1-(IF(SUM($D78:$GA78)=0,0,IF(SUM($D81:$GA81)=0,1,'Вводные'!$B$63))))*CA82)</x:f>
      </x:c>
      <x:c r="CB89" s="107" t="n">
        <x:f>'Вводные'!$N$91*((IF(SUM($D78:$GA78)=0,0,IF(SUM($D81:$GA81)=0,1,'Вводные'!$B$63)))*CB80+(1-(IF(SUM($D78:$GA78)=0,0,IF(SUM($D81:$GA81)=0,1,'Вводные'!$B$63))))*CB82)</x:f>
      </x:c>
      <x:c r="CC89" s="107" t="n">
        <x:f>'Вводные'!$N$91*((IF(SUM($D78:$GA78)=0,0,IF(SUM($D81:$GA81)=0,1,'Вводные'!$B$63)))*CC80+(1-(IF(SUM($D78:$GA78)=0,0,IF(SUM($D81:$GA81)=0,1,'Вводные'!$B$63))))*CC82)</x:f>
      </x:c>
      <x:c r="CD89" s="107" t="n">
        <x:f>'Вводные'!$N$91*((IF(SUM($D78:$GA78)=0,0,IF(SUM($D81:$GA81)=0,1,'Вводные'!$B$63)))*CD80+(1-(IF(SUM($D78:$GA78)=0,0,IF(SUM($D81:$GA81)=0,1,'Вводные'!$B$63))))*CD82)</x:f>
      </x:c>
      <x:c r="CE89" s="107" t="n">
        <x:f>'Вводные'!$N$91*((IF(SUM($D78:$GA78)=0,0,IF(SUM($D81:$GA81)=0,1,'Вводные'!$B$63)))*CE80+(1-(IF(SUM($D78:$GA78)=0,0,IF(SUM($D81:$GA81)=0,1,'Вводные'!$B$63))))*CE82)</x:f>
      </x:c>
      <x:c r="CF89" s="107" t="n">
        <x:f>'Вводные'!$N$91*((IF(SUM($D78:$GA78)=0,0,IF(SUM($D81:$GA81)=0,1,'Вводные'!$B$63)))*CF80+(1-(IF(SUM($D78:$GA78)=0,0,IF(SUM($D81:$GA81)=0,1,'Вводные'!$B$63))))*CF82)</x:f>
      </x:c>
      <x:c r="CG89" s="107" t="n">
        <x:f>'Вводные'!$N$91*((IF(SUM($D78:$GA78)=0,0,IF(SUM($D81:$GA81)=0,1,'Вводные'!$B$63)))*CG80+(1-(IF(SUM($D78:$GA78)=0,0,IF(SUM($D81:$GA81)=0,1,'Вводные'!$B$63))))*CG82)</x:f>
      </x:c>
      <x:c r="CH89" s="107" t="n">
        <x:f>'Вводные'!$N$91*((IF(SUM($D78:$GA78)=0,0,IF(SUM($D81:$GA81)=0,1,'Вводные'!$B$63)))*CH80+(1-(IF(SUM($D78:$GA78)=0,0,IF(SUM($D81:$GA81)=0,1,'Вводные'!$B$63))))*CH82)</x:f>
      </x:c>
      <x:c r="CI89" s="107" t="n">
        <x:f>'Вводные'!$N$91*((IF(SUM($D78:$GA78)=0,0,IF(SUM($D81:$GA81)=0,1,'Вводные'!$B$63)))*CI80+(1-(IF(SUM($D78:$GA78)=0,0,IF(SUM($D81:$GA81)=0,1,'Вводные'!$B$63))))*CI82)</x:f>
      </x:c>
      <x:c r="CJ89" s="107" t="n">
        <x:f>'Вводные'!$N$91*((IF(SUM($D78:$GA78)=0,0,IF(SUM($D81:$GA81)=0,1,'Вводные'!$B$63)))*CJ80+(1-(IF(SUM($D78:$GA78)=0,0,IF(SUM($D81:$GA81)=0,1,'Вводные'!$B$63))))*CJ82)</x:f>
      </x:c>
      <x:c r="CK89" s="107" t="n">
        <x:f>'Вводные'!$N$91*((IF(SUM($D78:$GA78)=0,0,IF(SUM($D81:$GA81)=0,1,'Вводные'!$B$63)))*CK80+(1-(IF(SUM($D78:$GA78)=0,0,IF(SUM($D81:$GA81)=0,1,'Вводные'!$B$63))))*CK82)</x:f>
      </x:c>
      <x:c r="CL89" s="107" t="n">
        <x:f>'Вводные'!$N$91*((IF(SUM($D78:$GA78)=0,0,IF(SUM($D81:$GA81)=0,1,'Вводные'!$B$63)))*CL80+(1-(IF(SUM($D78:$GA78)=0,0,IF(SUM($D81:$GA81)=0,1,'Вводные'!$B$63))))*CL82)</x:f>
      </x:c>
      <x:c r="CM89" s="107" t="n">
        <x:f>'Вводные'!$N$91*((IF(SUM($D78:$GA78)=0,0,IF(SUM($D81:$GA81)=0,1,'Вводные'!$B$63)))*CM80+(1-(IF(SUM($D78:$GA78)=0,0,IF(SUM($D81:$GA81)=0,1,'Вводные'!$B$63))))*CM82)</x:f>
      </x:c>
      <x:c r="CN89" s="107" t="n">
        <x:f>'Вводные'!$N$91*((IF(SUM($D78:$GA78)=0,0,IF(SUM($D81:$GA81)=0,1,'Вводные'!$B$63)))*CN80+(1-(IF(SUM($D78:$GA78)=0,0,IF(SUM($D81:$GA81)=0,1,'Вводные'!$B$63))))*CN82)</x:f>
      </x:c>
      <x:c r="CO89" s="107" t="n">
        <x:f>'Вводные'!$N$91*((IF(SUM($D78:$GA78)=0,0,IF(SUM($D81:$GA81)=0,1,'Вводные'!$B$63)))*CO80+(1-(IF(SUM($D78:$GA78)=0,0,IF(SUM($D81:$GA81)=0,1,'Вводные'!$B$63))))*CO82)</x:f>
      </x:c>
      <x:c r="CP89" s="107" t="n">
        <x:f>'Вводные'!$N$91*((IF(SUM($D78:$GA78)=0,0,IF(SUM($D81:$GA81)=0,1,'Вводные'!$B$63)))*CP80+(1-(IF(SUM($D78:$GA78)=0,0,IF(SUM($D81:$GA81)=0,1,'Вводные'!$B$63))))*CP82)</x:f>
      </x:c>
      <x:c r="CQ89" s="107" t="n">
        <x:f>'Вводные'!$N$91*((IF(SUM($D78:$GA78)=0,0,IF(SUM($D81:$GA81)=0,1,'Вводные'!$B$63)))*CQ80+(1-(IF(SUM($D78:$GA78)=0,0,IF(SUM($D81:$GA81)=0,1,'Вводные'!$B$63))))*CQ82)</x:f>
      </x:c>
      <x:c r="CR89" s="107" t="n">
        <x:f>'Вводные'!$N$91*((IF(SUM($D78:$GA78)=0,0,IF(SUM($D81:$GA81)=0,1,'Вводные'!$B$63)))*CR80+(1-(IF(SUM($D78:$GA78)=0,0,IF(SUM($D81:$GA81)=0,1,'Вводные'!$B$63))))*CR82)</x:f>
      </x:c>
      <x:c r="CS89" s="107" t="n">
        <x:f>'Вводные'!$N$91*((IF(SUM($D78:$GA78)=0,0,IF(SUM($D81:$GA81)=0,1,'Вводные'!$B$63)))*CS80+(1-(IF(SUM($D78:$GA78)=0,0,IF(SUM($D81:$GA81)=0,1,'Вводные'!$B$63))))*CS82)</x:f>
      </x:c>
      <x:c r="CT89" s="107" t="n">
        <x:f>'Вводные'!$N$91*((IF(SUM($D78:$GA78)=0,0,IF(SUM($D81:$GA81)=0,1,'Вводные'!$B$63)))*CT80+(1-(IF(SUM($D78:$GA78)=0,0,IF(SUM($D81:$GA81)=0,1,'Вводные'!$B$63))))*CT82)</x:f>
      </x:c>
      <x:c r="CU89" s="107" t="n">
        <x:f>'Вводные'!$N$91*((IF(SUM($D78:$GA78)=0,0,IF(SUM($D81:$GA81)=0,1,'Вводные'!$B$63)))*CU80+(1-(IF(SUM($D78:$GA78)=0,0,IF(SUM($D81:$GA81)=0,1,'Вводные'!$B$63))))*CU82)</x:f>
      </x:c>
      <x:c r="CV89" s="107" t="n">
        <x:f>'Вводные'!$N$91*((IF(SUM($D78:$GA78)=0,0,IF(SUM($D81:$GA81)=0,1,'Вводные'!$B$63)))*CV80+(1-(IF(SUM($D78:$GA78)=0,0,IF(SUM($D81:$GA81)=0,1,'Вводные'!$B$63))))*CV82)</x:f>
      </x:c>
      <x:c r="CW89" s="107" t="n">
        <x:f>'Вводные'!$N$91*((IF(SUM($D78:$GA78)=0,0,IF(SUM($D81:$GA81)=0,1,'Вводные'!$B$63)))*CW80+(1-(IF(SUM($D78:$GA78)=0,0,IF(SUM($D81:$GA81)=0,1,'Вводные'!$B$63))))*CW82)</x:f>
      </x:c>
      <x:c r="CX89" s="107" t="n">
        <x:f>'Вводные'!$N$91*((IF(SUM($D78:$GA78)=0,0,IF(SUM($D81:$GA81)=0,1,'Вводные'!$B$63)))*CX80+(1-(IF(SUM($D78:$GA78)=0,0,IF(SUM($D81:$GA81)=0,1,'Вводные'!$B$63))))*CX82)</x:f>
      </x:c>
      <x:c r="CY89" s="107" t="n">
        <x:f>'Вводные'!$N$91*((IF(SUM($D78:$GA78)=0,0,IF(SUM($D81:$GA81)=0,1,'Вводные'!$B$63)))*CY80+(1-(IF(SUM($D78:$GA78)=0,0,IF(SUM($D81:$GA81)=0,1,'Вводные'!$B$63))))*CY82)</x:f>
      </x:c>
      <x:c r="CZ89" s="107" t="n">
        <x:f>'Вводные'!$N$91*((IF(SUM($D78:$GA78)=0,0,IF(SUM($D81:$GA81)=0,1,'Вводные'!$B$63)))*CZ80+(1-(IF(SUM($D78:$GA78)=0,0,IF(SUM($D81:$GA81)=0,1,'Вводные'!$B$63))))*CZ82)</x:f>
      </x:c>
      <x:c r="DA89" s="107" t="n">
        <x:f>'Вводные'!$N$91*((IF(SUM($D78:$GA78)=0,0,IF(SUM($D81:$GA81)=0,1,'Вводные'!$B$63)))*DA80+(1-(IF(SUM($D78:$GA78)=0,0,IF(SUM($D81:$GA81)=0,1,'Вводные'!$B$63))))*DA82)</x:f>
      </x:c>
      <x:c r="DB89" s="107" t="n">
        <x:f>'Вводные'!$N$91*((IF(SUM($D78:$GA78)=0,0,IF(SUM($D81:$GA81)=0,1,'Вводные'!$B$63)))*DB80+(1-(IF(SUM($D78:$GA78)=0,0,IF(SUM($D81:$GA81)=0,1,'Вводные'!$B$63))))*DB82)</x:f>
      </x:c>
      <x:c r="DC89" s="107" t="n">
        <x:f>'Вводные'!$N$91*((IF(SUM($D78:$GA78)=0,0,IF(SUM($D81:$GA81)=0,1,'Вводные'!$B$63)))*DC80+(1-(IF(SUM($D78:$GA78)=0,0,IF(SUM($D81:$GA81)=0,1,'Вводные'!$B$63))))*DC82)</x:f>
      </x:c>
      <x:c r="DD89" s="107" t="n">
        <x:f>'Вводные'!$N$91*((IF(SUM($D78:$GA78)=0,0,IF(SUM($D81:$GA81)=0,1,'Вводные'!$B$63)))*DD80+(1-(IF(SUM($D78:$GA78)=0,0,IF(SUM($D81:$GA81)=0,1,'Вводные'!$B$63))))*DD82)</x:f>
      </x:c>
      <x:c r="DE89" s="107" t="n">
        <x:f>'Вводные'!$N$91*((IF(SUM($D78:$GA78)=0,0,IF(SUM($D81:$GA81)=0,1,'Вводные'!$B$63)))*DE80+(1-(IF(SUM($D78:$GA78)=0,0,IF(SUM($D81:$GA81)=0,1,'Вводные'!$B$63))))*DE82)</x:f>
      </x:c>
      <x:c r="DF89" s="107" t="n">
        <x:f>'Вводные'!$N$91*((IF(SUM($D78:$GA78)=0,0,IF(SUM($D81:$GA81)=0,1,'Вводные'!$B$63)))*DF80+(1-(IF(SUM($D78:$GA78)=0,0,IF(SUM($D81:$GA81)=0,1,'Вводные'!$B$63))))*DF82)</x:f>
      </x:c>
      <x:c r="DG89" s="107" t="n">
        <x:f>'Вводные'!$N$91*((IF(SUM($D78:$GA78)=0,0,IF(SUM($D81:$GA81)=0,1,'Вводные'!$B$63)))*DG80+(1-(IF(SUM($D78:$GA78)=0,0,IF(SUM($D81:$GA81)=0,1,'Вводные'!$B$63))))*DG82)</x:f>
      </x:c>
      <x:c r="DH89" s="107" t="n">
        <x:f>'Вводные'!$N$91*((IF(SUM($D78:$GA78)=0,0,IF(SUM($D81:$GA81)=0,1,'Вводные'!$B$63)))*DH80+(1-(IF(SUM($D78:$GA78)=0,0,IF(SUM($D81:$GA81)=0,1,'Вводные'!$B$63))))*DH82)</x:f>
      </x:c>
      <x:c r="DI89" s="107" t="n">
        <x:f>'Вводные'!$N$91*((IF(SUM($D78:$GA78)=0,0,IF(SUM($D81:$GA81)=0,1,'Вводные'!$B$63)))*DI80+(1-(IF(SUM($D78:$GA78)=0,0,IF(SUM($D81:$GA81)=0,1,'Вводные'!$B$63))))*DI82)</x:f>
      </x:c>
      <x:c r="DJ89" s="107" t="n">
        <x:f>'Вводные'!$N$91*((IF(SUM($D78:$GA78)=0,0,IF(SUM($D81:$GA81)=0,1,'Вводные'!$B$63)))*DJ80+(1-(IF(SUM($D78:$GA78)=0,0,IF(SUM($D81:$GA81)=0,1,'Вводные'!$B$63))))*DJ82)</x:f>
      </x:c>
      <x:c r="DK89" s="107" t="n">
        <x:f>'Вводные'!$N$91*((IF(SUM($D78:$GA78)=0,0,IF(SUM($D81:$GA81)=0,1,'Вводные'!$B$63)))*DK80+(1-(IF(SUM($D78:$GA78)=0,0,IF(SUM($D81:$GA81)=0,1,'Вводные'!$B$63))))*DK82)</x:f>
      </x:c>
      <x:c r="DL89" s="107" t="n">
        <x:f>'Вводные'!$N$91*((IF(SUM($D78:$GA78)=0,0,IF(SUM($D81:$GA81)=0,1,'Вводные'!$B$63)))*DL80+(1-(IF(SUM($D78:$GA78)=0,0,IF(SUM($D81:$GA81)=0,1,'Вводные'!$B$63))))*DL82)</x:f>
      </x:c>
      <x:c r="DM89" s="107" t="n">
        <x:f>'Вводные'!$N$91*((IF(SUM($D78:$GA78)=0,0,IF(SUM($D81:$GA81)=0,1,'Вводные'!$B$63)))*DM80+(1-(IF(SUM($D78:$GA78)=0,0,IF(SUM($D81:$GA81)=0,1,'Вводные'!$B$63))))*DM82)</x:f>
      </x:c>
      <x:c r="DN89" s="107" t="n">
        <x:f>'Вводные'!$N$91*((IF(SUM($D78:$GA78)=0,0,IF(SUM($D81:$GA81)=0,1,'Вводные'!$B$63)))*DN80+(1-(IF(SUM($D78:$GA78)=0,0,IF(SUM($D81:$GA81)=0,1,'Вводные'!$B$63))))*DN82)</x:f>
      </x:c>
      <x:c r="DO89" s="107" t="n">
        <x:f>'Вводные'!$N$91*((IF(SUM($D78:$GA78)=0,0,IF(SUM($D81:$GA81)=0,1,'Вводные'!$B$63)))*DO80+(1-(IF(SUM($D78:$GA78)=0,0,IF(SUM($D81:$GA81)=0,1,'Вводные'!$B$63))))*DO82)</x:f>
      </x:c>
      <x:c r="DP89" s="107" t="n">
        <x:f>'Вводные'!$N$91*((IF(SUM($D78:$GA78)=0,0,IF(SUM($D81:$GA81)=0,1,'Вводные'!$B$63)))*DP80+(1-(IF(SUM($D78:$GA78)=0,0,IF(SUM($D81:$GA81)=0,1,'Вводные'!$B$63))))*DP82)</x:f>
      </x:c>
      <x:c r="DQ89" s="107" t="n">
        <x:f>'Вводные'!$N$91*((IF(SUM($D78:$GA78)=0,0,IF(SUM($D81:$GA81)=0,1,'Вводные'!$B$63)))*DQ80+(1-(IF(SUM($D78:$GA78)=0,0,IF(SUM($D81:$GA81)=0,1,'Вводные'!$B$63))))*DQ82)</x:f>
      </x:c>
      <x:c r="DR89" s="107" t="n">
        <x:f>'Вводные'!$N$91*((IF(SUM($D78:$GA78)=0,0,IF(SUM($D81:$GA81)=0,1,'Вводные'!$B$63)))*DR80+(1-(IF(SUM($D78:$GA78)=0,0,IF(SUM($D81:$GA81)=0,1,'Вводные'!$B$63))))*DR82)</x:f>
      </x:c>
      <x:c r="DS89" s="107" t="n">
        <x:f>'Вводные'!$N$91*((IF(SUM($D78:$GA78)=0,0,IF(SUM($D81:$GA81)=0,1,'Вводные'!$B$63)))*DS80+(1-(IF(SUM($D78:$GA78)=0,0,IF(SUM($D81:$GA81)=0,1,'Вводные'!$B$63))))*DS82)</x:f>
      </x:c>
      <x:c r="DT89" s="107" t="n">
        <x:f>'Вводные'!$N$91*((IF(SUM($D78:$GA78)=0,0,IF(SUM($D81:$GA81)=0,1,'Вводные'!$B$63)))*DT80+(1-(IF(SUM($D78:$GA78)=0,0,IF(SUM($D81:$GA81)=0,1,'Вводные'!$B$63))))*DT82)</x:f>
      </x:c>
      <x:c r="DU89" s="107" t="n">
        <x:f>'Вводные'!$N$91*((IF(SUM($D78:$GA78)=0,0,IF(SUM($D81:$GA81)=0,1,'Вводные'!$B$63)))*DU80+(1-(IF(SUM($D78:$GA78)=0,0,IF(SUM($D81:$GA81)=0,1,'Вводные'!$B$63))))*DU82)</x:f>
      </x:c>
      <x:c r="DV89" s="107" t="n">
        <x:f>'Вводные'!$N$91*((IF(SUM($D78:$GA78)=0,0,IF(SUM($D81:$GA81)=0,1,'Вводные'!$B$63)))*DV80+(1-(IF(SUM($D78:$GA78)=0,0,IF(SUM($D81:$GA81)=0,1,'Вводные'!$B$63))))*DV82)</x:f>
      </x:c>
      <x:c r="DW89" s="107" t="n">
        <x:f>'Вводные'!$N$91*((IF(SUM($D78:$GA78)=0,0,IF(SUM($D81:$GA81)=0,1,'Вводные'!$B$63)))*DW80+(1-(IF(SUM($D78:$GA78)=0,0,IF(SUM($D81:$GA81)=0,1,'Вводные'!$B$63))))*DW82)</x:f>
      </x:c>
      <x:c r="DX89" s="107" t="n">
        <x:f>'Вводные'!$N$91*((IF(SUM($D78:$GA78)=0,0,IF(SUM($D81:$GA81)=0,1,'Вводные'!$B$63)))*DX80+(1-(IF(SUM($D78:$GA78)=0,0,IF(SUM($D81:$GA81)=0,1,'Вводные'!$B$63))))*DX82)</x:f>
      </x:c>
      <x:c r="DY89" s="107" t="n">
        <x:f>'Вводные'!$N$91*((IF(SUM($D78:$GA78)=0,0,IF(SUM($D81:$GA81)=0,1,'Вводные'!$B$63)))*DY80+(1-(IF(SUM($D78:$GA78)=0,0,IF(SUM($D81:$GA81)=0,1,'Вводные'!$B$63))))*DY82)</x:f>
      </x:c>
      <x:c r="DZ89" s="107" t="n">
        <x:f>'Вводные'!$N$91*((IF(SUM($D78:$GA78)=0,0,IF(SUM($D81:$GA81)=0,1,'Вводные'!$B$63)))*DZ80+(1-(IF(SUM($D78:$GA78)=0,0,IF(SUM($D81:$GA81)=0,1,'Вводные'!$B$63))))*DZ82)</x:f>
      </x:c>
      <x:c r="EA89" s="107" t="n">
        <x:f>'Вводные'!$N$91*((IF(SUM($D78:$GA78)=0,0,IF(SUM($D81:$GA81)=0,1,'Вводные'!$B$63)))*EA80+(1-(IF(SUM($D78:$GA78)=0,0,IF(SUM($D81:$GA81)=0,1,'Вводные'!$B$63))))*EA82)</x:f>
      </x:c>
      <x:c r="EB89" s="107" t="n">
        <x:f>'Вводные'!$N$91*((IF(SUM($D78:$GA78)=0,0,IF(SUM($D81:$GA81)=0,1,'Вводные'!$B$63)))*EB80+(1-(IF(SUM($D78:$GA78)=0,0,IF(SUM($D81:$GA81)=0,1,'Вводные'!$B$63))))*EB82)</x:f>
      </x:c>
      <x:c r="EC89" s="107" t="n">
        <x:f>'Вводные'!$N$91*((IF(SUM($D78:$GA78)=0,0,IF(SUM($D81:$GA81)=0,1,'Вводные'!$B$63)))*EC80+(1-(IF(SUM($D78:$GA78)=0,0,IF(SUM($D81:$GA81)=0,1,'Вводные'!$B$63))))*EC82)</x:f>
      </x:c>
      <x:c r="ED89" s="107" t="n">
        <x:f>'Вводные'!$N$91*((IF(SUM($D78:$GA78)=0,0,IF(SUM($D81:$GA81)=0,1,'Вводные'!$B$63)))*ED80+(1-(IF(SUM($D78:$GA78)=0,0,IF(SUM($D81:$GA81)=0,1,'Вводные'!$B$63))))*ED82)</x:f>
      </x:c>
      <x:c r="EE89" s="107" t="n">
        <x:f>'Вводные'!$N$91*((IF(SUM($D78:$GA78)=0,0,IF(SUM($D81:$GA81)=0,1,'Вводные'!$B$63)))*EE80+(1-(IF(SUM($D78:$GA78)=0,0,IF(SUM($D81:$GA81)=0,1,'Вводные'!$B$63))))*EE82)</x:f>
      </x:c>
      <x:c r="EF89" s="107" t="n">
        <x:f>'Вводные'!$N$91*((IF(SUM($D78:$GA78)=0,0,IF(SUM($D81:$GA81)=0,1,'Вводные'!$B$63)))*EF80+(1-(IF(SUM($D78:$GA78)=0,0,IF(SUM($D81:$GA81)=0,1,'Вводные'!$B$63))))*EF82)</x:f>
      </x:c>
      <x:c r="EG89" s="107" t="n">
        <x:f>'Вводные'!$N$91*((IF(SUM($D78:$GA78)=0,0,IF(SUM($D81:$GA81)=0,1,'Вводные'!$B$63)))*EG80+(1-(IF(SUM($D78:$GA78)=0,0,IF(SUM($D81:$GA81)=0,1,'Вводные'!$B$63))))*EG82)</x:f>
      </x:c>
      <x:c r="EH89" s="107" t="n">
        <x:f>'Вводные'!$N$91*((IF(SUM($D78:$GA78)=0,0,IF(SUM($D81:$GA81)=0,1,'Вводные'!$B$63)))*EH80+(1-(IF(SUM($D78:$GA78)=0,0,IF(SUM($D81:$GA81)=0,1,'Вводные'!$B$63))))*EH82)</x:f>
      </x:c>
      <x:c r="EI89" s="107" t="n">
        <x:f>'Вводные'!$N$91*((IF(SUM($D78:$GA78)=0,0,IF(SUM($D81:$GA81)=0,1,'Вводные'!$B$63)))*EI80+(1-(IF(SUM($D78:$GA78)=0,0,IF(SUM($D81:$GA81)=0,1,'Вводные'!$B$63))))*EI82)</x:f>
      </x:c>
      <x:c r="EJ89" s="107" t="n">
        <x:f>'Вводные'!$N$91*((IF(SUM($D78:$GA78)=0,0,IF(SUM($D81:$GA81)=0,1,'Вводные'!$B$63)))*EJ80+(1-(IF(SUM($D78:$GA78)=0,0,IF(SUM($D81:$GA81)=0,1,'Вводные'!$B$63))))*EJ82)</x:f>
      </x:c>
      <x:c r="EK89" s="107" t="n">
        <x:f>'Вводные'!$N$91*((IF(SUM($D78:$GA78)=0,0,IF(SUM($D81:$GA81)=0,1,'Вводные'!$B$63)))*EK80+(1-(IF(SUM($D78:$GA78)=0,0,IF(SUM($D81:$GA81)=0,1,'Вводные'!$B$63))))*EK82)</x:f>
      </x:c>
      <x:c r="EL89" s="107" t="n">
        <x:f>'Вводные'!$N$91*((IF(SUM($D78:$GA78)=0,0,IF(SUM($D81:$GA81)=0,1,'Вводные'!$B$63)))*EL80+(1-(IF(SUM($D78:$GA78)=0,0,IF(SUM($D81:$GA81)=0,1,'Вводные'!$B$63))))*EL82)</x:f>
      </x:c>
      <x:c r="EM89" s="107" t="n">
        <x:f>'Вводные'!$N$91*((IF(SUM($D78:$GA78)=0,0,IF(SUM($D81:$GA81)=0,1,'Вводные'!$B$63)))*EM80+(1-(IF(SUM($D78:$GA78)=0,0,IF(SUM($D81:$GA81)=0,1,'Вводные'!$B$63))))*EM82)</x:f>
      </x:c>
      <x:c r="EN89" s="107" t="n">
        <x:f>'Вводные'!$N$91*((IF(SUM($D78:$GA78)=0,0,IF(SUM($D81:$GA81)=0,1,'Вводные'!$B$63)))*EN80+(1-(IF(SUM($D78:$GA78)=0,0,IF(SUM($D81:$GA81)=0,1,'Вводные'!$B$63))))*EN82)</x:f>
      </x:c>
      <x:c r="EO89" s="107" t="n">
        <x:f>'Вводные'!$N$91*((IF(SUM($D78:$GA78)=0,0,IF(SUM($D81:$GA81)=0,1,'Вводные'!$B$63)))*EO80+(1-(IF(SUM($D78:$GA78)=0,0,IF(SUM($D81:$GA81)=0,1,'Вводные'!$B$63))))*EO82)</x:f>
      </x:c>
      <x:c r="EP89" s="107" t="n">
        <x:f>'Вводные'!$N$91*((IF(SUM($D78:$GA78)=0,0,IF(SUM($D81:$GA81)=0,1,'Вводные'!$B$63)))*EP80+(1-(IF(SUM($D78:$GA78)=0,0,IF(SUM($D81:$GA81)=0,1,'Вводные'!$B$63))))*EP82)</x:f>
      </x:c>
      <x:c r="EQ89" s="107" t="n">
        <x:f>'Вводные'!$N$91*((IF(SUM($D78:$GA78)=0,0,IF(SUM($D81:$GA81)=0,1,'Вводные'!$B$63)))*EQ80+(1-(IF(SUM($D78:$GA78)=0,0,IF(SUM($D81:$GA81)=0,1,'Вводные'!$B$63))))*EQ82)</x:f>
      </x:c>
      <x:c r="ER89" s="107" t="n">
        <x:f>'Вводные'!$N$91*((IF(SUM($D78:$GA78)=0,0,IF(SUM($D81:$GA81)=0,1,'Вводные'!$B$63)))*ER80+(1-(IF(SUM($D78:$GA78)=0,0,IF(SUM($D81:$GA81)=0,1,'Вводные'!$B$63))))*ER82)</x:f>
      </x:c>
      <x:c r="ES89" s="107" t="n">
        <x:f>'Вводные'!$N$91*((IF(SUM($D78:$GA78)=0,0,IF(SUM($D81:$GA81)=0,1,'Вводные'!$B$63)))*ES80+(1-(IF(SUM($D78:$GA78)=0,0,IF(SUM($D81:$GA81)=0,1,'Вводные'!$B$63))))*ES82)</x:f>
      </x:c>
      <x:c r="ET89" s="107" t="n">
        <x:f>'Вводные'!$N$91*((IF(SUM($D78:$GA78)=0,0,IF(SUM($D81:$GA81)=0,1,'Вводные'!$B$63)))*ET80+(1-(IF(SUM($D78:$GA78)=0,0,IF(SUM($D81:$GA81)=0,1,'Вводные'!$B$63))))*ET82)</x:f>
      </x:c>
      <x:c r="EU89" s="107" t="n">
        <x:f>'Вводные'!$N$91*((IF(SUM($D78:$GA78)=0,0,IF(SUM($D81:$GA81)=0,1,'Вводные'!$B$63)))*EU80+(1-(IF(SUM($D78:$GA78)=0,0,IF(SUM($D81:$GA81)=0,1,'Вводные'!$B$63))))*EU82)</x:f>
      </x:c>
      <x:c r="EV89" s="107" t="n">
        <x:f>'Вводные'!$N$91*((IF(SUM($D78:$GA78)=0,0,IF(SUM($D81:$GA81)=0,1,'Вводные'!$B$63)))*EV80+(1-(IF(SUM($D78:$GA78)=0,0,IF(SUM($D81:$GA81)=0,1,'Вводные'!$B$63))))*EV82)</x:f>
      </x:c>
      <x:c r="EW89" s="107" t="n">
        <x:f>'Вводные'!$N$91*((IF(SUM($D78:$GA78)=0,0,IF(SUM($D81:$GA81)=0,1,'Вводные'!$B$63)))*EW80+(1-(IF(SUM($D78:$GA78)=0,0,IF(SUM($D81:$GA81)=0,1,'Вводные'!$B$63))))*EW82)</x:f>
      </x:c>
      <x:c r="EX89" s="107" t="n">
        <x:f>'Вводные'!$N$91*((IF(SUM($D78:$GA78)=0,0,IF(SUM($D81:$GA81)=0,1,'Вводные'!$B$63)))*EX80+(1-(IF(SUM($D78:$GA78)=0,0,IF(SUM($D81:$GA81)=0,1,'Вводные'!$B$63))))*EX82)</x:f>
      </x:c>
      <x:c r="EY89" s="107" t="n">
        <x:f>'Вводные'!$N$91*((IF(SUM($D78:$GA78)=0,0,IF(SUM($D81:$GA81)=0,1,'Вводные'!$B$63)))*EY80+(1-(IF(SUM($D78:$GA78)=0,0,IF(SUM($D81:$GA81)=0,1,'Вводные'!$B$63))))*EY82)</x:f>
      </x:c>
      <x:c r="EZ89" s="107" t="n">
        <x:f>'Вводные'!$N$91*((IF(SUM($D78:$GA78)=0,0,IF(SUM($D81:$GA81)=0,1,'Вводные'!$B$63)))*EZ80+(1-(IF(SUM($D78:$GA78)=0,0,IF(SUM($D81:$GA81)=0,1,'Вводные'!$B$63))))*EZ82)</x:f>
      </x:c>
      <x:c r="FA89" s="107" t="n">
        <x:f>'Вводные'!$N$91*((IF(SUM($D78:$GA78)=0,0,IF(SUM($D81:$GA81)=0,1,'Вводные'!$B$63)))*FA80+(1-(IF(SUM($D78:$GA78)=0,0,IF(SUM($D81:$GA81)=0,1,'Вводные'!$B$63))))*FA82)</x:f>
      </x:c>
      <x:c r="FB89" s="107" t="n">
        <x:f>'Вводные'!$N$91*((IF(SUM($D78:$GA78)=0,0,IF(SUM($D81:$GA81)=0,1,'Вводные'!$B$63)))*FB80+(1-(IF(SUM($D78:$GA78)=0,0,IF(SUM($D81:$GA81)=0,1,'Вводные'!$B$63))))*FB82)</x:f>
      </x:c>
      <x:c r="FC89" s="107" t="n">
        <x:f>'Вводные'!$N$91*((IF(SUM($D78:$GA78)=0,0,IF(SUM($D81:$GA81)=0,1,'Вводные'!$B$63)))*FC80+(1-(IF(SUM($D78:$GA78)=0,0,IF(SUM($D81:$GA81)=0,1,'Вводные'!$B$63))))*FC82)</x:f>
      </x:c>
      <x:c r="FD89" s="107" t="n">
        <x:f>'Вводные'!$N$91*((IF(SUM($D78:$GA78)=0,0,IF(SUM($D81:$GA81)=0,1,'Вводные'!$B$63)))*FD80+(1-(IF(SUM($D78:$GA78)=0,0,IF(SUM($D81:$GA81)=0,1,'Вводные'!$B$63))))*FD82)</x:f>
      </x:c>
      <x:c r="FE89" s="107" t="n">
        <x:f>'Вводные'!$N$91*((IF(SUM($D78:$GA78)=0,0,IF(SUM($D81:$GA81)=0,1,'Вводные'!$B$63)))*FE80+(1-(IF(SUM($D78:$GA78)=0,0,IF(SUM($D81:$GA81)=0,1,'Вводные'!$B$63))))*FE82)</x:f>
      </x:c>
      <x:c r="FF89" s="107" t="n">
        <x:f>'Вводные'!$N$91*((IF(SUM($D78:$GA78)=0,0,IF(SUM($D81:$GA81)=0,1,'Вводные'!$B$63)))*FF80+(1-(IF(SUM($D78:$GA78)=0,0,IF(SUM($D81:$GA81)=0,1,'Вводные'!$B$63))))*FF82)</x:f>
      </x:c>
      <x:c r="FG89" s="107" t="n">
        <x:f>'Вводные'!$N$91*((IF(SUM($D78:$GA78)=0,0,IF(SUM($D81:$GA81)=0,1,'Вводные'!$B$63)))*FG80+(1-(IF(SUM($D78:$GA78)=0,0,IF(SUM($D81:$GA81)=0,1,'Вводные'!$B$63))))*FG82)</x:f>
      </x:c>
      <x:c r="FH89" s="107" t="n">
        <x:f>'Вводные'!$N$91*((IF(SUM($D78:$GA78)=0,0,IF(SUM($D81:$GA81)=0,1,'Вводные'!$B$63)))*FH80+(1-(IF(SUM($D78:$GA78)=0,0,IF(SUM($D81:$GA81)=0,1,'Вводные'!$B$63))))*FH82)</x:f>
      </x:c>
      <x:c r="FI89" s="107" t="n">
        <x:f>'Вводные'!$N$91*((IF(SUM($D78:$GA78)=0,0,IF(SUM($D81:$GA81)=0,1,'Вводные'!$B$63)))*FI80+(1-(IF(SUM($D78:$GA78)=0,0,IF(SUM($D81:$GA81)=0,1,'Вводные'!$B$63))))*FI82)</x:f>
      </x:c>
      <x:c r="FJ89" s="107" t="n">
        <x:f>'Вводные'!$N$91*((IF(SUM($D78:$GA78)=0,0,IF(SUM($D81:$GA81)=0,1,'Вводные'!$B$63)))*FJ80+(1-(IF(SUM($D78:$GA78)=0,0,IF(SUM($D81:$GA81)=0,1,'Вводные'!$B$63))))*FJ82)</x:f>
      </x:c>
      <x:c r="FK89" s="107" t="n">
        <x:f>'Вводные'!$N$91*((IF(SUM($D78:$GA78)=0,0,IF(SUM($D81:$GA81)=0,1,'Вводные'!$B$63)))*FK80+(1-(IF(SUM($D78:$GA78)=0,0,IF(SUM($D81:$GA81)=0,1,'Вводные'!$B$63))))*FK82)</x:f>
      </x:c>
      <x:c r="FL89" s="107" t="n">
        <x:f>'Вводные'!$N$91*((IF(SUM($D78:$GA78)=0,0,IF(SUM($D81:$GA81)=0,1,'Вводные'!$B$63)))*FL80+(1-(IF(SUM($D78:$GA78)=0,0,IF(SUM($D81:$GA81)=0,1,'Вводные'!$B$63))))*FL82)</x:f>
      </x:c>
      <x:c r="FM89" s="107" t="n">
        <x:f>'Вводные'!$N$91*((IF(SUM($D78:$GA78)=0,0,IF(SUM($D81:$GA81)=0,1,'Вводные'!$B$63)))*FM80+(1-(IF(SUM($D78:$GA78)=0,0,IF(SUM($D81:$GA81)=0,1,'Вводные'!$B$63))))*FM82)</x:f>
      </x:c>
      <x:c r="FN89" s="107" t="n">
        <x:f>'Вводные'!$N$91*((IF(SUM($D78:$GA78)=0,0,IF(SUM($D81:$GA81)=0,1,'Вводные'!$B$63)))*FN80+(1-(IF(SUM($D78:$GA78)=0,0,IF(SUM($D81:$GA81)=0,1,'Вводные'!$B$63))))*FN82)</x:f>
      </x:c>
      <x:c r="FO89" s="107" t="n">
        <x:f>'Вводные'!$N$91*((IF(SUM($D78:$GA78)=0,0,IF(SUM($D81:$GA81)=0,1,'Вводные'!$B$63)))*FO80+(1-(IF(SUM($D78:$GA78)=0,0,IF(SUM($D81:$GA81)=0,1,'Вводные'!$B$63))))*FO82)</x:f>
      </x:c>
      <x:c r="FP89" s="107" t="n">
        <x:f>'Вводные'!$N$91*((IF(SUM($D78:$GA78)=0,0,IF(SUM($D81:$GA81)=0,1,'Вводные'!$B$63)))*FP80+(1-(IF(SUM($D78:$GA78)=0,0,IF(SUM($D81:$GA81)=0,1,'Вводные'!$B$63))))*FP82)</x:f>
      </x:c>
      <x:c r="FQ89" s="107" t="n">
        <x:f>'Вводные'!$N$91*((IF(SUM($D78:$GA78)=0,0,IF(SUM($D81:$GA81)=0,1,'Вводные'!$B$63)))*FQ80+(1-(IF(SUM($D78:$GA78)=0,0,IF(SUM($D81:$GA81)=0,1,'Вводные'!$B$63))))*FQ82)</x:f>
      </x:c>
      <x:c r="FR89" s="107" t="n">
        <x:f>'Вводные'!$N$91*((IF(SUM($D78:$GA78)=0,0,IF(SUM($D81:$GA81)=0,1,'Вводные'!$B$63)))*FR80+(1-(IF(SUM($D78:$GA78)=0,0,IF(SUM($D81:$GA81)=0,1,'Вводные'!$B$63))))*FR82)</x:f>
      </x:c>
      <x:c r="FS89" s="107" t="n">
        <x:f>'Вводные'!$N$91*((IF(SUM($D78:$GA78)=0,0,IF(SUM($D81:$GA81)=0,1,'Вводные'!$B$63)))*FS80+(1-(IF(SUM($D78:$GA78)=0,0,IF(SUM($D81:$GA81)=0,1,'Вводные'!$B$63))))*FS82)</x:f>
      </x:c>
      <x:c r="FT89" s="107" t="n">
        <x:f>'Вводные'!$N$91*((IF(SUM($D78:$GA78)=0,0,IF(SUM($D81:$GA81)=0,1,'Вводные'!$B$63)))*FT80+(1-(IF(SUM($D78:$GA78)=0,0,IF(SUM($D81:$GA81)=0,1,'Вводные'!$B$63))))*FT82)</x:f>
      </x:c>
      <x:c r="FU89" s="107" t="n">
        <x:f>'Вводные'!$N$91*((IF(SUM($D78:$GA78)=0,0,IF(SUM($D81:$GA81)=0,1,'Вводные'!$B$63)))*FU80+(1-(IF(SUM($D78:$GA78)=0,0,IF(SUM($D81:$GA81)=0,1,'Вводные'!$B$63))))*FU82)</x:f>
      </x:c>
      <x:c r="FV89" s="107" t="n">
        <x:f>'Вводные'!$N$91*((IF(SUM($D78:$GA78)=0,0,IF(SUM($D81:$GA81)=0,1,'Вводные'!$B$63)))*FV80+(1-(IF(SUM($D78:$GA78)=0,0,IF(SUM($D81:$GA81)=0,1,'Вводные'!$B$63))))*FV82)</x:f>
      </x:c>
      <x:c r="FW89" s="107" t="n">
        <x:f>'Вводные'!$N$91*((IF(SUM($D78:$GA78)=0,0,IF(SUM($D81:$GA81)=0,1,'Вводные'!$B$63)))*FW80+(1-(IF(SUM($D78:$GA78)=0,0,IF(SUM($D81:$GA81)=0,1,'Вводные'!$B$63))))*FW82)</x:f>
      </x:c>
      <x:c r="FX89" s="107" t="n">
        <x:f>'Вводные'!$N$91*((IF(SUM($D78:$GA78)=0,0,IF(SUM($D81:$GA81)=0,1,'Вводные'!$B$63)))*FX80+(1-(IF(SUM($D78:$GA78)=0,0,IF(SUM($D81:$GA81)=0,1,'Вводные'!$B$63))))*FX82)</x:f>
      </x:c>
      <x:c r="FY89" s="107" t="n">
        <x:f>'Вводные'!$N$91*((IF(SUM($D78:$GA78)=0,0,IF(SUM($D81:$GA81)=0,1,'Вводные'!$B$63)))*FY80+(1-(IF(SUM($D78:$GA78)=0,0,IF(SUM($D81:$GA81)=0,1,'Вводные'!$B$63))))*FY82)</x:f>
      </x:c>
      <x:c r="FZ89" s="107" t="n">
        <x:f>'Вводные'!$N$91*((IF(SUM($D78:$GA78)=0,0,IF(SUM($D81:$GA81)=0,1,'Вводные'!$B$63)))*FZ80+(1-(IF(SUM($D78:$GA78)=0,0,IF(SUM($D81:$GA81)=0,1,'Вводные'!$B$63))))*FZ82)</x:f>
      </x:c>
      <x:c r="GA89" s="107" t="n">
        <x:f>'Вводные'!$N$91*((IF(SUM($D78:$GA78)=0,0,IF(SUM($D81:$GA81)=0,1,'Вводные'!$B$63)))*GA80+(1-(IF(SUM($D78:$GA78)=0,0,IF(SUM($D81:$GA81)=0,1,'Вводные'!$B$63))))*GA82)</x:f>
      </x:c>
    </x:row>
    <x:row r="90">
      <x:c r="A90" t="str">
        <x:v>Паркинг — цена</x:v>
      </x:c>
      <x:c r="B90" t="n">
        <x:f>IFERROR(B91*1000/B89,0)</x:f>
      </x:c>
      <x:c r="C90" t="str">
        <x:v>тыс. ₽/шт.</x:v>
      </x:c>
      <x:c r="D90" s="107" t="n">
        <x:f>IF(D89=0,0,'Вводные'!$B$61*'Вводные'!$S$91*'Вводные'!$H$5*'Вводные'!$AG$91*(1+'Вводные'!$B$64)^MAX(0,MIN((12*(YEAR(D$3)-YEAR($B$76))+MONTH(D$3)-MONTH($B$76)),(12*(YEAR($B$77)-YEAR($B$76))+MONTH($B$77)-MONTH($B$76))))*(1+'Вводные'!$B$65)^MAX(0,(12*(YEAR(D$3)-YEAR($B$77))+MONTH(D$3)-MONTH($B$77))))</x:f>
      </x:c>
      <x:c r="E90" s="107" t="n">
        <x:f>IF(E89=0,0,'Вводные'!$B$61*'Вводные'!$S$91*'Вводные'!$H$5*'Вводные'!$AG$91*(1+'Вводные'!$B$64)^MAX(0,MIN((12*(YEAR(E$3)-YEAR($B$76))+MONTH(E$3)-MONTH($B$76)),(12*(YEAR($B$77)-YEAR($B$76))+MONTH($B$77)-MONTH($B$76))))*(1+'Вводные'!$B$65)^MAX(0,(12*(YEAR(E$3)-YEAR($B$77))+MONTH(E$3)-MONTH($B$77))))</x:f>
      </x:c>
      <x:c r="F90" s="107" t="n">
        <x:f>IF(F89=0,0,'Вводные'!$B$61*'Вводные'!$S$91*'Вводные'!$H$5*'Вводные'!$AG$91*(1+'Вводные'!$B$64)^MAX(0,MIN((12*(YEAR(F$3)-YEAR($B$76))+MONTH(F$3)-MONTH($B$76)),(12*(YEAR($B$77)-YEAR($B$76))+MONTH($B$77)-MONTH($B$76))))*(1+'Вводные'!$B$65)^MAX(0,(12*(YEAR(F$3)-YEAR($B$77))+MONTH(F$3)-MONTH($B$77))))</x:f>
      </x:c>
      <x:c r="G90" s="107" t="n">
        <x:f>IF(G89=0,0,'Вводные'!$B$61*'Вводные'!$S$91*'Вводные'!$H$5*'Вводные'!$AG$91*(1+'Вводные'!$B$64)^MAX(0,MIN((12*(YEAR(G$3)-YEAR($B$76))+MONTH(G$3)-MONTH($B$76)),(12*(YEAR($B$77)-YEAR($B$76))+MONTH($B$77)-MONTH($B$76))))*(1+'Вводные'!$B$65)^MAX(0,(12*(YEAR(G$3)-YEAR($B$77))+MONTH(G$3)-MONTH($B$77))))</x:f>
      </x:c>
      <x:c r="H90" s="107" t="n">
        <x:f>IF(H89=0,0,'Вводные'!$B$61*'Вводные'!$S$91*'Вводные'!$H$5*'Вводные'!$AG$91*(1+'Вводные'!$B$64)^MAX(0,MIN((12*(YEAR(H$3)-YEAR($B$76))+MONTH(H$3)-MONTH($B$76)),(12*(YEAR($B$77)-YEAR($B$76))+MONTH($B$77)-MONTH($B$76))))*(1+'Вводные'!$B$65)^MAX(0,(12*(YEAR(H$3)-YEAR($B$77))+MONTH(H$3)-MONTH($B$77))))</x:f>
      </x:c>
      <x:c r="I90" s="107" t="n">
        <x:f>IF(I89=0,0,'Вводные'!$B$61*'Вводные'!$S$91*'Вводные'!$H$5*'Вводные'!$AG$91*(1+'Вводные'!$B$64)^MAX(0,MIN((12*(YEAR(I$3)-YEAR($B$76))+MONTH(I$3)-MONTH($B$76)),(12*(YEAR($B$77)-YEAR($B$76))+MONTH($B$77)-MONTH($B$76))))*(1+'Вводные'!$B$65)^MAX(0,(12*(YEAR(I$3)-YEAR($B$77))+MONTH(I$3)-MONTH($B$77))))</x:f>
      </x:c>
      <x:c r="J90" s="107" t="n">
        <x:f>IF(J89=0,0,'Вводные'!$B$61*'Вводные'!$S$91*'Вводные'!$H$5*'Вводные'!$AG$91*(1+'Вводные'!$B$64)^MAX(0,MIN((12*(YEAR(J$3)-YEAR($B$76))+MONTH(J$3)-MONTH($B$76)),(12*(YEAR($B$77)-YEAR($B$76))+MONTH($B$77)-MONTH($B$76))))*(1+'Вводные'!$B$65)^MAX(0,(12*(YEAR(J$3)-YEAR($B$77))+MONTH(J$3)-MONTH($B$77))))</x:f>
      </x:c>
      <x:c r="K90" s="107" t="n">
        <x:f>IF(K89=0,0,'Вводные'!$B$61*'Вводные'!$S$91*'Вводные'!$H$5*'Вводные'!$AG$91*(1+'Вводные'!$B$64)^MAX(0,MIN((12*(YEAR(K$3)-YEAR($B$76))+MONTH(K$3)-MONTH($B$76)),(12*(YEAR($B$77)-YEAR($B$76))+MONTH($B$77)-MONTH($B$76))))*(1+'Вводные'!$B$65)^MAX(0,(12*(YEAR(K$3)-YEAR($B$77))+MONTH(K$3)-MONTH($B$77))))</x:f>
      </x:c>
      <x:c r="L90" s="107" t="n">
        <x:f>IF(L89=0,0,'Вводные'!$B$61*'Вводные'!$S$91*'Вводные'!$H$5*'Вводные'!$AG$91*(1+'Вводные'!$B$64)^MAX(0,MIN((12*(YEAR(L$3)-YEAR($B$76))+MONTH(L$3)-MONTH($B$76)),(12*(YEAR($B$77)-YEAR($B$76))+MONTH($B$77)-MONTH($B$76))))*(1+'Вводные'!$B$65)^MAX(0,(12*(YEAR(L$3)-YEAR($B$77))+MONTH(L$3)-MONTH($B$77))))</x:f>
      </x:c>
      <x:c r="M90" s="107" t="n">
        <x:f>IF(M89=0,0,'Вводные'!$B$61*'Вводные'!$S$91*'Вводные'!$H$5*'Вводные'!$AG$91*(1+'Вводные'!$B$64)^MAX(0,MIN((12*(YEAR(M$3)-YEAR($B$76))+MONTH(M$3)-MONTH($B$76)),(12*(YEAR($B$77)-YEAR($B$76))+MONTH($B$77)-MONTH($B$76))))*(1+'Вводные'!$B$65)^MAX(0,(12*(YEAR(M$3)-YEAR($B$77))+MONTH(M$3)-MONTH($B$77))))</x:f>
      </x:c>
      <x:c r="N90" s="107" t="n">
        <x:f>IF(N89=0,0,'Вводные'!$B$61*'Вводные'!$S$91*'Вводные'!$H$5*'Вводные'!$AG$91*(1+'Вводные'!$B$64)^MAX(0,MIN((12*(YEAR(N$3)-YEAR($B$76))+MONTH(N$3)-MONTH($B$76)),(12*(YEAR($B$77)-YEAR($B$76))+MONTH($B$77)-MONTH($B$76))))*(1+'Вводные'!$B$65)^MAX(0,(12*(YEAR(N$3)-YEAR($B$77))+MONTH(N$3)-MONTH($B$77))))</x:f>
      </x:c>
      <x:c r="O90" s="107" t="n">
        <x:f>IF(O89=0,0,'Вводные'!$B$61*'Вводные'!$S$91*'Вводные'!$H$5*'Вводные'!$AG$91*(1+'Вводные'!$B$64)^MAX(0,MIN((12*(YEAR(O$3)-YEAR($B$76))+MONTH(O$3)-MONTH($B$76)),(12*(YEAR($B$77)-YEAR($B$76))+MONTH($B$77)-MONTH($B$76))))*(1+'Вводные'!$B$65)^MAX(0,(12*(YEAR(O$3)-YEAR($B$77))+MONTH(O$3)-MONTH($B$77))))</x:f>
      </x:c>
      <x:c r="P90" s="107" t="n">
        <x:f>IF(P89=0,0,'Вводные'!$B$61*'Вводные'!$S$91*'Вводные'!$H$5*'Вводные'!$AG$91*(1+'Вводные'!$B$64)^MAX(0,MIN((12*(YEAR(P$3)-YEAR($B$76))+MONTH(P$3)-MONTH($B$76)),(12*(YEAR($B$77)-YEAR($B$76))+MONTH($B$77)-MONTH($B$76))))*(1+'Вводные'!$B$65)^MAX(0,(12*(YEAR(P$3)-YEAR($B$77))+MONTH(P$3)-MONTH($B$77))))</x:f>
      </x:c>
      <x:c r="Q90" s="107" t="n">
        <x:f>IF(Q89=0,0,'Вводные'!$B$61*'Вводные'!$S$91*'Вводные'!$H$5*'Вводные'!$AG$91*(1+'Вводные'!$B$64)^MAX(0,MIN((12*(YEAR(Q$3)-YEAR($B$76))+MONTH(Q$3)-MONTH($B$76)),(12*(YEAR($B$77)-YEAR($B$76))+MONTH($B$77)-MONTH($B$76))))*(1+'Вводные'!$B$65)^MAX(0,(12*(YEAR(Q$3)-YEAR($B$77))+MONTH(Q$3)-MONTH($B$77))))</x:f>
      </x:c>
      <x:c r="R90" s="107" t="n">
        <x:f>IF(R89=0,0,'Вводные'!$B$61*'Вводные'!$S$91*'Вводные'!$H$5*'Вводные'!$AG$91*(1+'Вводные'!$B$64)^MAX(0,MIN((12*(YEAR(R$3)-YEAR($B$76))+MONTH(R$3)-MONTH($B$76)),(12*(YEAR($B$77)-YEAR($B$76))+MONTH($B$77)-MONTH($B$76))))*(1+'Вводные'!$B$65)^MAX(0,(12*(YEAR(R$3)-YEAR($B$77))+MONTH(R$3)-MONTH($B$77))))</x:f>
      </x:c>
      <x:c r="S90" s="107" t="n">
        <x:f>IF(S89=0,0,'Вводные'!$B$61*'Вводные'!$S$91*'Вводные'!$H$5*'Вводные'!$AG$91*(1+'Вводные'!$B$64)^MAX(0,MIN((12*(YEAR(S$3)-YEAR($B$76))+MONTH(S$3)-MONTH($B$76)),(12*(YEAR($B$77)-YEAR($B$76))+MONTH($B$77)-MONTH($B$76))))*(1+'Вводные'!$B$65)^MAX(0,(12*(YEAR(S$3)-YEAR($B$77))+MONTH(S$3)-MONTH($B$77))))</x:f>
      </x:c>
      <x:c r="T90" s="107" t="n">
        <x:f>IF(T89=0,0,'Вводные'!$B$61*'Вводные'!$S$91*'Вводные'!$H$5*'Вводные'!$AG$91*(1+'Вводные'!$B$64)^MAX(0,MIN((12*(YEAR(T$3)-YEAR($B$76))+MONTH(T$3)-MONTH($B$76)),(12*(YEAR($B$77)-YEAR($B$76))+MONTH($B$77)-MONTH($B$76))))*(1+'Вводные'!$B$65)^MAX(0,(12*(YEAR(T$3)-YEAR($B$77))+MONTH(T$3)-MONTH($B$77))))</x:f>
      </x:c>
      <x:c r="U90" s="107" t="n">
        <x:f>IF(U89=0,0,'Вводные'!$B$61*'Вводные'!$S$91*'Вводные'!$H$5*'Вводные'!$AG$91*(1+'Вводные'!$B$64)^MAX(0,MIN((12*(YEAR(U$3)-YEAR($B$76))+MONTH(U$3)-MONTH($B$76)),(12*(YEAR($B$77)-YEAR($B$76))+MONTH($B$77)-MONTH($B$76))))*(1+'Вводные'!$B$65)^MAX(0,(12*(YEAR(U$3)-YEAR($B$77))+MONTH(U$3)-MONTH($B$77))))</x:f>
      </x:c>
      <x:c r="V90" s="107" t="n">
        <x:f>IF(V89=0,0,'Вводные'!$B$61*'Вводные'!$S$91*'Вводные'!$H$5*'Вводные'!$AG$91*(1+'Вводные'!$B$64)^MAX(0,MIN((12*(YEAR(V$3)-YEAR($B$76))+MONTH(V$3)-MONTH($B$76)),(12*(YEAR($B$77)-YEAR($B$76))+MONTH($B$77)-MONTH($B$76))))*(1+'Вводные'!$B$65)^MAX(0,(12*(YEAR(V$3)-YEAR($B$77))+MONTH(V$3)-MONTH($B$77))))</x:f>
      </x:c>
      <x:c r="W90" s="107" t="n">
        <x:f>IF(W89=0,0,'Вводные'!$B$61*'Вводные'!$S$91*'Вводные'!$H$5*'Вводные'!$AG$91*(1+'Вводные'!$B$64)^MAX(0,MIN((12*(YEAR(W$3)-YEAR($B$76))+MONTH(W$3)-MONTH($B$76)),(12*(YEAR($B$77)-YEAR($B$76))+MONTH($B$77)-MONTH($B$76))))*(1+'Вводные'!$B$65)^MAX(0,(12*(YEAR(W$3)-YEAR($B$77))+MONTH(W$3)-MONTH($B$77))))</x:f>
      </x:c>
      <x:c r="X90" s="107" t="n">
        <x:f>IF(X89=0,0,'Вводные'!$B$61*'Вводные'!$S$91*'Вводные'!$H$5*'Вводные'!$AG$91*(1+'Вводные'!$B$64)^MAX(0,MIN((12*(YEAR(X$3)-YEAR($B$76))+MONTH(X$3)-MONTH($B$76)),(12*(YEAR($B$77)-YEAR($B$76))+MONTH($B$77)-MONTH($B$76))))*(1+'Вводные'!$B$65)^MAX(0,(12*(YEAR(X$3)-YEAR($B$77))+MONTH(X$3)-MONTH($B$77))))</x:f>
      </x:c>
      <x:c r="Y90" s="107" t="n">
        <x:f>IF(Y89=0,0,'Вводные'!$B$61*'Вводные'!$S$91*'Вводные'!$H$5*'Вводные'!$AG$91*(1+'Вводные'!$B$64)^MAX(0,MIN((12*(YEAR(Y$3)-YEAR($B$76))+MONTH(Y$3)-MONTH($B$76)),(12*(YEAR($B$77)-YEAR($B$76))+MONTH($B$77)-MONTH($B$76))))*(1+'Вводные'!$B$65)^MAX(0,(12*(YEAR(Y$3)-YEAR($B$77))+MONTH(Y$3)-MONTH($B$77))))</x:f>
      </x:c>
      <x:c r="Z90" s="107" t="n">
        <x:f>IF(Z89=0,0,'Вводные'!$B$61*'Вводные'!$S$91*'Вводные'!$H$5*'Вводные'!$AG$91*(1+'Вводные'!$B$64)^MAX(0,MIN((12*(YEAR(Z$3)-YEAR($B$76))+MONTH(Z$3)-MONTH($B$76)),(12*(YEAR($B$77)-YEAR($B$76))+MONTH($B$77)-MONTH($B$76))))*(1+'Вводные'!$B$65)^MAX(0,(12*(YEAR(Z$3)-YEAR($B$77))+MONTH(Z$3)-MONTH($B$77))))</x:f>
      </x:c>
      <x:c r="AA90" s="107" t="n">
        <x:f>IF(AA89=0,0,'Вводные'!$B$61*'Вводные'!$S$91*'Вводные'!$H$5*'Вводные'!$AG$91*(1+'Вводные'!$B$64)^MAX(0,MIN((12*(YEAR(AA$3)-YEAR($B$76))+MONTH(AA$3)-MONTH($B$76)),(12*(YEAR($B$77)-YEAR($B$76))+MONTH($B$77)-MONTH($B$76))))*(1+'Вводные'!$B$65)^MAX(0,(12*(YEAR(AA$3)-YEAR($B$77))+MONTH(AA$3)-MONTH($B$77))))</x:f>
      </x:c>
      <x:c r="AB90" s="107" t="n">
        <x:f>IF(AB89=0,0,'Вводные'!$B$61*'Вводные'!$S$91*'Вводные'!$H$5*'Вводные'!$AG$91*(1+'Вводные'!$B$64)^MAX(0,MIN((12*(YEAR(AB$3)-YEAR($B$76))+MONTH(AB$3)-MONTH($B$76)),(12*(YEAR($B$77)-YEAR($B$76))+MONTH($B$77)-MONTH($B$76))))*(1+'Вводные'!$B$65)^MAX(0,(12*(YEAR(AB$3)-YEAR($B$77))+MONTH(AB$3)-MONTH($B$77))))</x:f>
      </x:c>
      <x:c r="AC90" s="107" t="n">
        <x:f>IF(AC89=0,0,'Вводные'!$B$61*'Вводные'!$S$91*'Вводные'!$H$5*'Вводные'!$AG$91*(1+'Вводные'!$B$64)^MAX(0,MIN((12*(YEAR(AC$3)-YEAR($B$76))+MONTH(AC$3)-MONTH($B$76)),(12*(YEAR($B$77)-YEAR($B$76))+MONTH($B$77)-MONTH($B$76))))*(1+'Вводные'!$B$65)^MAX(0,(12*(YEAR(AC$3)-YEAR($B$77))+MONTH(AC$3)-MONTH($B$77))))</x:f>
      </x:c>
      <x:c r="AD90" s="107" t="n">
        <x:f>IF(AD89=0,0,'Вводные'!$B$61*'Вводные'!$S$91*'Вводные'!$H$5*'Вводные'!$AG$91*(1+'Вводные'!$B$64)^MAX(0,MIN((12*(YEAR(AD$3)-YEAR($B$76))+MONTH(AD$3)-MONTH($B$76)),(12*(YEAR($B$77)-YEAR($B$76))+MONTH($B$77)-MONTH($B$76))))*(1+'Вводные'!$B$65)^MAX(0,(12*(YEAR(AD$3)-YEAR($B$77))+MONTH(AD$3)-MONTH($B$77))))</x:f>
      </x:c>
      <x:c r="AE90" s="107" t="n">
        <x:f>IF(AE89=0,0,'Вводные'!$B$61*'Вводные'!$S$91*'Вводные'!$H$5*'Вводные'!$AG$91*(1+'Вводные'!$B$64)^MAX(0,MIN((12*(YEAR(AE$3)-YEAR($B$76))+MONTH(AE$3)-MONTH($B$76)),(12*(YEAR($B$77)-YEAR($B$76))+MONTH($B$77)-MONTH($B$76))))*(1+'Вводные'!$B$65)^MAX(0,(12*(YEAR(AE$3)-YEAR($B$77))+MONTH(AE$3)-MONTH($B$77))))</x:f>
      </x:c>
      <x:c r="AF90" s="107" t="n">
        <x:f>IF(AF89=0,0,'Вводные'!$B$61*'Вводные'!$S$91*'Вводные'!$H$5*'Вводные'!$AG$91*(1+'Вводные'!$B$64)^MAX(0,MIN((12*(YEAR(AF$3)-YEAR($B$76))+MONTH(AF$3)-MONTH($B$76)),(12*(YEAR($B$77)-YEAR($B$76))+MONTH($B$77)-MONTH($B$76))))*(1+'Вводные'!$B$65)^MAX(0,(12*(YEAR(AF$3)-YEAR($B$77))+MONTH(AF$3)-MONTH($B$77))))</x:f>
      </x:c>
      <x:c r="AG90" s="107" t="n">
        <x:f>IF(AG89=0,0,'Вводные'!$B$61*'Вводные'!$S$91*'Вводные'!$H$5*'Вводные'!$AG$91*(1+'Вводные'!$B$64)^MAX(0,MIN((12*(YEAR(AG$3)-YEAR($B$76))+MONTH(AG$3)-MONTH($B$76)),(12*(YEAR($B$77)-YEAR($B$76))+MONTH($B$77)-MONTH($B$76))))*(1+'Вводные'!$B$65)^MAX(0,(12*(YEAR(AG$3)-YEAR($B$77))+MONTH(AG$3)-MONTH($B$77))))</x:f>
      </x:c>
      <x:c r="AH90" s="107" t="n">
        <x:f>IF(AH89=0,0,'Вводные'!$B$61*'Вводные'!$S$91*'Вводные'!$H$5*'Вводные'!$AG$91*(1+'Вводные'!$B$64)^MAX(0,MIN((12*(YEAR(AH$3)-YEAR($B$76))+MONTH(AH$3)-MONTH($B$76)),(12*(YEAR($B$77)-YEAR($B$76))+MONTH($B$77)-MONTH($B$76))))*(1+'Вводные'!$B$65)^MAX(0,(12*(YEAR(AH$3)-YEAR($B$77))+MONTH(AH$3)-MONTH($B$77))))</x:f>
      </x:c>
      <x:c r="AI90" s="107" t="n">
        <x:f>IF(AI89=0,0,'Вводные'!$B$61*'Вводные'!$S$91*'Вводные'!$H$5*'Вводные'!$AG$91*(1+'Вводные'!$B$64)^MAX(0,MIN((12*(YEAR(AI$3)-YEAR($B$76))+MONTH(AI$3)-MONTH($B$76)),(12*(YEAR($B$77)-YEAR($B$76))+MONTH($B$77)-MONTH($B$76))))*(1+'Вводные'!$B$65)^MAX(0,(12*(YEAR(AI$3)-YEAR($B$77))+MONTH(AI$3)-MONTH($B$77))))</x:f>
      </x:c>
      <x:c r="AJ90" s="107" t="n">
        <x:f>IF(AJ89=0,0,'Вводные'!$B$61*'Вводные'!$S$91*'Вводные'!$H$5*'Вводные'!$AG$91*(1+'Вводные'!$B$64)^MAX(0,MIN((12*(YEAR(AJ$3)-YEAR($B$76))+MONTH(AJ$3)-MONTH($B$76)),(12*(YEAR($B$77)-YEAR($B$76))+MONTH($B$77)-MONTH($B$76))))*(1+'Вводные'!$B$65)^MAX(0,(12*(YEAR(AJ$3)-YEAR($B$77))+MONTH(AJ$3)-MONTH($B$77))))</x:f>
      </x:c>
      <x:c r="AK90" s="107" t="n">
        <x:f>IF(AK89=0,0,'Вводные'!$B$61*'Вводные'!$S$91*'Вводные'!$H$5*'Вводные'!$AG$91*(1+'Вводные'!$B$64)^MAX(0,MIN((12*(YEAR(AK$3)-YEAR($B$76))+MONTH(AK$3)-MONTH($B$76)),(12*(YEAR($B$77)-YEAR($B$76))+MONTH($B$77)-MONTH($B$76))))*(1+'Вводные'!$B$65)^MAX(0,(12*(YEAR(AK$3)-YEAR($B$77))+MONTH(AK$3)-MONTH($B$77))))</x:f>
      </x:c>
      <x:c r="AL90" s="107" t="n">
        <x:f>IF(AL89=0,0,'Вводные'!$B$61*'Вводные'!$S$91*'Вводные'!$H$5*'Вводные'!$AG$91*(1+'Вводные'!$B$64)^MAX(0,MIN((12*(YEAR(AL$3)-YEAR($B$76))+MONTH(AL$3)-MONTH($B$76)),(12*(YEAR($B$77)-YEAR($B$76))+MONTH($B$77)-MONTH($B$76))))*(1+'Вводные'!$B$65)^MAX(0,(12*(YEAR(AL$3)-YEAR($B$77))+MONTH(AL$3)-MONTH($B$77))))</x:f>
      </x:c>
      <x:c r="AM90" s="107" t="n">
        <x:f>IF(AM89=0,0,'Вводные'!$B$61*'Вводные'!$S$91*'Вводные'!$H$5*'Вводные'!$AG$91*(1+'Вводные'!$B$64)^MAX(0,MIN((12*(YEAR(AM$3)-YEAR($B$76))+MONTH(AM$3)-MONTH($B$76)),(12*(YEAR($B$77)-YEAR($B$76))+MONTH($B$77)-MONTH($B$76))))*(1+'Вводные'!$B$65)^MAX(0,(12*(YEAR(AM$3)-YEAR($B$77))+MONTH(AM$3)-MONTH($B$77))))</x:f>
      </x:c>
      <x:c r="AN90" s="107" t="n">
        <x:f>IF(AN89=0,0,'Вводные'!$B$61*'Вводные'!$S$91*'Вводные'!$H$5*'Вводные'!$AG$91*(1+'Вводные'!$B$64)^MAX(0,MIN((12*(YEAR(AN$3)-YEAR($B$76))+MONTH(AN$3)-MONTH($B$76)),(12*(YEAR($B$77)-YEAR($B$76))+MONTH($B$77)-MONTH($B$76))))*(1+'Вводные'!$B$65)^MAX(0,(12*(YEAR(AN$3)-YEAR($B$77))+MONTH(AN$3)-MONTH($B$77))))</x:f>
      </x:c>
      <x:c r="AO90" s="107" t="n">
        <x:f>IF(AO89=0,0,'Вводные'!$B$61*'Вводные'!$S$91*'Вводные'!$H$5*'Вводные'!$AG$91*(1+'Вводные'!$B$64)^MAX(0,MIN((12*(YEAR(AO$3)-YEAR($B$76))+MONTH(AO$3)-MONTH($B$76)),(12*(YEAR($B$77)-YEAR($B$76))+MONTH($B$77)-MONTH($B$76))))*(1+'Вводные'!$B$65)^MAX(0,(12*(YEAR(AO$3)-YEAR($B$77))+MONTH(AO$3)-MONTH($B$77))))</x:f>
      </x:c>
      <x:c r="AP90" s="107" t="n">
        <x:f>IF(AP89=0,0,'Вводные'!$B$61*'Вводные'!$S$91*'Вводные'!$H$5*'Вводные'!$AG$91*(1+'Вводные'!$B$64)^MAX(0,MIN((12*(YEAR(AP$3)-YEAR($B$76))+MONTH(AP$3)-MONTH($B$76)),(12*(YEAR($B$77)-YEAR($B$76))+MONTH($B$77)-MONTH($B$76))))*(1+'Вводные'!$B$65)^MAX(0,(12*(YEAR(AP$3)-YEAR($B$77))+MONTH(AP$3)-MONTH($B$77))))</x:f>
      </x:c>
      <x:c r="AQ90" s="107" t="n">
        <x:f>IF(AQ89=0,0,'Вводные'!$B$61*'Вводные'!$S$91*'Вводные'!$H$5*'Вводные'!$AG$91*(1+'Вводные'!$B$64)^MAX(0,MIN((12*(YEAR(AQ$3)-YEAR($B$76))+MONTH(AQ$3)-MONTH($B$76)),(12*(YEAR($B$77)-YEAR($B$76))+MONTH($B$77)-MONTH($B$76))))*(1+'Вводные'!$B$65)^MAX(0,(12*(YEAR(AQ$3)-YEAR($B$77))+MONTH(AQ$3)-MONTH($B$77))))</x:f>
      </x:c>
      <x:c r="AR90" s="107" t="n">
        <x:f>IF(AR89=0,0,'Вводные'!$B$61*'Вводные'!$S$91*'Вводные'!$H$5*'Вводные'!$AG$91*(1+'Вводные'!$B$64)^MAX(0,MIN((12*(YEAR(AR$3)-YEAR($B$76))+MONTH(AR$3)-MONTH($B$76)),(12*(YEAR($B$77)-YEAR($B$76))+MONTH($B$77)-MONTH($B$76))))*(1+'Вводные'!$B$65)^MAX(0,(12*(YEAR(AR$3)-YEAR($B$77))+MONTH(AR$3)-MONTH($B$77))))</x:f>
      </x:c>
      <x:c r="AS90" s="107" t="n">
        <x:f>IF(AS89=0,0,'Вводные'!$B$61*'Вводные'!$S$91*'Вводные'!$H$5*'Вводные'!$AG$91*(1+'Вводные'!$B$64)^MAX(0,MIN((12*(YEAR(AS$3)-YEAR($B$76))+MONTH(AS$3)-MONTH($B$76)),(12*(YEAR($B$77)-YEAR($B$76))+MONTH($B$77)-MONTH($B$76))))*(1+'Вводные'!$B$65)^MAX(0,(12*(YEAR(AS$3)-YEAR($B$77))+MONTH(AS$3)-MONTH($B$77))))</x:f>
      </x:c>
      <x:c r="AT90" s="107" t="n">
        <x:f>IF(AT89=0,0,'Вводные'!$B$61*'Вводные'!$S$91*'Вводные'!$H$5*'Вводные'!$AG$91*(1+'Вводные'!$B$64)^MAX(0,MIN((12*(YEAR(AT$3)-YEAR($B$76))+MONTH(AT$3)-MONTH($B$76)),(12*(YEAR($B$77)-YEAR($B$76))+MONTH($B$77)-MONTH($B$76))))*(1+'Вводные'!$B$65)^MAX(0,(12*(YEAR(AT$3)-YEAR($B$77))+MONTH(AT$3)-MONTH($B$77))))</x:f>
      </x:c>
      <x:c r="AU90" s="107" t="n">
        <x:f>IF(AU89=0,0,'Вводные'!$B$61*'Вводные'!$S$91*'Вводные'!$H$5*'Вводные'!$AG$91*(1+'Вводные'!$B$64)^MAX(0,MIN((12*(YEAR(AU$3)-YEAR($B$76))+MONTH(AU$3)-MONTH($B$76)),(12*(YEAR($B$77)-YEAR($B$76))+MONTH($B$77)-MONTH($B$76))))*(1+'Вводные'!$B$65)^MAX(0,(12*(YEAR(AU$3)-YEAR($B$77))+MONTH(AU$3)-MONTH($B$77))))</x:f>
      </x:c>
      <x:c r="AV90" s="107" t="n">
        <x:f>IF(AV89=0,0,'Вводные'!$B$61*'Вводные'!$S$91*'Вводные'!$H$5*'Вводные'!$AG$91*(1+'Вводные'!$B$64)^MAX(0,MIN((12*(YEAR(AV$3)-YEAR($B$76))+MONTH(AV$3)-MONTH($B$76)),(12*(YEAR($B$77)-YEAR($B$76))+MONTH($B$77)-MONTH($B$76))))*(1+'Вводные'!$B$65)^MAX(0,(12*(YEAR(AV$3)-YEAR($B$77))+MONTH(AV$3)-MONTH($B$77))))</x:f>
      </x:c>
      <x:c r="AW90" s="107" t="n">
        <x:f>IF(AW89=0,0,'Вводные'!$B$61*'Вводные'!$S$91*'Вводные'!$H$5*'Вводные'!$AG$91*(1+'Вводные'!$B$64)^MAX(0,MIN((12*(YEAR(AW$3)-YEAR($B$76))+MONTH(AW$3)-MONTH($B$76)),(12*(YEAR($B$77)-YEAR($B$76))+MONTH($B$77)-MONTH($B$76))))*(1+'Вводные'!$B$65)^MAX(0,(12*(YEAR(AW$3)-YEAR($B$77))+MONTH(AW$3)-MONTH($B$77))))</x:f>
      </x:c>
      <x:c r="AX90" s="107" t="n">
        <x:f>IF(AX89=0,0,'Вводные'!$B$61*'Вводные'!$S$91*'Вводные'!$H$5*'Вводные'!$AG$91*(1+'Вводные'!$B$64)^MAX(0,MIN((12*(YEAR(AX$3)-YEAR($B$76))+MONTH(AX$3)-MONTH($B$76)),(12*(YEAR($B$77)-YEAR($B$76))+MONTH($B$77)-MONTH($B$76))))*(1+'Вводные'!$B$65)^MAX(0,(12*(YEAR(AX$3)-YEAR($B$77))+MONTH(AX$3)-MONTH($B$77))))</x:f>
      </x:c>
      <x:c r="AY90" s="107" t="n">
        <x:f>IF(AY89=0,0,'Вводные'!$B$61*'Вводные'!$S$91*'Вводные'!$H$5*'Вводные'!$AG$91*(1+'Вводные'!$B$64)^MAX(0,MIN((12*(YEAR(AY$3)-YEAR($B$76))+MONTH(AY$3)-MONTH($B$76)),(12*(YEAR($B$77)-YEAR($B$76))+MONTH($B$77)-MONTH($B$76))))*(1+'Вводные'!$B$65)^MAX(0,(12*(YEAR(AY$3)-YEAR($B$77))+MONTH(AY$3)-MONTH($B$77))))</x:f>
      </x:c>
      <x:c r="AZ90" s="107" t="n">
        <x:f>IF(AZ89=0,0,'Вводные'!$B$61*'Вводные'!$S$91*'Вводные'!$H$5*'Вводные'!$AG$91*(1+'Вводные'!$B$64)^MAX(0,MIN((12*(YEAR(AZ$3)-YEAR($B$76))+MONTH(AZ$3)-MONTH($B$76)),(12*(YEAR($B$77)-YEAR($B$76))+MONTH($B$77)-MONTH($B$76))))*(1+'Вводные'!$B$65)^MAX(0,(12*(YEAR(AZ$3)-YEAR($B$77))+MONTH(AZ$3)-MONTH($B$77))))</x:f>
      </x:c>
      <x:c r="BA90" s="107" t="n">
        <x:f>IF(BA89=0,0,'Вводные'!$B$61*'Вводные'!$S$91*'Вводные'!$H$5*'Вводные'!$AG$91*(1+'Вводные'!$B$64)^MAX(0,MIN((12*(YEAR(BA$3)-YEAR($B$76))+MONTH(BA$3)-MONTH($B$76)),(12*(YEAR($B$77)-YEAR($B$76))+MONTH($B$77)-MONTH($B$76))))*(1+'Вводные'!$B$65)^MAX(0,(12*(YEAR(BA$3)-YEAR($B$77))+MONTH(BA$3)-MONTH($B$77))))</x:f>
      </x:c>
      <x:c r="BB90" s="107" t="n">
        <x:f>IF(BB89=0,0,'Вводные'!$B$61*'Вводные'!$S$91*'Вводные'!$H$5*'Вводные'!$AG$91*(1+'Вводные'!$B$64)^MAX(0,MIN((12*(YEAR(BB$3)-YEAR($B$76))+MONTH(BB$3)-MONTH($B$76)),(12*(YEAR($B$77)-YEAR($B$76))+MONTH($B$77)-MONTH($B$76))))*(1+'Вводные'!$B$65)^MAX(0,(12*(YEAR(BB$3)-YEAR($B$77))+MONTH(BB$3)-MONTH($B$77))))</x:f>
      </x:c>
      <x:c r="BC90" s="107" t="n">
        <x:f>IF(BC89=0,0,'Вводные'!$B$61*'Вводные'!$S$91*'Вводные'!$H$5*'Вводные'!$AG$91*(1+'Вводные'!$B$64)^MAX(0,MIN((12*(YEAR(BC$3)-YEAR($B$76))+MONTH(BC$3)-MONTH($B$76)),(12*(YEAR($B$77)-YEAR($B$76))+MONTH($B$77)-MONTH($B$76))))*(1+'Вводные'!$B$65)^MAX(0,(12*(YEAR(BC$3)-YEAR($B$77))+MONTH(BC$3)-MONTH($B$77))))</x:f>
      </x:c>
      <x:c r="BD90" s="107" t="n">
        <x:f>IF(BD89=0,0,'Вводные'!$B$61*'Вводные'!$S$91*'Вводные'!$H$5*'Вводные'!$AG$91*(1+'Вводные'!$B$64)^MAX(0,MIN((12*(YEAR(BD$3)-YEAR($B$76))+MONTH(BD$3)-MONTH($B$76)),(12*(YEAR($B$77)-YEAR($B$76))+MONTH($B$77)-MONTH($B$76))))*(1+'Вводные'!$B$65)^MAX(0,(12*(YEAR(BD$3)-YEAR($B$77))+MONTH(BD$3)-MONTH($B$77))))</x:f>
      </x:c>
      <x:c r="BE90" s="107" t="n">
        <x:f>IF(BE89=0,0,'Вводные'!$B$61*'Вводные'!$S$91*'Вводные'!$H$5*'Вводные'!$AG$91*(1+'Вводные'!$B$64)^MAX(0,MIN((12*(YEAR(BE$3)-YEAR($B$76))+MONTH(BE$3)-MONTH($B$76)),(12*(YEAR($B$77)-YEAR($B$76))+MONTH($B$77)-MONTH($B$76))))*(1+'Вводные'!$B$65)^MAX(0,(12*(YEAR(BE$3)-YEAR($B$77))+MONTH(BE$3)-MONTH($B$77))))</x:f>
      </x:c>
      <x:c r="BF90" s="107" t="n">
        <x:f>IF(BF89=0,0,'Вводные'!$B$61*'Вводные'!$S$91*'Вводные'!$H$5*'Вводные'!$AG$91*(1+'Вводные'!$B$64)^MAX(0,MIN((12*(YEAR(BF$3)-YEAR($B$76))+MONTH(BF$3)-MONTH($B$76)),(12*(YEAR($B$77)-YEAR($B$76))+MONTH($B$77)-MONTH($B$76))))*(1+'Вводные'!$B$65)^MAX(0,(12*(YEAR(BF$3)-YEAR($B$77))+MONTH(BF$3)-MONTH($B$77))))</x:f>
      </x:c>
      <x:c r="BG90" s="107" t="n">
        <x:f>IF(BG89=0,0,'Вводные'!$B$61*'Вводные'!$S$91*'Вводные'!$H$5*'Вводные'!$AG$91*(1+'Вводные'!$B$64)^MAX(0,MIN((12*(YEAR(BG$3)-YEAR($B$76))+MONTH(BG$3)-MONTH($B$76)),(12*(YEAR($B$77)-YEAR($B$76))+MONTH($B$77)-MONTH($B$76))))*(1+'Вводные'!$B$65)^MAX(0,(12*(YEAR(BG$3)-YEAR($B$77))+MONTH(BG$3)-MONTH($B$77))))</x:f>
      </x:c>
      <x:c r="BH90" s="107" t="n">
        <x:f>IF(BH89=0,0,'Вводные'!$B$61*'Вводные'!$S$91*'Вводные'!$H$5*'Вводные'!$AG$91*(1+'Вводные'!$B$64)^MAX(0,MIN((12*(YEAR(BH$3)-YEAR($B$76))+MONTH(BH$3)-MONTH($B$76)),(12*(YEAR($B$77)-YEAR($B$76))+MONTH($B$77)-MONTH($B$76))))*(1+'Вводные'!$B$65)^MAX(0,(12*(YEAR(BH$3)-YEAR($B$77))+MONTH(BH$3)-MONTH($B$77))))</x:f>
      </x:c>
      <x:c r="BI90" s="107" t="n">
        <x:f>IF(BI89=0,0,'Вводные'!$B$61*'Вводные'!$S$91*'Вводные'!$H$5*'Вводные'!$AG$91*(1+'Вводные'!$B$64)^MAX(0,MIN((12*(YEAR(BI$3)-YEAR($B$76))+MONTH(BI$3)-MONTH($B$76)),(12*(YEAR($B$77)-YEAR($B$76))+MONTH($B$77)-MONTH($B$76))))*(1+'Вводные'!$B$65)^MAX(0,(12*(YEAR(BI$3)-YEAR($B$77))+MONTH(BI$3)-MONTH($B$77))))</x:f>
      </x:c>
      <x:c r="BJ90" s="107" t="n">
        <x:f>IF(BJ89=0,0,'Вводные'!$B$61*'Вводные'!$S$91*'Вводные'!$H$5*'Вводные'!$AG$91*(1+'Вводные'!$B$64)^MAX(0,MIN((12*(YEAR(BJ$3)-YEAR($B$76))+MONTH(BJ$3)-MONTH($B$76)),(12*(YEAR($B$77)-YEAR($B$76))+MONTH($B$77)-MONTH($B$76))))*(1+'Вводные'!$B$65)^MAX(0,(12*(YEAR(BJ$3)-YEAR($B$77))+MONTH(BJ$3)-MONTH($B$77))))</x:f>
      </x:c>
      <x:c r="BK90" s="107" t="n">
        <x:f>IF(BK89=0,0,'Вводные'!$B$61*'Вводные'!$S$91*'Вводные'!$H$5*'Вводные'!$AG$91*(1+'Вводные'!$B$64)^MAX(0,MIN((12*(YEAR(BK$3)-YEAR($B$76))+MONTH(BK$3)-MONTH($B$76)),(12*(YEAR($B$77)-YEAR($B$76))+MONTH($B$77)-MONTH($B$76))))*(1+'Вводные'!$B$65)^MAX(0,(12*(YEAR(BK$3)-YEAR($B$77))+MONTH(BK$3)-MONTH($B$77))))</x:f>
      </x:c>
      <x:c r="BL90" s="107" t="n">
        <x:f>IF(BL89=0,0,'Вводные'!$B$61*'Вводные'!$S$91*'Вводные'!$H$5*'Вводные'!$AG$91*(1+'Вводные'!$B$64)^MAX(0,MIN((12*(YEAR(BL$3)-YEAR($B$76))+MONTH(BL$3)-MONTH($B$76)),(12*(YEAR($B$77)-YEAR($B$76))+MONTH($B$77)-MONTH($B$76))))*(1+'Вводные'!$B$65)^MAX(0,(12*(YEAR(BL$3)-YEAR($B$77))+MONTH(BL$3)-MONTH($B$77))))</x:f>
      </x:c>
      <x:c r="BM90" s="107" t="n">
        <x:f>IF(BM89=0,0,'Вводные'!$B$61*'Вводные'!$S$91*'Вводные'!$H$5*'Вводные'!$AG$91*(1+'Вводные'!$B$64)^MAX(0,MIN((12*(YEAR(BM$3)-YEAR($B$76))+MONTH(BM$3)-MONTH($B$76)),(12*(YEAR($B$77)-YEAR($B$76))+MONTH($B$77)-MONTH($B$76))))*(1+'Вводные'!$B$65)^MAX(0,(12*(YEAR(BM$3)-YEAR($B$77))+MONTH(BM$3)-MONTH($B$77))))</x:f>
      </x:c>
      <x:c r="BN90" s="107" t="n">
        <x:f>IF(BN89=0,0,'Вводные'!$B$61*'Вводные'!$S$91*'Вводные'!$H$5*'Вводные'!$AG$91*(1+'Вводные'!$B$64)^MAX(0,MIN((12*(YEAR(BN$3)-YEAR($B$76))+MONTH(BN$3)-MONTH($B$76)),(12*(YEAR($B$77)-YEAR($B$76))+MONTH($B$77)-MONTH($B$76))))*(1+'Вводные'!$B$65)^MAX(0,(12*(YEAR(BN$3)-YEAR($B$77))+MONTH(BN$3)-MONTH($B$77))))</x:f>
      </x:c>
      <x:c r="BO90" s="107" t="n">
        <x:f>IF(BO89=0,0,'Вводные'!$B$61*'Вводные'!$S$91*'Вводные'!$H$5*'Вводные'!$AG$91*(1+'Вводные'!$B$64)^MAX(0,MIN((12*(YEAR(BO$3)-YEAR($B$76))+MONTH(BO$3)-MONTH($B$76)),(12*(YEAR($B$77)-YEAR($B$76))+MONTH($B$77)-MONTH($B$76))))*(1+'Вводные'!$B$65)^MAX(0,(12*(YEAR(BO$3)-YEAR($B$77))+MONTH(BO$3)-MONTH($B$77))))</x:f>
      </x:c>
      <x:c r="BP90" s="107" t="n">
        <x:f>IF(BP89=0,0,'Вводные'!$B$61*'Вводные'!$S$91*'Вводные'!$H$5*'Вводные'!$AG$91*(1+'Вводные'!$B$64)^MAX(0,MIN((12*(YEAR(BP$3)-YEAR($B$76))+MONTH(BP$3)-MONTH($B$76)),(12*(YEAR($B$77)-YEAR($B$76))+MONTH($B$77)-MONTH($B$76))))*(1+'Вводные'!$B$65)^MAX(0,(12*(YEAR(BP$3)-YEAR($B$77))+MONTH(BP$3)-MONTH($B$77))))</x:f>
      </x:c>
      <x:c r="BQ90" s="107" t="n">
        <x:f>IF(BQ89=0,0,'Вводные'!$B$61*'Вводные'!$S$91*'Вводные'!$H$5*'Вводные'!$AG$91*(1+'Вводные'!$B$64)^MAX(0,MIN((12*(YEAR(BQ$3)-YEAR($B$76))+MONTH(BQ$3)-MONTH($B$76)),(12*(YEAR($B$77)-YEAR($B$76))+MONTH($B$77)-MONTH($B$76))))*(1+'Вводные'!$B$65)^MAX(0,(12*(YEAR(BQ$3)-YEAR($B$77))+MONTH(BQ$3)-MONTH($B$77))))</x:f>
      </x:c>
      <x:c r="BR90" s="107" t="n">
        <x:f>IF(BR89=0,0,'Вводные'!$B$61*'Вводные'!$S$91*'Вводные'!$H$5*'Вводные'!$AG$91*(1+'Вводные'!$B$64)^MAX(0,MIN((12*(YEAR(BR$3)-YEAR($B$76))+MONTH(BR$3)-MONTH($B$76)),(12*(YEAR($B$77)-YEAR($B$76))+MONTH($B$77)-MONTH($B$76))))*(1+'Вводные'!$B$65)^MAX(0,(12*(YEAR(BR$3)-YEAR($B$77))+MONTH(BR$3)-MONTH($B$77))))</x:f>
      </x:c>
      <x:c r="BS90" s="107" t="n">
        <x:f>IF(BS89=0,0,'Вводные'!$B$61*'Вводные'!$S$91*'Вводные'!$H$5*'Вводные'!$AG$91*(1+'Вводные'!$B$64)^MAX(0,MIN((12*(YEAR(BS$3)-YEAR($B$76))+MONTH(BS$3)-MONTH($B$76)),(12*(YEAR($B$77)-YEAR($B$76))+MONTH($B$77)-MONTH($B$76))))*(1+'Вводные'!$B$65)^MAX(0,(12*(YEAR(BS$3)-YEAR($B$77))+MONTH(BS$3)-MONTH($B$77))))</x:f>
      </x:c>
      <x:c r="BT90" s="107" t="n">
        <x:f>IF(BT89=0,0,'Вводные'!$B$61*'Вводные'!$S$91*'Вводные'!$H$5*'Вводные'!$AG$91*(1+'Вводные'!$B$64)^MAX(0,MIN((12*(YEAR(BT$3)-YEAR($B$76))+MONTH(BT$3)-MONTH($B$76)),(12*(YEAR($B$77)-YEAR($B$76))+MONTH($B$77)-MONTH($B$76))))*(1+'Вводные'!$B$65)^MAX(0,(12*(YEAR(BT$3)-YEAR($B$77))+MONTH(BT$3)-MONTH($B$77))))</x:f>
      </x:c>
      <x:c r="BU90" s="107" t="n">
        <x:f>IF(BU89=0,0,'Вводные'!$B$61*'Вводные'!$S$91*'Вводные'!$H$5*'Вводные'!$AG$91*(1+'Вводные'!$B$64)^MAX(0,MIN((12*(YEAR(BU$3)-YEAR($B$76))+MONTH(BU$3)-MONTH($B$76)),(12*(YEAR($B$77)-YEAR($B$76))+MONTH($B$77)-MONTH($B$76))))*(1+'Вводные'!$B$65)^MAX(0,(12*(YEAR(BU$3)-YEAR($B$77))+MONTH(BU$3)-MONTH($B$77))))</x:f>
      </x:c>
      <x:c r="BV90" s="107" t="n">
        <x:f>IF(BV89=0,0,'Вводные'!$B$61*'Вводные'!$S$91*'Вводные'!$H$5*'Вводные'!$AG$91*(1+'Вводные'!$B$64)^MAX(0,MIN((12*(YEAR(BV$3)-YEAR($B$76))+MONTH(BV$3)-MONTH($B$76)),(12*(YEAR($B$77)-YEAR($B$76))+MONTH($B$77)-MONTH($B$76))))*(1+'Вводные'!$B$65)^MAX(0,(12*(YEAR(BV$3)-YEAR($B$77))+MONTH(BV$3)-MONTH($B$77))))</x:f>
      </x:c>
      <x:c r="BW90" s="107" t="n">
        <x:f>IF(BW89=0,0,'Вводные'!$B$61*'Вводные'!$S$91*'Вводные'!$H$5*'Вводные'!$AG$91*(1+'Вводные'!$B$64)^MAX(0,MIN((12*(YEAR(BW$3)-YEAR($B$76))+MONTH(BW$3)-MONTH($B$76)),(12*(YEAR($B$77)-YEAR($B$76))+MONTH($B$77)-MONTH($B$76))))*(1+'Вводные'!$B$65)^MAX(0,(12*(YEAR(BW$3)-YEAR($B$77))+MONTH(BW$3)-MONTH($B$77))))</x:f>
      </x:c>
      <x:c r="BX90" s="107" t="n">
        <x:f>IF(BX89=0,0,'Вводные'!$B$61*'Вводные'!$S$91*'Вводные'!$H$5*'Вводные'!$AG$91*(1+'Вводные'!$B$64)^MAX(0,MIN((12*(YEAR(BX$3)-YEAR($B$76))+MONTH(BX$3)-MONTH($B$76)),(12*(YEAR($B$77)-YEAR($B$76))+MONTH($B$77)-MONTH($B$76))))*(1+'Вводные'!$B$65)^MAX(0,(12*(YEAR(BX$3)-YEAR($B$77))+MONTH(BX$3)-MONTH($B$77))))</x:f>
      </x:c>
      <x:c r="BY90" s="107" t="n">
        <x:f>IF(BY89=0,0,'Вводные'!$B$61*'Вводные'!$S$91*'Вводные'!$H$5*'Вводные'!$AG$91*(1+'Вводные'!$B$64)^MAX(0,MIN((12*(YEAR(BY$3)-YEAR($B$76))+MONTH(BY$3)-MONTH($B$76)),(12*(YEAR($B$77)-YEAR($B$76))+MONTH($B$77)-MONTH($B$76))))*(1+'Вводные'!$B$65)^MAX(0,(12*(YEAR(BY$3)-YEAR($B$77))+MONTH(BY$3)-MONTH($B$77))))</x:f>
      </x:c>
      <x:c r="BZ90" s="107" t="n">
        <x:f>IF(BZ89=0,0,'Вводные'!$B$61*'Вводные'!$S$91*'Вводные'!$H$5*'Вводные'!$AG$91*(1+'Вводные'!$B$64)^MAX(0,MIN((12*(YEAR(BZ$3)-YEAR($B$76))+MONTH(BZ$3)-MONTH($B$76)),(12*(YEAR($B$77)-YEAR($B$76))+MONTH($B$77)-MONTH($B$76))))*(1+'Вводные'!$B$65)^MAX(0,(12*(YEAR(BZ$3)-YEAR($B$77))+MONTH(BZ$3)-MONTH($B$77))))</x:f>
      </x:c>
      <x:c r="CA90" s="107" t="n">
        <x:f>IF(CA89=0,0,'Вводные'!$B$61*'Вводные'!$S$91*'Вводные'!$H$5*'Вводные'!$AG$91*(1+'Вводные'!$B$64)^MAX(0,MIN((12*(YEAR(CA$3)-YEAR($B$76))+MONTH(CA$3)-MONTH($B$76)),(12*(YEAR($B$77)-YEAR($B$76))+MONTH($B$77)-MONTH($B$76))))*(1+'Вводные'!$B$65)^MAX(0,(12*(YEAR(CA$3)-YEAR($B$77))+MONTH(CA$3)-MONTH($B$77))))</x:f>
      </x:c>
      <x:c r="CB90" s="107" t="n">
        <x:f>IF(CB89=0,0,'Вводные'!$B$61*'Вводные'!$S$91*'Вводные'!$H$5*'Вводные'!$AG$91*(1+'Вводные'!$B$64)^MAX(0,MIN((12*(YEAR(CB$3)-YEAR($B$76))+MONTH(CB$3)-MONTH($B$76)),(12*(YEAR($B$77)-YEAR($B$76))+MONTH($B$77)-MONTH($B$76))))*(1+'Вводные'!$B$65)^MAX(0,(12*(YEAR(CB$3)-YEAR($B$77))+MONTH(CB$3)-MONTH($B$77))))</x:f>
      </x:c>
      <x:c r="CC90" s="107" t="n">
        <x:f>IF(CC89=0,0,'Вводные'!$B$61*'Вводные'!$S$91*'Вводные'!$H$5*'Вводные'!$AG$91*(1+'Вводные'!$B$64)^MAX(0,MIN((12*(YEAR(CC$3)-YEAR($B$76))+MONTH(CC$3)-MONTH($B$76)),(12*(YEAR($B$77)-YEAR($B$76))+MONTH($B$77)-MONTH($B$76))))*(1+'Вводные'!$B$65)^MAX(0,(12*(YEAR(CC$3)-YEAR($B$77))+MONTH(CC$3)-MONTH($B$77))))</x:f>
      </x:c>
      <x:c r="CD90" s="107" t="n">
        <x:f>IF(CD89=0,0,'Вводные'!$B$61*'Вводные'!$S$91*'Вводные'!$H$5*'Вводные'!$AG$91*(1+'Вводные'!$B$64)^MAX(0,MIN((12*(YEAR(CD$3)-YEAR($B$76))+MONTH(CD$3)-MONTH($B$76)),(12*(YEAR($B$77)-YEAR($B$76))+MONTH($B$77)-MONTH($B$76))))*(1+'Вводные'!$B$65)^MAX(0,(12*(YEAR(CD$3)-YEAR($B$77))+MONTH(CD$3)-MONTH($B$77))))</x:f>
      </x:c>
      <x:c r="CE90" s="107" t="n">
        <x:f>IF(CE89=0,0,'Вводные'!$B$61*'Вводные'!$S$91*'Вводные'!$H$5*'Вводные'!$AG$91*(1+'Вводные'!$B$64)^MAX(0,MIN((12*(YEAR(CE$3)-YEAR($B$76))+MONTH(CE$3)-MONTH($B$76)),(12*(YEAR($B$77)-YEAR($B$76))+MONTH($B$77)-MONTH($B$76))))*(1+'Вводные'!$B$65)^MAX(0,(12*(YEAR(CE$3)-YEAR($B$77))+MONTH(CE$3)-MONTH($B$77))))</x:f>
      </x:c>
      <x:c r="CF90" s="107" t="n">
        <x:f>IF(CF89=0,0,'Вводные'!$B$61*'Вводные'!$S$91*'Вводные'!$H$5*'Вводные'!$AG$91*(1+'Вводные'!$B$64)^MAX(0,MIN((12*(YEAR(CF$3)-YEAR($B$76))+MONTH(CF$3)-MONTH($B$76)),(12*(YEAR($B$77)-YEAR($B$76))+MONTH($B$77)-MONTH($B$76))))*(1+'Вводные'!$B$65)^MAX(0,(12*(YEAR(CF$3)-YEAR($B$77))+MONTH(CF$3)-MONTH($B$77))))</x:f>
      </x:c>
      <x:c r="CG90" s="107" t="n">
        <x:f>IF(CG89=0,0,'Вводные'!$B$61*'Вводные'!$S$91*'Вводные'!$H$5*'Вводные'!$AG$91*(1+'Вводные'!$B$64)^MAX(0,MIN((12*(YEAR(CG$3)-YEAR($B$76))+MONTH(CG$3)-MONTH($B$76)),(12*(YEAR($B$77)-YEAR($B$76))+MONTH($B$77)-MONTH($B$76))))*(1+'Вводные'!$B$65)^MAX(0,(12*(YEAR(CG$3)-YEAR($B$77))+MONTH(CG$3)-MONTH($B$77))))</x:f>
      </x:c>
      <x:c r="CH90" s="107" t="n">
        <x:f>IF(CH89=0,0,'Вводные'!$B$61*'Вводные'!$S$91*'Вводные'!$H$5*'Вводные'!$AG$91*(1+'Вводные'!$B$64)^MAX(0,MIN((12*(YEAR(CH$3)-YEAR($B$76))+MONTH(CH$3)-MONTH($B$76)),(12*(YEAR($B$77)-YEAR($B$76))+MONTH($B$77)-MONTH($B$76))))*(1+'Вводные'!$B$65)^MAX(0,(12*(YEAR(CH$3)-YEAR($B$77))+MONTH(CH$3)-MONTH($B$77))))</x:f>
      </x:c>
      <x:c r="CI90" s="107" t="n">
        <x:f>IF(CI89=0,0,'Вводные'!$B$61*'Вводные'!$S$91*'Вводные'!$H$5*'Вводные'!$AG$91*(1+'Вводные'!$B$64)^MAX(0,MIN((12*(YEAR(CI$3)-YEAR($B$76))+MONTH(CI$3)-MONTH($B$76)),(12*(YEAR($B$77)-YEAR($B$76))+MONTH($B$77)-MONTH($B$76))))*(1+'Вводные'!$B$65)^MAX(0,(12*(YEAR(CI$3)-YEAR($B$77))+MONTH(CI$3)-MONTH($B$77))))</x:f>
      </x:c>
      <x:c r="CJ90" s="107" t="n">
        <x:f>IF(CJ89=0,0,'Вводные'!$B$61*'Вводные'!$S$91*'Вводные'!$H$5*'Вводные'!$AG$91*(1+'Вводные'!$B$64)^MAX(0,MIN((12*(YEAR(CJ$3)-YEAR($B$76))+MONTH(CJ$3)-MONTH($B$76)),(12*(YEAR($B$77)-YEAR($B$76))+MONTH($B$77)-MONTH($B$76))))*(1+'Вводные'!$B$65)^MAX(0,(12*(YEAR(CJ$3)-YEAR($B$77))+MONTH(CJ$3)-MONTH($B$77))))</x:f>
      </x:c>
      <x:c r="CK90" s="107" t="n">
        <x:f>IF(CK89=0,0,'Вводные'!$B$61*'Вводные'!$S$91*'Вводные'!$H$5*'Вводные'!$AG$91*(1+'Вводные'!$B$64)^MAX(0,MIN((12*(YEAR(CK$3)-YEAR($B$76))+MONTH(CK$3)-MONTH($B$76)),(12*(YEAR($B$77)-YEAR($B$76))+MONTH($B$77)-MONTH($B$76))))*(1+'Вводные'!$B$65)^MAX(0,(12*(YEAR(CK$3)-YEAR($B$77))+MONTH(CK$3)-MONTH($B$77))))</x:f>
      </x:c>
      <x:c r="CL90" s="107" t="n">
        <x:f>IF(CL89=0,0,'Вводные'!$B$61*'Вводные'!$S$91*'Вводные'!$H$5*'Вводные'!$AG$91*(1+'Вводные'!$B$64)^MAX(0,MIN((12*(YEAR(CL$3)-YEAR($B$76))+MONTH(CL$3)-MONTH($B$76)),(12*(YEAR($B$77)-YEAR($B$76))+MONTH($B$77)-MONTH($B$76))))*(1+'Вводные'!$B$65)^MAX(0,(12*(YEAR(CL$3)-YEAR($B$77))+MONTH(CL$3)-MONTH($B$77))))</x:f>
      </x:c>
      <x:c r="CM90" s="107" t="n">
        <x:f>IF(CM89=0,0,'Вводные'!$B$61*'Вводные'!$S$91*'Вводные'!$H$5*'Вводные'!$AG$91*(1+'Вводные'!$B$64)^MAX(0,MIN((12*(YEAR(CM$3)-YEAR($B$76))+MONTH(CM$3)-MONTH($B$76)),(12*(YEAR($B$77)-YEAR($B$76))+MONTH($B$77)-MONTH($B$76))))*(1+'Вводные'!$B$65)^MAX(0,(12*(YEAR(CM$3)-YEAR($B$77))+MONTH(CM$3)-MONTH($B$77))))</x:f>
      </x:c>
      <x:c r="CN90" s="107" t="n">
        <x:f>IF(CN89=0,0,'Вводные'!$B$61*'Вводные'!$S$91*'Вводные'!$H$5*'Вводные'!$AG$91*(1+'Вводные'!$B$64)^MAX(0,MIN((12*(YEAR(CN$3)-YEAR($B$76))+MONTH(CN$3)-MONTH($B$76)),(12*(YEAR($B$77)-YEAR($B$76))+MONTH($B$77)-MONTH($B$76))))*(1+'Вводные'!$B$65)^MAX(0,(12*(YEAR(CN$3)-YEAR($B$77))+MONTH(CN$3)-MONTH($B$77))))</x:f>
      </x:c>
      <x:c r="CO90" s="107" t="n">
        <x:f>IF(CO89=0,0,'Вводные'!$B$61*'Вводные'!$S$91*'Вводные'!$H$5*'Вводные'!$AG$91*(1+'Вводные'!$B$64)^MAX(0,MIN((12*(YEAR(CO$3)-YEAR($B$76))+MONTH(CO$3)-MONTH($B$76)),(12*(YEAR($B$77)-YEAR($B$76))+MONTH($B$77)-MONTH($B$76))))*(1+'Вводные'!$B$65)^MAX(0,(12*(YEAR(CO$3)-YEAR($B$77))+MONTH(CO$3)-MONTH($B$77))))</x:f>
      </x:c>
      <x:c r="CP90" s="107" t="n">
        <x:f>IF(CP89=0,0,'Вводные'!$B$61*'Вводные'!$S$91*'Вводные'!$H$5*'Вводные'!$AG$91*(1+'Вводные'!$B$64)^MAX(0,MIN((12*(YEAR(CP$3)-YEAR($B$76))+MONTH(CP$3)-MONTH($B$76)),(12*(YEAR($B$77)-YEAR($B$76))+MONTH($B$77)-MONTH($B$76))))*(1+'Вводные'!$B$65)^MAX(0,(12*(YEAR(CP$3)-YEAR($B$77))+MONTH(CP$3)-MONTH($B$77))))</x:f>
      </x:c>
      <x:c r="CQ90" s="107" t="n">
        <x:f>IF(CQ89=0,0,'Вводные'!$B$61*'Вводные'!$S$91*'Вводные'!$H$5*'Вводные'!$AG$91*(1+'Вводные'!$B$64)^MAX(0,MIN((12*(YEAR(CQ$3)-YEAR($B$76))+MONTH(CQ$3)-MONTH($B$76)),(12*(YEAR($B$77)-YEAR($B$76))+MONTH($B$77)-MONTH($B$76))))*(1+'Вводные'!$B$65)^MAX(0,(12*(YEAR(CQ$3)-YEAR($B$77))+MONTH(CQ$3)-MONTH($B$77))))</x:f>
      </x:c>
      <x:c r="CR90" s="107" t="n">
        <x:f>IF(CR89=0,0,'Вводные'!$B$61*'Вводные'!$S$91*'Вводные'!$H$5*'Вводные'!$AG$91*(1+'Вводные'!$B$64)^MAX(0,MIN((12*(YEAR(CR$3)-YEAR($B$76))+MONTH(CR$3)-MONTH($B$76)),(12*(YEAR($B$77)-YEAR($B$76))+MONTH($B$77)-MONTH($B$76))))*(1+'Вводные'!$B$65)^MAX(0,(12*(YEAR(CR$3)-YEAR($B$77))+MONTH(CR$3)-MONTH($B$77))))</x:f>
      </x:c>
      <x:c r="CS90" s="107" t="n">
        <x:f>IF(CS89=0,0,'Вводные'!$B$61*'Вводные'!$S$91*'Вводные'!$H$5*'Вводные'!$AG$91*(1+'Вводные'!$B$64)^MAX(0,MIN((12*(YEAR(CS$3)-YEAR($B$76))+MONTH(CS$3)-MONTH($B$76)),(12*(YEAR($B$77)-YEAR($B$76))+MONTH($B$77)-MONTH($B$76))))*(1+'Вводные'!$B$65)^MAX(0,(12*(YEAR(CS$3)-YEAR($B$77))+MONTH(CS$3)-MONTH($B$77))))</x:f>
      </x:c>
      <x:c r="CT90" s="107" t="n">
        <x:f>IF(CT89=0,0,'Вводные'!$B$61*'Вводные'!$S$91*'Вводные'!$H$5*'Вводные'!$AG$91*(1+'Вводные'!$B$64)^MAX(0,MIN((12*(YEAR(CT$3)-YEAR($B$76))+MONTH(CT$3)-MONTH($B$76)),(12*(YEAR($B$77)-YEAR($B$76))+MONTH($B$77)-MONTH($B$76))))*(1+'Вводные'!$B$65)^MAX(0,(12*(YEAR(CT$3)-YEAR($B$77))+MONTH(CT$3)-MONTH($B$77))))</x:f>
      </x:c>
      <x:c r="CU90" s="107" t="n">
        <x:f>IF(CU89=0,0,'Вводные'!$B$61*'Вводные'!$S$91*'Вводные'!$H$5*'Вводные'!$AG$91*(1+'Вводные'!$B$64)^MAX(0,MIN((12*(YEAR(CU$3)-YEAR($B$76))+MONTH(CU$3)-MONTH($B$76)),(12*(YEAR($B$77)-YEAR($B$76))+MONTH($B$77)-MONTH($B$76))))*(1+'Вводные'!$B$65)^MAX(0,(12*(YEAR(CU$3)-YEAR($B$77))+MONTH(CU$3)-MONTH($B$77))))</x:f>
      </x:c>
      <x:c r="CV90" s="107" t="n">
        <x:f>IF(CV89=0,0,'Вводные'!$B$61*'Вводные'!$S$91*'Вводные'!$H$5*'Вводные'!$AG$91*(1+'Вводные'!$B$64)^MAX(0,MIN((12*(YEAR(CV$3)-YEAR($B$76))+MONTH(CV$3)-MONTH($B$76)),(12*(YEAR($B$77)-YEAR($B$76))+MONTH($B$77)-MONTH($B$76))))*(1+'Вводные'!$B$65)^MAX(0,(12*(YEAR(CV$3)-YEAR($B$77))+MONTH(CV$3)-MONTH($B$77))))</x:f>
      </x:c>
      <x:c r="CW90" s="107" t="n">
        <x:f>IF(CW89=0,0,'Вводные'!$B$61*'Вводные'!$S$91*'Вводные'!$H$5*'Вводные'!$AG$91*(1+'Вводные'!$B$64)^MAX(0,MIN((12*(YEAR(CW$3)-YEAR($B$76))+MONTH(CW$3)-MONTH($B$76)),(12*(YEAR($B$77)-YEAR($B$76))+MONTH($B$77)-MONTH($B$76))))*(1+'Вводные'!$B$65)^MAX(0,(12*(YEAR(CW$3)-YEAR($B$77))+MONTH(CW$3)-MONTH($B$77))))</x:f>
      </x:c>
      <x:c r="CX90" s="107" t="n">
        <x:f>IF(CX89=0,0,'Вводные'!$B$61*'Вводные'!$S$91*'Вводные'!$H$5*'Вводные'!$AG$91*(1+'Вводные'!$B$64)^MAX(0,MIN((12*(YEAR(CX$3)-YEAR($B$76))+MONTH(CX$3)-MONTH($B$76)),(12*(YEAR($B$77)-YEAR($B$76))+MONTH($B$77)-MONTH($B$76))))*(1+'Вводные'!$B$65)^MAX(0,(12*(YEAR(CX$3)-YEAR($B$77))+MONTH(CX$3)-MONTH($B$77))))</x:f>
      </x:c>
      <x:c r="CY90" s="107" t="n">
        <x:f>IF(CY89=0,0,'Вводные'!$B$61*'Вводные'!$S$91*'Вводные'!$H$5*'Вводные'!$AG$91*(1+'Вводные'!$B$64)^MAX(0,MIN((12*(YEAR(CY$3)-YEAR($B$76))+MONTH(CY$3)-MONTH($B$76)),(12*(YEAR($B$77)-YEAR($B$76))+MONTH($B$77)-MONTH($B$76))))*(1+'Вводные'!$B$65)^MAX(0,(12*(YEAR(CY$3)-YEAR($B$77))+MONTH(CY$3)-MONTH($B$77))))</x:f>
      </x:c>
      <x:c r="CZ90" s="107" t="n">
        <x:f>IF(CZ89=0,0,'Вводные'!$B$61*'Вводные'!$S$91*'Вводные'!$H$5*'Вводные'!$AG$91*(1+'Вводные'!$B$64)^MAX(0,MIN((12*(YEAR(CZ$3)-YEAR($B$76))+MONTH(CZ$3)-MONTH($B$76)),(12*(YEAR($B$77)-YEAR($B$76))+MONTH($B$77)-MONTH($B$76))))*(1+'Вводные'!$B$65)^MAX(0,(12*(YEAR(CZ$3)-YEAR($B$77))+MONTH(CZ$3)-MONTH($B$77))))</x:f>
      </x:c>
      <x:c r="DA90" s="107" t="n">
        <x:f>IF(DA89=0,0,'Вводные'!$B$61*'Вводные'!$S$91*'Вводные'!$H$5*'Вводные'!$AG$91*(1+'Вводные'!$B$64)^MAX(0,MIN((12*(YEAR(DA$3)-YEAR($B$76))+MONTH(DA$3)-MONTH($B$76)),(12*(YEAR($B$77)-YEAR($B$76))+MONTH($B$77)-MONTH($B$76))))*(1+'Вводные'!$B$65)^MAX(0,(12*(YEAR(DA$3)-YEAR($B$77))+MONTH(DA$3)-MONTH($B$77))))</x:f>
      </x:c>
      <x:c r="DB90" s="107" t="n">
        <x:f>IF(DB89=0,0,'Вводные'!$B$61*'Вводные'!$S$91*'Вводные'!$H$5*'Вводные'!$AG$91*(1+'Вводные'!$B$64)^MAX(0,MIN((12*(YEAR(DB$3)-YEAR($B$76))+MONTH(DB$3)-MONTH($B$76)),(12*(YEAR($B$77)-YEAR($B$76))+MONTH($B$77)-MONTH($B$76))))*(1+'Вводные'!$B$65)^MAX(0,(12*(YEAR(DB$3)-YEAR($B$77))+MONTH(DB$3)-MONTH($B$77))))</x:f>
      </x:c>
      <x:c r="DC90" s="107" t="n">
        <x:f>IF(DC89=0,0,'Вводные'!$B$61*'Вводные'!$S$91*'Вводные'!$H$5*'Вводные'!$AG$91*(1+'Вводные'!$B$64)^MAX(0,MIN((12*(YEAR(DC$3)-YEAR($B$76))+MONTH(DC$3)-MONTH($B$76)),(12*(YEAR($B$77)-YEAR($B$76))+MONTH($B$77)-MONTH($B$76))))*(1+'Вводные'!$B$65)^MAX(0,(12*(YEAR(DC$3)-YEAR($B$77))+MONTH(DC$3)-MONTH($B$77))))</x:f>
      </x:c>
      <x:c r="DD90" s="107" t="n">
        <x:f>IF(DD89=0,0,'Вводные'!$B$61*'Вводные'!$S$91*'Вводные'!$H$5*'Вводные'!$AG$91*(1+'Вводные'!$B$64)^MAX(0,MIN((12*(YEAR(DD$3)-YEAR($B$76))+MONTH(DD$3)-MONTH($B$76)),(12*(YEAR($B$77)-YEAR($B$76))+MONTH($B$77)-MONTH($B$76))))*(1+'Вводные'!$B$65)^MAX(0,(12*(YEAR(DD$3)-YEAR($B$77))+MONTH(DD$3)-MONTH($B$77))))</x:f>
      </x:c>
      <x:c r="DE90" s="107" t="n">
        <x:f>IF(DE89=0,0,'Вводные'!$B$61*'Вводные'!$S$91*'Вводные'!$H$5*'Вводные'!$AG$91*(1+'Вводные'!$B$64)^MAX(0,MIN((12*(YEAR(DE$3)-YEAR($B$76))+MONTH(DE$3)-MONTH($B$76)),(12*(YEAR($B$77)-YEAR($B$76))+MONTH($B$77)-MONTH($B$76))))*(1+'Вводные'!$B$65)^MAX(0,(12*(YEAR(DE$3)-YEAR($B$77))+MONTH(DE$3)-MONTH($B$77))))</x:f>
      </x:c>
      <x:c r="DF90" s="107" t="n">
        <x:f>IF(DF89=0,0,'Вводные'!$B$61*'Вводные'!$S$91*'Вводные'!$H$5*'Вводные'!$AG$91*(1+'Вводные'!$B$64)^MAX(0,MIN((12*(YEAR(DF$3)-YEAR($B$76))+MONTH(DF$3)-MONTH($B$76)),(12*(YEAR($B$77)-YEAR($B$76))+MONTH($B$77)-MONTH($B$76))))*(1+'Вводные'!$B$65)^MAX(0,(12*(YEAR(DF$3)-YEAR($B$77))+MONTH(DF$3)-MONTH($B$77))))</x:f>
      </x:c>
      <x:c r="DG90" s="107" t="n">
        <x:f>IF(DG89=0,0,'Вводные'!$B$61*'Вводные'!$S$91*'Вводные'!$H$5*'Вводные'!$AG$91*(1+'Вводные'!$B$64)^MAX(0,MIN((12*(YEAR(DG$3)-YEAR($B$76))+MONTH(DG$3)-MONTH($B$76)),(12*(YEAR($B$77)-YEAR($B$76))+MONTH($B$77)-MONTH($B$76))))*(1+'Вводные'!$B$65)^MAX(0,(12*(YEAR(DG$3)-YEAR($B$77))+MONTH(DG$3)-MONTH($B$77))))</x:f>
      </x:c>
      <x:c r="DH90" s="107" t="n">
        <x:f>IF(DH89=0,0,'Вводные'!$B$61*'Вводные'!$S$91*'Вводные'!$H$5*'Вводные'!$AG$91*(1+'Вводные'!$B$64)^MAX(0,MIN((12*(YEAR(DH$3)-YEAR($B$76))+MONTH(DH$3)-MONTH($B$76)),(12*(YEAR($B$77)-YEAR($B$76))+MONTH($B$77)-MONTH($B$76))))*(1+'Вводные'!$B$65)^MAX(0,(12*(YEAR(DH$3)-YEAR($B$77))+MONTH(DH$3)-MONTH($B$77))))</x:f>
      </x:c>
      <x:c r="DI90" s="107" t="n">
        <x:f>IF(DI89=0,0,'Вводные'!$B$61*'Вводные'!$S$91*'Вводные'!$H$5*'Вводные'!$AG$91*(1+'Вводные'!$B$64)^MAX(0,MIN((12*(YEAR(DI$3)-YEAR($B$76))+MONTH(DI$3)-MONTH($B$76)),(12*(YEAR($B$77)-YEAR($B$76))+MONTH($B$77)-MONTH($B$76))))*(1+'Вводные'!$B$65)^MAX(0,(12*(YEAR(DI$3)-YEAR($B$77))+MONTH(DI$3)-MONTH($B$77))))</x:f>
      </x:c>
      <x:c r="DJ90" s="107" t="n">
        <x:f>IF(DJ89=0,0,'Вводные'!$B$61*'Вводные'!$S$91*'Вводные'!$H$5*'Вводные'!$AG$91*(1+'Вводные'!$B$64)^MAX(0,MIN((12*(YEAR(DJ$3)-YEAR($B$76))+MONTH(DJ$3)-MONTH($B$76)),(12*(YEAR($B$77)-YEAR($B$76))+MONTH($B$77)-MONTH($B$76))))*(1+'Вводные'!$B$65)^MAX(0,(12*(YEAR(DJ$3)-YEAR($B$77))+MONTH(DJ$3)-MONTH($B$77))))</x:f>
      </x:c>
      <x:c r="DK90" s="107" t="n">
        <x:f>IF(DK89=0,0,'Вводные'!$B$61*'Вводные'!$S$91*'Вводные'!$H$5*'Вводные'!$AG$91*(1+'Вводные'!$B$64)^MAX(0,MIN((12*(YEAR(DK$3)-YEAR($B$76))+MONTH(DK$3)-MONTH($B$76)),(12*(YEAR($B$77)-YEAR($B$76))+MONTH($B$77)-MONTH($B$76))))*(1+'Вводные'!$B$65)^MAX(0,(12*(YEAR(DK$3)-YEAR($B$77))+MONTH(DK$3)-MONTH($B$77))))</x:f>
      </x:c>
      <x:c r="DL90" s="107" t="n">
        <x:f>IF(DL89=0,0,'Вводные'!$B$61*'Вводные'!$S$91*'Вводные'!$H$5*'Вводные'!$AG$91*(1+'Вводные'!$B$64)^MAX(0,MIN((12*(YEAR(DL$3)-YEAR($B$76))+MONTH(DL$3)-MONTH($B$76)),(12*(YEAR($B$77)-YEAR($B$76))+MONTH($B$77)-MONTH($B$76))))*(1+'Вводные'!$B$65)^MAX(0,(12*(YEAR(DL$3)-YEAR($B$77))+MONTH(DL$3)-MONTH($B$77))))</x:f>
      </x:c>
      <x:c r="DM90" s="107" t="n">
        <x:f>IF(DM89=0,0,'Вводные'!$B$61*'Вводные'!$S$91*'Вводные'!$H$5*'Вводные'!$AG$91*(1+'Вводные'!$B$64)^MAX(0,MIN((12*(YEAR(DM$3)-YEAR($B$76))+MONTH(DM$3)-MONTH($B$76)),(12*(YEAR($B$77)-YEAR($B$76))+MONTH($B$77)-MONTH($B$76))))*(1+'Вводные'!$B$65)^MAX(0,(12*(YEAR(DM$3)-YEAR($B$77))+MONTH(DM$3)-MONTH($B$77))))</x:f>
      </x:c>
      <x:c r="DN90" s="107" t="n">
        <x:f>IF(DN89=0,0,'Вводные'!$B$61*'Вводные'!$S$91*'Вводные'!$H$5*'Вводные'!$AG$91*(1+'Вводные'!$B$64)^MAX(0,MIN((12*(YEAR(DN$3)-YEAR($B$76))+MONTH(DN$3)-MONTH($B$76)),(12*(YEAR($B$77)-YEAR($B$76))+MONTH($B$77)-MONTH($B$76))))*(1+'Вводные'!$B$65)^MAX(0,(12*(YEAR(DN$3)-YEAR($B$77))+MONTH(DN$3)-MONTH($B$77))))</x:f>
      </x:c>
      <x:c r="DO90" s="107" t="n">
        <x:f>IF(DO89=0,0,'Вводные'!$B$61*'Вводные'!$S$91*'Вводные'!$H$5*'Вводные'!$AG$91*(1+'Вводные'!$B$64)^MAX(0,MIN((12*(YEAR(DO$3)-YEAR($B$76))+MONTH(DO$3)-MONTH($B$76)),(12*(YEAR($B$77)-YEAR($B$76))+MONTH($B$77)-MONTH($B$76))))*(1+'Вводные'!$B$65)^MAX(0,(12*(YEAR(DO$3)-YEAR($B$77))+MONTH(DO$3)-MONTH($B$77))))</x:f>
      </x:c>
      <x:c r="DP90" s="107" t="n">
        <x:f>IF(DP89=0,0,'Вводные'!$B$61*'Вводные'!$S$91*'Вводные'!$H$5*'Вводные'!$AG$91*(1+'Вводные'!$B$64)^MAX(0,MIN((12*(YEAR(DP$3)-YEAR($B$76))+MONTH(DP$3)-MONTH($B$76)),(12*(YEAR($B$77)-YEAR($B$76))+MONTH($B$77)-MONTH($B$76))))*(1+'Вводные'!$B$65)^MAX(0,(12*(YEAR(DP$3)-YEAR($B$77))+MONTH(DP$3)-MONTH($B$77))))</x:f>
      </x:c>
      <x:c r="DQ90" s="107" t="n">
        <x:f>IF(DQ89=0,0,'Вводные'!$B$61*'Вводные'!$S$91*'Вводные'!$H$5*'Вводные'!$AG$91*(1+'Вводные'!$B$64)^MAX(0,MIN((12*(YEAR(DQ$3)-YEAR($B$76))+MONTH(DQ$3)-MONTH($B$76)),(12*(YEAR($B$77)-YEAR($B$76))+MONTH($B$77)-MONTH($B$76))))*(1+'Вводные'!$B$65)^MAX(0,(12*(YEAR(DQ$3)-YEAR($B$77))+MONTH(DQ$3)-MONTH($B$77))))</x:f>
      </x:c>
      <x:c r="DR90" s="107" t="n">
        <x:f>IF(DR89=0,0,'Вводные'!$B$61*'Вводные'!$S$91*'Вводные'!$H$5*'Вводные'!$AG$91*(1+'Вводные'!$B$64)^MAX(0,MIN((12*(YEAR(DR$3)-YEAR($B$76))+MONTH(DR$3)-MONTH($B$76)),(12*(YEAR($B$77)-YEAR($B$76))+MONTH($B$77)-MONTH($B$76))))*(1+'Вводные'!$B$65)^MAX(0,(12*(YEAR(DR$3)-YEAR($B$77))+MONTH(DR$3)-MONTH($B$77))))</x:f>
      </x:c>
      <x:c r="DS90" s="107" t="n">
        <x:f>IF(DS89=0,0,'Вводные'!$B$61*'Вводные'!$S$91*'Вводные'!$H$5*'Вводные'!$AG$91*(1+'Вводные'!$B$64)^MAX(0,MIN((12*(YEAR(DS$3)-YEAR($B$76))+MONTH(DS$3)-MONTH($B$76)),(12*(YEAR($B$77)-YEAR($B$76))+MONTH($B$77)-MONTH($B$76))))*(1+'Вводные'!$B$65)^MAX(0,(12*(YEAR(DS$3)-YEAR($B$77))+MONTH(DS$3)-MONTH($B$77))))</x:f>
      </x:c>
      <x:c r="DT90" s="107" t="n">
        <x:f>IF(DT89=0,0,'Вводные'!$B$61*'Вводные'!$S$91*'Вводные'!$H$5*'Вводные'!$AG$91*(1+'Вводные'!$B$64)^MAX(0,MIN((12*(YEAR(DT$3)-YEAR($B$76))+MONTH(DT$3)-MONTH($B$76)),(12*(YEAR($B$77)-YEAR($B$76))+MONTH($B$77)-MONTH($B$76))))*(1+'Вводные'!$B$65)^MAX(0,(12*(YEAR(DT$3)-YEAR($B$77))+MONTH(DT$3)-MONTH($B$77))))</x:f>
      </x:c>
      <x:c r="DU90" s="107" t="n">
        <x:f>IF(DU89=0,0,'Вводные'!$B$61*'Вводные'!$S$91*'Вводные'!$H$5*'Вводные'!$AG$91*(1+'Вводные'!$B$64)^MAX(0,MIN((12*(YEAR(DU$3)-YEAR($B$76))+MONTH(DU$3)-MONTH($B$76)),(12*(YEAR($B$77)-YEAR($B$76))+MONTH($B$77)-MONTH($B$76))))*(1+'Вводные'!$B$65)^MAX(0,(12*(YEAR(DU$3)-YEAR($B$77))+MONTH(DU$3)-MONTH($B$77))))</x:f>
      </x:c>
      <x:c r="DV90" s="107" t="n">
        <x:f>IF(DV89=0,0,'Вводные'!$B$61*'Вводные'!$S$91*'Вводные'!$H$5*'Вводные'!$AG$91*(1+'Вводные'!$B$64)^MAX(0,MIN((12*(YEAR(DV$3)-YEAR($B$76))+MONTH(DV$3)-MONTH($B$76)),(12*(YEAR($B$77)-YEAR($B$76))+MONTH($B$77)-MONTH($B$76))))*(1+'Вводные'!$B$65)^MAX(0,(12*(YEAR(DV$3)-YEAR($B$77))+MONTH(DV$3)-MONTH($B$77))))</x:f>
      </x:c>
      <x:c r="DW90" s="107" t="n">
        <x:f>IF(DW89=0,0,'Вводные'!$B$61*'Вводные'!$S$91*'Вводные'!$H$5*'Вводные'!$AG$91*(1+'Вводные'!$B$64)^MAX(0,MIN((12*(YEAR(DW$3)-YEAR($B$76))+MONTH(DW$3)-MONTH($B$76)),(12*(YEAR($B$77)-YEAR($B$76))+MONTH($B$77)-MONTH($B$76))))*(1+'Вводные'!$B$65)^MAX(0,(12*(YEAR(DW$3)-YEAR($B$77))+MONTH(DW$3)-MONTH($B$77))))</x:f>
      </x:c>
      <x:c r="DX90" s="107" t="n">
        <x:f>IF(DX89=0,0,'Вводные'!$B$61*'Вводные'!$S$91*'Вводные'!$H$5*'Вводные'!$AG$91*(1+'Вводные'!$B$64)^MAX(0,MIN((12*(YEAR(DX$3)-YEAR($B$76))+MONTH(DX$3)-MONTH($B$76)),(12*(YEAR($B$77)-YEAR($B$76))+MONTH($B$77)-MONTH($B$76))))*(1+'Вводные'!$B$65)^MAX(0,(12*(YEAR(DX$3)-YEAR($B$77))+MONTH(DX$3)-MONTH($B$77))))</x:f>
      </x:c>
      <x:c r="DY90" s="107" t="n">
        <x:f>IF(DY89=0,0,'Вводные'!$B$61*'Вводные'!$S$91*'Вводные'!$H$5*'Вводные'!$AG$91*(1+'Вводные'!$B$64)^MAX(0,MIN((12*(YEAR(DY$3)-YEAR($B$76))+MONTH(DY$3)-MONTH($B$76)),(12*(YEAR($B$77)-YEAR($B$76))+MONTH($B$77)-MONTH($B$76))))*(1+'Вводные'!$B$65)^MAX(0,(12*(YEAR(DY$3)-YEAR($B$77))+MONTH(DY$3)-MONTH($B$77))))</x:f>
      </x:c>
      <x:c r="DZ90" s="107" t="n">
        <x:f>IF(DZ89=0,0,'Вводные'!$B$61*'Вводные'!$S$91*'Вводные'!$H$5*'Вводные'!$AG$91*(1+'Вводные'!$B$64)^MAX(0,MIN((12*(YEAR(DZ$3)-YEAR($B$76))+MONTH(DZ$3)-MONTH($B$76)),(12*(YEAR($B$77)-YEAR($B$76))+MONTH($B$77)-MONTH($B$76))))*(1+'Вводные'!$B$65)^MAX(0,(12*(YEAR(DZ$3)-YEAR($B$77))+MONTH(DZ$3)-MONTH($B$77))))</x:f>
      </x:c>
      <x:c r="EA90" s="107" t="n">
        <x:f>IF(EA89=0,0,'Вводные'!$B$61*'Вводные'!$S$91*'Вводные'!$H$5*'Вводные'!$AG$91*(1+'Вводные'!$B$64)^MAX(0,MIN((12*(YEAR(EA$3)-YEAR($B$76))+MONTH(EA$3)-MONTH($B$76)),(12*(YEAR($B$77)-YEAR($B$76))+MONTH($B$77)-MONTH($B$76))))*(1+'Вводные'!$B$65)^MAX(0,(12*(YEAR(EA$3)-YEAR($B$77))+MONTH(EA$3)-MONTH($B$77))))</x:f>
      </x:c>
      <x:c r="EB90" s="107" t="n">
        <x:f>IF(EB89=0,0,'Вводные'!$B$61*'Вводные'!$S$91*'Вводные'!$H$5*'Вводные'!$AG$91*(1+'Вводные'!$B$64)^MAX(0,MIN((12*(YEAR(EB$3)-YEAR($B$76))+MONTH(EB$3)-MONTH($B$76)),(12*(YEAR($B$77)-YEAR($B$76))+MONTH($B$77)-MONTH($B$76))))*(1+'Вводные'!$B$65)^MAX(0,(12*(YEAR(EB$3)-YEAR($B$77))+MONTH(EB$3)-MONTH($B$77))))</x:f>
      </x:c>
      <x:c r="EC90" s="107" t="n">
        <x:f>IF(EC89=0,0,'Вводные'!$B$61*'Вводные'!$S$91*'Вводные'!$H$5*'Вводные'!$AG$91*(1+'Вводные'!$B$64)^MAX(0,MIN((12*(YEAR(EC$3)-YEAR($B$76))+MONTH(EC$3)-MONTH($B$76)),(12*(YEAR($B$77)-YEAR($B$76))+MONTH($B$77)-MONTH($B$76))))*(1+'Вводные'!$B$65)^MAX(0,(12*(YEAR(EC$3)-YEAR($B$77))+MONTH(EC$3)-MONTH($B$77))))</x:f>
      </x:c>
      <x:c r="ED90" s="107" t="n">
        <x:f>IF(ED89=0,0,'Вводные'!$B$61*'Вводные'!$S$91*'Вводные'!$H$5*'Вводные'!$AG$91*(1+'Вводные'!$B$64)^MAX(0,MIN((12*(YEAR(ED$3)-YEAR($B$76))+MONTH(ED$3)-MONTH($B$76)),(12*(YEAR($B$77)-YEAR($B$76))+MONTH($B$77)-MONTH($B$76))))*(1+'Вводные'!$B$65)^MAX(0,(12*(YEAR(ED$3)-YEAR($B$77))+MONTH(ED$3)-MONTH($B$77))))</x:f>
      </x:c>
      <x:c r="EE90" s="107" t="n">
        <x:f>IF(EE89=0,0,'Вводные'!$B$61*'Вводные'!$S$91*'Вводные'!$H$5*'Вводные'!$AG$91*(1+'Вводные'!$B$64)^MAX(0,MIN((12*(YEAR(EE$3)-YEAR($B$76))+MONTH(EE$3)-MONTH($B$76)),(12*(YEAR($B$77)-YEAR($B$76))+MONTH($B$77)-MONTH($B$76))))*(1+'Вводные'!$B$65)^MAX(0,(12*(YEAR(EE$3)-YEAR($B$77))+MONTH(EE$3)-MONTH($B$77))))</x:f>
      </x:c>
      <x:c r="EF90" s="107" t="n">
        <x:f>IF(EF89=0,0,'Вводные'!$B$61*'Вводные'!$S$91*'Вводные'!$H$5*'Вводные'!$AG$91*(1+'Вводные'!$B$64)^MAX(0,MIN((12*(YEAR(EF$3)-YEAR($B$76))+MONTH(EF$3)-MONTH($B$76)),(12*(YEAR($B$77)-YEAR($B$76))+MONTH($B$77)-MONTH($B$76))))*(1+'Вводные'!$B$65)^MAX(0,(12*(YEAR(EF$3)-YEAR($B$77))+MONTH(EF$3)-MONTH($B$77))))</x:f>
      </x:c>
      <x:c r="EG90" s="107" t="n">
        <x:f>IF(EG89=0,0,'Вводные'!$B$61*'Вводные'!$S$91*'Вводные'!$H$5*'Вводные'!$AG$91*(1+'Вводные'!$B$64)^MAX(0,MIN((12*(YEAR(EG$3)-YEAR($B$76))+MONTH(EG$3)-MONTH($B$76)),(12*(YEAR($B$77)-YEAR($B$76))+MONTH($B$77)-MONTH($B$76))))*(1+'Вводные'!$B$65)^MAX(0,(12*(YEAR(EG$3)-YEAR($B$77))+MONTH(EG$3)-MONTH($B$77))))</x:f>
      </x:c>
      <x:c r="EH90" s="107" t="n">
        <x:f>IF(EH89=0,0,'Вводные'!$B$61*'Вводные'!$S$91*'Вводные'!$H$5*'Вводные'!$AG$91*(1+'Вводные'!$B$64)^MAX(0,MIN((12*(YEAR(EH$3)-YEAR($B$76))+MONTH(EH$3)-MONTH($B$76)),(12*(YEAR($B$77)-YEAR($B$76))+MONTH($B$77)-MONTH($B$76))))*(1+'Вводные'!$B$65)^MAX(0,(12*(YEAR(EH$3)-YEAR($B$77))+MONTH(EH$3)-MONTH($B$77))))</x:f>
      </x:c>
      <x:c r="EI90" s="107" t="n">
        <x:f>IF(EI89=0,0,'Вводные'!$B$61*'Вводные'!$S$91*'Вводные'!$H$5*'Вводные'!$AG$91*(1+'Вводные'!$B$64)^MAX(0,MIN((12*(YEAR(EI$3)-YEAR($B$76))+MONTH(EI$3)-MONTH($B$76)),(12*(YEAR($B$77)-YEAR($B$76))+MONTH($B$77)-MONTH($B$76))))*(1+'Вводные'!$B$65)^MAX(0,(12*(YEAR(EI$3)-YEAR($B$77))+MONTH(EI$3)-MONTH($B$77))))</x:f>
      </x:c>
      <x:c r="EJ90" s="107" t="n">
        <x:f>IF(EJ89=0,0,'Вводные'!$B$61*'Вводные'!$S$91*'Вводные'!$H$5*'Вводные'!$AG$91*(1+'Вводные'!$B$64)^MAX(0,MIN((12*(YEAR(EJ$3)-YEAR($B$76))+MONTH(EJ$3)-MONTH($B$76)),(12*(YEAR($B$77)-YEAR($B$76))+MONTH($B$77)-MONTH($B$76))))*(1+'Вводные'!$B$65)^MAX(0,(12*(YEAR(EJ$3)-YEAR($B$77))+MONTH(EJ$3)-MONTH($B$77))))</x:f>
      </x:c>
      <x:c r="EK90" s="107" t="n">
        <x:f>IF(EK89=0,0,'Вводные'!$B$61*'Вводные'!$S$91*'Вводные'!$H$5*'Вводные'!$AG$91*(1+'Вводные'!$B$64)^MAX(0,MIN((12*(YEAR(EK$3)-YEAR($B$76))+MONTH(EK$3)-MONTH($B$76)),(12*(YEAR($B$77)-YEAR($B$76))+MONTH($B$77)-MONTH($B$76))))*(1+'Вводные'!$B$65)^MAX(0,(12*(YEAR(EK$3)-YEAR($B$77))+MONTH(EK$3)-MONTH($B$77))))</x:f>
      </x:c>
      <x:c r="EL90" s="107" t="n">
        <x:f>IF(EL89=0,0,'Вводные'!$B$61*'Вводные'!$S$91*'Вводные'!$H$5*'Вводные'!$AG$91*(1+'Вводные'!$B$64)^MAX(0,MIN((12*(YEAR(EL$3)-YEAR($B$76))+MONTH(EL$3)-MONTH($B$76)),(12*(YEAR($B$77)-YEAR($B$76))+MONTH($B$77)-MONTH($B$76))))*(1+'Вводные'!$B$65)^MAX(0,(12*(YEAR(EL$3)-YEAR($B$77))+MONTH(EL$3)-MONTH($B$77))))</x:f>
      </x:c>
      <x:c r="EM90" s="107" t="n">
        <x:f>IF(EM89=0,0,'Вводные'!$B$61*'Вводные'!$S$91*'Вводные'!$H$5*'Вводные'!$AG$91*(1+'Вводные'!$B$64)^MAX(0,MIN((12*(YEAR(EM$3)-YEAR($B$76))+MONTH(EM$3)-MONTH($B$76)),(12*(YEAR($B$77)-YEAR($B$76))+MONTH($B$77)-MONTH($B$76))))*(1+'Вводные'!$B$65)^MAX(0,(12*(YEAR(EM$3)-YEAR($B$77))+MONTH(EM$3)-MONTH($B$77))))</x:f>
      </x:c>
      <x:c r="EN90" s="107" t="n">
        <x:f>IF(EN89=0,0,'Вводные'!$B$61*'Вводные'!$S$91*'Вводные'!$H$5*'Вводные'!$AG$91*(1+'Вводные'!$B$64)^MAX(0,MIN((12*(YEAR(EN$3)-YEAR($B$76))+MONTH(EN$3)-MONTH($B$76)),(12*(YEAR($B$77)-YEAR($B$76))+MONTH($B$77)-MONTH($B$76))))*(1+'Вводные'!$B$65)^MAX(0,(12*(YEAR(EN$3)-YEAR($B$77))+MONTH(EN$3)-MONTH($B$77))))</x:f>
      </x:c>
      <x:c r="EO90" s="107" t="n">
        <x:f>IF(EO89=0,0,'Вводные'!$B$61*'Вводные'!$S$91*'Вводные'!$H$5*'Вводные'!$AG$91*(1+'Вводные'!$B$64)^MAX(0,MIN((12*(YEAR(EO$3)-YEAR($B$76))+MONTH(EO$3)-MONTH($B$76)),(12*(YEAR($B$77)-YEAR($B$76))+MONTH($B$77)-MONTH($B$76))))*(1+'Вводные'!$B$65)^MAX(0,(12*(YEAR(EO$3)-YEAR($B$77))+MONTH(EO$3)-MONTH($B$77))))</x:f>
      </x:c>
      <x:c r="EP90" s="107" t="n">
        <x:f>IF(EP89=0,0,'Вводные'!$B$61*'Вводные'!$S$91*'Вводные'!$H$5*'Вводные'!$AG$91*(1+'Вводные'!$B$64)^MAX(0,MIN((12*(YEAR(EP$3)-YEAR($B$76))+MONTH(EP$3)-MONTH($B$76)),(12*(YEAR($B$77)-YEAR($B$76))+MONTH($B$77)-MONTH($B$76))))*(1+'Вводные'!$B$65)^MAX(0,(12*(YEAR(EP$3)-YEAR($B$77))+MONTH(EP$3)-MONTH($B$77))))</x:f>
      </x:c>
      <x:c r="EQ90" s="107" t="n">
        <x:f>IF(EQ89=0,0,'Вводные'!$B$61*'Вводные'!$S$91*'Вводные'!$H$5*'Вводные'!$AG$91*(1+'Вводные'!$B$64)^MAX(0,MIN((12*(YEAR(EQ$3)-YEAR($B$76))+MONTH(EQ$3)-MONTH($B$76)),(12*(YEAR($B$77)-YEAR($B$76))+MONTH($B$77)-MONTH($B$76))))*(1+'Вводные'!$B$65)^MAX(0,(12*(YEAR(EQ$3)-YEAR($B$77))+MONTH(EQ$3)-MONTH($B$77))))</x:f>
      </x:c>
      <x:c r="ER90" s="107" t="n">
        <x:f>IF(ER89=0,0,'Вводные'!$B$61*'Вводные'!$S$91*'Вводные'!$H$5*'Вводные'!$AG$91*(1+'Вводные'!$B$64)^MAX(0,MIN((12*(YEAR(ER$3)-YEAR($B$76))+MONTH(ER$3)-MONTH($B$76)),(12*(YEAR($B$77)-YEAR($B$76))+MONTH($B$77)-MONTH($B$76))))*(1+'Вводные'!$B$65)^MAX(0,(12*(YEAR(ER$3)-YEAR($B$77))+MONTH(ER$3)-MONTH($B$77))))</x:f>
      </x:c>
      <x:c r="ES90" s="107" t="n">
        <x:f>IF(ES89=0,0,'Вводные'!$B$61*'Вводные'!$S$91*'Вводные'!$H$5*'Вводные'!$AG$91*(1+'Вводные'!$B$64)^MAX(0,MIN((12*(YEAR(ES$3)-YEAR($B$76))+MONTH(ES$3)-MONTH($B$76)),(12*(YEAR($B$77)-YEAR($B$76))+MONTH($B$77)-MONTH($B$76))))*(1+'Вводные'!$B$65)^MAX(0,(12*(YEAR(ES$3)-YEAR($B$77))+MONTH(ES$3)-MONTH($B$77))))</x:f>
      </x:c>
      <x:c r="ET90" s="107" t="n">
        <x:f>IF(ET89=0,0,'Вводные'!$B$61*'Вводные'!$S$91*'Вводные'!$H$5*'Вводные'!$AG$91*(1+'Вводные'!$B$64)^MAX(0,MIN((12*(YEAR(ET$3)-YEAR($B$76))+MONTH(ET$3)-MONTH($B$76)),(12*(YEAR($B$77)-YEAR($B$76))+MONTH($B$77)-MONTH($B$76))))*(1+'Вводные'!$B$65)^MAX(0,(12*(YEAR(ET$3)-YEAR($B$77))+MONTH(ET$3)-MONTH($B$77))))</x:f>
      </x:c>
      <x:c r="EU90" s="107" t="n">
        <x:f>IF(EU89=0,0,'Вводные'!$B$61*'Вводные'!$S$91*'Вводные'!$H$5*'Вводные'!$AG$91*(1+'Вводные'!$B$64)^MAX(0,MIN((12*(YEAR(EU$3)-YEAR($B$76))+MONTH(EU$3)-MONTH($B$76)),(12*(YEAR($B$77)-YEAR($B$76))+MONTH($B$77)-MONTH($B$76))))*(1+'Вводные'!$B$65)^MAX(0,(12*(YEAR(EU$3)-YEAR($B$77))+MONTH(EU$3)-MONTH($B$77))))</x:f>
      </x:c>
      <x:c r="EV90" s="107" t="n">
        <x:f>IF(EV89=0,0,'Вводные'!$B$61*'Вводные'!$S$91*'Вводные'!$H$5*'Вводные'!$AG$91*(1+'Вводные'!$B$64)^MAX(0,MIN((12*(YEAR(EV$3)-YEAR($B$76))+MONTH(EV$3)-MONTH($B$76)),(12*(YEAR($B$77)-YEAR($B$76))+MONTH($B$77)-MONTH($B$76))))*(1+'Вводные'!$B$65)^MAX(0,(12*(YEAR(EV$3)-YEAR($B$77))+MONTH(EV$3)-MONTH($B$77))))</x:f>
      </x:c>
      <x:c r="EW90" s="107" t="n">
        <x:f>IF(EW89=0,0,'Вводные'!$B$61*'Вводные'!$S$91*'Вводные'!$H$5*'Вводные'!$AG$91*(1+'Вводные'!$B$64)^MAX(0,MIN((12*(YEAR(EW$3)-YEAR($B$76))+MONTH(EW$3)-MONTH($B$76)),(12*(YEAR($B$77)-YEAR($B$76))+MONTH($B$77)-MONTH($B$76))))*(1+'Вводные'!$B$65)^MAX(0,(12*(YEAR(EW$3)-YEAR($B$77))+MONTH(EW$3)-MONTH($B$77))))</x:f>
      </x:c>
      <x:c r="EX90" s="107" t="n">
        <x:f>IF(EX89=0,0,'Вводные'!$B$61*'Вводные'!$S$91*'Вводные'!$H$5*'Вводные'!$AG$91*(1+'Вводные'!$B$64)^MAX(0,MIN((12*(YEAR(EX$3)-YEAR($B$76))+MONTH(EX$3)-MONTH($B$76)),(12*(YEAR($B$77)-YEAR($B$76))+MONTH($B$77)-MONTH($B$76))))*(1+'Вводные'!$B$65)^MAX(0,(12*(YEAR(EX$3)-YEAR($B$77))+MONTH(EX$3)-MONTH($B$77))))</x:f>
      </x:c>
      <x:c r="EY90" s="107" t="n">
        <x:f>IF(EY89=0,0,'Вводные'!$B$61*'Вводные'!$S$91*'Вводные'!$H$5*'Вводные'!$AG$91*(1+'Вводные'!$B$64)^MAX(0,MIN((12*(YEAR(EY$3)-YEAR($B$76))+MONTH(EY$3)-MONTH($B$76)),(12*(YEAR($B$77)-YEAR($B$76))+MONTH($B$77)-MONTH($B$76))))*(1+'Вводные'!$B$65)^MAX(0,(12*(YEAR(EY$3)-YEAR($B$77))+MONTH(EY$3)-MONTH($B$77))))</x:f>
      </x:c>
      <x:c r="EZ90" s="107" t="n">
        <x:f>IF(EZ89=0,0,'Вводные'!$B$61*'Вводные'!$S$91*'Вводные'!$H$5*'Вводные'!$AG$91*(1+'Вводные'!$B$64)^MAX(0,MIN((12*(YEAR(EZ$3)-YEAR($B$76))+MONTH(EZ$3)-MONTH($B$76)),(12*(YEAR($B$77)-YEAR($B$76))+MONTH($B$77)-MONTH($B$76))))*(1+'Вводные'!$B$65)^MAX(0,(12*(YEAR(EZ$3)-YEAR($B$77))+MONTH(EZ$3)-MONTH($B$77))))</x:f>
      </x:c>
      <x:c r="FA90" s="107" t="n">
        <x:f>IF(FA89=0,0,'Вводные'!$B$61*'Вводные'!$S$91*'Вводные'!$H$5*'Вводные'!$AG$91*(1+'Вводные'!$B$64)^MAX(0,MIN((12*(YEAR(FA$3)-YEAR($B$76))+MONTH(FA$3)-MONTH($B$76)),(12*(YEAR($B$77)-YEAR($B$76))+MONTH($B$77)-MONTH($B$76))))*(1+'Вводные'!$B$65)^MAX(0,(12*(YEAR(FA$3)-YEAR($B$77))+MONTH(FA$3)-MONTH($B$77))))</x:f>
      </x:c>
      <x:c r="FB90" s="107" t="n">
        <x:f>IF(FB89=0,0,'Вводные'!$B$61*'Вводные'!$S$91*'Вводные'!$H$5*'Вводные'!$AG$91*(1+'Вводные'!$B$64)^MAX(0,MIN((12*(YEAR(FB$3)-YEAR($B$76))+MONTH(FB$3)-MONTH($B$76)),(12*(YEAR($B$77)-YEAR($B$76))+MONTH($B$77)-MONTH($B$76))))*(1+'Вводные'!$B$65)^MAX(0,(12*(YEAR(FB$3)-YEAR($B$77))+MONTH(FB$3)-MONTH($B$77))))</x:f>
      </x:c>
      <x:c r="FC90" s="107" t="n">
        <x:f>IF(FC89=0,0,'Вводные'!$B$61*'Вводные'!$S$91*'Вводные'!$H$5*'Вводные'!$AG$91*(1+'Вводные'!$B$64)^MAX(0,MIN((12*(YEAR(FC$3)-YEAR($B$76))+MONTH(FC$3)-MONTH($B$76)),(12*(YEAR($B$77)-YEAR($B$76))+MONTH($B$77)-MONTH($B$76))))*(1+'Вводные'!$B$65)^MAX(0,(12*(YEAR(FC$3)-YEAR($B$77))+MONTH(FC$3)-MONTH($B$77))))</x:f>
      </x:c>
      <x:c r="FD90" s="107" t="n">
        <x:f>IF(FD89=0,0,'Вводные'!$B$61*'Вводные'!$S$91*'Вводные'!$H$5*'Вводные'!$AG$91*(1+'Вводные'!$B$64)^MAX(0,MIN((12*(YEAR(FD$3)-YEAR($B$76))+MONTH(FD$3)-MONTH($B$76)),(12*(YEAR($B$77)-YEAR($B$76))+MONTH($B$77)-MONTH($B$76))))*(1+'Вводные'!$B$65)^MAX(0,(12*(YEAR(FD$3)-YEAR($B$77))+MONTH(FD$3)-MONTH($B$77))))</x:f>
      </x:c>
      <x:c r="FE90" s="107" t="n">
        <x:f>IF(FE89=0,0,'Вводные'!$B$61*'Вводные'!$S$91*'Вводные'!$H$5*'Вводные'!$AG$91*(1+'Вводные'!$B$64)^MAX(0,MIN((12*(YEAR(FE$3)-YEAR($B$76))+MONTH(FE$3)-MONTH($B$76)),(12*(YEAR($B$77)-YEAR($B$76))+MONTH($B$77)-MONTH($B$76))))*(1+'Вводные'!$B$65)^MAX(0,(12*(YEAR(FE$3)-YEAR($B$77))+MONTH(FE$3)-MONTH($B$77))))</x:f>
      </x:c>
      <x:c r="FF90" s="107" t="n">
        <x:f>IF(FF89=0,0,'Вводные'!$B$61*'Вводные'!$S$91*'Вводные'!$H$5*'Вводные'!$AG$91*(1+'Вводные'!$B$64)^MAX(0,MIN((12*(YEAR(FF$3)-YEAR($B$76))+MONTH(FF$3)-MONTH($B$76)),(12*(YEAR($B$77)-YEAR($B$76))+MONTH($B$77)-MONTH($B$76))))*(1+'Вводные'!$B$65)^MAX(0,(12*(YEAR(FF$3)-YEAR($B$77))+MONTH(FF$3)-MONTH($B$77))))</x:f>
      </x:c>
      <x:c r="FG90" s="107" t="n">
        <x:f>IF(FG89=0,0,'Вводные'!$B$61*'Вводные'!$S$91*'Вводные'!$H$5*'Вводные'!$AG$91*(1+'Вводные'!$B$64)^MAX(0,MIN((12*(YEAR(FG$3)-YEAR($B$76))+MONTH(FG$3)-MONTH($B$76)),(12*(YEAR($B$77)-YEAR($B$76))+MONTH($B$77)-MONTH($B$76))))*(1+'Вводные'!$B$65)^MAX(0,(12*(YEAR(FG$3)-YEAR($B$77))+MONTH(FG$3)-MONTH($B$77))))</x:f>
      </x:c>
      <x:c r="FH90" s="107" t="n">
        <x:f>IF(FH89=0,0,'Вводные'!$B$61*'Вводные'!$S$91*'Вводные'!$H$5*'Вводные'!$AG$91*(1+'Вводные'!$B$64)^MAX(0,MIN((12*(YEAR(FH$3)-YEAR($B$76))+MONTH(FH$3)-MONTH($B$76)),(12*(YEAR($B$77)-YEAR($B$76))+MONTH($B$77)-MONTH($B$76))))*(1+'Вводные'!$B$65)^MAX(0,(12*(YEAR(FH$3)-YEAR($B$77))+MONTH(FH$3)-MONTH($B$77))))</x:f>
      </x:c>
      <x:c r="FI90" s="107" t="n">
        <x:f>IF(FI89=0,0,'Вводные'!$B$61*'Вводные'!$S$91*'Вводные'!$H$5*'Вводные'!$AG$91*(1+'Вводные'!$B$64)^MAX(0,MIN((12*(YEAR(FI$3)-YEAR($B$76))+MONTH(FI$3)-MONTH($B$76)),(12*(YEAR($B$77)-YEAR($B$76))+MONTH($B$77)-MONTH($B$76))))*(1+'Вводные'!$B$65)^MAX(0,(12*(YEAR(FI$3)-YEAR($B$77))+MONTH(FI$3)-MONTH($B$77))))</x:f>
      </x:c>
      <x:c r="FJ90" s="107" t="n">
        <x:f>IF(FJ89=0,0,'Вводные'!$B$61*'Вводные'!$S$91*'Вводные'!$H$5*'Вводные'!$AG$91*(1+'Вводные'!$B$64)^MAX(0,MIN((12*(YEAR(FJ$3)-YEAR($B$76))+MONTH(FJ$3)-MONTH($B$76)),(12*(YEAR($B$77)-YEAR($B$76))+MONTH($B$77)-MONTH($B$76))))*(1+'Вводные'!$B$65)^MAX(0,(12*(YEAR(FJ$3)-YEAR($B$77))+MONTH(FJ$3)-MONTH($B$77))))</x:f>
      </x:c>
      <x:c r="FK90" s="107" t="n">
        <x:f>IF(FK89=0,0,'Вводные'!$B$61*'Вводные'!$S$91*'Вводные'!$H$5*'Вводные'!$AG$91*(1+'Вводные'!$B$64)^MAX(0,MIN((12*(YEAR(FK$3)-YEAR($B$76))+MONTH(FK$3)-MONTH($B$76)),(12*(YEAR($B$77)-YEAR($B$76))+MONTH($B$77)-MONTH($B$76))))*(1+'Вводные'!$B$65)^MAX(0,(12*(YEAR(FK$3)-YEAR($B$77))+MONTH(FK$3)-MONTH($B$77))))</x:f>
      </x:c>
      <x:c r="FL90" s="107" t="n">
        <x:f>IF(FL89=0,0,'Вводные'!$B$61*'Вводные'!$S$91*'Вводные'!$H$5*'Вводные'!$AG$91*(1+'Вводные'!$B$64)^MAX(0,MIN((12*(YEAR(FL$3)-YEAR($B$76))+MONTH(FL$3)-MONTH($B$76)),(12*(YEAR($B$77)-YEAR($B$76))+MONTH($B$77)-MONTH($B$76))))*(1+'Вводные'!$B$65)^MAX(0,(12*(YEAR(FL$3)-YEAR($B$77))+MONTH(FL$3)-MONTH($B$77))))</x:f>
      </x:c>
      <x:c r="FM90" s="107" t="n">
        <x:f>IF(FM89=0,0,'Вводные'!$B$61*'Вводные'!$S$91*'Вводные'!$H$5*'Вводные'!$AG$91*(1+'Вводные'!$B$64)^MAX(0,MIN((12*(YEAR(FM$3)-YEAR($B$76))+MONTH(FM$3)-MONTH($B$76)),(12*(YEAR($B$77)-YEAR($B$76))+MONTH($B$77)-MONTH($B$76))))*(1+'Вводные'!$B$65)^MAX(0,(12*(YEAR(FM$3)-YEAR($B$77))+MONTH(FM$3)-MONTH($B$77))))</x:f>
      </x:c>
      <x:c r="FN90" s="107" t="n">
        <x:f>IF(FN89=0,0,'Вводные'!$B$61*'Вводные'!$S$91*'Вводные'!$H$5*'Вводные'!$AG$91*(1+'Вводные'!$B$64)^MAX(0,MIN((12*(YEAR(FN$3)-YEAR($B$76))+MONTH(FN$3)-MONTH($B$76)),(12*(YEAR($B$77)-YEAR($B$76))+MONTH($B$77)-MONTH($B$76))))*(1+'Вводные'!$B$65)^MAX(0,(12*(YEAR(FN$3)-YEAR($B$77))+MONTH(FN$3)-MONTH($B$77))))</x:f>
      </x:c>
      <x:c r="FO90" s="107" t="n">
        <x:f>IF(FO89=0,0,'Вводные'!$B$61*'Вводные'!$S$91*'Вводные'!$H$5*'Вводные'!$AG$91*(1+'Вводные'!$B$64)^MAX(0,MIN((12*(YEAR(FO$3)-YEAR($B$76))+MONTH(FO$3)-MONTH($B$76)),(12*(YEAR($B$77)-YEAR($B$76))+MONTH($B$77)-MONTH($B$76))))*(1+'Вводные'!$B$65)^MAX(0,(12*(YEAR(FO$3)-YEAR($B$77))+MONTH(FO$3)-MONTH($B$77))))</x:f>
      </x:c>
      <x:c r="FP90" s="107" t="n">
        <x:f>IF(FP89=0,0,'Вводные'!$B$61*'Вводные'!$S$91*'Вводные'!$H$5*'Вводные'!$AG$91*(1+'Вводные'!$B$64)^MAX(0,MIN((12*(YEAR(FP$3)-YEAR($B$76))+MONTH(FP$3)-MONTH($B$76)),(12*(YEAR($B$77)-YEAR($B$76))+MONTH($B$77)-MONTH($B$76))))*(1+'Вводные'!$B$65)^MAX(0,(12*(YEAR(FP$3)-YEAR($B$77))+MONTH(FP$3)-MONTH($B$77))))</x:f>
      </x:c>
      <x:c r="FQ90" s="107" t="n">
        <x:f>IF(FQ89=0,0,'Вводные'!$B$61*'Вводные'!$S$91*'Вводные'!$H$5*'Вводные'!$AG$91*(1+'Вводные'!$B$64)^MAX(0,MIN((12*(YEAR(FQ$3)-YEAR($B$76))+MONTH(FQ$3)-MONTH($B$76)),(12*(YEAR($B$77)-YEAR($B$76))+MONTH($B$77)-MONTH($B$76))))*(1+'Вводные'!$B$65)^MAX(0,(12*(YEAR(FQ$3)-YEAR($B$77))+MONTH(FQ$3)-MONTH($B$77))))</x:f>
      </x:c>
      <x:c r="FR90" s="107" t="n">
        <x:f>IF(FR89=0,0,'Вводные'!$B$61*'Вводные'!$S$91*'Вводные'!$H$5*'Вводные'!$AG$91*(1+'Вводные'!$B$64)^MAX(0,MIN((12*(YEAR(FR$3)-YEAR($B$76))+MONTH(FR$3)-MONTH($B$76)),(12*(YEAR($B$77)-YEAR($B$76))+MONTH($B$77)-MONTH($B$76))))*(1+'Вводные'!$B$65)^MAX(0,(12*(YEAR(FR$3)-YEAR($B$77))+MONTH(FR$3)-MONTH($B$77))))</x:f>
      </x:c>
      <x:c r="FS90" s="107" t="n">
        <x:f>IF(FS89=0,0,'Вводные'!$B$61*'Вводные'!$S$91*'Вводные'!$H$5*'Вводные'!$AG$91*(1+'Вводные'!$B$64)^MAX(0,MIN((12*(YEAR(FS$3)-YEAR($B$76))+MONTH(FS$3)-MONTH($B$76)),(12*(YEAR($B$77)-YEAR($B$76))+MONTH($B$77)-MONTH($B$76))))*(1+'Вводные'!$B$65)^MAX(0,(12*(YEAR(FS$3)-YEAR($B$77))+MONTH(FS$3)-MONTH($B$77))))</x:f>
      </x:c>
      <x:c r="FT90" s="107" t="n">
        <x:f>IF(FT89=0,0,'Вводные'!$B$61*'Вводные'!$S$91*'Вводные'!$H$5*'Вводные'!$AG$91*(1+'Вводные'!$B$64)^MAX(0,MIN((12*(YEAR(FT$3)-YEAR($B$76))+MONTH(FT$3)-MONTH($B$76)),(12*(YEAR($B$77)-YEAR($B$76))+MONTH($B$77)-MONTH($B$76))))*(1+'Вводные'!$B$65)^MAX(0,(12*(YEAR(FT$3)-YEAR($B$77))+MONTH(FT$3)-MONTH($B$77))))</x:f>
      </x:c>
      <x:c r="FU90" s="107" t="n">
        <x:f>IF(FU89=0,0,'Вводные'!$B$61*'Вводные'!$S$91*'Вводные'!$H$5*'Вводные'!$AG$91*(1+'Вводные'!$B$64)^MAX(0,MIN((12*(YEAR(FU$3)-YEAR($B$76))+MONTH(FU$3)-MONTH($B$76)),(12*(YEAR($B$77)-YEAR($B$76))+MONTH($B$77)-MONTH($B$76))))*(1+'Вводные'!$B$65)^MAX(0,(12*(YEAR(FU$3)-YEAR($B$77))+MONTH(FU$3)-MONTH($B$77))))</x:f>
      </x:c>
      <x:c r="FV90" s="107" t="n">
        <x:f>IF(FV89=0,0,'Вводные'!$B$61*'Вводные'!$S$91*'Вводные'!$H$5*'Вводные'!$AG$91*(1+'Вводные'!$B$64)^MAX(0,MIN((12*(YEAR(FV$3)-YEAR($B$76))+MONTH(FV$3)-MONTH($B$76)),(12*(YEAR($B$77)-YEAR($B$76))+MONTH($B$77)-MONTH($B$76))))*(1+'Вводные'!$B$65)^MAX(0,(12*(YEAR(FV$3)-YEAR($B$77))+MONTH(FV$3)-MONTH($B$77))))</x:f>
      </x:c>
      <x:c r="FW90" s="107" t="n">
        <x:f>IF(FW89=0,0,'Вводные'!$B$61*'Вводные'!$S$91*'Вводные'!$H$5*'Вводные'!$AG$91*(1+'Вводные'!$B$64)^MAX(0,MIN((12*(YEAR(FW$3)-YEAR($B$76))+MONTH(FW$3)-MONTH($B$76)),(12*(YEAR($B$77)-YEAR($B$76))+MONTH($B$77)-MONTH($B$76))))*(1+'Вводные'!$B$65)^MAX(0,(12*(YEAR(FW$3)-YEAR($B$77))+MONTH(FW$3)-MONTH($B$77))))</x:f>
      </x:c>
      <x:c r="FX90" s="107" t="n">
        <x:f>IF(FX89=0,0,'Вводные'!$B$61*'Вводные'!$S$91*'Вводные'!$H$5*'Вводные'!$AG$91*(1+'Вводные'!$B$64)^MAX(0,MIN((12*(YEAR(FX$3)-YEAR($B$76))+MONTH(FX$3)-MONTH($B$76)),(12*(YEAR($B$77)-YEAR($B$76))+MONTH($B$77)-MONTH($B$76))))*(1+'Вводные'!$B$65)^MAX(0,(12*(YEAR(FX$3)-YEAR($B$77))+MONTH(FX$3)-MONTH($B$77))))</x:f>
      </x:c>
      <x:c r="FY90" s="107" t="n">
        <x:f>IF(FY89=0,0,'Вводные'!$B$61*'Вводные'!$S$91*'Вводные'!$H$5*'Вводные'!$AG$91*(1+'Вводные'!$B$64)^MAX(0,MIN((12*(YEAR(FY$3)-YEAR($B$76))+MONTH(FY$3)-MONTH($B$76)),(12*(YEAR($B$77)-YEAR($B$76))+MONTH($B$77)-MONTH($B$76))))*(1+'Вводные'!$B$65)^MAX(0,(12*(YEAR(FY$3)-YEAR($B$77))+MONTH(FY$3)-MONTH($B$77))))</x:f>
      </x:c>
      <x:c r="FZ90" s="107" t="n">
        <x:f>IF(FZ89=0,0,'Вводные'!$B$61*'Вводные'!$S$91*'Вводные'!$H$5*'Вводные'!$AG$91*(1+'Вводные'!$B$64)^MAX(0,MIN((12*(YEAR(FZ$3)-YEAR($B$76))+MONTH(FZ$3)-MONTH($B$76)),(12*(YEAR($B$77)-YEAR($B$76))+MONTH($B$77)-MONTH($B$76))))*(1+'Вводные'!$B$65)^MAX(0,(12*(YEAR(FZ$3)-YEAR($B$77))+MONTH(FZ$3)-MONTH($B$77))))</x:f>
      </x:c>
      <x:c r="GA90" s="107" t="n">
        <x:f>IF(GA89=0,0,'Вводные'!$B$61*'Вводные'!$S$91*'Вводные'!$H$5*'Вводные'!$AG$91*(1+'Вводные'!$B$64)^MAX(0,MIN((12*(YEAR(GA$3)-YEAR($B$76))+MONTH(GA$3)-MONTH($B$76)),(12*(YEAR($B$77)-YEAR($B$76))+MONTH($B$77)-MONTH($B$76))))*(1+'Вводные'!$B$65)^MAX(0,(12*(YEAR(GA$3)-YEAR($B$77))+MONTH(GA$3)-MONTH($B$77))))</x:f>
      </x:c>
    </x:row>
    <x:row r="91">
      <x:c r="A91" t="str">
        <x:v>Паркинг — выручка</x:v>
      </x:c>
      <x:c r="B91" t="n">
        <x:f>SUM(D91:GA91)</x:f>
      </x:c>
      <x:c r="C91" t="str">
        <x:v>млн ₽</x:v>
      </x:c>
      <x:c r="D91" s="107" t="n">
        <x:f>D89*D90/1000</x:f>
      </x:c>
      <x:c r="E91" s="107" t="n">
        <x:f>E89*E90/1000</x:f>
      </x:c>
      <x:c r="F91" s="107" t="n">
        <x:f>F89*F90/1000</x:f>
      </x:c>
      <x:c r="G91" s="107" t="n">
        <x:f>G89*G90/1000</x:f>
      </x:c>
      <x:c r="H91" s="107" t="n">
        <x:f>H89*H90/1000</x:f>
      </x:c>
      <x:c r="I91" s="107" t="n">
        <x:f>I89*I90/1000</x:f>
      </x:c>
      <x:c r="J91" s="107" t="n">
        <x:f>J89*J90/1000</x:f>
      </x:c>
      <x:c r="K91" s="107" t="n">
        <x:f>K89*K90/1000</x:f>
      </x:c>
      <x:c r="L91" s="107" t="n">
        <x:f>L89*L90/1000</x:f>
      </x:c>
      <x:c r="M91" s="107" t="n">
        <x:f>M89*M90/1000</x:f>
      </x:c>
      <x:c r="N91" s="107" t="n">
        <x:f>N89*N90/1000</x:f>
      </x:c>
      <x:c r="O91" s="107" t="n">
        <x:f>O89*O90/1000</x:f>
      </x:c>
      <x:c r="P91" s="107" t="n">
        <x:f>P89*P90/1000</x:f>
      </x:c>
      <x:c r="Q91" s="107" t="n">
        <x:f>Q89*Q90/1000</x:f>
      </x:c>
      <x:c r="R91" s="107" t="n">
        <x:f>R89*R90/1000</x:f>
      </x:c>
      <x:c r="S91" s="107" t="n">
        <x:f>S89*S90/1000</x:f>
      </x:c>
      <x:c r="T91" s="107" t="n">
        <x:f>T89*T90/1000</x:f>
      </x:c>
      <x:c r="U91" s="107" t="n">
        <x:f>U89*U90/1000</x:f>
      </x:c>
      <x:c r="V91" s="107" t="n">
        <x:f>V89*V90/1000</x:f>
      </x:c>
      <x:c r="W91" s="107" t="n">
        <x:f>W89*W90/1000</x:f>
      </x:c>
      <x:c r="X91" s="107" t="n">
        <x:f>X89*X90/1000</x:f>
      </x:c>
      <x:c r="Y91" s="107" t="n">
        <x:f>Y89*Y90/1000</x:f>
      </x:c>
      <x:c r="Z91" s="107" t="n">
        <x:f>Z89*Z90/1000</x:f>
      </x:c>
      <x:c r="AA91" s="107" t="n">
        <x:f>AA89*AA90/1000</x:f>
      </x:c>
      <x:c r="AB91" s="107" t="n">
        <x:f>AB89*AB90/1000</x:f>
      </x:c>
      <x:c r="AC91" s="107" t="n">
        <x:f>AC89*AC90/1000</x:f>
      </x:c>
      <x:c r="AD91" s="107" t="n">
        <x:f>AD89*AD90/1000</x:f>
      </x:c>
      <x:c r="AE91" s="107" t="n">
        <x:f>AE89*AE90/1000</x:f>
      </x:c>
      <x:c r="AF91" s="107" t="n">
        <x:f>AF89*AF90/1000</x:f>
      </x:c>
      <x:c r="AG91" s="107" t="n">
        <x:f>AG89*AG90/1000</x:f>
      </x:c>
      <x:c r="AH91" s="107" t="n">
        <x:f>AH89*AH90/1000</x:f>
      </x:c>
      <x:c r="AI91" s="107" t="n">
        <x:f>AI89*AI90/1000</x:f>
      </x:c>
      <x:c r="AJ91" s="107" t="n">
        <x:f>AJ89*AJ90/1000</x:f>
      </x:c>
      <x:c r="AK91" s="107" t="n">
        <x:f>AK89*AK90/1000</x:f>
      </x:c>
      <x:c r="AL91" s="107" t="n">
        <x:f>AL89*AL90/1000</x:f>
      </x:c>
      <x:c r="AM91" s="107" t="n">
        <x:f>AM89*AM90/1000</x:f>
      </x:c>
      <x:c r="AN91" s="107" t="n">
        <x:f>AN89*AN90/1000</x:f>
      </x:c>
      <x:c r="AO91" s="107" t="n">
        <x:f>AO89*AO90/1000</x:f>
      </x:c>
      <x:c r="AP91" s="107" t="n">
        <x:f>AP89*AP90/1000</x:f>
      </x:c>
      <x:c r="AQ91" s="107" t="n">
        <x:f>AQ89*AQ90/1000</x:f>
      </x:c>
      <x:c r="AR91" s="107" t="n">
        <x:f>AR89*AR90/1000</x:f>
      </x:c>
      <x:c r="AS91" s="107" t="n">
        <x:f>AS89*AS90/1000</x:f>
      </x:c>
      <x:c r="AT91" s="107" t="n">
        <x:f>AT89*AT90/1000</x:f>
      </x:c>
      <x:c r="AU91" s="107" t="n">
        <x:f>AU89*AU90/1000</x:f>
      </x:c>
      <x:c r="AV91" s="107" t="n">
        <x:f>AV89*AV90/1000</x:f>
      </x:c>
      <x:c r="AW91" s="107" t="n">
        <x:f>AW89*AW90/1000</x:f>
      </x:c>
      <x:c r="AX91" s="107" t="n">
        <x:f>AX89*AX90/1000</x:f>
      </x:c>
      <x:c r="AY91" s="107" t="n">
        <x:f>AY89*AY90/1000</x:f>
      </x:c>
      <x:c r="AZ91" s="107" t="n">
        <x:f>AZ89*AZ90/1000</x:f>
      </x:c>
      <x:c r="BA91" s="107" t="n">
        <x:f>BA89*BA90/1000</x:f>
      </x:c>
      <x:c r="BB91" s="107" t="n">
        <x:f>BB89*BB90/1000</x:f>
      </x:c>
      <x:c r="BC91" s="107" t="n">
        <x:f>BC89*BC90/1000</x:f>
      </x:c>
      <x:c r="BD91" s="107" t="n">
        <x:f>BD89*BD90/1000</x:f>
      </x:c>
      <x:c r="BE91" s="107" t="n">
        <x:f>BE89*BE90/1000</x:f>
      </x:c>
      <x:c r="BF91" s="107" t="n">
        <x:f>BF89*BF90/1000</x:f>
      </x:c>
      <x:c r="BG91" s="107" t="n">
        <x:f>BG89*BG90/1000</x:f>
      </x:c>
      <x:c r="BH91" s="107" t="n">
        <x:f>BH89*BH90/1000</x:f>
      </x:c>
      <x:c r="BI91" s="107" t="n">
        <x:f>BI89*BI90/1000</x:f>
      </x:c>
      <x:c r="BJ91" s="107" t="n">
        <x:f>BJ89*BJ90/1000</x:f>
      </x:c>
      <x:c r="BK91" s="107" t="n">
        <x:f>BK89*BK90/1000</x:f>
      </x:c>
      <x:c r="BL91" s="107" t="n">
        <x:f>BL89*BL90/1000</x:f>
      </x:c>
      <x:c r="BM91" s="107" t="n">
        <x:f>BM89*BM90/1000</x:f>
      </x:c>
      <x:c r="BN91" s="107" t="n">
        <x:f>BN89*BN90/1000</x:f>
      </x:c>
      <x:c r="BO91" s="107" t="n">
        <x:f>BO89*BO90/1000</x:f>
      </x:c>
      <x:c r="BP91" s="107" t="n">
        <x:f>BP89*BP90/1000</x:f>
      </x:c>
      <x:c r="BQ91" s="107" t="n">
        <x:f>BQ89*BQ90/1000</x:f>
      </x:c>
      <x:c r="BR91" s="107" t="n">
        <x:f>BR89*BR90/1000</x:f>
      </x:c>
      <x:c r="BS91" s="107" t="n">
        <x:f>BS89*BS90/1000</x:f>
      </x:c>
      <x:c r="BT91" s="107" t="n">
        <x:f>BT89*BT90/1000</x:f>
      </x:c>
      <x:c r="BU91" s="107" t="n">
        <x:f>BU89*BU90/1000</x:f>
      </x:c>
      <x:c r="BV91" s="107" t="n">
        <x:f>BV89*BV90/1000</x:f>
      </x:c>
      <x:c r="BW91" s="107" t="n">
        <x:f>BW89*BW90/1000</x:f>
      </x:c>
      <x:c r="BX91" s="107" t="n">
        <x:f>BX89*BX90/1000</x:f>
      </x:c>
      <x:c r="BY91" s="107" t="n">
        <x:f>BY89*BY90/1000</x:f>
      </x:c>
      <x:c r="BZ91" s="107" t="n">
        <x:f>BZ89*BZ90/1000</x:f>
      </x:c>
      <x:c r="CA91" s="107" t="n">
        <x:f>CA89*CA90/1000</x:f>
      </x:c>
      <x:c r="CB91" s="107" t="n">
        <x:f>CB89*CB90/1000</x:f>
      </x:c>
      <x:c r="CC91" s="107" t="n">
        <x:f>CC89*CC90/1000</x:f>
      </x:c>
      <x:c r="CD91" s="107" t="n">
        <x:f>CD89*CD90/1000</x:f>
      </x:c>
      <x:c r="CE91" s="107" t="n">
        <x:f>CE89*CE90/1000</x:f>
      </x:c>
      <x:c r="CF91" s="107" t="n">
        <x:f>CF89*CF90/1000</x:f>
      </x:c>
      <x:c r="CG91" s="107" t="n">
        <x:f>CG89*CG90/1000</x:f>
      </x:c>
      <x:c r="CH91" s="107" t="n">
        <x:f>CH89*CH90/1000</x:f>
      </x:c>
      <x:c r="CI91" s="107" t="n">
        <x:f>CI89*CI90/1000</x:f>
      </x:c>
      <x:c r="CJ91" s="107" t="n">
        <x:f>CJ89*CJ90/1000</x:f>
      </x:c>
      <x:c r="CK91" s="107" t="n">
        <x:f>CK89*CK90/1000</x:f>
      </x:c>
      <x:c r="CL91" s="107" t="n">
        <x:f>CL89*CL90/1000</x:f>
      </x:c>
      <x:c r="CM91" s="107" t="n">
        <x:f>CM89*CM90/1000</x:f>
      </x:c>
      <x:c r="CN91" s="107" t="n">
        <x:f>CN89*CN90/1000</x:f>
      </x:c>
      <x:c r="CO91" s="107" t="n">
        <x:f>CO89*CO90/1000</x:f>
      </x:c>
      <x:c r="CP91" s="107" t="n">
        <x:f>CP89*CP90/1000</x:f>
      </x:c>
      <x:c r="CQ91" s="107" t="n">
        <x:f>CQ89*CQ90/1000</x:f>
      </x:c>
      <x:c r="CR91" s="107" t="n">
        <x:f>CR89*CR90/1000</x:f>
      </x:c>
      <x:c r="CS91" s="107" t="n">
        <x:f>CS89*CS90/1000</x:f>
      </x:c>
      <x:c r="CT91" s="107" t="n">
        <x:f>CT89*CT90/1000</x:f>
      </x:c>
      <x:c r="CU91" s="107" t="n">
        <x:f>CU89*CU90/1000</x:f>
      </x:c>
      <x:c r="CV91" s="107" t="n">
        <x:f>CV89*CV90/1000</x:f>
      </x:c>
      <x:c r="CW91" s="107" t="n">
        <x:f>CW89*CW90/1000</x:f>
      </x:c>
      <x:c r="CX91" s="107" t="n">
        <x:f>CX89*CX90/1000</x:f>
      </x:c>
      <x:c r="CY91" s="107" t="n">
        <x:f>CY89*CY90/1000</x:f>
      </x:c>
      <x:c r="CZ91" s="107" t="n">
        <x:f>CZ89*CZ90/1000</x:f>
      </x:c>
      <x:c r="DA91" s="107" t="n">
        <x:f>DA89*DA90/1000</x:f>
      </x:c>
      <x:c r="DB91" s="107" t="n">
        <x:f>DB89*DB90/1000</x:f>
      </x:c>
      <x:c r="DC91" s="107" t="n">
        <x:f>DC89*DC90/1000</x:f>
      </x:c>
      <x:c r="DD91" s="107" t="n">
        <x:f>DD89*DD90/1000</x:f>
      </x:c>
      <x:c r="DE91" s="107" t="n">
        <x:f>DE89*DE90/1000</x:f>
      </x:c>
      <x:c r="DF91" s="107" t="n">
        <x:f>DF89*DF90/1000</x:f>
      </x:c>
      <x:c r="DG91" s="107" t="n">
        <x:f>DG89*DG90/1000</x:f>
      </x:c>
      <x:c r="DH91" s="107" t="n">
        <x:f>DH89*DH90/1000</x:f>
      </x:c>
      <x:c r="DI91" s="107" t="n">
        <x:f>DI89*DI90/1000</x:f>
      </x:c>
      <x:c r="DJ91" s="107" t="n">
        <x:f>DJ89*DJ90/1000</x:f>
      </x:c>
      <x:c r="DK91" s="107" t="n">
        <x:f>DK89*DK90/1000</x:f>
      </x:c>
      <x:c r="DL91" s="107" t="n">
        <x:f>DL89*DL90/1000</x:f>
      </x:c>
      <x:c r="DM91" s="107" t="n">
        <x:f>DM89*DM90/1000</x:f>
      </x:c>
      <x:c r="DN91" s="107" t="n">
        <x:f>DN89*DN90/1000</x:f>
      </x:c>
      <x:c r="DO91" s="107" t="n">
        <x:f>DO89*DO90/1000</x:f>
      </x:c>
      <x:c r="DP91" s="107" t="n">
        <x:f>DP89*DP90/1000</x:f>
      </x:c>
      <x:c r="DQ91" s="107" t="n">
        <x:f>DQ89*DQ90/1000</x:f>
      </x:c>
      <x:c r="DR91" s="107" t="n">
        <x:f>DR89*DR90/1000</x:f>
      </x:c>
      <x:c r="DS91" s="107" t="n">
        <x:f>DS89*DS90/1000</x:f>
      </x:c>
      <x:c r="DT91" s="107" t="n">
        <x:f>DT89*DT90/1000</x:f>
      </x:c>
      <x:c r="DU91" s="107" t="n">
        <x:f>DU89*DU90/1000</x:f>
      </x:c>
      <x:c r="DV91" s="107" t="n">
        <x:f>DV89*DV90/1000</x:f>
      </x:c>
      <x:c r="DW91" s="107" t="n">
        <x:f>DW89*DW90/1000</x:f>
      </x:c>
      <x:c r="DX91" s="107" t="n">
        <x:f>DX89*DX90/1000</x:f>
      </x:c>
      <x:c r="DY91" s="107" t="n">
        <x:f>DY89*DY90/1000</x:f>
      </x:c>
      <x:c r="DZ91" s="107" t="n">
        <x:f>DZ89*DZ90/1000</x:f>
      </x:c>
      <x:c r="EA91" s="107" t="n">
        <x:f>EA89*EA90/1000</x:f>
      </x:c>
      <x:c r="EB91" s="107" t="n">
        <x:f>EB89*EB90/1000</x:f>
      </x:c>
      <x:c r="EC91" s="107" t="n">
        <x:f>EC89*EC90/1000</x:f>
      </x:c>
      <x:c r="ED91" s="107" t="n">
        <x:f>ED89*ED90/1000</x:f>
      </x:c>
      <x:c r="EE91" s="107" t="n">
        <x:f>EE89*EE90/1000</x:f>
      </x:c>
      <x:c r="EF91" s="107" t="n">
        <x:f>EF89*EF90/1000</x:f>
      </x:c>
      <x:c r="EG91" s="107" t="n">
        <x:f>EG89*EG90/1000</x:f>
      </x:c>
      <x:c r="EH91" s="107" t="n">
        <x:f>EH89*EH90/1000</x:f>
      </x:c>
      <x:c r="EI91" s="107" t="n">
        <x:f>EI89*EI90/1000</x:f>
      </x:c>
      <x:c r="EJ91" s="107" t="n">
        <x:f>EJ89*EJ90/1000</x:f>
      </x:c>
      <x:c r="EK91" s="107" t="n">
        <x:f>EK89*EK90/1000</x:f>
      </x:c>
      <x:c r="EL91" s="107" t="n">
        <x:f>EL89*EL90/1000</x:f>
      </x:c>
      <x:c r="EM91" s="107" t="n">
        <x:f>EM89*EM90/1000</x:f>
      </x:c>
      <x:c r="EN91" s="107" t="n">
        <x:f>EN89*EN90/1000</x:f>
      </x:c>
      <x:c r="EO91" s="107" t="n">
        <x:f>EO89*EO90/1000</x:f>
      </x:c>
      <x:c r="EP91" s="107" t="n">
        <x:f>EP89*EP90/1000</x:f>
      </x:c>
      <x:c r="EQ91" s="107" t="n">
        <x:f>EQ89*EQ90/1000</x:f>
      </x:c>
      <x:c r="ER91" s="107" t="n">
        <x:f>ER89*ER90/1000</x:f>
      </x:c>
      <x:c r="ES91" s="107" t="n">
        <x:f>ES89*ES90/1000</x:f>
      </x:c>
      <x:c r="ET91" s="107" t="n">
        <x:f>ET89*ET90/1000</x:f>
      </x:c>
      <x:c r="EU91" s="107" t="n">
        <x:f>EU89*EU90/1000</x:f>
      </x:c>
      <x:c r="EV91" s="107" t="n">
        <x:f>EV89*EV90/1000</x:f>
      </x:c>
      <x:c r="EW91" s="107" t="n">
        <x:f>EW89*EW90/1000</x:f>
      </x:c>
      <x:c r="EX91" s="107" t="n">
        <x:f>EX89*EX90/1000</x:f>
      </x:c>
      <x:c r="EY91" s="107" t="n">
        <x:f>EY89*EY90/1000</x:f>
      </x:c>
      <x:c r="EZ91" s="107" t="n">
        <x:f>EZ89*EZ90/1000</x:f>
      </x:c>
      <x:c r="FA91" s="107" t="n">
        <x:f>FA89*FA90/1000</x:f>
      </x:c>
      <x:c r="FB91" s="107" t="n">
        <x:f>FB89*FB90/1000</x:f>
      </x:c>
      <x:c r="FC91" s="107" t="n">
        <x:f>FC89*FC90/1000</x:f>
      </x:c>
      <x:c r="FD91" s="107" t="n">
        <x:f>FD89*FD90/1000</x:f>
      </x:c>
      <x:c r="FE91" s="107" t="n">
        <x:f>FE89*FE90/1000</x:f>
      </x:c>
      <x:c r="FF91" s="107" t="n">
        <x:f>FF89*FF90/1000</x:f>
      </x:c>
      <x:c r="FG91" s="107" t="n">
        <x:f>FG89*FG90/1000</x:f>
      </x:c>
      <x:c r="FH91" s="107" t="n">
        <x:f>FH89*FH90/1000</x:f>
      </x:c>
      <x:c r="FI91" s="107" t="n">
        <x:f>FI89*FI90/1000</x:f>
      </x:c>
      <x:c r="FJ91" s="107" t="n">
        <x:f>FJ89*FJ90/1000</x:f>
      </x:c>
      <x:c r="FK91" s="107" t="n">
        <x:f>FK89*FK90/1000</x:f>
      </x:c>
      <x:c r="FL91" s="107" t="n">
        <x:f>FL89*FL90/1000</x:f>
      </x:c>
      <x:c r="FM91" s="107" t="n">
        <x:f>FM89*FM90/1000</x:f>
      </x:c>
      <x:c r="FN91" s="107" t="n">
        <x:f>FN89*FN90/1000</x:f>
      </x:c>
      <x:c r="FO91" s="107" t="n">
        <x:f>FO89*FO90/1000</x:f>
      </x:c>
      <x:c r="FP91" s="107" t="n">
        <x:f>FP89*FP90/1000</x:f>
      </x:c>
      <x:c r="FQ91" s="107" t="n">
        <x:f>FQ89*FQ90/1000</x:f>
      </x:c>
      <x:c r="FR91" s="107" t="n">
        <x:f>FR89*FR90/1000</x:f>
      </x:c>
      <x:c r="FS91" s="107" t="n">
        <x:f>FS89*FS90/1000</x:f>
      </x:c>
      <x:c r="FT91" s="107" t="n">
        <x:f>FT89*FT90/1000</x:f>
      </x:c>
      <x:c r="FU91" s="107" t="n">
        <x:f>FU89*FU90/1000</x:f>
      </x:c>
      <x:c r="FV91" s="107" t="n">
        <x:f>FV89*FV90/1000</x:f>
      </x:c>
      <x:c r="FW91" s="107" t="n">
        <x:f>FW89*FW90/1000</x:f>
      </x:c>
      <x:c r="FX91" s="107" t="n">
        <x:f>FX89*FX90/1000</x:f>
      </x:c>
      <x:c r="FY91" s="107" t="n">
        <x:f>FY89*FY90/1000</x:f>
      </x:c>
      <x:c r="FZ91" s="107" t="n">
        <x:f>FZ89*FZ90/1000</x:f>
      </x:c>
      <x:c r="GA91" s="107" t="n">
        <x:f>GA89*GA90/1000</x:f>
      </x:c>
    </x:row>
    <x:row r="92">
      <x:c r="A92" t="str">
        <x:v>Кладовые — объём</x:v>
      </x:c>
      <x:c r="B92" t="n">
        <x:f>SUM(D92:GA92)</x:f>
      </x:c>
      <x:c r="C92" t="str">
        <x:v>шт.</x:v>
      </x:c>
      <x:c r="D92" s="107" t="n">
        <x:f>'Вводные'!$O$91*((IF(SUM($D78:$GA78)=0,0,IF(SUM($D81:$GA81)=0,1,'Вводные'!$B$63)))*D80+(1-(IF(SUM($D78:$GA78)=0,0,IF(SUM($D81:$GA81)=0,1,'Вводные'!$B$63))))*D82)</x:f>
      </x:c>
      <x:c r="E92" s="107" t="n">
        <x:f>'Вводные'!$O$91*((IF(SUM($D78:$GA78)=0,0,IF(SUM($D81:$GA81)=0,1,'Вводные'!$B$63)))*E80+(1-(IF(SUM($D78:$GA78)=0,0,IF(SUM($D81:$GA81)=0,1,'Вводные'!$B$63))))*E82)</x:f>
      </x:c>
      <x:c r="F92" s="107" t="n">
        <x:f>'Вводные'!$O$91*((IF(SUM($D78:$GA78)=0,0,IF(SUM($D81:$GA81)=0,1,'Вводные'!$B$63)))*F80+(1-(IF(SUM($D78:$GA78)=0,0,IF(SUM($D81:$GA81)=0,1,'Вводные'!$B$63))))*F82)</x:f>
      </x:c>
      <x:c r="G92" s="107" t="n">
        <x:f>'Вводные'!$O$91*((IF(SUM($D78:$GA78)=0,0,IF(SUM($D81:$GA81)=0,1,'Вводные'!$B$63)))*G80+(1-(IF(SUM($D78:$GA78)=0,0,IF(SUM($D81:$GA81)=0,1,'Вводные'!$B$63))))*G82)</x:f>
      </x:c>
      <x:c r="H92" s="107" t="n">
        <x:f>'Вводные'!$O$91*((IF(SUM($D78:$GA78)=0,0,IF(SUM($D81:$GA81)=0,1,'Вводные'!$B$63)))*H80+(1-(IF(SUM($D78:$GA78)=0,0,IF(SUM($D81:$GA81)=0,1,'Вводные'!$B$63))))*H82)</x:f>
      </x:c>
      <x:c r="I92" s="107" t="n">
        <x:f>'Вводные'!$O$91*((IF(SUM($D78:$GA78)=0,0,IF(SUM($D81:$GA81)=0,1,'Вводные'!$B$63)))*I80+(1-(IF(SUM($D78:$GA78)=0,0,IF(SUM($D81:$GA81)=0,1,'Вводные'!$B$63))))*I82)</x:f>
      </x:c>
      <x:c r="J92" s="107" t="n">
        <x:f>'Вводные'!$O$91*((IF(SUM($D78:$GA78)=0,0,IF(SUM($D81:$GA81)=0,1,'Вводные'!$B$63)))*J80+(1-(IF(SUM($D78:$GA78)=0,0,IF(SUM($D81:$GA81)=0,1,'Вводные'!$B$63))))*J82)</x:f>
      </x:c>
      <x:c r="K92" s="107" t="n">
        <x:f>'Вводные'!$O$91*((IF(SUM($D78:$GA78)=0,0,IF(SUM($D81:$GA81)=0,1,'Вводные'!$B$63)))*K80+(1-(IF(SUM($D78:$GA78)=0,0,IF(SUM($D81:$GA81)=0,1,'Вводные'!$B$63))))*K82)</x:f>
      </x:c>
      <x:c r="L92" s="107" t="n">
        <x:f>'Вводные'!$O$91*((IF(SUM($D78:$GA78)=0,0,IF(SUM($D81:$GA81)=0,1,'Вводные'!$B$63)))*L80+(1-(IF(SUM($D78:$GA78)=0,0,IF(SUM($D81:$GA81)=0,1,'Вводные'!$B$63))))*L82)</x:f>
      </x:c>
      <x:c r="M92" s="107" t="n">
        <x:f>'Вводные'!$O$91*((IF(SUM($D78:$GA78)=0,0,IF(SUM($D81:$GA81)=0,1,'Вводные'!$B$63)))*M80+(1-(IF(SUM($D78:$GA78)=0,0,IF(SUM($D81:$GA81)=0,1,'Вводные'!$B$63))))*M82)</x:f>
      </x:c>
      <x:c r="N92" s="107" t="n">
        <x:f>'Вводные'!$O$91*((IF(SUM($D78:$GA78)=0,0,IF(SUM($D81:$GA81)=0,1,'Вводные'!$B$63)))*N80+(1-(IF(SUM($D78:$GA78)=0,0,IF(SUM($D81:$GA81)=0,1,'Вводные'!$B$63))))*N82)</x:f>
      </x:c>
      <x:c r="O92" s="107" t="n">
        <x:f>'Вводные'!$O$91*((IF(SUM($D78:$GA78)=0,0,IF(SUM($D81:$GA81)=0,1,'Вводные'!$B$63)))*O80+(1-(IF(SUM($D78:$GA78)=0,0,IF(SUM($D81:$GA81)=0,1,'Вводные'!$B$63))))*O82)</x:f>
      </x:c>
      <x:c r="P92" s="107" t="n">
        <x:f>'Вводные'!$O$91*((IF(SUM($D78:$GA78)=0,0,IF(SUM($D81:$GA81)=0,1,'Вводные'!$B$63)))*P80+(1-(IF(SUM($D78:$GA78)=0,0,IF(SUM($D81:$GA81)=0,1,'Вводные'!$B$63))))*P82)</x:f>
      </x:c>
      <x:c r="Q92" s="107" t="n">
        <x:f>'Вводные'!$O$91*((IF(SUM($D78:$GA78)=0,0,IF(SUM($D81:$GA81)=0,1,'Вводные'!$B$63)))*Q80+(1-(IF(SUM($D78:$GA78)=0,0,IF(SUM($D81:$GA81)=0,1,'Вводные'!$B$63))))*Q82)</x:f>
      </x:c>
      <x:c r="R92" s="107" t="n">
        <x:f>'Вводные'!$O$91*((IF(SUM($D78:$GA78)=0,0,IF(SUM($D81:$GA81)=0,1,'Вводные'!$B$63)))*R80+(1-(IF(SUM($D78:$GA78)=0,0,IF(SUM($D81:$GA81)=0,1,'Вводные'!$B$63))))*R82)</x:f>
      </x:c>
      <x:c r="S92" s="107" t="n">
        <x:f>'Вводные'!$O$91*((IF(SUM($D78:$GA78)=0,0,IF(SUM($D81:$GA81)=0,1,'Вводные'!$B$63)))*S80+(1-(IF(SUM($D78:$GA78)=0,0,IF(SUM($D81:$GA81)=0,1,'Вводные'!$B$63))))*S82)</x:f>
      </x:c>
      <x:c r="T92" s="107" t="n">
        <x:f>'Вводные'!$O$91*((IF(SUM($D78:$GA78)=0,0,IF(SUM($D81:$GA81)=0,1,'Вводные'!$B$63)))*T80+(1-(IF(SUM($D78:$GA78)=0,0,IF(SUM($D81:$GA81)=0,1,'Вводные'!$B$63))))*T82)</x:f>
      </x:c>
      <x:c r="U92" s="107" t="n">
        <x:f>'Вводные'!$O$91*((IF(SUM($D78:$GA78)=0,0,IF(SUM($D81:$GA81)=0,1,'Вводные'!$B$63)))*U80+(1-(IF(SUM($D78:$GA78)=0,0,IF(SUM($D81:$GA81)=0,1,'Вводные'!$B$63))))*U82)</x:f>
      </x:c>
      <x:c r="V92" s="107" t="n">
        <x:f>'Вводные'!$O$91*((IF(SUM($D78:$GA78)=0,0,IF(SUM($D81:$GA81)=0,1,'Вводные'!$B$63)))*V80+(1-(IF(SUM($D78:$GA78)=0,0,IF(SUM($D81:$GA81)=0,1,'Вводные'!$B$63))))*V82)</x:f>
      </x:c>
      <x:c r="W92" s="107" t="n">
        <x:f>'Вводные'!$O$91*((IF(SUM($D78:$GA78)=0,0,IF(SUM($D81:$GA81)=0,1,'Вводные'!$B$63)))*W80+(1-(IF(SUM($D78:$GA78)=0,0,IF(SUM($D81:$GA81)=0,1,'Вводные'!$B$63))))*W82)</x:f>
      </x:c>
      <x:c r="X92" s="107" t="n">
        <x:f>'Вводные'!$O$91*((IF(SUM($D78:$GA78)=0,0,IF(SUM($D81:$GA81)=0,1,'Вводные'!$B$63)))*X80+(1-(IF(SUM($D78:$GA78)=0,0,IF(SUM($D81:$GA81)=0,1,'Вводные'!$B$63))))*X82)</x:f>
      </x:c>
      <x:c r="Y92" s="107" t="n">
        <x:f>'Вводные'!$O$91*((IF(SUM($D78:$GA78)=0,0,IF(SUM($D81:$GA81)=0,1,'Вводные'!$B$63)))*Y80+(1-(IF(SUM($D78:$GA78)=0,0,IF(SUM($D81:$GA81)=0,1,'Вводные'!$B$63))))*Y82)</x:f>
      </x:c>
      <x:c r="Z92" s="107" t="n">
        <x:f>'Вводные'!$O$91*((IF(SUM($D78:$GA78)=0,0,IF(SUM($D81:$GA81)=0,1,'Вводные'!$B$63)))*Z80+(1-(IF(SUM($D78:$GA78)=0,0,IF(SUM($D81:$GA81)=0,1,'Вводные'!$B$63))))*Z82)</x:f>
      </x:c>
      <x:c r="AA92" s="107" t="n">
        <x:f>'Вводные'!$O$91*((IF(SUM($D78:$GA78)=0,0,IF(SUM($D81:$GA81)=0,1,'Вводные'!$B$63)))*AA80+(1-(IF(SUM($D78:$GA78)=0,0,IF(SUM($D81:$GA81)=0,1,'Вводные'!$B$63))))*AA82)</x:f>
      </x:c>
      <x:c r="AB92" s="107" t="n">
        <x:f>'Вводные'!$O$91*((IF(SUM($D78:$GA78)=0,0,IF(SUM($D81:$GA81)=0,1,'Вводные'!$B$63)))*AB80+(1-(IF(SUM($D78:$GA78)=0,0,IF(SUM($D81:$GA81)=0,1,'Вводные'!$B$63))))*AB82)</x:f>
      </x:c>
      <x:c r="AC92" s="107" t="n">
        <x:f>'Вводные'!$O$91*((IF(SUM($D78:$GA78)=0,0,IF(SUM($D81:$GA81)=0,1,'Вводные'!$B$63)))*AC80+(1-(IF(SUM($D78:$GA78)=0,0,IF(SUM($D81:$GA81)=0,1,'Вводные'!$B$63))))*AC82)</x:f>
      </x:c>
      <x:c r="AD92" s="107" t="n">
        <x:f>'Вводные'!$O$91*((IF(SUM($D78:$GA78)=0,0,IF(SUM($D81:$GA81)=0,1,'Вводные'!$B$63)))*AD80+(1-(IF(SUM($D78:$GA78)=0,0,IF(SUM($D81:$GA81)=0,1,'Вводные'!$B$63))))*AD82)</x:f>
      </x:c>
      <x:c r="AE92" s="107" t="n">
        <x:f>'Вводные'!$O$91*((IF(SUM($D78:$GA78)=0,0,IF(SUM($D81:$GA81)=0,1,'Вводные'!$B$63)))*AE80+(1-(IF(SUM($D78:$GA78)=0,0,IF(SUM($D81:$GA81)=0,1,'Вводные'!$B$63))))*AE82)</x:f>
      </x:c>
      <x:c r="AF92" s="107" t="n">
        <x:f>'Вводные'!$O$91*((IF(SUM($D78:$GA78)=0,0,IF(SUM($D81:$GA81)=0,1,'Вводные'!$B$63)))*AF80+(1-(IF(SUM($D78:$GA78)=0,0,IF(SUM($D81:$GA81)=0,1,'Вводные'!$B$63))))*AF82)</x:f>
      </x:c>
      <x:c r="AG92" s="107" t="n">
        <x:f>'Вводные'!$O$91*((IF(SUM($D78:$GA78)=0,0,IF(SUM($D81:$GA81)=0,1,'Вводные'!$B$63)))*AG80+(1-(IF(SUM($D78:$GA78)=0,0,IF(SUM($D81:$GA81)=0,1,'Вводные'!$B$63))))*AG82)</x:f>
      </x:c>
      <x:c r="AH92" s="107" t="n">
        <x:f>'Вводные'!$O$91*((IF(SUM($D78:$GA78)=0,0,IF(SUM($D81:$GA81)=0,1,'Вводные'!$B$63)))*AH80+(1-(IF(SUM($D78:$GA78)=0,0,IF(SUM($D81:$GA81)=0,1,'Вводные'!$B$63))))*AH82)</x:f>
      </x:c>
      <x:c r="AI92" s="107" t="n">
        <x:f>'Вводные'!$O$91*((IF(SUM($D78:$GA78)=0,0,IF(SUM($D81:$GA81)=0,1,'Вводные'!$B$63)))*AI80+(1-(IF(SUM($D78:$GA78)=0,0,IF(SUM($D81:$GA81)=0,1,'Вводные'!$B$63))))*AI82)</x:f>
      </x:c>
      <x:c r="AJ92" s="107" t="n">
        <x:f>'Вводные'!$O$91*((IF(SUM($D78:$GA78)=0,0,IF(SUM($D81:$GA81)=0,1,'Вводные'!$B$63)))*AJ80+(1-(IF(SUM($D78:$GA78)=0,0,IF(SUM($D81:$GA81)=0,1,'Вводные'!$B$63))))*AJ82)</x:f>
      </x:c>
      <x:c r="AK92" s="107" t="n">
        <x:f>'Вводные'!$O$91*((IF(SUM($D78:$GA78)=0,0,IF(SUM($D81:$GA81)=0,1,'Вводные'!$B$63)))*AK80+(1-(IF(SUM($D78:$GA78)=0,0,IF(SUM($D81:$GA81)=0,1,'Вводные'!$B$63))))*AK82)</x:f>
      </x:c>
      <x:c r="AL92" s="107" t="n">
        <x:f>'Вводные'!$O$91*((IF(SUM($D78:$GA78)=0,0,IF(SUM($D81:$GA81)=0,1,'Вводные'!$B$63)))*AL80+(1-(IF(SUM($D78:$GA78)=0,0,IF(SUM($D81:$GA81)=0,1,'Вводные'!$B$63))))*AL82)</x:f>
      </x:c>
      <x:c r="AM92" s="107" t="n">
        <x:f>'Вводные'!$O$91*((IF(SUM($D78:$GA78)=0,0,IF(SUM($D81:$GA81)=0,1,'Вводные'!$B$63)))*AM80+(1-(IF(SUM($D78:$GA78)=0,0,IF(SUM($D81:$GA81)=0,1,'Вводные'!$B$63))))*AM82)</x:f>
      </x:c>
      <x:c r="AN92" s="107" t="n">
        <x:f>'Вводные'!$O$91*((IF(SUM($D78:$GA78)=0,0,IF(SUM($D81:$GA81)=0,1,'Вводные'!$B$63)))*AN80+(1-(IF(SUM($D78:$GA78)=0,0,IF(SUM($D81:$GA81)=0,1,'Вводные'!$B$63))))*AN82)</x:f>
      </x:c>
      <x:c r="AO92" s="107" t="n">
        <x:f>'Вводные'!$O$91*((IF(SUM($D78:$GA78)=0,0,IF(SUM($D81:$GA81)=0,1,'Вводные'!$B$63)))*AO80+(1-(IF(SUM($D78:$GA78)=0,0,IF(SUM($D81:$GA81)=0,1,'Вводные'!$B$63))))*AO82)</x:f>
      </x:c>
      <x:c r="AP92" s="107" t="n">
        <x:f>'Вводные'!$O$91*((IF(SUM($D78:$GA78)=0,0,IF(SUM($D81:$GA81)=0,1,'Вводные'!$B$63)))*AP80+(1-(IF(SUM($D78:$GA78)=0,0,IF(SUM($D81:$GA81)=0,1,'Вводные'!$B$63))))*AP82)</x:f>
      </x:c>
      <x:c r="AQ92" s="107" t="n">
        <x:f>'Вводные'!$O$91*((IF(SUM($D78:$GA78)=0,0,IF(SUM($D81:$GA81)=0,1,'Вводные'!$B$63)))*AQ80+(1-(IF(SUM($D78:$GA78)=0,0,IF(SUM($D81:$GA81)=0,1,'Вводные'!$B$63))))*AQ82)</x:f>
      </x:c>
      <x:c r="AR92" s="107" t="n">
        <x:f>'Вводные'!$O$91*((IF(SUM($D78:$GA78)=0,0,IF(SUM($D81:$GA81)=0,1,'Вводные'!$B$63)))*AR80+(1-(IF(SUM($D78:$GA78)=0,0,IF(SUM($D81:$GA81)=0,1,'Вводные'!$B$63))))*AR82)</x:f>
      </x:c>
      <x:c r="AS92" s="107" t="n">
        <x:f>'Вводные'!$O$91*((IF(SUM($D78:$GA78)=0,0,IF(SUM($D81:$GA81)=0,1,'Вводные'!$B$63)))*AS80+(1-(IF(SUM($D78:$GA78)=0,0,IF(SUM($D81:$GA81)=0,1,'Вводные'!$B$63))))*AS82)</x:f>
      </x:c>
      <x:c r="AT92" s="107" t="n">
        <x:f>'Вводные'!$O$91*((IF(SUM($D78:$GA78)=0,0,IF(SUM($D81:$GA81)=0,1,'Вводные'!$B$63)))*AT80+(1-(IF(SUM($D78:$GA78)=0,0,IF(SUM($D81:$GA81)=0,1,'Вводные'!$B$63))))*AT82)</x:f>
      </x:c>
      <x:c r="AU92" s="107" t="n">
        <x:f>'Вводные'!$O$91*((IF(SUM($D78:$GA78)=0,0,IF(SUM($D81:$GA81)=0,1,'Вводные'!$B$63)))*AU80+(1-(IF(SUM($D78:$GA78)=0,0,IF(SUM($D81:$GA81)=0,1,'Вводные'!$B$63))))*AU82)</x:f>
      </x:c>
      <x:c r="AV92" s="107" t="n">
        <x:f>'Вводные'!$O$91*((IF(SUM($D78:$GA78)=0,0,IF(SUM($D81:$GA81)=0,1,'Вводные'!$B$63)))*AV80+(1-(IF(SUM($D78:$GA78)=0,0,IF(SUM($D81:$GA81)=0,1,'Вводные'!$B$63))))*AV82)</x:f>
      </x:c>
      <x:c r="AW92" s="107" t="n">
        <x:f>'Вводные'!$O$91*((IF(SUM($D78:$GA78)=0,0,IF(SUM($D81:$GA81)=0,1,'Вводные'!$B$63)))*AW80+(1-(IF(SUM($D78:$GA78)=0,0,IF(SUM($D81:$GA81)=0,1,'Вводные'!$B$63))))*AW82)</x:f>
      </x:c>
      <x:c r="AX92" s="107" t="n">
        <x:f>'Вводные'!$O$91*((IF(SUM($D78:$GA78)=0,0,IF(SUM($D81:$GA81)=0,1,'Вводные'!$B$63)))*AX80+(1-(IF(SUM($D78:$GA78)=0,0,IF(SUM($D81:$GA81)=0,1,'Вводные'!$B$63))))*AX82)</x:f>
      </x:c>
      <x:c r="AY92" s="107" t="n">
        <x:f>'Вводные'!$O$91*((IF(SUM($D78:$GA78)=0,0,IF(SUM($D81:$GA81)=0,1,'Вводные'!$B$63)))*AY80+(1-(IF(SUM($D78:$GA78)=0,0,IF(SUM($D81:$GA81)=0,1,'Вводные'!$B$63))))*AY82)</x:f>
      </x:c>
      <x:c r="AZ92" s="107" t="n">
        <x:f>'Вводные'!$O$91*((IF(SUM($D78:$GA78)=0,0,IF(SUM($D81:$GA81)=0,1,'Вводные'!$B$63)))*AZ80+(1-(IF(SUM($D78:$GA78)=0,0,IF(SUM($D81:$GA81)=0,1,'Вводные'!$B$63))))*AZ82)</x:f>
      </x:c>
      <x:c r="BA92" s="107" t="n">
        <x:f>'Вводные'!$O$91*((IF(SUM($D78:$GA78)=0,0,IF(SUM($D81:$GA81)=0,1,'Вводные'!$B$63)))*BA80+(1-(IF(SUM($D78:$GA78)=0,0,IF(SUM($D81:$GA81)=0,1,'Вводные'!$B$63))))*BA82)</x:f>
      </x:c>
      <x:c r="BB92" s="107" t="n">
        <x:f>'Вводные'!$O$91*((IF(SUM($D78:$GA78)=0,0,IF(SUM($D81:$GA81)=0,1,'Вводные'!$B$63)))*BB80+(1-(IF(SUM($D78:$GA78)=0,0,IF(SUM($D81:$GA81)=0,1,'Вводные'!$B$63))))*BB82)</x:f>
      </x:c>
      <x:c r="BC92" s="107" t="n">
        <x:f>'Вводные'!$O$91*((IF(SUM($D78:$GA78)=0,0,IF(SUM($D81:$GA81)=0,1,'Вводные'!$B$63)))*BC80+(1-(IF(SUM($D78:$GA78)=0,0,IF(SUM($D81:$GA81)=0,1,'Вводные'!$B$63))))*BC82)</x:f>
      </x:c>
      <x:c r="BD92" s="107" t="n">
        <x:f>'Вводные'!$O$91*((IF(SUM($D78:$GA78)=0,0,IF(SUM($D81:$GA81)=0,1,'Вводные'!$B$63)))*BD80+(1-(IF(SUM($D78:$GA78)=0,0,IF(SUM($D81:$GA81)=0,1,'Вводные'!$B$63))))*BD82)</x:f>
      </x:c>
      <x:c r="BE92" s="107" t="n">
        <x:f>'Вводные'!$O$91*((IF(SUM($D78:$GA78)=0,0,IF(SUM($D81:$GA81)=0,1,'Вводные'!$B$63)))*BE80+(1-(IF(SUM($D78:$GA78)=0,0,IF(SUM($D81:$GA81)=0,1,'Вводные'!$B$63))))*BE82)</x:f>
      </x:c>
      <x:c r="BF92" s="107" t="n">
        <x:f>'Вводные'!$O$91*((IF(SUM($D78:$GA78)=0,0,IF(SUM($D81:$GA81)=0,1,'Вводные'!$B$63)))*BF80+(1-(IF(SUM($D78:$GA78)=0,0,IF(SUM($D81:$GA81)=0,1,'Вводные'!$B$63))))*BF82)</x:f>
      </x:c>
      <x:c r="BG92" s="107" t="n">
        <x:f>'Вводные'!$O$91*((IF(SUM($D78:$GA78)=0,0,IF(SUM($D81:$GA81)=0,1,'Вводные'!$B$63)))*BG80+(1-(IF(SUM($D78:$GA78)=0,0,IF(SUM($D81:$GA81)=0,1,'Вводные'!$B$63))))*BG82)</x:f>
      </x:c>
      <x:c r="BH92" s="107" t="n">
        <x:f>'Вводные'!$O$91*((IF(SUM($D78:$GA78)=0,0,IF(SUM($D81:$GA81)=0,1,'Вводные'!$B$63)))*BH80+(1-(IF(SUM($D78:$GA78)=0,0,IF(SUM($D81:$GA81)=0,1,'Вводные'!$B$63))))*BH82)</x:f>
      </x:c>
      <x:c r="BI92" s="107" t="n">
        <x:f>'Вводные'!$O$91*((IF(SUM($D78:$GA78)=0,0,IF(SUM($D81:$GA81)=0,1,'Вводные'!$B$63)))*BI80+(1-(IF(SUM($D78:$GA78)=0,0,IF(SUM($D81:$GA81)=0,1,'Вводные'!$B$63))))*BI82)</x:f>
      </x:c>
      <x:c r="BJ92" s="107" t="n">
        <x:f>'Вводные'!$O$91*((IF(SUM($D78:$GA78)=0,0,IF(SUM($D81:$GA81)=0,1,'Вводные'!$B$63)))*BJ80+(1-(IF(SUM($D78:$GA78)=0,0,IF(SUM($D81:$GA81)=0,1,'Вводные'!$B$63))))*BJ82)</x:f>
      </x:c>
      <x:c r="BK92" s="107" t="n">
        <x:f>'Вводные'!$O$91*((IF(SUM($D78:$GA78)=0,0,IF(SUM($D81:$GA81)=0,1,'Вводные'!$B$63)))*BK80+(1-(IF(SUM($D78:$GA78)=0,0,IF(SUM($D81:$GA81)=0,1,'Вводные'!$B$63))))*BK82)</x:f>
      </x:c>
      <x:c r="BL92" s="107" t="n">
        <x:f>'Вводные'!$O$91*((IF(SUM($D78:$GA78)=0,0,IF(SUM($D81:$GA81)=0,1,'Вводные'!$B$63)))*BL80+(1-(IF(SUM($D78:$GA78)=0,0,IF(SUM($D81:$GA81)=0,1,'Вводные'!$B$63))))*BL82)</x:f>
      </x:c>
      <x:c r="BM92" s="107" t="n">
        <x:f>'Вводные'!$O$91*((IF(SUM($D78:$GA78)=0,0,IF(SUM($D81:$GA81)=0,1,'Вводные'!$B$63)))*BM80+(1-(IF(SUM($D78:$GA78)=0,0,IF(SUM($D81:$GA81)=0,1,'Вводные'!$B$63))))*BM82)</x:f>
      </x:c>
      <x:c r="BN92" s="107" t="n">
        <x:f>'Вводные'!$O$91*((IF(SUM($D78:$GA78)=0,0,IF(SUM($D81:$GA81)=0,1,'Вводные'!$B$63)))*BN80+(1-(IF(SUM($D78:$GA78)=0,0,IF(SUM($D81:$GA81)=0,1,'Вводные'!$B$63))))*BN82)</x:f>
      </x:c>
      <x:c r="BO92" s="107" t="n">
        <x:f>'Вводные'!$O$91*((IF(SUM($D78:$GA78)=0,0,IF(SUM($D81:$GA81)=0,1,'Вводные'!$B$63)))*BO80+(1-(IF(SUM($D78:$GA78)=0,0,IF(SUM($D81:$GA81)=0,1,'Вводные'!$B$63))))*BO82)</x:f>
      </x:c>
      <x:c r="BP92" s="107" t="n">
        <x:f>'Вводные'!$O$91*((IF(SUM($D78:$GA78)=0,0,IF(SUM($D81:$GA81)=0,1,'Вводные'!$B$63)))*BP80+(1-(IF(SUM($D78:$GA78)=0,0,IF(SUM($D81:$GA81)=0,1,'Вводные'!$B$63))))*BP82)</x:f>
      </x:c>
      <x:c r="BQ92" s="107" t="n">
        <x:f>'Вводные'!$O$91*((IF(SUM($D78:$GA78)=0,0,IF(SUM($D81:$GA81)=0,1,'Вводные'!$B$63)))*BQ80+(1-(IF(SUM($D78:$GA78)=0,0,IF(SUM($D81:$GA81)=0,1,'Вводные'!$B$63))))*BQ82)</x:f>
      </x:c>
      <x:c r="BR92" s="107" t="n">
        <x:f>'Вводные'!$O$91*((IF(SUM($D78:$GA78)=0,0,IF(SUM($D81:$GA81)=0,1,'Вводные'!$B$63)))*BR80+(1-(IF(SUM($D78:$GA78)=0,0,IF(SUM($D81:$GA81)=0,1,'Вводные'!$B$63))))*BR82)</x:f>
      </x:c>
      <x:c r="BS92" s="107" t="n">
        <x:f>'Вводные'!$O$91*((IF(SUM($D78:$GA78)=0,0,IF(SUM($D81:$GA81)=0,1,'Вводные'!$B$63)))*BS80+(1-(IF(SUM($D78:$GA78)=0,0,IF(SUM($D81:$GA81)=0,1,'Вводные'!$B$63))))*BS82)</x:f>
      </x:c>
      <x:c r="BT92" s="107" t="n">
        <x:f>'Вводные'!$O$91*((IF(SUM($D78:$GA78)=0,0,IF(SUM($D81:$GA81)=0,1,'Вводные'!$B$63)))*BT80+(1-(IF(SUM($D78:$GA78)=0,0,IF(SUM($D81:$GA81)=0,1,'Вводные'!$B$63))))*BT82)</x:f>
      </x:c>
      <x:c r="BU92" s="107" t="n">
        <x:f>'Вводные'!$O$91*((IF(SUM($D78:$GA78)=0,0,IF(SUM($D81:$GA81)=0,1,'Вводные'!$B$63)))*BU80+(1-(IF(SUM($D78:$GA78)=0,0,IF(SUM($D81:$GA81)=0,1,'Вводные'!$B$63))))*BU82)</x:f>
      </x:c>
      <x:c r="BV92" s="107" t="n">
        <x:f>'Вводные'!$O$91*((IF(SUM($D78:$GA78)=0,0,IF(SUM($D81:$GA81)=0,1,'Вводные'!$B$63)))*BV80+(1-(IF(SUM($D78:$GA78)=0,0,IF(SUM($D81:$GA81)=0,1,'Вводные'!$B$63))))*BV82)</x:f>
      </x:c>
      <x:c r="BW92" s="107" t="n">
        <x:f>'Вводные'!$O$91*((IF(SUM($D78:$GA78)=0,0,IF(SUM($D81:$GA81)=0,1,'Вводные'!$B$63)))*BW80+(1-(IF(SUM($D78:$GA78)=0,0,IF(SUM($D81:$GA81)=0,1,'Вводные'!$B$63))))*BW82)</x:f>
      </x:c>
      <x:c r="BX92" s="107" t="n">
        <x:f>'Вводные'!$O$91*((IF(SUM($D78:$GA78)=0,0,IF(SUM($D81:$GA81)=0,1,'Вводные'!$B$63)))*BX80+(1-(IF(SUM($D78:$GA78)=0,0,IF(SUM($D81:$GA81)=0,1,'Вводные'!$B$63))))*BX82)</x:f>
      </x:c>
      <x:c r="BY92" s="107" t="n">
        <x:f>'Вводные'!$O$91*((IF(SUM($D78:$GA78)=0,0,IF(SUM($D81:$GA81)=0,1,'Вводные'!$B$63)))*BY80+(1-(IF(SUM($D78:$GA78)=0,0,IF(SUM($D81:$GA81)=0,1,'Вводные'!$B$63))))*BY82)</x:f>
      </x:c>
      <x:c r="BZ92" s="107" t="n">
        <x:f>'Вводные'!$O$91*((IF(SUM($D78:$GA78)=0,0,IF(SUM($D81:$GA81)=0,1,'Вводные'!$B$63)))*BZ80+(1-(IF(SUM($D78:$GA78)=0,0,IF(SUM($D81:$GA81)=0,1,'Вводные'!$B$63))))*BZ82)</x:f>
      </x:c>
      <x:c r="CA92" s="107" t="n">
        <x:f>'Вводные'!$O$91*((IF(SUM($D78:$GA78)=0,0,IF(SUM($D81:$GA81)=0,1,'Вводные'!$B$63)))*CA80+(1-(IF(SUM($D78:$GA78)=0,0,IF(SUM($D81:$GA81)=0,1,'Вводные'!$B$63))))*CA82)</x:f>
      </x:c>
      <x:c r="CB92" s="107" t="n">
        <x:f>'Вводные'!$O$91*((IF(SUM($D78:$GA78)=0,0,IF(SUM($D81:$GA81)=0,1,'Вводные'!$B$63)))*CB80+(1-(IF(SUM($D78:$GA78)=0,0,IF(SUM($D81:$GA81)=0,1,'Вводные'!$B$63))))*CB82)</x:f>
      </x:c>
      <x:c r="CC92" s="107" t="n">
        <x:f>'Вводные'!$O$91*((IF(SUM($D78:$GA78)=0,0,IF(SUM($D81:$GA81)=0,1,'Вводные'!$B$63)))*CC80+(1-(IF(SUM($D78:$GA78)=0,0,IF(SUM($D81:$GA81)=0,1,'Вводные'!$B$63))))*CC82)</x:f>
      </x:c>
      <x:c r="CD92" s="107" t="n">
        <x:f>'Вводные'!$O$91*((IF(SUM($D78:$GA78)=0,0,IF(SUM($D81:$GA81)=0,1,'Вводные'!$B$63)))*CD80+(1-(IF(SUM($D78:$GA78)=0,0,IF(SUM($D81:$GA81)=0,1,'Вводные'!$B$63))))*CD82)</x:f>
      </x:c>
      <x:c r="CE92" s="107" t="n">
        <x:f>'Вводные'!$O$91*((IF(SUM($D78:$GA78)=0,0,IF(SUM($D81:$GA81)=0,1,'Вводные'!$B$63)))*CE80+(1-(IF(SUM($D78:$GA78)=0,0,IF(SUM($D81:$GA81)=0,1,'Вводные'!$B$63))))*CE82)</x:f>
      </x:c>
      <x:c r="CF92" s="107" t="n">
        <x:f>'Вводные'!$O$91*((IF(SUM($D78:$GA78)=0,0,IF(SUM($D81:$GA81)=0,1,'Вводные'!$B$63)))*CF80+(1-(IF(SUM($D78:$GA78)=0,0,IF(SUM($D81:$GA81)=0,1,'Вводные'!$B$63))))*CF82)</x:f>
      </x:c>
      <x:c r="CG92" s="107" t="n">
        <x:f>'Вводные'!$O$91*((IF(SUM($D78:$GA78)=0,0,IF(SUM($D81:$GA81)=0,1,'Вводные'!$B$63)))*CG80+(1-(IF(SUM($D78:$GA78)=0,0,IF(SUM($D81:$GA81)=0,1,'Вводные'!$B$63))))*CG82)</x:f>
      </x:c>
      <x:c r="CH92" s="107" t="n">
        <x:f>'Вводные'!$O$91*((IF(SUM($D78:$GA78)=0,0,IF(SUM($D81:$GA81)=0,1,'Вводные'!$B$63)))*CH80+(1-(IF(SUM($D78:$GA78)=0,0,IF(SUM($D81:$GA81)=0,1,'Вводные'!$B$63))))*CH82)</x:f>
      </x:c>
      <x:c r="CI92" s="107" t="n">
        <x:f>'Вводные'!$O$91*((IF(SUM($D78:$GA78)=0,0,IF(SUM($D81:$GA81)=0,1,'Вводные'!$B$63)))*CI80+(1-(IF(SUM($D78:$GA78)=0,0,IF(SUM($D81:$GA81)=0,1,'Вводные'!$B$63))))*CI82)</x:f>
      </x:c>
      <x:c r="CJ92" s="107" t="n">
        <x:f>'Вводные'!$O$91*((IF(SUM($D78:$GA78)=0,0,IF(SUM($D81:$GA81)=0,1,'Вводные'!$B$63)))*CJ80+(1-(IF(SUM($D78:$GA78)=0,0,IF(SUM($D81:$GA81)=0,1,'Вводные'!$B$63))))*CJ82)</x:f>
      </x:c>
      <x:c r="CK92" s="107" t="n">
        <x:f>'Вводные'!$O$91*((IF(SUM($D78:$GA78)=0,0,IF(SUM($D81:$GA81)=0,1,'Вводные'!$B$63)))*CK80+(1-(IF(SUM($D78:$GA78)=0,0,IF(SUM($D81:$GA81)=0,1,'Вводные'!$B$63))))*CK82)</x:f>
      </x:c>
      <x:c r="CL92" s="107" t="n">
        <x:f>'Вводные'!$O$91*((IF(SUM($D78:$GA78)=0,0,IF(SUM($D81:$GA81)=0,1,'Вводные'!$B$63)))*CL80+(1-(IF(SUM($D78:$GA78)=0,0,IF(SUM($D81:$GA81)=0,1,'Вводные'!$B$63))))*CL82)</x:f>
      </x:c>
      <x:c r="CM92" s="107" t="n">
        <x:f>'Вводные'!$O$91*((IF(SUM($D78:$GA78)=0,0,IF(SUM($D81:$GA81)=0,1,'Вводные'!$B$63)))*CM80+(1-(IF(SUM($D78:$GA78)=0,0,IF(SUM($D81:$GA81)=0,1,'Вводные'!$B$63))))*CM82)</x:f>
      </x:c>
      <x:c r="CN92" s="107" t="n">
        <x:f>'Вводные'!$O$91*((IF(SUM($D78:$GA78)=0,0,IF(SUM($D81:$GA81)=0,1,'Вводные'!$B$63)))*CN80+(1-(IF(SUM($D78:$GA78)=0,0,IF(SUM($D81:$GA81)=0,1,'Вводные'!$B$63))))*CN82)</x:f>
      </x:c>
      <x:c r="CO92" s="107" t="n">
        <x:f>'Вводные'!$O$91*((IF(SUM($D78:$GA78)=0,0,IF(SUM($D81:$GA81)=0,1,'Вводные'!$B$63)))*CO80+(1-(IF(SUM($D78:$GA78)=0,0,IF(SUM($D81:$GA81)=0,1,'Вводные'!$B$63))))*CO82)</x:f>
      </x:c>
      <x:c r="CP92" s="107" t="n">
        <x:f>'Вводные'!$O$91*((IF(SUM($D78:$GA78)=0,0,IF(SUM($D81:$GA81)=0,1,'Вводные'!$B$63)))*CP80+(1-(IF(SUM($D78:$GA78)=0,0,IF(SUM($D81:$GA81)=0,1,'Вводные'!$B$63))))*CP82)</x:f>
      </x:c>
      <x:c r="CQ92" s="107" t="n">
        <x:f>'Вводные'!$O$91*((IF(SUM($D78:$GA78)=0,0,IF(SUM($D81:$GA81)=0,1,'Вводные'!$B$63)))*CQ80+(1-(IF(SUM($D78:$GA78)=0,0,IF(SUM($D81:$GA81)=0,1,'Вводные'!$B$63))))*CQ82)</x:f>
      </x:c>
      <x:c r="CR92" s="107" t="n">
        <x:f>'Вводные'!$O$91*((IF(SUM($D78:$GA78)=0,0,IF(SUM($D81:$GA81)=0,1,'Вводные'!$B$63)))*CR80+(1-(IF(SUM($D78:$GA78)=0,0,IF(SUM($D81:$GA81)=0,1,'Вводные'!$B$63))))*CR82)</x:f>
      </x:c>
      <x:c r="CS92" s="107" t="n">
        <x:f>'Вводные'!$O$91*((IF(SUM($D78:$GA78)=0,0,IF(SUM($D81:$GA81)=0,1,'Вводные'!$B$63)))*CS80+(1-(IF(SUM($D78:$GA78)=0,0,IF(SUM($D81:$GA81)=0,1,'Вводные'!$B$63))))*CS82)</x:f>
      </x:c>
      <x:c r="CT92" s="107" t="n">
        <x:f>'Вводные'!$O$91*((IF(SUM($D78:$GA78)=0,0,IF(SUM($D81:$GA81)=0,1,'Вводные'!$B$63)))*CT80+(1-(IF(SUM($D78:$GA78)=0,0,IF(SUM($D81:$GA81)=0,1,'Вводные'!$B$63))))*CT82)</x:f>
      </x:c>
      <x:c r="CU92" s="107" t="n">
        <x:f>'Вводные'!$O$91*((IF(SUM($D78:$GA78)=0,0,IF(SUM($D81:$GA81)=0,1,'Вводные'!$B$63)))*CU80+(1-(IF(SUM($D78:$GA78)=0,0,IF(SUM($D81:$GA81)=0,1,'Вводные'!$B$63))))*CU82)</x:f>
      </x:c>
      <x:c r="CV92" s="107" t="n">
        <x:f>'Вводные'!$O$91*((IF(SUM($D78:$GA78)=0,0,IF(SUM($D81:$GA81)=0,1,'Вводные'!$B$63)))*CV80+(1-(IF(SUM($D78:$GA78)=0,0,IF(SUM($D81:$GA81)=0,1,'Вводные'!$B$63))))*CV82)</x:f>
      </x:c>
      <x:c r="CW92" s="107" t="n">
        <x:f>'Вводные'!$O$91*((IF(SUM($D78:$GA78)=0,0,IF(SUM($D81:$GA81)=0,1,'Вводные'!$B$63)))*CW80+(1-(IF(SUM($D78:$GA78)=0,0,IF(SUM($D81:$GA81)=0,1,'Вводные'!$B$63))))*CW82)</x:f>
      </x:c>
      <x:c r="CX92" s="107" t="n">
        <x:f>'Вводные'!$O$91*((IF(SUM($D78:$GA78)=0,0,IF(SUM($D81:$GA81)=0,1,'Вводные'!$B$63)))*CX80+(1-(IF(SUM($D78:$GA78)=0,0,IF(SUM($D81:$GA81)=0,1,'Вводные'!$B$63))))*CX82)</x:f>
      </x:c>
      <x:c r="CY92" s="107" t="n">
        <x:f>'Вводные'!$O$91*((IF(SUM($D78:$GA78)=0,0,IF(SUM($D81:$GA81)=0,1,'Вводные'!$B$63)))*CY80+(1-(IF(SUM($D78:$GA78)=0,0,IF(SUM($D81:$GA81)=0,1,'Вводные'!$B$63))))*CY82)</x:f>
      </x:c>
      <x:c r="CZ92" s="107" t="n">
        <x:f>'Вводные'!$O$91*((IF(SUM($D78:$GA78)=0,0,IF(SUM($D81:$GA81)=0,1,'Вводные'!$B$63)))*CZ80+(1-(IF(SUM($D78:$GA78)=0,0,IF(SUM($D81:$GA81)=0,1,'Вводные'!$B$63))))*CZ82)</x:f>
      </x:c>
      <x:c r="DA92" s="107" t="n">
        <x:f>'Вводные'!$O$91*((IF(SUM($D78:$GA78)=0,0,IF(SUM($D81:$GA81)=0,1,'Вводные'!$B$63)))*DA80+(1-(IF(SUM($D78:$GA78)=0,0,IF(SUM($D81:$GA81)=0,1,'Вводные'!$B$63))))*DA82)</x:f>
      </x:c>
      <x:c r="DB92" s="107" t="n">
        <x:f>'Вводные'!$O$91*((IF(SUM($D78:$GA78)=0,0,IF(SUM($D81:$GA81)=0,1,'Вводные'!$B$63)))*DB80+(1-(IF(SUM($D78:$GA78)=0,0,IF(SUM($D81:$GA81)=0,1,'Вводные'!$B$63))))*DB82)</x:f>
      </x:c>
      <x:c r="DC92" s="107" t="n">
        <x:f>'Вводные'!$O$91*((IF(SUM($D78:$GA78)=0,0,IF(SUM($D81:$GA81)=0,1,'Вводные'!$B$63)))*DC80+(1-(IF(SUM($D78:$GA78)=0,0,IF(SUM($D81:$GA81)=0,1,'Вводные'!$B$63))))*DC82)</x:f>
      </x:c>
      <x:c r="DD92" s="107" t="n">
        <x:f>'Вводные'!$O$91*((IF(SUM($D78:$GA78)=0,0,IF(SUM($D81:$GA81)=0,1,'Вводные'!$B$63)))*DD80+(1-(IF(SUM($D78:$GA78)=0,0,IF(SUM($D81:$GA81)=0,1,'Вводные'!$B$63))))*DD82)</x:f>
      </x:c>
      <x:c r="DE92" s="107" t="n">
        <x:f>'Вводные'!$O$91*((IF(SUM($D78:$GA78)=0,0,IF(SUM($D81:$GA81)=0,1,'Вводные'!$B$63)))*DE80+(1-(IF(SUM($D78:$GA78)=0,0,IF(SUM($D81:$GA81)=0,1,'Вводные'!$B$63))))*DE82)</x:f>
      </x:c>
      <x:c r="DF92" s="107" t="n">
        <x:f>'Вводные'!$O$91*((IF(SUM($D78:$GA78)=0,0,IF(SUM($D81:$GA81)=0,1,'Вводные'!$B$63)))*DF80+(1-(IF(SUM($D78:$GA78)=0,0,IF(SUM($D81:$GA81)=0,1,'Вводные'!$B$63))))*DF82)</x:f>
      </x:c>
      <x:c r="DG92" s="107" t="n">
        <x:f>'Вводные'!$O$91*((IF(SUM($D78:$GA78)=0,0,IF(SUM($D81:$GA81)=0,1,'Вводные'!$B$63)))*DG80+(1-(IF(SUM($D78:$GA78)=0,0,IF(SUM($D81:$GA81)=0,1,'Вводные'!$B$63))))*DG82)</x:f>
      </x:c>
      <x:c r="DH92" s="107" t="n">
        <x:f>'Вводные'!$O$91*((IF(SUM($D78:$GA78)=0,0,IF(SUM($D81:$GA81)=0,1,'Вводные'!$B$63)))*DH80+(1-(IF(SUM($D78:$GA78)=0,0,IF(SUM($D81:$GA81)=0,1,'Вводные'!$B$63))))*DH82)</x:f>
      </x:c>
      <x:c r="DI92" s="107" t="n">
        <x:f>'Вводные'!$O$91*((IF(SUM($D78:$GA78)=0,0,IF(SUM($D81:$GA81)=0,1,'Вводные'!$B$63)))*DI80+(1-(IF(SUM($D78:$GA78)=0,0,IF(SUM($D81:$GA81)=0,1,'Вводные'!$B$63))))*DI82)</x:f>
      </x:c>
      <x:c r="DJ92" s="107" t="n">
        <x:f>'Вводные'!$O$91*((IF(SUM($D78:$GA78)=0,0,IF(SUM($D81:$GA81)=0,1,'Вводные'!$B$63)))*DJ80+(1-(IF(SUM($D78:$GA78)=0,0,IF(SUM($D81:$GA81)=0,1,'Вводные'!$B$63))))*DJ82)</x:f>
      </x:c>
      <x:c r="DK92" s="107" t="n">
        <x:f>'Вводные'!$O$91*((IF(SUM($D78:$GA78)=0,0,IF(SUM($D81:$GA81)=0,1,'Вводные'!$B$63)))*DK80+(1-(IF(SUM($D78:$GA78)=0,0,IF(SUM($D81:$GA81)=0,1,'Вводные'!$B$63))))*DK82)</x:f>
      </x:c>
      <x:c r="DL92" s="107" t="n">
        <x:f>'Вводные'!$O$91*((IF(SUM($D78:$GA78)=0,0,IF(SUM($D81:$GA81)=0,1,'Вводные'!$B$63)))*DL80+(1-(IF(SUM($D78:$GA78)=0,0,IF(SUM($D81:$GA81)=0,1,'Вводные'!$B$63))))*DL82)</x:f>
      </x:c>
      <x:c r="DM92" s="107" t="n">
        <x:f>'Вводные'!$O$91*((IF(SUM($D78:$GA78)=0,0,IF(SUM($D81:$GA81)=0,1,'Вводные'!$B$63)))*DM80+(1-(IF(SUM($D78:$GA78)=0,0,IF(SUM($D81:$GA81)=0,1,'Вводные'!$B$63))))*DM82)</x:f>
      </x:c>
      <x:c r="DN92" s="107" t="n">
        <x:f>'Вводные'!$O$91*((IF(SUM($D78:$GA78)=0,0,IF(SUM($D81:$GA81)=0,1,'Вводные'!$B$63)))*DN80+(1-(IF(SUM($D78:$GA78)=0,0,IF(SUM($D81:$GA81)=0,1,'Вводные'!$B$63))))*DN82)</x:f>
      </x:c>
      <x:c r="DO92" s="107" t="n">
        <x:f>'Вводные'!$O$91*((IF(SUM($D78:$GA78)=0,0,IF(SUM($D81:$GA81)=0,1,'Вводные'!$B$63)))*DO80+(1-(IF(SUM($D78:$GA78)=0,0,IF(SUM($D81:$GA81)=0,1,'Вводные'!$B$63))))*DO82)</x:f>
      </x:c>
      <x:c r="DP92" s="107" t="n">
        <x:f>'Вводные'!$O$91*((IF(SUM($D78:$GA78)=0,0,IF(SUM($D81:$GA81)=0,1,'Вводные'!$B$63)))*DP80+(1-(IF(SUM($D78:$GA78)=0,0,IF(SUM($D81:$GA81)=0,1,'Вводные'!$B$63))))*DP82)</x:f>
      </x:c>
      <x:c r="DQ92" s="107" t="n">
        <x:f>'Вводные'!$O$91*((IF(SUM($D78:$GA78)=0,0,IF(SUM($D81:$GA81)=0,1,'Вводные'!$B$63)))*DQ80+(1-(IF(SUM($D78:$GA78)=0,0,IF(SUM($D81:$GA81)=0,1,'Вводные'!$B$63))))*DQ82)</x:f>
      </x:c>
      <x:c r="DR92" s="107" t="n">
        <x:f>'Вводные'!$O$91*((IF(SUM($D78:$GA78)=0,0,IF(SUM($D81:$GA81)=0,1,'Вводные'!$B$63)))*DR80+(1-(IF(SUM($D78:$GA78)=0,0,IF(SUM($D81:$GA81)=0,1,'Вводные'!$B$63))))*DR82)</x:f>
      </x:c>
      <x:c r="DS92" s="107" t="n">
        <x:f>'Вводные'!$O$91*((IF(SUM($D78:$GA78)=0,0,IF(SUM($D81:$GA81)=0,1,'Вводные'!$B$63)))*DS80+(1-(IF(SUM($D78:$GA78)=0,0,IF(SUM($D81:$GA81)=0,1,'Вводные'!$B$63))))*DS82)</x:f>
      </x:c>
      <x:c r="DT92" s="107" t="n">
        <x:f>'Вводные'!$O$91*((IF(SUM($D78:$GA78)=0,0,IF(SUM($D81:$GA81)=0,1,'Вводные'!$B$63)))*DT80+(1-(IF(SUM($D78:$GA78)=0,0,IF(SUM($D81:$GA81)=0,1,'Вводные'!$B$63))))*DT82)</x:f>
      </x:c>
      <x:c r="DU92" s="107" t="n">
        <x:f>'Вводные'!$O$91*((IF(SUM($D78:$GA78)=0,0,IF(SUM($D81:$GA81)=0,1,'Вводные'!$B$63)))*DU80+(1-(IF(SUM($D78:$GA78)=0,0,IF(SUM($D81:$GA81)=0,1,'Вводные'!$B$63))))*DU82)</x:f>
      </x:c>
      <x:c r="DV92" s="107" t="n">
        <x:f>'Вводные'!$O$91*((IF(SUM($D78:$GA78)=0,0,IF(SUM($D81:$GA81)=0,1,'Вводные'!$B$63)))*DV80+(1-(IF(SUM($D78:$GA78)=0,0,IF(SUM($D81:$GA81)=0,1,'Вводные'!$B$63))))*DV82)</x:f>
      </x:c>
      <x:c r="DW92" s="107" t="n">
        <x:f>'Вводные'!$O$91*((IF(SUM($D78:$GA78)=0,0,IF(SUM($D81:$GA81)=0,1,'Вводные'!$B$63)))*DW80+(1-(IF(SUM($D78:$GA78)=0,0,IF(SUM($D81:$GA81)=0,1,'Вводные'!$B$63))))*DW82)</x:f>
      </x:c>
      <x:c r="DX92" s="107" t="n">
        <x:f>'Вводные'!$O$91*((IF(SUM($D78:$GA78)=0,0,IF(SUM($D81:$GA81)=0,1,'Вводные'!$B$63)))*DX80+(1-(IF(SUM($D78:$GA78)=0,0,IF(SUM($D81:$GA81)=0,1,'Вводные'!$B$63))))*DX82)</x:f>
      </x:c>
      <x:c r="DY92" s="107" t="n">
        <x:f>'Вводные'!$O$91*((IF(SUM($D78:$GA78)=0,0,IF(SUM($D81:$GA81)=0,1,'Вводные'!$B$63)))*DY80+(1-(IF(SUM($D78:$GA78)=0,0,IF(SUM($D81:$GA81)=0,1,'Вводные'!$B$63))))*DY82)</x:f>
      </x:c>
      <x:c r="DZ92" s="107" t="n">
        <x:f>'Вводные'!$O$91*((IF(SUM($D78:$GA78)=0,0,IF(SUM($D81:$GA81)=0,1,'Вводные'!$B$63)))*DZ80+(1-(IF(SUM($D78:$GA78)=0,0,IF(SUM($D81:$GA81)=0,1,'Вводные'!$B$63))))*DZ82)</x:f>
      </x:c>
      <x:c r="EA92" s="107" t="n">
        <x:f>'Вводные'!$O$91*((IF(SUM($D78:$GA78)=0,0,IF(SUM($D81:$GA81)=0,1,'Вводные'!$B$63)))*EA80+(1-(IF(SUM($D78:$GA78)=0,0,IF(SUM($D81:$GA81)=0,1,'Вводные'!$B$63))))*EA82)</x:f>
      </x:c>
      <x:c r="EB92" s="107" t="n">
        <x:f>'Вводные'!$O$91*((IF(SUM($D78:$GA78)=0,0,IF(SUM($D81:$GA81)=0,1,'Вводные'!$B$63)))*EB80+(1-(IF(SUM($D78:$GA78)=0,0,IF(SUM($D81:$GA81)=0,1,'Вводные'!$B$63))))*EB82)</x:f>
      </x:c>
      <x:c r="EC92" s="107" t="n">
        <x:f>'Вводные'!$O$91*((IF(SUM($D78:$GA78)=0,0,IF(SUM($D81:$GA81)=0,1,'Вводные'!$B$63)))*EC80+(1-(IF(SUM($D78:$GA78)=0,0,IF(SUM($D81:$GA81)=0,1,'Вводные'!$B$63))))*EC82)</x:f>
      </x:c>
      <x:c r="ED92" s="107" t="n">
        <x:f>'Вводные'!$O$91*((IF(SUM($D78:$GA78)=0,0,IF(SUM($D81:$GA81)=0,1,'Вводные'!$B$63)))*ED80+(1-(IF(SUM($D78:$GA78)=0,0,IF(SUM($D81:$GA81)=0,1,'Вводные'!$B$63))))*ED82)</x:f>
      </x:c>
      <x:c r="EE92" s="107" t="n">
        <x:f>'Вводные'!$O$91*((IF(SUM($D78:$GA78)=0,0,IF(SUM($D81:$GA81)=0,1,'Вводные'!$B$63)))*EE80+(1-(IF(SUM($D78:$GA78)=0,0,IF(SUM($D81:$GA81)=0,1,'Вводные'!$B$63))))*EE82)</x:f>
      </x:c>
      <x:c r="EF92" s="107" t="n">
        <x:f>'Вводные'!$O$91*((IF(SUM($D78:$GA78)=0,0,IF(SUM($D81:$GA81)=0,1,'Вводные'!$B$63)))*EF80+(1-(IF(SUM($D78:$GA78)=0,0,IF(SUM($D81:$GA81)=0,1,'Вводные'!$B$63))))*EF82)</x:f>
      </x:c>
      <x:c r="EG92" s="107" t="n">
        <x:f>'Вводные'!$O$91*((IF(SUM($D78:$GA78)=0,0,IF(SUM($D81:$GA81)=0,1,'Вводные'!$B$63)))*EG80+(1-(IF(SUM($D78:$GA78)=0,0,IF(SUM($D81:$GA81)=0,1,'Вводные'!$B$63))))*EG82)</x:f>
      </x:c>
      <x:c r="EH92" s="107" t="n">
        <x:f>'Вводные'!$O$91*((IF(SUM($D78:$GA78)=0,0,IF(SUM($D81:$GA81)=0,1,'Вводные'!$B$63)))*EH80+(1-(IF(SUM($D78:$GA78)=0,0,IF(SUM($D81:$GA81)=0,1,'Вводные'!$B$63))))*EH82)</x:f>
      </x:c>
      <x:c r="EI92" s="107" t="n">
        <x:f>'Вводные'!$O$91*((IF(SUM($D78:$GA78)=0,0,IF(SUM($D81:$GA81)=0,1,'Вводные'!$B$63)))*EI80+(1-(IF(SUM($D78:$GA78)=0,0,IF(SUM($D81:$GA81)=0,1,'Вводные'!$B$63))))*EI82)</x:f>
      </x:c>
      <x:c r="EJ92" s="107" t="n">
        <x:f>'Вводные'!$O$91*((IF(SUM($D78:$GA78)=0,0,IF(SUM($D81:$GA81)=0,1,'Вводные'!$B$63)))*EJ80+(1-(IF(SUM($D78:$GA78)=0,0,IF(SUM($D81:$GA81)=0,1,'Вводные'!$B$63))))*EJ82)</x:f>
      </x:c>
      <x:c r="EK92" s="107" t="n">
        <x:f>'Вводные'!$O$91*((IF(SUM($D78:$GA78)=0,0,IF(SUM($D81:$GA81)=0,1,'Вводные'!$B$63)))*EK80+(1-(IF(SUM($D78:$GA78)=0,0,IF(SUM($D81:$GA81)=0,1,'Вводные'!$B$63))))*EK82)</x:f>
      </x:c>
      <x:c r="EL92" s="107" t="n">
        <x:f>'Вводные'!$O$91*((IF(SUM($D78:$GA78)=0,0,IF(SUM($D81:$GA81)=0,1,'Вводные'!$B$63)))*EL80+(1-(IF(SUM($D78:$GA78)=0,0,IF(SUM($D81:$GA81)=0,1,'Вводные'!$B$63))))*EL82)</x:f>
      </x:c>
      <x:c r="EM92" s="107" t="n">
        <x:f>'Вводные'!$O$91*((IF(SUM($D78:$GA78)=0,0,IF(SUM($D81:$GA81)=0,1,'Вводные'!$B$63)))*EM80+(1-(IF(SUM($D78:$GA78)=0,0,IF(SUM($D81:$GA81)=0,1,'Вводные'!$B$63))))*EM82)</x:f>
      </x:c>
      <x:c r="EN92" s="107" t="n">
        <x:f>'Вводные'!$O$91*((IF(SUM($D78:$GA78)=0,0,IF(SUM($D81:$GA81)=0,1,'Вводные'!$B$63)))*EN80+(1-(IF(SUM($D78:$GA78)=0,0,IF(SUM($D81:$GA81)=0,1,'Вводные'!$B$63))))*EN82)</x:f>
      </x:c>
      <x:c r="EO92" s="107" t="n">
        <x:f>'Вводные'!$O$91*((IF(SUM($D78:$GA78)=0,0,IF(SUM($D81:$GA81)=0,1,'Вводные'!$B$63)))*EO80+(1-(IF(SUM($D78:$GA78)=0,0,IF(SUM($D81:$GA81)=0,1,'Вводные'!$B$63))))*EO82)</x:f>
      </x:c>
      <x:c r="EP92" s="107" t="n">
        <x:f>'Вводные'!$O$91*((IF(SUM($D78:$GA78)=0,0,IF(SUM($D81:$GA81)=0,1,'Вводные'!$B$63)))*EP80+(1-(IF(SUM($D78:$GA78)=0,0,IF(SUM($D81:$GA81)=0,1,'Вводные'!$B$63))))*EP82)</x:f>
      </x:c>
      <x:c r="EQ92" s="107" t="n">
        <x:f>'Вводные'!$O$91*((IF(SUM($D78:$GA78)=0,0,IF(SUM($D81:$GA81)=0,1,'Вводные'!$B$63)))*EQ80+(1-(IF(SUM($D78:$GA78)=0,0,IF(SUM($D81:$GA81)=0,1,'Вводные'!$B$63))))*EQ82)</x:f>
      </x:c>
      <x:c r="ER92" s="107" t="n">
        <x:f>'Вводные'!$O$91*((IF(SUM($D78:$GA78)=0,0,IF(SUM($D81:$GA81)=0,1,'Вводные'!$B$63)))*ER80+(1-(IF(SUM($D78:$GA78)=0,0,IF(SUM($D81:$GA81)=0,1,'Вводные'!$B$63))))*ER82)</x:f>
      </x:c>
      <x:c r="ES92" s="107" t="n">
        <x:f>'Вводные'!$O$91*((IF(SUM($D78:$GA78)=0,0,IF(SUM($D81:$GA81)=0,1,'Вводные'!$B$63)))*ES80+(1-(IF(SUM($D78:$GA78)=0,0,IF(SUM($D81:$GA81)=0,1,'Вводные'!$B$63))))*ES82)</x:f>
      </x:c>
      <x:c r="ET92" s="107" t="n">
        <x:f>'Вводные'!$O$91*((IF(SUM($D78:$GA78)=0,0,IF(SUM($D81:$GA81)=0,1,'Вводные'!$B$63)))*ET80+(1-(IF(SUM($D78:$GA78)=0,0,IF(SUM($D81:$GA81)=0,1,'Вводные'!$B$63))))*ET82)</x:f>
      </x:c>
      <x:c r="EU92" s="107" t="n">
        <x:f>'Вводные'!$O$91*((IF(SUM($D78:$GA78)=0,0,IF(SUM($D81:$GA81)=0,1,'Вводные'!$B$63)))*EU80+(1-(IF(SUM($D78:$GA78)=0,0,IF(SUM($D81:$GA81)=0,1,'Вводные'!$B$63))))*EU82)</x:f>
      </x:c>
      <x:c r="EV92" s="107" t="n">
        <x:f>'Вводные'!$O$91*((IF(SUM($D78:$GA78)=0,0,IF(SUM($D81:$GA81)=0,1,'Вводные'!$B$63)))*EV80+(1-(IF(SUM($D78:$GA78)=0,0,IF(SUM($D81:$GA81)=0,1,'Вводные'!$B$63))))*EV82)</x:f>
      </x:c>
      <x:c r="EW92" s="107" t="n">
        <x:f>'Вводные'!$O$91*((IF(SUM($D78:$GA78)=0,0,IF(SUM($D81:$GA81)=0,1,'Вводные'!$B$63)))*EW80+(1-(IF(SUM($D78:$GA78)=0,0,IF(SUM($D81:$GA81)=0,1,'Вводные'!$B$63))))*EW82)</x:f>
      </x:c>
      <x:c r="EX92" s="107" t="n">
        <x:f>'Вводные'!$O$91*((IF(SUM($D78:$GA78)=0,0,IF(SUM($D81:$GA81)=0,1,'Вводные'!$B$63)))*EX80+(1-(IF(SUM($D78:$GA78)=0,0,IF(SUM($D81:$GA81)=0,1,'Вводные'!$B$63))))*EX82)</x:f>
      </x:c>
      <x:c r="EY92" s="107" t="n">
        <x:f>'Вводные'!$O$91*((IF(SUM($D78:$GA78)=0,0,IF(SUM($D81:$GA81)=0,1,'Вводные'!$B$63)))*EY80+(1-(IF(SUM($D78:$GA78)=0,0,IF(SUM($D81:$GA81)=0,1,'Вводные'!$B$63))))*EY82)</x:f>
      </x:c>
      <x:c r="EZ92" s="107" t="n">
        <x:f>'Вводные'!$O$91*((IF(SUM($D78:$GA78)=0,0,IF(SUM($D81:$GA81)=0,1,'Вводные'!$B$63)))*EZ80+(1-(IF(SUM($D78:$GA78)=0,0,IF(SUM($D81:$GA81)=0,1,'Вводные'!$B$63))))*EZ82)</x:f>
      </x:c>
      <x:c r="FA92" s="107" t="n">
        <x:f>'Вводные'!$O$91*((IF(SUM($D78:$GA78)=0,0,IF(SUM($D81:$GA81)=0,1,'Вводные'!$B$63)))*FA80+(1-(IF(SUM($D78:$GA78)=0,0,IF(SUM($D81:$GA81)=0,1,'Вводные'!$B$63))))*FA82)</x:f>
      </x:c>
      <x:c r="FB92" s="107" t="n">
        <x:f>'Вводные'!$O$91*((IF(SUM($D78:$GA78)=0,0,IF(SUM($D81:$GA81)=0,1,'Вводные'!$B$63)))*FB80+(1-(IF(SUM($D78:$GA78)=0,0,IF(SUM($D81:$GA81)=0,1,'Вводные'!$B$63))))*FB82)</x:f>
      </x:c>
      <x:c r="FC92" s="107" t="n">
        <x:f>'Вводные'!$O$91*((IF(SUM($D78:$GA78)=0,0,IF(SUM($D81:$GA81)=0,1,'Вводные'!$B$63)))*FC80+(1-(IF(SUM($D78:$GA78)=0,0,IF(SUM($D81:$GA81)=0,1,'Вводные'!$B$63))))*FC82)</x:f>
      </x:c>
      <x:c r="FD92" s="107" t="n">
        <x:f>'Вводные'!$O$91*((IF(SUM($D78:$GA78)=0,0,IF(SUM($D81:$GA81)=0,1,'Вводные'!$B$63)))*FD80+(1-(IF(SUM($D78:$GA78)=0,0,IF(SUM($D81:$GA81)=0,1,'Вводные'!$B$63))))*FD82)</x:f>
      </x:c>
      <x:c r="FE92" s="107" t="n">
        <x:f>'Вводные'!$O$91*((IF(SUM($D78:$GA78)=0,0,IF(SUM($D81:$GA81)=0,1,'Вводные'!$B$63)))*FE80+(1-(IF(SUM($D78:$GA78)=0,0,IF(SUM($D81:$GA81)=0,1,'Вводные'!$B$63))))*FE82)</x:f>
      </x:c>
      <x:c r="FF92" s="107" t="n">
        <x:f>'Вводные'!$O$91*((IF(SUM($D78:$GA78)=0,0,IF(SUM($D81:$GA81)=0,1,'Вводные'!$B$63)))*FF80+(1-(IF(SUM($D78:$GA78)=0,0,IF(SUM($D81:$GA81)=0,1,'Вводные'!$B$63))))*FF82)</x:f>
      </x:c>
      <x:c r="FG92" s="107" t="n">
        <x:f>'Вводные'!$O$91*((IF(SUM($D78:$GA78)=0,0,IF(SUM($D81:$GA81)=0,1,'Вводные'!$B$63)))*FG80+(1-(IF(SUM($D78:$GA78)=0,0,IF(SUM($D81:$GA81)=0,1,'Вводные'!$B$63))))*FG82)</x:f>
      </x:c>
      <x:c r="FH92" s="107" t="n">
        <x:f>'Вводные'!$O$91*((IF(SUM($D78:$GA78)=0,0,IF(SUM($D81:$GA81)=0,1,'Вводные'!$B$63)))*FH80+(1-(IF(SUM($D78:$GA78)=0,0,IF(SUM($D81:$GA81)=0,1,'Вводные'!$B$63))))*FH82)</x:f>
      </x:c>
      <x:c r="FI92" s="107" t="n">
        <x:f>'Вводные'!$O$91*((IF(SUM($D78:$GA78)=0,0,IF(SUM($D81:$GA81)=0,1,'Вводные'!$B$63)))*FI80+(1-(IF(SUM($D78:$GA78)=0,0,IF(SUM($D81:$GA81)=0,1,'Вводные'!$B$63))))*FI82)</x:f>
      </x:c>
      <x:c r="FJ92" s="107" t="n">
        <x:f>'Вводные'!$O$91*((IF(SUM($D78:$GA78)=0,0,IF(SUM($D81:$GA81)=0,1,'Вводные'!$B$63)))*FJ80+(1-(IF(SUM($D78:$GA78)=0,0,IF(SUM($D81:$GA81)=0,1,'Вводные'!$B$63))))*FJ82)</x:f>
      </x:c>
      <x:c r="FK92" s="107" t="n">
        <x:f>'Вводные'!$O$91*((IF(SUM($D78:$GA78)=0,0,IF(SUM($D81:$GA81)=0,1,'Вводные'!$B$63)))*FK80+(1-(IF(SUM($D78:$GA78)=0,0,IF(SUM($D81:$GA81)=0,1,'Вводные'!$B$63))))*FK82)</x:f>
      </x:c>
      <x:c r="FL92" s="107" t="n">
        <x:f>'Вводные'!$O$91*((IF(SUM($D78:$GA78)=0,0,IF(SUM($D81:$GA81)=0,1,'Вводные'!$B$63)))*FL80+(1-(IF(SUM($D78:$GA78)=0,0,IF(SUM($D81:$GA81)=0,1,'Вводные'!$B$63))))*FL82)</x:f>
      </x:c>
      <x:c r="FM92" s="107" t="n">
        <x:f>'Вводные'!$O$91*((IF(SUM($D78:$GA78)=0,0,IF(SUM($D81:$GA81)=0,1,'Вводные'!$B$63)))*FM80+(1-(IF(SUM($D78:$GA78)=0,0,IF(SUM($D81:$GA81)=0,1,'Вводные'!$B$63))))*FM82)</x:f>
      </x:c>
      <x:c r="FN92" s="107" t="n">
        <x:f>'Вводные'!$O$91*((IF(SUM($D78:$GA78)=0,0,IF(SUM($D81:$GA81)=0,1,'Вводные'!$B$63)))*FN80+(1-(IF(SUM($D78:$GA78)=0,0,IF(SUM($D81:$GA81)=0,1,'Вводные'!$B$63))))*FN82)</x:f>
      </x:c>
      <x:c r="FO92" s="107" t="n">
        <x:f>'Вводные'!$O$91*((IF(SUM($D78:$GA78)=0,0,IF(SUM($D81:$GA81)=0,1,'Вводные'!$B$63)))*FO80+(1-(IF(SUM($D78:$GA78)=0,0,IF(SUM($D81:$GA81)=0,1,'Вводные'!$B$63))))*FO82)</x:f>
      </x:c>
      <x:c r="FP92" s="107" t="n">
        <x:f>'Вводные'!$O$91*((IF(SUM($D78:$GA78)=0,0,IF(SUM($D81:$GA81)=0,1,'Вводные'!$B$63)))*FP80+(1-(IF(SUM($D78:$GA78)=0,0,IF(SUM($D81:$GA81)=0,1,'Вводные'!$B$63))))*FP82)</x:f>
      </x:c>
      <x:c r="FQ92" s="107" t="n">
        <x:f>'Вводные'!$O$91*((IF(SUM($D78:$GA78)=0,0,IF(SUM($D81:$GA81)=0,1,'Вводные'!$B$63)))*FQ80+(1-(IF(SUM($D78:$GA78)=0,0,IF(SUM($D81:$GA81)=0,1,'Вводные'!$B$63))))*FQ82)</x:f>
      </x:c>
      <x:c r="FR92" s="107" t="n">
        <x:f>'Вводные'!$O$91*((IF(SUM($D78:$GA78)=0,0,IF(SUM($D81:$GA81)=0,1,'Вводные'!$B$63)))*FR80+(1-(IF(SUM($D78:$GA78)=0,0,IF(SUM($D81:$GA81)=0,1,'Вводные'!$B$63))))*FR82)</x:f>
      </x:c>
      <x:c r="FS92" s="107" t="n">
        <x:f>'Вводные'!$O$91*((IF(SUM($D78:$GA78)=0,0,IF(SUM($D81:$GA81)=0,1,'Вводные'!$B$63)))*FS80+(1-(IF(SUM($D78:$GA78)=0,0,IF(SUM($D81:$GA81)=0,1,'Вводные'!$B$63))))*FS82)</x:f>
      </x:c>
      <x:c r="FT92" s="107" t="n">
        <x:f>'Вводные'!$O$91*((IF(SUM($D78:$GA78)=0,0,IF(SUM($D81:$GA81)=0,1,'Вводные'!$B$63)))*FT80+(1-(IF(SUM($D78:$GA78)=0,0,IF(SUM($D81:$GA81)=0,1,'Вводные'!$B$63))))*FT82)</x:f>
      </x:c>
      <x:c r="FU92" s="107" t="n">
        <x:f>'Вводные'!$O$91*((IF(SUM($D78:$GA78)=0,0,IF(SUM($D81:$GA81)=0,1,'Вводные'!$B$63)))*FU80+(1-(IF(SUM($D78:$GA78)=0,0,IF(SUM($D81:$GA81)=0,1,'Вводные'!$B$63))))*FU82)</x:f>
      </x:c>
      <x:c r="FV92" s="107" t="n">
        <x:f>'Вводные'!$O$91*((IF(SUM($D78:$GA78)=0,0,IF(SUM($D81:$GA81)=0,1,'Вводные'!$B$63)))*FV80+(1-(IF(SUM($D78:$GA78)=0,0,IF(SUM($D81:$GA81)=0,1,'Вводные'!$B$63))))*FV82)</x:f>
      </x:c>
      <x:c r="FW92" s="107" t="n">
        <x:f>'Вводные'!$O$91*((IF(SUM($D78:$GA78)=0,0,IF(SUM($D81:$GA81)=0,1,'Вводные'!$B$63)))*FW80+(1-(IF(SUM($D78:$GA78)=0,0,IF(SUM($D81:$GA81)=0,1,'Вводные'!$B$63))))*FW82)</x:f>
      </x:c>
      <x:c r="FX92" s="107" t="n">
        <x:f>'Вводные'!$O$91*((IF(SUM($D78:$GA78)=0,0,IF(SUM($D81:$GA81)=0,1,'Вводные'!$B$63)))*FX80+(1-(IF(SUM($D78:$GA78)=0,0,IF(SUM($D81:$GA81)=0,1,'Вводные'!$B$63))))*FX82)</x:f>
      </x:c>
      <x:c r="FY92" s="107" t="n">
        <x:f>'Вводные'!$O$91*((IF(SUM($D78:$GA78)=0,0,IF(SUM($D81:$GA81)=0,1,'Вводные'!$B$63)))*FY80+(1-(IF(SUM($D78:$GA78)=0,0,IF(SUM($D81:$GA81)=0,1,'Вводные'!$B$63))))*FY82)</x:f>
      </x:c>
      <x:c r="FZ92" s="107" t="n">
        <x:f>'Вводные'!$O$91*((IF(SUM($D78:$GA78)=0,0,IF(SUM($D81:$GA81)=0,1,'Вводные'!$B$63)))*FZ80+(1-(IF(SUM($D78:$GA78)=0,0,IF(SUM($D81:$GA81)=0,1,'Вводные'!$B$63))))*FZ82)</x:f>
      </x:c>
      <x:c r="GA92" s="107" t="n">
        <x:f>'Вводные'!$O$91*((IF(SUM($D78:$GA78)=0,0,IF(SUM($D81:$GA81)=0,1,'Вводные'!$B$63)))*GA80+(1-(IF(SUM($D78:$GA78)=0,0,IF(SUM($D81:$GA81)=0,1,'Вводные'!$B$63))))*GA82)</x:f>
      </x:c>
    </x:row>
    <x:row r="93">
      <x:c r="A93" t="str">
        <x:v>Кладовые — цена</x:v>
      </x:c>
      <x:c r="B93" t="n">
        <x:f>IFERROR(B94*1000/B92,0)</x:f>
      </x:c>
      <x:c r="C93" t="str">
        <x:v>тыс. ₽/шт.</x:v>
      </x:c>
      <x:c r="D93" s="107" t="n">
        <x:f>IF(D92=0,0,'Вводные'!$B$62*'Вводные'!$S$91*'Вводные'!$H$5*'Вводные'!$AG$91*(1+'Вводные'!$B$64)^MAX(0,MIN((12*(YEAR(D$3)-YEAR($B$76))+MONTH(D$3)-MONTH($B$76)),(12*(YEAR($B$77)-YEAR($B$76))+MONTH($B$77)-MONTH($B$76))))*(1+'Вводные'!$B$65)^MAX(0,(12*(YEAR(D$3)-YEAR($B$77))+MONTH(D$3)-MONTH($B$77))))</x:f>
      </x:c>
      <x:c r="E93" s="107" t="n">
        <x:f>IF(E92=0,0,'Вводные'!$B$62*'Вводные'!$S$91*'Вводные'!$H$5*'Вводные'!$AG$91*(1+'Вводные'!$B$64)^MAX(0,MIN((12*(YEAR(E$3)-YEAR($B$76))+MONTH(E$3)-MONTH($B$76)),(12*(YEAR($B$77)-YEAR($B$76))+MONTH($B$77)-MONTH($B$76))))*(1+'Вводные'!$B$65)^MAX(0,(12*(YEAR(E$3)-YEAR($B$77))+MONTH(E$3)-MONTH($B$77))))</x:f>
      </x:c>
      <x:c r="F93" s="107" t="n">
        <x:f>IF(F92=0,0,'Вводные'!$B$62*'Вводные'!$S$91*'Вводные'!$H$5*'Вводные'!$AG$91*(1+'Вводные'!$B$64)^MAX(0,MIN((12*(YEAR(F$3)-YEAR($B$76))+MONTH(F$3)-MONTH($B$76)),(12*(YEAR($B$77)-YEAR($B$76))+MONTH($B$77)-MONTH($B$76))))*(1+'Вводные'!$B$65)^MAX(0,(12*(YEAR(F$3)-YEAR($B$77))+MONTH(F$3)-MONTH($B$77))))</x:f>
      </x:c>
      <x:c r="G93" s="107" t="n">
        <x:f>IF(G92=0,0,'Вводные'!$B$62*'Вводные'!$S$91*'Вводные'!$H$5*'Вводные'!$AG$91*(1+'Вводные'!$B$64)^MAX(0,MIN((12*(YEAR(G$3)-YEAR($B$76))+MONTH(G$3)-MONTH($B$76)),(12*(YEAR($B$77)-YEAR($B$76))+MONTH($B$77)-MONTH($B$76))))*(1+'Вводные'!$B$65)^MAX(0,(12*(YEAR(G$3)-YEAR($B$77))+MONTH(G$3)-MONTH($B$77))))</x:f>
      </x:c>
      <x:c r="H93" s="107" t="n">
        <x:f>IF(H92=0,0,'Вводные'!$B$62*'Вводные'!$S$91*'Вводные'!$H$5*'Вводные'!$AG$91*(1+'Вводные'!$B$64)^MAX(0,MIN((12*(YEAR(H$3)-YEAR($B$76))+MONTH(H$3)-MONTH($B$76)),(12*(YEAR($B$77)-YEAR($B$76))+MONTH($B$77)-MONTH($B$76))))*(1+'Вводные'!$B$65)^MAX(0,(12*(YEAR(H$3)-YEAR($B$77))+MONTH(H$3)-MONTH($B$77))))</x:f>
      </x:c>
      <x:c r="I93" s="107" t="n">
        <x:f>IF(I92=0,0,'Вводные'!$B$62*'Вводные'!$S$91*'Вводные'!$H$5*'Вводные'!$AG$91*(1+'Вводные'!$B$64)^MAX(0,MIN((12*(YEAR(I$3)-YEAR($B$76))+MONTH(I$3)-MONTH($B$76)),(12*(YEAR($B$77)-YEAR($B$76))+MONTH($B$77)-MONTH($B$76))))*(1+'Вводные'!$B$65)^MAX(0,(12*(YEAR(I$3)-YEAR($B$77))+MONTH(I$3)-MONTH($B$77))))</x:f>
      </x:c>
      <x:c r="J93" s="107" t="n">
        <x:f>IF(J92=0,0,'Вводные'!$B$62*'Вводные'!$S$91*'Вводные'!$H$5*'Вводные'!$AG$91*(1+'Вводные'!$B$64)^MAX(0,MIN((12*(YEAR(J$3)-YEAR($B$76))+MONTH(J$3)-MONTH($B$76)),(12*(YEAR($B$77)-YEAR($B$76))+MONTH($B$77)-MONTH($B$76))))*(1+'Вводные'!$B$65)^MAX(0,(12*(YEAR(J$3)-YEAR($B$77))+MONTH(J$3)-MONTH($B$77))))</x:f>
      </x:c>
      <x:c r="K93" s="107" t="n">
        <x:f>IF(K92=0,0,'Вводные'!$B$62*'Вводные'!$S$91*'Вводные'!$H$5*'Вводные'!$AG$91*(1+'Вводные'!$B$64)^MAX(0,MIN((12*(YEAR(K$3)-YEAR($B$76))+MONTH(K$3)-MONTH($B$76)),(12*(YEAR($B$77)-YEAR($B$76))+MONTH($B$77)-MONTH($B$76))))*(1+'Вводные'!$B$65)^MAX(0,(12*(YEAR(K$3)-YEAR($B$77))+MONTH(K$3)-MONTH($B$77))))</x:f>
      </x:c>
      <x:c r="L93" s="107" t="n">
        <x:f>IF(L92=0,0,'Вводные'!$B$62*'Вводные'!$S$91*'Вводные'!$H$5*'Вводные'!$AG$91*(1+'Вводные'!$B$64)^MAX(0,MIN((12*(YEAR(L$3)-YEAR($B$76))+MONTH(L$3)-MONTH($B$76)),(12*(YEAR($B$77)-YEAR($B$76))+MONTH($B$77)-MONTH($B$76))))*(1+'Вводные'!$B$65)^MAX(0,(12*(YEAR(L$3)-YEAR($B$77))+MONTH(L$3)-MONTH($B$77))))</x:f>
      </x:c>
      <x:c r="M93" s="107" t="n">
        <x:f>IF(M92=0,0,'Вводные'!$B$62*'Вводные'!$S$91*'Вводные'!$H$5*'Вводные'!$AG$91*(1+'Вводные'!$B$64)^MAX(0,MIN((12*(YEAR(M$3)-YEAR($B$76))+MONTH(M$3)-MONTH($B$76)),(12*(YEAR($B$77)-YEAR($B$76))+MONTH($B$77)-MONTH($B$76))))*(1+'Вводные'!$B$65)^MAX(0,(12*(YEAR(M$3)-YEAR($B$77))+MONTH(M$3)-MONTH($B$77))))</x:f>
      </x:c>
      <x:c r="N93" s="107" t="n">
        <x:f>IF(N92=0,0,'Вводные'!$B$62*'Вводные'!$S$91*'Вводные'!$H$5*'Вводные'!$AG$91*(1+'Вводные'!$B$64)^MAX(0,MIN((12*(YEAR(N$3)-YEAR($B$76))+MONTH(N$3)-MONTH($B$76)),(12*(YEAR($B$77)-YEAR($B$76))+MONTH($B$77)-MONTH($B$76))))*(1+'Вводные'!$B$65)^MAX(0,(12*(YEAR(N$3)-YEAR($B$77))+MONTH(N$3)-MONTH($B$77))))</x:f>
      </x:c>
      <x:c r="O93" s="107" t="n">
        <x:f>IF(O92=0,0,'Вводные'!$B$62*'Вводные'!$S$91*'Вводные'!$H$5*'Вводные'!$AG$91*(1+'Вводные'!$B$64)^MAX(0,MIN((12*(YEAR(O$3)-YEAR($B$76))+MONTH(O$3)-MONTH($B$76)),(12*(YEAR($B$77)-YEAR($B$76))+MONTH($B$77)-MONTH($B$76))))*(1+'Вводные'!$B$65)^MAX(0,(12*(YEAR(O$3)-YEAR($B$77))+MONTH(O$3)-MONTH($B$77))))</x:f>
      </x:c>
      <x:c r="P93" s="107" t="n">
        <x:f>IF(P92=0,0,'Вводные'!$B$62*'Вводные'!$S$91*'Вводные'!$H$5*'Вводные'!$AG$91*(1+'Вводные'!$B$64)^MAX(0,MIN((12*(YEAR(P$3)-YEAR($B$76))+MONTH(P$3)-MONTH($B$76)),(12*(YEAR($B$77)-YEAR($B$76))+MONTH($B$77)-MONTH($B$76))))*(1+'Вводные'!$B$65)^MAX(0,(12*(YEAR(P$3)-YEAR($B$77))+MONTH(P$3)-MONTH($B$77))))</x:f>
      </x:c>
      <x:c r="Q93" s="107" t="n">
        <x:f>IF(Q92=0,0,'Вводные'!$B$62*'Вводные'!$S$91*'Вводные'!$H$5*'Вводные'!$AG$91*(1+'Вводные'!$B$64)^MAX(0,MIN((12*(YEAR(Q$3)-YEAR($B$76))+MONTH(Q$3)-MONTH($B$76)),(12*(YEAR($B$77)-YEAR($B$76))+MONTH($B$77)-MONTH($B$76))))*(1+'Вводные'!$B$65)^MAX(0,(12*(YEAR(Q$3)-YEAR($B$77))+MONTH(Q$3)-MONTH($B$77))))</x:f>
      </x:c>
      <x:c r="R93" s="107" t="n">
        <x:f>IF(R92=0,0,'Вводные'!$B$62*'Вводные'!$S$91*'Вводные'!$H$5*'Вводные'!$AG$91*(1+'Вводные'!$B$64)^MAX(0,MIN((12*(YEAR(R$3)-YEAR($B$76))+MONTH(R$3)-MONTH($B$76)),(12*(YEAR($B$77)-YEAR($B$76))+MONTH($B$77)-MONTH($B$76))))*(1+'Вводные'!$B$65)^MAX(0,(12*(YEAR(R$3)-YEAR($B$77))+MONTH(R$3)-MONTH($B$77))))</x:f>
      </x:c>
      <x:c r="S93" s="107" t="n">
        <x:f>IF(S92=0,0,'Вводные'!$B$62*'Вводные'!$S$91*'Вводные'!$H$5*'Вводные'!$AG$91*(1+'Вводные'!$B$64)^MAX(0,MIN((12*(YEAR(S$3)-YEAR($B$76))+MONTH(S$3)-MONTH($B$76)),(12*(YEAR($B$77)-YEAR($B$76))+MONTH($B$77)-MONTH($B$76))))*(1+'Вводные'!$B$65)^MAX(0,(12*(YEAR(S$3)-YEAR($B$77))+MONTH(S$3)-MONTH($B$77))))</x:f>
      </x:c>
      <x:c r="T93" s="107" t="n">
        <x:f>IF(T92=0,0,'Вводные'!$B$62*'Вводные'!$S$91*'Вводные'!$H$5*'Вводные'!$AG$91*(1+'Вводные'!$B$64)^MAX(0,MIN((12*(YEAR(T$3)-YEAR($B$76))+MONTH(T$3)-MONTH($B$76)),(12*(YEAR($B$77)-YEAR($B$76))+MONTH($B$77)-MONTH($B$76))))*(1+'Вводные'!$B$65)^MAX(0,(12*(YEAR(T$3)-YEAR($B$77))+MONTH(T$3)-MONTH($B$77))))</x:f>
      </x:c>
      <x:c r="U93" s="107" t="n">
        <x:f>IF(U92=0,0,'Вводные'!$B$62*'Вводные'!$S$91*'Вводные'!$H$5*'Вводные'!$AG$91*(1+'Вводные'!$B$64)^MAX(0,MIN((12*(YEAR(U$3)-YEAR($B$76))+MONTH(U$3)-MONTH($B$76)),(12*(YEAR($B$77)-YEAR($B$76))+MONTH($B$77)-MONTH($B$76))))*(1+'Вводные'!$B$65)^MAX(0,(12*(YEAR(U$3)-YEAR($B$77))+MONTH(U$3)-MONTH($B$77))))</x:f>
      </x:c>
      <x:c r="V93" s="107" t="n">
        <x:f>IF(V92=0,0,'Вводные'!$B$62*'Вводные'!$S$91*'Вводные'!$H$5*'Вводные'!$AG$91*(1+'Вводные'!$B$64)^MAX(0,MIN((12*(YEAR(V$3)-YEAR($B$76))+MONTH(V$3)-MONTH($B$76)),(12*(YEAR($B$77)-YEAR($B$76))+MONTH($B$77)-MONTH($B$76))))*(1+'Вводные'!$B$65)^MAX(0,(12*(YEAR(V$3)-YEAR($B$77))+MONTH(V$3)-MONTH($B$77))))</x:f>
      </x:c>
      <x:c r="W93" s="107" t="n">
        <x:f>IF(W92=0,0,'Вводные'!$B$62*'Вводные'!$S$91*'Вводные'!$H$5*'Вводные'!$AG$91*(1+'Вводные'!$B$64)^MAX(0,MIN((12*(YEAR(W$3)-YEAR($B$76))+MONTH(W$3)-MONTH($B$76)),(12*(YEAR($B$77)-YEAR($B$76))+MONTH($B$77)-MONTH($B$76))))*(1+'Вводные'!$B$65)^MAX(0,(12*(YEAR(W$3)-YEAR($B$77))+MONTH(W$3)-MONTH($B$77))))</x:f>
      </x:c>
      <x:c r="X93" s="107" t="n">
        <x:f>IF(X92=0,0,'Вводные'!$B$62*'Вводные'!$S$91*'Вводные'!$H$5*'Вводные'!$AG$91*(1+'Вводные'!$B$64)^MAX(0,MIN((12*(YEAR(X$3)-YEAR($B$76))+MONTH(X$3)-MONTH($B$76)),(12*(YEAR($B$77)-YEAR($B$76))+MONTH($B$77)-MONTH($B$76))))*(1+'Вводные'!$B$65)^MAX(0,(12*(YEAR(X$3)-YEAR($B$77))+MONTH(X$3)-MONTH($B$77))))</x:f>
      </x:c>
      <x:c r="Y93" s="107" t="n">
        <x:f>IF(Y92=0,0,'Вводные'!$B$62*'Вводные'!$S$91*'Вводные'!$H$5*'Вводные'!$AG$91*(1+'Вводные'!$B$64)^MAX(0,MIN((12*(YEAR(Y$3)-YEAR($B$76))+MONTH(Y$3)-MONTH($B$76)),(12*(YEAR($B$77)-YEAR($B$76))+MONTH($B$77)-MONTH($B$76))))*(1+'Вводные'!$B$65)^MAX(0,(12*(YEAR(Y$3)-YEAR($B$77))+MONTH(Y$3)-MONTH($B$77))))</x:f>
      </x:c>
      <x:c r="Z93" s="107" t="n">
        <x:f>IF(Z92=0,0,'Вводные'!$B$62*'Вводные'!$S$91*'Вводные'!$H$5*'Вводные'!$AG$91*(1+'Вводные'!$B$64)^MAX(0,MIN((12*(YEAR(Z$3)-YEAR($B$76))+MONTH(Z$3)-MONTH($B$76)),(12*(YEAR($B$77)-YEAR($B$76))+MONTH($B$77)-MONTH($B$76))))*(1+'Вводные'!$B$65)^MAX(0,(12*(YEAR(Z$3)-YEAR($B$77))+MONTH(Z$3)-MONTH($B$77))))</x:f>
      </x:c>
      <x:c r="AA93" s="107" t="n">
        <x:f>IF(AA92=0,0,'Вводные'!$B$62*'Вводные'!$S$91*'Вводные'!$H$5*'Вводные'!$AG$91*(1+'Вводные'!$B$64)^MAX(0,MIN((12*(YEAR(AA$3)-YEAR($B$76))+MONTH(AA$3)-MONTH($B$76)),(12*(YEAR($B$77)-YEAR($B$76))+MONTH($B$77)-MONTH($B$76))))*(1+'Вводные'!$B$65)^MAX(0,(12*(YEAR(AA$3)-YEAR($B$77))+MONTH(AA$3)-MONTH($B$77))))</x:f>
      </x:c>
      <x:c r="AB93" s="107" t="n">
        <x:f>IF(AB92=0,0,'Вводные'!$B$62*'Вводные'!$S$91*'Вводные'!$H$5*'Вводные'!$AG$91*(1+'Вводные'!$B$64)^MAX(0,MIN((12*(YEAR(AB$3)-YEAR($B$76))+MONTH(AB$3)-MONTH($B$76)),(12*(YEAR($B$77)-YEAR($B$76))+MONTH($B$77)-MONTH($B$76))))*(1+'Вводные'!$B$65)^MAX(0,(12*(YEAR(AB$3)-YEAR($B$77))+MONTH(AB$3)-MONTH($B$77))))</x:f>
      </x:c>
      <x:c r="AC93" s="107" t="n">
        <x:f>IF(AC92=0,0,'Вводные'!$B$62*'Вводные'!$S$91*'Вводные'!$H$5*'Вводные'!$AG$91*(1+'Вводные'!$B$64)^MAX(0,MIN((12*(YEAR(AC$3)-YEAR($B$76))+MONTH(AC$3)-MONTH($B$76)),(12*(YEAR($B$77)-YEAR($B$76))+MONTH($B$77)-MONTH($B$76))))*(1+'Вводные'!$B$65)^MAX(0,(12*(YEAR(AC$3)-YEAR($B$77))+MONTH(AC$3)-MONTH($B$77))))</x:f>
      </x:c>
      <x:c r="AD93" s="107" t="n">
        <x:f>IF(AD92=0,0,'Вводные'!$B$62*'Вводные'!$S$91*'Вводные'!$H$5*'Вводные'!$AG$91*(1+'Вводные'!$B$64)^MAX(0,MIN((12*(YEAR(AD$3)-YEAR($B$76))+MONTH(AD$3)-MONTH($B$76)),(12*(YEAR($B$77)-YEAR($B$76))+MONTH($B$77)-MONTH($B$76))))*(1+'Вводные'!$B$65)^MAX(0,(12*(YEAR(AD$3)-YEAR($B$77))+MONTH(AD$3)-MONTH($B$77))))</x:f>
      </x:c>
      <x:c r="AE93" s="107" t="n">
        <x:f>IF(AE92=0,0,'Вводные'!$B$62*'Вводные'!$S$91*'Вводные'!$H$5*'Вводные'!$AG$91*(1+'Вводные'!$B$64)^MAX(0,MIN((12*(YEAR(AE$3)-YEAR($B$76))+MONTH(AE$3)-MONTH($B$76)),(12*(YEAR($B$77)-YEAR($B$76))+MONTH($B$77)-MONTH($B$76))))*(1+'Вводные'!$B$65)^MAX(0,(12*(YEAR(AE$3)-YEAR($B$77))+MONTH(AE$3)-MONTH($B$77))))</x:f>
      </x:c>
      <x:c r="AF93" s="107" t="n">
        <x:f>IF(AF92=0,0,'Вводные'!$B$62*'Вводные'!$S$91*'Вводные'!$H$5*'Вводные'!$AG$91*(1+'Вводные'!$B$64)^MAX(0,MIN((12*(YEAR(AF$3)-YEAR($B$76))+MONTH(AF$3)-MONTH($B$76)),(12*(YEAR($B$77)-YEAR($B$76))+MONTH($B$77)-MONTH($B$76))))*(1+'Вводные'!$B$65)^MAX(0,(12*(YEAR(AF$3)-YEAR($B$77))+MONTH(AF$3)-MONTH($B$77))))</x:f>
      </x:c>
      <x:c r="AG93" s="107" t="n">
        <x:f>IF(AG92=0,0,'Вводные'!$B$62*'Вводные'!$S$91*'Вводные'!$H$5*'Вводные'!$AG$91*(1+'Вводные'!$B$64)^MAX(0,MIN((12*(YEAR(AG$3)-YEAR($B$76))+MONTH(AG$3)-MONTH($B$76)),(12*(YEAR($B$77)-YEAR($B$76))+MONTH($B$77)-MONTH($B$76))))*(1+'Вводные'!$B$65)^MAX(0,(12*(YEAR(AG$3)-YEAR($B$77))+MONTH(AG$3)-MONTH($B$77))))</x:f>
      </x:c>
      <x:c r="AH93" s="107" t="n">
        <x:f>IF(AH92=0,0,'Вводные'!$B$62*'Вводные'!$S$91*'Вводные'!$H$5*'Вводные'!$AG$91*(1+'Вводные'!$B$64)^MAX(0,MIN((12*(YEAR(AH$3)-YEAR($B$76))+MONTH(AH$3)-MONTH($B$76)),(12*(YEAR($B$77)-YEAR($B$76))+MONTH($B$77)-MONTH($B$76))))*(1+'Вводные'!$B$65)^MAX(0,(12*(YEAR(AH$3)-YEAR($B$77))+MONTH(AH$3)-MONTH($B$77))))</x:f>
      </x:c>
      <x:c r="AI93" s="107" t="n">
        <x:f>IF(AI92=0,0,'Вводные'!$B$62*'Вводные'!$S$91*'Вводные'!$H$5*'Вводные'!$AG$91*(1+'Вводные'!$B$64)^MAX(0,MIN((12*(YEAR(AI$3)-YEAR($B$76))+MONTH(AI$3)-MONTH($B$76)),(12*(YEAR($B$77)-YEAR($B$76))+MONTH($B$77)-MONTH($B$76))))*(1+'Вводные'!$B$65)^MAX(0,(12*(YEAR(AI$3)-YEAR($B$77))+MONTH(AI$3)-MONTH($B$77))))</x:f>
      </x:c>
      <x:c r="AJ93" s="107" t="n">
        <x:f>IF(AJ92=0,0,'Вводные'!$B$62*'Вводные'!$S$91*'Вводные'!$H$5*'Вводные'!$AG$91*(1+'Вводные'!$B$64)^MAX(0,MIN((12*(YEAR(AJ$3)-YEAR($B$76))+MONTH(AJ$3)-MONTH($B$76)),(12*(YEAR($B$77)-YEAR($B$76))+MONTH($B$77)-MONTH($B$76))))*(1+'Вводные'!$B$65)^MAX(0,(12*(YEAR(AJ$3)-YEAR($B$77))+MONTH(AJ$3)-MONTH($B$77))))</x:f>
      </x:c>
      <x:c r="AK93" s="107" t="n">
        <x:f>IF(AK92=0,0,'Вводные'!$B$62*'Вводные'!$S$91*'Вводные'!$H$5*'Вводные'!$AG$91*(1+'Вводные'!$B$64)^MAX(0,MIN((12*(YEAR(AK$3)-YEAR($B$76))+MONTH(AK$3)-MONTH($B$76)),(12*(YEAR($B$77)-YEAR($B$76))+MONTH($B$77)-MONTH($B$76))))*(1+'Вводные'!$B$65)^MAX(0,(12*(YEAR(AK$3)-YEAR($B$77))+MONTH(AK$3)-MONTH($B$77))))</x:f>
      </x:c>
      <x:c r="AL93" s="107" t="n">
        <x:f>IF(AL92=0,0,'Вводные'!$B$62*'Вводные'!$S$91*'Вводные'!$H$5*'Вводные'!$AG$91*(1+'Вводные'!$B$64)^MAX(0,MIN((12*(YEAR(AL$3)-YEAR($B$76))+MONTH(AL$3)-MONTH($B$76)),(12*(YEAR($B$77)-YEAR($B$76))+MONTH($B$77)-MONTH($B$76))))*(1+'Вводные'!$B$65)^MAX(0,(12*(YEAR(AL$3)-YEAR($B$77))+MONTH(AL$3)-MONTH($B$77))))</x:f>
      </x:c>
      <x:c r="AM93" s="107" t="n">
        <x:f>IF(AM92=0,0,'Вводные'!$B$62*'Вводные'!$S$91*'Вводные'!$H$5*'Вводные'!$AG$91*(1+'Вводные'!$B$64)^MAX(0,MIN((12*(YEAR(AM$3)-YEAR($B$76))+MONTH(AM$3)-MONTH($B$76)),(12*(YEAR($B$77)-YEAR($B$76))+MONTH($B$77)-MONTH($B$76))))*(1+'Вводные'!$B$65)^MAX(0,(12*(YEAR(AM$3)-YEAR($B$77))+MONTH(AM$3)-MONTH($B$77))))</x:f>
      </x:c>
      <x:c r="AN93" s="107" t="n">
        <x:f>IF(AN92=0,0,'Вводные'!$B$62*'Вводные'!$S$91*'Вводные'!$H$5*'Вводные'!$AG$91*(1+'Вводные'!$B$64)^MAX(0,MIN((12*(YEAR(AN$3)-YEAR($B$76))+MONTH(AN$3)-MONTH($B$76)),(12*(YEAR($B$77)-YEAR($B$76))+MONTH($B$77)-MONTH($B$76))))*(1+'Вводные'!$B$65)^MAX(0,(12*(YEAR(AN$3)-YEAR($B$77))+MONTH(AN$3)-MONTH($B$77))))</x:f>
      </x:c>
      <x:c r="AO93" s="107" t="n">
        <x:f>IF(AO92=0,0,'Вводные'!$B$62*'Вводные'!$S$91*'Вводные'!$H$5*'Вводные'!$AG$91*(1+'Вводные'!$B$64)^MAX(0,MIN((12*(YEAR(AO$3)-YEAR($B$76))+MONTH(AO$3)-MONTH($B$76)),(12*(YEAR($B$77)-YEAR($B$76))+MONTH($B$77)-MONTH($B$76))))*(1+'Вводные'!$B$65)^MAX(0,(12*(YEAR(AO$3)-YEAR($B$77))+MONTH(AO$3)-MONTH($B$77))))</x:f>
      </x:c>
      <x:c r="AP93" s="107" t="n">
        <x:f>IF(AP92=0,0,'Вводные'!$B$62*'Вводные'!$S$91*'Вводные'!$H$5*'Вводные'!$AG$91*(1+'Вводные'!$B$64)^MAX(0,MIN((12*(YEAR(AP$3)-YEAR($B$76))+MONTH(AP$3)-MONTH($B$76)),(12*(YEAR($B$77)-YEAR($B$76))+MONTH($B$77)-MONTH($B$76))))*(1+'Вводные'!$B$65)^MAX(0,(12*(YEAR(AP$3)-YEAR($B$77))+MONTH(AP$3)-MONTH($B$77))))</x:f>
      </x:c>
      <x:c r="AQ93" s="107" t="n">
        <x:f>IF(AQ92=0,0,'Вводные'!$B$62*'Вводные'!$S$91*'Вводные'!$H$5*'Вводные'!$AG$91*(1+'Вводные'!$B$64)^MAX(0,MIN((12*(YEAR(AQ$3)-YEAR($B$76))+MONTH(AQ$3)-MONTH($B$76)),(12*(YEAR($B$77)-YEAR($B$76))+MONTH($B$77)-MONTH($B$76))))*(1+'Вводные'!$B$65)^MAX(0,(12*(YEAR(AQ$3)-YEAR($B$77))+MONTH(AQ$3)-MONTH($B$77))))</x:f>
      </x:c>
      <x:c r="AR93" s="107" t="n">
        <x:f>IF(AR92=0,0,'Вводные'!$B$62*'Вводные'!$S$91*'Вводные'!$H$5*'Вводные'!$AG$91*(1+'Вводные'!$B$64)^MAX(0,MIN((12*(YEAR(AR$3)-YEAR($B$76))+MONTH(AR$3)-MONTH($B$76)),(12*(YEAR($B$77)-YEAR($B$76))+MONTH($B$77)-MONTH($B$76))))*(1+'Вводные'!$B$65)^MAX(0,(12*(YEAR(AR$3)-YEAR($B$77))+MONTH(AR$3)-MONTH($B$77))))</x:f>
      </x:c>
      <x:c r="AS93" s="107" t="n">
        <x:f>IF(AS92=0,0,'Вводные'!$B$62*'Вводные'!$S$91*'Вводные'!$H$5*'Вводные'!$AG$91*(1+'Вводные'!$B$64)^MAX(0,MIN((12*(YEAR(AS$3)-YEAR($B$76))+MONTH(AS$3)-MONTH($B$76)),(12*(YEAR($B$77)-YEAR($B$76))+MONTH($B$77)-MONTH($B$76))))*(1+'Вводные'!$B$65)^MAX(0,(12*(YEAR(AS$3)-YEAR($B$77))+MONTH(AS$3)-MONTH($B$77))))</x:f>
      </x:c>
      <x:c r="AT93" s="107" t="n">
        <x:f>IF(AT92=0,0,'Вводные'!$B$62*'Вводные'!$S$91*'Вводные'!$H$5*'Вводные'!$AG$91*(1+'Вводные'!$B$64)^MAX(0,MIN((12*(YEAR(AT$3)-YEAR($B$76))+MONTH(AT$3)-MONTH($B$76)),(12*(YEAR($B$77)-YEAR($B$76))+MONTH($B$77)-MONTH($B$76))))*(1+'Вводные'!$B$65)^MAX(0,(12*(YEAR(AT$3)-YEAR($B$77))+MONTH(AT$3)-MONTH($B$77))))</x:f>
      </x:c>
      <x:c r="AU93" s="107" t="n">
        <x:f>IF(AU92=0,0,'Вводные'!$B$62*'Вводные'!$S$91*'Вводные'!$H$5*'Вводные'!$AG$91*(1+'Вводные'!$B$64)^MAX(0,MIN((12*(YEAR(AU$3)-YEAR($B$76))+MONTH(AU$3)-MONTH($B$76)),(12*(YEAR($B$77)-YEAR($B$76))+MONTH($B$77)-MONTH($B$76))))*(1+'Вводные'!$B$65)^MAX(0,(12*(YEAR(AU$3)-YEAR($B$77))+MONTH(AU$3)-MONTH($B$77))))</x:f>
      </x:c>
      <x:c r="AV93" s="107" t="n">
        <x:f>IF(AV92=0,0,'Вводные'!$B$62*'Вводные'!$S$91*'Вводные'!$H$5*'Вводные'!$AG$91*(1+'Вводные'!$B$64)^MAX(0,MIN((12*(YEAR(AV$3)-YEAR($B$76))+MONTH(AV$3)-MONTH($B$76)),(12*(YEAR($B$77)-YEAR($B$76))+MONTH($B$77)-MONTH($B$76))))*(1+'Вводные'!$B$65)^MAX(0,(12*(YEAR(AV$3)-YEAR($B$77))+MONTH(AV$3)-MONTH($B$77))))</x:f>
      </x:c>
      <x:c r="AW93" s="107" t="n">
        <x:f>IF(AW92=0,0,'Вводные'!$B$62*'Вводные'!$S$91*'Вводные'!$H$5*'Вводные'!$AG$91*(1+'Вводные'!$B$64)^MAX(0,MIN((12*(YEAR(AW$3)-YEAR($B$76))+MONTH(AW$3)-MONTH($B$76)),(12*(YEAR($B$77)-YEAR($B$76))+MONTH($B$77)-MONTH($B$76))))*(1+'Вводные'!$B$65)^MAX(0,(12*(YEAR(AW$3)-YEAR($B$77))+MONTH(AW$3)-MONTH($B$77))))</x:f>
      </x:c>
      <x:c r="AX93" s="107" t="n">
        <x:f>IF(AX92=0,0,'Вводные'!$B$62*'Вводные'!$S$91*'Вводные'!$H$5*'Вводные'!$AG$91*(1+'Вводные'!$B$64)^MAX(0,MIN((12*(YEAR(AX$3)-YEAR($B$76))+MONTH(AX$3)-MONTH($B$76)),(12*(YEAR($B$77)-YEAR($B$76))+MONTH($B$77)-MONTH($B$76))))*(1+'Вводные'!$B$65)^MAX(0,(12*(YEAR(AX$3)-YEAR($B$77))+MONTH(AX$3)-MONTH($B$77))))</x:f>
      </x:c>
      <x:c r="AY93" s="107" t="n">
        <x:f>IF(AY92=0,0,'Вводные'!$B$62*'Вводные'!$S$91*'Вводные'!$H$5*'Вводные'!$AG$91*(1+'Вводные'!$B$64)^MAX(0,MIN((12*(YEAR(AY$3)-YEAR($B$76))+MONTH(AY$3)-MONTH($B$76)),(12*(YEAR($B$77)-YEAR($B$76))+MONTH($B$77)-MONTH($B$76))))*(1+'Вводные'!$B$65)^MAX(0,(12*(YEAR(AY$3)-YEAR($B$77))+MONTH(AY$3)-MONTH($B$77))))</x:f>
      </x:c>
      <x:c r="AZ93" s="107" t="n">
        <x:f>IF(AZ92=0,0,'Вводные'!$B$62*'Вводные'!$S$91*'Вводные'!$H$5*'Вводные'!$AG$91*(1+'Вводные'!$B$64)^MAX(0,MIN((12*(YEAR(AZ$3)-YEAR($B$76))+MONTH(AZ$3)-MONTH($B$76)),(12*(YEAR($B$77)-YEAR($B$76))+MONTH($B$77)-MONTH($B$76))))*(1+'Вводные'!$B$65)^MAX(0,(12*(YEAR(AZ$3)-YEAR($B$77))+MONTH(AZ$3)-MONTH($B$77))))</x:f>
      </x:c>
      <x:c r="BA93" s="107" t="n">
        <x:f>IF(BA92=0,0,'Вводные'!$B$62*'Вводные'!$S$91*'Вводные'!$H$5*'Вводные'!$AG$91*(1+'Вводные'!$B$64)^MAX(0,MIN((12*(YEAR(BA$3)-YEAR($B$76))+MONTH(BA$3)-MONTH($B$76)),(12*(YEAR($B$77)-YEAR($B$76))+MONTH($B$77)-MONTH($B$76))))*(1+'Вводные'!$B$65)^MAX(0,(12*(YEAR(BA$3)-YEAR($B$77))+MONTH(BA$3)-MONTH($B$77))))</x:f>
      </x:c>
      <x:c r="BB93" s="107" t="n">
        <x:f>IF(BB92=0,0,'Вводные'!$B$62*'Вводные'!$S$91*'Вводные'!$H$5*'Вводные'!$AG$91*(1+'Вводные'!$B$64)^MAX(0,MIN((12*(YEAR(BB$3)-YEAR($B$76))+MONTH(BB$3)-MONTH($B$76)),(12*(YEAR($B$77)-YEAR($B$76))+MONTH($B$77)-MONTH($B$76))))*(1+'Вводные'!$B$65)^MAX(0,(12*(YEAR(BB$3)-YEAR($B$77))+MONTH(BB$3)-MONTH($B$77))))</x:f>
      </x:c>
      <x:c r="BC93" s="107" t="n">
        <x:f>IF(BC92=0,0,'Вводные'!$B$62*'Вводные'!$S$91*'Вводные'!$H$5*'Вводные'!$AG$91*(1+'Вводные'!$B$64)^MAX(0,MIN((12*(YEAR(BC$3)-YEAR($B$76))+MONTH(BC$3)-MONTH($B$76)),(12*(YEAR($B$77)-YEAR($B$76))+MONTH($B$77)-MONTH($B$76))))*(1+'Вводные'!$B$65)^MAX(0,(12*(YEAR(BC$3)-YEAR($B$77))+MONTH(BC$3)-MONTH($B$77))))</x:f>
      </x:c>
      <x:c r="BD93" s="107" t="n">
        <x:f>IF(BD92=0,0,'Вводные'!$B$62*'Вводные'!$S$91*'Вводные'!$H$5*'Вводные'!$AG$91*(1+'Вводные'!$B$64)^MAX(0,MIN((12*(YEAR(BD$3)-YEAR($B$76))+MONTH(BD$3)-MONTH($B$76)),(12*(YEAR($B$77)-YEAR($B$76))+MONTH($B$77)-MONTH($B$76))))*(1+'Вводные'!$B$65)^MAX(0,(12*(YEAR(BD$3)-YEAR($B$77))+MONTH(BD$3)-MONTH($B$77))))</x:f>
      </x:c>
      <x:c r="BE93" s="107" t="n">
        <x:f>IF(BE92=0,0,'Вводные'!$B$62*'Вводные'!$S$91*'Вводные'!$H$5*'Вводные'!$AG$91*(1+'Вводные'!$B$64)^MAX(0,MIN((12*(YEAR(BE$3)-YEAR($B$76))+MONTH(BE$3)-MONTH($B$76)),(12*(YEAR($B$77)-YEAR($B$76))+MONTH($B$77)-MONTH($B$76))))*(1+'Вводные'!$B$65)^MAX(0,(12*(YEAR(BE$3)-YEAR($B$77))+MONTH(BE$3)-MONTH($B$77))))</x:f>
      </x:c>
      <x:c r="BF93" s="107" t="n">
        <x:f>IF(BF92=0,0,'Вводные'!$B$62*'Вводные'!$S$91*'Вводные'!$H$5*'Вводные'!$AG$91*(1+'Вводные'!$B$64)^MAX(0,MIN((12*(YEAR(BF$3)-YEAR($B$76))+MONTH(BF$3)-MONTH($B$76)),(12*(YEAR($B$77)-YEAR($B$76))+MONTH($B$77)-MONTH($B$76))))*(1+'Вводные'!$B$65)^MAX(0,(12*(YEAR(BF$3)-YEAR($B$77))+MONTH(BF$3)-MONTH($B$77))))</x:f>
      </x:c>
      <x:c r="BG93" s="107" t="n">
        <x:f>IF(BG92=0,0,'Вводные'!$B$62*'Вводные'!$S$91*'Вводные'!$H$5*'Вводные'!$AG$91*(1+'Вводные'!$B$64)^MAX(0,MIN((12*(YEAR(BG$3)-YEAR($B$76))+MONTH(BG$3)-MONTH($B$76)),(12*(YEAR($B$77)-YEAR($B$76))+MONTH($B$77)-MONTH($B$76))))*(1+'Вводные'!$B$65)^MAX(0,(12*(YEAR(BG$3)-YEAR($B$77))+MONTH(BG$3)-MONTH($B$77))))</x:f>
      </x:c>
      <x:c r="BH93" s="107" t="n">
        <x:f>IF(BH92=0,0,'Вводные'!$B$62*'Вводные'!$S$91*'Вводные'!$H$5*'Вводные'!$AG$91*(1+'Вводные'!$B$64)^MAX(0,MIN((12*(YEAR(BH$3)-YEAR($B$76))+MONTH(BH$3)-MONTH($B$76)),(12*(YEAR($B$77)-YEAR($B$76))+MONTH($B$77)-MONTH($B$76))))*(1+'Вводные'!$B$65)^MAX(0,(12*(YEAR(BH$3)-YEAR($B$77))+MONTH(BH$3)-MONTH($B$77))))</x:f>
      </x:c>
      <x:c r="BI93" s="107" t="n">
        <x:f>IF(BI92=0,0,'Вводные'!$B$62*'Вводные'!$S$91*'Вводные'!$H$5*'Вводные'!$AG$91*(1+'Вводные'!$B$64)^MAX(0,MIN((12*(YEAR(BI$3)-YEAR($B$76))+MONTH(BI$3)-MONTH($B$76)),(12*(YEAR($B$77)-YEAR($B$76))+MONTH($B$77)-MONTH($B$76))))*(1+'Вводные'!$B$65)^MAX(0,(12*(YEAR(BI$3)-YEAR($B$77))+MONTH(BI$3)-MONTH($B$77))))</x:f>
      </x:c>
      <x:c r="BJ93" s="107" t="n">
        <x:f>IF(BJ92=0,0,'Вводные'!$B$62*'Вводные'!$S$91*'Вводные'!$H$5*'Вводные'!$AG$91*(1+'Вводные'!$B$64)^MAX(0,MIN((12*(YEAR(BJ$3)-YEAR($B$76))+MONTH(BJ$3)-MONTH($B$76)),(12*(YEAR($B$77)-YEAR($B$76))+MONTH($B$77)-MONTH($B$76))))*(1+'Вводные'!$B$65)^MAX(0,(12*(YEAR(BJ$3)-YEAR($B$77))+MONTH(BJ$3)-MONTH($B$77))))</x:f>
      </x:c>
      <x:c r="BK93" s="107" t="n">
        <x:f>IF(BK92=0,0,'Вводные'!$B$62*'Вводные'!$S$91*'Вводные'!$H$5*'Вводные'!$AG$91*(1+'Вводные'!$B$64)^MAX(0,MIN((12*(YEAR(BK$3)-YEAR($B$76))+MONTH(BK$3)-MONTH($B$76)),(12*(YEAR($B$77)-YEAR($B$76))+MONTH($B$77)-MONTH($B$76))))*(1+'Вводные'!$B$65)^MAX(0,(12*(YEAR(BK$3)-YEAR($B$77))+MONTH(BK$3)-MONTH($B$77))))</x:f>
      </x:c>
      <x:c r="BL93" s="107" t="n">
        <x:f>IF(BL92=0,0,'Вводные'!$B$62*'Вводные'!$S$91*'Вводные'!$H$5*'Вводные'!$AG$91*(1+'Вводные'!$B$64)^MAX(0,MIN((12*(YEAR(BL$3)-YEAR($B$76))+MONTH(BL$3)-MONTH($B$76)),(12*(YEAR($B$77)-YEAR($B$76))+MONTH($B$77)-MONTH($B$76))))*(1+'Вводные'!$B$65)^MAX(0,(12*(YEAR(BL$3)-YEAR($B$77))+MONTH(BL$3)-MONTH($B$77))))</x:f>
      </x:c>
      <x:c r="BM93" s="107" t="n">
        <x:f>IF(BM92=0,0,'Вводные'!$B$62*'Вводные'!$S$91*'Вводные'!$H$5*'Вводные'!$AG$91*(1+'Вводные'!$B$64)^MAX(0,MIN((12*(YEAR(BM$3)-YEAR($B$76))+MONTH(BM$3)-MONTH($B$76)),(12*(YEAR($B$77)-YEAR($B$76))+MONTH($B$77)-MONTH($B$76))))*(1+'Вводные'!$B$65)^MAX(0,(12*(YEAR(BM$3)-YEAR($B$77))+MONTH(BM$3)-MONTH($B$77))))</x:f>
      </x:c>
      <x:c r="BN93" s="107" t="n">
        <x:f>IF(BN92=0,0,'Вводные'!$B$62*'Вводные'!$S$91*'Вводные'!$H$5*'Вводные'!$AG$91*(1+'Вводные'!$B$64)^MAX(0,MIN((12*(YEAR(BN$3)-YEAR($B$76))+MONTH(BN$3)-MONTH($B$76)),(12*(YEAR($B$77)-YEAR($B$76))+MONTH($B$77)-MONTH($B$76))))*(1+'Вводные'!$B$65)^MAX(0,(12*(YEAR(BN$3)-YEAR($B$77))+MONTH(BN$3)-MONTH($B$77))))</x:f>
      </x:c>
      <x:c r="BO93" s="107" t="n">
        <x:f>IF(BO92=0,0,'Вводные'!$B$62*'Вводные'!$S$91*'Вводные'!$H$5*'Вводные'!$AG$91*(1+'Вводные'!$B$64)^MAX(0,MIN((12*(YEAR(BO$3)-YEAR($B$76))+MONTH(BO$3)-MONTH($B$76)),(12*(YEAR($B$77)-YEAR($B$76))+MONTH($B$77)-MONTH($B$76))))*(1+'Вводные'!$B$65)^MAX(0,(12*(YEAR(BO$3)-YEAR($B$77))+MONTH(BO$3)-MONTH($B$77))))</x:f>
      </x:c>
      <x:c r="BP93" s="107" t="n">
        <x:f>IF(BP92=0,0,'Вводные'!$B$62*'Вводные'!$S$91*'Вводные'!$H$5*'Вводные'!$AG$91*(1+'Вводные'!$B$64)^MAX(0,MIN((12*(YEAR(BP$3)-YEAR($B$76))+MONTH(BP$3)-MONTH($B$76)),(12*(YEAR($B$77)-YEAR($B$76))+MONTH($B$77)-MONTH($B$76))))*(1+'Вводные'!$B$65)^MAX(0,(12*(YEAR(BP$3)-YEAR($B$77))+MONTH(BP$3)-MONTH($B$77))))</x:f>
      </x:c>
      <x:c r="BQ93" s="107" t="n">
        <x:f>IF(BQ92=0,0,'Вводные'!$B$62*'Вводные'!$S$91*'Вводные'!$H$5*'Вводные'!$AG$91*(1+'Вводные'!$B$64)^MAX(0,MIN((12*(YEAR(BQ$3)-YEAR($B$76))+MONTH(BQ$3)-MONTH($B$76)),(12*(YEAR($B$77)-YEAR($B$76))+MONTH($B$77)-MONTH($B$76))))*(1+'Вводные'!$B$65)^MAX(0,(12*(YEAR(BQ$3)-YEAR($B$77))+MONTH(BQ$3)-MONTH($B$77))))</x:f>
      </x:c>
      <x:c r="BR93" s="107" t="n">
        <x:f>IF(BR92=0,0,'Вводные'!$B$62*'Вводные'!$S$91*'Вводные'!$H$5*'Вводные'!$AG$91*(1+'Вводные'!$B$64)^MAX(0,MIN((12*(YEAR(BR$3)-YEAR($B$76))+MONTH(BR$3)-MONTH($B$76)),(12*(YEAR($B$77)-YEAR($B$76))+MONTH($B$77)-MONTH($B$76))))*(1+'Вводные'!$B$65)^MAX(0,(12*(YEAR(BR$3)-YEAR($B$77))+MONTH(BR$3)-MONTH($B$77))))</x:f>
      </x:c>
      <x:c r="BS93" s="107" t="n">
        <x:f>IF(BS92=0,0,'Вводные'!$B$62*'Вводные'!$S$91*'Вводные'!$H$5*'Вводные'!$AG$91*(1+'Вводные'!$B$64)^MAX(0,MIN((12*(YEAR(BS$3)-YEAR($B$76))+MONTH(BS$3)-MONTH($B$76)),(12*(YEAR($B$77)-YEAR($B$76))+MONTH($B$77)-MONTH($B$76))))*(1+'Вводные'!$B$65)^MAX(0,(12*(YEAR(BS$3)-YEAR($B$77))+MONTH(BS$3)-MONTH($B$77))))</x:f>
      </x:c>
      <x:c r="BT93" s="107" t="n">
        <x:f>IF(BT92=0,0,'Вводные'!$B$62*'Вводные'!$S$91*'Вводные'!$H$5*'Вводные'!$AG$91*(1+'Вводные'!$B$64)^MAX(0,MIN((12*(YEAR(BT$3)-YEAR($B$76))+MONTH(BT$3)-MONTH($B$76)),(12*(YEAR($B$77)-YEAR($B$76))+MONTH($B$77)-MONTH($B$76))))*(1+'Вводные'!$B$65)^MAX(0,(12*(YEAR(BT$3)-YEAR($B$77))+MONTH(BT$3)-MONTH($B$77))))</x:f>
      </x:c>
      <x:c r="BU93" s="107" t="n">
        <x:f>IF(BU92=0,0,'Вводные'!$B$62*'Вводные'!$S$91*'Вводные'!$H$5*'Вводные'!$AG$91*(1+'Вводные'!$B$64)^MAX(0,MIN((12*(YEAR(BU$3)-YEAR($B$76))+MONTH(BU$3)-MONTH($B$76)),(12*(YEAR($B$77)-YEAR($B$76))+MONTH($B$77)-MONTH($B$76))))*(1+'Вводные'!$B$65)^MAX(0,(12*(YEAR(BU$3)-YEAR($B$77))+MONTH(BU$3)-MONTH($B$77))))</x:f>
      </x:c>
      <x:c r="BV93" s="107" t="n">
        <x:f>IF(BV92=0,0,'Вводные'!$B$62*'Вводные'!$S$91*'Вводные'!$H$5*'Вводные'!$AG$91*(1+'Вводные'!$B$64)^MAX(0,MIN((12*(YEAR(BV$3)-YEAR($B$76))+MONTH(BV$3)-MONTH($B$76)),(12*(YEAR($B$77)-YEAR($B$76))+MONTH($B$77)-MONTH($B$76))))*(1+'Вводные'!$B$65)^MAX(0,(12*(YEAR(BV$3)-YEAR($B$77))+MONTH(BV$3)-MONTH($B$77))))</x:f>
      </x:c>
      <x:c r="BW93" s="107" t="n">
        <x:f>IF(BW92=0,0,'Вводные'!$B$62*'Вводные'!$S$91*'Вводные'!$H$5*'Вводные'!$AG$91*(1+'Вводные'!$B$64)^MAX(0,MIN((12*(YEAR(BW$3)-YEAR($B$76))+MONTH(BW$3)-MONTH($B$76)),(12*(YEAR($B$77)-YEAR($B$76))+MONTH($B$77)-MONTH($B$76))))*(1+'Вводные'!$B$65)^MAX(0,(12*(YEAR(BW$3)-YEAR($B$77))+MONTH(BW$3)-MONTH($B$77))))</x:f>
      </x:c>
      <x:c r="BX93" s="107" t="n">
        <x:f>IF(BX92=0,0,'Вводные'!$B$62*'Вводные'!$S$91*'Вводные'!$H$5*'Вводные'!$AG$91*(1+'Вводные'!$B$64)^MAX(0,MIN((12*(YEAR(BX$3)-YEAR($B$76))+MONTH(BX$3)-MONTH($B$76)),(12*(YEAR($B$77)-YEAR($B$76))+MONTH($B$77)-MONTH($B$76))))*(1+'Вводные'!$B$65)^MAX(0,(12*(YEAR(BX$3)-YEAR($B$77))+MONTH(BX$3)-MONTH($B$77))))</x:f>
      </x:c>
      <x:c r="BY93" s="107" t="n">
        <x:f>IF(BY92=0,0,'Вводные'!$B$62*'Вводные'!$S$91*'Вводные'!$H$5*'Вводные'!$AG$91*(1+'Вводные'!$B$64)^MAX(0,MIN((12*(YEAR(BY$3)-YEAR($B$76))+MONTH(BY$3)-MONTH($B$76)),(12*(YEAR($B$77)-YEAR($B$76))+MONTH($B$77)-MONTH($B$76))))*(1+'Вводные'!$B$65)^MAX(0,(12*(YEAR(BY$3)-YEAR($B$77))+MONTH(BY$3)-MONTH($B$77))))</x:f>
      </x:c>
      <x:c r="BZ93" s="107" t="n">
        <x:f>IF(BZ92=0,0,'Вводные'!$B$62*'Вводные'!$S$91*'Вводные'!$H$5*'Вводные'!$AG$91*(1+'Вводные'!$B$64)^MAX(0,MIN((12*(YEAR(BZ$3)-YEAR($B$76))+MONTH(BZ$3)-MONTH($B$76)),(12*(YEAR($B$77)-YEAR($B$76))+MONTH($B$77)-MONTH($B$76))))*(1+'Вводные'!$B$65)^MAX(0,(12*(YEAR(BZ$3)-YEAR($B$77))+MONTH(BZ$3)-MONTH($B$77))))</x:f>
      </x:c>
      <x:c r="CA93" s="107" t="n">
        <x:f>IF(CA92=0,0,'Вводные'!$B$62*'Вводные'!$S$91*'Вводные'!$H$5*'Вводные'!$AG$91*(1+'Вводные'!$B$64)^MAX(0,MIN((12*(YEAR(CA$3)-YEAR($B$76))+MONTH(CA$3)-MONTH($B$76)),(12*(YEAR($B$77)-YEAR($B$76))+MONTH($B$77)-MONTH($B$76))))*(1+'Вводные'!$B$65)^MAX(0,(12*(YEAR(CA$3)-YEAR($B$77))+MONTH(CA$3)-MONTH($B$77))))</x:f>
      </x:c>
      <x:c r="CB93" s="107" t="n">
        <x:f>IF(CB92=0,0,'Вводные'!$B$62*'Вводные'!$S$91*'Вводные'!$H$5*'Вводные'!$AG$91*(1+'Вводные'!$B$64)^MAX(0,MIN((12*(YEAR(CB$3)-YEAR($B$76))+MONTH(CB$3)-MONTH($B$76)),(12*(YEAR($B$77)-YEAR($B$76))+MONTH($B$77)-MONTH($B$76))))*(1+'Вводные'!$B$65)^MAX(0,(12*(YEAR(CB$3)-YEAR($B$77))+MONTH(CB$3)-MONTH($B$77))))</x:f>
      </x:c>
      <x:c r="CC93" s="107" t="n">
        <x:f>IF(CC92=0,0,'Вводные'!$B$62*'Вводные'!$S$91*'Вводные'!$H$5*'Вводные'!$AG$91*(1+'Вводные'!$B$64)^MAX(0,MIN((12*(YEAR(CC$3)-YEAR($B$76))+MONTH(CC$3)-MONTH($B$76)),(12*(YEAR($B$77)-YEAR($B$76))+MONTH($B$77)-MONTH($B$76))))*(1+'Вводные'!$B$65)^MAX(0,(12*(YEAR(CC$3)-YEAR($B$77))+MONTH(CC$3)-MONTH($B$77))))</x:f>
      </x:c>
      <x:c r="CD93" s="107" t="n">
        <x:f>IF(CD92=0,0,'Вводные'!$B$62*'Вводные'!$S$91*'Вводные'!$H$5*'Вводные'!$AG$91*(1+'Вводные'!$B$64)^MAX(0,MIN((12*(YEAR(CD$3)-YEAR($B$76))+MONTH(CD$3)-MONTH($B$76)),(12*(YEAR($B$77)-YEAR($B$76))+MONTH($B$77)-MONTH($B$76))))*(1+'Вводные'!$B$65)^MAX(0,(12*(YEAR(CD$3)-YEAR($B$77))+MONTH(CD$3)-MONTH($B$77))))</x:f>
      </x:c>
      <x:c r="CE93" s="107" t="n">
        <x:f>IF(CE92=0,0,'Вводные'!$B$62*'Вводные'!$S$91*'Вводные'!$H$5*'Вводные'!$AG$91*(1+'Вводные'!$B$64)^MAX(0,MIN((12*(YEAR(CE$3)-YEAR($B$76))+MONTH(CE$3)-MONTH($B$76)),(12*(YEAR($B$77)-YEAR($B$76))+MONTH($B$77)-MONTH($B$76))))*(1+'Вводные'!$B$65)^MAX(0,(12*(YEAR(CE$3)-YEAR($B$77))+MONTH(CE$3)-MONTH($B$77))))</x:f>
      </x:c>
      <x:c r="CF93" s="107" t="n">
        <x:f>IF(CF92=0,0,'Вводные'!$B$62*'Вводные'!$S$91*'Вводные'!$H$5*'Вводные'!$AG$91*(1+'Вводные'!$B$64)^MAX(0,MIN((12*(YEAR(CF$3)-YEAR($B$76))+MONTH(CF$3)-MONTH($B$76)),(12*(YEAR($B$77)-YEAR($B$76))+MONTH($B$77)-MONTH($B$76))))*(1+'Вводные'!$B$65)^MAX(0,(12*(YEAR(CF$3)-YEAR($B$77))+MONTH(CF$3)-MONTH($B$77))))</x:f>
      </x:c>
      <x:c r="CG93" s="107" t="n">
        <x:f>IF(CG92=0,0,'Вводные'!$B$62*'Вводные'!$S$91*'Вводные'!$H$5*'Вводные'!$AG$91*(1+'Вводные'!$B$64)^MAX(0,MIN((12*(YEAR(CG$3)-YEAR($B$76))+MONTH(CG$3)-MONTH($B$76)),(12*(YEAR($B$77)-YEAR($B$76))+MONTH($B$77)-MONTH($B$76))))*(1+'Вводные'!$B$65)^MAX(0,(12*(YEAR(CG$3)-YEAR($B$77))+MONTH(CG$3)-MONTH($B$77))))</x:f>
      </x:c>
      <x:c r="CH93" s="107" t="n">
        <x:f>IF(CH92=0,0,'Вводные'!$B$62*'Вводные'!$S$91*'Вводные'!$H$5*'Вводные'!$AG$91*(1+'Вводные'!$B$64)^MAX(0,MIN((12*(YEAR(CH$3)-YEAR($B$76))+MONTH(CH$3)-MONTH($B$76)),(12*(YEAR($B$77)-YEAR($B$76))+MONTH($B$77)-MONTH($B$76))))*(1+'Вводные'!$B$65)^MAX(0,(12*(YEAR(CH$3)-YEAR($B$77))+MONTH(CH$3)-MONTH($B$77))))</x:f>
      </x:c>
      <x:c r="CI93" s="107" t="n">
        <x:f>IF(CI92=0,0,'Вводные'!$B$62*'Вводные'!$S$91*'Вводные'!$H$5*'Вводные'!$AG$91*(1+'Вводные'!$B$64)^MAX(0,MIN((12*(YEAR(CI$3)-YEAR($B$76))+MONTH(CI$3)-MONTH($B$76)),(12*(YEAR($B$77)-YEAR($B$76))+MONTH($B$77)-MONTH($B$76))))*(1+'Вводные'!$B$65)^MAX(0,(12*(YEAR(CI$3)-YEAR($B$77))+MONTH(CI$3)-MONTH($B$77))))</x:f>
      </x:c>
      <x:c r="CJ93" s="107" t="n">
        <x:f>IF(CJ92=0,0,'Вводные'!$B$62*'Вводные'!$S$91*'Вводные'!$H$5*'Вводные'!$AG$91*(1+'Вводные'!$B$64)^MAX(0,MIN((12*(YEAR(CJ$3)-YEAR($B$76))+MONTH(CJ$3)-MONTH($B$76)),(12*(YEAR($B$77)-YEAR($B$76))+MONTH($B$77)-MONTH($B$76))))*(1+'Вводные'!$B$65)^MAX(0,(12*(YEAR(CJ$3)-YEAR($B$77))+MONTH(CJ$3)-MONTH($B$77))))</x:f>
      </x:c>
      <x:c r="CK93" s="107" t="n">
        <x:f>IF(CK92=0,0,'Вводные'!$B$62*'Вводные'!$S$91*'Вводные'!$H$5*'Вводные'!$AG$91*(1+'Вводные'!$B$64)^MAX(0,MIN((12*(YEAR(CK$3)-YEAR($B$76))+MONTH(CK$3)-MONTH($B$76)),(12*(YEAR($B$77)-YEAR($B$76))+MONTH($B$77)-MONTH($B$76))))*(1+'Вводные'!$B$65)^MAX(0,(12*(YEAR(CK$3)-YEAR($B$77))+MONTH(CK$3)-MONTH($B$77))))</x:f>
      </x:c>
      <x:c r="CL93" s="107" t="n">
        <x:f>IF(CL92=0,0,'Вводные'!$B$62*'Вводные'!$S$91*'Вводные'!$H$5*'Вводные'!$AG$91*(1+'Вводные'!$B$64)^MAX(0,MIN((12*(YEAR(CL$3)-YEAR($B$76))+MONTH(CL$3)-MONTH($B$76)),(12*(YEAR($B$77)-YEAR($B$76))+MONTH($B$77)-MONTH($B$76))))*(1+'Вводные'!$B$65)^MAX(0,(12*(YEAR(CL$3)-YEAR($B$77))+MONTH(CL$3)-MONTH($B$77))))</x:f>
      </x:c>
      <x:c r="CM93" s="107" t="n">
        <x:f>IF(CM92=0,0,'Вводные'!$B$62*'Вводные'!$S$91*'Вводные'!$H$5*'Вводные'!$AG$91*(1+'Вводные'!$B$64)^MAX(0,MIN((12*(YEAR(CM$3)-YEAR($B$76))+MONTH(CM$3)-MONTH($B$76)),(12*(YEAR($B$77)-YEAR($B$76))+MONTH($B$77)-MONTH($B$76))))*(1+'Вводные'!$B$65)^MAX(0,(12*(YEAR(CM$3)-YEAR($B$77))+MONTH(CM$3)-MONTH($B$77))))</x:f>
      </x:c>
      <x:c r="CN93" s="107" t="n">
        <x:f>IF(CN92=0,0,'Вводные'!$B$62*'Вводные'!$S$91*'Вводные'!$H$5*'Вводные'!$AG$91*(1+'Вводные'!$B$64)^MAX(0,MIN((12*(YEAR(CN$3)-YEAR($B$76))+MONTH(CN$3)-MONTH($B$76)),(12*(YEAR($B$77)-YEAR($B$76))+MONTH($B$77)-MONTH($B$76))))*(1+'Вводные'!$B$65)^MAX(0,(12*(YEAR(CN$3)-YEAR($B$77))+MONTH(CN$3)-MONTH($B$77))))</x:f>
      </x:c>
      <x:c r="CO93" s="107" t="n">
        <x:f>IF(CO92=0,0,'Вводные'!$B$62*'Вводные'!$S$91*'Вводные'!$H$5*'Вводные'!$AG$91*(1+'Вводные'!$B$64)^MAX(0,MIN((12*(YEAR(CO$3)-YEAR($B$76))+MONTH(CO$3)-MONTH($B$76)),(12*(YEAR($B$77)-YEAR($B$76))+MONTH($B$77)-MONTH($B$76))))*(1+'Вводные'!$B$65)^MAX(0,(12*(YEAR(CO$3)-YEAR($B$77))+MONTH(CO$3)-MONTH($B$77))))</x:f>
      </x:c>
      <x:c r="CP93" s="107" t="n">
        <x:f>IF(CP92=0,0,'Вводные'!$B$62*'Вводные'!$S$91*'Вводные'!$H$5*'Вводные'!$AG$91*(1+'Вводные'!$B$64)^MAX(0,MIN((12*(YEAR(CP$3)-YEAR($B$76))+MONTH(CP$3)-MONTH($B$76)),(12*(YEAR($B$77)-YEAR($B$76))+MONTH($B$77)-MONTH($B$76))))*(1+'Вводные'!$B$65)^MAX(0,(12*(YEAR(CP$3)-YEAR($B$77))+MONTH(CP$3)-MONTH($B$77))))</x:f>
      </x:c>
      <x:c r="CQ93" s="107" t="n">
        <x:f>IF(CQ92=0,0,'Вводные'!$B$62*'Вводные'!$S$91*'Вводные'!$H$5*'Вводные'!$AG$91*(1+'Вводные'!$B$64)^MAX(0,MIN((12*(YEAR(CQ$3)-YEAR($B$76))+MONTH(CQ$3)-MONTH($B$76)),(12*(YEAR($B$77)-YEAR($B$76))+MONTH($B$77)-MONTH($B$76))))*(1+'Вводные'!$B$65)^MAX(0,(12*(YEAR(CQ$3)-YEAR($B$77))+MONTH(CQ$3)-MONTH($B$77))))</x:f>
      </x:c>
      <x:c r="CR93" s="107" t="n">
        <x:f>IF(CR92=0,0,'Вводные'!$B$62*'Вводные'!$S$91*'Вводные'!$H$5*'Вводные'!$AG$91*(1+'Вводные'!$B$64)^MAX(0,MIN((12*(YEAR(CR$3)-YEAR($B$76))+MONTH(CR$3)-MONTH($B$76)),(12*(YEAR($B$77)-YEAR($B$76))+MONTH($B$77)-MONTH($B$76))))*(1+'Вводные'!$B$65)^MAX(0,(12*(YEAR(CR$3)-YEAR($B$77))+MONTH(CR$3)-MONTH($B$77))))</x:f>
      </x:c>
      <x:c r="CS93" s="107" t="n">
        <x:f>IF(CS92=0,0,'Вводные'!$B$62*'Вводные'!$S$91*'Вводные'!$H$5*'Вводные'!$AG$91*(1+'Вводные'!$B$64)^MAX(0,MIN((12*(YEAR(CS$3)-YEAR($B$76))+MONTH(CS$3)-MONTH($B$76)),(12*(YEAR($B$77)-YEAR($B$76))+MONTH($B$77)-MONTH($B$76))))*(1+'Вводные'!$B$65)^MAX(0,(12*(YEAR(CS$3)-YEAR($B$77))+MONTH(CS$3)-MONTH($B$77))))</x:f>
      </x:c>
      <x:c r="CT93" s="107" t="n">
        <x:f>IF(CT92=0,0,'Вводные'!$B$62*'Вводные'!$S$91*'Вводные'!$H$5*'Вводные'!$AG$91*(1+'Вводные'!$B$64)^MAX(0,MIN((12*(YEAR(CT$3)-YEAR($B$76))+MONTH(CT$3)-MONTH($B$76)),(12*(YEAR($B$77)-YEAR($B$76))+MONTH($B$77)-MONTH($B$76))))*(1+'Вводные'!$B$65)^MAX(0,(12*(YEAR(CT$3)-YEAR($B$77))+MONTH(CT$3)-MONTH($B$77))))</x:f>
      </x:c>
      <x:c r="CU93" s="107" t="n">
        <x:f>IF(CU92=0,0,'Вводные'!$B$62*'Вводные'!$S$91*'Вводные'!$H$5*'Вводные'!$AG$91*(1+'Вводные'!$B$64)^MAX(0,MIN((12*(YEAR(CU$3)-YEAR($B$76))+MONTH(CU$3)-MONTH($B$76)),(12*(YEAR($B$77)-YEAR($B$76))+MONTH($B$77)-MONTH($B$76))))*(1+'Вводные'!$B$65)^MAX(0,(12*(YEAR(CU$3)-YEAR($B$77))+MONTH(CU$3)-MONTH($B$77))))</x:f>
      </x:c>
      <x:c r="CV93" s="107" t="n">
        <x:f>IF(CV92=0,0,'Вводные'!$B$62*'Вводные'!$S$91*'Вводные'!$H$5*'Вводные'!$AG$91*(1+'Вводные'!$B$64)^MAX(0,MIN((12*(YEAR(CV$3)-YEAR($B$76))+MONTH(CV$3)-MONTH($B$76)),(12*(YEAR($B$77)-YEAR($B$76))+MONTH($B$77)-MONTH($B$76))))*(1+'Вводные'!$B$65)^MAX(0,(12*(YEAR(CV$3)-YEAR($B$77))+MONTH(CV$3)-MONTH($B$77))))</x:f>
      </x:c>
      <x:c r="CW93" s="107" t="n">
        <x:f>IF(CW92=0,0,'Вводные'!$B$62*'Вводные'!$S$91*'Вводные'!$H$5*'Вводные'!$AG$91*(1+'Вводные'!$B$64)^MAX(0,MIN((12*(YEAR(CW$3)-YEAR($B$76))+MONTH(CW$3)-MONTH($B$76)),(12*(YEAR($B$77)-YEAR($B$76))+MONTH($B$77)-MONTH($B$76))))*(1+'Вводные'!$B$65)^MAX(0,(12*(YEAR(CW$3)-YEAR($B$77))+MONTH(CW$3)-MONTH($B$77))))</x:f>
      </x:c>
      <x:c r="CX93" s="107" t="n">
        <x:f>IF(CX92=0,0,'Вводные'!$B$62*'Вводные'!$S$91*'Вводные'!$H$5*'Вводные'!$AG$91*(1+'Вводные'!$B$64)^MAX(0,MIN((12*(YEAR(CX$3)-YEAR($B$76))+MONTH(CX$3)-MONTH($B$76)),(12*(YEAR($B$77)-YEAR($B$76))+MONTH($B$77)-MONTH($B$76))))*(1+'Вводные'!$B$65)^MAX(0,(12*(YEAR(CX$3)-YEAR($B$77))+MONTH(CX$3)-MONTH($B$77))))</x:f>
      </x:c>
      <x:c r="CY93" s="107" t="n">
        <x:f>IF(CY92=0,0,'Вводные'!$B$62*'Вводные'!$S$91*'Вводные'!$H$5*'Вводные'!$AG$91*(1+'Вводные'!$B$64)^MAX(0,MIN((12*(YEAR(CY$3)-YEAR($B$76))+MONTH(CY$3)-MONTH($B$76)),(12*(YEAR($B$77)-YEAR($B$76))+MONTH($B$77)-MONTH($B$76))))*(1+'Вводные'!$B$65)^MAX(0,(12*(YEAR(CY$3)-YEAR($B$77))+MONTH(CY$3)-MONTH($B$77))))</x:f>
      </x:c>
      <x:c r="CZ93" s="107" t="n">
        <x:f>IF(CZ92=0,0,'Вводные'!$B$62*'Вводные'!$S$91*'Вводные'!$H$5*'Вводные'!$AG$91*(1+'Вводные'!$B$64)^MAX(0,MIN((12*(YEAR(CZ$3)-YEAR($B$76))+MONTH(CZ$3)-MONTH($B$76)),(12*(YEAR($B$77)-YEAR($B$76))+MONTH($B$77)-MONTH($B$76))))*(1+'Вводные'!$B$65)^MAX(0,(12*(YEAR(CZ$3)-YEAR($B$77))+MONTH(CZ$3)-MONTH($B$77))))</x:f>
      </x:c>
      <x:c r="DA93" s="107" t="n">
        <x:f>IF(DA92=0,0,'Вводные'!$B$62*'Вводные'!$S$91*'Вводные'!$H$5*'Вводные'!$AG$91*(1+'Вводные'!$B$64)^MAX(0,MIN((12*(YEAR(DA$3)-YEAR($B$76))+MONTH(DA$3)-MONTH($B$76)),(12*(YEAR($B$77)-YEAR($B$76))+MONTH($B$77)-MONTH($B$76))))*(1+'Вводные'!$B$65)^MAX(0,(12*(YEAR(DA$3)-YEAR($B$77))+MONTH(DA$3)-MONTH($B$77))))</x:f>
      </x:c>
      <x:c r="DB93" s="107" t="n">
        <x:f>IF(DB92=0,0,'Вводные'!$B$62*'Вводные'!$S$91*'Вводные'!$H$5*'Вводные'!$AG$91*(1+'Вводные'!$B$64)^MAX(0,MIN((12*(YEAR(DB$3)-YEAR($B$76))+MONTH(DB$3)-MONTH($B$76)),(12*(YEAR($B$77)-YEAR($B$76))+MONTH($B$77)-MONTH($B$76))))*(1+'Вводные'!$B$65)^MAX(0,(12*(YEAR(DB$3)-YEAR($B$77))+MONTH(DB$3)-MONTH($B$77))))</x:f>
      </x:c>
      <x:c r="DC93" s="107" t="n">
        <x:f>IF(DC92=0,0,'Вводные'!$B$62*'Вводные'!$S$91*'Вводные'!$H$5*'Вводные'!$AG$91*(1+'Вводные'!$B$64)^MAX(0,MIN((12*(YEAR(DC$3)-YEAR($B$76))+MONTH(DC$3)-MONTH($B$76)),(12*(YEAR($B$77)-YEAR($B$76))+MONTH($B$77)-MONTH($B$76))))*(1+'Вводные'!$B$65)^MAX(0,(12*(YEAR(DC$3)-YEAR($B$77))+MONTH(DC$3)-MONTH($B$77))))</x:f>
      </x:c>
      <x:c r="DD93" s="107" t="n">
        <x:f>IF(DD92=0,0,'Вводные'!$B$62*'Вводные'!$S$91*'Вводные'!$H$5*'Вводные'!$AG$91*(1+'Вводные'!$B$64)^MAX(0,MIN((12*(YEAR(DD$3)-YEAR($B$76))+MONTH(DD$3)-MONTH($B$76)),(12*(YEAR($B$77)-YEAR($B$76))+MONTH($B$77)-MONTH($B$76))))*(1+'Вводные'!$B$65)^MAX(0,(12*(YEAR(DD$3)-YEAR($B$77))+MONTH(DD$3)-MONTH($B$77))))</x:f>
      </x:c>
      <x:c r="DE93" s="107" t="n">
        <x:f>IF(DE92=0,0,'Вводные'!$B$62*'Вводные'!$S$91*'Вводные'!$H$5*'Вводные'!$AG$91*(1+'Вводные'!$B$64)^MAX(0,MIN((12*(YEAR(DE$3)-YEAR($B$76))+MONTH(DE$3)-MONTH($B$76)),(12*(YEAR($B$77)-YEAR($B$76))+MONTH($B$77)-MONTH($B$76))))*(1+'Вводные'!$B$65)^MAX(0,(12*(YEAR(DE$3)-YEAR($B$77))+MONTH(DE$3)-MONTH($B$77))))</x:f>
      </x:c>
      <x:c r="DF93" s="107" t="n">
        <x:f>IF(DF92=0,0,'Вводные'!$B$62*'Вводные'!$S$91*'Вводные'!$H$5*'Вводные'!$AG$91*(1+'Вводные'!$B$64)^MAX(0,MIN((12*(YEAR(DF$3)-YEAR($B$76))+MONTH(DF$3)-MONTH($B$76)),(12*(YEAR($B$77)-YEAR($B$76))+MONTH($B$77)-MONTH($B$76))))*(1+'Вводные'!$B$65)^MAX(0,(12*(YEAR(DF$3)-YEAR($B$77))+MONTH(DF$3)-MONTH($B$77))))</x:f>
      </x:c>
      <x:c r="DG93" s="107" t="n">
        <x:f>IF(DG92=0,0,'Вводные'!$B$62*'Вводные'!$S$91*'Вводные'!$H$5*'Вводные'!$AG$91*(1+'Вводные'!$B$64)^MAX(0,MIN((12*(YEAR(DG$3)-YEAR($B$76))+MONTH(DG$3)-MONTH($B$76)),(12*(YEAR($B$77)-YEAR($B$76))+MONTH($B$77)-MONTH($B$76))))*(1+'Вводные'!$B$65)^MAX(0,(12*(YEAR(DG$3)-YEAR($B$77))+MONTH(DG$3)-MONTH($B$77))))</x:f>
      </x:c>
      <x:c r="DH93" s="107" t="n">
        <x:f>IF(DH92=0,0,'Вводные'!$B$62*'Вводные'!$S$91*'Вводные'!$H$5*'Вводные'!$AG$91*(1+'Вводные'!$B$64)^MAX(0,MIN((12*(YEAR(DH$3)-YEAR($B$76))+MONTH(DH$3)-MONTH($B$76)),(12*(YEAR($B$77)-YEAR($B$76))+MONTH($B$77)-MONTH($B$76))))*(1+'Вводные'!$B$65)^MAX(0,(12*(YEAR(DH$3)-YEAR($B$77))+MONTH(DH$3)-MONTH($B$77))))</x:f>
      </x:c>
      <x:c r="DI93" s="107" t="n">
        <x:f>IF(DI92=0,0,'Вводные'!$B$62*'Вводные'!$S$91*'Вводные'!$H$5*'Вводные'!$AG$91*(1+'Вводные'!$B$64)^MAX(0,MIN((12*(YEAR(DI$3)-YEAR($B$76))+MONTH(DI$3)-MONTH($B$76)),(12*(YEAR($B$77)-YEAR($B$76))+MONTH($B$77)-MONTH($B$76))))*(1+'Вводные'!$B$65)^MAX(0,(12*(YEAR(DI$3)-YEAR($B$77))+MONTH(DI$3)-MONTH($B$77))))</x:f>
      </x:c>
      <x:c r="DJ93" s="107" t="n">
        <x:f>IF(DJ92=0,0,'Вводные'!$B$62*'Вводные'!$S$91*'Вводные'!$H$5*'Вводные'!$AG$91*(1+'Вводные'!$B$64)^MAX(0,MIN((12*(YEAR(DJ$3)-YEAR($B$76))+MONTH(DJ$3)-MONTH($B$76)),(12*(YEAR($B$77)-YEAR($B$76))+MONTH($B$77)-MONTH($B$76))))*(1+'Вводные'!$B$65)^MAX(0,(12*(YEAR(DJ$3)-YEAR($B$77))+MONTH(DJ$3)-MONTH($B$77))))</x:f>
      </x:c>
      <x:c r="DK93" s="107" t="n">
        <x:f>IF(DK92=0,0,'Вводные'!$B$62*'Вводные'!$S$91*'Вводные'!$H$5*'Вводные'!$AG$91*(1+'Вводные'!$B$64)^MAX(0,MIN((12*(YEAR(DK$3)-YEAR($B$76))+MONTH(DK$3)-MONTH($B$76)),(12*(YEAR($B$77)-YEAR($B$76))+MONTH($B$77)-MONTH($B$76))))*(1+'Вводные'!$B$65)^MAX(0,(12*(YEAR(DK$3)-YEAR($B$77))+MONTH(DK$3)-MONTH($B$77))))</x:f>
      </x:c>
      <x:c r="DL93" s="107" t="n">
        <x:f>IF(DL92=0,0,'Вводные'!$B$62*'Вводные'!$S$91*'Вводные'!$H$5*'Вводные'!$AG$91*(1+'Вводные'!$B$64)^MAX(0,MIN((12*(YEAR(DL$3)-YEAR($B$76))+MONTH(DL$3)-MONTH($B$76)),(12*(YEAR($B$77)-YEAR($B$76))+MONTH($B$77)-MONTH($B$76))))*(1+'Вводные'!$B$65)^MAX(0,(12*(YEAR(DL$3)-YEAR($B$77))+MONTH(DL$3)-MONTH($B$77))))</x:f>
      </x:c>
      <x:c r="DM93" s="107" t="n">
        <x:f>IF(DM92=0,0,'Вводные'!$B$62*'Вводные'!$S$91*'Вводные'!$H$5*'Вводные'!$AG$91*(1+'Вводные'!$B$64)^MAX(0,MIN((12*(YEAR(DM$3)-YEAR($B$76))+MONTH(DM$3)-MONTH($B$76)),(12*(YEAR($B$77)-YEAR($B$76))+MONTH($B$77)-MONTH($B$76))))*(1+'Вводные'!$B$65)^MAX(0,(12*(YEAR(DM$3)-YEAR($B$77))+MONTH(DM$3)-MONTH($B$77))))</x:f>
      </x:c>
      <x:c r="DN93" s="107" t="n">
        <x:f>IF(DN92=0,0,'Вводные'!$B$62*'Вводные'!$S$91*'Вводные'!$H$5*'Вводные'!$AG$91*(1+'Вводные'!$B$64)^MAX(0,MIN((12*(YEAR(DN$3)-YEAR($B$76))+MONTH(DN$3)-MONTH($B$76)),(12*(YEAR($B$77)-YEAR($B$76))+MONTH($B$77)-MONTH($B$76))))*(1+'Вводные'!$B$65)^MAX(0,(12*(YEAR(DN$3)-YEAR($B$77))+MONTH(DN$3)-MONTH($B$77))))</x:f>
      </x:c>
      <x:c r="DO93" s="107" t="n">
        <x:f>IF(DO92=0,0,'Вводные'!$B$62*'Вводные'!$S$91*'Вводные'!$H$5*'Вводные'!$AG$91*(1+'Вводные'!$B$64)^MAX(0,MIN((12*(YEAR(DO$3)-YEAR($B$76))+MONTH(DO$3)-MONTH($B$76)),(12*(YEAR($B$77)-YEAR($B$76))+MONTH($B$77)-MONTH($B$76))))*(1+'Вводные'!$B$65)^MAX(0,(12*(YEAR(DO$3)-YEAR($B$77))+MONTH(DO$3)-MONTH($B$77))))</x:f>
      </x:c>
      <x:c r="DP93" s="107" t="n">
        <x:f>IF(DP92=0,0,'Вводные'!$B$62*'Вводные'!$S$91*'Вводные'!$H$5*'Вводные'!$AG$91*(1+'Вводные'!$B$64)^MAX(0,MIN((12*(YEAR(DP$3)-YEAR($B$76))+MONTH(DP$3)-MONTH($B$76)),(12*(YEAR($B$77)-YEAR($B$76))+MONTH($B$77)-MONTH($B$76))))*(1+'Вводные'!$B$65)^MAX(0,(12*(YEAR(DP$3)-YEAR($B$77))+MONTH(DP$3)-MONTH($B$77))))</x:f>
      </x:c>
      <x:c r="DQ93" s="107" t="n">
        <x:f>IF(DQ92=0,0,'Вводные'!$B$62*'Вводные'!$S$91*'Вводные'!$H$5*'Вводные'!$AG$91*(1+'Вводные'!$B$64)^MAX(0,MIN((12*(YEAR(DQ$3)-YEAR($B$76))+MONTH(DQ$3)-MONTH($B$76)),(12*(YEAR($B$77)-YEAR($B$76))+MONTH($B$77)-MONTH($B$76))))*(1+'Вводные'!$B$65)^MAX(0,(12*(YEAR(DQ$3)-YEAR($B$77))+MONTH(DQ$3)-MONTH($B$77))))</x:f>
      </x:c>
      <x:c r="DR93" s="107" t="n">
        <x:f>IF(DR92=0,0,'Вводные'!$B$62*'Вводные'!$S$91*'Вводные'!$H$5*'Вводные'!$AG$91*(1+'Вводные'!$B$64)^MAX(0,MIN((12*(YEAR(DR$3)-YEAR($B$76))+MONTH(DR$3)-MONTH($B$76)),(12*(YEAR($B$77)-YEAR($B$76))+MONTH($B$77)-MONTH($B$76))))*(1+'Вводные'!$B$65)^MAX(0,(12*(YEAR(DR$3)-YEAR($B$77))+MONTH(DR$3)-MONTH($B$77))))</x:f>
      </x:c>
      <x:c r="DS93" s="107" t="n">
        <x:f>IF(DS92=0,0,'Вводные'!$B$62*'Вводные'!$S$91*'Вводные'!$H$5*'Вводные'!$AG$91*(1+'Вводные'!$B$64)^MAX(0,MIN((12*(YEAR(DS$3)-YEAR($B$76))+MONTH(DS$3)-MONTH($B$76)),(12*(YEAR($B$77)-YEAR($B$76))+MONTH($B$77)-MONTH($B$76))))*(1+'Вводные'!$B$65)^MAX(0,(12*(YEAR(DS$3)-YEAR($B$77))+MONTH(DS$3)-MONTH($B$77))))</x:f>
      </x:c>
      <x:c r="DT93" s="107" t="n">
        <x:f>IF(DT92=0,0,'Вводные'!$B$62*'Вводные'!$S$91*'Вводные'!$H$5*'Вводные'!$AG$91*(1+'Вводные'!$B$64)^MAX(0,MIN((12*(YEAR(DT$3)-YEAR($B$76))+MONTH(DT$3)-MONTH($B$76)),(12*(YEAR($B$77)-YEAR($B$76))+MONTH($B$77)-MONTH($B$76))))*(1+'Вводные'!$B$65)^MAX(0,(12*(YEAR(DT$3)-YEAR($B$77))+MONTH(DT$3)-MONTH($B$77))))</x:f>
      </x:c>
      <x:c r="DU93" s="107" t="n">
        <x:f>IF(DU92=0,0,'Вводные'!$B$62*'Вводные'!$S$91*'Вводные'!$H$5*'Вводные'!$AG$91*(1+'Вводные'!$B$64)^MAX(0,MIN((12*(YEAR(DU$3)-YEAR($B$76))+MONTH(DU$3)-MONTH($B$76)),(12*(YEAR($B$77)-YEAR($B$76))+MONTH($B$77)-MONTH($B$76))))*(1+'Вводные'!$B$65)^MAX(0,(12*(YEAR(DU$3)-YEAR($B$77))+MONTH(DU$3)-MONTH($B$77))))</x:f>
      </x:c>
      <x:c r="DV93" s="107" t="n">
        <x:f>IF(DV92=0,0,'Вводные'!$B$62*'Вводные'!$S$91*'Вводные'!$H$5*'Вводные'!$AG$91*(1+'Вводные'!$B$64)^MAX(0,MIN((12*(YEAR(DV$3)-YEAR($B$76))+MONTH(DV$3)-MONTH($B$76)),(12*(YEAR($B$77)-YEAR($B$76))+MONTH($B$77)-MONTH($B$76))))*(1+'Вводные'!$B$65)^MAX(0,(12*(YEAR(DV$3)-YEAR($B$77))+MONTH(DV$3)-MONTH($B$77))))</x:f>
      </x:c>
      <x:c r="DW93" s="107" t="n">
        <x:f>IF(DW92=0,0,'Вводные'!$B$62*'Вводные'!$S$91*'Вводные'!$H$5*'Вводные'!$AG$91*(1+'Вводные'!$B$64)^MAX(0,MIN((12*(YEAR(DW$3)-YEAR($B$76))+MONTH(DW$3)-MONTH($B$76)),(12*(YEAR($B$77)-YEAR($B$76))+MONTH($B$77)-MONTH($B$76))))*(1+'Вводные'!$B$65)^MAX(0,(12*(YEAR(DW$3)-YEAR($B$77))+MONTH(DW$3)-MONTH($B$77))))</x:f>
      </x:c>
      <x:c r="DX93" s="107" t="n">
        <x:f>IF(DX92=0,0,'Вводные'!$B$62*'Вводные'!$S$91*'Вводные'!$H$5*'Вводные'!$AG$91*(1+'Вводные'!$B$64)^MAX(0,MIN((12*(YEAR(DX$3)-YEAR($B$76))+MONTH(DX$3)-MONTH($B$76)),(12*(YEAR($B$77)-YEAR($B$76))+MONTH($B$77)-MONTH($B$76))))*(1+'Вводные'!$B$65)^MAX(0,(12*(YEAR(DX$3)-YEAR($B$77))+MONTH(DX$3)-MONTH($B$77))))</x:f>
      </x:c>
      <x:c r="DY93" s="107" t="n">
        <x:f>IF(DY92=0,0,'Вводные'!$B$62*'Вводные'!$S$91*'Вводные'!$H$5*'Вводные'!$AG$91*(1+'Вводные'!$B$64)^MAX(0,MIN((12*(YEAR(DY$3)-YEAR($B$76))+MONTH(DY$3)-MONTH($B$76)),(12*(YEAR($B$77)-YEAR($B$76))+MONTH($B$77)-MONTH($B$76))))*(1+'Вводные'!$B$65)^MAX(0,(12*(YEAR(DY$3)-YEAR($B$77))+MONTH(DY$3)-MONTH($B$77))))</x:f>
      </x:c>
      <x:c r="DZ93" s="107" t="n">
        <x:f>IF(DZ92=0,0,'Вводные'!$B$62*'Вводные'!$S$91*'Вводные'!$H$5*'Вводные'!$AG$91*(1+'Вводные'!$B$64)^MAX(0,MIN((12*(YEAR(DZ$3)-YEAR($B$76))+MONTH(DZ$3)-MONTH($B$76)),(12*(YEAR($B$77)-YEAR($B$76))+MONTH($B$77)-MONTH($B$76))))*(1+'Вводные'!$B$65)^MAX(0,(12*(YEAR(DZ$3)-YEAR($B$77))+MONTH(DZ$3)-MONTH($B$77))))</x:f>
      </x:c>
      <x:c r="EA93" s="107" t="n">
        <x:f>IF(EA92=0,0,'Вводные'!$B$62*'Вводные'!$S$91*'Вводные'!$H$5*'Вводные'!$AG$91*(1+'Вводные'!$B$64)^MAX(0,MIN((12*(YEAR(EA$3)-YEAR($B$76))+MONTH(EA$3)-MONTH($B$76)),(12*(YEAR($B$77)-YEAR($B$76))+MONTH($B$77)-MONTH($B$76))))*(1+'Вводные'!$B$65)^MAX(0,(12*(YEAR(EA$3)-YEAR($B$77))+MONTH(EA$3)-MONTH($B$77))))</x:f>
      </x:c>
      <x:c r="EB93" s="107" t="n">
        <x:f>IF(EB92=0,0,'Вводные'!$B$62*'Вводные'!$S$91*'Вводные'!$H$5*'Вводные'!$AG$91*(1+'Вводные'!$B$64)^MAX(0,MIN((12*(YEAR(EB$3)-YEAR($B$76))+MONTH(EB$3)-MONTH($B$76)),(12*(YEAR($B$77)-YEAR($B$76))+MONTH($B$77)-MONTH($B$76))))*(1+'Вводные'!$B$65)^MAX(0,(12*(YEAR(EB$3)-YEAR($B$77))+MONTH(EB$3)-MONTH($B$77))))</x:f>
      </x:c>
      <x:c r="EC93" s="107" t="n">
        <x:f>IF(EC92=0,0,'Вводные'!$B$62*'Вводные'!$S$91*'Вводные'!$H$5*'Вводные'!$AG$91*(1+'Вводные'!$B$64)^MAX(0,MIN((12*(YEAR(EC$3)-YEAR($B$76))+MONTH(EC$3)-MONTH($B$76)),(12*(YEAR($B$77)-YEAR($B$76))+MONTH($B$77)-MONTH($B$76))))*(1+'Вводные'!$B$65)^MAX(0,(12*(YEAR(EC$3)-YEAR($B$77))+MONTH(EC$3)-MONTH($B$77))))</x:f>
      </x:c>
      <x:c r="ED93" s="107" t="n">
        <x:f>IF(ED92=0,0,'Вводные'!$B$62*'Вводные'!$S$91*'Вводные'!$H$5*'Вводные'!$AG$91*(1+'Вводные'!$B$64)^MAX(0,MIN((12*(YEAR(ED$3)-YEAR($B$76))+MONTH(ED$3)-MONTH($B$76)),(12*(YEAR($B$77)-YEAR($B$76))+MONTH($B$77)-MONTH($B$76))))*(1+'Вводные'!$B$65)^MAX(0,(12*(YEAR(ED$3)-YEAR($B$77))+MONTH(ED$3)-MONTH($B$77))))</x:f>
      </x:c>
      <x:c r="EE93" s="107" t="n">
        <x:f>IF(EE92=0,0,'Вводные'!$B$62*'Вводные'!$S$91*'Вводные'!$H$5*'Вводные'!$AG$91*(1+'Вводные'!$B$64)^MAX(0,MIN((12*(YEAR(EE$3)-YEAR($B$76))+MONTH(EE$3)-MONTH($B$76)),(12*(YEAR($B$77)-YEAR($B$76))+MONTH($B$77)-MONTH($B$76))))*(1+'Вводные'!$B$65)^MAX(0,(12*(YEAR(EE$3)-YEAR($B$77))+MONTH(EE$3)-MONTH($B$77))))</x:f>
      </x:c>
      <x:c r="EF93" s="107" t="n">
        <x:f>IF(EF92=0,0,'Вводные'!$B$62*'Вводные'!$S$91*'Вводные'!$H$5*'Вводные'!$AG$91*(1+'Вводные'!$B$64)^MAX(0,MIN((12*(YEAR(EF$3)-YEAR($B$76))+MONTH(EF$3)-MONTH($B$76)),(12*(YEAR($B$77)-YEAR($B$76))+MONTH($B$77)-MONTH($B$76))))*(1+'Вводные'!$B$65)^MAX(0,(12*(YEAR(EF$3)-YEAR($B$77))+MONTH(EF$3)-MONTH($B$77))))</x:f>
      </x:c>
      <x:c r="EG93" s="107" t="n">
        <x:f>IF(EG92=0,0,'Вводные'!$B$62*'Вводные'!$S$91*'Вводные'!$H$5*'Вводные'!$AG$91*(1+'Вводные'!$B$64)^MAX(0,MIN((12*(YEAR(EG$3)-YEAR($B$76))+MONTH(EG$3)-MONTH($B$76)),(12*(YEAR($B$77)-YEAR($B$76))+MONTH($B$77)-MONTH($B$76))))*(1+'Вводные'!$B$65)^MAX(0,(12*(YEAR(EG$3)-YEAR($B$77))+MONTH(EG$3)-MONTH($B$77))))</x:f>
      </x:c>
      <x:c r="EH93" s="107" t="n">
        <x:f>IF(EH92=0,0,'Вводные'!$B$62*'Вводные'!$S$91*'Вводные'!$H$5*'Вводные'!$AG$91*(1+'Вводные'!$B$64)^MAX(0,MIN((12*(YEAR(EH$3)-YEAR($B$76))+MONTH(EH$3)-MONTH($B$76)),(12*(YEAR($B$77)-YEAR($B$76))+MONTH($B$77)-MONTH($B$76))))*(1+'Вводные'!$B$65)^MAX(0,(12*(YEAR(EH$3)-YEAR($B$77))+MONTH(EH$3)-MONTH($B$77))))</x:f>
      </x:c>
      <x:c r="EI93" s="107" t="n">
        <x:f>IF(EI92=0,0,'Вводные'!$B$62*'Вводные'!$S$91*'Вводные'!$H$5*'Вводные'!$AG$91*(1+'Вводные'!$B$64)^MAX(0,MIN((12*(YEAR(EI$3)-YEAR($B$76))+MONTH(EI$3)-MONTH($B$76)),(12*(YEAR($B$77)-YEAR($B$76))+MONTH($B$77)-MONTH($B$76))))*(1+'Вводные'!$B$65)^MAX(0,(12*(YEAR(EI$3)-YEAR($B$77))+MONTH(EI$3)-MONTH($B$77))))</x:f>
      </x:c>
      <x:c r="EJ93" s="107" t="n">
        <x:f>IF(EJ92=0,0,'Вводные'!$B$62*'Вводные'!$S$91*'Вводные'!$H$5*'Вводные'!$AG$91*(1+'Вводные'!$B$64)^MAX(0,MIN((12*(YEAR(EJ$3)-YEAR($B$76))+MONTH(EJ$3)-MONTH($B$76)),(12*(YEAR($B$77)-YEAR($B$76))+MONTH($B$77)-MONTH($B$76))))*(1+'Вводные'!$B$65)^MAX(0,(12*(YEAR(EJ$3)-YEAR($B$77))+MONTH(EJ$3)-MONTH($B$77))))</x:f>
      </x:c>
      <x:c r="EK93" s="107" t="n">
        <x:f>IF(EK92=0,0,'Вводные'!$B$62*'Вводные'!$S$91*'Вводные'!$H$5*'Вводные'!$AG$91*(1+'Вводные'!$B$64)^MAX(0,MIN((12*(YEAR(EK$3)-YEAR($B$76))+MONTH(EK$3)-MONTH($B$76)),(12*(YEAR($B$77)-YEAR($B$76))+MONTH($B$77)-MONTH($B$76))))*(1+'Вводные'!$B$65)^MAX(0,(12*(YEAR(EK$3)-YEAR($B$77))+MONTH(EK$3)-MONTH($B$77))))</x:f>
      </x:c>
      <x:c r="EL93" s="107" t="n">
        <x:f>IF(EL92=0,0,'Вводные'!$B$62*'Вводные'!$S$91*'Вводные'!$H$5*'Вводные'!$AG$91*(1+'Вводные'!$B$64)^MAX(0,MIN((12*(YEAR(EL$3)-YEAR($B$76))+MONTH(EL$3)-MONTH($B$76)),(12*(YEAR($B$77)-YEAR($B$76))+MONTH($B$77)-MONTH($B$76))))*(1+'Вводные'!$B$65)^MAX(0,(12*(YEAR(EL$3)-YEAR($B$77))+MONTH(EL$3)-MONTH($B$77))))</x:f>
      </x:c>
      <x:c r="EM93" s="107" t="n">
        <x:f>IF(EM92=0,0,'Вводные'!$B$62*'Вводные'!$S$91*'Вводные'!$H$5*'Вводные'!$AG$91*(1+'Вводные'!$B$64)^MAX(0,MIN((12*(YEAR(EM$3)-YEAR($B$76))+MONTH(EM$3)-MONTH($B$76)),(12*(YEAR($B$77)-YEAR($B$76))+MONTH($B$77)-MONTH($B$76))))*(1+'Вводные'!$B$65)^MAX(0,(12*(YEAR(EM$3)-YEAR($B$77))+MONTH(EM$3)-MONTH($B$77))))</x:f>
      </x:c>
      <x:c r="EN93" s="107" t="n">
        <x:f>IF(EN92=0,0,'Вводные'!$B$62*'Вводные'!$S$91*'Вводные'!$H$5*'Вводные'!$AG$91*(1+'Вводные'!$B$64)^MAX(0,MIN((12*(YEAR(EN$3)-YEAR($B$76))+MONTH(EN$3)-MONTH($B$76)),(12*(YEAR($B$77)-YEAR($B$76))+MONTH($B$77)-MONTH($B$76))))*(1+'Вводные'!$B$65)^MAX(0,(12*(YEAR(EN$3)-YEAR($B$77))+MONTH(EN$3)-MONTH($B$77))))</x:f>
      </x:c>
      <x:c r="EO93" s="107" t="n">
        <x:f>IF(EO92=0,0,'Вводные'!$B$62*'Вводные'!$S$91*'Вводные'!$H$5*'Вводные'!$AG$91*(1+'Вводные'!$B$64)^MAX(0,MIN((12*(YEAR(EO$3)-YEAR($B$76))+MONTH(EO$3)-MONTH($B$76)),(12*(YEAR($B$77)-YEAR($B$76))+MONTH($B$77)-MONTH($B$76))))*(1+'Вводные'!$B$65)^MAX(0,(12*(YEAR(EO$3)-YEAR($B$77))+MONTH(EO$3)-MONTH($B$77))))</x:f>
      </x:c>
      <x:c r="EP93" s="107" t="n">
        <x:f>IF(EP92=0,0,'Вводные'!$B$62*'Вводные'!$S$91*'Вводные'!$H$5*'Вводные'!$AG$91*(1+'Вводные'!$B$64)^MAX(0,MIN((12*(YEAR(EP$3)-YEAR($B$76))+MONTH(EP$3)-MONTH($B$76)),(12*(YEAR($B$77)-YEAR($B$76))+MONTH($B$77)-MONTH($B$76))))*(1+'Вводные'!$B$65)^MAX(0,(12*(YEAR(EP$3)-YEAR($B$77))+MONTH(EP$3)-MONTH($B$77))))</x:f>
      </x:c>
      <x:c r="EQ93" s="107" t="n">
        <x:f>IF(EQ92=0,0,'Вводные'!$B$62*'Вводные'!$S$91*'Вводные'!$H$5*'Вводные'!$AG$91*(1+'Вводные'!$B$64)^MAX(0,MIN((12*(YEAR(EQ$3)-YEAR($B$76))+MONTH(EQ$3)-MONTH($B$76)),(12*(YEAR($B$77)-YEAR($B$76))+MONTH($B$77)-MONTH($B$76))))*(1+'Вводные'!$B$65)^MAX(0,(12*(YEAR(EQ$3)-YEAR($B$77))+MONTH(EQ$3)-MONTH($B$77))))</x:f>
      </x:c>
      <x:c r="ER93" s="107" t="n">
        <x:f>IF(ER92=0,0,'Вводные'!$B$62*'Вводные'!$S$91*'Вводные'!$H$5*'Вводные'!$AG$91*(1+'Вводные'!$B$64)^MAX(0,MIN((12*(YEAR(ER$3)-YEAR($B$76))+MONTH(ER$3)-MONTH($B$76)),(12*(YEAR($B$77)-YEAR($B$76))+MONTH($B$77)-MONTH($B$76))))*(1+'Вводные'!$B$65)^MAX(0,(12*(YEAR(ER$3)-YEAR($B$77))+MONTH(ER$3)-MONTH($B$77))))</x:f>
      </x:c>
      <x:c r="ES93" s="107" t="n">
        <x:f>IF(ES92=0,0,'Вводные'!$B$62*'Вводные'!$S$91*'Вводные'!$H$5*'Вводные'!$AG$91*(1+'Вводные'!$B$64)^MAX(0,MIN((12*(YEAR(ES$3)-YEAR($B$76))+MONTH(ES$3)-MONTH($B$76)),(12*(YEAR($B$77)-YEAR($B$76))+MONTH($B$77)-MONTH($B$76))))*(1+'Вводные'!$B$65)^MAX(0,(12*(YEAR(ES$3)-YEAR($B$77))+MONTH(ES$3)-MONTH($B$77))))</x:f>
      </x:c>
      <x:c r="ET93" s="107" t="n">
        <x:f>IF(ET92=0,0,'Вводные'!$B$62*'Вводные'!$S$91*'Вводные'!$H$5*'Вводные'!$AG$91*(1+'Вводные'!$B$64)^MAX(0,MIN((12*(YEAR(ET$3)-YEAR($B$76))+MONTH(ET$3)-MONTH($B$76)),(12*(YEAR($B$77)-YEAR($B$76))+MONTH($B$77)-MONTH($B$76))))*(1+'Вводные'!$B$65)^MAX(0,(12*(YEAR(ET$3)-YEAR($B$77))+MONTH(ET$3)-MONTH($B$77))))</x:f>
      </x:c>
      <x:c r="EU93" s="107" t="n">
        <x:f>IF(EU92=0,0,'Вводные'!$B$62*'Вводные'!$S$91*'Вводные'!$H$5*'Вводные'!$AG$91*(1+'Вводные'!$B$64)^MAX(0,MIN((12*(YEAR(EU$3)-YEAR($B$76))+MONTH(EU$3)-MONTH($B$76)),(12*(YEAR($B$77)-YEAR($B$76))+MONTH($B$77)-MONTH($B$76))))*(1+'Вводные'!$B$65)^MAX(0,(12*(YEAR(EU$3)-YEAR($B$77))+MONTH(EU$3)-MONTH($B$77))))</x:f>
      </x:c>
      <x:c r="EV93" s="107" t="n">
        <x:f>IF(EV92=0,0,'Вводные'!$B$62*'Вводные'!$S$91*'Вводные'!$H$5*'Вводные'!$AG$91*(1+'Вводные'!$B$64)^MAX(0,MIN((12*(YEAR(EV$3)-YEAR($B$76))+MONTH(EV$3)-MONTH($B$76)),(12*(YEAR($B$77)-YEAR($B$76))+MONTH($B$77)-MONTH($B$76))))*(1+'Вводные'!$B$65)^MAX(0,(12*(YEAR(EV$3)-YEAR($B$77))+MONTH(EV$3)-MONTH($B$77))))</x:f>
      </x:c>
      <x:c r="EW93" s="107" t="n">
        <x:f>IF(EW92=0,0,'Вводные'!$B$62*'Вводные'!$S$91*'Вводные'!$H$5*'Вводные'!$AG$91*(1+'Вводные'!$B$64)^MAX(0,MIN((12*(YEAR(EW$3)-YEAR($B$76))+MONTH(EW$3)-MONTH($B$76)),(12*(YEAR($B$77)-YEAR($B$76))+MONTH($B$77)-MONTH($B$76))))*(1+'Вводные'!$B$65)^MAX(0,(12*(YEAR(EW$3)-YEAR($B$77))+MONTH(EW$3)-MONTH($B$77))))</x:f>
      </x:c>
      <x:c r="EX93" s="107" t="n">
        <x:f>IF(EX92=0,0,'Вводные'!$B$62*'Вводные'!$S$91*'Вводные'!$H$5*'Вводные'!$AG$91*(1+'Вводные'!$B$64)^MAX(0,MIN((12*(YEAR(EX$3)-YEAR($B$76))+MONTH(EX$3)-MONTH($B$76)),(12*(YEAR($B$77)-YEAR($B$76))+MONTH($B$77)-MONTH($B$76))))*(1+'Вводные'!$B$65)^MAX(0,(12*(YEAR(EX$3)-YEAR($B$77))+MONTH(EX$3)-MONTH($B$77))))</x:f>
      </x:c>
      <x:c r="EY93" s="107" t="n">
        <x:f>IF(EY92=0,0,'Вводные'!$B$62*'Вводные'!$S$91*'Вводные'!$H$5*'Вводные'!$AG$91*(1+'Вводные'!$B$64)^MAX(0,MIN((12*(YEAR(EY$3)-YEAR($B$76))+MONTH(EY$3)-MONTH($B$76)),(12*(YEAR($B$77)-YEAR($B$76))+MONTH($B$77)-MONTH($B$76))))*(1+'Вводные'!$B$65)^MAX(0,(12*(YEAR(EY$3)-YEAR($B$77))+MONTH(EY$3)-MONTH($B$77))))</x:f>
      </x:c>
      <x:c r="EZ93" s="107" t="n">
        <x:f>IF(EZ92=0,0,'Вводные'!$B$62*'Вводные'!$S$91*'Вводные'!$H$5*'Вводные'!$AG$91*(1+'Вводные'!$B$64)^MAX(0,MIN((12*(YEAR(EZ$3)-YEAR($B$76))+MONTH(EZ$3)-MONTH($B$76)),(12*(YEAR($B$77)-YEAR($B$76))+MONTH($B$77)-MONTH($B$76))))*(1+'Вводные'!$B$65)^MAX(0,(12*(YEAR(EZ$3)-YEAR($B$77))+MONTH(EZ$3)-MONTH($B$77))))</x:f>
      </x:c>
      <x:c r="FA93" s="107" t="n">
        <x:f>IF(FA92=0,0,'Вводные'!$B$62*'Вводные'!$S$91*'Вводные'!$H$5*'Вводные'!$AG$91*(1+'Вводные'!$B$64)^MAX(0,MIN((12*(YEAR(FA$3)-YEAR($B$76))+MONTH(FA$3)-MONTH($B$76)),(12*(YEAR($B$77)-YEAR($B$76))+MONTH($B$77)-MONTH($B$76))))*(1+'Вводные'!$B$65)^MAX(0,(12*(YEAR(FA$3)-YEAR($B$77))+MONTH(FA$3)-MONTH($B$77))))</x:f>
      </x:c>
      <x:c r="FB93" s="107" t="n">
        <x:f>IF(FB92=0,0,'Вводные'!$B$62*'Вводные'!$S$91*'Вводные'!$H$5*'Вводные'!$AG$91*(1+'Вводные'!$B$64)^MAX(0,MIN((12*(YEAR(FB$3)-YEAR($B$76))+MONTH(FB$3)-MONTH($B$76)),(12*(YEAR($B$77)-YEAR($B$76))+MONTH($B$77)-MONTH($B$76))))*(1+'Вводные'!$B$65)^MAX(0,(12*(YEAR(FB$3)-YEAR($B$77))+MONTH(FB$3)-MONTH($B$77))))</x:f>
      </x:c>
      <x:c r="FC93" s="107" t="n">
        <x:f>IF(FC92=0,0,'Вводные'!$B$62*'Вводные'!$S$91*'Вводные'!$H$5*'Вводные'!$AG$91*(1+'Вводные'!$B$64)^MAX(0,MIN((12*(YEAR(FC$3)-YEAR($B$76))+MONTH(FC$3)-MONTH($B$76)),(12*(YEAR($B$77)-YEAR($B$76))+MONTH($B$77)-MONTH($B$76))))*(1+'Вводные'!$B$65)^MAX(0,(12*(YEAR(FC$3)-YEAR($B$77))+MONTH(FC$3)-MONTH($B$77))))</x:f>
      </x:c>
      <x:c r="FD93" s="107" t="n">
        <x:f>IF(FD92=0,0,'Вводные'!$B$62*'Вводные'!$S$91*'Вводные'!$H$5*'Вводные'!$AG$91*(1+'Вводные'!$B$64)^MAX(0,MIN((12*(YEAR(FD$3)-YEAR($B$76))+MONTH(FD$3)-MONTH($B$76)),(12*(YEAR($B$77)-YEAR($B$76))+MONTH($B$77)-MONTH($B$76))))*(1+'Вводные'!$B$65)^MAX(0,(12*(YEAR(FD$3)-YEAR($B$77))+MONTH(FD$3)-MONTH($B$77))))</x:f>
      </x:c>
      <x:c r="FE93" s="107" t="n">
        <x:f>IF(FE92=0,0,'Вводные'!$B$62*'Вводные'!$S$91*'Вводные'!$H$5*'Вводные'!$AG$91*(1+'Вводные'!$B$64)^MAX(0,MIN((12*(YEAR(FE$3)-YEAR($B$76))+MONTH(FE$3)-MONTH($B$76)),(12*(YEAR($B$77)-YEAR($B$76))+MONTH($B$77)-MONTH($B$76))))*(1+'Вводные'!$B$65)^MAX(0,(12*(YEAR(FE$3)-YEAR($B$77))+MONTH(FE$3)-MONTH($B$77))))</x:f>
      </x:c>
      <x:c r="FF93" s="107" t="n">
        <x:f>IF(FF92=0,0,'Вводные'!$B$62*'Вводные'!$S$91*'Вводные'!$H$5*'Вводные'!$AG$91*(1+'Вводные'!$B$64)^MAX(0,MIN((12*(YEAR(FF$3)-YEAR($B$76))+MONTH(FF$3)-MONTH($B$76)),(12*(YEAR($B$77)-YEAR($B$76))+MONTH($B$77)-MONTH($B$76))))*(1+'Вводные'!$B$65)^MAX(0,(12*(YEAR(FF$3)-YEAR($B$77))+MONTH(FF$3)-MONTH($B$77))))</x:f>
      </x:c>
      <x:c r="FG93" s="107" t="n">
        <x:f>IF(FG92=0,0,'Вводные'!$B$62*'Вводные'!$S$91*'Вводные'!$H$5*'Вводные'!$AG$91*(1+'Вводные'!$B$64)^MAX(0,MIN((12*(YEAR(FG$3)-YEAR($B$76))+MONTH(FG$3)-MONTH($B$76)),(12*(YEAR($B$77)-YEAR($B$76))+MONTH($B$77)-MONTH($B$76))))*(1+'Вводные'!$B$65)^MAX(0,(12*(YEAR(FG$3)-YEAR($B$77))+MONTH(FG$3)-MONTH($B$77))))</x:f>
      </x:c>
      <x:c r="FH93" s="107" t="n">
        <x:f>IF(FH92=0,0,'Вводные'!$B$62*'Вводные'!$S$91*'Вводные'!$H$5*'Вводные'!$AG$91*(1+'Вводные'!$B$64)^MAX(0,MIN((12*(YEAR(FH$3)-YEAR($B$76))+MONTH(FH$3)-MONTH($B$76)),(12*(YEAR($B$77)-YEAR($B$76))+MONTH($B$77)-MONTH($B$76))))*(1+'Вводные'!$B$65)^MAX(0,(12*(YEAR(FH$3)-YEAR($B$77))+MONTH(FH$3)-MONTH($B$77))))</x:f>
      </x:c>
      <x:c r="FI93" s="107" t="n">
        <x:f>IF(FI92=0,0,'Вводные'!$B$62*'Вводные'!$S$91*'Вводные'!$H$5*'Вводные'!$AG$91*(1+'Вводные'!$B$64)^MAX(0,MIN((12*(YEAR(FI$3)-YEAR($B$76))+MONTH(FI$3)-MONTH($B$76)),(12*(YEAR($B$77)-YEAR($B$76))+MONTH($B$77)-MONTH($B$76))))*(1+'Вводные'!$B$65)^MAX(0,(12*(YEAR(FI$3)-YEAR($B$77))+MONTH(FI$3)-MONTH($B$77))))</x:f>
      </x:c>
      <x:c r="FJ93" s="107" t="n">
        <x:f>IF(FJ92=0,0,'Вводные'!$B$62*'Вводные'!$S$91*'Вводные'!$H$5*'Вводные'!$AG$91*(1+'Вводные'!$B$64)^MAX(0,MIN((12*(YEAR(FJ$3)-YEAR($B$76))+MONTH(FJ$3)-MONTH($B$76)),(12*(YEAR($B$77)-YEAR($B$76))+MONTH($B$77)-MONTH($B$76))))*(1+'Вводные'!$B$65)^MAX(0,(12*(YEAR(FJ$3)-YEAR($B$77))+MONTH(FJ$3)-MONTH($B$77))))</x:f>
      </x:c>
      <x:c r="FK93" s="107" t="n">
        <x:f>IF(FK92=0,0,'Вводные'!$B$62*'Вводные'!$S$91*'Вводные'!$H$5*'Вводные'!$AG$91*(1+'Вводные'!$B$64)^MAX(0,MIN((12*(YEAR(FK$3)-YEAR($B$76))+MONTH(FK$3)-MONTH($B$76)),(12*(YEAR($B$77)-YEAR($B$76))+MONTH($B$77)-MONTH($B$76))))*(1+'Вводные'!$B$65)^MAX(0,(12*(YEAR(FK$3)-YEAR($B$77))+MONTH(FK$3)-MONTH($B$77))))</x:f>
      </x:c>
      <x:c r="FL93" s="107" t="n">
        <x:f>IF(FL92=0,0,'Вводные'!$B$62*'Вводные'!$S$91*'Вводные'!$H$5*'Вводные'!$AG$91*(1+'Вводные'!$B$64)^MAX(0,MIN((12*(YEAR(FL$3)-YEAR($B$76))+MONTH(FL$3)-MONTH($B$76)),(12*(YEAR($B$77)-YEAR($B$76))+MONTH($B$77)-MONTH($B$76))))*(1+'Вводные'!$B$65)^MAX(0,(12*(YEAR(FL$3)-YEAR($B$77))+MONTH(FL$3)-MONTH($B$77))))</x:f>
      </x:c>
      <x:c r="FM93" s="107" t="n">
        <x:f>IF(FM92=0,0,'Вводные'!$B$62*'Вводные'!$S$91*'Вводные'!$H$5*'Вводные'!$AG$91*(1+'Вводные'!$B$64)^MAX(0,MIN((12*(YEAR(FM$3)-YEAR($B$76))+MONTH(FM$3)-MONTH($B$76)),(12*(YEAR($B$77)-YEAR($B$76))+MONTH($B$77)-MONTH($B$76))))*(1+'Вводные'!$B$65)^MAX(0,(12*(YEAR(FM$3)-YEAR($B$77))+MONTH(FM$3)-MONTH($B$77))))</x:f>
      </x:c>
      <x:c r="FN93" s="107" t="n">
        <x:f>IF(FN92=0,0,'Вводные'!$B$62*'Вводные'!$S$91*'Вводные'!$H$5*'Вводные'!$AG$91*(1+'Вводные'!$B$64)^MAX(0,MIN((12*(YEAR(FN$3)-YEAR($B$76))+MONTH(FN$3)-MONTH($B$76)),(12*(YEAR($B$77)-YEAR($B$76))+MONTH($B$77)-MONTH($B$76))))*(1+'Вводные'!$B$65)^MAX(0,(12*(YEAR(FN$3)-YEAR($B$77))+MONTH(FN$3)-MONTH($B$77))))</x:f>
      </x:c>
      <x:c r="FO93" s="107" t="n">
        <x:f>IF(FO92=0,0,'Вводные'!$B$62*'Вводные'!$S$91*'Вводные'!$H$5*'Вводные'!$AG$91*(1+'Вводные'!$B$64)^MAX(0,MIN((12*(YEAR(FO$3)-YEAR($B$76))+MONTH(FO$3)-MONTH($B$76)),(12*(YEAR($B$77)-YEAR($B$76))+MONTH($B$77)-MONTH($B$76))))*(1+'Вводные'!$B$65)^MAX(0,(12*(YEAR(FO$3)-YEAR($B$77))+MONTH(FO$3)-MONTH($B$77))))</x:f>
      </x:c>
      <x:c r="FP93" s="107" t="n">
        <x:f>IF(FP92=0,0,'Вводные'!$B$62*'Вводные'!$S$91*'Вводные'!$H$5*'Вводные'!$AG$91*(1+'Вводные'!$B$64)^MAX(0,MIN((12*(YEAR(FP$3)-YEAR($B$76))+MONTH(FP$3)-MONTH($B$76)),(12*(YEAR($B$77)-YEAR($B$76))+MONTH($B$77)-MONTH($B$76))))*(1+'Вводные'!$B$65)^MAX(0,(12*(YEAR(FP$3)-YEAR($B$77))+MONTH(FP$3)-MONTH($B$77))))</x:f>
      </x:c>
      <x:c r="FQ93" s="107" t="n">
        <x:f>IF(FQ92=0,0,'Вводные'!$B$62*'Вводные'!$S$91*'Вводные'!$H$5*'Вводные'!$AG$91*(1+'Вводные'!$B$64)^MAX(0,MIN((12*(YEAR(FQ$3)-YEAR($B$76))+MONTH(FQ$3)-MONTH($B$76)),(12*(YEAR($B$77)-YEAR($B$76))+MONTH($B$77)-MONTH($B$76))))*(1+'Вводные'!$B$65)^MAX(0,(12*(YEAR(FQ$3)-YEAR($B$77))+MONTH(FQ$3)-MONTH($B$77))))</x:f>
      </x:c>
      <x:c r="FR93" s="107" t="n">
        <x:f>IF(FR92=0,0,'Вводные'!$B$62*'Вводные'!$S$91*'Вводные'!$H$5*'Вводные'!$AG$91*(1+'Вводные'!$B$64)^MAX(0,MIN((12*(YEAR(FR$3)-YEAR($B$76))+MONTH(FR$3)-MONTH($B$76)),(12*(YEAR($B$77)-YEAR($B$76))+MONTH($B$77)-MONTH($B$76))))*(1+'Вводные'!$B$65)^MAX(0,(12*(YEAR(FR$3)-YEAR($B$77))+MONTH(FR$3)-MONTH($B$77))))</x:f>
      </x:c>
      <x:c r="FS93" s="107" t="n">
        <x:f>IF(FS92=0,0,'Вводные'!$B$62*'Вводные'!$S$91*'Вводные'!$H$5*'Вводные'!$AG$91*(1+'Вводные'!$B$64)^MAX(0,MIN((12*(YEAR(FS$3)-YEAR($B$76))+MONTH(FS$3)-MONTH($B$76)),(12*(YEAR($B$77)-YEAR($B$76))+MONTH($B$77)-MONTH($B$76))))*(1+'Вводные'!$B$65)^MAX(0,(12*(YEAR(FS$3)-YEAR($B$77))+MONTH(FS$3)-MONTH($B$77))))</x:f>
      </x:c>
      <x:c r="FT93" s="107" t="n">
        <x:f>IF(FT92=0,0,'Вводные'!$B$62*'Вводные'!$S$91*'Вводные'!$H$5*'Вводные'!$AG$91*(1+'Вводные'!$B$64)^MAX(0,MIN((12*(YEAR(FT$3)-YEAR($B$76))+MONTH(FT$3)-MONTH($B$76)),(12*(YEAR($B$77)-YEAR($B$76))+MONTH($B$77)-MONTH($B$76))))*(1+'Вводные'!$B$65)^MAX(0,(12*(YEAR(FT$3)-YEAR($B$77))+MONTH(FT$3)-MONTH($B$77))))</x:f>
      </x:c>
      <x:c r="FU93" s="107" t="n">
        <x:f>IF(FU92=0,0,'Вводные'!$B$62*'Вводные'!$S$91*'Вводные'!$H$5*'Вводные'!$AG$91*(1+'Вводные'!$B$64)^MAX(0,MIN((12*(YEAR(FU$3)-YEAR($B$76))+MONTH(FU$3)-MONTH($B$76)),(12*(YEAR($B$77)-YEAR($B$76))+MONTH($B$77)-MONTH($B$76))))*(1+'Вводные'!$B$65)^MAX(0,(12*(YEAR(FU$3)-YEAR($B$77))+MONTH(FU$3)-MONTH($B$77))))</x:f>
      </x:c>
      <x:c r="FV93" s="107" t="n">
        <x:f>IF(FV92=0,0,'Вводные'!$B$62*'Вводные'!$S$91*'Вводные'!$H$5*'Вводные'!$AG$91*(1+'Вводные'!$B$64)^MAX(0,MIN((12*(YEAR(FV$3)-YEAR($B$76))+MONTH(FV$3)-MONTH($B$76)),(12*(YEAR($B$77)-YEAR($B$76))+MONTH($B$77)-MONTH($B$76))))*(1+'Вводные'!$B$65)^MAX(0,(12*(YEAR(FV$3)-YEAR($B$77))+MONTH(FV$3)-MONTH($B$77))))</x:f>
      </x:c>
      <x:c r="FW93" s="107" t="n">
        <x:f>IF(FW92=0,0,'Вводные'!$B$62*'Вводные'!$S$91*'Вводные'!$H$5*'Вводные'!$AG$91*(1+'Вводные'!$B$64)^MAX(0,MIN((12*(YEAR(FW$3)-YEAR($B$76))+MONTH(FW$3)-MONTH($B$76)),(12*(YEAR($B$77)-YEAR($B$76))+MONTH($B$77)-MONTH($B$76))))*(1+'Вводные'!$B$65)^MAX(0,(12*(YEAR(FW$3)-YEAR($B$77))+MONTH(FW$3)-MONTH($B$77))))</x:f>
      </x:c>
      <x:c r="FX93" s="107" t="n">
        <x:f>IF(FX92=0,0,'Вводные'!$B$62*'Вводные'!$S$91*'Вводные'!$H$5*'Вводные'!$AG$91*(1+'Вводные'!$B$64)^MAX(0,MIN((12*(YEAR(FX$3)-YEAR($B$76))+MONTH(FX$3)-MONTH($B$76)),(12*(YEAR($B$77)-YEAR($B$76))+MONTH($B$77)-MONTH($B$76))))*(1+'Вводные'!$B$65)^MAX(0,(12*(YEAR(FX$3)-YEAR($B$77))+MONTH(FX$3)-MONTH($B$77))))</x:f>
      </x:c>
      <x:c r="FY93" s="107" t="n">
        <x:f>IF(FY92=0,0,'Вводные'!$B$62*'Вводные'!$S$91*'Вводные'!$H$5*'Вводные'!$AG$91*(1+'Вводные'!$B$64)^MAX(0,MIN((12*(YEAR(FY$3)-YEAR($B$76))+MONTH(FY$3)-MONTH($B$76)),(12*(YEAR($B$77)-YEAR($B$76))+MONTH($B$77)-MONTH($B$76))))*(1+'Вводные'!$B$65)^MAX(0,(12*(YEAR(FY$3)-YEAR($B$77))+MONTH(FY$3)-MONTH($B$77))))</x:f>
      </x:c>
      <x:c r="FZ93" s="107" t="n">
        <x:f>IF(FZ92=0,0,'Вводные'!$B$62*'Вводные'!$S$91*'Вводные'!$H$5*'Вводные'!$AG$91*(1+'Вводные'!$B$64)^MAX(0,MIN((12*(YEAR(FZ$3)-YEAR($B$76))+MONTH(FZ$3)-MONTH($B$76)),(12*(YEAR($B$77)-YEAR($B$76))+MONTH($B$77)-MONTH($B$76))))*(1+'Вводные'!$B$65)^MAX(0,(12*(YEAR(FZ$3)-YEAR($B$77))+MONTH(FZ$3)-MONTH($B$77))))</x:f>
      </x:c>
      <x:c r="GA93" s="107" t="n">
        <x:f>IF(GA92=0,0,'Вводные'!$B$62*'Вводные'!$S$91*'Вводные'!$H$5*'Вводные'!$AG$91*(1+'Вводные'!$B$64)^MAX(0,MIN((12*(YEAR(GA$3)-YEAR($B$76))+MONTH(GA$3)-MONTH($B$76)),(12*(YEAR($B$77)-YEAR($B$76))+MONTH($B$77)-MONTH($B$76))))*(1+'Вводные'!$B$65)^MAX(0,(12*(YEAR(GA$3)-YEAR($B$77))+MONTH(GA$3)-MONTH($B$77))))</x:f>
      </x:c>
    </x:row>
    <x:row r="94">
      <x:c r="A94" t="str">
        <x:v>Кладовые — выручка</x:v>
      </x:c>
      <x:c r="B94" t="n">
        <x:f>SUM(D94:GA94)</x:f>
      </x:c>
      <x:c r="C94" t="str">
        <x:v>млн ₽</x:v>
      </x:c>
      <x:c r="D94" s="107" t="n">
        <x:f>D92*D93/1000</x:f>
      </x:c>
      <x:c r="E94" s="107" t="n">
        <x:f>E92*E93/1000</x:f>
      </x:c>
      <x:c r="F94" s="107" t="n">
        <x:f>F92*F93/1000</x:f>
      </x:c>
      <x:c r="G94" s="107" t="n">
        <x:f>G92*G93/1000</x:f>
      </x:c>
      <x:c r="H94" s="107" t="n">
        <x:f>H92*H93/1000</x:f>
      </x:c>
      <x:c r="I94" s="107" t="n">
        <x:f>I92*I93/1000</x:f>
      </x:c>
      <x:c r="J94" s="107" t="n">
        <x:f>J92*J93/1000</x:f>
      </x:c>
      <x:c r="K94" s="107" t="n">
        <x:f>K92*K93/1000</x:f>
      </x:c>
      <x:c r="L94" s="107" t="n">
        <x:f>L92*L93/1000</x:f>
      </x:c>
      <x:c r="M94" s="107" t="n">
        <x:f>M92*M93/1000</x:f>
      </x:c>
      <x:c r="N94" s="107" t="n">
        <x:f>N92*N93/1000</x:f>
      </x:c>
      <x:c r="O94" s="107" t="n">
        <x:f>O92*O93/1000</x:f>
      </x:c>
      <x:c r="P94" s="107" t="n">
        <x:f>P92*P93/1000</x:f>
      </x:c>
      <x:c r="Q94" s="107" t="n">
        <x:f>Q92*Q93/1000</x:f>
      </x:c>
      <x:c r="R94" s="107" t="n">
        <x:f>R92*R93/1000</x:f>
      </x:c>
      <x:c r="S94" s="107" t="n">
        <x:f>S92*S93/1000</x:f>
      </x:c>
      <x:c r="T94" s="107" t="n">
        <x:f>T92*T93/1000</x:f>
      </x:c>
      <x:c r="U94" s="107" t="n">
        <x:f>U92*U93/1000</x:f>
      </x:c>
      <x:c r="V94" s="107" t="n">
        <x:f>V92*V93/1000</x:f>
      </x:c>
      <x:c r="W94" s="107" t="n">
        <x:f>W92*W93/1000</x:f>
      </x:c>
      <x:c r="X94" s="107" t="n">
        <x:f>X92*X93/1000</x:f>
      </x:c>
      <x:c r="Y94" s="107" t="n">
        <x:f>Y92*Y93/1000</x:f>
      </x:c>
      <x:c r="Z94" s="107" t="n">
        <x:f>Z92*Z93/1000</x:f>
      </x:c>
      <x:c r="AA94" s="107" t="n">
        <x:f>AA92*AA93/1000</x:f>
      </x:c>
      <x:c r="AB94" s="107" t="n">
        <x:f>AB92*AB93/1000</x:f>
      </x:c>
      <x:c r="AC94" s="107" t="n">
        <x:f>AC92*AC93/1000</x:f>
      </x:c>
      <x:c r="AD94" s="107" t="n">
        <x:f>AD92*AD93/1000</x:f>
      </x:c>
      <x:c r="AE94" s="107" t="n">
        <x:f>AE92*AE93/1000</x:f>
      </x:c>
      <x:c r="AF94" s="107" t="n">
        <x:f>AF92*AF93/1000</x:f>
      </x:c>
      <x:c r="AG94" s="107" t="n">
        <x:f>AG92*AG93/1000</x:f>
      </x:c>
      <x:c r="AH94" s="107" t="n">
        <x:f>AH92*AH93/1000</x:f>
      </x:c>
      <x:c r="AI94" s="107" t="n">
        <x:f>AI92*AI93/1000</x:f>
      </x:c>
      <x:c r="AJ94" s="107" t="n">
        <x:f>AJ92*AJ93/1000</x:f>
      </x:c>
      <x:c r="AK94" s="107" t="n">
        <x:f>AK92*AK93/1000</x:f>
      </x:c>
      <x:c r="AL94" s="107" t="n">
        <x:f>AL92*AL93/1000</x:f>
      </x:c>
      <x:c r="AM94" s="107" t="n">
        <x:f>AM92*AM93/1000</x:f>
      </x:c>
      <x:c r="AN94" s="107" t="n">
        <x:f>AN92*AN93/1000</x:f>
      </x:c>
      <x:c r="AO94" s="107" t="n">
        <x:f>AO92*AO93/1000</x:f>
      </x:c>
      <x:c r="AP94" s="107" t="n">
        <x:f>AP92*AP93/1000</x:f>
      </x:c>
      <x:c r="AQ94" s="107" t="n">
        <x:f>AQ92*AQ93/1000</x:f>
      </x:c>
      <x:c r="AR94" s="107" t="n">
        <x:f>AR92*AR93/1000</x:f>
      </x:c>
      <x:c r="AS94" s="107" t="n">
        <x:f>AS92*AS93/1000</x:f>
      </x:c>
      <x:c r="AT94" s="107" t="n">
        <x:f>AT92*AT93/1000</x:f>
      </x:c>
      <x:c r="AU94" s="107" t="n">
        <x:f>AU92*AU93/1000</x:f>
      </x:c>
      <x:c r="AV94" s="107" t="n">
        <x:f>AV92*AV93/1000</x:f>
      </x:c>
      <x:c r="AW94" s="107" t="n">
        <x:f>AW92*AW93/1000</x:f>
      </x:c>
      <x:c r="AX94" s="107" t="n">
        <x:f>AX92*AX93/1000</x:f>
      </x:c>
      <x:c r="AY94" s="107" t="n">
        <x:f>AY92*AY93/1000</x:f>
      </x:c>
      <x:c r="AZ94" s="107" t="n">
        <x:f>AZ92*AZ93/1000</x:f>
      </x:c>
      <x:c r="BA94" s="107" t="n">
        <x:f>BA92*BA93/1000</x:f>
      </x:c>
      <x:c r="BB94" s="107" t="n">
        <x:f>BB92*BB93/1000</x:f>
      </x:c>
      <x:c r="BC94" s="107" t="n">
        <x:f>BC92*BC93/1000</x:f>
      </x:c>
      <x:c r="BD94" s="107" t="n">
        <x:f>BD92*BD93/1000</x:f>
      </x:c>
      <x:c r="BE94" s="107" t="n">
        <x:f>BE92*BE93/1000</x:f>
      </x:c>
      <x:c r="BF94" s="107" t="n">
        <x:f>BF92*BF93/1000</x:f>
      </x:c>
      <x:c r="BG94" s="107" t="n">
        <x:f>BG92*BG93/1000</x:f>
      </x:c>
      <x:c r="BH94" s="107" t="n">
        <x:f>BH92*BH93/1000</x:f>
      </x:c>
      <x:c r="BI94" s="107" t="n">
        <x:f>BI92*BI93/1000</x:f>
      </x:c>
      <x:c r="BJ94" s="107" t="n">
        <x:f>BJ92*BJ93/1000</x:f>
      </x:c>
      <x:c r="BK94" s="107" t="n">
        <x:f>BK92*BK93/1000</x:f>
      </x:c>
      <x:c r="BL94" s="107" t="n">
        <x:f>BL92*BL93/1000</x:f>
      </x:c>
      <x:c r="BM94" s="107" t="n">
        <x:f>BM92*BM93/1000</x:f>
      </x:c>
      <x:c r="BN94" s="107" t="n">
        <x:f>BN92*BN93/1000</x:f>
      </x:c>
      <x:c r="BO94" s="107" t="n">
        <x:f>BO92*BO93/1000</x:f>
      </x:c>
      <x:c r="BP94" s="107" t="n">
        <x:f>BP92*BP93/1000</x:f>
      </x:c>
      <x:c r="BQ94" s="107" t="n">
        <x:f>BQ92*BQ93/1000</x:f>
      </x:c>
      <x:c r="BR94" s="107" t="n">
        <x:f>BR92*BR93/1000</x:f>
      </x:c>
      <x:c r="BS94" s="107" t="n">
        <x:f>BS92*BS93/1000</x:f>
      </x:c>
      <x:c r="BT94" s="107" t="n">
        <x:f>BT92*BT93/1000</x:f>
      </x:c>
      <x:c r="BU94" s="107" t="n">
        <x:f>BU92*BU93/1000</x:f>
      </x:c>
      <x:c r="BV94" s="107" t="n">
        <x:f>BV92*BV93/1000</x:f>
      </x:c>
      <x:c r="BW94" s="107" t="n">
        <x:f>BW92*BW93/1000</x:f>
      </x:c>
      <x:c r="BX94" s="107" t="n">
        <x:f>BX92*BX93/1000</x:f>
      </x:c>
      <x:c r="BY94" s="107" t="n">
        <x:f>BY92*BY93/1000</x:f>
      </x:c>
      <x:c r="BZ94" s="107" t="n">
        <x:f>BZ92*BZ93/1000</x:f>
      </x:c>
      <x:c r="CA94" s="107" t="n">
        <x:f>CA92*CA93/1000</x:f>
      </x:c>
      <x:c r="CB94" s="107" t="n">
        <x:f>CB92*CB93/1000</x:f>
      </x:c>
      <x:c r="CC94" s="107" t="n">
        <x:f>CC92*CC93/1000</x:f>
      </x:c>
      <x:c r="CD94" s="107" t="n">
        <x:f>CD92*CD93/1000</x:f>
      </x:c>
      <x:c r="CE94" s="107" t="n">
        <x:f>CE92*CE93/1000</x:f>
      </x:c>
      <x:c r="CF94" s="107" t="n">
        <x:f>CF92*CF93/1000</x:f>
      </x:c>
      <x:c r="CG94" s="107" t="n">
        <x:f>CG92*CG93/1000</x:f>
      </x:c>
      <x:c r="CH94" s="107" t="n">
        <x:f>CH92*CH93/1000</x:f>
      </x:c>
      <x:c r="CI94" s="107" t="n">
        <x:f>CI92*CI93/1000</x:f>
      </x:c>
      <x:c r="CJ94" s="107" t="n">
        <x:f>CJ92*CJ93/1000</x:f>
      </x:c>
      <x:c r="CK94" s="107" t="n">
        <x:f>CK92*CK93/1000</x:f>
      </x:c>
      <x:c r="CL94" s="107" t="n">
        <x:f>CL92*CL93/1000</x:f>
      </x:c>
      <x:c r="CM94" s="107" t="n">
        <x:f>CM92*CM93/1000</x:f>
      </x:c>
      <x:c r="CN94" s="107" t="n">
        <x:f>CN92*CN93/1000</x:f>
      </x:c>
      <x:c r="CO94" s="107" t="n">
        <x:f>CO92*CO93/1000</x:f>
      </x:c>
      <x:c r="CP94" s="107" t="n">
        <x:f>CP92*CP93/1000</x:f>
      </x:c>
      <x:c r="CQ94" s="107" t="n">
        <x:f>CQ92*CQ93/1000</x:f>
      </x:c>
      <x:c r="CR94" s="107" t="n">
        <x:f>CR92*CR93/1000</x:f>
      </x:c>
      <x:c r="CS94" s="107" t="n">
        <x:f>CS92*CS93/1000</x:f>
      </x:c>
      <x:c r="CT94" s="107" t="n">
        <x:f>CT92*CT93/1000</x:f>
      </x:c>
      <x:c r="CU94" s="107" t="n">
        <x:f>CU92*CU93/1000</x:f>
      </x:c>
      <x:c r="CV94" s="107" t="n">
        <x:f>CV92*CV93/1000</x:f>
      </x:c>
      <x:c r="CW94" s="107" t="n">
        <x:f>CW92*CW93/1000</x:f>
      </x:c>
      <x:c r="CX94" s="107" t="n">
        <x:f>CX92*CX93/1000</x:f>
      </x:c>
      <x:c r="CY94" s="107" t="n">
        <x:f>CY92*CY93/1000</x:f>
      </x:c>
      <x:c r="CZ94" s="107" t="n">
        <x:f>CZ92*CZ93/1000</x:f>
      </x:c>
      <x:c r="DA94" s="107" t="n">
        <x:f>DA92*DA93/1000</x:f>
      </x:c>
      <x:c r="DB94" s="107" t="n">
        <x:f>DB92*DB93/1000</x:f>
      </x:c>
      <x:c r="DC94" s="107" t="n">
        <x:f>DC92*DC93/1000</x:f>
      </x:c>
      <x:c r="DD94" s="107" t="n">
        <x:f>DD92*DD93/1000</x:f>
      </x:c>
      <x:c r="DE94" s="107" t="n">
        <x:f>DE92*DE93/1000</x:f>
      </x:c>
      <x:c r="DF94" s="107" t="n">
        <x:f>DF92*DF93/1000</x:f>
      </x:c>
      <x:c r="DG94" s="107" t="n">
        <x:f>DG92*DG93/1000</x:f>
      </x:c>
      <x:c r="DH94" s="107" t="n">
        <x:f>DH92*DH93/1000</x:f>
      </x:c>
      <x:c r="DI94" s="107" t="n">
        <x:f>DI92*DI93/1000</x:f>
      </x:c>
      <x:c r="DJ94" s="107" t="n">
        <x:f>DJ92*DJ93/1000</x:f>
      </x:c>
      <x:c r="DK94" s="107" t="n">
        <x:f>DK92*DK93/1000</x:f>
      </x:c>
      <x:c r="DL94" s="107" t="n">
        <x:f>DL92*DL93/1000</x:f>
      </x:c>
      <x:c r="DM94" s="107" t="n">
        <x:f>DM92*DM93/1000</x:f>
      </x:c>
      <x:c r="DN94" s="107" t="n">
        <x:f>DN92*DN93/1000</x:f>
      </x:c>
      <x:c r="DO94" s="107" t="n">
        <x:f>DO92*DO93/1000</x:f>
      </x:c>
      <x:c r="DP94" s="107" t="n">
        <x:f>DP92*DP93/1000</x:f>
      </x:c>
      <x:c r="DQ94" s="107" t="n">
        <x:f>DQ92*DQ93/1000</x:f>
      </x:c>
      <x:c r="DR94" s="107" t="n">
        <x:f>DR92*DR93/1000</x:f>
      </x:c>
      <x:c r="DS94" s="107" t="n">
        <x:f>DS92*DS93/1000</x:f>
      </x:c>
      <x:c r="DT94" s="107" t="n">
        <x:f>DT92*DT93/1000</x:f>
      </x:c>
      <x:c r="DU94" s="107" t="n">
        <x:f>DU92*DU93/1000</x:f>
      </x:c>
      <x:c r="DV94" s="107" t="n">
        <x:f>DV92*DV93/1000</x:f>
      </x:c>
      <x:c r="DW94" s="107" t="n">
        <x:f>DW92*DW93/1000</x:f>
      </x:c>
      <x:c r="DX94" s="107" t="n">
        <x:f>DX92*DX93/1000</x:f>
      </x:c>
      <x:c r="DY94" s="107" t="n">
        <x:f>DY92*DY93/1000</x:f>
      </x:c>
      <x:c r="DZ94" s="107" t="n">
        <x:f>DZ92*DZ93/1000</x:f>
      </x:c>
      <x:c r="EA94" s="107" t="n">
        <x:f>EA92*EA93/1000</x:f>
      </x:c>
      <x:c r="EB94" s="107" t="n">
        <x:f>EB92*EB93/1000</x:f>
      </x:c>
      <x:c r="EC94" s="107" t="n">
        <x:f>EC92*EC93/1000</x:f>
      </x:c>
      <x:c r="ED94" s="107" t="n">
        <x:f>ED92*ED93/1000</x:f>
      </x:c>
      <x:c r="EE94" s="107" t="n">
        <x:f>EE92*EE93/1000</x:f>
      </x:c>
      <x:c r="EF94" s="107" t="n">
        <x:f>EF92*EF93/1000</x:f>
      </x:c>
      <x:c r="EG94" s="107" t="n">
        <x:f>EG92*EG93/1000</x:f>
      </x:c>
      <x:c r="EH94" s="107" t="n">
        <x:f>EH92*EH93/1000</x:f>
      </x:c>
      <x:c r="EI94" s="107" t="n">
        <x:f>EI92*EI93/1000</x:f>
      </x:c>
      <x:c r="EJ94" s="107" t="n">
        <x:f>EJ92*EJ93/1000</x:f>
      </x:c>
      <x:c r="EK94" s="107" t="n">
        <x:f>EK92*EK93/1000</x:f>
      </x:c>
      <x:c r="EL94" s="107" t="n">
        <x:f>EL92*EL93/1000</x:f>
      </x:c>
      <x:c r="EM94" s="107" t="n">
        <x:f>EM92*EM93/1000</x:f>
      </x:c>
      <x:c r="EN94" s="107" t="n">
        <x:f>EN92*EN93/1000</x:f>
      </x:c>
      <x:c r="EO94" s="107" t="n">
        <x:f>EO92*EO93/1000</x:f>
      </x:c>
      <x:c r="EP94" s="107" t="n">
        <x:f>EP92*EP93/1000</x:f>
      </x:c>
      <x:c r="EQ94" s="107" t="n">
        <x:f>EQ92*EQ93/1000</x:f>
      </x:c>
      <x:c r="ER94" s="107" t="n">
        <x:f>ER92*ER93/1000</x:f>
      </x:c>
      <x:c r="ES94" s="107" t="n">
        <x:f>ES92*ES93/1000</x:f>
      </x:c>
      <x:c r="ET94" s="107" t="n">
        <x:f>ET92*ET93/1000</x:f>
      </x:c>
      <x:c r="EU94" s="107" t="n">
        <x:f>EU92*EU93/1000</x:f>
      </x:c>
      <x:c r="EV94" s="107" t="n">
        <x:f>EV92*EV93/1000</x:f>
      </x:c>
      <x:c r="EW94" s="107" t="n">
        <x:f>EW92*EW93/1000</x:f>
      </x:c>
      <x:c r="EX94" s="107" t="n">
        <x:f>EX92*EX93/1000</x:f>
      </x:c>
      <x:c r="EY94" s="107" t="n">
        <x:f>EY92*EY93/1000</x:f>
      </x:c>
      <x:c r="EZ94" s="107" t="n">
        <x:f>EZ92*EZ93/1000</x:f>
      </x:c>
      <x:c r="FA94" s="107" t="n">
        <x:f>FA92*FA93/1000</x:f>
      </x:c>
      <x:c r="FB94" s="107" t="n">
        <x:f>FB92*FB93/1000</x:f>
      </x:c>
      <x:c r="FC94" s="107" t="n">
        <x:f>FC92*FC93/1000</x:f>
      </x:c>
      <x:c r="FD94" s="107" t="n">
        <x:f>FD92*FD93/1000</x:f>
      </x:c>
      <x:c r="FE94" s="107" t="n">
        <x:f>FE92*FE93/1000</x:f>
      </x:c>
      <x:c r="FF94" s="107" t="n">
        <x:f>FF92*FF93/1000</x:f>
      </x:c>
      <x:c r="FG94" s="107" t="n">
        <x:f>FG92*FG93/1000</x:f>
      </x:c>
      <x:c r="FH94" s="107" t="n">
        <x:f>FH92*FH93/1000</x:f>
      </x:c>
      <x:c r="FI94" s="107" t="n">
        <x:f>FI92*FI93/1000</x:f>
      </x:c>
      <x:c r="FJ94" s="107" t="n">
        <x:f>FJ92*FJ93/1000</x:f>
      </x:c>
      <x:c r="FK94" s="107" t="n">
        <x:f>FK92*FK93/1000</x:f>
      </x:c>
      <x:c r="FL94" s="107" t="n">
        <x:f>FL92*FL93/1000</x:f>
      </x:c>
      <x:c r="FM94" s="107" t="n">
        <x:f>FM92*FM93/1000</x:f>
      </x:c>
      <x:c r="FN94" s="107" t="n">
        <x:f>FN92*FN93/1000</x:f>
      </x:c>
      <x:c r="FO94" s="107" t="n">
        <x:f>FO92*FO93/1000</x:f>
      </x:c>
      <x:c r="FP94" s="107" t="n">
        <x:f>FP92*FP93/1000</x:f>
      </x:c>
      <x:c r="FQ94" s="107" t="n">
        <x:f>FQ92*FQ93/1000</x:f>
      </x:c>
      <x:c r="FR94" s="107" t="n">
        <x:f>FR92*FR93/1000</x:f>
      </x:c>
      <x:c r="FS94" s="107" t="n">
        <x:f>FS92*FS93/1000</x:f>
      </x:c>
      <x:c r="FT94" s="107" t="n">
        <x:f>FT92*FT93/1000</x:f>
      </x:c>
      <x:c r="FU94" s="107" t="n">
        <x:f>FU92*FU93/1000</x:f>
      </x:c>
      <x:c r="FV94" s="107" t="n">
        <x:f>FV92*FV93/1000</x:f>
      </x:c>
      <x:c r="FW94" s="107" t="n">
        <x:f>FW92*FW93/1000</x:f>
      </x:c>
      <x:c r="FX94" s="107" t="n">
        <x:f>FX92*FX93/1000</x:f>
      </x:c>
      <x:c r="FY94" s="107" t="n">
        <x:f>FY92*FY93/1000</x:f>
      </x:c>
      <x:c r="FZ94" s="107" t="n">
        <x:f>FZ92*FZ93/1000</x:f>
      </x:c>
      <x:c r="GA94" s="107" t="n">
        <x:f>GA92*GA93/1000</x:f>
      </x:c>
    </x:row>
    <x:row r="95">
      <x:c r="A95" s="113" t="str">
        <x:v>ВЫРУЧКА ОЧЕРЕДИ</x:v>
      </x:c>
      <x:c r="B95" s="113" t="n">
        <x:f>SUM(D95:GA95)</x:f>
      </x:c>
      <x:c r="C95" s="113" t="str">
        <x:v>млн ₽</x:v>
      </x:c>
      <x:c r="D95" s="113" t="n">
        <x:f>SUM(D85,D88,D91,D94)</x:f>
      </x:c>
      <x:c r="E95" s="113" t="n">
        <x:f>SUM(E85,E88,E91,E94)</x:f>
      </x:c>
      <x:c r="F95" s="113" t="n">
        <x:f>SUM(F85,F88,F91,F94)</x:f>
      </x:c>
      <x:c r="G95" s="113" t="n">
        <x:f>SUM(G85,G88,G91,G94)</x:f>
      </x:c>
      <x:c r="H95" s="113" t="n">
        <x:f>SUM(H85,H88,H91,H94)</x:f>
      </x:c>
      <x:c r="I95" s="113" t="n">
        <x:f>SUM(I85,I88,I91,I94)</x:f>
      </x:c>
      <x:c r="J95" s="113" t="n">
        <x:f>SUM(J85,J88,J91,J94)</x:f>
      </x:c>
      <x:c r="K95" s="113" t="n">
        <x:f>SUM(K85,K88,K91,K94)</x:f>
      </x:c>
      <x:c r="L95" s="113" t="n">
        <x:f>SUM(L85,L88,L91,L94)</x:f>
      </x:c>
      <x:c r="M95" s="113" t="n">
        <x:f>SUM(M85,M88,M91,M94)</x:f>
      </x:c>
      <x:c r="N95" s="113" t="n">
        <x:f>SUM(N85,N88,N91,N94)</x:f>
      </x:c>
      <x:c r="O95" s="113" t="n">
        <x:f>SUM(O85,O88,O91,O94)</x:f>
      </x:c>
      <x:c r="P95" s="113" t="n">
        <x:f>SUM(P85,P88,P91,P94)</x:f>
      </x:c>
      <x:c r="Q95" s="113" t="n">
        <x:f>SUM(Q85,Q88,Q91,Q94)</x:f>
      </x:c>
      <x:c r="R95" s="113" t="n">
        <x:f>SUM(R85,R88,R91,R94)</x:f>
      </x:c>
      <x:c r="S95" s="113" t="n">
        <x:f>SUM(S85,S88,S91,S94)</x:f>
      </x:c>
      <x:c r="T95" s="113" t="n">
        <x:f>SUM(T85,T88,T91,T94)</x:f>
      </x:c>
      <x:c r="U95" s="113" t="n">
        <x:f>SUM(U85,U88,U91,U94)</x:f>
      </x:c>
      <x:c r="V95" s="113" t="n">
        <x:f>SUM(V85,V88,V91,V94)</x:f>
      </x:c>
      <x:c r="W95" s="113" t="n">
        <x:f>SUM(W85,W88,W91,W94)</x:f>
      </x:c>
      <x:c r="X95" s="113" t="n">
        <x:f>SUM(X85,X88,X91,X94)</x:f>
      </x:c>
      <x:c r="Y95" s="113" t="n">
        <x:f>SUM(Y85,Y88,Y91,Y94)</x:f>
      </x:c>
      <x:c r="Z95" s="113" t="n">
        <x:f>SUM(Z85,Z88,Z91,Z94)</x:f>
      </x:c>
      <x:c r="AA95" s="113" t="n">
        <x:f>SUM(AA85,AA88,AA91,AA94)</x:f>
      </x:c>
      <x:c r="AB95" s="113" t="n">
        <x:f>SUM(AB85,AB88,AB91,AB94)</x:f>
      </x:c>
      <x:c r="AC95" s="113" t="n">
        <x:f>SUM(AC85,AC88,AC91,AC94)</x:f>
      </x:c>
      <x:c r="AD95" s="113" t="n">
        <x:f>SUM(AD85,AD88,AD91,AD94)</x:f>
      </x:c>
      <x:c r="AE95" s="113" t="n">
        <x:f>SUM(AE85,AE88,AE91,AE94)</x:f>
      </x:c>
      <x:c r="AF95" s="113" t="n">
        <x:f>SUM(AF85,AF88,AF91,AF94)</x:f>
      </x:c>
      <x:c r="AG95" s="113" t="n">
        <x:f>SUM(AG85,AG88,AG91,AG94)</x:f>
      </x:c>
      <x:c r="AH95" s="113" t="n">
        <x:f>SUM(AH85,AH88,AH91,AH94)</x:f>
      </x:c>
      <x:c r="AI95" s="113" t="n">
        <x:f>SUM(AI85,AI88,AI91,AI94)</x:f>
      </x:c>
      <x:c r="AJ95" s="113" t="n">
        <x:f>SUM(AJ85,AJ88,AJ91,AJ94)</x:f>
      </x:c>
      <x:c r="AK95" s="113" t="n">
        <x:f>SUM(AK85,AK88,AK91,AK94)</x:f>
      </x:c>
      <x:c r="AL95" s="113" t="n">
        <x:f>SUM(AL85,AL88,AL91,AL94)</x:f>
      </x:c>
      <x:c r="AM95" s="113" t="n">
        <x:f>SUM(AM85,AM88,AM91,AM94)</x:f>
      </x:c>
      <x:c r="AN95" s="113" t="n">
        <x:f>SUM(AN85,AN88,AN91,AN94)</x:f>
      </x:c>
      <x:c r="AO95" s="113" t="n">
        <x:f>SUM(AO85,AO88,AO91,AO94)</x:f>
      </x:c>
      <x:c r="AP95" s="113" t="n">
        <x:f>SUM(AP85,AP88,AP91,AP94)</x:f>
      </x:c>
      <x:c r="AQ95" s="113" t="n">
        <x:f>SUM(AQ85,AQ88,AQ91,AQ94)</x:f>
      </x:c>
      <x:c r="AR95" s="113" t="n">
        <x:f>SUM(AR85,AR88,AR91,AR94)</x:f>
      </x:c>
      <x:c r="AS95" s="113" t="n">
        <x:f>SUM(AS85,AS88,AS91,AS94)</x:f>
      </x:c>
      <x:c r="AT95" s="113" t="n">
        <x:f>SUM(AT85,AT88,AT91,AT94)</x:f>
      </x:c>
      <x:c r="AU95" s="113" t="n">
        <x:f>SUM(AU85,AU88,AU91,AU94)</x:f>
      </x:c>
      <x:c r="AV95" s="113" t="n">
        <x:f>SUM(AV85,AV88,AV91,AV94)</x:f>
      </x:c>
      <x:c r="AW95" s="113" t="n">
        <x:f>SUM(AW85,AW88,AW91,AW94)</x:f>
      </x:c>
      <x:c r="AX95" s="113" t="n">
        <x:f>SUM(AX85,AX88,AX91,AX94)</x:f>
      </x:c>
      <x:c r="AY95" s="113" t="n">
        <x:f>SUM(AY85,AY88,AY91,AY94)</x:f>
      </x:c>
      <x:c r="AZ95" s="113" t="n">
        <x:f>SUM(AZ85,AZ88,AZ91,AZ94)</x:f>
      </x:c>
      <x:c r="BA95" s="113" t="n">
        <x:f>SUM(BA85,BA88,BA91,BA94)</x:f>
      </x:c>
      <x:c r="BB95" s="113" t="n">
        <x:f>SUM(BB85,BB88,BB91,BB94)</x:f>
      </x:c>
      <x:c r="BC95" s="113" t="n">
        <x:f>SUM(BC85,BC88,BC91,BC94)</x:f>
      </x:c>
      <x:c r="BD95" s="113" t="n">
        <x:f>SUM(BD85,BD88,BD91,BD94)</x:f>
      </x:c>
      <x:c r="BE95" s="113" t="n">
        <x:f>SUM(BE85,BE88,BE91,BE94)</x:f>
      </x:c>
      <x:c r="BF95" s="113" t="n">
        <x:f>SUM(BF85,BF88,BF91,BF94)</x:f>
      </x:c>
      <x:c r="BG95" s="113" t="n">
        <x:f>SUM(BG85,BG88,BG91,BG94)</x:f>
      </x:c>
      <x:c r="BH95" s="113" t="n">
        <x:f>SUM(BH85,BH88,BH91,BH94)</x:f>
      </x:c>
      <x:c r="BI95" s="113" t="n">
        <x:f>SUM(BI85,BI88,BI91,BI94)</x:f>
      </x:c>
      <x:c r="BJ95" s="113" t="n">
        <x:f>SUM(BJ85,BJ88,BJ91,BJ94)</x:f>
      </x:c>
      <x:c r="BK95" s="113" t="n">
        <x:f>SUM(BK85,BK88,BK91,BK94)</x:f>
      </x:c>
      <x:c r="BL95" s="113" t="n">
        <x:f>SUM(BL85,BL88,BL91,BL94)</x:f>
      </x:c>
      <x:c r="BM95" s="113" t="n">
        <x:f>SUM(BM85,BM88,BM91,BM94)</x:f>
      </x:c>
      <x:c r="BN95" s="113" t="n">
        <x:f>SUM(BN85,BN88,BN91,BN94)</x:f>
      </x:c>
      <x:c r="BO95" s="113" t="n">
        <x:f>SUM(BO85,BO88,BO91,BO94)</x:f>
      </x:c>
      <x:c r="BP95" s="113" t="n">
        <x:f>SUM(BP85,BP88,BP91,BP94)</x:f>
      </x:c>
      <x:c r="BQ95" s="113" t="n">
        <x:f>SUM(BQ85,BQ88,BQ91,BQ94)</x:f>
      </x:c>
      <x:c r="BR95" s="113" t="n">
        <x:f>SUM(BR85,BR88,BR91,BR94)</x:f>
      </x:c>
      <x:c r="BS95" s="113" t="n">
        <x:f>SUM(BS85,BS88,BS91,BS94)</x:f>
      </x:c>
      <x:c r="BT95" s="113" t="n">
        <x:f>SUM(BT85,BT88,BT91,BT94)</x:f>
      </x:c>
      <x:c r="BU95" s="113" t="n">
        <x:f>SUM(BU85,BU88,BU91,BU94)</x:f>
      </x:c>
      <x:c r="BV95" s="113" t="n">
        <x:f>SUM(BV85,BV88,BV91,BV94)</x:f>
      </x:c>
      <x:c r="BW95" s="113" t="n">
        <x:f>SUM(BW85,BW88,BW91,BW94)</x:f>
      </x:c>
      <x:c r="BX95" s="113" t="n">
        <x:f>SUM(BX85,BX88,BX91,BX94)</x:f>
      </x:c>
      <x:c r="BY95" s="113" t="n">
        <x:f>SUM(BY85,BY88,BY91,BY94)</x:f>
      </x:c>
      <x:c r="BZ95" s="113" t="n">
        <x:f>SUM(BZ85,BZ88,BZ91,BZ94)</x:f>
      </x:c>
      <x:c r="CA95" s="113" t="n">
        <x:f>SUM(CA85,CA88,CA91,CA94)</x:f>
      </x:c>
      <x:c r="CB95" s="113" t="n">
        <x:f>SUM(CB85,CB88,CB91,CB94)</x:f>
      </x:c>
      <x:c r="CC95" s="113" t="n">
        <x:f>SUM(CC85,CC88,CC91,CC94)</x:f>
      </x:c>
      <x:c r="CD95" s="113" t="n">
        <x:f>SUM(CD85,CD88,CD91,CD94)</x:f>
      </x:c>
      <x:c r="CE95" s="113" t="n">
        <x:f>SUM(CE85,CE88,CE91,CE94)</x:f>
      </x:c>
      <x:c r="CF95" s="113" t="n">
        <x:f>SUM(CF85,CF88,CF91,CF94)</x:f>
      </x:c>
      <x:c r="CG95" s="113" t="n">
        <x:f>SUM(CG85,CG88,CG91,CG94)</x:f>
      </x:c>
      <x:c r="CH95" s="113" t="n">
        <x:f>SUM(CH85,CH88,CH91,CH94)</x:f>
      </x:c>
      <x:c r="CI95" s="113" t="n">
        <x:f>SUM(CI85,CI88,CI91,CI94)</x:f>
      </x:c>
      <x:c r="CJ95" s="113" t="n">
        <x:f>SUM(CJ85,CJ88,CJ91,CJ94)</x:f>
      </x:c>
      <x:c r="CK95" s="113" t="n">
        <x:f>SUM(CK85,CK88,CK91,CK94)</x:f>
      </x:c>
      <x:c r="CL95" s="113" t="n">
        <x:f>SUM(CL85,CL88,CL91,CL94)</x:f>
      </x:c>
      <x:c r="CM95" s="113" t="n">
        <x:f>SUM(CM85,CM88,CM91,CM94)</x:f>
      </x:c>
      <x:c r="CN95" s="113" t="n">
        <x:f>SUM(CN85,CN88,CN91,CN94)</x:f>
      </x:c>
      <x:c r="CO95" s="113" t="n">
        <x:f>SUM(CO85,CO88,CO91,CO94)</x:f>
      </x:c>
      <x:c r="CP95" s="113" t="n">
        <x:f>SUM(CP85,CP88,CP91,CP94)</x:f>
      </x:c>
      <x:c r="CQ95" s="113" t="n">
        <x:f>SUM(CQ85,CQ88,CQ91,CQ94)</x:f>
      </x:c>
      <x:c r="CR95" s="113" t="n">
        <x:f>SUM(CR85,CR88,CR91,CR94)</x:f>
      </x:c>
      <x:c r="CS95" s="113" t="n">
        <x:f>SUM(CS85,CS88,CS91,CS94)</x:f>
      </x:c>
      <x:c r="CT95" s="113" t="n">
        <x:f>SUM(CT85,CT88,CT91,CT94)</x:f>
      </x:c>
      <x:c r="CU95" s="113" t="n">
        <x:f>SUM(CU85,CU88,CU91,CU94)</x:f>
      </x:c>
      <x:c r="CV95" s="113" t="n">
        <x:f>SUM(CV85,CV88,CV91,CV94)</x:f>
      </x:c>
      <x:c r="CW95" s="113" t="n">
        <x:f>SUM(CW85,CW88,CW91,CW94)</x:f>
      </x:c>
      <x:c r="CX95" s="113" t="n">
        <x:f>SUM(CX85,CX88,CX91,CX94)</x:f>
      </x:c>
      <x:c r="CY95" s="113" t="n">
        <x:f>SUM(CY85,CY88,CY91,CY94)</x:f>
      </x:c>
      <x:c r="CZ95" s="113" t="n">
        <x:f>SUM(CZ85,CZ88,CZ91,CZ94)</x:f>
      </x:c>
      <x:c r="DA95" s="113" t="n">
        <x:f>SUM(DA85,DA88,DA91,DA94)</x:f>
      </x:c>
      <x:c r="DB95" s="113" t="n">
        <x:f>SUM(DB85,DB88,DB91,DB94)</x:f>
      </x:c>
      <x:c r="DC95" s="113" t="n">
        <x:f>SUM(DC85,DC88,DC91,DC94)</x:f>
      </x:c>
      <x:c r="DD95" s="113" t="n">
        <x:f>SUM(DD85,DD88,DD91,DD94)</x:f>
      </x:c>
      <x:c r="DE95" s="113" t="n">
        <x:f>SUM(DE85,DE88,DE91,DE94)</x:f>
      </x:c>
      <x:c r="DF95" s="113" t="n">
        <x:f>SUM(DF85,DF88,DF91,DF94)</x:f>
      </x:c>
      <x:c r="DG95" s="113" t="n">
        <x:f>SUM(DG85,DG88,DG91,DG94)</x:f>
      </x:c>
      <x:c r="DH95" s="113" t="n">
        <x:f>SUM(DH85,DH88,DH91,DH94)</x:f>
      </x:c>
      <x:c r="DI95" s="113" t="n">
        <x:f>SUM(DI85,DI88,DI91,DI94)</x:f>
      </x:c>
      <x:c r="DJ95" s="113" t="n">
        <x:f>SUM(DJ85,DJ88,DJ91,DJ94)</x:f>
      </x:c>
      <x:c r="DK95" s="113" t="n">
        <x:f>SUM(DK85,DK88,DK91,DK94)</x:f>
      </x:c>
      <x:c r="DL95" s="113" t="n">
        <x:f>SUM(DL85,DL88,DL91,DL94)</x:f>
      </x:c>
      <x:c r="DM95" s="113" t="n">
        <x:f>SUM(DM85,DM88,DM91,DM94)</x:f>
      </x:c>
      <x:c r="DN95" s="113" t="n">
        <x:f>SUM(DN85,DN88,DN91,DN94)</x:f>
      </x:c>
      <x:c r="DO95" s="113" t="n">
        <x:f>SUM(DO85,DO88,DO91,DO94)</x:f>
      </x:c>
      <x:c r="DP95" s="113" t="n">
        <x:f>SUM(DP85,DP88,DP91,DP94)</x:f>
      </x:c>
      <x:c r="DQ95" s="113" t="n">
        <x:f>SUM(DQ85,DQ88,DQ91,DQ94)</x:f>
      </x:c>
      <x:c r="DR95" s="113" t="n">
        <x:f>SUM(DR85,DR88,DR91,DR94)</x:f>
      </x:c>
      <x:c r="DS95" s="113" t="n">
        <x:f>SUM(DS85,DS88,DS91,DS94)</x:f>
      </x:c>
      <x:c r="DT95" s="113" t="n">
        <x:f>SUM(DT85,DT88,DT91,DT94)</x:f>
      </x:c>
      <x:c r="DU95" s="113" t="n">
        <x:f>SUM(DU85,DU88,DU91,DU94)</x:f>
      </x:c>
      <x:c r="DV95" s="113" t="n">
        <x:f>SUM(DV85,DV88,DV91,DV94)</x:f>
      </x:c>
      <x:c r="DW95" s="113" t="n">
        <x:f>SUM(DW85,DW88,DW91,DW94)</x:f>
      </x:c>
      <x:c r="DX95" s="113" t="n">
        <x:f>SUM(DX85,DX88,DX91,DX94)</x:f>
      </x:c>
      <x:c r="DY95" s="113" t="n">
        <x:f>SUM(DY85,DY88,DY91,DY94)</x:f>
      </x:c>
      <x:c r="DZ95" s="113" t="n">
        <x:f>SUM(DZ85,DZ88,DZ91,DZ94)</x:f>
      </x:c>
      <x:c r="EA95" s="113" t="n">
        <x:f>SUM(EA85,EA88,EA91,EA94)</x:f>
      </x:c>
      <x:c r="EB95" s="113" t="n">
        <x:f>SUM(EB85,EB88,EB91,EB94)</x:f>
      </x:c>
      <x:c r="EC95" s="113" t="n">
        <x:f>SUM(EC85,EC88,EC91,EC94)</x:f>
      </x:c>
      <x:c r="ED95" s="113" t="n">
        <x:f>SUM(ED85,ED88,ED91,ED94)</x:f>
      </x:c>
      <x:c r="EE95" s="113" t="n">
        <x:f>SUM(EE85,EE88,EE91,EE94)</x:f>
      </x:c>
      <x:c r="EF95" s="113" t="n">
        <x:f>SUM(EF85,EF88,EF91,EF94)</x:f>
      </x:c>
      <x:c r="EG95" s="113" t="n">
        <x:f>SUM(EG85,EG88,EG91,EG94)</x:f>
      </x:c>
      <x:c r="EH95" s="113" t="n">
        <x:f>SUM(EH85,EH88,EH91,EH94)</x:f>
      </x:c>
      <x:c r="EI95" s="113" t="n">
        <x:f>SUM(EI85,EI88,EI91,EI94)</x:f>
      </x:c>
      <x:c r="EJ95" s="113" t="n">
        <x:f>SUM(EJ85,EJ88,EJ91,EJ94)</x:f>
      </x:c>
      <x:c r="EK95" s="113" t="n">
        <x:f>SUM(EK85,EK88,EK91,EK94)</x:f>
      </x:c>
      <x:c r="EL95" s="113" t="n">
        <x:f>SUM(EL85,EL88,EL91,EL94)</x:f>
      </x:c>
      <x:c r="EM95" s="113" t="n">
        <x:f>SUM(EM85,EM88,EM91,EM94)</x:f>
      </x:c>
      <x:c r="EN95" s="113" t="n">
        <x:f>SUM(EN85,EN88,EN91,EN94)</x:f>
      </x:c>
      <x:c r="EO95" s="113" t="n">
        <x:f>SUM(EO85,EO88,EO91,EO94)</x:f>
      </x:c>
      <x:c r="EP95" s="113" t="n">
        <x:f>SUM(EP85,EP88,EP91,EP94)</x:f>
      </x:c>
      <x:c r="EQ95" s="113" t="n">
        <x:f>SUM(EQ85,EQ88,EQ91,EQ94)</x:f>
      </x:c>
      <x:c r="ER95" s="113" t="n">
        <x:f>SUM(ER85,ER88,ER91,ER94)</x:f>
      </x:c>
      <x:c r="ES95" s="113" t="n">
        <x:f>SUM(ES85,ES88,ES91,ES94)</x:f>
      </x:c>
      <x:c r="ET95" s="113" t="n">
        <x:f>SUM(ET85,ET88,ET91,ET94)</x:f>
      </x:c>
      <x:c r="EU95" s="113" t="n">
        <x:f>SUM(EU85,EU88,EU91,EU94)</x:f>
      </x:c>
      <x:c r="EV95" s="113" t="n">
        <x:f>SUM(EV85,EV88,EV91,EV94)</x:f>
      </x:c>
      <x:c r="EW95" s="113" t="n">
        <x:f>SUM(EW85,EW88,EW91,EW94)</x:f>
      </x:c>
      <x:c r="EX95" s="113" t="n">
        <x:f>SUM(EX85,EX88,EX91,EX94)</x:f>
      </x:c>
      <x:c r="EY95" s="113" t="n">
        <x:f>SUM(EY85,EY88,EY91,EY94)</x:f>
      </x:c>
      <x:c r="EZ95" s="113" t="n">
        <x:f>SUM(EZ85,EZ88,EZ91,EZ94)</x:f>
      </x:c>
      <x:c r="FA95" s="113" t="n">
        <x:f>SUM(FA85,FA88,FA91,FA94)</x:f>
      </x:c>
      <x:c r="FB95" s="113" t="n">
        <x:f>SUM(FB85,FB88,FB91,FB94)</x:f>
      </x:c>
      <x:c r="FC95" s="113" t="n">
        <x:f>SUM(FC85,FC88,FC91,FC94)</x:f>
      </x:c>
      <x:c r="FD95" s="113" t="n">
        <x:f>SUM(FD85,FD88,FD91,FD94)</x:f>
      </x:c>
      <x:c r="FE95" s="113" t="n">
        <x:f>SUM(FE85,FE88,FE91,FE94)</x:f>
      </x:c>
      <x:c r="FF95" s="113" t="n">
        <x:f>SUM(FF85,FF88,FF91,FF94)</x:f>
      </x:c>
      <x:c r="FG95" s="113" t="n">
        <x:f>SUM(FG85,FG88,FG91,FG94)</x:f>
      </x:c>
      <x:c r="FH95" s="113" t="n">
        <x:f>SUM(FH85,FH88,FH91,FH94)</x:f>
      </x:c>
      <x:c r="FI95" s="113" t="n">
        <x:f>SUM(FI85,FI88,FI91,FI94)</x:f>
      </x:c>
      <x:c r="FJ95" s="113" t="n">
        <x:f>SUM(FJ85,FJ88,FJ91,FJ94)</x:f>
      </x:c>
      <x:c r="FK95" s="113" t="n">
        <x:f>SUM(FK85,FK88,FK91,FK94)</x:f>
      </x:c>
      <x:c r="FL95" s="113" t="n">
        <x:f>SUM(FL85,FL88,FL91,FL94)</x:f>
      </x:c>
      <x:c r="FM95" s="113" t="n">
        <x:f>SUM(FM85,FM88,FM91,FM94)</x:f>
      </x:c>
      <x:c r="FN95" s="113" t="n">
        <x:f>SUM(FN85,FN88,FN91,FN94)</x:f>
      </x:c>
      <x:c r="FO95" s="113" t="n">
        <x:f>SUM(FO85,FO88,FO91,FO94)</x:f>
      </x:c>
      <x:c r="FP95" s="113" t="n">
        <x:f>SUM(FP85,FP88,FP91,FP94)</x:f>
      </x:c>
      <x:c r="FQ95" s="113" t="n">
        <x:f>SUM(FQ85,FQ88,FQ91,FQ94)</x:f>
      </x:c>
      <x:c r="FR95" s="113" t="n">
        <x:f>SUM(FR85,FR88,FR91,FR94)</x:f>
      </x:c>
      <x:c r="FS95" s="113" t="n">
        <x:f>SUM(FS85,FS88,FS91,FS94)</x:f>
      </x:c>
      <x:c r="FT95" s="113" t="n">
        <x:f>SUM(FT85,FT88,FT91,FT94)</x:f>
      </x:c>
      <x:c r="FU95" s="113" t="n">
        <x:f>SUM(FU85,FU88,FU91,FU94)</x:f>
      </x:c>
      <x:c r="FV95" s="113" t="n">
        <x:f>SUM(FV85,FV88,FV91,FV94)</x:f>
      </x:c>
      <x:c r="FW95" s="113" t="n">
        <x:f>SUM(FW85,FW88,FW91,FW94)</x:f>
      </x:c>
      <x:c r="FX95" s="113" t="n">
        <x:f>SUM(FX85,FX88,FX91,FX94)</x:f>
      </x:c>
      <x:c r="FY95" s="113" t="n">
        <x:f>SUM(FY85,FY88,FY91,FY94)</x:f>
      </x:c>
      <x:c r="FZ95" s="113" t="n">
        <x:f>SUM(FZ85,FZ88,FZ91,FZ94)</x:f>
      </x:c>
      <x:c r="GA95" s="113" t="n">
        <x:f>SUM(GA85,GA88,GA91,GA94)</x:f>
      </x:c>
    </x:row>
  </x:sheetData>
  <x:mergeCells>
    <x:mergeCell ref="A1:GA1"/>
    <x:mergeCell ref="A6:GA6"/>
    <x:mergeCell ref="A29:GA29"/>
    <x:mergeCell ref="A52:GA52"/>
    <x:mergeCell ref="A75:GA7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5" hidden="0" customWidth="1"/>
    <x:col min="3" max="3" width="12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  <x:col min="45" max="45" width="11" hidden="0" customWidth="1"/>
    <x:col min="46" max="46" width="11" hidden="0" customWidth="1"/>
    <x:col min="47" max="47" width="11" hidden="0" customWidth="1"/>
    <x:col min="48" max="48" width="11" hidden="0" customWidth="1"/>
    <x:col min="49" max="49" width="11" hidden="0" customWidth="1"/>
    <x:col min="50" max="50" width="11" hidden="0" customWidth="1"/>
    <x:col min="51" max="51" width="11" hidden="0" customWidth="1"/>
    <x:col min="52" max="52" width="11" hidden="0" customWidth="1"/>
    <x:col min="53" max="53" width="11" hidden="0" customWidth="1"/>
    <x:col min="54" max="54" width="11" hidden="0" customWidth="1"/>
    <x:col min="55" max="55" width="11" hidden="0" customWidth="1"/>
    <x:col min="56" max="56" width="11" hidden="0" customWidth="1"/>
    <x:col min="57" max="57" width="11" hidden="0" customWidth="1"/>
    <x:col min="58" max="58" width="11" hidden="0" customWidth="1"/>
    <x:col min="59" max="59" width="11" hidden="0" customWidth="1"/>
    <x:col min="60" max="60" width="11" hidden="0" customWidth="1"/>
    <x:col min="61" max="61" width="11" hidden="0" customWidth="1"/>
    <x:col min="62" max="62" width="11" hidden="0" customWidth="1"/>
    <x:col min="63" max="63" width="11" hidden="0" customWidth="1"/>
    <x:col min="64" max="64" width="11" hidden="0" customWidth="1"/>
    <x:col min="65" max="65" width="11" hidden="0" customWidth="1"/>
    <x:col min="66" max="66" width="11" hidden="0" customWidth="1"/>
    <x:col min="67" max="67" width="11" hidden="0" customWidth="1"/>
    <x:col min="68" max="68" width="11" hidden="0" customWidth="1"/>
    <x:col min="69" max="69" width="11" hidden="0" customWidth="1"/>
    <x:col min="70" max="70" width="11" hidden="0" customWidth="1"/>
    <x:col min="71" max="71" width="11" hidden="0" customWidth="1"/>
    <x:col min="72" max="72" width="11" hidden="0" customWidth="1"/>
    <x:col min="73" max="73" width="11" hidden="0" customWidth="1"/>
    <x:col min="74" max="74" width="11" hidden="0" customWidth="1"/>
    <x:col min="75" max="75" width="11" hidden="0" customWidth="1"/>
    <x:col min="76" max="76" width="11" hidden="0" customWidth="1"/>
    <x:col min="77" max="77" width="11" hidden="0" customWidth="1"/>
    <x:col min="78" max="78" width="11" hidden="0" customWidth="1"/>
    <x:col min="79" max="79" width="11" hidden="0" customWidth="1"/>
    <x:col min="80" max="80" width="11" hidden="0" customWidth="1"/>
    <x:col min="81" max="81" width="11" hidden="0" customWidth="1"/>
    <x:col min="82" max="82" width="11" hidden="0" customWidth="1"/>
    <x:col min="83" max="83" width="11" hidden="0" customWidth="1"/>
    <x:col min="84" max="84" width="11" hidden="0" customWidth="1"/>
    <x:col min="85" max="85" width="11" hidden="0" customWidth="1"/>
    <x:col min="86" max="86" width="11" hidden="0" customWidth="1"/>
    <x:col min="87" max="87" width="11" hidden="0" customWidth="1"/>
    <x:col min="88" max="88" width="11" hidden="0" customWidth="1"/>
    <x:col min="89" max="89" width="11" hidden="0" customWidth="1"/>
    <x:col min="90" max="90" width="11" hidden="0" customWidth="1"/>
    <x:col min="91" max="91" width="11" hidden="0" customWidth="1"/>
    <x:col min="92" max="92" width="11" hidden="0" customWidth="1"/>
    <x:col min="93" max="93" width="11" hidden="0" customWidth="1"/>
    <x:col min="94" max="94" width="11" hidden="0" customWidth="1"/>
    <x:col min="95" max="95" width="11" hidden="0" customWidth="1"/>
    <x:col min="96" max="96" width="11" hidden="0" customWidth="1"/>
    <x:col min="97" max="97" width="11" hidden="0" customWidth="1"/>
    <x:col min="98" max="98" width="11" hidden="0" customWidth="1"/>
    <x:col min="99" max="99" width="11" hidden="0" customWidth="1"/>
    <x:col min="100" max="100" width="11" hidden="0" customWidth="1"/>
    <x:col min="101" max="101" width="11" hidden="0" customWidth="1"/>
    <x:col min="102" max="102" width="11" hidden="0" customWidth="1"/>
    <x:col min="103" max="103" width="11" hidden="0" customWidth="1"/>
    <x:col min="104" max="104" width="11" hidden="0" customWidth="1"/>
    <x:col min="105" max="105" width="11" hidden="0" customWidth="1"/>
    <x:col min="106" max="106" width="11" hidden="0" customWidth="1"/>
    <x:col min="107" max="107" width="11" hidden="0" customWidth="1"/>
    <x:col min="108" max="108" width="11" hidden="0" customWidth="1"/>
    <x:col min="109" max="109" width="11" hidden="0" customWidth="1"/>
    <x:col min="110" max="110" width="11" hidden="0" customWidth="1"/>
    <x:col min="111" max="111" width="11" hidden="0" customWidth="1"/>
    <x:col min="112" max="112" width="11" hidden="0" customWidth="1"/>
    <x:col min="113" max="113" width="11" hidden="0" customWidth="1"/>
    <x:col min="114" max="114" width="11" hidden="0" customWidth="1"/>
    <x:col min="115" max="115" width="11" hidden="0" customWidth="1"/>
    <x:col min="116" max="116" width="11" hidden="0" customWidth="1"/>
    <x:col min="117" max="117" width="11" hidden="0" customWidth="1"/>
    <x:col min="118" max="118" width="11" hidden="0" customWidth="1"/>
    <x:col min="119" max="119" width="11" hidden="0" customWidth="1"/>
    <x:col min="120" max="120" width="11" hidden="0" customWidth="1"/>
    <x:col min="121" max="121" width="11" hidden="0" customWidth="1"/>
    <x:col min="122" max="122" width="11" hidden="0" customWidth="1"/>
    <x:col min="123" max="123" width="11" hidden="0" customWidth="1"/>
    <x:col min="124" max="124" width="11" hidden="0" customWidth="1"/>
    <x:col min="125" max="125" width="11" hidden="0" customWidth="1"/>
    <x:col min="126" max="126" width="11" hidden="0" customWidth="1"/>
    <x:col min="127" max="127" width="11" hidden="0" customWidth="1"/>
    <x:col min="128" max="128" width="11" hidden="0" customWidth="1"/>
    <x:col min="129" max="129" width="11" hidden="0" customWidth="1"/>
    <x:col min="130" max="130" width="11" hidden="0" customWidth="1"/>
    <x:col min="131" max="131" width="11" hidden="0" customWidth="1"/>
    <x:col min="132" max="132" width="11" hidden="0" customWidth="1"/>
    <x:col min="133" max="133" width="11" hidden="0" customWidth="1"/>
    <x:col min="134" max="134" width="11" hidden="0" customWidth="1"/>
    <x:col min="135" max="135" width="11" hidden="0" customWidth="1"/>
    <x:col min="136" max="136" width="11" hidden="0" customWidth="1"/>
    <x:col min="137" max="137" width="11" hidden="0" customWidth="1"/>
    <x:col min="138" max="138" width="11" hidden="0" customWidth="1"/>
    <x:col min="139" max="139" width="11" hidden="0" customWidth="1"/>
    <x:col min="140" max="140" width="11" hidden="0" customWidth="1"/>
    <x:col min="141" max="141" width="11" hidden="0" customWidth="1"/>
    <x:col min="142" max="142" width="11" hidden="0" customWidth="1"/>
    <x:col min="143" max="143" width="11" hidden="0" customWidth="1"/>
    <x:col min="144" max="144" width="11" hidden="0" customWidth="1"/>
    <x:col min="145" max="145" width="11" hidden="0" customWidth="1"/>
    <x:col min="146" max="146" width="11" hidden="0" customWidth="1"/>
    <x:col min="147" max="147" width="11" hidden="0" customWidth="1"/>
    <x:col min="148" max="148" width="11" hidden="0" customWidth="1"/>
    <x:col min="149" max="149" width="11" hidden="0" customWidth="1"/>
    <x:col min="150" max="150" width="11" hidden="0" customWidth="1"/>
    <x:col min="151" max="151" width="11" hidden="0" customWidth="1"/>
    <x:col min="152" max="152" width="11" hidden="0" customWidth="1"/>
    <x:col min="153" max="153" width="11" hidden="0" customWidth="1"/>
    <x:col min="154" max="154" width="11" hidden="0" customWidth="1"/>
    <x:col min="155" max="155" width="11" hidden="0" customWidth="1"/>
    <x:col min="156" max="156" width="11" hidden="0" customWidth="1"/>
    <x:col min="157" max="157" width="11" hidden="0" customWidth="1"/>
    <x:col min="158" max="158" width="11" hidden="0" customWidth="1"/>
    <x:col min="159" max="159" width="11" hidden="0" customWidth="1"/>
    <x:col min="160" max="160" width="11" hidden="0" customWidth="1"/>
    <x:col min="161" max="161" width="11" hidden="0" customWidth="1"/>
    <x:col min="162" max="162" width="11" hidden="0" customWidth="1"/>
    <x:col min="163" max="163" width="11" hidden="0" customWidth="1"/>
    <x:col min="164" max="164" width="11" hidden="0" customWidth="1"/>
    <x:col min="165" max="165" width="11" hidden="0" customWidth="1"/>
    <x:col min="166" max="166" width="11" hidden="0" customWidth="1"/>
    <x:col min="167" max="167" width="11" hidden="0" customWidth="1"/>
    <x:col min="168" max="168" width="11" hidden="0" customWidth="1"/>
    <x:col min="169" max="169" width="11" hidden="0" customWidth="1"/>
    <x:col min="170" max="170" width="11" hidden="0" customWidth="1"/>
    <x:col min="171" max="171" width="11" hidden="0" customWidth="1"/>
    <x:col min="172" max="172" width="11" hidden="0" customWidth="1"/>
    <x:col min="173" max="173" width="11" hidden="0" customWidth="1"/>
    <x:col min="174" max="174" width="11" hidden="0" customWidth="1"/>
    <x:col min="175" max="175" width="11" hidden="0" customWidth="1"/>
    <x:col min="176" max="176" width="11" hidden="0" customWidth="1"/>
    <x:col min="177" max="177" width="11" hidden="0" customWidth="1"/>
    <x:col min="178" max="178" width="11" hidden="0" customWidth="1"/>
    <x:col min="179" max="179" width="11" hidden="0" customWidth="1"/>
    <x:col min="180" max="180" width="11" hidden="0" customWidth="1"/>
    <x:col min="181" max="181" width="11" hidden="0" customWidth="1"/>
    <x:col min="182" max="182" width="11" hidden="0" customWidth="1"/>
    <x:col min="183" max="183" width="11" hidden="0" customWidth="1"/>
  </x:cols>
  <x:sheetData>
    <x:row r="1" ht="28" customHeight="1">
      <x:c r="A1" s="4" t="str">
        <x:v>ПЛАТА ЗА ИЗМЕНЕНИЕ ВРИ · ГРАФИК ОБЯЗАТЕЛЬСТВА</x:v>
      </x:c>
      <x:c r="B1" s="4" t="str">
        <x:v>ПЛАТА ЗА ИЗМЕНЕНИЕ ВРИ · ГРАФИК ОБЯЗАТЕЛЬСТВА</x:v>
      </x:c>
      <x:c r="C1" s="4" t="str">
        <x:v>ПЛАТА ЗА ИЗМЕНЕНИЕ ВРИ · ГРАФИК ОБЯЗАТЕЛЬСТВА</x:v>
      </x:c>
      <x:c r="D1" s="4" t="str">
        <x:v>ПЛАТА ЗА ИЗМЕНЕНИЕ ВРИ · ГРАФИК ОБЯЗАТЕЛЬСТВА</x:v>
      </x:c>
      <x:c r="E1" s="4" t="str">
        <x:v>ПЛАТА ЗА ИЗМЕНЕНИЕ ВРИ · ГРАФИК ОБЯЗАТЕЛЬСТВА</x:v>
      </x:c>
      <x:c r="F1" s="4" t="str">
        <x:v>ПЛАТА ЗА ИЗМЕНЕНИЕ ВРИ · ГРАФИК ОБЯЗАТЕЛЬСТВА</x:v>
      </x:c>
      <x:c r="G1" s="4" t="str">
        <x:v>ПЛАТА ЗА ИЗМЕНЕНИЕ ВРИ · ГРАФИК ОБЯЗАТЕЛЬСТВА</x:v>
      </x:c>
      <x:c r="H1" s="4" t="str">
        <x:v>ПЛАТА ЗА ИЗМЕНЕНИЕ ВРИ · ГРАФИК ОБЯЗАТЕЛЬСТВА</x:v>
      </x:c>
      <x:c r="I1" s="4" t="str">
        <x:v>ПЛАТА ЗА ИЗМЕНЕНИЕ ВРИ · ГРАФИК ОБЯЗАТЕЛЬСТВА</x:v>
      </x:c>
      <x:c r="J1" s="4" t="str">
        <x:v>ПЛАТА ЗА ИЗМЕНЕНИЕ ВРИ · ГРАФИК ОБЯЗАТЕЛЬСТВА</x:v>
      </x:c>
      <x:c r="K1" s="4" t="str">
        <x:v>ПЛАТА ЗА ИЗМЕНЕНИЕ ВРИ · ГРАФИК ОБЯЗАТЕЛЬСТВА</x:v>
      </x:c>
      <x:c r="L1" s="4" t="str">
        <x:v>ПЛАТА ЗА ИЗМЕНЕНИЕ ВРИ · ГРАФИК ОБЯЗАТЕЛЬСТВА</x:v>
      </x:c>
      <x:c r="M1" s="4" t="str">
        <x:v>ПЛАТА ЗА ИЗМЕНЕНИЕ ВРИ · ГРАФИК ОБЯЗАТЕЛЬСТВА</x:v>
      </x:c>
      <x:c r="N1" s="4" t="str">
        <x:v>ПЛАТА ЗА ИЗМЕНЕНИЕ ВРИ · ГРАФИК ОБЯЗАТЕЛЬСТВА</x:v>
      </x:c>
      <x:c r="O1" s="4" t="str">
        <x:v>ПЛАТА ЗА ИЗМЕНЕНИЕ ВРИ · ГРАФИК ОБЯЗАТЕЛЬСТВА</x:v>
      </x:c>
      <x:c r="P1" s="4" t="str">
        <x:v>ПЛАТА ЗА ИЗМЕНЕНИЕ ВРИ · ГРАФИК ОБЯЗАТЕЛЬСТВА</x:v>
      </x:c>
      <x:c r="Q1" s="4" t="str">
        <x:v>ПЛАТА ЗА ИЗМЕНЕНИЕ ВРИ · ГРАФИК ОБЯЗАТЕЛЬСТВА</x:v>
      </x:c>
      <x:c r="R1" s="4" t="str">
        <x:v>ПЛАТА ЗА ИЗМЕНЕНИЕ ВРИ · ГРАФИК ОБЯЗАТЕЛЬСТВА</x:v>
      </x:c>
      <x:c r="S1" s="4" t="str">
        <x:v>ПЛАТА ЗА ИЗМЕНЕНИЕ ВРИ · ГРАФИК ОБЯЗАТЕЛЬСТВА</x:v>
      </x:c>
      <x:c r="T1" s="4" t="str">
        <x:v>ПЛАТА ЗА ИЗМЕНЕНИЕ ВРИ · ГРАФИК ОБЯЗАТЕЛЬСТВА</x:v>
      </x:c>
      <x:c r="U1" s="4" t="str">
        <x:v>ПЛАТА ЗА ИЗМЕНЕНИЕ ВРИ · ГРАФИК ОБЯЗАТЕЛЬСТВА</x:v>
      </x:c>
      <x:c r="V1" s="4" t="str">
        <x:v>ПЛАТА ЗА ИЗМЕНЕНИЕ ВРИ · ГРАФИК ОБЯЗАТЕЛЬСТВА</x:v>
      </x:c>
      <x:c r="W1" s="4" t="str">
        <x:v>ПЛАТА ЗА ИЗМЕНЕНИЕ ВРИ · ГРАФИК ОБЯЗАТЕЛЬСТВА</x:v>
      </x:c>
      <x:c r="X1" s="4" t="str">
        <x:v>ПЛАТА ЗА ИЗМЕНЕНИЕ ВРИ · ГРАФИК ОБЯЗАТЕЛЬСТВА</x:v>
      </x:c>
      <x:c r="Y1" s="4" t="str">
        <x:v>ПЛАТА ЗА ИЗМЕНЕНИЕ ВРИ · ГРАФИК ОБЯЗАТЕЛЬСТВА</x:v>
      </x:c>
      <x:c r="Z1" s="4" t="str">
        <x:v>ПЛАТА ЗА ИЗМЕНЕНИЕ ВРИ · ГРАФИК ОБЯЗАТЕЛЬСТВА</x:v>
      </x:c>
      <x:c r="AA1" s="4" t="str">
        <x:v>ПЛАТА ЗА ИЗМЕНЕНИЕ ВРИ · ГРАФИК ОБЯЗАТЕЛЬСТВА</x:v>
      </x:c>
      <x:c r="AB1" s="4" t="str">
        <x:v>ПЛАТА ЗА ИЗМЕНЕНИЕ ВРИ · ГРАФИК ОБЯЗАТЕЛЬСТВА</x:v>
      </x:c>
      <x:c r="AC1" s="4" t="str">
        <x:v>ПЛАТА ЗА ИЗМЕНЕНИЕ ВРИ · ГРАФИК ОБЯЗАТЕЛЬСТВА</x:v>
      </x:c>
      <x:c r="AD1" s="4" t="str">
        <x:v>ПЛАТА ЗА ИЗМЕНЕНИЕ ВРИ · ГРАФИК ОБЯЗАТЕЛЬСТВА</x:v>
      </x:c>
      <x:c r="AE1" s="4" t="str">
        <x:v>ПЛАТА ЗА ИЗМЕНЕНИЕ ВРИ · ГРАФИК ОБЯЗАТЕЛЬСТВА</x:v>
      </x:c>
      <x:c r="AF1" s="4" t="str">
        <x:v>ПЛАТА ЗА ИЗМЕНЕНИЕ ВРИ · ГРАФИК ОБЯЗАТЕЛЬСТВА</x:v>
      </x:c>
      <x:c r="AG1" s="4" t="str">
        <x:v>ПЛАТА ЗА ИЗМЕНЕНИЕ ВРИ · ГРАФИК ОБЯЗАТЕЛЬСТВА</x:v>
      </x:c>
      <x:c r="AH1" s="4" t="str">
        <x:v>ПЛАТА ЗА ИЗМЕНЕНИЕ ВРИ · ГРАФИК ОБЯЗАТЕЛЬСТВА</x:v>
      </x:c>
      <x:c r="AI1" s="4" t="str">
        <x:v>ПЛАТА ЗА ИЗМЕНЕНИЕ ВРИ · ГРАФИК ОБЯЗАТЕЛЬСТВА</x:v>
      </x:c>
      <x:c r="AJ1" s="4" t="str">
        <x:v>ПЛАТА ЗА ИЗМЕНЕНИЕ ВРИ · ГРАФИК ОБЯЗАТЕЛЬСТВА</x:v>
      </x:c>
      <x:c r="AK1" s="4" t="str">
        <x:v>ПЛАТА ЗА ИЗМЕНЕНИЕ ВРИ · ГРАФИК ОБЯЗАТЕЛЬСТВА</x:v>
      </x:c>
      <x:c r="AL1" s="4" t="str">
        <x:v>ПЛАТА ЗА ИЗМЕНЕНИЕ ВРИ · ГРАФИК ОБЯЗАТЕЛЬСТВА</x:v>
      </x:c>
      <x:c r="AM1" s="4" t="str">
        <x:v>ПЛАТА ЗА ИЗМЕНЕНИЕ ВРИ · ГРАФИК ОБЯЗАТЕЛЬСТВА</x:v>
      </x:c>
      <x:c r="AN1" s="4" t="str">
        <x:v>ПЛАТА ЗА ИЗМЕНЕНИЕ ВРИ · ГРАФИК ОБЯЗАТЕЛЬСТВА</x:v>
      </x:c>
      <x:c r="AO1" s="4" t="str">
        <x:v>ПЛАТА ЗА ИЗМЕНЕНИЕ ВРИ · ГРАФИК ОБЯЗАТЕЛЬСТВА</x:v>
      </x:c>
      <x:c r="AP1" s="4" t="str">
        <x:v>ПЛАТА ЗА ИЗМЕНЕНИЕ ВРИ · ГРАФИК ОБЯЗАТЕЛЬСТВА</x:v>
      </x:c>
      <x:c r="AQ1" s="4" t="str">
        <x:v>ПЛАТА ЗА ИЗМЕНЕНИЕ ВРИ · ГРАФИК ОБЯЗАТЕЛЬСТВА</x:v>
      </x:c>
      <x:c r="AR1" s="4" t="str">
        <x:v>ПЛАТА ЗА ИЗМЕНЕНИЕ ВРИ · ГРАФИК ОБЯЗАТЕЛЬСТВА</x:v>
      </x:c>
      <x:c r="AS1" s="4" t="str">
        <x:v>ПЛАТА ЗА ИЗМЕНЕНИЕ ВРИ · ГРАФИК ОБЯЗАТЕЛЬСТВА</x:v>
      </x:c>
      <x:c r="AT1" s="4" t="str">
        <x:v>ПЛАТА ЗА ИЗМЕНЕНИЕ ВРИ · ГРАФИК ОБЯЗАТЕЛЬСТВА</x:v>
      </x:c>
      <x:c r="AU1" s="4" t="str">
        <x:v>ПЛАТА ЗА ИЗМЕНЕНИЕ ВРИ · ГРАФИК ОБЯЗАТЕЛЬСТВА</x:v>
      </x:c>
      <x:c r="AV1" s="4" t="str">
        <x:v>ПЛАТА ЗА ИЗМЕНЕНИЕ ВРИ · ГРАФИК ОБЯЗАТЕЛЬСТВА</x:v>
      </x:c>
      <x:c r="AW1" s="4" t="str">
        <x:v>ПЛАТА ЗА ИЗМЕНЕНИЕ ВРИ · ГРАФИК ОБЯЗАТЕЛЬСТВА</x:v>
      </x:c>
      <x:c r="AX1" s="4" t="str">
        <x:v>ПЛАТА ЗА ИЗМЕНЕНИЕ ВРИ · ГРАФИК ОБЯЗАТЕЛЬСТВА</x:v>
      </x:c>
      <x:c r="AY1" s="4" t="str">
        <x:v>ПЛАТА ЗА ИЗМЕНЕНИЕ ВРИ · ГРАФИК ОБЯЗАТЕЛЬСТВА</x:v>
      </x:c>
      <x:c r="AZ1" s="4" t="str">
        <x:v>ПЛАТА ЗА ИЗМЕНЕНИЕ ВРИ · ГРАФИК ОБЯЗАТЕЛЬСТВА</x:v>
      </x:c>
      <x:c r="BA1" s="4" t="str">
        <x:v>ПЛАТА ЗА ИЗМЕНЕНИЕ ВРИ · ГРАФИК ОБЯЗАТЕЛЬСТВА</x:v>
      </x:c>
      <x:c r="BB1" s="4" t="str">
        <x:v>ПЛАТА ЗА ИЗМЕНЕНИЕ ВРИ · ГРАФИК ОБЯЗАТЕЛЬСТВА</x:v>
      </x:c>
      <x:c r="BC1" s="4" t="str">
        <x:v>ПЛАТА ЗА ИЗМЕНЕНИЕ ВРИ · ГРАФИК ОБЯЗАТЕЛЬСТВА</x:v>
      </x:c>
      <x:c r="BD1" s="4" t="str">
        <x:v>ПЛАТА ЗА ИЗМЕНЕНИЕ ВРИ · ГРАФИК ОБЯЗАТЕЛЬСТВА</x:v>
      </x:c>
      <x:c r="BE1" s="4" t="str">
        <x:v>ПЛАТА ЗА ИЗМЕНЕНИЕ ВРИ · ГРАФИК ОБЯЗАТЕЛЬСТВА</x:v>
      </x:c>
      <x:c r="BF1" s="4" t="str">
        <x:v>ПЛАТА ЗА ИЗМЕНЕНИЕ ВРИ · ГРАФИК ОБЯЗАТЕЛЬСТВА</x:v>
      </x:c>
      <x:c r="BG1" s="4" t="str">
        <x:v>ПЛАТА ЗА ИЗМЕНЕНИЕ ВРИ · ГРАФИК ОБЯЗАТЕЛЬСТВА</x:v>
      </x:c>
      <x:c r="BH1" s="4" t="str">
        <x:v>ПЛАТА ЗА ИЗМЕНЕНИЕ ВРИ · ГРАФИК ОБЯЗАТЕЛЬСТВА</x:v>
      </x:c>
      <x:c r="BI1" s="4" t="str">
        <x:v>ПЛАТА ЗА ИЗМЕНЕНИЕ ВРИ · ГРАФИК ОБЯЗАТЕЛЬСТВА</x:v>
      </x:c>
      <x:c r="BJ1" s="4" t="str">
        <x:v>ПЛАТА ЗА ИЗМЕНЕНИЕ ВРИ · ГРАФИК ОБЯЗАТЕЛЬСТВА</x:v>
      </x:c>
      <x:c r="BK1" s="4" t="str">
        <x:v>ПЛАТА ЗА ИЗМЕНЕНИЕ ВРИ · ГРАФИК ОБЯЗАТЕЛЬСТВА</x:v>
      </x:c>
      <x:c r="BL1" s="4" t="str">
        <x:v>ПЛАТА ЗА ИЗМЕНЕНИЕ ВРИ · ГРАФИК ОБЯЗАТЕЛЬСТВА</x:v>
      </x:c>
      <x:c r="BM1" s="4" t="str">
        <x:v>ПЛАТА ЗА ИЗМЕНЕНИЕ ВРИ · ГРАФИК ОБЯЗАТЕЛЬСТВА</x:v>
      </x:c>
      <x:c r="BN1" s="4" t="str">
        <x:v>ПЛАТА ЗА ИЗМЕНЕНИЕ ВРИ · ГРАФИК ОБЯЗАТЕЛЬСТВА</x:v>
      </x:c>
      <x:c r="BO1" s="4" t="str">
        <x:v>ПЛАТА ЗА ИЗМЕНЕНИЕ ВРИ · ГРАФИК ОБЯЗАТЕЛЬСТВА</x:v>
      </x:c>
      <x:c r="BP1" s="4" t="str">
        <x:v>ПЛАТА ЗА ИЗМЕНЕНИЕ ВРИ · ГРАФИК ОБЯЗАТЕЛЬСТВА</x:v>
      </x:c>
      <x:c r="BQ1" s="4" t="str">
        <x:v>ПЛАТА ЗА ИЗМЕНЕНИЕ ВРИ · ГРАФИК ОБЯЗАТЕЛЬСТВА</x:v>
      </x:c>
      <x:c r="BR1" s="4" t="str">
        <x:v>ПЛАТА ЗА ИЗМЕНЕНИЕ ВРИ · ГРАФИК ОБЯЗАТЕЛЬСТВА</x:v>
      </x:c>
      <x:c r="BS1" s="4" t="str">
        <x:v>ПЛАТА ЗА ИЗМЕНЕНИЕ ВРИ · ГРАФИК ОБЯЗАТЕЛЬСТВА</x:v>
      </x:c>
      <x:c r="BT1" s="4" t="str">
        <x:v>ПЛАТА ЗА ИЗМЕНЕНИЕ ВРИ · ГРАФИК ОБЯЗАТЕЛЬСТВА</x:v>
      </x:c>
      <x:c r="BU1" s="4" t="str">
        <x:v>ПЛАТА ЗА ИЗМЕНЕНИЕ ВРИ · ГРАФИК ОБЯЗАТЕЛЬСТВА</x:v>
      </x:c>
      <x:c r="BV1" s="4" t="str">
        <x:v>ПЛАТА ЗА ИЗМЕНЕНИЕ ВРИ · ГРАФИК ОБЯЗАТЕЛЬСТВА</x:v>
      </x:c>
      <x:c r="BW1" s="4" t="str">
        <x:v>ПЛАТА ЗА ИЗМЕНЕНИЕ ВРИ · ГРАФИК ОБЯЗАТЕЛЬСТВА</x:v>
      </x:c>
      <x:c r="BX1" s="4" t="str">
        <x:v>ПЛАТА ЗА ИЗМЕНЕНИЕ ВРИ · ГРАФИК ОБЯЗАТЕЛЬСТВА</x:v>
      </x:c>
      <x:c r="BY1" s="4" t="str">
        <x:v>ПЛАТА ЗА ИЗМЕНЕНИЕ ВРИ · ГРАФИК ОБЯЗАТЕЛЬСТВА</x:v>
      </x:c>
      <x:c r="BZ1" s="4" t="str">
        <x:v>ПЛАТА ЗА ИЗМЕНЕНИЕ ВРИ · ГРАФИК ОБЯЗАТЕЛЬСТВА</x:v>
      </x:c>
      <x:c r="CA1" s="4" t="str">
        <x:v>ПЛАТА ЗА ИЗМЕНЕНИЕ ВРИ · ГРАФИК ОБЯЗАТЕЛЬСТВА</x:v>
      </x:c>
      <x:c r="CB1" s="4" t="str">
        <x:v>ПЛАТА ЗА ИЗМЕНЕНИЕ ВРИ · ГРАФИК ОБЯЗАТЕЛЬСТВА</x:v>
      </x:c>
      <x:c r="CC1" s="4" t="str">
        <x:v>ПЛАТА ЗА ИЗМЕНЕНИЕ ВРИ · ГРАФИК ОБЯЗАТЕЛЬСТВА</x:v>
      </x:c>
      <x:c r="CD1" s="4" t="str">
        <x:v>ПЛАТА ЗА ИЗМЕНЕНИЕ ВРИ · ГРАФИК ОБЯЗАТЕЛЬСТВА</x:v>
      </x:c>
      <x:c r="CE1" s="4" t="str">
        <x:v>ПЛАТА ЗА ИЗМЕНЕНИЕ ВРИ · ГРАФИК ОБЯЗАТЕЛЬСТВА</x:v>
      </x:c>
      <x:c r="CF1" s="4" t="str">
        <x:v>ПЛАТА ЗА ИЗМЕНЕНИЕ ВРИ · ГРАФИК ОБЯЗАТЕЛЬСТВА</x:v>
      </x:c>
      <x:c r="CG1" s="4" t="str">
        <x:v>ПЛАТА ЗА ИЗМЕНЕНИЕ ВРИ · ГРАФИК ОБЯЗАТЕЛЬСТВА</x:v>
      </x:c>
      <x:c r="CH1" s="4" t="str">
        <x:v>ПЛАТА ЗА ИЗМЕНЕНИЕ ВРИ · ГРАФИК ОБЯЗАТЕЛЬСТВА</x:v>
      </x:c>
      <x:c r="CI1" s="4" t="str">
        <x:v>ПЛАТА ЗА ИЗМЕНЕНИЕ ВРИ · ГРАФИК ОБЯЗАТЕЛЬСТВА</x:v>
      </x:c>
      <x:c r="CJ1" s="4" t="str">
        <x:v>ПЛАТА ЗА ИЗМЕНЕНИЕ ВРИ · ГРАФИК ОБЯЗАТЕЛЬСТВА</x:v>
      </x:c>
      <x:c r="CK1" s="4" t="str">
        <x:v>ПЛАТА ЗА ИЗМЕНЕНИЕ ВРИ · ГРАФИК ОБЯЗАТЕЛЬСТВА</x:v>
      </x:c>
      <x:c r="CL1" s="4" t="str">
        <x:v>ПЛАТА ЗА ИЗМЕНЕНИЕ ВРИ · ГРАФИК ОБЯЗАТЕЛЬСТВА</x:v>
      </x:c>
      <x:c r="CM1" s="4" t="str">
        <x:v>ПЛАТА ЗА ИЗМЕНЕНИЕ ВРИ · ГРАФИК ОБЯЗАТЕЛЬСТВА</x:v>
      </x:c>
      <x:c r="CN1" s="4" t="str">
        <x:v>ПЛАТА ЗА ИЗМЕНЕНИЕ ВРИ · ГРАФИК ОБЯЗАТЕЛЬСТВА</x:v>
      </x:c>
      <x:c r="CO1" s="4" t="str">
        <x:v>ПЛАТА ЗА ИЗМЕНЕНИЕ ВРИ · ГРАФИК ОБЯЗАТЕЛЬСТВА</x:v>
      </x:c>
      <x:c r="CP1" s="4" t="str">
        <x:v>ПЛАТА ЗА ИЗМЕНЕНИЕ ВРИ · ГРАФИК ОБЯЗАТЕЛЬСТВА</x:v>
      </x:c>
      <x:c r="CQ1" s="4" t="str">
        <x:v>ПЛАТА ЗА ИЗМЕНЕНИЕ ВРИ · ГРАФИК ОБЯЗАТЕЛЬСТВА</x:v>
      </x:c>
      <x:c r="CR1" s="4" t="str">
        <x:v>ПЛАТА ЗА ИЗМЕНЕНИЕ ВРИ · ГРАФИК ОБЯЗАТЕЛЬСТВА</x:v>
      </x:c>
      <x:c r="CS1" s="4" t="str">
        <x:v>ПЛАТА ЗА ИЗМЕНЕНИЕ ВРИ · ГРАФИК ОБЯЗАТЕЛЬСТВА</x:v>
      </x:c>
      <x:c r="CT1" s="4" t="str">
        <x:v>ПЛАТА ЗА ИЗМЕНЕНИЕ ВРИ · ГРАФИК ОБЯЗАТЕЛЬСТВА</x:v>
      </x:c>
      <x:c r="CU1" s="4" t="str">
        <x:v>ПЛАТА ЗА ИЗМЕНЕНИЕ ВРИ · ГРАФИК ОБЯЗАТЕЛЬСТВА</x:v>
      </x:c>
      <x:c r="CV1" s="4" t="str">
        <x:v>ПЛАТА ЗА ИЗМЕНЕНИЕ ВРИ · ГРАФИК ОБЯЗАТЕЛЬСТВА</x:v>
      </x:c>
      <x:c r="CW1" s="4" t="str">
        <x:v>ПЛАТА ЗА ИЗМЕНЕНИЕ ВРИ · ГРАФИК ОБЯЗАТЕЛЬСТВА</x:v>
      </x:c>
      <x:c r="CX1" s="4" t="str">
        <x:v>ПЛАТА ЗА ИЗМЕНЕНИЕ ВРИ · ГРАФИК ОБЯЗАТЕЛЬСТВА</x:v>
      </x:c>
      <x:c r="CY1" s="4" t="str">
        <x:v>ПЛАТА ЗА ИЗМЕНЕНИЕ ВРИ · ГРАФИК ОБЯЗАТЕЛЬСТВА</x:v>
      </x:c>
      <x:c r="CZ1" s="4" t="str">
        <x:v>ПЛАТА ЗА ИЗМЕНЕНИЕ ВРИ · ГРАФИК ОБЯЗАТЕЛЬСТВА</x:v>
      </x:c>
      <x:c r="DA1" s="4" t="str">
        <x:v>ПЛАТА ЗА ИЗМЕНЕНИЕ ВРИ · ГРАФИК ОБЯЗАТЕЛЬСТВА</x:v>
      </x:c>
      <x:c r="DB1" s="4" t="str">
        <x:v>ПЛАТА ЗА ИЗМЕНЕНИЕ ВРИ · ГРАФИК ОБЯЗАТЕЛЬСТВА</x:v>
      </x:c>
      <x:c r="DC1" s="4" t="str">
        <x:v>ПЛАТА ЗА ИЗМЕНЕНИЕ ВРИ · ГРАФИК ОБЯЗАТЕЛЬСТВА</x:v>
      </x:c>
      <x:c r="DD1" s="4" t="str">
        <x:v>ПЛАТА ЗА ИЗМЕНЕНИЕ ВРИ · ГРАФИК ОБЯЗАТЕЛЬСТВА</x:v>
      </x:c>
      <x:c r="DE1" s="4" t="str">
        <x:v>ПЛАТА ЗА ИЗМЕНЕНИЕ ВРИ · ГРАФИК ОБЯЗАТЕЛЬСТВА</x:v>
      </x:c>
      <x:c r="DF1" s="4" t="str">
        <x:v>ПЛАТА ЗА ИЗМЕНЕНИЕ ВРИ · ГРАФИК ОБЯЗАТЕЛЬСТВА</x:v>
      </x:c>
      <x:c r="DG1" s="4" t="str">
        <x:v>ПЛАТА ЗА ИЗМЕНЕНИЕ ВРИ · ГРАФИК ОБЯЗАТЕЛЬСТВА</x:v>
      </x:c>
      <x:c r="DH1" s="4" t="str">
        <x:v>ПЛАТА ЗА ИЗМЕНЕНИЕ ВРИ · ГРАФИК ОБЯЗАТЕЛЬСТВА</x:v>
      </x:c>
      <x:c r="DI1" s="4" t="str">
        <x:v>ПЛАТА ЗА ИЗМЕНЕНИЕ ВРИ · ГРАФИК ОБЯЗАТЕЛЬСТВА</x:v>
      </x:c>
      <x:c r="DJ1" s="4" t="str">
        <x:v>ПЛАТА ЗА ИЗМЕНЕНИЕ ВРИ · ГРАФИК ОБЯЗАТЕЛЬСТВА</x:v>
      </x:c>
      <x:c r="DK1" s="4" t="str">
        <x:v>ПЛАТА ЗА ИЗМЕНЕНИЕ ВРИ · ГРАФИК ОБЯЗАТЕЛЬСТВА</x:v>
      </x:c>
      <x:c r="DL1" s="4" t="str">
        <x:v>ПЛАТА ЗА ИЗМЕНЕНИЕ ВРИ · ГРАФИК ОБЯЗАТЕЛЬСТВА</x:v>
      </x:c>
      <x:c r="DM1" s="4" t="str">
        <x:v>ПЛАТА ЗА ИЗМЕНЕНИЕ ВРИ · ГРАФИК ОБЯЗАТЕЛЬСТВА</x:v>
      </x:c>
      <x:c r="DN1" s="4" t="str">
        <x:v>ПЛАТА ЗА ИЗМЕНЕНИЕ ВРИ · ГРАФИК ОБЯЗАТЕЛЬСТВА</x:v>
      </x:c>
      <x:c r="DO1" s="4" t="str">
        <x:v>ПЛАТА ЗА ИЗМЕНЕНИЕ ВРИ · ГРАФИК ОБЯЗАТЕЛЬСТВА</x:v>
      </x:c>
      <x:c r="DP1" s="4" t="str">
        <x:v>ПЛАТА ЗА ИЗМЕНЕНИЕ ВРИ · ГРАФИК ОБЯЗАТЕЛЬСТВА</x:v>
      </x:c>
      <x:c r="DQ1" s="4" t="str">
        <x:v>ПЛАТА ЗА ИЗМЕНЕНИЕ ВРИ · ГРАФИК ОБЯЗАТЕЛЬСТВА</x:v>
      </x:c>
      <x:c r="DR1" s="4" t="str">
        <x:v>ПЛАТА ЗА ИЗМЕНЕНИЕ ВРИ · ГРАФИК ОБЯЗАТЕЛЬСТВА</x:v>
      </x:c>
      <x:c r="DS1" s="4" t="str">
        <x:v>ПЛАТА ЗА ИЗМЕНЕНИЕ ВРИ · ГРАФИК ОБЯЗАТЕЛЬСТВА</x:v>
      </x:c>
      <x:c r="DT1" s="4" t="str"/>
      <x:c r="DU1" s="4" t="str"/>
      <x:c r="DV1" s="4" t="str"/>
      <x:c r="DW1" s="4" t="str"/>
      <x:c r="DX1" s="4" t="str"/>
      <x:c r="DY1" s="4" t="str"/>
      <x:c r="DZ1" s="4" t="str"/>
      <x:c r="EA1" s="4" t="str"/>
      <x:c r="EB1" s="4" t="str"/>
      <x:c r="EC1" s="4" t="str"/>
      <x:c r="ED1" s="4" t="str"/>
      <x:c r="EE1" s="4" t="str"/>
      <x:c r="EF1" s="4" t="str"/>
      <x:c r="EG1" s="4" t="str"/>
      <x:c r="EH1" s="4" t="str"/>
      <x:c r="EI1" s="4" t="str"/>
      <x:c r="EJ1" s="4" t="str"/>
      <x:c r="EK1" s="4" t="str"/>
      <x:c r="EL1" s="4" t="str"/>
      <x:c r="EM1" s="4" t="str"/>
      <x:c r="EN1" s="4" t="str"/>
      <x:c r="EO1" s="4" t="str"/>
      <x:c r="EP1" s="4" t="str"/>
      <x:c r="EQ1" s="4" t="str"/>
      <x:c r="ER1" s="4" t="str"/>
      <x:c r="ES1" s="4" t="str"/>
      <x:c r="ET1" s="4" t="str"/>
      <x:c r="EU1" s="4" t="str"/>
      <x:c r="EV1" s="4" t="str"/>
      <x:c r="EW1" s="4" t="str"/>
      <x:c r="EX1" s="4" t="str"/>
      <x:c r="EY1" s="4" t="str"/>
      <x:c r="EZ1" s="4" t="str"/>
      <x:c r="FA1" s="4" t="str"/>
      <x:c r="FB1" s="4" t="str"/>
      <x:c r="FC1" s="4" t="str"/>
      <x:c r="FD1" s="4" t="str"/>
      <x:c r="FE1" s="4" t="str"/>
      <x:c r="FF1" s="4" t="str"/>
      <x:c r="FG1" s="4" t="str"/>
      <x:c r="FH1" s="4" t="str"/>
      <x:c r="FI1" s="4" t="str"/>
      <x:c r="FJ1" s="4" t="str"/>
      <x:c r="FK1" s="4" t="str"/>
      <x:c r="FL1" s="4" t="str"/>
      <x:c r="FM1" s="4" t="str"/>
      <x:c r="FN1" s="4" t="str"/>
      <x:c r="FO1" s="4" t="str"/>
      <x:c r="FP1" s="4" t="str"/>
      <x:c r="FQ1" s="4" t="str"/>
      <x:c r="FR1" s="4" t="str"/>
      <x:c r="FS1" s="4" t="str"/>
      <x:c r="FT1" s="4" t="str"/>
      <x:c r="FU1" s="4" t="str"/>
      <x:c r="FV1" s="4" t="str"/>
      <x:c r="FW1" s="4" t="str"/>
      <x:c r="FX1" s="4" t="str"/>
      <x:c r="FY1" s="4" t="str"/>
      <x:c r="FZ1" s="4" t="str"/>
      <x:c r="GA1" s="4" t="str"/>
    </x:row>
    <x:row r="3">
      <x:c r="A3" s="23" t="str">
        <x:v>Показатель</x:v>
      </x:c>
      <x:c r="B3" s="23" t="str">
        <x:v>Итого / дата</x:v>
      </x:c>
      <x:c r="C3" s="23" t="str">
        <x:v>Ед.</x:v>
      </x:c>
      <x:c r="D3" s="102" t="n">
        <x:f>'Ставки'!$D$3</x:f>
      </x:c>
      <x:c r="E3" s="102" t="n">
        <x:f>'Ставки'!$E$3</x:f>
      </x:c>
      <x:c r="F3" s="102" t="n">
        <x:f>'Ставки'!$F$3</x:f>
      </x:c>
      <x:c r="G3" s="102" t="n">
        <x:f>'Ставки'!$G$3</x:f>
      </x:c>
      <x:c r="H3" s="102" t="n">
        <x:f>'Ставки'!$H$3</x:f>
      </x:c>
      <x:c r="I3" s="102" t="n">
        <x:f>'Ставки'!$I$3</x:f>
      </x:c>
      <x:c r="J3" s="102" t="n">
        <x:f>'Ставки'!$J$3</x:f>
      </x:c>
      <x:c r="K3" s="102" t="n">
        <x:f>'Ставки'!$K$3</x:f>
      </x:c>
      <x:c r="L3" s="102" t="n">
        <x:f>'Ставки'!$L$3</x:f>
      </x:c>
      <x:c r="M3" s="102" t="n">
        <x:f>'Ставки'!$M$3</x:f>
      </x:c>
      <x:c r="N3" s="102" t="n">
        <x:f>'Ставки'!$N$3</x:f>
      </x:c>
      <x:c r="O3" s="102" t="n">
        <x:f>'Ставки'!$O$3</x:f>
      </x:c>
      <x:c r="P3" s="102" t="n">
        <x:f>'Ставки'!$P$3</x:f>
      </x:c>
      <x:c r="Q3" s="102" t="n">
        <x:f>'Ставки'!$Q$3</x:f>
      </x:c>
      <x:c r="R3" s="102" t="n">
        <x:f>'Ставки'!$R$3</x:f>
      </x:c>
      <x:c r="S3" s="102" t="n">
        <x:f>'Ставки'!$S$3</x:f>
      </x:c>
      <x:c r="T3" s="102" t="n">
        <x:f>'Ставки'!$T$3</x:f>
      </x:c>
      <x:c r="U3" s="102" t="n">
        <x:f>'Ставки'!$U$3</x:f>
      </x:c>
      <x:c r="V3" s="102" t="n">
        <x:f>'Ставки'!$V$3</x:f>
      </x:c>
      <x:c r="W3" s="102" t="n">
        <x:f>'Ставки'!$W$3</x:f>
      </x:c>
      <x:c r="X3" s="102" t="n">
        <x:f>'Ставки'!$X$3</x:f>
      </x:c>
      <x:c r="Y3" s="102" t="n">
        <x:f>'Ставки'!$Y$3</x:f>
      </x:c>
      <x:c r="Z3" s="102" t="n">
        <x:f>'Ставки'!$Z$3</x:f>
      </x:c>
      <x:c r="AA3" s="102" t="n">
        <x:f>'Ставки'!$AA$3</x:f>
      </x:c>
      <x:c r="AB3" s="102" t="n">
        <x:f>'Ставки'!$AB$3</x:f>
      </x:c>
      <x:c r="AC3" s="102" t="n">
        <x:f>'Ставки'!$AC$3</x:f>
      </x:c>
      <x:c r="AD3" s="102" t="n">
        <x:f>'Ставки'!$AD$3</x:f>
      </x:c>
      <x:c r="AE3" s="102" t="n">
        <x:f>'Ставки'!$AE$3</x:f>
      </x:c>
      <x:c r="AF3" s="102" t="n">
        <x:f>'Ставки'!$AF$3</x:f>
      </x:c>
      <x:c r="AG3" s="102" t="n">
        <x:f>'Ставки'!$AG$3</x:f>
      </x:c>
      <x:c r="AH3" s="102" t="n">
        <x:f>'Ставки'!$AH$3</x:f>
      </x:c>
      <x:c r="AI3" s="102" t="n">
        <x:f>'Ставки'!$AI$3</x:f>
      </x:c>
      <x:c r="AJ3" s="102" t="n">
        <x:f>'Ставки'!$AJ$3</x:f>
      </x:c>
      <x:c r="AK3" s="102" t="n">
        <x:f>'Ставки'!$AK$3</x:f>
      </x:c>
      <x:c r="AL3" s="102" t="n">
        <x:f>'Ставки'!$AL$3</x:f>
      </x:c>
      <x:c r="AM3" s="102" t="n">
        <x:f>'Ставки'!$AM$3</x:f>
      </x:c>
      <x:c r="AN3" s="102" t="n">
        <x:f>'Ставки'!$AN$3</x:f>
      </x:c>
      <x:c r="AO3" s="102" t="n">
        <x:f>'Ставки'!$AO$3</x:f>
      </x:c>
      <x:c r="AP3" s="102" t="n">
        <x:f>'Ставки'!$AP$3</x:f>
      </x:c>
      <x:c r="AQ3" s="102" t="n">
        <x:f>'Ставки'!$AQ$3</x:f>
      </x:c>
      <x:c r="AR3" s="102" t="n">
        <x:f>'Ставки'!$AR$3</x:f>
      </x:c>
      <x:c r="AS3" s="102" t="n">
        <x:f>'Ставки'!$AS$3</x:f>
      </x:c>
      <x:c r="AT3" s="102" t="n">
        <x:f>'Ставки'!$AT$3</x:f>
      </x:c>
      <x:c r="AU3" s="102" t="n">
        <x:f>'Ставки'!$AU$3</x:f>
      </x:c>
      <x:c r="AV3" s="102" t="n">
        <x:f>'Ставки'!$AV$3</x:f>
      </x:c>
      <x:c r="AW3" s="102" t="n">
        <x:f>'Ставки'!$AW$3</x:f>
      </x:c>
      <x:c r="AX3" s="102" t="n">
        <x:f>'Ставки'!$AX$3</x:f>
      </x:c>
      <x:c r="AY3" s="102" t="n">
        <x:f>'Ставки'!$AY$3</x:f>
      </x:c>
      <x:c r="AZ3" s="102" t="n">
        <x:f>'Ставки'!$AZ$3</x:f>
      </x:c>
      <x:c r="BA3" s="102" t="n">
        <x:f>'Ставки'!$BA$3</x:f>
      </x:c>
      <x:c r="BB3" s="102" t="n">
        <x:f>'Ставки'!$BB$3</x:f>
      </x:c>
      <x:c r="BC3" s="102" t="n">
        <x:f>'Ставки'!$BC$3</x:f>
      </x:c>
      <x:c r="BD3" s="102" t="n">
        <x:f>'Ставки'!$BD$3</x:f>
      </x:c>
      <x:c r="BE3" s="102" t="n">
        <x:f>'Ставки'!$BE$3</x:f>
      </x:c>
      <x:c r="BF3" s="102" t="n">
        <x:f>'Ставки'!$BF$3</x:f>
      </x:c>
      <x:c r="BG3" s="102" t="n">
        <x:f>'Ставки'!$BG$3</x:f>
      </x:c>
      <x:c r="BH3" s="102" t="n">
        <x:f>'Ставки'!$BH$3</x:f>
      </x:c>
      <x:c r="BI3" s="102" t="n">
        <x:f>'Ставки'!$BI$3</x:f>
      </x:c>
      <x:c r="BJ3" s="102" t="n">
        <x:f>'Ставки'!$BJ$3</x:f>
      </x:c>
      <x:c r="BK3" s="102" t="n">
        <x:f>'Ставки'!$BK$3</x:f>
      </x:c>
      <x:c r="BL3" s="102" t="n">
        <x:f>'Ставки'!$BL$3</x:f>
      </x:c>
      <x:c r="BM3" s="102" t="n">
        <x:f>'Ставки'!$BM$3</x:f>
      </x:c>
      <x:c r="BN3" s="102" t="n">
        <x:f>'Ставки'!$BN$3</x:f>
      </x:c>
      <x:c r="BO3" s="102" t="n">
        <x:f>'Ставки'!$BO$3</x:f>
      </x:c>
      <x:c r="BP3" s="102" t="n">
        <x:f>'Ставки'!$BP$3</x:f>
      </x:c>
      <x:c r="BQ3" s="102" t="n">
        <x:f>'Ставки'!$BQ$3</x:f>
      </x:c>
      <x:c r="BR3" s="102" t="n">
        <x:f>'Ставки'!$BR$3</x:f>
      </x:c>
      <x:c r="BS3" s="102" t="n">
        <x:f>'Ставки'!$BS$3</x:f>
      </x:c>
      <x:c r="BT3" s="102" t="n">
        <x:f>'Ставки'!$BT$3</x:f>
      </x:c>
      <x:c r="BU3" s="102" t="n">
        <x:f>'Ставки'!$BU$3</x:f>
      </x:c>
      <x:c r="BV3" s="102" t="n">
        <x:f>'Ставки'!$BV$3</x:f>
      </x:c>
      <x:c r="BW3" s="102" t="n">
        <x:f>'Ставки'!$BW$3</x:f>
      </x:c>
      <x:c r="BX3" s="102" t="n">
        <x:f>'Ставки'!$BX$3</x:f>
      </x:c>
      <x:c r="BY3" s="102" t="n">
        <x:f>'Ставки'!$BY$3</x:f>
      </x:c>
      <x:c r="BZ3" s="102" t="n">
        <x:f>'Ставки'!$BZ$3</x:f>
      </x:c>
      <x:c r="CA3" s="102" t="n">
        <x:f>'Ставки'!$CA$3</x:f>
      </x:c>
      <x:c r="CB3" s="102" t="n">
        <x:f>'Ставки'!$CB$3</x:f>
      </x:c>
      <x:c r="CC3" s="102" t="n">
        <x:f>'Ставки'!$CC$3</x:f>
      </x:c>
      <x:c r="CD3" s="102" t="n">
        <x:f>'Ставки'!$CD$3</x:f>
      </x:c>
      <x:c r="CE3" s="102" t="n">
        <x:f>'Ставки'!$CE$3</x:f>
      </x:c>
      <x:c r="CF3" s="102" t="n">
        <x:f>'Ставки'!$CF$3</x:f>
      </x:c>
      <x:c r="CG3" s="102" t="n">
        <x:f>'Ставки'!$CG$3</x:f>
      </x:c>
      <x:c r="CH3" s="102" t="n">
        <x:f>'Ставки'!$CH$3</x:f>
      </x:c>
      <x:c r="CI3" s="102" t="n">
        <x:f>'Ставки'!$CI$3</x:f>
      </x:c>
      <x:c r="CJ3" s="102" t="n">
        <x:f>'Ставки'!$CJ$3</x:f>
      </x:c>
      <x:c r="CK3" s="102" t="n">
        <x:f>'Ставки'!$CK$3</x:f>
      </x:c>
      <x:c r="CL3" s="102" t="n">
        <x:f>'Ставки'!$CL$3</x:f>
      </x:c>
      <x:c r="CM3" s="102" t="n">
        <x:f>'Ставки'!$CM$3</x:f>
      </x:c>
      <x:c r="CN3" s="102" t="n">
        <x:f>'Ставки'!$CN$3</x:f>
      </x:c>
      <x:c r="CO3" s="102" t="n">
        <x:f>'Ставки'!$CO$3</x:f>
      </x:c>
      <x:c r="CP3" s="102" t="n">
        <x:f>'Ставки'!$CP$3</x:f>
      </x:c>
      <x:c r="CQ3" s="102" t="n">
        <x:f>'Ставки'!$CQ$3</x:f>
      </x:c>
      <x:c r="CR3" s="102" t="n">
        <x:f>'Ставки'!$CR$3</x:f>
      </x:c>
      <x:c r="CS3" s="102" t="n">
        <x:f>'Ставки'!$CS$3</x:f>
      </x:c>
      <x:c r="CT3" s="102" t="n">
        <x:f>'Ставки'!$CT$3</x:f>
      </x:c>
      <x:c r="CU3" s="102" t="n">
        <x:f>'Ставки'!$CU$3</x:f>
      </x:c>
      <x:c r="CV3" s="102" t="n">
        <x:f>'Ставки'!$CV$3</x:f>
      </x:c>
      <x:c r="CW3" s="102" t="n">
        <x:f>'Ставки'!$CW$3</x:f>
      </x:c>
      <x:c r="CX3" s="102" t="n">
        <x:f>'Ставки'!$CX$3</x:f>
      </x:c>
      <x:c r="CY3" s="102" t="n">
        <x:f>'Ставки'!$CY$3</x:f>
      </x:c>
      <x:c r="CZ3" s="102" t="n">
        <x:f>'Ставки'!$CZ$3</x:f>
      </x:c>
      <x:c r="DA3" s="102" t="n">
        <x:f>'Ставки'!$DA$3</x:f>
      </x:c>
      <x:c r="DB3" s="102" t="n">
        <x:f>'Ставки'!$DB$3</x:f>
      </x:c>
      <x:c r="DC3" s="102" t="n">
        <x:f>'Ставки'!$DC$3</x:f>
      </x:c>
      <x:c r="DD3" s="102" t="n">
        <x:f>'Ставки'!$DD$3</x:f>
      </x:c>
      <x:c r="DE3" s="102" t="n">
        <x:f>'Ставки'!$DE$3</x:f>
      </x:c>
      <x:c r="DF3" s="102" t="n">
        <x:f>'Ставки'!$DF$3</x:f>
      </x:c>
      <x:c r="DG3" s="102" t="n">
        <x:f>'Ставки'!$DG$3</x:f>
      </x:c>
      <x:c r="DH3" s="102" t="n">
        <x:f>'Ставки'!$DH$3</x:f>
      </x:c>
      <x:c r="DI3" s="102" t="n">
        <x:f>'Ставки'!$DI$3</x:f>
      </x:c>
      <x:c r="DJ3" s="102" t="n">
        <x:f>'Ставки'!$DJ$3</x:f>
      </x:c>
      <x:c r="DK3" s="102" t="n">
        <x:f>'Ставки'!$DK$3</x:f>
      </x:c>
      <x:c r="DL3" s="102" t="n">
        <x:f>'Ставки'!$DL$3</x:f>
      </x:c>
      <x:c r="DM3" s="102" t="n">
        <x:f>'Ставки'!$DM$3</x:f>
      </x:c>
      <x:c r="DN3" s="102" t="n">
        <x:f>'Ставки'!$DN$3</x:f>
      </x:c>
      <x:c r="DO3" s="102" t="n">
        <x:f>'Ставки'!$DO$3</x:f>
      </x:c>
      <x:c r="DP3" s="102" t="n">
        <x:f>'Ставки'!$DP$3</x:f>
      </x:c>
      <x:c r="DQ3" s="102" t="n">
        <x:f>'Ставки'!$DQ$3</x:f>
      </x:c>
      <x:c r="DR3" s="102" t="n">
        <x:f>'Ставки'!$DR$3</x:f>
      </x:c>
      <x:c r="DS3" s="102" t="n">
        <x:f>'Ставки'!$DS$3</x:f>
      </x:c>
      <x:c r="DT3" s="102" t="n">
        <x:f>'Ставки'!$DT$3</x:f>
      </x:c>
      <x:c r="DU3" s="102" t="n">
        <x:f>'Ставки'!$DU$3</x:f>
      </x:c>
      <x:c r="DV3" s="102" t="n">
        <x:f>'Ставки'!$DV$3</x:f>
      </x:c>
      <x:c r="DW3" s="102" t="n">
        <x:f>'Ставки'!$DW$3</x:f>
      </x:c>
      <x:c r="DX3" s="102" t="n">
        <x:f>'Ставки'!$DX$3</x:f>
      </x:c>
      <x:c r="DY3" s="102" t="n">
        <x:f>'Ставки'!$DY$3</x:f>
      </x:c>
      <x:c r="DZ3" s="102" t="n">
        <x:f>'Ставки'!$DZ$3</x:f>
      </x:c>
      <x:c r="EA3" s="102" t="n">
        <x:f>'Ставки'!$EA$3</x:f>
      </x:c>
      <x:c r="EB3" s="102" t="n">
        <x:f>'Ставки'!$EB$3</x:f>
      </x:c>
      <x:c r="EC3" s="102" t="n">
        <x:f>'Ставки'!$EC$3</x:f>
      </x:c>
      <x:c r="ED3" s="102" t="n">
        <x:f>'Ставки'!$ED$3</x:f>
      </x:c>
      <x:c r="EE3" s="102" t="n">
        <x:f>'Ставки'!$EE$3</x:f>
      </x:c>
      <x:c r="EF3" s="102" t="n">
        <x:f>'Ставки'!$EF$3</x:f>
      </x:c>
      <x:c r="EG3" s="102" t="n">
        <x:f>'Ставки'!$EG$3</x:f>
      </x:c>
      <x:c r="EH3" s="102" t="n">
        <x:f>'Ставки'!$EH$3</x:f>
      </x:c>
      <x:c r="EI3" s="102" t="n">
        <x:f>'Ставки'!$EI$3</x:f>
      </x:c>
      <x:c r="EJ3" s="102" t="n">
        <x:f>'Ставки'!$EJ$3</x:f>
      </x:c>
      <x:c r="EK3" s="102" t="n">
        <x:f>'Ставки'!$EK$3</x:f>
      </x:c>
      <x:c r="EL3" s="102" t="n">
        <x:f>'Ставки'!$EL$3</x:f>
      </x:c>
      <x:c r="EM3" s="102" t="n">
        <x:f>'Ставки'!$EM$3</x:f>
      </x:c>
      <x:c r="EN3" s="102" t="n">
        <x:f>'Ставки'!$EN$3</x:f>
      </x:c>
      <x:c r="EO3" s="102" t="n">
        <x:f>'Ставки'!$EO$3</x:f>
      </x:c>
      <x:c r="EP3" s="102" t="n">
        <x:f>'Ставки'!$EP$3</x:f>
      </x:c>
      <x:c r="EQ3" s="102" t="n">
        <x:f>'Ставки'!$EQ$3</x:f>
      </x:c>
      <x:c r="ER3" s="102" t="n">
        <x:f>'Ставки'!$ER$3</x:f>
      </x:c>
      <x:c r="ES3" s="102" t="n">
        <x:f>'Ставки'!$ES$3</x:f>
      </x:c>
      <x:c r="ET3" s="102" t="n">
        <x:f>'Ставки'!$ET$3</x:f>
      </x:c>
      <x:c r="EU3" s="102" t="n">
        <x:f>'Ставки'!$EU$3</x:f>
      </x:c>
      <x:c r="EV3" s="102" t="n">
        <x:f>'Ставки'!$EV$3</x:f>
      </x:c>
      <x:c r="EW3" s="102" t="n">
        <x:f>'Ставки'!$EW$3</x:f>
      </x:c>
      <x:c r="EX3" s="102" t="n">
        <x:f>'Ставки'!$EX$3</x:f>
      </x:c>
      <x:c r="EY3" s="102" t="n">
        <x:f>'Ставки'!$EY$3</x:f>
      </x:c>
      <x:c r="EZ3" s="102" t="n">
        <x:f>'Ставки'!$EZ$3</x:f>
      </x:c>
      <x:c r="FA3" s="102" t="n">
        <x:f>'Ставки'!$FA$3</x:f>
      </x:c>
      <x:c r="FB3" s="102" t="n">
        <x:f>'Ставки'!$FB$3</x:f>
      </x:c>
      <x:c r="FC3" s="102" t="n">
        <x:f>'Ставки'!$FC$3</x:f>
      </x:c>
      <x:c r="FD3" s="102" t="n">
        <x:f>'Ставки'!$FD$3</x:f>
      </x:c>
      <x:c r="FE3" s="102" t="n">
        <x:f>'Ставки'!$FE$3</x:f>
      </x:c>
      <x:c r="FF3" s="102" t="n">
        <x:f>'Ставки'!$FF$3</x:f>
      </x:c>
      <x:c r="FG3" s="102" t="n">
        <x:f>'Ставки'!$FG$3</x:f>
      </x:c>
      <x:c r="FH3" s="102" t="n">
        <x:f>'Ставки'!$FH$3</x:f>
      </x:c>
      <x:c r="FI3" s="102" t="n">
        <x:f>'Ставки'!$FI$3</x:f>
      </x:c>
      <x:c r="FJ3" s="102" t="n">
        <x:f>'Ставки'!$FJ$3</x:f>
      </x:c>
      <x:c r="FK3" s="102" t="n">
        <x:f>'Ставки'!$FK$3</x:f>
      </x:c>
      <x:c r="FL3" s="102" t="n">
        <x:f>'Ставки'!$FL$3</x:f>
      </x:c>
      <x:c r="FM3" s="102" t="n">
        <x:f>'Ставки'!$FM$3</x:f>
      </x:c>
      <x:c r="FN3" s="102" t="n">
        <x:f>'Ставки'!$FN$3</x:f>
      </x:c>
      <x:c r="FO3" s="102" t="n">
        <x:f>'Ставки'!$FO$3</x:f>
      </x:c>
      <x:c r="FP3" s="102" t="n">
        <x:f>'Ставки'!$FP$3</x:f>
      </x:c>
      <x:c r="FQ3" s="102" t="n">
        <x:f>'Ставки'!$FQ$3</x:f>
      </x:c>
      <x:c r="FR3" s="102" t="n">
        <x:f>'Ставки'!$FR$3</x:f>
      </x:c>
      <x:c r="FS3" s="102" t="n">
        <x:f>'Ставки'!$FS$3</x:f>
      </x:c>
      <x:c r="FT3" s="102" t="n">
        <x:f>'Ставки'!$FT$3</x:f>
      </x:c>
      <x:c r="FU3" s="102" t="n">
        <x:f>'Ставки'!$FU$3</x:f>
      </x:c>
      <x:c r="FV3" s="102" t="n">
        <x:f>'Ставки'!$FV$3</x:f>
      </x:c>
      <x:c r="FW3" s="102" t="n">
        <x:f>'Ставки'!$FW$3</x:f>
      </x:c>
      <x:c r="FX3" s="102" t="n">
        <x:f>'Ставки'!$FX$3</x:f>
      </x:c>
      <x:c r="FY3" s="102" t="n">
        <x:f>'Ставки'!$FY$3</x:f>
      </x:c>
      <x:c r="FZ3" s="102" t="n">
        <x:f>'Ставки'!$FZ$3</x:f>
      </x:c>
      <x:c r="GA3" s="102" t="n">
        <x:f>'Ставки'!$GA$3</x:f>
      </x:c>
    </x:row>
    <x:row r="4">
      <x:c r="A4" t="str">
        <x:v>Период</x:v>
      </x:c>
      <x:c r="B4"/>
      <x:c r="C4" t="str">
        <x:v>№</x:v>
      </x:c>
      <x:c r="D4" s="104" t="n">
        <x:f>1</x:f>
      </x:c>
      <x:c r="E4" s="104" t="n">
        <x:f>2</x:f>
      </x:c>
      <x:c r="F4" s="104" t="n">
        <x:f>3</x:f>
      </x:c>
      <x:c r="G4" s="104" t="n">
        <x:f>4</x:f>
      </x:c>
      <x:c r="H4" s="104" t="n">
        <x:f>5</x:f>
      </x:c>
      <x:c r="I4" s="104" t="n">
        <x:f>6</x:f>
      </x:c>
      <x:c r="J4" s="104" t="n">
        <x:f>7</x:f>
      </x:c>
      <x:c r="K4" s="104" t="n">
        <x:f>8</x:f>
      </x:c>
      <x:c r="L4" s="104" t="n">
        <x:f>9</x:f>
      </x:c>
      <x:c r="M4" s="104" t="n">
        <x:f>10</x:f>
      </x:c>
      <x:c r="N4" s="104" t="n">
        <x:f>11</x:f>
      </x:c>
      <x:c r="O4" s="104" t="n">
        <x:f>12</x:f>
      </x:c>
      <x:c r="P4" s="104" t="n">
        <x:f>13</x:f>
      </x:c>
      <x:c r="Q4" s="104" t="n">
        <x:f>14</x:f>
      </x:c>
      <x:c r="R4" s="104" t="n">
        <x:f>15</x:f>
      </x:c>
      <x:c r="S4" s="104" t="n">
        <x:f>16</x:f>
      </x:c>
      <x:c r="T4" s="104" t="n">
        <x:f>17</x:f>
      </x:c>
      <x:c r="U4" s="104" t="n">
        <x:f>18</x:f>
      </x:c>
      <x:c r="V4" s="104" t="n">
        <x:f>19</x:f>
      </x:c>
      <x:c r="W4" s="104" t="n">
        <x:f>20</x:f>
      </x:c>
      <x:c r="X4" s="104" t="n">
        <x:f>21</x:f>
      </x:c>
      <x:c r="Y4" s="104" t="n">
        <x:f>22</x:f>
      </x:c>
      <x:c r="Z4" s="104" t="n">
        <x:f>23</x:f>
      </x:c>
      <x:c r="AA4" s="104" t="n">
        <x:f>24</x:f>
      </x:c>
      <x:c r="AB4" s="104" t="n">
        <x:f>25</x:f>
      </x:c>
      <x:c r="AC4" s="104" t="n">
        <x:f>26</x:f>
      </x:c>
      <x:c r="AD4" s="104" t="n">
        <x:f>27</x:f>
      </x:c>
      <x:c r="AE4" s="104" t="n">
        <x:f>28</x:f>
      </x:c>
      <x:c r="AF4" s="104" t="n">
        <x:f>29</x:f>
      </x:c>
      <x:c r="AG4" s="104" t="n">
        <x:f>30</x:f>
      </x:c>
      <x:c r="AH4" s="104" t="n">
        <x:f>31</x:f>
      </x:c>
      <x:c r="AI4" s="104" t="n">
        <x:f>32</x:f>
      </x:c>
      <x:c r="AJ4" s="104" t="n">
        <x:f>33</x:f>
      </x:c>
      <x:c r="AK4" s="104" t="n">
        <x:f>34</x:f>
      </x:c>
      <x:c r="AL4" s="104" t="n">
        <x:f>35</x:f>
      </x:c>
      <x:c r="AM4" s="104" t="n">
        <x:f>36</x:f>
      </x:c>
      <x:c r="AN4" s="104" t="n">
        <x:f>37</x:f>
      </x:c>
      <x:c r="AO4" s="104" t="n">
        <x:f>38</x:f>
      </x:c>
      <x:c r="AP4" s="104" t="n">
        <x:f>39</x:f>
      </x:c>
      <x:c r="AQ4" s="104" t="n">
        <x:f>40</x:f>
      </x:c>
      <x:c r="AR4" s="104" t="n">
        <x:f>41</x:f>
      </x:c>
      <x:c r="AS4" s="104" t="n">
        <x:f>42</x:f>
      </x:c>
      <x:c r="AT4" s="104" t="n">
        <x:f>43</x:f>
      </x:c>
      <x:c r="AU4" s="104" t="n">
        <x:f>44</x:f>
      </x:c>
      <x:c r="AV4" s="104" t="n">
        <x:f>45</x:f>
      </x:c>
      <x:c r="AW4" s="104" t="n">
        <x:f>46</x:f>
      </x:c>
      <x:c r="AX4" s="104" t="n">
        <x:f>47</x:f>
      </x:c>
      <x:c r="AY4" s="104" t="n">
        <x:f>48</x:f>
      </x:c>
      <x:c r="AZ4" s="104" t="n">
        <x:f>49</x:f>
      </x:c>
      <x:c r="BA4" s="104" t="n">
        <x:f>50</x:f>
      </x:c>
      <x:c r="BB4" s="104" t="n">
        <x:f>51</x:f>
      </x:c>
      <x:c r="BC4" s="104" t="n">
        <x:f>52</x:f>
      </x:c>
      <x:c r="BD4" s="104" t="n">
        <x:f>53</x:f>
      </x:c>
      <x:c r="BE4" s="104" t="n">
        <x:f>54</x:f>
      </x:c>
      <x:c r="BF4" s="104" t="n">
        <x:f>55</x:f>
      </x:c>
      <x:c r="BG4" s="104" t="n">
        <x:f>56</x:f>
      </x:c>
      <x:c r="BH4" s="104" t="n">
        <x:f>57</x:f>
      </x:c>
      <x:c r="BI4" s="104" t="n">
        <x:f>58</x:f>
      </x:c>
      <x:c r="BJ4" s="104" t="n">
        <x:f>59</x:f>
      </x:c>
      <x:c r="BK4" s="104" t="n">
        <x:f>60</x:f>
      </x:c>
      <x:c r="BL4" s="104" t="n">
        <x:f>61</x:f>
      </x:c>
      <x:c r="BM4" s="104" t="n">
        <x:f>62</x:f>
      </x:c>
      <x:c r="BN4" s="104" t="n">
        <x:f>63</x:f>
      </x:c>
      <x:c r="BO4" s="104" t="n">
        <x:f>64</x:f>
      </x:c>
      <x:c r="BP4" s="104" t="n">
        <x:f>65</x:f>
      </x:c>
      <x:c r="BQ4" s="104" t="n">
        <x:f>66</x:f>
      </x:c>
      <x:c r="BR4" s="104" t="n">
        <x:f>67</x:f>
      </x:c>
      <x:c r="BS4" s="104" t="n">
        <x:f>68</x:f>
      </x:c>
      <x:c r="BT4" s="104" t="n">
        <x:f>69</x:f>
      </x:c>
      <x:c r="BU4" s="104" t="n">
        <x:f>70</x:f>
      </x:c>
      <x:c r="BV4" s="104" t="n">
        <x:f>71</x:f>
      </x:c>
      <x:c r="BW4" s="104" t="n">
        <x:f>72</x:f>
      </x:c>
      <x:c r="BX4" s="104" t="n">
        <x:f>73</x:f>
      </x:c>
      <x:c r="BY4" s="104" t="n">
        <x:f>74</x:f>
      </x:c>
      <x:c r="BZ4" s="104" t="n">
        <x:f>75</x:f>
      </x:c>
      <x:c r="CA4" s="104" t="n">
        <x:f>76</x:f>
      </x:c>
      <x:c r="CB4" s="104" t="n">
        <x:f>77</x:f>
      </x:c>
      <x:c r="CC4" s="104" t="n">
        <x:f>78</x:f>
      </x:c>
      <x:c r="CD4" s="104" t="n">
        <x:f>79</x:f>
      </x:c>
      <x:c r="CE4" s="104" t="n">
        <x:f>80</x:f>
      </x:c>
      <x:c r="CF4" s="104" t="n">
        <x:f>81</x:f>
      </x:c>
      <x:c r="CG4" s="104" t="n">
        <x:f>82</x:f>
      </x:c>
      <x:c r="CH4" s="104" t="n">
        <x:f>83</x:f>
      </x:c>
      <x:c r="CI4" s="104" t="n">
        <x:f>84</x:f>
      </x:c>
      <x:c r="CJ4" s="104" t="n">
        <x:f>85</x:f>
      </x:c>
      <x:c r="CK4" s="104" t="n">
        <x:f>86</x:f>
      </x:c>
      <x:c r="CL4" s="104" t="n">
        <x:f>87</x:f>
      </x:c>
      <x:c r="CM4" s="104" t="n">
        <x:f>88</x:f>
      </x:c>
      <x:c r="CN4" s="104" t="n">
        <x:f>89</x:f>
      </x:c>
      <x:c r="CO4" s="104" t="n">
        <x:f>90</x:f>
      </x:c>
      <x:c r="CP4" s="104" t="n">
        <x:f>91</x:f>
      </x:c>
      <x:c r="CQ4" s="104" t="n">
        <x:f>92</x:f>
      </x:c>
      <x:c r="CR4" s="104" t="n">
        <x:f>93</x:f>
      </x:c>
      <x:c r="CS4" s="104" t="n">
        <x:f>94</x:f>
      </x:c>
      <x:c r="CT4" s="104" t="n">
        <x:f>95</x:f>
      </x:c>
      <x:c r="CU4" s="104" t="n">
        <x:f>96</x:f>
      </x:c>
      <x:c r="CV4" s="104" t="n">
        <x:f>97</x:f>
      </x:c>
      <x:c r="CW4" s="104" t="n">
        <x:f>98</x:f>
      </x:c>
      <x:c r="CX4" s="104" t="n">
        <x:f>99</x:f>
      </x:c>
      <x:c r="CY4" s="104" t="n">
        <x:f>100</x:f>
      </x:c>
      <x:c r="CZ4" s="104" t="n">
        <x:f>101</x:f>
      </x:c>
      <x:c r="DA4" s="104" t="n">
        <x:f>102</x:f>
      </x:c>
      <x:c r="DB4" s="104" t="n">
        <x:f>103</x:f>
      </x:c>
      <x:c r="DC4" s="104" t="n">
        <x:f>104</x:f>
      </x:c>
      <x:c r="DD4" s="104" t="n">
        <x:f>105</x:f>
      </x:c>
      <x:c r="DE4" s="104" t="n">
        <x:f>106</x:f>
      </x:c>
      <x:c r="DF4" s="104" t="n">
        <x:f>107</x:f>
      </x:c>
      <x:c r="DG4" s="104" t="n">
        <x:f>108</x:f>
      </x:c>
      <x:c r="DH4" s="104" t="n">
        <x:f>109</x:f>
      </x:c>
      <x:c r="DI4" s="104" t="n">
        <x:f>110</x:f>
      </x:c>
      <x:c r="DJ4" s="104" t="n">
        <x:f>111</x:f>
      </x:c>
      <x:c r="DK4" s="104" t="n">
        <x:f>112</x:f>
      </x:c>
      <x:c r="DL4" s="104" t="n">
        <x:f>113</x:f>
      </x:c>
      <x:c r="DM4" s="104" t="n">
        <x:f>114</x:f>
      </x:c>
      <x:c r="DN4" s="104" t="n">
        <x:f>115</x:f>
      </x:c>
      <x:c r="DO4" s="104" t="n">
        <x:f>116</x:f>
      </x:c>
      <x:c r="DP4" s="104" t="n">
        <x:f>117</x:f>
      </x:c>
      <x:c r="DQ4" s="104" t="n">
        <x:f>118</x:f>
      </x:c>
      <x:c r="DR4" s="104" t="n">
        <x:f>119</x:f>
      </x:c>
      <x:c r="DS4" s="104" t="n">
        <x:f>120</x:f>
      </x:c>
      <x:c r="DT4" s="104" t="n">
        <x:f>121</x:f>
      </x:c>
      <x:c r="DU4" s="104" t="n">
        <x:f>122</x:f>
      </x:c>
      <x:c r="DV4" s="104" t="n">
        <x:f>123</x:f>
      </x:c>
      <x:c r="DW4" s="104" t="n">
        <x:f>124</x:f>
      </x:c>
      <x:c r="DX4" s="104" t="n">
        <x:f>125</x:f>
      </x:c>
      <x:c r="DY4" s="104" t="n">
        <x:f>126</x:f>
      </x:c>
      <x:c r="DZ4" s="104" t="n">
        <x:f>127</x:f>
      </x:c>
      <x:c r="EA4" s="104" t="n">
        <x:f>128</x:f>
      </x:c>
      <x:c r="EB4" s="104" t="n">
        <x:f>129</x:f>
      </x:c>
      <x:c r="EC4" s="104" t="n">
        <x:f>130</x:f>
      </x:c>
      <x:c r="ED4" s="104" t="n">
        <x:f>131</x:f>
      </x:c>
      <x:c r="EE4" s="104" t="n">
        <x:f>132</x:f>
      </x:c>
      <x:c r="EF4" s="104" t="n">
        <x:f>133</x:f>
      </x:c>
      <x:c r="EG4" s="104" t="n">
        <x:f>134</x:f>
      </x:c>
      <x:c r="EH4" s="104" t="n">
        <x:f>135</x:f>
      </x:c>
      <x:c r="EI4" s="104" t="n">
        <x:f>136</x:f>
      </x:c>
      <x:c r="EJ4" s="104" t="n">
        <x:f>137</x:f>
      </x:c>
      <x:c r="EK4" s="104" t="n">
        <x:f>138</x:f>
      </x:c>
      <x:c r="EL4" s="104" t="n">
        <x:f>139</x:f>
      </x:c>
      <x:c r="EM4" s="104" t="n">
        <x:f>140</x:f>
      </x:c>
      <x:c r="EN4" s="104" t="n">
        <x:f>141</x:f>
      </x:c>
      <x:c r="EO4" s="104" t="n">
        <x:f>142</x:f>
      </x:c>
      <x:c r="EP4" s="104" t="n">
        <x:f>143</x:f>
      </x:c>
      <x:c r="EQ4" s="104" t="n">
        <x:f>144</x:f>
      </x:c>
      <x:c r="ER4" s="104" t="n">
        <x:f>145</x:f>
      </x:c>
      <x:c r="ES4" s="104" t="n">
        <x:f>146</x:f>
      </x:c>
      <x:c r="ET4" s="104" t="n">
        <x:f>147</x:f>
      </x:c>
      <x:c r="EU4" s="104" t="n">
        <x:f>148</x:f>
      </x:c>
      <x:c r="EV4" s="104" t="n">
        <x:f>149</x:f>
      </x:c>
      <x:c r="EW4" s="104" t="n">
        <x:f>150</x:f>
      </x:c>
      <x:c r="EX4" s="104" t="n">
        <x:f>151</x:f>
      </x:c>
      <x:c r="EY4" s="104" t="n">
        <x:f>152</x:f>
      </x:c>
      <x:c r="EZ4" s="104" t="n">
        <x:f>153</x:f>
      </x:c>
      <x:c r="FA4" s="104" t="n">
        <x:f>154</x:f>
      </x:c>
      <x:c r="FB4" s="104" t="n">
        <x:f>155</x:f>
      </x:c>
      <x:c r="FC4" s="104" t="n">
        <x:f>156</x:f>
      </x:c>
      <x:c r="FD4" s="104" t="n">
        <x:f>157</x:f>
      </x:c>
      <x:c r="FE4" s="104" t="n">
        <x:f>158</x:f>
      </x:c>
      <x:c r="FF4" s="104" t="n">
        <x:f>159</x:f>
      </x:c>
      <x:c r="FG4" s="104" t="n">
        <x:f>160</x:f>
      </x:c>
      <x:c r="FH4" s="104" t="n">
        <x:f>161</x:f>
      </x:c>
      <x:c r="FI4" s="104" t="n">
        <x:f>162</x:f>
      </x:c>
      <x:c r="FJ4" s="104" t="n">
        <x:f>163</x:f>
      </x:c>
      <x:c r="FK4" s="104" t="n">
        <x:f>164</x:f>
      </x:c>
      <x:c r="FL4" s="104" t="n">
        <x:f>165</x:f>
      </x:c>
      <x:c r="FM4" s="104" t="n">
        <x:f>166</x:f>
      </x:c>
      <x:c r="FN4" s="104" t="n">
        <x:f>167</x:f>
      </x:c>
      <x:c r="FO4" s="104" t="n">
        <x:f>168</x:f>
      </x:c>
      <x:c r="FP4" s="104" t="n">
        <x:f>169</x:f>
      </x:c>
      <x:c r="FQ4" s="104" t="n">
        <x:f>170</x:f>
      </x:c>
      <x:c r="FR4" s="104" t="n">
        <x:f>171</x:f>
      </x:c>
      <x:c r="FS4" s="104" t="n">
        <x:f>172</x:f>
      </x:c>
      <x:c r="FT4" s="104" t="n">
        <x:f>173</x:f>
      </x:c>
      <x:c r="FU4" s="104" t="n">
        <x:f>174</x:f>
      </x:c>
      <x:c r="FV4" s="104" t="n">
        <x:f>175</x:f>
      </x:c>
      <x:c r="FW4" s="104" t="n">
        <x:f>176</x:f>
      </x:c>
      <x:c r="FX4" s="104" t="n">
        <x:f>177</x:f>
      </x:c>
      <x:c r="FY4" s="104" t="n">
        <x:f>178</x:f>
      </x:c>
      <x:c r="FZ4" s="104" t="n">
        <x:f>179</x:f>
      </x:c>
      <x:c r="GA4" s="104" t="n">
        <x:f>180</x:f>
      </x:c>
    </x:row>
    <x:row r="6" ht="21" customHeight="1">
      <x:c r="A6" s="52" t="str">
        <x:v>ОЧЕРЕДЬ 1</x:v>
      </x:c>
      <x:c r="B6" s="53" t="str">
        <x:v>ОЧЕРЕДЬ 1</x:v>
      </x:c>
      <x:c r="C6" s="53" t="str">
        <x:v>ОЧЕРЕДЬ 1</x:v>
      </x:c>
      <x:c r="D6" s="53" t="str">
        <x:v>ОЧЕРЕДЬ 1</x:v>
      </x:c>
      <x:c r="E6" s="53" t="str">
        <x:v>ОЧЕРЕДЬ 1</x:v>
      </x:c>
      <x:c r="F6" s="53" t="str">
        <x:v>ОЧЕРЕДЬ 1</x:v>
      </x:c>
      <x:c r="G6" s="53" t="str">
        <x:v>ОЧЕРЕДЬ 1</x:v>
      </x:c>
      <x:c r="H6" s="53" t="str">
        <x:v>ОЧЕРЕДЬ 1</x:v>
      </x:c>
      <x:c r="I6" s="53" t="str">
        <x:v>ОЧЕРЕДЬ 1</x:v>
      </x:c>
      <x:c r="J6" s="53" t="str">
        <x:v>ОЧЕРЕДЬ 1</x:v>
      </x:c>
      <x:c r="K6" s="53" t="str">
        <x:v>ОЧЕРЕДЬ 1</x:v>
      </x:c>
      <x:c r="L6" s="53" t="str">
        <x:v>ОЧЕРЕДЬ 1</x:v>
      </x:c>
      <x:c r="M6" s="53" t="str">
        <x:v>ОЧЕРЕДЬ 1</x:v>
      </x:c>
      <x:c r="N6" s="53" t="str">
        <x:v>ОЧЕРЕДЬ 1</x:v>
      </x:c>
      <x:c r="O6" s="53" t="str">
        <x:v>ОЧЕРЕДЬ 1</x:v>
      </x:c>
      <x:c r="P6" s="53" t="str">
        <x:v>ОЧЕРЕДЬ 1</x:v>
      </x:c>
      <x:c r="Q6" s="53" t="str">
        <x:v>ОЧЕРЕДЬ 1</x:v>
      </x:c>
      <x:c r="R6" s="53" t="str">
        <x:v>ОЧЕРЕДЬ 1</x:v>
      </x:c>
      <x:c r="S6" s="53" t="str">
        <x:v>ОЧЕРЕДЬ 1</x:v>
      </x:c>
      <x:c r="T6" s="53" t="str">
        <x:v>ОЧЕРЕДЬ 1</x:v>
      </x:c>
      <x:c r="U6" s="53" t="str">
        <x:v>ОЧЕРЕДЬ 1</x:v>
      </x:c>
      <x:c r="V6" s="53" t="str">
        <x:v>ОЧЕРЕДЬ 1</x:v>
      </x:c>
      <x:c r="W6" s="53" t="str">
        <x:v>ОЧЕРЕДЬ 1</x:v>
      </x:c>
      <x:c r="X6" s="53" t="str">
        <x:v>ОЧЕРЕДЬ 1</x:v>
      </x:c>
      <x:c r="Y6" s="53" t="str">
        <x:v>ОЧЕРЕДЬ 1</x:v>
      </x:c>
      <x:c r="Z6" s="53" t="str">
        <x:v>ОЧЕРЕДЬ 1</x:v>
      </x:c>
      <x:c r="AA6" s="53" t="str">
        <x:v>ОЧЕРЕДЬ 1</x:v>
      </x:c>
      <x:c r="AB6" s="53" t="str">
        <x:v>ОЧЕРЕДЬ 1</x:v>
      </x:c>
      <x:c r="AC6" s="53" t="str">
        <x:v>ОЧЕРЕДЬ 1</x:v>
      </x:c>
      <x:c r="AD6" s="53" t="str">
        <x:v>ОЧЕРЕДЬ 1</x:v>
      </x:c>
      <x:c r="AE6" s="53" t="str">
        <x:v>ОЧЕРЕДЬ 1</x:v>
      </x:c>
      <x:c r="AF6" s="53" t="str">
        <x:v>ОЧЕРЕДЬ 1</x:v>
      </x:c>
      <x:c r="AG6" s="53" t="str">
        <x:v>ОЧЕРЕДЬ 1</x:v>
      </x:c>
      <x:c r="AH6" s="53" t="str">
        <x:v>ОЧЕРЕДЬ 1</x:v>
      </x:c>
      <x:c r="AI6" s="53" t="str">
        <x:v>ОЧЕРЕДЬ 1</x:v>
      </x:c>
      <x:c r="AJ6" s="53" t="str">
        <x:v>ОЧЕРЕДЬ 1</x:v>
      </x:c>
      <x:c r="AK6" s="53" t="str">
        <x:v>ОЧЕРЕДЬ 1</x:v>
      </x:c>
      <x:c r="AL6" s="53" t="str">
        <x:v>ОЧЕРЕДЬ 1</x:v>
      </x:c>
      <x:c r="AM6" s="53" t="str">
        <x:v>ОЧЕРЕДЬ 1</x:v>
      </x:c>
      <x:c r="AN6" s="53" t="str">
        <x:v>ОЧЕРЕДЬ 1</x:v>
      </x:c>
      <x:c r="AO6" s="53" t="str">
        <x:v>ОЧЕРЕДЬ 1</x:v>
      </x:c>
      <x:c r="AP6" s="53" t="str">
        <x:v>ОЧЕРЕДЬ 1</x:v>
      </x:c>
      <x:c r="AQ6" s="53" t="str">
        <x:v>ОЧЕРЕДЬ 1</x:v>
      </x:c>
      <x:c r="AR6" s="53" t="str">
        <x:v>ОЧЕРЕДЬ 1</x:v>
      </x:c>
      <x:c r="AS6" s="53" t="str">
        <x:v>ОЧЕРЕДЬ 1</x:v>
      </x:c>
      <x:c r="AT6" s="53" t="str">
        <x:v>ОЧЕРЕДЬ 1</x:v>
      </x:c>
      <x:c r="AU6" s="53" t="str">
        <x:v>ОЧЕРЕДЬ 1</x:v>
      </x:c>
      <x:c r="AV6" s="53" t="str">
        <x:v>ОЧЕРЕДЬ 1</x:v>
      </x:c>
      <x:c r="AW6" s="53" t="str">
        <x:v>ОЧЕРЕДЬ 1</x:v>
      </x:c>
      <x:c r="AX6" s="53" t="str">
        <x:v>ОЧЕРЕДЬ 1</x:v>
      </x:c>
      <x:c r="AY6" s="53" t="str">
        <x:v>ОЧЕРЕДЬ 1</x:v>
      </x:c>
      <x:c r="AZ6" s="53" t="str">
        <x:v>ОЧЕРЕДЬ 1</x:v>
      </x:c>
      <x:c r="BA6" s="53" t="str">
        <x:v>ОЧЕРЕДЬ 1</x:v>
      </x:c>
      <x:c r="BB6" s="53" t="str">
        <x:v>ОЧЕРЕДЬ 1</x:v>
      </x:c>
      <x:c r="BC6" s="53" t="str">
        <x:v>ОЧЕРЕДЬ 1</x:v>
      </x:c>
      <x:c r="BD6" s="53" t="str">
        <x:v>ОЧЕРЕДЬ 1</x:v>
      </x:c>
      <x:c r="BE6" s="53" t="str">
        <x:v>ОЧЕРЕДЬ 1</x:v>
      </x:c>
      <x:c r="BF6" s="53" t="str">
        <x:v>ОЧЕРЕДЬ 1</x:v>
      </x:c>
      <x:c r="BG6" s="53" t="str">
        <x:v>ОЧЕРЕДЬ 1</x:v>
      </x:c>
      <x:c r="BH6" s="53" t="str">
        <x:v>ОЧЕРЕДЬ 1</x:v>
      </x:c>
      <x:c r="BI6" s="53" t="str">
        <x:v>ОЧЕРЕДЬ 1</x:v>
      </x:c>
      <x:c r="BJ6" s="53" t="str">
        <x:v>ОЧЕРЕДЬ 1</x:v>
      </x:c>
      <x:c r="BK6" s="53" t="str">
        <x:v>ОЧЕРЕДЬ 1</x:v>
      </x:c>
      <x:c r="BL6" s="53" t="str">
        <x:v>ОЧЕРЕДЬ 1</x:v>
      </x:c>
      <x:c r="BM6" s="53" t="str">
        <x:v>ОЧЕРЕДЬ 1</x:v>
      </x:c>
      <x:c r="BN6" s="53" t="str">
        <x:v>ОЧЕРЕДЬ 1</x:v>
      </x:c>
      <x:c r="BO6" s="53" t="str">
        <x:v>ОЧЕРЕДЬ 1</x:v>
      </x:c>
      <x:c r="BP6" s="53" t="str">
        <x:v>ОЧЕРЕДЬ 1</x:v>
      </x:c>
      <x:c r="BQ6" s="53" t="str">
        <x:v>ОЧЕРЕДЬ 1</x:v>
      </x:c>
      <x:c r="BR6" s="53" t="str">
        <x:v>ОЧЕРЕДЬ 1</x:v>
      </x:c>
      <x:c r="BS6" s="53" t="str">
        <x:v>ОЧЕРЕДЬ 1</x:v>
      </x:c>
      <x:c r="BT6" s="53" t="str">
        <x:v>ОЧЕРЕДЬ 1</x:v>
      </x:c>
      <x:c r="BU6" s="53" t="str">
        <x:v>ОЧЕРЕДЬ 1</x:v>
      </x:c>
      <x:c r="BV6" s="53" t="str">
        <x:v>ОЧЕРЕДЬ 1</x:v>
      </x:c>
      <x:c r="BW6" s="53" t="str">
        <x:v>ОЧЕРЕДЬ 1</x:v>
      </x:c>
      <x:c r="BX6" s="53" t="str">
        <x:v>ОЧЕРЕДЬ 1</x:v>
      </x:c>
      <x:c r="BY6" s="53" t="str">
        <x:v>ОЧЕРЕДЬ 1</x:v>
      </x:c>
      <x:c r="BZ6" s="53" t="str">
        <x:v>ОЧЕРЕДЬ 1</x:v>
      </x:c>
      <x:c r="CA6" s="53" t="str">
        <x:v>ОЧЕРЕДЬ 1</x:v>
      </x:c>
      <x:c r="CB6" s="53" t="str">
        <x:v>ОЧЕРЕДЬ 1</x:v>
      </x:c>
      <x:c r="CC6" s="53" t="str">
        <x:v>ОЧЕРЕДЬ 1</x:v>
      </x:c>
      <x:c r="CD6" s="53" t="str">
        <x:v>ОЧЕРЕДЬ 1</x:v>
      </x:c>
      <x:c r="CE6" s="53" t="str">
        <x:v>ОЧЕРЕДЬ 1</x:v>
      </x:c>
      <x:c r="CF6" s="53" t="str">
        <x:v>ОЧЕРЕДЬ 1</x:v>
      </x:c>
      <x:c r="CG6" s="53" t="str">
        <x:v>ОЧЕРЕДЬ 1</x:v>
      </x:c>
      <x:c r="CH6" s="53" t="str">
        <x:v>ОЧЕРЕДЬ 1</x:v>
      </x:c>
      <x:c r="CI6" s="53" t="str">
        <x:v>ОЧЕРЕДЬ 1</x:v>
      </x:c>
      <x:c r="CJ6" s="53" t="str">
        <x:v>ОЧЕРЕДЬ 1</x:v>
      </x:c>
      <x:c r="CK6" s="53" t="str">
        <x:v>ОЧЕРЕДЬ 1</x:v>
      </x:c>
      <x:c r="CL6" s="53" t="str">
        <x:v>ОЧЕРЕДЬ 1</x:v>
      </x:c>
      <x:c r="CM6" s="53" t="str">
        <x:v>ОЧЕРЕДЬ 1</x:v>
      </x:c>
      <x:c r="CN6" s="53" t="str">
        <x:v>ОЧЕРЕДЬ 1</x:v>
      </x:c>
      <x:c r="CO6" s="53" t="str">
        <x:v>ОЧЕРЕДЬ 1</x:v>
      </x:c>
      <x:c r="CP6" s="53" t="str">
        <x:v>ОЧЕРЕДЬ 1</x:v>
      </x:c>
      <x:c r="CQ6" s="53" t="str">
        <x:v>ОЧЕРЕДЬ 1</x:v>
      </x:c>
      <x:c r="CR6" s="53" t="str">
        <x:v>ОЧЕРЕДЬ 1</x:v>
      </x:c>
      <x:c r="CS6" s="53" t="str">
        <x:v>ОЧЕРЕДЬ 1</x:v>
      </x:c>
      <x:c r="CT6" s="53" t="str">
        <x:v>ОЧЕРЕДЬ 1</x:v>
      </x:c>
      <x:c r="CU6" s="53" t="str">
        <x:v>ОЧЕРЕДЬ 1</x:v>
      </x:c>
      <x:c r="CV6" s="53" t="str">
        <x:v>ОЧЕРЕДЬ 1</x:v>
      </x:c>
      <x:c r="CW6" s="53" t="str">
        <x:v>ОЧЕРЕДЬ 1</x:v>
      </x:c>
      <x:c r="CX6" s="53" t="str">
        <x:v>ОЧЕРЕДЬ 1</x:v>
      </x:c>
      <x:c r="CY6" s="53" t="str">
        <x:v>ОЧЕРЕДЬ 1</x:v>
      </x:c>
      <x:c r="CZ6" s="53" t="str">
        <x:v>ОЧЕРЕДЬ 1</x:v>
      </x:c>
      <x:c r="DA6" s="53" t="str">
        <x:v>ОЧЕРЕДЬ 1</x:v>
      </x:c>
      <x:c r="DB6" s="53" t="str">
        <x:v>ОЧЕРЕДЬ 1</x:v>
      </x:c>
      <x:c r="DC6" s="53" t="str">
        <x:v>ОЧЕРЕДЬ 1</x:v>
      </x:c>
      <x:c r="DD6" s="53" t="str">
        <x:v>ОЧЕРЕДЬ 1</x:v>
      </x:c>
      <x:c r="DE6" s="53" t="str">
        <x:v>ОЧЕРЕДЬ 1</x:v>
      </x:c>
      <x:c r="DF6" s="53" t="str">
        <x:v>ОЧЕРЕДЬ 1</x:v>
      </x:c>
      <x:c r="DG6" s="53" t="str">
        <x:v>ОЧЕРЕДЬ 1</x:v>
      </x:c>
      <x:c r="DH6" s="53" t="str">
        <x:v>ОЧЕРЕДЬ 1</x:v>
      </x:c>
      <x:c r="DI6" s="53" t="str">
        <x:v>ОЧЕРЕДЬ 1</x:v>
      </x:c>
      <x:c r="DJ6" s="53" t="str">
        <x:v>ОЧЕРЕДЬ 1</x:v>
      </x:c>
      <x:c r="DK6" s="53" t="str">
        <x:v>ОЧЕРЕДЬ 1</x:v>
      </x:c>
      <x:c r="DL6" s="53" t="str">
        <x:v>ОЧЕРЕДЬ 1</x:v>
      </x:c>
      <x:c r="DM6" s="53" t="str">
        <x:v>ОЧЕРЕДЬ 1</x:v>
      </x:c>
      <x:c r="DN6" s="53" t="str">
        <x:v>ОЧЕРЕДЬ 1</x:v>
      </x:c>
      <x:c r="DO6" s="53" t="str">
        <x:v>ОЧЕРЕДЬ 1</x:v>
      </x:c>
      <x:c r="DP6" s="53" t="str">
        <x:v>ОЧЕРЕДЬ 1</x:v>
      </x:c>
      <x:c r="DQ6" s="53" t="str">
        <x:v>ОЧЕРЕДЬ 1</x:v>
      </x:c>
      <x:c r="DR6" s="53" t="str">
        <x:v>ОЧЕРЕДЬ 1</x:v>
      </x:c>
      <x:c r="DS6" s="54" t="str">
        <x:v>ОЧЕРЕДЬ 1</x:v>
      </x:c>
      <x:c r="DT6" s="54" t="str"/>
      <x:c r="DU6" s="54" t="str"/>
      <x:c r="DV6" s="54" t="str"/>
      <x:c r="DW6" s="54" t="str"/>
      <x:c r="DX6" s="54" t="str"/>
      <x:c r="DY6" s="54" t="str"/>
      <x:c r="DZ6" s="54" t="str"/>
      <x:c r="EA6" s="54" t="str"/>
      <x:c r="EB6" s="54" t="str"/>
      <x:c r="EC6" s="54" t="str"/>
      <x:c r="ED6" s="54" t="str"/>
      <x:c r="EE6" s="54" t="str"/>
      <x:c r="EF6" s="54" t="str"/>
      <x:c r="EG6" s="54" t="str"/>
      <x:c r="EH6" s="54" t="str"/>
      <x:c r="EI6" s="54" t="str"/>
      <x:c r="EJ6" s="54" t="str"/>
      <x:c r="EK6" s="54" t="str"/>
      <x:c r="EL6" s="54" t="str"/>
      <x:c r="EM6" s="54" t="str"/>
      <x:c r="EN6" s="54" t="str"/>
      <x:c r="EO6" s="54" t="str"/>
      <x:c r="EP6" s="54" t="str"/>
      <x:c r="EQ6" s="54" t="str"/>
      <x:c r="ER6" s="54" t="str"/>
      <x:c r="ES6" s="54" t="str"/>
      <x:c r="ET6" s="54" t="str"/>
      <x:c r="EU6" s="54" t="str"/>
      <x:c r="EV6" s="54" t="str"/>
      <x:c r="EW6" s="54" t="str"/>
      <x:c r="EX6" s="54" t="str"/>
      <x:c r="EY6" s="54" t="str"/>
      <x:c r="EZ6" s="54" t="str"/>
      <x:c r="FA6" s="54" t="str"/>
      <x:c r="FB6" s="54" t="str"/>
      <x:c r="FC6" s="54" t="str"/>
      <x:c r="FD6" s="54" t="str"/>
      <x:c r="FE6" s="54" t="str"/>
      <x:c r="FF6" s="54" t="str"/>
      <x:c r="FG6" s="54" t="str"/>
      <x:c r="FH6" s="54" t="str"/>
      <x:c r="FI6" s="54" t="str"/>
      <x:c r="FJ6" s="54" t="str"/>
      <x:c r="FK6" s="54" t="str"/>
      <x:c r="FL6" s="54" t="str"/>
      <x:c r="FM6" s="54" t="str"/>
      <x:c r="FN6" s="54" t="str"/>
      <x:c r="FO6" s="54" t="str"/>
      <x:c r="FP6" s="54" t="str"/>
      <x:c r="FQ6" s="54" t="str"/>
      <x:c r="FR6" s="54" t="str"/>
      <x:c r="FS6" s="54" t="str"/>
      <x:c r="FT6" s="54" t="str"/>
      <x:c r="FU6" s="54" t="str"/>
      <x:c r="FV6" s="54" t="str"/>
      <x:c r="FW6" s="54" t="str"/>
      <x:c r="FX6" s="54" t="str"/>
      <x:c r="FY6" s="54" t="str"/>
      <x:c r="FZ6" s="54" t="str"/>
      <x:c r="GA6" s="54" t="str"/>
    </x:row>
    <x:row r="7">
      <x:c r="A7" t="str">
        <x:v>Дата возникновения обязательства</x:v>
      </x:c>
      <x:c r="B7" s="106" t="n">
        <x:f>EDATE('Вводные'!$D$88,'Вводные'!$E$88+'Вводные'!$H$9-'Вводные'!$B$76)</x:f>
      </x:c>
      <x:c r="C7" t="str">
        <x:v>дата</x:v>
      </x:c>
    </x:row>
    <x:row r="8">
      <x:c r="A8" t="str">
        <x:v>Дата открытия ПФ</x:v>
      </x:c>
      <x:c r="B8" s="106" t="n">
        <x:f>EDATE('Вводные'!$D$88,'Вводные'!$E$88+'Вводные'!$H$9)</x:f>
      </x:c>
      <x:c r="C8" t="str">
        <x:v>дата</x:v>
      </x:c>
    </x:row>
    <x:row r="9">
      <x:c r="A9" t="str">
        <x:v>Сумма обязательства после льготы</x:v>
      </x:c>
      <x:c r="B9" s="115" t="n">
        <x:f>IF(AND('Вводные'!$B$88="Да",'Вводные'!$B$74="Да"),MAX(0,'Вводные'!$B$16*'Вводные'!$Q$88-'Вводные'!$B$82*'Вводные'!$Q$88),0)</x:f>
      </x:c>
      <x:c r="C9" t="str">
        <x:v>млн ₽</x:v>
      </x:c>
    </x:row>
    <x:row r="10">
      <x:c r="A10" t="str">
        <x:v>Остаток на начало</x:v>
      </x:c>
      <x:c r="B10" s="107" t="n">
        <x:f>MAX(D10:GA10)</x:f>
      </x:c>
      <x:c r="C10" t="str">
        <x:v>млн ₽</x:v>
      </x:c>
      <x:c r="D10" s="117" t="n">
        <x:f>0</x:f>
      </x:c>
      <x:c r="E10" s="117" t="n">
        <x:f>D16</x:f>
      </x:c>
      <x:c r="F10" s="117" t="n">
        <x:f>E16</x:f>
      </x:c>
      <x:c r="G10" s="117" t="n">
        <x:f>F16</x:f>
      </x:c>
      <x:c r="H10" s="117" t="n">
        <x:f>G16</x:f>
      </x:c>
      <x:c r="I10" s="117" t="n">
        <x:f>H16</x:f>
      </x:c>
      <x:c r="J10" s="117" t="n">
        <x:f>I16</x:f>
      </x:c>
      <x:c r="K10" s="117" t="n">
        <x:f>J16</x:f>
      </x:c>
      <x:c r="L10" s="117" t="n">
        <x:f>K16</x:f>
      </x:c>
      <x:c r="M10" s="117" t="n">
        <x:f>L16</x:f>
      </x:c>
      <x:c r="N10" s="117" t="n">
        <x:f>M16</x:f>
      </x:c>
      <x:c r="O10" s="117" t="n">
        <x:f>N16</x:f>
      </x:c>
      <x:c r="P10" s="117" t="n">
        <x:f>O16</x:f>
      </x:c>
      <x:c r="Q10" s="117" t="n">
        <x:f>P16</x:f>
      </x:c>
      <x:c r="R10" s="117" t="n">
        <x:f>Q16</x:f>
      </x:c>
      <x:c r="S10" s="117" t="n">
        <x:f>R16</x:f>
      </x:c>
      <x:c r="T10" s="117" t="n">
        <x:f>S16</x:f>
      </x:c>
      <x:c r="U10" s="117" t="n">
        <x:f>T16</x:f>
      </x:c>
      <x:c r="V10" s="117" t="n">
        <x:f>U16</x:f>
      </x:c>
      <x:c r="W10" s="117" t="n">
        <x:f>V16</x:f>
      </x:c>
      <x:c r="X10" s="117" t="n">
        <x:f>W16</x:f>
      </x:c>
      <x:c r="Y10" s="117" t="n">
        <x:f>X16</x:f>
      </x:c>
      <x:c r="Z10" s="117" t="n">
        <x:f>Y16</x:f>
      </x:c>
      <x:c r="AA10" s="117" t="n">
        <x:f>Z16</x:f>
      </x:c>
      <x:c r="AB10" s="117" t="n">
        <x:f>AA16</x:f>
      </x:c>
      <x:c r="AC10" s="117" t="n">
        <x:f>AB16</x:f>
      </x:c>
      <x:c r="AD10" s="117" t="n">
        <x:f>AC16</x:f>
      </x:c>
      <x:c r="AE10" s="117" t="n">
        <x:f>AD16</x:f>
      </x:c>
      <x:c r="AF10" s="117" t="n">
        <x:f>AE16</x:f>
      </x:c>
      <x:c r="AG10" s="117" t="n">
        <x:f>AF16</x:f>
      </x:c>
      <x:c r="AH10" s="117" t="n">
        <x:f>AG16</x:f>
      </x:c>
      <x:c r="AI10" s="117" t="n">
        <x:f>AH16</x:f>
      </x:c>
      <x:c r="AJ10" s="117" t="n">
        <x:f>AI16</x:f>
      </x:c>
      <x:c r="AK10" s="117" t="n">
        <x:f>AJ16</x:f>
      </x:c>
      <x:c r="AL10" s="117" t="n">
        <x:f>AK16</x:f>
      </x:c>
      <x:c r="AM10" s="117" t="n">
        <x:f>AL16</x:f>
      </x:c>
      <x:c r="AN10" s="117" t="n">
        <x:f>AM16</x:f>
      </x:c>
      <x:c r="AO10" s="117" t="n">
        <x:f>AN16</x:f>
      </x:c>
      <x:c r="AP10" s="117" t="n">
        <x:f>AO16</x:f>
      </x:c>
      <x:c r="AQ10" s="117" t="n">
        <x:f>AP16</x:f>
      </x:c>
      <x:c r="AR10" s="117" t="n">
        <x:f>AQ16</x:f>
      </x:c>
      <x:c r="AS10" s="117" t="n">
        <x:f>AR16</x:f>
      </x:c>
      <x:c r="AT10" s="117" t="n">
        <x:f>AS16</x:f>
      </x:c>
      <x:c r="AU10" s="117" t="n">
        <x:f>AT16</x:f>
      </x:c>
      <x:c r="AV10" s="117" t="n">
        <x:f>AU16</x:f>
      </x:c>
      <x:c r="AW10" s="117" t="n">
        <x:f>AV16</x:f>
      </x:c>
      <x:c r="AX10" s="117" t="n">
        <x:f>AW16</x:f>
      </x:c>
      <x:c r="AY10" s="117" t="n">
        <x:f>AX16</x:f>
      </x:c>
      <x:c r="AZ10" s="117" t="n">
        <x:f>AY16</x:f>
      </x:c>
      <x:c r="BA10" s="117" t="n">
        <x:f>AZ16</x:f>
      </x:c>
      <x:c r="BB10" s="117" t="n">
        <x:f>BA16</x:f>
      </x:c>
      <x:c r="BC10" s="117" t="n">
        <x:f>BB16</x:f>
      </x:c>
      <x:c r="BD10" s="117" t="n">
        <x:f>BC16</x:f>
      </x:c>
      <x:c r="BE10" s="117" t="n">
        <x:f>BD16</x:f>
      </x:c>
      <x:c r="BF10" s="117" t="n">
        <x:f>BE16</x:f>
      </x:c>
      <x:c r="BG10" s="117" t="n">
        <x:f>BF16</x:f>
      </x:c>
      <x:c r="BH10" s="117" t="n">
        <x:f>BG16</x:f>
      </x:c>
      <x:c r="BI10" s="117" t="n">
        <x:f>BH16</x:f>
      </x:c>
      <x:c r="BJ10" s="117" t="n">
        <x:f>BI16</x:f>
      </x:c>
      <x:c r="BK10" s="117" t="n">
        <x:f>BJ16</x:f>
      </x:c>
      <x:c r="BL10" s="117" t="n">
        <x:f>BK16</x:f>
      </x:c>
      <x:c r="BM10" s="117" t="n">
        <x:f>BL16</x:f>
      </x:c>
      <x:c r="BN10" s="117" t="n">
        <x:f>BM16</x:f>
      </x:c>
      <x:c r="BO10" s="117" t="n">
        <x:f>BN16</x:f>
      </x:c>
      <x:c r="BP10" s="117" t="n">
        <x:f>BO16</x:f>
      </x:c>
      <x:c r="BQ10" s="117" t="n">
        <x:f>BP16</x:f>
      </x:c>
      <x:c r="BR10" s="117" t="n">
        <x:f>BQ16</x:f>
      </x:c>
      <x:c r="BS10" s="117" t="n">
        <x:f>BR16</x:f>
      </x:c>
      <x:c r="BT10" s="117" t="n">
        <x:f>BS16</x:f>
      </x:c>
      <x:c r="BU10" s="117" t="n">
        <x:f>BT16</x:f>
      </x:c>
      <x:c r="BV10" s="117" t="n">
        <x:f>BU16</x:f>
      </x:c>
      <x:c r="BW10" s="117" t="n">
        <x:f>BV16</x:f>
      </x:c>
      <x:c r="BX10" s="117" t="n">
        <x:f>BW16</x:f>
      </x:c>
      <x:c r="BY10" s="117" t="n">
        <x:f>BX16</x:f>
      </x:c>
      <x:c r="BZ10" s="117" t="n">
        <x:f>BY16</x:f>
      </x:c>
      <x:c r="CA10" s="117" t="n">
        <x:f>BZ16</x:f>
      </x:c>
      <x:c r="CB10" s="117" t="n">
        <x:f>CA16</x:f>
      </x:c>
      <x:c r="CC10" s="117" t="n">
        <x:f>CB16</x:f>
      </x:c>
      <x:c r="CD10" s="117" t="n">
        <x:f>CC16</x:f>
      </x:c>
      <x:c r="CE10" s="117" t="n">
        <x:f>CD16</x:f>
      </x:c>
      <x:c r="CF10" s="117" t="n">
        <x:f>CE16</x:f>
      </x:c>
      <x:c r="CG10" s="117" t="n">
        <x:f>CF16</x:f>
      </x:c>
      <x:c r="CH10" s="117" t="n">
        <x:f>CG16</x:f>
      </x:c>
      <x:c r="CI10" s="117" t="n">
        <x:f>CH16</x:f>
      </x:c>
      <x:c r="CJ10" s="117" t="n">
        <x:f>CI16</x:f>
      </x:c>
      <x:c r="CK10" s="117" t="n">
        <x:f>CJ16</x:f>
      </x:c>
      <x:c r="CL10" s="117" t="n">
        <x:f>CK16</x:f>
      </x:c>
      <x:c r="CM10" s="117" t="n">
        <x:f>CL16</x:f>
      </x:c>
      <x:c r="CN10" s="117" t="n">
        <x:f>CM16</x:f>
      </x:c>
      <x:c r="CO10" s="117" t="n">
        <x:f>CN16</x:f>
      </x:c>
      <x:c r="CP10" s="117" t="n">
        <x:f>CO16</x:f>
      </x:c>
      <x:c r="CQ10" s="117" t="n">
        <x:f>CP16</x:f>
      </x:c>
      <x:c r="CR10" s="117" t="n">
        <x:f>CQ16</x:f>
      </x:c>
      <x:c r="CS10" s="117" t="n">
        <x:f>CR16</x:f>
      </x:c>
      <x:c r="CT10" s="117" t="n">
        <x:f>CS16</x:f>
      </x:c>
      <x:c r="CU10" s="117" t="n">
        <x:f>CT16</x:f>
      </x:c>
      <x:c r="CV10" s="117" t="n">
        <x:f>CU16</x:f>
      </x:c>
      <x:c r="CW10" s="117" t="n">
        <x:f>CV16</x:f>
      </x:c>
      <x:c r="CX10" s="117" t="n">
        <x:f>CW16</x:f>
      </x:c>
      <x:c r="CY10" s="117" t="n">
        <x:f>CX16</x:f>
      </x:c>
      <x:c r="CZ10" s="117" t="n">
        <x:f>CY16</x:f>
      </x:c>
      <x:c r="DA10" s="117" t="n">
        <x:f>CZ16</x:f>
      </x:c>
      <x:c r="DB10" s="117" t="n">
        <x:f>DA16</x:f>
      </x:c>
      <x:c r="DC10" s="117" t="n">
        <x:f>DB16</x:f>
      </x:c>
      <x:c r="DD10" s="117" t="n">
        <x:f>DC16</x:f>
      </x:c>
      <x:c r="DE10" s="117" t="n">
        <x:f>DD16</x:f>
      </x:c>
      <x:c r="DF10" s="117" t="n">
        <x:f>DE16</x:f>
      </x:c>
      <x:c r="DG10" s="117" t="n">
        <x:f>DF16</x:f>
      </x:c>
      <x:c r="DH10" s="117" t="n">
        <x:f>DG16</x:f>
      </x:c>
      <x:c r="DI10" s="117" t="n">
        <x:f>DH16</x:f>
      </x:c>
      <x:c r="DJ10" s="117" t="n">
        <x:f>DI16</x:f>
      </x:c>
      <x:c r="DK10" s="117" t="n">
        <x:f>DJ16</x:f>
      </x:c>
      <x:c r="DL10" s="117" t="n">
        <x:f>DK16</x:f>
      </x:c>
      <x:c r="DM10" s="117" t="n">
        <x:f>DL16</x:f>
      </x:c>
      <x:c r="DN10" s="117" t="n">
        <x:f>DM16</x:f>
      </x:c>
      <x:c r="DO10" s="117" t="n">
        <x:f>DN16</x:f>
      </x:c>
      <x:c r="DP10" s="117" t="n">
        <x:f>DO16</x:f>
      </x:c>
      <x:c r="DQ10" s="117" t="n">
        <x:f>DP16</x:f>
      </x:c>
      <x:c r="DR10" s="117" t="n">
        <x:f>DQ16</x:f>
      </x:c>
      <x:c r="DS10" s="117" t="n">
        <x:f>DR16</x:f>
      </x:c>
      <x:c r="DT10" s="117" t="n">
        <x:f>DS16</x:f>
      </x:c>
      <x:c r="DU10" s="117" t="n">
        <x:f>DT16</x:f>
      </x:c>
      <x:c r="DV10" s="117" t="n">
        <x:f>DU16</x:f>
      </x:c>
      <x:c r="DW10" s="117" t="n">
        <x:f>DV16</x:f>
      </x:c>
      <x:c r="DX10" s="117" t="n">
        <x:f>DW16</x:f>
      </x:c>
      <x:c r="DY10" s="117" t="n">
        <x:f>DX16</x:f>
      </x:c>
      <x:c r="DZ10" s="117" t="n">
        <x:f>DY16</x:f>
      </x:c>
      <x:c r="EA10" s="117" t="n">
        <x:f>DZ16</x:f>
      </x:c>
      <x:c r="EB10" s="117" t="n">
        <x:f>EA16</x:f>
      </x:c>
      <x:c r="EC10" s="117" t="n">
        <x:f>EB16</x:f>
      </x:c>
      <x:c r="ED10" s="117" t="n">
        <x:f>EC16</x:f>
      </x:c>
      <x:c r="EE10" s="117" t="n">
        <x:f>ED16</x:f>
      </x:c>
      <x:c r="EF10" s="117" t="n">
        <x:f>EE16</x:f>
      </x:c>
      <x:c r="EG10" s="117" t="n">
        <x:f>EF16</x:f>
      </x:c>
      <x:c r="EH10" s="117" t="n">
        <x:f>EG16</x:f>
      </x:c>
      <x:c r="EI10" s="117" t="n">
        <x:f>EH16</x:f>
      </x:c>
      <x:c r="EJ10" s="117" t="n">
        <x:f>EI16</x:f>
      </x:c>
      <x:c r="EK10" s="117" t="n">
        <x:f>EJ16</x:f>
      </x:c>
      <x:c r="EL10" s="117" t="n">
        <x:f>EK16</x:f>
      </x:c>
      <x:c r="EM10" s="117" t="n">
        <x:f>EL16</x:f>
      </x:c>
      <x:c r="EN10" s="117" t="n">
        <x:f>EM16</x:f>
      </x:c>
      <x:c r="EO10" s="117" t="n">
        <x:f>EN16</x:f>
      </x:c>
      <x:c r="EP10" s="117" t="n">
        <x:f>EO16</x:f>
      </x:c>
      <x:c r="EQ10" s="117" t="n">
        <x:f>EP16</x:f>
      </x:c>
      <x:c r="ER10" s="117" t="n">
        <x:f>EQ16</x:f>
      </x:c>
      <x:c r="ES10" s="117" t="n">
        <x:f>ER16</x:f>
      </x:c>
      <x:c r="ET10" s="117" t="n">
        <x:f>ES16</x:f>
      </x:c>
      <x:c r="EU10" s="117" t="n">
        <x:f>ET16</x:f>
      </x:c>
      <x:c r="EV10" s="117" t="n">
        <x:f>EU16</x:f>
      </x:c>
      <x:c r="EW10" s="117" t="n">
        <x:f>EV16</x:f>
      </x:c>
      <x:c r="EX10" s="117" t="n">
        <x:f>EW16</x:f>
      </x:c>
      <x:c r="EY10" s="117" t="n">
        <x:f>EX16</x:f>
      </x:c>
      <x:c r="EZ10" s="117" t="n">
        <x:f>EY16</x:f>
      </x:c>
      <x:c r="FA10" s="117" t="n">
        <x:f>EZ16</x:f>
      </x:c>
      <x:c r="FB10" s="117" t="n">
        <x:f>FA16</x:f>
      </x:c>
      <x:c r="FC10" s="117" t="n">
        <x:f>FB16</x:f>
      </x:c>
      <x:c r="FD10" s="117" t="n">
        <x:f>FC16</x:f>
      </x:c>
      <x:c r="FE10" s="117" t="n">
        <x:f>FD16</x:f>
      </x:c>
      <x:c r="FF10" s="117" t="n">
        <x:f>FE16</x:f>
      </x:c>
      <x:c r="FG10" s="117" t="n">
        <x:f>FF16</x:f>
      </x:c>
      <x:c r="FH10" s="117" t="n">
        <x:f>FG16</x:f>
      </x:c>
      <x:c r="FI10" s="117" t="n">
        <x:f>FH16</x:f>
      </x:c>
      <x:c r="FJ10" s="117" t="n">
        <x:f>FI16</x:f>
      </x:c>
      <x:c r="FK10" s="117" t="n">
        <x:f>FJ16</x:f>
      </x:c>
      <x:c r="FL10" s="117" t="n">
        <x:f>FK16</x:f>
      </x:c>
      <x:c r="FM10" s="117" t="n">
        <x:f>FL16</x:f>
      </x:c>
      <x:c r="FN10" s="117" t="n">
        <x:f>FM16</x:f>
      </x:c>
      <x:c r="FO10" s="117" t="n">
        <x:f>FN16</x:f>
      </x:c>
      <x:c r="FP10" s="117" t="n">
        <x:f>FO16</x:f>
      </x:c>
      <x:c r="FQ10" s="117" t="n">
        <x:f>FP16</x:f>
      </x:c>
      <x:c r="FR10" s="117" t="n">
        <x:f>FQ16</x:f>
      </x:c>
      <x:c r="FS10" s="117" t="n">
        <x:f>FR16</x:f>
      </x:c>
      <x:c r="FT10" s="117" t="n">
        <x:f>FS16</x:f>
      </x:c>
      <x:c r="FU10" s="117" t="n">
        <x:f>FT16</x:f>
      </x:c>
      <x:c r="FV10" s="117" t="n">
        <x:f>FU16</x:f>
      </x:c>
      <x:c r="FW10" s="117" t="n">
        <x:f>FV16</x:f>
      </x:c>
      <x:c r="FX10" s="117" t="n">
        <x:f>FW16</x:f>
      </x:c>
      <x:c r="FY10" s="117" t="n">
        <x:f>FX16</x:f>
      </x:c>
      <x:c r="FZ10" s="117" t="n">
        <x:f>FY16</x:f>
      </x:c>
      <x:c r="GA10" s="117" t="n">
        <x:f>FZ16</x:f>
      </x:c>
    </x:row>
    <x:row r="11">
      <x:c r="A11" t="str">
        <x:v>Возникновение обязательства</x:v>
      </x:c>
      <x:c r="B11" s="107" t="n">
        <x:f>SUM(D11:GA11)</x:f>
      </x:c>
      <x:c r="C11" t="str">
        <x:v>млн ₽</x:v>
      </x:c>
      <x:c r="D11" s="117" t="n">
        <x:f>IF(AND(YEAR(D$3)=YEAR($B$7),MONTH(D$3)=MONTH($B$7)),$B$9,0)</x:f>
      </x:c>
      <x:c r="E11" s="117" t="n">
        <x:f>IF(AND(YEAR(E$3)=YEAR($B$7),MONTH(E$3)=MONTH($B$7)),$B$9,0)</x:f>
      </x:c>
      <x:c r="F11" s="117" t="n">
        <x:f>IF(AND(YEAR(F$3)=YEAR($B$7),MONTH(F$3)=MONTH($B$7)),$B$9,0)</x:f>
      </x:c>
      <x:c r="G11" s="117" t="n">
        <x:f>IF(AND(YEAR(G$3)=YEAR($B$7),MONTH(G$3)=MONTH($B$7)),$B$9,0)</x:f>
      </x:c>
      <x:c r="H11" s="117" t="n">
        <x:f>IF(AND(YEAR(H$3)=YEAR($B$7),MONTH(H$3)=MONTH($B$7)),$B$9,0)</x:f>
      </x:c>
      <x:c r="I11" s="117" t="n">
        <x:f>IF(AND(YEAR(I$3)=YEAR($B$7),MONTH(I$3)=MONTH($B$7)),$B$9,0)</x:f>
      </x:c>
      <x:c r="J11" s="117" t="n">
        <x:f>IF(AND(YEAR(J$3)=YEAR($B$7),MONTH(J$3)=MONTH($B$7)),$B$9,0)</x:f>
      </x:c>
      <x:c r="K11" s="117" t="n">
        <x:f>IF(AND(YEAR(K$3)=YEAR($B$7),MONTH(K$3)=MONTH($B$7)),$B$9,0)</x:f>
      </x:c>
      <x:c r="L11" s="117" t="n">
        <x:f>IF(AND(YEAR(L$3)=YEAR($B$7),MONTH(L$3)=MONTH($B$7)),$B$9,0)</x:f>
      </x:c>
      <x:c r="M11" s="117" t="n">
        <x:f>IF(AND(YEAR(M$3)=YEAR($B$7),MONTH(M$3)=MONTH($B$7)),$B$9,0)</x:f>
      </x:c>
      <x:c r="N11" s="117" t="n">
        <x:f>IF(AND(YEAR(N$3)=YEAR($B$7),MONTH(N$3)=MONTH($B$7)),$B$9,0)</x:f>
      </x:c>
      <x:c r="O11" s="117" t="n">
        <x:f>IF(AND(YEAR(O$3)=YEAR($B$7),MONTH(O$3)=MONTH($B$7)),$B$9,0)</x:f>
      </x:c>
      <x:c r="P11" s="117" t="n">
        <x:f>IF(AND(YEAR(P$3)=YEAR($B$7),MONTH(P$3)=MONTH($B$7)),$B$9,0)</x:f>
      </x:c>
      <x:c r="Q11" s="117" t="n">
        <x:f>IF(AND(YEAR(Q$3)=YEAR($B$7),MONTH(Q$3)=MONTH($B$7)),$B$9,0)</x:f>
      </x:c>
      <x:c r="R11" s="117" t="n">
        <x:f>IF(AND(YEAR(R$3)=YEAR($B$7),MONTH(R$3)=MONTH($B$7)),$B$9,0)</x:f>
      </x:c>
      <x:c r="S11" s="117" t="n">
        <x:f>IF(AND(YEAR(S$3)=YEAR($B$7),MONTH(S$3)=MONTH($B$7)),$B$9,0)</x:f>
      </x:c>
      <x:c r="T11" s="117" t="n">
        <x:f>IF(AND(YEAR(T$3)=YEAR($B$7),MONTH(T$3)=MONTH($B$7)),$B$9,0)</x:f>
      </x:c>
      <x:c r="U11" s="117" t="n">
        <x:f>IF(AND(YEAR(U$3)=YEAR($B$7),MONTH(U$3)=MONTH($B$7)),$B$9,0)</x:f>
      </x:c>
      <x:c r="V11" s="117" t="n">
        <x:f>IF(AND(YEAR(V$3)=YEAR($B$7),MONTH(V$3)=MONTH($B$7)),$B$9,0)</x:f>
      </x:c>
      <x:c r="W11" s="117" t="n">
        <x:f>IF(AND(YEAR(W$3)=YEAR($B$7),MONTH(W$3)=MONTH($B$7)),$B$9,0)</x:f>
      </x:c>
      <x:c r="X11" s="117" t="n">
        <x:f>IF(AND(YEAR(X$3)=YEAR($B$7),MONTH(X$3)=MONTH($B$7)),$B$9,0)</x:f>
      </x:c>
      <x:c r="Y11" s="117" t="n">
        <x:f>IF(AND(YEAR(Y$3)=YEAR($B$7),MONTH(Y$3)=MONTH($B$7)),$B$9,0)</x:f>
      </x:c>
      <x:c r="Z11" s="117" t="n">
        <x:f>IF(AND(YEAR(Z$3)=YEAR($B$7),MONTH(Z$3)=MONTH($B$7)),$B$9,0)</x:f>
      </x:c>
      <x:c r="AA11" s="117" t="n">
        <x:f>IF(AND(YEAR(AA$3)=YEAR($B$7),MONTH(AA$3)=MONTH($B$7)),$B$9,0)</x:f>
      </x:c>
      <x:c r="AB11" s="117" t="n">
        <x:f>IF(AND(YEAR(AB$3)=YEAR($B$7),MONTH(AB$3)=MONTH($B$7)),$B$9,0)</x:f>
      </x:c>
      <x:c r="AC11" s="117" t="n">
        <x:f>IF(AND(YEAR(AC$3)=YEAR($B$7),MONTH(AC$3)=MONTH($B$7)),$B$9,0)</x:f>
      </x:c>
      <x:c r="AD11" s="117" t="n">
        <x:f>IF(AND(YEAR(AD$3)=YEAR($B$7),MONTH(AD$3)=MONTH($B$7)),$B$9,0)</x:f>
      </x:c>
      <x:c r="AE11" s="117" t="n">
        <x:f>IF(AND(YEAR(AE$3)=YEAR($B$7),MONTH(AE$3)=MONTH($B$7)),$B$9,0)</x:f>
      </x:c>
      <x:c r="AF11" s="117" t="n">
        <x:f>IF(AND(YEAR(AF$3)=YEAR($B$7),MONTH(AF$3)=MONTH($B$7)),$B$9,0)</x:f>
      </x:c>
      <x:c r="AG11" s="117" t="n">
        <x:f>IF(AND(YEAR(AG$3)=YEAR($B$7),MONTH(AG$3)=MONTH($B$7)),$B$9,0)</x:f>
      </x:c>
      <x:c r="AH11" s="117" t="n">
        <x:f>IF(AND(YEAR(AH$3)=YEAR($B$7),MONTH(AH$3)=MONTH($B$7)),$B$9,0)</x:f>
      </x:c>
      <x:c r="AI11" s="117" t="n">
        <x:f>IF(AND(YEAR(AI$3)=YEAR($B$7),MONTH(AI$3)=MONTH($B$7)),$B$9,0)</x:f>
      </x:c>
      <x:c r="AJ11" s="117" t="n">
        <x:f>IF(AND(YEAR(AJ$3)=YEAR($B$7),MONTH(AJ$3)=MONTH($B$7)),$B$9,0)</x:f>
      </x:c>
      <x:c r="AK11" s="117" t="n">
        <x:f>IF(AND(YEAR(AK$3)=YEAR($B$7),MONTH(AK$3)=MONTH($B$7)),$B$9,0)</x:f>
      </x:c>
      <x:c r="AL11" s="117" t="n">
        <x:f>IF(AND(YEAR(AL$3)=YEAR($B$7),MONTH(AL$3)=MONTH($B$7)),$B$9,0)</x:f>
      </x:c>
      <x:c r="AM11" s="117" t="n">
        <x:f>IF(AND(YEAR(AM$3)=YEAR($B$7),MONTH(AM$3)=MONTH($B$7)),$B$9,0)</x:f>
      </x:c>
      <x:c r="AN11" s="117" t="n">
        <x:f>IF(AND(YEAR(AN$3)=YEAR($B$7),MONTH(AN$3)=MONTH($B$7)),$B$9,0)</x:f>
      </x:c>
      <x:c r="AO11" s="117" t="n">
        <x:f>IF(AND(YEAR(AO$3)=YEAR($B$7),MONTH(AO$3)=MONTH($B$7)),$B$9,0)</x:f>
      </x:c>
      <x:c r="AP11" s="117" t="n">
        <x:f>IF(AND(YEAR(AP$3)=YEAR($B$7),MONTH(AP$3)=MONTH($B$7)),$B$9,0)</x:f>
      </x:c>
      <x:c r="AQ11" s="117" t="n">
        <x:f>IF(AND(YEAR(AQ$3)=YEAR($B$7),MONTH(AQ$3)=MONTH($B$7)),$B$9,0)</x:f>
      </x:c>
      <x:c r="AR11" s="117" t="n">
        <x:f>IF(AND(YEAR(AR$3)=YEAR($B$7),MONTH(AR$3)=MONTH($B$7)),$B$9,0)</x:f>
      </x:c>
      <x:c r="AS11" s="117" t="n">
        <x:f>IF(AND(YEAR(AS$3)=YEAR($B$7),MONTH(AS$3)=MONTH($B$7)),$B$9,0)</x:f>
      </x:c>
      <x:c r="AT11" s="117" t="n">
        <x:f>IF(AND(YEAR(AT$3)=YEAR($B$7),MONTH(AT$3)=MONTH($B$7)),$B$9,0)</x:f>
      </x:c>
      <x:c r="AU11" s="117" t="n">
        <x:f>IF(AND(YEAR(AU$3)=YEAR($B$7),MONTH(AU$3)=MONTH($B$7)),$B$9,0)</x:f>
      </x:c>
      <x:c r="AV11" s="117" t="n">
        <x:f>IF(AND(YEAR(AV$3)=YEAR($B$7),MONTH(AV$3)=MONTH($B$7)),$B$9,0)</x:f>
      </x:c>
      <x:c r="AW11" s="117" t="n">
        <x:f>IF(AND(YEAR(AW$3)=YEAR($B$7),MONTH(AW$3)=MONTH($B$7)),$B$9,0)</x:f>
      </x:c>
      <x:c r="AX11" s="117" t="n">
        <x:f>IF(AND(YEAR(AX$3)=YEAR($B$7),MONTH(AX$3)=MONTH($B$7)),$B$9,0)</x:f>
      </x:c>
      <x:c r="AY11" s="117" t="n">
        <x:f>IF(AND(YEAR(AY$3)=YEAR($B$7),MONTH(AY$3)=MONTH($B$7)),$B$9,0)</x:f>
      </x:c>
      <x:c r="AZ11" s="117" t="n">
        <x:f>IF(AND(YEAR(AZ$3)=YEAR($B$7),MONTH(AZ$3)=MONTH($B$7)),$B$9,0)</x:f>
      </x:c>
      <x:c r="BA11" s="117" t="n">
        <x:f>IF(AND(YEAR(BA$3)=YEAR($B$7),MONTH(BA$3)=MONTH($B$7)),$B$9,0)</x:f>
      </x:c>
      <x:c r="BB11" s="117" t="n">
        <x:f>IF(AND(YEAR(BB$3)=YEAR($B$7),MONTH(BB$3)=MONTH($B$7)),$B$9,0)</x:f>
      </x:c>
      <x:c r="BC11" s="117" t="n">
        <x:f>IF(AND(YEAR(BC$3)=YEAR($B$7),MONTH(BC$3)=MONTH($B$7)),$B$9,0)</x:f>
      </x:c>
      <x:c r="BD11" s="117" t="n">
        <x:f>IF(AND(YEAR(BD$3)=YEAR($B$7),MONTH(BD$3)=MONTH($B$7)),$B$9,0)</x:f>
      </x:c>
      <x:c r="BE11" s="117" t="n">
        <x:f>IF(AND(YEAR(BE$3)=YEAR($B$7),MONTH(BE$3)=MONTH($B$7)),$B$9,0)</x:f>
      </x:c>
      <x:c r="BF11" s="117" t="n">
        <x:f>IF(AND(YEAR(BF$3)=YEAR($B$7),MONTH(BF$3)=MONTH($B$7)),$B$9,0)</x:f>
      </x:c>
      <x:c r="BG11" s="117" t="n">
        <x:f>IF(AND(YEAR(BG$3)=YEAR($B$7),MONTH(BG$3)=MONTH($B$7)),$B$9,0)</x:f>
      </x:c>
      <x:c r="BH11" s="117" t="n">
        <x:f>IF(AND(YEAR(BH$3)=YEAR($B$7),MONTH(BH$3)=MONTH($B$7)),$B$9,0)</x:f>
      </x:c>
      <x:c r="BI11" s="117" t="n">
        <x:f>IF(AND(YEAR(BI$3)=YEAR($B$7),MONTH(BI$3)=MONTH($B$7)),$B$9,0)</x:f>
      </x:c>
      <x:c r="BJ11" s="117" t="n">
        <x:f>IF(AND(YEAR(BJ$3)=YEAR($B$7),MONTH(BJ$3)=MONTH($B$7)),$B$9,0)</x:f>
      </x:c>
      <x:c r="BK11" s="117" t="n">
        <x:f>IF(AND(YEAR(BK$3)=YEAR($B$7),MONTH(BK$3)=MONTH($B$7)),$B$9,0)</x:f>
      </x:c>
      <x:c r="BL11" s="117" t="n">
        <x:f>IF(AND(YEAR(BL$3)=YEAR($B$7),MONTH(BL$3)=MONTH($B$7)),$B$9,0)</x:f>
      </x:c>
      <x:c r="BM11" s="117" t="n">
        <x:f>IF(AND(YEAR(BM$3)=YEAR($B$7),MONTH(BM$3)=MONTH($B$7)),$B$9,0)</x:f>
      </x:c>
      <x:c r="BN11" s="117" t="n">
        <x:f>IF(AND(YEAR(BN$3)=YEAR($B$7),MONTH(BN$3)=MONTH($B$7)),$B$9,0)</x:f>
      </x:c>
      <x:c r="BO11" s="117" t="n">
        <x:f>IF(AND(YEAR(BO$3)=YEAR($B$7),MONTH(BO$3)=MONTH($B$7)),$B$9,0)</x:f>
      </x:c>
      <x:c r="BP11" s="117" t="n">
        <x:f>IF(AND(YEAR(BP$3)=YEAR($B$7),MONTH(BP$3)=MONTH($B$7)),$B$9,0)</x:f>
      </x:c>
      <x:c r="BQ11" s="117" t="n">
        <x:f>IF(AND(YEAR(BQ$3)=YEAR($B$7),MONTH(BQ$3)=MONTH($B$7)),$B$9,0)</x:f>
      </x:c>
      <x:c r="BR11" s="117" t="n">
        <x:f>IF(AND(YEAR(BR$3)=YEAR($B$7),MONTH(BR$3)=MONTH($B$7)),$B$9,0)</x:f>
      </x:c>
      <x:c r="BS11" s="117" t="n">
        <x:f>IF(AND(YEAR(BS$3)=YEAR($B$7),MONTH(BS$3)=MONTH($B$7)),$B$9,0)</x:f>
      </x:c>
      <x:c r="BT11" s="117" t="n">
        <x:f>IF(AND(YEAR(BT$3)=YEAR($B$7),MONTH(BT$3)=MONTH($B$7)),$B$9,0)</x:f>
      </x:c>
      <x:c r="BU11" s="117" t="n">
        <x:f>IF(AND(YEAR(BU$3)=YEAR($B$7),MONTH(BU$3)=MONTH($B$7)),$B$9,0)</x:f>
      </x:c>
      <x:c r="BV11" s="117" t="n">
        <x:f>IF(AND(YEAR(BV$3)=YEAR($B$7),MONTH(BV$3)=MONTH($B$7)),$B$9,0)</x:f>
      </x:c>
      <x:c r="BW11" s="117" t="n">
        <x:f>IF(AND(YEAR(BW$3)=YEAR($B$7),MONTH(BW$3)=MONTH($B$7)),$B$9,0)</x:f>
      </x:c>
      <x:c r="BX11" s="117" t="n">
        <x:f>IF(AND(YEAR(BX$3)=YEAR($B$7),MONTH(BX$3)=MONTH($B$7)),$B$9,0)</x:f>
      </x:c>
      <x:c r="BY11" s="117" t="n">
        <x:f>IF(AND(YEAR(BY$3)=YEAR($B$7),MONTH(BY$3)=MONTH($B$7)),$B$9,0)</x:f>
      </x:c>
      <x:c r="BZ11" s="117" t="n">
        <x:f>IF(AND(YEAR(BZ$3)=YEAR($B$7),MONTH(BZ$3)=MONTH($B$7)),$B$9,0)</x:f>
      </x:c>
      <x:c r="CA11" s="117" t="n">
        <x:f>IF(AND(YEAR(CA$3)=YEAR($B$7),MONTH(CA$3)=MONTH($B$7)),$B$9,0)</x:f>
      </x:c>
      <x:c r="CB11" s="117" t="n">
        <x:f>IF(AND(YEAR(CB$3)=YEAR($B$7),MONTH(CB$3)=MONTH($B$7)),$B$9,0)</x:f>
      </x:c>
      <x:c r="CC11" s="117" t="n">
        <x:f>IF(AND(YEAR(CC$3)=YEAR($B$7),MONTH(CC$3)=MONTH($B$7)),$B$9,0)</x:f>
      </x:c>
      <x:c r="CD11" s="117" t="n">
        <x:f>IF(AND(YEAR(CD$3)=YEAR($B$7),MONTH(CD$3)=MONTH($B$7)),$B$9,0)</x:f>
      </x:c>
      <x:c r="CE11" s="117" t="n">
        <x:f>IF(AND(YEAR(CE$3)=YEAR($B$7),MONTH(CE$3)=MONTH($B$7)),$B$9,0)</x:f>
      </x:c>
      <x:c r="CF11" s="117" t="n">
        <x:f>IF(AND(YEAR(CF$3)=YEAR($B$7),MONTH(CF$3)=MONTH($B$7)),$B$9,0)</x:f>
      </x:c>
      <x:c r="CG11" s="117" t="n">
        <x:f>IF(AND(YEAR(CG$3)=YEAR($B$7),MONTH(CG$3)=MONTH($B$7)),$B$9,0)</x:f>
      </x:c>
      <x:c r="CH11" s="117" t="n">
        <x:f>IF(AND(YEAR(CH$3)=YEAR($B$7),MONTH(CH$3)=MONTH($B$7)),$B$9,0)</x:f>
      </x:c>
      <x:c r="CI11" s="117" t="n">
        <x:f>IF(AND(YEAR(CI$3)=YEAR($B$7),MONTH(CI$3)=MONTH($B$7)),$B$9,0)</x:f>
      </x:c>
      <x:c r="CJ11" s="117" t="n">
        <x:f>IF(AND(YEAR(CJ$3)=YEAR($B$7),MONTH(CJ$3)=MONTH($B$7)),$B$9,0)</x:f>
      </x:c>
      <x:c r="CK11" s="117" t="n">
        <x:f>IF(AND(YEAR(CK$3)=YEAR($B$7),MONTH(CK$3)=MONTH($B$7)),$B$9,0)</x:f>
      </x:c>
      <x:c r="CL11" s="117" t="n">
        <x:f>IF(AND(YEAR(CL$3)=YEAR($B$7),MONTH(CL$3)=MONTH($B$7)),$B$9,0)</x:f>
      </x:c>
      <x:c r="CM11" s="117" t="n">
        <x:f>IF(AND(YEAR(CM$3)=YEAR($B$7),MONTH(CM$3)=MONTH($B$7)),$B$9,0)</x:f>
      </x:c>
      <x:c r="CN11" s="117" t="n">
        <x:f>IF(AND(YEAR(CN$3)=YEAR($B$7),MONTH(CN$3)=MONTH($B$7)),$B$9,0)</x:f>
      </x:c>
      <x:c r="CO11" s="117" t="n">
        <x:f>IF(AND(YEAR(CO$3)=YEAR($B$7),MONTH(CO$3)=MONTH($B$7)),$B$9,0)</x:f>
      </x:c>
      <x:c r="CP11" s="117" t="n">
        <x:f>IF(AND(YEAR(CP$3)=YEAR($B$7),MONTH(CP$3)=MONTH($B$7)),$B$9,0)</x:f>
      </x:c>
      <x:c r="CQ11" s="117" t="n">
        <x:f>IF(AND(YEAR(CQ$3)=YEAR($B$7),MONTH(CQ$3)=MONTH($B$7)),$B$9,0)</x:f>
      </x:c>
      <x:c r="CR11" s="117" t="n">
        <x:f>IF(AND(YEAR(CR$3)=YEAR($B$7),MONTH(CR$3)=MONTH($B$7)),$B$9,0)</x:f>
      </x:c>
      <x:c r="CS11" s="117" t="n">
        <x:f>IF(AND(YEAR(CS$3)=YEAR($B$7),MONTH(CS$3)=MONTH($B$7)),$B$9,0)</x:f>
      </x:c>
      <x:c r="CT11" s="117" t="n">
        <x:f>IF(AND(YEAR(CT$3)=YEAR($B$7),MONTH(CT$3)=MONTH($B$7)),$B$9,0)</x:f>
      </x:c>
      <x:c r="CU11" s="117" t="n">
        <x:f>IF(AND(YEAR(CU$3)=YEAR($B$7),MONTH(CU$3)=MONTH($B$7)),$B$9,0)</x:f>
      </x:c>
      <x:c r="CV11" s="117" t="n">
        <x:f>IF(AND(YEAR(CV$3)=YEAR($B$7),MONTH(CV$3)=MONTH($B$7)),$B$9,0)</x:f>
      </x:c>
      <x:c r="CW11" s="117" t="n">
        <x:f>IF(AND(YEAR(CW$3)=YEAR($B$7),MONTH(CW$3)=MONTH($B$7)),$B$9,0)</x:f>
      </x:c>
      <x:c r="CX11" s="117" t="n">
        <x:f>IF(AND(YEAR(CX$3)=YEAR($B$7),MONTH(CX$3)=MONTH($B$7)),$B$9,0)</x:f>
      </x:c>
      <x:c r="CY11" s="117" t="n">
        <x:f>IF(AND(YEAR(CY$3)=YEAR($B$7),MONTH(CY$3)=MONTH($B$7)),$B$9,0)</x:f>
      </x:c>
      <x:c r="CZ11" s="117" t="n">
        <x:f>IF(AND(YEAR(CZ$3)=YEAR($B$7),MONTH(CZ$3)=MONTH($B$7)),$B$9,0)</x:f>
      </x:c>
      <x:c r="DA11" s="117" t="n">
        <x:f>IF(AND(YEAR(DA$3)=YEAR($B$7),MONTH(DA$3)=MONTH($B$7)),$B$9,0)</x:f>
      </x:c>
      <x:c r="DB11" s="117" t="n">
        <x:f>IF(AND(YEAR(DB$3)=YEAR($B$7),MONTH(DB$3)=MONTH($B$7)),$B$9,0)</x:f>
      </x:c>
      <x:c r="DC11" s="117" t="n">
        <x:f>IF(AND(YEAR(DC$3)=YEAR($B$7),MONTH(DC$3)=MONTH($B$7)),$B$9,0)</x:f>
      </x:c>
      <x:c r="DD11" s="117" t="n">
        <x:f>IF(AND(YEAR(DD$3)=YEAR($B$7),MONTH(DD$3)=MONTH($B$7)),$B$9,0)</x:f>
      </x:c>
      <x:c r="DE11" s="117" t="n">
        <x:f>IF(AND(YEAR(DE$3)=YEAR($B$7),MONTH(DE$3)=MONTH($B$7)),$B$9,0)</x:f>
      </x:c>
      <x:c r="DF11" s="117" t="n">
        <x:f>IF(AND(YEAR(DF$3)=YEAR($B$7),MONTH(DF$3)=MONTH($B$7)),$B$9,0)</x:f>
      </x:c>
      <x:c r="DG11" s="117" t="n">
        <x:f>IF(AND(YEAR(DG$3)=YEAR($B$7),MONTH(DG$3)=MONTH($B$7)),$B$9,0)</x:f>
      </x:c>
      <x:c r="DH11" s="117" t="n">
        <x:f>IF(AND(YEAR(DH$3)=YEAR($B$7),MONTH(DH$3)=MONTH($B$7)),$B$9,0)</x:f>
      </x:c>
      <x:c r="DI11" s="117" t="n">
        <x:f>IF(AND(YEAR(DI$3)=YEAR($B$7),MONTH(DI$3)=MONTH($B$7)),$B$9,0)</x:f>
      </x:c>
      <x:c r="DJ11" s="117" t="n">
        <x:f>IF(AND(YEAR(DJ$3)=YEAR($B$7),MONTH(DJ$3)=MONTH($B$7)),$B$9,0)</x:f>
      </x:c>
      <x:c r="DK11" s="117" t="n">
        <x:f>IF(AND(YEAR(DK$3)=YEAR($B$7),MONTH(DK$3)=MONTH($B$7)),$B$9,0)</x:f>
      </x:c>
      <x:c r="DL11" s="117" t="n">
        <x:f>IF(AND(YEAR(DL$3)=YEAR($B$7),MONTH(DL$3)=MONTH($B$7)),$B$9,0)</x:f>
      </x:c>
      <x:c r="DM11" s="117" t="n">
        <x:f>IF(AND(YEAR(DM$3)=YEAR($B$7),MONTH(DM$3)=MONTH($B$7)),$B$9,0)</x:f>
      </x:c>
      <x:c r="DN11" s="117" t="n">
        <x:f>IF(AND(YEAR(DN$3)=YEAR($B$7),MONTH(DN$3)=MONTH($B$7)),$B$9,0)</x:f>
      </x:c>
      <x:c r="DO11" s="117" t="n">
        <x:f>IF(AND(YEAR(DO$3)=YEAR($B$7),MONTH(DO$3)=MONTH($B$7)),$B$9,0)</x:f>
      </x:c>
      <x:c r="DP11" s="117" t="n">
        <x:f>IF(AND(YEAR(DP$3)=YEAR($B$7),MONTH(DP$3)=MONTH($B$7)),$B$9,0)</x:f>
      </x:c>
      <x:c r="DQ11" s="117" t="n">
        <x:f>IF(AND(YEAR(DQ$3)=YEAR($B$7),MONTH(DQ$3)=MONTH($B$7)),$B$9,0)</x:f>
      </x:c>
      <x:c r="DR11" s="117" t="n">
        <x:f>IF(AND(YEAR(DR$3)=YEAR($B$7),MONTH(DR$3)=MONTH($B$7)),$B$9,0)</x:f>
      </x:c>
      <x:c r="DS11" s="117" t="n">
        <x:f>IF(AND(YEAR(DS$3)=YEAR($B$7),MONTH(DS$3)=MONTH($B$7)),$B$9,0)</x:f>
      </x:c>
      <x:c r="DT11" s="117" t="n">
        <x:f>IF(AND(YEAR(DT$3)=YEAR($B$7),MONTH(DT$3)=MONTH($B$7)),$B$9,0)</x:f>
      </x:c>
      <x:c r="DU11" s="117" t="n">
        <x:f>IF(AND(YEAR(DU$3)=YEAR($B$7),MONTH(DU$3)=MONTH($B$7)),$B$9,0)</x:f>
      </x:c>
      <x:c r="DV11" s="117" t="n">
        <x:f>IF(AND(YEAR(DV$3)=YEAR($B$7),MONTH(DV$3)=MONTH($B$7)),$B$9,0)</x:f>
      </x:c>
      <x:c r="DW11" s="117" t="n">
        <x:f>IF(AND(YEAR(DW$3)=YEAR($B$7),MONTH(DW$3)=MONTH($B$7)),$B$9,0)</x:f>
      </x:c>
      <x:c r="DX11" s="117" t="n">
        <x:f>IF(AND(YEAR(DX$3)=YEAR($B$7),MONTH(DX$3)=MONTH($B$7)),$B$9,0)</x:f>
      </x:c>
      <x:c r="DY11" s="117" t="n">
        <x:f>IF(AND(YEAR(DY$3)=YEAR($B$7),MONTH(DY$3)=MONTH($B$7)),$B$9,0)</x:f>
      </x:c>
      <x:c r="DZ11" s="117" t="n">
        <x:f>IF(AND(YEAR(DZ$3)=YEAR($B$7),MONTH(DZ$3)=MONTH($B$7)),$B$9,0)</x:f>
      </x:c>
      <x:c r="EA11" s="117" t="n">
        <x:f>IF(AND(YEAR(EA$3)=YEAR($B$7),MONTH(EA$3)=MONTH($B$7)),$B$9,0)</x:f>
      </x:c>
      <x:c r="EB11" s="117" t="n">
        <x:f>IF(AND(YEAR(EB$3)=YEAR($B$7),MONTH(EB$3)=MONTH($B$7)),$B$9,0)</x:f>
      </x:c>
      <x:c r="EC11" s="117" t="n">
        <x:f>IF(AND(YEAR(EC$3)=YEAR($B$7),MONTH(EC$3)=MONTH($B$7)),$B$9,0)</x:f>
      </x:c>
      <x:c r="ED11" s="117" t="n">
        <x:f>IF(AND(YEAR(ED$3)=YEAR($B$7),MONTH(ED$3)=MONTH($B$7)),$B$9,0)</x:f>
      </x:c>
      <x:c r="EE11" s="117" t="n">
        <x:f>IF(AND(YEAR(EE$3)=YEAR($B$7),MONTH(EE$3)=MONTH($B$7)),$B$9,0)</x:f>
      </x:c>
      <x:c r="EF11" s="117" t="n">
        <x:f>IF(AND(YEAR(EF$3)=YEAR($B$7),MONTH(EF$3)=MONTH($B$7)),$B$9,0)</x:f>
      </x:c>
      <x:c r="EG11" s="117" t="n">
        <x:f>IF(AND(YEAR(EG$3)=YEAR($B$7),MONTH(EG$3)=MONTH($B$7)),$B$9,0)</x:f>
      </x:c>
      <x:c r="EH11" s="117" t="n">
        <x:f>IF(AND(YEAR(EH$3)=YEAR($B$7),MONTH(EH$3)=MONTH($B$7)),$B$9,0)</x:f>
      </x:c>
      <x:c r="EI11" s="117" t="n">
        <x:f>IF(AND(YEAR(EI$3)=YEAR($B$7),MONTH(EI$3)=MONTH($B$7)),$B$9,0)</x:f>
      </x:c>
      <x:c r="EJ11" s="117" t="n">
        <x:f>IF(AND(YEAR(EJ$3)=YEAR($B$7),MONTH(EJ$3)=MONTH($B$7)),$B$9,0)</x:f>
      </x:c>
      <x:c r="EK11" s="117" t="n">
        <x:f>IF(AND(YEAR(EK$3)=YEAR($B$7),MONTH(EK$3)=MONTH($B$7)),$B$9,0)</x:f>
      </x:c>
      <x:c r="EL11" s="117" t="n">
        <x:f>IF(AND(YEAR(EL$3)=YEAR($B$7),MONTH(EL$3)=MONTH($B$7)),$B$9,0)</x:f>
      </x:c>
      <x:c r="EM11" s="117" t="n">
        <x:f>IF(AND(YEAR(EM$3)=YEAR($B$7),MONTH(EM$3)=MONTH($B$7)),$B$9,0)</x:f>
      </x:c>
      <x:c r="EN11" s="117" t="n">
        <x:f>IF(AND(YEAR(EN$3)=YEAR($B$7),MONTH(EN$3)=MONTH($B$7)),$B$9,0)</x:f>
      </x:c>
      <x:c r="EO11" s="117" t="n">
        <x:f>IF(AND(YEAR(EO$3)=YEAR($B$7),MONTH(EO$3)=MONTH($B$7)),$B$9,0)</x:f>
      </x:c>
      <x:c r="EP11" s="117" t="n">
        <x:f>IF(AND(YEAR(EP$3)=YEAR($B$7),MONTH(EP$3)=MONTH($B$7)),$B$9,0)</x:f>
      </x:c>
      <x:c r="EQ11" s="117" t="n">
        <x:f>IF(AND(YEAR(EQ$3)=YEAR($B$7),MONTH(EQ$3)=MONTH($B$7)),$B$9,0)</x:f>
      </x:c>
      <x:c r="ER11" s="117" t="n">
        <x:f>IF(AND(YEAR(ER$3)=YEAR($B$7),MONTH(ER$3)=MONTH($B$7)),$B$9,0)</x:f>
      </x:c>
      <x:c r="ES11" s="117" t="n">
        <x:f>IF(AND(YEAR(ES$3)=YEAR($B$7),MONTH(ES$3)=MONTH($B$7)),$B$9,0)</x:f>
      </x:c>
      <x:c r="ET11" s="117" t="n">
        <x:f>IF(AND(YEAR(ET$3)=YEAR($B$7),MONTH(ET$3)=MONTH($B$7)),$B$9,0)</x:f>
      </x:c>
      <x:c r="EU11" s="117" t="n">
        <x:f>IF(AND(YEAR(EU$3)=YEAR($B$7),MONTH(EU$3)=MONTH($B$7)),$B$9,0)</x:f>
      </x:c>
      <x:c r="EV11" s="117" t="n">
        <x:f>IF(AND(YEAR(EV$3)=YEAR($B$7),MONTH(EV$3)=MONTH($B$7)),$B$9,0)</x:f>
      </x:c>
      <x:c r="EW11" s="117" t="n">
        <x:f>IF(AND(YEAR(EW$3)=YEAR($B$7),MONTH(EW$3)=MONTH($B$7)),$B$9,0)</x:f>
      </x:c>
      <x:c r="EX11" s="117" t="n">
        <x:f>IF(AND(YEAR(EX$3)=YEAR($B$7),MONTH(EX$3)=MONTH($B$7)),$B$9,0)</x:f>
      </x:c>
      <x:c r="EY11" s="117" t="n">
        <x:f>IF(AND(YEAR(EY$3)=YEAR($B$7),MONTH(EY$3)=MONTH($B$7)),$B$9,0)</x:f>
      </x:c>
      <x:c r="EZ11" s="117" t="n">
        <x:f>IF(AND(YEAR(EZ$3)=YEAR($B$7),MONTH(EZ$3)=MONTH($B$7)),$B$9,0)</x:f>
      </x:c>
      <x:c r="FA11" s="117" t="n">
        <x:f>IF(AND(YEAR(FA$3)=YEAR($B$7),MONTH(FA$3)=MONTH($B$7)),$B$9,0)</x:f>
      </x:c>
      <x:c r="FB11" s="117" t="n">
        <x:f>IF(AND(YEAR(FB$3)=YEAR($B$7),MONTH(FB$3)=MONTH($B$7)),$B$9,0)</x:f>
      </x:c>
      <x:c r="FC11" s="117" t="n">
        <x:f>IF(AND(YEAR(FC$3)=YEAR($B$7),MONTH(FC$3)=MONTH($B$7)),$B$9,0)</x:f>
      </x:c>
      <x:c r="FD11" s="117" t="n">
        <x:f>IF(AND(YEAR(FD$3)=YEAR($B$7),MONTH(FD$3)=MONTH($B$7)),$B$9,0)</x:f>
      </x:c>
      <x:c r="FE11" s="117" t="n">
        <x:f>IF(AND(YEAR(FE$3)=YEAR($B$7),MONTH(FE$3)=MONTH($B$7)),$B$9,0)</x:f>
      </x:c>
      <x:c r="FF11" s="117" t="n">
        <x:f>IF(AND(YEAR(FF$3)=YEAR($B$7),MONTH(FF$3)=MONTH($B$7)),$B$9,0)</x:f>
      </x:c>
      <x:c r="FG11" s="117" t="n">
        <x:f>IF(AND(YEAR(FG$3)=YEAR($B$7),MONTH(FG$3)=MONTH($B$7)),$B$9,0)</x:f>
      </x:c>
      <x:c r="FH11" s="117" t="n">
        <x:f>IF(AND(YEAR(FH$3)=YEAR($B$7),MONTH(FH$3)=MONTH($B$7)),$B$9,0)</x:f>
      </x:c>
      <x:c r="FI11" s="117" t="n">
        <x:f>IF(AND(YEAR(FI$3)=YEAR($B$7),MONTH(FI$3)=MONTH($B$7)),$B$9,0)</x:f>
      </x:c>
      <x:c r="FJ11" s="117" t="n">
        <x:f>IF(AND(YEAR(FJ$3)=YEAR($B$7),MONTH(FJ$3)=MONTH($B$7)),$B$9,0)</x:f>
      </x:c>
      <x:c r="FK11" s="117" t="n">
        <x:f>IF(AND(YEAR(FK$3)=YEAR($B$7),MONTH(FK$3)=MONTH($B$7)),$B$9,0)</x:f>
      </x:c>
      <x:c r="FL11" s="117" t="n">
        <x:f>IF(AND(YEAR(FL$3)=YEAR($B$7),MONTH(FL$3)=MONTH($B$7)),$B$9,0)</x:f>
      </x:c>
      <x:c r="FM11" s="117" t="n">
        <x:f>IF(AND(YEAR(FM$3)=YEAR($B$7),MONTH(FM$3)=MONTH($B$7)),$B$9,0)</x:f>
      </x:c>
      <x:c r="FN11" s="117" t="n">
        <x:f>IF(AND(YEAR(FN$3)=YEAR($B$7),MONTH(FN$3)=MONTH($B$7)),$B$9,0)</x:f>
      </x:c>
      <x:c r="FO11" s="117" t="n">
        <x:f>IF(AND(YEAR(FO$3)=YEAR($B$7),MONTH(FO$3)=MONTH($B$7)),$B$9,0)</x:f>
      </x:c>
      <x:c r="FP11" s="117" t="n">
        <x:f>IF(AND(YEAR(FP$3)=YEAR($B$7),MONTH(FP$3)=MONTH($B$7)),$B$9,0)</x:f>
      </x:c>
      <x:c r="FQ11" s="117" t="n">
        <x:f>IF(AND(YEAR(FQ$3)=YEAR($B$7),MONTH(FQ$3)=MONTH($B$7)),$B$9,0)</x:f>
      </x:c>
      <x:c r="FR11" s="117" t="n">
        <x:f>IF(AND(YEAR(FR$3)=YEAR($B$7),MONTH(FR$3)=MONTH($B$7)),$B$9,0)</x:f>
      </x:c>
      <x:c r="FS11" s="117" t="n">
        <x:f>IF(AND(YEAR(FS$3)=YEAR($B$7),MONTH(FS$3)=MONTH($B$7)),$B$9,0)</x:f>
      </x:c>
      <x:c r="FT11" s="117" t="n">
        <x:f>IF(AND(YEAR(FT$3)=YEAR($B$7),MONTH(FT$3)=MONTH($B$7)),$B$9,0)</x:f>
      </x:c>
      <x:c r="FU11" s="117" t="n">
        <x:f>IF(AND(YEAR(FU$3)=YEAR($B$7),MONTH(FU$3)=MONTH($B$7)),$B$9,0)</x:f>
      </x:c>
      <x:c r="FV11" s="117" t="n">
        <x:f>IF(AND(YEAR(FV$3)=YEAR($B$7),MONTH(FV$3)=MONTH($B$7)),$B$9,0)</x:f>
      </x:c>
      <x:c r="FW11" s="117" t="n">
        <x:f>IF(AND(YEAR(FW$3)=YEAR($B$7),MONTH(FW$3)=MONTH($B$7)),$B$9,0)</x:f>
      </x:c>
      <x:c r="FX11" s="117" t="n">
        <x:f>IF(AND(YEAR(FX$3)=YEAR($B$7),MONTH(FX$3)=MONTH($B$7)),$B$9,0)</x:f>
      </x:c>
      <x:c r="FY11" s="117" t="n">
        <x:f>IF(AND(YEAR(FY$3)=YEAR($B$7),MONTH(FY$3)=MONTH($B$7)),$B$9,0)</x:f>
      </x:c>
      <x:c r="FZ11" s="117" t="n">
        <x:f>IF(AND(YEAR(FZ$3)=YEAR($B$7),MONTH(FZ$3)=MONTH($B$7)),$B$9,0)</x:f>
      </x:c>
      <x:c r="GA11" s="117" t="n">
        <x:f>IF(AND(YEAR(GA$3)=YEAR($B$7),MONTH(GA$3)=MONTH($B$7)),$B$9,0)</x:f>
      </x:c>
    </x:row>
    <x:row r="12">
      <x:c r="A12" t="str">
        <x:v>Погашение основного долга</x:v>
      </x:c>
      <x:c r="B12" s="107" t="n">
        <x:f>SUM(D12:GA12)</x:f>
      </x:c>
      <x:c r="C12" t="str">
        <x:v>млн ₽</x:v>
      </x:c>
      <x:c r="D12" s="117" t="n">
        <x:f>MIN(D10+D11,IF('Вводные'!$B$75="Единовременно",D11,IF(AND('Вводные'!$B$84="Да",YEAR(D$3)=YEAR($B$8),MONTH(D$3)=MONTH($B$8)),D10+D11,IF(AND((12*(YEAR(D$3)-YEAR($B$7))+MONTH(D$3)-MONTH($B$7))&gt;0,MOD((12*(YEAR(D$3)-YEAR($B$7))+MONTH(D$3)-MONTH($B$7)),'Вводные'!$B$78)=0,(12*(YEAR(D$3)-YEAR($B$7))+MONTH(D$3)-MONTH($B$7))&lt;='Вводные'!$B$77*12),$B$9/MAX(1,'Вводные'!$B$79),0))))</x:f>
      </x:c>
      <x:c r="E12" s="117" t="n">
        <x:f>MIN(E10+E11,IF('Вводные'!$B$75="Единовременно",E11,IF(AND('Вводные'!$B$84="Да",YEAR(E$3)=YEAR($B$8),MONTH(E$3)=MONTH($B$8)),E10+E11,IF(AND((12*(YEAR(E$3)-YEAR($B$7))+MONTH(E$3)-MONTH($B$7))&gt;0,MOD((12*(YEAR(E$3)-YEAR($B$7))+MONTH(E$3)-MONTH($B$7)),'Вводные'!$B$78)=0,(12*(YEAR(E$3)-YEAR($B$7))+MONTH(E$3)-MONTH($B$7))&lt;='Вводные'!$B$77*12),$B$9/MAX(1,'Вводные'!$B$79),0))))</x:f>
      </x:c>
      <x:c r="F12" s="117" t="n">
        <x:f>MIN(F10+F11,IF('Вводные'!$B$75="Единовременно",F11,IF(AND('Вводные'!$B$84="Да",YEAR(F$3)=YEAR($B$8),MONTH(F$3)=MONTH($B$8)),F10+F11,IF(AND((12*(YEAR(F$3)-YEAR($B$7))+MONTH(F$3)-MONTH($B$7))&gt;0,MOD((12*(YEAR(F$3)-YEAR($B$7))+MONTH(F$3)-MONTH($B$7)),'Вводные'!$B$78)=0,(12*(YEAR(F$3)-YEAR($B$7))+MONTH(F$3)-MONTH($B$7))&lt;='Вводные'!$B$77*12),$B$9/MAX(1,'Вводные'!$B$79),0))))</x:f>
      </x:c>
      <x:c r="G12" s="117" t="n">
        <x:f>MIN(G10+G11,IF('Вводные'!$B$75="Единовременно",G11,IF(AND('Вводные'!$B$84="Да",YEAR(G$3)=YEAR($B$8),MONTH(G$3)=MONTH($B$8)),G10+G11,IF(AND((12*(YEAR(G$3)-YEAR($B$7))+MONTH(G$3)-MONTH($B$7))&gt;0,MOD((12*(YEAR(G$3)-YEAR($B$7))+MONTH(G$3)-MONTH($B$7)),'Вводные'!$B$78)=0,(12*(YEAR(G$3)-YEAR($B$7))+MONTH(G$3)-MONTH($B$7))&lt;='Вводные'!$B$77*12),$B$9/MAX(1,'Вводные'!$B$79),0))))</x:f>
      </x:c>
      <x:c r="H12" s="117" t="n">
        <x:f>MIN(H10+H11,IF('Вводные'!$B$75="Единовременно",H11,IF(AND('Вводные'!$B$84="Да",YEAR(H$3)=YEAR($B$8),MONTH(H$3)=MONTH($B$8)),H10+H11,IF(AND((12*(YEAR(H$3)-YEAR($B$7))+MONTH(H$3)-MONTH($B$7))&gt;0,MOD((12*(YEAR(H$3)-YEAR($B$7))+MONTH(H$3)-MONTH($B$7)),'Вводные'!$B$78)=0,(12*(YEAR(H$3)-YEAR($B$7))+MONTH(H$3)-MONTH($B$7))&lt;='Вводные'!$B$77*12),$B$9/MAX(1,'Вводные'!$B$79),0))))</x:f>
      </x:c>
      <x:c r="I12" s="117" t="n">
        <x:f>MIN(I10+I11,IF('Вводные'!$B$75="Единовременно",I11,IF(AND('Вводные'!$B$84="Да",YEAR(I$3)=YEAR($B$8),MONTH(I$3)=MONTH($B$8)),I10+I11,IF(AND((12*(YEAR(I$3)-YEAR($B$7))+MONTH(I$3)-MONTH($B$7))&gt;0,MOD((12*(YEAR(I$3)-YEAR($B$7))+MONTH(I$3)-MONTH($B$7)),'Вводные'!$B$78)=0,(12*(YEAR(I$3)-YEAR($B$7))+MONTH(I$3)-MONTH($B$7))&lt;='Вводные'!$B$77*12),$B$9/MAX(1,'Вводные'!$B$79),0))))</x:f>
      </x:c>
      <x:c r="J12" s="117" t="n">
        <x:f>MIN(J10+J11,IF('Вводные'!$B$75="Единовременно",J11,IF(AND('Вводные'!$B$84="Да",YEAR(J$3)=YEAR($B$8),MONTH(J$3)=MONTH($B$8)),J10+J11,IF(AND((12*(YEAR(J$3)-YEAR($B$7))+MONTH(J$3)-MONTH($B$7))&gt;0,MOD((12*(YEAR(J$3)-YEAR($B$7))+MONTH(J$3)-MONTH($B$7)),'Вводные'!$B$78)=0,(12*(YEAR(J$3)-YEAR($B$7))+MONTH(J$3)-MONTH($B$7))&lt;='Вводные'!$B$77*12),$B$9/MAX(1,'Вводные'!$B$79),0))))</x:f>
      </x:c>
      <x:c r="K12" s="117" t="n">
        <x:f>MIN(K10+K11,IF('Вводные'!$B$75="Единовременно",K11,IF(AND('Вводные'!$B$84="Да",YEAR(K$3)=YEAR($B$8),MONTH(K$3)=MONTH($B$8)),K10+K11,IF(AND((12*(YEAR(K$3)-YEAR($B$7))+MONTH(K$3)-MONTH($B$7))&gt;0,MOD((12*(YEAR(K$3)-YEAR($B$7))+MONTH(K$3)-MONTH($B$7)),'Вводные'!$B$78)=0,(12*(YEAR(K$3)-YEAR($B$7))+MONTH(K$3)-MONTH($B$7))&lt;='Вводные'!$B$77*12),$B$9/MAX(1,'Вводные'!$B$79),0))))</x:f>
      </x:c>
      <x:c r="L12" s="117" t="n">
        <x:f>MIN(L10+L11,IF('Вводные'!$B$75="Единовременно",L11,IF(AND('Вводные'!$B$84="Да",YEAR(L$3)=YEAR($B$8),MONTH(L$3)=MONTH($B$8)),L10+L11,IF(AND((12*(YEAR(L$3)-YEAR($B$7))+MONTH(L$3)-MONTH($B$7))&gt;0,MOD((12*(YEAR(L$3)-YEAR($B$7))+MONTH(L$3)-MONTH($B$7)),'Вводные'!$B$78)=0,(12*(YEAR(L$3)-YEAR($B$7))+MONTH(L$3)-MONTH($B$7))&lt;='Вводные'!$B$77*12),$B$9/MAX(1,'Вводные'!$B$79),0))))</x:f>
      </x:c>
      <x:c r="M12" s="117" t="n">
        <x:f>MIN(M10+M11,IF('Вводные'!$B$75="Единовременно",M11,IF(AND('Вводные'!$B$84="Да",YEAR(M$3)=YEAR($B$8),MONTH(M$3)=MONTH($B$8)),M10+M11,IF(AND((12*(YEAR(M$3)-YEAR($B$7))+MONTH(M$3)-MONTH($B$7))&gt;0,MOD((12*(YEAR(M$3)-YEAR($B$7))+MONTH(M$3)-MONTH($B$7)),'Вводные'!$B$78)=0,(12*(YEAR(M$3)-YEAR($B$7))+MONTH(M$3)-MONTH($B$7))&lt;='Вводные'!$B$77*12),$B$9/MAX(1,'Вводные'!$B$79),0))))</x:f>
      </x:c>
      <x:c r="N12" s="117" t="n">
        <x:f>MIN(N10+N11,IF('Вводные'!$B$75="Единовременно",N11,IF(AND('Вводные'!$B$84="Да",YEAR(N$3)=YEAR($B$8),MONTH(N$3)=MONTH($B$8)),N10+N11,IF(AND((12*(YEAR(N$3)-YEAR($B$7))+MONTH(N$3)-MONTH($B$7))&gt;0,MOD((12*(YEAR(N$3)-YEAR($B$7))+MONTH(N$3)-MONTH($B$7)),'Вводные'!$B$78)=0,(12*(YEAR(N$3)-YEAR($B$7))+MONTH(N$3)-MONTH($B$7))&lt;='Вводные'!$B$77*12),$B$9/MAX(1,'Вводные'!$B$79),0))))</x:f>
      </x:c>
      <x:c r="O12" s="117" t="n">
        <x:f>MIN(O10+O11,IF('Вводные'!$B$75="Единовременно",O11,IF(AND('Вводные'!$B$84="Да",YEAR(O$3)=YEAR($B$8),MONTH(O$3)=MONTH($B$8)),O10+O11,IF(AND((12*(YEAR(O$3)-YEAR($B$7))+MONTH(O$3)-MONTH($B$7))&gt;0,MOD((12*(YEAR(O$3)-YEAR($B$7))+MONTH(O$3)-MONTH($B$7)),'Вводные'!$B$78)=0,(12*(YEAR(O$3)-YEAR($B$7))+MONTH(O$3)-MONTH($B$7))&lt;='Вводные'!$B$77*12),$B$9/MAX(1,'Вводные'!$B$79),0))))</x:f>
      </x:c>
      <x:c r="P12" s="117" t="n">
        <x:f>MIN(P10+P11,IF('Вводные'!$B$75="Единовременно",P11,IF(AND('Вводные'!$B$84="Да",YEAR(P$3)=YEAR($B$8),MONTH(P$3)=MONTH($B$8)),P10+P11,IF(AND((12*(YEAR(P$3)-YEAR($B$7))+MONTH(P$3)-MONTH($B$7))&gt;0,MOD((12*(YEAR(P$3)-YEAR($B$7))+MONTH(P$3)-MONTH($B$7)),'Вводные'!$B$78)=0,(12*(YEAR(P$3)-YEAR($B$7))+MONTH(P$3)-MONTH($B$7))&lt;='Вводные'!$B$77*12),$B$9/MAX(1,'Вводные'!$B$79),0))))</x:f>
      </x:c>
      <x:c r="Q12" s="117" t="n">
        <x:f>MIN(Q10+Q11,IF('Вводные'!$B$75="Единовременно",Q11,IF(AND('Вводные'!$B$84="Да",YEAR(Q$3)=YEAR($B$8),MONTH(Q$3)=MONTH($B$8)),Q10+Q11,IF(AND((12*(YEAR(Q$3)-YEAR($B$7))+MONTH(Q$3)-MONTH($B$7))&gt;0,MOD((12*(YEAR(Q$3)-YEAR($B$7))+MONTH(Q$3)-MONTH($B$7)),'Вводные'!$B$78)=0,(12*(YEAR(Q$3)-YEAR($B$7))+MONTH(Q$3)-MONTH($B$7))&lt;='Вводные'!$B$77*12),$B$9/MAX(1,'Вводные'!$B$79),0))))</x:f>
      </x:c>
      <x:c r="R12" s="117" t="n">
        <x:f>MIN(R10+R11,IF('Вводные'!$B$75="Единовременно",R11,IF(AND('Вводные'!$B$84="Да",YEAR(R$3)=YEAR($B$8),MONTH(R$3)=MONTH($B$8)),R10+R11,IF(AND((12*(YEAR(R$3)-YEAR($B$7))+MONTH(R$3)-MONTH($B$7))&gt;0,MOD((12*(YEAR(R$3)-YEAR($B$7))+MONTH(R$3)-MONTH($B$7)),'Вводные'!$B$78)=0,(12*(YEAR(R$3)-YEAR($B$7))+MONTH(R$3)-MONTH($B$7))&lt;='Вводные'!$B$77*12),$B$9/MAX(1,'Вводные'!$B$79),0))))</x:f>
      </x:c>
      <x:c r="S12" s="117" t="n">
        <x:f>MIN(S10+S11,IF('Вводные'!$B$75="Единовременно",S11,IF(AND('Вводные'!$B$84="Да",YEAR(S$3)=YEAR($B$8),MONTH(S$3)=MONTH($B$8)),S10+S11,IF(AND((12*(YEAR(S$3)-YEAR($B$7))+MONTH(S$3)-MONTH($B$7))&gt;0,MOD((12*(YEAR(S$3)-YEAR($B$7))+MONTH(S$3)-MONTH($B$7)),'Вводные'!$B$78)=0,(12*(YEAR(S$3)-YEAR($B$7))+MONTH(S$3)-MONTH($B$7))&lt;='Вводные'!$B$77*12),$B$9/MAX(1,'Вводные'!$B$79),0))))</x:f>
      </x:c>
      <x:c r="T12" s="117" t="n">
        <x:f>MIN(T10+T11,IF('Вводные'!$B$75="Единовременно",T11,IF(AND('Вводные'!$B$84="Да",YEAR(T$3)=YEAR($B$8),MONTH(T$3)=MONTH($B$8)),T10+T11,IF(AND((12*(YEAR(T$3)-YEAR($B$7))+MONTH(T$3)-MONTH($B$7))&gt;0,MOD((12*(YEAR(T$3)-YEAR($B$7))+MONTH(T$3)-MONTH($B$7)),'Вводные'!$B$78)=0,(12*(YEAR(T$3)-YEAR($B$7))+MONTH(T$3)-MONTH($B$7))&lt;='Вводные'!$B$77*12),$B$9/MAX(1,'Вводные'!$B$79),0))))</x:f>
      </x:c>
      <x:c r="U12" s="117" t="n">
        <x:f>MIN(U10+U11,IF('Вводные'!$B$75="Единовременно",U11,IF(AND('Вводные'!$B$84="Да",YEAR(U$3)=YEAR($B$8),MONTH(U$3)=MONTH($B$8)),U10+U11,IF(AND((12*(YEAR(U$3)-YEAR($B$7))+MONTH(U$3)-MONTH($B$7))&gt;0,MOD((12*(YEAR(U$3)-YEAR($B$7))+MONTH(U$3)-MONTH($B$7)),'Вводные'!$B$78)=0,(12*(YEAR(U$3)-YEAR($B$7))+MONTH(U$3)-MONTH($B$7))&lt;='Вводные'!$B$77*12),$B$9/MAX(1,'Вводные'!$B$79),0))))</x:f>
      </x:c>
      <x:c r="V12" s="117" t="n">
        <x:f>MIN(V10+V11,IF('Вводные'!$B$75="Единовременно",V11,IF(AND('Вводные'!$B$84="Да",YEAR(V$3)=YEAR($B$8),MONTH(V$3)=MONTH($B$8)),V10+V11,IF(AND((12*(YEAR(V$3)-YEAR($B$7))+MONTH(V$3)-MONTH($B$7))&gt;0,MOD((12*(YEAR(V$3)-YEAR($B$7))+MONTH(V$3)-MONTH($B$7)),'Вводные'!$B$78)=0,(12*(YEAR(V$3)-YEAR($B$7))+MONTH(V$3)-MONTH($B$7))&lt;='Вводные'!$B$77*12),$B$9/MAX(1,'Вводные'!$B$79),0))))</x:f>
      </x:c>
      <x:c r="W12" s="117" t="n">
        <x:f>MIN(W10+W11,IF('Вводные'!$B$75="Единовременно",W11,IF(AND('Вводные'!$B$84="Да",YEAR(W$3)=YEAR($B$8),MONTH(W$3)=MONTH($B$8)),W10+W11,IF(AND((12*(YEAR(W$3)-YEAR($B$7))+MONTH(W$3)-MONTH($B$7))&gt;0,MOD((12*(YEAR(W$3)-YEAR($B$7))+MONTH(W$3)-MONTH($B$7)),'Вводные'!$B$78)=0,(12*(YEAR(W$3)-YEAR($B$7))+MONTH(W$3)-MONTH($B$7))&lt;='Вводные'!$B$77*12),$B$9/MAX(1,'Вводные'!$B$79),0))))</x:f>
      </x:c>
      <x:c r="X12" s="117" t="n">
        <x:f>MIN(X10+X11,IF('Вводные'!$B$75="Единовременно",X11,IF(AND('Вводные'!$B$84="Да",YEAR(X$3)=YEAR($B$8),MONTH(X$3)=MONTH($B$8)),X10+X11,IF(AND((12*(YEAR(X$3)-YEAR($B$7))+MONTH(X$3)-MONTH($B$7))&gt;0,MOD((12*(YEAR(X$3)-YEAR($B$7))+MONTH(X$3)-MONTH($B$7)),'Вводные'!$B$78)=0,(12*(YEAR(X$3)-YEAR($B$7))+MONTH(X$3)-MONTH($B$7))&lt;='Вводные'!$B$77*12),$B$9/MAX(1,'Вводные'!$B$79),0))))</x:f>
      </x:c>
      <x:c r="Y12" s="117" t="n">
        <x:f>MIN(Y10+Y11,IF('Вводные'!$B$75="Единовременно",Y11,IF(AND('Вводные'!$B$84="Да",YEAR(Y$3)=YEAR($B$8),MONTH(Y$3)=MONTH($B$8)),Y10+Y11,IF(AND((12*(YEAR(Y$3)-YEAR($B$7))+MONTH(Y$3)-MONTH($B$7))&gt;0,MOD((12*(YEAR(Y$3)-YEAR($B$7))+MONTH(Y$3)-MONTH($B$7)),'Вводные'!$B$78)=0,(12*(YEAR(Y$3)-YEAR($B$7))+MONTH(Y$3)-MONTH($B$7))&lt;='Вводные'!$B$77*12),$B$9/MAX(1,'Вводные'!$B$79),0))))</x:f>
      </x:c>
      <x:c r="Z12" s="117" t="n">
        <x:f>MIN(Z10+Z11,IF('Вводные'!$B$75="Единовременно",Z11,IF(AND('Вводные'!$B$84="Да",YEAR(Z$3)=YEAR($B$8),MONTH(Z$3)=MONTH($B$8)),Z10+Z11,IF(AND((12*(YEAR(Z$3)-YEAR($B$7))+MONTH(Z$3)-MONTH($B$7))&gt;0,MOD((12*(YEAR(Z$3)-YEAR($B$7))+MONTH(Z$3)-MONTH($B$7)),'Вводные'!$B$78)=0,(12*(YEAR(Z$3)-YEAR($B$7))+MONTH(Z$3)-MONTH($B$7))&lt;='Вводные'!$B$77*12),$B$9/MAX(1,'Вводные'!$B$79),0))))</x:f>
      </x:c>
      <x:c r="AA12" s="117" t="n">
        <x:f>MIN(AA10+AA11,IF('Вводные'!$B$75="Единовременно",AA11,IF(AND('Вводные'!$B$84="Да",YEAR(AA$3)=YEAR($B$8),MONTH(AA$3)=MONTH($B$8)),AA10+AA11,IF(AND((12*(YEAR(AA$3)-YEAR($B$7))+MONTH(AA$3)-MONTH($B$7))&gt;0,MOD((12*(YEAR(AA$3)-YEAR($B$7))+MONTH(AA$3)-MONTH($B$7)),'Вводные'!$B$78)=0,(12*(YEAR(AA$3)-YEAR($B$7))+MONTH(AA$3)-MONTH($B$7))&lt;='Вводные'!$B$77*12),$B$9/MAX(1,'Вводные'!$B$79),0))))</x:f>
      </x:c>
      <x:c r="AB12" s="117" t="n">
        <x:f>MIN(AB10+AB11,IF('Вводные'!$B$75="Единовременно",AB11,IF(AND('Вводные'!$B$84="Да",YEAR(AB$3)=YEAR($B$8),MONTH(AB$3)=MONTH($B$8)),AB10+AB11,IF(AND((12*(YEAR(AB$3)-YEAR($B$7))+MONTH(AB$3)-MONTH($B$7))&gt;0,MOD((12*(YEAR(AB$3)-YEAR($B$7))+MONTH(AB$3)-MONTH($B$7)),'Вводные'!$B$78)=0,(12*(YEAR(AB$3)-YEAR($B$7))+MONTH(AB$3)-MONTH($B$7))&lt;='Вводные'!$B$77*12),$B$9/MAX(1,'Вводные'!$B$79),0))))</x:f>
      </x:c>
      <x:c r="AC12" s="117" t="n">
        <x:f>MIN(AC10+AC11,IF('Вводные'!$B$75="Единовременно",AC11,IF(AND('Вводные'!$B$84="Да",YEAR(AC$3)=YEAR($B$8),MONTH(AC$3)=MONTH($B$8)),AC10+AC11,IF(AND((12*(YEAR(AC$3)-YEAR($B$7))+MONTH(AC$3)-MONTH($B$7))&gt;0,MOD((12*(YEAR(AC$3)-YEAR($B$7))+MONTH(AC$3)-MONTH($B$7)),'Вводные'!$B$78)=0,(12*(YEAR(AC$3)-YEAR($B$7))+MONTH(AC$3)-MONTH($B$7))&lt;='Вводные'!$B$77*12),$B$9/MAX(1,'Вводные'!$B$79),0))))</x:f>
      </x:c>
      <x:c r="AD12" s="117" t="n">
        <x:f>MIN(AD10+AD11,IF('Вводные'!$B$75="Единовременно",AD11,IF(AND('Вводные'!$B$84="Да",YEAR(AD$3)=YEAR($B$8),MONTH(AD$3)=MONTH($B$8)),AD10+AD11,IF(AND((12*(YEAR(AD$3)-YEAR($B$7))+MONTH(AD$3)-MONTH($B$7))&gt;0,MOD((12*(YEAR(AD$3)-YEAR($B$7))+MONTH(AD$3)-MONTH($B$7)),'Вводные'!$B$78)=0,(12*(YEAR(AD$3)-YEAR($B$7))+MONTH(AD$3)-MONTH($B$7))&lt;='Вводные'!$B$77*12),$B$9/MAX(1,'Вводные'!$B$79),0))))</x:f>
      </x:c>
      <x:c r="AE12" s="117" t="n">
        <x:f>MIN(AE10+AE11,IF('Вводные'!$B$75="Единовременно",AE11,IF(AND('Вводные'!$B$84="Да",YEAR(AE$3)=YEAR($B$8),MONTH(AE$3)=MONTH($B$8)),AE10+AE11,IF(AND((12*(YEAR(AE$3)-YEAR($B$7))+MONTH(AE$3)-MONTH($B$7))&gt;0,MOD((12*(YEAR(AE$3)-YEAR($B$7))+MONTH(AE$3)-MONTH($B$7)),'Вводные'!$B$78)=0,(12*(YEAR(AE$3)-YEAR($B$7))+MONTH(AE$3)-MONTH($B$7))&lt;='Вводные'!$B$77*12),$B$9/MAX(1,'Вводные'!$B$79),0))))</x:f>
      </x:c>
      <x:c r="AF12" s="117" t="n">
        <x:f>MIN(AF10+AF11,IF('Вводные'!$B$75="Единовременно",AF11,IF(AND('Вводные'!$B$84="Да",YEAR(AF$3)=YEAR($B$8),MONTH(AF$3)=MONTH($B$8)),AF10+AF11,IF(AND((12*(YEAR(AF$3)-YEAR($B$7))+MONTH(AF$3)-MONTH($B$7))&gt;0,MOD((12*(YEAR(AF$3)-YEAR($B$7))+MONTH(AF$3)-MONTH($B$7)),'Вводные'!$B$78)=0,(12*(YEAR(AF$3)-YEAR($B$7))+MONTH(AF$3)-MONTH($B$7))&lt;='Вводные'!$B$77*12),$B$9/MAX(1,'Вводные'!$B$79),0))))</x:f>
      </x:c>
      <x:c r="AG12" s="117" t="n">
        <x:f>MIN(AG10+AG11,IF('Вводные'!$B$75="Единовременно",AG11,IF(AND('Вводные'!$B$84="Да",YEAR(AG$3)=YEAR($B$8),MONTH(AG$3)=MONTH($B$8)),AG10+AG11,IF(AND((12*(YEAR(AG$3)-YEAR($B$7))+MONTH(AG$3)-MONTH($B$7))&gt;0,MOD((12*(YEAR(AG$3)-YEAR($B$7))+MONTH(AG$3)-MONTH($B$7)),'Вводные'!$B$78)=0,(12*(YEAR(AG$3)-YEAR($B$7))+MONTH(AG$3)-MONTH($B$7))&lt;='Вводные'!$B$77*12),$B$9/MAX(1,'Вводные'!$B$79),0))))</x:f>
      </x:c>
      <x:c r="AH12" s="117" t="n">
        <x:f>MIN(AH10+AH11,IF('Вводные'!$B$75="Единовременно",AH11,IF(AND('Вводные'!$B$84="Да",YEAR(AH$3)=YEAR($B$8),MONTH(AH$3)=MONTH($B$8)),AH10+AH11,IF(AND((12*(YEAR(AH$3)-YEAR($B$7))+MONTH(AH$3)-MONTH($B$7))&gt;0,MOD((12*(YEAR(AH$3)-YEAR($B$7))+MONTH(AH$3)-MONTH($B$7)),'Вводные'!$B$78)=0,(12*(YEAR(AH$3)-YEAR($B$7))+MONTH(AH$3)-MONTH($B$7))&lt;='Вводные'!$B$77*12),$B$9/MAX(1,'Вводные'!$B$79),0))))</x:f>
      </x:c>
      <x:c r="AI12" s="117" t="n">
        <x:f>MIN(AI10+AI11,IF('Вводные'!$B$75="Единовременно",AI11,IF(AND('Вводные'!$B$84="Да",YEAR(AI$3)=YEAR($B$8),MONTH(AI$3)=MONTH($B$8)),AI10+AI11,IF(AND((12*(YEAR(AI$3)-YEAR($B$7))+MONTH(AI$3)-MONTH($B$7))&gt;0,MOD((12*(YEAR(AI$3)-YEAR($B$7))+MONTH(AI$3)-MONTH($B$7)),'Вводные'!$B$78)=0,(12*(YEAR(AI$3)-YEAR($B$7))+MONTH(AI$3)-MONTH($B$7))&lt;='Вводные'!$B$77*12),$B$9/MAX(1,'Вводные'!$B$79),0))))</x:f>
      </x:c>
      <x:c r="AJ12" s="117" t="n">
        <x:f>MIN(AJ10+AJ11,IF('Вводные'!$B$75="Единовременно",AJ11,IF(AND('Вводные'!$B$84="Да",YEAR(AJ$3)=YEAR($B$8),MONTH(AJ$3)=MONTH($B$8)),AJ10+AJ11,IF(AND((12*(YEAR(AJ$3)-YEAR($B$7))+MONTH(AJ$3)-MONTH($B$7))&gt;0,MOD((12*(YEAR(AJ$3)-YEAR($B$7))+MONTH(AJ$3)-MONTH($B$7)),'Вводные'!$B$78)=0,(12*(YEAR(AJ$3)-YEAR($B$7))+MONTH(AJ$3)-MONTH($B$7))&lt;='Вводные'!$B$77*12),$B$9/MAX(1,'Вводные'!$B$79),0))))</x:f>
      </x:c>
      <x:c r="AK12" s="117" t="n">
        <x:f>MIN(AK10+AK11,IF('Вводные'!$B$75="Единовременно",AK11,IF(AND('Вводные'!$B$84="Да",YEAR(AK$3)=YEAR($B$8),MONTH(AK$3)=MONTH($B$8)),AK10+AK11,IF(AND((12*(YEAR(AK$3)-YEAR($B$7))+MONTH(AK$3)-MONTH($B$7))&gt;0,MOD((12*(YEAR(AK$3)-YEAR($B$7))+MONTH(AK$3)-MONTH($B$7)),'Вводные'!$B$78)=0,(12*(YEAR(AK$3)-YEAR($B$7))+MONTH(AK$3)-MONTH($B$7))&lt;='Вводные'!$B$77*12),$B$9/MAX(1,'Вводные'!$B$79),0))))</x:f>
      </x:c>
      <x:c r="AL12" s="117" t="n">
        <x:f>MIN(AL10+AL11,IF('Вводные'!$B$75="Единовременно",AL11,IF(AND('Вводные'!$B$84="Да",YEAR(AL$3)=YEAR($B$8),MONTH(AL$3)=MONTH($B$8)),AL10+AL11,IF(AND((12*(YEAR(AL$3)-YEAR($B$7))+MONTH(AL$3)-MONTH($B$7))&gt;0,MOD((12*(YEAR(AL$3)-YEAR($B$7))+MONTH(AL$3)-MONTH($B$7)),'Вводные'!$B$78)=0,(12*(YEAR(AL$3)-YEAR($B$7))+MONTH(AL$3)-MONTH($B$7))&lt;='Вводные'!$B$77*12),$B$9/MAX(1,'Вводные'!$B$79),0))))</x:f>
      </x:c>
      <x:c r="AM12" s="117" t="n">
        <x:f>MIN(AM10+AM11,IF('Вводные'!$B$75="Единовременно",AM11,IF(AND('Вводные'!$B$84="Да",YEAR(AM$3)=YEAR($B$8),MONTH(AM$3)=MONTH($B$8)),AM10+AM11,IF(AND((12*(YEAR(AM$3)-YEAR($B$7))+MONTH(AM$3)-MONTH($B$7))&gt;0,MOD((12*(YEAR(AM$3)-YEAR($B$7))+MONTH(AM$3)-MONTH($B$7)),'Вводные'!$B$78)=0,(12*(YEAR(AM$3)-YEAR($B$7))+MONTH(AM$3)-MONTH($B$7))&lt;='Вводные'!$B$77*12),$B$9/MAX(1,'Вводные'!$B$79),0))))</x:f>
      </x:c>
      <x:c r="AN12" s="117" t="n">
        <x:f>MIN(AN10+AN11,IF('Вводные'!$B$75="Единовременно",AN11,IF(AND('Вводные'!$B$84="Да",YEAR(AN$3)=YEAR($B$8),MONTH(AN$3)=MONTH($B$8)),AN10+AN11,IF(AND((12*(YEAR(AN$3)-YEAR($B$7))+MONTH(AN$3)-MONTH($B$7))&gt;0,MOD((12*(YEAR(AN$3)-YEAR($B$7))+MONTH(AN$3)-MONTH($B$7)),'Вводные'!$B$78)=0,(12*(YEAR(AN$3)-YEAR($B$7))+MONTH(AN$3)-MONTH($B$7))&lt;='Вводные'!$B$77*12),$B$9/MAX(1,'Вводные'!$B$79),0))))</x:f>
      </x:c>
      <x:c r="AO12" s="117" t="n">
        <x:f>MIN(AO10+AO11,IF('Вводные'!$B$75="Единовременно",AO11,IF(AND('Вводные'!$B$84="Да",YEAR(AO$3)=YEAR($B$8),MONTH(AO$3)=MONTH($B$8)),AO10+AO11,IF(AND((12*(YEAR(AO$3)-YEAR($B$7))+MONTH(AO$3)-MONTH($B$7))&gt;0,MOD((12*(YEAR(AO$3)-YEAR($B$7))+MONTH(AO$3)-MONTH($B$7)),'Вводные'!$B$78)=0,(12*(YEAR(AO$3)-YEAR($B$7))+MONTH(AO$3)-MONTH($B$7))&lt;='Вводные'!$B$77*12),$B$9/MAX(1,'Вводные'!$B$79),0))))</x:f>
      </x:c>
      <x:c r="AP12" s="117" t="n">
        <x:f>MIN(AP10+AP11,IF('Вводные'!$B$75="Единовременно",AP11,IF(AND('Вводные'!$B$84="Да",YEAR(AP$3)=YEAR($B$8),MONTH(AP$3)=MONTH($B$8)),AP10+AP11,IF(AND((12*(YEAR(AP$3)-YEAR($B$7))+MONTH(AP$3)-MONTH($B$7))&gt;0,MOD((12*(YEAR(AP$3)-YEAR($B$7))+MONTH(AP$3)-MONTH($B$7)),'Вводные'!$B$78)=0,(12*(YEAR(AP$3)-YEAR($B$7))+MONTH(AP$3)-MONTH($B$7))&lt;='Вводные'!$B$77*12),$B$9/MAX(1,'Вводные'!$B$79),0))))</x:f>
      </x:c>
      <x:c r="AQ12" s="117" t="n">
        <x:f>MIN(AQ10+AQ11,IF('Вводные'!$B$75="Единовременно",AQ11,IF(AND('Вводные'!$B$84="Да",YEAR(AQ$3)=YEAR($B$8),MONTH(AQ$3)=MONTH($B$8)),AQ10+AQ11,IF(AND((12*(YEAR(AQ$3)-YEAR($B$7))+MONTH(AQ$3)-MONTH($B$7))&gt;0,MOD((12*(YEAR(AQ$3)-YEAR($B$7))+MONTH(AQ$3)-MONTH($B$7)),'Вводные'!$B$78)=0,(12*(YEAR(AQ$3)-YEAR($B$7))+MONTH(AQ$3)-MONTH($B$7))&lt;='Вводные'!$B$77*12),$B$9/MAX(1,'Вводные'!$B$79),0))))</x:f>
      </x:c>
      <x:c r="AR12" s="117" t="n">
        <x:f>MIN(AR10+AR11,IF('Вводные'!$B$75="Единовременно",AR11,IF(AND('Вводные'!$B$84="Да",YEAR(AR$3)=YEAR($B$8),MONTH(AR$3)=MONTH($B$8)),AR10+AR11,IF(AND((12*(YEAR(AR$3)-YEAR($B$7))+MONTH(AR$3)-MONTH($B$7))&gt;0,MOD((12*(YEAR(AR$3)-YEAR($B$7))+MONTH(AR$3)-MONTH($B$7)),'Вводные'!$B$78)=0,(12*(YEAR(AR$3)-YEAR($B$7))+MONTH(AR$3)-MONTH($B$7))&lt;='Вводные'!$B$77*12),$B$9/MAX(1,'Вводные'!$B$79),0))))</x:f>
      </x:c>
      <x:c r="AS12" s="117" t="n">
        <x:f>MIN(AS10+AS11,IF('Вводные'!$B$75="Единовременно",AS11,IF(AND('Вводные'!$B$84="Да",YEAR(AS$3)=YEAR($B$8),MONTH(AS$3)=MONTH($B$8)),AS10+AS11,IF(AND((12*(YEAR(AS$3)-YEAR($B$7))+MONTH(AS$3)-MONTH($B$7))&gt;0,MOD((12*(YEAR(AS$3)-YEAR($B$7))+MONTH(AS$3)-MONTH($B$7)),'Вводные'!$B$78)=0,(12*(YEAR(AS$3)-YEAR($B$7))+MONTH(AS$3)-MONTH($B$7))&lt;='Вводные'!$B$77*12),$B$9/MAX(1,'Вводные'!$B$79),0))))</x:f>
      </x:c>
      <x:c r="AT12" s="117" t="n">
        <x:f>MIN(AT10+AT11,IF('Вводные'!$B$75="Единовременно",AT11,IF(AND('Вводные'!$B$84="Да",YEAR(AT$3)=YEAR($B$8),MONTH(AT$3)=MONTH($B$8)),AT10+AT11,IF(AND((12*(YEAR(AT$3)-YEAR($B$7))+MONTH(AT$3)-MONTH($B$7))&gt;0,MOD((12*(YEAR(AT$3)-YEAR($B$7))+MONTH(AT$3)-MONTH($B$7)),'Вводные'!$B$78)=0,(12*(YEAR(AT$3)-YEAR($B$7))+MONTH(AT$3)-MONTH($B$7))&lt;='Вводные'!$B$77*12),$B$9/MAX(1,'Вводные'!$B$79),0))))</x:f>
      </x:c>
      <x:c r="AU12" s="117" t="n">
        <x:f>MIN(AU10+AU11,IF('Вводные'!$B$75="Единовременно",AU11,IF(AND('Вводные'!$B$84="Да",YEAR(AU$3)=YEAR($B$8),MONTH(AU$3)=MONTH($B$8)),AU10+AU11,IF(AND((12*(YEAR(AU$3)-YEAR($B$7))+MONTH(AU$3)-MONTH($B$7))&gt;0,MOD((12*(YEAR(AU$3)-YEAR($B$7))+MONTH(AU$3)-MONTH($B$7)),'Вводные'!$B$78)=0,(12*(YEAR(AU$3)-YEAR($B$7))+MONTH(AU$3)-MONTH($B$7))&lt;='Вводные'!$B$77*12),$B$9/MAX(1,'Вводные'!$B$79),0))))</x:f>
      </x:c>
      <x:c r="AV12" s="117" t="n">
        <x:f>MIN(AV10+AV11,IF('Вводные'!$B$75="Единовременно",AV11,IF(AND('Вводные'!$B$84="Да",YEAR(AV$3)=YEAR($B$8),MONTH(AV$3)=MONTH($B$8)),AV10+AV11,IF(AND((12*(YEAR(AV$3)-YEAR($B$7))+MONTH(AV$3)-MONTH($B$7))&gt;0,MOD((12*(YEAR(AV$3)-YEAR($B$7))+MONTH(AV$3)-MONTH($B$7)),'Вводные'!$B$78)=0,(12*(YEAR(AV$3)-YEAR($B$7))+MONTH(AV$3)-MONTH($B$7))&lt;='Вводные'!$B$77*12),$B$9/MAX(1,'Вводные'!$B$79),0))))</x:f>
      </x:c>
      <x:c r="AW12" s="117" t="n">
        <x:f>MIN(AW10+AW11,IF('Вводные'!$B$75="Единовременно",AW11,IF(AND('Вводные'!$B$84="Да",YEAR(AW$3)=YEAR($B$8),MONTH(AW$3)=MONTH($B$8)),AW10+AW11,IF(AND((12*(YEAR(AW$3)-YEAR($B$7))+MONTH(AW$3)-MONTH($B$7))&gt;0,MOD((12*(YEAR(AW$3)-YEAR($B$7))+MONTH(AW$3)-MONTH($B$7)),'Вводные'!$B$78)=0,(12*(YEAR(AW$3)-YEAR($B$7))+MONTH(AW$3)-MONTH($B$7))&lt;='Вводные'!$B$77*12),$B$9/MAX(1,'Вводные'!$B$79),0))))</x:f>
      </x:c>
      <x:c r="AX12" s="117" t="n">
        <x:f>MIN(AX10+AX11,IF('Вводные'!$B$75="Единовременно",AX11,IF(AND('Вводные'!$B$84="Да",YEAR(AX$3)=YEAR($B$8),MONTH(AX$3)=MONTH($B$8)),AX10+AX11,IF(AND((12*(YEAR(AX$3)-YEAR($B$7))+MONTH(AX$3)-MONTH($B$7))&gt;0,MOD((12*(YEAR(AX$3)-YEAR($B$7))+MONTH(AX$3)-MONTH($B$7)),'Вводные'!$B$78)=0,(12*(YEAR(AX$3)-YEAR($B$7))+MONTH(AX$3)-MONTH($B$7))&lt;='Вводные'!$B$77*12),$B$9/MAX(1,'Вводные'!$B$79),0))))</x:f>
      </x:c>
      <x:c r="AY12" s="117" t="n">
        <x:f>MIN(AY10+AY11,IF('Вводные'!$B$75="Единовременно",AY11,IF(AND('Вводные'!$B$84="Да",YEAR(AY$3)=YEAR($B$8),MONTH(AY$3)=MONTH($B$8)),AY10+AY11,IF(AND((12*(YEAR(AY$3)-YEAR($B$7))+MONTH(AY$3)-MONTH($B$7))&gt;0,MOD((12*(YEAR(AY$3)-YEAR($B$7))+MONTH(AY$3)-MONTH($B$7)),'Вводные'!$B$78)=0,(12*(YEAR(AY$3)-YEAR($B$7))+MONTH(AY$3)-MONTH($B$7))&lt;='Вводные'!$B$77*12),$B$9/MAX(1,'Вводные'!$B$79),0))))</x:f>
      </x:c>
      <x:c r="AZ12" s="117" t="n">
        <x:f>MIN(AZ10+AZ11,IF('Вводные'!$B$75="Единовременно",AZ11,IF(AND('Вводные'!$B$84="Да",YEAR(AZ$3)=YEAR($B$8),MONTH(AZ$3)=MONTH($B$8)),AZ10+AZ11,IF(AND((12*(YEAR(AZ$3)-YEAR($B$7))+MONTH(AZ$3)-MONTH($B$7))&gt;0,MOD((12*(YEAR(AZ$3)-YEAR($B$7))+MONTH(AZ$3)-MONTH($B$7)),'Вводные'!$B$78)=0,(12*(YEAR(AZ$3)-YEAR($B$7))+MONTH(AZ$3)-MONTH($B$7))&lt;='Вводные'!$B$77*12),$B$9/MAX(1,'Вводные'!$B$79),0))))</x:f>
      </x:c>
      <x:c r="BA12" s="117" t="n">
        <x:f>MIN(BA10+BA11,IF('Вводные'!$B$75="Единовременно",BA11,IF(AND('Вводные'!$B$84="Да",YEAR(BA$3)=YEAR($B$8),MONTH(BA$3)=MONTH($B$8)),BA10+BA11,IF(AND((12*(YEAR(BA$3)-YEAR($B$7))+MONTH(BA$3)-MONTH($B$7))&gt;0,MOD((12*(YEAR(BA$3)-YEAR($B$7))+MONTH(BA$3)-MONTH($B$7)),'Вводные'!$B$78)=0,(12*(YEAR(BA$3)-YEAR($B$7))+MONTH(BA$3)-MONTH($B$7))&lt;='Вводные'!$B$77*12),$B$9/MAX(1,'Вводные'!$B$79),0))))</x:f>
      </x:c>
      <x:c r="BB12" s="117" t="n">
        <x:f>MIN(BB10+BB11,IF('Вводные'!$B$75="Единовременно",BB11,IF(AND('Вводные'!$B$84="Да",YEAR(BB$3)=YEAR($B$8),MONTH(BB$3)=MONTH($B$8)),BB10+BB11,IF(AND((12*(YEAR(BB$3)-YEAR($B$7))+MONTH(BB$3)-MONTH($B$7))&gt;0,MOD((12*(YEAR(BB$3)-YEAR($B$7))+MONTH(BB$3)-MONTH($B$7)),'Вводные'!$B$78)=0,(12*(YEAR(BB$3)-YEAR($B$7))+MONTH(BB$3)-MONTH($B$7))&lt;='Вводные'!$B$77*12),$B$9/MAX(1,'Вводные'!$B$79),0))))</x:f>
      </x:c>
      <x:c r="BC12" s="117" t="n">
        <x:f>MIN(BC10+BC11,IF('Вводные'!$B$75="Единовременно",BC11,IF(AND('Вводные'!$B$84="Да",YEAR(BC$3)=YEAR($B$8),MONTH(BC$3)=MONTH($B$8)),BC10+BC11,IF(AND((12*(YEAR(BC$3)-YEAR($B$7))+MONTH(BC$3)-MONTH($B$7))&gt;0,MOD((12*(YEAR(BC$3)-YEAR($B$7))+MONTH(BC$3)-MONTH($B$7)),'Вводные'!$B$78)=0,(12*(YEAR(BC$3)-YEAR($B$7))+MONTH(BC$3)-MONTH($B$7))&lt;='Вводные'!$B$77*12),$B$9/MAX(1,'Вводные'!$B$79),0))))</x:f>
      </x:c>
      <x:c r="BD12" s="117" t="n">
        <x:f>MIN(BD10+BD11,IF('Вводные'!$B$75="Единовременно",BD11,IF(AND('Вводные'!$B$84="Да",YEAR(BD$3)=YEAR($B$8),MONTH(BD$3)=MONTH($B$8)),BD10+BD11,IF(AND((12*(YEAR(BD$3)-YEAR($B$7))+MONTH(BD$3)-MONTH($B$7))&gt;0,MOD((12*(YEAR(BD$3)-YEAR($B$7))+MONTH(BD$3)-MONTH($B$7)),'Вводные'!$B$78)=0,(12*(YEAR(BD$3)-YEAR($B$7))+MONTH(BD$3)-MONTH($B$7))&lt;='Вводные'!$B$77*12),$B$9/MAX(1,'Вводные'!$B$79),0))))</x:f>
      </x:c>
      <x:c r="BE12" s="117" t="n">
        <x:f>MIN(BE10+BE11,IF('Вводные'!$B$75="Единовременно",BE11,IF(AND('Вводные'!$B$84="Да",YEAR(BE$3)=YEAR($B$8),MONTH(BE$3)=MONTH($B$8)),BE10+BE11,IF(AND((12*(YEAR(BE$3)-YEAR($B$7))+MONTH(BE$3)-MONTH($B$7))&gt;0,MOD((12*(YEAR(BE$3)-YEAR($B$7))+MONTH(BE$3)-MONTH($B$7)),'Вводные'!$B$78)=0,(12*(YEAR(BE$3)-YEAR($B$7))+MONTH(BE$3)-MONTH($B$7))&lt;='Вводные'!$B$77*12),$B$9/MAX(1,'Вводные'!$B$79),0))))</x:f>
      </x:c>
      <x:c r="BF12" s="117" t="n">
        <x:f>MIN(BF10+BF11,IF('Вводные'!$B$75="Единовременно",BF11,IF(AND('Вводные'!$B$84="Да",YEAR(BF$3)=YEAR($B$8),MONTH(BF$3)=MONTH($B$8)),BF10+BF11,IF(AND((12*(YEAR(BF$3)-YEAR($B$7))+MONTH(BF$3)-MONTH($B$7))&gt;0,MOD((12*(YEAR(BF$3)-YEAR($B$7))+MONTH(BF$3)-MONTH($B$7)),'Вводные'!$B$78)=0,(12*(YEAR(BF$3)-YEAR($B$7))+MONTH(BF$3)-MONTH($B$7))&lt;='Вводные'!$B$77*12),$B$9/MAX(1,'Вводные'!$B$79),0))))</x:f>
      </x:c>
      <x:c r="BG12" s="117" t="n">
        <x:f>MIN(BG10+BG11,IF('Вводные'!$B$75="Единовременно",BG11,IF(AND('Вводные'!$B$84="Да",YEAR(BG$3)=YEAR($B$8),MONTH(BG$3)=MONTH($B$8)),BG10+BG11,IF(AND((12*(YEAR(BG$3)-YEAR($B$7))+MONTH(BG$3)-MONTH($B$7))&gt;0,MOD((12*(YEAR(BG$3)-YEAR($B$7))+MONTH(BG$3)-MONTH($B$7)),'Вводные'!$B$78)=0,(12*(YEAR(BG$3)-YEAR($B$7))+MONTH(BG$3)-MONTH($B$7))&lt;='Вводные'!$B$77*12),$B$9/MAX(1,'Вводные'!$B$79),0))))</x:f>
      </x:c>
      <x:c r="BH12" s="117" t="n">
        <x:f>MIN(BH10+BH11,IF('Вводные'!$B$75="Единовременно",BH11,IF(AND('Вводные'!$B$84="Да",YEAR(BH$3)=YEAR($B$8),MONTH(BH$3)=MONTH($B$8)),BH10+BH11,IF(AND((12*(YEAR(BH$3)-YEAR($B$7))+MONTH(BH$3)-MONTH($B$7))&gt;0,MOD((12*(YEAR(BH$3)-YEAR($B$7))+MONTH(BH$3)-MONTH($B$7)),'Вводные'!$B$78)=0,(12*(YEAR(BH$3)-YEAR($B$7))+MONTH(BH$3)-MONTH($B$7))&lt;='Вводные'!$B$77*12),$B$9/MAX(1,'Вводные'!$B$79),0))))</x:f>
      </x:c>
      <x:c r="BI12" s="117" t="n">
        <x:f>MIN(BI10+BI11,IF('Вводные'!$B$75="Единовременно",BI11,IF(AND('Вводные'!$B$84="Да",YEAR(BI$3)=YEAR($B$8),MONTH(BI$3)=MONTH($B$8)),BI10+BI11,IF(AND((12*(YEAR(BI$3)-YEAR($B$7))+MONTH(BI$3)-MONTH($B$7))&gt;0,MOD((12*(YEAR(BI$3)-YEAR($B$7))+MONTH(BI$3)-MONTH($B$7)),'Вводные'!$B$78)=0,(12*(YEAR(BI$3)-YEAR($B$7))+MONTH(BI$3)-MONTH($B$7))&lt;='Вводные'!$B$77*12),$B$9/MAX(1,'Вводные'!$B$79),0))))</x:f>
      </x:c>
      <x:c r="BJ12" s="117" t="n">
        <x:f>MIN(BJ10+BJ11,IF('Вводные'!$B$75="Единовременно",BJ11,IF(AND('Вводные'!$B$84="Да",YEAR(BJ$3)=YEAR($B$8),MONTH(BJ$3)=MONTH($B$8)),BJ10+BJ11,IF(AND((12*(YEAR(BJ$3)-YEAR($B$7))+MONTH(BJ$3)-MONTH($B$7))&gt;0,MOD((12*(YEAR(BJ$3)-YEAR($B$7))+MONTH(BJ$3)-MONTH($B$7)),'Вводные'!$B$78)=0,(12*(YEAR(BJ$3)-YEAR($B$7))+MONTH(BJ$3)-MONTH($B$7))&lt;='Вводные'!$B$77*12),$B$9/MAX(1,'Вводные'!$B$79),0))))</x:f>
      </x:c>
      <x:c r="BK12" s="117" t="n">
        <x:f>MIN(BK10+BK11,IF('Вводные'!$B$75="Единовременно",BK11,IF(AND('Вводные'!$B$84="Да",YEAR(BK$3)=YEAR($B$8),MONTH(BK$3)=MONTH($B$8)),BK10+BK11,IF(AND((12*(YEAR(BK$3)-YEAR($B$7))+MONTH(BK$3)-MONTH($B$7))&gt;0,MOD((12*(YEAR(BK$3)-YEAR($B$7))+MONTH(BK$3)-MONTH($B$7)),'Вводные'!$B$78)=0,(12*(YEAR(BK$3)-YEAR($B$7))+MONTH(BK$3)-MONTH($B$7))&lt;='Вводные'!$B$77*12),$B$9/MAX(1,'Вводные'!$B$79),0))))</x:f>
      </x:c>
      <x:c r="BL12" s="117" t="n">
        <x:f>MIN(BL10+BL11,IF('Вводные'!$B$75="Единовременно",BL11,IF(AND('Вводные'!$B$84="Да",YEAR(BL$3)=YEAR($B$8),MONTH(BL$3)=MONTH($B$8)),BL10+BL11,IF(AND((12*(YEAR(BL$3)-YEAR($B$7))+MONTH(BL$3)-MONTH($B$7))&gt;0,MOD((12*(YEAR(BL$3)-YEAR($B$7))+MONTH(BL$3)-MONTH($B$7)),'Вводные'!$B$78)=0,(12*(YEAR(BL$3)-YEAR($B$7))+MONTH(BL$3)-MONTH($B$7))&lt;='Вводные'!$B$77*12),$B$9/MAX(1,'Вводные'!$B$79),0))))</x:f>
      </x:c>
      <x:c r="BM12" s="117" t="n">
        <x:f>MIN(BM10+BM11,IF('Вводные'!$B$75="Единовременно",BM11,IF(AND('Вводные'!$B$84="Да",YEAR(BM$3)=YEAR($B$8),MONTH(BM$3)=MONTH($B$8)),BM10+BM11,IF(AND((12*(YEAR(BM$3)-YEAR($B$7))+MONTH(BM$3)-MONTH($B$7))&gt;0,MOD((12*(YEAR(BM$3)-YEAR($B$7))+MONTH(BM$3)-MONTH($B$7)),'Вводные'!$B$78)=0,(12*(YEAR(BM$3)-YEAR($B$7))+MONTH(BM$3)-MONTH($B$7))&lt;='Вводные'!$B$77*12),$B$9/MAX(1,'Вводные'!$B$79),0))))</x:f>
      </x:c>
      <x:c r="BN12" s="117" t="n">
        <x:f>MIN(BN10+BN11,IF('Вводные'!$B$75="Единовременно",BN11,IF(AND('Вводные'!$B$84="Да",YEAR(BN$3)=YEAR($B$8),MONTH(BN$3)=MONTH($B$8)),BN10+BN11,IF(AND((12*(YEAR(BN$3)-YEAR($B$7))+MONTH(BN$3)-MONTH($B$7))&gt;0,MOD((12*(YEAR(BN$3)-YEAR($B$7))+MONTH(BN$3)-MONTH($B$7)),'Вводные'!$B$78)=0,(12*(YEAR(BN$3)-YEAR($B$7))+MONTH(BN$3)-MONTH($B$7))&lt;='Вводные'!$B$77*12),$B$9/MAX(1,'Вводные'!$B$79),0))))</x:f>
      </x:c>
      <x:c r="BO12" s="117" t="n">
        <x:f>MIN(BO10+BO11,IF('Вводные'!$B$75="Единовременно",BO11,IF(AND('Вводные'!$B$84="Да",YEAR(BO$3)=YEAR($B$8),MONTH(BO$3)=MONTH($B$8)),BO10+BO11,IF(AND((12*(YEAR(BO$3)-YEAR($B$7))+MONTH(BO$3)-MONTH($B$7))&gt;0,MOD((12*(YEAR(BO$3)-YEAR($B$7))+MONTH(BO$3)-MONTH($B$7)),'Вводные'!$B$78)=0,(12*(YEAR(BO$3)-YEAR($B$7))+MONTH(BO$3)-MONTH($B$7))&lt;='Вводные'!$B$77*12),$B$9/MAX(1,'Вводные'!$B$79),0))))</x:f>
      </x:c>
      <x:c r="BP12" s="117" t="n">
        <x:f>MIN(BP10+BP11,IF('Вводные'!$B$75="Единовременно",BP11,IF(AND('Вводные'!$B$84="Да",YEAR(BP$3)=YEAR($B$8),MONTH(BP$3)=MONTH($B$8)),BP10+BP11,IF(AND((12*(YEAR(BP$3)-YEAR($B$7))+MONTH(BP$3)-MONTH($B$7))&gt;0,MOD((12*(YEAR(BP$3)-YEAR($B$7))+MONTH(BP$3)-MONTH($B$7)),'Вводные'!$B$78)=0,(12*(YEAR(BP$3)-YEAR($B$7))+MONTH(BP$3)-MONTH($B$7))&lt;='Вводные'!$B$77*12),$B$9/MAX(1,'Вводные'!$B$79),0))))</x:f>
      </x:c>
      <x:c r="BQ12" s="117" t="n">
        <x:f>MIN(BQ10+BQ11,IF('Вводные'!$B$75="Единовременно",BQ11,IF(AND('Вводные'!$B$84="Да",YEAR(BQ$3)=YEAR($B$8),MONTH(BQ$3)=MONTH($B$8)),BQ10+BQ11,IF(AND((12*(YEAR(BQ$3)-YEAR($B$7))+MONTH(BQ$3)-MONTH($B$7))&gt;0,MOD((12*(YEAR(BQ$3)-YEAR($B$7))+MONTH(BQ$3)-MONTH($B$7)),'Вводные'!$B$78)=0,(12*(YEAR(BQ$3)-YEAR($B$7))+MONTH(BQ$3)-MONTH($B$7))&lt;='Вводные'!$B$77*12),$B$9/MAX(1,'Вводные'!$B$79),0))))</x:f>
      </x:c>
      <x:c r="BR12" s="117" t="n">
        <x:f>MIN(BR10+BR11,IF('Вводные'!$B$75="Единовременно",BR11,IF(AND('Вводные'!$B$84="Да",YEAR(BR$3)=YEAR($B$8),MONTH(BR$3)=MONTH($B$8)),BR10+BR11,IF(AND((12*(YEAR(BR$3)-YEAR($B$7))+MONTH(BR$3)-MONTH($B$7))&gt;0,MOD((12*(YEAR(BR$3)-YEAR($B$7))+MONTH(BR$3)-MONTH($B$7)),'Вводные'!$B$78)=0,(12*(YEAR(BR$3)-YEAR($B$7))+MONTH(BR$3)-MONTH($B$7))&lt;='Вводные'!$B$77*12),$B$9/MAX(1,'Вводные'!$B$79),0))))</x:f>
      </x:c>
      <x:c r="BS12" s="117" t="n">
        <x:f>MIN(BS10+BS11,IF('Вводные'!$B$75="Единовременно",BS11,IF(AND('Вводные'!$B$84="Да",YEAR(BS$3)=YEAR($B$8),MONTH(BS$3)=MONTH($B$8)),BS10+BS11,IF(AND((12*(YEAR(BS$3)-YEAR($B$7))+MONTH(BS$3)-MONTH($B$7))&gt;0,MOD((12*(YEAR(BS$3)-YEAR($B$7))+MONTH(BS$3)-MONTH($B$7)),'Вводные'!$B$78)=0,(12*(YEAR(BS$3)-YEAR($B$7))+MONTH(BS$3)-MONTH($B$7))&lt;='Вводные'!$B$77*12),$B$9/MAX(1,'Вводные'!$B$79),0))))</x:f>
      </x:c>
      <x:c r="BT12" s="117" t="n">
        <x:f>MIN(BT10+BT11,IF('Вводные'!$B$75="Единовременно",BT11,IF(AND('Вводные'!$B$84="Да",YEAR(BT$3)=YEAR($B$8),MONTH(BT$3)=MONTH($B$8)),BT10+BT11,IF(AND((12*(YEAR(BT$3)-YEAR($B$7))+MONTH(BT$3)-MONTH($B$7))&gt;0,MOD((12*(YEAR(BT$3)-YEAR($B$7))+MONTH(BT$3)-MONTH($B$7)),'Вводные'!$B$78)=0,(12*(YEAR(BT$3)-YEAR($B$7))+MONTH(BT$3)-MONTH($B$7))&lt;='Вводные'!$B$77*12),$B$9/MAX(1,'Вводные'!$B$79),0))))</x:f>
      </x:c>
      <x:c r="BU12" s="117" t="n">
        <x:f>MIN(BU10+BU11,IF('Вводные'!$B$75="Единовременно",BU11,IF(AND('Вводные'!$B$84="Да",YEAR(BU$3)=YEAR($B$8),MONTH(BU$3)=MONTH($B$8)),BU10+BU11,IF(AND((12*(YEAR(BU$3)-YEAR($B$7))+MONTH(BU$3)-MONTH($B$7))&gt;0,MOD((12*(YEAR(BU$3)-YEAR($B$7))+MONTH(BU$3)-MONTH($B$7)),'Вводные'!$B$78)=0,(12*(YEAR(BU$3)-YEAR($B$7))+MONTH(BU$3)-MONTH($B$7))&lt;='Вводные'!$B$77*12),$B$9/MAX(1,'Вводные'!$B$79),0))))</x:f>
      </x:c>
      <x:c r="BV12" s="117" t="n">
        <x:f>MIN(BV10+BV11,IF('Вводные'!$B$75="Единовременно",BV11,IF(AND('Вводные'!$B$84="Да",YEAR(BV$3)=YEAR($B$8),MONTH(BV$3)=MONTH($B$8)),BV10+BV11,IF(AND((12*(YEAR(BV$3)-YEAR($B$7))+MONTH(BV$3)-MONTH($B$7))&gt;0,MOD((12*(YEAR(BV$3)-YEAR($B$7))+MONTH(BV$3)-MONTH($B$7)),'Вводные'!$B$78)=0,(12*(YEAR(BV$3)-YEAR($B$7))+MONTH(BV$3)-MONTH($B$7))&lt;='Вводные'!$B$77*12),$B$9/MAX(1,'Вводные'!$B$79),0))))</x:f>
      </x:c>
      <x:c r="BW12" s="117" t="n">
        <x:f>MIN(BW10+BW11,IF('Вводные'!$B$75="Единовременно",BW11,IF(AND('Вводные'!$B$84="Да",YEAR(BW$3)=YEAR($B$8),MONTH(BW$3)=MONTH($B$8)),BW10+BW11,IF(AND((12*(YEAR(BW$3)-YEAR($B$7))+MONTH(BW$3)-MONTH($B$7))&gt;0,MOD((12*(YEAR(BW$3)-YEAR($B$7))+MONTH(BW$3)-MONTH($B$7)),'Вводные'!$B$78)=0,(12*(YEAR(BW$3)-YEAR($B$7))+MONTH(BW$3)-MONTH($B$7))&lt;='Вводные'!$B$77*12),$B$9/MAX(1,'Вводные'!$B$79),0))))</x:f>
      </x:c>
      <x:c r="BX12" s="117" t="n">
        <x:f>MIN(BX10+BX11,IF('Вводные'!$B$75="Единовременно",BX11,IF(AND('Вводные'!$B$84="Да",YEAR(BX$3)=YEAR($B$8),MONTH(BX$3)=MONTH($B$8)),BX10+BX11,IF(AND((12*(YEAR(BX$3)-YEAR($B$7))+MONTH(BX$3)-MONTH($B$7))&gt;0,MOD((12*(YEAR(BX$3)-YEAR($B$7))+MONTH(BX$3)-MONTH($B$7)),'Вводные'!$B$78)=0,(12*(YEAR(BX$3)-YEAR($B$7))+MONTH(BX$3)-MONTH($B$7))&lt;='Вводные'!$B$77*12),$B$9/MAX(1,'Вводные'!$B$79),0))))</x:f>
      </x:c>
      <x:c r="BY12" s="117" t="n">
        <x:f>MIN(BY10+BY11,IF('Вводные'!$B$75="Единовременно",BY11,IF(AND('Вводные'!$B$84="Да",YEAR(BY$3)=YEAR($B$8),MONTH(BY$3)=MONTH($B$8)),BY10+BY11,IF(AND((12*(YEAR(BY$3)-YEAR($B$7))+MONTH(BY$3)-MONTH($B$7))&gt;0,MOD((12*(YEAR(BY$3)-YEAR($B$7))+MONTH(BY$3)-MONTH($B$7)),'Вводные'!$B$78)=0,(12*(YEAR(BY$3)-YEAR($B$7))+MONTH(BY$3)-MONTH($B$7))&lt;='Вводные'!$B$77*12),$B$9/MAX(1,'Вводные'!$B$79),0))))</x:f>
      </x:c>
      <x:c r="BZ12" s="117" t="n">
        <x:f>MIN(BZ10+BZ11,IF('Вводные'!$B$75="Единовременно",BZ11,IF(AND('Вводные'!$B$84="Да",YEAR(BZ$3)=YEAR($B$8),MONTH(BZ$3)=MONTH($B$8)),BZ10+BZ11,IF(AND((12*(YEAR(BZ$3)-YEAR($B$7))+MONTH(BZ$3)-MONTH($B$7))&gt;0,MOD((12*(YEAR(BZ$3)-YEAR($B$7))+MONTH(BZ$3)-MONTH($B$7)),'Вводные'!$B$78)=0,(12*(YEAR(BZ$3)-YEAR($B$7))+MONTH(BZ$3)-MONTH($B$7))&lt;='Вводные'!$B$77*12),$B$9/MAX(1,'Вводные'!$B$79),0))))</x:f>
      </x:c>
      <x:c r="CA12" s="117" t="n">
        <x:f>MIN(CA10+CA11,IF('Вводные'!$B$75="Единовременно",CA11,IF(AND('Вводные'!$B$84="Да",YEAR(CA$3)=YEAR($B$8),MONTH(CA$3)=MONTH($B$8)),CA10+CA11,IF(AND((12*(YEAR(CA$3)-YEAR($B$7))+MONTH(CA$3)-MONTH($B$7))&gt;0,MOD((12*(YEAR(CA$3)-YEAR($B$7))+MONTH(CA$3)-MONTH($B$7)),'Вводные'!$B$78)=0,(12*(YEAR(CA$3)-YEAR($B$7))+MONTH(CA$3)-MONTH($B$7))&lt;='Вводные'!$B$77*12),$B$9/MAX(1,'Вводные'!$B$79),0))))</x:f>
      </x:c>
      <x:c r="CB12" s="117" t="n">
        <x:f>MIN(CB10+CB11,IF('Вводные'!$B$75="Единовременно",CB11,IF(AND('Вводные'!$B$84="Да",YEAR(CB$3)=YEAR($B$8),MONTH(CB$3)=MONTH($B$8)),CB10+CB11,IF(AND((12*(YEAR(CB$3)-YEAR($B$7))+MONTH(CB$3)-MONTH($B$7))&gt;0,MOD((12*(YEAR(CB$3)-YEAR($B$7))+MONTH(CB$3)-MONTH($B$7)),'Вводные'!$B$78)=0,(12*(YEAR(CB$3)-YEAR($B$7))+MONTH(CB$3)-MONTH($B$7))&lt;='Вводные'!$B$77*12),$B$9/MAX(1,'Вводные'!$B$79),0))))</x:f>
      </x:c>
      <x:c r="CC12" s="117" t="n">
        <x:f>MIN(CC10+CC11,IF('Вводные'!$B$75="Единовременно",CC11,IF(AND('Вводные'!$B$84="Да",YEAR(CC$3)=YEAR($B$8),MONTH(CC$3)=MONTH($B$8)),CC10+CC11,IF(AND((12*(YEAR(CC$3)-YEAR($B$7))+MONTH(CC$3)-MONTH($B$7))&gt;0,MOD((12*(YEAR(CC$3)-YEAR($B$7))+MONTH(CC$3)-MONTH($B$7)),'Вводные'!$B$78)=0,(12*(YEAR(CC$3)-YEAR($B$7))+MONTH(CC$3)-MONTH($B$7))&lt;='Вводные'!$B$77*12),$B$9/MAX(1,'Вводные'!$B$79),0))))</x:f>
      </x:c>
      <x:c r="CD12" s="117" t="n">
        <x:f>MIN(CD10+CD11,IF('Вводные'!$B$75="Единовременно",CD11,IF(AND('Вводные'!$B$84="Да",YEAR(CD$3)=YEAR($B$8),MONTH(CD$3)=MONTH($B$8)),CD10+CD11,IF(AND((12*(YEAR(CD$3)-YEAR($B$7))+MONTH(CD$3)-MONTH($B$7))&gt;0,MOD((12*(YEAR(CD$3)-YEAR($B$7))+MONTH(CD$3)-MONTH($B$7)),'Вводные'!$B$78)=0,(12*(YEAR(CD$3)-YEAR($B$7))+MONTH(CD$3)-MONTH($B$7))&lt;='Вводные'!$B$77*12),$B$9/MAX(1,'Вводные'!$B$79),0))))</x:f>
      </x:c>
      <x:c r="CE12" s="117" t="n">
        <x:f>MIN(CE10+CE11,IF('Вводные'!$B$75="Единовременно",CE11,IF(AND('Вводные'!$B$84="Да",YEAR(CE$3)=YEAR($B$8),MONTH(CE$3)=MONTH($B$8)),CE10+CE11,IF(AND((12*(YEAR(CE$3)-YEAR($B$7))+MONTH(CE$3)-MONTH($B$7))&gt;0,MOD((12*(YEAR(CE$3)-YEAR($B$7))+MONTH(CE$3)-MONTH($B$7)),'Вводные'!$B$78)=0,(12*(YEAR(CE$3)-YEAR($B$7))+MONTH(CE$3)-MONTH($B$7))&lt;='Вводные'!$B$77*12),$B$9/MAX(1,'Вводные'!$B$79),0))))</x:f>
      </x:c>
      <x:c r="CF12" s="117" t="n">
        <x:f>MIN(CF10+CF11,IF('Вводные'!$B$75="Единовременно",CF11,IF(AND('Вводные'!$B$84="Да",YEAR(CF$3)=YEAR($B$8),MONTH(CF$3)=MONTH($B$8)),CF10+CF11,IF(AND((12*(YEAR(CF$3)-YEAR($B$7))+MONTH(CF$3)-MONTH($B$7))&gt;0,MOD((12*(YEAR(CF$3)-YEAR($B$7))+MONTH(CF$3)-MONTH($B$7)),'Вводные'!$B$78)=0,(12*(YEAR(CF$3)-YEAR($B$7))+MONTH(CF$3)-MONTH($B$7))&lt;='Вводные'!$B$77*12),$B$9/MAX(1,'Вводные'!$B$79),0))))</x:f>
      </x:c>
      <x:c r="CG12" s="117" t="n">
        <x:f>MIN(CG10+CG11,IF('Вводные'!$B$75="Единовременно",CG11,IF(AND('Вводные'!$B$84="Да",YEAR(CG$3)=YEAR($B$8),MONTH(CG$3)=MONTH($B$8)),CG10+CG11,IF(AND((12*(YEAR(CG$3)-YEAR($B$7))+MONTH(CG$3)-MONTH($B$7))&gt;0,MOD((12*(YEAR(CG$3)-YEAR($B$7))+MONTH(CG$3)-MONTH($B$7)),'Вводные'!$B$78)=0,(12*(YEAR(CG$3)-YEAR($B$7))+MONTH(CG$3)-MONTH($B$7))&lt;='Вводные'!$B$77*12),$B$9/MAX(1,'Вводные'!$B$79),0))))</x:f>
      </x:c>
      <x:c r="CH12" s="117" t="n">
        <x:f>MIN(CH10+CH11,IF('Вводные'!$B$75="Единовременно",CH11,IF(AND('Вводные'!$B$84="Да",YEAR(CH$3)=YEAR($B$8),MONTH(CH$3)=MONTH($B$8)),CH10+CH11,IF(AND((12*(YEAR(CH$3)-YEAR($B$7))+MONTH(CH$3)-MONTH($B$7))&gt;0,MOD((12*(YEAR(CH$3)-YEAR($B$7))+MONTH(CH$3)-MONTH($B$7)),'Вводные'!$B$78)=0,(12*(YEAR(CH$3)-YEAR($B$7))+MONTH(CH$3)-MONTH($B$7))&lt;='Вводные'!$B$77*12),$B$9/MAX(1,'Вводные'!$B$79),0))))</x:f>
      </x:c>
      <x:c r="CI12" s="117" t="n">
        <x:f>MIN(CI10+CI11,IF('Вводные'!$B$75="Единовременно",CI11,IF(AND('Вводные'!$B$84="Да",YEAR(CI$3)=YEAR($B$8),MONTH(CI$3)=MONTH($B$8)),CI10+CI11,IF(AND((12*(YEAR(CI$3)-YEAR($B$7))+MONTH(CI$3)-MONTH($B$7))&gt;0,MOD((12*(YEAR(CI$3)-YEAR($B$7))+MONTH(CI$3)-MONTH($B$7)),'Вводные'!$B$78)=0,(12*(YEAR(CI$3)-YEAR($B$7))+MONTH(CI$3)-MONTH($B$7))&lt;='Вводные'!$B$77*12),$B$9/MAX(1,'Вводные'!$B$79),0))))</x:f>
      </x:c>
      <x:c r="CJ12" s="117" t="n">
        <x:f>MIN(CJ10+CJ11,IF('Вводные'!$B$75="Единовременно",CJ11,IF(AND('Вводные'!$B$84="Да",YEAR(CJ$3)=YEAR($B$8),MONTH(CJ$3)=MONTH($B$8)),CJ10+CJ11,IF(AND((12*(YEAR(CJ$3)-YEAR($B$7))+MONTH(CJ$3)-MONTH($B$7))&gt;0,MOD((12*(YEAR(CJ$3)-YEAR($B$7))+MONTH(CJ$3)-MONTH($B$7)),'Вводные'!$B$78)=0,(12*(YEAR(CJ$3)-YEAR($B$7))+MONTH(CJ$3)-MONTH($B$7))&lt;='Вводные'!$B$77*12),$B$9/MAX(1,'Вводные'!$B$79),0))))</x:f>
      </x:c>
      <x:c r="CK12" s="117" t="n">
        <x:f>MIN(CK10+CK11,IF('Вводные'!$B$75="Единовременно",CK11,IF(AND('Вводные'!$B$84="Да",YEAR(CK$3)=YEAR($B$8),MONTH(CK$3)=MONTH($B$8)),CK10+CK11,IF(AND((12*(YEAR(CK$3)-YEAR($B$7))+MONTH(CK$3)-MONTH($B$7))&gt;0,MOD((12*(YEAR(CK$3)-YEAR($B$7))+MONTH(CK$3)-MONTH($B$7)),'Вводные'!$B$78)=0,(12*(YEAR(CK$3)-YEAR($B$7))+MONTH(CK$3)-MONTH($B$7))&lt;='Вводные'!$B$77*12),$B$9/MAX(1,'Вводные'!$B$79),0))))</x:f>
      </x:c>
      <x:c r="CL12" s="117" t="n">
        <x:f>MIN(CL10+CL11,IF('Вводные'!$B$75="Единовременно",CL11,IF(AND('Вводные'!$B$84="Да",YEAR(CL$3)=YEAR($B$8),MONTH(CL$3)=MONTH($B$8)),CL10+CL11,IF(AND((12*(YEAR(CL$3)-YEAR($B$7))+MONTH(CL$3)-MONTH($B$7))&gt;0,MOD((12*(YEAR(CL$3)-YEAR($B$7))+MONTH(CL$3)-MONTH($B$7)),'Вводные'!$B$78)=0,(12*(YEAR(CL$3)-YEAR($B$7))+MONTH(CL$3)-MONTH($B$7))&lt;='Вводные'!$B$77*12),$B$9/MAX(1,'Вводные'!$B$79),0))))</x:f>
      </x:c>
      <x:c r="CM12" s="117" t="n">
        <x:f>MIN(CM10+CM11,IF('Вводные'!$B$75="Единовременно",CM11,IF(AND('Вводные'!$B$84="Да",YEAR(CM$3)=YEAR($B$8),MONTH(CM$3)=MONTH($B$8)),CM10+CM11,IF(AND((12*(YEAR(CM$3)-YEAR($B$7))+MONTH(CM$3)-MONTH($B$7))&gt;0,MOD((12*(YEAR(CM$3)-YEAR($B$7))+MONTH(CM$3)-MONTH($B$7)),'Вводные'!$B$78)=0,(12*(YEAR(CM$3)-YEAR($B$7))+MONTH(CM$3)-MONTH($B$7))&lt;='Вводные'!$B$77*12),$B$9/MAX(1,'Вводные'!$B$79),0))))</x:f>
      </x:c>
      <x:c r="CN12" s="117" t="n">
        <x:f>MIN(CN10+CN11,IF('Вводные'!$B$75="Единовременно",CN11,IF(AND('Вводные'!$B$84="Да",YEAR(CN$3)=YEAR($B$8),MONTH(CN$3)=MONTH($B$8)),CN10+CN11,IF(AND((12*(YEAR(CN$3)-YEAR($B$7))+MONTH(CN$3)-MONTH($B$7))&gt;0,MOD((12*(YEAR(CN$3)-YEAR($B$7))+MONTH(CN$3)-MONTH($B$7)),'Вводные'!$B$78)=0,(12*(YEAR(CN$3)-YEAR($B$7))+MONTH(CN$3)-MONTH($B$7))&lt;='Вводные'!$B$77*12),$B$9/MAX(1,'Вводные'!$B$79),0))))</x:f>
      </x:c>
      <x:c r="CO12" s="117" t="n">
        <x:f>MIN(CO10+CO11,IF('Вводные'!$B$75="Единовременно",CO11,IF(AND('Вводные'!$B$84="Да",YEAR(CO$3)=YEAR($B$8),MONTH(CO$3)=MONTH($B$8)),CO10+CO11,IF(AND((12*(YEAR(CO$3)-YEAR($B$7))+MONTH(CO$3)-MONTH($B$7))&gt;0,MOD((12*(YEAR(CO$3)-YEAR($B$7))+MONTH(CO$3)-MONTH($B$7)),'Вводные'!$B$78)=0,(12*(YEAR(CO$3)-YEAR($B$7))+MONTH(CO$3)-MONTH($B$7))&lt;='Вводные'!$B$77*12),$B$9/MAX(1,'Вводные'!$B$79),0))))</x:f>
      </x:c>
      <x:c r="CP12" s="117" t="n">
        <x:f>MIN(CP10+CP11,IF('Вводные'!$B$75="Единовременно",CP11,IF(AND('Вводные'!$B$84="Да",YEAR(CP$3)=YEAR($B$8),MONTH(CP$3)=MONTH($B$8)),CP10+CP11,IF(AND((12*(YEAR(CP$3)-YEAR($B$7))+MONTH(CP$3)-MONTH($B$7))&gt;0,MOD((12*(YEAR(CP$3)-YEAR($B$7))+MONTH(CP$3)-MONTH($B$7)),'Вводные'!$B$78)=0,(12*(YEAR(CP$3)-YEAR($B$7))+MONTH(CP$3)-MONTH($B$7))&lt;='Вводные'!$B$77*12),$B$9/MAX(1,'Вводные'!$B$79),0))))</x:f>
      </x:c>
      <x:c r="CQ12" s="117" t="n">
        <x:f>MIN(CQ10+CQ11,IF('Вводные'!$B$75="Единовременно",CQ11,IF(AND('Вводные'!$B$84="Да",YEAR(CQ$3)=YEAR($B$8),MONTH(CQ$3)=MONTH($B$8)),CQ10+CQ11,IF(AND((12*(YEAR(CQ$3)-YEAR($B$7))+MONTH(CQ$3)-MONTH($B$7))&gt;0,MOD((12*(YEAR(CQ$3)-YEAR($B$7))+MONTH(CQ$3)-MONTH($B$7)),'Вводные'!$B$78)=0,(12*(YEAR(CQ$3)-YEAR($B$7))+MONTH(CQ$3)-MONTH($B$7))&lt;='Вводные'!$B$77*12),$B$9/MAX(1,'Вводные'!$B$79),0))))</x:f>
      </x:c>
      <x:c r="CR12" s="117" t="n">
        <x:f>MIN(CR10+CR11,IF('Вводные'!$B$75="Единовременно",CR11,IF(AND('Вводные'!$B$84="Да",YEAR(CR$3)=YEAR($B$8),MONTH(CR$3)=MONTH($B$8)),CR10+CR11,IF(AND((12*(YEAR(CR$3)-YEAR($B$7))+MONTH(CR$3)-MONTH($B$7))&gt;0,MOD((12*(YEAR(CR$3)-YEAR($B$7))+MONTH(CR$3)-MONTH($B$7)),'Вводные'!$B$78)=0,(12*(YEAR(CR$3)-YEAR($B$7))+MONTH(CR$3)-MONTH($B$7))&lt;='Вводные'!$B$77*12),$B$9/MAX(1,'Вводные'!$B$79),0))))</x:f>
      </x:c>
      <x:c r="CS12" s="117" t="n">
        <x:f>MIN(CS10+CS11,IF('Вводные'!$B$75="Единовременно",CS11,IF(AND('Вводные'!$B$84="Да",YEAR(CS$3)=YEAR($B$8),MONTH(CS$3)=MONTH($B$8)),CS10+CS11,IF(AND((12*(YEAR(CS$3)-YEAR($B$7))+MONTH(CS$3)-MONTH($B$7))&gt;0,MOD((12*(YEAR(CS$3)-YEAR($B$7))+MONTH(CS$3)-MONTH($B$7)),'Вводные'!$B$78)=0,(12*(YEAR(CS$3)-YEAR($B$7))+MONTH(CS$3)-MONTH($B$7))&lt;='Вводные'!$B$77*12),$B$9/MAX(1,'Вводные'!$B$79),0))))</x:f>
      </x:c>
      <x:c r="CT12" s="117" t="n">
        <x:f>MIN(CT10+CT11,IF('Вводные'!$B$75="Единовременно",CT11,IF(AND('Вводные'!$B$84="Да",YEAR(CT$3)=YEAR($B$8),MONTH(CT$3)=MONTH($B$8)),CT10+CT11,IF(AND((12*(YEAR(CT$3)-YEAR($B$7))+MONTH(CT$3)-MONTH($B$7))&gt;0,MOD((12*(YEAR(CT$3)-YEAR($B$7))+MONTH(CT$3)-MONTH($B$7)),'Вводные'!$B$78)=0,(12*(YEAR(CT$3)-YEAR($B$7))+MONTH(CT$3)-MONTH($B$7))&lt;='Вводные'!$B$77*12),$B$9/MAX(1,'Вводные'!$B$79),0))))</x:f>
      </x:c>
      <x:c r="CU12" s="117" t="n">
        <x:f>MIN(CU10+CU11,IF('Вводные'!$B$75="Единовременно",CU11,IF(AND('Вводные'!$B$84="Да",YEAR(CU$3)=YEAR($B$8),MONTH(CU$3)=MONTH($B$8)),CU10+CU11,IF(AND((12*(YEAR(CU$3)-YEAR($B$7))+MONTH(CU$3)-MONTH($B$7))&gt;0,MOD((12*(YEAR(CU$3)-YEAR($B$7))+MONTH(CU$3)-MONTH($B$7)),'Вводные'!$B$78)=0,(12*(YEAR(CU$3)-YEAR($B$7))+MONTH(CU$3)-MONTH($B$7))&lt;='Вводные'!$B$77*12),$B$9/MAX(1,'Вводные'!$B$79),0))))</x:f>
      </x:c>
      <x:c r="CV12" s="117" t="n">
        <x:f>MIN(CV10+CV11,IF('Вводные'!$B$75="Единовременно",CV11,IF(AND('Вводные'!$B$84="Да",YEAR(CV$3)=YEAR($B$8),MONTH(CV$3)=MONTH($B$8)),CV10+CV11,IF(AND((12*(YEAR(CV$3)-YEAR($B$7))+MONTH(CV$3)-MONTH($B$7))&gt;0,MOD((12*(YEAR(CV$3)-YEAR($B$7))+MONTH(CV$3)-MONTH($B$7)),'Вводные'!$B$78)=0,(12*(YEAR(CV$3)-YEAR($B$7))+MONTH(CV$3)-MONTH($B$7))&lt;='Вводные'!$B$77*12),$B$9/MAX(1,'Вводные'!$B$79),0))))</x:f>
      </x:c>
      <x:c r="CW12" s="117" t="n">
        <x:f>MIN(CW10+CW11,IF('Вводные'!$B$75="Единовременно",CW11,IF(AND('Вводные'!$B$84="Да",YEAR(CW$3)=YEAR($B$8),MONTH(CW$3)=MONTH($B$8)),CW10+CW11,IF(AND((12*(YEAR(CW$3)-YEAR($B$7))+MONTH(CW$3)-MONTH($B$7))&gt;0,MOD((12*(YEAR(CW$3)-YEAR($B$7))+MONTH(CW$3)-MONTH($B$7)),'Вводные'!$B$78)=0,(12*(YEAR(CW$3)-YEAR($B$7))+MONTH(CW$3)-MONTH($B$7))&lt;='Вводные'!$B$77*12),$B$9/MAX(1,'Вводные'!$B$79),0))))</x:f>
      </x:c>
      <x:c r="CX12" s="117" t="n">
        <x:f>MIN(CX10+CX11,IF('Вводные'!$B$75="Единовременно",CX11,IF(AND('Вводные'!$B$84="Да",YEAR(CX$3)=YEAR($B$8),MONTH(CX$3)=MONTH($B$8)),CX10+CX11,IF(AND((12*(YEAR(CX$3)-YEAR($B$7))+MONTH(CX$3)-MONTH($B$7))&gt;0,MOD((12*(YEAR(CX$3)-YEAR($B$7))+MONTH(CX$3)-MONTH($B$7)),'Вводные'!$B$78)=0,(12*(YEAR(CX$3)-YEAR($B$7))+MONTH(CX$3)-MONTH($B$7))&lt;='Вводные'!$B$77*12),$B$9/MAX(1,'Вводные'!$B$79),0))))</x:f>
      </x:c>
      <x:c r="CY12" s="117" t="n">
        <x:f>MIN(CY10+CY11,IF('Вводные'!$B$75="Единовременно",CY11,IF(AND('Вводные'!$B$84="Да",YEAR(CY$3)=YEAR($B$8),MONTH(CY$3)=MONTH($B$8)),CY10+CY11,IF(AND((12*(YEAR(CY$3)-YEAR($B$7))+MONTH(CY$3)-MONTH($B$7))&gt;0,MOD((12*(YEAR(CY$3)-YEAR($B$7))+MONTH(CY$3)-MONTH($B$7)),'Вводные'!$B$78)=0,(12*(YEAR(CY$3)-YEAR($B$7))+MONTH(CY$3)-MONTH($B$7))&lt;='Вводные'!$B$77*12),$B$9/MAX(1,'Вводные'!$B$79),0))))</x:f>
      </x:c>
      <x:c r="CZ12" s="117" t="n">
        <x:f>MIN(CZ10+CZ11,IF('Вводные'!$B$75="Единовременно",CZ11,IF(AND('Вводные'!$B$84="Да",YEAR(CZ$3)=YEAR($B$8),MONTH(CZ$3)=MONTH($B$8)),CZ10+CZ11,IF(AND((12*(YEAR(CZ$3)-YEAR($B$7))+MONTH(CZ$3)-MONTH($B$7))&gt;0,MOD((12*(YEAR(CZ$3)-YEAR($B$7))+MONTH(CZ$3)-MONTH($B$7)),'Вводные'!$B$78)=0,(12*(YEAR(CZ$3)-YEAR($B$7))+MONTH(CZ$3)-MONTH($B$7))&lt;='Вводные'!$B$77*12),$B$9/MAX(1,'Вводные'!$B$79),0))))</x:f>
      </x:c>
      <x:c r="DA12" s="117" t="n">
        <x:f>MIN(DA10+DA11,IF('Вводные'!$B$75="Единовременно",DA11,IF(AND('Вводные'!$B$84="Да",YEAR(DA$3)=YEAR($B$8),MONTH(DA$3)=MONTH($B$8)),DA10+DA11,IF(AND((12*(YEAR(DA$3)-YEAR($B$7))+MONTH(DA$3)-MONTH($B$7))&gt;0,MOD((12*(YEAR(DA$3)-YEAR($B$7))+MONTH(DA$3)-MONTH($B$7)),'Вводные'!$B$78)=0,(12*(YEAR(DA$3)-YEAR($B$7))+MONTH(DA$3)-MONTH($B$7))&lt;='Вводные'!$B$77*12),$B$9/MAX(1,'Вводные'!$B$79),0))))</x:f>
      </x:c>
      <x:c r="DB12" s="117" t="n">
        <x:f>MIN(DB10+DB11,IF('Вводные'!$B$75="Единовременно",DB11,IF(AND('Вводные'!$B$84="Да",YEAR(DB$3)=YEAR($B$8),MONTH(DB$3)=MONTH($B$8)),DB10+DB11,IF(AND((12*(YEAR(DB$3)-YEAR($B$7))+MONTH(DB$3)-MONTH($B$7))&gt;0,MOD((12*(YEAR(DB$3)-YEAR($B$7))+MONTH(DB$3)-MONTH($B$7)),'Вводные'!$B$78)=0,(12*(YEAR(DB$3)-YEAR($B$7))+MONTH(DB$3)-MONTH($B$7))&lt;='Вводные'!$B$77*12),$B$9/MAX(1,'Вводные'!$B$79),0))))</x:f>
      </x:c>
      <x:c r="DC12" s="117" t="n">
        <x:f>MIN(DC10+DC11,IF('Вводные'!$B$75="Единовременно",DC11,IF(AND('Вводные'!$B$84="Да",YEAR(DC$3)=YEAR($B$8),MONTH(DC$3)=MONTH($B$8)),DC10+DC11,IF(AND((12*(YEAR(DC$3)-YEAR($B$7))+MONTH(DC$3)-MONTH($B$7))&gt;0,MOD((12*(YEAR(DC$3)-YEAR($B$7))+MONTH(DC$3)-MONTH($B$7)),'Вводные'!$B$78)=0,(12*(YEAR(DC$3)-YEAR($B$7))+MONTH(DC$3)-MONTH($B$7))&lt;='Вводные'!$B$77*12),$B$9/MAX(1,'Вводные'!$B$79),0))))</x:f>
      </x:c>
      <x:c r="DD12" s="117" t="n">
        <x:f>MIN(DD10+DD11,IF('Вводные'!$B$75="Единовременно",DD11,IF(AND('Вводные'!$B$84="Да",YEAR(DD$3)=YEAR($B$8),MONTH(DD$3)=MONTH($B$8)),DD10+DD11,IF(AND((12*(YEAR(DD$3)-YEAR($B$7))+MONTH(DD$3)-MONTH($B$7))&gt;0,MOD((12*(YEAR(DD$3)-YEAR($B$7))+MONTH(DD$3)-MONTH($B$7)),'Вводные'!$B$78)=0,(12*(YEAR(DD$3)-YEAR($B$7))+MONTH(DD$3)-MONTH($B$7))&lt;='Вводные'!$B$77*12),$B$9/MAX(1,'Вводные'!$B$79),0))))</x:f>
      </x:c>
      <x:c r="DE12" s="117" t="n">
        <x:f>MIN(DE10+DE11,IF('Вводные'!$B$75="Единовременно",DE11,IF(AND('Вводные'!$B$84="Да",YEAR(DE$3)=YEAR($B$8),MONTH(DE$3)=MONTH($B$8)),DE10+DE11,IF(AND((12*(YEAR(DE$3)-YEAR($B$7))+MONTH(DE$3)-MONTH($B$7))&gt;0,MOD((12*(YEAR(DE$3)-YEAR($B$7))+MONTH(DE$3)-MONTH($B$7)),'Вводные'!$B$78)=0,(12*(YEAR(DE$3)-YEAR($B$7))+MONTH(DE$3)-MONTH($B$7))&lt;='Вводные'!$B$77*12),$B$9/MAX(1,'Вводные'!$B$79),0))))</x:f>
      </x:c>
      <x:c r="DF12" s="117" t="n">
        <x:f>MIN(DF10+DF11,IF('Вводные'!$B$75="Единовременно",DF11,IF(AND('Вводные'!$B$84="Да",YEAR(DF$3)=YEAR($B$8),MONTH(DF$3)=MONTH($B$8)),DF10+DF11,IF(AND((12*(YEAR(DF$3)-YEAR($B$7))+MONTH(DF$3)-MONTH($B$7))&gt;0,MOD((12*(YEAR(DF$3)-YEAR($B$7))+MONTH(DF$3)-MONTH($B$7)),'Вводные'!$B$78)=0,(12*(YEAR(DF$3)-YEAR($B$7))+MONTH(DF$3)-MONTH($B$7))&lt;='Вводные'!$B$77*12),$B$9/MAX(1,'Вводные'!$B$79),0))))</x:f>
      </x:c>
      <x:c r="DG12" s="117" t="n">
        <x:f>MIN(DG10+DG11,IF('Вводные'!$B$75="Единовременно",DG11,IF(AND('Вводные'!$B$84="Да",YEAR(DG$3)=YEAR($B$8),MONTH(DG$3)=MONTH($B$8)),DG10+DG11,IF(AND((12*(YEAR(DG$3)-YEAR($B$7))+MONTH(DG$3)-MONTH($B$7))&gt;0,MOD((12*(YEAR(DG$3)-YEAR($B$7))+MONTH(DG$3)-MONTH($B$7)),'Вводные'!$B$78)=0,(12*(YEAR(DG$3)-YEAR($B$7))+MONTH(DG$3)-MONTH($B$7))&lt;='Вводные'!$B$77*12),$B$9/MAX(1,'Вводные'!$B$79),0))))</x:f>
      </x:c>
      <x:c r="DH12" s="117" t="n">
        <x:f>MIN(DH10+DH11,IF('Вводные'!$B$75="Единовременно",DH11,IF(AND('Вводные'!$B$84="Да",YEAR(DH$3)=YEAR($B$8),MONTH(DH$3)=MONTH($B$8)),DH10+DH11,IF(AND((12*(YEAR(DH$3)-YEAR($B$7))+MONTH(DH$3)-MONTH($B$7))&gt;0,MOD((12*(YEAR(DH$3)-YEAR($B$7))+MONTH(DH$3)-MONTH($B$7)),'Вводные'!$B$78)=0,(12*(YEAR(DH$3)-YEAR($B$7))+MONTH(DH$3)-MONTH($B$7))&lt;='Вводные'!$B$77*12),$B$9/MAX(1,'Вводные'!$B$79),0))))</x:f>
      </x:c>
      <x:c r="DI12" s="117" t="n">
        <x:f>MIN(DI10+DI11,IF('Вводные'!$B$75="Единовременно",DI11,IF(AND('Вводные'!$B$84="Да",YEAR(DI$3)=YEAR($B$8),MONTH(DI$3)=MONTH($B$8)),DI10+DI11,IF(AND((12*(YEAR(DI$3)-YEAR($B$7))+MONTH(DI$3)-MONTH($B$7))&gt;0,MOD((12*(YEAR(DI$3)-YEAR($B$7))+MONTH(DI$3)-MONTH($B$7)),'Вводные'!$B$78)=0,(12*(YEAR(DI$3)-YEAR($B$7))+MONTH(DI$3)-MONTH($B$7))&lt;='Вводные'!$B$77*12),$B$9/MAX(1,'Вводные'!$B$79),0))))</x:f>
      </x:c>
      <x:c r="DJ12" s="117" t="n">
        <x:f>MIN(DJ10+DJ11,IF('Вводные'!$B$75="Единовременно",DJ11,IF(AND('Вводные'!$B$84="Да",YEAR(DJ$3)=YEAR($B$8),MONTH(DJ$3)=MONTH($B$8)),DJ10+DJ11,IF(AND((12*(YEAR(DJ$3)-YEAR($B$7))+MONTH(DJ$3)-MONTH($B$7))&gt;0,MOD((12*(YEAR(DJ$3)-YEAR($B$7))+MONTH(DJ$3)-MONTH($B$7)),'Вводные'!$B$78)=0,(12*(YEAR(DJ$3)-YEAR($B$7))+MONTH(DJ$3)-MONTH($B$7))&lt;='Вводные'!$B$77*12),$B$9/MAX(1,'Вводные'!$B$79),0))))</x:f>
      </x:c>
      <x:c r="DK12" s="117" t="n">
        <x:f>MIN(DK10+DK11,IF('Вводные'!$B$75="Единовременно",DK11,IF(AND('Вводные'!$B$84="Да",YEAR(DK$3)=YEAR($B$8),MONTH(DK$3)=MONTH($B$8)),DK10+DK11,IF(AND((12*(YEAR(DK$3)-YEAR($B$7))+MONTH(DK$3)-MONTH($B$7))&gt;0,MOD((12*(YEAR(DK$3)-YEAR($B$7))+MONTH(DK$3)-MONTH($B$7)),'Вводные'!$B$78)=0,(12*(YEAR(DK$3)-YEAR($B$7))+MONTH(DK$3)-MONTH($B$7))&lt;='Вводные'!$B$77*12),$B$9/MAX(1,'Вводные'!$B$79),0))))</x:f>
      </x:c>
      <x:c r="DL12" s="117" t="n">
        <x:f>MIN(DL10+DL11,IF('Вводные'!$B$75="Единовременно",DL11,IF(AND('Вводные'!$B$84="Да",YEAR(DL$3)=YEAR($B$8),MONTH(DL$3)=MONTH($B$8)),DL10+DL11,IF(AND((12*(YEAR(DL$3)-YEAR($B$7))+MONTH(DL$3)-MONTH($B$7))&gt;0,MOD((12*(YEAR(DL$3)-YEAR($B$7))+MONTH(DL$3)-MONTH($B$7)),'Вводные'!$B$78)=0,(12*(YEAR(DL$3)-YEAR($B$7))+MONTH(DL$3)-MONTH($B$7))&lt;='Вводные'!$B$77*12),$B$9/MAX(1,'Вводные'!$B$79),0))))</x:f>
      </x:c>
      <x:c r="DM12" s="117" t="n">
        <x:f>MIN(DM10+DM11,IF('Вводные'!$B$75="Единовременно",DM11,IF(AND('Вводные'!$B$84="Да",YEAR(DM$3)=YEAR($B$8),MONTH(DM$3)=MONTH($B$8)),DM10+DM11,IF(AND((12*(YEAR(DM$3)-YEAR($B$7))+MONTH(DM$3)-MONTH($B$7))&gt;0,MOD((12*(YEAR(DM$3)-YEAR($B$7))+MONTH(DM$3)-MONTH($B$7)),'Вводные'!$B$78)=0,(12*(YEAR(DM$3)-YEAR($B$7))+MONTH(DM$3)-MONTH($B$7))&lt;='Вводные'!$B$77*12),$B$9/MAX(1,'Вводные'!$B$79),0))))</x:f>
      </x:c>
      <x:c r="DN12" s="117" t="n">
        <x:f>MIN(DN10+DN11,IF('Вводные'!$B$75="Единовременно",DN11,IF(AND('Вводные'!$B$84="Да",YEAR(DN$3)=YEAR($B$8),MONTH(DN$3)=MONTH($B$8)),DN10+DN11,IF(AND((12*(YEAR(DN$3)-YEAR($B$7))+MONTH(DN$3)-MONTH($B$7))&gt;0,MOD((12*(YEAR(DN$3)-YEAR($B$7))+MONTH(DN$3)-MONTH($B$7)),'Вводные'!$B$78)=0,(12*(YEAR(DN$3)-YEAR($B$7))+MONTH(DN$3)-MONTH($B$7))&lt;='Вводные'!$B$77*12),$B$9/MAX(1,'Вводные'!$B$79),0))))</x:f>
      </x:c>
      <x:c r="DO12" s="117" t="n">
        <x:f>MIN(DO10+DO11,IF('Вводные'!$B$75="Единовременно",DO11,IF(AND('Вводные'!$B$84="Да",YEAR(DO$3)=YEAR($B$8),MONTH(DO$3)=MONTH($B$8)),DO10+DO11,IF(AND((12*(YEAR(DO$3)-YEAR($B$7))+MONTH(DO$3)-MONTH($B$7))&gt;0,MOD((12*(YEAR(DO$3)-YEAR($B$7))+MONTH(DO$3)-MONTH($B$7)),'Вводные'!$B$78)=0,(12*(YEAR(DO$3)-YEAR($B$7))+MONTH(DO$3)-MONTH($B$7))&lt;='Вводные'!$B$77*12),$B$9/MAX(1,'Вводные'!$B$79),0))))</x:f>
      </x:c>
      <x:c r="DP12" s="117" t="n">
        <x:f>MIN(DP10+DP11,IF('Вводные'!$B$75="Единовременно",DP11,IF(AND('Вводные'!$B$84="Да",YEAR(DP$3)=YEAR($B$8),MONTH(DP$3)=MONTH($B$8)),DP10+DP11,IF(AND((12*(YEAR(DP$3)-YEAR($B$7))+MONTH(DP$3)-MONTH($B$7))&gt;0,MOD((12*(YEAR(DP$3)-YEAR($B$7))+MONTH(DP$3)-MONTH($B$7)),'Вводные'!$B$78)=0,(12*(YEAR(DP$3)-YEAR($B$7))+MONTH(DP$3)-MONTH($B$7))&lt;='Вводные'!$B$77*12),$B$9/MAX(1,'Вводные'!$B$79),0))))</x:f>
      </x:c>
      <x:c r="DQ12" s="117" t="n">
        <x:f>MIN(DQ10+DQ11,IF('Вводные'!$B$75="Единовременно",DQ11,IF(AND('Вводные'!$B$84="Да",YEAR(DQ$3)=YEAR($B$8),MONTH(DQ$3)=MONTH($B$8)),DQ10+DQ11,IF(AND((12*(YEAR(DQ$3)-YEAR($B$7))+MONTH(DQ$3)-MONTH($B$7))&gt;0,MOD((12*(YEAR(DQ$3)-YEAR($B$7))+MONTH(DQ$3)-MONTH($B$7)),'Вводные'!$B$78)=0,(12*(YEAR(DQ$3)-YEAR($B$7))+MONTH(DQ$3)-MONTH($B$7))&lt;='Вводные'!$B$77*12),$B$9/MAX(1,'Вводные'!$B$79),0))))</x:f>
      </x:c>
      <x:c r="DR12" s="117" t="n">
        <x:f>MIN(DR10+DR11,IF('Вводные'!$B$75="Единовременно",DR11,IF(AND('Вводные'!$B$84="Да",YEAR(DR$3)=YEAR($B$8),MONTH(DR$3)=MONTH($B$8)),DR10+DR11,IF(AND((12*(YEAR(DR$3)-YEAR($B$7))+MONTH(DR$3)-MONTH($B$7))&gt;0,MOD((12*(YEAR(DR$3)-YEAR($B$7))+MONTH(DR$3)-MONTH($B$7)),'Вводные'!$B$78)=0,(12*(YEAR(DR$3)-YEAR($B$7))+MONTH(DR$3)-MONTH($B$7))&lt;='Вводные'!$B$77*12),$B$9/MAX(1,'Вводные'!$B$79),0))))</x:f>
      </x:c>
      <x:c r="DS12" s="117" t="n">
        <x:f>MIN(DS10+DS11,IF('Вводные'!$B$75="Единовременно",DS11,IF(AND('Вводные'!$B$84="Да",YEAR(DS$3)=YEAR($B$8),MONTH(DS$3)=MONTH($B$8)),DS10+DS11,IF(AND((12*(YEAR(DS$3)-YEAR($B$7))+MONTH(DS$3)-MONTH($B$7))&gt;0,MOD((12*(YEAR(DS$3)-YEAR($B$7))+MONTH(DS$3)-MONTH($B$7)),'Вводные'!$B$78)=0,(12*(YEAR(DS$3)-YEAR($B$7))+MONTH(DS$3)-MONTH($B$7))&lt;='Вводные'!$B$77*12),$B$9/MAX(1,'Вводные'!$B$79),0))))</x:f>
      </x:c>
      <x:c r="DT12" s="117" t="n">
        <x:f>MIN(DT10+DT11,IF('Вводные'!$B$75="Единовременно",DT11,IF(AND('Вводные'!$B$84="Да",YEAR(DT$3)=YEAR($B$8),MONTH(DT$3)=MONTH($B$8)),DT10+DT11,IF(AND((12*(YEAR(DT$3)-YEAR($B$7))+MONTH(DT$3)-MONTH($B$7))&gt;0,MOD((12*(YEAR(DT$3)-YEAR($B$7))+MONTH(DT$3)-MONTH($B$7)),'Вводные'!$B$78)=0,(12*(YEAR(DT$3)-YEAR($B$7))+MONTH(DT$3)-MONTH($B$7))&lt;='Вводные'!$B$77*12),$B$9/MAX(1,'Вводные'!$B$79),0))))</x:f>
      </x:c>
      <x:c r="DU12" s="117" t="n">
        <x:f>MIN(DU10+DU11,IF('Вводные'!$B$75="Единовременно",DU11,IF(AND('Вводные'!$B$84="Да",YEAR(DU$3)=YEAR($B$8),MONTH(DU$3)=MONTH($B$8)),DU10+DU11,IF(AND((12*(YEAR(DU$3)-YEAR($B$7))+MONTH(DU$3)-MONTH($B$7))&gt;0,MOD((12*(YEAR(DU$3)-YEAR($B$7))+MONTH(DU$3)-MONTH($B$7)),'Вводные'!$B$78)=0,(12*(YEAR(DU$3)-YEAR($B$7))+MONTH(DU$3)-MONTH($B$7))&lt;='Вводные'!$B$77*12),$B$9/MAX(1,'Вводные'!$B$79),0))))</x:f>
      </x:c>
      <x:c r="DV12" s="117" t="n">
        <x:f>MIN(DV10+DV11,IF('Вводные'!$B$75="Единовременно",DV11,IF(AND('Вводные'!$B$84="Да",YEAR(DV$3)=YEAR($B$8),MONTH(DV$3)=MONTH($B$8)),DV10+DV11,IF(AND((12*(YEAR(DV$3)-YEAR($B$7))+MONTH(DV$3)-MONTH($B$7))&gt;0,MOD((12*(YEAR(DV$3)-YEAR($B$7))+MONTH(DV$3)-MONTH($B$7)),'Вводные'!$B$78)=0,(12*(YEAR(DV$3)-YEAR($B$7))+MONTH(DV$3)-MONTH($B$7))&lt;='Вводные'!$B$77*12),$B$9/MAX(1,'Вводные'!$B$79),0))))</x:f>
      </x:c>
      <x:c r="DW12" s="117" t="n">
        <x:f>MIN(DW10+DW11,IF('Вводные'!$B$75="Единовременно",DW11,IF(AND('Вводные'!$B$84="Да",YEAR(DW$3)=YEAR($B$8),MONTH(DW$3)=MONTH($B$8)),DW10+DW11,IF(AND((12*(YEAR(DW$3)-YEAR($B$7))+MONTH(DW$3)-MONTH($B$7))&gt;0,MOD((12*(YEAR(DW$3)-YEAR($B$7))+MONTH(DW$3)-MONTH($B$7)),'Вводные'!$B$78)=0,(12*(YEAR(DW$3)-YEAR($B$7))+MONTH(DW$3)-MONTH($B$7))&lt;='Вводные'!$B$77*12),$B$9/MAX(1,'Вводные'!$B$79),0))))</x:f>
      </x:c>
      <x:c r="DX12" s="117" t="n">
        <x:f>MIN(DX10+DX11,IF('Вводные'!$B$75="Единовременно",DX11,IF(AND('Вводные'!$B$84="Да",YEAR(DX$3)=YEAR($B$8),MONTH(DX$3)=MONTH($B$8)),DX10+DX11,IF(AND((12*(YEAR(DX$3)-YEAR($B$7))+MONTH(DX$3)-MONTH($B$7))&gt;0,MOD((12*(YEAR(DX$3)-YEAR($B$7))+MONTH(DX$3)-MONTH($B$7)),'Вводные'!$B$78)=0,(12*(YEAR(DX$3)-YEAR($B$7))+MONTH(DX$3)-MONTH($B$7))&lt;='Вводные'!$B$77*12),$B$9/MAX(1,'Вводные'!$B$79),0))))</x:f>
      </x:c>
      <x:c r="DY12" s="117" t="n">
        <x:f>MIN(DY10+DY11,IF('Вводные'!$B$75="Единовременно",DY11,IF(AND('Вводные'!$B$84="Да",YEAR(DY$3)=YEAR($B$8),MONTH(DY$3)=MONTH($B$8)),DY10+DY11,IF(AND((12*(YEAR(DY$3)-YEAR($B$7))+MONTH(DY$3)-MONTH($B$7))&gt;0,MOD((12*(YEAR(DY$3)-YEAR($B$7))+MONTH(DY$3)-MONTH($B$7)),'Вводные'!$B$78)=0,(12*(YEAR(DY$3)-YEAR($B$7))+MONTH(DY$3)-MONTH($B$7))&lt;='Вводные'!$B$77*12),$B$9/MAX(1,'Вводные'!$B$79),0))))</x:f>
      </x:c>
      <x:c r="DZ12" s="117" t="n">
        <x:f>MIN(DZ10+DZ11,IF('Вводные'!$B$75="Единовременно",DZ11,IF(AND('Вводные'!$B$84="Да",YEAR(DZ$3)=YEAR($B$8),MONTH(DZ$3)=MONTH($B$8)),DZ10+DZ11,IF(AND((12*(YEAR(DZ$3)-YEAR($B$7))+MONTH(DZ$3)-MONTH($B$7))&gt;0,MOD((12*(YEAR(DZ$3)-YEAR($B$7))+MONTH(DZ$3)-MONTH($B$7)),'Вводные'!$B$78)=0,(12*(YEAR(DZ$3)-YEAR($B$7))+MONTH(DZ$3)-MONTH($B$7))&lt;='Вводные'!$B$77*12),$B$9/MAX(1,'Вводные'!$B$79),0))))</x:f>
      </x:c>
      <x:c r="EA12" s="117" t="n">
        <x:f>MIN(EA10+EA11,IF('Вводные'!$B$75="Единовременно",EA11,IF(AND('Вводные'!$B$84="Да",YEAR(EA$3)=YEAR($B$8),MONTH(EA$3)=MONTH($B$8)),EA10+EA11,IF(AND((12*(YEAR(EA$3)-YEAR($B$7))+MONTH(EA$3)-MONTH($B$7))&gt;0,MOD((12*(YEAR(EA$3)-YEAR($B$7))+MONTH(EA$3)-MONTH($B$7)),'Вводные'!$B$78)=0,(12*(YEAR(EA$3)-YEAR($B$7))+MONTH(EA$3)-MONTH($B$7))&lt;='Вводные'!$B$77*12),$B$9/MAX(1,'Вводные'!$B$79),0))))</x:f>
      </x:c>
      <x:c r="EB12" s="117" t="n">
        <x:f>MIN(EB10+EB11,IF('Вводные'!$B$75="Единовременно",EB11,IF(AND('Вводные'!$B$84="Да",YEAR(EB$3)=YEAR($B$8),MONTH(EB$3)=MONTH($B$8)),EB10+EB11,IF(AND((12*(YEAR(EB$3)-YEAR($B$7))+MONTH(EB$3)-MONTH($B$7))&gt;0,MOD((12*(YEAR(EB$3)-YEAR($B$7))+MONTH(EB$3)-MONTH($B$7)),'Вводные'!$B$78)=0,(12*(YEAR(EB$3)-YEAR($B$7))+MONTH(EB$3)-MONTH($B$7))&lt;='Вводные'!$B$77*12),$B$9/MAX(1,'Вводные'!$B$79),0))))</x:f>
      </x:c>
      <x:c r="EC12" s="117" t="n">
        <x:f>MIN(EC10+EC11,IF('Вводные'!$B$75="Единовременно",EC11,IF(AND('Вводные'!$B$84="Да",YEAR(EC$3)=YEAR($B$8),MONTH(EC$3)=MONTH($B$8)),EC10+EC11,IF(AND((12*(YEAR(EC$3)-YEAR($B$7))+MONTH(EC$3)-MONTH($B$7))&gt;0,MOD((12*(YEAR(EC$3)-YEAR($B$7))+MONTH(EC$3)-MONTH($B$7)),'Вводные'!$B$78)=0,(12*(YEAR(EC$3)-YEAR($B$7))+MONTH(EC$3)-MONTH($B$7))&lt;='Вводные'!$B$77*12),$B$9/MAX(1,'Вводные'!$B$79),0))))</x:f>
      </x:c>
      <x:c r="ED12" s="117" t="n">
        <x:f>MIN(ED10+ED11,IF('Вводные'!$B$75="Единовременно",ED11,IF(AND('Вводные'!$B$84="Да",YEAR(ED$3)=YEAR($B$8),MONTH(ED$3)=MONTH($B$8)),ED10+ED11,IF(AND((12*(YEAR(ED$3)-YEAR($B$7))+MONTH(ED$3)-MONTH($B$7))&gt;0,MOD((12*(YEAR(ED$3)-YEAR($B$7))+MONTH(ED$3)-MONTH($B$7)),'Вводные'!$B$78)=0,(12*(YEAR(ED$3)-YEAR($B$7))+MONTH(ED$3)-MONTH($B$7))&lt;='Вводные'!$B$77*12),$B$9/MAX(1,'Вводные'!$B$79),0))))</x:f>
      </x:c>
      <x:c r="EE12" s="117" t="n">
        <x:f>MIN(EE10+EE11,IF('Вводные'!$B$75="Единовременно",EE11,IF(AND('Вводные'!$B$84="Да",YEAR(EE$3)=YEAR($B$8),MONTH(EE$3)=MONTH($B$8)),EE10+EE11,IF(AND((12*(YEAR(EE$3)-YEAR($B$7))+MONTH(EE$3)-MONTH($B$7))&gt;0,MOD((12*(YEAR(EE$3)-YEAR($B$7))+MONTH(EE$3)-MONTH($B$7)),'Вводные'!$B$78)=0,(12*(YEAR(EE$3)-YEAR($B$7))+MONTH(EE$3)-MONTH($B$7))&lt;='Вводные'!$B$77*12),$B$9/MAX(1,'Вводные'!$B$79),0))))</x:f>
      </x:c>
      <x:c r="EF12" s="117" t="n">
        <x:f>MIN(EF10+EF11,IF('Вводные'!$B$75="Единовременно",EF11,IF(AND('Вводные'!$B$84="Да",YEAR(EF$3)=YEAR($B$8),MONTH(EF$3)=MONTH($B$8)),EF10+EF11,IF(AND((12*(YEAR(EF$3)-YEAR($B$7))+MONTH(EF$3)-MONTH($B$7))&gt;0,MOD((12*(YEAR(EF$3)-YEAR($B$7))+MONTH(EF$3)-MONTH($B$7)),'Вводные'!$B$78)=0,(12*(YEAR(EF$3)-YEAR($B$7))+MONTH(EF$3)-MONTH($B$7))&lt;='Вводные'!$B$77*12),$B$9/MAX(1,'Вводные'!$B$79),0))))</x:f>
      </x:c>
      <x:c r="EG12" s="117" t="n">
        <x:f>MIN(EG10+EG11,IF('Вводные'!$B$75="Единовременно",EG11,IF(AND('Вводные'!$B$84="Да",YEAR(EG$3)=YEAR($B$8),MONTH(EG$3)=MONTH($B$8)),EG10+EG11,IF(AND((12*(YEAR(EG$3)-YEAR($B$7))+MONTH(EG$3)-MONTH($B$7))&gt;0,MOD((12*(YEAR(EG$3)-YEAR($B$7))+MONTH(EG$3)-MONTH($B$7)),'Вводные'!$B$78)=0,(12*(YEAR(EG$3)-YEAR($B$7))+MONTH(EG$3)-MONTH($B$7))&lt;='Вводные'!$B$77*12),$B$9/MAX(1,'Вводные'!$B$79),0))))</x:f>
      </x:c>
      <x:c r="EH12" s="117" t="n">
        <x:f>MIN(EH10+EH11,IF('Вводные'!$B$75="Единовременно",EH11,IF(AND('Вводные'!$B$84="Да",YEAR(EH$3)=YEAR($B$8),MONTH(EH$3)=MONTH($B$8)),EH10+EH11,IF(AND((12*(YEAR(EH$3)-YEAR($B$7))+MONTH(EH$3)-MONTH($B$7))&gt;0,MOD((12*(YEAR(EH$3)-YEAR($B$7))+MONTH(EH$3)-MONTH($B$7)),'Вводные'!$B$78)=0,(12*(YEAR(EH$3)-YEAR($B$7))+MONTH(EH$3)-MONTH($B$7))&lt;='Вводные'!$B$77*12),$B$9/MAX(1,'Вводные'!$B$79),0))))</x:f>
      </x:c>
      <x:c r="EI12" s="117" t="n">
        <x:f>MIN(EI10+EI11,IF('Вводные'!$B$75="Единовременно",EI11,IF(AND('Вводные'!$B$84="Да",YEAR(EI$3)=YEAR($B$8),MONTH(EI$3)=MONTH($B$8)),EI10+EI11,IF(AND((12*(YEAR(EI$3)-YEAR($B$7))+MONTH(EI$3)-MONTH($B$7))&gt;0,MOD((12*(YEAR(EI$3)-YEAR($B$7))+MONTH(EI$3)-MONTH($B$7)),'Вводные'!$B$78)=0,(12*(YEAR(EI$3)-YEAR($B$7))+MONTH(EI$3)-MONTH($B$7))&lt;='Вводные'!$B$77*12),$B$9/MAX(1,'Вводные'!$B$79),0))))</x:f>
      </x:c>
      <x:c r="EJ12" s="117" t="n">
        <x:f>MIN(EJ10+EJ11,IF('Вводные'!$B$75="Единовременно",EJ11,IF(AND('Вводные'!$B$84="Да",YEAR(EJ$3)=YEAR($B$8),MONTH(EJ$3)=MONTH($B$8)),EJ10+EJ11,IF(AND((12*(YEAR(EJ$3)-YEAR($B$7))+MONTH(EJ$3)-MONTH($B$7))&gt;0,MOD((12*(YEAR(EJ$3)-YEAR($B$7))+MONTH(EJ$3)-MONTH($B$7)),'Вводные'!$B$78)=0,(12*(YEAR(EJ$3)-YEAR($B$7))+MONTH(EJ$3)-MONTH($B$7))&lt;='Вводные'!$B$77*12),$B$9/MAX(1,'Вводные'!$B$79),0))))</x:f>
      </x:c>
      <x:c r="EK12" s="117" t="n">
        <x:f>MIN(EK10+EK11,IF('Вводные'!$B$75="Единовременно",EK11,IF(AND('Вводные'!$B$84="Да",YEAR(EK$3)=YEAR($B$8),MONTH(EK$3)=MONTH($B$8)),EK10+EK11,IF(AND((12*(YEAR(EK$3)-YEAR($B$7))+MONTH(EK$3)-MONTH($B$7))&gt;0,MOD((12*(YEAR(EK$3)-YEAR($B$7))+MONTH(EK$3)-MONTH($B$7)),'Вводные'!$B$78)=0,(12*(YEAR(EK$3)-YEAR($B$7))+MONTH(EK$3)-MONTH($B$7))&lt;='Вводные'!$B$77*12),$B$9/MAX(1,'Вводные'!$B$79),0))))</x:f>
      </x:c>
      <x:c r="EL12" s="117" t="n">
        <x:f>MIN(EL10+EL11,IF('Вводные'!$B$75="Единовременно",EL11,IF(AND('Вводные'!$B$84="Да",YEAR(EL$3)=YEAR($B$8),MONTH(EL$3)=MONTH($B$8)),EL10+EL11,IF(AND((12*(YEAR(EL$3)-YEAR($B$7))+MONTH(EL$3)-MONTH($B$7))&gt;0,MOD((12*(YEAR(EL$3)-YEAR($B$7))+MONTH(EL$3)-MONTH($B$7)),'Вводные'!$B$78)=0,(12*(YEAR(EL$3)-YEAR($B$7))+MONTH(EL$3)-MONTH($B$7))&lt;='Вводные'!$B$77*12),$B$9/MAX(1,'Вводные'!$B$79),0))))</x:f>
      </x:c>
      <x:c r="EM12" s="117" t="n">
        <x:f>MIN(EM10+EM11,IF('Вводные'!$B$75="Единовременно",EM11,IF(AND('Вводные'!$B$84="Да",YEAR(EM$3)=YEAR($B$8),MONTH(EM$3)=MONTH($B$8)),EM10+EM11,IF(AND((12*(YEAR(EM$3)-YEAR($B$7))+MONTH(EM$3)-MONTH($B$7))&gt;0,MOD((12*(YEAR(EM$3)-YEAR($B$7))+MONTH(EM$3)-MONTH($B$7)),'Вводные'!$B$78)=0,(12*(YEAR(EM$3)-YEAR($B$7))+MONTH(EM$3)-MONTH($B$7))&lt;='Вводные'!$B$77*12),$B$9/MAX(1,'Вводные'!$B$79),0))))</x:f>
      </x:c>
      <x:c r="EN12" s="117" t="n">
        <x:f>MIN(EN10+EN11,IF('Вводные'!$B$75="Единовременно",EN11,IF(AND('Вводные'!$B$84="Да",YEAR(EN$3)=YEAR($B$8),MONTH(EN$3)=MONTH($B$8)),EN10+EN11,IF(AND((12*(YEAR(EN$3)-YEAR($B$7))+MONTH(EN$3)-MONTH($B$7))&gt;0,MOD((12*(YEAR(EN$3)-YEAR($B$7))+MONTH(EN$3)-MONTH($B$7)),'Вводные'!$B$78)=0,(12*(YEAR(EN$3)-YEAR($B$7))+MONTH(EN$3)-MONTH($B$7))&lt;='Вводные'!$B$77*12),$B$9/MAX(1,'Вводные'!$B$79),0))))</x:f>
      </x:c>
      <x:c r="EO12" s="117" t="n">
        <x:f>MIN(EO10+EO11,IF('Вводные'!$B$75="Единовременно",EO11,IF(AND('Вводные'!$B$84="Да",YEAR(EO$3)=YEAR($B$8),MONTH(EO$3)=MONTH($B$8)),EO10+EO11,IF(AND((12*(YEAR(EO$3)-YEAR($B$7))+MONTH(EO$3)-MONTH($B$7))&gt;0,MOD((12*(YEAR(EO$3)-YEAR($B$7))+MONTH(EO$3)-MONTH($B$7)),'Вводные'!$B$78)=0,(12*(YEAR(EO$3)-YEAR($B$7))+MONTH(EO$3)-MONTH($B$7))&lt;='Вводные'!$B$77*12),$B$9/MAX(1,'Вводные'!$B$79),0))))</x:f>
      </x:c>
      <x:c r="EP12" s="117" t="n">
        <x:f>MIN(EP10+EP11,IF('Вводные'!$B$75="Единовременно",EP11,IF(AND('Вводные'!$B$84="Да",YEAR(EP$3)=YEAR($B$8),MONTH(EP$3)=MONTH($B$8)),EP10+EP11,IF(AND((12*(YEAR(EP$3)-YEAR($B$7))+MONTH(EP$3)-MONTH($B$7))&gt;0,MOD((12*(YEAR(EP$3)-YEAR($B$7))+MONTH(EP$3)-MONTH($B$7)),'Вводные'!$B$78)=0,(12*(YEAR(EP$3)-YEAR($B$7))+MONTH(EP$3)-MONTH($B$7))&lt;='Вводные'!$B$77*12),$B$9/MAX(1,'Вводные'!$B$79),0))))</x:f>
      </x:c>
      <x:c r="EQ12" s="117" t="n">
        <x:f>MIN(EQ10+EQ11,IF('Вводные'!$B$75="Единовременно",EQ11,IF(AND('Вводные'!$B$84="Да",YEAR(EQ$3)=YEAR($B$8),MONTH(EQ$3)=MONTH($B$8)),EQ10+EQ11,IF(AND((12*(YEAR(EQ$3)-YEAR($B$7))+MONTH(EQ$3)-MONTH($B$7))&gt;0,MOD((12*(YEAR(EQ$3)-YEAR($B$7))+MONTH(EQ$3)-MONTH($B$7)),'Вводные'!$B$78)=0,(12*(YEAR(EQ$3)-YEAR($B$7))+MONTH(EQ$3)-MONTH($B$7))&lt;='Вводные'!$B$77*12),$B$9/MAX(1,'Вводные'!$B$79),0))))</x:f>
      </x:c>
      <x:c r="ER12" s="117" t="n">
        <x:f>MIN(ER10+ER11,IF('Вводные'!$B$75="Единовременно",ER11,IF(AND('Вводные'!$B$84="Да",YEAR(ER$3)=YEAR($B$8),MONTH(ER$3)=MONTH($B$8)),ER10+ER11,IF(AND((12*(YEAR(ER$3)-YEAR($B$7))+MONTH(ER$3)-MONTH($B$7))&gt;0,MOD((12*(YEAR(ER$3)-YEAR($B$7))+MONTH(ER$3)-MONTH($B$7)),'Вводные'!$B$78)=0,(12*(YEAR(ER$3)-YEAR($B$7))+MONTH(ER$3)-MONTH($B$7))&lt;='Вводные'!$B$77*12),$B$9/MAX(1,'Вводные'!$B$79),0))))</x:f>
      </x:c>
      <x:c r="ES12" s="117" t="n">
        <x:f>MIN(ES10+ES11,IF('Вводные'!$B$75="Единовременно",ES11,IF(AND('Вводные'!$B$84="Да",YEAR(ES$3)=YEAR($B$8),MONTH(ES$3)=MONTH($B$8)),ES10+ES11,IF(AND((12*(YEAR(ES$3)-YEAR($B$7))+MONTH(ES$3)-MONTH($B$7))&gt;0,MOD((12*(YEAR(ES$3)-YEAR($B$7))+MONTH(ES$3)-MONTH($B$7)),'Вводные'!$B$78)=0,(12*(YEAR(ES$3)-YEAR($B$7))+MONTH(ES$3)-MONTH($B$7))&lt;='Вводные'!$B$77*12),$B$9/MAX(1,'Вводные'!$B$79),0))))</x:f>
      </x:c>
      <x:c r="ET12" s="117" t="n">
        <x:f>MIN(ET10+ET11,IF('Вводные'!$B$75="Единовременно",ET11,IF(AND('Вводные'!$B$84="Да",YEAR(ET$3)=YEAR($B$8),MONTH(ET$3)=MONTH($B$8)),ET10+ET11,IF(AND((12*(YEAR(ET$3)-YEAR($B$7))+MONTH(ET$3)-MONTH($B$7))&gt;0,MOD((12*(YEAR(ET$3)-YEAR($B$7))+MONTH(ET$3)-MONTH($B$7)),'Вводные'!$B$78)=0,(12*(YEAR(ET$3)-YEAR($B$7))+MONTH(ET$3)-MONTH($B$7))&lt;='Вводные'!$B$77*12),$B$9/MAX(1,'Вводные'!$B$79),0))))</x:f>
      </x:c>
      <x:c r="EU12" s="117" t="n">
        <x:f>MIN(EU10+EU11,IF('Вводные'!$B$75="Единовременно",EU11,IF(AND('Вводные'!$B$84="Да",YEAR(EU$3)=YEAR($B$8),MONTH(EU$3)=MONTH($B$8)),EU10+EU11,IF(AND((12*(YEAR(EU$3)-YEAR($B$7))+MONTH(EU$3)-MONTH($B$7))&gt;0,MOD((12*(YEAR(EU$3)-YEAR($B$7))+MONTH(EU$3)-MONTH($B$7)),'Вводные'!$B$78)=0,(12*(YEAR(EU$3)-YEAR($B$7))+MONTH(EU$3)-MONTH($B$7))&lt;='Вводные'!$B$77*12),$B$9/MAX(1,'Вводные'!$B$79),0))))</x:f>
      </x:c>
      <x:c r="EV12" s="117" t="n">
        <x:f>MIN(EV10+EV11,IF('Вводные'!$B$75="Единовременно",EV11,IF(AND('Вводные'!$B$84="Да",YEAR(EV$3)=YEAR($B$8),MONTH(EV$3)=MONTH($B$8)),EV10+EV11,IF(AND((12*(YEAR(EV$3)-YEAR($B$7))+MONTH(EV$3)-MONTH($B$7))&gt;0,MOD((12*(YEAR(EV$3)-YEAR($B$7))+MONTH(EV$3)-MONTH($B$7)),'Вводные'!$B$78)=0,(12*(YEAR(EV$3)-YEAR($B$7))+MONTH(EV$3)-MONTH($B$7))&lt;='Вводные'!$B$77*12),$B$9/MAX(1,'Вводные'!$B$79),0))))</x:f>
      </x:c>
      <x:c r="EW12" s="117" t="n">
        <x:f>MIN(EW10+EW11,IF('Вводные'!$B$75="Единовременно",EW11,IF(AND('Вводные'!$B$84="Да",YEAR(EW$3)=YEAR($B$8),MONTH(EW$3)=MONTH($B$8)),EW10+EW11,IF(AND((12*(YEAR(EW$3)-YEAR($B$7))+MONTH(EW$3)-MONTH($B$7))&gt;0,MOD((12*(YEAR(EW$3)-YEAR($B$7))+MONTH(EW$3)-MONTH($B$7)),'Вводные'!$B$78)=0,(12*(YEAR(EW$3)-YEAR($B$7))+MONTH(EW$3)-MONTH($B$7))&lt;='Вводные'!$B$77*12),$B$9/MAX(1,'Вводные'!$B$79),0))))</x:f>
      </x:c>
      <x:c r="EX12" s="117" t="n">
        <x:f>MIN(EX10+EX11,IF('Вводные'!$B$75="Единовременно",EX11,IF(AND('Вводные'!$B$84="Да",YEAR(EX$3)=YEAR($B$8),MONTH(EX$3)=MONTH($B$8)),EX10+EX11,IF(AND((12*(YEAR(EX$3)-YEAR($B$7))+MONTH(EX$3)-MONTH($B$7))&gt;0,MOD((12*(YEAR(EX$3)-YEAR($B$7))+MONTH(EX$3)-MONTH($B$7)),'Вводные'!$B$78)=0,(12*(YEAR(EX$3)-YEAR($B$7))+MONTH(EX$3)-MONTH($B$7))&lt;='Вводные'!$B$77*12),$B$9/MAX(1,'Вводные'!$B$79),0))))</x:f>
      </x:c>
      <x:c r="EY12" s="117" t="n">
        <x:f>MIN(EY10+EY11,IF('Вводные'!$B$75="Единовременно",EY11,IF(AND('Вводные'!$B$84="Да",YEAR(EY$3)=YEAR($B$8),MONTH(EY$3)=MONTH($B$8)),EY10+EY11,IF(AND((12*(YEAR(EY$3)-YEAR($B$7))+MONTH(EY$3)-MONTH($B$7))&gt;0,MOD((12*(YEAR(EY$3)-YEAR($B$7))+MONTH(EY$3)-MONTH($B$7)),'Вводные'!$B$78)=0,(12*(YEAR(EY$3)-YEAR($B$7))+MONTH(EY$3)-MONTH($B$7))&lt;='Вводные'!$B$77*12),$B$9/MAX(1,'Вводные'!$B$79),0))))</x:f>
      </x:c>
      <x:c r="EZ12" s="117" t="n">
        <x:f>MIN(EZ10+EZ11,IF('Вводные'!$B$75="Единовременно",EZ11,IF(AND('Вводные'!$B$84="Да",YEAR(EZ$3)=YEAR($B$8),MONTH(EZ$3)=MONTH($B$8)),EZ10+EZ11,IF(AND((12*(YEAR(EZ$3)-YEAR($B$7))+MONTH(EZ$3)-MONTH($B$7))&gt;0,MOD((12*(YEAR(EZ$3)-YEAR($B$7))+MONTH(EZ$3)-MONTH($B$7)),'Вводные'!$B$78)=0,(12*(YEAR(EZ$3)-YEAR($B$7))+MONTH(EZ$3)-MONTH($B$7))&lt;='Вводные'!$B$77*12),$B$9/MAX(1,'Вводные'!$B$79),0))))</x:f>
      </x:c>
      <x:c r="FA12" s="117" t="n">
        <x:f>MIN(FA10+FA11,IF('Вводные'!$B$75="Единовременно",FA11,IF(AND('Вводные'!$B$84="Да",YEAR(FA$3)=YEAR($B$8),MONTH(FA$3)=MONTH($B$8)),FA10+FA11,IF(AND((12*(YEAR(FA$3)-YEAR($B$7))+MONTH(FA$3)-MONTH($B$7))&gt;0,MOD((12*(YEAR(FA$3)-YEAR($B$7))+MONTH(FA$3)-MONTH($B$7)),'Вводные'!$B$78)=0,(12*(YEAR(FA$3)-YEAR($B$7))+MONTH(FA$3)-MONTH($B$7))&lt;='Вводные'!$B$77*12),$B$9/MAX(1,'Вводные'!$B$79),0))))</x:f>
      </x:c>
      <x:c r="FB12" s="117" t="n">
        <x:f>MIN(FB10+FB11,IF('Вводные'!$B$75="Единовременно",FB11,IF(AND('Вводные'!$B$84="Да",YEAR(FB$3)=YEAR($B$8),MONTH(FB$3)=MONTH($B$8)),FB10+FB11,IF(AND((12*(YEAR(FB$3)-YEAR($B$7))+MONTH(FB$3)-MONTH($B$7))&gt;0,MOD((12*(YEAR(FB$3)-YEAR($B$7))+MONTH(FB$3)-MONTH($B$7)),'Вводные'!$B$78)=0,(12*(YEAR(FB$3)-YEAR($B$7))+MONTH(FB$3)-MONTH($B$7))&lt;='Вводные'!$B$77*12),$B$9/MAX(1,'Вводные'!$B$79),0))))</x:f>
      </x:c>
      <x:c r="FC12" s="117" t="n">
        <x:f>MIN(FC10+FC11,IF('Вводные'!$B$75="Единовременно",FC11,IF(AND('Вводные'!$B$84="Да",YEAR(FC$3)=YEAR($B$8),MONTH(FC$3)=MONTH($B$8)),FC10+FC11,IF(AND((12*(YEAR(FC$3)-YEAR($B$7))+MONTH(FC$3)-MONTH($B$7))&gt;0,MOD((12*(YEAR(FC$3)-YEAR($B$7))+MONTH(FC$3)-MONTH($B$7)),'Вводные'!$B$78)=0,(12*(YEAR(FC$3)-YEAR($B$7))+MONTH(FC$3)-MONTH($B$7))&lt;='Вводные'!$B$77*12),$B$9/MAX(1,'Вводные'!$B$79),0))))</x:f>
      </x:c>
      <x:c r="FD12" s="117" t="n">
        <x:f>MIN(FD10+FD11,IF('Вводные'!$B$75="Единовременно",FD11,IF(AND('Вводные'!$B$84="Да",YEAR(FD$3)=YEAR($B$8),MONTH(FD$3)=MONTH($B$8)),FD10+FD11,IF(AND((12*(YEAR(FD$3)-YEAR($B$7))+MONTH(FD$3)-MONTH($B$7))&gt;0,MOD((12*(YEAR(FD$3)-YEAR($B$7))+MONTH(FD$3)-MONTH($B$7)),'Вводные'!$B$78)=0,(12*(YEAR(FD$3)-YEAR($B$7))+MONTH(FD$3)-MONTH($B$7))&lt;='Вводные'!$B$77*12),$B$9/MAX(1,'Вводные'!$B$79),0))))</x:f>
      </x:c>
      <x:c r="FE12" s="117" t="n">
        <x:f>MIN(FE10+FE11,IF('Вводные'!$B$75="Единовременно",FE11,IF(AND('Вводные'!$B$84="Да",YEAR(FE$3)=YEAR($B$8),MONTH(FE$3)=MONTH($B$8)),FE10+FE11,IF(AND((12*(YEAR(FE$3)-YEAR($B$7))+MONTH(FE$3)-MONTH($B$7))&gt;0,MOD((12*(YEAR(FE$3)-YEAR($B$7))+MONTH(FE$3)-MONTH($B$7)),'Вводные'!$B$78)=0,(12*(YEAR(FE$3)-YEAR($B$7))+MONTH(FE$3)-MONTH($B$7))&lt;='Вводные'!$B$77*12),$B$9/MAX(1,'Вводные'!$B$79),0))))</x:f>
      </x:c>
      <x:c r="FF12" s="117" t="n">
        <x:f>MIN(FF10+FF11,IF('Вводные'!$B$75="Единовременно",FF11,IF(AND('Вводные'!$B$84="Да",YEAR(FF$3)=YEAR($B$8),MONTH(FF$3)=MONTH($B$8)),FF10+FF11,IF(AND((12*(YEAR(FF$3)-YEAR($B$7))+MONTH(FF$3)-MONTH($B$7))&gt;0,MOD((12*(YEAR(FF$3)-YEAR($B$7))+MONTH(FF$3)-MONTH($B$7)),'Вводные'!$B$78)=0,(12*(YEAR(FF$3)-YEAR($B$7))+MONTH(FF$3)-MONTH($B$7))&lt;='Вводные'!$B$77*12),$B$9/MAX(1,'Вводные'!$B$79),0))))</x:f>
      </x:c>
      <x:c r="FG12" s="117" t="n">
        <x:f>MIN(FG10+FG11,IF('Вводные'!$B$75="Единовременно",FG11,IF(AND('Вводные'!$B$84="Да",YEAR(FG$3)=YEAR($B$8),MONTH(FG$3)=MONTH($B$8)),FG10+FG11,IF(AND((12*(YEAR(FG$3)-YEAR($B$7))+MONTH(FG$3)-MONTH($B$7))&gt;0,MOD((12*(YEAR(FG$3)-YEAR($B$7))+MONTH(FG$3)-MONTH($B$7)),'Вводные'!$B$78)=0,(12*(YEAR(FG$3)-YEAR($B$7))+MONTH(FG$3)-MONTH($B$7))&lt;='Вводные'!$B$77*12),$B$9/MAX(1,'Вводные'!$B$79),0))))</x:f>
      </x:c>
      <x:c r="FH12" s="117" t="n">
        <x:f>MIN(FH10+FH11,IF('Вводные'!$B$75="Единовременно",FH11,IF(AND('Вводные'!$B$84="Да",YEAR(FH$3)=YEAR($B$8),MONTH(FH$3)=MONTH($B$8)),FH10+FH11,IF(AND((12*(YEAR(FH$3)-YEAR($B$7))+MONTH(FH$3)-MONTH($B$7))&gt;0,MOD((12*(YEAR(FH$3)-YEAR($B$7))+MONTH(FH$3)-MONTH($B$7)),'Вводные'!$B$78)=0,(12*(YEAR(FH$3)-YEAR($B$7))+MONTH(FH$3)-MONTH($B$7))&lt;='Вводные'!$B$77*12),$B$9/MAX(1,'Вводные'!$B$79),0))))</x:f>
      </x:c>
      <x:c r="FI12" s="117" t="n">
        <x:f>MIN(FI10+FI11,IF('Вводные'!$B$75="Единовременно",FI11,IF(AND('Вводные'!$B$84="Да",YEAR(FI$3)=YEAR($B$8),MONTH(FI$3)=MONTH($B$8)),FI10+FI11,IF(AND((12*(YEAR(FI$3)-YEAR($B$7))+MONTH(FI$3)-MONTH($B$7))&gt;0,MOD((12*(YEAR(FI$3)-YEAR($B$7))+MONTH(FI$3)-MONTH($B$7)),'Вводные'!$B$78)=0,(12*(YEAR(FI$3)-YEAR($B$7))+MONTH(FI$3)-MONTH($B$7))&lt;='Вводные'!$B$77*12),$B$9/MAX(1,'Вводные'!$B$79),0))))</x:f>
      </x:c>
      <x:c r="FJ12" s="117" t="n">
        <x:f>MIN(FJ10+FJ11,IF('Вводные'!$B$75="Единовременно",FJ11,IF(AND('Вводные'!$B$84="Да",YEAR(FJ$3)=YEAR($B$8),MONTH(FJ$3)=MONTH($B$8)),FJ10+FJ11,IF(AND((12*(YEAR(FJ$3)-YEAR($B$7))+MONTH(FJ$3)-MONTH($B$7))&gt;0,MOD((12*(YEAR(FJ$3)-YEAR($B$7))+MONTH(FJ$3)-MONTH($B$7)),'Вводные'!$B$78)=0,(12*(YEAR(FJ$3)-YEAR($B$7))+MONTH(FJ$3)-MONTH($B$7))&lt;='Вводные'!$B$77*12),$B$9/MAX(1,'Вводные'!$B$79),0))))</x:f>
      </x:c>
      <x:c r="FK12" s="117" t="n">
        <x:f>MIN(FK10+FK11,IF('Вводные'!$B$75="Единовременно",FK11,IF(AND('Вводные'!$B$84="Да",YEAR(FK$3)=YEAR($B$8),MONTH(FK$3)=MONTH($B$8)),FK10+FK11,IF(AND((12*(YEAR(FK$3)-YEAR($B$7))+MONTH(FK$3)-MONTH($B$7))&gt;0,MOD((12*(YEAR(FK$3)-YEAR($B$7))+MONTH(FK$3)-MONTH($B$7)),'Вводные'!$B$78)=0,(12*(YEAR(FK$3)-YEAR($B$7))+MONTH(FK$3)-MONTH($B$7))&lt;='Вводные'!$B$77*12),$B$9/MAX(1,'Вводные'!$B$79),0))))</x:f>
      </x:c>
      <x:c r="FL12" s="117" t="n">
        <x:f>MIN(FL10+FL11,IF('Вводные'!$B$75="Единовременно",FL11,IF(AND('Вводные'!$B$84="Да",YEAR(FL$3)=YEAR($B$8),MONTH(FL$3)=MONTH($B$8)),FL10+FL11,IF(AND((12*(YEAR(FL$3)-YEAR($B$7))+MONTH(FL$3)-MONTH($B$7))&gt;0,MOD((12*(YEAR(FL$3)-YEAR($B$7))+MONTH(FL$3)-MONTH($B$7)),'Вводные'!$B$78)=0,(12*(YEAR(FL$3)-YEAR($B$7))+MONTH(FL$3)-MONTH($B$7))&lt;='Вводные'!$B$77*12),$B$9/MAX(1,'Вводные'!$B$79),0))))</x:f>
      </x:c>
      <x:c r="FM12" s="117" t="n">
        <x:f>MIN(FM10+FM11,IF('Вводные'!$B$75="Единовременно",FM11,IF(AND('Вводные'!$B$84="Да",YEAR(FM$3)=YEAR($B$8),MONTH(FM$3)=MONTH($B$8)),FM10+FM11,IF(AND((12*(YEAR(FM$3)-YEAR($B$7))+MONTH(FM$3)-MONTH($B$7))&gt;0,MOD((12*(YEAR(FM$3)-YEAR($B$7))+MONTH(FM$3)-MONTH($B$7)),'Вводные'!$B$78)=0,(12*(YEAR(FM$3)-YEAR($B$7))+MONTH(FM$3)-MONTH($B$7))&lt;='Вводные'!$B$77*12),$B$9/MAX(1,'Вводные'!$B$79),0))))</x:f>
      </x:c>
      <x:c r="FN12" s="117" t="n">
        <x:f>MIN(FN10+FN11,IF('Вводные'!$B$75="Единовременно",FN11,IF(AND('Вводные'!$B$84="Да",YEAR(FN$3)=YEAR($B$8),MONTH(FN$3)=MONTH($B$8)),FN10+FN11,IF(AND((12*(YEAR(FN$3)-YEAR($B$7))+MONTH(FN$3)-MONTH($B$7))&gt;0,MOD((12*(YEAR(FN$3)-YEAR($B$7))+MONTH(FN$3)-MONTH($B$7)),'Вводные'!$B$78)=0,(12*(YEAR(FN$3)-YEAR($B$7))+MONTH(FN$3)-MONTH($B$7))&lt;='Вводные'!$B$77*12),$B$9/MAX(1,'Вводные'!$B$79),0))))</x:f>
      </x:c>
      <x:c r="FO12" s="117" t="n">
        <x:f>MIN(FO10+FO11,IF('Вводные'!$B$75="Единовременно",FO11,IF(AND('Вводные'!$B$84="Да",YEAR(FO$3)=YEAR($B$8),MONTH(FO$3)=MONTH($B$8)),FO10+FO11,IF(AND((12*(YEAR(FO$3)-YEAR($B$7))+MONTH(FO$3)-MONTH($B$7))&gt;0,MOD((12*(YEAR(FO$3)-YEAR($B$7))+MONTH(FO$3)-MONTH($B$7)),'Вводные'!$B$78)=0,(12*(YEAR(FO$3)-YEAR($B$7))+MONTH(FO$3)-MONTH($B$7))&lt;='Вводные'!$B$77*12),$B$9/MAX(1,'Вводные'!$B$79),0))))</x:f>
      </x:c>
      <x:c r="FP12" s="117" t="n">
        <x:f>MIN(FP10+FP11,IF('Вводные'!$B$75="Единовременно",FP11,IF(AND('Вводные'!$B$84="Да",YEAR(FP$3)=YEAR($B$8),MONTH(FP$3)=MONTH($B$8)),FP10+FP11,IF(AND((12*(YEAR(FP$3)-YEAR($B$7))+MONTH(FP$3)-MONTH($B$7))&gt;0,MOD((12*(YEAR(FP$3)-YEAR($B$7))+MONTH(FP$3)-MONTH($B$7)),'Вводные'!$B$78)=0,(12*(YEAR(FP$3)-YEAR($B$7))+MONTH(FP$3)-MONTH($B$7))&lt;='Вводные'!$B$77*12),$B$9/MAX(1,'Вводные'!$B$79),0))))</x:f>
      </x:c>
      <x:c r="FQ12" s="117" t="n">
        <x:f>MIN(FQ10+FQ11,IF('Вводные'!$B$75="Единовременно",FQ11,IF(AND('Вводные'!$B$84="Да",YEAR(FQ$3)=YEAR($B$8),MONTH(FQ$3)=MONTH($B$8)),FQ10+FQ11,IF(AND((12*(YEAR(FQ$3)-YEAR($B$7))+MONTH(FQ$3)-MONTH($B$7))&gt;0,MOD((12*(YEAR(FQ$3)-YEAR($B$7))+MONTH(FQ$3)-MONTH($B$7)),'Вводные'!$B$78)=0,(12*(YEAR(FQ$3)-YEAR($B$7))+MONTH(FQ$3)-MONTH($B$7))&lt;='Вводные'!$B$77*12),$B$9/MAX(1,'Вводные'!$B$79),0))))</x:f>
      </x:c>
      <x:c r="FR12" s="117" t="n">
        <x:f>MIN(FR10+FR11,IF('Вводные'!$B$75="Единовременно",FR11,IF(AND('Вводные'!$B$84="Да",YEAR(FR$3)=YEAR($B$8),MONTH(FR$3)=MONTH($B$8)),FR10+FR11,IF(AND((12*(YEAR(FR$3)-YEAR($B$7))+MONTH(FR$3)-MONTH($B$7))&gt;0,MOD((12*(YEAR(FR$3)-YEAR($B$7))+MONTH(FR$3)-MONTH($B$7)),'Вводные'!$B$78)=0,(12*(YEAR(FR$3)-YEAR($B$7))+MONTH(FR$3)-MONTH($B$7))&lt;='Вводные'!$B$77*12),$B$9/MAX(1,'Вводные'!$B$79),0))))</x:f>
      </x:c>
      <x:c r="FS12" s="117" t="n">
        <x:f>MIN(FS10+FS11,IF('Вводные'!$B$75="Единовременно",FS11,IF(AND('Вводные'!$B$84="Да",YEAR(FS$3)=YEAR($B$8),MONTH(FS$3)=MONTH($B$8)),FS10+FS11,IF(AND((12*(YEAR(FS$3)-YEAR($B$7))+MONTH(FS$3)-MONTH($B$7))&gt;0,MOD((12*(YEAR(FS$3)-YEAR($B$7))+MONTH(FS$3)-MONTH($B$7)),'Вводные'!$B$78)=0,(12*(YEAR(FS$3)-YEAR($B$7))+MONTH(FS$3)-MONTH($B$7))&lt;='Вводные'!$B$77*12),$B$9/MAX(1,'Вводные'!$B$79),0))))</x:f>
      </x:c>
      <x:c r="FT12" s="117" t="n">
        <x:f>MIN(FT10+FT11,IF('Вводные'!$B$75="Единовременно",FT11,IF(AND('Вводные'!$B$84="Да",YEAR(FT$3)=YEAR($B$8),MONTH(FT$3)=MONTH($B$8)),FT10+FT11,IF(AND((12*(YEAR(FT$3)-YEAR($B$7))+MONTH(FT$3)-MONTH($B$7))&gt;0,MOD((12*(YEAR(FT$3)-YEAR($B$7))+MONTH(FT$3)-MONTH($B$7)),'Вводные'!$B$78)=0,(12*(YEAR(FT$3)-YEAR($B$7))+MONTH(FT$3)-MONTH($B$7))&lt;='Вводные'!$B$77*12),$B$9/MAX(1,'Вводные'!$B$79),0))))</x:f>
      </x:c>
      <x:c r="FU12" s="117" t="n">
        <x:f>MIN(FU10+FU11,IF('Вводные'!$B$75="Единовременно",FU11,IF(AND('Вводные'!$B$84="Да",YEAR(FU$3)=YEAR($B$8),MONTH(FU$3)=MONTH($B$8)),FU10+FU11,IF(AND((12*(YEAR(FU$3)-YEAR($B$7))+MONTH(FU$3)-MONTH($B$7))&gt;0,MOD((12*(YEAR(FU$3)-YEAR($B$7))+MONTH(FU$3)-MONTH($B$7)),'Вводные'!$B$78)=0,(12*(YEAR(FU$3)-YEAR($B$7))+MONTH(FU$3)-MONTH($B$7))&lt;='Вводные'!$B$77*12),$B$9/MAX(1,'Вводные'!$B$79),0))))</x:f>
      </x:c>
      <x:c r="FV12" s="117" t="n">
        <x:f>MIN(FV10+FV11,IF('Вводные'!$B$75="Единовременно",FV11,IF(AND('Вводные'!$B$84="Да",YEAR(FV$3)=YEAR($B$8),MONTH(FV$3)=MONTH($B$8)),FV10+FV11,IF(AND((12*(YEAR(FV$3)-YEAR($B$7))+MONTH(FV$3)-MONTH($B$7))&gt;0,MOD((12*(YEAR(FV$3)-YEAR($B$7))+MONTH(FV$3)-MONTH($B$7)),'Вводные'!$B$78)=0,(12*(YEAR(FV$3)-YEAR($B$7))+MONTH(FV$3)-MONTH($B$7))&lt;='Вводные'!$B$77*12),$B$9/MAX(1,'Вводные'!$B$79),0))))</x:f>
      </x:c>
      <x:c r="FW12" s="117" t="n">
        <x:f>MIN(FW10+FW11,IF('Вводные'!$B$75="Единовременно",FW11,IF(AND('Вводные'!$B$84="Да",YEAR(FW$3)=YEAR($B$8),MONTH(FW$3)=MONTH($B$8)),FW10+FW11,IF(AND((12*(YEAR(FW$3)-YEAR($B$7))+MONTH(FW$3)-MONTH($B$7))&gt;0,MOD((12*(YEAR(FW$3)-YEAR($B$7))+MONTH(FW$3)-MONTH($B$7)),'Вводные'!$B$78)=0,(12*(YEAR(FW$3)-YEAR($B$7))+MONTH(FW$3)-MONTH($B$7))&lt;='Вводные'!$B$77*12),$B$9/MAX(1,'Вводные'!$B$79),0))))</x:f>
      </x:c>
      <x:c r="FX12" s="117" t="n">
        <x:f>MIN(FX10+FX11,IF('Вводные'!$B$75="Единовременно",FX11,IF(AND('Вводные'!$B$84="Да",YEAR(FX$3)=YEAR($B$8),MONTH(FX$3)=MONTH($B$8)),FX10+FX11,IF(AND((12*(YEAR(FX$3)-YEAR($B$7))+MONTH(FX$3)-MONTH($B$7))&gt;0,MOD((12*(YEAR(FX$3)-YEAR($B$7))+MONTH(FX$3)-MONTH($B$7)),'Вводные'!$B$78)=0,(12*(YEAR(FX$3)-YEAR($B$7))+MONTH(FX$3)-MONTH($B$7))&lt;='Вводные'!$B$77*12),$B$9/MAX(1,'Вводные'!$B$79),0))))</x:f>
      </x:c>
      <x:c r="FY12" s="117" t="n">
        <x:f>MIN(FY10+FY11,IF('Вводные'!$B$75="Единовременно",FY11,IF(AND('Вводные'!$B$84="Да",YEAR(FY$3)=YEAR($B$8),MONTH(FY$3)=MONTH($B$8)),FY10+FY11,IF(AND((12*(YEAR(FY$3)-YEAR($B$7))+MONTH(FY$3)-MONTH($B$7))&gt;0,MOD((12*(YEAR(FY$3)-YEAR($B$7))+MONTH(FY$3)-MONTH($B$7)),'Вводные'!$B$78)=0,(12*(YEAR(FY$3)-YEAR($B$7))+MONTH(FY$3)-MONTH($B$7))&lt;='Вводные'!$B$77*12),$B$9/MAX(1,'Вводные'!$B$79),0))))</x:f>
      </x:c>
      <x:c r="FZ12" s="117" t="n">
        <x:f>MIN(FZ10+FZ11,IF('Вводные'!$B$75="Единовременно",FZ11,IF(AND('Вводные'!$B$84="Да",YEAR(FZ$3)=YEAR($B$8),MONTH(FZ$3)=MONTH($B$8)),FZ10+FZ11,IF(AND((12*(YEAR(FZ$3)-YEAR($B$7))+MONTH(FZ$3)-MONTH($B$7))&gt;0,MOD((12*(YEAR(FZ$3)-YEAR($B$7))+MONTH(FZ$3)-MONTH($B$7)),'Вводные'!$B$78)=0,(12*(YEAR(FZ$3)-YEAR($B$7))+MONTH(FZ$3)-MONTH($B$7))&lt;='Вводные'!$B$77*12),$B$9/MAX(1,'Вводные'!$B$79),0))))</x:f>
      </x:c>
      <x:c r="GA12" s="117" t="n">
        <x:f>MIN(GA10+GA11,IF('Вводные'!$B$75="Единовременно",GA11,IF(AND('Вводные'!$B$84="Да",YEAR(GA$3)=YEAR($B$8),MONTH(GA$3)=MONTH($B$8)),GA10+GA11,IF(AND((12*(YEAR(GA$3)-YEAR($B$7))+MONTH(GA$3)-MONTH($B$7))&gt;0,MOD((12*(YEAR(GA$3)-YEAR($B$7))+MONTH(GA$3)-MONTH($B$7)),'Вводные'!$B$78)=0,(12*(YEAR(GA$3)-YEAR($B$7))+MONTH(GA$3)-MONTH($B$7))&lt;='Вводные'!$B$77*12),$B$9/MAX(1,'Вводные'!$B$79),0))))</x:f>
      </x:c>
    </x:row>
    <x:row r="13">
      <x:c r="A13" t="str">
        <x:v>Проценты по рассрочке</x:v>
      </x:c>
      <x:c r="B13" s="107" t="n">
        <x:f>SUM(D13:GA13)</x:f>
      </x:c>
      <x:c r="C13" t="str">
        <x:v>млн ₽</x:v>
      </x:c>
      <x:c r="D13" s="117" t="n">
        <x:f>IF(AND('Вводные'!$B$75&lt;&gt;"Единовременно",'Вводные'!$B$80="Да",D10&gt;0),IF(AND('Вводные'!$B$84="Да",YEAR(D$3)=YEAR($B$8),MONTH(D$3)=MONTH($B$8)),D10*D17/12,IF(AND((12*(YEAR(D$3)-YEAR($B$7))+MONTH(D$3)-MONTH($B$7))&gt;0,MOD((12*(YEAR(D$3)-YEAR($B$7))+MONTH(D$3)-MONTH($B$7)),'Вводные'!$B$78)=0,(12*(YEAR(D$3)-YEAR($B$7))+MONTH(D$3)-MONTH($B$7))&lt;='Вводные'!$B$77*12),D10*D17*'Вводные'!$B$78/12,0)),0)</x:f>
      </x:c>
      <x:c r="E13" s="117" t="n">
        <x:f>IF(AND('Вводные'!$B$75&lt;&gt;"Единовременно",'Вводные'!$B$80="Да",E10&gt;0),IF(AND('Вводные'!$B$84="Да",YEAR(E$3)=YEAR($B$8),MONTH(E$3)=MONTH($B$8)),E10*E17/12,IF(AND((12*(YEAR(E$3)-YEAR($B$7))+MONTH(E$3)-MONTH($B$7))&gt;0,MOD((12*(YEAR(E$3)-YEAR($B$7))+MONTH(E$3)-MONTH($B$7)),'Вводные'!$B$78)=0,(12*(YEAR(E$3)-YEAR($B$7))+MONTH(E$3)-MONTH($B$7))&lt;='Вводные'!$B$77*12),E10*E17*'Вводные'!$B$78/12,0)),0)</x:f>
      </x:c>
      <x:c r="F13" s="117" t="n">
        <x:f>IF(AND('Вводные'!$B$75&lt;&gt;"Единовременно",'Вводные'!$B$80="Да",F10&gt;0),IF(AND('Вводные'!$B$84="Да",YEAR(F$3)=YEAR($B$8),MONTH(F$3)=MONTH($B$8)),F10*F17/12,IF(AND((12*(YEAR(F$3)-YEAR($B$7))+MONTH(F$3)-MONTH($B$7))&gt;0,MOD((12*(YEAR(F$3)-YEAR($B$7))+MONTH(F$3)-MONTH($B$7)),'Вводные'!$B$78)=0,(12*(YEAR(F$3)-YEAR($B$7))+MONTH(F$3)-MONTH($B$7))&lt;='Вводные'!$B$77*12),F10*F17*'Вводные'!$B$78/12,0)),0)</x:f>
      </x:c>
      <x:c r="G13" s="117" t="n">
        <x:f>IF(AND('Вводные'!$B$75&lt;&gt;"Единовременно",'Вводные'!$B$80="Да",G10&gt;0),IF(AND('Вводные'!$B$84="Да",YEAR(G$3)=YEAR($B$8),MONTH(G$3)=MONTH($B$8)),G10*G17/12,IF(AND((12*(YEAR(G$3)-YEAR($B$7))+MONTH(G$3)-MONTH($B$7))&gt;0,MOD((12*(YEAR(G$3)-YEAR($B$7))+MONTH(G$3)-MONTH($B$7)),'Вводные'!$B$78)=0,(12*(YEAR(G$3)-YEAR($B$7))+MONTH(G$3)-MONTH($B$7))&lt;='Вводные'!$B$77*12),G10*G17*'Вводные'!$B$78/12,0)),0)</x:f>
      </x:c>
      <x:c r="H13" s="117" t="n">
        <x:f>IF(AND('Вводные'!$B$75&lt;&gt;"Единовременно",'Вводные'!$B$80="Да",H10&gt;0),IF(AND('Вводные'!$B$84="Да",YEAR(H$3)=YEAR($B$8),MONTH(H$3)=MONTH($B$8)),H10*H17/12,IF(AND((12*(YEAR(H$3)-YEAR($B$7))+MONTH(H$3)-MONTH($B$7))&gt;0,MOD((12*(YEAR(H$3)-YEAR($B$7))+MONTH(H$3)-MONTH($B$7)),'Вводные'!$B$78)=0,(12*(YEAR(H$3)-YEAR($B$7))+MONTH(H$3)-MONTH($B$7))&lt;='Вводные'!$B$77*12),H10*H17*'Вводные'!$B$78/12,0)),0)</x:f>
      </x:c>
      <x:c r="I13" s="117" t="n">
        <x:f>IF(AND('Вводные'!$B$75&lt;&gt;"Единовременно",'Вводные'!$B$80="Да",I10&gt;0),IF(AND('Вводные'!$B$84="Да",YEAR(I$3)=YEAR($B$8),MONTH(I$3)=MONTH($B$8)),I10*I17/12,IF(AND((12*(YEAR(I$3)-YEAR($B$7))+MONTH(I$3)-MONTH($B$7))&gt;0,MOD((12*(YEAR(I$3)-YEAR($B$7))+MONTH(I$3)-MONTH($B$7)),'Вводные'!$B$78)=0,(12*(YEAR(I$3)-YEAR($B$7))+MONTH(I$3)-MONTH($B$7))&lt;='Вводные'!$B$77*12),I10*I17*'Вводные'!$B$78/12,0)),0)</x:f>
      </x:c>
      <x:c r="J13" s="117" t="n">
        <x:f>IF(AND('Вводные'!$B$75&lt;&gt;"Единовременно",'Вводные'!$B$80="Да",J10&gt;0),IF(AND('Вводные'!$B$84="Да",YEAR(J$3)=YEAR($B$8),MONTH(J$3)=MONTH($B$8)),J10*J17/12,IF(AND((12*(YEAR(J$3)-YEAR($B$7))+MONTH(J$3)-MONTH($B$7))&gt;0,MOD((12*(YEAR(J$3)-YEAR($B$7))+MONTH(J$3)-MONTH($B$7)),'Вводные'!$B$78)=0,(12*(YEAR(J$3)-YEAR($B$7))+MONTH(J$3)-MONTH($B$7))&lt;='Вводные'!$B$77*12),J10*J17*'Вводные'!$B$78/12,0)),0)</x:f>
      </x:c>
      <x:c r="K13" s="117" t="n">
        <x:f>IF(AND('Вводные'!$B$75&lt;&gt;"Единовременно",'Вводные'!$B$80="Да",K10&gt;0),IF(AND('Вводные'!$B$84="Да",YEAR(K$3)=YEAR($B$8),MONTH(K$3)=MONTH($B$8)),K10*K17/12,IF(AND((12*(YEAR(K$3)-YEAR($B$7))+MONTH(K$3)-MONTH($B$7))&gt;0,MOD((12*(YEAR(K$3)-YEAR($B$7))+MONTH(K$3)-MONTH($B$7)),'Вводные'!$B$78)=0,(12*(YEAR(K$3)-YEAR($B$7))+MONTH(K$3)-MONTH($B$7))&lt;='Вводные'!$B$77*12),K10*K17*'Вводные'!$B$78/12,0)),0)</x:f>
      </x:c>
      <x:c r="L13" s="117" t="n">
        <x:f>IF(AND('Вводные'!$B$75&lt;&gt;"Единовременно",'Вводные'!$B$80="Да",L10&gt;0),IF(AND('Вводные'!$B$84="Да",YEAR(L$3)=YEAR($B$8),MONTH(L$3)=MONTH($B$8)),L10*L17/12,IF(AND((12*(YEAR(L$3)-YEAR($B$7))+MONTH(L$3)-MONTH($B$7))&gt;0,MOD((12*(YEAR(L$3)-YEAR($B$7))+MONTH(L$3)-MONTH($B$7)),'Вводные'!$B$78)=0,(12*(YEAR(L$3)-YEAR($B$7))+MONTH(L$3)-MONTH($B$7))&lt;='Вводные'!$B$77*12),L10*L17*'Вводные'!$B$78/12,0)),0)</x:f>
      </x:c>
      <x:c r="M13" s="117" t="n">
        <x:f>IF(AND('Вводные'!$B$75&lt;&gt;"Единовременно",'Вводные'!$B$80="Да",M10&gt;0),IF(AND('Вводные'!$B$84="Да",YEAR(M$3)=YEAR($B$8),MONTH(M$3)=MONTH($B$8)),M10*M17/12,IF(AND((12*(YEAR(M$3)-YEAR($B$7))+MONTH(M$3)-MONTH($B$7))&gt;0,MOD((12*(YEAR(M$3)-YEAR($B$7))+MONTH(M$3)-MONTH($B$7)),'Вводные'!$B$78)=0,(12*(YEAR(M$3)-YEAR($B$7))+MONTH(M$3)-MONTH($B$7))&lt;='Вводные'!$B$77*12),M10*M17*'Вводные'!$B$78/12,0)),0)</x:f>
      </x:c>
      <x:c r="N13" s="117" t="n">
        <x:f>IF(AND('Вводные'!$B$75&lt;&gt;"Единовременно",'Вводные'!$B$80="Да",N10&gt;0),IF(AND('Вводные'!$B$84="Да",YEAR(N$3)=YEAR($B$8),MONTH(N$3)=MONTH($B$8)),N10*N17/12,IF(AND((12*(YEAR(N$3)-YEAR($B$7))+MONTH(N$3)-MONTH($B$7))&gt;0,MOD((12*(YEAR(N$3)-YEAR($B$7))+MONTH(N$3)-MONTH($B$7)),'Вводные'!$B$78)=0,(12*(YEAR(N$3)-YEAR($B$7))+MONTH(N$3)-MONTH($B$7))&lt;='Вводные'!$B$77*12),N10*N17*'Вводные'!$B$78/12,0)),0)</x:f>
      </x:c>
      <x:c r="O13" s="117" t="n">
        <x:f>IF(AND('Вводные'!$B$75&lt;&gt;"Единовременно",'Вводные'!$B$80="Да",O10&gt;0),IF(AND('Вводные'!$B$84="Да",YEAR(O$3)=YEAR($B$8),MONTH(O$3)=MONTH($B$8)),O10*O17/12,IF(AND((12*(YEAR(O$3)-YEAR($B$7))+MONTH(O$3)-MONTH($B$7))&gt;0,MOD((12*(YEAR(O$3)-YEAR($B$7))+MONTH(O$3)-MONTH($B$7)),'Вводные'!$B$78)=0,(12*(YEAR(O$3)-YEAR($B$7))+MONTH(O$3)-MONTH($B$7))&lt;='Вводные'!$B$77*12),O10*O17*'Вводные'!$B$78/12,0)),0)</x:f>
      </x:c>
      <x:c r="P13" s="117" t="n">
        <x:f>IF(AND('Вводные'!$B$75&lt;&gt;"Единовременно",'Вводные'!$B$80="Да",P10&gt;0),IF(AND('Вводные'!$B$84="Да",YEAR(P$3)=YEAR($B$8),MONTH(P$3)=MONTH($B$8)),P10*P17/12,IF(AND((12*(YEAR(P$3)-YEAR($B$7))+MONTH(P$3)-MONTH($B$7))&gt;0,MOD((12*(YEAR(P$3)-YEAR($B$7))+MONTH(P$3)-MONTH($B$7)),'Вводные'!$B$78)=0,(12*(YEAR(P$3)-YEAR($B$7))+MONTH(P$3)-MONTH($B$7))&lt;='Вводные'!$B$77*12),P10*P17*'Вводные'!$B$78/12,0)),0)</x:f>
      </x:c>
      <x:c r="Q13" s="117" t="n">
        <x:f>IF(AND('Вводные'!$B$75&lt;&gt;"Единовременно",'Вводные'!$B$80="Да",Q10&gt;0),IF(AND('Вводные'!$B$84="Да",YEAR(Q$3)=YEAR($B$8),MONTH(Q$3)=MONTH($B$8)),Q10*Q17/12,IF(AND((12*(YEAR(Q$3)-YEAR($B$7))+MONTH(Q$3)-MONTH($B$7))&gt;0,MOD((12*(YEAR(Q$3)-YEAR($B$7))+MONTH(Q$3)-MONTH($B$7)),'Вводные'!$B$78)=0,(12*(YEAR(Q$3)-YEAR($B$7))+MONTH(Q$3)-MONTH($B$7))&lt;='Вводные'!$B$77*12),Q10*Q17*'Вводные'!$B$78/12,0)),0)</x:f>
      </x:c>
      <x:c r="R13" s="117" t="n">
        <x:f>IF(AND('Вводные'!$B$75&lt;&gt;"Единовременно",'Вводные'!$B$80="Да",R10&gt;0),IF(AND('Вводные'!$B$84="Да",YEAR(R$3)=YEAR($B$8),MONTH(R$3)=MONTH($B$8)),R10*R17/12,IF(AND((12*(YEAR(R$3)-YEAR($B$7))+MONTH(R$3)-MONTH($B$7))&gt;0,MOD((12*(YEAR(R$3)-YEAR($B$7))+MONTH(R$3)-MONTH($B$7)),'Вводные'!$B$78)=0,(12*(YEAR(R$3)-YEAR($B$7))+MONTH(R$3)-MONTH($B$7))&lt;='Вводные'!$B$77*12),R10*R17*'Вводные'!$B$78/12,0)),0)</x:f>
      </x:c>
      <x:c r="S13" s="117" t="n">
        <x:f>IF(AND('Вводные'!$B$75&lt;&gt;"Единовременно",'Вводные'!$B$80="Да",S10&gt;0),IF(AND('Вводные'!$B$84="Да",YEAR(S$3)=YEAR($B$8),MONTH(S$3)=MONTH($B$8)),S10*S17/12,IF(AND((12*(YEAR(S$3)-YEAR($B$7))+MONTH(S$3)-MONTH($B$7))&gt;0,MOD((12*(YEAR(S$3)-YEAR($B$7))+MONTH(S$3)-MONTH($B$7)),'Вводные'!$B$78)=0,(12*(YEAR(S$3)-YEAR($B$7))+MONTH(S$3)-MONTH($B$7))&lt;='Вводные'!$B$77*12),S10*S17*'Вводные'!$B$78/12,0)),0)</x:f>
      </x:c>
      <x:c r="T13" s="117" t="n">
        <x:f>IF(AND('Вводные'!$B$75&lt;&gt;"Единовременно",'Вводные'!$B$80="Да",T10&gt;0),IF(AND('Вводные'!$B$84="Да",YEAR(T$3)=YEAR($B$8),MONTH(T$3)=MONTH($B$8)),T10*T17/12,IF(AND((12*(YEAR(T$3)-YEAR($B$7))+MONTH(T$3)-MONTH($B$7))&gt;0,MOD((12*(YEAR(T$3)-YEAR($B$7))+MONTH(T$3)-MONTH($B$7)),'Вводные'!$B$78)=0,(12*(YEAR(T$3)-YEAR($B$7))+MONTH(T$3)-MONTH($B$7))&lt;='Вводные'!$B$77*12),T10*T17*'Вводные'!$B$78/12,0)),0)</x:f>
      </x:c>
      <x:c r="U13" s="117" t="n">
        <x:f>IF(AND('Вводные'!$B$75&lt;&gt;"Единовременно",'Вводные'!$B$80="Да",U10&gt;0),IF(AND('Вводные'!$B$84="Да",YEAR(U$3)=YEAR($B$8),MONTH(U$3)=MONTH($B$8)),U10*U17/12,IF(AND((12*(YEAR(U$3)-YEAR($B$7))+MONTH(U$3)-MONTH($B$7))&gt;0,MOD((12*(YEAR(U$3)-YEAR($B$7))+MONTH(U$3)-MONTH($B$7)),'Вводные'!$B$78)=0,(12*(YEAR(U$3)-YEAR($B$7))+MONTH(U$3)-MONTH($B$7))&lt;='Вводные'!$B$77*12),U10*U17*'Вводные'!$B$78/12,0)),0)</x:f>
      </x:c>
      <x:c r="V13" s="117" t="n">
        <x:f>IF(AND('Вводные'!$B$75&lt;&gt;"Единовременно",'Вводные'!$B$80="Да",V10&gt;0),IF(AND('Вводные'!$B$84="Да",YEAR(V$3)=YEAR($B$8),MONTH(V$3)=MONTH($B$8)),V10*V17/12,IF(AND((12*(YEAR(V$3)-YEAR($B$7))+MONTH(V$3)-MONTH($B$7))&gt;0,MOD((12*(YEAR(V$3)-YEAR($B$7))+MONTH(V$3)-MONTH($B$7)),'Вводные'!$B$78)=0,(12*(YEAR(V$3)-YEAR($B$7))+MONTH(V$3)-MONTH($B$7))&lt;='Вводные'!$B$77*12),V10*V17*'Вводные'!$B$78/12,0)),0)</x:f>
      </x:c>
      <x:c r="W13" s="117" t="n">
        <x:f>IF(AND('Вводные'!$B$75&lt;&gt;"Единовременно",'Вводные'!$B$80="Да",W10&gt;0),IF(AND('Вводные'!$B$84="Да",YEAR(W$3)=YEAR($B$8),MONTH(W$3)=MONTH($B$8)),W10*W17/12,IF(AND((12*(YEAR(W$3)-YEAR($B$7))+MONTH(W$3)-MONTH($B$7))&gt;0,MOD((12*(YEAR(W$3)-YEAR($B$7))+MONTH(W$3)-MONTH($B$7)),'Вводные'!$B$78)=0,(12*(YEAR(W$3)-YEAR($B$7))+MONTH(W$3)-MONTH($B$7))&lt;='Вводные'!$B$77*12),W10*W17*'Вводные'!$B$78/12,0)),0)</x:f>
      </x:c>
      <x:c r="X13" s="117" t="n">
        <x:f>IF(AND('Вводные'!$B$75&lt;&gt;"Единовременно",'Вводные'!$B$80="Да",X10&gt;0),IF(AND('Вводные'!$B$84="Да",YEAR(X$3)=YEAR($B$8),MONTH(X$3)=MONTH($B$8)),X10*X17/12,IF(AND((12*(YEAR(X$3)-YEAR($B$7))+MONTH(X$3)-MONTH($B$7))&gt;0,MOD((12*(YEAR(X$3)-YEAR($B$7))+MONTH(X$3)-MONTH($B$7)),'Вводные'!$B$78)=0,(12*(YEAR(X$3)-YEAR($B$7))+MONTH(X$3)-MONTH($B$7))&lt;='Вводные'!$B$77*12),X10*X17*'Вводные'!$B$78/12,0)),0)</x:f>
      </x:c>
      <x:c r="Y13" s="117" t="n">
        <x:f>IF(AND('Вводные'!$B$75&lt;&gt;"Единовременно",'Вводные'!$B$80="Да",Y10&gt;0),IF(AND('Вводные'!$B$84="Да",YEAR(Y$3)=YEAR($B$8),MONTH(Y$3)=MONTH($B$8)),Y10*Y17/12,IF(AND((12*(YEAR(Y$3)-YEAR($B$7))+MONTH(Y$3)-MONTH($B$7))&gt;0,MOD((12*(YEAR(Y$3)-YEAR($B$7))+MONTH(Y$3)-MONTH($B$7)),'Вводные'!$B$78)=0,(12*(YEAR(Y$3)-YEAR($B$7))+MONTH(Y$3)-MONTH($B$7))&lt;='Вводные'!$B$77*12),Y10*Y17*'Вводные'!$B$78/12,0)),0)</x:f>
      </x:c>
      <x:c r="Z13" s="117" t="n">
        <x:f>IF(AND('Вводные'!$B$75&lt;&gt;"Единовременно",'Вводные'!$B$80="Да",Z10&gt;0),IF(AND('Вводные'!$B$84="Да",YEAR(Z$3)=YEAR($B$8),MONTH(Z$3)=MONTH($B$8)),Z10*Z17/12,IF(AND((12*(YEAR(Z$3)-YEAR($B$7))+MONTH(Z$3)-MONTH($B$7))&gt;0,MOD((12*(YEAR(Z$3)-YEAR($B$7))+MONTH(Z$3)-MONTH($B$7)),'Вводные'!$B$78)=0,(12*(YEAR(Z$3)-YEAR($B$7))+MONTH(Z$3)-MONTH($B$7))&lt;='Вводные'!$B$77*12),Z10*Z17*'Вводные'!$B$78/12,0)),0)</x:f>
      </x:c>
      <x:c r="AA13" s="117" t="n">
        <x:f>IF(AND('Вводные'!$B$75&lt;&gt;"Единовременно",'Вводные'!$B$80="Да",AA10&gt;0),IF(AND('Вводные'!$B$84="Да",YEAR(AA$3)=YEAR($B$8),MONTH(AA$3)=MONTH($B$8)),AA10*AA17/12,IF(AND((12*(YEAR(AA$3)-YEAR($B$7))+MONTH(AA$3)-MONTH($B$7))&gt;0,MOD((12*(YEAR(AA$3)-YEAR($B$7))+MONTH(AA$3)-MONTH($B$7)),'Вводные'!$B$78)=0,(12*(YEAR(AA$3)-YEAR($B$7))+MONTH(AA$3)-MONTH($B$7))&lt;='Вводные'!$B$77*12),AA10*AA17*'Вводные'!$B$78/12,0)),0)</x:f>
      </x:c>
      <x:c r="AB13" s="117" t="n">
        <x:f>IF(AND('Вводные'!$B$75&lt;&gt;"Единовременно",'Вводные'!$B$80="Да",AB10&gt;0),IF(AND('Вводные'!$B$84="Да",YEAR(AB$3)=YEAR($B$8),MONTH(AB$3)=MONTH($B$8)),AB10*AB17/12,IF(AND((12*(YEAR(AB$3)-YEAR($B$7))+MONTH(AB$3)-MONTH($B$7))&gt;0,MOD((12*(YEAR(AB$3)-YEAR($B$7))+MONTH(AB$3)-MONTH($B$7)),'Вводные'!$B$78)=0,(12*(YEAR(AB$3)-YEAR($B$7))+MONTH(AB$3)-MONTH($B$7))&lt;='Вводные'!$B$77*12),AB10*AB17*'Вводные'!$B$78/12,0)),0)</x:f>
      </x:c>
      <x:c r="AC13" s="117" t="n">
        <x:f>IF(AND('Вводные'!$B$75&lt;&gt;"Единовременно",'Вводные'!$B$80="Да",AC10&gt;0),IF(AND('Вводные'!$B$84="Да",YEAR(AC$3)=YEAR($B$8),MONTH(AC$3)=MONTH($B$8)),AC10*AC17/12,IF(AND((12*(YEAR(AC$3)-YEAR($B$7))+MONTH(AC$3)-MONTH($B$7))&gt;0,MOD((12*(YEAR(AC$3)-YEAR($B$7))+MONTH(AC$3)-MONTH($B$7)),'Вводные'!$B$78)=0,(12*(YEAR(AC$3)-YEAR($B$7))+MONTH(AC$3)-MONTH($B$7))&lt;='Вводные'!$B$77*12),AC10*AC17*'Вводные'!$B$78/12,0)),0)</x:f>
      </x:c>
      <x:c r="AD13" s="117" t="n">
        <x:f>IF(AND('Вводные'!$B$75&lt;&gt;"Единовременно",'Вводные'!$B$80="Да",AD10&gt;0),IF(AND('Вводные'!$B$84="Да",YEAR(AD$3)=YEAR($B$8),MONTH(AD$3)=MONTH($B$8)),AD10*AD17/12,IF(AND((12*(YEAR(AD$3)-YEAR($B$7))+MONTH(AD$3)-MONTH($B$7))&gt;0,MOD((12*(YEAR(AD$3)-YEAR($B$7))+MONTH(AD$3)-MONTH($B$7)),'Вводные'!$B$78)=0,(12*(YEAR(AD$3)-YEAR($B$7))+MONTH(AD$3)-MONTH($B$7))&lt;='Вводные'!$B$77*12),AD10*AD17*'Вводные'!$B$78/12,0)),0)</x:f>
      </x:c>
      <x:c r="AE13" s="117" t="n">
        <x:f>IF(AND('Вводные'!$B$75&lt;&gt;"Единовременно",'Вводные'!$B$80="Да",AE10&gt;0),IF(AND('Вводные'!$B$84="Да",YEAR(AE$3)=YEAR($B$8),MONTH(AE$3)=MONTH($B$8)),AE10*AE17/12,IF(AND((12*(YEAR(AE$3)-YEAR($B$7))+MONTH(AE$3)-MONTH($B$7))&gt;0,MOD((12*(YEAR(AE$3)-YEAR($B$7))+MONTH(AE$3)-MONTH($B$7)),'Вводные'!$B$78)=0,(12*(YEAR(AE$3)-YEAR($B$7))+MONTH(AE$3)-MONTH($B$7))&lt;='Вводные'!$B$77*12),AE10*AE17*'Вводные'!$B$78/12,0)),0)</x:f>
      </x:c>
      <x:c r="AF13" s="117" t="n">
        <x:f>IF(AND('Вводные'!$B$75&lt;&gt;"Единовременно",'Вводные'!$B$80="Да",AF10&gt;0),IF(AND('Вводные'!$B$84="Да",YEAR(AF$3)=YEAR($B$8),MONTH(AF$3)=MONTH($B$8)),AF10*AF17/12,IF(AND((12*(YEAR(AF$3)-YEAR($B$7))+MONTH(AF$3)-MONTH($B$7))&gt;0,MOD((12*(YEAR(AF$3)-YEAR($B$7))+MONTH(AF$3)-MONTH($B$7)),'Вводные'!$B$78)=0,(12*(YEAR(AF$3)-YEAR($B$7))+MONTH(AF$3)-MONTH($B$7))&lt;='Вводные'!$B$77*12),AF10*AF17*'Вводные'!$B$78/12,0)),0)</x:f>
      </x:c>
      <x:c r="AG13" s="117" t="n">
        <x:f>IF(AND('Вводные'!$B$75&lt;&gt;"Единовременно",'Вводные'!$B$80="Да",AG10&gt;0),IF(AND('Вводные'!$B$84="Да",YEAR(AG$3)=YEAR($B$8),MONTH(AG$3)=MONTH($B$8)),AG10*AG17/12,IF(AND((12*(YEAR(AG$3)-YEAR($B$7))+MONTH(AG$3)-MONTH($B$7))&gt;0,MOD((12*(YEAR(AG$3)-YEAR($B$7))+MONTH(AG$3)-MONTH($B$7)),'Вводные'!$B$78)=0,(12*(YEAR(AG$3)-YEAR($B$7))+MONTH(AG$3)-MONTH($B$7))&lt;='Вводные'!$B$77*12),AG10*AG17*'Вводные'!$B$78/12,0)),0)</x:f>
      </x:c>
      <x:c r="AH13" s="117" t="n">
        <x:f>IF(AND('Вводные'!$B$75&lt;&gt;"Единовременно",'Вводные'!$B$80="Да",AH10&gt;0),IF(AND('Вводные'!$B$84="Да",YEAR(AH$3)=YEAR($B$8),MONTH(AH$3)=MONTH($B$8)),AH10*AH17/12,IF(AND((12*(YEAR(AH$3)-YEAR($B$7))+MONTH(AH$3)-MONTH($B$7))&gt;0,MOD((12*(YEAR(AH$3)-YEAR($B$7))+MONTH(AH$3)-MONTH($B$7)),'Вводные'!$B$78)=0,(12*(YEAR(AH$3)-YEAR($B$7))+MONTH(AH$3)-MONTH($B$7))&lt;='Вводные'!$B$77*12),AH10*AH17*'Вводные'!$B$78/12,0)),0)</x:f>
      </x:c>
      <x:c r="AI13" s="117" t="n">
        <x:f>IF(AND('Вводные'!$B$75&lt;&gt;"Единовременно",'Вводные'!$B$80="Да",AI10&gt;0),IF(AND('Вводные'!$B$84="Да",YEAR(AI$3)=YEAR($B$8),MONTH(AI$3)=MONTH($B$8)),AI10*AI17/12,IF(AND((12*(YEAR(AI$3)-YEAR($B$7))+MONTH(AI$3)-MONTH($B$7))&gt;0,MOD((12*(YEAR(AI$3)-YEAR($B$7))+MONTH(AI$3)-MONTH($B$7)),'Вводные'!$B$78)=0,(12*(YEAR(AI$3)-YEAR($B$7))+MONTH(AI$3)-MONTH($B$7))&lt;='Вводные'!$B$77*12),AI10*AI17*'Вводные'!$B$78/12,0)),0)</x:f>
      </x:c>
      <x:c r="AJ13" s="117" t="n">
        <x:f>IF(AND('Вводные'!$B$75&lt;&gt;"Единовременно",'Вводные'!$B$80="Да",AJ10&gt;0),IF(AND('Вводные'!$B$84="Да",YEAR(AJ$3)=YEAR($B$8),MONTH(AJ$3)=MONTH($B$8)),AJ10*AJ17/12,IF(AND((12*(YEAR(AJ$3)-YEAR($B$7))+MONTH(AJ$3)-MONTH($B$7))&gt;0,MOD((12*(YEAR(AJ$3)-YEAR($B$7))+MONTH(AJ$3)-MONTH($B$7)),'Вводные'!$B$78)=0,(12*(YEAR(AJ$3)-YEAR($B$7))+MONTH(AJ$3)-MONTH($B$7))&lt;='Вводные'!$B$77*12),AJ10*AJ17*'Вводные'!$B$78/12,0)),0)</x:f>
      </x:c>
      <x:c r="AK13" s="117" t="n">
        <x:f>IF(AND('Вводные'!$B$75&lt;&gt;"Единовременно",'Вводные'!$B$80="Да",AK10&gt;0),IF(AND('Вводные'!$B$84="Да",YEAR(AK$3)=YEAR($B$8),MONTH(AK$3)=MONTH($B$8)),AK10*AK17/12,IF(AND((12*(YEAR(AK$3)-YEAR($B$7))+MONTH(AK$3)-MONTH($B$7))&gt;0,MOD((12*(YEAR(AK$3)-YEAR($B$7))+MONTH(AK$3)-MONTH($B$7)),'Вводные'!$B$78)=0,(12*(YEAR(AK$3)-YEAR($B$7))+MONTH(AK$3)-MONTH($B$7))&lt;='Вводные'!$B$77*12),AK10*AK17*'Вводные'!$B$78/12,0)),0)</x:f>
      </x:c>
      <x:c r="AL13" s="117" t="n">
        <x:f>IF(AND('Вводные'!$B$75&lt;&gt;"Единовременно",'Вводные'!$B$80="Да",AL10&gt;0),IF(AND('Вводные'!$B$84="Да",YEAR(AL$3)=YEAR($B$8),MONTH(AL$3)=MONTH($B$8)),AL10*AL17/12,IF(AND((12*(YEAR(AL$3)-YEAR($B$7))+MONTH(AL$3)-MONTH($B$7))&gt;0,MOD((12*(YEAR(AL$3)-YEAR($B$7))+MONTH(AL$3)-MONTH($B$7)),'Вводные'!$B$78)=0,(12*(YEAR(AL$3)-YEAR($B$7))+MONTH(AL$3)-MONTH($B$7))&lt;='Вводные'!$B$77*12),AL10*AL17*'Вводные'!$B$78/12,0)),0)</x:f>
      </x:c>
      <x:c r="AM13" s="117" t="n">
        <x:f>IF(AND('Вводные'!$B$75&lt;&gt;"Единовременно",'Вводные'!$B$80="Да",AM10&gt;0),IF(AND('Вводные'!$B$84="Да",YEAR(AM$3)=YEAR($B$8),MONTH(AM$3)=MONTH($B$8)),AM10*AM17/12,IF(AND((12*(YEAR(AM$3)-YEAR($B$7))+MONTH(AM$3)-MONTH($B$7))&gt;0,MOD((12*(YEAR(AM$3)-YEAR($B$7))+MONTH(AM$3)-MONTH($B$7)),'Вводные'!$B$78)=0,(12*(YEAR(AM$3)-YEAR($B$7))+MONTH(AM$3)-MONTH($B$7))&lt;='Вводные'!$B$77*12),AM10*AM17*'Вводные'!$B$78/12,0)),0)</x:f>
      </x:c>
      <x:c r="AN13" s="117" t="n">
        <x:f>IF(AND('Вводные'!$B$75&lt;&gt;"Единовременно",'Вводные'!$B$80="Да",AN10&gt;0),IF(AND('Вводные'!$B$84="Да",YEAR(AN$3)=YEAR($B$8),MONTH(AN$3)=MONTH($B$8)),AN10*AN17/12,IF(AND((12*(YEAR(AN$3)-YEAR($B$7))+MONTH(AN$3)-MONTH($B$7))&gt;0,MOD((12*(YEAR(AN$3)-YEAR($B$7))+MONTH(AN$3)-MONTH($B$7)),'Вводные'!$B$78)=0,(12*(YEAR(AN$3)-YEAR($B$7))+MONTH(AN$3)-MONTH($B$7))&lt;='Вводные'!$B$77*12),AN10*AN17*'Вводные'!$B$78/12,0)),0)</x:f>
      </x:c>
      <x:c r="AO13" s="117" t="n">
        <x:f>IF(AND('Вводные'!$B$75&lt;&gt;"Единовременно",'Вводные'!$B$80="Да",AO10&gt;0),IF(AND('Вводные'!$B$84="Да",YEAR(AO$3)=YEAR($B$8),MONTH(AO$3)=MONTH($B$8)),AO10*AO17/12,IF(AND((12*(YEAR(AO$3)-YEAR($B$7))+MONTH(AO$3)-MONTH($B$7))&gt;0,MOD((12*(YEAR(AO$3)-YEAR($B$7))+MONTH(AO$3)-MONTH($B$7)),'Вводные'!$B$78)=0,(12*(YEAR(AO$3)-YEAR($B$7))+MONTH(AO$3)-MONTH($B$7))&lt;='Вводные'!$B$77*12),AO10*AO17*'Вводные'!$B$78/12,0)),0)</x:f>
      </x:c>
      <x:c r="AP13" s="117" t="n">
        <x:f>IF(AND('Вводные'!$B$75&lt;&gt;"Единовременно",'Вводные'!$B$80="Да",AP10&gt;0),IF(AND('Вводные'!$B$84="Да",YEAR(AP$3)=YEAR($B$8),MONTH(AP$3)=MONTH($B$8)),AP10*AP17/12,IF(AND((12*(YEAR(AP$3)-YEAR($B$7))+MONTH(AP$3)-MONTH($B$7))&gt;0,MOD((12*(YEAR(AP$3)-YEAR($B$7))+MONTH(AP$3)-MONTH($B$7)),'Вводные'!$B$78)=0,(12*(YEAR(AP$3)-YEAR($B$7))+MONTH(AP$3)-MONTH($B$7))&lt;='Вводные'!$B$77*12),AP10*AP17*'Вводные'!$B$78/12,0)),0)</x:f>
      </x:c>
      <x:c r="AQ13" s="117" t="n">
        <x:f>IF(AND('Вводные'!$B$75&lt;&gt;"Единовременно",'Вводные'!$B$80="Да",AQ10&gt;0),IF(AND('Вводные'!$B$84="Да",YEAR(AQ$3)=YEAR($B$8),MONTH(AQ$3)=MONTH($B$8)),AQ10*AQ17/12,IF(AND((12*(YEAR(AQ$3)-YEAR($B$7))+MONTH(AQ$3)-MONTH($B$7))&gt;0,MOD((12*(YEAR(AQ$3)-YEAR($B$7))+MONTH(AQ$3)-MONTH($B$7)),'Вводные'!$B$78)=0,(12*(YEAR(AQ$3)-YEAR($B$7))+MONTH(AQ$3)-MONTH($B$7))&lt;='Вводные'!$B$77*12),AQ10*AQ17*'Вводные'!$B$78/12,0)),0)</x:f>
      </x:c>
      <x:c r="AR13" s="117" t="n">
        <x:f>IF(AND('Вводные'!$B$75&lt;&gt;"Единовременно",'Вводные'!$B$80="Да",AR10&gt;0),IF(AND('Вводные'!$B$84="Да",YEAR(AR$3)=YEAR($B$8),MONTH(AR$3)=MONTH($B$8)),AR10*AR17/12,IF(AND((12*(YEAR(AR$3)-YEAR($B$7))+MONTH(AR$3)-MONTH($B$7))&gt;0,MOD((12*(YEAR(AR$3)-YEAR($B$7))+MONTH(AR$3)-MONTH($B$7)),'Вводные'!$B$78)=0,(12*(YEAR(AR$3)-YEAR($B$7))+MONTH(AR$3)-MONTH($B$7))&lt;='Вводные'!$B$77*12),AR10*AR17*'Вводные'!$B$78/12,0)),0)</x:f>
      </x:c>
      <x:c r="AS13" s="117" t="n">
        <x:f>IF(AND('Вводные'!$B$75&lt;&gt;"Единовременно",'Вводные'!$B$80="Да",AS10&gt;0),IF(AND('Вводные'!$B$84="Да",YEAR(AS$3)=YEAR($B$8),MONTH(AS$3)=MONTH($B$8)),AS10*AS17/12,IF(AND((12*(YEAR(AS$3)-YEAR($B$7))+MONTH(AS$3)-MONTH($B$7))&gt;0,MOD((12*(YEAR(AS$3)-YEAR($B$7))+MONTH(AS$3)-MONTH($B$7)),'Вводные'!$B$78)=0,(12*(YEAR(AS$3)-YEAR($B$7))+MONTH(AS$3)-MONTH($B$7))&lt;='Вводные'!$B$77*12),AS10*AS17*'Вводные'!$B$78/12,0)),0)</x:f>
      </x:c>
      <x:c r="AT13" s="117" t="n">
        <x:f>IF(AND('Вводные'!$B$75&lt;&gt;"Единовременно",'Вводные'!$B$80="Да",AT10&gt;0),IF(AND('Вводные'!$B$84="Да",YEAR(AT$3)=YEAR($B$8),MONTH(AT$3)=MONTH($B$8)),AT10*AT17/12,IF(AND((12*(YEAR(AT$3)-YEAR($B$7))+MONTH(AT$3)-MONTH($B$7))&gt;0,MOD((12*(YEAR(AT$3)-YEAR($B$7))+MONTH(AT$3)-MONTH($B$7)),'Вводные'!$B$78)=0,(12*(YEAR(AT$3)-YEAR($B$7))+MONTH(AT$3)-MONTH($B$7))&lt;='Вводные'!$B$77*12),AT10*AT17*'Вводные'!$B$78/12,0)),0)</x:f>
      </x:c>
      <x:c r="AU13" s="117" t="n">
        <x:f>IF(AND('Вводные'!$B$75&lt;&gt;"Единовременно",'Вводные'!$B$80="Да",AU10&gt;0),IF(AND('Вводные'!$B$84="Да",YEAR(AU$3)=YEAR($B$8),MONTH(AU$3)=MONTH($B$8)),AU10*AU17/12,IF(AND((12*(YEAR(AU$3)-YEAR($B$7))+MONTH(AU$3)-MONTH($B$7))&gt;0,MOD((12*(YEAR(AU$3)-YEAR($B$7))+MONTH(AU$3)-MONTH($B$7)),'Вводные'!$B$78)=0,(12*(YEAR(AU$3)-YEAR($B$7))+MONTH(AU$3)-MONTH($B$7))&lt;='Вводные'!$B$77*12),AU10*AU17*'Вводные'!$B$78/12,0)),0)</x:f>
      </x:c>
      <x:c r="AV13" s="117" t="n">
        <x:f>IF(AND('Вводные'!$B$75&lt;&gt;"Единовременно",'Вводные'!$B$80="Да",AV10&gt;0),IF(AND('Вводные'!$B$84="Да",YEAR(AV$3)=YEAR($B$8),MONTH(AV$3)=MONTH($B$8)),AV10*AV17/12,IF(AND((12*(YEAR(AV$3)-YEAR($B$7))+MONTH(AV$3)-MONTH($B$7))&gt;0,MOD((12*(YEAR(AV$3)-YEAR($B$7))+MONTH(AV$3)-MONTH($B$7)),'Вводные'!$B$78)=0,(12*(YEAR(AV$3)-YEAR($B$7))+MONTH(AV$3)-MONTH($B$7))&lt;='Вводные'!$B$77*12),AV10*AV17*'Вводные'!$B$78/12,0)),0)</x:f>
      </x:c>
      <x:c r="AW13" s="117" t="n">
        <x:f>IF(AND('Вводные'!$B$75&lt;&gt;"Единовременно",'Вводные'!$B$80="Да",AW10&gt;0),IF(AND('Вводные'!$B$84="Да",YEAR(AW$3)=YEAR($B$8),MONTH(AW$3)=MONTH($B$8)),AW10*AW17/12,IF(AND((12*(YEAR(AW$3)-YEAR($B$7))+MONTH(AW$3)-MONTH($B$7))&gt;0,MOD((12*(YEAR(AW$3)-YEAR($B$7))+MONTH(AW$3)-MONTH($B$7)),'Вводные'!$B$78)=0,(12*(YEAR(AW$3)-YEAR($B$7))+MONTH(AW$3)-MONTH($B$7))&lt;='Вводные'!$B$77*12),AW10*AW17*'Вводные'!$B$78/12,0)),0)</x:f>
      </x:c>
      <x:c r="AX13" s="117" t="n">
        <x:f>IF(AND('Вводные'!$B$75&lt;&gt;"Единовременно",'Вводные'!$B$80="Да",AX10&gt;0),IF(AND('Вводные'!$B$84="Да",YEAR(AX$3)=YEAR($B$8),MONTH(AX$3)=MONTH($B$8)),AX10*AX17/12,IF(AND((12*(YEAR(AX$3)-YEAR($B$7))+MONTH(AX$3)-MONTH($B$7))&gt;0,MOD((12*(YEAR(AX$3)-YEAR($B$7))+MONTH(AX$3)-MONTH($B$7)),'Вводные'!$B$78)=0,(12*(YEAR(AX$3)-YEAR($B$7))+MONTH(AX$3)-MONTH($B$7))&lt;='Вводные'!$B$77*12),AX10*AX17*'Вводные'!$B$78/12,0)),0)</x:f>
      </x:c>
      <x:c r="AY13" s="117" t="n">
        <x:f>IF(AND('Вводные'!$B$75&lt;&gt;"Единовременно",'Вводные'!$B$80="Да",AY10&gt;0),IF(AND('Вводные'!$B$84="Да",YEAR(AY$3)=YEAR($B$8),MONTH(AY$3)=MONTH($B$8)),AY10*AY17/12,IF(AND((12*(YEAR(AY$3)-YEAR($B$7))+MONTH(AY$3)-MONTH($B$7))&gt;0,MOD((12*(YEAR(AY$3)-YEAR($B$7))+MONTH(AY$3)-MONTH($B$7)),'Вводные'!$B$78)=0,(12*(YEAR(AY$3)-YEAR($B$7))+MONTH(AY$3)-MONTH($B$7))&lt;='Вводные'!$B$77*12),AY10*AY17*'Вводные'!$B$78/12,0)),0)</x:f>
      </x:c>
      <x:c r="AZ13" s="117" t="n">
        <x:f>IF(AND('Вводные'!$B$75&lt;&gt;"Единовременно",'Вводные'!$B$80="Да",AZ10&gt;0),IF(AND('Вводные'!$B$84="Да",YEAR(AZ$3)=YEAR($B$8),MONTH(AZ$3)=MONTH($B$8)),AZ10*AZ17/12,IF(AND((12*(YEAR(AZ$3)-YEAR($B$7))+MONTH(AZ$3)-MONTH($B$7))&gt;0,MOD((12*(YEAR(AZ$3)-YEAR($B$7))+MONTH(AZ$3)-MONTH($B$7)),'Вводные'!$B$78)=0,(12*(YEAR(AZ$3)-YEAR($B$7))+MONTH(AZ$3)-MONTH($B$7))&lt;='Вводные'!$B$77*12),AZ10*AZ17*'Вводные'!$B$78/12,0)),0)</x:f>
      </x:c>
      <x:c r="BA13" s="117" t="n">
        <x:f>IF(AND('Вводные'!$B$75&lt;&gt;"Единовременно",'Вводные'!$B$80="Да",BA10&gt;0),IF(AND('Вводные'!$B$84="Да",YEAR(BA$3)=YEAR($B$8),MONTH(BA$3)=MONTH($B$8)),BA10*BA17/12,IF(AND((12*(YEAR(BA$3)-YEAR($B$7))+MONTH(BA$3)-MONTH($B$7))&gt;0,MOD((12*(YEAR(BA$3)-YEAR($B$7))+MONTH(BA$3)-MONTH($B$7)),'Вводные'!$B$78)=0,(12*(YEAR(BA$3)-YEAR($B$7))+MONTH(BA$3)-MONTH($B$7))&lt;='Вводные'!$B$77*12),BA10*BA17*'Вводные'!$B$78/12,0)),0)</x:f>
      </x:c>
      <x:c r="BB13" s="117" t="n">
        <x:f>IF(AND('Вводные'!$B$75&lt;&gt;"Единовременно",'Вводные'!$B$80="Да",BB10&gt;0),IF(AND('Вводные'!$B$84="Да",YEAR(BB$3)=YEAR($B$8),MONTH(BB$3)=MONTH($B$8)),BB10*BB17/12,IF(AND((12*(YEAR(BB$3)-YEAR($B$7))+MONTH(BB$3)-MONTH($B$7))&gt;0,MOD((12*(YEAR(BB$3)-YEAR($B$7))+MONTH(BB$3)-MONTH($B$7)),'Вводные'!$B$78)=0,(12*(YEAR(BB$3)-YEAR($B$7))+MONTH(BB$3)-MONTH($B$7))&lt;='Вводные'!$B$77*12),BB10*BB17*'Вводные'!$B$78/12,0)),0)</x:f>
      </x:c>
      <x:c r="BC13" s="117" t="n">
        <x:f>IF(AND('Вводные'!$B$75&lt;&gt;"Единовременно",'Вводные'!$B$80="Да",BC10&gt;0),IF(AND('Вводные'!$B$84="Да",YEAR(BC$3)=YEAR($B$8),MONTH(BC$3)=MONTH($B$8)),BC10*BC17/12,IF(AND((12*(YEAR(BC$3)-YEAR($B$7))+MONTH(BC$3)-MONTH($B$7))&gt;0,MOD((12*(YEAR(BC$3)-YEAR($B$7))+MONTH(BC$3)-MONTH($B$7)),'Вводные'!$B$78)=0,(12*(YEAR(BC$3)-YEAR($B$7))+MONTH(BC$3)-MONTH($B$7))&lt;='Вводные'!$B$77*12),BC10*BC17*'Вводные'!$B$78/12,0)),0)</x:f>
      </x:c>
      <x:c r="BD13" s="117" t="n">
        <x:f>IF(AND('Вводные'!$B$75&lt;&gt;"Единовременно",'Вводные'!$B$80="Да",BD10&gt;0),IF(AND('Вводные'!$B$84="Да",YEAR(BD$3)=YEAR($B$8),MONTH(BD$3)=MONTH($B$8)),BD10*BD17/12,IF(AND((12*(YEAR(BD$3)-YEAR($B$7))+MONTH(BD$3)-MONTH($B$7))&gt;0,MOD((12*(YEAR(BD$3)-YEAR($B$7))+MONTH(BD$3)-MONTH($B$7)),'Вводные'!$B$78)=0,(12*(YEAR(BD$3)-YEAR($B$7))+MONTH(BD$3)-MONTH($B$7))&lt;='Вводные'!$B$77*12),BD10*BD17*'Вводные'!$B$78/12,0)),0)</x:f>
      </x:c>
      <x:c r="BE13" s="117" t="n">
        <x:f>IF(AND('Вводные'!$B$75&lt;&gt;"Единовременно",'Вводные'!$B$80="Да",BE10&gt;0),IF(AND('Вводные'!$B$84="Да",YEAR(BE$3)=YEAR($B$8),MONTH(BE$3)=MONTH($B$8)),BE10*BE17/12,IF(AND((12*(YEAR(BE$3)-YEAR($B$7))+MONTH(BE$3)-MONTH($B$7))&gt;0,MOD((12*(YEAR(BE$3)-YEAR($B$7))+MONTH(BE$3)-MONTH($B$7)),'Вводные'!$B$78)=0,(12*(YEAR(BE$3)-YEAR($B$7))+MONTH(BE$3)-MONTH($B$7))&lt;='Вводные'!$B$77*12),BE10*BE17*'Вводные'!$B$78/12,0)),0)</x:f>
      </x:c>
      <x:c r="BF13" s="117" t="n">
        <x:f>IF(AND('Вводные'!$B$75&lt;&gt;"Единовременно",'Вводные'!$B$80="Да",BF10&gt;0),IF(AND('Вводные'!$B$84="Да",YEAR(BF$3)=YEAR($B$8),MONTH(BF$3)=MONTH($B$8)),BF10*BF17/12,IF(AND((12*(YEAR(BF$3)-YEAR($B$7))+MONTH(BF$3)-MONTH($B$7))&gt;0,MOD((12*(YEAR(BF$3)-YEAR($B$7))+MONTH(BF$3)-MONTH($B$7)),'Вводные'!$B$78)=0,(12*(YEAR(BF$3)-YEAR($B$7))+MONTH(BF$3)-MONTH($B$7))&lt;='Вводные'!$B$77*12),BF10*BF17*'Вводные'!$B$78/12,0)),0)</x:f>
      </x:c>
      <x:c r="BG13" s="117" t="n">
        <x:f>IF(AND('Вводные'!$B$75&lt;&gt;"Единовременно",'Вводные'!$B$80="Да",BG10&gt;0),IF(AND('Вводные'!$B$84="Да",YEAR(BG$3)=YEAR($B$8),MONTH(BG$3)=MONTH($B$8)),BG10*BG17/12,IF(AND((12*(YEAR(BG$3)-YEAR($B$7))+MONTH(BG$3)-MONTH($B$7))&gt;0,MOD((12*(YEAR(BG$3)-YEAR($B$7))+MONTH(BG$3)-MONTH($B$7)),'Вводные'!$B$78)=0,(12*(YEAR(BG$3)-YEAR($B$7))+MONTH(BG$3)-MONTH($B$7))&lt;='Вводные'!$B$77*12),BG10*BG17*'Вводные'!$B$78/12,0)),0)</x:f>
      </x:c>
      <x:c r="BH13" s="117" t="n">
        <x:f>IF(AND('Вводные'!$B$75&lt;&gt;"Единовременно",'Вводные'!$B$80="Да",BH10&gt;0),IF(AND('Вводные'!$B$84="Да",YEAR(BH$3)=YEAR($B$8),MONTH(BH$3)=MONTH($B$8)),BH10*BH17/12,IF(AND((12*(YEAR(BH$3)-YEAR($B$7))+MONTH(BH$3)-MONTH($B$7))&gt;0,MOD((12*(YEAR(BH$3)-YEAR($B$7))+MONTH(BH$3)-MONTH($B$7)),'Вводные'!$B$78)=0,(12*(YEAR(BH$3)-YEAR($B$7))+MONTH(BH$3)-MONTH($B$7))&lt;='Вводные'!$B$77*12),BH10*BH17*'Вводные'!$B$78/12,0)),0)</x:f>
      </x:c>
      <x:c r="BI13" s="117" t="n">
        <x:f>IF(AND('Вводные'!$B$75&lt;&gt;"Единовременно",'Вводные'!$B$80="Да",BI10&gt;0),IF(AND('Вводные'!$B$84="Да",YEAR(BI$3)=YEAR($B$8),MONTH(BI$3)=MONTH($B$8)),BI10*BI17/12,IF(AND((12*(YEAR(BI$3)-YEAR($B$7))+MONTH(BI$3)-MONTH($B$7))&gt;0,MOD((12*(YEAR(BI$3)-YEAR($B$7))+MONTH(BI$3)-MONTH($B$7)),'Вводные'!$B$78)=0,(12*(YEAR(BI$3)-YEAR($B$7))+MONTH(BI$3)-MONTH($B$7))&lt;='Вводные'!$B$77*12),BI10*BI17*'Вводные'!$B$78/12,0)),0)</x:f>
      </x:c>
      <x:c r="BJ13" s="117" t="n">
        <x:f>IF(AND('Вводные'!$B$75&lt;&gt;"Единовременно",'Вводные'!$B$80="Да",BJ10&gt;0),IF(AND('Вводные'!$B$84="Да",YEAR(BJ$3)=YEAR($B$8),MONTH(BJ$3)=MONTH($B$8)),BJ10*BJ17/12,IF(AND((12*(YEAR(BJ$3)-YEAR($B$7))+MONTH(BJ$3)-MONTH($B$7))&gt;0,MOD((12*(YEAR(BJ$3)-YEAR($B$7))+MONTH(BJ$3)-MONTH($B$7)),'Вводные'!$B$78)=0,(12*(YEAR(BJ$3)-YEAR($B$7))+MONTH(BJ$3)-MONTH($B$7))&lt;='Вводные'!$B$77*12),BJ10*BJ17*'Вводные'!$B$78/12,0)),0)</x:f>
      </x:c>
      <x:c r="BK13" s="117" t="n">
        <x:f>IF(AND('Вводные'!$B$75&lt;&gt;"Единовременно",'Вводные'!$B$80="Да",BK10&gt;0),IF(AND('Вводные'!$B$84="Да",YEAR(BK$3)=YEAR($B$8),MONTH(BK$3)=MONTH($B$8)),BK10*BK17/12,IF(AND((12*(YEAR(BK$3)-YEAR($B$7))+MONTH(BK$3)-MONTH($B$7))&gt;0,MOD((12*(YEAR(BK$3)-YEAR($B$7))+MONTH(BK$3)-MONTH($B$7)),'Вводные'!$B$78)=0,(12*(YEAR(BK$3)-YEAR($B$7))+MONTH(BK$3)-MONTH($B$7))&lt;='Вводные'!$B$77*12),BK10*BK17*'Вводные'!$B$78/12,0)),0)</x:f>
      </x:c>
      <x:c r="BL13" s="117" t="n">
        <x:f>IF(AND('Вводные'!$B$75&lt;&gt;"Единовременно",'Вводные'!$B$80="Да",BL10&gt;0),IF(AND('Вводные'!$B$84="Да",YEAR(BL$3)=YEAR($B$8),MONTH(BL$3)=MONTH($B$8)),BL10*BL17/12,IF(AND((12*(YEAR(BL$3)-YEAR($B$7))+MONTH(BL$3)-MONTH($B$7))&gt;0,MOD((12*(YEAR(BL$3)-YEAR($B$7))+MONTH(BL$3)-MONTH($B$7)),'Вводные'!$B$78)=0,(12*(YEAR(BL$3)-YEAR($B$7))+MONTH(BL$3)-MONTH($B$7))&lt;='Вводные'!$B$77*12),BL10*BL17*'Вводные'!$B$78/12,0)),0)</x:f>
      </x:c>
      <x:c r="BM13" s="117" t="n">
        <x:f>IF(AND('Вводные'!$B$75&lt;&gt;"Единовременно",'Вводные'!$B$80="Да",BM10&gt;0),IF(AND('Вводные'!$B$84="Да",YEAR(BM$3)=YEAR($B$8),MONTH(BM$3)=MONTH($B$8)),BM10*BM17/12,IF(AND((12*(YEAR(BM$3)-YEAR($B$7))+MONTH(BM$3)-MONTH($B$7))&gt;0,MOD((12*(YEAR(BM$3)-YEAR($B$7))+MONTH(BM$3)-MONTH($B$7)),'Вводные'!$B$78)=0,(12*(YEAR(BM$3)-YEAR($B$7))+MONTH(BM$3)-MONTH($B$7))&lt;='Вводные'!$B$77*12),BM10*BM17*'Вводные'!$B$78/12,0)),0)</x:f>
      </x:c>
      <x:c r="BN13" s="117" t="n">
        <x:f>IF(AND('Вводные'!$B$75&lt;&gt;"Единовременно",'Вводные'!$B$80="Да",BN10&gt;0),IF(AND('Вводные'!$B$84="Да",YEAR(BN$3)=YEAR($B$8),MONTH(BN$3)=MONTH($B$8)),BN10*BN17/12,IF(AND((12*(YEAR(BN$3)-YEAR($B$7))+MONTH(BN$3)-MONTH($B$7))&gt;0,MOD((12*(YEAR(BN$3)-YEAR($B$7))+MONTH(BN$3)-MONTH($B$7)),'Вводные'!$B$78)=0,(12*(YEAR(BN$3)-YEAR($B$7))+MONTH(BN$3)-MONTH($B$7))&lt;='Вводные'!$B$77*12),BN10*BN17*'Вводные'!$B$78/12,0)),0)</x:f>
      </x:c>
      <x:c r="BO13" s="117" t="n">
        <x:f>IF(AND('Вводные'!$B$75&lt;&gt;"Единовременно",'Вводные'!$B$80="Да",BO10&gt;0),IF(AND('Вводные'!$B$84="Да",YEAR(BO$3)=YEAR($B$8),MONTH(BO$3)=MONTH($B$8)),BO10*BO17/12,IF(AND((12*(YEAR(BO$3)-YEAR($B$7))+MONTH(BO$3)-MONTH($B$7))&gt;0,MOD((12*(YEAR(BO$3)-YEAR($B$7))+MONTH(BO$3)-MONTH($B$7)),'Вводные'!$B$78)=0,(12*(YEAR(BO$3)-YEAR($B$7))+MONTH(BO$3)-MONTH($B$7))&lt;='Вводные'!$B$77*12),BO10*BO17*'Вводные'!$B$78/12,0)),0)</x:f>
      </x:c>
      <x:c r="BP13" s="117" t="n">
        <x:f>IF(AND('Вводные'!$B$75&lt;&gt;"Единовременно",'Вводные'!$B$80="Да",BP10&gt;0),IF(AND('Вводные'!$B$84="Да",YEAR(BP$3)=YEAR($B$8),MONTH(BP$3)=MONTH($B$8)),BP10*BP17/12,IF(AND((12*(YEAR(BP$3)-YEAR($B$7))+MONTH(BP$3)-MONTH($B$7))&gt;0,MOD((12*(YEAR(BP$3)-YEAR($B$7))+MONTH(BP$3)-MONTH($B$7)),'Вводные'!$B$78)=0,(12*(YEAR(BP$3)-YEAR($B$7))+MONTH(BP$3)-MONTH($B$7))&lt;='Вводные'!$B$77*12),BP10*BP17*'Вводные'!$B$78/12,0)),0)</x:f>
      </x:c>
      <x:c r="BQ13" s="117" t="n">
        <x:f>IF(AND('Вводные'!$B$75&lt;&gt;"Единовременно",'Вводные'!$B$80="Да",BQ10&gt;0),IF(AND('Вводные'!$B$84="Да",YEAR(BQ$3)=YEAR($B$8),MONTH(BQ$3)=MONTH($B$8)),BQ10*BQ17/12,IF(AND((12*(YEAR(BQ$3)-YEAR($B$7))+MONTH(BQ$3)-MONTH($B$7))&gt;0,MOD((12*(YEAR(BQ$3)-YEAR($B$7))+MONTH(BQ$3)-MONTH($B$7)),'Вводные'!$B$78)=0,(12*(YEAR(BQ$3)-YEAR($B$7))+MONTH(BQ$3)-MONTH($B$7))&lt;='Вводные'!$B$77*12),BQ10*BQ17*'Вводные'!$B$78/12,0)),0)</x:f>
      </x:c>
      <x:c r="BR13" s="117" t="n">
        <x:f>IF(AND('Вводные'!$B$75&lt;&gt;"Единовременно",'Вводные'!$B$80="Да",BR10&gt;0),IF(AND('Вводные'!$B$84="Да",YEAR(BR$3)=YEAR($B$8),MONTH(BR$3)=MONTH($B$8)),BR10*BR17/12,IF(AND((12*(YEAR(BR$3)-YEAR($B$7))+MONTH(BR$3)-MONTH($B$7))&gt;0,MOD((12*(YEAR(BR$3)-YEAR($B$7))+MONTH(BR$3)-MONTH($B$7)),'Вводные'!$B$78)=0,(12*(YEAR(BR$3)-YEAR($B$7))+MONTH(BR$3)-MONTH($B$7))&lt;='Вводные'!$B$77*12),BR10*BR17*'Вводные'!$B$78/12,0)),0)</x:f>
      </x:c>
      <x:c r="BS13" s="117" t="n">
        <x:f>IF(AND('Вводные'!$B$75&lt;&gt;"Единовременно",'Вводные'!$B$80="Да",BS10&gt;0),IF(AND('Вводные'!$B$84="Да",YEAR(BS$3)=YEAR($B$8),MONTH(BS$3)=MONTH($B$8)),BS10*BS17/12,IF(AND((12*(YEAR(BS$3)-YEAR($B$7))+MONTH(BS$3)-MONTH($B$7))&gt;0,MOD((12*(YEAR(BS$3)-YEAR($B$7))+MONTH(BS$3)-MONTH($B$7)),'Вводные'!$B$78)=0,(12*(YEAR(BS$3)-YEAR($B$7))+MONTH(BS$3)-MONTH($B$7))&lt;='Вводные'!$B$77*12),BS10*BS17*'Вводные'!$B$78/12,0)),0)</x:f>
      </x:c>
      <x:c r="BT13" s="117" t="n">
        <x:f>IF(AND('Вводные'!$B$75&lt;&gt;"Единовременно",'Вводные'!$B$80="Да",BT10&gt;0),IF(AND('Вводные'!$B$84="Да",YEAR(BT$3)=YEAR($B$8),MONTH(BT$3)=MONTH($B$8)),BT10*BT17/12,IF(AND((12*(YEAR(BT$3)-YEAR($B$7))+MONTH(BT$3)-MONTH($B$7))&gt;0,MOD((12*(YEAR(BT$3)-YEAR($B$7))+MONTH(BT$3)-MONTH($B$7)),'Вводные'!$B$78)=0,(12*(YEAR(BT$3)-YEAR($B$7))+MONTH(BT$3)-MONTH($B$7))&lt;='Вводные'!$B$77*12),BT10*BT17*'Вводные'!$B$78/12,0)),0)</x:f>
      </x:c>
      <x:c r="BU13" s="117" t="n">
        <x:f>IF(AND('Вводные'!$B$75&lt;&gt;"Единовременно",'Вводные'!$B$80="Да",BU10&gt;0),IF(AND('Вводные'!$B$84="Да",YEAR(BU$3)=YEAR($B$8),MONTH(BU$3)=MONTH($B$8)),BU10*BU17/12,IF(AND((12*(YEAR(BU$3)-YEAR($B$7))+MONTH(BU$3)-MONTH($B$7))&gt;0,MOD((12*(YEAR(BU$3)-YEAR($B$7))+MONTH(BU$3)-MONTH($B$7)),'Вводные'!$B$78)=0,(12*(YEAR(BU$3)-YEAR($B$7))+MONTH(BU$3)-MONTH($B$7))&lt;='Вводные'!$B$77*12),BU10*BU17*'Вводные'!$B$78/12,0)),0)</x:f>
      </x:c>
      <x:c r="BV13" s="117" t="n">
        <x:f>IF(AND('Вводные'!$B$75&lt;&gt;"Единовременно",'Вводные'!$B$80="Да",BV10&gt;0),IF(AND('Вводные'!$B$84="Да",YEAR(BV$3)=YEAR($B$8),MONTH(BV$3)=MONTH($B$8)),BV10*BV17/12,IF(AND((12*(YEAR(BV$3)-YEAR($B$7))+MONTH(BV$3)-MONTH($B$7))&gt;0,MOD((12*(YEAR(BV$3)-YEAR($B$7))+MONTH(BV$3)-MONTH($B$7)),'Вводные'!$B$78)=0,(12*(YEAR(BV$3)-YEAR($B$7))+MONTH(BV$3)-MONTH($B$7))&lt;='Вводные'!$B$77*12),BV10*BV17*'Вводные'!$B$78/12,0)),0)</x:f>
      </x:c>
      <x:c r="BW13" s="117" t="n">
        <x:f>IF(AND('Вводные'!$B$75&lt;&gt;"Единовременно",'Вводные'!$B$80="Да",BW10&gt;0),IF(AND('Вводные'!$B$84="Да",YEAR(BW$3)=YEAR($B$8),MONTH(BW$3)=MONTH($B$8)),BW10*BW17/12,IF(AND((12*(YEAR(BW$3)-YEAR($B$7))+MONTH(BW$3)-MONTH($B$7))&gt;0,MOD((12*(YEAR(BW$3)-YEAR($B$7))+MONTH(BW$3)-MONTH($B$7)),'Вводные'!$B$78)=0,(12*(YEAR(BW$3)-YEAR($B$7))+MONTH(BW$3)-MONTH($B$7))&lt;='Вводные'!$B$77*12),BW10*BW17*'Вводные'!$B$78/12,0)),0)</x:f>
      </x:c>
      <x:c r="BX13" s="117" t="n">
        <x:f>IF(AND('Вводные'!$B$75&lt;&gt;"Единовременно",'Вводные'!$B$80="Да",BX10&gt;0),IF(AND('Вводные'!$B$84="Да",YEAR(BX$3)=YEAR($B$8),MONTH(BX$3)=MONTH($B$8)),BX10*BX17/12,IF(AND((12*(YEAR(BX$3)-YEAR($B$7))+MONTH(BX$3)-MONTH($B$7))&gt;0,MOD((12*(YEAR(BX$3)-YEAR($B$7))+MONTH(BX$3)-MONTH($B$7)),'Вводные'!$B$78)=0,(12*(YEAR(BX$3)-YEAR($B$7))+MONTH(BX$3)-MONTH($B$7))&lt;='Вводные'!$B$77*12),BX10*BX17*'Вводные'!$B$78/12,0)),0)</x:f>
      </x:c>
      <x:c r="BY13" s="117" t="n">
        <x:f>IF(AND('Вводные'!$B$75&lt;&gt;"Единовременно",'Вводные'!$B$80="Да",BY10&gt;0),IF(AND('Вводные'!$B$84="Да",YEAR(BY$3)=YEAR($B$8),MONTH(BY$3)=MONTH($B$8)),BY10*BY17/12,IF(AND((12*(YEAR(BY$3)-YEAR($B$7))+MONTH(BY$3)-MONTH($B$7))&gt;0,MOD((12*(YEAR(BY$3)-YEAR($B$7))+MONTH(BY$3)-MONTH($B$7)),'Вводные'!$B$78)=0,(12*(YEAR(BY$3)-YEAR($B$7))+MONTH(BY$3)-MONTH($B$7))&lt;='Вводные'!$B$77*12),BY10*BY17*'Вводные'!$B$78/12,0)),0)</x:f>
      </x:c>
      <x:c r="BZ13" s="117" t="n">
        <x:f>IF(AND('Вводные'!$B$75&lt;&gt;"Единовременно",'Вводные'!$B$80="Да",BZ10&gt;0),IF(AND('Вводные'!$B$84="Да",YEAR(BZ$3)=YEAR($B$8),MONTH(BZ$3)=MONTH($B$8)),BZ10*BZ17/12,IF(AND((12*(YEAR(BZ$3)-YEAR($B$7))+MONTH(BZ$3)-MONTH($B$7))&gt;0,MOD((12*(YEAR(BZ$3)-YEAR($B$7))+MONTH(BZ$3)-MONTH($B$7)),'Вводные'!$B$78)=0,(12*(YEAR(BZ$3)-YEAR($B$7))+MONTH(BZ$3)-MONTH($B$7))&lt;='Вводные'!$B$77*12),BZ10*BZ17*'Вводные'!$B$78/12,0)),0)</x:f>
      </x:c>
      <x:c r="CA13" s="117" t="n">
        <x:f>IF(AND('Вводные'!$B$75&lt;&gt;"Единовременно",'Вводные'!$B$80="Да",CA10&gt;0),IF(AND('Вводные'!$B$84="Да",YEAR(CA$3)=YEAR($B$8),MONTH(CA$3)=MONTH($B$8)),CA10*CA17/12,IF(AND((12*(YEAR(CA$3)-YEAR($B$7))+MONTH(CA$3)-MONTH($B$7))&gt;0,MOD((12*(YEAR(CA$3)-YEAR($B$7))+MONTH(CA$3)-MONTH($B$7)),'Вводные'!$B$78)=0,(12*(YEAR(CA$3)-YEAR($B$7))+MONTH(CA$3)-MONTH($B$7))&lt;='Вводные'!$B$77*12),CA10*CA17*'Вводные'!$B$78/12,0)),0)</x:f>
      </x:c>
      <x:c r="CB13" s="117" t="n">
        <x:f>IF(AND('Вводные'!$B$75&lt;&gt;"Единовременно",'Вводные'!$B$80="Да",CB10&gt;0),IF(AND('Вводные'!$B$84="Да",YEAR(CB$3)=YEAR($B$8),MONTH(CB$3)=MONTH($B$8)),CB10*CB17/12,IF(AND((12*(YEAR(CB$3)-YEAR($B$7))+MONTH(CB$3)-MONTH($B$7))&gt;0,MOD((12*(YEAR(CB$3)-YEAR($B$7))+MONTH(CB$3)-MONTH($B$7)),'Вводные'!$B$78)=0,(12*(YEAR(CB$3)-YEAR($B$7))+MONTH(CB$3)-MONTH($B$7))&lt;='Вводные'!$B$77*12),CB10*CB17*'Вводные'!$B$78/12,0)),0)</x:f>
      </x:c>
      <x:c r="CC13" s="117" t="n">
        <x:f>IF(AND('Вводные'!$B$75&lt;&gt;"Единовременно",'Вводные'!$B$80="Да",CC10&gt;0),IF(AND('Вводные'!$B$84="Да",YEAR(CC$3)=YEAR($B$8),MONTH(CC$3)=MONTH($B$8)),CC10*CC17/12,IF(AND((12*(YEAR(CC$3)-YEAR($B$7))+MONTH(CC$3)-MONTH($B$7))&gt;0,MOD((12*(YEAR(CC$3)-YEAR($B$7))+MONTH(CC$3)-MONTH($B$7)),'Вводные'!$B$78)=0,(12*(YEAR(CC$3)-YEAR($B$7))+MONTH(CC$3)-MONTH($B$7))&lt;='Вводные'!$B$77*12),CC10*CC17*'Вводные'!$B$78/12,0)),0)</x:f>
      </x:c>
      <x:c r="CD13" s="117" t="n">
        <x:f>IF(AND('Вводные'!$B$75&lt;&gt;"Единовременно",'Вводные'!$B$80="Да",CD10&gt;0),IF(AND('Вводные'!$B$84="Да",YEAR(CD$3)=YEAR($B$8),MONTH(CD$3)=MONTH($B$8)),CD10*CD17/12,IF(AND((12*(YEAR(CD$3)-YEAR($B$7))+MONTH(CD$3)-MONTH($B$7))&gt;0,MOD((12*(YEAR(CD$3)-YEAR($B$7))+MONTH(CD$3)-MONTH($B$7)),'Вводные'!$B$78)=0,(12*(YEAR(CD$3)-YEAR($B$7))+MONTH(CD$3)-MONTH($B$7))&lt;='Вводные'!$B$77*12),CD10*CD17*'Вводные'!$B$78/12,0)),0)</x:f>
      </x:c>
      <x:c r="CE13" s="117" t="n">
        <x:f>IF(AND('Вводные'!$B$75&lt;&gt;"Единовременно",'Вводные'!$B$80="Да",CE10&gt;0),IF(AND('Вводные'!$B$84="Да",YEAR(CE$3)=YEAR($B$8),MONTH(CE$3)=MONTH($B$8)),CE10*CE17/12,IF(AND((12*(YEAR(CE$3)-YEAR($B$7))+MONTH(CE$3)-MONTH($B$7))&gt;0,MOD((12*(YEAR(CE$3)-YEAR($B$7))+MONTH(CE$3)-MONTH($B$7)),'Вводные'!$B$78)=0,(12*(YEAR(CE$3)-YEAR($B$7))+MONTH(CE$3)-MONTH($B$7))&lt;='Вводные'!$B$77*12),CE10*CE17*'Вводные'!$B$78/12,0)),0)</x:f>
      </x:c>
      <x:c r="CF13" s="117" t="n">
        <x:f>IF(AND('Вводные'!$B$75&lt;&gt;"Единовременно",'Вводные'!$B$80="Да",CF10&gt;0),IF(AND('Вводные'!$B$84="Да",YEAR(CF$3)=YEAR($B$8),MONTH(CF$3)=MONTH($B$8)),CF10*CF17/12,IF(AND((12*(YEAR(CF$3)-YEAR($B$7))+MONTH(CF$3)-MONTH($B$7))&gt;0,MOD((12*(YEAR(CF$3)-YEAR($B$7))+MONTH(CF$3)-MONTH($B$7)),'Вводные'!$B$78)=0,(12*(YEAR(CF$3)-YEAR($B$7))+MONTH(CF$3)-MONTH($B$7))&lt;='Вводные'!$B$77*12),CF10*CF17*'Вводные'!$B$78/12,0)),0)</x:f>
      </x:c>
      <x:c r="CG13" s="117" t="n">
        <x:f>IF(AND('Вводные'!$B$75&lt;&gt;"Единовременно",'Вводные'!$B$80="Да",CG10&gt;0),IF(AND('Вводные'!$B$84="Да",YEAR(CG$3)=YEAR($B$8),MONTH(CG$3)=MONTH($B$8)),CG10*CG17/12,IF(AND((12*(YEAR(CG$3)-YEAR($B$7))+MONTH(CG$3)-MONTH($B$7))&gt;0,MOD((12*(YEAR(CG$3)-YEAR($B$7))+MONTH(CG$3)-MONTH($B$7)),'Вводные'!$B$78)=0,(12*(YEAR(CG$3)-YEAR($B$7))+MONTH(CG$3)-MONTH($B$7))&lt;='Вводные'!$B$77*12),CG10*CG17*'Вводные'!$B$78/12,0)),0)</x:f>
      </x:c>
      <x:c r="CH13" s="117" t="n">
        <x:f>IF(AND('Вводные'!$B$75&lt;&gt;"Единовременно",'Вводные'!$B$80="Да",CH10&gt;0),IF(AND('Вводные'!$B$84="Да",YEAR(CH$3)=YEAR($B$8),MONTH(CH$3)=MONTH($B$8)),CH10*CH17/12,IF(AND((12*(YEAR(CH$3)-YEAR($B$7))+MONTH(CH$3)-MONTH($B$7))&gt;0,MOD((12*(YEAR(CH$3)-YEAR($B$7))+MONTH(CH$3)-MONTH($B$7)),'Вводные'!$B$78)=0,(12*(YEAR(CH$3)-YEAR($B$7))+MONTH(CH$3)-MONTH($B$7))&lt;='Вводные'!$B$77*12),CH10*CH17*'Вводные'!$B$78/12,0)),0)</x:f>
      </x:c>
      <x:c r="CI13" s="117" t="n">
        <x:f>IF(AND('Вводные'!$B$75&lt;&gt;"Единовременно",'Вводные'!$B$80="Да",CI10&gt;0),IF(AND('Вводные'!$B$84="Да",YEAR(CI$3)=YEAR($B$8),MONTH(CI$3)=MONTH($B$8)),CI10*CI17/12,IF(AND((12*(YEAR(CI$3)-YEAR($B$7))+MONTH(CI$3)-MONTH($B$7))&gt;0,MOD((12*(YEAR(CI$3)-YEAR($B$7))+MONTH(CI$3)-MONTH($B$7)),'Вводные'!$B$78)=0,(12*(YEAR(CI$3)-YEAR($B$7))+MONTH(CI$3)-MONTH($B$7))&lt;='Вводные'!$B$77*12),CI10*CI17*'Вводные'!$B$78/12,0)),0)</x:f>
      </x:c>
      <x:c r="CJ13" s="117" t="n">
        <x:f>IF(AND('Вводные'!$B$75&lt;&gt;"Единовременно",'Вводные'!$B$80="Да",CJ10&gt;0),IF(AND('Вводные'!$B$84="Да",YEAR(CJ$3)=YEAR($B$8),MONTH(CJ$3)=MONTH($B$8)),CJ10*CJ17/12,IF(AND((12*(YEAR(CJ$3)-YEAR($B$7))+MONTH(CJ$3)-MONTH($B$7))&gt;0,MOD((12*(YEAR(CJ$3)-YEAR($B$7))+MONTH(CJ$3)-MONTH($B$7)),'Вводные'!$B$78)=0,(12*(YEAR(CJ$3)-YEAR($B$7))+MONTH(CJ$3)-MONTH($B$7))&lt;='Вводные'!$B$77*12),CJ10*CJ17*'Вводные'!$B$78/12,0)),0)</x:f>
      </x:c>
      <x:c r="CK13" s="117" t="n">
        <x:f>IF(AND('Вводные'!$B$75&lt;&gt;"Единовременно",'Вводные'!$B$80="Да",CK10&gt;0),IF(AND('Вводные'!$B$84="Да",YEAR(CK$3)=YEAR($B$8),MONTH(CK$3)=MONTH($B$8)),CK10*CK17/12,IF(AND((12*(YEAR(CK$3)-YEAR($B$7))+MONTH(CK$3)-MONTH($B$7))&gt;0,MOD((12*(YEAR(CK$3)-YEAR($B$7))+MONTH(CK$3)-MONTH($B$7)),'Вводные'!$B$78)=0,(12*(YEAR(CK$3)-YEAR($B$7))+MONTH(CK$3)-MONTH($B$7))&lt;='Вводные'!$B$77*12),CK10*CK17*'Вводные'!$B$78/12,0)),0)</x:f>
      </x:c>
      <x:c r="CL13" s="117" t="n">
        <x:f>IF(AND('Вводные'!$B$75&lt;&gt;"Единовременно",'Вводные'!$B$80="Да",CL10&gt;0),IF(AND('Вводные'!$B$84="Да",YEAR(CL$3)=YEAR($B$8),MONTH(CL$3)=MONTH($B$8)),CL10*CL17/12,IF(AND((12*(YEAR(CL$3)-YEAR($B$7))+MONTH(CL$3)-MONTH($B$7))&gt;0,MOD((12*(YEAR(CL$3)-YEAR($B$7))+MONTH(CL$3)-MONTH($B$7)),'Вводные'!$B$78)=0,(12*(YEAR(CL$3)-YEAR($B$7))+MONTH(CL$3)-MONTH($B$7))&lt;='Вводные'!$B$77*12),CL10*CL17*'Вводные'!$B$78/12,0)),0)</x:f>
      </x:c>
      <x:c r="CM13" s="117" t="n">
        <x:f>IF(AND('Вводные'!$B$75&lt;&gt;"Единовременно",'Вводные'!$B$80="Да",CM10&gt;0),IF(AND('Вводные'!$B$84="Да",YEAR(CM$3)=YEAR($B$8),MONTH(CM$3)=MONTH($B$8)),CM10*CM17/12,IF(AND((12*(YEAR(CM$3)-YEAR($B$7))+MONTH(CM$3)-MONTH($B$7))&gt;0,MOD((12*(YEAR(CM$3)-YEAR($B$7))+MONTH(CM$3)-MONTH($B$7)),'Вводные'!$B$78)=0,(12*(YEAR(CM$3)-YEAR($B$7))+MONTH(CM$3)-MONTH($B$7))&lt;='Вводные'!$B$77*12),CM10*CM17*'Вводные'!$B$78/12,0)),0)</x:f>
      </x:c>
      <x:c r="CN13" s="117" t="n">
        <x:f>IF(AND('Вводные'!$B$75&lt;&gt;"Единовременно",'Вводные'!$B$80="Да",CN10&gt;0),IF(AND('Вводные'!$B$84="Да",YEAR(CN$3)=YEAR($B$8),MONTH(CN$3)=MONTH($B$8)),CN10*CN17/12,IF(AND((12*(YEAR(CN$3)-YEAR($B$7))+MONTH(CN$3)-MONTH($B$7))&gt;0,MOD((12*(YEAR(CN$3)-YEAR($B$7))+MONTH(CN$3)-MONTH($B$7)),'Вводные'!$B$78)=0,(12*(YEAR(CN$3)-YEAR($B$7))+MONTH(CN$3)-MONTH($B$7))&lt;='Вводные'!$B$77*12),CN10*CN17*'Вводные'!$B$78/12,0)),0)</x:f>
      </x:c>
      <x:c r="CO13" s="117" t="n">
        <x:f>IF(AND('Вводные'!$B$75&lt;&gt;"Единовременно",'Вводные'!$B$80="Да",CO10&gt;0),IF(AND('Вводные'!$B$84="Да",YEAR(CO$3)=YEAR($B$8),MONTH(CO$3)=MONTH($B$8)),CO10*CO17/12,IF(AND((12*(YEAR(CO$3)-YEAR($B$7))+MONTH(CO$3)-MONTH($B$7))&gt;0,MOD((12*(YEAR(CO$3)-YEAR($B$7))+MONTH(CO$3)-MONTH($B$7)),'Вводные'!$B$78)=0,(12*(YEAR(CO$3)-YEAR($B$7))+MONTH(CO$3)-MONTH($B$7))&lt;='Вводные'!$B$77*12),CO10*CO17*'Вводные'!$B$78/12,0)),0)</x:f>
      </x:c>
      <x:c r="CP13" s="117" t="n">
        <x:f>IF(AND('Вводные'!$B$75&lt;&gt;"Единовременно",'Вводные'!$B$80="Да",CP10&gt;0),IF(AND('Вводные'!$B$84="Да",YEAR(CP$3)=YEAR($B$8),MONTH(CP$3)=MONTH($B$8)),CP10*CP17/12,IF(AND((12*(YEAR(CP$3)-YEAR($B$7))+MONTH(CP$3)-MONTH($B$7))&gt;0,MOD((12*(YEAR(CP$3)-YEAR($B$7))+MONTH(CP$3)-MONTH($B$7)),'Вводные'!$B$78)=0,(12*(YEAR(CP$3)-YEAR($B$7))+MONTH(CP$3)-MONTH($B$7))&lt;='Вводные'!$B$77*12),CP10*CP17*'Вводные'!$B$78/12,0)),0)</x:f>
      </x:c>
      <x:c r="CQ13" s="117" t="n">
        <x:f>IF(AND('Вводные'!$B$75&lt;&gt;"Единовременно",'Вводные'!$B$80="Да",CQ10&gt;0),IF(AND('Вводные'!$B$84="Да",YEAR(CQ$3)=YEAR($B$8),MONTH(CQ$3)=MONTH($B$8)),CQ10*CQ17/12,IF(AND((12*(YEAR(CQ$3)-YEAR($B$7))+MONTH(CQ$3)-MONTH($B$7))&gt;0,MOD((12*(YEAR(CQ$3)-YEAR($B$7))+MONTH(CQ$3)-MONTH($B$7)),'Вводные'!$B$78)=0,(12*(YEAR(CQ$3)-YEAR($B$7))+MONTH(CQ$3)-MONTH($B$7))&lt;='Вводные'!$B$77*12),CQ10*CQ17*'Вводные'!$B$78/12,0)),0)</x:f>
      </x:c>
      <x:c r="CR13" s="117" t="n">
        <x:f>IF(AND('Вводные'!$B$75&lt;&gt;"Единовременно",'Вводные'!$B$80="Да",CR10&gt;0),IF(AND('Вводные'!$B$84="Да",YEAR(CR$3)=YEAR($B$8),MONTH(CR$3)=MONTH($B$8)),CR10*CR17/12,IF(AND((12*(YEAR(CR$3)-YEAR($B$7))+MONTH(CR$3)-MONTH($B$7))&gt;0,MOD((12*(YEAR(CR$3)-YEAR($B$7))+MONTH(CR$3)-MONTH($B$7)),'Вводные'!$B$78)=0,(12*(YEAR(CR$3)-YEAR($B$7))+MONTH(CR$3)-MONTH($B$7))&lt;='Вводные'!$B$77*12),CR10*CR17*'Вводные'!$B$78/12,0)),0)</x:f>
      </x:c>
      <x:c r="CS13" s="117" t="n">
        <x:f>IF(AND('Вводные'!$B$75&lt;&gt;"Единовременно",'Вводные'!$B$80="Да",CS10&gt;0),IF(AND('Вводные'!$B$84="Да",YEAR(CS$3)=YEAR($B$8),MONTH(CS$3)=MONTH($B$8)),CS10*CS17/12,IF(AND((12*(YEAR(CS$3)-YEAR($B$7))+MONTH(CS$3)-MONTH($B$7))&gt;0,MOD((12*(YEAR(CS$3)-YEAR($B$7))+MONTH(CS$3)-MONTH($B$7)),'Вводные'!$B$78)=0,(12*(YEAR(CS$3)-YEAR($B$7))+MONTH(CS$3)-MONTH($B$7))&lt;='Вводные'!$B$77*12),CS10*CS17*'Вводные'!$B$78/12,0)),0)</x:f>
      </x:c>
      <x:c r="CT13" s="117" t="n">
        <x:f>IF(AND('Вводные'!$B$75&lt;&gt;"Единовременно",'Вводные'!$B$80="Да",CT10&gt;0),IF(AND('Вводные'!$B$84="Да",YEAR(CT$3)=YEAR($B$8),MONTH(CT$3)=MONTH($B$8)),CT10*CT17/12,IF(AND((12*(YEAR(CT$3)-YEAR($B$7))+MONTH(CT$3)-MONTH($B$7))&gt;0,MOD((12*(YEAR(CT$3)-YEAR($B$7))+MONTH(CT$3)-MONTH($B$7)),'Вводные'!$B$78)=0,(12*(YEAR(CT$3)-YEAR($B$7))+MONTH(CT$3)-MONTH($B$7))&lt;='Вводные'!$B$77*12),CT10*CT17*'Вводные'!$B$78/12,0)),0)</x:f>
      </x:c>
      <x:c r="CU13" s="117" t="n">
        <x:f>IF(AND('Вводные'!$B$75&lt;&gt;"Единовременно",'Вводные'!$B$80="Да",CU10&gt;0),IF(AND('Вводные'!$B$84="Да",YEAR(CU$3)=YEAR($B$8),MONTH(CU$3)=MONTH($B$8)),CU10*CU17/12,IF(AND((12*(YEAR(CU$3)-YEAR($B$7))+MONTH(CU$3)-MONTH($B$7))&gt;0,MOD((12*(YEAR(CU$3)-YEAR($B$7))+MONTH(CU$3)-MONTH($B$7)),'Вводные'!$B$78)=0,(12*(YEAR(CU$3)-YEAR($B$7))+MONTH(CU$3)-MONTH($B$7))&lt;='Вводные'!$B$77*12),CU10*CU17*'Вводные'!$B$78/12,0)),0)</x:f>
      </x:c>
      <x:c r="CV13" s="117" t="n">
        <x:f>IF(AND('Вводные'!$B$75&lt;&gt;"Единовременно",'Вводные'!$B$80="Да",CV10&gt;0),IF(AND('Вводные'!$B$84="Да",YEAR(CV$3)=YEAR($B$8),MONTH(CV$3)=MONTH($B$8)),CV10*CV17/12,IF(AND((12*(YEAR(CV$3)-YEAR($B$7))+MONTH(CV$3)-MONTH($B$7))&gt;0,MOD((12*(YEAR(CV$3)-YEAR($B$7))+MONTH(CV$3)-MONTH($B$7)),'Вводные'!$B$78)=0,(12*(YEAR(CV$3)-YEAR($B$7))+MONTH(CV$3)-MONTH($B$7))&lt;='Вводные'!$B$77*12),CV10*CV17*'Вводные'!$B$78/12,0)),0)</x:f>
      </x:c>
      <x:c r="CW13" s="117" t="n">
        <x:f>IF(AND('Вводные'!$B$75&lt;&gt;"Единовременно",'Вводные'!$B$80="Да",CW10&gt;0),IF(AND('Вводные'!$B$84="Да",YEAR(CW$3)=YEAR($B$8),MONTH(CW$3)=MONTH($B$8)),CW10*CW17/12,IF(AND((12*(YEAR(CW$3)-YEAR($B$7))+MONTH(CW$3)-MONTH($B$7))&gt;0,MOD((12*(YEAR(CW$3)-YEAR($B$7))+MONTH(CW$3)-MONTH($B$7)),'Вводные'!$B$78)=0,(12*(YEAR(CW$3)-YEAR($B$7))+MONTH(CW$3)-MONTH($B$7))&lt;='Вводные'!$B$77*12),CW10*CW17*'Вводные'!$B$78/12,0)),0)</x:f>
      </x:c>
      <x:c r="CX13" s="117" t="n">
        <x:f>IF(AND('Вводные'!$B$75&lt;&gt;"Единовременно",'Вводные'!$B$80="Да",CX10&gt;0),IF(AND('Вводные'!$B$84="Да",YEAR(CX$3)=YEAR($B$8),MONTH(CX$3)=MONTH($B$8)),CX10*CX17/12,IF(AND((12*(YEAR(CX$3)-YEAR($B$7))+MONTH(CX$3)-MONTH($B$7))&gt;0,MOD((12*(YEAR(CX$3)-YEAR($B$7))+MONTH(CX$3)-MONTH($B$7)),'Вводные'!$B$78)=0,(12*(YEAR(CX$3)-YEAR($B$7))+MONTH(CX$3)-MONTH($B$7))&lt;='Вводные'!$B$77*12),CX10*CX17*'Вводные'!$B$78/12,0)),0)</x:f>
      </x:c>
      <x:c r="CY13" s="117" t="n">
        <x:f>IF(AND('Вводные'!$B$75&lt;&gt;"Единовременно",'Вводные'!$B$80="Да",CY10&gt;0),IF(AND('Вводные'!$B$84="Да",YEAR(CY$3)=YEAR($B$8),MONTH(CY$3)=MONTH($B$8)),CY10*CY17/12,IF(AND((12*(YEAR(CY$3)-YEAR($B$7))+MONTH(CY$3)-MONTH($B$7))&gt;0,MOD((12*(YEAR(CY$3)-YEAR($B$7))+MONTH(CY$3)-MONTH($B$7)),'Вводные'!$B$78)=0,(12*(YEAR(CY$3)-YEAR($B$7))+MONTH(CY$3)-MONTH($B$7))&lt;='Вводные'!$B$77*12),CY10*CY17*'Вводные'!$B$78/12,0)),0)</x:f>
      </x:c>
      <x:c r="CZ13" s="117" t="n">
        <x:f>IF(AND('Вводные'!$B$75&lt;&gt;"Единовременно",'Вводные'!$B$80="Да",CZ10&gt;0),IF(AND('Вводные'!$B$84="Да",YEAR(CZ$3)=YEAR($B$8),MONTH(CZ$3)=MONTH($B$8)),CZ10*CZ17/12,IF(AND((12*(YEAR(CZ$3)-YEAR($B$7))+MONTH(CZ$3)-MONTH($B$7))&gt;0,MOD((12*(YEAR(CZ$3)-YEAR($B$7))+MONTH(CZ$3)-MONTH($B$7)),'Вводные'!$B$78)=0,(12*(YEAR(CZ$3)-YEAR($B$7))+MONTH(CZ$3)-MONTH($B$7))&lt;='Вводные'!$B$77*12),CZ10*CZ17*'Вводные'!$B$78/12,0)),0)</x:f>
      </x:c>
      <x:c r="DA13" s="117" t="n">
        <x:f>IF(AND('Вводные'!$B$75&lt;&gt;"Единовременно",'Вводные'!$B$80="Да",DA10&gt;0),IF(AND('Вводные'!$B$84="Да",YEAR(DA$3)=YEAR($B$8),MONTH(DA$3)=MONTH($B$8)),DA10*DA17/12,IF(AND((12*(YEAR(DA$3)-YEAR($B$7))+MONTH(DA$3)-MONTH($B$7))&gt;0,MOD((12*(YEAR(DA$3)-YEAR($B$7))+MONTH(DA$3)-MONTH($B$7)),'Вводные'!$B$78)=0,(12*(YEAR(DA$3)-YEAR($B$7))+MONTH(DA$3)-MONTH($B$7))&lt;='Вводные'!$B$77*12),DA10*DA17*'Вводные'!$B$78/12,0)),0)</x:f>
      </x:c>
      <x:c r="DB13" s="117" t="n">
        <x:f>IF(AND('Вводные'!$B$75&lt;&gt;"Единовременно",'Вводные'!$B$80="Да",DB10&gt;0),IF(AND('Вводные'!$B$84="Да",YEAR(DB$3)=YEAR($B$8),MONTH(DB$3)=MONTH($B$8)),DB10*DB17/12,IF(AND((12*(YEAR(DB$3)-YEAR($B$7))+MONTH(DB$3)-MONTH($B$7))&gt;0,MOD((12*(YEAR(DB$3)-YEAR($B$7))+MONTH(DB$3)-MONTH($B$7)),'Вводные'!$B$78)=0,(12*(YEAR(DB$3)-YEAR($B$7))+MONTH(DB$3)-MONTH($B$7))&lt;='Вводные'!$B$77*12),DB10*DB17*'Вводные'!$B$78/12,0)),0)</x:f>
      </x:c>
      <x:c r="DC13" s="117" t="n">
        <x:f>IF(AND('Вводные'!$B$75&lt;&gt;"Единовременно",'Вводные'!$B$80="Да",DC10&gt;0),IF(AND('Вводные'!$B$84="Да",YEAR(DC$3)=YEAR($B$8),MONTH(DC$3)=MONTH($B$8)),DC10*DC17/12,IF(AND((12*(YEAR(DC$3)-YEAR($B$7))+MONTH(DC$3)-MONTH($B$7))&gt;0,MOD((12*(YEAR(DC$3)-YEAR($B$7))+MONTH(DC$3)-MONTH($B$7)),'Вводные'!$B$78)=0,(12*(YEAR(DC$3)-YEAR($B$7))+MONTH(DC$3)-MONTH($B$7))&lt;='Вводные'!$B$77*12),DC10*DC17*'Вводные'!$B$78/12,0)),0)</x:f>
      </x:c>
      <x:c r="DD13" s="117" t="n">
        <x:f>IF(AND('Вводные'!$B$75&lt;&gt;"Единовременно",'Вводные'!$B$80="Да",DD10&gt;0),IF(AND('Вводные'!$B$84="Да",YEAR(DD$3)=YEAR($B$8),MONTH(DD$3)=MONTH($B$8)),DD10*DD17/12,IF(AND((12*(YEAR(DD$3)-YEAR($B$7))+MONTH(DD$3)-MONTH($B$7))&gt;0,MOD((12*(YEAR(DD$3)-YEAR($B$7))+MONTH(DD$3)-MONTH($B$7)),'Вводные'!$B$78)=0,(12*(YEAR(DD$3)-YEAR($B$7))+MONTH(DD$3)-MONTH($B$7))&lt;='Вводные'!$B$77*12),DD10*DD17*'Вводные'!$B$78/12,0)),0)</x:f>
      </x:c>
      <x:c r="DE13" s="117" t="n">
        <x:f>IF(AND('Вводные'!$B$75&lt;&gt;"Единовременно",'Вводные'!$B$80="Да",DE10&gt;0),IF(AND('Вводные'!$B$84="Да",YEAR(DE$3)=YEAR($B$8),MONTH(DE$3)=MONTH($B$8)),DE10*DE17/12,IF(AND((12*(YEAR(DE$3)-YEAR($B$7))+MONTH(DE$3)-MONTH($B$7))&gt;0,MOD((12*(YEAR(DE$3)-YEAR($B$7))+MONTH(DE$3)-MONTH($B$7)),'Вводные'!$B$78)=0,(12*(YEAR(DE$3)-YEAR($B$7))+MONTH(DE$3)-MONTH($B$7))&lt;='Вводные'!$B$77*12),DE10*DE17*'Вводные'!$B$78/12,0)),0)</x:f>
      </x:c>
      <x:c r="DF13" s="117" t="n">
        <x:f>IF(AND('Вводные'!$B$75&lt;&gt;"Единовременно",'Вводные'!$B$80="Да",DF10&gt;0),IF(AND('Вводные'!$B$84="Да",YEAR(DF$3)=YEAR($B$8),MONTH(DF$3)=MONTH($B$8)),DF10*DF17/12,IF(AND((12*(YEAR(DF$3)-YEAR($B$7))+MONTH(DF$3)-MONTH($B$7))&gt;0,MOD((12*(YEAR(DF$3)-YEAR($B$7))+MONTH(DF$3)-MONTH($B$7)),'Вводные'!$B$78)=0,(12*(YEAR(DF$3)-YEAR($B$7))+MONTH(DF$3)-MONTH($B$7))&lt;='Вводные'!$B$77*12),DF10*DF17*'Вводные'!$B$78/12,0)),0)</x:f>
      </x:c>
      <x:c r="DG13" s="117" t="n">
        <x:f>IF(AND('Вводные'!$B$75&lt;&gt;"Единовременно",'Вводные'!$B$80="Да",DG10&gt;0),IF(AND('Вводные'!$B$84="Да",YEAR(DG$3)=YEAR($B$8),MONTH(DG$3)=MONTH($B$8)),DG10*DG17/12,IF(AND((12*(YEAR(DG$3)-YEAR($B$7))+MONTH(DG$3)-MONTH($B$7))&gt;0,MOD((12*(YEAR(DG$3)-YEAR($B$7))+MONTH(DG$3)-MONTH($B$7)),'Вводные'!$B$78)=0,(12*(YEAR(DG$3)-YEAR($B$7))+MONTH(DG$3)-MONTH($B$7))&lt;='Вводные'!$B$77*12),DG10*DG17*'Вводные'!$B$78/12,0)),0)</x:f>
      </x:c>
      <x:c r="DH13" s="117" t="n">
        <x:f>IF(AND('Вводные'!$B$75&lt;&gt;"Единовременно",'Вводные'!$B$80="Да",DH10&gt;0),IF(AND('Вводные'!$B$84="Да",YEAR(DH$3)=YEAR($B$8),MONTH(DH$3)=MONTH($B$8)),DH10*DH17/12,IF(AND((12*(YEAR(DH$3)-YEAR($B$7))+MONTH(DH$3)-MONTH($B$7))&gt;0,MOD((12*(YEAR(DH$3)-YEAR($B$7))+MONTH(DH$3)-MONTH($B$7)),'Вводные'!$B$78)=0,(12*(YEAR(DH$3)-YEAR($B$7))+MONTH(DH$3)-MONTH($B$7))&lt;='Вводные'!$B$77*12),DH10*DH17*'Вводные'!$B$78/12,0)),0)</x:f>
      </x:c>
      <x:c r="DI13" s="117" t="n">
        <x:f>IF(AND('Вводные'!$B$75&lt;&gt;"Единовременно",'Вводные'!$B$80="Да",DI10&gt;0),IF(AND('Вводные'!$B$84="Да",YEAR(DI$3)=YEAR($B$8),MONTH(DI$3)=MONTH($B$8)),DI10*DI17/12,IF(AND((12*(YEAR(DI$3)-YEAR($B$7))+MONTH(DI$3)-MONTH($B$7))&gt;0,MOD((12*(YEAR(DI$3)-YEAR($B$7))+MONTH(DI$3)-MONTH($B$7)),'Вводные'!$B$78)=0,(12*(YEAR(DI$3)-YEAR($B$7))+MONTH(DI$3)-MONTH($B$7))&lt;='Вводные'!$B$77*12),DI10*DI17*'Вводные'!$B$78/12,0)),0)</x:f>
      </x:c>
      <x:c r="DJ13" s="117" t="n">
        <x:f>IF(AND('Вводные'!$B$75&lt;&gt;"Единовременно",'Вводные'!$B$80="Да",DJ10&gt;0),IF(AND('Вводные'!$B$84="Да",YEAR(DJ$3)=YEAR($B$8),MONTH(DJ$3)=MONTH($B$8)),DJ10*DJ17/12,IF(AND((12*(YEAR(DJ$3)-YEAR($B$7))+MONTH(DJ$3)-MONTH($B$7))&gt;0,MOD((12*(YEAR(DJ$3)-YEAR($B$7))+MONTH(DJ$3)-MONTH($B$7)),'Вводные'!$B$78)=0,(12*(YEAR(DJ$3)-YEAR($B$7))+MONTH(DJ$3)-MONTH($B$7))&lt;='Вводные'!$B$77*12),DJ10*DJ17*'Вводные'!$B$78/12,0)),0)</x:f>
      </x:c>
      <x:c r="DK13" s="117" t="n">
        <x:f>IF(AND('Вводные'!$B$75&lt;&gt;"Единовременно",'Вводные'!$B$80="Да",DK10&gt;0),IF(AND('Вводные'!$B$84="Да",YEAR(DK$3)=YEAR($B$8),MONTH(DK$3)=MONTH($B$8)),DK10*DK17/12,IF(AND((12*(YEAR(DK$3)-YEAR($B$7))+MONTH(DK$3)-MONTH($B$7))&gt;0,MOD((12*(YEAR(DK$3)-YEAR($B$7))+MONTH(DK$3)-MONTH($B$7)),'Вводные'!$B$78)=0,(12*(YEAR(DK$3)-YEAR($B$7))+MONTH(DK$3)-MONTH($B$7))&lt;='Вводные'!$B$77*12),DK10*DK17*'Вводные'!$B$78/12,0)),0)</x:f>
      </x:c>
      <x:c r="DL13" s="117" t="n">
        <x:f>IF(AND('Вводные'!$B$75&lt;&gt;"Единовременно",'Вводные'!$B$80="Да",DL10&gt;0),IF(AND('Вводные'!$B$84="Да",YEAR(DL$3)=YEAR($B$8),MONTH(DL$3)=MONTH($B$8)),DL10*DL17/12,IF(AND((12*(YEAR(DL$3)-YEAR($B$7))+MONTH(DL$3)-MONTH($B$7))&gt;0,MOD((12*(YEAR(DL$3)-YEAR($B$7))+MONTH(DL$3)-MONTH($B$7)),'Вводные'!$B$78)=0,(12*(YEAR(DL$3)-YEAR($B$7))+MONTH(DL$3)-MONTH($B$7))&lt;='Вводные'!$B$77*12),DL10*DL17*'Вводные'!$B$78/12,0)),0)</x:f>
      </x:c>
      <x:c r="DM13" s="117" t="n">
        <x:f>IF(AND('Вводные'!$B$75&lt;&gt;"Единовременно",'Вводные'!$B$80="Да",DM10&gt;0),IF(AND('Вводные'!$B$84="Да",YEAR(DM$3)=YEAR($B$8),MONTH(DM$3)=MONTH($B$8)),DM10*DM17/12,IF(AND((12*(YEAR(DM$3)-YEAR($B$7))+MONTH(DM$3)-MONTH($B$7))&gt;0,MOD((12*(YEAR(DM$3)-YEAR($B$7))+MONTH(DM$3)-MONTH($B$7)),'Вводные'!$B$78)=0,(12*(YEAR(DM$3)-YEAR($B$7))+MONTH(DM$3)-MONTH($B$7))&lt;='Вводные'!$B$77*12),DM10*DM17*'Вводные'!$B$78/12,0)),0)</x:f>
      </x:c>
      <x:c r="DN13" s="117" t="n">
        <x:f>IF(AND('Вводные'!$B$75&lt;&gt;"Единовременно",'Вводные'!$B$80="Да",DN10&gt;0),IF(AND('Вводные'!$B$84="Да",YEAR(DN$3)=YEAR($B$8),MONTH(DN$3)=MONTH($B$8)),DN10*DN17/12,IF(AND((12*(YEAR(DN$3)-YEAR($B$7))+MONTH(DN$3)-MONTH($B$7))&gt;0,MOD((12*(YEAR(DN$3)-YEAR($B$7))+MONTH(DN$3)-MONTH($B$7)),'Вводные'!$B$78)=0,(12*(YEAR(DN$3)-YEAR($B$7))+MONTH(DN$3)-MONTH($B$7))&lt;='Вводные'!$B$77*12),DN10*DN17*'Вводные'!$B$78/12,0)),0)</x:f>
      </x:c>
      <x:c r="DO13" s="117" t="n">
        <x:f>IF(AND('Вводные'!$B$75&lt;&gt;"Единовременно",'Вводные'!$B$80="Да",DO10&gt;0),IF(AND('Вводные'!$B$84="Да",YEAR(DO$3)=YEAR($B$8),MONTH(DO$3)=MONTH($B$8)),DO10*DO17/12,IF(AND((12*(YEAR(DO$3)-YEAR($B$7))+MONTH(DO$3)-MONTH($B$7))&gt;0,MOD((12*(YEAR(DO$3)-YEAR($B$7))+MONTH(DO$3)-MONTH($B$7)),'Вводные'!$B$78)=0,(12*(YEAR(DO$3)-YEAR($B$7))+MONTH(DO$3)-MONTH($B$7))&lt;='Вводные'!$B$77*12),DO10*DO17*'Вводные'!$B$78/12,0)),0)</x:f>
      </x:c>
      <x:c r="DP13" s="117" t="n">
        <x:f>IF(AND('Вводные'!$B$75&lt;&gt;"Единовременно",'Вводные'!$B$80="Да",DP10&gt;0),IF(AND('Вводные'!$B$84="Да",YEAR(DP$3)=YEAR($B$8),MONTH(DP$3)=MONTH($B$8)),DP10*DP17/12,IF(AND((12*(YEAR(DP$3)-YEAR($B$7))+MONTH(DP$3)-MONTH($B$7))&gt;0,MOD((12*(YEAR(DP$3)-YEAR($B$7))+MONTH(DP$3)-MONTH($B$7)),'Вводные'!$B$78)=0,(12*(YEAR(DP$3)-YEAR($B$7))+MONTH(DP$3)-MONTH($B$7))&lt;='Вводные'!$B$77*12),DP10*DP17*'Вводные'!$B$78/12,0)),0)</x:f>
      </x:c>
      <x:c r="DQ13" s="117" t="n">
        <x:f>IF(AND('Вводные'!$B$75&lt;&gt;"Единовременно",'Вводные'!$B$80="Да",DQ10&gt;0),IF(AND('Вводные'!$B$84="Да",YEAR(DQ$3)=YEAR($B$8),MONTH(DQ$3)=MONTH($B$8)),DQ10*DQ17/12,IF(AND((12*(YEAR(DQ$3)-YEAR($B$7))+MONTH(DQ$3)-MONTH($B$7))&gt;0,MOD((12*(YEAR(DQ$3)-YEAR($B$7))+MONTH(DQ$3)-MONTH($B$7)),'Вводные'!$B$78)=0,(12*(YEAR(DQ$3)-YEAR($B$7))+MONTH(DQ$3)-MONTH($B$7))&lt;='Вводные'!$B$77*12),DQ10*DQ17*'Вводные'!$B$78/12,0)),0)</x:f>
      </x:c>
      <x:c r="DR13" s="117" t="n">
        <x:f>IF(AND('Вводные'!$B$75&lt;&gt;"Единовременно",'Вводные'!$B$80="Да",DR10&gt;0),IF(AND('Вводные'!$B$84="Да",YEAR(DR$3)=YEAR($B$8),MONTH(DR$3)=MONTH($B$8)),DR10*DR17/12,IF(AND((12*(YEAR(DR$3)-YEAR($B$7))+MONTH(DR$3)-MONTH($B$7))&gt;0,MOD((12*(YEAR(DR$3)-YEAR($B$7))+MONTH(DR$3)-MONTH($B$7)),'Вводные'!$B$78)=0,(12*(YEAR(DR$3)-YEAR($B$7))+MONTH(DR$3)-MONTH($B$7))&lt;='Вводные'!$B$77*12),DR10*DR17*'Вводные'!$B$78/12,0)),0)</x:f>
      </x:c>
      <x:c r="DS13" s="117" t="n">
        <x:f>IF(AND('Вводные'!$B$75&lt;&gt;"Единовременно",'Вводные'!$B$80="Да",DS10&gt;0),IF(AND('Вводные'!$B$84="Да",YEAR(DS$3)=YEAR($B$8),MONTH(DS$3)=MONTH($B$8)),DS10*DS17/12,IF(AND((12*(YEAR(DS$3)-YEAR($B$7))+MONTH(DS$3)-MONTH($B$7))&gt;0,MOD((12*(YEAR(DS$3)-YEAR($B$7))+MONTH(DS$3)-MONTH($B$7)),'Вводные'!$B$78)=0,(12*(YEAR(DS$3)-YEAR($B$7))+MONTH(DS$3)-MONTH($B$7))&lt;='Вводные'!$B$77*12),DS10*DS17*'Вводные'!$B$78/12,0)),0)</x:f>
      </x:c>
      <x:c r="DT13" s="117" t="n">
        <x:f>IF(AND('Вводные'!$B$75&lt;&gt;"Единовременно",'Вводные'!$B$80="Да",DT10&gt;0),IF(AND('Вводные'!$B$84="Да",YEAR(DT$3)=YEAR($B$8),MONTH(DT$3)=MONTH($B$8)),DT10*DT17/12,IF(AND((12*(YEAR(DT$3)-YEAR($B$7))+MONTH(DT$3)-MONTH($B$7))&gt;0,MOD((12*(YEAR(DT$3)-YEAR($B$7))+MONTH(DT$3)-MONTH($B$7)),'Вводные'!$B$78)=0,(12*(YEAR(DT$3)-YEAR($B$7))+MONTH(DT$3)-MONTH($B$7))&lt;='Вводные'!$B$77*12),DT10*DT17*'Вводные'!$B$78/12,0)),0)</x:f>
      </x:c>
      <x:c r="DU13" s="117" t="n">
        <x:f>IF(AND('Вводные'!$B$75&lt;&gt;"Единовременно",'Вводные'!$B$80="Да",DU10&gt;0),IF(AND('Вводные'!$B$84="Да",YEAR(DU$3)=YEAR($B$8),MONTH(DU$3)=MONTH($B$8)),DU10*DU17/12,IF(AND((12*(YEAR(DU$3)-YEAR($B$7))+MONTH(DU$3)-MONTH($B$7))&gt;0,MOD((12*(YEAR(DU$3)-YEAR($B$7))+MONTH(DU$3)-MONTH($B$7)),'Вводные'!$B$78)=0,(12*(YEAR(DU$3)-YEAR($B$7))+MONTH(DU$3)-MONTH($B$7))&lt;='Вводные'!$B$77*12),DU10*DU17*'Вводные'!$B$78/12,0)),0)</x:f>
      </x:c>
      <x:c r="DV13" s="117" t="n">
        <x:f>IF(AND('Вводные'!$B$75&lt;&gt;"Единовременно",'Вводные'!$B$80="Да",DV10&gt;0),IF(AND('Вводные'!$B$84="Да",YEAR(DV$3)=YEAR($B$8),MONTH(DV$3)=MONTH($B$8)),DV10*DV17/12,IF(AND((12*(YEAR(DV$3)-YEAR($B$7))+MONTH(DV$3)-MONTH($B$7))&gt;0,MOD((12*(YEAR(DV$3)-YEAR($B$7))+MONTH(DV$3)-MONTH($B$7)),'Вводные'!$B$78)=0,(12*(YEAR(DV$3)-YEAR($B$7))+MONTH(DV$3)-MONTH($B$7))&lt;='Вводные'!$B$77*12),DV10*DV17*'Вводные'!$B$78/12,0)),0)</x:f>
      </x:c>
      <x:c r="DW13" s="117" t="n">
        <x:f>IF(AND('Вводные'!$B$75&lt;&gt;"Единовременно",'Вводные'!$B$80="Да",DW10&gt;0),IF(AND('Вводные'!$B$84="Да",YEAR(DW$3)=YEAR($B$8),MONTH(DW$3)=MONTH($B$8)),DW10*DW17/12,IF(AND((12*(YEAR(DW$3)-YEAR($B$7))+MONTH(DW$3)-MONTH($B$7))&gt;0,MOD((12*(YEAR(DW$3)-YEAR($B$7))+MONTH(DW$3)-MONTH($B$7)),'Вводные'!$B$78)=0,(12*(YEAR(DW$3)-YEAR($B$7))+MONTH(DW$3)-MONTH($B$7))&lt;='Вводные'!$B$77*12),DW10*DW17*'Вводные'!$B$78/12,0)),0)</x:f>
      </x:c>
      <x:c r="DX13" s="117" t="n">
        <x:f>IF(AND('Вводные'!$B$75&lt;&gt;"Единовременно",'Вводные'!$B$80="Да",DX10&gt;0),IF(AND('Вводные'!$B$84="Да",YEAR(DX$3)=YEAR($B$8),MONTH(DX$3)=MONTH($B$8)),DX10*DX17/12,IF(AND((12*(YEAR(DX$3)-YEAR($B$7))+MONTH(DX$3)-MONTH($B$7))&gt;0,MOD((12*(YEAR(DX$3)-YEAR($B$7))+MONTH(DX$3)-MONTH($B$7)),'Вводные'!$B$78)=0,(12*(YEAR(DX$3)-YEAR($B$7))+MONTH(DX$3)-MONTH($B$7))&lt;='Вводные'!$B$77*12),DX10*DX17*'Вводные'!$B$78/12,0)),0)</x:f>
      </x:c>
      <x:c r="DY13" s="117" t="n">
        <x:f>IF(AND('Вводные'!$B$75&lt;&gt;"Единовременно",'Вводные'!$B$80="Да",DY10&gt;0),IF(AND('Вводные'!$B$84="Да",YEAR(DY$3)=YEAR($B$8),MONTH(DY$3)=MONTH($B$8)),DY10*DY17/12,IF(AND((12*(YEAR(DY$3)-YEAR($B$7))+MONTH(DY$3)-MONTH($B$7))&gt;0,MOD((12*(YEAR(DY$3)-YEAR($B$7))+MONTH(DY$3)-MONTH($B$7)),'Вводные'!$B$78)=0,(12*(YEAR(DY$3)-YEAR($B$7))+MONTH(DY$3)-MONTH($B$7))&lt;='Вводные'!$B$77*12),DY10*DY17*'Вводные'!$B$78/12,0)),0)</x:f>
      </x:c>
      <x:c r="DZ13" s="117" t="n">
        <x:f>IF(AND('Вводные'!$B$75&lt;&gt;"Единовременно",'Вводные'!$B$80="Да",DZ10&gt;0),IF(AND('Вводные'!$B$84="Да",YEAR(DZ$3)=YEAR($B$8),MONTH(DZ$3)=MONTH($B$8)),DZ10*DZ17/12,IF(AND((12*(YEAR(DZ$3)-YEAR($B$7))+MONTH(DZ$3)-MONTH($B$7))&gt;0,MOD((12*(YEAR(DZ$3)-YEAR($B$7))+MONTH(DZ$3)-MONTH($B$7)),'Вводные'!$B$78)=0,(12*(YEAR(DZ$3)-YEAR($B$7))+MONTH(DZ$3)-MONTH($B$7))&lt;='Вводные'!$B$77*12),DZ10*DZ17*'Вводные'!$B$78/12,0)),0)</x:f>
      </x:c>
      <x:c r="EA13" s="117" t="n">
        <x:f>IF(AND('Вводные'!$B$75&lt;&gt;"Единовременно",'Вводные'!$B$80="Да",EA10&gt;0),IF(AND('Вводные'!$B$84="Да",YEAR(EA$3)=YEAR($B$8),MONTH(EA$3)=MONTH($B$8)),EA10*EA17/12,IF(AND((12*(YEAR(EA$3)-YEAR($B$7))+MONTH(EA$3)-MONTH($B$7))&gt;0,MOD((12*(YEAR(EA$3)-YEAR($B$7))+MONTH(EA$3)-MONTH($B$7)),'Вводные'!$B$78)=0,(12*(YEAR(EA$3)-YEAR($B$7))+MONTH(EA$3)-MONTH($B$7))&lt;='Вводные'!$B$77*12),EA10*EA17*'Вводные'!$B$78/12,0)),0)</x:f>
      </x:c>
      <x:c r="EB13" s="117" t="n">
        <x:f>IF(AND('Вводные'!$B$75&lt;&gt;"Единовременно",'Вводные'!$B$80="Да",EB10&gt;0),IF(AND('Вводные'!$B$84="Да",YEAR(EB$3)=YEAR($B$8),MONTH(EB$3)=MONTH($B$8)),EB10*EB17/12,IF(AND((12*(YEAR(EB$3)-YEAR($B$7))+MONTH(EB$3)-MONTH($B$7))&gt;0,MOD((12*(YEAR(EB$3)-YEAR($B$7))+MONTH(EB$3)-MONTH($B$7)),'Вводные'!$B$78)=0,(12*(YEAR(EB$3)-YEAR($B$7))+MONTH(EB$3)-MONTH($B$7))&lt;='Вводные'!$B$77*12),EB10*EB17*'Вводные'!$B$78/12,0)),0)</x:f>
      </x:c>
      <x:c r="EC13" s="117" t="n">
        <x:f>IF(AND('Вводные'!$B$75&lt;&gt;"Единовременно",'Вводные'!$B$80="Да",EC10&gt;0),IF(AND('Вводные'!$B$84="Да",YEAR(EC$3)=YEAR($B$8),MONTH(EC$3)=MONTH($B$8)),EC10*EC17/12,IF(AND((12*(YEAR(EC$3)-YEAR($B$7))+MONTH(EC$3)-MONTH($B$7))&gt;0,MOD((12*(YEAR(EC$3)-YEAR($B$7))+MONTH(EC$3)-MONTH($B$7)),'Вводные'!$B$78)=0,(12*(YEAR(EC$3)-YEAR($B$7))+MONTH(EC$3)-MONTH($B$7))&lt;='Вводные'!$B$77*12),EC10*EC17*'Вводные'!$B$78/12,0)),0)</x:f>
      </x:c>
      <x:c r="ED13" s="117" t="n">
        <x:f>IF(AND('Вводные'!$B$75&lt;&gt;"Единовременно",'Вводные'!$B$80="Да",ED10&gt;0),IF(AND('Вводные'!$B$84="Да",YEAR(ED$3)=YEAR($B$8),MONTH(ED$3)=MONTH($B$8)),ED10*ED17/12,IF(AND((12*(YEAR(ED$3)-YEAR($B$7))+MONTH(ED$3)-MONTH($B$7))&gt;0,MOD((12*(YEAR(ED$3)-YEAR($B$7))+MONTH(ED$3)-MONTH($B$7)),'Вводные'!$B$78)=0,(12*(YEAR(ED$3)-YEAR($B$7))+MONTH(ED$3)-MONTH($B$7))&lt;='Вводные'!$B$77*12),ED10*ED17*'Вводные'!$B$78/12,0)),0)</x:f>
      </x:c>
      <x:c r="EE13" s="117" t="n">
        <x:f>IF(AND('Вводные'!$B$75&lt;&gt;"Единовременно",'Вводные'!$B$80="Да",EE10&gt;0),IF(AND('Вводные'!$B$84="Да",YEAR(EE$3)=YEAR($B$8),MONTH(EE$3)=MONTH($B$8)),EE10*EE17/12,IF(AND((12*(YEAR(EE$3)-YEAR($B$7))+MONTH(EE$3)-MONTH($B$7))&gt;0,MOD((12*(YEAR(EE$3)-YEAR($B$7))+MONTH(EE$3)-MONTH($B$7)),'Вводные'!$B$78)=0,(12*(YEAR(EE$3)-YEAR($B$7))+MONTH(EE$3)-MONTH($B$7))&lt;='Вводные'!$B$77*12),EE10*EE17*'Вводные'!$B$78/12,0)),0)</x:f>
      </x:c>
      <x:c r="EF13" s="117" t="n">
        <x:f>IF(AND('Вводные'!$B$75&lt;&gt;"Единовременно",'Вводные'!$B$80="Да",EF10&gt;0),IF(AND('Вводные'!$B$84="Да",YEAR(EF$3)=YEAR($B$8),MONTH(EF$3)=MONTH($B$8)),EF10*EF17/12,IF(AND((12*(YEAR(EF$3)-YEAR($B$7))+MONTH(EF$3)-MONTH($B$7))&gt;0,MOD((12*(YEAR(EF$3)-YEAR($B$7))+MONTH(EF$3)-MONTH($B$7)),'Вводные'!$B$78)=0,(12*(YEAR(EF$3)-YEAR($B$7))+MONTH(EF$3)-MONTH($B$7))&lt;='Вводные'!$B$77*12),EF10*EF17*'Вводные'!$B$78/12,0)),0)</x:f>
      </x:c>
      <x:c r="EG13" s="117" t="n">
        <x:f>IF(AND('Вводные'!$B$75&lt;&gt;"Единовременно",'Вводные'!$B$80="Да",EG10&gt;0),IF(AND('Вводные'!$B$84="Да",YEAR(EG$3)=YEAR($B$8),MONTH(EG$3)=MONTH($B$8)),EG10*EG17/12,IF(AND((12*(YEAR(EG$3)-YEAR($B$7))+MONTH(EG$3)-MONTH($B$7))&gt;0,MOD((12*(YEAR(EG$3)-YEAR($B$7))+MONTH(EG$3)-MONTH($B$7)),'Вводные'!$B$78)=0,(12*(YEAR(EG$3)-YEAR($B$7))+MONTH(EG$3)-MONTH($B$7))&lt;='Вводные'!$B$77*12),EG10*EG17*'Вводные'!$B$78/12,0)),0)</x:f>
      </x:c>
      <x:c r="EH13" s="117" t="n">
        <x:f>IF(AND('Вводные'!$B$75&lt;&gt;"Единовременно",'Вводные'!$B$80="Да",EH10&gt;0),IF(AND('Вводные'!$B$84="Да",YEAR(EH$3)=YEAR($B$8),MONTH(EH$3)=MONTH($B$8)),EH10*EH17/12,IF(AND((12*(YEAR(EH$3)-YEAR($B$7))+MONTH(EH$3)-MONTH($B$7))&gt;0,MOD((12*(YEAR(EH$3)-YEAR($B$7))+MONTH(EH$3)-MONTH($B$7)),'Вводные'!$B$78)=0,(12*(YEAR(EH$3)-YEAR($B$7))+MONTH(EH$3)-MONTH($B$7))&lt;='Вводные'!$B$77*12),EH10*EH17*'Вводные'!$B$78/12,0)),0)</x:f>
      </x:c>
      <x:c r="EI13" s="117" t="n">
        <x:f>IF(AND('Вводные'!$B$75&lt;&gt;"Единовременно",'Вводные'!$B$80="Да",EI10&gt;0),IF(AND('Вводные'!$B$84="Да",YEAR(EI$3)=YEAR($B$8),MONTH(EI$3)=MONTH($B$8)),EI10*EI17/12,IF(AND((12*(YEAR(EI$3)-YEAR($B$7))+MONTH(EI$3)-MONTH($B$7))&gt;0,MOD((12*(YEAR(EI$3)-YEAR($B$7))+MONTH(EI$3)-MONTH($B$7)),'Вводные'!$B$78)=0,(12*(YEAR(EI$3)-YEAR($B$7))+MONTH(EI$3)-MONTH($B$7))&lt;='Вводные'!$B$77*12),EI10*EI17*'Вводные'!$B$78/12,0)),0)</x:f>
      </x:c>
      <x:c r="EJ13" s="117" t="n">
        <x:f>IF(AND('Вводные'!$B$75&lt;&gt;"Единовременно",'Вводные'!$B$80="Да",EJ10&gt;0),IF(AND('Вводные'!$B$84="Да",YEAR(EJ$3)=YEAR($B$8),MONTH(EJ$3)=MONTH($B$8)),EJ10*EJ17/12,IF(AND((12*(YEAR(EJ$3)-YEAR($B$7))+MONTH(EJ$3)-MONTH($B$7))&gt;0,MOD((12*(YEAR(EJ$3)-YEAR($B$7))+MONTH(EJ$3)-MONTH($B$7)),'Вводные'!$B$78)=0,(12*(YEAR(EJ$3)-YEAR($B$7))+MONTH(EJ$3)-MONTH($B$7))&lt;='Вводные'!$B$77*12),EJ10*EJ17*'Вводные'!$B$78/12,0)),0)</x:f>
      </x:c>
      <x:c r="EK13" s="117" t="n">
        <x:f>IF(AND('Вводные'!$B$75&lt;&gt;"Единовременно",'Вводные'!$B$80="Да",EK10&gt;0),IF(AND('Вводные'!$B$84="Да",YEAR(EK$3)=YEAR($B$8),MONTH(EK$3)=MONTH($B$8)),EK10*EK17/12,IF(AND((12*(YEAR(EK$3)-YEAR($B$7))+MONTH(EK$3)-MONTH($B$7))&gt;0,MOD((12*(YEAR(EK$3)-YEAR($B$7))+MONTH(EK$3)-MONTH($B$7)),'Вводные'!$B$78)=0,(12*(YEAR(EK$3)-YEAR($B$7))+MONTH(EK$3)-MONTH($B$7))&lt;='Вводные'!$B$77*12),EK10*EK17*'Вводные'!$B$78/12,0)),0)</x:f>
      </x:c>
      <x:c r="EL13" s="117" t="n">
        <x:f>IF(AND('Вводные'!$B$75&lt;&gt;"Единовременно",'Вводные'!$B$80="Да",EL10&gt;0),IF(AND('Вводные'!$B$84="Да",YEAR(EL$3)=YEAR($B$8),MONTH(EL$3)=MONTH($B$8)),EL10*EL17/12,IF(AND((12*(YEAR(EL$3)-YEAR($B$7))+MONTH(EL$3)-MONTH($B$7))&gt;0,MOD((12*(YEAR(EL$3)-YEAR($B$7))+MONTH(EL$3)-MONTH($B$7)),'Вводные'!$B$78)=0,(12*(YEAR(EL$3)-YEAR($B$7))+MONTH(EL$3)-MONTH($B$7))&lt;='Вводные'!$B$77*12),EL10*EL17*'Вводные'!$B$78/12,0)),0)</x:f>
      </x:c>
      <x:c r="EM13" s="117" t="n">
        <x:f>IF(AND('Вводные'!$B$75&lt;&gt;"Единовременно",'Вводные'!$B$80="Да",EM10&gt;0),IF(AND('Вводные'!$B$84="Да",YEAR(EM$3)=YEAR($B$8),MONTH(EM$3)=MONTH($B$8)),EM10*EM17/12,IF(AND((12*(YEAR(EM$3)-YEAR($B$7))+MONTH(EM$3)-MONTH($B$7))&gt;0,MOD((12*(YEAR(EM$3)-YEAR($B$7))+MONTH(EM$3)-MONTH($B$7)),'Вводные'!$B$78)=0,(12*(YEAR(EM$3)-YEAR($B$7))+MONTH(EM$3)-MONTH($B$7))&lt;='Вводные'!$B$77*12),EM10*EM17*'Вводные'!$B$78/12,0)),0)</x:f>
      </x:c>
      <x:c r="EN13" s="117" t="n">
        <x:f>IF(AND('Вводные'!$B$75&lt;&gt;"Единовременно",'Вводные'!$B$80="Да",EN10&gt;0),IF(AND('Вводные'!$B$84="Да",YEAR(EN$3)=YEAR($B$8),MONTH(EN$3)=MONTH($B$8)),EN10*EN17/12,IF(AND((12*(YEAR(EN$3)-YEAR($B$7))+MONTH(EN$3)-MONTH($B$7))&gt;0,MOD((12*(YEAR(EN$3)-YEAR($B$7))+MONTH(EN$3)-MONTH($B$7)),'Вводные'!$B$78)=0,(12*(YEAR(EN$3)-YEAR($B$7))+MONTH(EN$3)-MONTH($B$7))&lt;='Вводные'!$B$77*12),EN10*EN17*'Вводные'!$B$78/12,0)),0)</x:f>
      </x:c>
      <x:c r="EO13" s="117" t="n">
        <x:f>IF(AND('Вводные'!$B$75&lt;&gt;"Единовременно",'Вводные'!$B$80="Да",EO10&gt;0),IF(AND('Вводные'!$B$84="Да",YEAR(EO$3)=YEAR($B$8),MONTH(EO$3)=MONTH($B$8)),EO10*EO17/12,IF(AND((12*(YEAR(EO$3)-YEAR($B$7))+MONTH(EO$3)-MONTH($B$7))&gt;0,MOD((12*(YEAR(EO$3)-YEAR($B$7))+MONTH(EO$3)-MONTH($B$7)),'Вводные'!$B$78)=0,(12*(YEAR(EO$3)-YEAR($B$7))+MONTH(EO$3)-MONTH($B$7))&lt;='Вводные'!$B$77*12),EO10*EO17*'Вводные'!$B$78/12,0)),0)</x:f>
      </x:c>
      <x:c r="EP13" s="117" t="n">
        <x:f>IF(AND('Вводные'!$B$75&lt;&gt;"Единовременно",'Вводные'!$B$80="Да",EP10&gt;0),IF(AND('Вводные'!$B$84="Да",YEAR(EP$3)=YEAR($B$8),MONTH(EP$3)=MONTH($B$8)),EP10*EP17/12,IF(AND((12*(YEAR(EP$3)-YEAR($B$7))+MONTH(EP$3)-MONTH($B$7))&gt;0,MOD((12*(YEAR(EP$3)-YEAR($B$7))+MONTH(EP$3)-MONTH($B$7)),'Вводные'!$B$78)=0,(12*(YEAR(EP$3)-YEAR($B$7))+MONTH(EP$3)-MONTH($B$7))&lt;='Вводные'!$B$77*12),EP10*EP17*'Вводные'!$B$78/12,0)),0)</x:f>
      </x:c>
      <x:c r="EQ13" s="117" t="n">
        <x:f>IF(AND('Вводные'!$B$75&lt;&gt;"Единовременно",'Вводные'!$B$80="Да",EQ10&gt;0),IF(AND('Вводные'!$B$84="Да",YEAR(EQ$3)=YEAR($B$8),MONTH(EQ$3)=MONTH($B$8)),EQ10*EQ17/12,IF(AND((12*(YEAR(EQ$3)-YEAR($B$7))+MONTH(EQ$3)-MONTH($B$7))&gt;0,MOD((12*(YEAR(EQ$3)-YEAR($B$7))+MONTH(EQ$3)-MONTH($B$7)),'Вводные'!$B$78)=0,(12*(YEAR(EQ$3)-YEAR($B$7))+MONTH(EQ$3)-MONTH($B$7))&lt;='Вводные'!$B$77*12),EQ10*EQ17*'Вводные'!$B$78/12,0)),0)</x:f>
      </x:c>
      <x:c r="ER13" s="117" t="n">
        <x:f>IF(AND('Вводные'!$B$75&lt;&gt;"Единовременно",'Вводные'!$B$80="Да",ER10&gt;0),IF(AND('Вводные'!$B$84="Да",YEAR(ER$3)=YEAR($B$8),MONTH(ER$3)=MONTH($B$8)),ER10*ER17/12,IF(AND((12*(YEAR(ER$3)-YEAR($B$7))+MONTH(ER$3)-MONTH($B$7))&gt;0,MOD((12*(YEAR(ER$3)-YEAR($B$7))+MONTH(ER$3)-MONTH($B$7)),'Вводные'!$B$78)=0,(12*(YEAR(ER$3)-YEAR($B$7))+MONTH(ER$3)-MONTH($B$7))&lt;='Вводные'!$B$77*12),ER10*ER17*'Вводные'!$B$78/12,0)),0)</x:f>
      </x:c>
      <x:c r="ES13" s="117" t="n">
        <x:f>IF(AND('Вводные'!$B$75&lt;&gt;"Единовременно",'Вводные'!$B$80="Да",ES10&gt;0),IF(AND('Вводные'!$B$84="Да",YEAR(ES$3)=YEAR($B$8),MONTH(ES$3)=MONTH($B$8)),ES10*ES17/12,IF(AND((12*(YEAR(ES$3)-YEAR($B$7))+MONTH(ES$3)-MONTH($B$7))&gt;0,MOD((12*(YEAR(ES$3)-YEAR($B$7))+MONTH(ES$3)-MONTH($B$7)),'Вводные'!$B$78)=0,(12*(YEAR(ES$3)-YEAR($B$7))+MONTH(ES$3)-MONTH($B$7))&lt;='Вводные'!$B$77*12),ES10*ES17*'Вводные'!$B$78/12,0)),0)</x:f>
      </x:c>
      <x:c r="ET13" s="117" t="n">
        <x:f>IF(AND('Вводные'!$B$75&lt;&gt;"Единовременно",'Вводные'!$B$80="Да",ET10&gt;0),IF(AND('Вводные'!$B$84="Да",YEAR(ET$3)=YEAR($B$8),MONTH(ET$3)=MONTH($B$8)),ET10*ET17/12,IF(AND((12*(YEAR(ET$3)-YEAR($B$7))+MONTH(ET$3)-MONTH($B$7))&gt;0,MOD((12*(YEAR(ET$3)-YEAR($B$7))+MONTH(ET$3)-MONTH($B$7)),'Вводные'!$B$78)=0,(12*(YEAR(ET$3)-YEAR($B$7))+MONTH(ET$3)-MONTH($B$7))&lt;='Вводные'!$B$77*12),ET10*ET17*'Вводные'!$B$78/12,0)),0)</x:f>
      </x:c>
      <x:c r="EU13" s="117" t="n">
        <x:f>IF(AND('Вводные'!$B$75&lt;&gt;"Единовременно",'Вводные'!$B$80="Да",EU10&gt;0),IF(AND('Вводные'!$B$84="Да",YEAR(EU$3)=YEAR($B$8),MONTH(EU$3)=MONTH($B$8)),EU10*EU17/12,IF(AND((12*(YEAR(EU$3)-YEAR($B$7))+MONTH(EU$3)-MONTH($B$7))&gt;0,MOD((12*(YEAR(EU$3)-YEAR($B$7))+MONTH(EU$3)-MONTH($B$7)),'Вводные'!$B$78)=0,(12*(YEAR(EU$3)-YEAR($B$7))+MONTH(EU$3)-MONTH($B$7))&lt;='Вводные'!$B$77*12),EU10*EU17*'Вводные'!$B$78/12,0)),0)</x:f>
      </x:c>
      <x:c r="EV13" s="117" t="n">
        <x:f>IF(AND('Вводные'!$B$75&lt;&gt;"Единовременно",'Вводные'!$B$80="Да",EV10&gt;0),IF(AND('Вводные'!$B$84="Да",YEAR(EV$3)=YEAR($B$8),MONTH(EV$3)=MONTH($B$8)),EV10*EV17/12,IF(AND((12*(YEAR(EV$3)-YEAR($B$7))+MONTH(EV$3)-MONTH($B$7))&gt;0,MOD((12*(YEAR(EV$3)-YEAR($B$7))+MONTH(EV$3)-MONTH($B$7)),'Вводные'!$B$78)=0,(12*(YEAR(EV$3)-YEAR($B$7))+MONTH(EV$3)-MONTH($B$7))&lt;='Вводные'!$B$77*12),EV10*EV17*'Вводные'!$B$78/12,0)),0)</x:f>
      </x:c>
      <x:c r="EW13" s="117" t="n">
        <x:f>IF(AND('Вводные'!$B$75&lt;&gt;"Единовременно",'Вводные'!$B$80="Да",EW10&gt;0),IF(AND('Вводные'!$B$84="Да",YEAR(EW$3)=YEAR($B$8),MONTH(EW$3)=MONTH($B$8)),EW10*EW17/12,IF(AND((12*(YEAR(EW$3)-YEAR($B$7))+MONTH(EW$3)-MONTH($B$7))&gt;0,MOD((12*(YEAR(EW$3)-YEAR($B$7))+MONTH(EW$3)-MONTH($B$7)),'Вводные'!$B$78)=0,(12*(YEAR(EW$3)-YEAR($B$7))+MONTH(EW$3)-MONTH($B$7))&lt;='Вводные'!$B$77*12),EW10*EW17*'Вводные'!$B$78/12,0)),0)</x:f>
      </x:c>
      <x:c r="EX13" s="117" t="n">
        <x:f>IF(AND('Вводные'!$B$75&lt;&gt;"Единовременно",'Вводные'!$B$80="Да",EX10&gt;0),IF(AND('Вводные'!$B$84="Да",YEAR(EX$3)=YEAR($B$8),MONTH(EX$3)=MONTH($B$8)),EX10*EX17/12,IF(AND((12*(YEAR(EX$3)-YEAR($B$7))+MONTH(EX$3)-MONTH($B$7))&gt;0,MOD((12*(YEAR(EX$3)-YEAR($B$7))+MONTH(EX$3)-MONTH($B$7)),'Вводные'!$B$78)=0,(12*(YEAR(EX$3)-YEAR($B$7))+MONTH(EX$3)-MONTH($B$7))&lt;='Вводные'!$B$77*12),EX10*EX17*'Вводные'!$B$78/12,0)),0)</x:f>
      </x:c>
      <x:c r="EY13" s="117" t="n">
        <x:f>IF(AND('Вводные'!$B$75&lt;&gt;"Единовременно",'Вводные'!$B$80="Да",EY10&gt;0),IF(AND('Вводные'!$B$84="Да",YEAR(EY$3)=YEAR($B$8),MONTH(EY$3)=MONTH($B$8)),EY10*EY17/12,IF(AND((12*(YEAR(EY$3)-YEAR($B$7))+MONTH(EY$3)-MONTH($B$7))&gt;0,MOD((12*(YEAR(EY$3)-YEAR($B$7))+MONTH(EY$3)-MONTH($B$7)),'Вводные'!$B$78)=0,(12*(YEAR(EY$3)-YEAR($B$7))+MONTH(EY$3)-MONTH($B$7))&lt;='Вводные'!$B$77*12),EY10*EY17*'Вводные'!$B$78/12,0)),0)</x:f>
      </x:c>
      <x:c r="EZ13" s="117" t="n">
        <x:f>IF(AND('Вводные'!$B$75&lt;&gt;"Единовременно",'Вводные'!$B$80="Да",EZ10&gt;0),IF(AND('Вводные'!$B$84="Да",YEAR(EZ$3)=YEAR($B$8),MONTH(EZ$3)=MONTH($B$8)),EZ10*EZ17/12,IF(AND((12*(YEAR(EZ$3)-YEAR($B$7))+MONTH(EZ$3)-MONTH($B$7))&gt;0,MOD((12*(YEAR(EZ$3)-YEAR($B$7))+MONTH(EZ$3)-MONTH($B$7)),'Вводные'!$B$78)=0,(12*(YEAR(EZ$3)-YEAR($B$7))+MONTH(EZ$3)-MONTH($B$7))&lt;='Вводные'!$B$77*12),EZ10*EZ17*'Вводные'!$B$78/12,0)),0)</x:f>
      </x:c>
      <x:c r="FA13" s="117" t="n">
        <x:f>IF(AND('Вводные'!$B$75&lt;&gt;"Единовременно",'Вводные'!$B$80="Да",FA10&gt;0),IF(AND('Вводные'!$B$84="Да",YEAR(FA$3)=YEAR($B$8),MONTH(FA$3)=MONTH($B$8)),FA10*FA17/12,IF(AND((12*(YEAR(FA$3)-YEAR($B$7))+MONTH(FA$3)-MONTH($B$7))&gt;0,MOD((12*(YEAR(FA$3)-YEAR($B$7))+MONTH(FA$3)-MONTH($B$7)),'Вводные'!$B$78)=0,(12*(YEAR(FA$3)-YEAR($B$7))+MONTH(FA$3)-MONTH($B$7))&lt;='Вводные'!$B$77*12),FA10*FA17*'Вводные'!$B$78/12,0)),0)</x:f>
      </x:c>
      <x:c r="FB13" s="117" t="n">
        <x:f>IF(AND('Вводные'!$B$75&lt;&gt;"Единовременно",'Вводные'!$B$80="Да",FB10&gt;0),IF(AND('Вводные'!$B$84="Да",YEAR(FB$3)=YEAR($B$8),MONTH(FB$3)=MONTH($B$8)),FB10*FB17/12,IF(AND((12*(YEAR(FB$3)-YEAR($B$7))+MONTH(FB$3)-MONTH($B$7))&gt;0,MOD((12*(YEAR(FB$3)-YEAR($B$7))+MONTH(FB$3)-MONTH($B$7)),'Вводные'!$B$78)=0,(12*(YEAR(FB$3)-YEAR($B$7))+MONTH(FB$3)-MONTH($B$7))&lt;='Вводные'!$B$77*12),FB10*FB17*'Вводные'!$B$78/12,0)),0)</x:f>
      </x:c>
      <x:c r="FC13" s="117" t="n">
        <x:f>IF(AND('Вводные'!$B$75&lt;&gt;"Единовременно",'Вводные'!$B$80="Да",FC10&gt;0),IF(AND('Вводные'!$B$84="Да",YEAR(FC$3)=YEAR($B$8),MONTH(FC$3)=MONTH($B$8)),FC10*FC17/12,IF(AND((12*(YEAR(FC$3)-YEAR($B$7))+MONTH(FC$3)-MONTH($B$7))&gt;0,MOD((12*(YEAR(FC$3)-YEAR($B$7))+MONTH(FC$3)-MONTH($B$7)),'Вводные'!$B$78)=0,(12*(YEAR(FC$3)-YEAR($B$7))+MONTH(FC$3)-MONTH($B$7))&lt;='Вводные'!$B$77*12),FC10*FC17*'Вводные'!$B$78/12,0)),0)</x:f>
      </x:c>
      <x:c r="FD13" s="117" t="n">
        <x:f>IF(AND('Вводные'!$B$75&lt;&gt;"Единовременно",'Вводные'!$B$80="Да",FD10&gt;0),IF(AND('Вводные'!$B$84="Да",YEAR(FD$3)=YEAR($B$8),MONTH(FD$3)=MONTH($B$8)),FD10*FD17/12,IF(AND((12*(YEAR(FD$3)-YEAR($B$7))+MONTH(FD$3)-MONTH($B$7))&gt;0,MOD((12*(YEAR(FD$3)-YEAR($B$7))+MONTH(FD$3)-MONTH($B$7)),'Вводные'!$B$78)=0,(12*(YEAR(FD$3)-YEAR($B$7))+MONTH(FD$3)-MONTH($B$7))&lt;='Вводные'!$B$77*12),FD10*FD17*'Вводные'!$B$78/12,0)),0)</x:f>
      </x:c>
      <x:c r="FE13" s="117" t="n">
        <x:f>IF(AND('Вводные'!$B$75&lt;&gt;"Единовременно",'Вводные'!$B$80="Да",FE10&gt;0),IF(AND('Вводные'!$B$84="Да",YEAR(FE$3)=YEAR($B$8),MONTH(FE$3)=MONTH($B$8)),FE10*FE17/12,IF(AND((12*(YEAR(FE$3)-YEAR($B$7))+MONTH(FE$3)-MONTH($B$7))&gt;0,MOD((12*(YEAR(FE$3)-YEAR($B$7))+MONTH(FE$3)-MONTH($B$7)),'Вводные'!$B$78)=0,(12*(YEAR(FE$3)-YEAR($B$7))+MONTH(FE$3)-MONTH($B$7))&lt;='Вводные'!$B$77*12),FE10*FE17*'Вводные'!$B$78/12,0)),0)</x:f>
      </x:c>
      <x:c r="FF13" s="117" t="n">
        <x:f>IF(AND('Вводные'!$B$75&lt;&gt;"Единовременно",'Вводные'!$B$80="Да",FF10&gt;0),IF(AND('Вводные'!$B$84="Да",YEAR(FF$3)=YEAR($B$8),MONTH(FF$3)=MONTH($B$8)),FF10*FF17/12,IF(AND((12*(YEAR(FF$3)-YEAR($B$7))+MONTH(FF$3)-MONTH($B$7))&gt;0,MOD((12*(YEAR(FF$3)-YEAR($B$7))+MONTH(FF$3)-MONTH($B$7)),'Вводные'!$B$78)=0,(12*(YEAR(FF$3)-YEAR($B$7))+MONTH(FF$3)-MONTH($B$7))&lt;='Вводные'!$B$77*12),FF10*FF17*'Вводные'!$B$78/12,0)),0)</x:f>
      </x:c>
      <x:c r="FG13" s="117" t="n">
        <x:f>IF(AND('Вводные'!$B$75&lt;&gt;"Единовременно",'Вводные'!$B$80="Да",FG10&gt;0),IF(AND('Вводные'!$B$84="Да",YEAR(FG$3)=YEAR($B$8),MONTH(FG$3)=MONTH($B$8)),FG10*FG17/12,IF(AND((12*(YEAR(FG$3)-YEAR($B$7))+MONTH(FG$3)-MONTH($B$7))&gt;0,MOD((12*(YEAR(FG$3)-YEAR($B$7))+MONTH(FG$3)-MONTH($B$7)),'Вводные'!$B$78)=0,(12*(YEAR(FG$3)-YEAR($B$7))+MONTH(FG$3)-MONTH($B$7))&lt;='Вводные'!$B$77*12),FG10*FG17*'Вводные'!$B$78/12,0)),0)</x:f>
      </x:c>
      <x:c r="FH13" s="117" t="n">
        <x:f>IF(AND('Вводные'!$B$75&lt;&gt;"Единовременно",'Вводные'!$B$80="Да",FH10&gt;0),IF(AND('Вводные'!$B$84="Да",YEAR(FH$3)=YEAR($B$8),MONTH(FH$3)=MONTH($B$8)),FH10*FH17/12,IF(AND((12*(YEAR(FH$3)-YEAR($B$7))+MONTH(FH$3)-MONTH($B$7))&gt;0,MOD((12*(YEAR(FH$3)-YEAR($B$7))+MONTH(FH$3)-MONTH($B$7)),'Вводные'!$B$78)=0,(12*(YEAR(FH$3)-YEAR($B$7))+MONTH(FH$3)-MONTH($B$7))&lt;='Вводные'!$B$77*12),FH10*FH17*'Вводные'!$B$78/12,0)),0)</x:f>
      </x:c>
      <x:c r="FI13" s="117" t="n">
        <x:f>IF(AND('Вводные'!$B$75&lt;&gt;"Единовременно",'Вводные'!$B$80="Да",FI10&gt;0),IF(AND('Вводные'!$B$84="Да",YEAR(FI$3)=YEAR($B$8),MONTH(FI$3)=MONTH($B$8)),FI10*FI17/12,IF(AND((12*(YEAR(FI$3)-YEAR($B$7))+MONTH(FI$3)-MONTH($B$7))&gt;0,MOD((12*(YEAR(FI$3)-YEAR($B$7))+MONTH(FI$3)-MONTH($B$7)),'Вводные'!$B$78)=0,(12*(YEAR(FI$3)-YEAR($B$7))+MONTH(FI$3)-MONTH($B$7))&lt;='Вводные'!$B$77*12),FI10*FI17*'Вводные'!$B$78/12,0)),0)</x:f>
      </x:c>
      <x:c r="FJ13" s="117" t="n">
        <x:f>IF(AND('Вводные'!$B$75&lt;&gt;"Единовременно",'Вводные'!$B$80="Да",FJ10&gt;0),IF(AND('Вводные'!$B$84="Да",YEAR(FJ$3)=YEAR($B$8),MONTH(FJ$3)=MONTH($B$8)),FJ10*FJ17/12,IF(AND((12*(YEAR(FJ$3)-YEAR($B$7))+MONTH(FJ$3)-MONTH($B$7))&gt;0,MOD((12*(YEAR(FJ$3)-YEAR($B$7))+MONTH(FJ$3)-MONTH($B$7)),'Вводные'!$B$78)=0,(12*(YEAR(FJ$3)-YEAR($B$7))+MONTH(FJ$3)-MONTH($B$7))&lt;='Вводные'!$B$77*12),FJ10*FJ17*'Вводные'!$B$78/12,0)),0)</x:f>
      </x:c>
      <x:c r="FK13" s="117" t="n">
        <x:f>IF(AND('Вводные'!$B$75&lt;&gt;"Единовременно",'Вводные'!$B$80="Да",FK10&gt;0),IF(AND('Вводные'!$B$84="Да",YEAR(FK$3)=YEAR($B$8),MONTH(FK$3)=MONTH($B$8)),FK10*FK17/12,IF(AND((12*(YEAR(FK$3)-YEAR($B$7))+MONTH(FK$3)-MONTH($B$7))&gt;0,MOD((12*(YEAR(FK$3)-YEAR($B$7))+MONTH(FK$3)-MONTH($B$7)),'Вводные'!$B$78)=0,(12*(YEAR(FK$3)-YEAR($B$7))+MONTH(FK$3)-MONTH($B$7))&lt;='Вводные'!$B$77*12),FK10*FK17*'Вводные'!$B$78/12,0)),0)</x:f>
      </x:c>
      <x:c r="FL13" s="117" t="n">
        <x:f>IF(AND('Вводные'!$B$75&lt;&gt;"Единовременно",'Вводные'!$B$80="Да",FL10&gt;0),IF(AND('Вводные'!$B$84="Да",YEAR(FL$3)=YEAR($B$8),MONTH(FL$3)=MONTH($B$8)),FL10*FL17/12,IF(AND((12*(YEAR(FL$3)-YEAR($B$7))+MONTH(FL$3)-MONTH($B$7))&gt;0,MOD((12*(YEAR(FL$3)-YEAR($B$7))+MONTH(FL$3)-MONTH($B$7)),'Вводные'!$B$78)=0,(12*(YEAR(FL$3)-YEAR($B$7))+MONTH(FL$3)-MONTH($B$7))&lt;='Вводные'!$B$77*12),FL10*FL17*'Вводные'!$B$78/12,0)),0)</x:f>
      </x:c>
      <x:c r="FM13" s="117" t="n">
        <x:f>IF(AND('Вводные'!$B$75&lt;&gt;"Единовременно",'Вводные'!$B$80="Да",FM10&gt;0),IF(AND('Вводные'!$B$84="Да",YEAR(FM$3)=YEAR($B$8),MONTH(FM$3)=MONTH($B$8)),FM10*FM17/12,IF(AND((12*(YEAR(FM$3)-YEAR($B$7))+MONTH(FM$3)-MONTH($B$7))&gt;0,MOD((12*(YEAR(FM$3)-YEAR($B$7))+MONTH(FM$3)-MONTH($B$7)),'Вводные'!$B$78)=0,(12*(YEAR(FM$3)-YEAR($B$7))+MONTH(FM$3)-MONTH($B$7))&lt;='Вводные'!$B$77*12),FM10*FM17*'Вводные'!$B$78/12,0)),0)</x:f>
      </x:c>
      <x:c r="FN13" s="117" t="n">
        <x:f>IF(AND('Вводные'!$B$75&lt;&gt;"Единовременно",'Вводные'!$B$80="Да",FN10&gt;0),IF(AND('Вводные'!$B$84="Да",YEAR(FN$3)=YEAR($B$8),MONTH(FN$3)=MONTH($B$8)),FN10*FN17/12,IF(AND((12*(YEAR(FN$3)-YEAR($B$7))+MONTH(FN$3)-MONTH($B$7))&gt;0,MOD((12*(YEAR(FN$3)-YEAR($B$7))+MONTH(FN$3)-MONTH($B$7)),'Вводные'!$B$78)=0,(12*(YEAR(FN$3)-YEAR($B$7))+MONTH(FN$3)-MONTH($B$7))&lt;='Вводные'!$B$77*12),FN10*FN17*'Вводные'!$B$78/12,0)),0)</x:f>
      </x:c>
      <x:c r="FO13" s="117" t="n">
        <x:f>IF(AND('Вводные'!$B$75&lt;&gt;"Единовременно",'Вводные'!$B$80="Да",FO10&gt;0),IF(AND('Вводные'!$B$84="Да",YEAR(FO$3)=YEAR($B$8),MONTH(FO$3)=MONTH($B$8)),FO10*FO17/12,IF(AND((12*(YEAR(FO$3)-YEAR($B$7))+MONTH(FO$3)-MONTH($B$7))&gt;0,MOD((12*(YEAR(FO$3)-YEAR($B$7))+MONTH(FO$3)-MONTH($B$7)),'Вводные'!$B$78)=0,(12*(YEAR(FO$3)-YEAR($B$7))+MONTH(FO$3)-MONTH($B$7))&lt;='Вводные'!$B$77*12),FO10*FO17*'Вводные'!$B$78/12,0)),0)</x:f>
      </x:c>
      <x:c r="FP13" s="117" t="n">
        <x:f>IF(AND('Вводные'!$B$75&lt;&gt;"Единовременно",'Вводные'!$B$80="Да",FP10&gt;0),IF(AND('Вводные'!$B$84="Да",YEAR(FP$3)=YEAR($B$8),MONTH(FP$3)=MONTH($B$8)),FP10*FP17/12,IF(AND((12*(YEAR(FP$3)-YEAR($B$7))+MONTH(FP$3)-MONTH($B$7))&gt;0,MOD((12*(YEAR(FP$3)-YEAR($B$7))+MONTH(FP$3)-MONTH($B$7)),'Вводные'!$B$78)=0,(12*(YEAR(FP$3)-YEAR($B$7))+MONTH(FP$3)-MONTH($B$7))&lt;='Вводные'!$B$77*12),FP10*FP17*'Вводные'!$B$78/12,0)),0)</x:f>
      </x:c>
      <x:c r="FQ13" s="117" t="n">
        <x:f>IF(AND('Вводные'!$B$75&lt;&gt;"Единовременно",'Вводные'!$B$80="Да",FQ10&gt;0),IF(AND('Вводные'!$B$84="Да",YEAR(FQ$3)=YEAR($B$8),MONTH(FQ$3)=MONTH($B$8)),FQ10*FQ17/12,IF(AND((12*(YEAR(FQ$3)-YEAR($B$7))+MONTH(FQ$3)-MONTH($B$7))&gt;0,MOD((12*(YEAR(FQ$3)-YEAR($B$7))+MONTH(FQ$3)-MONTH($B$7)),'Вводные'!$B$78)=0,(12*(YEAR(FQ$3)-YEAR($B$7))+MONTH(FQ$3)-MONTH($B$7))&lt;='Вводные'!$B$77*12),FQ10*FQ17*'Вводные'!$B$78/12,0)),0)</x:f>
      </x:c>
      <x:c r="FR13" s="117" t="n">
        <x:f>IF(AND('Вводные'!$B$75&lt;&gt;"Единовременно",'Вводные'!$B$80="Да",FR10&gt;0),IF(AND('Вводные'!$B$84="Да",YEAR(FR$3)=YEAR($B$8),MONTH(FR$3)=MONTH($B$8)),FR10*FR17/12,IF(AND((12*(YEAR(FR$3)-YEAR($B$7))+MONTH(FR$3)-MONTH($B$7))&gt;0,MOD((12*(YEAR(FR$3)-YEAR($B$7))+MONTH(FR$3)-MONTH($B$7)),'Вводные'!$B$78)=0,(12*(YEAR(FR$3)-YEAR($B$7))+MONTH(FR$3)-MONTH($B$7))&lt;='Вводные'!$B$77*12),FR10*FR17*'Вводные'!$B$78/12,0)),0)</x:f>
      </x:c>
      <x:c r="FS13" s="117" t="n">
        <x:f>IF(AND('Вводные'!$B$75&lt;&gt;"Единовременно",'Вводные'!$B$80="Да",FS10&gt;0),IF(AND('Вводные'!$B$84="Да",YEAR(FS$3)=YEAR($B$8),MONTH(FS$3)=MONTH($B$8)),FS10*FS17/12,IF(AND((12*(YEAR(FS$3)-YEAR($B$7))+MONTH(FS$3)-MONTH($B$7))&gt;0,MOD((12*(YEAR(FS$3)-YEAR($B$7))+MONTH(FS$3)-MONTH($B$7)),'Вводные'!$B$78)=0,(12*(YEAR(FS$3)-YEAR($B$7))+MONTH(FS$3)-MONTH($B$7))&lt;='Вводные'!$B$77*12),FS10*FS17*'Вводные'!$B$78/12,0)),0)</x:f>
      </x:c>
      <x:c r="FT13" s="117" t="n">
        <x:f>IF(AND('Вводные'!$B$75&lt;&gt;"Единовременно",'Вводные'!$B$80="Да",FT10&gt;0),IF(AND('Вводные'!$B$84="Да",YEAR(FT$3)=YEAR($B$8),MONTH(FT$3)=MONTH($B$8)),FT10*FT17/12,IF(AND((12*(YEAR(FT$3)-YEAR($B$7))+MONTH(FT$3)-MONTH($B$7))&gt;0,MOD((12*(YEAR(FT$3)-YEAR($B$7))+MONTH(FT$3)-MONTH($B$7)),'Вводные'!$B$78)=0,(12*(YEAR(FT$3)-YEAR($B$7))+MONTH(FT$3)-MONTH($B$7))&lt;='Вводные'!$B$77*12),FT10*FT17*'Вводные'!$B$78/12,0)),0)</x:f>
      </x:c>
      <x:c r="FU13" s="117" t="n">
        <x:f>IF(AND('Вводные'!$B$75&lt;&gt;"Единовременно",'Вводные'!$B$80="Да",FU10&gt;0),IF(AND('Вводные'!$B$84="Да",YEAR(FU$3)=YEAR($B$8),MONTH(FU$3)=MONTH($B$8)),FU10*FU17/12,IF(AND((12*(YEAR(FU$3)-YEAR($B$7))+MONTH(FU$3)-MONTH($B$7))&gt;0,MOD((12*(YEAR(FU$3)-YEAR($B$7))+MONTH(FU$3)-MONTH($B$7)),'Вводные'!$B$78)=0,(12*(YEAR(FU$3)-YEAR($B$7))+MONTH(FU$3)-MONTH($B$7))&lt;='Вводные'!$B$77*12),FU10*FU17*'Вводные'!$B$78/12,0)),0)</x:f>
      </x:c>
      <x:c r="FV13" s="117" t="n">
        <x:f>IF(AND('Вводные'!$B$75&lt;&gt;"Единовременно",'Вводные'!$B$80="Да",FV10&gt;0),IF(AND('Вводные'!$B$84="Да",YEAR(FV$3)=YEAR($B$8),MONTH(FV$3)=MONTH($B$8)),FV10*FV17/12,IF(AND((12*(YEAR(FV$3)-YEAR($B$7))+MONTH(FV$3)-MONTH($B$7))&gt;0,MOD((12*(YEAR(FV$3)-YEAR($B$7))+MONTH(FV$3)-MONTH($B$7)),'Вводные'!$B$78)=0,(12*(YEAR(FV$3)-YEAR($B$7))+MONTH(FV$3)-MONTH($B$7))&lt;='Вводные'!$B$77*12),FV10*FV17*'Вводные'!$B$78/12,0)),0)</x:f>
      </x:c>
      <x:c r="FW13" s="117" t="n">
        <x:f>IF(AND('Вводные'!$B$75&lt;&gt;"Единовременно",'Вводные'!$B$80="Да",FW10&gt;0),IF(AND('Вводные'!$B$84="Да",YEAR(FW$3)=YEAR($B$8),MONTH(FW$3)=MONTH($B$8)),FW10*FW17/12,IF(AND((12*(YEAR(FW$3)-YEAR($B$7))+MONTH(FW$3)-MONTH($B$7))&gt;0,MOD((12*(YEAR(FW$3)-YEAR($B$7))+MONTH(FW$3)-MONTH($B$7)),'Вводные'!$B$78)=0,(12*(YEAR(FW$3)-YEAR($B$7))+MONTH(FW$3)-MONTH($B$7))&lt;='Вводные'!$B$77*12),FW10*FW17*'Вводные'!$B$78/12,0)),0)</x:f>
      </x:c>
      <x:c r="FX13" s="117" t="n">
        <x:f>IF(AND('Вводные'!$B$75&lt;&gt;"Единовременно",'Вводные'!$B$80="Да",FX10&gt;0),IF(AND('Вводные'!$B$84="Да",YEAR(FX$3)=YEAR($B$8),MONTH(FX$3)=MONTH($B$8)),FX10*FX17/12,IF(AND((12*(YEAR(FX$3)-YEAR($B$7))+MONTH(FX$3)-MONTH($B$7))&gt;0,MOD((12*(YEAR(FX$3)-YEAR($B$7))+MONTH(FX$3)-MONTH($B$7)),'Вводные'!$B$78)=0,(12*(YEAR(FX$3)-YEAR($B$7))+MONTH(FX$3)-MONTH($B$7))&lt;='Вводные'!$B$77*12),FX10*FX17*'Вводные'!$B$78/12,0)),0)</x:f>
      </x:c>
      <x:c r="FY13" s="117" t="n">
        <x:f>IF(AND('Вводные'!$B$75&lt;&gt;"Единовременно",'Вводные'!$B$80="Да",FY10&gt;0),IF(AND('Вводные'!$B$84="Да",YEAR(FY$3)=YEAR($B$8),MONTH(FY$3)=MONTH($B$8)),FY10*FY17/12,IF(AND((12*(YEAR(FY$3)-YEAR($B$7))+MONTH(FY$3)-MONTH($B$7))&gt;0,MOD((12*(YEAR(FY$3)-YEAR($B$7))+MONTH(FY$3)-MONTH($B$7)),'Вводные'!$B$78)=0,(12*(YEAR(FY$3)-YEAR($B$7))+MONTH(FY$3)-MONTH($B$7))&lt;='Вводные'!$B$77*12),FY10*FY17*'Вводные'!$B$78/12,0)),0)</x:f>
      </x:c>
      <x:c r="FZ13" s="117" t="n">
        <x:f>IF(AND('Вводные'!$B$75&lt;&gt;"Единовременно",'Вводные'!$B$80="Да",FZ10&gt;0),IF(AND('Вводные'!$B$84="Да",YEAR(FZ$3)=YEAR($B$8),MONTH(FZ$3)=MONTH($B$8)),FZ10*FZ17/12,IF(AND((12*(YEAR(FZ$3)-YEAR($B$7))+MONTH(FZ$3)-MONTH($B$7))&gt;0,MOD((12*(YEAR(FZ$3)-YEAR($B$7))+MONTH(FZ$3)-MONTH($B$7)),'Вводные'!$B$78)=0,(12*(YEAR(FZ$3)-YEAR($B$7))+MONTH(FZ$3)-MONTH($B$7))&lt;='Вводные'!$B$77*12),FZ10*FZ17*'Вводные'!$B$78/12,0)),0)</x:f>
      </x:c>
      <x:c r="GA13" s="117" t="n">
        <x:f>IF(AND('Вводные'!$B$75&lt;&gt;"Единовременно",'Вводные'!$B$80="Да",GA10&gt;0),IF(AND('Вводные'!$B$84="Да",YEAR(GA$3)=YEAR($B$8),MONTH(GA$3)=MONTH($B$8)),GA10*GA17/12,IF(AND((12*(YEAR(GA$3)-YEAR($B$7))+MONTH(GA$3)-MONTH($B$7))&gt;0,MOD((12*(YEAR(GA$3)-YEAR($B$7))+MONTH(GA$3)-MONTH($B$7)),'Вводные'!$B$78)=0,(12*(YEAR(GA$3)-YEAR($B$7))+MONTH(GA$3)-MONTH($B$7))&lt;='Вводные'!$B$77*12),GA10*GA17*'Вводные'!$B$78/12,0)),0)</x:f>
      </x:c>
    </x:row>
    <x:row r="14">
      <x:c r="A14" t="str">
        <x:v>Расходы на обеспечение</x:v>
      </x:c>
      <x:c r="B14" s="107" t="n">
        <x:f>SUM(D14:GA14)</x:f>
      </x:c>
      <x:c r="C14" t="str">
        <x:v>млн ₽</x:v>
      </x:c>
      <x:c r="D14" s="117" t="n">
        <x:f>IF(D11&gt;0,'Вводные'!$B$83*'Вводные'!$Q$88,0)</x:f>
      </x:c>
      <x:c r="E14" s="117" t="n">
        <x:f>IF(E11&gt;0,'Вводные'!$B$83*'Вводные'!$Q$88,0)</x:f>
      </x:c>
      <x:c r="F14" s="117" t="n">
        <x:f>IF(F11&gt;0,'Вводные'!$B$83*'Вводные'!$Q$88,0)</x:f>
      </x:c>
      <x:c r="G14" s="117" t="n">
        <x:f>IF(G11&gt;0,'Вводные'!$B$83*'Вводные'!$Q$88,0)</x:f>
      </x:c>
      <x:c r="H14" s="117" t="n">
        <x:f>IF(H11&gt;0,'Вводные'!$B$83*'Вводные'!$Q$88,0)</x:f>
      </x:c>
      <x:c r="I14" s="117" t="n">
        <x:f>IF(I11&gt;0,'Вводные'!$B$83*'Вводные'!$Q$88,0)</x:f>
      </x:c>
      <x:c r="J14" s="117" t="n">
        <x:f>IF(J11&gt;0,'Вводные'!$B$83*'Вводные'!$Q$88,0)</x:f>
      </x:c>
      <x:c r="K14" s="117" t="n">
        <x:f>IF(K11&gt;0,'Вводные'!$B$83*'Вводные'!$Q$88,0)</x:f>
      </x:c>
      <x:c r="L14" s="117" t="n">
        <x:f>IF(L11&gt;0,'Вводные'!$B$83*'Вводные'!$Q$88,0)</x:f>
      </x:c>
      <x:c r="M14" s="117" t="n">
        <x:f>IF(M11&gt;0,'Вводные'!$B$83*'Вводные'!$Q$88,0)</x:f>
      </x:c>
      <x:c r="N14" s="117" t="n">
        <x:f>IF(N11&gt;0,'Вводные'!$B$83*'Вводные'!$Q$88,0)</x:f>
      </x:c>
      <x:c r="O14" s="117" t="n">
        <x:f>IF(O11&gt;0,'Вводные'!$B$83*'Вводные'!$Q$88,0)</x:f>
      </x:c>
      <x:c r="P14" s="117" t="n">
        <x:f>IF(P11&gt;0,'Вводные'!$B$83*'Вводные'!$Q$88,0)</x:f>
      </x:c>
      <x:c r="Q14" s="117" t="n">
        <x:f>IF(Q11&gt;0,'Вводные'!$B$83*'Вводные'!$Q$88,0)</x:f>
      </x:c>
      <x:c r="R14" s="117" t="n">
        <x:f>IF(R11&gt;0,'Вводные'!$B$83*'Вводные'!$Q$88,0)</x:f>
      </x:c>
      <x:c r="S14" s="117" t="n">
        <x:f>IF(S11&gt;0,'Вводные'!$B$83*'Вводные'!$Q$88,0)</x:f>
      </x:c>
      <x:c r="T14" s="117" t="n">
        <x:f>IF(T11&gt;0,'Вводные'!$B$83*'Вводные'!$Q$88,0)</x:f>
      </x:c>
      <x:c r="U14" s="117" t="n">
        <x:f>IF(U11&gt;0,'Вводные'!$B$83*'Вводные'!$Q$88,0)</x:f>
      </x:c>
      <x:c r="V14" s="117" t="n">
        <x:f>IF(V11&gt;0,'Вводные'!$B$83*'Вводные'!$Q$88,0)</x:f>
      </x:c>
      <x:c r="W14" s="117" t="n">
        <x:f>IF(W11&gt;0,'Вводные'!$B$83*'Вводные'!$Q$88,0)</x:f>
      </x:c>
      <x:c r="X14" s="117" t="n">
        <x:f>IF(X11&gt;0,'Вводные'!$B$83*'Вводные'!$Q$88,0)</x:f>
      </x:c>
      <x:c r="Y14" s="117" t="n">
        <x:f>IF(Y11&gt;0,'Вводные'!$B$83*'Вводные'!$Q$88,0)</x:f>
      </x:c>
      <x:c r="Z14" s="117" t="n">
        <x:f>IF(Z11&gt;0,'Вводные'!$B$83*'Вводные'!$Q$88,0)</x:f>
      </x:c>
      <x:c r="AA14" s="117" t="n">
        <x:f>IF(AA11&gt;0,'Вводные'!$B$83*'Вводные'!$Q$88,0)</x:f>
      </x:c>
      <x:c r="AB14" s="117" t="n">
        <x:f>IF(AB11&gt;0,'Вводные'!$B$83*'Вводные'!$Q$88,0)</x:f>
      </x:c>
      <x:c r="AC14" s="117" t="n">
        <x:f>IF(AC11&gt;0,'Вводные'!$B$83*'Вводные'!$Q$88,0)</x:f>
      </x:c>
      <x:c r="AD14" s="117" t="n">
        <x:f>IF(AD11&gt;0,'Вводные'!$B$83*'Вводные'!$Q$88,0)</x:f>
      </x:c>
      <x:c r="AE14" s="117" t="n">
        <x:f>IF(AE11&gt;0,'Вводные'!$B$83*'Вводные'!$Q$88,0)</x:f>
      </x:c>
      <x:c r="AF14" s="117" t="n">
        <x:f>IF(AF11&gt;0,'Вводные'!$B$83*'Вводные'!$Q$88,0)</x:f>
      </x:c>
      <x:c r="AG14" s="117" t="n">
        <x:f>IF(AG11&gt;0,'Вводные'!$B$83*'Вводные'!$Q$88,0)</x:f>
      </x:c>
      <x:c r="AH14" s="117" t="n">
        <x:f>IF(AH11&gt;0,'Вводные'!$B$83*'Вводные'!$Q$88,0)</x:f>
      </x:c>
      <x:c r="AI14" s="117" t="n">
        <x:f>IF(AI11&gt;0,'Вводные'!$B$83*'Вводные'!$Q$88,0)</x:f>
      </x:c>
      <x:c r="AJ14" s="117" t="n">
        <x:f>IF(AJ11&gt;0,'Вводные'!$B$83*'Вводные'!$Q$88,0)</x:f>
      </x:c>
      <x:c r="AK14" s="117" t="n">
        <x:f>IF(AK11&gt;0,'Вводные'!$B$83*'Вводные'!$Q$88,0)</x:f>
      </x:c>
      <x:c r="AL14" s="117" t="n">
        <x:f>IF(AL11&gt;0,'Вводные'!$B$83*'Вводные'!$Q$88,0)</x:f>
      </x:c>
      <x:c r="AM14" s="117" t="n">
        <x:f>IF(AM11&gt;0,'Вводные'!$B$83*'Вводные'!$Q$88,0)</x:f>
      </x:c>
      <x:c r="AN14" s="117" t="n">
        <x:f>IF(AN11&gt;0,'Вводные'!$B$83*'Вводные'!$Q$88,0)</x:f>
      </x:c>
      <x:c r="AO14" s="117" t="n">
        <x:f>IF(AO11&gt;0,'Вводные'!$B$83*'Вводные'!$Q$88,0)</x:f>
      </x:c>
      <x:c r="AP14" s="117" t="n">
        <x:f>IF(AP11&gt;0,'Вводные'!$B$83*'Вводные'!$Q$88,0)</x:f>
      </x:c>
      <x:c r="AQ14" s="117" t="n">
        <x:f>IF(AQ11&gt;0,'Вводные'!$B$83*'Вводные'!$Q$88,0)</x:f>
      </x:c>
      <x:c r="AR14" s="117" t="n">
        <x:f>IF(AR11&gt;0,'Вводные'!$B$83*'Вводные'!$Q$88,0)</x:f>
      </x:c>
      <x:c r="AS14" s="117" t="n">
        <x:f>IF(AS11&gt;0,'Вводные'!$B$83*'Вводные'!$Q$88,0)</x:f>
      </x:c>
      <x:c r="AT14" s="117" t="n">
        <x:f>IF(AT11&gt;0,'Вводные'!$B$83*'Вводные'!$Q$88,0)</x:f>
      </x:c>
      <x:c r="AU14" s="117" t="n">
        <x:f>IF(AU11&gt;0,'Вводные'!$B$83*'Вводные'!$Q$88,0)</x:f>
      </x:c>
      <x:c r="AV14" s="117" t="n">
        <x:f>IF(AV11&gt;0,'Вводные'!$B$83*'Вводные'!$Q$88,0)</x:f>
      </x:c>
      <x:c r="AW14" s="117" t="n">
        <x:f>IF(AW11&gt;0,'Вводные'!$B$83*'Вводные'!$Q$88,0)</x:f>
      </x:c>
      <x:c r="AX14" s="117" t="n">
        <x:f>IF(AX11&gt;0,'Вводные'!$B$83*'Вводные'!$Q$88,0)</x:f>
      </x:c>
      <x:c r="AY14" s="117" t="n">
        <x:f>IF(AY11&gt;0,'Вводные'!$B$83*'Вводные'!$Q$88,0)</x:f>
      </x:c>
      <x:c r="AZ14" s="117" t="n">
        <x:f>IF(AZ11&gt;0,'Вводные'!$B$83*'Вводные'!$Q$88,0)</x:f>
      </x:c>
      <x:c r="BA14" s="117" t="n">
        <x:f>IF(BA11&gt;0,'Вводные'!$B$83*'Вводные'!$Q$88,0)</x:f>
      </x:c>
      <x:c r="BB14" s="117" t="n">
        <x:f>IF(BB11&gt;0,'Вводные'!$B$83*'Вводные'!$Q$88,0)</x:f>
      </x:c>
      <x:c r="BC14" s="117" t="n">
        <x:f>IF(BC11&gt;0,'Вводные'!$B$83*'Вводные'!$Q$88,0)</x:f>
      </x:c>
      <x:c r="BD14" s="117" t="n">
        <x:f>IF(BD11&gt;0,'Вводные'!$B$83*'Вводные'!$Q$88,0)</x:f>
      </x:c>
      <x:c r="BE14" s="117" t="n">
        <x:f>IF(BE11&gt;0,'Вводные'!$B$83*'Вводные'!$Q$88,0)</x:f>
      </x:c>
      <x:c r="BF14" s="117" t="n">
        <x:f>IF(BF11&gt;0,'Вводные'!$B$83*'Вводные'!$Q$88,0)</x:f>
      </x:c>
      <x:c r="BG14" s="117" t="n">
        <x:f>IF(BG11&gt;0,'Вводные'!$B$83*'Вводные'!$Q$88,0)</x:f>
      </x:c>
      <x:c r="BH14" s="117" t="n">
        <x:f>IF(BH11&gt;0,'Вводные'!$B$83*'Вводные'!$Q$88,0)</x:f>
      </x:c>
      <x:c r="BI14" s="117" t="n">
        <x:f>IF(BI11&gt;0,'Вводные'!$B$83*'Вводные'!$Q$88,0)</x:f>
      </x:c>
      <x:c r="BJ14" s="117" t="n">
        <x:f>IF(BJ11&gt;0,'Вводные'!$B$83*'Вводные'!$Q$88,0)</x:f>
      </x:c>
      <x:c r="BK14" s="117" t="n">
        <x:f>IF(BK11&gt;0,'Вводные'!$B$83*'Вводные'!$Q$88,0)</x:f>
      </x:c>
      <x:c r="BL14" s="117" t="n">
        <x:f>IF(BL11&gt;0,'Вводные'!$B$83*'Вводные'!$Q$88,0)</x:f>
      </x:c>
      <x:c r="BM14" s="117" t="n">
        <x:f>IF(BM11&gt;0,'Вводные'!$B$83*'Вводные'!$Q$88,0)</x:f>
      </x:c>
      <x:c r="BN14" s="117" t="n">
        <x:f>IF(BN11&gt;0,'Вводные'!$B$83*'Вводные'!$Q$88,0)</x:f>
      </x:c>
      <x:c r="BO14" s="117" t="n">
        <x:f>IF(BO11&gt;0,'Вводные'!$B$83*'Вводные'!$Q$88,0)</x:f>
      </x:c>
      <x:c r="BP14" s="117" t="n">
        <x:f>IF(BP11&gt;0,'Вводные'!$B$83*'Вводные'!$Q$88,0)</x:f>
      </x:c>
      <x:c r="BQ14" s="117" t="n">
        <x:f>IF(BQ11&gt;0,'Вводные'!$B$83*'Вводные'!$Q$88,0)</x:f>
      </x:c>
      <x:c r="BR14" s="117" t="n">
        <x:f>IF(BR11&gt;0,'Вводные'!$B$83*'Вводные'!$Q$88,0)</x:f>
      </x:c>
      <x:c r="BS14" s="117" t="n">
        <x:f>IF(BS11&gt;0,'Вводные'!$B$83*'Вводные'!$Q$88,0)</x:f>
      </x:c>
      <x:c r="BT14" s="117" t="n">
        <x:f>IF(BT11&gt;0,'Вводные'!$B$83*'Вводные'!$Q$88,0)</x:f>
      </x:c>
      <x:c r="BU14" s="117" t="n">
        <x:f>IF(BU11&gt;0,'Вводные'!$B$83*'Вводные'!$Q$88,0)</x:f>
      </x:c>
      <x:c r="BV14" s="117" t="n">
        <x:f>IF(BV11&gt;0,'Вводные'!$B$83*'Вводные'!$Q$88,0)</x:f>
      </x:c>
      <x:c r="BW14" s="117" t="n">
        <x:f>IF(BW11&gt;0,'Вводные'!$B$83*'Вводные'!$Q$88,0)</x:f>
      </x:c>
      <x:c r="BX14" s="117" t="n">
        <x:f>IF(BX11&gt;0,'Вводные'!$B$83*'Вводные'!$Q$88,0)</x:f>
      </x:c>
      <x:c r="BY14" s="117" t="n">
        <x:f>IF(BY11&gt;0,'Вводные'!$B$83*'Вводные'!$Q$88,0)</x:f>
      </x:c>
      <x:c r="BZ14" s="117" t="n">
        <x:f>IF(BZ11&gt;0,'Вводные'!$B$83*'Вводные'!$Q$88,0)</x:f>
      </x:c>
      <x:c r="CA14" s="117" t="n">
        <x:f>IF(CA11&gt;0,'Вводные'!$B$83*'Вводные'!$Q$88,0)</x:f>
      </x:c>
      <x:c r="CB14" s="117" t="n">
        <x:f>IF(CB11&gt;0,'Вводные'!$B$83*'Вводные'!$Q$88,0)</x:f>
      </x:c>
      <x:c r="CC14" s="117" t="n">
        <x:f>IF(CC11&gt;0,'Вводные'!$B$83*'Вводные'!$Q$88,0)</x:f>
      </x:c>
      <x:c r="CD14" s="117" t="n">
        <x:f>IF(CD11&gt;0,'Вводные'!$B$83*'Вводные'!$Q$88,0)</x:f>
      </x:c>
      <x:c r="CE14" s="117" t="n">
        <x:f>IF(CE11&gt;0,'Вводные'!$B$83*'Вводные'!$Q$88,0)</x:f>
      </x:c>
      <x:c r="CF14" s="117" t="n">
        <x:f>IF(CF11&gt;0,'Вводные'!$B$83*'Вводные'!$Q$88,0)</x:f>
      </x:c>
      <x:c r="CG14" s="117" t="n">
        <x:f>IF(CG11&gt;0,'Вводные'!$B$83*'Вводные'!$Q$88,0)</x:f>
      </x:c>
      <x:c r="CH14" s="117" t="n">
        <x:f>IF(CH11&gt;0,'Вводные'!$B$83*'Вводные'!$Q$88,0)</x:f>
      </x:c>
      <x:c r="CI14" s="117" t="n">
        <x:f>IF(CI11&gt;0,'Вводные'!$B$83*'Вводные'!$Q$88,0)</x:f>
      </x:c>
      <x:c r="CJ14" s="117" t="n">
        <x:f>IF(CJ11&gt;0,'Вводные'!$B$83*'Вводные'!$Q$88,0)</x:f>
      </x:c>
      <x:c r="CK14" s="117" t="n">
        <x:f>IF(CK11&gt;0,'Вводные'!$B$83*'Вводные'!$Q$88,0)</x:f>
      </x:c>
      <x:c r="CL14" s="117" t="n">
        <x:f>IF(CL11&gt;0,'Вводные'!$B$83*'Вводные'!$Q$88,0)</x:f>
      </x:c>
      <x:c r="CM14" s="117" t="n">
        <x:f>IF(CM11&gt;0,'Вводные'!$B$83*'Вводные'!$Q$88,0)</x:f>
      </x:c>
      <x:c r="CN14" s="117" t="n">
        <x:f>IF(CN11&gt;0,'Вводные'!$B$83*'Вводные'!$Q$88,0)</x:f>
      </x:c>
      <x:c r="CO14" s="117" t="n">
        <x:f>IF(CO11&gt;0,'Вводные'!$B$83*'Вводные'!$Q$88,0)</x:f>
      </x:c>
      <x:c r="CP14" s="117" t="n">
        <x:f>IF(CP11&gt;0,'Вводные'!$B$83*'Вводные'!$Q$88,0)</x:f>
      </x:c>
      <x:c r="CQ14" s="117" t="n">
        <x:f>IF(CQ11&gt;0,'Вводные'!$B$83*'Вводные'!$Q$88,0)</x:f>
      </x:c>
      <x:c r="CR14" s="117" t="n">
        <x:f>IF(CR11&gt;0,'Вводные'!$B$83*'Вводные'!$Q$88,0)</x:f>
      </x:c>
      <x:c r="CS14" s="117" t="n">
        <x:f>IF(CS11&gt;0,'Вводные'!$B$83*'Вводные'!$Q$88,0)</x:f>
      </x:c>
      <x:c r="CT14" s="117" t="n">
        <x:f>IF(CT11&gt;0,'Вводные'!$B$83*'Вводные'!$Q$88,0)</x:f>
      </x:c>
      <x:c r="CU14" s="117" t="n">
        <x:f>IF(CU11&gt;0,'Вводные'!$B$83*'Вводные'!$Q$88,0)</x:f>
      </x:c>
      <x:c r="CV14" s="117" t="n">
        <x:f>IF(CV11&gt;0,'Вводные'!$B$83*'Вводные'!$Q$88,0)</x:f>
      </x:c>
      <x:c r="CW14" s="117" t="n">
        <x:f>IF(CW11&gt;0,'Вводные'!$B$83*'Вводные'!$Q$88,0)</x:f>
      </x:c>
      <x:c r="CX14" s="117" t="n">
        <x:f>IF(CX11&gt;0,'Вводные'!$B$83*'Вводные'!$Q$88,0)</x:f>
      </x:c>
      <x:c r="CY14" s="117" t="n">
        <x:f>IF(CY11&gt;0,'Вводные'!$B$83*'Вводные'!$Q$88,0)</x:f>
      </x:c>
      <x:c r="CZ14" s="117" t="n">
        <x:f>IF(CZ11&gt;0,'Вводные'!$B$83*'Вводные'!$Q$88,0)</x:f>
      </x:c>
      <x:c r="DA14" s="117" t="n">
        <x:f>IF(DA11&gt;0,'Вводные'!$B$83*'Вводные'!$Q$88,0)</x:f>
      </x:c>
      <x:c r="DB14" s="117" t="n">
        <x:f>IF(DB11&gt;0,'Вводные'!$B$83*'Вводные'!$Q$88,0)</x:f>
      </x:c>
      <x:c r="DC14" s="117" t="n">
        <x:f>IF(DC11&gt;0,'Вводные'!$B$83*'Вводные'!$Q$88,0)</x:f>
      </x:c>
      <x:c r="DD14" s="117" t="n">
        <x:f>IF(DD11&gt;0,'Вводные'!$B$83*'Вводные'!$Q$88,0)</x:f>
      </x:c>
      <x:c r="DE14" s="117" t="n">
        <x:f>IF(DE11&gt;0,'Вводные'!$B$83*'Вводные'!$Q$88,0)</x:f>
      </x:c>
      <x:c r="DF14" s="117" t="n">
        <x:f>IF(DF11&gt;0,'Вводные'!$B$83*'Вводные'!$Q$88,0)</x:f>
      </x:c>
      <x:c r="DG14" s="117" t="n">
        <x:f>IF(DG11&gt;0,'Вводные'!$B$83*'Вводные'!$Q$88,0)</x:f>
      </x:c>
      <x:c r="DH14" s="117" t="n">
        <x:f>IF(DH11&gt;0,'Вводные'!$B$83*'Вводные'!$Q$88,0)</x:f>
      </x:c>
      <x:c r="DI14" s="117" t="n">
        <x:f>IF(DI11&gt;0,'Вводные'!$B$83*'Вводные'!$Q$88,0)</x:f>
      </x:c>
      <x:c r="DJ14" s="117" t="n">
        <x:f>IF(DJ11&gt;0,'Вводные'!$B$83*'Вводные'!$Q$88,0)</x:f>
      </x:c>
      <x:c r="DK14" s="117" t="n">
        <x:f>IF(DK11&gt;0,'Вводные'!$B$83*'Вводные'!$Q$88,0)</x:f>
      </x:c>
      <x:c r="DL14" s="117" t="n">
        <x:f>IF(DL11&gt;0,'Вводные'!$B$83*'Вводные'!$Q$88,0)</x:f>
      </x:c>
      <x:c r="DM14" s="117" t="n">
        <x:f>IF(DM11&gt;0,'Вводные'!$B$83*'Вводные'!$Q$88,0)</x:f>
      </x:c>
      <x:c r="DN14" s="117" t="n">
        <x:f>IF(DN11&gt;0,'Вводные'!$B$83*'Вводные'!$Q$88,0)</x:f>
      </x:c>
      <x:c r="DO14" s="117" t="n">
        <x:f>IF(DO11&gt;0,'Вводные'!$B$83*'Вводные'!$Q$88,0)</x:f>
      </x:c>
      <x:c r="DP14" s="117" t="n">
        <x:f>IF(DP11&gt;0,'Вводные'!$B$83*'Вводные'!$Q$88,0)</x:f>
      </x:c>
      <x:c r="DQ14" s="117" t="n">
        <x:f>IF(DQ11&gt;0,'Вводные'!$B$83*'Вводные'!$Q$88,0)</x:f>
      </x:c>
      <x:c r="DR14" s="117" t="n">
        <x:f>IF(DR11&gt;0,'Вводные'!$B$83*'Вводные'!$Q$88,0)</x:f>
      </x:c>
      <x:c r="DS14" s="117" t="n">
        <x:f>IF(DS11&gt;0,'Вводные'!$B$83*'Вводные'!$Q$88,0)</x:f>
      </x:c>
      <x:c r="DT14" s="117" t="n">
        <x:f>IF(DT11&gt;0,'Вводные'!$B$83*'Вводные'!$Q$88,0)</x:f>
      </x:c>
      <x:c r="DU14" s="117" t="n">
        <x:f>IF(DU11&gt;0,'Вводные'!$B$83*'Вводные'!$Q$88,0)</x:f>
      </x:c>
      <x:c r="DV14" s="117" t="n">
        <x:f>IF(DV11&gt;0,'Вводные'!$B$83*'Вводные'!$Q$88,0)</x:f>
      </x:c>
      <x:c r="DW14" s="117" t="n">
        <x:f>IF(DW11&gt;0,'Вводные'!$B$83*'Вводные'!$Q$88,0)</x:f>
      </x:c>
      <x:c r="DX14" s="117" t="n">
        <x:f>IF(DX11&gt;0,'Вводные'!$B$83*'Вводные'!$Q$88,0)</x:f>
      </x:c>
      <x:c r="DY14" s="117" t="n">
        <x:f>IF(DY11&gt;0,'Вводные'!$B$83*'Вводные'!$Q$88,0)</x:f>
      </x:c>
      <x:c r="DZ14" s="117" t="n">
        <x:f>IF(DZ11&gt;0,'Вводные'!$B$83*'Вводные'!$Q$88,0)</x:f>
      </x:c>
      <x:c r="EA14" s="117" t="n">
        <x:f>IF(EA11&gt;0,'Вводные'!$B$83*'Вводные'!$Q$88,0)</x:f>
      </x:c>
      <x:c r="EB14" s="117" t="n">
        <x:f>IF(EB11&gt;0,'Вводные'!$B$83*'Вводные'!$Q$88,0)</x:f>
      </x:c>
      <x:c r="EC14" s="117" t="n">
        <x:f>IF(EC11&gt;0,'Вводные'!$B$83*'Вводные'!$Q$88,0)</x:f>
      </x:c>
      <x:c r="ED14" s="117" t="n">
        <x:f>IF(ED11&gt;0,'Вводные'!$B$83*'Вводные'!$Q$88,0)</x:f>
      </x:c>
      <x:c r="EE14" s="117" t="n">
        <x:f>IF(EE11&gt;0,'Вводные'!$B$83*'Вводные'!$Q$88,0)</x:f>
      </x:c>
      <x:c r="EF14" s="117" t="n">
        <x:f>IF(EF11&gt;0,'Вводные'!$B$83*'Вводные'!$Q$88,0)</x:f>
      </x:c>
      <x:c r="EG14" s="117" t="n">
        <x:f>IF(EG11&gt;0,'Вводные'!$B$83*'Вводные'!$Q$88,0)</x:f>
      </x:c>
      <x:c r="EH14" s="117" t="n">
        <x:f>IF(EH11&gt;0,'Вводные'!$B$83*'Вводные'!$Q$88,0)</x:f>
      </x:c>
      <x:c r="EI14" s="117" t="n">
        <x:f>IF(EI11&gt;0,'Вводные'!$B$83*'Вводные'!$Q$88,0)</x:f>
      </x:c>
      <x:c r="EJ14" s="117" t="n">
        <x:f>IF(EJ11&gt;0,'Вводные'!$B$83*'Вводные'!$Q$88,0)</x:f>
      </x:c>
      <x:c r="EK14" s="117" t="n">
        <x:f>IF(EK11&gt;0,'Вводные'!$B$83*'Вводные'!$Q$88,0)</x:f>
      </x:c>
      <x:c r="EL14" s="117" t="n">
        <x:f>IF(EL11&gt;0,'Вводные'!$B$83*'Вводные'!$Q$88,0)</x:f>
      </x:c>
      <x:c r="EM14" s="117" t="n">
        <x:f>IF(EM11&gt;0,'Вводные'!$B$83*'Вводные'!$Q$88,0)</x:f>
      </x:c>
      <x:c r="EN14" s="117" t="n">
        <x:f>IF(EN11&gt;0,'Вводные'!$B$83*'Вводные'!$Q$88,0)</x:f>
      </x:c>
      <x:c r="EO14" s="117" t="n">
        <x:f>IF(EO11&gt;0,'Вводные'!$B$83*'Вводные'!$Q$88,0)</x:f>
      </x:c>
      <x:c r="EP14" s="117" t="n">
        <x:f>IF(EP11&gt;0,'Вводные'!$B$83*'Вводные'!$Q$88,0)</x:f>
      </x:c>
      <x:c r="EQ14" s="117" t="n">
        <x:f>IF(EQ11&gt;0,'Вводные'!$B$83*'Вводные'!$Q$88,0)</x:f>
      </x:c>
      <x:c r="ER14" s="117" t="n">
        <x:f>IF(ER11&gt;0,'Вводные'!$B$83*'Вводные'!$Q$88,0)</x:f>
      </x:c>
      <x:c r="ES14" s="117" t="n">
        <x:f>IF(ES11&gt;0,'Вводные'!$B$83*'Вводные'!$Q$88,0)</x:f>
      </x:c>
      <x:c r="ET14" s="117" t="n">
        <x:f>IF(ET11&gt;0,'Вводные'!$B$83*'Вводные'!$Q$88,0)</x:f>
      </x:c>
      <x:c r="EU14" s="117" t="n">
        <x:f>IF(EU11&gt;0,'Вводные'!$B$83*'Вводные'!$Q$88,0)</x:f>
      </x:c>
      <x:c r="EV14" s="117" t="n">
        <x:f>IF(EV11&gt;0,'Вводные'!$B$83*'Вводные'!$Q$88,0)</x:f>
      </x:c>
      <x:c r="EW14" s="117" t="n">
        <x:f>IF(EW11&gt;0,'Вводные'!$B$83*'Вводные'!$Q$88,0)</x:f>
      </x:c>
      <x:c r="EX14" s="117" t="n">
        <x:f>IF(EX11&gt;0,'Вводные'!$B$83*'Вводные'!$Q$88,0)</x:f>
      </x:c>
      <x:c r="EY14" s="117" t="n">
        <x:f>IF(EY11&gt;0,'Вводные'!$B$83*'Вводные'!$Q$88,0)</x:f>
      </x:c>
      <x:c r="EZ14" s="117" t="n">
        <x:f>IF(EZ11&gt;0,'Вводные'!$B$83*'Вводные'!$Q$88,0)</x:f>
      </x:c>
      <x:c r="FA14" s="117" t="n">
        <x:f>IF(FA11&gt;0,'Вводные'!$B$83*'Вводные'!$Q$88,0)</x:f>
      </x:c>
      <x:c r="FB14" s="117" t="n">
        <x:f>IF(FB11&gt;0,'Вводные'!$B$83*'Вводные'!$Q$88,0)</x:f>
      </x:c>
      <x:c r="FC14" s="117" t="n">
        <x:f>IF(FC11&gt;0,'Вводные'!$B$83*'Вводные'!$Q$88,0)</x:f>
      </x:c>
      <x:c r="FD14" s="117" t="n">
        <x:f>IF(FD11&gt;0,'Вводные'!$B$83*'Вводные'!$Q$88,0)</x:f>
      </x:c>
      <x:c r="FE14" s="117" t="n">
        <x:f>IF(FE11&gt;0,'Вводные'!$B$83*'Вводные'!$Q$88,0)</x:f>
      </x:c>
      <x:c r="FF14" s="117" t="n">
        <x:f>IF(FF11&gt;0,'Вводные'!$B$83*'Вводные'!$Q$88,0)</x:f>
      </x:c>
      <x:c r="FG14" s="117" t="n">
        <x:f>IF(FG11&gt;0,'Вводные'!$B$83*'Вводные'!$Q$88,0)</x:f>
      </x:c>
      <x:c r="FH14" s="117" t="n">
        <x:f>IF(FH11&gt;0,'Вводные'!$B$83*'Вводные'!$Q$88,0)</x:f>
      </x:c>
      <x:c r="FI14" s="117" t="n">
        <x:f>IF(FI11&gt;0,'Вводные'!$B$83*'Вводные'!$Q$88,0)</x:f>
      </x:c>
      <x:c r="FJ14" s="117" t="n">
        <x:f>IF(FJ11&gt;0,'Вводные'!$B$83*'Вводные'!$Q$88,0)</x:f>
      </x:c>
      <x:c r="FK14" s="117" t="n">
        <x:f>IF(FK11&gt;0,'Вводные'!$B$83*'Вводные'!$Q$88,0)</x:f>
      </x:c>
      <x:c r="FL14" s="117" t="n">
        <x:f>IF(FL11&gt;0,'Вводные'!$B$83*'Вводные'!$Q$88,0)</x:f>
      </x:c>
      <x:c r="FM14" s="117" t="n">
        <x:f>IF(FM11&gt;0,'Вводные'!$B$83*'Вводные'!$Q$88,0)</x:f>
      </x:c>
      <x:c r="FN14" s="117" t="n">
        <x:f>IF(FN11&gt;0,'Вводные'!$B$83*'Вводные'!$Q$88,0)</x:f>
      </x:c>
      <x:c r="FO14" s="117" t="n">
        <x:f>IF(FO11&gt;0,'Вводные'!$B$83*'Вводные'!$Q$88,0)</x:f>
      </x:c>
      <x:c r="FP14" s="117" t="n">
        <x:f>IF(FP11&gt;0,'Вводные'!$B$83*'Вводные'!$Q$88,0)</x:f>
      </x:c>
      <x:c r="FQ14" s="117" t="n">
        <x:f>IF(FQ11&gt;0,'Вводные'!$B$83*'Вводные'!$Q$88,0)</x:f>
      </x:c>
      <x:c r="FR14" s="117" t="n">
        <x:f>IF(FR11&gt;0,'Вводные'!$B$83*'Вводные'!$Q$88,0)</x:f>
      </x:c>
      <x:c r="FS14" s="117" t="n">
        <x:f>IF(FS11&gt;0,'Вводные'!$B$83*'Вводные'!$Q$88,0)</x:f>
      </x:c>
      <x:c r="FT14" s="117" t="n">
        <x:f>IF(FT11&gt;0,'Вводные'!$B$83*'Вводные'!$Q$88,0)</x:f>
      </x:c>
      <x:c r="FU14" s="117" t="n">
        <x:f>IF(FU11&gt;0,'Вводные'!$B$83*'Вводные'!$Q$88,0)</x:f>
      </x:c>
      <x:c r="FV14" s="117" t="n">
        <x:f>IF(FV11&gt;0,'Вводные'!$B$83*'Вводные'!$Q$88,0)</x:f>
      </x:c>
      <x:c r="FW14" s="117" t="n">
        <x:f>IF(FW11&gt;0,'Вводные'!$B$83*'Вводные'!$Q$88,0)</x:f>
      </x:c>
      <x:c r="FX14" s="117" t="n">
        <x:f>IF(FX11&gt;0,'Вводные'!$B$83*'Вводные'!$Q$88,0)</x:f>
      </x:c>
      <x:c r="FY14" s="117" t="n">
        <x:f>IF(FY11&gt;0,'Вводные'!$B$83*'Вводные'!$Q$88,0)</x:f>
      </x:c>
      <x:c r="FZ14" s="117" t="n">
        <x:f>IF(FZ11&gt;0,'Вводные'!$B$83*'Вводные'!$Q$88,0)</x:f>
      </x:c>
      <x:c r="GA14" s="117" t="n">
        <x:f>IF(GA11&gt;0,'Вводные'!$B$83*'Вводные'!$Q$88,0)</x:f>
      </x:c>
    </x:row>
    <x:row r="15">
      <x:c r="A15" s="113" t="str">
        <x:v>ДЕНЕЖНЫЙ ПЛАТЁЖ ПО ВРИ</x:v>
      </x:c>
      <x:c r="B15" s="113" t="n">
        <x:f>SUM(D15:GA15)</x:f>
      </x:c>
      <x:c r="C15" s="113" t="str">
        <x:v>млн ₽</x:v>
      </x:c>
      <x:c r="D15" s="120" t="n">
        <x:f>SUM(D12:D14)</x:f>
      </x:c>
      <x:c r="E15" s="120" t="n">
        <x:f>SUM(E12:E14)</x:f>
      </x:c>
      <x:c r="F15" s="120" t="n">
        <x:f>SUM(F12:F14)</x:f>
      </x:c>
      <x:c r="G15" s="120" t="n">
        <x:f>SUM(G12:G14)</x:f>
      </x:c>
      <x:c r="H15" s="120" t="n">
        <x:f>SUM(H12:H14)</x:f>
      </x:c>
      <x:c r="I15" s="120" t="n">
        <x:f>SUM(I12:I14)</x:f>
      </x:c>
      <x:c r="J15" s="120" t="n">
        <x:f>SUM(J12:J14)</x:f>
      </x:c>
      <x:c r="K15" s="120" t="n">
        <x:f>SUM(K12:K14)</x:f>
      </x:c>
      <x:c r="L15" s="120" t="n">
        <x:f>SUM(L12:L14)</x:f>
      </x:c>
      <x:c r="M15" s="120" t="n">
        <x:f>SUM(M12:M14)</x:f>
      </x:c>
      <x:c r="N15" s="120" t="n">
        <x:f>SUM(N12:N14)</x:f>
      </x:c>
      <x:c r="O15" s="120" t="n">
        <x:f>SUM(O12:O14)</x:f>
      </x:c>
      <x:c r="P15" s="120" t="n">
        <x:f>SUM(P12:P14)</x:f>
      </x:c>
      <x:c r="Q15" s="120" t="n">
        <x:f>SUM(Q12:Q14)</x:f>
      </x:c>
      <x:c r="R15" s="120" t="n">
        <x:f>SUM(R12:R14)</x:f>
      </x:c>
      <x:c r="S15" s="120" t="n">
        <x:f>SUM(S12:S14)</x:f>
      </x:c>
      <x:c r="T15" s="120" t="n">
        <x:f>SUM(T12:T14)</x:f>
      </x:c>
      <x:c r="U15" s="120" t="n">
        <x:f>SUM(U12:U14)</x:f>
      </x:c>
      <x:c r="V15" s="120" t="n">
        <x:f>SUM(V12:V14)</x:f>
      </x:c>
      <x:c r="W15" s="120" t="n">
        <x:f>SUM(W12:W14)</x:f>
      </x:c>
      <x:c r="X15" s="120" t="n">
        <x:f>SUM(X12:X14)</x:f>
      </x:c>
      <x:c r="Y15" s="120" t="n">
        <x:f>SUM(Y12:Y14)</x:f>
      </x:c>
      <x:c r="Z15" s="120" t="n">
        <x:f>SUM(Z12:Z14)</x:f>
      </x:c>
      <x:c r="AA15" s="120" t="n">
        <x:f>SUM(AA12:AA14)</x:f>
      </x:c>
      <x:c r="AB15" s="120" t="n">
        <x:f>SUM(AB12:AB14)</x:f>
      </x:c>
      <x:c r="AC15" s="120" t="n">
        <x:f>SUM(AC12:AC14)</x:f>
      </x:c>
      <x:c r="AD15" s="120" t="n">
        <x:f>SUM(AD12:AD14)</x:f>
      </x:c>
      <x:c r="AE15" s="120" t="n">
        <x:f>SUM(AE12:AE14)</x:f>
      </x:c>
      <x:c r="AF15" s="120" t="n">
        <x:f>SUM(AF12:AF14)</x:f>
      </x:c>
      <x:c r="AG15" s="120" t="n">
        <x:f>SUM(AG12:AG14)</x:f>
      </x:c>
      <x:c r="AH15" s="120" t="n">
        <x:f>SUM(AH12:AH14)</x:f>
      </x:c>
      <x:c r="AI15" s="120" t="n">
        <x:f>SUM(AI12:AI14)</x:f>
      </x:c>
      <x:c r="AJ15" s="120" t="n">
        <x:f>SUM(AJ12:AJ14)</x:f>
      </x:c>
      <x:c r="AK15" s="120" t="n">
        <x:f>SUM(AK12:AK14)</x:f>
      </x:c>
      <x:c r="AL15" s="120" t="n">
        <x:f>SUM(AL12:AL14)</x:f>
      </x:c>
      <x:c r="AM15" s="120" t="n">
        <x:f>SUM(AM12:AM14)</x:f>
      </x:c>
      <x:c r="AN15" s="120" t="n">
        <x:f>SUM(AN12:AN14)</x:f>
      </x:c>
      <x:c r="AO15" s="120" t="n">
        <x:f>SUM(AO12:AO14)</x:f>
      </x:c>
      <x:c r="AP15" s="120" t="n">
        <x:f>SUM(AP12:AP14)</x:f>
      </x:c>
      <x:c r="AQ15" s="120" t="n">
        <x:f>SUM(AQ12:AQ14)</x:f>
      </x:c>
      <x:c r="AR15" s="120" t="n">
        <x:f>SUM(AR12:AR14)</x:f>
      </x:c>
      <x:c r="AS15" s="120" t="n">
        <x:f>SUM(AS12:AS14)</x:f>
      </x:c>
      <x:c r="AT15" s="120" t="n">
        <x:f>SUM(AT12:AT14)</x:f>
      </x:c>
      <x:c r="AU15" s="120" t="n">
        <x:f>SUM(AU12:AU14)</x:f>
      </x:c>
      <x:c r="AV15" s="120" t="n">
        <x:f>SUM(AV12:AV14)</x:f>
      </x:c>
      <x:c r="AW15" s="120" t="n">
        <x:f>SUM(AW12:AW14)</x:f>
      </x:c>
      <x:c r="AX15" s="120" t="n">
        <x:f>SUM(AX12:AX14)</x:f>
      </x:c>
      <x:c r="AY15" s="120" t="n">
        <x:f>SUM(AY12:AY14)</x:f>
      </x:c>
      <x:c r="AZ15" s="120" t="n">
        <x:f>SUM(AZ12:AZ14)</x:f>
      </x:c>
      <x:c r="BA15" s="120" t="n">
        <x:f>SUM(BA12:BA14)</x:f>
      </x:c>
      <x:c r="BB15" s="120" t="n">
        <x:f>SUM(BB12:BB14)</x:f>
      </x:c>
      <x:c r="BC15" s="120" t="n">
        <x:f>SUM(BC12:BC14)</x:f>
      </x:c>
      <x:c r="BD15" s="120" t="n">
        <x:f>SUM(BD12:BD14)</x:f>
      </x:c>
      <x:c r="BE15" s="120" t="n">
        <x:f>SUM(BE12:BE14)</x:f>
      </x:c>
      <x:c r="BF15" s="120" t="n">
        <x:f>SUM(BF12:BF14)</x:f>
      </x:c>
      <x:c r="BG15" s="120" t="n">
        <x:f>SUM(BG12:BG14)</x:f>
      </x:c>
      <x:c r="BH15" s="120" t="n">
        <x:f>SUM(BH12:BH14)</x:f>
      </x:c>
      <x:c r="BI15" s="120" t="n">
        <x:f>SUM(BI12:BI14)</x:f>
      </x:c>
      <x:c r="BJ15" s="120" t="n">
        <x:f>SUM(BJ12:BJ14)</x:f>
      </x:c>
      <x:c r="BK15" s="120" t="n">
        <x:f>SUM(BK12:BK14)</x:f>
      </x:c>
      <x:c r="BL15" s="120" t="n">
        <x:f>SUM(BL12:BL14)</x:f>
      </x:c>
      <x:c r="BM15" s="120" t="n">
        <x:f>SUM(BM12:BM14)</x:f>
      </x:c>
      <x:c r="BN15" s="120" t="n">
        <x:f>SUM(BN12:BN14)</x:f>
      </x:c>
      <x:c r="BO15" s="120" t="n">
        <x:f>SUM(BO12:BO14)</x:f>
      </x:c>
      <x:c r="BP15" s="120" t="n">
        <x:f>SUM(BP12:BP14)</x:f>
      </x:c>
      <x:c r="BQ15" s="120" t="n">
        <x:f>SUM(BQ12:BQ14)</x:f>
      </x:c>
      <x:c r="BR15" s="120" t="n">
        <x:f>SUM(BR12:BR14)</x:f>
      </x:c>
      <x:c r="BS15" s="120" t="n">
        <x:f>SUM(BS12:BS14)</x:f>
      </x:c>
      <x:c r="BT15" s="120" t="n">
        <x:f>SUM(BT12:BT14)</x:f>
      </x:c>
      <x:c r="BU15" s="120" t="n">
        <x:f>SUM(BU12:BU14)</x:f>
      </x:c>
      <x:c r="BV15" s="120" t="n">
        <x:f>SUM(BV12:BV14)</x:f>
      </x:c>
      <x:c r="BW15" s="120" t="n">
        <x:f>SUM(BW12:BW14)</x:f>
      </x:c>
      <x:c r="BX15" s="120" t="n">
        <x:f>SUM(BX12:BX14)</x:f>
      </x:c>
      <x:c r="BY15" s="120" t="n">
        <x:f>SUM(BY12:BY14)</x:f>
      </x:c>
      <x:c r="BZ15" s="120" t="n">
        <x:f>SUM(BZ12:BZ14)</x:f>
      </x:c>
      <x:c r="CA15" s="120" t="n">
        <x:f>SUM(CA12:CA14)</x:f>
      </x:c>
      <x:c r="CB15" s="120" t="n">
        <x:f>SUM(CB12:CB14)</x:f>
      </x:c>
      <x:c r="CC15" s="120" t="n">
        <x:f>SUM(CC12:CC14)</x:f>
      </x:c>
      <x:c r="CD15" s="120" t="n">
        <x:f>SUM(CD12:CD14)</x:f>
      </x:c>
      <x:c r="CE15" s="120" t="n">
        <x:f>SUM(CE12:CE14)</x:f>
      </x:c>
      <x:c r="CF15" s="120" t="n">
        <x:f>SUM(CF12:CF14)</x:f>
      </x:c>
      <x:c r="CG15" s="120" t="n">
        <x:f>SUM(CG12:CG14)</x:f>
      </x:c>
      <x:c r="CH15" s="120" t="n">
        <x:f>SUM(CH12:CH14)</x:f>
      </x:c>
      <x:c r="CI15" s="120" t="n">
        <x:f>SUM(CI12:CI14)</x:f>
      </x:c>
      <x:c r="CJ15" s="120" t="n">
        <x:f>SUM(CJ12:CJ14)</x:f>
      </x:c>
      <x:c r="CK15" s="120" t="n">
        <x:f>SUM(CK12:CK14)</x:f>
      </x:c>
      <x:c r="CL15" s="120" t="n">
        <x:f>SUM(CL12:CL14)</x:f>
      </x:c>
      <x:c r="CM15" s="120" t="n">
        <x:f>SUM(CM12:CM14)</x:f>
      </x:c>
      <x:c r="CN15" s="120" t="n">
        <x:f>SUM(CN12:CN14)</x:f>
      </x:c>
      <x:c r="CO15" s="120" t="n">
        <x:f>SUM(CO12:CO14)</x:f>
      </x:c>
      <x:c r="CP15" s="120" t="n">
        <x:f>SUM(CP12:CP14)</x:f>
      </x:c>
      <x:c r="CQ15" s="120" t="n">
        <x:f>SUM(CQ12:CQ14)</x:f>
      </x:c>
      <x:c r="CR15" s="120" t="n">
        <x:f>SUM(CR12:CR14)</x:f>
      </x:c>
      <x:c r="CS15" s="120" t="n">
        <x:f>SUM(CS12:CS14)</x:f>
      </x:c>
      <x:c r="CT15" s="120" t="n">
        <x:f>SUM(CT12:CT14)</x:f>
      </x:c>
      <x:c r="CU15" s="120" t="n">
        <x:f>SUM(CU12:CU14)</x:f>
      </x:c>
      <x:c r="CV15" s="120" t="n">
        <x:f>SUM(CV12:CV14)</x:f>
      </x:c>
      <x:c r="CW15" s="120" t="n">
        <x:f>SUM(CW12:CW14)</x:f>
      </x:c>
      <x:c r="CX15" s="120" t="n">
        <x:f>SUM(CX12:CX14)</x:f>
      </x:c>
      <x:c r="CY15" s="120" t="n">
        <x:f>SUM(CY12:CY14)</x:f>
      </x:c>
      <x:c r="CZ15" s="120" t="n">
        <x:f>SUM(CZ12:CZ14)</x:f>
      </x:c>
      <x:c r="DA15" s="120" t="n">
        <x:f>SUM(DA12:DA14)</x:f>
      </x:c>
      <x:c r="DB15" s="120" t="n">
        <x:f>SUM(DB12:DB14)</x:f>
      </x:c>
      <x:c r="DC15" s="120" t="n">
        <x:f>SUM(DC12:DC14)</x:f>
      </x:c>
      <x:c r="DD15" s="120" t="n">
        <x:f>SUM(DD12:DD14)</x:f>
      </x:c>
      <x:c r="DE15" s="120" t="n">
        <x:f>SUM(DE12:DE14)</x:f>
      </x:c>
      <x:c r="DF15" s="120" t="n">
        <x:f>SUM(DF12:DF14)</x:f>
      </x:c>
      <x:c r="DG15" s="120" t="n">
        <x:f>SUM(DG12:DG14)</x:f>
      </x:c>
      <x:c r="DH15" s="120" t="n">
        <x:f>SUM(DH12:DH14)</x:f>
      </x:c>
      <x:c r="DI15" s="120" t="n">
        <x:f>SUM(DI12:DI14)</x:f>
      </x:c>
      <x:c r="DJ15" s="120" t="n">
        <x:f>SUM(DJ12:DJ14)</x:f>
      </x:c>
      <x:c r="DK15" s="120" t="n">
        <x:f>SUM(DK12:DK14)</x:f>
      </x:c>
      <x:c r="DL15" s="120" t="n">
        <x:f>SUM(DL12:DL14)</x:f>
      </x:c>
      <x:c r="DM15" s="120" t="n">
        <x:f>SUM(DM12:DM14)</x:f>
      </x:c>
      <x:c r="DN15" s="120" t="n">
        <x:f>SUM(DN12:DN14)</x:f>
      </x:c>
      <x:c r="DO15" s="120" t="n">
        <x:f>SUM(DO12:DO14)</x:f>
      </x:c>
      <x:c r="DP15" s="120" t="n">
        <x:f>SUM(DP12:DP14)</x:f>
      </x:c>
      <x:c r="DQ15" s="120" t="n">
        <x:f>SUM(DQ12:DQ14)</x:f>
      </x:c>
      <x:c r="DR15" s="120" t="n">
        <x:f>SUM(DR12:DR14)</x:f>
      </x:c>
      <x:c r="DS15" s="120" t="n">
        <x:f>SUM(DS12:DS14)</x:f>
      </x:c>
      <x:c r="DT15" s="120" t="n">
        <x:f>SUM(DT12:DT14)</x:f>
      </x:c>
      <x:c r="DU15" s="120" t="n">
        <x:f>SUM(DU12:DU14)</x:f>
      </x:c>
      <x:c r="DV15" s="120" t="n">
        <x:f>SUM(DV12:DV14)</x:f>
      </x:c>
      <x:c r="DW15" s="120" t="n">
        <x:f>SUM(DW12:DW14)</x:f>
      </x:c>
      <x:c r="DX15" s="120" t="n">
        <x:f>SUM(DX12:DX14)</x:f>
      </x:c>
      <x:c r="DY15" s="120" t="n">
        <x:f>SUM(DY12:DY14)</x:f>
      </x:c>
      <x:c r="DZ15" s="120" t="n">
        <x:f>SUM(DZ12:DZ14)</x:f>
      </x:c>
      <x:c r="EA15" s="120" t="n">
        <x:f>SUM(EA12:EA14)</x:f>
      </x:c>
      <x:c r="EB15" s="120" t="n">
        <x:f>SUM(EB12:EB14)</x:f>
      </x:c>
      <x:c r="EC15" s="120" t="n">
        <x:f>SUM(EC12:EC14)</x:f>
      </x:c>
      <x:c r="ED15" s="120" t="n">
        <x:f>SUM(ED12:ED14)</x:f>
      </x:c>
      <x:c r="EE15" s="120" t="n">
        <x:f>SUM(EE12:EE14)</x:f>
      </x:c>
      <x:c r="EF15" s="120" t="n">
        <x:f>SUM(EF12:EF14)</x:f>
      </x:c>
      <x:c r="EG15" s="120" t="n">
        <x:f>SUM(EG12:EG14)</x:f>
      </x:c>
      <x:c r="EH15" s="120" t="n">
        <x:f>SUM(EH12:EH14)</x:f>
      </x:c>
      <x:c r="EI15" s="120" t="n">
        <x:f>SUM(EI12:EI14)</x:f>
      </x:c>
      <x:c r="EJ15" s="120" t="n">
        <x:f>SUM(EJ12:EJ14)</x:f>
      </x:c>
      <x:c r="EK15" s="120" t="n">
        <x:f>SUM(EK12:EK14)</x:f>
      </x:c>
      <x:c r="EL15" s="120" t="n">
        <x:f>SUM(EL12:EL14)</x:f>
      </x:c>
      <x:c r="EM15" s="120" t="n">
        <x:f>SUM(EM12:EM14)</x:f>
      </x:c>
      <x:c r="EN15" s="120" t="n">
        <x:f>SUM(EN12:EN14)</x:f>
      </x:c>
      <x:c r="EO15" s="120" t="n">
        <x:f>SUM(EO12:EO14)</x:f>
      </x:c>
      <x:c r="EP15" s="120" t="n">
        <x:f>SUM(EP12:EP14)</x:f>
      </x:c>
      <x:c r="EQ15" s="120" t="n">
        <x:f>SUM(EQ12:EQ14)</x:f>
      </x:c>
      <x:c r="ER15" s="120" t="n">
        <x:f>SUM(ER12:ER14)</x:f>
      </x:c>
      <x:c r="ES15" s="120" t="n">
        <x:f>SUM(ES12:ES14)</x:f>
      </x:c>
      <x:c r="ET15" s="120" t="n">
        <x:f>SUM(ET12:ET14)</x:f>
      </x:c>
      <x:c r="EU15" s="120" t="n">
        <x:f>SUM(EU12:EU14)</x:f>
      </x:c>
      <x:c r="EV15" s="120" t="n">
        <x:f>SUM(EV12:EV14)</x:f>
      </x:c>
      <x:c r="EW15" s="120" t="n">
        <x:f>SUM(EW12:EW14)</x:f>
      </x:c>
      <x:c r="EX15" s="120" t="n">
        <x:f>SUM(EX12:EX14)</x:f>
      </x:c>
      <x:c r="EY15" s="120" t="n">
        <x:f>SUM(EY12:EY14)</x:f>
      </x:c>
      <x:c r="EZ15" s="120" t="n">
        <x:f>SUM(EZ12:EZ14)</x:f>
      </x:c>
      <x:c r="FA15" s="120" t="n">
        <x:f>SUM(FA12:FA14)</x:f>
      </x:c>
      <x:c r="FB15" s="120" t="n">
        <x:f>SUM(FB12:FB14)</x:f>
      </x:c>
      <x:c r="FC15" s="120" t="n">
        <x:f>SUM(FC12:FC14)</x:f>
      </x:c>
      <x:c r="FD15" s="120" t="n">
        <x:f>SUM(FD12:FD14)</x:f>
      </x:c>
      <x:c r="FE15" s="120" t="n">
        <x:f>SUM(FE12:FE14)</x:f>
      </x:c>
      <x:c r="FF15" s="120" t="n">
        <x:f>SUM(FF12:FF14)</x:f>
      </x:c>
      <x:c r="FG15" s="120" t="n">
        <x:f>SUM(FG12:FG14)</x:f>
      </x:c>
      <x:c r="FH15" s="120" t="n">
        <x:f>SUM(FH12:FH14)</x:f>
      </x:c>
      <x:c r="FI15" s="120" t="n">
        <x:f>SUM(FI12:FI14)</x:f>
      </x:c>
      <x:c r="FJ15" s="120" t="n">
        <x:f>SUM(FJ12:FJ14)</x:f>
      </x:c>
      <x:c r="FK15" s="120" t="n">
        <x:f>SUM(FK12:FK14)</x:f>
      </x:c>
      <x:c r="FL15" s="120" t="n">
        <x:f>SUM(FL12:FL14)</x:f>
      </x:c>
      <x:c r="FM15" s="120" t="n">
        <x:f>SUM(FM12:FM14)</x:f>
      </x:c>
      <x:c r="FN15" s="120" t="n">
        <x:f>SUM(FN12:FN14)</x:f>
      </x:c>
      <x:c r="FO15" s="120" t="n">
        <x:f>SUM(FO12:FO14)</x:f>
      </x:c>
      <x:c r="FP15" s="120" t="n">
        <x:f>SUM(FP12:FP14)</x:f>
      </x:c>
      <x:c r="FQ15" s="120" t="n">
        <x:f>SUM(FQ12:FQ14)</x:f>
      </x:c>
      <x:c r="FR15" s="120" t="n">
        <x:f>SUM(FR12:FR14)</x:f>
      </x:c>
      <x:c r="FS15" s="120" t="n">
        <x:f>SUM(FS12:FS14)</x:f>
      </x:c>
      <x:c r="FT15" s="120" t="n">
        <x:f>SUM(FT12:FT14)</x:f>
      </x:c>
      <x:c r="FU15" s="120" t="n">
        <x:f>SUM(FU12:FU14)</x:f>
      </x:c>
      <x:c r="FV15" s="120" t="n">
        <x:f>SUM(FV12:FV14)</x:f>
      </x:c>
      <x:c r="FW15" s="120" t="n">
        <x:f>SUM(FW12:FW14)</x:f>
      </x:c>
      <x:c r="FX15" s="120" t="n">
        <x:f>SUM(FX12:FX14)</x:f>
      </x:c>
      <x:c r="FY15" s="120" t="n">
        <x:f>SUM(FY12:FY14)</x:f>
      </x:c>
      <x:c r="FZ15" s="120" t="n">
        <x:f>SUM(FZ12:FZ14)</x:f>
      </x:c>
      <x:c r="GA15" s="120" t="n">
        <x:f>SUM(GA12:GA14)</x:f>
      </x:c>
    </x:row>
    <x:row r="16">
      <x:c r="A16" t="str">
        <x:v>Остаток на конец</x:v>
      </x:c>
      <x:c r="B16" s="107" t="n">
        <x:f>GA16</x:f>
      </x:c>
      <x:c r="C16" t="str">
        <x:v>млн ₽</x:v>
      </x:c>
      <x:c r="D16" s="117" t="n">
        <x:f>MAX(0,D10+D11-D12)</x:f>
      </x:c>
      <x:c r="E16" s="117" t="n">
        <x:f>MAX(0,E10+E11-E12)</x:f>
      </x:c>
      <x:c r="F16" s="117" t="n">
        <x:f>MAX(0,F10+F11-F12)</x:f>
      </x:c>
      <x:c r="G16" s="117" t="n">
        <x:f>MAX(0,G10+G11-G12)</x:f>
      </x:c>
      <x:c r="H16" s="117" t="n">
        <x:f>MAX(0,H10+H11-H12)</x:f>
      </x:c>
      <x:c r="I16" s="117" t="n">
        <x:f>MAX(0,I10+I11-I12)</x:f>
      </x:c>
      <x:c r="J16" s="117" t="n">
        <x:f>MAX(0,J10+J11-J12)</x:f>
      </x:c>
      <x:c r="K16" s="117" t="n">
        <x:f>MAX(0,K10+K11-K12)</x:f>
      </x:c>
      <x:c r="L16" s="117" t="n">
        <x:f>MAX(0,L10+L11-L12)</x:f>
      </x:c>
      <x:c r="M16" s="117" t="n">
        <x:f>MAX(0,M10+M11-M12)</x:f>
      </x:c>
      <x:c r="N16" s="117" t="n">
        <x:f>MAX(0,N10+N11-N12)</x:f>
      </x:c>
      <x:c r="O16" s="117" t="n">
        <x:f>MAX(0,O10+O11-O12)</x:f>
      </x:c>
      <x:c r="P16" s="117" t="n">
        <x:f>MAX(0,P10+P11-P12)</x:f>
      </x:c>
      <x:c r="Q16" s="117" t="n">
        <x:f>MAX(0,Q10+Q11-Q12)</x:f>
      </x:c>
      <x:c r="R16" s="117" t="n">
        <x:f>MAX(0,R10+R11-R12)</x:f>
      </x:c>
      <x:c r="S16" s="117" t="n">
        <x:f>MAX(0,S10+S11-S12)</x:f>
      </x:c>
      <x:c r="T16" s="117" t="n">
        <x:f>MAX(0,T10+T11-T12)</x:f>
      </x:c>
      <x:c r="U16" s="117" t="n">
        <x:f>MAX(0,U10+U11-U12)</x:f>
      </x:c>
      <x:c r="V16" s="117" t="n">
        <x:f>MAX(0,V10+V11-V12)</x:f>
      </x:c>
      <x:c r="W16" s="117" t="n">
        <x:f>MAX(0,W10+W11-W12)</x:f>
      </x:c>
      <x:c r="X16" s="117" t="n">
        <x:f>MAX(0,X10+X11-X12)</x:f>
      </x:c>
      <x:c r="Y16" s="117" t="n">
        <x:f>MAX(0,Y10+Y11-Y12)</x:f>
      </x:c>
      <x:c r="Z16" s="117" t="n">
        <x:f>MAX(0,Z10+Z11-Z12)</x:f>
      </x:c>
      <x:c r="AA16" s="117" t="n">
        <x:f>MAX(0,AA10+AA11-AA12)</x:f>
      </x:c>
      <x:c r="AB16" s="117" t="n">
        <x:f>MAX(0,AB10+AB11-AB12)</x:f>
      </x:c>
      <x:c r="AC16" s="117" t="n">
        <x:f>MAX(0,AC10+AC11-AC12)</x:f>
      </x:c>
      <x:c r="AD16" s="117" t="n">
        <x:f>MAX(0,AD10+AD11-AD12)</x:f>
      </x:c>
      <x:c r="AE16" s="117" t="n">
        <x:f>MAX(0,AE10+AE11-AE12)</x:f>
      </x:c>
      <x:c r="AF16" s="117" t="n">
        <x:f>MAX(0,AF10+AF11-AF12)</x:f>
      </x:c>
      <x:c r="AG16" s="117" t="n">
        <x:f>MAX(0,AG10+AG11-AG12)</x:f>
      </x:c>
      <x:c r="AH16" s="117" t="n">
        <x:f>MAX(0,AH10+AH11-AH12)</x:f>
      </x:c>
      <x:c r="AI16" s="117" t="n">
        <x:f>MAX(0,AI10+AI11-AI12)</x:f>
      </x:c>
      <x:c r="AJ16" s="117" t="n">
        <x:f>MAX(0,AJ10+AJ11-AJ12)</x:f>
      </x:c>
      <x:c r="AK16" s="117" t="n">
        <x:f>MAX(0,AK10+AK11-AK12)</x:f>
      </x:c>
      <x:c r="AL16" s="117" t="n">
        <x:f>MAX(0,AL10+AL11-AL12)</x:f>
      </x:c>
      <x:c r="AM16" s="117" t="n">
        <x:f>MAX(0,AM10+AM11-AM12)</x:f>
      </x:c>
      <x:c r="AN16" s="117" t="n">
        <x:f>MAX(0,AN10+AN11-AN12)</x:f>
      </x:c>
      <x:c r="AO16" s="117" t="n">
        <x:f>MAX(0,AO10+AO11-AO12)</x:f>
      </x:c>
      <x:c r="AP16" s="117" t="n">
        <x:f>MAX(0,AP10+AP11-AP12)</x:f>
      </x:c>
      <x:c r="AQ16" s="117" t="n">
        <x:f>MAX(0,AQ10+AQ11-AQ12)</x:f>
      </x:c>
      <x:c r="AR16" s="117" t="n">
        <x:f>MAX(0,AR10+AR11-AR12)</x:f>
      </x:c>
      <x:c r="AS16" s="117" t="n">
        <x:f>MAX(0,AS10+AS11-AS12)</x:f>
      </x:c>
      <x:c r="AT16" s="117" t="n">
        <x:f>MAX(0,AT10+AT11-AT12)</x:f>
      </x:c>
      <x:c r="AU16" s="117" t="n">
        <x:f>MAX(0,AU10+AU11-AU12)</x:f>
      </x:c>
      <x:c r="AV16" s="117" t="n">
        <x:f>MAX(0,AV10+AV11-AV12)</x:f>
      </x:c>
      <x:c r="AW16" s="117" t="n">
        <x:f>MAX(0,AW10+AW11-AW12)</x:f>
      </x:c>
      <x:c r="AX16" s="117" t="n">
        <x:f>MAX(0,AX10+AX11-AX12)</x:f>
      </x:c>
      <x:c r="AY16" s="117" t="n">
        <x:f>MAX(0,AY10+AY11-AY12)</x:f>
      </x:c>
      <x:c r="AZ16" s="117" t="n">
        <x:f>MAX(0,AZ10+AZ11-AZ12)</x:f>
      </x:c>
      <x:c r="BA16" s="117" t="n">
        <x:f>MAX(0,BA10+BA11-BA12)</x:f>
      </x:c>
      <x:c r="BB16" s="117" t="n">
        <x:f>MAX(0,BB10+BB11-BB12)</x:f>
      </x:c>
      <x:c r="BC16" s="117" t="n">
        <x:f>MAX(0,BC10+BC11-BC12)</x:f>
      </x:c>
      <x:c r="BD16" s="117" t="n">
        <x:f>MAX(0,BD10+BD11-BD12)</x:f>
      </x:c>
      <x:c r="BE16" s="117" t="n">
        <x:f>MAX(0,BE10+BE11-BE12)</x:f>
      </x:c>
      <x:c r="BF16" s="117" t="n">
        <x:f>MAX(0,BF10+BF11-BF12)</x:f>
      </x:c>
      <x:c r="BG16" s="117" t="n">
        <x:f>MAX(0,BG10+BG11-BG12)</x:f>
      </x:c>
      <x:c r="BH16" s="117" t="n">
        <x:f>MAX(0,BH10+BH11-BH12)</x:f>
      </x:c>
      <x:c r="BI16" s="117" t="n">
        <x:f>MAX(0,BI10+BI11-BI12)</x:f>
      </x:c>
      <x:c r="BJ16" s="117" t="n">
        <x:f>MAX(0,BJ10+BJ11-BJ12)</x:f>
      </x:c>
      <x:c r="BK16" s="117" t="n">
        <x:f>MAX(0,BK10+BK11-BK12)</x:f>
      </x:c>
      <x:c r="BL16" s="117" t="n">
        <x:f>MAX(0,BL10+BL11-BL12)</x:f>
      </x:c>
      <x:c r="BM16" s="117" t="n">
        <x:f>MAX(0,BM10+BM11-BM12)</x:f>
      </x:c>
      <x:c r="BN16" s="117" t="n">
        <x:f>MAX(0,BN10+BN11-BN12)</x:f>
      </x:c>
      <x:c r="BO16" s="117" t="n">
        <x:f>MAX(0,BO10+BO11-BO12)</x:f>
      </x:c>
      <x:c r="BP16" s="117" t="n">
        <x:f>MAX(0,BP10+BP11-BP12)</x:f>
      </x:c>
      <x:c r="BQ16" s="117" t="n">
        <x:f>MAX(0,BQ10+BQ11-BQ12)</x:f>
      </x:c>
      <x:c r="BR16" s="117" t="n">
        <x:f>MAX(0,BR10+BR11-BR12)</x:f>
      </x:c>
      <x:c r="BS16" s="117" t="n">
        <x:f>MAX(0,BS10+BS11-BS12)</x:f>
      </x:c>
      <x:c r="BT16" s="117" t="n">
        <x:f>MAX(0,BT10+BT11-BT12)</x:f>
      </x:c>
      <x:c r="BU16" s="117" t="n">
        <x:f>MAX(0,BU10+BU11-BU12)</x:f>
      </x:c>
      <x:c r="BV16" s="117" t="n">
        <x:f>MAX(0,BV10+BV11-BV12)</x:f>
      </x:c>
      <x:c r="BW16" s="117" t="n">
        <x:f>MAX(0,BW10+BW11-BW12)</x:f>
      </x:c>
      <x:c r="BX16" s="117" t="n">
        <x:f>MAX(0,BX10+BX11-BX12)</x:f>
      </x:c>
      <x:c r="BY16" s="117" t="n">
        <x:f>MAX(0,BY10+BY11-BY12)</x:f>
      </x:c>
      <x:c r="BZ16" s="117" t="n">
        <x:f>MAX(0,BZ10+BZ11-BZ12)</x:f>
      </x:c>
      <x:c r="CA16" s="117" t="n">
        <x:f>MAX(0,CA10+CA11-CA12)</x:f>
      </x:c>
      <x:c r="CB16" s="117" t="n">
        <x:f>MAX(0,CB10+CB11-CB12)</x:f>
      </x:c>
      <x:c r="CC16" s="117" t="n">
        <x:f>MAX(0,CC10+CC11-CC12)</x:f>
      </x:c>
      <x:c r="CD16" s="117" t="n">
        <x:f>MAX(0,CD10+CD11-CD12)</x:f>
      </x:c>
      <x:c r="CE16" s="117" t="n">
        <x:f>MAX(0,CE10+CE11-CE12)</x:f>
      </x:c>
      <x:c r="CF16" s="117" t="n">
        <x:f>MAX(0,CF10+CF11-CF12)</x:f>
      </x:c>
      <x:c r="CG16" s="117" t="n">
        <x:f>MAX(0,CG10+CG11-CG12)</x:f>
      </x:c>
      <x:c r="CH16" s="117" t="n">
        <x:f>MAX(0,CH10+CH11-CH12)</x:f>
      </x:c>
      <x:c r="CI16" s="117" t="n">
        <x:f>MAX(0,CI10+CI11-CI12)</x:f>
      </x:c>
      <x:c r="CJ16" s="117" t="n">
        <x:f>MAX(0,CJ10+CJ11-CJ12)</x:f>
      </x:c>
      <x:c r="CK16" s="117" t="n">
        <x:f>MAX(0,CK10+CK11-CK12)</x:f>
      </x:c>
      <x:c r="CL16" s="117" t="n">
        <x:f>MAX(0,CL10+CL11-CL12)</x:f>
      </x:c>
      <x:c r="CM16" s="117" t="n">
        <x:f>MAX(0,CM10+CM11-CM12)</x:f>
      </x:c>
      <x:c r="CN16" s="117" t="n">
        <x:f>MAX(0,CN10+CN11-CN12)</x:f>
      </x:c>
      <x:c r="CO16" s="117" t="n">
        <x:f>MAX(0,CO10+CO11-CO12)</x:f>
      </x:c>
      <x:c r="CP16" s="117" t="n">
        <x:f>MAX(0,CP10+CP11-CP12)</x:f>
      </x:c>
      <x:c r="CQ16" s="117" t="n">
        <x:f>MAX(0,CQ10+CQ11-CQ12)</x:f>
      </x:c>
      <x:c r="CR16" s="117" t="n">
        <x:f>MAX(0,CR10+CR11-CR12)</x:f>
      </x:c>
      <x:c r="CS16" s="117" t="n">
        <x:f>MAX(0,CS10+CS11-CS12)</x:f>
      </x:c>
      <x:c r="CT16" s="117" t="n">
        <x:f>MAX(0,CT10+CT11-CT12)</x:f>
      </x:c>
      <x:c r="CU16" s="117" t="n">
        <x:f>MAX(0,CU10+CU11-CU12)</x:f>
      </x:c>
      <x:c r="CV16" s="117" t="n">
        <x:f>MAX(0,CV10+CV11-CV12)</x:f>
      </x:c>
      <x:c r="CW16" s="117" t="n">
        <x:f>MAX(0,CW10+CW11-CW12)</x:f>
      </x:c>
      <x:c r="CX16" s="117" t="n">
        <x:f>MAX(0,CX10+CX11-CX12)</x:f>
      </x:c>
      <x:c r="CY16" s="117" t="n">
        <x:f>MAX(0,CY10+CY11-CY12)</x:f>
      </x:c>
      <x:c r="CZ16" s="117" t="n">
        <x:f>MAX(0,CZ10+CZ11-CZ12)</x:f>
      </x:c>
      <x:c r="DA16" s="117" t="n">
        <x:f>MAX(0,DA10+DA11-DA12)</x:f>
      </x:c>
      <x:c r="DB16" s="117" t="n">
        <x:f>MAX(0,DB10+DB11-DB12)</x:f>
      </x:c>
      <x:c r="DC16" s="117" t="n">
        <x:f>MAX(0,DC10+DC11-DC12)</x:f>
      </x:c>
      <x:c r="DD16" s="117" t="n">
        <x:f>MAX(0,DD10+DD11-DD12)</x:f>
      </x:c>
      <x:c r="DE16" s="117" t="n">
        <x:f>MAX(0,DE10+DE11-DE12)</x:f>
      </x:c>
      <x:c r="DF16" s="117" t="n">
        <x:f>MAX(0,DF10+DF11-DF12)</x:f>
      </x:c>
      <x:c r="DG16" s="117" t="n">
        <x:f>MAX(0,DG10+DG11-DG12)</x:f>
      </x:c>
      <x:c r="DH16" s="117" t="n">
        <x:f>MAX(0,DH10+DH11-DH12)</x:f>
      </x:c>
      <x:c r="DI16" s="117" t="n">
        <x:f>MAX(0,DI10+DI11-DI12)</x:f>
      </x:c>
      <x:c r="DJ16" s="117" t="n">
        <x:f>MAX(0,DJ10+DJ11-DJ12)</x:f>
      </x:c>
      <x:c r="DK16" s="117" t="n">
        <x:f>MAX(0,DK10+DK11-DK12)</x:f>
      </x:c>
      <x:c r="DL16" s="117" t="n">
        <x:f>MAX(0,DL10+DL11-DL12)</x:f>
      </x:c>
      <x:c r="DM16" s="117" t="n">
        <x:f>MAX(0,DM10+DM11-DM12)</x:f>
      </x:c>
      <x:c r="DN16" s="117" t="n">
        <x:f>MAX(0,DN10+DN11-DN12)</x:f>
      </x:c>
      <x:c r="DO16" s="117" t="n">
        <x:f>MAX(0,DO10+DO11-DO12)</x:f>
      </x:c>
      <x:c r="DP16" s="117" t="n">
        <x:f>MAX(0,DP10+DP11-DP12)</x:f>
      </x:c>
      <x:c r="DQ16" s="117" t="n">
        <x:f>MAX(0,DQ10+DQ11-DQ12)</x:f>
      </x:c>
      <x:c r="DR16" s="117" t="n">
        <x:f>MAX(0,DR10+DR11-DR12)</x:f>
      </x:c>
      <x:c r="DS16" s="117" t="n">
        <x:f>MAX(0,DS10+DS11-DS12)</x:f>
      </x:c>
      <x:c r="DT16" s="117" t="n">
        <x:f>MAX(0,DT10+DT11-DT12)</x:f>
      </x:c>
      <x:c r="DU16" s="117" t="n">
        <x:f>MAX(0,DU10+DU11-DU12)</x:f>
      </x:c>
      <x:c r="DV16" s="117" t="n">
        <x:f>MAX(0,DV10+DV11-DV12)</x:f>
      </x:c>
      <x:c r="DW16" s="117" t="n">
        <x:f>MAX(0,DW10+DW11-DW12)</x:f>
      </x:c>
      <x:c r="DX16" s="117" t="n">
        <x:f>MAX(0,DX10+DX11-DX12)</x:f>
      </x:c>
      <x:c r="DY16" s="117" t="n">
        <x:f>MAX(0,DY10+DY11-DY12)</x:f>
      </x:c>
      <x:c r="DZ16" s="117" t="n">
        <x:f>MAX(0,DZ10+DZ11-DZ12)</x:f>
      </x:c>
      <x:c r="EA16" s="117" t="n">
        <x:f>MAX(0,EA10+EA11-EA12)</x:f>
      </x:c>
      <x:c r="EB16" s="117" t="n">
        <x:f>MAX(0,EB10+EB11-EB12)</x:f>
      </x:c>
      <x:c r="EC16" s="117" t="n">
        <x:f>MAX(0,EC10+EC11-EC12)</x:f>
      </x:c>
      <x:c r="ED16" s="117" t="n">
        <x:f>MAX(0,ED10+ED11-ED12)</x:f>
      </x:c>
      <x:c r="EE16" s="117" t="n">
        <x:f>MAX(0,EE10+EE11-EE12)</x:f>
      </x:c>
      <x:c r="EF16" s="117" t="n">
        <x:f>MAX(0,EF10+EF11-EF12)</x:f>
      </x:c>
      <x:c r="EG16" s="117" t="n">
        <x:f>MAX(0,EG10+EG11-EG12)</x:f>
      </x:c>
      <x:c r="EH16" s="117" t="n">
        <x:f>MAX(0,EH10+EH11-EH12)</x:f>
      </x:c>
      <x:c r="EI16" s="117" t="n">
        <x:f>MAX(0,EI10+EI11-EI12)</x:f>
      </x:c>
      <x:c r="EJ16" s="117" t="n">
        <x:f>MAX(0,EJ10+EJ11-EJ12)</x:f>
      </x:c>
      <x:c r="EK16" s="117" t="n">
        <x:f>MAX(0,EK10+EK11-EK12)</x:f>
      </x:c>
      <x:c r="EL16" s="117" t="n">
        <x:f>MAX(0,EL10+EL11-EL12)</x:f>
      </x:c>
      <x:c r="EM16" s="117" t="n">
        <x:f>MAX(0,EM10+EM11-EM12)</x:f>
      </x:c>
      <x:c r="EN16" s="117" t="n">
        <x:f>MAX(0,EN10+EN11-EN12)</x:f>
      </x:c>
      <x:c r="EO16" s="117" t="n">
        <x:f>MAX(0,EO10+EO11-EO12)</x:f>
      </x:c>
      <x:c r="EP16" s="117" t="n">
        <x:f>MAX(0,EP10+EP11-EP12)</x:f>
      </x:c>
      <x:c r="EQ16" s="117" t="n">
        <x:f>MAX(0,EQ10+EQ11-EQ12)</x:f>
      </x:c>
      <x:c r="ER16" s="117" t="n">
        <x:f>MAX(0,ER10+ER11-ER12)</x:f>
      </x:c>
      <x:c r="ES16" s="117" t="n">
        <x:f>MAX(0,ES10+ES11-ES12)</x:f>
      </x:c>
      <x:c r="ET16" s="117" t="n">
        <x:f>MAX(0,ET10+ET11-ET12)</x:f>
      </x:c>
      <x:c r="EU16" s="117" t="n">
        <x:f>MAX(0,EU10+EU11-EU12)</x:f>
      </x:c>
      <x:c r="EV16" s="117" t="n">
        <x:f>MAX(0,EV10+EV11-EV12)</x:f>
      </x:c>
      <x:c r="EW16" s="117" t="n">
        <x:f>MAX(0,EW10+EW11-EW12)</x:f>
      </x:c>
      <x:c r="EX16" s="117" t="n">
        <x:f>MAX(0,EX10+EX11-EX12)</x:f>
      </x:c>
      <x:c r="EY16" s="117" t="n">
        <x:f>MAX(0,EY10+EY11-EY12)</x:f>
      </x:c>
      <x:c r="EZ16" s="117" t="n">
        <x:f>MAX(0,EZ10+EZ11-EZ12)</x:f>
      </x:c>
      <x:c r="FA16" s="117" t="n">
        <x:f>MAX(0,FA10+FA11-FA12)</x:f>
      </x:c>
      <x:c r="FB16" s="117" t="n">
        <x:f>MAX(0,FB10+FB11-FB12)</x:f>
      </x:c>
      <x:c r="FC16" s="117" t="n">
        <x:f>MAX(0,FC10+FC11-FC12)</x:f>
      </x:c>
      <x:c r="FD16" s="117" t="n">
        <x:f>MAX(0,FD10+FD11-FD12)</x:f>
      </x:c>
      <x:c r="FE16" s="117" t="n">
        <x:f>MAX(0,FE10+FE11-FE12)</x:f>
      </x:c>
      <x:c r="FF16" s="117" t="n">
        <x:f>MAX(0,FF10+FF11-FF12)</x:f>
      </x:c>
      <x:c r="FG16" s="117" t="n">
        <x:f>MAX(0,FG10+FG11-FG12)</x:f>
      </x:c>
      <x:c r="FH16" s="117" t="n">
        <x:f>MAX(0,FH10+FH11-FH12)</x:f>
      </x:c>
      <x:c r="FI16" s="117" t="n">
        <x:f>MAX(0,FI10+FI11-FI12)</x:f>
      </x:c>
      <x:c r="FJ16" s="117" t="n">
        <x:f>MAX(0,FJ10+FJ11-FJ12)</x:f>
      </x:c>
      <x:c r="FK16" s="117" t="n">
        <x:f>MAX(0,FK10+FK11-FK12)</x:f>
      </x:c>
      <x:c r="FL16" s="117" t="n">
        <x:f>MAX(0,FL10+FL11-FL12)</x:f>
      </x:c>
      <x:c r="FM16" s="117" t="n">
        <x:f>MAX(0,FM10+FM11-FM12)</x:f>
      </x:c>
      <x:c r="FN16" s="117" t="n">
        <x:f>MAX(0,FN10+FN11-FN12)</x:f>
      </x:c>
      <x:c r="FO16" s="117" t="n">
        <x:f>MAX(0,FO10+FO11-FO12)</x:f>
      </x:c>
      <x:c r="FP16" s="117" t="n">
        <x:f>MAX(0,FP10+FP11-FP12)</x:f>
      </x:c>
      <x:c r="FQ16" s="117" t="n">
        <x:f>MAX(0,FQ10+FQ11-FQ12)</x:f>
      </x:c>
      <x:c r="FR16" s="117" t="n">
        <x:f>MAX(0,FR10+FR11-FR12)</x:f>
      </x:c>
      <x:c r="FS16" s="117" t="n">
        <x:f>MAX(0,FS10+FS11-FS12)</x:f>
      </x:c>
      <x:c r="FT16" s="117" t="n">
        <x:f>MAX(0,FT10+FT11-FT12)</x:f>
      </x:c>
      <x:c r="FU16" s="117" t="n">
        <x:f>MAX(0,FU10+FU11-FU12)</x:f>
      </x:c>
      <x:c r="FV16" s="117" t="n">
        <x:f>MAX(0,FV10+FV11-FV12)</x:f>
      </x:c>
      <x:c r="FW16" s="117" t="n">
        <x:f>MAX(0,FW10+FW11-FW12)</x:f>
      </x:c>
      <x:c r="FX16" s="117" t="n">
        <x:f>MAX(0,FX10+FX11-FX12)</x:f>
      </x:c>
      <x:c r="FY16" s="117" t="n">
        <x:f>MAX(0,FY10+FY11-FY12)</x:f>
      </x:c>
      <x:c r="FZ16" s="117" t="n">
        <x:f>MAX(0,FZ10+FZ11-FZ12)</x:f>
      </x:c>
      <x:c r="GA16" s="117" t="n">
        <x:f>MAX(0,GA10+GA11-GA12)</x:f>
      </x:c>
    </x:row>
    <x:row r="17">
      <x:c r="A17" t="str">
        <x:v>Ставка по рассрочке</x:v>
      </x:c>
      <x:c r="B17" t="n">
        <x:f>IFERROR(SUMPRODUCT(D17:GA17,--(D10:GA10&gt;0))/COUNTIF(D10:GA10,"&gt;0"),0)</x:f>
      </x:c>
      <x:c r="C17" t="str">
        <x:v>% год</x:v>
      </x:c>
      <x:c r="D17" s="35" t="n">
        <x:f>'Ставки'!D$5+'Вводные'!$B$81</x:f>
      </x:c>
      <x:c r="E17" s="35" t="n">
        <x:f>'Ставки'!E$5+'Вводные'!$B$81</x:f>
      </x:c>
      <x:c r="F17" s="35" t="n">
        <x:f>'Ставки'!F$5+'Вводные'!$B$81</x:f>
      </x:c>
      <x:c r="G17" s="35" t="n">
        <x:f>'Ставки'!G$5+'Вводные'!$B$81</x:f>
      </x:c>
      <x:c r="H17" s="35" t="n">
        <x:f>'Ставки'!H$5+'Вводные'!$B$81</x:f>
      </x:c>
      <x:c r="I17" s="35" t="n">
        <x:f>'Ставки'!I$5+'Вводные'!$B$81</x:f>
      </x:c>
      <x:c r="J17" s="35" t="n">
        <x:f>'Ставки'!J$5+'Вводные'!$B$81</x:f>
      </x:c>
      <x:c r="K17" s="35" t="n">
        <x:f>'Ставки'!K$5+'Вводные'!$B$81</x:f>
      </x:c>
      <x:c r="L17" s="35" t="n">
        <x:f>'Ставки'!L$5+'Вводные'!$B$81</x:f>
      </x:c>
      <x:c r="M17" s="35" t="n">
        <x:f>'Ставки'!M$5+'Вводные'!$B$81</x:f>
      </x:c>
      <x:c r="N17" s="35" t="n">
        <x:f>'Ставки'!N$5+'Вводные'!$B$81</x:f>
      </x:c>
      <x:c r="O17" s="35" t="n">
        <x:f>'Ставки'!O$5+'Вводные'!$B$81</x:f>
      </x:c>
      <x:c r="P17" s="35" t="n">
        <x:f>'Ставки'!P$5+'Вводные'!$B$81</x:f>
      </x:c>
      <x:c r="Q17" s="35" t="n">
        <x:f>'Ставки'!Q$5+'Вводные'!$B$81</x:f>
      </x:c>
      <x:c r="R17" s="35" t="n">
        <x:f>'Ставки'!R$5+'Вводные'!$B$81</x:f>
      </x:c>
      <x:c r="S17" s="35" t="n">
        <x:f>'Ставки'!S$5+'Вводные'!$B$81</x:f>
      </x:c>
      <x:c r="T17" s="35" t="n">
        <x:f>'Ставки'!T$5+'Вводные'!$B$81</x:f>
      </x:c>
      <x:c r="U17" s="35" t="n">
        <x:f>'Ставки'!U$5+'Вводные'!$B$81</x:f>
      </x:c>
      <x:c r="V17" s="35" t="n">
        <x:f>'Ставки'!V$5+'Вводные'!$B$81</x:f>
      </x:c>
      <x:c r="W17" s="35" t="n">
        <x:f>'Ставки'!W$5+'Вводные'!$B$81</x:f>
      </x:c>
      <x:c r="X17" s="35" t="n">
        <x:f>'Ставки'!X$5+'Вводные'!$B$81</x:f>
      </x:c>
      <x:c r="Y17" s="35" t="n">
        <x:f>'Ставки'!Y$5+'Вводные'!$B$81</x:f>
      </x:c>
      <x:c r="Z17" s="35" t="n">
        <x:f>'Ставки'!Z$5+'Вводные'!$B$81</x:f>
      </x:c>
      <x:c r="AA17" s="35" t="n">
        <x:f>'Ставки'!AA$5+'Вводные'!$B$81</x:f>
      </x:c>
      <x:c r="AB17" s="35" t="n">
        <x:f>'Ставки'!AB$5+'Вводные'!$B$81</x:f>
      </x:c>
      <x:c r="AC17" s="35" t="n">
        <x:f>'Ставки'!AC$5+'Вводные'!$B$81</x:f>
      </x:c>
      <x:c r="AD17" s="35" t="n">
        <x:f>'Ставки'!AD$5+'Вводные'!$B$81</x:f>
      </x:c>
      <x:c r="AE17" s="35" t="n">
        <x:f>'Ставки'!AE$5+'Вводные'!$B$81</x:f>
      </x:c>
      <x:c r="AF17" s="35" t="n">
        <x:f>'Ставки'!AF$5+'Вводные'!$B$81</x:f>
      </x:c>
      <x:c r="AG17" s="35" t="n">
        <x:f>'Ставки'!AG$5+'Вводные'!$B$81</x:f>
      </x:c>
      <x:c r="AH17" s="35" t="n">
        <x:f>'Ставки'!AH$5+'Вводные'!$B$81</x:f>
      </x:c>
      <x:c r="AI17" s="35" t="n">
        <x:f>'Ставки'!AI$5+'Вводные'!$B$81</x:f>
      </x:c>
      <x:c r="AJ17" s="35" t="n">
        <x:f>'Ставки'!AJ$5+'Вводные'!$B$81</x:f>
      </x:c>
      <x:c r="AK17" s="35" t="n">
        <x:f>'Ставки'!AK$5+'Вводные'!$B$81</x:f>
      </x:c>
      <x:c r="AL17" s="35" t="n">
        <x:f>'Ставки'!AL$5+'Вводные'!$B$81</x:f>
      </x:c>
      <x:c r="AM17" s="35" t="n">
        <x:f>'Ставки'!AM$5+'Вводные'!$B$81</x:f>
      </x:c>
      <x:c r="AN17" s="35" t="n">
        <x:f>'Ставки'!AN$5+'Вводные'!$B$81</x:f>
      </x:c>
      <x:c r="AO17" s="35" t="n">
        <x:f>'Ставки'!AO$5+'Вводные'!$B$81</x:f>
      </x:c>
      <x:c r="AP17" s="35" t="n">
        <x:f>'Ставки'!AP$5+'Вводные'!$B$81</x:f>
      </x:c>
      <x:c r="AQ17" s="35" t="n">
        <x:f>'Ставки'!AQ$5+'Вводные'!$B$81</x:f>
      </x:c>
      <x:c r="AR17" s="35" t="n">
        <x:f>'Ставки'!AR$5+'Вводные'!$B$81</x:f>
      </x:c>
      <x:c r="AS17" s="35" t="n">
        <x:f>'Ставки'!AS$5+'Вводные'!$B$81</x:f>
      </x:c>
      <x:c r="AT17" s="35" t="n">
        <x:f>'Ставки'!AT$5+'Вводные'!$B$81</x:f>
      </x:c>
      <x:c r="AU17" s="35" t="n">
        <x:f>'Ставки'!AU$5+'Вводные'!$B$81</x:f>
      </x:c>
      <x:c r="AV17" s="35" t="n">
        <x:f>'Ставки'!AV$5+'Вводные'!$B$81</x:f>
      </x:c>
      <x:c r="AW17" s="35" t="n">
        <x:f>'Ставки'!AW$5+'Вводные'!$B$81</x:f>
      </x:c>
      <x:c r="AX17" s="35" t="n">
        <x:f>'Ставки'!AX$5+'Вводные'!$B$81</x:f>
      </x:c>
      <x:c r="AY17" s="35" t="n">
        <x:f>'Ставки'!AY$5+'Вводные'!$B$81</x:f>
      </x:c>
      <x:c r="AZ17" s="35" t="n">
        <x:f>'Ставки'!AZ$5+'Вводные'!$B$81</x:f>
      </x:c>
      <x:c r="BA17" s="35" t="n">
        <x:f>'Ставки'!BA$5+'Вводные'!$B$81</x:f>
      </x:c>
      <x:c r="BB17" s="35" t="n">
        <x:f>'Ставки'!BB$5+'Вводные'!$B$81</x:f>
      </x:c>
      <x:c r="BC17" s="35" t="n">
        <x:f>'Ставки'!BC$5+'Вводные'!$B$81</x:f>
      </x:c>
      <x:c r="BD17" s="35" t="n">
        <x:f>'Ставки'!BD$5+'Вводные'!$B$81</x:f>
      </x:c>
      <x:c r="BE17" s="35" t="n">
        <x:f>'Ставки'!BE$5+'Вводные'!$B$81</x:f>
      </x:c>
      <x:c r="BF17" s="35" t="n">
        <x:f>'Ставки'!BF$5+'Вводные'!$B$81</x:f>
      </x:c>
      <x:c r="BG17" s="35" t="n">
        <x:f>'Ставки'!BG$5+'Вводные'!$B$81</x:f>
      </x:c>
      <x:c r="BH17" s="35" t="n">
        <x:f>'Ставки'!BH$5+'Вводные'!$B$81</x:f>
      </x:c>
      <x:c r="BI17" s="35" t="n">
        <x:f>'Ставки'!BI$5+'Вводные'!$B$81</x:f>
      </x:c>
      <x:c r="BJ17" s="35" t="n">
        <x:f>'Ставки'!BJ$5+'Вводные'!$B$81</x:f>
      </x:c>
      <x:c r="BK17" s="35" t="n">
        <x:f>'Ставки'!BK$5+'Вводные'!$B$81</x:f>
      </x:c>
      <x:c r="BL17" s="35" t="n">
        <x:f>'Ставки'!BL$5+'Вводные'!$B$81</x:f>
      </x:c>
      <x:c r="BM17" s="35" t="n">
        <x:f>'Ставки'!BM$5+'Вводные'!$B$81</x:f>
      </x:c>
      <x:c r="BN17" s="35" t="n">
        <x:f>'Ставки'!BN$5+'Вводные'!$B$81</x:f>
      </x:c>
      <x:c r="BO17" s="35" t="n">
        <x:f>'Ставки'!BO$5+'Вводные'!$B$81</x:f>
      </x:c>
      <x:c r="BP17" s="35" t="n">
        <x:f>'Ставки'!BP$5+'Вводные'!$B$81</x:f>
      </x:c>
      <x:c r="BQ17" s="35" t="n">
        <x:f>'Ставки'!BQ$5+'Вводные'!$B$81</x:f>
      </x:c>
      <x:c r="BR17" s="35" t="n">
        <x:f>'Ставки'!BR$5+'Вводные'!$B$81</x:f>
      </x:c>
      <x:c r="BS17" s="35" t="n">
        <x:f>'Ставки'!BS$5+'Вводные'!$B$81</x:f>
      </x:c>
      <x:c r="BT17" s="35" t="n">
        <x:f>'Ставки'!BT$5+'Вводные'!$B$81</x:f>
      </x:c>
      <x:c r="BU17" s="35" t="n">
        <x:f>'Ставки'!BU$5+'Вводные'!$B$81</x:f>
      </x:c>
      <x:c r="BV17" s="35" t="n">
        <x:f>'Ставки'!BV$5+'Вводные'!$B$81</x:f>
      </x:c>
      <x:c r="BW17" s="35" t="n">
        <x:f>'Ставки'!BW$5+'Вводные'!$B$81</x:f>
      </x:c>
      <x:c r="BX17" s="35" t="n">
        <x:f>'Ставки'!BX$5+'Вводные'!$B$81</x:f>
      </x:c>
      <x:c r="BY17" s="35" t="n">
        <x:f>'Ставки'!BY$5+'Вводные'!$B$81</x:f>
      </x:c>
      <x:c r="BZ17" s="35" t="n">
        <x:f>'Ставки'!BZ$5+'Вводные'!$B$81</x:f>
      </x:c>
      <x:c r="CA17" s="35" t="n">
        <x:f>'Ставки'!CA$5+'Вводные'!$B$81</x:f>
      </x:c>
      <x:c r="CB17" s="35" t="n">
        <x:f>'Ставки'!CB$5+'Вводные'!$B$81</x:f>
      </x:c>
      <x:c r="CC17" s="35" t="n">
        <x:f>'Ставки'!CC$5+'Вводные'!$B$81</x:f>
      </x:c>
      <x:c r="CD17" s="35" t="n">
        <x:f>'Ставки'!CD$5+'Вводные'!$B$81</x:f>
      </x:c>
      <x:c r="CE17" s="35" t="n">
        <x:f>'Ставки'!CE$5+'Вводные'!$B$81</x:f>
      </x:c>
      <x:c r="CF17" s="35" t="n">
        <x:f>'Ставки'!CF$5+'Вводные'!$B$81</x:f>
      </x:c>
      <x:c r="CG17" s="35" t="n">
        <x:f>'Ставки'!CG$5+'Вводные'!$B$81</x:f>
      </x:c>
      <x:c r="CH17" s="35" t="n">
        <x:f>'Ставки'!CH$5+'Вводные'!$B$81</x:f>
      </x:c>
      <x:c r="CI17" s="35" t="n">
        <x:f>'Ставки'!CI$5+'Вводные'!$B$81</x:f>
      </x:c>
      <x:c r="CJ17" s="35" t="n">
        <x:f>'Ставки'!CJ$5+'Вводные'!$B$81</x:f>
      </x:c>
      <x:c r="CK17" s="35" t="n">
        <x:f>'Ставки'!CK$5+'Вводные'!$B$81</x:f>
      </x:c>
      <x:c r="CL17" s="35" t="n">
        <x:f>'Ставки'!CL$5+'Вводные'!$B$81</x:f>
      </x:c>
      <x:c r="CM17" s="35" t="n">
        <x:f>'Ставки'!CM$5+'Вводные'!$B$81</x:f>
      </x:c>
      <x:c r="CN17" s="35" t="n">
        <x:f>'Ставки'!CN$5+'Вводные'!$B$81</x:f>
      </x:c>
      <x:c r="CO17" s="35" t="n">
        <x:f>'Ставки'!CO$5+'Вводные'!$B$81</x:f>
      </x:c>
      <x:c r="CP17" s="35" t="n">
        <x:f>'Ставки'!CP$5+'Вводные'!$B$81</x:f>
      </x:c>
      <x:c r="CQ17" s="35" t="n">
        <x:f>'Ставки'!CQ$5+'Вводные'!$B$81</x:f>
      </x:c>
      <x:c r="CR17" s="35" t="n">
        <x:f>'Ставки'!CR$5+'Вводные'!$B$81</x:f>
      </x:c>
      <x:c r="CS17" s="35" t="n">
        <x:f>'Ставки'!CS$5+'Вводные'!$B$81</x:f>
      </x:c>
      <x:c r="CT17" s="35" t="n">
        <x:f>'Ставки'!CT$5+'Вводные'!$B$81</x:f>
      </x:c>
      <x:c r="CU17" s="35" t="n">
        <x:f>'Ставки'!CU$5+'Вводные'!$B$81</x:f>
      </x:c>
      <x:c r="CV17" s="35" t="n">
        <x:f>'Ставки'!CV$5+'Вводные'!$B$81</x:f>
      </x:c>
      <x:c r="CW17" s="35" t="n">
        <x:f>'Ставки'!CW$5+'Вводные'!$B$81</x:f>
      </x:c>
      <x:c r="CX17" s="35" t="n">
        <x:f>'Ставки'!CX$5+'Вводные'!$B$81</x:f>
      </x:c>
      <x:c r="CY17" s="35" t="n">
        <x:f>'Ставки'!CY$5+'Вводные'!$B$81</x:f>
      </x:c>
      <x:c r="CZ17" s="35" t="n">
        <x:f>'Ставки'!CZ$5+'Вводные'!$B$81</x:f>
      </x:c>
      <x:c r="DA17" s="35" t="n">
        <x:f>'Ставки'!DA$5+'Вводные'!$B$81</x:f>
      </x:c>
      <x:c r="DB17" s="35" t="n">
        <x:f>'Ставки'!DB$5+'Вводные'!$B$81</x:f>
      </x:c>
      <x:c r="DC17" s="35" t="n">
        <x:f>'Ставки'!DC$5+'Вводные'!$B$81</x:f>
      </x:c>
      <x:c r="DD17" s="35" t="n">
        <x:f>'Ставки'!DD$5+'Вводные'!$B$81</x:f>
      </x:c>
      <x:c r="DE17" s="35" t="n">
        <x:f>'Ставки'!DE$5+'Вводные'!$B$81</x:f>
      </x:c>
      <x:c r="DF17" s="35" t="n">
        <x:f>'Ставки'!DF$5+'Вводные'!$B$81</x:f>
      </x:c>
      <x:c r="DG17" s="35" t="n">
        <x:f>'Ставки'!DG$5+'Вводные'!$B$81</x:f>
      </x:c>
      <x:c r="DH17" s="35" t="n">
        <x:f>'Ставки'!DH$5+'Вводные'!$B$81</x:f>
      </x:c>
      <x:c r="DI17" s="35" t="n">
        <x:f>'Ставки'!DI$5+'Вводные'!$B$81</x:f>
      </x:c>
      <x:c r="DJ17" s="35" t="n">
        <x:f>'Ставки'!DJ$5+'Вводные'!$B$81</x:f>
      </x:c>
      <x:c r="DK17" s="35" t="n">
        <x:f>'Ставки'!DK$5+'Вводные'!$B$81</x:f>
      </x:c>
      <x:c r="DL17" s="35" t="n">
        <x:f>'Ставки'!DL$5+'Вводные'!$B$81</x:f>
      </x:c>
      <x:c r="DM17" s="35" t="n">
        <x:f>'Ставки'!DM$5+'Вводные'!$B$81</x:f>
      </x:c>
      <x:c r="DN17" s="35" t="n">
        <x:f>'Ставки'!DN$5+'Вводные'!$B$81</x:f>
      </x:c>
      <x:c r="DO17" s="35" t="n">
        <x:f>'Ставки'!DO$5+'Вводные'!$B$81</x:f>
      </x:c>
      <x:c r="DP17" s="35" t="n">
        <x:f>'Ставки'!DP$5+'Вводные'!$B$81</x:f>
      </x:c>
      <x:c r="DQ17" s="35" t="n">
        <x:f>'Ставки'!DQ$5+'Вводные'!$B$81</x:f>
      </x:c>
      <x:c r="DR17" s="35" t="n">
        <x:f>'Ставки'!DR$5+'Вводные'!$B$81</x:f>
      </x:c>
      <x:c r="DS17" s="35" t="n">
        <x:f>'Ставки'!DS$5+'Вводные'!$B$81</x:f>
      </x:c>
      <x:c r="DT17" s="35" t="n">
        <x:f>'Ставки'!DT$5+'Вводные'!$B$81</x:f>
      </x:c>
      <x:c r="DU17" s="35" t="n">
        <x:f>'Ставки'!DU$5+'Вводные'!$B$81</x:f>
      </x:c>
      <x:c r="DV17" s="35" t="n">
        <x:f>'Ставки'!DV$5+'Вводные'!$B$81</x:f>
      </x:c>
      <x:c r="DW17" s="35" t="n">
        <x:f>'Ставки'!DW$5+'Вводные'!$B$81</x:f>
      </x:c>
      <x:c r="DX17" s="35" t="n">
        <x:f>'Ставки'!DX$5+'Вводные'!$B$81</x:f>
      </x:c>
      <x:c r="DY17" s="35" t="n">
        <x:f>'Ставки'!DY$5+'Вводные'!$B$81</x:f>
      </x:c>
      <x:c r="DZ17" s="35" t="n">
        <x:f>'Ставки'!DZ$5+'Вводные'!$B$81</x:f>
      </x:c>
      <x:c r="EA17" s="35" t="n">
        <x:f>'Ставки'!EA$5+'Вводные'!$B$81</x:f>
      </x:c>
      <x:c r="EB17" s="35" t="n">
        <x:f>'Ставки'!EB$5+'Вводные'!$B$81</x:f>
      </x:c>
      <x:c r="EC17" s="35" t="n">
        <x:f>'Ставки'!EC$5+'Вводные'!$B$81</x:f>
      </x:c>
      <x:c r="ED17" s="35" t="n">
        <x:f>'Ставки'!ED$5+'Вводные'!$B$81</x:f>
      </x:c>
      <x:c r="EE17" s="35" t="n">
        <x:f>'Ставки'!EE$5+'Вводные'!$B$81</x:f>
      </x:c>
      <x:c r="EF17" s="35" t="n">
        <x:f>'Ставки'!EF$5+'Вводные'!$B$81</x:f>
      </x:c>
      <x:c r="EG17" s="35" t="n">
        <x:f>'Ставки'!EG$5+'Вводные'!$B$81</x:f>
      </x:c>
      <x:c r="EH17" s="35" t="n">
        <x:f>'Ставки'!EH$5+'Вводные'!$B$81</x:f>
      </x:c>
      <x:c r="EI17" s="35" t="n">
        <x:f>'Ставки'!EI$5+'Вводные'!$B$81</x:f>
      </x:c>
      <x:c r="EJ17" s="35" t="n">
        <x:f>'Ставки'!EJ$5+'Вводные'!$B$81</x:f>
      </x:c>
      <x:c r="EK17" s="35" t="n">
        <x:f>'Ставки'!EK$5+'Вводные'!$B$81</x:f>
      </x:c>
      <x:c r="EL17" s="35" t="n">
        <x:f>'Ставки'!EL$5+'Вводные'!$B$81</x:f>
      </x:c>
      <x:c r="EM17" s="35" t="n">
        <x:f>'Ставки'!EM$5+'Вводные'!$B$81</x:f>
      </x:c>
      <x:c r="EN17" s="35" t="n">
        <x:f>'Ставки'!EN$5+'Вводные'!$B$81</x:f>
      </x:c>
      <x:c r="EO17" s="35" t="n">
        <x:f>'Ставки'!EO$5+'Вводные'!$B$81</x:f>
      </x:c>
      <x:c r="EP17" s="35" t="n">
        <x:f>'Ставки'!EP$5+'Вводные'!$B$81</x:f>
      </x:c>
      <x:c r="EQ17" s="35" t="n">
        <x:f>'Ставки'!EQ$5+'Вводные'!$B$81</x:f>
      </x:c>
      <x:c r="ER17" s="35" t="n">
        <x:f>'Ставки'!ER$5+'Вводные'!$B$81</x:f>
      </x:c>
      <x:c r="ES17" s="35" t="n">
        <x:f>'Ставки'!ES$5+'Вводные'!$B$81</x:f>
      </x:c>
      <x:c r="ET17" s="35" t="n">
        <x:f>'Ставки'!ET$5+'Вводные'!$B$81</x:f>
      </x:c>
      <x:c r="EU17" s="35" t="n">
        <x:f>'Ставки'!EU$5+'Вводные'!$B$81</x:f>
      </x:c>
      <x:c r="EV17" s="35" t="n">
        <x:f>'Ставки'!EV$5+'Вводные'!$B$81</x:f>
      </x:c>
      <x:c r="EW17" s="35" t="n">
        <x:f>'Ставки'!EW$5+'Вводные'!$B$81</x:f>
      </x:c>
      <x:c r="EX17" s="35" t="n">
        <x:f>'Ставки'!EX$5+'Вводные'!$B$81</x:f>
      </x:c>
      <x:c r="EY17" s="35" t="n">
        <x:f>'Ставки'!EY$5+'Вводные'!$B$81</x:f>
      </x:c>
      <x:c r="EZ17" s="35" t="n">
        <x:f>'Ставки'!EZ$5+'Вводные'!$B$81</x:f>
      </x:c>
      <x:c r="FA17" s="35" t="n">
        <x:f>'Ставки'!FA$5+'Вводные'!$B$81</x:f>
      </x:c>
      <x:c r="FB17" s="35" t="n">
        <x:f>'Ставки'!FB$5+'Вводные'!$B$81</x:f>
      </x:c>
      <x:c r="FC17" s="35" t="n">
        <x:f>'Ставки'!FC$5+'Вводные'!$B$81</x:f>
      </x:c>
      <x:c r="FD17" s="35" t="n">
        <x:f>'Ставки'!FD$5+'Вводные'!$B$81</x:f>
      </x:c>
      <x:c r="FE17" s="35" t="n">
        <x:f>'Ставки'!FE$5+'Вводные'!$B$81</x:f>
      </x:c>
      <x:c r="FF17" s="35" t="n">
        <x:f>'Ставки'!FF$5+'Вводные'!$B$81</x:f>
      </x:c>
      <x:c r="FG17" s="35" t="n">
        <x:f>'Ставки'!FG$5+'Вводные'!$B$81</x:f>
      </x:c>
      <x:c r="FH17" s="35" t="n">
        <x:f>'Ставки'!FH$5+'Вводные'!$B$81</x:f>
      </x:c>
      <x:c r="FI17" s="35" t="n">
        <x:f>'Ставки'!FI$5+'Вводные'!$B$81</x:f>
      </x:c>
      <x:c r="FJ17" s="35" t="n">
        <x:f>'Ставки'!FJ$5+'Вводные'!$B$81</x:f>
      </x:c>
      <x:c r="FK17" s="35" t="n">
        <x:f>'Ставки'!FK$5+'Вводные'!$B$81</x:f>
      </x:c>
      <x:c r="FL17" s="35" t="n">
        <x:f>'Ставки'!FL$5+'Вводные'!$B$81</x:f>
      </x:c>
      <x:c r="FM17" s="35" t="n">
        <x:f>'Ставки'!FM$5+'Вводные'!$B$81</x:f>
      </x:c>
      <x:c r="FN17" s="35" t="n">
        <x:f>'Ставки'!FN$5+'Вводные'!$B$81</x:f>
      </x:c>
      <x:c r="FO17" s="35" t="n">
        <x:f>'Ставки'!FO$5+'Вводные'!$B$81</x:f>
      </x:c>
      <x:c r="FP17" s="35" t="n">
        <x:f>'Ставки'!FP$5+'Вводные'!$B$81</x:f>
      </x:c>
      <x:c r="FQ17" s="35" t="n">
        <x:f>'Ставки'!FQ$5+'Вводные'!$B$81</x:f>
      </x:c>
      <x:c r="FR17" s="35" t="n">
        <x:f>'Ставки'!FR$5+'Вводные'!$B$81</x:f>
      </x:c>
      <x:c r="FS17" s="35" t="n">
        <x:f>'Ставки'!FS$5+'Вводные'!$B$81</x:f>
      </x:c>
      <x:c r="FT17" s="35" t="n">
        <x:f>'Ставки'!FT$5+'Вводные'!$B$81</x:f>
      </x:c>
      <x:c r="FU17" s="35" t="n">
        <x:f>'Ставки'!FU$5+'Вводные'!$B$81</x:f>
      </x:c>
      <x:c r="FV17" s="35" t="n">
        <x:f>'Ставки'!FV$5+'Вводные'!$B$81</x:f>
      </x:c>
      <x:c r="FW17" s="35" t="n">
        <x:f>'Ставки'!FW$5+'Вводные'!$B$81</x:f>
      </x:c>
      <x:c r="FX17" s="35" t="n">
        <x:f>'Ставки'!FX$5+'Вводные'!$B$81</x:f>
      </x:c>
      <x:c r="FY17" s="35" t="n">
        <x:f>'Ставки'!FY$5+'Вводные'!$B$81</x:f>
      </x:c>
      <x:c r="FZ17" s="35" t="n">
        <x:f>'Ставки'!FZ$5+'Вводные'!$B$81</x:f>
      </x:c>
      <x:c r="GA17" s="35" t="n">
        <x:f>'Ставки'!GA$5+'Вводные'!$B$81</x:f>
      </x:c>
    </x:row>
    <x:row r="19" ht="21" customHeight="1">
      <x:c r="A19" s="52" t="str">
        <x:v>ОЧЕРЕДЬ 2</x:v>
      </x:c>
      <x:c r="B19" s="53" t="str">
        <x:v>ОЧЕРЕДЬ 2</x:v>
      </x:c>
      <x:c r="C19" s="53" t="str">
        <x:v>ОЧЕРЕДЬ 2</x:v>
      </x:c>
      <x:c r="D19" s="53" t="str">
        <x:v>ОЧЕРЕДЬ 2</x:v>
      </x:c>
      <x:c r="E19" s="53" t="str">
        <x:v>ОЧЕРЕДЬ 2</x:v>
      </x:c>
      <x:c r="F19" s="53" t="str">
        <x:v>ОЧЕРЕДЬ 2</x:v>
      </x:c>
      <x:c r="G19" s="53" t="str">
        <x:v>ОЧЕРЕДЬ 2</x:v>
      </x:c>
      <x:c r="H19" s="53" t="str">
        <x:v>ОЧЕРЕДЬ 2</x:v>
      </x:c>
      <x:c r="I19" s="53" t="str">
        <x:v>ОЧЕРЕДЬ 2</x:v>
      </x:c>
      <x:c r="J19" s="53" t="str">
        <x:v>ОЧЕРЕДЬ 2</x:v>
      </x:c>
      <x:c r="K19" s="53" t="str">
        <x:v>ОЧЕРЕДЬ 2</x:v>
      </x:c>
      <x:c r="L19" s="53" t="str">
        <x:v>ОЧЕРЕДЬ 2</x:v>
      </x:c>
      <x:c r="M19" s="53" t="str">
        <x:v>ОЧЕРЕДЬ 2</x:v>
      </x:c>
      <x:c r="N19" s="53" t="str">
        <x:v>ОЧЕРЕДЬ 2</x:v>
      </x:c>
      <x:c r="O19" s="53" t="str">
        <x:v>ОЧЕРЕДЬ 2</x:v>
      </x:c>
      <x:c r="P19" s="53" t="str">
        <x:v>ОЧЕРЕДЬ 2</x:v>
      </x:c>
      <x:c r="Q19" s="53" t="str">
        <x:v>ОЧЕРЕДЬ 2</x:v>
      </x:c>
      <x:c r="R19" s="53" t="str">
        <x:v>ОЧЕРЕДЬ 2</x:v>
      </x:c>
      <x:c r="S19" s="53" t="str">
        <x:v>ОЧЕРЕДЬ 2</x:v>
      </x:c>
      <x:c r="T19" s="53" t="str">
        <x:v>ОЧЕРЕДЬ 2</x:v>
      </x:c>
      <x:c r="U19" s="53" t="str">
        <x:v>ОЧЕРЕДЬ 2</x:v>
      </x:c>
      <x:c r="V19" s="53" t="str">
        <x:v>ОЧЕРЕДЬ 2</x:v>
      </x:c>
      <x:c r="W19" s="53" t="str">
        <x:v>ОЧЕРЕДЬ 2</x:v>
      </x:c>
      <x:c r="X19" s="53" t="str">
        <x:v>ОЧЕРЕДЬ 2</x:v>
      </x:c>
      <x:c r="Y19" s="53" t="str">
        <x:v>ОЧЕРЕДЬ 2</x:v>
      </x:c>
      <x:c r="Z19" s="53" t="str">
        <x:v>ОЧЕРЕДЬ 2</x:v>
      </x:c>
      <x:c r="AA19" s="53" t="str">
        <x:v>ОЧЕРЕДЬ 2</x:v>
      </x:c>
      <x:c r="AB19" s="53" t="str">
        <x:v>ОЧЕРЕДЬ 2</x:v>
      </x:c>
      <x:c r="AC19" s="53" t="str">
        <x:v>ОЧЕРЕДЬ 2</x:v>
      </x:c>
      <x:c r="AD19" s="53" t="str">
        <x:v>ОЧЕРЕДЬ 2</x:v>
      </x:c>
      <x:c r="AE19" s="53" t="str">
        <x:v>ОЧЕРЕДЬ 2</x:v>
      </x:c>
      <x:c r="AF19" s="53" t="str">
        <x:v>ОЧЕРЕДЬ 2</x:v>
      </x:c>
      <x:c r="AG19" s="53" t="str">
        <x:v>ОЧЕРЕДЬ 2</x:v>
      </x:c>
      <x:c r="AH19" s="53" t="str">
        <x:v>ОЧЕРЕДЬ 2</x:v>
      </x:c>
      <x:c r="AI19" s="53" t="str">
        <x:v>ОЧЕРЕДЬ 2</x:v>
      </x:c>
      <x:c r="AJ19" s="53" t="str">
        <x:v>ОЧЕРЕДЬ 2</x:v>
      </x:c>
      <x:c r="AK19" s="53" t="str">
        <x:v>ОЧЕРЕДЬ 2</x:v>
      </x:c>
      <x:c r="AL19" s="53" t="str">
        <x:v>ОЧЕРЕДЬ 2</x:v>
      </x:c>
      <x:c r="AM19" s="53" t="str">
        <x:v>ОЧЕРЕДЬ 2</x:v>
      </x:c>
      <x:c r="AN19" s="53" t="str">
        <x:v>ОЧЕРЕДЬ 2</x:v>
      </x:c>
      <x:c r="AO19" s="53" t="str">
        <x:v>ОЧЕРЕДЬ 2</x:v>
      </x:c>
      <x:c r="AP19" s="53" t="str">
        <x:v>ОЧЕРЕДЬ 2</x:v>
      </x:c>
      <x:c r="AQ19" s="53" t="str">
        <x:v>ОЧЕРЕДЬ 2</x:v>
      </x:c>
      <x:c r="AR19" s="53" t="str">
        <x:v>ОЧЕРЕДЬ 2</x:v>
      </x:c>
      <x:c r="AS19" s="53" t="str">
        <x:v>ОЧЕРЕДЬ 2</x:v>
      </x:c>
      <x:c r="AT19" s="53" t="str">
        <x:v>ОЧЕРЕДЬ 2</x:v>
      </x:c>
      <x:c r="AU19" s="53" t="str">
        <x:v>ОЧЕРЕДЬ 2</x:v>
      </x:c>
      <x:c r="AV19" s="53" t="str">
        <x:v>ОЧЕРЕДЬ 2</x:v>
      </x:c>
      <x:c r="AW19" s="53" t="str">
        <x:v>ОЧЕРЕДЬ 2</x:v>
      </x:c>
      <x:c r="AX19" s="53" t="str">
        <x:v>ОЧЕРЕДЬ 2</x:v>
      </x:c>
      <x:c r="AY19" s="53" t="str">
        <x:v>ОЧЕРЕДЬ 2</x:v>
      </x:c>
      <x:c r="AZ19" s="53" t="str">
        <x:v>ОЧЕРЕДЬ 2</x:v>
      </x:c>
      <x:c r="BA19" s="53" t="str">
        <x:v>ОЧЕРЕДЬ 2</x:v>
      </x:c>
      <x:c r="BB19" s="53" t="str">
        <x:v>ОЧЕРЕДЬ 2</x:v>
      </x:c>
      <x:c r="BC19" s="53" t="str">
        <x:v>ОЧЕРЕДЬ 2</x:v>
      </x:c>
      <x:c r="BD19" s="53" t="str">
        <x:v>ОЧЕРЕДЬ 2</x:v>
      </x:c>
      <x:c r="BE19" s="53" t="str">
        <x:v>ОЧЕРЕДЬ 2</x:v>
      </x:c>
      <x:c r="BF19" s="53" t="str">
        <x:v>ОЧЕРЕДЬ 2</x:v>
      </x:c>
      <x:c r="BG19" s="53" t="str">
        <x:v>ОЧЕРЕДЬ 2</x:v>
      </x:c>
      <x:c r="BH19" s="53" t="str">
        <x:v>ОЧЕРЕДЬ 2</x:v>
      </x:c>
      <x:c r="BI19" s="53" t="str">
        <x:v>ОЧЕРЕДЬ 2</x:v>
      </x:c>
      <x:c r="BJ19" s="53" t="str">
        <x:v>ОЧЕРЕДЬ 2</x:v>
      </x:c>
      <x:c r="BK19" s="53" t="str">
        <x:v>ОЧЕРЕДЬ 2</x:v>
      </x:c>
      <x:c r="BL19" s="53" t="str">
        <x:v>ОЧЕРЕДЬ 2</x:v>
      </x:c>
      <x:c r="BM19" s="53" t="str">
        <x:v>ОЧЕРЕДЬ 2</x:v>
      </x:c>
      <x:c r="BN19" s="53" t="str">
        <x:v>ОЧЕРЕДЬ 2</x:v>
      </x:c>
      <x:c r="BO19" s="53" t="str">
        <x:v>ОЧЕРЕДЬ 2</x:v>
      </x:c>
      <x:c r="BP19" s="53" t="str">
        <x:v>ОЧЕРЕДЬ 2</x:v>
      </x:c>
      <x:c r="BQ19" s="53" t="str">
        <x:v>ОЧЕРЕДЬ 2</x:v>
      </x:c>
      <x:c r="BR19" s="53" t="str">
        <x:v>ОЧЕРЕДЬ 2</x:v>
      </x:c>
      <x:c r="BS19" s="53" t="str">
        <x:v>ОЧЕРЕДЬ 2</x:v>
      </x:c>
      <x:c r="BT19" s="53" t="str">
        <x:v>ОЧЕРЕДЬ 2</x:v>
      </x:c>
      <x:c r="BU19" s="53" t="str">
        <x:v>ОЧЕРЕДЬ 2</x:v>
      </x:c>
      <x:c r="BV19" s="53" t="str">
        <x:v>ОЧЕРЕДЬ 2</x:v>
      </x:c>
      <x:c r="BW19" s="53" t="str">
        <x:v>ОЧЕРЕДЬ 2</x:v>
      </x:c>
      <x:c r="BX19" s="53" t="str">
        <x:v>ОЧЕРЕДЬ 2</x:v>
      </x:c>
      <x:c r="BY19" s="53" t="str">
        <x:v>ОЧЕРЕДЬ 2</x:v>
      </x:c>
      <x:c r="BZ19" s="53" t="str">
        <x:v>ОЧЕРЕДЬ 2</x:v>
      </x:c>
      <x:c r="CA19" s="53" t="str">
        <x:v>ОЧЕРЕДЬ 2</x:v>
      </x:c>
      <x:c r="CB19" s="53" t="str">
        <x:v>ОЧЕРЕДЬ 2</x:v>
      </x:c>
      <x:c r="CC19" s="53" t="str">
        <x:v>ОЧЕРЕДЬ 2</x:v>
      </x:c>
      <x:c r="CD19" s="53" t="str">
        <x:v>ОЧЕРЕДЬ 2</x:v>
      </x:c>
      <x:c r="CE19" s="53" t="str">
        <x:v>ОЧЕРЕДЬ 2</x:v>
      </x:c>
      <x:c r="CF19" s="53" t="str">
        <x:v>ОЧЕРЕДЬ 2</x:v>
      </x:c>
      <x:c r="CG19" s="53" t="str">
        <x:v>ОЧЕРЕДЬ 2</x:v>
      </x:c>
      <x:c r="CH19" s="53" t="str">
        <x:v>ОЧЕРЕДЬ 2</x:v>
      </x:c>
      <x:c r="CI19" s="53" t="str">
        <x:v>ОЧЕРЕДЬ 2</x:v>
      </x:c>
      <x:c r="CJ19" s="53" t="str">
        <x:v>ОЧЕРЕДЬ 2</x:v>
      </x:c>
      <x:c r="CK19" s="53" t="str">
        <x:v>ОЧЕРЕДЬ 2</x:v>
      </x:c>
      <x:c r="CL19" s="53" t="str">
        <x:v>ОЧЕРЕДЬ 2</x:v>
      </x:c>
      <x:c r="CM19" s="53" t="str">
        <x:v>ОЧЕРЕДЬ 2</x:v>
      </x:c>
      <x:c r="CN19" s="53" t="str">
        <x:v>ОЧЕРЕДЬ 2</x:v>
      </x:c>
      <x:c r="CO19" s="53" t="str">
        <x:v>ОЧЕРЕДЬ 2</x:v>
      </x:c>
      <x:c r="CP19" s="53" t="str">
        <x:v>ОЧЕРЕДЬ 2</x:v>
      </x:c>
      <x:c r="CQ19" s="53" t="str">
        <x:v>ОЧЕРЕДЬ 2</x:v>
      </x:c>
      <x:c r="CR19" s="53" t="str">
        <x:v>ОЧЕРЕДЬ 2</x:v>
      </x:c>
      <x:c r="CS19" s="53" t="str">
        <x:v>ОЧЕРЕДЬ 2</x:v>
      </x:c>
      <x:c r="CT19" s="53" t="str">
        <x:v>ОЧЕРЕДЬ 2</x:v>
      </x:c>
      <x:c r="CU19" s="53" t="str">
        <x:v>ОЧЕРЕДЬ 2</x:v>
      </x:c>
      <x:c r="CV19" s="53" t="str">
        <x:v>ОЧЕРЕДЬ 2</x:v>
      </x:c>
      <x:c r="CW19" s="53" t="str">
        <x:v>ОЧЕРЕДЬ 2</x:v>
      </x:c>
      <x:c r="CX19" s="53" t="str">
        <x:v>ОЧЕРЕДЬ 2</x:v>
      </x:c>
      <x:c r="CY19" s="53" t="str">
        <x:v>ОЧЕРЕДЬ 2</x:v>
      </x:c>
      <x:c r="CZ19" s="53" t="str">
        <x:v>ОЧЕРЕДЬ 2</x:v>
      </x:c>
      <x:c r="DA19" s="53" t="str">
        <x:v>ОЧЕРЕДЬ 2</x:v>
      </x:c>
      <x:c r="DB19" s="53" t="str">
        <x:v>ОЧЕРЕДЬ 2</x:v>
      </x:c>
      <x:c r="DC19" s="53" t="str">
        <x:v>ОЧЕРЕДЬ 2</x:v>
      </x:c>
      <x:c r="DD19" s="53" t="str">
        <x:v>ОЧЕРЕДЬ 2</x:v>
      </x:c>
      <x:c r="DE19" s="53" t="str">
        <x:v>ОЧЕРЕДЬ 2</x:v>
      </x:c>
      <x:c r="DF19" s="53" t="str">
        <x:v>ОЧЕРЕДЬ 2</x:v>
      </x:c>
      <x:c r="DG19" s="53" t="str">
        <x:v>ОЧЕРЕДЬ 2</x:v>
      </x:c>
      <x:c r="DH19" s="53" t="str">
        <x:v>ОЧЕРЕДЬ 2</x:v>
      </x:c>
      <x:c r="DI19" s="53" t="str">
        <x:v>ОЧЕРЕДЬ 2</x:v>
      </x:c>
      <x:c r="DJ19" s="53" t="str">
        <x:v>ОЧЕРЕДЬ 2</x:v>
      </x:c>
      <x:c r="DK19" s="53" t="str">
        <x:v>ОЧЕРЕДЬ 2</x:v>
      </x:c>
      <x:c r="DL19" s="53" t="str">
        <x:v>ОЧЕРЕДЬ 2</x:v>
      </x:c>
      <x:c r="DM19" s="53" t="str">
        <x:v>ОЧЕРЕДЬ 2</x:v>
      </x:c>
      <x:c r="DN19" s="53" t="str">
        <x:v>ОЧЕРЕДЬ 2</x:v>
      </x:c>
      <x:c r="DO19" s="53" t="str">
        <x:v>ОЧЕРЕДЬ 2</x:v>
      </x:c>
      <x:c r="DP19" s="53" t="str">
        <x:v>ОЧЕРЕДЬ 2</x:v>
      </x:c>
      <x:c r="DQ19" s="53" t="str">
        <x:v>ОЧЕРЕДЬ 2</x:v>
      </x:c>
      <x:c r="DR19" s="53" t="str">
        <x:v>ОЧЕРЕДЬ 2</x:v>
      </x:c>
      <x:c r="DS19" s="54" t="str">
        <x:v>ОЧЕРЕДЬ 2</x:v>
      </x:c>
      <x:c r="DT19" s="54" t="str"/>
      <x:c r="DU19" s="54" t="str"/>
      <x:c r="DV19" s="54" t="str"/>
      <x:c r="DW19" s="54" t="str"/>
      <x:c r="DX19" s="54" t="str"/>
      <x:c r="DY19" s="54" t="str"/>
      <x:c r="DZ19" s="54" t="str"/>
      <x:c r="EA19" s="54" t="str"/>
      <x:c r="EB19" s="54" t="str"/>
      <x:c r="EC19" s="54" t="str"/>
      <x:c r="ED19" s="54" t="str"/>
      <x:c r="EE19" s="54" t="str"/>
      <x:c r="EF19" s="54" t="str"/>
      <x:c r="EG19" s="54" t="str"/>
      <x:c r="EH19" s="54" t="str"/>
      <x:c r="EI19" s="54" t="str"/>
      <x:c r="EJ19" s="54" t="str"/>
      <x:c r="EK19" s="54" t="str"/>
      <x:c r="EL19" s="54" t="str"/>
      <x:c r="EM19" s="54" t="str"/>
      <x:c r="EN19" s="54" t="str"/>
      <x:c r="EO19" s="54" t="str"/>
      <x:c r="EP19" s="54" t="str"/>
      <x:c r="EQ19" s="54" t="str"/>
      <x:c r="ER19" s="54" t="str"/>
      <x:c r="ES19" s="54" t="str"/>
      <x:c r="ET19" s="54" t="str"/>
      <x:c r="EU19" s="54" t="str"/>
      <x:c r="EV19" s="54" t="str"/>
      <x:c r="EW19" s="54" t="str"/>
      <x:c r="EX19" s="54" t="str"/>
      <x:c r="EY19" s="54" t="str"/>
      <x:c r="EZ19" s="54" t="str"/>
      <x:c r="FA19" s="54" t="str"/>
      <x:c r="FB19" s="54" t="str"/>
      <x:c r="FC19" s="54" t="str"/>
      <x:c r="FD19" s="54" t="str"/>
      <x:c r="FE19" s="54" t="str"/>
      <x:c r="FF19" s="54" t="str"/>
      <x:c r="FG19" s="54" t="str"/>
      <x:c r="FH19" s="54" t="str"/>
      <x:c r="FI19" s="54" t="str"/>
      <x:c r="FJ19" s="54" t="str"/>
      <x:c r="FK19" s="54" t="str"/>
      <x:c r="FL19" s="54" t="str"/>
      <x:c r="FM19" s="54" t="str"/>
      <x:c r="FN19" s="54" t="str"/>
      <x:c r="FO19" s="54" t="str"/>
      <x:c r="FP19" s="54" t="str"/>
      <x:c r="FQ19" s="54" t="str"/>
      <x:c r="FR19" s="54" t="str"/>
      <x:c r="FS19" s="54" t="str"/>
      <x:c r="FT19" s="54" t="str"/>
      <x:c r="FU19" s="54" t="str"/>
      <x:c r="FV19" s="54" t="str"/>
      <x:c r="FW19" s="54" t="str"/>
      <x:c r="FX19" s="54" t="str"/>
      <x:c r="FY19" s="54" t="str"/>
      <x:c r="FZ19" s="54" t="str"/>
      <x:c r="GA19" s="54" t="str"/>
    </x:row>
    <x:row r="20">
      <x:c r="A20" t="str">
        <x:v>Дата возникновения обязательства</x:v>
      </x:c>
      <x:c r="B20" s="106" t="n">
        <x:f>EDATE('Вводные'!$D$89,'Вводные'!$E$89+'Вводные'!$H$9-'Вводные'!$B$76)</x:f>
      </x:c>
      <x:c r="C20" t="str">
        <x:v>дата</x:v>
      </x:c>
    </x:row>
    <x:row r="21">
      <x:c r="A21" t="str">
        <x:v>Дата открытия ПФ</x:v>
      </x:c>
      <x:c r="B21" s="106" t="n">
        <x:f>EDATE('Вводные'!$D$89,'Вводные'!$E$89+'Вводные'!$H$9)</x:f>
      </x:c>
      <x:c r="C21" t="str">
        <x:v>дата</x:v>
      </x:c>
    </x:row>
    <x:row r="22">
      <x:c r="A22" t="str">
        <x:v>Сумма обязательства после льготы</x:v>
      </x:c>
      <x:c r="B22" s="115" t="n">
        <x:f>IF(AND('Вводные'!$B$89="Да",'Вводные'!$B$74="Да"),MAX(0,'Вводные'!$B$16*'Вводные'!$Q$89-'Вводные'!$B$82*'Вводные'!$Q$89),0)</x:f>
      </x:c>
      <x:c r="C22" t="str">
        <x:v>млн ₽</x:v>
      </x:c>
    </x:row>
    <x:row r="23">
      <x:c r="A23" t="str">
        <x:v>Остаток на начало</x:v>
      </x:c>
      <x:c r="B23" s="107" t="n">
        <x:f>MAX(D23:GA23)</x:f>
      </x:c>
      <x:c r="C23" t="str">
        <x:v>млн ₽</x:v>
      </x:c>
      <x:c r="D23" s="117" t="n">
        <x:f>0</x:f>
      </x:c>
      <x:c r="E23" s="117" t="n">
        <x:f>D29</x:f>
      </x:c>
      <x:c r="F23" s="117" t="n">
        <x:f>E29</x:f>
      </x:c>
      <x:c r="G23" s="117" t="n">
        <x:f>F29</x:f>
      </x:c>
      <x:c r="H23" s="117" t="n">
        <x:f>G29</x:f>
      </x:c>
      <x:c r="I23" s="117" t="n">
        <x:f>H29</x:f>
      </x:c>
      <x:c r="J23" s="117" t="n">
        <x:f>I29</x:f>
      </x:c>
      <x:c r="K23" s="117" t="n">
        <x:f>J29</x:f>
      </x:c>
      <x:c r="L23" s="117" t="n">
        <x:f>K29</x:f>
      </x:c>
      <x:c r="M23" s="117" t="n">
        <x:f>L29</x:f>
      </x:c>
      <x:c r="N23" s="117" t="n">
        <x:f>M29</x:f>
      </x:c>
      <x:c r="O23" s="117" t="n">
        <x:f>N29</x:f>
      </x:c>
      <x:c r="P23" s="117" t="n">
        <x:f>O29</x:f>
      </x:c>
      <x:c r="Q23" s="117" t="n">
        <x:f>P29</x:f>
      </x:c>
      <x:c r="R23" s="117" t="n">
        <x:f>Q29</x:f>
      </x:c>
      <x:c r="S23" s="117" t="n">
        <x:f>R29</x:f>
      </x:c>
      <x:c r="T23" s="117" t="n">
        <x:f>S29</x:f>
      </x:c>
      <x:c r="U23" s="117" t="n">
        <x:f>T29</x:f>
      </x:c>
      <x:c r="V23" s="117" t="n">
        <x:f>U29</x:f>
      </x:c>
      <x:c r="W23" s="117" t="n">
        <x:f>V29</x:f>
      </x:c>
      <x:c r="X23" s="117" t="n">
        <x:f>W29</x:f>
      </x:c>
      <x:c r="Y23" s="117" t="n">
        <x:f>X29</x:f>
      </x:c>
      <x:c r="Z23" s="117" t="n">
        <x:f>Y29</x:f>
      </x:c>
      <x:c r="AA23" s="117" t="n">
        <x:f>Z29</x:f>
      </x:c>
      <x:c r="AB23" s="117" t="n">
        <x:f>AA29</x:f>
      </x:c>
      <x:c r="AC23" s="117" t="n">
        <x:f>AB29</x:f>
      </x:c>
      <x:c r="AD23" s="117" t="n">
        <x:f>AC29</x:f>
      </x:c>
      <x:c r="AE23" s="117" t="n">
        <x:f>AD29</x:f>
      </x:c>
      <x:c r="AF23" s="117" t="n">
        <x:f>AE29</x:f>
      </x:c>
      <x:c r="AG23" s="117" t="n">
        <x:f>AF29</x:f>
      </x:c>
      <x:c r="AH23" s="117" t="n">
        <x:f>AG29</x:f>
      </x:c>
      <x:c r="AI23" s="117" t="n">
        <x:f>AH29</x:f>
      </x:c>
      <x:c r="AJ23" s="117" t="n">
        <x:f>AI29</x:f>
      </x:c>
      <x:c r="AK23" s="117" t="n">
        <x:f>AJ29</x:f>
      </x:c>
      <x:c r="AL23" s="117" t="n">
        <x:f>AK29</x:f>
      </x:c>
      <x:c r="AM23" s="117" t="n">
        <x:f>AL29</x:f>
      </x:c>
      <x:c r="AN23" s="117" t="n">
        <x:f>AM29</x:f>
      </x:c>
      <x:c r="AO23" s="117" t="n">
        <x:f>AN29</x:f>
      </x:c>
      <x:c r="AP23" s="117" t="n">
        <x:f>AO29</x:f>
      </x:c>
      <x:c r="AQ23" s="117" t="n">
        <x:f>AP29</x:f>
      </x:c>
      <x:c r="AR23" s="117" t="n">
        <x:f>AQ29</x:f>
      </x:c>
      <x:c r="AS23" s="117" t="n">
        <x:f>AR29</x:f>
      </x:c>
      <x:c r="AT23" s="117" t="n">
        <x:f>AS29</x:f>
      </x:c>
      <x:c r="AU23" s="117" t="n">
        <x:f>AT29</x:f>
      </x:c>
      <x:c r="AV23" s="117" t="n">
        <x:f>AU29</x:f>
      </x:c>
      <x:c r="AW23" s="117" t="n">
        <x:f>AV29</x:f>
      </x:c>
      <x:c r="AX23" s="117" t="n">
        <x:f>AW29</x:f>
      </x:c>
      <x:c r="AY23" s="117" t="n">
        <x:f>AX29</x:f>
      </x:c>
      <x:c r="AZ23" s="117" t="n">
        <x:f>AY29</x:f>
      </x:c>
      <x:c r="BA23" s="117" t="n">
        <x:f>AZ29</x:f>
      </x:c>
      <x:c r="BB23" s="117" t="n">
        <x:f>BA29</x:f>
      </x:c>
      <x:c r="BC23" s="117" t="n">
        <x:f>BB29</x:f>
      </x:c>
      <x:c r="BD23" s="117" t="n">
        <x:f>BC29</x:f>
      </x:c>
      <x:c r="BE23" s="117" t="n">
        <x:f>BD29</x:f>
      </x:c>
      <x:c r="BF23" s="117" t="n">
        <x:f>BE29</x:f>
      </x:c>
      <x:c r="BG23" s="117" t="n">
        <x:f>BF29</x:f>
      </x:c>
      <x:c r="BH23" s="117" t="n">
        <x:f>BG29</x:f>
      </x:c>
      <x:c r="BI23" s="117" t="n">
        <x:f>BH29</x:f>
      </x:c>
      <x:c r="BJ23" s="117" t="n">
        <x:f>BI29</x:f>
      </x:c>
      <x:c r="BK23" s="117" t="n">
        <x:f>BJ29</x:f>
      </x:c>
      <x:c r="BL23" s="117" t="n">
        <x:f>BK29</x:f>
      </x:c>
      <x:c r="BM23" s="117" t="n">
        <x:f>BL29</x:f>
      </x:c>
      <x:c r="BN23" s="117" t="n">
        <x:f>BM29</x:f>
      </x:c>
      <x:c r="BO23" s="117" t="n">
        <x:f>BN29</x:f>
      </x:c>
      <x:c r="BP23" s="117" t="n">
        <x:f>BO29</x:f>
      </x:c>
      <x:c r="BQ23" s="117" t="n">
        <x:f>BP29</x:f>
      </x:c>
      <x:c r="BR23" s="117" t="n">
        <x:f>BQ29</x:f>
      </x:c>
      <x:c r="BS23" s="117" t="n">
        <x:f>BR29</x:f>
      </x:c>
      <x:c r="BT23" s="117" t="n">
        <x:f>BS29</x:f>
      </x:c>
      <x:c r="BU23" s="117" t="n">
        <x:f>BT29</x:f>
      </x:c>
      <x:c r="BV23" s="117" t="n">
        <x:f>BU29</x:f>
      </x:c>
      <x:c r="BW23" s="117" t="n">
        <x:f>BV29</x:f>
      </x:c>
      <x:c r="BX23" s="117" t="n">
        <x:f>BW29</x:f>
      </x:c>
      <x:c r="BY23" s="117" t="n">
        <x:f>BX29</x:f>
      </x:c>
      <x:c r="BZ23" s="117" t="n">
        <x:f>BY29</x:f>
      </x:c>
      <x:c r="CA23" s="117" t="n">
        <x:f>BZ29</x:f>
      </x:c>
      <x:c r="CB23" s="117" t="n">
        <x:f>CA29</x:f>
      </x:c>
      <x:c r="CC23" s="117" t="n">
        <x:f>CB29</x:f>
      </x:c>
      <x:c r="CD23" s="117" t="n">
        <x:f>CC29</x:f>
      </x:c>
      <x:c r="CE23" s="117" t="n">
        <x:f>CD29</x:f>
      </x:c>
      <x:c r="CF23" s="117" t="n">
        <x:f>CE29</x:f>
      </x:c>
      <x:c r="CG23" s="117" t="n">
        <x:f>CF29</x:f>
      </x:c>
      <x:c r="CH23" s="117" t="n">
        <x:f>CG29</x:f>
      </x:c>
      <x:c r="CI23" s="117" t="n">
        <x:f>CH29</x:f>
      </x:c>
      <x:c r="CJ23" s="117" t="n">
        <x:f>CI29</x:f>
      </x:c>
      <x:c r="CK23" s="117" t="n">
        <x:f>CJ29</x:f>
      </x:c>
      <x:c r="CL23" s="117" t="n">
        <x:f>CK29</x:f>
      </x:c>
      <x:c r="CM23" s="117" t="n">
        <x:f>CL29</x:f>
      </x:c>
      <x:c r="CN23" s="117" t="n">
        <x:f>CM29</x:f>
      </x:c>
      <x:c r="CO23" s="117" t="n">
        <x:f>CN29</x:f>
      </x:c>
      <x:c r="CP23" s="117" t="n">
        <x:f>CO29</x:f>
      </x:c>
      <x:c r="CQ23" s="117" t="n">
        <x:f>CP29</x:f>
      </x:c>
      <x:c r="CR23" s="117" t="n">
        <x:f>CQ29</x:f>
      </x:c>
      <x:c r="CS23" s="117" t="n">
        <x:f>CR29</x:f>
      </x:c>
      <x:c r="CT23" s="117" t="n">
        <x:f>CS29</x:f>
      </x:c>
      <x:c r="CU23" s="117" t="n">
        <x:f>CT29</x:f>
      </x:c>
      <x:c r="CV23" s="117" t="n">
        <x:f>CU29</x:f>
      </x:c>
      <x:c r="CW23" s="117" t="n">
        <x:f>CV29</x:f>
      </x:c>
      <x:c r="CX23" s="117" t="n">
        <x:f>CW29</x:f>
      </x:c>
      <x:c r="CY23" s="117" t="n">
        <x:f>CX29</x:f>
      </x:c>
      <x:c r="CZ23" s="117" t="n">
        <x:f>CY29</x:f>
      </x:c>
      <x:c r="DA23" s="117" t="n">
        <x:f>CZ29</x:f>
      </x:c>
      <x:c r="DB23" s="117" t="n">
        <x:f>DA29</x:f>
      </x:c>
      <x:c r="DC23" s="117" t="n">
        <x:f>DB29</x:f>
      </x:c>
      <x:c r="DD23" s="117" t="n">
        <x:f>DC29</x:f>
      </x:c>
      <x:c r="DE23" s="117" t="n">
        <x:f>DD29</x:f>
      </x:c>
      <x:c r="DF23" s="117" t="n">
        <x:f>DE29</x:f>
      </x:c>
      <x:c r="DG23" s="117" t="n">
        <x:f>DF29</x:f>
      </x:c>
      <x:c r="DH23" s="117" t="n">
        <x:f>DG29</x:f>
      </x:c>
      <x:c r="DI23" s="117" t="n">
        <x:f>DH29</x:f>
      </x:c>
      <x:c r="DJ23" s="117" t="n">
        <x:f>DI29</x:f>
      </x:c>
      <x:c r="DK23" s="117" t="n">
        <x:f>DJ29</x:f>
      </x:c>
      <x:c r="DL23" s="117" t="n">
        <x:f>DK29</x:f>
      </x:c>
      <x:c r="DM23" s="117" t="n">
        <x:f>DL29</x:f>
      </x:c>
      <x:c r="DN23" s="117" t="n">
        <x:f>DM29</x:f>
      </x:c>
      <x:c r="DO23" s="117" t="n">
        <x:f>DN29</x:f>
      </x:c>
      <x:c r="DP23" s="117" t="n">
        <x:f>DO29</x:f>
      </x:c>
      <x:c r="DQ23" s="117" t="n">
        <x:f>DP29</x:f>
      </x:c>
      <x:c r="DR23" s="117" t="n">
        <x:f>DQ29</x:f>
      </x:c>
      <x:c r="DS23" s="117" t="n">
        <x:f>DR29</x:f>
      </x:c>
      <x:c r="DT23" s="117" t="n">
        <x:f>DS29</x:f>
      </x:c>
      <x:c r="DU23" s="117" t="n">
        <x:f>DT29</x:f>
      </x:c>
      <x:c r="DV23" s="117" t="n">
        <x:f>DU29</x:f>
      </x:c>
      <x:c r="DW23" s="117" t="n">
        <x:f>DV29</x:f>
      </x:c>
      <x:c r="DX23" s="117" t="n">
        <x:f>DW29</x:f>
      </x:c>
      <x:c r="DY23" s="117" t="n">
        <x:f>DX29</x:f>
      </x:c>
      <x:c r="DZ23" s="117" t="n">
        <x:f>DY29</x:f>
      </x:c>
      <x:c r="EA23" s="117" t="n">
        <x:f>DZ29</x:f>
      </x:c>
      <x:c r="EB23" s="117" t="n">
        <x:f>EA29</x:f>
      </x:c>
      <x:c r="EC23" s="117" t="n">
        <x:f>EB29</x:f>
      </x:c>
      <x:c r="ED23" s="117" t="n">
        <x:f>EC29</x:f>
      </x:c>
      <x:c r="EE23" s="117" t="n">
        <x:f>ED29</x:f>
      </x:c>
      <x:c r="EF23" s="117" t="n">
        <x:f>EE29</x:f>
      </x:c>
      <x:c r="EG23" s="117" t="n">
        <x:f>EF29</x:f>
      </x:c>
      <x:c r="EH23" s="117" t="n">
        <x:f>EG29</x:f>
      </x:c>
      <x:c r="EI23" s="117" t="n">
        <x:f>EH29</x:f>
      </x:c>
      <x:c r="EJ23" s="117" t="n">
        <x:f>EI29</x:f>
      </x:c>
      <x:c r="EK23" s="117" t="n">
        <x:f>EJ29</x:f>
      </x:c>
      <x:c r="EL23" s="117" t="n">
        <x:f>EK29</x:f>
      </x:c>
      <x:c r="EM23" s="117" t="n">
        <x:f>EL29</x:f>
      </x:c>
      <x:c r="EN23" s="117" t="n">
        <x:f>EM29</x:f>
      </x:c>
      <x:c r="EO23" s="117" t="n">
        <x:f>EN29</x:f>
      </x:c>
      <x:c r="EP23" s="117" t="n">
        <x:f>EO29</x:f>
      </x:c>
      <x:c r="EQ23" s="117" t="n">
        <x:f>EP29</x:f>
      </x:c>
      <x:c r="ER23" s="117" t="n">
        <x:f>EQ29</x:f>
      </x:c>
      <x:c r="ES23" s="117" t="n">
        <x:f>ER29</x:f>
      </x:c>
      <x:c r="ET23" s="117" t="n">
        <x:f>ES29</x:f>
      </x:c>
      <x:c r="EU23" s="117" t="n">
        <x:f>ET29</x:f>
      </x:c>
      <x:c r="EV23" s="117" t="n">
        <x:f>EU29</x:f>
      </x:c>
      <x:c r="EW23" s="117" t="n">
        <x:f>EV29</x:f>
      </x:c>
      <x:c r="EX23" s="117" t="n">
        <x:f>EW29</x:f>
      </x:c>
      <x:c r="EY23" s="117" t="n">
        <x:f>EX29</x:f>
      </x:c>
      <x:c r="EZ23" s="117" t="n">
        <x:f>EY29</x:f>
      </x:c>
      <x:c r="FA23" s="117" t="n">
        <x:f>EZ29</x:f>
      </x:c>
      <x:c r="FB23" s="117" t="n">
        <x:f>FA29</x:f>
      </x:c>
      <x:c r="FC23" s="117" t="n">
        <x:f>FB29</x:f>
      </x:c>
      <x:c r="FD23" s="117" t="n">
        <x:f>FC29</x:f>
      </x:c>
      <x:c r="FE23" s="117" t="n">
        <x:f>FD29</x:f>
      </x:c>
      <x:c r="FF23" s="117" t="n">
        <x:f>FE29</x:f>
      </x:c>
      <x:c r="FG23" s="117" t="n">
        <x:f>FF29</x:f>
      </x:c>
      <x:c r="FH23" s="117" t="n">
        <x:f>FG29</x:f>
      </x:c>
      <x:c r="FI23" s="117" t="n">
        <x:f>FH29</x:f>
      </x:c>
      <x:c r="FJ23" s="117" t="n">
        <x:f>FI29</x:f>
      </x:c>
      <x:c r="FK23" s="117" t="n">
        <x:f>FJ29</x:f>
      </x:c>
      <x:c r="FL23" s="117" t="n">
        <x:f>FK29</x:f>
      </x:c>
      <x:c r="FM23" s="117" t="n">
        <x:f>FL29</x:f>
      </x:c>
      <x:c r="FN23" s="117" t="n">
        <x:f>FM29</x:f>
      </x:c>
      <x:c r="FO23" s="117" t="n">
        <x:f>FN29</x:f>
      </x:c>
      <x:c r="FP23" s="117" t="n">
        <x:f>FO29</x:f>
      </x:c>
      <x:c r="FQ23" s="117" t="n">
        <x:f>FP29</x:f>
      </x:c>
      <x:c r="FR23" s="117" t="n">
        <x:f>FQ29</x:f>
      </x:c>
      <x:c r="FS23" s="117" t="n">
        <x:f>FR29</x:f>
      </x:c>
      <x:c r="FT23" s="117" t="n">
        <x:f>FS29</x:f>
      </x:c>
      <x:c r="FU23" s="117" t="n">
        <x:f>FT29</x:f>
      </x:c>
      <x:c r="FV23" s="117" t="n">
        <x:f>FU29</x:f>
      </x:c>
      <x:c r="FW23" s="117" t="n">
        <x:f>FV29</x:f>
      </x:c>
      <x:c r="FX23" s="117" t="n">
        <x:f>FW29</x:f>
      </x:c>
      <x:c r="FY23" s="117" t="n">
        <x:f>FX29</x:f>
      </x:c>
      <x:c r="FZ23" s="117" t="n">
        <x:f>FY29</x:f>
      </x:c>
      <x:c r="GA23" s="117" t="n">
        <x:f>FZ29</x:f>
      </x:c>
    </x:row>
    <x:row r="24">
      <x:c r="A24" t="str">
        <x:v>Возникновение обязательства</x:v>
      </x:c>
      <x:c r="B24" s="107" t="n">
        <x:f>SUM(D24:GA24)</x:f>
      </x:c>
      <x:c r="C24" t="str">
        <x:v>млн ₽</x:v>
      </x:c>
      <x:c r="D24" s="117" t="n">
        <x:f>IF(AND(YEAR(D$3)=YEAR($B$20),MONTH(D$3)=MONTH($B$20)),$B$22,0)</x:f>
      </x:c>
      <x:c r="E24" s="117" t="n">
        <x:f>IF(AND(YEAR(E$3)=YEAR($B$20),MONTH(E$3)=MONTH($B$20)),$B$22,0)</x:f>
      </x:c>
      <x:c r="F24" s="117" t="n">
        <x:f>IF(AND(YEAR(F$3)=YEAR($B$20),MONTH(F$3)=MONTH($B$20)),$B$22,0)</x:f>
      </x:c>
      <x:c r="G24" s="117" t="n">
        <x:f>IF(AND(YEAR(G$3)=YEAR($B$20),MONTH(G$3)=MONTH($B$20)),$B$22,0)</x:f>
      </x:c>
      <x:c r="H24" s="117" t="n">
        <x:f>IF(AND(YEAR(H$3)=YEAR($B$20),MONTH(H$3)=MONTH($B$20)),$B$22,0)</x:f>
      </x:c>
      <x:c r="I24" s="117" t="n">
        <x:f>IF(AND(YEAR(I$3)=YEAR($B$20),MONTH(I$3)=MONTH($B$20)),$B$22,0)</x:f>
      </x:c>
      <x:c r="J24" s="117" t="n">
        <x:f>IF(AND(YEAR(J$3)=YEAR($B$20),MONTH(J$3)=MONTH($B$20)),$B$22,0)</x:f>
      </x:c>
      <x:c r="K24" s="117" t="n">
        <x:f>IF(AND(YEAR(K$3)=YEAR($B$20),MONTH(K$3)=MONTH($B$20)),$B$22,0)</x:f>
      </x:c>
      <x:c r="L24" s="117" t="n">
        <x:f>IF(AND(YEAR(L$3)=YEAR($B$20),MONTH(L$3)=MONTH($B$20)),$B$22,0)</x:f>
      </x:c>
      <x:c r="M24" s="117" t="n">
        <x:f>IF(AND(YEAR(M$3)=YEAR($B$20),MONTH(M$3)=MONTH($B$20)),$B$22,0)</x:f>
      </x:c>
      <x:c r="N24" s="117" t="n">
        <x:f>IF(AND(YEAR(N$3)=YEAR($B$20),MONTH(N$3)=MONTH($B$20)),$B$22,0)</x:f>
      </x:c>
      <x:c r="O24" s="117" t="n">
        <x:f>IF(AND(YEAR(O$3)=YEAR($B$20),MONTH(O$3)=MONTH($B$20)),$B$22,0)</x:f>
      </x:c>
      <x:c r="P24" s="117" t="n">
        <x:f>IF(AND(YEAR(P$3)=YEAR($B$20),MONTH(P$3)=MONTH($B$20)),$B$22,0)</x:f>
      </x:c>
      <x:c r="Q24" s="117" t="n">
        <x:f>IF(AND(YEAR(Q$3)=YEAR($B$20),MONTH(Q$3)=MONTH($B$20)),$B$22,0)</x:f>
      </x:c>
      <x:c r="R24" s="117" t="n">
        <x:f>IF(AND(YEAR(R$3)=YEAR($B$20),MONTH(R$3)=MONTH($B$20)),$B$22,0)</x:f>
      </x:c>
      <x:c r="S24" s="117" t="n">
        <x:f>IF(AND(YEAR(S$3)=YEAR($B$20),MONTH(S$3)=MONTH($B$20)),$B$22,0)</x:f>
      </x:c>
      <x:c r="T24" s="117" t="n">
        <x:f>IF(AND(YEAR(T$3)=YEAR($B$20),MONTH(T$3)=MONTH($B$20)),$B$22,0)</x:f>
      </x:c>
      <x:c r="U24" s="117" t="n">
        <x:f>IF(AND(YEAR(U$3)=YEAR($B$20),MONTH(U$3)=MONTH($B$20)),$B$22,0)</x:f>
      </x:c>
      <x:c r="V24" s="117" t="n">
        <x:f>IF(AND(YEAR(V$3)=YEAR($B$20),MONTH(V$3)=MONTH($B$20)),$B$22,0)</x:f>
      </x:c>
      <x:c r="W24" s="117" t="n">
        <x:f>IF(AND(YEAR(W$3)=YEAR($B$20),MONTH(W$3)=MONTH($B$20)),$B$22,0)</x:f>
      </x:c>
      <x:c r="X24" s="117" t="n">
        <x:f>IF(AND(YEAR(X$3)=YEAR($B$20),MONTH(X$3)=MONTH($B$20)),$B$22,0)</x:f>
      </x:c>
      <x:c r="Y24" s="117" t="n">
        <x:f>IF(AND(YEAR(Y$3)=YEAR($B$20),MONTH(Y$3)=MONTH($B$20)),$B$22,0)</x:f>
      </x:c>
      <x:c r="Z24" s="117" t="n">
        <x:f>IF(AND(YEAR(Z$3)=YEAR($B$20),MONTH(Z$3)=MONTH($B$20)),$B$22,0)</x:f>
      </x:c>
      <x:c r="AA24" s="117" t="n">
        <x:f>IF(AND(YEAR(AA$3)=YEAR($B$20),MONTH(AA$3)=MONTH($B$20)),$B$22,0)</x:f>
      </x:c>
      <x:c r="AB24" s="117" t="n">
        <x:f>IF(AND(YEAR(AB$3)=YEAR($B$20),MONTH(AB$3)=MONTH($B$20)),$B$22,0)</x:f>
      </x:c>
      <x:c r="AC24" s="117" t="n">
        <x:f>IF(AND(YEAR(AC$3)=YEAR($B$20),MONTH(AC$3)=MONTH($B$20)),$B$22,0)</x:f>
      </x:c>
      <x:c r="AD24" s="117" t="n">
        <x:f>IF(AND(YEAR(AD$3)=YEAR($B$20),MONTH(AD$3)=MONTH($B$20)),$B$22,0)</x:f>
      </x:c>
      <x:c r="AE24" s="117" t="n">
        <x:f>IF(AND(YEAR(AE$3)=YEAR($B$20),MONTH(AE$3)=MONTH($B$20)),$B$22,0)</x:f>
      </x:c>
      <x:c r="AF24" s="117" t="n">
        <x:f>IF(AND(YEAR(AF$3)=YEAR($B$20),MONTH(AF$3)=MONTH($B$20)),$B$22,0)</x:f>
      </x:c>
      <x:c r="AG24" s="117" t="n">
        <x:f>IF(AND(YEAR(AG$3)=YEAR($B$20),MONTH(AG$3)=MONTH($B$20)),$B$22,0)</x:f>
      </x:c>
      <x:c r="AH24" s="117" t="n">
        <x:f>IF(AND(YEAR(AH$3)=YEAR($B$20),MONTH(AH$3)=MONTH($B$20)),$B$22,0)</x:f>
      </x:c>
      <x:c r="AI24" s="117" t="n">
        <x:f>IF(AND(YEAR(AI$3)=YEAR($B$20),MONTH(AI$3)=MONTH($B$20)),$B$22,0)</x:f>
      </x:c>
      <x:c r="AJ24" s="117" t="n">
        <x:f>IF(AND(YEAR(AJ$3)=YEAR($B$20),MONTH(AJ$3)=MONTH($B$20)),$B$22,0)</x:f>
      </x:c>
      <x:c r="AK24" s="117" t="n">
        <x:f>IF(AND(YEAR(AK$3)=YEAR($B$20),MONTH(AK$3)=MONTH($B$20)),$B$22,0)</x:f>
      </x:c>
      <x:c r="AL24" s="117" t="n">
        <x:f>IF(AND(YEAR(AL$3)=YEAR($B$20),MONTH(AL$3)=MONTH($B$20)),$B$22,0)</x:f>
      </x:c>
      <x:c r="AM24" s="117" t="n">
        <x:f>IF(AND(YEAR(AM$3)=YEAR($B$20),MONTH(AM$3)=MONTH($B$20)),$B$22,0)</x:f>
      </x:c>
      <x:c r="AN24" s="117" t="n">
        <x:f>IF(AND(YEAR(AN$3)=YEAR($B$20),MONTH(AN$3)=MONTH($B$20)),$B$22,0)</x:f>
      </x:c>
      <x:c r="AO24" s="117" t="n">
        <x:f>IF(AND(YEAR(AO$3)=YEAR($B$20),MONTH(AO$3)=MONTH($B$20)),$B$22,0)</x:f>
      </x:c>
      <x:c r="AP24" s="117" t="n">
        <x:f>IF(AND(YEAR(AP$3)=YEAR($B$20),MONTH(AP$3)=MONTH($B$20)),$B$22,0)</x:f>
      </x:c>
      <x:c r="AQ24" s="117" t="n">
        <x:f>IF(AND(YEAR(AQ$3)=YEAR($B$20),MONTH(AQ$3)=MONTH($B$20)),$B$22,0)</x:f>
      </x:c>
      <x:c r="AR24" s="117" t="n">
        <x:f>IF(AND(YEAR(AR$3)=YEAR($B$20),MONTH(AR$3)=MONTH($B$20)),$B$22,0)</x:f>
      </x:c>
      <x:c r="AS24" s="117" t="n">
        <x:f>IF(AND(YEAR(AS$3)=YEAR($B$20),MONTH(AS$3)=MONTH($B$20)),$B$22,0)</x:f>
      </x:c>
      <x:c r="AT24" s="117" t="n">
        <x:f>IF(AND(YEAR(AT$3)=YEAR($B$20),MONTH(AT$3)=MONTH($B$20)),$B$22,0)</x:f>
      </x:c>
      <x:c r="AU24" s="117" t="n">
        <x:f>IF(AND(YEAR(AU$3)=YEAR($B$20),MONTH(AU$3)=MONTH($B$20)),$B$22,0)</x:f>
      </x:c>
      <x:c r="AV24" s="117" t="n">
        <x:f>IF(AND(YEAR(AV$3)=YEAR($B$20),MONTH(AV$3)=MONTH($B$20)),$B$22,0)</x:f>
      </x:c>
      <x:c r="AW24" s="117" t="n">
        <x:f>IF(AND(YEAR(AW$3)=YEAR($B$20),MONTH(AW$3)=MONTH($B$20)),$B$22,0)</x:f>
      </x:c>
      <x:c r="AX24" s="117" t="n">
        <x:f>IF(AND(YEAR(AX$3)=YEAR($B$20),MONTH(AX$3)=MONTH($B$20)),$B$22,0)</x:f>
      </x:c>
      <x:c r="AY24" s="117" t="n">
        <x:f>IF(AND(YEAR(AY$3)=YEAR($B$20),MONTH(AY$3)=MONTH($B$20)),$B$22,0)</x:f>
      </x:c>
      <x:c r="AZ24" s="117" t="n">
        <x:f>IF(AND(YEAR(AZ$3)=YEAR($B$20),MONTH(AZ$3)=MONTH($B$20)),$B$22,0)</x:f>
      </x:c>
      <x:c r="BA24" s="117" t="n">
        <x:f>IF(AND(YEAR(BA$3)=YEAR($B$20),MONTH(BA$3)=MONTH($B$20)),$B$22,0)</x:f>
      </x:c>
      <x:c r="BB24" s="117" t="n">
        <x:f>IF(AND(YEAR(BB$3)=YEAR($B$20),MONTH(BB$3)=MONTH($B$20)),$B$22,0)</x:f>
      </x:c>
      <x:c r="BC24" s="117" t="n">
        <x:f>IF(AND(YEAR(BC$3)=YEAR($B$20),MONTH(BC$3)=MONTH($B$20)),$B$22,0)</x:f>
      </x:c>
      <x:c r="BD24" s="117" t="n">
        <x:f>IF(AND(YEAR(BD$3)=YEAR($B$20),MONTH(BD$3)=MONTH($B$20)),$B$22,0)</x:f>
      </x:c>
      <x:c r="BE24" s="117" t="n">
        <x:f>IF(AND(YEAR(BE$3)=YEAR($B$20),MONTH(BE$3)=MONTH($B$20)),$B$22,0)</x:f>
      </x:c>
      <x:c r="BF24" s="117" t="n">
        <x:f>IF(AND(YEAR(BF$3)=YEAR($B$20),MONTH(BF$3)=MONTH($B$20)),$B$22,0)</x:f>
      </x:c>
      <x:c r="BG24" s="117" t="n">
        <x:f>IF(AND(YEAR(BG$3)=YEAR($B$20),MONTH(BG$3)=MONTH($B$20)),$B$22,0)</x:f>
      </x:c>
      <x:c r="BH24" s="117" t="n">
        <x:f>IF(AND(YEAR(BH$3)=YEAR($B$20),MONTH(BH$3)=MONTH($B$20)),$B$22,0)</x:f>
      </x:c>
      <x:c r="BI24" s="117" t="n">
        <x:f>IF(AND(YEAR(BI$3)=YEAR($B$20),MONTH(BI$3)=MONTH($B$20)),$B$22,0)</x:f>
      </x:c>
      <x:c r="BJ24" s="117" t="n">
        <x:f>IF(AND(YEAR(BJ$3)=YEAR($B$20),MONTH(BJ$3)=MONTH($B$20)),$B$22,0)</x:f>
      </x:c>
      <x:c r="BK24" s="117" t="n">
        <x:f>IF(AND(YEAR(BK$3)=YEAR($B$20),MONTH(BK$3)=MONTH($B$20)),$B$22,0)</x:f>
      </x:c>
      <x:c r="BL24" s="117" t="n">
        <x:f>IF(AND(YEAR(BL$3)=YEAR($B$20),MONTH(BL$3)=MONTH($B$20)),$B$22,0)</x:f>
      </x:c>
      <x:c r="BM24" s="117" t="n">
        <x:f>IF(AND(YEAR(BM$3)=YEAR($B$20),MONTH(BM$3)=MONTH($B$20)),$B$22,0)</x:f>
      </x:c>
      <x:c r="BN24" s="117" t="n">
        <x:f>IF(AND(YEAR(BN$3)=YEAR($B$20),MONTH(BN$3)=MONTH($B$20)),$B$22,0)</x:f>
      </x:c>
      <x:c r="BO24" s="117" t="n">
        <x:f>IF(AND(YEAR(BO$3)=YEAR($B$20),MONTH(BO$3)=MONTH($B$20)),$B$22,0)</x:f>
      </x:c>
      <x:c r="BP24" s="117" t="n">
        <x:f>IF(AND(YEAR(BP$3)=YEAR($B$20),MONTH(BP$3)=MONTH($B$20)),$B$22,0)</x:f>
      </x:c>
      <x:c r="BQ24" s="117" t="n">
        <x:f>IF(AND(YEAR(BQ$3)=YEAR($B$20),MONTH(BQ$3)=MONTH($B$20)),$B$22,0)</x:f>
      </x:c>
      <x:c r="BR24" s="117" t="n">
        <x:f>IF(AND(YEAR(BR$3)=YEAR($B$20),MONTH(BR$3)=MONTH($B$20)),$B$22,0)</x:f>
      </x:c>
      <x:c r="BS24" s="117" t="n">
        <x:f>IF(AND(YEAR(BS$3)=YEAR($B$20),MONTH(BS$3)=MONTH($B$20)),$B$22,0)</x:f>
      </x:c>
      <x:c r="BT24" s="117" t="n">
        <x:f>IF(AND(YEAR(BT$3)=YEAR($B$20),MONTH(BT$3)=MONTH($B$20)),$B$22,0)</x:f>
      </x:c>
      <x:c r="BU24" s="117" t="n">
        <x:f>IF(AND(YEAR(BU$3)=YEAR($B$20),MONTH(BU$3)=MONTH($B$20)),$B$22,0)</x:f>
      </x:c>
      <x:c r="BV24" s="117" t="n">
        <x:f>IF(AND(YEAR(BV$3)=YEAR($B$20),MONTH(BV$3)=MONTH($B$20)),$B$22,0)</x:f>
      </x:c>
      <x:c r="BW24" s="117" t="n">
        <x:f>IF(AND(YEAR(BW$3)=YEAR($B$20),MONTH(BW$3)=MONTH($B$20)),$B$22,0)</x:f>
      </x:c>
      <x:c r="BX24" s="117" t="n">
        <x:f>IF(AND(YEAR(BX$3)=YEAR($B$20),MONTH(BX$3)=MONTH($B$20)),$B$22,0)</x:f>
      </x:c>
      <x:c r="BY24" s="117" t="n">
        <x:f>IF(AND(YEAR(BY$3)=YEAR($B$20),MONTH(BY$3)=MONTH($B$20)),$B$22,0)</x:f>
      </x:c>
      <x:c r="BZ24" s="117" t="n">
        <x:f>IF(AND(YEAR(BZ$3)=YEAR($B$20),MONTH(BZ$3)=MONTH($B$20)),$B$22,0)</x:f>
      </x:c>
      <x:c r="CA24" s="117" t="n">
        <x:f>IF(AND(YEAR(CA$3)=YEAR($B$20),MONTH(CA$3)=MONTH($B$20)),$B$22,0)</x:f>
      </x:c>
      <x:c r="CB24" s="117" t="n">
        <x:f>IF(AND(YEAR(CB$3)=YEAR($B$20),MONTH(CB$3)=MONTH($B$20)),$B$22,0)</x:f>
      </x:c>
      <x:c r="CC24" s="117" t="n">
        <x:f>IF(AND(YEAR(CC$3)=YEAR($B$20),MONTH(CC$3)=MONTH($B$20)),$B$22,0)</x:f>
      </x:c>
      <x:c r="CD24" s="117" t="n">
        <x:f>IF(AND(YEAR(CD$3)=YEAR($B$20),MONTH(CD$3)=MONTH($B$20)),$B$22,0)</x:f>
      </x:c>
      <x:c r="CE24" s="117" t="n">
        <x:f>IF(AND(YEAR(CE$3)=YEAR($B$20),MONTH(CE$3)=MONTH($B$20)),$B$22,0)</x:f>
      </x:c>
      <x:c r="CF24" s="117" t="n">
        <x:f>IF(AND(YEAR(CF$3)=YEAR($B$20),MONTH(CF$3)=MONTH($B$20)),$B$22,0)</x:f>
      </x:c>
      <x:c r="CG24" s="117" t="n">
        <x:f>IF(AND(YEAR(CG$3)=YEAR($B$20),MONTH(CG$3)=MONTH($B$20)),$B$22,0)</x:f>
      </x:c>
      <x:c r="CH24" s="117" t="n">
        <x:f>IF(AND(YEAR(CH$3)=YEAR($B$20),MONTH(CH$3)=MONTH($B$20)),$B$22,0)</x:f>
      </x:c>
      <x:c r="CI24" s="117" t="n">
        <x:f>IF(AND(YEAR(CI$3)=YEAR($B$20),MONTH(CI$3)=MONTH($B$20)),$B$22,0)</x:f>
      </x:c>
      <x:c r="CJ24" s="117" t="n">
        <x:f>IF(AND(YEAR(CJ$3)=YEAR($B$20),MONTH(CJ$3)=MONTH($B$20)),$B$22,0)</x:f>
      </x:c>
      <x:c r="CK24" s="117" t="n">
        <x:f>IF(AND(YEAR(CK$3)=YEAR($B$20),MONTH(CK$3)=MONTH($B$20)),$B$22,0)</x:f>
      </x:c>
      <x:c r="CL24" s="117" t="n">
        <x:f>IF(AND(YEAR(CL$3)=YEAR($B$20),MONTH(CL$3)=MONTH($B$20)),$B$22,0)</x:f>
      </x:c>
      <x:c r="CM24" s="117" t="n">
        <x:f>IF(AND(YEAR(CM$3)=YEAR($B$20),MONTH(CM$3)=MONTH($B$20)),$B$22,0)</x:f>
      </x:c>
      <x:c r="CN24" s="117" t="n">
        <x:f>IF(AND(YEAR(CN$3)=YEAR($B$20),MONTH(CN$3)=MONTH($B$20)),$B$22,0)</x:f>
      </x:c>
      <x:c r="CO24" s="117" t="n">
        <x:f>IF(AND(YEAR(CO$3)=YEAR($B$20),MONTH(CO$3)=MONTH($B$20)),$B$22,0)</x:f>
      </x:c>
      <x:c r="CP24" s="117" t="n">
        <x:f>IF(AND(YEAR(CP$3)=YEAR($B$20),MONTH(CP$3)=MONTH($B$20)),$B$22,0)</x:f>
      </x:c>
      <x:c r="CQ24" s="117" t="n">
        <x:f>IF(AND(YEAR(CQ$3)=YEAR($B$20),MONTH(CQ$3)=MONTH($B$20)),$B$22,0)</x:f>
      </x:c>
      <x:c r="CR24" s="117" t="n">
        <x:f>IF(AND(YEAR(CR$3)=YEAR($B$20),MONTH(CR$3)=MONTH($B$20)),$B$22,0)</x:f>
      </x:c>
      <x:c r="CS24" s="117" t="n">
        <x:f>IF(AND(YEAR(CS$3)=YEAR($B$20),MONTH(CS$3)=MONTH($B$20)),$B$22,0)</x:f>
      </x:c>
      <x:c r="CT24" s="117" t="n">
        <x:f>IF(AND(YEAR(CT$3)=YEAR($B$20),MONTH(CT$3)=MONTH($B$20)),$B$22,0)</x:f>
      </x:c>
      <x:c r="CU24" s="117" t="n">
        <x:f>IF(AND(YEAR(CU$3)=YEAR($B$20),MONTH(CU$3)=MONTH($B$20)),$B$22,0)</x:f>
      </x:c>
      <x:c r="CV24" s="117" t="n">
        <x:f>IF(AND(YEAR(CV$3)=YEAR($B$20),MONTH(CV$3)=MONTH($B$20)),$B$22,0)</x:f>
      </x:c>
      <x:c r="CW24" s="117" t="n">
        <x:f>IF(AND(YEAR(CW$3)=YEAR($B$20),MONTH(CW$3)=MONTH($B$20)),$B$22,0)</x:f>
      </x:c>
      <x:c r="CX24" s="117" t="n">
        <x:f>IF(AND(YEAR(CX$3)=YEAR($B$20),MONTH(CX$3)=MONTH($B$20)),$B$22,0)</x:f>
      </x:c>
      <x:c r="CY24" s="117" t="n">
        <x:f>IF(AND(YEAR(CY$3)=YEAR($B$20),MONTH(CY$3)=MONTH($B$20)),$B$22,0)</x:f>
      </x:c>
      <x:c r="CZ24" s="117" t="n">
        <x:f>IF(AND(YEAR(CZ$3)=YEAR($B$20),MONTH(CZ$3)=MONTH($B$20)),$B$22,0)</x:f>
      </x:c>
      <x:c r="DA24" s="117" t="n">
        <x:f>IF(AND(YEAR(DA$3)=YEAR($B$20),MONTH(DA$3)=MONTH($B$20)),$B$22,0)</x:f>
      </x:c>
      <x:c r="DB24" s="117" t="n">
        <x:f>IF(AND(YEAR(DB$3)=YEAR($B$20),MONTH(DB$3)=MONTH($B$20)),$B$22,0)</x:f>
      </x:c>
      <x:c r="DC24" s="117" t="n">
        <x:f>IF(AND(YEAR(DC$3)=YEAR($B$20),MONTH(DC$3)=MONTH($B$20)),$B$22,0)</x:f>
      </x:c>
      <x:c r="DD24" s="117" t="n">
        <x:f>IF(AND(YEAR(DD$3)=YEAR($B$20),MONTH(DD$3)=MONTH($B$20)),$B$22,0)</x:f>
      </x:c>
      <x:c r="DE24" s="117" t="n">
        <x:f>IF(AND(YEAR(DE$3)=YEAR($B$20),MONTH(DE$3)=MONTH($B$20)),$B$22,0)</x:f>
      </x:c>
      <x:c r="DF24" s="117" t="n">
        <x:f>IF(AND(YEAR(DF$3)=YEAR($B$20),MONTH(DF$3)=MONTH($B$20)),$B$22,0)</x:f>
      </x:c>
      <x:c r="DG24" s="117" t="n">
        <x:f>IF(AND(YEAR(DG$3)=YEAR($B$20),MONTH(DG$3)=MONTH($B$20)),$B$22,0)</x:f>
      </x:c>
      <x:c r="DH24" s="117" t="n">
        <x:f>IF(AND(YEAR(DH$3)=YEAR($B$20),MONTH(DH$3)=MONTH($B$20)),$B$22,0)</x:f>
      </x:c>
      <x:c r="DI24" s="117" t="n">
        <x:f>IF(AND(YEAR(DI$3)=YEAR($B$20),MONTH(DI$3)=MONTH($B$20)),$B$22,0)</x:f>
      </x:c>
      <x:c r="DJ24" s="117" t="n">
        <x:f>IF(AND(YEAR(DJ$3)=YEAR($B$20),MONTH(DJ$3)=MONTH($B$20)),$B$22,0)</x:f>
      </x:c>
      <x:c r="DK24" s="117" t="n">
        <x:f>IF(AND(YEAR(DK$3)=YEAR($B$20),MONTH(DK$3)=MONTH($B$20)),$B$22,0)</x:f>
      </x:c>
      <x:c r="DL24" s="117" t="n">
        <x:f>IF(AND(YEAR(DL$3)=YEAR($B$20),MONTH(DL$3)=MONTH($B$20)),$B$22,0)</x:f>
      </x:c>
      <x:c r="DM24" s="117" t="n">
        <x:f>IF(AND(YEAR(DM$3)=YEAR($B$20),MONTH(DM$3)=MONTH($B$20)),$B$22,0)</x:f>
      </x:c>
      <x:c r="DN24" s="117" t="n">
        <x:f>IF(AND(YEAR(DN$3)=YEAR($B$20),MONTH(DN$3)=MONTH($B$20)),$B$22,0)</x:f>
      </x:c>
      <x:c r="DO24" s="117" t="n">
        <x:f>IF(AND(YEAR(DO$3)=YEAR($B$20),MONTH(DO$3)=MONTH($B$20)),$B$22,0)</x:f>
      </x:c>
      <x:c r="DP24" s="117" t="n">
        <x:f>IF(AND(YEAR(DP$3)=YEAR($B$20),MONTH(DP$3)=MONTH($B$20)),$B$22,0)</x:f>
      </x:c>
      <x:c r="DQ24" s="117" t="n">
        <x:f>IF(AND(YEAR(DQ$3)=YEAR($B$20),MONTH(DQ$3)=MONTH($B$20)),$B$22,0)</x:f>
      </x:c>
      <x:c r="DR24" s="117" t="n">
        <x:f>IF(AND(YEAR(DR$3)=YEAR($B$20),MONTH(DR$3)=MONTH($B$20)),$B$22,0)</x:f>
      </x:c>
      <x:c r="DS24" s="117" t="n">
        <x:f>IF(AND(YEAR(DS$3)=YEAR($B$20),MONTH(DS$3)=MONTH($B$20)),$B$22,0)</x:f>
      </x:c>
      <x:c r="DT24" s="117" t="n">
        <x:f>IF(AND(YEAR(DT$3)=YEAR($B$20),MONTH(DT$3)=MONTH($B$20)),$B$22,0)</x:f>
      </x:c>
      <x:c r="DU24" s="117" t="n">
        <x:f>IF(AND(YEAR(DU$3)=YEAR($B$20),MONTH(DU$3)=MONTH($B$20)),$B$22,0)</x:f>
      </x:c>
      <x:c r="DV24" s="117" t="n">
        <x:f>IF(AND(YEAR(DV$3)=YEAR($B$20),MONTH(DV$3)=MONTH($B$20)),$B$22,0)</x:f>
      </x:c>
      <x:c r="DW24" s="117" t="n">
        <x:f>IF(AND(YEAR(DW$3)=YEAR($B$20),MONTH(DW$3)=MONTH($B$20)),$B$22,0)</x:f>
      </x:c>
      <x:c r="DX24" s="117" t="n">
        <x:f>IF(AND(YEAR(DX$3)=YEAR($B$20),MONTH(DX$3)=MONTH($B$20)),$B$22,0)</x:f>
      </x:c>
      <x:c r="DY24" s="117" t="n">
        <x:f>IF(AND(YEAR(DY$3)=YEAR($B$20),MONTH(DY$3)=MONTH($B$20)),$B$22,0)</x:f>
      </x:c>
      <x:c r="DZ24" s="117" t="n">
        <x:f>IF(AND(YEAR(DZ$3)=YEAR($B$20),MONTH(DZ$3)=MONTH($B$20)),$B$22,0)</x:f>
      </x:c>
      <x:c r="EA24" s="117" t="n">
        <x:f>IF(AND(YEAR(EA$3)=YEAR($B$20),MONTH(EA$3)=MONTH($B$20)),$B$22,0)</x:f>
      </x:c>
      <x:c r="EB24" s="117" t="n">
        <x:f>IF(AND(YEAR(EB$3)=YEAR($B$20),MONTH(EB$3)=MONTH($B$20)),$B$22,0)</x:f>
      </x:c>
      <x:c r="EC24" s="117" t="n">
        <x:f>IF(AND(YEAR(EC$3)=YEAR($B$20),MONTH(EC$3)=MONTH($B$20)),$B$22,0)</x:f>
      </x:c>
      <x:c r="ED24" s="117" t="n">
        <x:f>IF(AND(YEAR(ED$3)=YEAR($B$20),MONTH(ED$3)=MONTH($B$20)),$B$22,0)</x:f>
      </x:c>
      <x:c r="EE24" s="117" t="n">
        <x:f>IF(AND(YEAR(EE$3)=YEAR($B$20),MONTH(EE$3)=MONTH($B$20)),$B$22,0)</x:f>
      </x:c>
      <x:c r="EF24" s="117" t="n">
        <x:f>IF(AND(YEAR(EF$3)=YEAR($B$20),MONTH(EF$3)=MONTH($B$20)),$B$22,0)</x:f>
      </x:c>
      <x:c r="EG24" s="117" t="n">
        <x:f>IF(AND(YEAR(EG$3)=YEAR($B$20),MONTH(EG$3)=MONTH($B$20)),$B$22,0)</x:f>
      </x:c>
      <x:c r="EH24" s="117" t="n">
        <x:f>IF(AND(YEAR(EH$3)=YEAR($B$20),MONTH(EH$3)=MONTH($B$20)),$B$22,0)</x:f>
      </x:c>
      <x:c r="EI24" s="117" t="n">
        <x:f>IF(AND(YEAR(EI$3)=YEAR($B$20),MONTH(EI$3)=MONTH($B$20)),$B$22,0)</x:f>
      </x:c>
      <x:c r="EJ24" s="117" t="n">
        <x:f>IF(AND(YEAR(EJ$3)=YEAR($B$20),MONTH(EJ$3)=MONTH($B$20)),$B$22,0)</x:f>
      </x:c>
      <x:c r="EK24" s="117" t="n">
        <x:f>IF(AND(YEAR(EK$3)=YEAR($B$20),MONTH(EK$3)=MONTH($B$20)),$B$22,0)</x:f>
      </x:c>
      <x:c r="EL24" s="117" t="n">
        <x:f>IF(AND(YEAR(EL$3)=YEAR($B$20),MONTH(EL$3)=MONTH($B$20)),$B$22,0)</x:f>
      </x:c>
      <x:c r="EM24" s="117" t="n">
        <x:f>IF(AND(YEAR(EM$3)=YEAR($B$20),MONTH(EM$3)=MONTH($B$20)),$B$22,0)</x:f>
      </x:c>
      <x:c r="EN24" s="117" t="n">
        <x:f>IF(AND(YEAR(EN$3)=YEAR($B$20),MONTH(EN$3)=MONTH($B$20)),$B$22,0)</x:f>
      </x:c>
      <x:c r="EO24" s="117" t="n">
        <x:f>IF(AND(YEAR(EO$3)=YEAR($B$20),MONTH(EO$3)=MONTH($B$20)),$B$22,0)</x:f>
      </x:c>
      <x:c r="EP24" s="117" t="n">
        <x:f>IF(AND(YEAR(EP$3)=YEAR($B$20),MONTH(EP$3)=MONTH($B$20)),$B$22,0)</x:f>
      </x:c>
      <x:c r="EQ24" s="117" t="n">
        <x:f>IF(AND(YEAR(EQ$3)=YEAR($B$20),MONTH(EQ$3)=MONTH($B$20)),$B$22,0)</x:f>
      </x:c>
      <x:c r="ER24" s="117" t="n">
        <x:f>IF(AND(YEAR(ER$3)=YEAR($B$20),MONTH(ER$3)=MONTH($B$20)),$B$22,0)</x:f>
      </x:c>
      <x:c r="ES24" s="117" t="n">
        <x:f>IF(AND(YEAR(ES$3)=YEAR($B$20),MONTH(ES$3)=MONTH($B$20)),$B$22,0)</x:f>
      </x:c>
      <x:c r="ET24" s="117" t="n">
        <x:f>IF(AND(YEAR(ET$3)=YEAR($B$20),MONTH(ET$3)=MONTH($B$20)),$B$22,0)</x:f>
      </x:c>
      <x:c r="EU24" s="117" t="n">
        <x:f>IF(AND(YEAR(EU$3)=YEAR($B$20),MONTH(EU$3)=MONTH($B$20)),$B$22,0)</x:f>
      </x:c>
      <x:c r="EV24" s="117" t="n">
        <x:f>IF(AND(YEAR(EV$3)=YEAR($B$20),MONTH(EV$3)=MONTH($B$20)),$B$22,0)</x:f>
      </x:c>
      <x:c r="EW24" s="117" t="n">
        <x:f>IF(AND(YEAR(EW$3)=YEAR($B$20),MONTH(EW$3)=MONTH($B$20)),$B$22,0)</x:f>
      </x:c>
      <x:c r="EX24" s="117" t="n">
        <x:f>IF(AND(YEAR(EX$3)=YEAR($B$20),MONTH(EX$3)=MONTH($B$20)),$B$22,0)</x:f>
      </x:c>
      <x:c r="EY24" s="117" t="n">
        <x:f>IF(AND(YEAR(EY$3)=YEAR($B$20),MONTH(EY$3)=MONTH($B$20)),$B$22,0)</x:f>
      </x:c>
      <x:c r="EZ24" s="117" t="n">
        <x:f>IF(AND(YEAR(EZ$3)=YEAR($B$20),MONTH(EZ$3)=MONTH($B$20)),$B$22,0)</x:f>
      </x:c>
      <x:c r="FA24" s="117" t="n">
        <x:f>IF(AND(YEAR(FA$3)=YEAR($B$20),MONTH(FA$3)=MONTH($B$20)),$B$22,0)</x:f>
      </x:c>
      <x:c r="FB24" s="117" t="n">
        <x:f>IF(AND(YEAR(FB$3)=YEAR($B$20),MONTH(FB$3)=MONTH($B$20)),$B$22,0)</x:f>
      </x:c>
      <x:c r="FC24" s="117" t="n">
        <x:f>IF(AND(YEAR(FC$3)=YEAR($B$20),MONTH(FC$3)=MONTH($B$20)),$B$22,0)</x:f>
      </x:c>
      <x:c r="FD24" s="117" t="n">
        <x:f>IF(AND(YEAR(FD$3)=YEAR($B$20),MONTH(FD$3)=MONTH($B$20)),$B$22,0)</x:f>
      </x:c>
      <x:c r="FE24" s="117" t="n">
        <x:f>IF(AND(YEAR(FE$3)=YEAR($B$20),MONTH(FE$3)=MONTH($B$20)),$B$22,0)</x:f>
      </x:c>
      <x:c r="FF24" s="117" t="n">
        <x:f>IF(AND(YEAR(FF$3)=YEAR($B$20),MONTH(FF$3)=MONTH($B$20)),$B$22,0)</x:f>
      </x:c>
      <x:c r="FG24" s="117" t="n">
        <x:f>IF(AND(YEAR(FG$3)=YEAR($B$20),MONTH(FG$3)=MONTH($B$20)),$B$22,0)</x:f>
      </x:c>
      <x:c r="FH24" s="117" t="n">
        <x:f>IF(AND(YEAR(FH$3)=YEAR($B$20),MONTH(FH$3)=MONTH($B$20)),$B$22,0)</x:f>
      </x:c>
      <x:c r="FI24" s="117" t="n">
        <x:f>IF(AND(YEAR(FI$3)=YEAR($B$20),MONTH(FI$3)=MONTH($B$20)),$B$22,0)</x:f>
      </x:c>
      <x:c r="FJ24" s="117" t="n">
        <x:f>IF(AND(YEAR(FJ$3)=YEAR($B$20),MONTH(FJ$3)=MONTH($B$20)),$B$22,0)</x:f>
      </x:c>
      <x:c r="FK24" s="117" t="n">
        <x:f>IF(AND(YEAR(FK$3)=YEAR($B$20),MONTH(FK$3)=MONTH($B$20)),$B$22,0)</x:f>
      </x:c>
      <x:c r="FL24" s="117" t="n">
        <x:f>IF(AND(YEAR(FL$3)=YEAR($B$20),MONTH(FL$3)=MONTH($B$20)),$B$22,0)</x:f>
      </x:c>
      <x:c r="FM24" s="117" t="n">
        <x:f>IF(AND(YEAR(FM$3)=YEAR($B$20),MONTH(FM$3)=MONTH($B$20)),$B$22,0)</x:f>
      </x:c>
      <x:c r="FN24" s="117" t="n">
        <x:f>IF(AND(YEAR(FN$3)=YEAR($B$20),MONTH(FN$3)=MONTH($B$20)),$B$22,0)</x:f>
      </x:c>
      <x:c r="FO24" s="117" t="n">
        <x:f>IF(AND(YEAR(FO$3)=YEAR($B$20),MONTH(FO$3)=MONTH($B$20)),$B$22,0)</x:f>
      </x:c>
      <x:c r="FP24" s="117" t="n">
        <x:f>IF(AND(YEAR(FP$3)=YEAR($B$20),MONTH(FP$3)=MONTH($B$20)),$B$22,0)</x:f>
      </x:c>
      <x:c r="FQ24" s="117" t="n">
        <x:f>IF(AND(YEAR(FQ$3)=YEAR($B$20),MONTH(FQ$3)=MONTH($B$20)),$B$22,0)</x:f>
      </x:c>
      <x:c r="FR24" s="117" t="n">
        <x:f>IF(AND(YEAR(FR$3)=YEAR($B$20),MONTH(FR$3)=MONTH($B$20)),$B$22,0)</x:f>
      </x:c>
      <x:c r="FS24" s="117" t="n">
        <x:f>IF(AND(YEAR(FS$3)=YEAR($B$20),MONTH(FS$3)=MONTH($B$20)),$B$22,0)</x:f>
      </x:c>
      <x:c r="FT24" s="117" t="n">
        <x:f>IF(AND(YEAR(FT$3)=YEAR($B$20),MONTH(FT$3)=MONTH($B$20)),$B$22,0)</x:f>
      </x:c>
      <x:c r="FU24" s="117" t="n">
        <x:f>IF(AND(YEAR(FU$3)=YEAR($B$20),MONTH(FU$3)=MONTH($B$20)),$B$22,0)</x:f>
      </x:c>
      <x:c r="FV24" s="117" t="n">
        <x:f>IF(AND(YEAR(FV$3)=YEAR($B$20),MONTH(FV$3)=MONTH($B$20)),$B$22,0)</x:f>
      </x:c>
      <x:c r="FW24" s="117" t="n">
        <x:f>IF(AND(YEAR(FW$3)=YEAR($B$20),MONTH(FW$3)=MONTH($B$20)),$B$22,0)</x:f>
      </x:c>
      <x:c r="FX24" s="117" t="n">
        <x:f>IF(AND(YEAR(FX$3)=YEAR($B$20),MONTH(FX$3)=MONTH($B$20)),$B$22,0)</x:f>
      </x:c>
      <x:c r="FY24" s="117" t="n">
        <x:f>IF(AND(YEAR(FY$3)=YEAR($B$20),MONTH(FY$3)=MONTH($B$20)),$B$22,0)</x:f>
      </x:c>
      <x:c r="FZ24" s="117" t="n">
        <x:f>IF(AND(YEAR(FZ$3)=YEAR($B$20),MONTH(FZ$3)=MONTH($B$20)),$B$22,0)</x:f>
      </x:c>
      <x:c r="GA24" s="117" t="n">
        <x:f>IF(AND(YEAR(GA$3)=YEAR($B$20),MONTH(GA$3)=MONTH($B$20)),$B$22,0)</x:f>
      </x:c>
    </x:row>
    <x:row r="25">
      <x:c r="A25" t="str">
        <x:v>Погашение основного долга</x:v>
      </x:c>
      <x:c r="B25" s="107" t="n">
        <x:f>SUM(D25:GA25)</x:f>
      </x:c>
      <x:c r="C25" t="str">
        <x:v>млн ₽</x:v>
      </x:c>
      <x:c r="D25" s="117" t="n">
        <x:f>MIN(D23+D24,IF('Вводные'!$B$75="Единовременно",D24,IF(AND('Вводные'!$B$84="Да",YEAR(D$3)=YEAR($B$21),MONTH(D$3)=MONTH($B$21)),D23+D24,IF(AND((12*(YEAR(D$3)-YEAR($B$20))+MONTH(D$3)-MONTH($B$20))&gt;0,MOD((12*(YEAR(D$3)-YEAR($B$20))+MONTH(D$3)-MONTH($B$20)),'Вводные'!$B$78)=0,(12*(YEAR(D$3)-YEAR($B$20))+MONTH(D$3)-MONTH($B$20))&lt;='Вводные'!$B$77*12),$B$22/MAX(1,'Вводные'!$B$79),0))))</x:f>
      </x:c>
      <x:c r="E25" s="117" t="n">
        <x:f>MIN(E23+E24,IF('Вводные'!$B$75="Единовременно",E24,IF(AND('Вводные'!$B$84="Да",YEAR(E$3)=YEAR($B$21),MONTH(E$3)=MONTH($B$21)),E23+E24,IF(AND((12*(YEAR(E$3)-YEAR($B$20))+MONTH(E$3)-MONTH($B$20))&gt;0,MOD((12*(YEAR(E$3)-YEAR($B$20))+MONTH(E$3)-MONTH($B$20)),'Вводные'!$B$78)=0,(12*(YEAR(E$3)-YEAR($B$20))+MONTH(E$3)-MONTH($B$20))&lt;='Вводные'!$B$77*12),$B$22/MAX(1,'Вводные'!$B$79),0))))</x:f>
      </x:c>
      <x:c r="F25" s="117" t="n">
        <x:f>MIN(F23+F24,IF('Вводные'!$B$75="Единовременно",F24,IF(AND('Вводные'!$B$84="Да",YEAR(F$3)=YEAR($B$21),MONTH(F$3)=MONTH($B$21)),F23+F24,IF(AND((12*(YEAR(F$3)-YEAR($B$20))+MONTH(F$3)-MONTH($B$20))&gt;0,MOD((12*(YEAR(F$3)-YEAR($B$20))+MONTH(F$3)-MONTH($B$20)),'Вводные'!$B$78)=0,(12*(YEAR(F$3)-YEAR($B$20))+MONTH(F$3)-MONTH($B$20))&lt;='Вводные'!$B$77*12),$B$22/MAX(1,'Вводные'!$B$79),0))))</x:f>
      </x:c>
      <x:c r="G25" s="117" t="n">
        <x:f>MIN(G23+G24,IF('Вводные'!$B$75="Единовременно",G24,IF(AND('Вводные'!$B$84="Да",YEAR(G$3)=YEAR($B$21),MONTH(G$3)=MONTH($B$21)),G23+G24,IF(AND((12*(YEAR(G$3)-YEAR($B$20))+MONTH(G$3)-MONTH($B$20))&gt;0,MOD((12*(YEAR(G$3)-YEAR($B$20))+MONTH(G$3)-MONTH($B$20)),'Вводные'!$B$78)=0,(12*(YEAR(G$3)-YEAR($B$20))+MONTH(G$3)-MONTH($B$20))&lt;='Вводные'!$B$77*12),$B$22/MAX(1,'Вводные'!$B$79),0))))</x:f>
      </x:c>
      <x:c r="H25" s="117" t="n">
        <x:f>MIN(H23+H24,IF('Вводные'!$B$75="Единовременно",H24,IF(AND('Вводные'!$B$84="Да",YEAR(H$3)=YEAR($B$21),MONTH(H$3)=MONTH($B$21)),H23+H24,IF(AND((12*(YEAR(H$3)-YEAR($B$20))+MONTH(H$3)-MONTH($B$20))&gt;0,MOD((12*(YEAR(H$3)-YEAR($B$20))+MONTH(H$3)-MONTH($B$20)),'Вводные'!$B$78)=0,(12*(YEAR(H$3)-YEAR($B$20))+MONTH(H$3)-MONTH($B$20))&lt;='Вводные'!$B$77*12),$B$22/MAX(1,'Вводные'!$B$79),0))))</x:f>
      </x:c>
      <x:c r="I25" s="117" t="n">
        <x:f>MIN(I23+I24,IF('Вводные'!$B$75="Единовременно",I24,IF(AND('Вводные'!$B$84="Да",YEAR(I$3)=YEAR($B$21),MONTH(I$3)=MONTH($B$21)),I23+I24,IF(AND((12*(YEAR(I$3)-YEAR($B$20))+MONTH(I$3)-MONTH($B$20))&gt;0,MOD((12*(YEAR(I$3)-YEAR($B$20))+MONTH(I$3)-MONTH($B$20)),'Вводные'!$B$78)=0,(12*(YEAR(I$3)-YEAR($B$20))+MONTH(I$3)-MONTH($B$20))&lt;='Вводные'!$B$77*12),$B$22/MAX(1,'Вводные'!$B$79),0))))</x:f>
      </x:c>
      <x:c r="J25" s="117" t="n">
        <x:f>MIN(J23+J24,IF('Вводные'!$B$75="Единовременно",J24,IF(AND('Вводные'!$B$84="Да",YEAR(J$3)=YEAR($B$21),MONTH(J$3)=MONTH($B$21)),J23+J24,IF(AND((12*(YEAR(J$3)-YEAR($B$20))+MONTH(J$3)-MONTH($B$20))&gt;0,MOD((12*(YEAR(J$3)-YEAR($B$20))+MONTH(J$3)-MONTH($B$20)),'Вводные'!$B$78)=0,(12*(YEAR(J$3)-YEAR($B$20))+MONTH(J$3)-MONTH($B$20))&lt;='Вводные'!$B$77*12),$B$22/MAX(1,'Вводные'!$B$79),0))))</x:f>
      </x:c>
      <x:c r="K25" s="117" t="n">
        <x:f>MIN(K23+K24,IF('Вводные'!$B$75="Единовременно",K24,IF(AND('Вводные'!$B$84="Да",YEAR(K$3)=YEAR($B$21),MONTH(K$3)=MONTH($B$21)),K23+K24,IF(AND((12*(YEAR(K$3)-YEAR($B$20))+MONTH(K$3)-MONTH($B$20))&gt;0,MOD((12*(YEAR(K$3)-YEAR($B$20))+MONTH(K$3)-MONTH($B$20)),'Вводные'!$B$78)=0,(12*(YEAR(K$3)-YEAR($B$20))+MONTH(K$3)-MONTH($B$20))&lt;='Вводные'!$B$77*12),$B$22/MAX(1,'Вводные'!$B$79),0))))</x:f>
      </x:c>
      <x:c r="L25" s="117" t="n">
        <x:f>MIN(L23+L24,IF('Вводные'!$B$75="Единовременно",L24,IF(AND('Вводные'!$B$84="Да",YEAR(L$3)=YEAR($B$21),MONTH(L$3)=MONTH($B$21)),L23+L24,IF(AND((12*(YEAR(L$3)-YEAR($B$20))+MONTH(L$3)-MONTH($B$20))&gt;0,MOD((12*(YEAR(L$3)-YEAR($B$20))+MONTH(L$3)-MONTH($B$20)),'Вводные'!$B$78)=0,(12*(YEAR(L$3)-YEAR($B$20))+MONTH(L$3)-MONTH($B$20))&lt;='Вводные'!$B$77*12),$B$22/MAX(1,'Вводные'!$B$79),0))))</x:f>
      </x:c>
      <x:c r="M25" s="117" t="n">
        <x:f>MIN(M23+M24,IF('Вводные'!$B$75="Единовременно",M24,IF(AND('Вводные'!$B$84="Да",YEAR(M$3)=YEAR($B$21),MONTH(M$3)=MONTH($B$21)),M23+M24,IF(AND((12*(YEAR(M$3)-YEAR($B$20))+MONTH(M$3)-MONTH($B$20))&gt;0,MOD((12*(YEAR(M$3)-YEAR($B$20))+MONTH(M$3)-MONTH($B$20)),'Вводные'!$B$78)=0,(12*(YEAR(M$3)-YEAR($B$20))+MONTH(M$3)-MONTH($B$20))&lt;='Вводные'!$B$77*12),$B$22/MAX(1,'Вводные'!$B$79),0))))</x:f>
      </x:c>
      <x:c r="N25" s="117" t="n">
        <x:f>MIN(N23+N24,IF('Вводные'!$B$75="Единовременно",N24,IF(AND('Вводные'!$B$84="Да",YEAR(N$3)=YEAR($B$21),MONTH(N$3)=MONTH($B$21)),N23+N24,IF(AND((12*(YEAR(N$3)-YEAR($B$20))+MONTH(N$3)-MONTH($B$20))&gt;0,MOD((12*(YEAR(N$3)-YEAR($B$20))+MONTH(N$3)-MONTH($B$20)),'Вводные'!$B$78)=0,(12*(YEAR(N$3)-YEAR($B$20))+MONTH(N$3)-MONTH($B$20))&lt;='Вводные'!$B$77*12),$B$22/MAX(1,'Вводные'!$B$79),0))))</x:f>
      </x:c>
      <x:c r="O25" s="117" t="n">
        <x:f>MIN(O23+O24,IF('Вводные'!$B$75="Единовременно",O24,IF(AND('Вводные'!$B$84="Да",YEAR(O$3)=YEAR($B$21),MONTH(O$3)=MONTH($B$21)),O23+O24,IF(AND((12*(YEAR(O$3)-YEAR($B$20))+MONTH(O$3)-MONTH($B$20))&gt;0,MOD((12*(YEAR(O$3)-YEAR($B$20))+MONTH(O$3)-MONTH($B$20)),'Вводные'!$B$78)=0,(12*(YEAR(O$3)-YEAR($B$20))+MONTH(O$3)-MONTH($B$20))&lt;='Вводные'!$B$77*12),$B$22/MAX(1,'Вводные'!$B$79),0))))</x:f>
      </x:c>
      <x:c r="P25" s="117" t="n">
        <x:f>MIN(P23+P24,IF('Вводные'!$B$75="Единовременно",P24,IF(AND('Вводные'!$B$84="Да",YEAR(P$3)=YEAR($B$21),MONTH(P$3)=MONTH($B$21)),P23+P24,IF(AND((12*(YEAR(P$3)-YEAR($B$20))+MONTH(P$3)-MONTH($B$20))&gt;0,MOD((12*(YEAR(P$3)-YEAR($B$20))+MONTH(P$3)-MONTH($B$20)),'Вводные'!$B$78)=0,(12*(YEAR(P$3)-YEAR($B$20))+MONTH(P$3)-MONTH($B$20))&lt;='Вводные'!$B$77*12),$B$22/MAX(1,'Вводные'!$B$79),0))))</x:f>
      </x:c>
      <x:c r="Q25" s="117" t="n">
        <x:f>MIN(Q23+Q24,IF('Вводные'!$B$75="Единовременно",Q24,IF(AND('Вводные'!$B$84="Да",YEAR(Q$3)=YEAR($B$21),MONTH(Q$3)=MONTH($B$21)),Q23+Q24,IF(AND((12*(YEAR(Q$3)-YEAR($B$20))+MONTH(Q$3)-MONTH($B$20))&gt;0,MOD((12*(YEAR(Q$3)-YEAR($B$20))+MONTH(Q$3)-MONTH($B$20)),'Вводные'!$B$78)=0,(12*(YEAR(Q$3)-YEAR($B$20))+MONTH(Q$3)-MONTH($B$20))&lt;='Вводные'!$B$77*12),$B$22/MAX(1,'Вводные'!$B$79),0))))</x:f>
      </x:c>
      <x:c r="R25" s="117" t="n">
        <x:f>MIN(R23+R24,IF('Вводные'!$B$75="Единовременно",R24,IF(AND('Вводные'!$B$84="Да",YEAR(R$3)=YEAR($B$21),MONTH(R$3)=MONTH($B$21)),R23+R24,IF(AND((12*(YEAR(R$3)-YEAR($B$20))+MONTH(R$3)-MONTH($B$20))&gt;0,MOD((12*(YEAR(R$3)-YEAR($B$20))+MONTH(R$3)-MONTH($B$20)),'Вводные'!$B$78)=0,(12*(YEAR(R$3)-YEAR($B$20))+MONTH(R$3)-MONTH($B$20))&lt;='Вводные'!$B$77*12),$B$22/MAX(1,'Вводные'!$B$79),0))))</x:f>
      </x:c>
      <x:c r="S25" s="117" t="n">
        <x:f>MIN(S23+S24,IF('Вводные'!$B$75="Единовременно",S24,IF(AND('Вводные'!$B$84="Да",YEAR(S$3)=YEAR($B$21),MONTH(S$3)=MONTH($B$21)),S23+S24,IF(AND((12*(YEAR(S$3)-YEAR($B$20))+MONTH(S$3)-MONTH($B$20))&gt;0,MOD((12*(YEAR(S$3)-YEAR($B$20))+MONTH(S$3)-MONTH($B$20)),'Вводные'!$B$78)=0,(12*(YEAR(S$3)-YEAR($B$20))+MONTH(S$3)-MONTH($B$20))&lt;='Вводные'!$B$77*12),$B$22/MAX(1,'Вводные'!$B$79),0))))</x:f>
      </x:c>
      <x:c r="T25" s="117" t="n">
        <x:f>MIN(T23+T24,IF('Вводные'!$B$75="Единовременно",T24,IF(AND('Вводные'!$B$84="Да",YEAR(T$3)=YEAR($B$21),MONTH(T$3)=MONTH($B$21)),T23+T24,IF(AND((12*(YEAR(T$3)-YEAR($B$20))+MONTH(T$3)-MONTH($B$20))&gt;0,MOD((12*(YEAR(T$3)-YEAR($B$20))+MONTH(T$3)-MONTH($B$20)),'Вводные'!$B$78)=0,(12*(YEAR(T$3)-YEAR($B$20))+MONTH(T$3)-MONTH($B$20))&lt;='Вводные'!$B$77*12),$B$22/MAX(1,'Вводные'!$B$79),0))))</x:f>
      </x:c>
      <x:c r="U25" s="117" t="n">
        <x:f>MIN(U23+U24,IF('Вводные'!$B$75="Единовременно",U24,IF(AND('Вводные'!$B$84="Да",YEAR(U$3)=YEAR($B$21),MONTH(U$3)=MONTH($B$21)),U23+U24,IF(AND((12*(YEAR(U$3)-YEAR($B$20))+MONTH(U$3)-MONTH($B$20))&gt;0,MOD((12*(YEAR(U$3)-YEAR($B$20))+MONTH(U$3)-MONTH($B$20)),'Вводные'!$B$78)=0,(12*(YEAR(U$3)-YEAR($B$20))+MONTH(U$3)-MONTH($B$20))&lt;='Вводные'!$B$77*12),$B$22/MAX(1,'Вводные'!$B$79),0))))</x:f>
      </x:c>
      <x:c r="V25" s="117" t="n">
        <x:f>MIN(V23+V24,IF('Вводные'!$B$75="Единовременно",V24,IF(AND('Вводные'!$B$84="Да",YEAR(V$3)=YEAR($B$21),MONTH(V$3)=MONTH($B$21)),V23+V24,IF(AND((12*(YEAR(V$3)-YEAR($B$20))+MONTH(V$3)-MONTH($B$20))&gt;0,MOD((12*(YEAR(V$3)-YEAR($B$20))+MONTH(V$3)-MONTH($B$20)),'Вводные'!$B$78)=0,(12*(YEAR(V$3)-YEAR($B$20))+MONTH(V$3)-MONTH($B$20))&lt;='Вводные'!$B$77*12),$B$22/MAX(1,'Вводные'!$B$79),0))))</x:f>
      </x:c>
      <x:c r="W25" s="117" t="n">
        <x:f>MIN(W23+W24,IF('Вводные'!$B$75="Единовременно",W24,IF(AND('Вводные'!$B$84="Да",YEAR(W$3)=YEAR($B$21),MONTH(W$3)=MONTH($B$21)),W23+W24,IF(AND((12*(YEAR(W$3)-YEAR($B$20))+MONTH(W$3)-MONTH($B$20))&gt;0,MOD((12*(YEAR(W$3)-YEAR($B$20))+MONTH(W$3)-MONTH($B$20)),'Вводные'!$B$78)=0,(12*(YEAR(W$3)-YEAR($B$20))+MONTH(W$3)-MONTH($B$20))&lt;='Вводные'!$B$77*12),$B$22/MAX(1,'Вводные'!$B$79),0))))</x:f>
      </x:c>
      <x:c r="X25" s="117" t="n">
        <x:f>MIN(X23+X24,IF('Вводные'!$B$75="Единовременно",X24,IF(AND('Вводные'!$B$84="Да",YEAR(X$3)=YEAR($B$21),MONTH(X$3)=MONTH($B$21)),X23+X24,IF(AND((12*(YEAR(X$3)-YEAR($B$20))+MONTH(X$3)-MONTH($B$20))&gt;0,MOD((12*(YEAR(X$3)-YEAR($B$20))+MONTH(X$3)-MONTH($B$20)),'Вводные'!$B$78)=0,(12*(YEAR(X$3)-YEAR($B$20))+MONTH(X$3)-MONTH($B$20))&lt;='Вводные'!$B$77*12),$B$22/MAX(1,'Вводные'!$B$79),0))))</x:f>
      </x:c>
      <x:c r="Y25" s="117" t="n">
        <x:f>MIN(Y23+Y24,IF('Вводные'!$B$75="Единовременно",Y24,IF(AND('Вводные'!$B$84="Да",YEAR(Y$3)=YEAR($B$21),MONTH(Y$3)=MONTH($B$21)),Y23+Y24,IF(AND((12*(YEAR(Y$3)-YEAR($B$20))+MONTH(Y$3)-MONTH($B$20))&gt;0,MOD((12*(YEAR(Y$3)-YEAR($B$20))+MONTH(Y$3)-MONTH($B$20)),'Вводные'!$B$78)=0,(12*(YEAR(Y$3)-YEAR($B$20))+MONTH(Y$3)-MONTH($B$20))&lt;='Вводные'!$B$77*12),$B$22/MAX(1,'Вводные'!$B$79),0))))</x:f>
      </x:c>
      <x:c r="Z25" s="117" t="n">
        <x:f>MIN(Z23+Z24,IF('Вводные'!$B$75="Единовременно",Z24,IF(AND('Вводные'!$B$84="Да",YEAR(Z$3)=YEAR($B$21),MONTH(Z$3)=MONTH($B$21)),Z23+Z24,IF(AND((12*(YEAR(Z$3)-YEAR($B$20))+MONTH(Z$3)-MONTH($B$20))&gt;0,MOD((12*(YEAR(Z$3)-YEAR($B$20))+MONTH(Z$3)-MONTH($B$20)),'Вводные'!$B$78)=0,(12*(YEAR(Z$3)-YEAR($B$20))+MONTH(Z$3)-MONTH($B$20))&lt;='Вводные'!$B$77*12),$B$22/MAX(1,'Вводные'!$B$79),0))))</x:f>
      </x:c>
      <x:c r="AA25" s="117" t="n">
        <x:f>MIN(AA23+AA24,IF('Вводные'!$B$75="Единовременно",AA24,IF(AND('Вводные'!$B$84="Да",YEAR(AA$3)=YEAR($B$21),MONTH(AA$3)=MONTH($B$21)),AA23+AA24,IF(AND((12*(YEAR(AA$3)-YEAR($B$20))+MONTH(AA$3)-MONTH($B$20))&gt;0,MOD((12*(YEAR(AA$3)-YEAR($B$20))+MONTH(AA$3)-MONTH($B$20)),'Вводные'!$B$78)=0,(12*(YEAR(AA$3)-YEAR($B$20))+MONTH(AA$3)-MONTH($B$20))&lt;='Вводные'!$B$77*12),$B$22/MAX(1,'Вводные'!$B$79),0))))</x:f>
      </x:c>
      <x:c r="AB25" s="117" t="n">
        <x:f>MIN(AB23+AB24,IF('Вводные'!$B$75="Единовременно",AB24,IF(AND('Вводные'!$B$84="Да",YEAR(AB$3)=YEAR($B$21),MONTH(AB$3)=MONTH($B$21)),AB23+AB24,IF(AND((12*(YEAR(AB$3)-YEAR($B$20))+MONTH(AB$3)-MONTH($B$20))&gt;0,MOD((12*(YEAR(AB$3)-YEAR($B$20))+MONTH(AB$3)-MONTH($B$20)),'Вводные'!$B$78)=0,(12*(YEAR(AB$3)-YEAR($B$20))+MONTH(AB$3)-MONTH($B$20))&lt;='Вводные'!$B$77*12),$B$22/MAX(1,'Вводные'!$B$79),0))))</x:f>
      </x:c>
      <x:c r="AC25" s="117" t="n">
        <x:f>MIN(AC23+AC24,IF('Вводные'!$B$75="Единовременно",AC24,IF(AND('Вводные'!$B$84="Да",YEAR(AC$3)=YEAR($B$21),MONTH(AC$3)=MONTH($B$21)),AC23+AC24,IF(AND((12*(YEAR(AC$3)-YEAR($B$20))+MONTH(AC$3)-MONTH($B$20))&gt;0,MOD((12*(YEAR(AC$3)-YEAR($B$20))+MONTH(AC$3)-MONTH($B$20)),'Вводные'!$B$78)=0,(12*(YEAR(AC$3)-YEAR($B$20))+MONTH(AC$3)-MONTH($B$20))&lt;='Вводные'!$B$77*12),$B$22/MAX(1,'Вводные'!$B$79),0))))</x:f>
      </x:c>
      <x:c r="AD25" s="117" t="n">
        <x:f>MIN(AD23+AD24,IF('Вводные'!$B$75="Единовременно",AD24,IF(AND('Вводные'!$B$84="Да",YEAR(AD$3)=YEAR($B$21),MONTH(AD$3)=MONTH($B$21)),AD23+AD24,IF(AND((12*(YEAR(AD$3)-YEAR($B$20))+MONTH(AD$3)-MONTH($B$20))&gt;0,MOD((12*(YEAR(AD$3)-YEAR($B$20))+MONTH(AD$3)-MONTH($B$20)),'Вводные'!$B$78)=0,(12*(YEAR(AD$3)-YEAR($B$20))+MONTH(AD$3)-MONTH($B$20))&lt;='Вводные'!$B$77*12),$B$22/MAX(1,'Вводные'!$B$79),0))))</x:f>
      </x:c>
      <x:c r="AE25" s="117" t="n">
        <x:f>MIN(AE23+AE24,IF('Вводные'!$B$75="Единовременно",AE24,IF(AND('Вводные'!$B$84="Да",YEAR(AE$3)=YEAR($B$21),MONTH(AE$3)=MONTH($B$21)),AE23+AE24,IF(AND((12*(YEAR(AE$3)-YEAR($B$20))+MONTH(AE$3)-MONTH($B$20))&gt;0,MOD((12*(YEAR(AE$3)-YEAR($B$20))+MONTH(AE$3)-MONTH($B$20)),'Вводные'!$B$78)=0,(12*(YEAR(AE$3)-YEAR($B$20))+MONTH(AE$3)-MONTH($B$20))&lt;='Вводные'!$B$77*12),$B$22/MAX(1,'Вводные'!$B$79),0))))</x:f>
      </x:c>
      <x:c r="AF25" s="117" t="n">
        <x:f>MIN(AF23+AF24,IF('Вводные'!$B$75="Единовременно",AF24,IF(AND('Вводные'!$B$84="Да",YEAR(AF$3)=YEAR($B$21),MONTH(AF$3)=MONTH($B$21)),AF23+AF24,IF(AND((12*(YEAR(AF$3)-YEAR($B$20))+MONTH(AF$3)-MONTH($B$20))&gt;0,MOD((12*(YEAR(AF$3)-YEAR($B$20))+MONTH(AF$3)-MONTH($B$20)),'Вводные'!$B$78)=0,(12*(YEAR(AF$3)-YEAR($B$20))+MONTH(AF$3)-MONTH($B$20))&lt;='Вводные'!$B$77*12),$B$22/MAX(1,'Вводные'!$B$79),0))))</x:f>
      </x:c>
      <x:c r="AG25" s="117" t="n">
        <x:f>MIN(AG23+AG24,IF('Вводные'!$B$75="Единовременно",AG24,IF(AND('Вводные'!$B$84="Да",YEAR(AG$3)=YEAR($B$21),MONTH(AG$3)=MONTH($B$21)),AG23+AG24,IF(AND((12*(YEAR(AG$3)-YEAR($B$20))+MONTH(AG$3)-MONTH($B$20))&gt;0,MOD((12*(YEAR(AG$3)-YEAR($B$20))+MONTH(AG$3)-MONTH($B$20)),'Вводные'!$B$78)=0,(12*(YEAR(AG$3)-YEAR($B$20))+MONTH(AG$3)-MONTH($B$20))&lt;='Вводные'!$B$77*12),$B$22/MAX(1,'Вводные'!$B$79),0))))</x:f>
      </x:c>
      <x:c r="AH25" s="117" t="n">
        <x:f>MIN(AH23+AH24,IF('Вводные'!$B$75="Единовременно",AH24,IF(AND('Вводные'!$B$84="Да",YEAR(AH$3)=YEAR($B$21),MONTH(AH$3)=MONTH($B$21)),AH23+AH24,IF(AND((12*(YEAR(AH$3)-YEAR($B$20))+MONTH(AH$3)-MONTH($B$20))&gt;0,MOD((12*(YEAR(AH$3)-YEAR($B$20))+MONTH(AH$3)-MONTH($B$20)),'Вводные'!$B$78)=0,(12*(YEAR(AH$3)-YEAR($B$20))+MONTH(AH$3)-MONTH($B$20))&lt;='Вводные'!$B$77*12),$B$22/MAX(1,'Вводные'!$B$79),0))))</x:f>
      </x:c>
      <x:c r="AI25" s="117" t="n">
        <x:f>MIN(AI23+AI24,IF('Вводные'!$B$75="Единовременно",AI24,IF(AND('Вводные'!$B$84="Да",YEAR(AI$3)=YEAR($B$21),MONTH(AI$3)=MONTH($B$21)),AI23+AI24,IF(AND((12*(YEAR(AI$3)-YEAR($B$20))+MONTH(AI$3)-MONTH($B$20))&gt;0,MOD((12*(YEAR(AI$3)-YEAR($B$20))+MONTH(AI$3)-MONTH($B$20)),'Вводные'!$B$78)=0,(12*(YEAR(AI$3)-YEAR($B$20))+MONTH(AI$3)-MONTH($B$20))&lt;='Вводные'!$B$77*12),$B$22/MAX(1,'Вводные'!$B$79),0))))</x:f>
      </x:c>
      <x:c r="AJ25" s="117" t="n">
        <x:f>MIN(AJ23+AJ24,IF('Вводные'!$B$75="Единовременно",AJ24,IF(AND('Вводные'!$B$84="Да",YEAR(AJ$3)=YEAR($B$21),MONTH(AJ$3)=MONTH($B$21)),AJ23+AJ24,IF(AND((12*(YEAR(AJ$3)-YEAR($B$20))+MONTH(AJ$3)-MONTH($B$20))&gt;0,MOD((12*(YEAR(AJ$3)-YEAR($B$20))+MONTH(AJ$3)-MONTH($B$20)),'Вводные'!$B$78)=0,(12*(YEAR(AJ$3)-YEAR($B$20))+MONTH(AJ$3)-MONTH($B$20))&lt;='Вводные'!$B$77*12),$B$22/MAX(1,'Вводные'!$B$79),0))))</x:f>
      </x:c>
      <x:c r="AK25" s="117" t="n">
        <x:f>MIN(AK23+AK24,IF('Вводные'!$B$75="Единовременно",AK24,IF(AND('Вводные'!$B$84="Да",YEAR(AK$3)=YEAR($B$21),MONTH(AK$3)=MONTH($B$21)),AK23+AK24,IF(AND((12*(YEAR(AK$3)-YEAR($B$20))+MONTH(AK$3)-MONTH($B$20))&gt;0,MOD((12*(YEAR(AK$3)-YEAR($B$20))+MONTH(AK$3)-MONTH($B$20)),'Вводные'!$B$78)=0,(12*(YEAR(AK$3)-YEAR($B$20))+MONTH(AK$3)-MONTH($B$20))&lt;='Вводные'!$B$77*12),$B$22/MAX(1,'Вводные'!$B$79),0))))</x:f>
      </x:c>
      <x:c r="AL25" s="117" t="n">
        <x:f>MIN(AL23+AL24,IF('Вводные'!$B$75="Единовременно",AL24,IF(AND('Вводные'!$B$84="Да",YEAR(AL$3)=YEAR($B$21),MONTH(AL$3)=MONTH($B$21)),AL23+AL24,IF(AND((12*(YEAR(AL$3)-YEAR($B$20))+MONTH(AL$3)-MONTH($B$20))&gt;0,MOD((12*(YEAR(AL$3)-YEAR($B$20))+MONTH(AL$3)-MONTH($B$20)),'Вводные'!$B$78)=0,(12*(YEAR(AL$3)-YEAR($B$20))+MONTH(AL$3)-MONTH($B$20))&lt;='Вводные'!$B$77*12),$B$22/MAX(1,'Вводные'!$B$79),0))))</x:f>
      </x:c>
      <x:c r="AM25" s="117" t="n">
        <x:f>MIN(AM23+AM24,IF('Вводные'!$B$75="Единовременно",AM24,IF(AND('Вводные'!$B$84="Да",YEAR(AM$3)=YEAR($B$21),MONTH(AM$3)=MONTH($B$21)),AM23+AM24,IF(AND((12*(YEAR(AM$3)-YEAR($B$20))+MONTH(AM$3)-MONTH($B$20))&gt;0,MOD((12*(YEAR(AM$3)-YEAR($B$20))+MONTH(AM$3)-MONTH($B$20)),'Вводные'!$B$78)=0,(12*(YEAR(AM$3)-YEAR($B$20))+MONTH(AM$3)-MONTH($B$20))&lt;='Вводные'!$B$77*12),$B$22/MAX(1,'Вводные'!$B$79),0))))</x:f>
      </x:c>
      <x:c r="AN25" s="117" t="n">
        <x:f>MIN(AN23+AN24,IF('Вводные'!$B$75="Единовременно",AN24,IF(AND('Вводные'!$B$84="Да",YEAR(AN$3)=YEAR($B$21),MONTH(AN$3)=MONTH($B$21)),AN23+AN24,IF(AND((12*(YEAR(AN$3)-YEAR($B$20))+MONTH(AN$3)-MONTH($B$20))&gt;0,MOD((12*(YEAR(AN$3)-YEAR($B$20))+MONTH(AN$3)-MONTH($B$20)),'Вводные'!$B$78)=0,(12*(YEAR(AN$3)-YEAR($B$20))+MONTH(AN$3)-MONTH($B$20))&lt;='Вводные'!$B$77*12),$B$22/MAX(1,'Вводные'!$B$79),0))))</x:f>
      </x:c>
      <x:c r="AO25" s="117" t="n">
        <x:f>MIN(AO23+AO24,IF('Вводные'!$B$75="Единовременно",AO24,IF(AND('Вводные'!$B$84="Да",YEAR(AO$3)=YEAR($B$21),MONTH(AO$3)=MONTH($B$21)),AO23+AO24,IF(AND((12*(YEAR(AO$3)-YEAR($B$20))+MONTH(AO$3)-MONTH($B$20))&gt;0,MOD((12*(YEAR(AO$3)-YEAR($B$20))+MONTH(AO$3)-MONTH($B$20)),'Вводные'!$B$78)=0,(12*(YEAR(AO$3)-YEAR($B$20))+MONTH(AO$3)-MONTH($B$20))&lt;='Вводные'!$B$77*12),$B$22/MAX(1,'Вводные'!$B$79),0))))</x:f>
      </x:c>
      <x:c r="AP25" s="117" t="n">
        <x:f>MIN(AP23+AP24,IF('Вводные'!$B$75="Единовременно",AP24,IF(AND('Вводные'!$B$84="Да",YEAR(AP$3)=YEAR($B$21),MONTH(AP$3)=MONTH($B$21)),AP23+AP24,IF(AND((12*(YEAR(AP$3)-YEAR($B$20))+MONTH(AP$3)-MONTH($B$20))&gt;0,MOD((12*(YEAR(AP$3)-YEAR($B$20))+MONTH(AP$3)-MONTH($B$20)),'Вводные'!$B$78)=0,(12*(YEAR(AP$3)-YEAR($B$20))+MONTH(AP$3)-MONTH($B$20))&lt;='Вводные'!$B$77*12),$B$22/MAX(1,'Вводные'!$B$79),0))))</x:f>
      </x:c>
      <x:c r="AQ25" s="117" t="n">
        <x:f>MIN(AQ23+AQ24,IF('Вводные'!$B$75="Единовременно",AQ24,IF(AND('Вводные'!$B$84="Да",YEAR(AQ$3)=YEAR($B$21),MONTH(AQ$3)=MONTH($B$21)),AQ23+AQ24,IF(AND((12*(YEAR(AQ$3)-YEAR($B$20))+MONTH(AQ$3)-MONTH($B$20))&gt;0,MOD((12*(YEAR(AQ$3)-YEAR($B$20))+MONTH(AQ$3)-MONTH($B$20)),'Вводные'!$B$78)=0,(12*(YEAR(AQ$3)-YEAR($B$20))+MONTH(AQ$3)-MONTH($B$20))&lt;='Вводные'!$B$77*12),$B$22/MAX(1,'Вводные'!$B$79),0))))</x:f>
      </x:c>
      <x:c r="AR25" s="117" t="n">
        <x:f>MIN(AR23+AR24,IF('Вводные'!$B$75="Единовременно",AR24,IF(AND('Вводные'!$B$84="Да",YEAR(AR$3)=YEAR($B$21),MONTH(AR$3)=MONTH($B$21)),AR23+AR24,IF(AND((12*(YEAR(AR$3)-YEAR($B$20))+MONTH(AR$3)-MONTH($B$20))&gt;0,MOD((12*(YEAR(AR$3)-YEAR($B$20))+MONTH(AR$3)-MONTH($B$20)),'Вводные'!$B$78)=0,(12*(YEAR(AR$3)-YEAR($B$20))+MONTH(AR$3)-MONTH($B$20))&lt;='Вводные'!$B$77*12),$B$22/MAX(1,'Вводные'!$B$79),0))))</x:f>
      </x:c>
      <x:c r="AS25" s="117" t="n">
        <x:f>MIN(AS23+AS24,IF('Вводные'!$B$75="Единовременно",AS24,IF(AND('Вводные'!$B$84="Да",YEAR(AS$3)=YEAR($B$21),MONTH(AS$3)=MONTH($B$21)),AS23+AS24,IF(AND((12*(YEAR(AS$3)-YEAR($B$20))+MONTH(AS$3)-MONTH($B$20))&gt;0,MOD((12*(YEAR(AS$3)-YEAR($B$20))+MONTH(AS$3)-MONTH($B$20)),'Вводные'!$B$78)=0,(12*(YEAR(AS$3)-YEAR($B$20))+MONTH(AS$3)-MONTH($B$20))&lt;='Вводные'!$B$77*12),$B$22/MAX(1,'Вводные'!$B$79),0))))</x:f>
      </x:c>
      <x:c r="AT25" s="117" t="n">
        <x:f>MIN(AT23+AT24,IF('Вводные'!$B$75="Единовременно",AT24,IF(AND('Вводные'!$B$84="Да",YEAR(AT$3)=YEAR($B$21),MONTH(AT$3)=MONTH($B$21)),AT23+AT24,IF(AND((12*(YEAR(AT$3)-YEAR($B$20))+MONTH(AT$3)-MONTH($B$20))&gt;0,MOD((12*(YEAR(AT$3)-YEAR($B$20))+MONTH(AT$3)-MONTH($B$20)),'Вводные'!$B$78)=0,(12*(YEAR(AT$3)-YEAR($B$20))+MONTH(AT$3)-MONTH($B$20))&lt;='Вводные'!$B$77*12),$B$22/MAX(1,'Вводные'!$B$79),0))))</x:f>
      </x:c>
      <x:c r="AU25" s="117" t="n">
        <x:f>MIN(AU23+AU24,IF('Вводные'!$B$75="Единовременно",AU24,IF(AND('Вводные'!$B$84="Да",YEAR(AU$3)=YEAR($B$21),MONTH(AU$3)=MONTH($B$21)),AU23+AU24,IF(AND((12*(YEAR(AU$3)-YEAR($B$20))+MONTH(AU$3)-MONTH($B$20))&gt;0,MOD((12*(YEAR(AU$3)-YEAR($B$20))+MONTH(AU$3)-MONTH($B$20)),'Вводные'!$B$78)=0,(12*(YEAR(AU$3)-YEAR($B$20))+MONTH(AU$3)-MONTH($B$20))&lt;='Вводные'!$B$77*12),$B$22/MAX(1,'Вводные'!$B$79),0))))</x:f>
      </x:c>
      <x:c r="AV25" s="117" t="n">
        <x:f>MIN(AV23+AV24,IF('Вводные'!$B$75="Единовременно",AV24,IF(AND('Вводные'!$B$84="Да",YEAR(AV$3)=YEAR($B$21),MONTH(AV$3)=MONTH($B$21)),AV23+AV24,IF(AND((12*(YEAR(AV$3)-YEAR($B$20))+MONTH(AV$3)-MONTH($B$20))&gt;0,MOD((12*(YEAR(AV$3)-YEAR($B$20))+MONTH(AV$3)-MONTH($B$20)),'Вводные'!$B$78)=0,(12*(YEAR(AV$3)-YEAR($B$20))+MONTH(AV$3)-MONTH($B$20))&lt;='Вводные'!$B$77*12),$B$22/MAX(1,'Вводные'!$B$79),0))))</x:f>
      </x:c>
      <x:c r="AW25" s="117" t="n">
        <x:f>MIN(AW23+AW24,IF('Вводные'!$B$75="Единовременно",AW24,IF(AND('Вводные'!$B$84="Да",YEAR(AW$3)=YEAR($B$21),MONTH(AW$3)=MONTH($B$21)),AW23+AW24,IF(AND((12*(YEAR(AW$3)-YEAR($B$20))+MONTH(AW$3)-MONTH($B$20))&gt;0,MOD((12*(YEAR(AW$3)-YEAR($B$20))+MONTH(AW$3)-MONTH($B$20)),'Вводные'!$B$78)=0,(12*(YEAR(AW$3)-YEAR($B$20))+MONTH(AW$3)-MONTH($B$20))&lt;='Вводные'!$B$77*12),$B$22/MAX(1,'Вводные'!$B$79),0))))</x:f>
      </x:c>
      <x:c r="AX25" s="117" t="n">
        <x:f>MIN(AX23+AX24,IF('Вводные'!$B$75="Единовременно",AX24,IF(AND('Вводные'!$B$84="Да",YEAR(AX$3)=YEAR($B$21),MONTH(AX$3)=MONTH($B$21)),AX23+AX24,IF(AND((12*(YEAR(AX$3)-YEAR($B$20))+MONTH(AX$3)-MONTH($B$20))&gt;0,MOD((12*(YEAR(AX$3)-YEAR($B$20))+MONTH(AX$3)-MONTH($B$20)),'Вводные'!$B$78)=0,(12*(YEAR(AX$3)-YEAR($B$20))+MONTH(AX$3)-MONTH($B$20))&lt;='Вводные'!$B$77*12),$B$22/MAX(1,'Вводные'!$B$79),0))))</x:f>
      </x:c>
      <x:c r="AY25" s="117" t="n">
        <x:f>MIN(AY23+AY24,IF('Вводные'!$B$75="Единовременно",AY24,IF(AND('Вводные'!$B$84="Да",YEAR(AY$3)=YEAR($B$21),MONTH(AY$3)=MONTH($B$21)),AY23+AY24,IF(AND((12*(YEAR(AY$3)-YEAR($B$20))+MONTH(AY$3)-MONTH($B$20))&gt;0,MOD((12*(YEAR(AY$3)-YEAR($B$20))+MONTH(AY$3)-MONTH($B$20)),'Вводные'!$B$78)=0,(12*(YEAR(AY$3)-YEAR($B$20))+MONTH(AY$3)-MONTH($B$20))&lt;='Вводные'!$B$77*12),$B$22/MAX(1,'Вводные'!$B$79),0))))</x:f>
      </x:c>
      <x:c r="AZ25" s="117" t="n">
        <x:f>MIN(AZ23+AZ24,IF('Вводные'!$B$75="Единовременно",AZ24,IF(AND('Вводные'!$B$84="Да",YEAR(AZ$3)=YEAR($B$21),MONTH(AZ$3)=MONTH($B$21)),AZ23+AZ24,IF(AND((12*(YEAR(AZ$3)-YEAR($B$20))+MONTH(AZ$3)-MONTH($B$20))&gt;0,MOD((12*(YEAR(AZ$3)-YEAR($B$20))+MONTH(AZ$3)-MONTH($B$20)),'Вводные'!$B$78)=0,(12*(YEAR(AZ$3)-YEAR($B$20))+MONTH(AZ$3)-MONTH($B$20))&lt;='Вводные'!$B$77*12),$B$22/MAX(1,'Вводные'!$B$79),0))))</x:f>
      </x:c>
      <x:c r="BA25" s="117" t="n">
        <x:f>MIN(BA23+BA24,IF('Вводные'!$B$75="Единовременно",BA24,IF(AND('Вводные'!$B$84="Да",YEAR(BA$3)=YEAR($B$21),MONTH(BA$3)=MONTH($B$21)),BA23+BA24,IF(AND((12*(YEAR(BA$3)-YEAR($B$20))+MONTH(BA$3)-MONTH($B$20))&gt;0,MOD((12*(YEAR(BA$3)-YEAR($B$20))+MONTH(BA$3)-MONTH($B$20)),'Вводные'!$B$78)=0,(12*(YEAR(BA$3)-YEAR($B$20))+MONTH(BA$3)-MONTH($B$20))&lt;='Вводные'!$B$77*12),$B$22/MAX(1,'Вводные'!$B$79),0))))</x:f>
      </x:c>
      <x:c r="BB25" s="117" t="n">
        <x:f>MIN(BB23+BB24,IF('Вводные'!$B$75="Единовременно",BB24,IF(AND('Вводные'!$B$84="Да",YEAR(BB$3)=YEAR($B$21),MONTH(BB$3)=MONTH($B$21)),BB23+BB24,IF(AND((12*(YEAR(BB$3)-YEAR($B$20))+MONTH(BB$3)-MONTH($B$20))&gt;0,MOD((12*(YEAR(BB$3)-YEAR($B$20))+MONTH(BB$3)-MONTH($B$20)),'Вводные'!$B$78)=0,(12*(YEAR(BB$3)-YEAR($B$20))+MONTH(BB$3)-MONTH($B$20))&lt;='Вводные'!$B$77*12),$B$22/MAX(1,'Вводные'!$B$79),0))))</x:f>
      </x:c>
      <x:c r="BC25" s="117" t="n">
        <x:f>MIN(BC23+BC24,IF('Вводные'!$B$75="Единовременно",BC24,IF(AND('Вводные'!$B$84="Да",YEAR(BC$3)=YEAR($B$21),MONTH(BC$3)=MONTH($B$21)),BC23+BC24,IF(AND((12*(YEAR(BC$3)-YEAR($B$20))+MONTH(BC$3)-MONTH($B$20))&gt;0,MOD((12*(YEAR(BC$3)-YEAR($B$20))+MONTH(BC$3)-MONTH($B$20)),'Вводные'!$B$78)=0,(12*(YEAR(BC$3)-YEAR($B$20))+MONTH(BC$3)-MONTH($B$20))&lt;='Вводные'!$B$77*12),$B$22/MAX(1,'Вводные'!$B$79),0))))</x:f>
      </x:c>
      <x:c r="BD25" s="117" t="n">
        <x:f>MIN(BD23+BD24,IF('Вводные'!$B$75="Единовременно",BD24,IF(AND('Вводные'!$B$84="Да",YEAR(BD$3)=YEAR($B$21),MONTH(BD$3)=MONTH($B$21)),BD23+BD24,IF(AND((12*(YEAR(BD$3)-YEAR($B$20))+MONTH(BD$3)-MONTH($B$20))&gt;0,MOD((12*(YEAR(BD$3)-YEAR($B$20))+MONTH(BD$3)-MONTH($B$20)),'Вводные'!$B$78)=0,(12*(YEAR(BD$3)-YEAR($B$20))+MONTH(BD$3)-MONTH($B$20))&lt;='Вводные'!$B$77*12),$B$22/MAX(1,'Вводные'!$B$79),0))))</x:f>
      </x:c>
      <x:c r="BE25" s="117" t="n">
        <x:f>MIN(BE23+BE24,IF('Вводные'!$B$75="Единовременно",BE24,IF(AND('Вводные'!$B$84="Да",YEAR(BE$3)=YEAR($B$21),MONTH(BE$3)=MONTH($B$21)),BE23+BE24,IF(AND((12*(YEAR(BE$3)-YEAR($B$20))+MONTH(BE$3)-MONTH($B$20))&gt;0,MOD((12*(YEAR(BE$3)-YEAR($B$20))+MONTH(BE$3)-MONTH($B$20)),'Вводные'!$B$78)=0,(12*(YEAR(BE$3)-YEAR($B$20))+MONTH(BE$3)-MONTH($B$20))&lt;='Вводные'!$B$77*12),$B$22/MAX(1,'Вводные'!$B$79),0))))</x:f>
      </x:c>
      <x:c r="BF25" s="117" t="n">
        <x:f>MIN(BF23+BF24,IF('Вводные'!$B$75="Единовременно",BF24,IF(AND('Вводные'!$B$84="Да",YEAR(BF$3)=YEAR($B$21),MONTH(BF$3)=MONTH($B$21)),BF23+BF24,IF(AND((12*(YEAR(BF$3)-YEAR($B$20))+MONTH(BF$3)-MONTH($B$20))&gt;0,MOD((12*(YEAR(BF$3)-YEAR($B$20))+MONTH(BF$3)-MONTH($B$20)),'Вводные'!$B$78)=0,(12*(YEAR(BF$3)-YEAR($B$20))+MONTH(BF$3)-MONTH($B$20))&lt;='Вводные'!$B$77*12),$B$22/MAX(1,'Вводные'!$B$79),0))))</x:f>
      </x:c>
      <x:c r="BG25" s="117" t="n">
        <x:f>MIN(BG23+BG24,IF('Вводные'!$B$75="Единовременно",BG24,IF(AND('Вводные'!$B$84="Да",YEAR(BG$3)=YEAR($B$21),MONTH(BG$3)=MONTH($B$21)),BG23+BG24,IF(AND((12*(YEAR(BG$3)-YEAR($B$20))+MONTH(BG$3)-MONTH($B$20))&gt;0,MOD((12*(YEAR(BG$3)-YEAR($B$20))+MONTH(BG$3)-MONTH($B$20)),'Вводные'!$B$78)=0,(12*(YEAR(BG$3)-YEAR($B$20))+MONTH(BG$3)-MONTH($B$20))&lt;='Вводные'!$B$77*12),$B$22/MAX(1,'Вводные'!$B$79),0))))</x:f>
      </x:c>
      <x:c r="BH25" s="117" t="n">
        <x:f>MIN(BH23+BH24,IF('Вводные'!$B$75="Единовременно",BH24,IF(AND('Вводные'!$B$84="Да",YEAR(BH$3)=YEAR($B$21),MONTH(BH$3)=MONTH($B$21)),BH23+BH24,IF(AND((12*(YEAR(BH$3)-YEAR($B$20))+MONTH(BH$3)-MONTH($B$20))&gt;0,MOD((12*(YEAR(BH$3)-YEAR($B$20))+MONTH(BH$3)-MONTH($B$20)),'Вводные'!$B$78)=0,(12*(YEAR(BH$3)-YEAR($B$20))+MONTH(BH$3)-MONTH($B$20))&lt;='Вводные'!$B$77*12),$B$22/MAX(1,'Вводные'!$B$79),0))))</x:f>
      </x:c>
      <x:c r="BI25" s="117" t="n">
        <x:f>MIN(BI23+BI24,IF('Вводные'!$B$75="Единовременно",BI24,IF(AND('Вводные'!$B$84="Да",YEAR(BI$3)=YEAR($B$21),MONTH(BI$3)=MONTH($B$21)),BI23+BI24,IF(AND((12*(YEAR(BI$3)-YEAR($B$20))+MONTH(BI$3)-MONTH($B$20))&gt;0,MOD((12*(YEAR(BI$3)-YEAR($B$20))+MONTH(BI$3)-MONTH($B$20)),'Вводные'!$B$78)=0,(12*(YEAR(BI$3)-YEAR($B$20))+MONTH(BI$3)-MONTH($B$20))&lt;='Вводные'!$B$77*12),$B$22/MAX(1,'Вводные'!$B$79),0))))</x:f>
      </x:c>
      <x:c r="BJ25" s="117" t="n">
        <x:f>MIN(BJ23+BJ24,IF('Вводные'!$B$75="Единовременно",BJ24,IF(AND('Вводные'!$B$84="Да",YEAR(BJ$3)=YEAR($B$21),MONTH(BJ$3)=MONTH($B$21)),BJ23+BJ24,IF(AND((12*(YEAR(BJ$3)-YEAR($B$20))+MONTH(BJ$3)-MONTH($B$20))&gt;0,MOD((12*(YEAR(BJ$3)-YEAR($B$20))+MONTH(BJ$3)-MONTH($B$20)),'Вводные'!$B$78)=0,(12*(YEAR(BJ$3)-YEAR($B$20))+MONTH(BJ$3)-MONTH($B$20))&lt;='Вводные'!$B$77*12),$B$22/MAX(1,'Вводные'!$B$79),0))))</x:f>
      </x:c>
      <x:c r="BK25" s="117" t="n">
        <x:f>MIN(BK23+BK24,IF('Вводные'!$B$75="Единовременно",BK24,IF(AND('Вводные'!$B$84="Да",YEAR(BK$3)=YEAR($B$21),MONTH(BK$3)=MONTH($B$21)),BK23+BK24,IF(AND((12*(YEAR(BK$3)-YEAR($B$20))+MONTH(BK$3)-MONTH($B$20))&gt;0,MOD((12*(YEAR(BK$3)-YEAR($B$20))+MONTH(BK$3)-MONTH($B$20)),'Вводные'!$B$78)=0,(12*(YEAR(BK$3)-YEAR($B$20))+MONTH(BK$3)-MONTH($B$20))&lt;='Вводные'!$B$77*12),$B$22/MAX(1,'Вводные'!$B$79),0))))</x:f>
      </x:c>
      <x:c r="BL25" s="117" t="n">
        <x:f>MIN(BL23+BL24,IF('Вводные'!$B$75="Единовременно",BL24,IF(AND('Вводные'!$B$84="Да",YEAR(BL$3)=YEAR($B$21),MONTH(BL$3)=MONTH($B$21)),BL23+BL24,IF(AND((12*(YEAR(BL$3)-YEAR($B$20))+MONTH(BL$3)-MONTH($B$20))&gt;0,MOD((12*(YEAR(BL$3)-YEAR($B$20))+MONTH(BL$3)-MONTH($B$20)),'Вводные'!$B$78)=0,(12*(YEAR(BL$3)-YEAR($B$20))+MONTH(BL$3)-MONTH($B$20))&lt;='Вводные'!$B$77*12),$B$22/MAX(1,'Вводные'!$B$79),0))))</x:f>
      </x:c>
      <x:c r="BM25" s="117" t="n">
        <x:f>MIN(BM23+BM24,IF('Вводные'!$B$75="Единовременно",BM24,IF(AND('Вводные'!$B$84="Да",YEAR(BM$3)=YEAR($B$21),MONTH(BM$3)=MONTH($B$21)),BM23+BM24,IF(AND((12*(YEAR(BM$3)-YEAR($B$20))+MONTH(BM$3)-MONTH($B$20))&gt;0,MOD((12*(YEAR(BM$3)-YEAR($B$20))+MONTH(BM$3)-MONTH($B$20)),'Вводные'!$B$78)=0,(12*(YEAR(BM$3)-YEAR($B$20))+MONTH(BM$3)-MONTH($B$20))&lt;='Вводные'!$B$77*12),$B$22/MAX(1,'Вводные'!$B$79),0))))</x:f>
      </x:c>
      <x:c r="BN25" s="117" t="n">
        <x:f>MIN(BN23+BN24,IF('Вводные'!$B$75="Единовременно",BN24,IF(AND('Вводные'!$B$84="Да",YEAR(BN$3)=YEAR($B$21),MONTH(BN$3)=MONTH($B$21)),BN23+BN24,IF(AND((12*(YEAR(BN$3)-YEAR($B$20))+MONTH(BN$3)-MONTH($B$20))&gt;0,MOD((12*(YEAR(BN$3)-YEAR($B$20))+MONTH(BN$3)-MONTH($B$20)),'Вводные'!$B$78)=0,(12*(YEAR(BN$3)-YEAR($B$20))+MONTH(BN$3)-MONTH($B$20))&lt;='Вводные'!$B$77*12),$B$22/MAX(1,'Вводные'!$B$79),0))))</x:f>
      </x:c>
      <x:c r="BO25" s="117" t="n">
        <x:f>MIN(BO23+BO24,IF('Вводные'!$B$75="Единовременно",BO24,IF(AND('Вводные'!$B$84="Да",YEAR(BO$3)=YEAR($B$21),MONTH(BO$3)=MONTH($B$21)),BO23+BO24,IF(AND((12*(YEAR(BO$3)-YEAR($B$20))+MONTH(BO$3)-MONTH($B$20))&gt;0,MOD((12*(YEAR(BO$3)-YEAR($B$20))+MONTH(BO$3)-MONTH($B$20)),'Вводные'!$B$78)=0,(12*(YEAR(BO$3)-YEAR($B$20))+MONTH(BO$3)-MONTH($B$20))&lt;='Вводные'!$B$77*12),$B$22/MAX(1,'Вводные'!$B$79),0))))</x:f>
      </x:c>
      <x:c r="BP25" s="117" t="n">
        <x:f>MIN(BP23+BP24,IF('Вводные'!$B$75="Единовременно",BP24,IF(AND('Вводные'!$B$84="Да",YEAR(BP$3)=YEAR($B$21),MONTH(BP$3)=MONTH($B$21)),BP23+BP24,IF(AND((12*(YEAR(BP$3)-YEAR($B$20))+MONTH(BP$3)-MONTH($B$20))&gt;0,MOD((12*(YEAR(BP$3)-YEAR($B$20))+MONTH(BP$3)-MONTH($B$20)),'Вводные'!$B$78)=0,(12*(YEAR(BP$3)-YEAR($B$20))+MONTH(BP$3)-MONTH($B$20))&lt;='Вводные'!$B$77*12),$B$22/MAX(1,'Вводные'!$B$79),0))))</x:f>
      </x:c>
      <x:c r="BQ25" s="117" t="n">
        <x:f>MIN(BQ23+BQ24,IF('Вводные'!$B$75="Единовременно",BQ24,IF(AND('Вводные'!$B$84="Да",YEAR(BQ$3)=YEAR($B$21),MONTH(BQ$3)=MONTH($B$21)),BQ23+BQ24,IF(AND((12*(YEAR(BQ$3)-YEAR($B$20))+MONTH(BQ$3)-MONTH($B$20))&gt;0,MOD((12*(YEAR(BQ$3)-YEAR($B$20))+MONTH(BQ$3)-MONTH($B$20)),'Вводные'!$B$78)=0,(12*(YEAR(BQ$3)-YEAR($B$20))+MONTH(BQ$3)-MONTH($B$20))&lt;='Вводные'!$B$77*12),$B$22/MAX(1,'Вводные'!$B$79),0))))</x:f>
      </x:c>
      <x:c r="BR25" s="117" t="n">
        <x:f>MIN(BR23+BR24,IF('Вводные'!$B$75="Единовременно",BR24,IF(AND('Вводные'!$B$84="Да",YEAR(BR$3)=YEAR($B$21),MONTH(BR$3)=MONTH($B$21)),BR23+BR24,IF(AND((12*(YEAR(BR$3)-YEAR($B$20))+MONTH(BR$3)-MONTH($B$20))&gt;0,MOD((12*(YEAR(BR$3)-YEAR($B$20))+MONTH(BR$3)-MONTH($B$20)),'Вводные'!$B$78)=0,(12*(YEAR(BR$3)-YEAR($B$20))+MONTH(BR$3)-MONTH($B$20))&lt;='Вводные'!$B$77*12),$B$22/MAX(1,'Вводные'!$B$79),0))))</x:f>
      </x:c>
      <x:c r="BS25" s="117" t="n">
        <x:f>MIN(BS23+BS24,IF('Вводные'!$B$75="Единовременно",BS24,IF(AND('Вводные'!$B$84="Да",YEAR(BS$3)=YEAR($B$21),MONTH(BS$3)=MONTH($B$21)),BS23+BS24,IF(AND((12*(YEAR(BS$3)-YEAR($B$20))+MONTH(BS$3)-MONTH($B$20))&gt;0,MOD((12*(YEAR(BS$3)-YEAR($B$20))+MONTH(BS$3)-MONTH($B$20)),'Вводные'!$B$78)=0,(12*(YEAR(BS$3)-YEAR($B$20))+MONTH(BS$3)-MONTH($B$20))&lt;='Вводные'!$B$77*12),$B$22/MAX(1,'Вводные'!$B$79),0))))</x:f>
      </x:c>
      <x:c r="BT25" s="117" t="n">
        <x:f>MIN(BT23+BT24,IF('Вводные'!$B$75="Единовременно",BT24,IF(AND('Вводные'!$B$84="Да",YEAR(BT$3)=YEAR($B$21),MONTH(BT$3)=MONTH($B$21)),BT23+BT24,IF(AND((12*(YEAR(BT$3)-YEAR($B$20))+MONTH(BT$3)-MONTH($B$20))&gt;0,MOD((12*(YEAR(BT$3)-YEAR($B$20))+MONTH(BT$3)-MONTH($B$20)),'Вводные'!$B$78)=0,(12*(YEAR(BT$3)-YEAR($B$20))+MONTH(BT$3)-MONTH($B$20))&lt;='Вводные'!$B$77*12),$B$22/MAX(1,'Вводные'!$B$79),0))))</x:f>
      </x:c>
      <x:c r="BU25" s="117" t="n">
        <x:f>MIN(BU23+BU24,IF('Вводные'!$B$75="Единовременно",BU24,IF(AND('Вводные'!$B$84="Да",YEAR(BU$3)=YEAR($B$21),MONTH(BU$3)=MONTH($B$21)),BU23+BU24,IF(AND((12*(YEAR(BU$3)-YEAR($B$20))+MONTH(BU$3)-MONTH($B$20))&gt;0,MOD((12*(YEAR(BU$3)-YEAR($B$20))+MONTH(BU$3)-MONTH($B$20)),'Вводные'!$B$78)=0,(12*(YEAR(BU$3)-YEAR($B$20))+MONTH(BU$3)-MONTH($B$20))&lt;='Вводные'!$B$77*12),$B$22/MAX(1,'Вводные'!$B$79),0))))</x:f>
      </x:c>
      <x:c r="BV25" s="117" t="n">
        <x:f>MIN(BV23+BV24,IF('Вводные'!$B$75="Единовременно",BV24,IF(AND('Вводные'!$B$84="Да",YEAR(BV$3)=YEAR($B$21),MONTH(BV$3)=MONTH($B$21)),BV23+BV24,IF(AND((12*(YEAR(BV$3)-YEAR($B$20))+MONTH(BV$3)-MONTH($B$20))&gt;0,MOD((12*(YEAR(BV$3)-YEAR($B$20))+MONTH(BV$3)-MONTH($B$20)),'Вводные'!$B$78)=0,(12*(YEAR(BV$3)-YEAR($B$20))+MONTH(BV$3)-MONTH($B$20))&lt;='Вводные'!$B$77*12),$B$22/MAX(1,'Вводные'!$B$79),0))))</x:f>
      </x:c>
      <x:c r="BW25" s="117" t="n">
        <x:f>MIN(BW23+BW24,IF('Вводные'!$B$75="Единовременно",BW24,IF(AND('Вводные'!$B$84="Да",YEAR(BW$3)=YEAR($B$21),MONTH(BW$3)=MONTH($B$21)),BW23+BW24,IF(AND((12*(YEAR(BW$3)-YEAR($B$20))+MONTH(BW$3)-MONTH($B$20))&gt;0,MOD((12*(YEAR(BW$3)-YEAR($B$20))+MONTH(BW$3)-MONTH($B$20)),'Вводные'!$B$78)=0,(12*(YEAR(BW$3)-YEAR($B$20))+MONTH(BW$3)-MONTH($B$20))&lt;='Вводные'!$B$77*12),$B$22/MAX(1,'Вводные'!$B$79),0))))</x:f>
      </x:c>
      <x:c r="BX25" s="117" t="n">
        <x:f>MIN(BX23+BX24,IF('Вводные'!$B$75="Единовременно",BX24,IF(AND('Вводные'!$B$84="Да",YEAR(BX$3)=YEAR($B$21),MONTH(BX$3)=MONTH($B$21)),BX23+BX24,IF(AND((12*(YEAR(BX$3)-YEAR($B$20))+MONTH(BX$3)-MONTH($B$20))&gt;0,MOD((12*(YEAR(BX$3)-YEAR($B$20))+MONTH(BX$3)-MONTH($B$20)),'Вводные'!$B$78)=0,(12*(YEAR(BX$3)-YEAR($B$20))+MONTH(BX$3)-MONTH($B$20))&lt;='Вводные'!$B$77*12),$B$22/MAX(1,'Вводные'!$B$79),0))))</x:f>
      </x:c>
      <x:c r="BY25" s="117" t="n">
        <x:f>MIN(BY23+BY24,IF('Вводные'!$B$75="Единовременно",BY24,IF(AND('Вводные'!$B$84="Да",YEAR(BY$3)=YEAR($B$21),MONTH(BY$3)=MONTH($B$21)),BY23+BY24,IF(AND((12*(YEAR(BY$3)-YEAR($B$20))+MONTH(BY$3)-MONTH($B$20))&gt;0,MOD((12*(YEAR(BY$3)-YEAR($B$20))+MONTH(BY$3)-MONTH($B$20)),'Вводные'!$B$78)=0,(12*(YEAR(BY$3)-YEAR($B$20))+MONTH(BY$3)-MONTH($B$20))&lt;='Вводные'!$B$77*12),$B$22/MAX(1,'Вводные'!$B$79),0))))</x:f>
      </x:c>
      <x:c r="BZ25" s="117" t="n">
        <x:f>MIN(BZ23+BZ24,IF('Вводные'!$B$75="Единовременно",BZ24,IF(AND('Вводные'!$B$84="Да",YEAR(BZ$3)=YEAR($B$21),MONTH(BZ$3)=MONTH($B$21)),BZ23+BZ24,IF(AND((12*(YEAR(BZ$3)-YEAR($B$20))+MONTH(BZ$3)-MONTH($B$20))&gt;0,MOD((12*(YEAR(BZ$3)-YEAR($B$20))+MONTH(BZ$3)-MONTH($B$20)),'Вводные'!$B$78)=0,(12*(YEAR(BZ$3)-YEAR($B$20))+MONTH(BZ$3)-MONTH($B$20))&lt;='Вводные'!$B$77*12),$B$22/MAX(1,'Вводные'!$B$79),0))))</x:f>
      </x:c>
      <x:c r="CA25" s="117" t="n">
        <x:f>MIN(CA23+CA24,IF('Вводные'!$B$75="Единовременно",CA24,IF(AND('Вводные'!$B$84="Да",YEAR(CA$3)=YEAR($B$21),MONTH(CA$3)=MONTH($B$21)),CA23+CA24,IF(AND((12*(YEAR(CA$3)-YEAR($B$20))+MONTH(CA$3)-MONTH($B$20))&gt;0,MOD((12*(YEAR(CA$3)-YEAR($B$20))+MONTH(CA$3)-MONTH($B$20)),'Вводные'!$B$78)=0,(12*(YEAR(CA$3)-YEAR($B$20))+MONTH(CA$3)-MONTH($B$20))&lt;='Вводные'!$B$77*12),$B$22/MAX(1,'Вводные'!$B$79),0))))</x:f>
      </x:c>
      <x:c r="CB25" s="117" t="n">
        <x:f>MIN(CB23+CB24,IF('Вводные'!$B$75="Единовременно",CB24,IF(AND('Вводные'!$B$84="Да",YEAR(CB$3)=YEAR($B$21),MONTH(CB$3)=MONTH($B$21)),CB23+CB24,IF(AND((12*(YEAR(CB$3)-YEAR($B$20))+MONTH(CB$3)-MONTH($B$20))&gt;0,MOD((12*(YEAR(CB$3)-YEAR($B$20))+MONTH(CB$3)-MONTH($B$20)),'Вводные'!$B$78)=0,(12*(YEAR(CB$3)-YEAR($B$20))+MONTH(CB$3)-MONTH($B$20))&lt;='Вводные'!$B$77*12),$B$22/MAX(1,'Вводные'!$B$79),0))))</x:f>
      </x:c>
      <x:c r="CC25" s="117" t="n">
        <x:f>MIN(CC23+CC24,IF('Вводные'!$B$75="Единовременно",CC24,IF(AND('Вводные'!$B$84="Да",YEAR(CC$3)=YEAR($B$21),MONTH(CC$3)=MONTH($B$21)),CC23+CC24,IF(AND((12*(YEAR(CC$3)-YEAR($B$20))+MONTH(CC$3)-MONTH($B$20))&gt;0,MOD((12*(YEAR(CC$3)-YEAR($B$20))+MONTH(CC$3)-MONTH($B$20)),'Вводные'!$B$78)=0,(12*(YEAR(CC$3)-YEAR($B$20))+MONTH(CC$3)-MONTH($B$20))&lt;='Вводные'!$B$77*12),$B$22/MAX(1,'Вводные'!$B$79),0))))</x:f>
      </x:c>
      <x:c r="CD25" s="117" t="n">
        <x:f>MIN(CD23+CD24,IF('Вводные'!$B$75="Единовременно",CD24,IF(AND('Вводные'!$B$84="Да",YEAR(CD$3)=YEAR($B$21),MONTH(CD$3)=MONTH($B$21)),CD23+CD24,IF(AND((12*(YEAR(CD$3)-YEAR($B$20))+MONTH(CD$3)-MONTH($B$20))&gt;0,MOD((12*(YEAR(CD$3)-YEAR($B$20))+MONTH(CD$3)-MONTH($B$20)),'Вводные'!$B$78)=0,(12*(YEAR(CD$3)-YEAR($B$20))+MONTH(CD$3)-MONTH($B$20))&lt;='Вводные'!$B$77*12),$B$22/MAX(1,'Вводные'!$B$79),0))))</x:f>
      </x:c>
      <x:c r="CE25" s="117" t="n">
        <x:f>MIN(CE23+CE24,IF('Вводные'!$B$75="Единовременно",CE24,IF(AND('Вводные'!$B$84="Да",YEAR(CE$3)=YEAR($B$21),MONTH(CE$3)=MONTH($B$21)),CE23+CE24,IF(AND((12*(YEAR(CE$3)-YEAR($B$20))+MONTH(CE$3)-MONTH($B$20))&gt;0,MOD((12*(YEAR(CE$3)-YEAR($B$20))+MONTH(CE$3)-MONTH($B$20)),'Вводные'!$B$78)=0,(12*(YEAR(CE$3)-YEAR($B$20))+MONTH(CE$3)-MONTH($B$20))&lt;='Вводные'!$B$77*12),$B$22/MAX(1,'Вводные'!$B$79),0))))</x:f>
      </x:c>
      <x:c r="CF25" s="117" t="n">
        <x:f>MIN(CF23+CF24,IF('Вводные'!$B$75="Единовременно",CF24,IF(AND('Вводные'!$B$84="Да",YEAR(CF$3)=YEAR($B$21),MONTH(CF$3)=MONTH($B$21)),CF23+CF24,IF(AND((12*(YEAR(CF$3)-YEAR($B$20))+MONTH(CF$3)-MONTH($B$20))&gt;0,MOD((12*(YEAR(CF$3)-YEAR($B$20))+MONTH(CF$3)-MONTH($B$20)),'Вводные'!$B$78)=0,(12*(YEAR(CF$3)-YEAR($B$20))+MONTH(CF$3)-MONTH($B$20))&lt;='Вводные'!$B$77*12),$B$22/MAX(1,'Вводные'!$B$79),0))))</x:f>
      </x:c>
      <x:c r="CG25" s="117" t="n">
        <x:f>MIN(CG23+CG24,IF('Вводные'!$B$75="Единовременно",CG24,IF(AND('Вводные'!$B$84="Да",YEAR(CG$3)=YEAR($B$21),MONTH(CG$3)=MONTH($B$21)),CG23+CG24,IF(AND((12*(YEAR(CG$3)-YEAR($B$20))+MONTH(CG$3)-MONTH($B$20))&gt;0,MOD((12*(YEAR(CG$3)-YEAR($B$20))+MONTH(CG$3)-MONTH($B$20)),'Вводные'!$B$78)=0,(12*(YEAR(CG$3)-YEAR($B$20))+MONTH(CG$3)-MONTH($B$20))&lt;='Вводные'!$B$77*12),$B$22/MAX(1,'Вводные'!$B$79),0))))</x:f>
      </x:c>
      <x:c r="CH25" s="117" t="n">
        <x:f>MIN(CH23+CH24,IF('Вводные'!$B$75="Единовременно",CH24,IF(AND('Вводные'!$B$84="Да",YEAR(CH$3)=YEAR($B$21),MONTH(CH$3)=MONTH($B$21)),CH23+CH24,IF(AND((12*(YEAR(CH$3)-YEAR($B$20))+MONTH(CH$3)-MONTH($B$20))&gt;0,MOD((12*(YEAR(CH$3)-YEAR($B$20))+MONTH(CH$3)-MONTH($B$20)),'Вводные'!$B$78)=0,(12*(YEAR(CH$3)-YEAR($B$20))+MONTH(CH$3)-MONTH($B$20))&lt;='Вводные'!$B$77*12),$B$22/MAX(1,'Вводные'!$B$79),0))))</x:f>
      </x:c>
      <x:c r="CI25" s="117" t="n">
        <x:f>MIN(CI23+CI24,IF('Вводные'!$B$75="Единовременно",CI24,IF(AND('Вводные'!$B$84="Да",YEAR(CI$3)=YEAR($B$21),MONTH(CI$3)=MONTH($B$21)),CI23+CI24,IF(AND((12*(YEAR(CI$3)-YEAR($B$20))+MONTH(CI$3)-MONTH($B$20))&gt;0,MOD((12*(YEAR(CI$3)-YEAR($B$20))+MONTH(CI$3)-MONTH($B$20)),'Вводные'!$B$78)=0,(12*(YEAR(CI$3)-YEAR($B$20))+MONTH(CI$3)-MONTH($B$20))&lt;='Вводные'!$B$77*12),$B$22/MAX(1,'Вводные'!$B$79),0))))</x:f>
      </x:c>
      <x:c r="CJ25" s="117" t="n">
        <x:f>MIN(CJ23+CJ24,IF('Вводные'!$B$75="Единовременно",CJ24,IF(AND('Вводные'!$B$84="Да",YEAR(CJ$3)=YEAR($B$21),MONTH(CJ$3)=MONTH($B$21)),CJ23+CJ24,IF(AND((12*(YEAR(CJ$3)-YEAR($B$20))+MONTH(CJ$3)-MONTH($B$20))&gt;0,MOD((12*(YEAR(CJ$3)-YEAR($B$20))+MONTH(CJ$3)-MONTH($B$20)),'Вводные'!$B$78)=0,(12*(YEAR(CJ$3)-YEAR($B$20))+MONTH(CJ$3)-MONTH($B$20))&lt;='Вводные'!$B$77*12),$B$22/MAX(1,'Вводные'!$B$79),0))))</x:f>
      </x:c>
      <x:c r="CK25" s="117" t="n">
        <x:f>MIN(CK23+CK24,IF('Вводные'!$B$75="Единовременно",CK24,IF(AND('Вводные'!$B$84="Да",YEAR(CK$3)=YEAR($B$21),MONTH(CK$3)=MONTH($B$21)),CK23+CK24,IF(AND((12*(YEAR(CK$3)-YEAR($B$20))+MONTH(CK$3)-MONTH($B$20))&gt;0,MOD((12*(YEAR(CK$3)-YEAR($B$20))+MONTH(CK$3)-MONTH($B$20)),'Вводные'!$B$78)=0,(12*(YEAR(CK$3)-YEAR($B$20))+MONTH(CK$3)-MONTH($B$20))&lt;='Вводные'!$B$77*12),$B$22/MAX(1,'Вводные'!$B$79),0))))</x:f>
      </x:c>
      <x:c r="CL25" s="117" t="n">
        <x:f>MIN(CL23+CL24,IF('Вводные'!$B$75="Единовременно",CL24,IF(AND('Вводные'!$B$84="Да",YEAR(CL$3)=YEAR($B$21),MONTH(CL$3)=MONTH($B$21)),CL23+CL24,IF(AND((12*(YEAR(CL$3)-YEAR($B$20))+MONTH(CL$3)-MONTH($B$20))&gt;0,MOD((12*(YEAR(CL$3)-YEAR($B$20))+MONTH(CL$3)-MONTH($B$20)),'Вводные'!$B$78)=0,(12*(YEAR(CL$3)-YEAR($B$20))+MONTH(CL$3)-MONTH($B$20))&lt;='Вводные'!$B$77*12),$B$22/MAX(1,'Вводные'!$B$79),0))))</x:f>
      </x:c>
      <x:c r="CM25" s="117" t="n">
        <x:f>MIN(CM23+CM24,IF('Вводные'!$B$75="Единовременно",CM24,IF(AND('Вводные'!$B$84="Да",YEAR(CM$3)=YEAR($B$21),MONTH(CM$3)=MONTH($B$21)),CM23+CM24,IF(AND((12*(YEAR(CM$3)-YEAR($B$20))+MONTH(CM$3)-MONTH($B$20))&gt;0,MOD((12*(YEAR(CM$3)-YEAR($B$20))+MONTH(CM$3)-MONTH($B$20)),'Вводные'!$B$78)=0,(12*(YEAR(CM$3)-YEAR($B$20))+MONTH(CM$3)-MONTH($B$20))&lt;='Вводные'!$B$77*12),$B$22/MAX(1,'Вводные'!$B$79),0))))</x:f>
      </x:c>
      <x:c r="CN25" s="117" t="n">
        <x:f>MIN(CN23+CN24,IF('Вводные'!$B$75="Единовременно",CN24,IF(AND('Вводные'!$B$84="Да",YEAR(CN$3)=YEAR($B$21),MONTH(CN$3)=MONTH($B$21)),CN23+CN24,IF(AND((12*(YEAR(CN$3)-YEAR($B$20))+MONTH(CN$3)-MONTH($B$20))&gt;0,MOD((12*(YEAR(CN$3)-YEAR($B$20))+MONTH(CN$3)-MONTH($B$20)),'Вводные'!$B$78)=0,(12*(YEAR(CN$3)-YEAR($B$20))+MONTH(CN$3)-MONTH($B$20))&lt;='Вводные'!$B$77*12),$B$22/MAX(1,'Вводные'!$B$79),0))))</x:f>
      </x:c>
      <x:c r="CO25" s="117" t="n">
        <x:f>MIN(CO23+CO24,IF('Вводные'!$B$75="Единовременно",CO24,IF(AND('Вводные'!$B$84="Да",YEAR(CO$3)=YEAR($B$21),MONTH(CO$3)=MONTH($B$21)),CO23+CO24,IF(AND((12*(YEAR(CO$3)-YEAR($B$20))+MONTH(CO$3)-MONTH($B$20))&gt;0,MOD((12*(YEAR(CO$3)-YEAR($B$20))+MONTH(CO$3)-MONTH($B$20)),'Вводные'!$B$78)=0,(12*(YEAR(CO$3)-YEAR($B$20))+MONTH(CO$3)-MONTH($B$20))&lt;='Вводные'!$B$77*12),$B$22/MAX(1,'Вводные'!$B$79),0))))</x:f>
      </x:c>
      <x:c r="CP25" s="117" t="n">
        <x:f>MIN(CP23+CP24,IF('Вводные'!$B$75="Единовременно",CP24,IF(AND('Вводные'!$B$84="Да",YEAR(CP$3)=YEAR($B$21),MONTH(CP$3)=MONTH($B$21)),CP23+CP24,IF(AND((12*(YEAR(CP$3)-YEAR($B$20))+MONTH(CP$3)-MONTH($B$20))&gt;0,MOD((12*(YEAR(CP$3)-YEAR($B$20))+MONTH(CP$3)-MONTH($B$20)),'Вводные'!$B$78)=0,(12*(YEAR(CP$3)-YEAR($B$20))+MONTH(CP$3)-MONTH($B$20))&lt;='Вводные'!$B$77*12),$B$22/MAX(1,'Вводные'!$B$79),0))))</x:f>
      </x:c>
      <x:c r="CQ25" s="117" t="n">
        <x:f>MIN(CQ23+CQ24,IF('Вводные'!$B$75="Единовременно",CQ24,IF(AND('Вводные'!$B$84="Да",YEAR(CQ$3)=YEAR($B$21),MONTH(CQ$3)=MONTH($B$21)),CQ23+CQ24,IF(AND((12*(YEAR(CQ$3)-YEAR($B$20))+MONTH(CQ$3)-MONTH($B$20))&gt;0,MOD((12*(YEAR(CQ$3)-YEAR($B$20))+MONTH(CQ$3)-MONTH($B$20)),'Вводные'!$B$78)=0,(12*(YEAR(CQ$3)-YEAR($B$20))+MONTH(CQ$3)-MONTH($B$20))&lt;='Вводные'!$B$77*12),$B$22/MAX(1,'Вводные'!$B$79),0))))</x:f>
      </x:c>
      <x:c r="CR25" s="117" t="n">
        <x:f>MIN(CR23+CR24,IF('Вводные'!$B$75="Единовременно",CR24,IF(AND('Вводные'!$B$84="Да",YEAR(CR$3)=YEAR($B$21),MONTH(CR$3)=MONTH($B$21)),CR23+CR24,IF(AND((12*(YEAR(CR$3)-YEAR($B$20))+MONTH(CR$3)-MONTH($B$20))&gt;0,MOD((12*(YEAR(CR$3)-YEAR($B$20))+MONTH(CR$3)-MONTH($B$20)),'Вводные'!$B$78)=0,(12*(YEAR(CR$3)-YEAR($B$20))+MONTH(CR$3)-MONTH($B$20))&lt;='Вводные'!$B$77*12),$B$22/MAX(1,'Вводные'!$B$79),0))))</x:f>
      </x:c>
      <x:c r="CS25" s="117" t="n">
        <x:f>MIN(CS23+CS24,IF('Вводные'!$B$75="Единовременно",CS24,IF(AND('Вводные'!$B$84="Да",YEAR(CS$3)=YEAR($B$21),MONTH(CS$3)=MONTH($B$21)),CS23+CS24,IF(AND((12*(YEAR(CS$3)-YEAR($B$20))+MONTH(CS$3)-MONTH($B$20))&gt;0,MOD((12*(YEAR(CS$3)-YEAR($B$20))+MONTH(CS$3)-MONTH($B$20)),'Вводные'!$B$78)=0,(12*(YEAR(CS$3)-YEAR($B$20))+MONTH(CS$3)-MONTH($B$20))&lt;='Вводные'!$B$77*12),$B$22/MAX(1,'Вводные'!$B$79),0))))</x:f>
      </x:c>
      <x:c r="CT25" s="117" t="n">
        <x:f>MIN(CT23+CT24,IF('Вводные'!$B$75="Единовременно",CT24,IF(AND('Вводные'!$B$84="Да",YEAR(CT$3)=YEAR($B$21),MONTH(CT$3)=MONTH($B$21)),CT23+CT24,IF(AND((12*(YEAR(CT$3)-YEAR($B$20))+MONTH(CT$3)-MONTH($B$20))&gt;0,MOD((12*(YEAR(CT$3)-YEAR($B$20))+MONTH(CT$3)-MONTH($B$20)),'Вводные'!$B$78)=0,(12*(YEAR(CT$3)-YEAR($B$20))+MONTH(CT$3)-MONTH($B$20))&lt;='Вводные'!$B$77*12),$B$22/MAX(1,'Вводные'!$B$79),0))))</x:f>
      </x:c>
      <x:c r="CU25" s="117" t="n">
        <x:f>MIN(CU23+CU24,IF('Вводные'!$B$75="Единовременно",CU24,IF(AND('Вводные'!$B$84="Да",YEAR(CU$3)=YEAR($B$21),MONTH(CU$3)=MONTH($B$21)),CU23+CU24,IF(AND((12*(YEAR(CU$3)-YEAR($B$20))+MONTH(CU$3)-MONTH($B$20))&gt;0,MOD((12*(YEAR(CU$3)-YEAR($B$20))+MONTH(CU$3)-MONTH($B$20)),'Вводные'!$B$78)=0,(12*(YEAR(CU$3)-YEAR($B$20))+MONTH(CU$3)-MONTH($B$20))&lt;='Вводные'!$B$77*12),$B$22/MAX(1,'Вводные'!$B$79),0))))</x:f>
      </x:c>
      <x:c r="CV25" s="117" t="n">
        <x:f>MIN(CV23+CV24,IF('Вводные'!$B$75="Единовременно",CV24,IF(AND('Вводные'!$B$84="Да",YEAR(CV$3)=YEAR($B$21),MONTH(CV$3)=MONTH($B$21)),CV23+CV24,IF(AND((12*(YEAR(CV$3)-YEAR($B$20))+MONTH(CV$3)-MONTH($B$20))&gt;0,MOD((12*(YEAR(CV$3)-YEAR($B$20))+MONTH(CV$3)-MONTH($B$20)),'Вводные'!$B$78)=0,(12*(YEAR(CV$3)-YEAR($B$20))+MONTH(CV$3)-MONTH($B$20))&lt;='Вводные'!$B$77*12),$B$22/MAX(1,'Вводные'!$B$79),0))))</x:f>
      </x:c>
      <x:c r="CW25" s="117" t="n">
        <x:f>MIN(CW23+CW24,IF('Вводные'!$B$75="Единовременно",CW24,IF(AND('Вводные'!$B$84="Да",YEAR(CW$3)=YEAR($B$21),MONTH(CW$3)=MONTH($B$21)),CW23+CW24,IF(AND((12*(YEAR(CW$3)-YEAR($B$20))+MONTH(CW$3)-MONTH($B$20))&gt;0,MOD((12*(YEAR(CW$3)-YEAR($B$20))+MONTH(CW$3)-MONTH($B$20)),'Вводные'!$B$78)=0,(12*(YEAR(CW$3)-YEAR($B$20))+MONTH(CW$3)-MONTH($B$20))&lt;='Вводные'!$B$77*12),$B$22/MAX(1,'Вводные'!$B$79),0))))</x:f>
      </x:c>
      <x:c r="CX25" s="117" t="n">
        <x:f>MIN(CX23+CX24,IF('Вводные'!$B$75="Единовременно",CX24,IF(AND('Вводные'!$B$84="Да",YEAR(CX$3)=YEAR($B$21),MONTH(CX$3)=MONTH($B$21)),CX23+CX24,IF(AND((12*(YEAR(CX$3)-YEAR($B$20))+MONTH(CX$3)-MONTH($B$20))&gt;0,MOD((12*(YEAR(CX$3)-YEAR($B$20))+MONTH(CX$3)-MONTH($B$20)),'Вводные'!$B$78)=0,(12*(YEAR(CX$3)-YEAR($B$20))+MONTH(CX$3)-MONTH($B$20))&lt;='Вводные'!$B$77*12),$B$22/MAX(1,'Вводные'!$B$79),0))))</x:f>
      </x:c>
      <x:c r="CY25" s="117" t="n">
        <x:f>MIN(CY23+CY24,IF('Вводные'!$B$75="Единовременно",CY24,IF(AND('Вводные'!$B$84="Да",YEAR(CY$3)=YEAR($B$21),MONTH(CY$3)=MONTH($B$21)),CY23+CY24,IF(AND((12*(YEAR(CY$3)-YEAR($B$20))+MONTH(CY$3)-MONTH($B$20))&gt;0,MOD((12*(YEAR(CY$3)-YEAR($B$20))+MONTH(CY$3)-MONTH($B$20)),'Вводные'!$B$78)=0,(12*(YEAR(CY$3)-YEAR($B$20))+MONTH(CY$3)-MONTH($B$20))&lt;='Вводные'!$B$77*12),$B$22/MAX(1,'Вводные'!$B$79),0))))</x:f>
      </x:c>
      <x:c r="CZ25" s="117" t="n">
        <x:f>MIN(CZ23+CZ24,IF('Вводные'!$B$75="Единовременно",CZ24,IF(AND('Вводные'!$B$84="Да",YEAR(CZ$3)=YEAR($B$21),MONTH(CZ$3)=MONTH($B$21)),CZ23+CZ24,IF(AND((12*(YEAR(CZ$3)-YEAR($B$20))+MONTH(CZ$3)-MONTH($B$20))&gt;0,MOD((12*(YEAR(CZ$3)-YEAR($B$20))+MONTH(CZ$3)-MONTH($B$20)),'Вводные'!$B$78)=0,(12*(YEAR(CZ$3)-YEAR($B$20))+MONTH(CZ$3)-MONTH($B$20))&lt;='Вводные'!$B$77*12),$B$22/MAX(1,'Вводные'!$B$79),0))))</x:f>
      </x:c>
      <x:c r="DA25" s="117" t="n">
        <x:f>MIN(DA23+DA24,IF('Вводные'!$B$75="Единовременно",DA24,IF(AND('Вводные'!$B$84="Да",YEAR(DA$3)=YEAR($B$21),MONTH(DA$3)=MONTH($B$21)),DA23+DA24,IF(AND((12*(YEAR(DA$3)-YEAR($B$20))+MONTH(DA$3)-MONTH($B$20))&gt;0,MOD((12*(YEAR(DA$3)-YEAR($B$20))+MONTH(DA$3)-MONTH($B$20)),'Вводные'!$B$78)=0,(12*(YEAR(DA$3)-YEAR($B$20))+MONTH(DA$3)-MONTH($B$20))&lt;='Вводные'!$B$77*12),$B$22/MAX(1,'Вводные'!$B$79),0))))</x:f>
      </x:c>
      <x:c r="DB25" s="117" t="n">
        <x:f>MIN(DB23+DB24,IF('Вводные'!$B$75="Единовременно",DB24,IF(AND('Вводные'!$B$84="Да",YEAR(DB$3)=YEAR($B$21),MONTH(DB$3)=MONTH($B$21)),DB23+DB24,IF(AND((12*(YEAR(DB$3)-YEAR($B$20))+MONTH(DB$3)-MONTH($B$20))&gt;0,MOD((12*(YEAR(DB$3)-YEAR($B$20))+MONTH(DB$3)-MONTH($B$20)),'Вводные'!$B$78)=0,(12*(YEAR(DB$3)-YEAR($B$20))+MONTH(DB$3)-MONTH($B$20))&lt;='Вводные'!$B$77*12),$B$22/MAX(1,'Вводные'!$B$79),0))))</x:f>
      </x:c>
      <x:c r="DC25" s="117" t="n">
        <x:f>MIN(DC23+DC24,IF('Вводные'!$B$75="Единовременно",DC24,IF(AND('Вводные'!$B$84="Да",YEAR(DC$3)=YEAR($B$21),MONTH(DC$3)=MONTH($B$21)),DC23+DC24,IF(AND((12*(YEAR(DC$3)-YEAR($B$20))+MONTH(DC$3)-MONTH($B$20))&gt;0,MOD((12*(YEAR(DC$3)-YEAR($B$20))+MONTH(DC$3)-MONTH($B$20)),'Вводные'!$B$78)=0,(12*(YEAR(DC$3)-YEAR($B$20))+MONTH(DC$3)-MONTH($B$20))&lt;='Вводные'!$B$77*12),$B$22/MAX(1,'Вводные'!$B$79),0))))</x:f>
      </x:c>
      <x:c r="DD25" s="117" t="n">
        <x:f>MIN(DD23+DD24,IF('Вводные'!$B$75="Единовременно",DD24,IF(AND('Вводные'!$B$84="Да",YEAR(DD$3)=YEAR($B$21),MONTH(DD$3)=MONTH($B$21)),DD23+DD24,IF(AND((12*(YEAR(DD$3)-YEAR($B$20))+MONTH(DD$3)-MONTH($B$20))&gt;0,MOD((12*(YEAR(DD$3)-YEAR($B$20))+MONTH(DD$3)-MONTH($B$20)),'Вводные'!$B$78)=0,(12*(YEAR(DD$3)-YEAR($B$20))+MONTH(DD$3)-MONTH($B$20))&lt;='Вводные'!$B$77*12),$B$22/MAX(1,'Вводные'!$B$79),0))))</x:f>
      </x:c>
      <x:c r="DE25" s="117" t="n">
        <x:f>MIN(DE23+DE24,IF('Вводные'!$B$75="Единовременно",DE24,IF(AND('Вводные'!$B$84="Да",YEAR(DE$3)=YEAR($B$21),MONTH(DE$3)=MONTH($B$21)),DE23+DE24,IF(AND((12*(YEAR(DE$3)-YEAR($B$20))+MONTH(DE$3)-MONTH($B$20))&gt;0,MOD((12*(YEAR(DE$3)-YEAR($B$20))+MONTH(DE$3)-MONTH($B$20)),'Вводные'!$B$78)=0,(12*(YEAR(DE$3)-YEAR($B$20))+MONTH(DE$3)-MONTH($B$20))&lt;='Вводные'!$B$77*12),$B$22/MAX(1,'Вводные'!$B$79),0))))</x:f>
      </x:c>
      <x:c r="DF25" s="117" t="n">
        <x:f>MIN(DF23+DF24,IF('Вводные'!$B$75="Единовременно",DF24,IF(AND('Вводные'!$B$84="Да",YEAR(DF$3)=YEAR($B$21),MONTH(DF$3)=MONTH($B$21)),DF23+DF24,IF(AND((12*(YEAR(DF$3)-YEAR($B$20))+MONTH(DF$3)-MONTH($B$20))&gt;0,MOD((12*(YEAR(DF$3)-YEAR($B$20))+MONTH(DF$3)-MONTH($B$20)),'Вводные'!$B$78)=0,(12*(YEAR(DF$3)-YEAR($B$20))+MONTH(DF$3)-MONTH($B$20))&lt;='Вводные'!$B$77*12),$B$22/MAX(1,'Вводные'!$B$79),0))))</x:f>
      </x:c>
      <x:c r="DG25" s="117" t="n">
        <x:f>MIN(DG23+DG24,IF('Вводные'!$B$75="Единовременно",DG24,IF(AND('Вводные'!$B$84="Да",YEAR(DG$3)=YEAR($B$21),MONTH(DG$3)=MONTH($B$21)),DG23+DG24,IF(AND((12*(YEAR(DG$3)-YEAR($B$20))+MONTH(DG$3)-MONTH($B$20))&gt;0,MOD((12*(YEAR(DG$3)-YEAR($B$20))+MONTH(DG$3)-MONTH($B$20)),'Вводные'!$B$78)=0,(12*(YEAR(DG$3)-YEAR($B$20))+MONTH(DG$3)-MONTH($B$20))&lt;='Вводные'!$B$77*12),$B$22/MAX(1,'Вводные'!$B$79),0))))</x:f>
      </x:c>
      <x:c r="DH25" s="117" t="n">
        <x:f>MIN(DH23+DH24,IF('Вводные'!$B$75="Единовременно",DH24,IF(AND('Вводные'!$B$84="Да",YEAR(DH$3)=YEAR($B$21),MONTH(DH$3)=MONTH($B$21)),DH23+DH24,IF(AND((12*(YEAR(DH$3)-YEAR($B$20))+MONTH(DH$3)-MONTH($B$20))&gt;0,MOD((12*(YEAR(DH$3)-YEAR($B$20))+MONTH(DH$3)-MONTH($B$20)),'Вводные'!$B$78)=0,(12*(YEAR(DH$3)-YEAR($B$20))+MONTH(DH$3)-MONTH($B$20))&lt;='Вводные'!$B$77*12),$B$22/MAX(1,'Вводные'!$B$79),0))))</x:f>
      </x:c>
      <x:c r="DI25" s="117" t="n">
        <x:f>MIN(DI23+DI24,IF('Вводные'!$B$75="Единовременно",DI24,IF(AND('Вводные'!$B$84="Да",YEAR(DI$3)=YEAR($B$21),MONTH(DI$3)=MONTH($B$21)),DI23+DI24,IF(AND((12*(YEAR(DI$3)-YEAR($B$20))+MONTH(DI$3)-MONTH($B$20))&gt;0,MOD((12*(YEAR(DI$3)-YEAR($B$20))+MONTH(DI$3)-MONTH($B$20)),'Вводные'!$B$78)=0,(12*(YEAR(DI$3)-YEAR($B$20))+MONTH(DI$3)-MONTH($B$20))&lt;='Вводные'!$B$77*12),$B$22/MAX(1,'Вводные'!$B$79),0))))</x:f>
      </x:c>
      <x:c r="DJ25" s="117" t="n">
        <x:f>MIN(DJ23+DJ24,IF('Вводные'!$B$75="Единовременно",DJ24,IF(AND('Вводные'!$B$84="Да",YEAR(DJ$3)=YEAR($B$21),MONTH(DJ$3)=MONTH($B$21)),DJ23+DJ24,IF(AND((12*(YEAR(DJ$3)-YEAR($B$20))+MONTH(DJ$3)-MONTH($B$20))&gt;0,MOD((12*(YEAR(DJ$3)-YEAR($B$20))+MONTH(DJ$3)-MONTH($B$20)),'Вводные'!$B$78)=0,(12*(YEAR(DJ$3)-YEAR($B$20))+MONTH(DJ$3)-MONTH($B$20))&lt;='Вводные'!$B$77*12),$B$22/MAX(1,'Вводные'!$B$79),0))))</x:f>
      </x:c>
      <x:c r="DK25" s="117" t="n">
        <x:f>MIN(DK23+DK24,IF('Вводные'!$B$75="Единовременно",DK24,IF(AND('Вводные'!$B$84="Да",YEAR(DK$3)=YEAR($B$21),MONTH(DK$3)=MONTH($B$21)),DK23+DK24,IF(AND((12*(YEAR(DK$3)-YEAR($B$20))+MONTH(DK$3)-MONTH($B$20))&gt;0,MOD((12*(YEAR(DK$3)-YEAR($B$20))+MONTH(DK$3)-MONTH($B$20)),'Вводные'!$B$78)=0,(12*(YEAR(DK$3)-YEAR($B$20))+MONTH(DK$3)-MONTH($B$20))&lt;='Вводные'!$B$77*12),$B$22/MAX(1,'Вводные'!$B$79),0))))</x:f>
      </x:c>
      <x:c r="DL25" s="117" t="n">
        <x:f>MIN(DL23+DL24,IF('Вводные'!$B$75="Единовременно",DL24,IF(AND('Вводные'!$B$84="Да",YEAR(DL$3)=YEAR($B$21),MONTH(DL$3)=MONTH($B$21)),DL23+DL24,IF(AND((12*(YEAR(DL$3)-YEAR($B$20))+MONTH(DL$3)-MONTH($B$20))&gt;0,MOD((12*(YEAR(DL$3)-YEAR($B$20))+MONTH(DL$3)-MONTH($B$20)),'Вводные'!$B$78)=0,(12*(YEAR(DL$3)-YEAR($B$20))+MONTH(DL$3)-MONTH($B$20))&lt;='Вводные'!$B$77*12),$B$22/MAX(1,'Вводные'!$B$79),0))))</x:f>
      </x:c>
      <x:c r="DM25" s="117" t="n">
        <x:f>MIN(DM23+DM24,IF('Вводные'!$B$75="Единовременно",DM24,IF(AND('Вводные'!$B$84="Да",YEAR(DM$3)=YEAR($B$21),MONTH(DM$3)=MONTH($B$21)),DM23+DM24,IF(AND((12*(YEAR(DM$3)-YEAR($B$20))+MONTH(DM$3)-MONTH($B$20))&gt;0,MOD((12*(YEAR(DM$3)-YEAR($B$20))+MONTH(DM$3)-MONTH($B$20)),'Вводные'!$B$78)=0,(12*(YEAR(DM$3)-YEAR($B$20))+MONTH(DM$3)-MONTH($B$20))&lt;='Вводные'!$B$77*12),$B$22/MAX(1,'Вводные'!$B$79),0))))</x:f>
      </x:c>
      <x:c r="DN25" s="117" t="n">
        <x:f>MIN(DN23+DN24,IF('Вводные'!$B$75="Единовременно",DN24,IF(AND('Вводные'!$B$84="Да",YEAR(DN$3)=YEAR($B$21),MONTH(DN$3)=MONTH($B$21)),DN23+DN24,IF(AND((12*(YEAR(DN$3)-YEAR($B$20))+MONTH(DN$3)-MONTH($B$20))&gt;0,MOD((12*(YEAR(DN$3)-YEAR($B$20))+MONTH(DN$3)-MONTH($B$20)),'Вводные'!$B$78)=0,(12*(YEAR(DN$3)-YEAR($B$20))+MONTH(DN$3)-MONTH($B$20))&lt;='Вводные'!$B$77*12),$B$22/MAX(1,'Вводные'!$B$79),0))))</x:f>
      </x:c>
      <x:c r="DO25" s="117" t="n">
        <x:f>MIN(DO23+DO24,IF('Вводные'!$B$75="Единовременно",DO24,IF(AND('Вводные'!$B$84="Да",YEAR(DO$3)=YEAR($B$21),MONTH(DO$3)=MONTH($B$21)),DO23+DO24,IF(AND((12*(YEAR(DO$3)-YEAR($B$20))+MONTH(DO$3)-MONTH($B$20))&gt;0,MOD((12*(YEAR(DO$3)-YEAR($B$20))+MONTH(DO$3)-MONTH($B$20)),'Вводные'!$B$78)=0,(12*(YEAR(DO$3)-YEAR($B$20))+MONTH(DO$3)-MONTH($B$20))&lt;='Вводные'!$B$77*12),$B$22/MAX(1,'Вводные'!$B$79),0))))</x:f>
      </x:c>
      <x:c r="DP25" s="117" t="n">
        <x:f>MIN(DP23+DP24,IF('Вводные'!$B$75="Единовременно",DP24,IF(AND('Вводные'!$B$84="Да",YEAR(DP$3)=YEAR($B$21),MONTH(DP$3)=MONTH($B$21)),DP23+DP24,IF(AND((12*(YEAR(DP$3)-YEAR($B$20))+MONTH(DP$3)-MONTH($B$20))&gt;0,MOD((12*(YEAR(DP$3)-YEAR($B$20))+MONTH(DP$3)-MONTH($B$20)),'Вводные'!$B$78)=0,(12*(YEAR(DP$3)-YEAR($B$20))+MONTH(DP$3)-MONTH($B$20))&lt;='Вводные'!$B$77*12),$B$22/MAX(1,'Вводные'!$B$79),0))))</x:f>
      </x:c>
      <x:c r="DQ25" s="117" t="n">
        <x:f>MIN(DQ23+DQ24,IF('Вводные'!$B$75="Единовременно",DQ24,IF(AND('Вводные'!$B$84="Да",YEAR(DQ$3)=YEAR($B$21),MONTH(DQ$3)=MONTH($B$21)),DQ23+DQ24,IF(AND((12*(YEAR(DQ$3)-YEAR($B$20))+MONTH(DQ$3)-MONTH($B$20))&gt;0,MOD((12*(YEAR(DQ$3)-YEAR($B$20))+MONTH(DQ$3)-MONTH($B$20)),'Вводные'!$B$78)=0,(12*(YEAR(DQ$3)-YEAR($B$20))+MONTH(DQ$3)-MONTH($B$20))&lt;='Вводные'!$B$77*12),$B$22/MAX(1,'Вводные'!$B$79),0))))</x:f>
      </x:c>
      <x:c r="DR25" s="117" t="n">
        <x:f>MIN(DR23+DR24,IF('Вводные'!$B$75="Единовременно",DR24,IF(AND('Вводные'!$B$84="Да",YEAR(DR$3)=YEAR($B$21),MONTH(DR$3)=MONTH($B$21)),DR23+DR24,IF(AND((12*(YEAR(DR$3)-YEAR($B$20))+MONTH(DR$3)-MONTH($B$20))&gt;0,MOD((12*(YEAR(DR$3)-YEAR($B$20))+MONTH(DR$3)-MONTH($B$20)),'Вводные'!$B$78)=0,(12*(YEAR(DR$3)-YEAR($B$20))+MONTH(DR$3)-MONTH($B$20))&lt;='Вводные'!$B$77*12),$B$22/MAX(1,'Вводные'!$B$79),0))))</x:f>
      </x:c>
      <x:c r="DS25" s="117" t="n">
        <x:f>MIN(DS23+DS24,IF('Вводные'!$B$75="Единовременно",DS24,IF(AND('Вводные'!$B$84="Да",YEAR(DS$3)=YEAR($B$21),MONTH(DS$3)=MONTH($B$21)),DS23+DS24,IF(AND((12*(YEAR(DS$3)-YEAR($B$20))+MONTH(DS$3)-MONTH($B$20))&gt;0,MOD((12*(YEAR(DS$3)-YEAR($B$20))+MONTH(DS$3)-MONTH($B$20)),'Вводные'!$B$78)=0,(12*(YEAR(DS$3)-YEAR($B$20))+MONTH(DS$3)-MONTH($B$20))&lt;='Вводные'!$B$77*12),$B$22/MAX(1,'Вводные'!$B$79),0))))</x:f>
      </x:c>
      <x:c r="DT25" s="117" t="n">
        <x:f>MIN(DT23+DT24,IF('Вводные'!$B$75="Единовременно",DT24,IF(AND('Вводные'!$B$84="Да",YEAR(DT$3)=YEAR($B$21),MONTH(DT$3)=MONTH($B$21)),DT23+DT24,IF(AND((12*(YEAR(DT$3)-YEAR($B$20))+MONTH(DT$3)-MONTH($B$20))&gt;0,MOD((12*(YEAR(DT$3)-YEAR($B$20))+MONTH(DT$3)-MONTH($B$20)),'Вводные'!$B$78)=0,(12*(YEAR(DT$3)-YEAR($B$20))+MONTH(DT$3)-MONTH($B$20))&lt;='Вводные'!$B$77*12),$B$22/MAX(1,'Вводные'!$B$79),0))))</x:f>
      </x:c>
      <x:c r="DU25" s="117" t="n">
        <x:f>MIN(DU23+DU24,IF('Вводные'!$B$75="Единовременно",DU24,IF(AND('Вводные'!$B$84="Да",YEAR(DU$3)=YEAR($B$21),MONTH(DU$3)=MONTH($B$21)),DU23+DU24,IF(AND((12*(YEAR(DU$3)-YEAR($B$20))+MONTH(DU$3)-MONTH($B$20))&gt;0,MOD((12*(YEAR(DU$3)-YEAR($B$20))+MONTH(DU$3)-MONTH($B$20)),'Вводные'!$B$78)=0,(12*(YEAR(DU$3)-YEAR($B$20))+MONTH(DU$3)-MONTH($B$20))&lt;='Вводные'!$B$77*12),$B$22/MAX(1,'Вводные'!$B$79),0))))</x:f>
      </x:c>
      <x:c r="DV25" s="117" t="n">
        <x:f>MIN(DV23+DV24,IF('Вводные'!$B$75="Единовременно",DV24,IF(AND('Вводные'!$B$84="Да",YEAR(DV$3)=YEAR($B$21),MONTH(DV$3)=MONTH($B$21)),DV23+DV24,IF(AND((12*(YEAR(DV$3)-YEAR($B$20))+MONTH(DV$3)-MONTH($B$20))&gt;0,MOD((12*(YEAR(DV$3)-YEAR($B$20))+MONTH(DV$3)-MONTH($B$20)),'Вводные'!$B$78)=0,(12*(YEAR(DV$3)-YEAR($B$20))+MONTH(DV$3)-MONTH($B$20))&lt;='Вводные'!$B$77*12),$B$22/MAX(1,'Вводные'!$B$79),0))))</x:f>
      </x:c>
      <x:c r="DW25" s="117" t="n">
        <x:f>MIN(DW23+DW24,IF('Вводные'!$B$75="Единовременно",DW24,IF(AND('Вводные'!$B$84="Да",YEAR(DW$3)=YEAR($B$21),MONTH(DW$3)=MONTH($B$21)),DW23+DW24,IF(AND((12*(YEAR(DW$3)-YEAR($B$20))+MONTH(DW$3)-MONTH($B$20))&gt;0,MOD((12*(YEAR(DW$3)-YEAR($B$20))+MONTH(DW$3)-MONTH($B$20)),'Вводные'!$B$78)=0,(12*(YEAR(DW$3)-YEAR($B$20))+MONTH(DW$3)-MONTH($B$20))&lt;='Вводные'!$B$77*12),$B$22/MAX(1,'Вводные'!$B$79),0))))</x:f>
      </x:c>
      <x:c r="DX25" s="117" t="n">
        <x:f>MIN(DX23+DX24,IF('Вводные'!$B$75="Единовременно",DX24,IF(AND('Вводные'!$B$84="Да",YEAR(DX$3)=YEAR($B$21),MONTH(DX$3)=MONTH($B$21)),DX23+DX24,IF(AND((12*(YEAR(DX$3)-YEAR($B$20))+MONTH(DX$3)-MONTH($B$20))&gt;0,MOD((12*(YEAR(DX$3)-YEAR($B$20))+MONTH(DX$3)-MONTH($B$20)),'Вводные'!$B$78)=0,(12*(YEAR(DX$3)-YEAR($B$20))+MONTH(DX$3)-MONTH($B$20))&lt;='Вводные'!$B$77*12),$B$22/MAX(1,'Вводные'!$B$79),0))))</x:f>
      </x:c>
      <x:c r="DY25" s="117" t="n">
        <x:f>MIN(DY23+DY24,IF('Вводные'!$B$75="Единовременно",DY24,IF(AND('Вводные'!$B$84="Да",YEAR(DY$3)=YEAR($B$21),MONTH(DY$3)=MONTH($B$21)),DY23+DY24,IF(AND((12*(YEAR(DY$3)-YEAR($B$20))+MONTH(DY$3)-MONTH($B$20))&gt;0,MOD((12*(YEAR(DY$3)-YEAR($B$20))+MONTH(DY$3)-MONTH($B$20)),'Вводные'!$B$78)=0,(12*(YEAR(DY$3)-YEAR($B$20))+MONTH(DY$3)-MONTH($B$20))&lt;='Вводные'!$B$77*12),$B$22/MAX(1,'Вводные'!$B$79),0))))</x:f>
      </x:c>
      <x:c r="DZ25" s="117" t="n">
        <x:f>MIN(DZ23+DZ24,IF('Вводные'!$B$75="Единовременно",DZ24,IF(AND('Вводные'!$B$84="Да",YEAR(DZ$3)=YEAR($B$21),MONTH(DZ$3)=MONTH($B$21)),DZ23+DZ24,IF(AND((12*(YEAR(DZ$3)-YEAR($B$20))+MONTH(DZ$3)-MONTH($B$20))&gt;0,MOD((12*(YEAR(DZ$3)-YEAR($B$20))+MONTH(DZ$3)-MONTH($B$20)),'Вводные'!$B$78)=0,(12*(YEAR(DZ$3)-YEAR($B$20))+MONTH(DZ$3)-MONTH($B$20))&lt;='Вводные'!$B$77*12),$B$22/MAX(1,'Вводные'!$B$79),0))))</x:f>
      </x:c>
      <x:c r="EA25" s="117" t="n">
        <x:f>MIN(EA23+EA24,IF('Вводные'!$B$75="Единовременно",EA24,IF(AND('Вводные'!$B$84="Да",YEAR(EA$3)=YEAR($B$21),MONTH(EA$3)=MONTH($B$21)),EA23+EA24,IF(AND((12*(YEAR(EA$3)-YEAR($B$20))+MONTH(EA$3)-MONTH($B$20))&gt;0,MOD((12*(YEAR(EA$3)-YEAR($B$20))+MONTH(EA$3)-MONTH($B$20)),'Вводные'!$B$78)=0,(12*(YEAR(EA$3)-YEAR($B$20))+MONTH(EA$3)-MONTH($B$20))&lt;='Вводные'!$B$77*12),$B$22/MAX(1,'Вводные'!$B$79),0))))</x:f>
      </x:c>
      <x:c r="EB25" s="117" t="n">
        <x:f>MIN(EB23+EB24,IF('Вводные'!$B$75="Единовременно",EB24,IF(AND('Вводные'!$B$84="Да",YEAR(EB$3)=YEAR($B$21),MONTH(EB$3)=MONTH($B$21)),EB23+EB24,IF(AND((12*(YEAR(EB$3)-YEAR($B$20))+MONTH(EB$3)-MONTH($B$20))&gt;0,MOD((12*(YEAR(EB$3)-YEAR($B$20))+MONTH(EB$3)-MONTH($B$20)),'Вводные'!$B$78)=0,(12*(YEAR(EB$3)-YEAR($B$20))+MONTH(EB$3)-MONTH($B$20))&lt;='Вводные'!$B$77*12),$B$22/MAX(1,'Вводные'!$B$79),0))))</x:f>
      </x:c>
      <x:c r="EC25" s="117" t="n">
        <x:f>MIN(EC23+EC24,IF('Вводные'!$B$75="Единовременно",EC24,IF(AND('Вводные'!$B$84="Да",YEAR(EC$3)=YEAR($B$21),MONTH(EC$3)=MONTH($B$21)),EC23+EC24,IF(AND((12*(YEAR(EC$3)-YEAR($B$20))+MONTH(EC$3)-MONTH($B$20))&gt;0,MOD((12*(YEAR(EC$3)-YEAR($B$20))+MONTH(EC$3)-MONTH($B$20)),'Вводные'!$B$78)=0,(12*(YEAR(EC$3)-YEAR($B$20))+MONTH(EC$3)-MONTH($B$20))&lt;='Вводные'!$B$77*12),$B$22/MAX(1,'Вводные'!$B$79),0))))</x:f>
      </x:c>
      <x:c r="ED25" s="117" t="n">
        <x:f>MIN(ED23+ED24,IF('Вводные'!$B$75="Единовременно",ED24,IF(AND('Вводные'!$B$84="Да",YEAR(ED$3)=YEAR($B$21),MONTH(ED$3)=MONTH($B$21)),ED23+ED24,IF(AND((12*(YEAR(ED$3)-YEAR($B$20))+MONTH(ED$3)-MONTH($B$20))&gt;0,MOD((12*(YEAR(ED$3)-YEAR($B$20))+MONTH(ED$3)-MONTH($B$20)),'Вводные'!$B$78)=0,(12*(YEAR(ED$3)-YEAR($B$20))+MONTH(ED$3)-MONTH($B$20))&lt;='Вводные'!$B$77*12),$B$22/MAX(1,'Вводные'!$B$79),0))))</x:f>
      </x:c>
      <x:c r="EE25" s="117" t="n">
        <x:f>MIN(EE23+EE24,IF('Вводные'!$B$75="Единовременно",EE24,IF(AND('Вводные'!$B$84="Да",YEAR(EE$3)=YEAR($B$21),MONTH(EE$3)=MONTH($B$21)),EE23+EE24,IF(AND((12*(YEAR(EE$3)-YEAR($B$20))+MONTH(EE$3)-MONTH($B$20))&gt;0,MOD((12*(YEAR(EE$3)-YEAR($B$20))+MONTH(EE$3)-MONTH($B$20)),'Вводные'!$B$78)=0,(12*(YEAR(EE$3)-YEAR($B$20))+MONTH(EE$3)-MONTH($B$20))&lt;='Вводные'!$B$77*12),$B$22/MAX(1,'Вводные'!$B$79),0))))</x:f>
      </x:c>
      <x:c r="EF25" s="117" t="n">
        <x:f>MIN(EF23+EF24,IF('Вводные'!$B$75="Единовременно",EF24,IF(AND('Вводные'!$B$84="Да",YEAR(EF$3)=YEAR($B$21),MONTH(EF$3)=MONTH($B$21)),EF23+EF24,IF(AND((12*(YEAR(EF$3)-YEAR($B$20))+MONTH(EF$3)-MONTH($B$20))&gt;0,MOD((12*(YEAR(EF$3)-YEAR($B$20))+MONTH(EF$3)-MONTH($B$20)),'Вводные'!$B$78)=0,(12*(YEAR(EF$3)-YEAR($B$20))+MONTH(EF$3)-MONTH($B$20))&lt;='Вводные'!$B$77*12),$B$22/MAX(1,'Вводные'!$B$79),0))))</x:f>
      </x:c>
      <x:c r="EG25" s="117" t="n">
        <x:f>MIN(EG23+EG24,IF('Вводные'!$B$75="Единовременно",EG24,IF(AND('Вводные'!$B$84="Да",YEAR(EG$3)=YEAR($B$21),MONTH(EG$3)=MONTH($B$21)),EG23+EG24,IF(AND((12*(YEAR(EG$3)-YEAR($B$20))+MONTH(EG$3)-MONTH($B$20))&gt;0,MOD((12*(YEAR(EG$3)-YEAR($B$20))+MONTH(EG$3)-MONTH($B$20)),'Вводные'!$B$78)=0,(12*(YEAR(EG$3)-YEAR($B$20))+MONTH(EG$3)-MONTH($B$20))&lt;='Вводные'!$B$77*12),$B$22/MAX(1,'Вводные'!$B$79),0))))</x:f>
      </x:c>
      <x:c r="EH25" s="117" t="n">
        <x:f>MIN(EH23+EH24,IF('Вводные'!$B$75="Единовременно",EH24,IF(AND('Вводные'!$B$84="Да",YEAR(EH$3)=YEAR($B$21),MONTH(EH$3)=MONTH($B$21)),EH23+EH24,IF(AND((12*(YEAR(EH$3)-YEAR($B$20))+MONTH(EH$3)-MONTH($B$20))&gt;0,MOD((12*(YEAR(EH$3)-YEAR($B$20))+MONTH(EH$3)-MONTH($B$20)),'Вводные'!$B$78)=0,(12*(YEAR(EH$3)-YEAR($B$20))+MONTH(EH$3)-MONTH($B$20))&lt;='Вводные'!$B$77*12),$B$22/MAX(1,'Вводные'!$B$79),0))))</x:f>
      </x:c>
      <x:c r="EI25" s="117" t="n">
        <x:f>MIN(EI23+EI24,IF('Вводные'!$B$75="Единовременно",EI24,IF(AND('Вводные'!$B$84="Да",YEAR(EI$3)=YEAR($B$21),MONTH(EI$3)=MONTH($B$21)),EI23+EI24,IF(AND((12*(YEAR(EI$3)-YEAR($B$20))+MONTH(EI$3)-MONTH($B$20))&gt;0,MOD((12*(YEAR(EI$3)-YEAR($B$20))+MONTH(EI$3)-MONTH($B$20)),'Вводные'!$B$78)=0,(12*(YEAR(EI$3)-YEAR($B$20))+MONTH(EI$3)-MONTH($B$20))&lt;='Вводные'!$B$77*12),$B$22/MAX(1,'Вводные'!$B$79),0))))</x:f>
      </x:c>
      <x:c r="EJ25" s="117" t="n">
        <x:f>MIN(EJ23+EJ24,IF('Вводные'!$B$75="Единовременно",EJ24,IF(AND('Вводные'!$B$84="Да",YEAR(EJ$3)=YEAR($B$21),MONTH(EJ$3)=MONTH($B$21)),EJ23+EJ24,IF(AND((12*(YEAR(EJ$3)-YEAR($B$20))+MONTH(EJ$3)-MONTH($B$20))&gt;0,MOD((12*(YEAR(EJ$3)-YEAR($B$20))+MONTH(EJ$3)-MONTH($B$20)),'Вводные'!$B$78)=0,(12*(YEAR(EJ$3)-YEAR($B$20))+MONTH(EJ$3)-MONTH($B$20))&lt;='Вводные'!$B$77*12),$B$22/MAX(1,'Вводные'!$B$79),0))))</x:f>
      </x:c>
      <x:c r="EK25" s="117" t="n">
        <x:f>MIN(EK23+EK24,IF('Вводные'!$B$75="Единовременно",EK24,IF(AND('Вводные'!$B$84="Да",YEAR(EK$3)=YEAR($B$21),MONTH(EK$3)=MONTH($B$21)),EK23+EK24,IF(AND((12*(YEAR(EK$3)-YEAR($B$20))+MONTH(EK$3)-MONTH($B$20))&gt;0,MOD((12*(YEAR(EK$3)-YEAR($B$20))+MONTH(EK$3)-MONTH($B$20)),'Вводные'!$B$78)=0,(12*(YEAR(EK$3)-YEAR($B$20))+MONTH(EK$3)-MONTH($B$20))&lt;='Вводные'!$B$77*12),$B$22/MAX(1,'Вводные'!$B$79),0))))</x:f>
      </x:c>
      <x:c r="EL25" s="117" t="n">
        <x:f>MIN(EL23+EL24,IF('Вводные'!$B$75="Единовременно",EL24,IF(AND('Вводные'!$B$84="Да",YEAR(EL$3)=YEAR($B$21),MONTH(EL$3)=MONTH($B$21)),EL23+EL24,IF(AND((12*(YEAR(EL$3)-YEAR($B$20))+MONTH(EL$3)-MONTH($B$20))&gt;0,MOD((12*(YEAR(EL$3)-YEAR($B$20))+MONTH(EL$3)-MONTH($B$20)),'Вводные'!$B$78)=0,(12*(YEAR(EL$3)-YEAR($B$20))+MONTH(EL$3)-MONTH($B$20))&lt;='Вводные'!$B$77*12),$B$22/MAX(1,'Вводные'!$B$79),0))))</x:f>
      </x:c>
      <x:c r="EM25" s="117" t="n">
        <x:f>MIN(EM23+EM24,IF('Вводные'!$B$75="Единовременно",EM24,IF(AND('Вводные'!$B$84="Да",YEAR(EM$3)=YEAR($B$21),MONTH(EM$3)=MONTH($B$21)),EM23+EM24,IF(AND((12*(YEAR(EM$3)-YEAR($B$20))+MONTH(EM$3)-MONTH($B$20))&gt;0,MOD((12*(YEAR(EM$3)-YEAR($B$20))+MONTH(EM$3)-MONTH($B$20)),'Вводные'!$B$78)=0,(12*(YEAR(EM$3)-YEAR($B$20))+MONTH(EM$3)-MONTH($B$20))&lt;='Вводные'!$B$77*12),$B$22/MAX(1,'Вводные'!$B$79),0))))</x:f>
      </x:c>
      <x:c r="EN25" s="117" t="n">
        <x:f>MIN(EN23+EN24,IF('Вводные'!$B$75="Единовременно",EN24,IF(AND('Вводные'!$B$84="Да",YEAR(EN$3)=YEAR($B$21),MONTH(EN$3)=MONTH($B$21)),EN23+EN24,IF(AND((12*(YEAR(EN$3)-YEAR($B$20))+MONTH(EN$3)-MONTH($B$20))&gt;0,MOD((12*(YEAR(EN$3)-YEAR($B$20))+MONTH(EN$3)-MONTH($B$20)),'Вводные'!$B$78)=0,(12*(YEAR(EN$3)-YEAR($B$20))+MONTH(EN$3)-MONTH($B$20))&lt;='Вводные'!$B$77*12),$B$22/MAX(1,'Вводные'!$B$79),0))))</x:f>
      </x:c>
      <x:c r="EO25" s="117" t="n">
        <x:f>MIN(EO23+EO24,IF('Вводные'!$B$75="Единовременно",EO24,IF(AND('Вводные'!$B$84="Да",YEAR(EO$3)=YEAR($B$21),MONTH(EO$3)=MONTH($B$21)),EO23+EO24,IF(AND((12*(YEAR(EO$3)-YEAR($B$20))+MONTH(EO$3)-MONTH($B$20))&gt;0,MOD((12*(YEAR(EO$3)-YEAR($B$20))+MONTH(EO$3)-MONTH($B$20)),'Вводные'!$B$78)=0,(12*(YEAR(EO$3)-YEAR($B$20))+MONTH(EO$3)-MONTH($B$20))&lt;='Вводные'!$B$77*12),$B$22/MAX(1,'Вводные'!$B$79),0))))</x:f>
      </x:c>
      <x:c r="EP25" s="117" t="n">
        <x:f>MIN(EP23+EP24,IF('Вводные'!$B$75="Единовременно",EP24,IF(AND('Вводные'!$B$84="Да",YEAR(EP$3)=YEAR($B$21),MONTH(EP$3)=MONTH($B$21)),EP23+EP24,IF(AND((12*(YEAR(EP$3)-YEAR($B$20))+MONTH(EP$3)-MONTH($B$20))&gt;0,MOD((12*(YEAR(EP$3)-YEAR($B$20))+MONTH(EP$3)-MONTH($B$20)),'Вводные'!$B$78)=0,(12*(YEAR(EP$3)-YEAR($B$20))+MONTH(EP$3)-MONTH($B$20))&lt;='Вводные'!$B$77*12),$B$22/MAX(1,'Вводные'!$B$79),0))))</x:f>
      </x:c>
      <x:c r="EQ25" s="117" t="n">
        <x:f>MIN(EQ23+EQ24,IF('Вводные'!$B$75="Единовременно",EQ24,IF(AND('Вводные'!$B$84="Да",YEAR(EQ$3)=YEAR($B$21),MONTH(EQ$3)=MONTH($B$21)),EQ23+EQ24,IF(AND((12*(YEAR(EQ$3)-YEAR($B$20))+MONTH(EQ$3)-MONTH($B$20))&gt;0,MOD((12*(YEAR(EQ$3)-YEAR($B$20))+MONTH(EQ$3)-MONTH($B$20)),'Вводные'!$B$78)=0,(12*(YEAR(EQ$3)-YEAR($B$20))+MONTH(EQ$3)-MONTH($B$20))&lt;='Вводные'!$B$77*12),$B$22/MAX(1,'Вводные'!$B$79),0))))</x:f>
      </x:c>
      <x:c r="ER25" s="117" t="n">
        <x:f>MIN(ER23+ER24,IF('Вводные'!$B$75="Единовременно",ER24,IF(AND('Вводные'!$B$84="Да",YEAR(ER$3)=YEAR($B$21),MONTH(ER$3)=MONTH($B$21)),ER23+ER24,IF(AND((12*(YEAR(ER$3)-YEAR($B$20))+MONTH(ER$3)-MONTH($B$20))&gt;0,MOD((12*(YEAR(ER$3)-YEAR($B$20))+MONTH(ER$3)-MONTH($B$20)),'Вводные'!$B$78)=0,(12*(YEAR(ER$3)-YEAR($B$20))+MONTH(ER$3)-MONTH($B$20))&lt;='Вводные'!$B$77*12),$B$22/MAX(1,'Вводные'!$B$79),0))))</x:f>
      </x:c>
      <x:c r="ES25" s="117" t="n">
        <x:f>MIN(ES23+ES24,IF('Вводные'!$B$75="Единовременно",ES24,IF(AND('Вводные'!$B$84="Да",YEAR(ES$3)=YEAR($B$21),MONTH(ES$3)=MONTH($B$21)),ES23+ES24,IF(AND((12*(YEAR(ES$3)-YEAR($B$20))+MONTH(ES$3)-MONTH($B$20))&gt;0,MOD((12*(YEAR(ES$3)-YEAR($B$20))+MONTH(ES$3)-MONTH($B$20)),'Вводные'!$B$78)=0,(12*(YEAR(ES$3)-YEAR($B$20))+MONTH(ES$3)-MONTH($B$20))&lt;='Вводные'!$B$77*12),$B$22/MAX(1,'Вводные'!$B$79),0))))</x:f>
      </x:c>
      <x:c r="ET25" s="117" t="n">
        <x:f>MIN(ET23+ET24,IF('Вводные'!$B$75="Единовременно",ET24,IF(AND('Вводные'!$B$84="Да",YEAR(ET$3)=YEAR($B$21),MONTH(ET$3)=MONTH($B$21)),ET23+ET24,IF(AND((12*(YEAR(ET$3)-YEAR($B$20))+MONTH(ET$3)-MONTH($B$20))&gt;0,MOD((12*(YEAR(ET$3)-YEAR($B$20))+MONTH(ET$3)-MONTH($B$20)),'Вводные'!$B$78)=0,(12*(YEAR(ET$3)-YEAR($B$20))+MONTH(ET$3)-MONTH($B$20))&lt;='Вводные'!$B$77*12),$B$22/MAX(1,'Вводные'!$B$79),0))))</x:f>
      </x:c>
      <x:c r="EU25" s="117" t="n">
        <x:f>MIN(EU23+EU24,IF('Вводные'!$B$75="Единовременно",EU24,IF(AND('Вводные'!$B$84="Да",YEAR(EU$3)=YEAR($B$21),MONTH(EU$3)=MONTH($B$21)),EU23+EU24,IF(AND((12*(YEAR(EU$3)-YEAR($B$20))+MONTH(EU$3)-MONTH($B$20))&gt;0,MOD((12*(YEAR(EU$3)-YEAR($B$20))+MONTH(EU$3)-MONTH($B$20)),'Вводные'!$B$78)=0,(12*(YEAR(EU$3)-YEAR($B$20))+MONTH(EU$3)-MONTH($B$20))&lt;='Вводные'!$B$77*12),$B$22/MAX(1,'Вводные'!$B$79),0))))</x:f>
      </x:c>
      <x:c r="EV25" s="117" t="n">
        <x:f>MIN(EV23+EV24,IF('Вводные'!$B$75="Единовременно",EV24,IF(AND('Вводные'!$B$84="Да",YEAR(EV$3)=YEAR($B$21),MONTH(EV$3)=MONTH($B$21)),EV23+EV24,IF(AND((12*(YEAR(EV$3)-YEAR($B$20))+MONTH(EV$3)-MONTH($B$20))&gt;0,MOD((12*(YEAR(EV$3)-YEAR($B$20))+MONTH(EV$3)-MONTH($B$20)),'Вводные'!$B$78)=0,(12*(YEAR(EV$3)-YEAR($B$20))+MONTH(EV$3)-MONTH($B$20))&lt;='Вводные'!$B$77*12),$B$22/MAX(1,'Вводные'!$B$79),0))))</x:f>
      </x:c>
      <x:c r="EW25" s="117" t="n">
        <x:f>MIN(EW23+EW24,IF('Вводные'!$B$75="Единовременно",EW24,IF(AND('Вводные'!$B$84="Да",YEAR(EW$3)=YEAR($B$21),MONTH(EW$3)=MONTH($B$21)),EW23+EW24,IF(AND((12*(YEAR(EW$3)-YEAR($B$20))+MONTH(EW$3)-MONTH($B$20))&gt;0,MOD((12*(YEAR(EW$3)-YEAR($B$20))+MONTH(EW$3)-MONTH($B$20)),'Вводные'!$B$78)=0,(12*(YEAR(EW$3)-YEAR($B$20))+MONTH(EW$3)-MONTH($B$20))&lt;='Вводные'!$B$77*12),$B$22/MAX(1,'Вводные'!$B$79),0))))</x:f>
      </x:c>
      <x:c r="EX25" s="117" t="n">
        <x:f>MIN(EX23+EX24,IF('Вводные'!$B$75="Единовременно",EX24,IF(AND('Вводные'!$B$84="Да",YEAR(EX$3)=YEAR($B$21),MONTH(EX$3)=MONTH($B$21)),EX23+EX24,IF(AND((12*(YEAR(EX$3)-YEAR($B$20))+MONTH(EX$3)-MONTH($B$20))&gt;0,MOD((12*(YEAR(EX$3)-YEAR($B$20))+MONTH(EX$3)-MONTH($B$20)),'Вводные'!$B$78)=0,(12*(YEAR(EX$3)-YEAR($B$20))+MONTH(EX$3)-MONTH($B$20))&lt;='Вводные'!$B$77*12),$B$22/MAX(1,'Вводные'!$B$79),0))))</x:f>
      </x:c>
      <x:c r="EY25" s="117" t="n">
        <x:f>MIN(EY23+EY24,IF('Вводные'!$B$75="Единовременно",EY24,IF(AND('Вводные'!$B$84="Да",YEAR(EY$3)=YEAR($B$21),MONTH(EY$3)=MONTH($B$21)),EY23+EY24,IF(AND((12*(YEAR(EY$3)-YEAR($B$20))+MONTH(EY$3)-MONTH($B$20))&gt;0,MOD((12*(YEAR(EY$3)-YEAR($B$20))+MONTH(EY$3)-MONTH($B$20)),'Вводные'!$B$78)=0,(12*(YEAR(EY$3)-YEAR($B$20))+MONTH(EY$3)-MONTH($B$20))&lt;='Вводные'!$B$77*12),$B$22/MAX(1,'Вводные'!$B$79),0))))</x:f>
      </x:c>
      <x:c r="EZ25" s="117" t="n">
        <x:f>MIN(EZ23+EZ24,IF('Вводные'!$B$75="Единовременно",EZ24,IF(AND('Вводные'!$B$84="Да",YEAR(EZ$3)=YEAR($B$21),MONTH(EZ$3)=MONTH($B$21)),EZ23+EZ24,IF(AND((12*(YEAR(EZ$3)-YEAR($B$20))+MONTH(EZ$3)-MONTH($B$20))&gt;0,MOD((12*(YEAR(EZ$3)-YEAR($B$20))+MONTH(EZ$3)-MONTH($B$20)),'Вводные'!$B$78)=0,(12*(YEAR(EZ$3)-YEAR($B$20))+MONTH(EZ$3)-MONTH($B$20))&lt;='Вводные'!$B$77*12),$B$22/MAX(1,'Вводные'!$B$79),0))))</x:f>
      </x:c>
      <x:c r="FA25" s="117" t="n">
        <x:f>MIN(FA23+FA24,IF('Вводные'!$B$75="Единовременно",FA24,IF(AND('Вводные'!$B$84="Да",YEAR(FA$3)=YEAR($B$21),MONTH(FA$3)=MONTH($B$21)),FA23+FA24,IF(AND((12*(YEAR(FA$3)-YEAR($B$20))+MONTH(FA$3)-MONTH($B$20))&gt;0,MOD((12*(YEAR(FA$3)-YEAR($B$20))+MONTH(FA$3)-MONTH($B$20)),'Вводные'!$B$78)=0,(12*(YEAR(FA$3)-YEAR($B$20))+MONTH(FA$3)-MONTH($B$20))&lt;='Вводные'!$B$77*12),$B$22/MAX(1,'Вводные'!$B$79),0))))</x:f>
      </x:c>
      <x:c r="FB25" s="117" t="n">
        <x:f>MIN(FB23+FB24,IF('Вводные'!$B$75="Единовременно",FB24,IF(AND('Вводные'!$B$84="Да",YEAR(FB$3)=YEAR($B$21),MONTH(FB$3)=MONTH($B$21)),FB23+FB24,IF(AND((12*(YEAR(FB$3)-YEAR($B$20))+MONTH(FB$3)-MONTH($B$20))&gt;0,MOD((12*(YEAR(FB$3)-YEAR($B$20))+MONTH(FB$3)-MONTH($B$20)),'Вводные'!$B$78)=0,(12*(YEAR(FB$3)-YEAR($B$20))+MONTH(FB$3)-MONTH($B$20))&lt;='Вводные'!$B$77*12),$B$22/MAX(1,'Вводные'!$B$79),0))))</x:f>
      </x:c>
      <x:c r="FC25" s="117" t="n">
        <x:f>MIN(FC23+FC24,IF('Вводные'!$B$75="Единовременно",FC24,IF(AND('Вводные'!$B$84="Да",YEAR(FC$3)=YEAR($B$21),MONTH(FC$3)=MONTH($B$21)),FC23+FC24,IF(AND((12*(YEAR(FC$3)-YEAR($B$20))+MONTH(FC$3)-MONTH($B$20))&gt;0,MOD((12*(YEAR(FC$3)-YEAR($B$20))+MONTH(FC$3)-MONTH($B$20)),'Вводные'!$B$78)=0,(12*(YEAR(FC$3)-YEAR($B$20))+MONTH(FC$3)-MONTH($B$20))&lt;='Вводные'!$B$77*12),$B$22/MAX(1,'Вводные'!$B$79),0))))</x:f>
      </x:c>
      <x:c r="FD25" s="117" t="n">
        <x:f>MIN(FD23+FD24,IF('Вводные'!$B$75="Единовременно",FD24,IF(AND('Вводные'!$B$84="Да",YEAR(FD$3)=YEAR($B$21),MONTH(FD$3)=MONTH($B$21)),FD23+FD24,IF(AND((12*(YEAR(FD$3)-YEAR($B$20))+MONTH(FD$3)-MONTH($B$20))&gt;0,MOD((12*(YEAR(FD$3)-YEAR($B$20))+MONTH(FD$3)-MONTH($B$20)),'Вводные'!$B$78)=0,(12*(YEAR(FD$3)-YEAR($B$20))+MONTH(FD$3)-MONTH($B$20))&lt;='Вводные'!$B$77*12),$B$22/MAX(1,'Вводные'!$B$79),0))))</x:f>
      </x:c>
      <x:c r="FE25" s="117" t="n">
        <x:f>MIN(FE23+FE24,IF('Вводные'!$B$75="Единовременно",FE24,IF(AND('Вводные'!$B$84="Да",YEAR(FE$3)=YEAR($B$21),MONTH(FE$3)=MONTH($B$21)),FE23+FE24,IF(AND((12*(YEAR(FE$3)-YEAR($B$20))+MONTH(FE$3)-MONTH($B$20))&gt;0,MOD((12*(YEAR(FE$3)-YEAR($B$20))+MONTH(FE$3)-MONTH($B$20)),'Вводные'!$B$78)=0,(12*(YEAR(FE$3)-YEAR($B$20))+MONTH(FE$3)-MONTH($B$20))&lt;='Вводные'!$B$77*12),$B$22/MAX(1,'Вводные'!$B$79),0))))</x:f>
      </x:c>
      <x:c r="FF25" s="117" t="n">
        <x:f>MIN(FF23+FF24,IF('Вводные'!$B$75="Единовременно",FF24,IF(AND('Вводные'!$B$84="Да",YEAR(FF$3)=YEAR($B$21),MONTH(FF$3)=MONTH($B$21)),FF23+FF24,IF(AND((12*(YEAR(FF$3)-YEAR($B$20))+MONTH(FF$3)-MONTH($B$20))&gt;0,MOD((12*(YEAR(FF$3)-YEAR($B$20))+MONTH(FF$3)-MONTH($B$20)),'Вводные'!$B$78)=0,(12*(YEAR(FF$3)-YEAR($B$20))+MONTH(FF$3)-MONTH($B$20))&lt;='Вводные'!$B$77*12),$B$22/MAX(1,'Вводные'!$B$79),0))))</x:f>
      </x:c>
      <x:c r="FG25" s="117" t="n">
        <x:f>MIN(FG23+FG24,IF('Вводные'!$B$75="Единовременно",FG24,IF(AND('Вводные'!$B$84="Да",YEAR(FG$3)=YEAR($B$21),MONTH(FG$3)=MONTH($B$21)),FG23+FG24,IF(AND((12*(YEAR(FG$3)-YEAR($B$20))+MONTH(FG$3)-MONTH($B$20))&gt;0,MOD((12*(YEAR(FG$3)-YEAR($B$20))+MONTH(FG$3)-MONTH($B$20)),'Вводные'!$B$78)=0,(12*(YEAR(FG$3)-YEAR($B$20))+MONTH(FG$3)-MONTH($B$20))&lt;='Вводные'!$B$77*12),$B$22/MAX(1,'Вводные'!$B$79),0))))</x:f>
      </x:c>
      <x:c r="FH25" s="117" t="n">
        <x:f>MIN(FH23+FH24,IF('Вводные'!$B$75="Единовременно",FH24,IF(AND('Вводные'!$B$84="Да",YEAR(FH$3)=YEAR($B$21),MONTH(FH$3)=MONTH($B$21)),FH23+FH24,IF(AND((12*(YEAR(FH$3)-YEAR($B$20))+MONTH(FH$3)-MONTH($B$20))&gt;0,MOD((12*(YEAR(FH$3)-YEAR($B$20))+MONTH(FH$3)-MONTH($B$20)),'Вводные'!$B$78)=0,(12*(YEAR(FH$3)-YEAR($B$20))+MONTH(FH$3)-MONTH($B$20))&lt;='Вводные'!$B$77*12),$B$22/MAX(1,'Вводные'!$B$79),0))))</x:f>
      </x:c>
      <x:c r="FI25" s="117" t="n">
        <x:f>MIN(FI23+FI24,IF('Вводные'!$B$75="Единовременно",FI24,IF(AND('Вводные'!$B$84="Да",YEAR(FI$3)=YEAR($B$21),MONTH(FI$3)=MONTH($B$21)),FI23+FI24,IF(AND((12*(YEAR(FI$3)-YEAR($B$20))+MONTH(FI$3)-MONTH($B$20))&gt;0,MOD((12*(YEAR(FI$3)-YEAR($B$20))+MONTH(FI$3)-MONTH($B$20)),'Вводные'!$B$78)=0,(12*(YEAR(FI$3)-YEAR($B$20))+MONTH(FI$3)-MONTH($B$20))&lt;='Вводные'!$B$77*12),$B$22/MAX(1,'Вводные'!$B$79),0))))</x:f>
      </x:c>
      <x:c r="FJ25" s="117" t="n">
        <x:f>MIN(FJ23+FJ24,IF('Вводные'!$B$75="Единовременно",FJ24,IF(AND('Вводные'!$B$84="Да",YEAR(FJ$3)=YEAR($B$21),MONTH(FJ$3)=MONTH($B$21)),FJ23+FJ24,IF(AND((12*(YEAR(FJ$3)-YEAR($B$20))+MONTH(FJ$3)-MONTH($B$20))&gt;0,MOD((12*(YEAR(FJ$3)-YEAR($B$20))+MONTH(FJ$3)-MONTH($B$20)),'Вводные'!$B$78)=0,(12*(YEAR(FJ$3)-YEAR($B$20))+MONTH(FJ$3)-MONTH($B$20))&lt;='Вводные'!$B$77*12),$B$22/MAX(1,'Вводные'!$B$79),0))))</x:f>
      </x:c>
      <x:c r="FK25" s="117" t="n">
        <x:f>MIN(FK23+FK24,IF('Вводные'!$B$75="Единовременно",FK24,IF(AND('Вводные'!$B$84="Да",YEAR(FK$3)=YEAR($B$21),MONTH(FK$3)=MONTH($B$21)),FK23+FK24,IF(AND((12*(YEAR(FK$3)-YEAR($B$20))+MONTH(FK$3)-MONTH($B$20))&gt;0,MOD((12*(YEAR(FK$3)-YEAR($B$20))+MONTH(FK$3)-MONTH($B$20)),'Вводные'!$B$78)=0,(12*(YEAR(FK$3)-YEAR($B$20))+MONTH(FK$3)-MONTH($B$20))&lt;='Вводные'!$B$77*12),$B$22/MAX(1,'Вводные'!$B$79),0))))</x:f>
      </x:c>
      <x:c r="FL25" s="117" t="n">
        <x:f>MIN(FL23+FL24,IF('Вводные'!$B$75="Единовременно",FL24,IF(AND('Вводные'!$B$84="Да",YEAR(FL$3)=YEAR($B$21),MONTH(FL$3)=MONTH($B$21)),FL23+FL24,IF(AND((12*(YEAR(FL$3)-YEAR($B$20))+MONTH(FL$3)-MONTH($B$20))&gt;0,MOD((12*(YEAR(FL$3)-YEAR($B$20))+MONTH(FL$3)-MONTH($B$20)),'Вводные'!$B$78)=0,(12*(YEAR(FL$3)-YEAR($B$20))+MONTH(FL$3)-MONTH($B$20))&lt;='Вводные'!$B$77*12),$B$22/MAX(1,'Вводные'!$B$79),0))))</x:f>
      </x:c>
      <x:c r="FM25" s="117" t="n">
        <x:f>MIN(FM23+FM24,IF('Вводные'!$B$75="Единовременно",FM24,IF(AND('Вводные'!$B$84="Да",YEAR(FM$3)=YEAR($B$21),MONTH(FM$3)=MONTH($B$21)),FM23+FM24,IF(AND((12*(YEAR(FM$3)-YEAR($B$20))+MONTH(FM$3)-MONTH($B$20))&gt;0,MOD((12*(YEAR(FM$3)-YEAR($B$20))+MONTH(FM$3)-MONTH($B$20)),'Вводные'!$B$78)=0,(12*(YEAR(FM$3)-YEAR($B$20))+MONTH(FM$3)-MONTH($B$20))&lt;='Вводные'!$B$77*12),$B$22/MAX(1,'Вводные'!$B$79),0))))</x:f>
      </x:c>
      <x:c r="FN25" s="117" t="n">
        <x:f>MIN(FN23+FN24,IF('Вводные'!$B$75="Единовременно",FN24,IF(AND('Вводные'!$B$84="Да",YEAR(FN$3)=YEAR($B$21),MONTH(FN$3)=MONTH($B$21)),FN23+FN24,IF(AND((12*(YEAR(FN$3)-YEAR($B$20))+MONTH(FN$3)-MONTH($B$20))&gt;0,MOD((12*(YEAR(FN$3)-YEAR($B$20))+MONTH(FN$3)-MONTH($B$20)),'Вводные'!$B$78)=0,(12*(YEAR(FN$3)-YEAR($B$20))+MONTH(FN$3)-MONTH($B$20))&lt;='Вводные'!$B$77*12),$B$22/MAX(1,'Вводные'!$B$79),0))))</x:f>
      </x:c>
      <x:c r="FO25" s="117" t="n">
        <x:f>MIN(FO23+FO24,IF('Вводные'!$B$75="Единовременно",FO24,IF(AND('Вводные'!$B$84="Да",YEAR(FO$3)=YEAR($B$21),MONTH(FO$3)=MONTH($B$21)),FO23+FO24,IF(AND((12*(YEAR(FO$3)-YEAR($B$20))+MONTH(FO$3)-MONTH($B$20))&gt;0,MOD((12*(YEAR(FO$3)-YEAR($B$20))+MONTH(FO$3)-MONTH($B$20)),'Вводные'!$B$78)=0,(12*(YEAR(FO$3)-YEAR($B$20))+MONTH(FO$3)-MONTH($B$20))&lt;='Вводные'!$B$77*12),$B$22/MAX(1,'Вводные'!$B$79),0))))</x:f>
      </x:c>
      <x:c r="FP25" s="117" t="n">
        <x:f>MIN(FP23+FP24,IF('Вводные'!$B$75="Единовременно",FP24,IF(AND('Вводные'!$B$84="Да",YEAR(FP$3)=YEAR($B$21),MONTH(FP$3)=MONTH($B$21)),FP23+FP24,IF(AND((12*(YEAR(FP$3)-YEAR($B$20))+MONTH(FP$3)-MONTH($B$20))&gt;0,MOD((12*(YEAR(FP$3)-YEAR($B$20))+MONTH(FP$3)-MONTH($B$20)),'Вводные'!$B$78)=0,(12*(YEAR(FP$3)-YEAR($B$20))+MONTH(FP$3)-MONTH($B$20))&lt;='Вводные'!$B$77*12),$B$22/MAX(1,'Вводные'!$B$79),0))))</x:f>
      </x:c>
      <x:c r="FQ25" s="117" t="n">
        <x:f>MIN(FQ23+FQ24,IF('Вводные'!$B$75="Единовременно",FQ24,IF(AND('Вводные'!$B$84="Да",YEAR(FQ$3)=YEAR($B$21),MONTH(FQ$3)=MONTH($B$21)),FQ23+FQ24,IF(AND((12*(YEAR(FQ$3)-YEAR($B$20))+MONTH(FQ$3)-MONTH($B$20))&gt;0,MOD((12*(YEAR(FQ$3)-YEAR($B$20))+MONTH(FQ$3)-MONTH($B$20)),'Вводные'!$B$78)=0,(12*(YEAR(FQ$3)-YEAR($B$20))+MONTH(FQ$3)-MONTH($B$20))&lt;='Вводные'!$B$77*12),$B$22/MAX(1,'Вводные'!$B$79),0))))</x:f>
      </x:c>
      <x:c r="FR25" s="117" t="n">
        <x:f>MIN(FR23+FR24,IF('Вводные'!$B$75="Единовременно",FR24,IF(AND('Вводные'!$B$84="Да",YEAR(FR$3)=YEAR($B$21),MONTH(FR$3)=MONTH($B$21)),FR23+FR24,IF(AND((12*(YEAR(FR$3)-YEAR($B$20))+MONTH(FR$3)-MONTH($B$20))&gt;0,MOD((12*(YEAR(FR$3)-YEAR($B$20))+MONTH(FR$3)-MONTH($B$20)),'Вводные'!$B$78)=0,(12*(YEAR(FR$3)-YEAR($B$20))+MONTH(FR$3)-MONTH($B$20))&lt;='Вводные'!$B$77*12),$B$22/MAX(1,'Вводные'!$B$79),0))))</x:f>
      </x:c>
      <x:c r="FS25" s="117" t="n">
        <x:f>MIN(FS23+FS24,IF('Вводные'!$B$75="Единовременно",FS24,IF(AND('Вводные'!$B$84="Да",YEAR(FS$3)=YEAR($B$21),MONTH(FS$3)=MONTH($B$21)),FS23+FS24,IF(AND((12*(YEAR(FS$3)-YEAR($B$20))+MONTH(FS$3)-MONTH($B$20))&gt;0,MOD((12*(YEAR(FS$3)-YEAR($B$20))+MONTH(FS$3)-MONTH($B$20)),'Вводные'!$B$78)=0,(12*(YEAR(FS$3)-YEAR($B$20))+MONTH(FS$3)-MONTH($B$20))&lt;='Вводные'!$B$77*12),$B$22/MAX(1,'Вводные'!$B$79),0))))</x:f>
      </x:c>
      <x:c r="FT25" s="117" t="n">
        <x:f>MIN(FT23+FT24,IF('Вводные'!$B$75="Единовременно",FT24,IF(AND('Вводные'!$B$84="Да",YEAR(FT$3)=YEAR($B$21),MONTH(FT$3)=MONTH($B$21)),FT23+FT24,IF(AND((12*(YEAR(FT$3)-YEAR($B$20))+MONTH(FT$3)-MONTH($B$20))&gt;0,MOD((12*(YEAR(FT$3)-YEAR($B$20))+MONTH(FT$3)-MONTH($B$20)),'Вводные'!$B$78)=0,(12*(YEAR(FT$3)-YEAR($B$20))+MONTH(FT$3)-MONTH($B$20))&lt;='Вводные'!$B$77*12),$B$22/MAX(1,'Вводные'!$B$79),0))))</x:f>
      </x:c>
      <x:c r="FU25" s="117" t="n">
        <x:f>MIN(FU23+FU24,IF('Вводные'!$B$75="Единовременно",FU24,IF(AND('Вводные'!$B$84="Да",YEAR(FU$3)=YEAR($B$21),MONTH(FU$3)=MONTH($B$21)),FU23+FU24,IF(AND((12*(YEAR(FU$3)-YEAR($B$20))+MONTH(FU$3)-MONTH($B$20))&gt;0,MOD((12*(YEAR(FU$3)-YEAR($B$20))+MONTH(FU$3)-MONTH($B$20)),'Вводные'!$B$78)=0,(12*(YEAR(FU$3)-YEAR($B$20))+MONTH(FU$3)-MONTH($B$20))&lt;='Вводные'!$B$77*12),$B$22/MAX(1,'Вводные'!$B$79),0))))</x:f>
      </x:c>
      <x:c r="FV25" s="117" t="n">
        <x:f>MIN(FV23+FV24,IF('Вводные'!$B$75="Единовременно",FV24,IF(AND('Вводные'!$B$84="Да",YEAR(FV$3)=YEAR($B$21),MONTH(FV$3)=MONTH($B$21)),FV23+FV24,IF(AND((12*(YEAR(FV$3)-YEAR($B$20))+MONTH(FV$3)-MONTH($B$20))&gt;0,MOD((12*(YEAR(FV$3)-YEAR($B$20))+MONTH(FV$3)-MONTH($B$20)),'Вводные'!$B$78)=0,(12*(YEAR(FV$3)-YEAR($B$20))+MONTH(FV$3)-MONTH($B$20))&lt;='Вводные'!$B$77*12),$B$22/MAX(1,'Вводные'!$B$79),0))))</x:f>
      </x:c>
      <x:c r="FW25" s="117" t="n">
        <x:f>MIN(FW23+FW24,IF('Вводные'!$B$75="Единовременно",FW24,IF(AND('Вводные'!$B$84="Да",YEAR(FW$3)=YEAR($B$21),MONTH(FW$3)=MONTH($B$21)),FW23+FW24,IF(AND((12*(YEAR(FW$3)-YEAR($B$20))+MONTH(FW$3)-MONTH($B$20))&gt;0,MOD((12*(YEAR(FW$3)-YEAR($B$20))+MONTH(FW$3)-MONTH($B$20)),'Вводные'!$B$78)=0,(12*(YEAR(FW$3)-YEAR($B$20))+MONTH(FW$3)-MONTH($B$20))&lt;='Вводные'!$B$77*12),$B$22/MAX(1,'Вводные'!$B$79),0))))</x:f>
      </x:c>
      <x:c r="FX25" s="117" t="n">
        <x:f>MIN(FX23+FX24,IF('Вводные'!$B$75="Единовременно",FX24,IF(AND('Вводные'!$B$84="Да",YEAR(FX$3)=YEAR($B$21),MONTH(FX$3)=MONTH($B$21)),FX23+FX24,IF(AND((12*(YEAR(FX$3)-YEAR($B$20))+MONTH(FX$3)-MONTH($B$20))&gt;0,MOD((12*(YEAR(FX$3)-YEAR($B$20))+MONTH(FX$3)-MONTH($B$20)),'Вводные'!$B$78)=0,(12*(YEAR(FX$3)-YEAR($B$20))+MONTH(FX$3)-MONTH($B$20))&lt;='Вводные'!$B$77*12),$B$22/MAX(1,'Вводные'!$B$79),0))))</x:f>
      </x:c>
      <x:c r="FY25" s="117" t="n">
        <x:f>MIN(FY23+FY24,IF('Вводные'!$B$75="Единовременно",FY24,IF(AND('Вводные'!$B$84="Да",YEAR(FY$3)=YEAR($B$21),MONTH(FY$3)=MONTH($B$21)),FY23+FY24,IF(AND((12*(YEAR(FY$3)-YEAR($B$20))+MONTH(FY$3)-MONTH($B$20))&gt;0,MOD((12*(YEAR(FY$3)-YEAR($B$20))+MONTH(FY$3)-MONTH($B$20)),'Вводные'!$B$78)=0,(12*(YEAR(FY$3)-YEAR($B$20))+MONTH(FY$3)-MONTH($B$20))&lt;='Вводные'!$B$77*12),$B$22/MAX(1,'Вводные'!$B$79),0))))</x:f>
      </x:c>
      <x:c r="FZ25" s="117" t="n">
        <x:f>MIN(FZ23+FZ24,IF('Вводные'!$B$75="Единовременно",FZ24,IF(AND('Вводные'!$B$84="Да",YEAR(FZ$3)=YEAR($B$21),MONTH(FZ$3)=MONTH($B$21)),FZ23+FZ24,IF(AND((12*(YEAR(FZ$3)-YEAR($B$20))+MONTH(FZ$3)-MONTH($B$20))&gt;0,MOD((12*(YEAR(FZ$3)-YEAR($B$20))+MONTH(FZ$3)-MONTH($B$20)),'Вводные'!$B$78)=0,(12*(YEAR(FZ$3)-YEAR($B$20))+MONTH(FZ$3)-MONTH($B$20))&lt;='Вводные'!$B$77*12),$B$22/MAX(1,'Вводные'!$B$79),0))))</x:f>
      </x:c>
      <x:c r="GA25" s="117" t="n">
        <x:f>MIN(GA23+GA24,IF('Вводные'!$B$75="Единовременно",GA24,IF(AND('Вводные'!$B$84="Да",YEAR(GA$3)=YEAR($B$21),MONTH(GA$3)=MONTH($B$21)),GA23+GA24,IF(AND((12*(YEAR(GA$3)-YEAR($B$20))+MONTH(GA$3)-MONTH($B$20))&gt;0,MOD((12*(YEAR(GA$3)-YEAR($B$20))+MONTH(GA$3)-MONTH($B$20)),'Вводные'!$B$78)=0,(12*(YEAR(GA$3)-YEAR($B$20))+MONTH(GA$3)-MONTH($B$20))&lt;='Вводные'!$B$77*12),$B$22/MAX(1,'Вводные'!$B$79),0))))</x:f>
      </x:c>
    </x:row>
    <x:row r="26">
      <x:c r="A26" t="str">
        <x:v>Проценты по рассрочке</x:v>
      </x:c>
      <x:c r="B26" s="107" t="n">
        <x:f>SUM(D26:GA26)</x:f>
      </x:c>
      <x:c r="C26" t="str">
        <x:v>млн ₽</x:v>
      </x:c>
      <x:c r="D26" s="117" t="n">
        <x:f>IF(AND('Вводные'!$B$75&lt;&gt;"Единовременно",'Вводные'!$B$80="Да",D23&gt;0),IF(AND('Вводные'!$B$84="Да",YEAR(D$3)=YEAR($B$21),MONTH(D$3)=MONTH($B$21)),D23*D30/12,IF(AND((12*(YEAR(D$3)-YEAR($B$20))+MONTH(D$3)-MONTH($B$20))&gt;0,MOD((12*(YEAR(D$3)-YEAR($B$20))+MONTH(D$3)-MONTH($B$20)),'Вводные'!$B$78)=0,(12*(YEAR(D$3)-YEAR($B$20))+MONTH(D$3)-MONTH($B$20))&lt;='Вводные'!$B$77*12),D23*D30*'Вводные'!$B$78/12,0)),0)</x:f>
      </x:c>
      <x:c r="E26" s="117" t="n">
        <x:f>IF(AND('Вводные'!$B$75&lt;&gt;"Единовременно",'Вводные'!$B$80="Да",E23&gt;0),IF(AND('Вводные'!$B$84="Да",YEAR(E$3)=YEAR($B$21),MONTH(E$3)=MONTH($B$21)),E23*E30/12,IF(AND((12*(YEAR(E$3)-YEAR($B$20))+MONTH(E$3)-MONTH($B$20))&gt;0,MOD((12*(YEAR(E$3)-YEAR($B$20))+MONTH(E$3)-MONTH($B$20)),'Вводные'!$B$78)=0,(12*(YEAR(E$3)-YEAR($B$20))+MONTH(E$3)-MONTH($B$20))&lt;='Вводные'!$B$77*12),E23*E30*'Вводные'!$B$78/12,0)),0)</x:f>
      </x:c>
      <x:c r="F26" s="117" t="n">
        <x:f>IF(AND('Вводные'!$B$75&lt;&gt;"Единовременно",'Вводные'!$B$80="Да",F23&gt;0),IF(AND('Вводные'!$B$84="Да",YEAR(F$3)=YEAR($B$21),MONTH(F$3)=MONTH($B$21)),F23*F30/12,IF(AND((12*(YEAR(F$3)-YEAR($B$20))+MONTH(F$3)-MONTH($B$20))&gt;0,MOD((12*(YEAR(F$3)-YEAR($B$20))+MONTH(F$3)-MONTH($B$20)),'Вводные'!$B$78)=0,(12*(YEAR(F$3)-YEAR($B$20))+MONTH(F$3)-MONTH($B$20))&lt;='Вводные'!$B$77*12),F23*F30*'Вводные'!$B$78/12,0)),0)</x:f>
      </x:c>
      <x:c r="G26" s="117" t="n">
        <x:f>IF(AND('Вводные'!$B$75&lt;&gt;"Единовременно",'Вводные'!$B$80="Да",G23&gt;0),IF(AND('Вводные'!$B$84="Да",YEAR(G$3)=YEAR($B$21),MONTH(G$3)=MONTH($B$21)),G23*G30/12,IF(AND((12*(YEAR(G$3)-YEAR($B$20))+MONTH(G$3)-MONTH($B$20))&gt;0,MOD((12*(YEAR(G$3)-YEAR($B$20))+MONTH(G$3)-MONTH($B$20)),'Вводные'!$B$78)=0,(12*(YEAR(G$3)-YEAR($B$20))+MONTH(G$3)-MONTH($B$20))&lt;='Вводные'!$B$77*12),G23*G30*'Вводные'!$B$78/12,0)),0)</x:f>
      </x:c>
      <x:c r="H26" s="117" t="n">
        <x:f>IF(AND('Вводные'!$B$75&lt;&gt;"Единовременно",'Вводные'!$B$80="Да",H23&gt;0),IF(AND('Вводные'!$B$84="Да",YEAR(H$3)=YEAR($B$21),MONTH(H$3)=MONTH($B$21)),H23*H30/12,IF(AND((12*(YEAR(H$3)-YEAR($B$20))+MONTH(H$3)-MONTH($B$20))&gt;0,MOD((12*(YEAR(H$3)-YEAR($B$20))+MONTH(H$3)-MONTH($B$20)),'Вводные'!$B$78)=0,(12*(YEAR(H$3)-YEAR($B$20))+MONTH(H$3)-MONTH($B$20))&lt;='Вводные'!$B$77*12),H23*H30*'Вводные'!$B$78/12,0)),0)</x:f>
      </x:c>
      <x:c r="I26" s="117" t="n">
        <x:f>IF(AND('Вводные'!$B$75&lt;&gt;"Единовременно",'Вводные'!$B$80="Да",I23&gt;0),IF(AND('Вводные'!$B$84="Да",YEAR(I$3)=YEAR($B$21),MONTH(I$3)=MONTH($B$21)),I23*I30/12,IF(AND((12*(YEAR(I$3)-YEAR($B$20))+MONTH(I$3)-MONTH($B$20))&gt;0,MOD((12*(YEAR(I$3)-YEAR($B$20))+MONTH(I$3)-MONTH($B$20)),'Вводные'!$B$78)=0,(12*(YEAR(I$3)-YEAR($B$20))+MONTH(I$3)-MONTH($B$20))&lt;='Вводные'!$B$77*12),I23*I30*'Вводные'!$B$78/12,0)),0)</x:f>
      </x:c>
      <x:c r="J26" s="117" t="n">
        <x:f>IF(AND('Вводные'!$B$75&lt;&gt;"Единовременно",'Вводные'!$B$80="Да",J23&gt;0),IF(AND('Вводные'!$B$84="Да",YEAR(J$3)=YEAR($B$21),MONTH(J$3)=MONTH($B$21)),J23*J30/12,IF(AND((12*(YEAR(J$3)-YEAR($B$20))+MONTH(J$3)-MONTH($B$20))&gt;0,MOD((12*(YEAR(J$3)-YEAR($B$20))+MONTH(J$3)-MONTH($B$20)),'Вводные'!$B$78)=0,(12*(YEAR(J$3)-YEAR($B$20))+MONTH(J$3)-MONTH($B$20))&lt;='Вводные'!$B$77*12),J23*J30*'Вводные'!$B$78/12,0)),0)</x:f>
      </x:c>
      <x:c r="K26" s="117" t="n">
        <x:f>IF(AND('Вводные'!$B$75&lt;&gt;"Единовременно",'Вводные'!$B$80="Да",K23&gt;0),IF(AND('Вводные'!$B$84="Да",YEAR(K$3)=YEAR($B$21),MONTH(K$3)=MONTH($B$21)),K23*K30/12,IF(AND((12*(YEAR(K$3)-YEAR($B$20))+MONTH(K$3)-MONTH($B$20))&gt;0,MOD((12*(YEAR(K$3)-YEAR($B$20))+MONTH(K$3)-MONTH($B$20)),'Вводные'!$B$78)=0,(12*(YEAR(K$3)-YEAR($B$20))+MONTH(K$3)-MONTH($B$20))&lt;='Вводные'!$B$77*12),K23*K30*'Вводные'!$B$78/12,0)),0)</x:f>
      </x:c>
      <x:c r="L26" s="117" t="n">
        <x:f>IF(AND('Вводные'!$B$75&lt;&gt;"Единовременно",'Вводные'!$B$80="Да",L23&gt;0),IF(AND('Вводные'!$B$84="Да",YEAR(L$3)=YEAR($B$21),MONTH(L$3)=MONTH($B$21)),L23*L30/12,IF(AND((12*(YEAR(L$3)-YEAR($B$20))+MONTH(L$3)-MONTH($B$20))&gt;0,MOD((12*(YEAR(L$3)-YEAR($B$20))+MONTH(L$3)-MONTH($B$20)),'Вводные'!$B$78)=0,(12*(YEAR(L$3)-YEAR($B$20))+MONTH(L$3)-MONTH($B$20))&lt;='Вводные'!$B$77*12),L23*L30*'Вводные'!$B$78/12,0)),0)</x:f>
      </x:c>
      <x:c r="M26" s="117" t="n">
        <x:f>IF(AND('Вводные'!$B$75&lt;&gt;"Единовременно",'Вводные'!$B$80="Да",M23&gt;0),IF(AND('Вводные'!$B$84="Да",YEAR(M$3)=YEAR($B$21),MONTH(M$3)=MONTH($B$21)),M23*M30/12,IF(AND((12*(YEAR(M$3)-YEAR($B$20))+MONTH(M$3)-MONTH($B$20))&gt;0,MOD((12*(YEAR(M$3)-YEAR($B$20))+MONTH(M$3)-MONTH($B$20)),'Вводные'!$B$78)=0,(12*(YEAR(M$3)-YEAR($B$20))+MONTH(M$3)-MONTH($B$20))&lt;='Вводные'!$B$77*12),M23*M30*'Вводные'!$B$78/12,0)),0)</x:f>
      </x:c>
      <x:c r="N26" s="117" t="n">
        <x:f>IF(AND('Вводные'!$B$75&lt;&gt;"Единовременно",'Вводные'!$B$80="Да",N23&gt;0),IF(AND('Вводные'!$B$84="Да",YEAR(N$3)=YEAR($B$21),MONTH(N$3)=MONTH($B$21)),N23*N30/12,IF(AND((12*(YEAR(N$3)-YEAR($B$20))+MONTH(N$3)-MONTH($B$20))&gt;0,MOD((12*(YEAR(N$3)-YEAR($B$20))+MONTH(N$3)-MONTH($B$20)),'Вводные'!$B$78)=0,(12*(YEAR(N$3)-YEAR($B$20))+MONTH(N$3)-MONTH($B$20))&lt;='Вводные'!$B$77*12),N23*N30*'Вводные'!$B$78/12,0)),0)</x:f>
      </x:c>
      <x:c r="O26" s="117" t="n">
        <x:f>IF(AND('Вводные'!$B$75&lt;&gt;"Единовременно",'Вводные'!$B$80="Да",O23&gt;0),IF(AND('Вводные'!$B$84="Да",YEAR(O$3)=YEAR($B$21),MONTH(O$3)=MONTH($B$21)),O23*O30/12,IF(AND((12*(YEAR(O$3)-YEAR($B$20))+MONTH(O$3)-MONTH($B$20))&gt;0,MOD((12*(YEAR(O$3)-YEAR($B$20))+MONTH(O$3)-MONTH($B$20)),'Вводные'!$B$78)=0,(12*(YEAR(O$3)-YEAR($B$20))+MONTH(O$3)-MONTH($B$20))&lt;='Вводные'!$B$77*12),O23*O30*'Вводные'!$B$78/12,0)),0)</x:f>
      </x:c>
      <x:c r="P26" s="117" t="n">
        <x:f>IF(AND('Вводные'!$B$75&lt;&gt;"Единовременно",'Вводные'!$B$80="Да",P23&gt;0),IF(AND('Вводные'!$B$84="Да",YEAR(P$3)=YEAR($B$21),MONTH(P$3)=MONTH($B$21)),P23*P30/12,IF(AND((12*(YEAR(P$3)-YEAR($B$20))+MONTH(P$3)-MONTH($B$20))&gt;0,MOD((12*(YEAR(P$3)-YEAR($B$20))+MONTH(P$3)-MONTH($B$20)),'Вводные'!$B$78)=0,(12*(YEAR(P$3)-YEAR($B$20))+MONTH(P$3)-MONTH($B$20))&lt;='Вводные'!$B$77*12),P23*P30*'Вводные'!$B$78/12,0)),0)</x:f>
      </x:c>
      <x:c r="Q26" s="117" t="n">
        <x:f>IF(AND('Вводные'!$B$75&lt;&gt;"Единовременно",'Вводные'!$B$80="Да",Q23&gt;0),IF(AND('Вводные'!$B$84="Да",YEAR(Q$3)=YEAR($B$21),MONTH(Q$3)=MONTH($B$21)),Q23*Q30/12,IF(AND((12*(YEAR(Q$3)-YEAR($B$20))+MONTH(Q$3)-MONTH($B$20))&gt;0,MOD((12*(YEAR(Q$3)-YEAR($B$20))+MONTH(Q$3)-MONTH($B$20)),'Вводные'!$B$78)=0,(12*(YEAR(Q$3)-YEAR($B$20))+MONTH(Q$3)-MONTH($B$20))&lt;='Вводные'!$B$77*12),Q23*Q30*'Вводные'!$B$78/12,0)),0)</x:f>
      </x:c>
      <x:c r="R26" s="117" t="n">
        <x:f>IF(AND('Вводные'!$B$75&lt;&gt;"Единовременно",'Вводные'!$B$80="Да",R23&gt;0),IF(AND('Вводные'!$B$84="Да",YEAR(R$3)=YEAR($B$21),MONTH(R$3)=MONTH($B$21)),R23*R30/12,IF(AND((12*(YEAR(R$3)-YEAR($B$20))+MONTH(R$3)-MONTH($B$20))&gt;0,MOD((12*(YEAR(R$3)-YEAR($B$20))+MONTH(R$3)-MONTH($B$20)),'Вводные'!$B$78)=0,(12*(YEAR(R$3)-YEAR($B$20))+MONTH(R$3)-MONTH($B$20))&lt;='Вводные'!$B$77*12),R23*R30*'Вводные'!$B$78/12,0)),0)</x:f>
      </x:c>
      <x:c r="S26" s="117" t="n">
        <x:f>IF(AND('Вводные'!$B$75&lt;&gt;"Единовременно",'Вводные'!$B$80="Да",S23&gt;0),IF(AND('Вводные'!$B$84="Да",YEAR(S$3)=YEAR($B$21),MONTH(S$3)=MONTH($B$21)),S23*S30/12,IF(AND((12*(YEAR(S$3)-YEAR($B$20))+MONTH(S$3)-MONTH($B$20))&gt;0,MOD((12*(YEAR(S$3)-YEAR($B$20))+MONTH(S$3)-MONTH($B$20)),'Вводные'!$B$78)=0,(12*(YEAR(S$3)-YEAR($B$20))+MONTH(S$3)-MONTH($B$20))&lt;='Вводные'!$B$77*12),S23*S30*'Вводные'!$B$78/12,0)),0)</x:f>
      </x:c>
      <x:c r="T26" s="117" t="n">
        <x:f>IF(AND('Вводные'!$B$75&lt;&gt;"Единовременно",'Вводные'!$B$80="Да",T23&gt;0),IF(AND('Вводные'!$B$84="Да",YEAR(T$3)=YEAR($B$21),MONTH(T$3)=MONTH($B$21)),T23*T30/12,IF(AND((12*(YEAR(T$3)-YEAR($B$20))+MONTH(T$3)-MONTH($B$20))&gt;0,MOD((12*(YEAR(T$3)-YEAR($B$20))+MONTH(T$3)-MONTH($B$20)),'Вводные'!$B$78)=0,(12*(YEAR(T$3)-YEAR($B$20))+MONTH(T$3)-MONTH($B$20))&lt;='Вводные'!$B$77*12),T23*T30*'Вводные'!$B$78/12,0)),0)</x:f>
      </x:c>
      <x:c r="U26" s="117" t="n">
        <x:f>IF(AND('Вводные'!$B$75&lt;&gt;"Единовременно",'Вводные'!$B$80="Да",U23&gt;0),IF(AND('Вводные'!$B$84="Да",YEAR(U$3)=YEAR($B$21),MONTH(U$3)=MONTH($B$21)),U23*U30/12,IF(AND((12*(YEAR(U$3)-YEAR($B$20))+MONTH(U$3)-MONTH($B$20))&gt;0,MOD((12*(YEAR(U$3)-YEAR($B$20))+MONTH(U$3)-MONTH($B$20)),'Вводные'!$B$78)=0,(12*(YEAR(U$3)-YEAR($B$20))+MONTH(U$3)-MONTH($B$20))&lt;='Вводные'!$B$77*12),U23*U30*'Вводные'!$B$78/12,0)),0)</x:f>
      </x:c>
      <x:c r="V26" s="117" t="n">
        <x:f>IF(AND('Вводные'!$B$75&lt;&gt;"Единовременно",'Вводные'!$B$80="Да",V23&gt;0),IF(AND('Вводные'!$B$84="Да",YEAR(V$3)=YEAR($B$21),MONTH(V$3)=MONTH($B$21)),V23*V30/12,IF(AND((12*(YEAR(V$3)-YEAR($B$20))+MONTH(V$3)-MONTH($B$20))&gt;0,MOD((12*(YEAR(V$3)-YEAR($B$20))+MONTH(V$3)-MONTH($B$20)),'Вводные'!$B$78)=0,(12*(YEAR(V$3)-YEAR($B$20))+MONTH(V$3)-MONTH($B$20))&lt;='Вводные'!$B$77*12),V23*V30*'Вводные'!$B$78/12,0)),0)</x:f>
      </x:c>
      <x:c r="W26" s="117" t="n">
        <x:f>IF(AND('Вводные'!$B$75&lt;&gt;"Единовременно",'Вводные'!$B$80="Да",W23&gt;0),IF(AND('Вводные'!$B$84="Да",YEAR(W$3)=YEAR($B$21),MONTH(W$3)=MONTH($B$21)),W23*W30/12,IF(AND((12*(YEAR(W$3)-YEAR($B$20))+MONTH(W$3)-MONTH($B$20))&gt;0,MOD((12*(YEAR(W$3)-YEAR($B$20))+MONTH(W$3)-MONTH($B$20)),'Вводные'!$B$78)=0,(12*(YEAR(W$3)-YEAR($B$20))+MONTH(W$3)-MONTH($B$20))&lt;='Вводные'!$B$77*12),W23*W30*'Вводные'!$B$78/12,0)),0)</x:f>
      </x:c>
      <x:c r="X26" s="117" t="n">
        <x:f>IF(AND('Вводные'!$B$75&lt;&gt;"Единовременно",'Вводные'!$B$80="Да",X23&gt;0),IF(AND('Вводные'!$B$84="Да",YEAR(X$3)=YEAR($B$21),MONTH(X$3)=MONTH($B$21)),X23*X30/12,IF(AND((12*(YEAR(X$3)-YEAR($B$20))+MONTH(X$3)-MONTH($B$20))&gt;0,MOD((12*(YEAR(X$3)-YEAR($B$20))+MONTH(X$3)-MONTH($B$20)),'Вводные'!$B$78)=0,(12*(YEAR(X$3)-YEAR($B$20))+MONTH(X$3)-MONTH($B$20))&lt;='Вводные'!$B$77*12),X23*X30*'Вводные'!$B$78/12,0)),0)</x:f>
      </x:c>
      <x:c r="Y26" s="117" t="n">
        <x:f>IF(AND('Вводные'!$B$75&lt;&gt;"Единовременно",'Вводные'!$B$80="Да",Y23&gt;0),IF(AND('Вводные'!$B$84="Да",YEAR(Y$3)=YEAR($B$21),MONTH(Y$3)=MONTH($B$21)),Y23*Y30/12,IF(AND((12*(YEAR(Y$3)-YEAR($B$20))+MONTH(Y$3)-MONTH($B$20))&gt;0,MOD((12*(YEAR(Y$3)-YEAR($B$20))+MONTH(Y$3)-MONTH($B$20)),'Вводные'!$B$78)=0,(12*(YEAR(Y$3)-YEAR($B$20))+MONTH(Y$3)-MONTH($B$20))&lt;='Вводные'!$B$77*12),Y23*Y30*'Вводные'!$B$78/12,0)),0)</x:f>
      </x:c>
      <x:c r="Z26" s="117" t="n">
        <x:f>IF(AND('Вводные'!$B$75&lt;&gt;"Единовременно",'Вводные'!$B$80="Да",Z23&gt;0),IF(AND('Вводные'!$B$84="Да",YEAR(Z$3)=YEAR($B$21),MONTH(Z$3)=MONTH($B$21)),Z23*Z30/12,IF(AND((12*(YEAR(Z$3)-YEAR($B$20))+MONTH(Z$3)-MONTH($B$20))&gt;0,MOD((12*(YEAR(Z$3)-YEAR($B$20))+MONTH(Z$3)-MONTH($B$20)),'Вводные'!$B$78)=0,(12*(YEAR(Z$3)-YEAR($B$20))+MONTH(Z$3)-MONTH($B$20))&lt;='Вводные'!$B$77*12),Z23*Z30*'Вводные'!$B$78/12,0)),0)</x:f>
      </x:c>
      <x:c r="AA26" s="117" t="n">
        <x:f>IF(AND('Вводные'!$B$75&lt;&gt;"Единовременно",'Вводные'!$B$80="Да",AA23&gt;0),IF(AND('Вводные'!$B$84="Да",YEAR(AA$3)=YEAR($B$21),MONTH(AA$3)=MONTH($B$21)),AA23*AA30/12,IF(AND((12*(YEAR(AA$3)-YEAR($B$20))+MONTH(AA$3)-MONTH($B$20))&gt;0,MOD((12*(YEAR(AA$3)-YEAR($B$20))+MONTH(AA$3)-MONTH($B$20)),'Вводные'!$B$78)=0,(12*(YEAR(AA$3)-YEAR($B$20))+MONTH(AA$3)-MONTH($B$20))&lt;='Вводные'!$B$77*12),AA23*AA30*'Вводные'!$B$78/12,0)),0)</x:f>
      </x:c>
      <x:c r="AB26" s="117" t="n">
        <x:f>IF(AND('Вводные'!$B$75&lt;&gt;"Единовременно",'Вводные'!$B$80="Да",AB23&gt;0),IF(AND('Вводные'!$B$84="Да",YEAR(AB$3)=YEAR($B$21),MONTH(AB$3)=MONTH($B$21)),AB23*AB30/12,IF(AND((12*(YEAR(AB$3)-YEAR($B$20))+MONTH(AB$3)-MONTH($B$20))&gt;0,MOD((12*(YEAR(AB$3)-YEAR($B$20))+MONTH(AB$3)-MONTH($B$20)),'Вводные'!$B$78)=0,(12*(YEAR(AB$3)-YEAR($B$20))+MONTH(AB$3)-MONTH($B$20))&lt;='Вводные'!$B$77*12),AB23*AB30*'Вводные'!$B$78/12,0)),0)</x:f>
      </x:c>
      <x:c r="AC26" s="117" t="n">
        <x:f>IF(AND('Вводные'!$B$75&lt;&gt;"Единовременно",'Вводные'!$B$80="Да",AC23&gt;0),IF(AND('Вводные'!$B$84="Да",YEAR(AC$3)=YEAR($B$21),MONTH(AC$3)=MONTH($B$21)),AC23*AC30/12,IF(AND((12*(YEAR(AC$3)-YEAR($B$20))+MONTH(AC$3)-MONTH($B$20))&gt;0,MOD((12*(YEAR(AC$3)-YEAR($B$20))+MONTH(AC$3)-MONTH($B$20)),'Вводные'!$B$78)=0,(12*(YEAR(AC$3)-YEAR($B$20))+MONTH(AC$3)-MONTH($B$20))&lt;='Вводные'!$B$77*12),AC23*AC30*'Вводные'!$B$78/12,0)),0)</x:f>
      </x:c>
      <x:c r="AD26" s="117" t="n">
        <x:f>IF(AND('Вводные'!$B$75&lt;&gt;"Единовременно",'Вводные'!$B$80="Да",AD23&gt;0),IF(AND('Вводные'!$B$84="Да",YEAR(AD$3)=YEAR($B$21),MONTH(AD$3)=MONTH($B$21)),AD23*AD30/12,IF(AND((12*(YEAR(AD$3)-YEAR($B$20))+MONTH(AD$3)-MONTH($B$20))&gt;0,MOD((12*(YEAR(AD$3)-YEAR($B$20))+MONTH(AD$3)-MONTH($B$20)),'Вводные'!$B$78)=0,(12*(YEAR(AD$3)-YEAR($B$20))+MONTH(AD$3)-MONTH($B$20))&lt;='Вводные'!$B$77*12),AD23*AD30*'Вводные'!$B$78/12,0)),0)</x:f>
      </x:c>
      <x:c r="AE26" s="117" t="n">
        <x:f>IF(AND('Вводные'!$B$75&lt;&gt;"Единовременно",'Вводные'!$B$80="Да",AE23&gt;0),IF(AND('Вводные'!$B$84="Да",YEAR(AE$3)=YEAR($B$21),MONTH(AE$3)=MONTH($B$21)),AE23*AE30/12,IF(AND((12*(YEAR(AE$3)-YEAR($B$20))+MONTH(AE$3)-MONTH($B$20))&gt;0,MOD((12*(YEAR(AE$3)-YEAR($B$20))+MONTH(AE$3)-MONTH($B$20)),'Вводные'!$B$78)=0,(12*(YEAR(AE$3)-YEAR($B$20))+MONTH(AE$3)-MONTH($B$20))&lt;='Вводные'!$B$77*12),AE23*AE30*'Вводные'!$B$78/12,0)),0)</x:f>
      </x:c>
      <x:c r="AF26" s="117" t="n">
        <x:f>IF(AND('Вводные'!$B$75&lt;&gt;"Единовременно",'Вводные'!$B$80="Да",AF23&gt;0),IF(AND('Вводные'!$B$84="Да",YEAR(AF$3)=YEAR($B$21),MONTH(AF$3)=MONTH($B$21)),AF23*AF30/12,IF(AND((12*(YEAR(AF$3)-YEAR($B$20))+MONTH(AF$3)-MONTH($B$20))&gt;0,MOD((12*(YEAR(AF$3)-YEAR($B$20))+MONTH(AF$3)-MONTH($B$20)),'Вводные'!$B$78)=0,(12*(YEAR(AF$3)-YEAR($B$20))+MONTH(AF$3)-MONTH($B$20))&lt;='Вводные'!$B$77*12),AF23*AF30*'Вводные'!$B$78/12,0)),0)</x:f>
      </x:c>
      <x:c r="AG26" s="117" t="n">
        <x:f>IF(AND('Вводные'!$B$75&lt;&gt;"Единовременно",'Вводные'!$B$80="Да",AG23&gt;0),IF(AND('Вводные'!$B$84="Да",YEAR(AG$3)=YEAR($B$21),MONTH(AG$3)=MONTH($B$21)),AG23*AG30/12,IF(AND((12*(YEAR(AG$3)-YEAR($B$20))+MONTH(AG$3)-MONTH($B$20))&gt;0,MOD((12*(YEAR(AG$3)-YEAR($B$20))+MONTH(AG$3)-MONTH($B$20)),'Вводные'!$B$78)=0,(12*(YEAR(AG$3)-YEAR($B$20))+MONTH(AG$3)-MONTH($B$20))&lt;='Вводные'!$B$77*12),AG23*AG30*'Вводные'!$B$78/12,0)),0)</x:f>
      </x:c>
      <x:c r="AH26" s="117" t="n">
        <x:f>IF(AND('Вводные'!$B$75&lt;&gt;"Единовременно",'Вводные'!$B$80="Да",AH23&gt;0),IF(AND('Вводные'!$B$84="Да",YEAR(AH$3)=YEAR($B$21),MONTH(AH$3)=MONTH($B$21)),AH23*AH30/12,IF(AND((12*(YEAR(AH$3)-YEAR($B$20))+MONTH(AH$3)-MONTH($B$20))&gt;0,MOD((12*(YEAR(AH$3)-YEAR($B$20))+MONTH(AH$3)-MONTH($B$20)),'Вводные'!$B$78)=0,(12*(YEAR(AH$3)-YEAR($B$20))+MONTH(AH$3)-MONTH($B$20))&lt;='Вводные'!$B$77*12),AH23*AH30*'Вводные'!$B$78/12,0)),0)</x:f>
      </x:c>
      <x:c r="AI26" s="117" t="n">
        <x:f>IF(AND('Вводные'!$B$75&lt;&gt;"Единовременно",'Вводные'!$B$80="Да",AI23&gt;0),IF(AND('Вводные'!$B$84="Да",YEAR(AI$3)=YEAR($B$21),MONTH(AI$3)=MONTH($B$21)),AI23*AI30/12,IF(AND((12*(YEAR(AI$3)-YEAR($B$20))+MONTH(AI$3)-MONTH($B$20))&gt;0,MOD((12*(YEAR(AI$3)-YEAR($B$20))+MONTH(AI$3)-MONTH($B$20)),'Вводные'!$B$78)=0,(12*(YEAR(AI$3)-YEAR($B$20))+MONTH(AI$3)-MONTH($B$20))&lt;='Вводные'!$B$77*12),AI23*AI30*'Вводные'!$B$78/12,0)),0)</x:f>
      </x:c>
      <x:c r="AJ26" s="117" t="n">
        <x:f>IF(AND('Вводные'!$B$75&lt;&gt;"Единовременно",'Вводные'!$B$80="Да",AJ23&gt;0),IF(AND('Вводные'!$B$84="Да",YEAR(AJ$3)=YEAR($B$21),MONTH(AJ$3)=MONTH($B$21)),AJ23*AJ30/12,IF(AND((12*(YEAR(AJ$3)-YEAR($B$20))+MONTH(AJ$3)-MONTH($B$20))&gt;0,MOD((12*(YEAR(AJ$3)-YEAR($B$20))+MONTH(AJ$3)-MONTH($B$20)),'Вводные'!$B$78)=0,(12*(YEAR(AJ$3)-YEAR($B$20))+MONTH(AJ$3)-MONTH($B$20))&lt;='Вводные'!$B$77*12),AJ23*AJ30*'Вводные'!$B$78/12,0)),0)</x:f>
      </x:c>
      <x:c r="AK26" s="117" t="n">
        <x:f>IF(AND('Вводные'!$B$75&lt;&gt;"Единовременно",'Вводные'!$B$80="Да",AK23&gt;0),IF(AND('Вводные'!$B$84="Да",YEAR(AK$3)=YEAR($B$21),MONTH(AK$3)=MONTH($B$21)),AK23*AK30/12,IF(AND((12*(YEAR(AK$3)-YEAR($B$20))+MONTH(AK$3)-MONTH($B$20))&gt;0,MOD((12*(YEAR(AK$3)-YEAR($B$20))+MONTH(AK$3)-MONTH($B$20)),'Вводные'!$B$78)=0,(12*(YEAR(AK$3)-YEAR($B$20))+MONTH(AK$3)-MONTH($B$20))&lt;='Вводные'!$B$77*12),AK23*AK30*'Вводные'!$B$78/12,0)),0)</x:f>
      </x:c>
      <x:c r="AL26" s="117" t="n">
        <x:f>IF(AND('Вводные'!$B$75&lt;&gt;"Единовременно",'Вводные'!$B$80="Да",AL23&gt;0),IF(AND('Вводные'!$B$84="Да",YEAR(AL$3)=YEAR($B$21),MONTH(AL$3)=MONTH($B$21)),AL23*AL30/12,IF(AND((12*(YEAR(AL$3)-YEAR($B$20))+MONTH(AL$3)-MONTH($B$20))&gt;0,MOD((12*(YEAR(AL$3)-YEAR($B$20))+MONTH(AL$3)-MONTH($B$20)),'Вводные'!$B$78)=0,(12*(YEAR(AL$3)-YEAR($B$20))+MONTH(AL$3)-MONTH($B$20))&lt;='Вводные'!$B$77*12),AL23*AL30*'Вводные'!$B$78/12,0)),0)</x:f>
      </x:c>
      <x:c r="AM26" s="117" t="n">
        <x:f>IF(AND('Вводные'!$B$75&lt;&gt;"Единовременно",'Вводные'!$B$80="Да",AM23&gt;0),IF(AND('Вводные'!$B$84="Да",YEAR(AM$3)=YEAR($B$21),MONTH(AM$3)=MONTH($B$21)),AM23*AM30/12,IF(AND((12*(YEAR(AM$3)-YEAR($B$20))+MONTH(AM$3)-MONTH($B$20))&gt;0,MOD((12*(YEAR(AM$3)-YEAR($B$20))+MONTH(AM$3)-MONTH($B$20)),'Вводные'!$B$78)=0,(12*(YEAR(AM$3)-YEAR($B$20))+MONTH(AM$3)-MONTH($B$20))&lt;='Вводные'!$B$77*12),AM23*AM30*'Вводные'!$B$78/12,0)),0)</x:f>
      </x:c>
      <x:c r="AN26" s="117" t="n">
        <x:f>IF(AND('Вводные'!$B$75&lt;&gt;"Единовременно",'Вводные'!$B$80="Да",AN23&gt;0),IF(AND('Вводные'!$B$84="Да",YEAR(AN$3)=YEAR($B$21),MONTH(AN$3)=MONTH($B$21)),AN23*AN30/12,IF(AND((12*(YEAR(AN$3)-YEAR($B$20))+MONTH(AN$3)-MONTH($B$20))&gt;0,MOD((12*(YEAR(AN$3)-YEAR($B$20))+MONTH(AN$3)-MONTH($B$20)),'Вводные'!$B$78)=0,(12*(YEAR(AN$3)-YEAR($B$20))+MONTH(AN$3)-MONTH($B$20))&lt;='Вводные'!$B$77*12),AN23*AN30*'Вводные'!$B$78/12,0)),0)</x:f>
      </x:c>
      <x:c r="AO26" s="117" t="n">
        <x:f>IF(AND('Вводные'!$B$75&lt;&gt;"Единовременно",'Вводные'!$B$80="Да",AO23&gt;0),IF(AND('Вводные'!$B$84="Да",YEAR(AO$3)=YEAR($B$21),MONTH(AO$3)=MONTH($B$21)),AO23*AO30/12,IF(AND((12*(YEAR(AO$3)-YEAR($B$20))+MONTH(AO$3)-MONTH($B$20))&gt;0,MOD((12*(YEAR(AO$3)-YEAR($B$20))+MONTH(AO$3)-MONTH($B$20)),'Вводные'!$B$78)=0,(12*(YEAR(AO$3)-YEAR($B$20))+MONTH(AO$3)-MONTH($B$20))&lt;='Вводные'!$B$77*12),AO23*AO30*'Вводные'!$B$78/12,0)),0)</x:f>
      </x:c>
      <x:c r="AP26" s="117" t="n">
        <x:f>IF(AND('Вводные'!$B$75&lt;&gt;"Единовременно",'Вводные'!$B$80="Да",AP23&gt;0),IF(AND('Вводные'!$B$84="Да",YEAR(AP$3)=YEAR($B$21),MONTH(AP$3)=MONTH($B$21)),AP23*AP30/12,IF(AND((12*(YEAR(AP$3)-YEAR($B$20))+MONTH(AP$3)-MONTH($B$20))&gt;0,MOD((12*(YEAR(AP$3)-YEAR($B$20))+MONTH(AP$3)-MONTH($B$20)),'Вводные'!$B$78)=0,(12*(YEAR(AP$3)-YEAR($B$20))+MONTH(AP$3)-MONTH($B$20))&lt;='Вводные'!$B$77*12),AP23*AP30*'Вводные'!$B$78/12,0)),0)</x:f>
      </x:c>
      <x:c r="AQ26" s="117" t="n">
        <x:f>IF(AND('Вводные'!$B$75&lt;&gt;"Единовременно",'Вводные'!$B$80="Да",AQ23&gt;0),IF(AND('Вводные'!$B$84="Да",YEAR(AQ$3)=YEAR($B$21),MONTH(AQ$3)=MONTH($B$21)),AQ23*AQ30/12,IF(AND((12*(YEAR(AQ$3)-YEAR($B$20))+MONTH(AQ$3)-MONTH($B$20))&gt;0,MOD((12*(YEAR(AQ$3)-YEAR($B$20))+MONTH(AQ$3)-MONTH($B$20)),'Вводные'!$B$78)=0,(12*(YEAR(AQ$3)-YEAR($B$20))+MONTH(AQ$3)-MONTH($B$20))&lt;='Вводные'!$B$77*12),AQ23*AQ30*'Вводные'!$B$78/12,0)),0)</x:f>
      </x:c>
      <x:c r="AR26" s="117" t="n">
        <x:f>IF(AND('Вводные'!$B$75&lt;&gt;"Единовременно",'Вводные'!$B$80="Да",AR23&gt;0),IF(AND('Вводные'!$B$84="Да",YEAR(AR$3)=YEAR($B$21),MONTH(AR$3)=MONTH($B$21)),AR23*AR30/12,IF(AND((12*(YEAR(AR$3)-YEAR($B$20))+MONTH(AR$3)-MONTH($B$20))&gt;0,MOD((12*(YEAR(AR$3)-YEAR($B$20))+MONTH(AR$3)-MONTH($B$20)),'Вводные'!$B$78)=0,(12*(YEAR(AR$3)-YEAR($B$20))+MONTH(AR$3)-MONTH($B$20))&lt;='Вводные'!$B$77*12),AR23*AR30*'Вводные'!$B$78/12,0)),0)</x:f>
      </x:c>
      <x:c r="AS26" s="117" t="n">
        <x:f>IF(AND('Вводные'!$B$75&lt;&gt;"Единовременно",'Вводные'!$B$80="Да",AS23&gt;0),IF(AND('Вводные'!$B$84="Да",YEAR(AS$3)=YEAR($B$21),MONTH(AS$3)=MONTH($B$21)),AS23*AS30/12,IF(AND((12*(YEAR(AS$3)-YEAR($B$20))+MONTH(AS$3)-MONTH($B$20))&gt;0,MOD((12*(YEAR(AS$3)-YEAR($B$20))+MONTH(AS$3)-MONTH($B$20)),'Вводные'!$B$78)=0,(12*(YEAR(AS$3)-YEAR($B$20))+MONTH(AS$3)-MONTH($B$20))&lt;='Вводные'!$B$77*12),AS23*AS30*'Вводные'!$B$78/12,0)),0)</x:f>
      </x:c>
      <x:c r="AT26" s="117" t="n">
        <x:f>IF(AND('Вводные'!$B$75&lt;&gt;"Единовременно",'Вводные'!$B$80="Да",AT23&gt;0),IF(AND('Вводные'!$B$84="Да",YEAR(AT$3)=YEAR($B$21),MONTH(AT$3)=MONTH($B$21)),AT23*AT30/12,IF(AND((12*(YEAR(AT$3)-YEAR($B$20))+MONTH(AT$3)-MONTH($B$20))&gt;0,MOD((12*(YEAR(AT$3)-YEAR($B$20))+MONTH(AT$3)-MONTH($B$20)),'Вводные'!$B$78)=0,(12*(YEAR(AT$3)-YEAR($B$20))+MONTH(AT$3)-MONTH($B$20))&lt;='Вводные'!$B$77*12),AT23*AT30*'Вводные'!$B$78/12,0)),0)</x:f>
      </x:c>
      <x:c r="AU26" s="117" t="n">
        <x:f>IF(AND('Вводные'!$B$75&lt;&gt;"Единовременно",'Вводные'!$B$80="Да",AU23&gt;0),IF(AND('Вводные'!$B$84="Да",YEAR(AU$3)=YEAR($B$21),MONTH(AU$3)=MONTH($B$21)),AU23*AU30/12,IF(AND((12*(YEAR(AU$3)-YEAR($B$20))+MONTH(AU$3)-MONTH($B$20))&gt;0,MOD((12*(YEAR(AU$3)-YEAR($B$20))+MONTH(AU$3)-MONTH($B$20)),'Вводные'!$B$78)=0,(12*(YEAR(AU$3)-YEAR($B$20))+MONTH(AU$3)-MONTH($B$20))&lt;='Вводные'!$B$77*12),AU23*AU30*'Вводные'!$B$78/12,0)),0)</x:f>
      </x:c>
      <x:c r="AV26" s="117" t="n">
        <x:f>IF(AND('Вводные'!$B$75&lt;&gt;"Единовременно",'Вводные'!$B$80="Да",AV23&gt;0),IF(AND('Вводные'!$B$84="Да",YEAR(AV$3)=YEAR($B$21),MONTH(AV$3)=MONTH($B$21)),AV23*AV30/12,IF(AND((12*(YEAR(AV$3)-YEAR($B$20))+MONTH(AV$3)-MONTH($B$20))&gt;0,MOD((12*(YEAR(AV$3)-YEAR($B$20))+MONTH(AV$3)-MONTH($B$20)),'Вводные'!$B$78)=0,(12*(YEAR(AV$3)-YEAR($B$20))+MONTH(AV$3)-MONTH($B$20))&lt;='Вводные'!$B$77*12),AV23*AV30*'Вводные'!$B$78/12,0)),0)</x:f>
      </x:c>
      <x:c r="AW26" s="117" t="n">
        <x:f>IF(AND('Вводные'!$B$75&lt;&gt;"Единовременно",'Вводные'!$B$80="Да",AW23&gt;0),IF(AND('Вводные'!$B$84="Да",YEAR(AW$3)=YEAR($B$21),MONTH(AW$3)=MONTH($B$21)),AW23*AW30/12,IF(AND((12*(YEAR(AW$3)-YEAR($B$20))+MONTH(AW$3)-MONTH($B$20))&gt;0,MOD((12*(YEAR(AW$3)-YEAR($B$20))+MONTH(AW$3)-MONTH($B$20)),'Вводные'!$B$78)=0,(12*(YEAR(AW$3)-YEAR($B$20))+MONTH(AW$3)-MONTH($B$20))&lt;='Вводные'!$B$77*12),AW23*AW30*'Вводные'!$B$78/12,0)),0)</x:f>
      </x:c>
      <x:c r="AX26" s="117" t="n">
        <x:f>IF(AND('Вводные'!$B$75&lt;&gt;"Единовременно",'Вводные'!$B$80="Да",AX23&gt;0),IF(AND('Вводные'!$B$84="Да",YEAR(AX$3)=YEAR($B$21),MONTH(AX$3)=MONTH($B$21)),AX23*AX30/12,IF(AND((12*(YEAR(AX$3)-YEAR($B$20))+MONTH(AX$3)-MONTH($B$20))&gt;0,MOD((12*(YEAR(AX$3)-YEAR($B$20))+MONTH(AX$3)-MONTH($B$20)),'Вводные'!$B$78)=0,(12*(YEAR(AX$3)-YEAR($B$20))+MONTH(AX$3)-MONTH($B$20))&lt;='Вводные'!$B$77*12),AX23*AX30*'Вводные'!$B$78/12,0)),0)</x:f>
      </x:c>
      <x:c r="AY26" s="117" t="n">
        <x:f>IF(AND('Вводные'!$B$75&lt;&gt;"Единовременно",'Вводные'!$B$80="Да",AY23&gt;0),IF(AND('Вводные'!$B$84="Да",YEAR(AY$3)=YEAR($B$21),MONTH(AY$3)=MONTH($B$21)),AY23*AY30/12,IF(AND((12*(YEAR(AY$3)-YEAR($B$20))+MONTH(AY$3)-MONTH($B$20))&gt;0,MOD((12*(YEAR(AY$3)-YEAR($B$20))+MONTH(AY$3)-MONTH($B$20)),'Вводные'!$B$78)=0,(12*(YEAR(AY$3)-YEAR($B$20))+MONTH(AY$3)-MONTH($B$20))&lt;='Вводные'!$B$77*12),AY23*AY30*'Вводные'!$B$78/12,0)),0)</x:f>
      </x:c>
      <x:c r="AZ26" s="117" t="n">
        <x:f>IF(AND('Вводные'!$B$75&lt;&gt;"Единовременно",'Вводные'!$B$80="Да",AZ23&gt;0),IF(AND('Вводные'!$B$84="Да",YEAR(AZ$3)=YEAR($B$21),MONTH(AZ$3)=MONTH($B$21)),AZ23*AZ30/12,IF(AND((12*(YEAR(AZ$3)-YEAR($B$20))+MONTH(AZ$3)-MONTH($B$20))&gt;0,MOD((12*(YEAR(AZ$3)-YEAR($B$20))+MONTH(AZ$3)-MONTH($B$20)),'Вводные'!$B$78)=0,(12*(YEAR(AZ$3)-YEAR($B$20))+MONTH(AZ$3)-MONTH($B$20))&lt;='Вводные'!$B$77*12),AZ23*AZ30*'Вводные'!$B$78/12,0)),0)</x:f>
      </x:c>
      <x:c r="BA26" s="117" t="n">
        <x:f>IF(AND('Вводные'!$B$75&lt;&gt;"Единовременно",'Вводные'!$B$80="Да",BA23&gt;0),IF(AND('Вводные'!$B$84="Да",YEAR(BA$3)=YEAR($B$21),MONTH(BA$3)=MONTH($B$21)),BA23*BA30/12,IF(AND((12*(YEAR(BA$3)-YEAR($B$20))+MONTH(BA$3)-MONTH($B$20))&gt;0,MOD((12*(YEAR(BA$3)-YEAR($B$20))+MONTH(BA$3)-MONTH($B$20)),'Вводные'!$B$78)=0,(12*(YEAR(BA$3)-YEAR($B$20))+MONTH(BA$3)-MONTH($B$20))&lt;='Вводные'!$B$77*12),BA23*BA30*'Вводные'!$B$78/12,0)),0)</x:f>
      </x:c>
      <x:c r="BB26" s="117" t="n">
        <x:f>IF(AND('Вводные'!$B$75&lt;&gt;"Единовременно",'Вводные'!$B$80="Да",BB23&gt;0),IF(AND('Вводные'!$B$84="Да",YEAR(BB$3)=YEAR($B$21),MONTH(BB$3)=MONTH($B$21)),BB23*BB30/12,IF(AND((12*(YEAR(BB$3)-YEAR($B$20))+MONTH(BB$3)-MONTH($B$20))&gt;0,MOD((12*(YEAR(BB$3)-YEAR($B$20))+MONTH(BB$3)-MONTH($B$20)),'Вводные'!$B$78)=0,(12*(YEAR(BB$3)-YEAR($B$20))+MONTH(BB$3)-MONTH($B$20))&lt;='Вводные'!$B$77*12),BB23*BB30*'Вводные'!$B$78/12,0)),0)</x:f>
      </x:c>
      <x:c r="BC26" s="117" t="n">
        <x:f>IF(AND('Вводные'!$B$75&lt;&gt;"Единовременно",'Вводные'!$B$80="Да",BC23&gt;0),IF(AND('Вводные'!$B$84="Да",YEAR(BC$3)=YEAR($B$21),MONTH(BC$3)=MONTH($B$21)),BC23*BC30/12,IF(AND((12*(YEAR(BC$3)-YEAR($B$20))+MONTH(BC$3)-MONTH($B$20))&gt;0,MOD((12*(YEAR(BC$3)-YEAR($B$20))+MONTH(BC$3)-MONTH($B$20)),'Вводные'!$B$78)=0,(12*(YEAR(BC$3)-YEAR($B$20))+MONTH(BC$3)-MONTH($B$20))&lt;='Вводные'!$B$77*12),BC23*BC30*'Вводные'!$B$78/12,0)),0)</x:f>
      </x:c>
      <x:c r="BD26" s="117" t="n">
        <x:f>IF(AND('Вводные'!$B$75&lt;&gt;"Единовременно",'Вводные'!$B$80="Да",BD23&gt;0),IF(AND('Вводные'!$B$84="Да",YEAR(BD$3)=YEAR($B$21),MONTH(BD$3)=MONTH($B$21)),BD23*BD30/12,IF(AND((12*(YEAR(BD$3)-YEAR($B$20))+MONTH(BD$3)-MONTH($B$20))&gt;0,MOD((12*(YEAR(BD$3)-YEAR($B$20))+MONTH(BD$3)-MONTH($B$20)),'Вводные'!$B$78)=0,(12*(YEAR(BD$3)-YEAR($B$20))+MONTH(BD$3)-MONTH($B$20))&lt;='Вводные'!$B$77*12),BD23*BD30*'Вводные'!$B$78/12,0)),0)</x:f>
      </x:c>
      <x:c r="BE26" s="117" t="n">
        <x:f>IF(AND('Вводные'!$B$75&lt;&gt;"Единовременно",'Вводные'!$B$80="Да",BE23&gt;0),IF(AND('Вводные'!$B$84="Да",YEAR(BE$3)=YEAR($B$21),MONTH(BE$3)=MONTH($B$21)),BE23*BE30/12,IF(AND((12*(YEAR(BE$3)-YEAR($B$20))+MONTH(BE$3)-MONTH($B$20))&gt;0,MOD((12*(YEAR(BE$3)-YEAR($B$20))+MONTH(BE$3)-MONTH($B$20)),'Вводные'!$B$78)=0,(12*(YEAR(BE$3)-YEAR($B$20))+MONTH(BE$3)-MONTH($B$20))&lt;='Вводные'!$B$77*12),BE23*BE30*'Вводные'!$B$78/12,0)),0)</x:f>
      </x:c>
      <x:c r="BF26" s="117" t="n">
        <x:f>IF(AND('Вводные'!$B$75&lt;&gt;"Единовременно",'Вводные'!$B$80="Да",BF23&gt;0),IF(AND('Вводные'!$B$84="Да",YEAR(BF$3)=YEAR($B$21),MONTH(BF$3)=MONTH($B$21)),BF23*BF30/12,IF(AND((12*(YEAR(BF$3)-YEAR($B$20))+MONTH(BF$3)-MONTH($B$20))&gt;0,MOD((12*(YEAR(BF$3)-YEAR($B$20))+MONTH(BF$3)-MONTH($B$20)),'Вводные'!$B$78)=0,(12*(YEAR(BF$3)-YEAR($B$20))+MONTH(BF$3)-MONTH($B$20))&lt;='Вводные'!$B$77*12),BF23*BF30*'Вводные'!$B$78/12,0)),0)</x:f>
      </x:c>
      <x:c r="BG26" s="117" t="n">
        <x:f>IF(AND('Вводные'!$B$75&lt;&gt;"Единовременно",'Вводные'!$B$80="Да",BG23&gt;0),IF(AND('Вводные'!$B$84="Да",YEAR(BG$3)=YEAR($B$21),MONTH(BG$3)=MONTH($B$21)),BG23*BG30/12,IF(AND((12*(YEAR(BG$3)-YEAR($B$20))+MONTH(BG$3)-MONTH($B$20))&gt;0,MOD((12*(YEAR(BG$3)-YEAR($B$20))+MONTH(BG$3)-MONTH($B$20)),'Вводные'!$B$78)=0,(12*(YEAR(BG$3)-YEAR($B$20))+MONTH(BG$3)-MONTH($B$20))&lt;='Вводные'!$B$77*12),BG23*BG30*'Вводные'!$B$78/12,0)),0)</x:f>
      </x:c>
      <x:c r="BH26" s="117" t="n">
        <x:f>IF(AND('Вводные'!$B$75&lt;&gt;"Единовременно",'Вводные'!$B$80="Да",BH23&gt;0),IF(AND('Вводные'!$B$84="Да",YEAR(BH$3)=YEAR($B$21),MONTH(BH$3)=MONTH($B$21)),BH23*BH30/12,IF(AND((12*(YEAR(BH$3)-YEAR($B$20))+MONTH(BH$3)-MONTH($B$20))&gt;0,MOD((12*(YEAR(BH$3)-YEAR($B$20))+MONTH(BH$3)-MONTH($B$20)),'Вводные'!$B$78)=0,(12*(YEAR(BH$3)-YEAR($B$20))+MONTH(BH$3)-MONTH($B$20))&lt;='Вводные'!$B$77*12),BH23*BH30*'Вводные'!$B$78/12,0)),0)</x:f>
      </x:c>
      <x:c r="BI26" s="117" t="n">
        <x:f>IF(AND('Вводные'!$B$75&lt;&gt;"Единовременно",'Вводные'!$B$80="Да",BI23&gt;0),IF(AND('Вводные'!$B$84="Да",YEAR(BI$3)=YEAR($B$21),MONTH(BI$3)=MONTH($B$21)),BI23*BI30/12,IF(AND((12*(YEAR(BI$3)-YEAR($B$20))+MONTH(BI$3)-MONTH($B$20))&gt;0,MOD((12*(YEAR(BI$3)-YEAR($B$20))+MONTH(BI$3)-MONTH($B$20)),'Вводные'!$B$78)=0,(12*(YEAR(BI$3)-YEAR($B$20))+MONTH(BI$3)-MONTH($B$20))&lt;='Вводные'!$B$77*12),BI23*BI30*'Вводные'!$B$78/12,0)),0)</x:f>
      </x:c>
      <x:c r="BJ26" s="117" t="n">
        <x:f>IF(AND('Вводные'!$B$75&lt;&gt;"Единовременно",'Вводные'!$B$80="Да",BJ23&gt;0),IF(AND('Вводные'!$B$84="Да",YEAR(BJ$3)=YEAR($B$21),MONTH(BJ$3)=MONTH($B$21)),BJ23*BJ30/12,IF(AND((12*(YEAR(BJ$3)-YEAR($B$20))+MONTH(BJ$3)-MONTH($B$20))&gt;0,MOD((12*(YEAR(BJ$3)-YEAR($B$20))+MONTH(BJ$3)-MONTH($B$20)),'Вводные'!$B$78)=0,(12*(YEAR(BJ$3)-YEAR($B$20))+MONTH(BJ$3)-MONTH($B$20))&lt;='Вводные'!$B$77*12),BJ23*BJ30*'Вводные'!$B$78/12,0)),0)</x:f>
      </x:c>
      <x:c r="BK26" s="117" t="n">
        <x:f>IF(AND('Вводные'!$B$75&lt;&gt;"Единовременно",'Вводные'!$B$80="Да",BK23&gt;0),IF(AND('Вводные'!$B$84="Да",YEAR(BK$3)=YEAR($B$21),MONTH(BK$3)=MONTH($B$21)),BK23*BK30/12,IF(AND((12*(YEAR(BK$3)-YEAR($B$20))+MONTH(BK$3)-MONTH($B$20))&gt;0,MOD((12*(YEAR(BK$3)-YEAR($B$20))+MONTH(BK$3)-MONTH($B$20)),'Вводные'!$B$78)=0,(12*(YEAR(BK$3)-YEAR($B$20))+MONTH(BK$3)-MONTH($B$20))&lt;='Вводные'!$B$77*12),BK23*BK30*'Вводные'!$B$78/12,0)),0)</x:f>
      </x:c>
      <x:c r="BL26" s="117" t="n">
        <x:f>IF(AND('Вводные'!$B$75&lt;&gt;"Единовременно",'Вводные'!$B$80="Да",BL23&gt;0),IF(AND('Вводные'!$B$84="Да",YEAR(BL$3)=YEAR($B$21),MONTH(BL$3)=MONTH($B$21)),BL23*BL30/12,IF(AND((12*(YEAR(BL$3)-YEAR($B$20))+MONTH(BL$3)-MONTH($B$20))&gt;0,MOD((12*(YEAR(BL$3)-YEAR($B$20))+MONTH(BL$3)-MONTH($B$20)),'Вводные'!$B$78)=0,(12*(YEAR(BL$3)-YEAR($B$20))+MONTH(BL$3)-MONTH($B$20))&lt;='Вводные'!$B$77*12),BL23*BL30*'Вводные'!$B$78/12,0)),0)</x:f>
      </x:c>
      <x:c r="BM26" s="117" t="n">
        <x:f>IF(AND('Вводные'!$B$75&lt;&gt;"Единовременно",'Вводные'!$B$80="Да",BM23&gt;0),IF(AND('Вводные'!$B$84="Да",YEAR(BM$3)=YEAR($B$21),MONTH(BM$3)=MONTH($B$21)),BM23*BM30/12,IF(AND((12*(YEAR(BM$3)-YEAR($B$20))+MONTH(BM$3)-MONTH($B$20))&gt;0,MOD((12*(YEAR(BM$3)-YEAR($B$20))+MONTH(BM$3)-MONTH($B$20)),'Вводные'!$B$78)=0,(12*(YEAR(BM$3)-YEAR($B$20))+MONTH(BM$3)-MONTH($B$20))&lt;='Вводные'!$B$77*12),BM23*BM30*'Вводные'!$B$78/12,0)),0)</x:f>
      </x:c>
      <x:c r="BN26" s="117" t="n">
        <x:f>IF(AND('Вводные'!$B$75&lt;&gt;"Единовременно",'Вводные'!$B$80="Да",BN23&gt;0),IF(AND('Вводные'!$B$84="Да",YEAR(BN$3)=YEAR($B$21),MONTH(BN$3)=MONTH($B$21)),BN23*BN30/12,IF(AND((12*(YEAR(BN$3)-YEAR($B$20))+MONTH(BN$3)-MONTH($B$20))&gt;0,MOD((12*(YEAR(BN$3)-YEAR($B$20))+MONTH(BN$3)-MONTH($B$20)),'Вводные'!$B$78)=0,(12*(YEAR(BN$3)-YEAR($B$20))+MONTH(BN$3)-MONTH($B$20))&lt;='Вводные'!$B$77*12),BN23*BN30*'Вводные'!$B$78/12,0)),0)</x:f>
      </x:c>
      <x:c r="BO26" s="117" t="n">
        <x:f>IF(AND('Вводные'!$B$75&lt;&gt;"Единовременно",'Вводные'!$B$80="Да",BO23&gt;0),IF(AND('Вводные'!$B$84="Да",YEAR(BO$3)=YEAR($B$21),MONTH(BO$3)=MONTH($B$21)),BO23*BO30/12,IF(AND((12*(YEAR(BO$3)-YEAR($B$20))+MONTH(BO$3)-MONTH($B$20))&gt;0,MOD((12*(YEAR(BO$3)-YEAR($B$20))+MONTH(BO$3)-MONTH($B$20)),'Вводные'!$B$78)=0,(12*(YEAR(BO$3)-YEAR($B$20))+MONTH(BO$3)-MONTH($B$20))&lt;='Вводные'!$B$77*12),BO23*BO30*'Вводные'!$B$78/12,0)),0)</x:f>
      </x:c>
      <x:c r="BP26" s="117" t="n">
        <x:f>IF(AND('Вводные'!$B$75&lt;&gt;"Единовременно",'Вводные'!$B$80="Да",BP23&gt;0),IF(AND('Вводные'!$B$84="Да",YEAR(BP$3)=YEAR($B$21),MONTH(BP$3)=MONTH($B$21)),BP23*BP30/12,IF(AND((12*(YEAR(BP$3)-YEAR($B$20))+MONTH(BP$3)-MONTH($B$20))&gt;0,MOD((12*(YEAR(BP$3)-YEAR($B$20))+MONTH(BP$3)-MONTH($B$20)),'Вводные'!$B$78)=0,(12*(YEAR(BP$3)-YEAR($B$20))+MONTH(BP$3)-MONTH($B$20))&lt;='Вводные'!$B$77*12),BP23*BP30*'Вводные'!$B$78/12,0)),0)</x:f>
      </x:c>
      <x:c r="BQ26" s="117" t="n">
        <x:f>IF(AND('Вводные'!$B$75&lt;&gt;"Единовременно",'Вводные'!$B$80="Да",BQ23&gt;0),IF(AND('Вводные'!$B$84="Да",YEAR(BQ$3)=YEAR($B$21),MONTH(BQ$3)=MONTH($B$21)),BQ23*BQ30/12,IF(AND((12*(YEAR(BQ$3)-YEAR($B$20))+MONTH(BQ$3)-MONTH($B$20))&gt;0,MOD((12*(YEAR(BQ$3)-YEAR($B$20))+MONTH(BQ$3)-MONTH($B$20)),'Вводные'!$B$78)=0,(12*(YEAR(BQ$3)-YEAR($B$20))+MONTH(BQ$3)-MONTH($B$20))&lt;='Вводные'!$B$77*12),BQ23*BQ30*'Вводные'!$B$78/12,0)),0)</x:f>
      </x:c>
      <x:c r="BR26" s="117" t="n">
        <x:f>IF(AND('Вводные'!$B$75&lt;&gt;"Единовременно",'Вводные'!$B$80="Да",BR23&gt;0),IF(AND('Вводные'!$B$84="Да",YEAR(BR$3)=YEAR($B$21),MONTH(BR$3)=MONTH($B$21)),BR23*BR30/12,IF(AND((12*(YEAR(BR$3)-YEAR($B$20))+MONTH(BR$3)-MONTH($B$20))&gt;0,MOD((12*(YEAR(BR$3)-YEAR($B$20))+MONTH(BR$3)-MONTH($B$20)),'Вводные'!$B$78)=0,(12*(YEAR(BR$3)-YEAR($B$20))+MONTH(BR$3)-MONTH($B$20))&lt;='Вводные'!$B$77*12),BR23*BR30*'Вводные'!$B$78/12,0)),0)</x:f>
      </x:c>
      <x:c r="BS26" s="117" t="n">
        <x:f>IF(AND('Вводные'!$B$75&lt;&gt;"Единовременно",'Вводные'!$B$80="Да",BS23&gt;0),IF(AND('Вводные'!$B$84="Да",YEAR(BS$3)=YEAR($B$21),MONTH(BS$3)=MONTH($B$21)),BS23*BS30/12,IF(AND((12*(YEAR(BS$3)-YEAR($B$20))+MONTH(BS$3)-MONTH($B$20))&gt;0,MOD((12*(YEAR(BS$3)-YEAR($B$20))+MONTH(BS$3)-MONTH($B$20)),'Вводные'!$B$78)=0,(12*(YEAR(BS$3)-YEAR($B$20))+MONTH(BS$3)-MONTH($B$20))&lt;='Вводные'!$B$77*12),BS23*BS30*'Вводные'!$B$78/12,0)),0)</x:f>
      </x:c>
      <x:c r="BT26" s="117" t="n">
        <x:f>IF(AND('Вводные'!$B$75&lt;&gt;"Единовременно",'Вводные'!$B$80="Да",BT23&gt;0),IF(AND('Вводные'!$B$84="Да",YEAR(BT$3)=YEAR($B$21),MONTH(BT$3)=MONTH($B$21)),BT23*BT30/12,IF(AND((12*(YEAR(BT$3)-YEAR($B$20))+MONTH(BT$3)-MONTH($B$20))&gt;0,MOD((12*(YEAR(BT$3)-YEAR($B$20))+MONTH(BT$3)-MONTH($B$20)),'Вводные'!$B$78)=0,(12*(YEAR(BT$3)-YEAR($B$20))+MONTH(BT$3)-MONTH($B$20))&lt;='Вводные'!$B$77*12),BT23*BT30*'Вводные'!$B$78/12,0)),0)</x:f>
      </x:c>
      <x:c r="BU26" s="117" t="n">
        <x:f>IF(AND('Вводные'!$B$75&lt;&gt;"Единовременно",'Вводные'!$B$80="Да",BU23&gt;0),IF(AND('Вводные'!$B$84="Да",YEAR(BU$3)=YEAR($B$21),MONTH(BU$3)=MONTH($B$21)),BU23*BU30/12,IF(AND((12*(YEAR(BU$3)-YEAR($B$20))+MONTH(BU$3)-MONTH($B$20))&gt;0,MOD((12*(YEAR(BU$3)-YEAR($B$20))+MONTH(BU$3)-MONTH($B$20)),'Вводные'!$B$78)=0,(12*(YEAR(BU$3)-YEAR($B$20))+MONTH(BU$3)-MONTH($B$20))&lt;='Вводные'!$B$77*12),BU23*BU30*'Вводные'!$B$78/12,0)),0)</x:f>
      </x:c>
      <x:c r="BV26" s="117" t="n">
        <x:f>IF(AND('Вводные'!$B$75&lt;&gt;"Единовременно",'Вводные'!$B$80="Да",BV23&gt;0),IF(AND('Вводные'!$B$84="Да",YEAR(BV$3)=YEAR($B$21),MONTH(BV$3)=MONTH($B$21)),BV23*BV30/12,IF(AND((12*(YEAR(BV$3)-YEAR($B$20))+MONTH(BV$3)-MONTH($B$20))&gt;0,MOD((12*(YEAR(BV$3)-YEAR($B$20))+MONTH(BV$3)-MONTH($B$20)),'Вводные'!$B$78)=0,(12*(YEAR(BV$3)-YEAR($B$20))+MONTH(BV$3)-MONTH($B$20))&lt;='Вводные'!$B$77*12),BV23*BV30*'Вводные'!$B$78/12,0)),0)</x:f>
      </x:c>
      <x:c r="BW26" s="117" t="n">
        <x:f>IF(AND('Вводные'!$B$75&lt;&gt;"Единовременно",'Вводные'!$B$80="Да",BW23&gt;0),IF(AND('Вводные'!$B$84="Да",YEAR(BW$3)=YEAR($B$21),MONTH(BW$3)=MONTH($B$21)),BW23*BW30/12,IF(AND((12*(YEAR(BW$3)-YEAR($B$20))+MONTH(BW$3)-MONTH($B$20))&gt;0,MOD((12*(YEAR(BW$3)-YEAR($B$20))+MONTH(BW$3)-MONTH($B$20)),'Вводные'!$B$78)=0,(12*(YEAR(BW$3)-YEAR($B$20))+MONTH(BW$3)-MONTH($B$20))&lt;='Вводные'!$B$77*12),BW23*BW30*'Вводные'!$B$78/12,0)),0)</x:f>
      </x:c>
      <x:c r="BX26" s="117" t="n">
        <x:f>IF(AND('Вводные'!$B$75&lt;&gt;"Единовременно",'Вводные'!$B$80="Да",BX23&gt;0),IF(AND('Вводные'!$B$84="Да",YEAR(BX$3)=YEAR($B$21),MONTH(BX$3)=MONTH($B$21)),BX23*BX30/12,IF(AND((12*(YEAR(BX$3)-YEAR($B$20))+MONTH(BX$3)-MONTH($B$20))&gt;0,MOD((12*(YEAR(BX$3)-YEAR($B$20))+MONTH(BX$3)-MONTH($B$20)),'Вводные'!$B$78)=0,(12*(YEAR(BX$3)-YEAR($B$20))+MONTH(BX$3)-MONTH($B$20))&lt;='Вводные'!$B$77*12),BX23*BX30*'Вводные'!$B$78/12,0)),0)</x:f>
      </x:c>
      <x:c r="BY26" s="117" t="n">
        <x:f>IF(AND('Вводные'!$B$75&lt;&gt;"Единовременно",'Вводные'!$B$80="Да",BY23&gt;0),IF(AND('Вводные'!$B$84="Да",YEAR(BY$3)=YEAR($B$21),MONTH(BY$3)=MONTH($B$21)),BY23*BY30/12,IF(AND((12*(YEAR(BY$3)-YEAR($B$20))+MONTH(BY$3)-MONTH($B$20))&gt;0,MOD((12*(YEAR(BY$3)-YEAR($B$20))+MONTH(BY$3)-MONTH($B$20)),'Вводные'!$B$78)=0,(12*(YEAR(BY$3)-YEAR($B$20))+MONTH(BY$3)-MONTH($B$20))&lt;='Вводные'!$B$77*12),BY23*BY30*'Вводные'!$B$78/12,0)),0)</x:f>
      </x:c>
      <x:c r="BZ26" s="117" t="n">
        <x:f>IF(AND('Вводные'!$B$75&lt;&gt;"Единовременно",'Вводные'!$B$80="Да",BZ23&gt;0),IF(AND('Вводные'!$B$84="Да",YEAR(BZ$3)=YEAR($B$21),MONTH(BZ$3)=MONTH($B$21)),BZ23*BZ30/12,IF(AND((12*(YEAR(BZ$3)-YEAR($B$20))+MONTH(BZ$3)-MONTH($B$20))&gt;0,MOD((12*(YEAR(BZ$3)-YEAR($B$20))+MONTH(BZ$3)-MONTH($B$20)),'Вводные'!$B$78)=0,(12*(YEAR(BZ$3)-YEAR($B$20))+MONTH(BZ$3)-MONTH($B$20))&lt;='Вводные'!$B$77*12),BZ23*BZ30*'Вводные'!$B$78/12,0)),0)</x:f>
      </x:c>
      <x:c r="CA26" s="117" t="n">
        <x:f>IF(AND('Вводные'!$B$75&lt;&gt;"Единовременно",'Вводные'!$B$80="Да",CA23&gt;0),IF(AND('Вводные'!$B$84="Да",YEAR(CA$3)=YEAR($B$21),MONTH(CA$3)=MONTH($B$21)),CA23*CA30/12,IF(AND((12*(YEAR(CA$3)-YEAR($B$20))+MONTH(CA$3)-MONTH($B$20))&gt;0,MOD((12*(YEAR(CA$3)-YEAR($B$20))+MONTH(CA$3)-MONTH($B$20)),'Вводные'!$B$78)=0,(12*(YEAR(CA$3)-YEAR($B$20))+MONTH(CA$3)-MONTH($B$20))&lt;='Вводные'!$B$77*12),CA23*CA30*'Вводные'!$B$78/12,0)),0)</x:f>
      </x:c>
      <x:c r="CB26" s="117" t="n">
        <x:f>IF(AND('Вводные'!$B$75&lt;&gt;"Единовременно",'Вводные'!$B$80="Да",CB23&gt;0),IF(AND('Вводные'!$B$84="Да",YEAR(CB$3)=YEAR($B$21),MONTH(CB$3)=MONTH($B$21)),CB23*CB30/12,IF(AND((12*(YEAR(CB$3)-YEAR($B$20))+MONTH(CB$3)-MONTH($B$20))&gt;0,MOD((12*(YEAR(CB$3)-YEAR($B$20))+MONTH(CB$3)-MONTH($B$20)),'Вводные'!$B$78)=0,(12*(YEAR(CB$3)-YEAR($B$20))+MONTH(CB$3)-MONTH($B$20))&lt;='Вводные'!$B$77*12),CB23*CB30*'Вводные'!$B$78/12,0)),0)</x:f>
      </x:c>
      <x:c r="CC26" s="117" t="n">
        <x:f>IF(AND('Вводные'!$B$75&lt;&gt;"Единовременно",'Вводные'!$B$80="Да",CC23&gt;0),IF(AND('Вводные'!$B$84="Да",YEAR(CC$3)=YEAR($B$21),MONTH(CC$3)=MONTH($B$21)),CC23*CC30/12,IF(AND((12*(YEAR(CC$3)-YEAR($B$20))+MONTH(CC$3)-MONTH($B$20))&gt;0,MOD((12*(YEAR(CC$3)-YEAR($B$20))+MONTH(CC$3)-MONTH($B$20)),'Вводные'!$B$78)=0,(12*(YEAR(CC$3)-YEAR($B$20))+MONTH(CC$3)-MONTH($B$20))&lt;='Вводные'!$B$77*12),CC23*CC30*'Вводные'!$B$78/12,0)),0)</x:f>
      </x:c>
      <x:c r="CD26" s="117" t="n">
        <x:f>IF(AND('Вводные'!$B$75&lt;&gt;"Единовременно",'Вводные'!$B$80="Да",CD23&gt;0),IF(AND('Вводные'!$B$84="Да",YEAR(CD$3)=YEAR($B$21),MONTH(CD$3)=MONTH($B$21)),CD23*CD30/12,IF(AND((12*(YEAR(CD$3)-YEAR($B$20))+MONTH(CD$3)-MONTH($B$20))&gt;0,MOD((12*(YEAR(CD$3)-YEAR($B$20))+MONTH(CD$3)-MONTH($B$20)),'Вводные'!$B$78)=0,(12*(YEAR(CD$3)-YEAR($B$20))+MONTH(CD$3)-MONTH($B$20))&lt;='Вводные'!$B$77*12),CD23*CD30*'Вводные'!$B$78/12,0)),0)</x:f>
      </x:c>
      <x:c r="CE26" s="117" t="n">
        <x:f>IF(AND('Вводные'!$B$75&lt;&gt;"Единовременно",'Вводные'!$B$80="Да",CE23&gt;0),IF(AND('Вводные'!$B$84="Да",YEAR(CE$3)=YEAR($B$21),MONTH(CE$3)=MONTH($B$21)),CE23*CE30/12,IF(AND((12*(YEAR(CE$3)-YEAR($B$20))+MONTH(CE$3)-MONTH($B$20))&gt;0,MOD((12*(YEAR(CE$3)-YEAR($B$20))+MONTH(CE$3)-MONTH($B$20)),'Вводные'!$B$78)=0,(12*(YEAR(CE$3)-YEAR($B$20))+MONTH(CE$3)-MONTH($B$20))&lt;='Вводные'!$B$77*12),CE23*CE30*'Вводные'!$B$78/12,0)),0)</x:f>
      </x:c>
      <x:c r="CF26" s="117" t="n">
        <x:f>IF(AND('Вводные'!$B$75&lt;&gt;"Единовременно",'Вводные'!$B$80="Да",CF23&gt;0),IF(AND('Вводные'!$B$84="Да",YEAR(CF$3)=YEAR($B$21),MONTH(CF$3)=MONTH($B$21)),CF23*CF30/12,IF(AND((12*(YEAR(CF$3)-YEAR($B$20))+MONTH(CF$3)-MONTH($B$20))&gt;0,MOD((12*(YEAR(CF$3)-YEAR($B$20))+MONTH(CF$3)-MONTH($B$20)),'Вводные'!$B$78)=0,(12*(YEAR(CF$3)-YEAR($B$20))+MONTH(CF$3)-MONTH($B$20))&lt;='Вводные'!$B$77*12),CF23*CF30*'Вводные'!$B$78/12,0)),0)</x:f>
      </x:c>
      <x:c r="CG26" s="117" t="n">
        <x:f>IF(AND('Вводные'!$B$75&lt;&gt;"Единовременно",'Вводные'!$B$80="Да",CG23&gt;0),IF(AND('Вводные'!$B$84="Да",YEAR(CG$3)=YEAR($B$21),MONTH(CG$3)=MONTH($B$21)),CG23*CG30/12,IF(AND((12*(YEAR(CG$3)-YEAR($B$20))+MONTH(CG$3)-MONTH($B$20))&gt;0,MOD((12*(YEAR(CG$3)-YEAR($B$20))+MONTH(CG$3)-MONTH($B$20)),'Вводные'!$B$78)=0,(12*(YEAR(CG$3)-YEAR($B$20))+MONTH(CG$3)-MONTH($B$20))&lt;='Вводные'!$B$77*12),CG23*CG30*'Вводные'!$B$78/12,0)),0)</x:f>
      </x:c>
      <x:c r="CH26" s="117" t="n">
        <x:f>IF(AND('Вводные'!$B$75&lt;&gt;"Единовременно",'Вводные'!$B$80="Да",CH23&gt;0),IF(AND('Вводные'!$B$84="Да",YEAR(CH$3)=YEAR($B$21),MONTH(CH$3)=MONTH($B$21)),CH23*CH30/12,IF(AND((12*(YEAR(CH$3)-YEAR($B$20))+MONTH(CH$3)-MONTH($B$20))&gt;0,MOD((12*(YEAR(CH$3)-YEAR($B$20))+MONTH(CH$3)-MONTH($B$20)),'Вводные'!$B$78)=0,(12*(YEAR(CH$3)-YEAR($B$20))+MONTH(CH$3)-MONTH($B$20))&lt;='Вводные'!$B$77*12),CH23*CH30*'Вводные'!$B$78/12,0)),0)</x:f>
      </x:c>
      <x:c r="CI26" s="117" t="n">
        <x:f>IF(AND('Вводные'!$B$75&lt;&gt;"Единовременно",'Вводные'!$B$80="Да",CI23&gt;0),IF(AND('Вводные'!$B$84="Да",YEAR(CI$3)=YEAR($B$21),MONTH(CI$3)=MONTH($B$21)),CI23*CI30/12,IF(AND((12*(YEAR(CI$3)-YEAR($B$20))+MONTH(CI$3)-MONTH($B$20))&gt;0,MOD((12*(YEAR(CI$3)-YEAR($B$20))+MONTH(CI$3)-MONTH($B$20)),'Вводные'!$B$78)=0,(12*(YEAR(CI$3)-YEAR($B$20))+MONTH(CI$3)-MONTH($B$20))&lt;='Вводные'!$B$77*12),CI23*CI30*'Вводные'!$B$78/12,0)),0)</x:f>
      </x:c>
      <x:c r="CJ26" s="117" t="n">
        <x:f>IF(AND('Вводные'!$B$75&lt;&gt;"Единовременно",'Вводные'!$B$80="Да",CJ23&gt;0),IF(AND('Вводные'!$B$84="Да",YEAR(CJ$3)=YEAR($B$21),MONTH(CJ$3)=MONTH($B$21)),CJ23*CJ30/12,IF(AND((12*(YEAR(CJ$3)-YEAR($B$20))+MONTH(CJ$3)-MONTH($B$20))&gt;0,MOD((12*(YEAR(CJ$3)-YEAR($B$20))+MONTH(CJ$3)-MONTH($B$20)),'Вводные'!$B$78)=0,(12*(YEAR(CJ$3)-YEAR($B$20))+MONTH(CJ$3)-MONTH($B$20))&lt;='Вводные'!$B$77*12),CJ23*CJ30*'Вводные'!$B$78/12,0)),0)</x:f>
      </x:c>
      <x:c r="CK26" s="117" t="n">
        <x:f>IF(AND('Вводные'!$B$75&lt;&gt;"Единовременно",'Вводные'!$B$80="Да",CK23&gt;0),IF(AND('Вводные'!$B$84="Да",YEAR(CK$3)=YEAR($B$21),MONTH(CK$3)=MONTH($B$21)),CK23*CK30/12,IF(AND((12*(YEAR(CK$3)-YEAR($B$20))+MONTH(CK$3)-MONTH($B$20))&gt;0,MOD((12*(YEAR(CK$3)-YEAR($B$20))+MONTH(CK$3)-MONTH($B$20)),'Вводные'!$B$78)=0,(12*(YEAR(CK$3)-YEAR($B$20))+MONTH(CK$3)-MONTH($B$20))&lt;='Вводные'!$B$77*12),CK23*CK30*'Вводные'!$B$78/12,0)),0)</x:f>
      </x:c>
      <x:c r="CL26" s="117" t="n">
        <x:f>IF(AND('Вводные'!$B$75&lt;&gt;"Единовременно",'Вводные'!$B$80="Да",CL23&gt;0),IF(AND('Вводные'!$B$84="Да",YEAR(CL$3)=YEAR($B$21),MONTH(CL$3)=MONTH($B$21)),CL23*CL30/12,IF(AND((12*(YEAR(CL$3)-YEAR($B$20))+MONTH(CL$3)-MONTH($B$20))&gt;0,MOD((12*(YEAR(CL$3)-YEAR($B$20))+MONTH(CL$3)-MONTH($B$20)),'Вводные'!$B$78)=0,(12*(YEAR(CL$3)-YEAR($B$20))+MONTH(CL$3)-MONTH($B$20))&lt;='Вводные'!$B$77*12),CL23*CL30*'Вводные'!$B$78/12,0)),0)</x:f>
      </x:c>
      <x:c r="CM26" s="117" t="n">
        <x:f>IF(AND('Вводные'!$B$75&lt;&gt;"Единовременно",'Вводные'!$B$80="Да",CM23&gt;0),IF(AND('Вводные'!$B$84="Да",YEAR(CM$3)=YEAR($B$21),MONTH(CM$3)=MONTH($B$21)),CM23*CM30/12,IF(AND((12*(YEAR(CM$3)-YEAR($B$20))+MONTH(CM$3)-MONTH($B$20))&gt;0,MOD((12*(YEAR(CM$3)-YEAR($B$20))+MONTH(CM$3)-MONTH($B$20)),'Вводные'!$B$78)=0,(12*(YEAR(CM$3)-YEAR($B$20))+MONTH(CM$3)-MONTH($B$20))&lt;='Вводные'!$B$77*12),CM23*CM30*'Вводные'!$B$78/12,0)),0)</x:f>
      </x:c>
      <x:c r="CN26" s="117" t="n">
        <x:f>IF(AND('Вводные'!$B$75&lt;&gt;"Единовременно",'Вводные'!$B$80="Да",CN23&gt;0),IF(AND('Вводные'!$B$84="Да",YEAR(CN$3)=YEAR($B$21),MONTH(CN$3)=MONTH($B$21)),CN23*CN30/12,IF(AND((12*(YEAR(CN$3)-YEAR($B$20))+MONTH(CN$3)-MONTH($B$20))&gt;0,MOD((12*(YEAR(CN$3)-YEAR($B$20))+MONTH(CN$3)-MONTH($B$20)),'Вводные'!$B$78)=0,(12*(YEAR(CN$3)-YEAR($B$20))+MONTH(CN$3)-MONTH($B$20))&lt;='Вводные'!$B$77*12),CN23*CN30*'Вводные'!$B$78/12,0)),0)</x:f>
      </x:c>
      <x:c r="CO26" s="117" t="n">
        <x:f>IF(AND('Вводные'!$B$75&lt;&gt;"Единовременно",'Вводные'!$B$80="Да",CO23&gt;0),IF(AND('Вводные'!$B$84="Да",YEAR(CO$3)=YEAR($B$21),MONTH(CO$3)=MONTH($B$21)),CO23*CO30/12,IF(AND((12*(YEAR(CO$3)-YEAR($B$20))+MONTH(CO$3)-MONTH($B$20))&gt;0,MOD((12*(YEAR(CO$3)-YEAR($B$20))+MONTH(CO$3)-MONTH($B$20)),'Вводные'!$B$78)=0,(12*(YEAR(CO$3)-YEAR($B$20))+MONTH(CO$3)-MONTH($B$20))&lt;='Вводные'!$B$77*12),CO23*CO30*'Вводные'!$B$78/12,0)),0)</x:f>
      </x:c>
      <x:c r="CP26" s="117" t="n">
        <x:f>IF(AND('Вводные'!$B$75&lt;&gt;"Единовременно",'Вводные'!$B$80="Да",CP23&gt;0),IF(AND('Вводные'!$B$84="Да",YEAR(CP$3)=YEAR($B$21),MONTH(CP$3)=MONTH($B$21)),CP23*CP30/12,IF(AND((12*(YEAR(CP$3)-YEAR($B$20))+MONTH(CP$3)-MONTH($B$20))&gt;0,MOD((12*(YEAR(CP$3)-YEAR($B$20))+MONTH(CP$3)-MONTH($B$20)),'Вводные'!$B$78)=0,(12*(YEAR(CP$3)-YEAR($B$20))+MONTH(CP$3)-MONTH($B$20))&lt;='Вводные'!$B$77*12),CP23*CP30*'Вводные'!$B$78/12,0)),0)</x:f>
      </x:c>
      <x:c r="CQ26" s="117" t="n">
        <x:f>IF(AND('Вводные'!$B$75&lt;&gt;"Единовременно",'Вводные'!$B$80="Да",CQ23&gt;0),IF(AND('Вводные'!$B$84="Да",YEAR(CQ$3)=YEAR($B$21),MONTH(CQ$3)=MONTH($B$21)),CQ23*CQ30/12,IF(AND((12*(YEAR(CQ$3)-YEAR($B$20))+MONTH(CQ$3)-MONTH($B$20))&gt;0,MOD((12*(YEAR(CQ$3)-YEAR($B$20))+MONTH(CQ$3)-MONTH($B$20)),'Вводные'!$B$78)=0,(12*(YEAR(CQ$3)-YEAR($B$20))+MONTH(CQ$3)-MONTH($B$20))&lt;='Вводные'!$B$77*12),CQ23*CQ30*'Вводные'!$B$78/12,0)),0)</x:f>
      </x:c>
      <x:c r="CR26" s="117" t="n">
        <x:f>IF(AND('Вводные'!$B$75&lt;&gt;"Единовременно",'Вводные'!$B$80="Да",CR23&gt;0),IF(AND('Вводные'!$B$84="Да",YEAR(CR$3)=YEAR($B$21),MONTH(CR$3)=MONTH($B$21)),CR23*CR30/12,IF(AND((12*(YEAR(CR$3)-YEAR($B$20))+MONTH(CR$3)-MONTH($B$20))&gt;0,MOD((12*(YEAR(CR$3)-YEAR($B$20))+MONTH(CR$3)-MONTH($B$20)),'Вводные'!$B$78)=0,(12*(YEAR(CR$3)-YEAR($B$20))+MONTH(CR$3)-MONTH($B$20))&lt;='Вводные'!$B$77*12),CR23*CR30*'Вводные'!$B$78/12,0)),0)</x:f>
      </x:c>
      <x:c r="CS26" s="117" t="n">
        <x:f>IF(AND('Вводные'!$B$75&lt;&gt;"Единовременно",'Вводные'!$B$80="Да",CS23&gt;0),IF(AND('Вводные'!$B$84="Да",YEAR(CS$3)=YEAR($B$21),MONTH(CS$3)=MONTH($B$21)),CS23*CS30/12,IF(AND((12*(YEAR(CS$3)-YEAR($B$20))+MONTH(CS$3)-MONTH($B$20))&gt;0,MOD((12*(YEAR(CS$3)-YEAR($B$20))+MONTH(CS$3)-MONTH($B$20)),'Вводные'!$B$78)=0,(12*(YEAR(CS$3)-YEAR($B$20))+MONTH(CS$3)-MONTH($B$20))&lt;='Вводные'!$B$77*12),CS23*CS30*'Вводные'!$B$78/12,0)),0)</x:f>
      </x:c>
      <x:c r="CT26" s="117" t="n">
        <x:f>IF(AND('Вводные'!$B$75&lt;&gt;"Единовременно",'Вводные'!$B$80="Да",CT23&gt;0),IF(AND('Вводные'!$B$84="Да",YEAR(CT$3)=YEAR($B$21),MONTH(CT$3)=MONTH($B$21)),CT23*CT30/12,IF(AND((12*(YEAR(CT$3)-YEAR($B$20))+MONTH(CT$3)-MONTH($B$20))&gt;0,MOD((12*(YEAR(CT$3)-YEAR($B$20))+MONTH(CT$3)-MONTH($B$20)),'Вводные'!$B$78)=0,(12*(YEAR(CT$3)-YEAR($B$20))+MONTH(CT$3)-MONTH($B$20))&lt;='Вводные'!$B$77*12),CT23*CT30*'Вводные'!$B$78/12,0)),0)</x:f>
      </x:c>
      <x:c r="CU26" s="117" t="n">
        <x:f>IF(AND('Вводные'!$B$75&lt;&gt;"Единовременно",'Вводные'!$B$80="Да",CU23&gt;0),IF(AND('Вводные'!$B$84="Да",YEAR(CU$3)=YEAR($B$21),MONTH(CU$3)=MONTH($B$21)),CU23*CU30/12,IF(AND((12*(YEAR(CU$3)-YEAR($B$20))+MONTH(CU$3)-MONTH($B$20))&gt;0,MOD((12*(YEAR(CU$3)-YEAR($B$20))+MONTH(CU$3)-MONTH($B$20)),'Вводные'!$B$78)=0,(12*(YEAR(CU$3)-YEAR($B$20))+MONTH(CU$3)-MONTH($B$20))&lt;='Вводные'!$B$77*12),CU23*CU30*'Вводные'!$B$78/12,0)),0)</x:f>
      </x:c>
      <x:c r="CV26" s="117" t="n">
        <x:f>IF(AND('Вводные'!$B$75&lt;&gt;"Единовременно",'Вводные'!$B$80="Да",CV23&gt;0),IF(AND('Вводные'!$B$84="Да",YEAR(CV$3)=YEAR($B$21),MONTH(CV$3)=MONTH($B$21)),CV23*CV30/12,IF(AND((12*(YEAR(CV$3)-YEAR($B$20))+MONTH(CV$3)-MONTH($B$20))&gt;0,MOD((12*(YEAR(CV$3)-YEAR($B$20))+MONTH(CV$3)-MONTH($B$20)),'Вводные'!$B$78)=0,(12*(YEAR(CV$3)-YEAR($B$20))+MONTH(CV$3)-MONTH($B$20))&lt;='Вводные'!$B$77*12),CV23*CV30*'Вводные'!$B$78/12,0)),0)</x:f>
      </x:c>
      <x:c r="CW26" s="117" t="n">
        <x:f>IF(AND('Вводные'!$B$75&lt;&gt;"Единовременно",'Вводные'!$B$80="Да",CW23&gt;0),IF(AND('Вводные'!$B$84="Да",YEAR(CW$3)=YEAR($B$21),MONTH(CW$3)=MONTH($B$21)),CW23*CW30/12,IF(AND((12*(YEAR(CW$3)-YEAR($B$20))+MONTH(CW$3)-MONTH($B$20))&gt;0,MOD((12*(YEAR(CW$3)-YEAR($B$20))+MONTH(CW$3)-MONTH($B$20)),'Вводные'!$B$78)=0,(12*(YEAR(CW$3)-YEAR($B$20))+MONTH(CW$3)-MONTH($B$20))&lt;='Вводные'!$B$77*12),CW23*CW30*'Вводные'!$B$78/12,0)),0)</x:f>
      </x:c>
      <x:c r="CX26" s="117" t="n">
        <x:f>IF(AND('Вводные'!$B$75&lt;&gt;"Единовременно",'Вводные'!$B$80="Да",CX23&gt;0),IF(AND('Вводные'!$B$84="Да",YEAR(CX$3)=YEAR($B$21),MONTH(CX$3)=MONTH($B$21)),CX23*CX30/12,IF(AND((12*(YEAR(CX$3)-YEAR($B$20))+MONTH(CX$3)-MONTH($B$20))&gt;0,MOD((12*(YEAR(CX$3)-YEAR($B$20))+MONTH(CX$3)-MONTH($B$20)),'Вводные'!$B$78)=0,(12*(YEAR(CX$3)-YEAR($B$20))+MONTH(CX$3)-MONTH($B$20))&lt;='Вводные'!$B$77*12),CX23*CX30*'Вводные'!$B$78/12,0)),0)</x:f>
      </x:c>
      <x:c r="CY26" s="117" t="n">
        <x:f>IF(AND('Вводные'!$B$75&lt;&gt;"Единовременно",'Вводные'!$B$80="Да",CY23&gt;0),IF(AND('Вводные'!$B$84="Да",YEAR(CY$3)=YEAR($B$21),MONTH(CY$3)=MONTH($B$21)),CY23*CY30/12,IF(AND((12*(YEAR(CY$3)-YEAR($B$20))+MONTH(CY$3)-MONTH($B$20))&gt;0,MOD((12*(YEAR(CY$3)-YEAR($B$20))+MONTH(CY$3)-MONTH($B$20)),'Вводные'!$B$78)=0,(12*(YEAR(CY$3)-YEAR($B$20))+MONTH(CY$3)-MONTH($B$20))&lt;='Вводные'!$B$77*12),CY23*CY30*'Вводные'!$B$78/12,0)),0)</x:f>
      </x:c>
      <x:c r="CZ26" s="117" t="n">
        <x:f>IF(AND('Вводные'!$B$75&lt;&gt;"Единовременно",'Вводные'!$B$80="Да",CZ23&gt;0),IF(AND('Вводные'!$B$84="Да",YEAR(CZ$3)=YEAR($B$21),MONTH(CZ$3)=MONTH($B$21)),CZ23*CZ30/12,IF(AND((12*(YEAR(CZ$3)-YEAR($B$20))+MONTH(CZ$3)-MONTH($B$20))&gt;0,MOD((12*(YEAR(CZ$3)-YEAR($B$20))+MONTH(CZ$3)-MONTH($B$20)),'Вводные'!$B$78)=0,(12*(YEAR(CZ$3)-YEAR($B$20))+MONTH(CZ$3)-MONTH($B$20))&lt;='Вводные'!$B$77*12),CZ23*CZ30*'Вводные'!$B$78/12,0)),0)</x:f>
      </x:c>
      <x:c r="DA26" s="117" t="n">
        <x:f>IF(AND('Вводные'!$B$75&lt;&gt;"Единовременно",'Вводные'!$B$80="Да",DA23&gt;0),IF(AND('Вводные'!$B$84="Да",YEAR(DA$3)=YEAR($B$21),MONTH(DA$3)=MONTH($B$21)),DA23*DA30/12,IF(AND((12*(YEAR(DA$3)-YEAR($B$20))+MONTH(DA$3)-MONTH($B$20))&gt;0,MOD((12*(YEAR(DA$3)-YEAR($B$20))+MONTH(DA$3)-MONTH($B$20)),'Вводные'!$B$78)=0,(12*(YEAR(DA$3)-YEAR($B$20))+MONTH(DA$3)-MONTH($B$20))&lt;='Вводные'!$B$77*12),DA23*DA30*'Вводные'!$B$78/12,0)),0)</x:f>
      </x:c>
      <x:c r="DB26" s="117" t="n">
        <x:f>IF(AND('Вводные'!$B$75&lt;&gt;"Единовременно",'Вводные'!$B$80="Да",DB23&gt;0),IF(AND('Вводные'!$B$84="Да",YEAR(DB$3)=YEAR($B$21),MONTH(DB$3)=MONTH($B$21)),DB23*DB30/12,IF(AND((12*(YEAR(DB$3)-YEAR($B$20))+MONTH(DB$3)-MONTH($B$20))&gt;0,MOD((12*(YEAR(DB$3)-YEAR($B$20))+MONTH(DB$3)-MONTH($B$20)),'Вводные'!$B$78)=0,(12*(YEAR(DB$3)-YEAR($B$20))+MONTH(DB$3)-MONTH($B$20))&lt;='Вводные'!$B$77*12),DB23*DB30*'Вводные'!$B$78/12,0)),0)</x:f>
      </x:c>
      <x:c r="DC26" s="117" t="n">
        <x:f>IF(AND('Вводные'!$B$75&lt;&gt;"Единовременно",'Вводные'!$B$80="Да",DC23&gt;0),IF(AND('Вводные'!$B$84="Да",YEAR(DC$3)=YEAR($B$21),MONTH(DC$3)=MONTH($B$21)),DC23*DC30/12,IF(AND((12*(YEAR(DC$3)-YEAR($B$20))+MONTH(DC$3)-MONTH($B$20))&gt;0,MOD((12*(YEAR(DC$3)-YEAR($B$20))+MONTH(DC$3)-MONTH($B$20)),'Вводные'!$B$78)=0,(12*(YEAR(DC$3)-YEAR($B$20))+MONTH(DC$3)-MONTH($B$20))&lt;='Вводные'!$B$77*12),DC23*DC30*'Вводные'!$B$78/12,0)),0)</x:f>
      </x:c>
      <x:c r="DD26" s="117" t="n">
        <x:f>IF(AND('Вводные'!$B$75&lt;&gt;"Единовременно",'Вводные'!$B$80="Да",DD23&gt;0),IF(AND('Вводные'!$B$84="Да",YEAR(DD$3)=YEAR($B$21),MONTH(DD$3)=MONTH($B$21)),DD23*DD30/12,IF(AND((12*(YEAR(DD$3)-YEAR($B$20))+MONTH(DD$3)-MONTH($B$20))&gt;0,MOD((12*(YEAR(DD$3)-YEAR($B$20))+MONTH(DD$3)-MONTH($B$20)),'Вводные'!$B$78)=0,(12*(YEAR(DD$3)-YEAR($B$20))+MONTH(DD$3)-MONTH($B$20))&lt;='Вводные'!$B$77*12),DD23*DD30*'Вводные'!$B$78/12,0)),0)</x:f>
      </x:c>
      <x:c r="DE26" s="117" t="n">
        <x:f>IF(AND('Вводные'!$B$75&lt;&gt;"Единовременно",'Вводные'!$B$80="Да",DE23&gt;0),IF(AND('Вводные'!$B$84="Да",YEAR(DE$3)=YEAR($B$21),MONTH(DE$3)=MONTH($B$21)),DE23*DE30/12,IF(AND((12*(YEAR(DE$3)-YEAR($B$20))+MONTH(DE$3)-MONTH($B$20))&gt;0,MOD((12*(YEAR(DE$3)-YEAR($B$20))+MONTH(DE$3)-MONTH($B$20)),'Вводные'!$B$78)=0,(12*(YEAR(DE$3)-YEAR($B$20))+MONTH(DE$3)-MONTH($B$20))&lt;='Вводные'!$B$77*12),DE23*DE30*'Вводные'!$B$78/12,0)),0)</x:f>
      </x:c>
      <x:c r="DF26" s="117" t="n">
        <x:f>IF(AND('Вводные'!$B$75&lt;&gt;"Единовременно",'Вводные'!$B$80="Да",DF23&gt;0),IF(AND('Вводные'!$B$84="Да",YEAR(DF$3)=YEAR($B$21),MONTH(DF$3)=MONTH($B$21)),DF23*DF30/12,IF(AND((12*(YEAR(DF$3)-YEAR($B$20))+MONTH(DF$3)-MONTH($B$20))&gt;0,MOD((12*(YEAR(DF$3)-YEAR($B$20))+MONTH(DF$3)-MONTH($B$20)),'Вводные'!$B$78)=0,(12*(YEAR(DF$3)-YEAR($B$20))+MONTH(DF$3)-MONTH($B$20))&lt;='Вводные'!$B$77*12),DF23*DF30*'Вводные'!$B$78/12,0)),0)</x:f>
      </x:c>
      <x:c r="DG26" s="117" t="n">
        <x:f>IF(AND('Вводные'!$B$75&lt;&gt;"Единовременно",'Вводные'!$B$80="Да",DG23&gt;0),IF(AND('Вводные'!$B$84="Да",YEAR(DG$3)=YEAR($B$21),MONTH(DG$3)=MONTH($B$21)),DG23*DG30/12,IF(AND((12*(YEAR(DG$3)-YEAR($B$20))+MONTH(DG$3)-MONTH($B$20))&gt;0,MOD((12*(YEAR(DG$3)-YEAR($B$20))+MONTH(DG$3)-MONTH($B$20)),'Вводные'!$B$78)=0,(12*(YEAR(DG$3)-YEAR($B$20))+MONTH(DG$3)-MONTH($B$20))&lt;='Вводные'!$B$77*12),DG23*DG30*'Вводные'!$B$78/12,0)),0)</x:f>
      </x:c>
      <x:c r="DH26" s="117" t="n">
        <x:f>IF(AND('Вводные'!$B$75&lt;&gt;"Единовременно",'Вводные'!$B$80="Да",DH23&gt;0),IF(AND('Вводные'!$B$84="Да",YEAR(DH$3)=YEAR($B$21),MONTH(DH$3)=MONTH($B$21)),DH23*DH30/12,IF(AND((12*(YEAR(DH$3)-YEAR($B$20))+MONTH(DH$3)-MONTH($B$20))&gt;0,MOD((12*(YEAR(DH$3)-YEAR($B$20))+MONTH(DH$3)-MONTH($B$20)),'Вводные'!$B$78)=0,(12*(YEAR(DH$3)-YEAR($B$20))+MONTH(DH$3)-MONTH($B$20))&lt;='Вводные'!$B$77*12),DH23*DH30*'Вводные'!$B$78/12,0)),0)</x:f>
      </x:c>
      <x:c r="DI26" s="117" t="n">
        <x:f>IF(AND('Вводные'!$B$75&lt;&gt;"Единовременно",'Вводные'!$B$80="Да",DI23&gt;0),IF(AND('Вводные'!$B$84="Да",YEAR(DI$3)=YEAR($B$21),MONTH(DI$3)=MONTH($B$21)),DI23*DI30/12,IF(AND((12*(YEAR(DI$3)-YEAR($B$20))+MONTH(DI$3)-MONTH($B$20))&gt;0,MOD((12*(YEAR(DI$3)-YEAR($B$20))+MONTH(DI$3)-MONTH($B$20)),'Вводные'!$B$78)=0,(12*(YEAR(DI$3)-YEAR($B$20))+MONTH(DI$3)-MONTH($B$20))&lt;='Вводные'!$B$77*12),DI23*DI30*'Вводные'!$B$78/12,0)),0)</x:f>
      </x:c>
      <x:c r="DJ26" s="117" t="n">
        <x:f>IF(AND('Вводные'!$B$75&lt;&gt;"Единовременно",'Вводные'!$B$80="Да",DJ23&gt;0),IF(AND('Вводные'!$B$84="Да",YEAR(DJ$3)=YEAR($B$21),MONTH(DJ$3)=MONTH($B$21)),DJ23*DJ30/12,IF(AND((12*(YEAR(DJ$3)-YEAR($B$20))+MONTH(DJ$3)-MONTH($B$20))&gt;0,MOD((12*(YEAR(DJ$3)-YEAR($B$20))+MONTH(DJ$3)-MONTH($B$20)),'Вводные'!$B$78)=0,(12*(YEAR(DJ$3)-YEAR($B$20))+MONTH(DJ$3)-MONTH($B$20))&lt;='Вводные'!$B$77*12),DJ23*DJ30*'Вводные'!$B$78/12,0)),0)</x:f>
      </x:c>
      <x:c r="DK26" s="117" t="n">
        <x:f>IF(AND('Вводные'!$B$75&lt;&gt;"Единовременно",'Вводные'!$B$80="Да",DK23&gt;0),IF(AND('Вводные'!$B$84="Да",YEAR(DK$3)=YEAR($B$21),MONTH(DK$3)=MONTH($B$21)),DK23*DK30/12,IF(AND((12*(YEAR(DK$3)-YEAR($B$20))+MONTH(DK$3)-MONTH($B$20))&gt;0,MOD((12*(YEAR(DK$3)-YEAR($B$20))+MONTH(DK$3)-MONTH($B$20)),'Вводные'!$B$78)=0,(12*(YEAR(DK$3)-YEAR($B$20))+MONTH(DK$3)-MONTH($B$20))&lt;='Вводные'!$B$77*12),DK23*DK30*'Вводные'!$B$78/12,0)),0)</x:f>
      </x:c>
      <x:c r="DL26" s="117" t="n">
        <x:f>IF(AND('Вводные'!$B$75&lt;&gt;"Единовременно",'Вводные'!$B$80="Да",DL23&gt;0),IF(AND('Вводные'!$B$84="Да",YEAR(DL$3)=YEAR($B$21),MONTH(DL$3)=MONTH($B$21)),DL23*DL30/12,IF(AND((12*(YEAR(DL$3)-YEAR($B$20))+MONTH(DL$3)-MONTH($B$20))&gt;0,MOD((12*(YEAR(DL$3)-YEAR($B$20))+MONTH(DL$3)-MONTH($B$20)),'Вводные'!$B$78)=0,(12*(YEAR(DL$3)-YEAR($B$20))+MONTH(DL$3)-MONTH($B$20))&lt;='Вводные'!$B$77*12),DL23*DL30*'Вводные'!$B$78/12,0)),0)</x:f>
      </x:c>
      <x:c r="DM26" s="117" t="n">
        <x:f>IF(AND('Вводные'!$B$75&lt;&gt;"Единовременно",'Вводные'!$B$80="Да",DM23&gt;0),IF(AND('Вводные'!$B$84="Да",YEAR(DM$3)=YEAR($B$21),MONTH(DM$3)=MONTH($B$21)),DM23*DM30/12,IF(AND((12*(YEAR(DM$3)-YEAR($B$20))+MONTH(DM$3)-MONTH($B$20))&gt;0,MOD((12*(YEAR(DM$3)-YEAR($B$20))+MONTH(DM$3)-MONTH($B$20)),'Вводные'!$B$78)=0,(12*(YEAR(DM$3)-YEAR($B$20))+MONTH(DM$3)-MONTH($B$20))&lt;='Вводные'!$B$77*12),DM23*DM30*'Вводные'!$B$78/12,0)),0)</x:f>
      </x:c>
      <x:c r="DN26" s="117" t="n">
        <x:f>IF(AND('Вводные'!$B$75&lt;&gt;"Единовременно",'Вводные'!$B$80="Да",DN23&gt;0),IF(AND('Вводные'!$B$84="Да",YEAR(DN$3)=YEAR($B$21),MONTH(DN$3)=MONTH($B$21)),DN23*DN30/12,IF(AND((12*(YEAR(DN$3)-YEAR($B$20))+MONTH(DN$3)-MONTH($B$20))&gt;0,MOD((12*(YEAR(DN$3)-YEAR($B$20))+MONTH(DN$3)-MONTH($B$20)),'Вводные'!$B$78)=0,(12*(YEAR(DN$3)-YEAR($B$20))+MONTH(DN$3)-MONTH($B$20))&lt;='Вводные'!$B$77*12),DN23*DN30*'Вводные'!$B$78/12,0)),0)</x:f>
      </x:c>
      <x:c r="DO26" s="117" t="n">
        <x:f>IF(AND('Вводные'!$B$75&lt;&gt;"Единовременно",'Вводные'!$B$80="Да",DO23&gt;0),IF(AND('Вводные'!$B$84="Да",YEAR(DO$3)=YEAR($B$21),MONTH(DO$3)=MONTH($B$21)),DO23*DO30/12,IF(AND((12*(YEAR(DO$3)-YEAR($B$20))+MONTH(DO$3)-MONTH($B$20))&gt;0,MOD((12*(YEAR(DO$3)-YEAR($B$20))+MONTH(DO$3)-MONTH($B$20)),'Вводные'!$B$78)=0,(12*(YEAR(DO$3)-YEAR($B$20))+MONTH(DO$3)-MONTH($B$20))&lt;='Вводные'!$B$77*12),DO23*DO30*'Вводные'!$B$78/12,0)),0)</x:f>
      </x:c>
      <x:c r="DP26" s="117" t="n">
        <x:f>IF(AND('Вводные'!$B$75&lt;&gt;"Единовременно",'Вводные'!$B$80="Да",DP23&gt;0),IF(AND('Вводные'!$B$84="Да",YEAR(DP$3)=YEAR($B$21),MONTH(DP$3)=MONTH($B$21)),DP23*DP30/12,IF(AND((12*(YEAR(DP$3)-YEAR($B$20))+MONTH(DP$3)-MONTH($B$20))&gt;0,MOD((12*(YEAR(DP$3)-YEAR($B$20))+MONTH(DP$3)-MONTH($B$20)),'Вводные'!$B$78)=0,(12*(YEAR(DP$3)-YEAR($B$20))+MONTH(DP$3)-MONTH($B$20))&lt;='Вводные'!$B$77*12),DP23*DP30*'Вводные'!$B$78/12,0)),0)</x:f>
      </x:c>
      <x:c r="DQ26" s="117" t="n">
        <x:f>IF(AND('Вводные'!$B$75&lt;&gt;"Единовременно",'Вводные'!$B$80="Да",DQ23&gt;0),IF(AND('Вводные'!$B$84="Да",YEAR(DQ$3)=YEAR($B$21),MONTH(DQ$3)=MONTH($B$21)),DQ23*DQ30/12,IF(AND((12*(YEAR(DQ$3)-YEAR($B$20))+MONTH(DQ$3)-MONTH($B$20))&gt;0,MOD((12*(YEAR(DQ$3)-YEAR($B$20))+MONTH(DQ$3)-MONTH($B$20)),'Вводные'!$B$78)=0,(12*(YEAR(DQ$3)-YEAR($B$20))+MONTH(DQ$3)-MONTH($B$20))&lt;='Вводные'!$B$77*12),DQ23*DQ30*'Вводные'!$B$78/12,0)),0)</x:f>
      </x:c>
      <x:c r="DR26" s="117" t="n">
        <x:f>IF(AND('Вводные'!$B$75&lt;&gt;"Единовременно",'Вводные'!$B$80="Да",DR23&gt;0),IF(AND('Вводные'!$B$84="Да",YEAR(DR$3)=YEAR($B$21),MONTH(DR$3)=MONTH($B$21)),DR23*DR30/12,IF(AND((12*(YEAR(DR$3)-YEAR($B$20))+MONTH(DR$3)-MONTH($B$20))&gt;0,MOD((12*(YEAR(DR$3)-YEAR($B$20))+MONTH(DR$3)-MONTH($B$20)),'Вводные'!$B$78)=0,(12*(YEAR(DR$3)-YEAR($B$20))+MONTH(DR$3)-MONTH($B$20))&lt;='Вводные'!$B$77*12),DR23*DR30*'Вводные'!$B$78/12,0)),0)</x:f>
      </x:c>
      <x:c r="DS26" s="117" t="n">
        <x:f>IF(AND('Вводные'!$B$75&lt;&gt;"Единовременно",'Вводные'!$B$80="Да",DS23&gt;0),IF(AND('Вводные'!$B$84="Да",YEAR(DS$3)=YEAR($B$21),MONTH(DS$3)=MONTH($B$21)),DS23*DS30/12,IF(AND((12*(YEAR(DS$3)-YEAR($B$20))+MONTH(DS$3)-MONTH($B$20))&gt;0,MOD((12*(YEAR(DS$3)-YEAR($B$20))+MONTH(DS$3)-MONTH($B$20)),'Вводные'!$B$78)=0,(12*(YEAR(DS$3)-YEAR($B$20))+MONTH(DS$3)-MONTH($B$20))&lt;='Вводные'!$B$77*12),DS23*DS30*'Вводные'!$B$78/12,0)),0)</x:f>
      </x:c>
      <x:c r="DT26" s="117" t="n">
        <x:f>IF(AND('Вводные'!$B$75&lt;&gt;"Единовременно",'Вводные'!$B$80="Да",DT23&gt;0),IF(AND('Вводные'!$B$84="Да",YEAR(DT$3)=YEAR($B$21),MONTH(DT$3)=MONTH($B$21)),DT23*DT30/12,IF(AND((12*(YEAR(DT$3)-YEAR($B$20))+MONTH(DT$3)-MONTH($B$20))&gt;0,MOD((12*(YEAR(DT$3)-YEAR($B$20))+MONTH(DT$3)-MONTH($B$20)),'Вводные'!$B$78)=0,(12*(YEAR(DT$3)-YEAR($B$20))+MONTH(DT$3)-MONTH($B$20))&lt;='Вводные'!$B$77*12),DT23*DT30*'Вводные'!$B$78/12,0)),0)</x:f>
      </x:c>
      <x:c r="DU26" s="117" t="n">
        <x:f>IF(AND('Вводные'!$B$75&lt;&gt;"Единовременно",'Вводные'!$B$80="Да",DU23&gt;0),IF(AND('Вводные'!$B$84="Да",YEAR(DU$3)=YEAR($B$21),MONTH(DU$3)=MONTH($B$21)),DU23*DU30/12,IF(AND((12*(YEAR(DU$3)-YEAR($B$20))+MONTH(DU$3)-MONTH($B$20))&gt;0,MOD((12*(YEAR(DU$3)-YEAR($B$20))+MONTH(DU$3)-MONTH($B$20)),'Вводные'!$B$78)=0,(12*(YEAR(DU$3)-YEAR($B$20))+MONTH(DU$3)-MONTH($B$20))&lt;='Вводные'!$B$77*12),DU23*DU30*'Вводные'!$B$78/12,0)),0)</x:f>
      </x:c>
      <x:c r="DV26" s="117" t="n">
        <x:f>IF(AND('Вводные'!$B$75&lt;&gt;"Единовременно",'Вводные'!$B$80="Да",DV23&gt;0),IF(AND('Вводные'!$B$84="Да",YEAR(DV$3)=YEAR($B$21),MONTH(DV$3)=MONTH($B$21)),DV23*DV30/12,IF(AND((12*(YEAR(DV$3)-YEAR($B$20))+MONTH(DV$3)-MONTH($B$20))&gt;0,MOD((12*(YEAR(DV$3)-YEAR($B$20))+MONTH(DV$3)-MONTH($B$20)),'Вводные'!$B$78)=0,(12*(YEAR(DV$3)-YEAR($B$20))+MONTH(DV$3)-MONTH($B$20))&lt;='Вводные'!$B$77*12),DV23*DV30*'Вводные'!$B$78/12,0)),0)</x:f>
      </x:c>
      <x:c r="DW26" s="117" t="n">
        <x:f>IF(AND('Вводные'!$B$75&lt;&gt;"Единовременно",'Вводные'!$B$80="Да",DW23&gt;0),IF(AND('Вводные'!$B$84="Да",YEAR(DW$3)=YEAR($B$21),MONTH(DW$3)=MONTH($B$21)),DW23*DW30/12,IF(AND((12*(YEAR(DW$3)-YEAR($B$20))+MONTH(DW$3)-MONTH($B$20))&gt;0,MOD((12*(YEAR(DW$3)-YEAR($B$20))+MONTH(DW$3)-MONTH($B$20)),'Вводные'!$B$78)=0,(12*(YEAR(DW$3)-YEAR($B$20))+MONTH(DW$3)-MONTH($B$20))&lt;='Вводные'!$B$77*12),DW23*DW30*'Вводные'!$B$78/12,0)),0)</x:f>
      </x:c>
      <x:c r="DX26" s="117" t="n">
        <x:f>IF(AND('Вводные'!$B$75&lt;&gt;"Единовременно",'Вводные'!$B$80="Да",DX23&gt;0),IF(AND('Вводные'!$B$84="Да",YEAR(DX$3)=YEAR($B$21),MONTH(DX$3)=MONTH($B$21)),DX23*DX30/12,IF(AND((12*(YEAR(DX$3)-YEAR($B$20))+MONTH(DX$3)-MONTH($B$20))&gt;0,MOD((12*(YEAR(DX$3)-YEAR($B$20))+MONTH(DX$3)-MONTH($B$20)),'Вводные'!$B$78)=0,(12*(YEAR(DX$3)-YEAR($B$20))+MONTH(DX$3)-MONTH($B$20))&lt;='Вводные'!$B$77*12),DX23*DX30*'Вводные'!$B$78/12,0)),0)</x:f>
      </x:c>
      <x:c r="DY26" s="117" t="n">
        <x:f>IF(AND('Вводные'!$B$75&lt;&gt;"Единовременно",'Вводные'!$B$80="Да",DY23&gt;0),IF(AND('Вводные'!$B$84="Да",YEAR(DY$3)=YEAR($B$21),MONTH(DY$3)=MONTH($B$21)),DY23*DY30/12,IF(AND((12*(YEAR(DY$3)-YEAR($B$20))+MONTH(DY$3)-MONTH($B$20))&gt;0,MOD((12*(YEAR(DY$3)-YEAR($B$20))+MONTH(DY$3)-MONTH($B$20)),'Вводные'!$B$78)=0,(12*(YEAR(DY$3)-YEAR($B$20))+MONTH(DY$3)-MONTH($B$20))&lt;='Вводные'!$B$77*12),DY23*DY30*'Вводные'!$B$78/12,0)),0)</x:f>
      </x:c>
      <x:c r="DZ26" s="117" t="n">
        <x:f>IF(AND('Вводные'!$B$75&lt;&gt;"Единовременно",'Вводные'!$B$80="Да",DZ23&gt;0),IF(AND('Вводные'!$B$84="Да",YEAR(DZ$3)=YEAR($B$21),MONTH(DZ$3)=MONTH($B$21)),DZ23*DZ30/12,IF(AND((12*(YEAR(DZ$3)-YEAR($B$20))+MONTH(DZ$3)-MONTH($B$20))&gt;0,MOD((12*(YEAR(DZ$3)-YEAR($B$20))+MONTH(DZ$3)-MONTH($B$20)),'Вводные'!$B$78)=0,(12*(YEAR(DZ$3)-YEAR($B$20))+MONTH(DZ$3)-MONTH($B$20))&lt;='Вводные'!$B$77*12),DZ23*DZ30*'Вводные'!$B$78/12,0)),0)</x:f>
      </x:c>
      <x:c r="EA26" s="117" t="n">
        <x:f>IF(AND('Вводные'!$B$75&lt;&gt;"Единовременно",'Вводные'!$B$80="Да",EA23&gt;0),IF(AND('Вводные'!$B$84="Да",YEAR(EA$3)=YEAR($B$21),MONTH(EA$3)=MONTH($B$21)),EA23*EA30/12,IF(AND((12*(YEAR(EA$3)-YEAR($B$20))+MONTH(EA$3)-MONTH($B$20))&gt;0,MOD((12*(YEAR(EA$3)-YEAR($B$20))+MONTH(EA$3)-MONTH($B$20)),'Вводные'!$B$78)=0,(12*(YEAR(EA$3)-YEAR($B$20))+MONTH(EA$3)-MONTH($B$20))&lt;='Вводные'!$B$77*12),EA23*EA30*'Вводные'!$B$78/12,0)),0)</x:f>
      </x:c>
      <x:c r="EB26" s="117" t="n">
        <x:f>IF(AND('Вводные'!$B$75&lt;&gt;"Единовременно",'Вводные'!$B$80="Да",EB23&gt;0),IF(AND('Вводные'!$B$84="Да",YEAR(EB$3)=YEAR($B$21),MONTH(EB$3)=MONTH($B$21)),EB23*EB30/12,IF(AND((12*(YEAR(EB$3)-YEAR($B$20))+MONTH(EB$3)-MONTH($B$20))&gt;0,MOD((12*(YEAR(EB$3)-YEAR($B$20))+MONTH(EB$3)-MONTH($B$20)),'Вводные'!$B$78)=0,(12*(YEAR(EB$3)-YEAR($B$20))+MONTH(EB$3)-MONTH($B$20))&lt;='Вводные'!$B$77*12),EB23*EB30*'Вводные'!$B$78/12,0)),0)</x:f>
      </x:c>
      <x:c r="EC26" s="117" t="n">
        <x:f>IF(AND('Вводные'!$B$75&lt;&gt;"Единовременно",'Вводные'!$B$80="Да",EC23&gt;0),IF(AND('Вводные'!$B$84="Да",YEAR(EC$3)=YEAR($B$21),MONTH(EC$3)=MONTH($B$21)),EC23*EC30/12,IF(AND((12*(YEAR(EC$3)-YEAR($B$20))+MONTH(EC$3)-MONTH($B$20))&gt;0,MOD((12*(YEAR(EC$3)-YEAR($B$20))+MONTH(EC$3)-MONTH($B$20)),'Вводные'!$B$78)=0,(12*(YEAR(EC$3)-YEAR($B$20))+MONTH(EC$3)-MONTH($B$20))&lt;='Вводные'!$B$77*12),EC23*EC30*'Вводные'!$B$78/12,0)),0)</x:f>
      </x:c>
      <x:c r="ED26" s="117" t="n">
        <x:f>IF(AND('Вводные'!$B$75&lt;&gt;"Единовременно",'Вводные'!$B$80="Да",ED23&gt;0),IF(AND('Вводные'!$B$84="Да",YEAR(ED$3)=YEAR($B$21),MONTH(ED$3)=MONTH($B$21)),ED23*ED30/12,IF(AND((12*(YEAR(ED$3)-YEAR($B$20))+MONTH(ED$3)-MONTH($B$20))&gt;0,MOD((12*(YEAR(ED$3)-YEAR($B$20))+MONTH(ED$3)-MONTH($B$20)),'Вводные'!$B$78)=0,(12*(YEAR(ED$3)-YEAR($B$20))+MONTH(ED$3)-MONTH($B$20))&lt;='Вводные'!$B$77*12),ED23*ED30*'Вводные'!$B$78/12,0)),0)</x:f>
      </x:c>
      <x:c r="EE26" s="117" t="n">
        <x:f>IF(AND('Вводные'!$B$75&lt;&gt;"Единовременно",'Вводные'!$B$80="Да",EE23&gt;0),IF(AND('Вводные'!$B$84="Да",YEAR(EE$3)=YEAR($B$21),MONTH(EE$3)=MONTH($B$21)),EE23*EE30/12,IF(AND((12*(YEAR(EE$3)-YEAR($B$20))+MONTH(EE$3)-MONTH($B$20))&gt;0,MOD((12*(YEAR(EE$3)-YEAR($B$20))+MONTH(EE$3)-MONTH($B$20)),'Вводные'!$B$78)=0,(12*(YEAR(EE$3)-YEAR($B$20))+MONTH(EE$3)-MONTH($B$20))&lt;='Вводные'!$B$77*12),EE23*EE30*'Вводные'!$B$78/12,0)),0)</x:f>
      </x:c>
      <x:c r="EF26" s="117" t="n">
        <x:f>IF(AND('Вводные'!$B$75&lt;&gt;"Единовременно",'Вводные'!$B$80="Да",EF23&gt;0),IF(AND('Вводные'!$B$84="Да",YEAR(EF$3)=YEAR($B$21),MONTH(EF$3)=MONTH($B$21)),EF23*EF30/12,IF(AND((12*(YEAR(EF$3)-YEAR($B$20))+MONTH(EF$3)-MONTH($B$20))&gt;0,MOD((12*(YEAR(EF$3)-YEAR($B$20))+MONTH(EF$3)-MONTH($B$20)),'Вводные'!$B$78)=0,(12*(YEAR(EF$3)-YEAR($B$20))+MONTH(EF$3)-MONTH($B$20))&lt;='Вводные'!$B$77*12),EF23*EF30*'Вводные'!$B$78/12,0)),0)</x:f>
      </x:c>
      <x:c r="EG26" s="117" t="n">
        <x:f>IF(AND('Вводные'!$B$75&lt;&gt;"Единовременно",'Вводные'!$B$80="Да",EG23&gt;0),IF(AND('Вводные'!$B$84="Да",YEAR(EG$3)=YEAR($B$21),MONTH(EG$3)=MONTH($B$21)),EG23*EG30/12,IF(AND((12*(YEAR(EG$3)-YEAR($B$20))+MONTH(EG$3)-MONTH($B$20))&gt;0,MOD((12*(YEAR(EG$3)-YEAR($B$20))+MONTH(EG$3)-MONTH($B$20)),'Вводные'!$B$78)=0,(12*(YEAR(EG$3)-YEAR($B$20))+MONTH(EG$3)-MONTH($B$20))&lt;='Вводные'!$B$77*12),EG23*EG30*'Вводные'!$B$78/12,0)),0)</x:f>
      </x:c>
      <x:c r="EH26" s="117" t="n">
        <x:f>IF(AND('Вводные'!$B$75&lt;&gt;"Единовременно",'Вводные'!$B$80="Да",EH23&gt;0),IF(AND('Вводные'!$B$84="Да",YEAR(EH$3)=YEAR($B$21),MONTH(EH$3)=MONTH($B$21)),EH23*EH30/12,IF(AND((12*(YEAR(EH$3)-YEAR($B$20))+MONTH(EH$3)-MONTH($B$20))&gt;0,MOD((12*(YEAR(EH$3)-YEAR($B$20))+MONTH(EH$3)-MONTH($B$20)),'Вводные'!$B$78)=0,(12*(YEAR(EH$3)-YEAR($B$20))+MONTH(EH$3)-MONTH($B$20))&lt;='Вводные'!$B$77*12),EH23*EH30*'Вводные'!$B$78/12,0)),0)</x:f>
      </x:c>
      <x:c r="EI26" s="117" t="n">
        <x:f>IF(AND('Вводные'!$B$75&lt;&gt;"Единовременно",'Вводные'!$B$80="Да",EI23&gt;0),IF(AND('Вводные'!$B$84="Да",YEAR(EI$3)=YEAR($B$21),MONTH(EI$3)=MONTH($B$21)),EI23*EI30/12,IF(AND((12*(YEAR(EI$3)-YEAR($B$20))+MONTH(EI$3)-MONTH($B$20))&gt;0,MOD((12*(YEAR(EI$3)-YEAR($B$20))+MONTH(EI$3)-MONTH($B$20)),'Вводные'!$B$78)=0,(12*(YEAR(EI$3)-YEAR($B$20))+MONTH(EI$3)-MONTH($B$20))&lt;='Вводные'!$B$77*12),EI23*EI30*'Вводные'!$B$78/12,0)),0)</x:f>
      </x:c>
      <x:c r="EJ26" s="117" t="n">
        <x:f>IF(AND('Вводные'!$B$75&lt;&gt;"Единовременно",'Вводные'!$B$80="Да",EJ23&gt;0),IF(AND('Вводные'!$B$84="Да",YEAR(EJ$3)=YEAR($B$21),MONTH(EJ$3)=MONTH($B$21)),EJ23*EJ30/12,IF(AND((12*(YEAR(EJ$3)-YEAR($B$20))+MONTH(EJ$3)-MONTH($B$20))&gt;0,MOD((12*(YEAR(EJ$3)-YEAR($B$20))+MONTH(EJ$3)-MONTH($B$20)),'Вводные'!$B$78)=0,(12*(YEAR(EJ$3)-YEAR($B$20))+MONTH(EJ$3)-MONTH($B$20))&lt;='Вводные'!$B$77*12),EJ23*EJ30*'Вводные'!$B$78/12,0)),0)</x:f>
      </x:c>
      <x:c r="EK26" s="117" t="n">
        <x:f>IF(AND('Вводные'!$B$75&lt;&gt;"Единовременно",'Вводные'!$B$80="Да",EK23&gt;0),IF(AND('Вводные'!$B$84="Да",YEAR(EK$3)=YEAR($B$21),MONTH(EK$3)=MONTH($B$21)),EK23*EK30/12,IF(AND((12*(YEAR(EK$3)-YEAR($B$20))+MONTH(EK$3)-MONTH($B$20))&gt;0,MOD((12*(YEAR(EK$3)-YEAR($B$20))+MONTH(EK$3)-MONTH($B$20)),'Вводные'!$B$78)=0,(12*(YEAR(EK$3)-YEAR($B$20))+MONTH(EK$3)-MONTH($B$20))&lt;='Вводные'!$B$77*12),EK23*EK30*'Вводные'!$B$78/12,0)),0)</x:f>
      </x:c>
      <x:c r="EL26" s="117" t="n">
        <x:f>IF(AND('Вводные'!$B$75&lt;&gt;"Единовременно",'Вводные'!$B$80="Да",EL23&gt;0),IF(AND('Вводные'!$B$84="Да",YEAR(EL$3)=YEAR($B$21),MONTH(EL$3)=MONTH($B$21)),EL23*EL30/12,IF(AND((12*(YEAR(EL$3)-YEAR($B$20))+MONTH(EL$3)-MONTH($B$20))&gt;0,MOD((12*(YEAR(EL$3)-YEAR($B$20))+MONTH(EL$3)-MONTH($B$20)),'Вводные'!$B$78)=0,(12*(YEAR(EL$3)-YEAR($B$20))+MONTH(EL$3)-MONTH($B$20))&lt;='Вводные'!$B$77*12),EL23*EL30*'Вводные'!$B$78/12,0)),0)</x:f>
      </x:c>
      <x:c r="EM26" s="117" t="n">
        <x:f>IF(AND('Вводные'!$B$75&lt;&gt;"Единовременно",'Вводные'!$B$80="Да",EM23&gt;0),IF(AND('Вводные'!$B$84="Да",YEAR(EM$3)=YEAR($B$21),MONTH(EM$3)=MONTH($B$21)),EM23*EM30/12,IF(AND((12*(YEAR(EM$3)-YEAR($B$20))+MONTH(EM$3)-MONTH($B$20))&gt;0,MOD((12*(YEAR(EM$3)-YEAR($B$20))+MONTH(EM$3)-MONTH($B$20)),'Вводные'!$B$78)=0,(12*(YEAR(EM$3)-YEAR($B$20))+MONTH(EM$3)-MONTH($B$20))&lt;='Вводные'!$B$77*12),EM23*EM30*'Вводные'!$B$78/12,0)),0)</x:f>
      </x:c>
      <x:c r="EN26" s="117" t="n">
        <x:f>IF(AND('Вводные'!$B$75&lt;&gt;"Единовременно",'Вводные'!$B$80="Да",EN23&gt;0),IF(AND('Вводные'!$B$84="Да",YEAR(EN$3)=YEAR($B$21),MONTH(EN$3)=MONTH($B$21)),EN23*EN30/12,IF(AND((12*(YEAR(EN$3)-YEAR($B$20))+MONTH(EN$3)-MONTH($B$20))&gt;0,MOD((12*(YEAR(EN$3)-YEAR($B$20))+MONTH(EN$3)-MONTH($B$20)),'Вводные'!$B$78)=0,(12*(YEAR(EN$3)-YEAR($B$20))+MONTH(EN$3)-MONTH($B$20))&lt;='Вводные'!$B$77*12),EN23*EN30*'Вводные'!$B$78/12,0)),0)</x:f>
      </x:c>
      <x:c r="EO26" s="117" t="n">
        <x:f>IF(AND('Вводные'!$B$75&lt;&gt;"Единовременно",'Вводные'!$B$80="Да",EO23&gt;0),IF(AND('Вводные'!$B$84="Да",YEAR(EO$3)=YEAR($B$21),MONTH(EO$3)=MONTH($B$21)),EO23*EO30/12,IF(AND((12*(YEAR(EO$3)-YEAR($B$20))+MONTH(EO$3)-MONTH($B$20))&gt;0,MOD((12*(YEAR(EO$3)-YEAR($B$20))+MONTH(EO$3)-MONTH($B$20)),'Вводные'!$B$78)=0,(12*(YEAR(EO$3)-YEAR($B$20))+MONTH(EO$3)-MONTH($B$20))&lt;='Вводные'!$B$77*12),EO23*EO30*'Вводные'!$B$78/12,0)),0)</x:f>
      </x:c>
      <x:c r="EP26" s="117" t="n">
        <x:f>IF(AND('Вводные'!$B$75&lt;&gt;"Единовременно",'Вводные'!$B$80="Да",EP23&gt;0),IF(AND('Вводные'!$B$84="Да",YEAR(EP$3)=YEAR($B$21),MONTH(EP$3)=MONTH($B$21)),EP23*EP30/12,IF(AND((12*(YEAR(EP$3)-YEAR($B$20))+MONTH(EP$3)-MONTH($B$20))&gt;0,MOD((12*(YEAR(EP$3)-YEAR($B$20))+MONTH(EP$3)-MONTH($B$20)),'Вводные'!$B$78)=0,(12*(YEAR(EP$3)-YEAR($B$20))+MONTH(EP$3)-MONTH($B$20))&lt;='Вводные'!$B$77*12),EP23*EP30*'Вводные'!$B$78/12,0)),0)</x:f>
      </x:c>
      <x:c r="EQ26" s="117" t="n">
        <x:f>IF(AND('Вводные'!$B$75&lt;&gt;"Единовременно",'Вводные'!$B$80="Да",EQ23&gt;0),IF(AND('Вводные'!$B$84="Да",YEAR(EQ$3)=YEAR($B$21),MONTH(EQ$3)=MONTH($B$21)),EQ23*EQ30/12,IF(AND((12*(YEAR(EQ$3)-YEAR($B$20))+MONTH(EQ$3)-MONTH($B$20))&gt;0,MOD((12*(YEAR(EQ$3)-YEAR($B$20))+MONTH(EQ$3)-MONTH($B$20)),'Вводные'!$B$78)=0,(12*(YEAR(EQ$3)-YEAR($B$20))+MONTH(EQ$3)-MONTH($B$20))&lt;='Вводные'!$B$77*12),EQ23*EQ30*'Вводные'!$B$78/12,0)),0)</x:f>
      </x:c>
      <x:c r="ER26" s="117" t="n">
        <x:f>IF(AND('Вводные'!$B$75&lt;&gt;"Единовременно",'Вводные'!$B$80="Да",ER23&gt;0),IF(AND('Вводные'!$B$84="Да",YEAR(ER$3)=YEAR($B$21),MONTH(ER$3)=MONTH($B$21)),ER23*ER30/12,IF(AND((12*(YEAR(ER$3)-YEAR($B$20))+MONTH(ER$3)-MONTH($B$20))&gt;0,MOD((12*(YEAR(ER$3)-YEAR($B$20))+MONTH(ER$3)-MONTH($B$20)),'Вводные'!$B$78)=0,(12*(YEAR(ER$3)-YEAR($B$20))+MONTH(ER$3)-MONTH($B$20))&lt;='Вводные'!$B$77*12),ER23*ER30*'Вводные'!$B$78/12,0)),0)</x:f>
      </x:c>
      <x:c r="ES26" s="117" t="n">
        <x:f>IF(AND('Вводные'!$B$75&lt;&gt;"Единовременно",'Вводные'!$B$80="Да",ES23&gt;0),IF(AND('Вводные'!$B$84="Да",YEAR(ES$3)=YEAR($B$21),MONTH(ES$3)=MONTH($B$21)),ES23*ES30/12,IF(AND((12*(YEAR(ES$3)-YEAR($B$20))+MONTH(ES$3)-MONTH($B$20))&gt;0,MOD((12*(YEAR(ES$3)-YEAR($B$20))+MONTH(ES$3)-MONTH($B$20)),'Вводные'!$B$78)=0,(12*(YEAR(ES$3)-YEAR($B$20))+MONTH(ES$3)-MONTH($B$20))&lt;='Вводные'!$B$77*12),ES23*ES30*'Вводные'!$B$78/12,0)),0)</x:f>
      </x:c>
      <x:c r="ET26" s="117" t="n">
        <x:f>IF(AND('Вводные'!$B$75&lt;&gt;"Единовременно",'Вводные'!$B$80="Да",ET23&gt;0),IF(AND('Вводные'!$B$84="Да",YEAR(ET$3)=YEAR($B$21),MONTH(ET$3)=MONTH($B$21)),ET23*ET30/12,IF(AND((12*(YEAR(ET$3)-YEAR($B$20))+MONTH(ET$3)-MONTH($B$20))&gt;0,MOD((12*(YEAR(ET$3)-YEAR($B$20))+MONTH(ET$3)-MONTH($B$20)),'Вводные'!$B$78)=0,(12*(YEAR(ET$3)-YEAR($B$20))+MONTH(ET$3)-MONTH($B$20))&lt;='Вводные'!$B$77*12),ET23*ET30*'Вводные'!$B$78/12,0)),0)</x:f>
      </x:c>
      <x:c r="EU26" s="117" t="n">
        <x:f>IF(AND('Вводные'!$B$75&lt;&gt;"Единовременно",'Вводные'!$B$80="Да",EU23&gt;0),IF(AND('Вводные'!$B$84="Да",YEAR(EU$3)=YEAR($B$21),MONTH(EU$3)=MONTH($B$21)),EU23*EU30/12,IF(AND((12*(YEAR(EU$3)-YEAR($B$20))+MONTH(EU$3)-MONTH($B$20))&gt;0,MOD((12*(YEAR(EU$3)-YEAR($B$20))+MONTH(EU$3)-MONTH($B$20)),'Вводные'!$B$78)=0,(12*(YEAR(EU$3)-YEAR($B$20))+MONTH(EU$3)-MONTH($B$20))&lt;='Вводные'!$B$77*12),EU23*EU30*'Вводные'!$B$78/12,0)),0)</x:f>
      </x:c>
      <x:c r="EV26" s="117" t="n">
        <x:f>IF(AND('Вводные'!$B$75&lt;&gt;"Единовременно",'Вводные'!$B$80="Да",EV23&gt;0),IF(AND('Вводные'!$B$84="Да",YEAR(EV$3)=YEAR($B$21),MONTH(EV$3)=MONTH($B$21)),EV23*EV30/12,IF(AND((12*(YEAR(EV$3)-YEAR($B$20))+MONTH(EV$3)-MONTH($B$20))&gt;0,MOD((12*(YEAR(EV$3)-YEAR($B$20))+MONTH(EV$3)-MONTH($B$20)),'Вводные'!$B$78)=0,(12*(YEAR(EV$3)-YEAR($B$20))+MONTH(EV$3)-MONTH($B$20))&lt;='Вводные'!$B$77*12),EV23*EV30*'Вводные'!$B$78/12,0)),0)</x:f>
      </x:c>
      <x:c r="EW26" s="117" t="n">
        <x:f>IF(AND('Вводные'!$B$75&lt;&gt;"Единовременно",'Вводные'!$B$80="Да",EW23&gt;0),IF(AND('Вводные'!$B$84="Да",YEAR(EW$3)=YEAR($B$21),MONTH(EW$3)=MONTH($B$21)),EW23*EW30/12,IF(AND((12*(YEAR(EW$3)-YEAR($B$20))+MONTH(EW$3)-MONTH($B$20))&gt;0,MOD((12*(YEAR(EW$3)-YEAR($B$20))+MONTH(EW$3)-MONTH($B$20)),'Вводные'!$B$78)=0,(12*(YEAR(EW$3)-YEAR($B$20))+MONTH(EW$3)-MONTH($B$20))&lt;='Вводные'!$B$77*12),EW23*EW30*'Вводные'!$B$78/12,0)),0)</x:f>
      </x:c>
      <x:c r="EX26" s="117" t="n">
        <x:f>IF(AND('Вводные'!$B$75&lt;&gt;"Единовременно",'Вводные'!$B$80="Да",EX23&gt;0),IF(AND('Вводные'!$B$84="Да",YEAR(EX$3)=YEAR($B$21),MONTH(EX$3)=MONTH($B$21)),EX23*EX30/12,IF(AND((12*(YEAR(EX$3)-YEAR($B$20))+MONTH(EX$3)-MONTH($B$20))&gt;0,MOD((12*(YEAR(EX$3)-YEAR($B$20))+MONTH(EX$3)-MONTH($B$20)),'Вводные'!$B$78)=0,(12*(YEAR(EX$3)-YEAR($B$20))+MONTH(EX$3)-MONTH($B$20))&lt;='Вводные'!$B$77*12),EX23*EX30*'Вводные'!$B$78/12,0)),0)</x:f>
      </x:c>
      <x:c r="EY26" s="117" t="n">
        <x:f>IF(AND('Вводные'!$B$75&lt;&gt;"Единовременно",'Вводные'!$B$80="Да",EY23&gt;0),IF(AND('Вводные'!$B$84="Да",YEAR(EY$3)=YEAR($B$21),MONTH(EY$3)=MONTH($B$21)),EY23*EY30/12,IF(AND((12*(YEAR(EY$3)-YEAR($B$20))+MONTH(EY$3)-MONTH($B$20))&gt;0,MOD((12*(YEAR(EY$3)-YEAR($B$20))+MONTH(EY$3)-MONTH($B$20)),'Вводные'!$B$78)=0,(12*(YEAR(EY$3)-YEAR($B$20))+MONTH(EY$3)-MONTH($B$20))&lt;='Вводные'!$B$77*12),EY23*EY30*'Вводные'!$B$78/12,0)),0)</x:f>
      </x:c>
      <x:c r="EZ26" s="117" t="n">
        <x:f>IF(AND('Вводные'!$B$75&lt;&gt;"Единовременно",'Вводные'!$B$80="Да",EZ23&gt;0),IF(AND('Вводные'!$B$84="Да",YEAR(EZ$3)=YEAR($B$21),MONTH(EZ$3)=MONTH($B$21)),EZ23*EZ30/12,IF(AND((12*(YEAR(EZ$3)-YEAR($B$20))+MONTH(EZ$3)-MONTH($B$20))&gt;0,MOD((12*(YEAR(EZ$3)-YEAR($B$20))+MONTH(EZ$3)-MONTH($B$20)),'Вводные'!$B$78)=0,(12*(YEAR(EZ$3)-YEAR($B$20))+MONTH(EZ$3)-MONTH($B$20))&lt;='Вводные'!$B$77*12),EZ23*EZ30*'Вводные'!$B$78/12,0)),0)</x:f>
      </x:c>
      <x:c r="FA26" s="117" t="n">
        <x:f>IF(AND('Вводные'!$B$75&lt;&gt;"Единовременно",'Вводные'!$B$80="Да",FA23&gt;0),IF(AND('Вводные'!$B$84="Да",YEAR(FA$3)=YEAR($B$21),MONTH(FA$3)=MONTH($B$21)),FA23*FA30/12,IF(AND((12*(YEAR(FA$3)-YEAR($B$20))+MONTH(FA$3)-MONTH($B$20))&gt;0,MOD((12*(YEAR(FA$3)-YEAR($B$20))+MONTH(FA$3)-MONTH($B$20)),'Вводные'!$B$78)=0,(12*(YEAR(FA$3)-YEAR($B$20))+MONTH(FA$3)-MONTH($B$20))&lt;='Вводные'!$B$77*12),FA23*FA30*'Вводные'!$B$78/12,0)),0)</x:f>
      </x:c>
      <x:c r="FB26" s="117" t="n">
        <x:f>IF(AND('Вводные'!$B$75&lt;&gt;"Единовременно",'Вводные'!$B$80="Да",FB23&gt;0),IF(AND('Вводные'!$B$84="Да",YEAR(FB$3)=YEAR($B$21),MONTH(FB$3)=MONTH($B$21)),FB23*FB30/12,IF(AND((12*(YEAR(FB$3)-YEAR($B$20))+MONTH(FB$3)-MONTH($B$20))&gt;0,MOD((12*(YEAR(FB$3)-YEAR($B$20))+MONTH(FB$3)-MONTH($B$20)),'Вводные'!$B$78)=0,(12*(YEAR(FB$3)-YEAR($B$20))+MONTH(FB$3)-MONTH($B$20))&lt;='Вводные'!$B$77*12),FB23*FB30*'Вводные'!$B$78/12,0)),0)</x:f>
      </x:c>
      <x:c r="FC26" s="117" t="n">
        <x:f>IF(AND('Вводные'!$B$75&lt;&gt;"Единовременно",'Вводные'!$B$80="Да",FC23&gt;0),IF(AND('Вводные'!$B$84="Да",YEAR(FC$3)=YEAR($B$21),MONTH(FC$3)=MONTH($B$21)),FC23*FC30/12,IF(AND((12*(YEAR(FC$3)-YEAR($B$20))+MONTH(FC$3)-MONTH($B$20))&gt;0,MOD((12*(YEAR(FC$3)-YEAR($B$20))+MONTH(FC$3)-MONTH($B$20)),'Вводные'!$B$78)=0,(12*(YEAR(FC$3)-YEAR($B$20))+MONTH(FC$3)-MONTH($B$20))&lt;='Вводные'!$B$77*12),FC23*FC30*'Вводные'!$B$78/12,0)),0)</x:f>
      </x:c>
      <x:c r="FD26" s="117" t="n">
        <x:f>IF(AND('Вводные'!$B$75&lt;&gt;"Единовременно",'Вводные'!$B$80="Да",FD23&gt;0),IF(AND('Вводные'!$B$84="Да",YEAR(FD$3)=YEAR($B$21),MONTH(FD$3)=MONTH($B$21)),FD23*FD30/12,IF(AND((12*(YEAR(FD$3)-YEAR($B$20))+MONTH(FD$3)-MONTH($B$20))&gt;0,MOD((12*(YEAR(FD$3)-YEAR($B$20))+MONTH(FD$3)-MONTH($B$20)),'Вводные'!$B$78)=0,(12*(YEAR(FD$3)-YEAR($B$20))+MONTH(FD$3)-MONTH($B$20))&lt;='Вводные'!$B$77*12),FD23*FD30*'Вводные'!$B$78/12,0)),0)</x:f>
      </x:c>
      <x:c r="FE26" s="117" t="n">
        <x:f>IF(AND('Вводные'!$B$75&lt;&gt;"Единовременно",'Вводные'!$B$80="Да",FE23&gt;0),IF(AND('Вводные'!$B$84="Да",YEAR(FE$3)=YEAR($B$21),MONTH(FE$3)=MONTH($B$21)),FE23*FE30/12,IF(AND((12*(YEAR(FE$3)-YEAR($B$20))+MONTH(FE$3)-MONTH($B$20))&gt;0,MOD((12*(YEAR(FE$3)-YEAR($B$20))+MONTH(FE$3)-MONTH($B$20)),'Вводные'!$B$78)=0,(12*(YEAR(FE$3)-YEAR($B$20))+MONTH(FE$3)-MONTH($B$20))&lt;='Вводные'!$B$77*12),FE23*FE30*'Вводные'!$B$78/12,0)),0)</x:f>
      </x:c>
      <x:c r="FF26" s="117" t="n">
        <x:f>IF(AND('Вводные'!$B$75&lt;&gt;"Единовременно",'Вводные'!$B$80="Да",FF23&gt;0),IF(AND('Вводные'!$B$84="Да",YEAR(FF$3)=YEAR($B$21),MONTH(FF$3)=MONTH($B$21)),FF23*FF30/12,IF(AND((12*(YEAR(FF$3)-YEAR($B$20))+MONTH(FF$3)-MONTH($B$20))&gt;0,MOD((12*(YEAR(FF$3)-YEAR($B$20))+MONTH(FF$3)-MONTH($B$20)),'Вводные'!$B$78)=0,(12*(YEAR(FF$3)-YEAR($B$20))+MONTH(FF$3)-MONTH($B$20))&lt;='Вводные'!$B$77*12),FF23*FF30*'Вводные'!$B$78/12,0)),0)</x:f>
      </x:c>
      <x:c r="FG26" s="117" t="n">
        <x:f>IF(AND('Вводные'!$B$75&lt;&gt;"Единовременно",'Вводные'!$B$80="Да",FG23&gt;0),IF(AND('Вводные'!$B$84="Да",YEAR(FG$3)=YEAR($B$21),MONTH(FG$3)=MONTH($B$21)),FG23*FG30/12,IF(AND((12*(YEAR(FG$3)-YEAR($B$20))+MONTH(FG$3)-MONTH($B$20))&gt;0,MOD((12*(YEAR(FG$3)-YEAR($B$20))+MONTH(FG$3)-MONTH($B$20)),'Вводные'!$B$78)=0,(12*(YEAR(FG$3)-YEAR($B$20))+MONTH(FG$3)-MONTH($B$20))&lt;='Вводные'!$B$77*12),FG23*FG30*'Вводные'!$B$78/12,0)),0)</x:f>
      </x:c>
      <x:c r="FH26" s="117" t="n">
        <x:f>IF(AND('Вводные'!$B$75&lt;&gt;"Единовременно",'Вводные'!$B$80="Да",FH23&gt;0),IF(AND('Вводные'!$B$84="Да",YEAR(FH$3)=YEAR($B$21),MONTH(FH$3)=MONTH($B$21)),FH23*FH30/12,IF(AND((12*(YEAR(FH$3)-YEAR($B$20))+MONTH(FH$3)-MONTH($B$20))&gt;0,MOD((12*(YEAR(FH$3)-YEAR($B$20))+MONTH(FH$3)-MONTH($B$20)),'Вводные'!$B$78)=0,(12*(YEAR(FH$3)-YEAR($B$20))+MONTH(FH$3)-MONTH($B$20))&lt;='Вводные'!$B$77*12),FH23*FH30*'Вводные'!$B$78/12,0)),0)</x:f>
      </x:c>
      <x:c r="FI26" s="117" t="n">
        <x:f>IF(AND('Вводные'!$B$75&lt;&gt;"Единовременно",'Вводные'!$B$80="Да",FI23&gt;0),IF(AND('Вводные'!$B$84="Да",YEAR(FI$3)=YEAR($B$21),MONTH(FI$3)=MONTH($B$21)),FI23*FI30/12,IF(AND((12*(YEAR(FI$3)-YEAR($B$20))+MONTH(FI$3)-MONTH($B$20))&gt;0,MOD((12*(YEAR(FI$3)-YEAR($B$20))+MONTH(FI$3)-MONTH($B$20)),'Вводные'!$B$78)=0,(12*(YEAR(FI$3)-YEAR($B$20))+MONTH(FI$3)-MONTH($B$20))&lt;='Вводные'!$B$77*12),FI23*FI30*'Вводные'!$B$78/12,0)),0)</x:f>
      </x:c>
      <x:c r="FJ26" s="117" t="n">
        <x:f>IF(AND('Вводные'!$B$75&lt;&gt;"Единовременно",'Вводные'!$B$80="Да",FJ23&gt;0),IF(AND('Вводные'!$B$84="Да",YEAR(FJ$3)=YEAR($B$21),MONTH(FJ$3)=MONTH($B$21)),FJ23*FJ30/12,IF(AND((12*(YEAR(FJ$3)-YEAR($B$20))+MONTH(FJ$3)-MONTH($B$20))&gt;0,MOD((12*(YEAR(FJ$3)-YEAR($B$20))+MONTH(FJ$3)-MONTH($B$20)),'Вводные'!$B$78)=0,(12*(YEAR(FJ$3)-YEAR($B$20))+MONTH(FJ$3)-MONTH($B$20))&lt;='Вводные'!$B$77*12),FJ23*FJ30*'Вводные'!$B$78/12,0)),0)</x:f>
      </x:c>
      <x:c r="FK26" s="117" t="n">
        <x:f>IF(AND('Вводные'!$B$75&lt;&gt;"Единовременно",'Вводные'!$B$80="Да",FK23&gt;0),IF(AND('Вводные'!$B$84="Да",YEAR(FK$3)=YEAR($B$21),MONTH(FK$3)=MONTH($B$21)),FK23*FK30/12,IF(AND((12*(YEAR(FK$3)-YEAR($B$20))+MONTH(FK$3)-MONTH($B$20))&gt;0,MOD((12*(YEAR(FK$3)-YEAR($B$20))+MONTH(FK$3)-MONTH($B$20)),'Вводные'!$B$78)=0,(12*(YEAR(FK$3)-YEAR($B$20))+MONTH(FK$3)-MONTH($B$20))&lt;='Вводные'!$B$77*12),FK23*FK30*'Вводные'!$B$78/12,0)),0)</x:f>
      </x:c>
      <x:c r="FL26" s="117" t="n">
        <x:f>IF(AND('Вводные'!$B$75&lt;&gt;"Единовременно",'Вводные'!$B$80="Да",FL23&gt;0),IF(AND('Вводные'!$B$84="Да",YEAR(FL$3)=YEAR($B$21),MONTH(FL$3)=MONTH($B$21)),FL23*FL30/12,IF(AND((12*(YEAR(FL$3)-YEAR($B$20))+MONTH(FL$3)-MONTH($B$20))&gt;0,MOD((12*(YEAR(FL$3)-YEAR($B$20))+MONTH(FL$3)-MONTH($B$20)),'Вводные'!$B$78)=0,(12*(YEAR(FL$3)-YEAR($B$20))+MONTH(FL$3)-MONTH($B$20))&lt;='Вводные'!$B$77*12),FL23*FL30*'Вводные'!$B$78/12,0)),0)</x:f>
      </x:c>
      <x:c r="FM26" s="117" t="n">
        <x:f>IF(AND('Вводные'!$B$75&lt;&gt;"Единовременно",'Вводные'!$B$80="Да",FM23&gt;0),IF(AND('Вводные'!$B$84="Да",YEAR(FM$3)=YEAR($B$21),MONTH(FM$3)=MONTH($B$21)),FM23*FM30/12,IF(AND((12*(YEAR(FM$3)-YEAR($B$20))+MONTH(FM$3)-MONTH($B$20))&gt;0,MOD((12*(YEAR(FM$3)-YEAR($B$20))+MONTH(FM$3)-MONTH($B$20)),'Вводные'!$B$78)=0,(12*(YEAR(FM$3)-YEAR($B$20))+MONTH(FM$3)-MONTH($B$20))&lt;='Вводные'!$B$77*12),FM23*FM30*'Вводные'!$B$78/12,0)),0)</x:f>
      </x:c>
      <x:c r="FN26" s="117" t="n">
        <x:f>IF(AND('Вводные'!$B$75&lt;&gt;"Единовременно",'Вводные'!$B$80="Да",FN23&gt;0),IF(AND('Вводные'!$B$84="Да",YEAR(FN$3)=YEAR($B$21),MONTH(FN$3)=MONTH($B$21)),FN23*FN30/12,IF(AND((12*(YEAR(FN$3)-YEAR($B$20))+MONTH(FN$3)-MONTH($B$20))&gt;0,MOD((12*(YEAR(FN$3)-YEAR($B$20))+MONTH(FN$3)-MONTH($B$20)),'Вводные'!$B$78)=0,(12*(YEAR(FN$3)-YEAR($B$20))+MONTH(FN$3)-MONTH($B$20))&lt;='Вводные'!$B$77*12),FN23*FN30*'Вводные'!$B$78/12,0)),0)</x:f>
      </x:c>
      <x:c r="FO26" s="117" t="n">
        <x:f>IF(AND('Вводные'!$B$75&lt;&gt;"Единовременно",'Вводные'!$B$80="Да",FO23&gt;0),IF(AND('Вводные'!$B$84="Да",YEAR(FO$3)=YEAR($B$21),MONTH(FO$3)=MONTH($B$21)),FO23*FO30/12,IF(AND((12*(YEAR(FO$3)-YEAR($B$20))+MONTH(FO$3)-MONTH($B$20))&gt;0,MOD((12*(YEAR(FO$3)-YEAR($B$20))+MONTH(FO$3)-MONTH($B$20)),'Вводные'!$B$78)=0,(12*(YEAR(FO$3)-YEAR($B$20))+MONTH(FO$3)-MONTH($B$20))&lt;='Вводные'!$B$77*12),FO23*FO30*'Вводные'!$B$78/12,0)),0)</x:f>
      </x:c>
      <x:c r="FP26" s="117" t="n">
        <x:f>IF(AND('Вводные'!$B$75&lt;&gt;"Единовременно",'Вводные'!$B$80="Да",FP23&gt;0),IF(AND('Вводные'!$B$84="Да",YEAR(FP$3)=YEAR($B$21),MONTH(FP$3)=MONTH($B$21)),FP23*FP30/12,IF(AND((12*(YEAR(FP$3)-YEAR($B$20))+MONTH(FP$3)-MONTH($B$20))&gt;0,MOD((12*(YEAR(FP$3)-YEAR($B$20))+MONTH(FP$3)-MONTH($B$20)),'Вводные'!$B$78)=0,(12*(YEAR(FP$3)-YEAR($B$20))+MONTH(FP$3)-MONTH($B$20))&lt;='Вводные'!$B$77*12),FP23*FP30*'Вводные'!$B$78/12,0)),0)</x:f>
      </x:c>
      <x:c r="FQ26" s="117" t="n">
        <x:f>IF(AND('Вводные'!$B$75&lt;&gt;"Единовременно",'Вводные'!$B$80="Да",FQ23&gt;0),IF(AND('Вводные'!$B$84="Да",YEAR(FQ$3)=YEAR($B$21),MONTH(FQ$3)=MONTH($B$21)),FQ23*FQ30/12,IF(AND((12*(YEAR(FQ$3)-YEAR($B$20))+MONTH(FQ$3)-MONTH($B$20))&gt;0,MOD((12*(YEAR(FQ$3)-YEAR($B$20))+MONTH(FQ$3)-MONTH($B$20)),'Вводные'!$B$78)=0,(12*(YEAR(FQ$3)-YEAR($B$20))+MONTH(FQ$3)-MONTH($B$20))&lt;='Вводные'!$B$77*12),FQ23*FQ30*'Вводные'!$B$78/12,0)),0)</x:f>
      </x:c>
      <x:c r="FR26" s="117" t="n">
        <x:f>IF(AND('Вводные'!$B$75&lt;&gt;"Единовременно",'Вводные'!$B$80="Да",FR23&gt;0),IF(AND('Вводные'!$B$84="Да",YEAR(FR$3)=YEAR($B$21),MONTH(FR$3)=MONTH($B$21)),FR23*FR30/12,IF(AND((12*(YEAR(FR$3)-YEAR($B$20))+MONTH(FR$3)-MONTH($B$20))&gt;0,MOD((12*(YEAR(FR$3)-YEAR($B$20))+MONTH(FR$3)-MONTH($B$20)),'Вводные'!$B$78)=0,(12*(YEAR(FR$3)-YEAR($B$20))+MONTH(FR$3)-MONTH($B$20))&lt;='Вводные'!$B$77*12),FR23*FR30*'Вводные'!$B$78/12,0)),0)</x:f>
      </x:c>
      <x:c r="FS26" s="117" t="n">
        <x:f>IF(AND('Вводные'!$B$75&lt;&gt;"Единовременно",'Вводные'!$B$80="Да",FS23&gt;0),IF(AND('Вводные'!$B$84="Да",YEAR(FS$3)=YEAR($B$21),MONTH(FS$3)=MONTH($B$21)),FS23*FS30/12,IF(AND((12*(YEAR(FS$3)-YEAR($B$20))+MONTH(FS$3)-MONTH($B$20))&gt;0,MOD((12*(YEAR(FS$3)-YEAR($B$20))+MONTH(FS$3)-MONTH($B$20)),'Вводные'!$B$78)=0,(12*(YEAR(FS$3)-YEAR($B$20))+MONTH(FS$3)-MONTH($B$20))&lt;='Вводные'!$B$77*12),FS23*FS30*'Вводные'!$B$78/12,0)),0)</x:f>
      </x:c>
      <x:c r="FT26" s="117" t="n">
        <x:f>IF(AND('Вводные'!$B$75&lt;&gt;"Единовременно",'Вводные'!$B$80="Да",FT23&gt;0),IF(AND('Вводные'!$B$84="Да",YEAR(FT$3)=YEAR($B$21),MONTH(FT$3)=MONTH($B$21)),FT23*FT30/12,IF(AND((12*(YEAR(FT$3)-YEAR($B$20))+MONTH(FT$3)-MONTH($B$20))&gt;0,MOD((12*(YEAR(FT$3)-YEAR($B$20))+MONTH(FT$3)-MONTH($B$20)),'Вводные'!$B$78)=0,(12*(YEAR(FT$3)-YEAR($B$20))+MONTH(FT$3)-MONTH($B$20))&lt;='Вводные'!$B$77*12),FT23*FT30*'Вводные'!$B$78/12,0)),0)</x:f>
      </x:c>
      <x:c r="FU26" s="117" t="n">
        <x:f>IF(AND('Вводные'!$B$75&lt;&gt;"Единовременно",'Вводные'!$B$80="Да",FU23&gt;0),IF(AND('Вводные'!$B$84="Да",YEAR(FU$3)=YEAR($B$21),MONTH(FU$3)=MONTH($B$21)),FU23*FU30/12,IF(AND((12*(YEAR(FU$3)-YEAR($B$20))+MONTH(FU$3)-MONTH($B$20))&gt;0,MOD((12*(YEAR(FU$3)-YEAR($B$20))+MONTH(FU$3)-MONTH($B$20)),'Вводные'!$B$78)=0,(12*(YEAR(FU$3)-YEAR($B$20))+MONTH(FU$3)-MONTH($B$20))&lt;='Вводные'!$B$77*12),FU23*FU30*'Вводные'!$B$78/12,0)),0)</x:f>
      </x:c>
      <x:c r="FV26" s="117" t="n">
        <x:f>IF(AND('Вводные'!$B$75&lt;&gt;"Единовременно",'Вводные'!$B$80="Да",FV23&gt;0),IF(AND('Вводные'!$B$84="Да",YEAR(FV$3)=YEAR($B$21),MONTH(FV$3)=MONTH($B$21)),FV23*FV30/12,IF(AND((12*(YEAR(FV$3)-YEAR($B$20))+MONTH(FV$3)-MONTH($B$20))&gt;0,MOD((12*(YEAR(FV$3)-YEAR($B$20))+MONTH(FV$3)-MONTH($B$20)),'Вводные'!$B$78)=0,(12*(YEAR(FV$3)-YEAR($B$20))+MONTH(FV$3)-MONTH($B$20))&lt;='Вводные'!$B$77*12),FV23*FV30*'Вводные'!$B$78/12,0)),0)</x:f>
      </x:c>
      <x:c r="FW26" s="117" t="n">
        <x:f>IF(AND('Вводные'!$B$75&lt;&gt;"Единовременно",'Вводные'!$B$80="Да",FW23&gt;0),IF(AND('Вводные'!$B$84="Да",YEAR(FW$3)=YEAR($B$21),MONTH(FW$3)=MONTH($B$21)),FW23*FW30/12,IF(AND((12*(YEAR(FW$3)-YEAR($B$20))+MONTH(FW$3)-MONTH($B$20))&gt;0,MOD((12*(YEAR(FW$3)-YEAR($B$20))+MONTH(FW$3)-MONTH($B$20)),'Вводные'!$B$78)=0,(12*(YEAR(FW$3)-YEAR($B$20))+MONTH(FW$3)-MONTH($B$20))&lt;='Вводные'!$B$77*12),FW23*FW30*'Вводные'!$B$78/12,0)),0)</x:f>
      </x:c>
      <x:c r="FX26" s="117" t="n">
        <x:f>IF(AND('Вводные'!$B$75&lt;&gt;"Единовременно",'Вводные'!$B$80="Да",FX23&gt;0),IF(AND('Вводные'!$B$84="Да",YEAR(FX$3)=YEAR($B$21),MONTH(FX$3)=MONTH($B$21)),FX23*FX30/12,IF(AND((12*(YEAR(FX$3)-YEAR($B$20))+MONTH(FX$3)-MONTH($B$20))&gt;0,MOD((12*(YEAR(FX$3)-YEAR($B$20))+MONTH(FX$3)-MONTH($B$20)),'Вводные'!$B$78)=0,(12*(YEAR(FX$3)-YEAR($B$20))+MONTH(FX$3)-MONTH($B$20))&lt;='Вводные'!$B$77*12),FX23*FX30*'Вводные'!$B$78/12,0)),0)</x:f>
      </x:c>
      <x:c r="FY26" s="117" t="n">
        <x:f>IF(AND('Вводные'!$B$75&lt;&gt;"Единовременно",'Вводные'!$B$80="Да",FY23&gt;0),IF(AND('Вводные'!$B$84="Да",YEAR(FY$3)=YEAR($B$21),MONTH(FY$3)=MONTH($B$21)),FY23*FY30/12,IF(AND((12*(YEAR(FY$3)-YEAR($B$20))+MONTH(FY$3)-MONTH($B$20))&gt;0,MOD((12*(YEAR(FY$3)-YEAR($B$20))+MONTH(FY$3)-MONTH($B$20)),'Вводные'!$B$78)=0,(12*(YEAR(FY$3)-YEAR($B$20))+MONTH(FY$3)-MONTH($B$20))&lt;='Вводные'!$B$77*12),FY23*FY30*'Вводные'!$B$78/12,0)),0)</x:f>
      </x:c>
      <x:c r="FZ26" s="117" t="n">
        <x:f>IF(AND('Вводные'!$B$75&lt;&gt;"Единовременно",'Вводные'!$B$80="Да",FZ23&gt;0),IF(AND('Вводные'!$B$84="Да",YEAR(FZ$3)=YEAR($B$21),MONTH(FZ$3)=MONTH($B$21)),FZ23*FZ30/12,IF(AND((12*(YEAR(FZ$3)-YEAR($B$20))+MONTH(FZ$3)-MONTH($B$20))&gt;0,MOD((12*(YEAR(FZ$3)-YEAR($B$20))+MONTH(FZ$3)-MONTH($B$20)),'Вводные'!$B$78)=0,(12*(YEAR(FZ$3)-YEAR($B$20))+MONTH(FZ$3)-MONTH($B$20))&lt;='Вводные'!$B$77*12),FZ23*FZ30*'Вводные'!$B$78/12,0)),0)</x:f>
      </x:c>
      <x:c r="GA26" s="117" t="n">
        <x:f>IF(AND('Вводные'!$B$75&lt;&gt;"Единовременно",'Вводные'!$B$80="Да",GA23&gt;0),IF(AND('Вводные'!$B$84="Да",YEAR(GA$3)=YEAR($B$21),MONTH(GA$3)=MONTH($B$21)),GA23*GA30/12,IF(AND((12*(YEAR(GA$3)-YEAR($B$20))+MONTH(GA$3)-MONTH($B$20))&gt;0,MOD((12*(YEAR(GA$3)-YEAR($B$20))+MONTH(GA$3)-MONTH($B$20)),'Вводные'!$B$78)=0,(12*(YEAR(GA$3)-YEAR($B$20))+MONTH(GA$3)-MONTH($B$20))&lt;='Вводные'!$B$77*12),GA23*GA30*'Вводные'!$B$78/12,0)),0)</x:f>
      </x:c>
    </x:row>
    <x:row r="27">
      <x:c r="A27" t="str">
        <x:v>Расходы на обеспечение</x:v>
      </x:c>
      <x:c r="B27" s="107" t="n">
        <x:f>SUM(D27:GA27)</x:f>
      </x:c>
      <x:c r="C27" t="str">
        <x:v>млн ₽</x:v>
      </x:c>
      <x:c r="D27" s="117" t="n">
        <x:f>IF(D24&gt;0,'Вводные'!$B$83*'Вводные'!$Q$89,0)</x:f>
      </x:c>
      <x:c r="E27" s="117" t="n">
        <x:f>IF(E24&gt;0,'Вводные'!$B$83*'Вводные'!$Q$89,0)</x:f>
      </x:c>
      <x:c r="F27" s="117" t="n">
        <x:f>IF(F24&gt;0,'Вводные'!$B$83*'Вводные'!$Q$89,0)</x:f>
      </x:c>
      <x:c r="G27" s="117" t="n">
        <x:f>IF(G24&gt;0,'Вводные'!$B$83*'Вводные'!$Q$89,0)</x:f>
      </x:c>
      <x:c r="H27" s="117" t="n">
        <x:f>IF(H24&gt;0,'Вводные'!$B$83*'Вводные'!$Q$89,0)</x:f>
      </x:c>
      <x:c r="I27" s="117" t="n">
        <x:f>IF(I24&gt;0,'Вводные'!$B$83*'Вводные'!$Q$89,0)</x:f>
      </x:c>
      <x:c r="J27" s="117" t="n">
        <x:f>IF(J24&gt;0,'Вводные'!$B$83*'Вводные'!$Q$89,0)</x:f>
      </x:c>
      <x:c r="K27" s="117" t="n">
        <x:f>IF(K24&gt;0,'Вводные'!$B$83*'Вводные'!$Q$89,0)</x:f>
      </x:c>
      <x:c r="L27" s="117" t="n">
        <x:f>IF(L24&gt;0,'Вводные'!$B$83*'Вводные'!$Q$89,0)</x:f>
      </x:c>
      <x:c r="M27" s="117" t="n">
        <x:f>IF(M24&gt;0,'Вводные'!$B$83*'Вводные'!$Q$89,0)</x:f>
      </x:c>
      <x:c r="N27" s="117" t="n">
        <x:f>IF(N24&gt;0,'Вводные'!$B$83*'Вводные'!$Q$89,0)</x:f>
      </x:c>
      <x:c r="O27" s="117" t="n">
        <x:f>IF(O24&gt;0,'Вводные'!$B$83*'Вводные'!$Q$89,0)</x:f>
      </x:c>
      <x:c r="P27" s="117" t="n">
        <x:f>IF(P24&gt;0,'Вводные'!$B$83*'Вводные'!$Q$89,0)</x:f>
      </x:c>
      <x:c r="Q27" s="117" t="n">
        <x:f>IF(Q24&gt;0,'Вводные'!$B$83*'Вводные'!$Q$89,0)</x:f>
      </x:c>
      <x:c r="R27" s="117" t="n">
        <x:f>IF(R24&gt;0,'Вводные'!$B$83*'Вводные'!$Q$89,0)</x:f>
      </x:c>
      <x:c r="S27" s="117" t="n">
        <x:f>IF(S24&gt;0,'Вводные'!$B$83*'Вводные'!$Q$89,0)</x:f>
      </x:c>
      <x:c r="T27" s="117" t="n">
        <x:f>IF(T24&gt;0,'Вводные'!$B$83*'Вводные'!$Q$89,0)</x:f>
      </x:c>
      <x:c r="U27" s="117" t="n">
        <x:f>IF(U24&gt;0,'Вводные'!$B$83*'Вводные'!$Q$89,0)</x:f>
      </x:c>
      <x:c r="V27" s="117" t="n">
        <x:f>IF(V24&gt;0,'Вводные'!$B$83*'Вводные'!$Q$89,0)</x:f>
      </x:c>
      <x:c r="W27" s="117" t="n">
        <x:f>IF(W24&gt;0,'Вводные'!$B$83*'Вводные'!$Q$89,0)</x:f>
      </x:c>
      <x:c r="X27" s="117" t="n">
        <x:f>IF(X24&gt;0,'Вводные'!$B$83*'Вводные'!$Q$89,0)</x:f>
      </x:c>
      <x:c r="Y27" s="117" t="n">
        <x:f>IF(Y24&gt;0,'Вводные'!$B$83*'Вводные'!$Q$89,0)</x:f>
      </x:c>
      <x:c r="Z27" s="117" t="n">
        <x:f>IF(Z24&gt;0,'Вводные'!$B$83*'Вводные'!$Q$89,0)</x:f>
      </x:c>
      <x:c r="AA27" s="117" t="n">
        <x:f>IF(AA24&gt;0,'Вводные'!$B$83*'Вводные'!$Q$89,0)</x:f>
      </x:c>
      <x:c r="AB27" s="117" t="n">
        <x:f>IF(AB24&gt;0,'Вводные'!$B$83*'Вводные'!$Q$89,0)</x:f>
      </x:c>
      <x:c r="AC27" s="117" t="n">
        <x:f>IF(AC24&gt;0,'Вводные'!$B$83*'Вводные'!$Q$89,0)</x:f>
      </x:c>
      <x:c r="AD27" s="117" t="n">
        <x:f>IF(AD24&gt;0,'Вводные'!$B$83*'Вводные'!$Q$89,0)</x:f>
      </x:c>
      <x:c r="AE27" s="117" t="n">
        <x:f>IF(AE24&gt;0,'Вводные'!$B$83*'Вводные'!$Q$89,0)</x:f>
      </x:c>
      <x:c r="AF27" s="117" t="n">
        <x:f>IF(AF24&gt;0,'Вводные'!$B$83*'Вводные'!$Q$89,0)</x:f>
      </x:c>
      <x:c r="AG27" s="117" t="n">
        <x:f>IF(AG24&gt;0,'Вводные'!$B$83*'Вводные'!$Q$89,0)</x:f>
      </x:c>
      <x:c r="AH27" s="117" t="n">
        <x:f>IF(AH24&gt;0,'Вводные'!$B$83*'Вводные'!$Q$89,0)</x:f>
      </x:c>
      <x:c r="AI27" s="117" t="n">
        <x:f>IF(AI24&gt;0,'Вводные'!$B$83*'Вводные'!$Q$89,0)</x:f>
      </x:c>
      <x:c r="AJ27" s="117" t="n">
        <x:f>IF(AJ24&gt;0,'Вводные'!$B$83*'Вводные'!$Q$89,0)</x:f>
      </x:c>
      <x:c r="AK27" s="117" t="n">
        <x:f>IF(AK24&gt;0,'Вводные'!$B$83*'Вводные'!$Q$89,0)</x:f>
      </x:c>
      <x:c r="AL27" s="117" t="n">
        <x:f>IF(AL24&gt;0,'Вводные'!$B$83*'Вводные'!$Q$89,0)</x:f>
      </x:c>
      <x:c r="AM27" s="117" t="n">
        <x:f>IF(AM24&gt;0,'Вводные'!$B$83*'Вводные'!$Q$89,0)</x:f>
      </x:c>
      <x:c r="AN27" s="117" t="n">
        <x:f>IF(AN24&gt;0,'Вводные'!$B$83*'Вводные'!$Q$89,0)</x:f>
      </x:c>
      <x:c r="AO27" s="117" t="n">
        <x:f>IF(AO24&gt;0,'Вводные'!$B$83*'Вводные'!$Q$89,0)</x:f>
      </x:c>
      <x:c r="AP27" s="117" t="n">
        <x:f>IF(AP24&gt;0,'Вводные'!$B$83*'Вводные'!$Q$89,0)</x:f>
      </x:c>
      <x:c r="AQ27" s="117" t="n">
        <x:f>IF(AQ24&gt;0,'Вводные'!$B$83*'Вводные'!$Q$89,0)</x:f>
      </x:c>
      <x:c r="AR27" s="117" t="n">
        <x:f>IF(AR24&gt;0,'Вводные'!$B$83*'Вводные'!$Q$89,0)</x:f>
      </x:c>
      <x:c r="AS27" s="117" t="n">
        <x:f>IF(AS24&gt;0,'Вводные'!$B$83*'Вводные'!$Q$89,0)</x:f>
      </x:c>
      <x:c r="AT27" s="117" t="n">
        <x:f>IF(AT24&gt;0,'Вводные'!$B$83*'Вводные'!$Q$89,0)</x:f>
      </x:c>
      <x:c r="AU27" s="117" t="n">
        <x:f>IF(AU24&gt;0,'Вводные'!$B$83*'Вводные'!$Q$89,0)</x:f>
      </x:c>
      <x:c r="AV27" s="117" t="n">
        <x:f>IF(AV24&gt;0,'Вводные'!$B$83*'Вводные'!$Q$89,0)</x:f>
      </x:c>
      <x:c r="AW27" s="117" t="n">
        <x:f>IF(AW24&gt;0,'Вводные'!$B$83*'Вводные'!$Q$89,0)</x:f>
      </x:c>
      <x:c r="AX27" s="117" t="n">
        <x:f>IF(AX24&gt;0,'Вводные'!$B$83*'Вводные'!$Q$89,0)</x:f>
      </x:c>
      <x:c r="AY27" s="117" t="n">
        <x:f>IF(AY24&gt;0,'Вводные'!$B$83*'Вводные'!$Q$89,0)</x:f>
      </x:c>
      <x:c r="AZ27" s="117" t="n">
        <x:f>IF(AZ24&gt;0,'Вводные'!$B$83*'Вводные'!$Q$89,0)</x:f>
      </x:c>
      <x:c r="BA27" s="117" t="n">
        <x:f>IF(BA24&gt;0,'Вводные'!$B$83*'Вводные'!$Q$89,0)</x:f>
      </x:c>
      <x:c r="BB27" s="117" t="n">
        <x:f>IF(BB24&gt;0,'Вводные'!$B$83*'Вводные'!$Q$89,0)</x:f>
      </x:c>
      <x:c r="BC27" s="117" t="n">
        <x:f>IF(BC24&gt;0,'Вводные'!$B$83*'Вводные'!$Q$89,0)</x:f>
      </x:c>
      <x:c r="BD27" s="117" t="n">
        <x:f>IF(BD24&gt;0,'Вводные'!$B$83*'Вводные'!$Q$89,0)</x:f>
      </x:c>
      <x:c r="BE27" s="117" t="n">
        <x:f>IF(BE24&gt;0,'Вводные'!$B$83*'Вводные'!$Q$89,0)</x:f>
      </x:c>
      <x:c r="BF27" s="117" t="n">
        <x:f>IF(BF24&gt;0,'Вводные'!$B$83*'Вводные'!$Q$89,0)</x:f>
      </x:c>
      <x:c r="BG27" s="117" t="n">
        <x:f>IF(BG24&gt;0,'Вводные'!$B$83*'Вводные'!$Q$89,0)</x:f>
      </x:c>
      <x:c r="BH27" s="117" t="n">
        <x:f>IF(BH24&gt;0,'Вводные'!$B$83*'Вводные'!$Q$89,0)</x:f>
      </x:c>
      <x:c r="BI27" s="117" t="n">
        <x:f>IF(BI24&gt;0,'Вводные'!$B$83*'Вводные'!$Q$89,0)</x:f>
      </x:c>
      <x:c r="BJ27" s="117" t="n">
        <x:f>IF(BJ24&gt;0,'Вводные'!$B$83*'Вводные'!$Q$89,0)</x:f>
      </x:c>
      <x:c r="BK27" s="117" t="n">
        <x:f>IF(BK24&gt;0,'Вводные'!$B$83*'Вводные'!$Q$89,0)</x:f>
      </x:c>
      <x:c r="BL27" s="117" t="n">
        <x:f>IF(BL24&gt;0,'Вводные'!$B$83*'Вводные'!$Q$89,0)</x:f>
      </x:c>
      <x:c r="BM27" s="117" t="n">
        <x:f>IF(BM24&gt;0,'Вводные'!$B$83*'Вводные'!$Q$89,0)</x:f>
      </x:c>
      <x:c r="BN27" s="117" t="n">
        <x:f>IF(BN24&gt;0,'Вводные'!$B$83*'Вводные'!$Q$89,0)</x:f>
      </x:c>
      <x:c r="BO27" s="117" t="n">
        <x:f>IF(BO24&gt;0,'Вводные'!$B$83*'Вводные'!$Q$89,0)</x:f>
      </x:c>
      <x:c r="BP27" s="117" t="n">
        <x:f>IF(BP24&gt;0,'Вводные'!$B$83*'Вводные'!$Q$89,0)</x:f>
      </x:c>
      <x:c r="BQ27" s="117" t="n">
        <x:f>IF(BQ24&gt;0,'Вводные'!$B$83*'Вводные'!$Q$89,0)</x:f>
      </x:c>
      <x:c r="BR27" s="117" t="n">
        <x:f>IF(BR24&gt;0,'Вводные'!$B$83*'Вводные'!$Q$89,0)</x:f>
      </x:c>
      <x:c r="BS27" s="117" t="n">
        <x:f>IF(BS24&gt;0,'Вводные'!$B$83*'Вводные'!$Q$89,0)</x:f>
      </x:c>
      <x:c r="BT27" s="117" t="n">
        <x:f>IF(BT24&gt;0,'Вводные'!$B$83*'Вводные'!$Q$89,0)</x:f>
      </x:c>
      <x:c r="BU27" s="117" t="n">
        <x:f>IF(BU24&gt;0,'Вводные'!$B$83*'Вводные'!$Q$89,0)</x:f>
      </x:c>
      <x:c r="BV27" s="117" t="n">
        <x:f>IF(BV24&gt;0,'Вводные'!$B$83*'Вводные'!$Q$89,0)</x:f>
      </x:c>
      <x:c r="BW27" s="117" t="n">
        <x:f>IF(BW24&gt;0,'Вводные'!$B$83*'Вводные'!$Q$89,0)</x:f>
      </x:c>
      <x:c r="BX27" s="117" t="n">
        <x:f>IF(BX24&gt;0,'Вводные'!$B$83*'Вводные'!$Q$89,0)</x:f>
      </x:c>
      <x:c r="BY27" s="117" t="n">
        <x:f>IF(BY24&gt;0,'Вводные'!$B$83*'Вводные'!$Q$89,0)</x:f>
      </x:c>
      <x:c r="BZ27" s="117" t="n">
        <x:f>IF(BZ24&gt;0,'Вводные'!$B$83*'Вводные'!$Q$89,0)</x:f>
      </x:c>
      <x:c r="CA27" s="117" t="n">
        <x:f>IF(CA24&gt;0,'Вводные'!$B$83*'Вводные'!$Q$89,0)</x:f>
      </x:c>
      <x:c r="CB27" s="117" t="n">
        <x:f>IF(CB24&gt;0,'Вводные'!$B$83*'Вводные'!$Q$89,0)</x:f>
      </x:c>
      <x:c r="CC27" s="117" t="n">
        <x:f>IF(CC24&gt;0,'Вводные'!$B$83*'Вводные'!$Q$89,0)</x:f>
      </x:c>
      <x:c r="CD27" s="117" t="n">
        <x:f>IF(CD24&gt;0,'Вводные'!$B$83*'Вводные'!$Q$89,0)</x:f>
      </x:c>
      <x:c r="CE27" s="117" t="n">
        <x:f>IF(CE24&gt;0,'Вводные'!$B$83*'Вводные'!$Q$89,0)</x:f>
      </x:c>
      <x:c r="CF27" s="117" t="n">
        <x:f>IF(CF24&gt;0,'Вводные'!$B$83*'Вводные'!$Q$89,0)</x:f>
      </x:c>
      <x:c r="CG27" s="117" t="n">
        <x:f>IF(CG24&gt;0,'Вводные'!$B$83*'Вводные'!$Q$89,0)</x:f>
      </x:c>
      <x:c r="CH27" s="117" t="n">
        <x:f>IF(CH24&gt;0,'Вводные'!$B$83*'Вводные'!$Q$89,0)</x:f>
      </x:c>
      <x:c r="CI27" s="117" t="n">
        <x:f>IF(CI24&gt;0,'Вводные'!$B$83*'Вводные'!$Q$89,0)</x:f>
      </x:c>
      <x:c r="CJ27" s="117" t="n">
        <x:f>IF(CJ24&gt;0,'Вводные'!$B$83*'Вводные'!$Q$89,0)</x:f>
      </x:c>
      <x:c r="CK27" s="117" t="n">
        <x:f>IF(CK24&gt;0,'Вводные'!$B$83*'Вводные'!$Q$89,0)</x:f>
      </x:c>
      <x:c r="CL27" s="117" t="n">
        <x:f>IF(CL24&gt;0,'Вводные'!$B$83*'Вводные'!$Q$89,0)</x:f>
      </x:c>
      <x:c r="CM27" s="117" t="n">
        <x:f>IF(CM24&gt;0,'Вводные'!$B$83*'Вводные'!$Q$89,0)</x:f>
      </x:c>
      <x:c r="CN27" s="117" t="n">
        <x:f>IF(CN24&gt;0,'Вводные'!$B$83*'Вводные'!$Q$89,0)</x:f>
      </x:c>
      <x:c r="CO27" s="117" t="n">
        <x:f>IF(CO24&gt;0,'Вводные'!$B$83*'Вводные'!$Q$89,0)</x:f>
      </x:c>
      <x:c r="CP27" s="117" t="n">
        <x:f>IF(CP24&gt;0,'Вводные'!$B$83*'Вводные'!$Q$89,0)</x:f>
      </x:c>
      <x:c r="CQ27" s="117" t="n">
        <x:f>IF(CQ24&gt;0,'Вводные'!$B$83*'Вводные'!$Q$89,0)</x:f>
      </x:c>
      <x:c r="CR27" s="117" t="n">
        <x:f>IF(CR24&gt;0,'Вводные'!$B$83*'Вводные'!$Q$89,0)</x:f>
      </x:c>
      <x:c r="CS27" s="117" t="n">
        <x:f>IF(CS24&gt;0,'Вводные'!$B$83*'Вводные'!$Q$89,0)</x:f>
      </x:c>
      <x:c r="CT27" s="117" t="n">
        <x:f>IF(CT24&gt;0,'Вводные'!$B$83*'Вводные'!$Q$89,0)</x:f>
      </x:c>
      <x:c r="CU27" s="117" t="n">
        <x:f>IF(CU24&gt;0,'Вводные'!$B$83*'Вводные'!$Q$89,0)</x:f>
      </x:c>
      <x:c r="CV27" s="117" t="n">
        <x:f>IF(CV24&gt;0,'Вводные'!$B$83*'Вводные'!$Q$89,0)</x:f>
      </x:c>
      <x:c r="CW27" s="117" t="n">
        <x:f>IF(CW24&gt;0,'Вводные'!$B$83*'Вводные'!$Q$89,0)</x:f>
      </x:c>
      <x:c r="CX27" s="117" t="n">
        <x:f>IF(CX24&gt;0,'Вводные'!$B$83*'Вводные'!$Q$89,0)</x:f>
      </x:c>
      <x:c r="CY27" s="117" t="n">
        <x:f>IF(CY24&gt;0,'Вводные'!$B$83*'Вводные'!$Q$89,0)</x:f>
      </x:c>
      <x:c r="CZ27" s="117" t="n">
        <x:f>IF(CZ24&gt;0,'Вводные'!$B$83*'Вводные'!$Q$89,0)</x:f>
      </x:c>
      <x:c r="DA27" s="117" t="n">
        <x:f>IF(DA24&gt;0,'Вводные'!$B$83*'Вводные'!$Q$89,0)</x:f>
      </x:c>
      <x:c r="DB27" s="117" t="n">
        <x:f>IF(DB24&gt;0,'Вводные'!$B$83*'Вводные'!$Q$89,0)</x:f>
      </x:c>
      <x:c r="DC27" s="117" t="n">
        <x:f>IF(DC24&gt;0,'Вводные'!$B$83*'Вводные'!$Q$89,0)</x:f>
      </x:c>
      <x:c r="DD27" s="117" t="n">
        <x:f>IF(DD24&gt;0,'Вводные'!$B$83*'Вводные'!$Q$89,0)</x:f>
      </x:c>
      <x:c r="DE27" s="117" t="n">
        <x:f>IF(DE24&gt;0,'Вводные'!$B$83*'Вводные'!$Q$89,0)</x:f>
      </x:c>
      <x:c r="DF27" s="117" t="n">
        <x:f>IF(DF24&gt;0,'Вводные'!$B$83*'Вводные'!$Q$89,0)</x:f>
      </x:c>
      <x:c r="DG27" s="117" t="n">
        <x:f>IF(DG24&gt;0,'Вводные'!$B$83*'Вводные'!$Q$89,0)</x:f>
      </x:c>
      <x:c r="DH27" s="117" t="n">
        <x:f>IF(DH24&gt;0,'Вводные'!$B$83*'Вводные'!$Q$89,0)</x:f>
      </x:c>
      <x:c r="DI27" s="117" t="n">
        <x:f>IF(DI24&gt;0,'Вводные'!$B$83*'Вводные'!$Q$89,0)</x:f>
      </x:c>
      <x:c r="DJ27" s="117" t="n">
        <x:f>IF(DJ24&gt;0,'Вводные'!$B$83*'Вводные'!$Q$89,0)</x:f>
      </x:c>
      <x:c r="DK27" s="117" t="n">
        <x:f>IF(DK24&gt;0,'Вводные'!$B$83*'Вводные'!$Q$89,0)</x:f>
      </x:c>
      <x:c r="DL27" s="117" t="n">
        <x:f>IF(DL24&gt;0,'Вводные'!$B$83*'Вводные'!$Q$89,0)</x:f>
      </x:c>
      <x:c r="DM27" s="117" t="n">
        <x:f>IF(DM24&gt;0,'Вводные'!$B$83*'Вводные'!$Q$89,0)</x:f>
      </x:c>
      <x:c r="DN27" s="117" t="n">
        <x:f>IF(DN24&gt;0,'Вводные'!$B$83*'Вводные'!$Q$89,0)</x:f>
      </x:c>
      <x:c r="DO27" s="117" t="n">
        <x:f>IF(DO24&gt;0,'Вводные'!$B$83*'Вводные'!$Q$89,0)</x:f>
      </x:c>
      <x:c r="DP27" s="117" t="n">
        <x:f>IF(DP24&gt;0,'Вводные'!$B$83*'Вводные'!$Q$89,0)</x:f>
      </x:c>
      <x:c r="DQ27" s="117" t="n">
        <x:f>IF(DQ24&gt;0,'Вводные'!$B$83*'Вводные'!$Q$89,0)</x:f>
      </x:c>
      <x:c r="DR27" s="117" t="n">
        <x:f>IF(DR24&gt;0,'Вводные'!$B$83*'Вводные'!$Q$89,0)</x:f>
      </x:c>
      <x:c r="DS27" s="117" t="n">
        <x:f>IF(DS24&gt;0,'Вводные'!$B$83*'Вводные'!$Q$89,0)</x:f>
      </x:c>
      <x:c r="DT27" s="117" t="n">
        <x:f>IF(DT24&gt;0,'Вводные'!$B$83*'Вводные'!$Q$89,0)</x:f>
      </x:c>
      <x:c r="DU27" s="117" t="n">
        <x:f>IF(DU24&gt;0,'Вводные'!$B$83*'Вводные'!$Q$89,0)</x:f>
      </x:c>
      <x:c r="DV27" s="117" t="n">
        <x:f>IF(DV24&gt;0,'Вводные'!$B$83*'Вводные'!$Q$89,0)</x:f>
      </x:c>
      <x:c r="DW27" s="117" t="n">
        <x:f>IF(DW24&gt;0,'Вводные'!$B$83*'Вводные'!$Q$89,0)</x:f>
      </x:c>
      <x:c r="DX27" s="117" t="n">
        <x:f>IF(DX24&gt;0,'Вводные'!$B$83*'Вводные'!$Q$89,0)</x:f>
      </x:c>
      <x:c r="DY27" s="117" t="n">
        <x:f>IF(DY24&gt;0,'Вводные'!$B$83*'Вводные'!$Q$89,0)</x:f>
      </x:c>
      <x:c r="DZ27" s="117" t="n">
        <x:f>IF(DZ24&gt;0,'Вводные'!$B$83*'Вводные'!$Q$89,0)</x:f>
      </x:c>
      <x:c r="EA27" s="117" t="n">
        <x:f>IF(EA24&gt;0,'Вводные'!$B$83*'Вводные'!$Q$89,0)</x:f>
      </x:c>
      <x:c r="EB27" s="117" t="n">
        <x:f>IF(EB24&gt;0,'Вводные'!$B$83*'Вводные'!$Q$89,0)</x:f>
      </x:c>
      <x:c r="EC27" s="117" t="n">
        <x:f>IF(EC24&gt;0,'Вводные'!$B$83*'Вводные'!$Q$89,0)</x:f>
      </x:c>
      <x:c r="ED27" s="117" t="n">
        <x:f>IF(ED24&gt;0,'Вводные'!$B$83*'Вводные'!$Q$89,0)</x:f>
      </x:c>
      <x:c r="EE27" s="117" t="n">
        <x:f>IF(EE24&gt;0,'Вводные'!$B$83*'Вводные'!$Q$89,0)</x:f>
      </x:c>
      <x:c r="EF27" s="117" t="n">
        <x:f>IF(EF24&gt;0,'Вводные'!$B$83*'Вводные'!$Q$89,0)</x:f>
      </x:c>
      <x:c r="EG27" s="117" t="n">
        <x:f>IF(EG24&gt;0,'Вводные'!$B$83*'Вводные'!$Q$89,0)</x:f>
      </x:c>
      <x:c r="EH27" s="117" t="n">
        <x:f>IF(EH24&gt;0,'Вводные'!$B$83*'Вводные'!$Q$89,0)</x:f>
      </x:c>
      <x:c r="EI27" s="117" t="n">
        <x:f>IF(EI24&gt;0,'Вводные'!$B$83*'Вводные'!$Q$89,0)</x:f>
      </x:c>
      <x:c r="EJ27" s="117" t="n">
        <x:f>IF(EJ24&gt;0,'Вводные'!$B$83*'Вводные'!$Q$89,0)</x:f>
      </x:c>
      <x:c r="EK27" s="117" t="n">
        <x:f>IF(EK24&gt;0,'Вводные'!$B$83*'Вводные'!$Q$89,0)</x:f>
      </x:c>
      <x:c r="EL27" s="117" t="n">
        <x:f>IF(EL24&gt;0,'Вводные'!$B$83*'Вводные'!$Q$89,0)</x:f>
      </x:c>
      <x:c r="EM27" s="117" t="n">
        <x:f>IF(EM24&gt;0,'Вводные'!$B$83*'Вводные'!$Q$89,0)</x:f>
      </x:c>
      <x:c r="EN27" s="117" t="n">
        <x:f>IF(EN24&gt;0,'Вводные'!$B$83*'Вводные'!$Q$89,0)</x:f>
      </x:c>
      <x:c r="EO27" s="117" t="n">
        <x:f>IF(EO24&gt;0,'Вводные'!$B$83*'Вводные'!$Q$89,0)</x:f>
      </x:c>
      <x:c r="EP27" s="117" t="n">
        <x:f>IF(EP24&gt;0,'Вводные'!$B$83*'Вводные'!$Q$89,0)</x:f>
      </x:c>
      <x:c r="EQ27" s="117" t="n">
        <x:f>IF(EQ24&gt;0,'Вводные'!$B$83*'Вводные'!$Q$89,0)</x:f>
      </x:c>
      <x:c r="ER27" s="117" t="n">
        <x:f>IF(ER24&gt;0,'Вводные'!$B$83*'Вводные'!$Q$89,0)</x:f>
      </x:c>
      <x:c r="ES27" s="117" t="n">
        <x:f>IF(ES24&gt;0,'Вводные'!$B$83*'Вводные'!$Q$89,0)</x:f>
      </x:c>
      <x:c r="ET27" s="117" t="n">
        <x:f>IF(ET24&gt;0,'Вводные'!$B$83*'Вводные'!$Q$89,0)</x:f>
      </x:c>
      <x:c r="EU27" s="117" t="n">
        <x:f>IF(EU24&gt;0,'Вводные'!$B$83*'Вводные'!$Q$89,0)</x:f>
      </x:c>
      <x:c r="EV27" s="117" t="n">
        <x:f>IF(EV24&gt;0,'Вводные'!$B$83*'Вводные'!$Q$89,0)</x:f>
      </x:c>
      <x:c r="EW27" s="117" t="n">
        <x:f>IF(EW24&gt;0,'Вводные'!$B$83*'Вводные'!$Q$89,0)</x:f>
      </x:c>
      <x:c r="EX27" s="117" t="n">
        <x:f>IF(EX24&gt;0,'Вводные'!$B$83*'Вводные'!$Q$89,0)</x:f>
      </x:c>
      <x:c r="EY27" s="117" t="n">
        <x:f>IF(EY24&gt;0,'Вводные'!$B$83*'Вводные'!$Q$89,0)</x:f>
      </x:c>
      <x:c r="EZ27" s="117" t="n">
        <x:f>IF(EZ24&gt;0,'Вводные'!$B$83*'Вводные'!$Q$89,0)</x:f>
      </x:c>
      <x:c r="FA27" s="117" t="n">
        <x:f>IF(FA24&gt;0,'Вводные'!$B$83*'Вводные'!$Q$89,0)</x:f>
      </x:c>
      <x:c r="FB27" s="117" t="n">
        <x:f>IF(FB24&gt;0,'Вводные'!$B$83*'Вводные'!$Q$89,0)</x:f>
      </x:c>
      <x:c r="FC27" s="117" t="n">
        <x:f>IF(FC24&gt;0,'Вводные'!$B$83*'Вводные'!$Q$89,0)</x:f>
      </x:c>
      <x:c r="FD27" s="117" t="n">
        <x:f>IF(FD24&gt;0,'Вводные'!$B$83*'Вводные'!$Q$89,0)</x:f>
      </x:c>
      <x:c r="FE27" s="117" t="n">
        <x:f>IF(FE24&gt;0,'Вводные'!$B$83*'Вводные'!$Q$89,0)</x:f>
      </x:c>
      <x:c r="FF27" s="117" t="n">
        <x:f>IF(FF24&gt;0,'Вводные'!$B$83*'Вводные'!$Q$89,0)</x:f>
      </x:c>
      <x:c r="FG27" s="117" t="n">
        <x:f>IF(FG24&gt;0,'Вводные'!$B$83*'Вводные'!$Q$89,0)</x:f>
      </x:c>
      <x:c r="FH27" s="117" t="n">
        <x:f>IF(FH24&gt;0,'Вводные'!$B$83*'Вводные'!$Q$89,0)</x:f>
      </x:c>
      <x:c r="FI27" s="117" t="n">
        <x:f>IF(FI24&gt;0,'Вводные'!$B$83*'Вводные'!$Q$89,0)</x:f>
      </x:c>
      <x:c r="FJ27" s="117" t="n">
        <x:f>IF(FJ24&gt;0,'Вводные'!$B$83*'Вводные'!$Q$89,0)</x:f>
      </x:c>
      <x:c r="FK27" s="117" t="n">
        <x:f>IF(FK24&gt;0,'Вводные'!$B$83*'Вводные'!$Q$89,0)</x:f>
      </x:c>
      <x:c r="FL27" s="117" t="n">
        <x:f>IF(FL24&gt;0,'Вводные'!$B$83*'Вводные'!$Q$89,0)</x:f>
      </x:c>
      <x:c r="FM27" s="117" t="n">
        <x:f>IF(FM24&gt;0,'Вводные'!$B$83*'Вводные'!$Q$89,0)</x:f>
      </x:c>
      <x:c r="FN27" s="117" t="n">
        <x:f>IF(FN24&gt;0,'Вводные'!$B$83*'Вводные'!$Q$89,0)</x:f>
      </x:c>
      <x:c r="FO27" s="117" t="n">
        <x:f>IF(FO24&gt;0,'Вводные'!$B$83*'Вводные'!$Q$89,0)</x:f>
      </x:c>
      <x:c r="FP27" s="117" t="n">
        <x:f>IF(FP24&gt;0,'Вводные'!$B$83*'Вводные'!$Q$89,0)</x:f>
      </x:c>
      <x:c r="FQ27" s="117" t="n">
        <x:f>IF(FQ24&gt;0,'Вводные'!$B$83*'Вводные'!$Q$89,0)</x:f>
      </x:c>
      <x:c r="FR27" s="117" t="n">
        <x:f>IF(FR24&gt;0,'Вводные'!$B$83*'Вводные'!$Q$89,0)</x:f>
      </x:c>
      <x:c r="FS27" s="117" t="n">
        <x:f>IF(FS24&gt;0,'Вводные'!$B$83*'Вводные'!$Q$89,0)</x:f>
      </x:c>
      <x:c r="FT27" s="117" t="n">
        <x:f>IF(FT24&gt;0,'Вводные'!$B$83*'Вводные'!$Q$89,0)</x:f>
      </x:c>
      <x:c r="FU27" s="117" t="n">
        <x:f>IF(FU24&gt;0,'Вводные'!$B$83*'Вводные'!$Q$89,0)</x:f>
      </x:c>
      <x:c r="FV27" s="117" t="n">
        <x:f>IF(FV24&gt;0,'Вводные'!$B$83*'Вводные'!$Q$89,0)</x:f>
      </x:c>
      <x:c r="FW27" s="117" t="n">
        <x:f>IF(FW24&gt;0,'Вводные'!$B$83*'Вводные'!$Q$89,0)</x:f>
      </x:c>
      <x:c r="FX27" s="117" t="n">
        <x:f>IF(FX24&gt;0,'Вводные'!$B$83*'Вводные'!$Q$89,0)</x:f>
      </x:c>
      <x:c r="FY27" s="117" t="n">
        <x:f>IF(FY24&gt;0,'Вводные'!$B$83*'Вводные'!$Q$89,0)</x:f>
      </x:c>
      <x:c r="FZ27" s="117" t="n">
        <x:f>IF(FZ24&gt;0,'Вводные'!$B$83*'Вводные'!$Q$89,0)</x:f>
      </x:c>
      <x:c r="GA27" s="117" t="n">
        <x:f>IF(GA24&gt;0,'Вводные'!$B$83*'Вводные'!$Q$89,0)</x:f>
      </x:c>
    </x:row>
    <x:row r="28">
      <x:c r="A28" s="113" t="str">
        <x:v>ДЕНЕЖНЫЙ ПЛАТЁЖ ПО ВРИ</x:v>
      </x:c>
      <x:c r="B28" s="113" t="n">
        <x:f>SUM(D28:GA28)</x:f>
      </x:c>
      <x:c r="C28" s="113" t="str">
        <x:v>млн ₽</x:v>
      </x:c>
      <x:c r="D28" s="120" t="n">
        <x:f>SUM(D25:D27)</x:f>
      </x:c>
      <x:c r="E28" s="120" t="n">
        <x:f>SUM(E25:E27)</x:f>
      </x:c>
      <x:c r="F28" s="120" t="n">
        <x:f>SUM(F25:F27)</x:f>
      </x:c>
      <x:c r="G28" s="120" t="n">
        <x:f>SUM(G25:G27)</x:f>
      </x:c>
      <x:c r="H28" s="120" t="n">
        <x:f>SUM(H25:H27)</x:f>
      </x:c>
      <x:c r="I28" s="120" t="n">
        <x:f>SUM(I25:I27)</x:f>
      </x:c>
      <x:c r="J28" s="120" t="n">
        <x:f>SUM(J25:J27)</x:f>
      </x:c>
      <x:c r="K28" s="120" t="n">
        <x:f>SUM(K25:K27)</x:f>
      </x:c>
      <x:c r="L28" s="120" t="n">
        <x:f>SUM(L25:L27)</x:f>
      </x:c>
      <x:c r="M28" s="120" t="n">
        <x:f>SUM(M25:M27)</x:f>
      </x:c>
      <x:c r="N28" s="120" t="n">
        <x:f>SUM(N25:N27)</x:f>
      </x:c>
      <x:c r="O28" s="120" t="n">
        <x:f>SUM(O25:O27)</x:f>
      </x:c>
      <x:c r="P28" s="120" t="n">
        <x:f>SUM(P25:P27)</x:f>
      </x:c>
      <x:c r="Q28" s="120" t="n">
        <x:f>SUM(Q25:Q27)</x:f>
      </x:c>
      <x:c r="R28" s="120" t="n">
        <x:f>SUM(R25:R27)</x:f>
      </x:c>
      <x:c r="S28" s="120" t="n">
        <x:f>SUM(S25:S27)</x:f>
      </x:c>
      <x:c r="T28" s="120" t="n">
        <x:f>SUM(T25:T27)</x:f>
      </x:c>
      <x:c r="U28" s="120" t="n">
        <x:f>SUM(U25:U27)</x:f>
      </x:c>
      <x:c r="V28" s="120" t="n">
        <x:f>SUM(V25:V27)</x:f>
      </x:c>
      <x:c r="W28" s="120" t="n">
        <x:f>SUM(W25:W27)</x:f>
      </x:c>
      <x:c r="X28" s="120" t="n">
        <x:f>SUM(X25:X27)</x:f>
      </x:c>
      <x:c r="Y28" s="120" t="n">
        <x:f>SUM(Y25:Y27)</x:f>
      </x:c>
      <x:c r="Z28" s="120" t="n">
        <x:f>SUM(Z25:Z27)</x:f>
      </x:c>
      <x:c r="AA28" s="120" t="n">
        <x:f>SUM(AA25:AA27)</x:f>
      </x:c>
      <x:c r="AB28" s="120" t="n">
        <x:f>SUM(AB25:AB27)</x:f>
      </x:c>
      <x:c r="AC28" s="120" t="n">
        <x:f>SUM(AC25:AC27)</x:f>
      </x:c>
      <x:c r="AD28" s="120" t="n">
        <x:f>SUM(AD25:AD27)</x:f>
      </x:c>
      <x:c r="AE28" s="120" t="n">
        <x:f>SUM(AE25:AE27)</x:f>
      </x:c>
      <x:c r="AF28" s="120" t="n">
        <x:f>SUM(AF25:AF27)</x:f>
      </x:c>
      <x:c r="AG28" s="120" t="n">
        <x:f>SUM(AG25:AG27)</x:f>
      </x:c>
      <x:c r="AH28" s="120" t="n">
        <x:f>SUM(AH25:AH27)</x:f>
      </x:c>
      <x:c r="AI28" s="120" t="n">
        <x:f>SUM(AI25:AI27)</x:f>
      </x:c>
      <x:c r="AJ28" s="120" t="n">
        <x:f>SUM(AJ25:AJ27)</x:f>
      </x:c>
      <x:c r="AK28" s="120" t="n">
        <x:f>SUM(AK25:AK27)</x:f>
      </x:c>
      <x:c r="AL28" s="120" t="n">
        <x:f>SUM(AL25:AL27)</x:f>
      </x:c>
      <x:c r="AM28" s="120" t="n">
        <x:f>SUM(AM25:AM27)</x:f>
      </x:c>
      <x:c r="AN28" s="120" t="n">
        <x:f>SUM(AN25:AN27)</x:f>
      </x:c>
      <x:c r="AO28" s="120" t="n">
        <x:f>SUM(AO25:AO27)</x:f>
      </x:c>
      <x:c r="AP28" s="120" t="n">
        <x:f>SUM(AP25:AP27)</x:f>
      </x:c>
      <x:c r="AQ28" s="120" t="n">
        <x:f>SUM(AQ25:AQ27)</x:f>
      </x:c>
      <x:c r="AR28" s="120" t="n">
        <x:f>SUM(AR25:AR27)</x:f>
      </x:c>
      <x:c r="AS28" s="120" t="n">
        <x:f>SUM(AS25:AS27)</x:f>
      </x:c>
      <x:c r="AT28" s="120" t="n">
        <x:f>SUM(AT25:AT27)</x:f>
      </x:c>
      <x:c r="AU28" s="120" t="n">
        <x:f>SUM(AU25:AU27)</x:f>
      </x:c>
      <x:c r="AV28" s="120" t="n">
        <x:f>SUM(AV25:AV27)</x:f>
      </x:c>
      <x:c r="AW28" s="120" t="n">
        <x:f>SUM(AW25:AW27)</x:f>
      </x:c>
      <x:c r="AX28" s="120" t="n">
        <x:f>SUM(AX25:AX27)</x:f>
      </x:c>
      <x:c r="AY28" s="120" t="n">
        <x:f>SUM(AY25:AY27)</x:f>
      </x:c>
      <x:c r="AZ28" s="120" t="n">
        <x:f>SUM(AZ25:AZ27)</x:f>
      </x:c>
      <x:c r="BA28" s="120" t="n">
        <x:f>SUM(BA25:BA27)</x:f>
      </x:c>
      <x:c r="BB28" s="120" t="n">
        <x:f>SUM(BB25:BB27)</x:f>
      </x:c>
      <x:c r="BC28" s="120" t="n">
        <x:f>SUM(BC25:BC27)</x:f>
      </x:c>
      <x:c r="BD28" s="120" t="n">
        <x:f>SUM(BD25:BD27)</x:f>
      </x:c>
      <x:c r="BE28" s="120" t="n">
        <x:f>SUM(BE25:BE27)</x:f>
      </x:c>
      <x:c r="BF28" s="120" t="n">
        <x:f>SUM(BF25:BF27)</x:f>
      </x:c>
      <x:c r="BG28" s="120" t="n">
        <x:f>SUM(BG25:BG27)</x:f>
      </x:c>
      <x:c r="BH28" s="120" t="n">
        <x:f>SUM(BH25:BH27)</x:f>
      </x:c>
      <x:c r="BI28" s="120" t="n">
        <x:f>SUM(BI25:BI27)</x:f>
      </x:c>
      <x:c r="BJ28" s="120" t="n">
        <x:f>SUM(BJ25:BJ27)</x:f>
      </x:c>
      <x:c r="BK28" s="120" t="n">
        <x:f>SUM(BK25:BK27)</x:f>
      </x:c>
      <x:c r="BL28" s="120" t="n">
        <x:f>SUM(BL25:BL27)</x:f>
      </x:c>
      <x:c r="BM28" s="120" t="n">
        <x:f>SUM(BM25:BM27)</x:f>
      </x:c>
      <x:c r="BN28" s="120" t="n">
        <x:f>SUM(BN25:BN27)</x:f>
      </x:c>
      <x:c r="BO28" s="120" t="n">
        <x:f>SUM(BO25:BO27)</x:f>
      </x:c>
      <x:c r="BP28" s="120" t="n">
        <x:f>SUM(BP25:BP27)</x:f>
      </x:c>
      <x:c r="BQ28" s="120" t="n">
        <x:f>SUM(BQ25:BQ27)</x:f>
      </x:c>
      <x:c r="BR28" s="120" t="n">
        <x:f>SUM(BR25:BR27)</x:f>
      </x:c>
      <x:c r="BS28" s="120" t="n">
        <x:f>SUM(BS25:BS27)</x:f>
      </x:c>
      <x:c r="BT28" s="120" t="n">
        <x:f>SUM(BT25:BT27)</x:f>
      </x:c>
      <x:c r="BU28" s="120" t="n">
        <x:f>SUM(BU25:BU27)</x:f>
      </x:c>
      <x:c r="BV28" s="120" t="n">
        <x:f>SUM(BV25:BV27)</x:f>
      </x:c>
      <x:c r="BW28" s="120" t="n">
        <x:f>SUM(BW25:BW27)</x:f>
      </x:c>
      <x:c r="BX28" s="120" t="n">
        <x:f>SUM(BX25:BX27)</x:f>
      </x:c>
      <x:c r="BY28" s="120" t="n">
        <x:f>SUM(BY25:BY27)</x:f>
      </x:c>
      <x:c r="BZ28" s="120" t="n">
        <x:f>SUM(BZ25:BZ27)</x:f>
      </x:c>
      <x:c r="CA28" s="120" t="n">
        <x:f>SUM(CA25:CA27)</x:f>
      </x:c>
      <x:c r="CB28" s="120" t="n">
        <x:f>SUM(CB25:CB27)</x:f>
      </x:c>
      <x:c r="CC28" s="120" t="n">
        <x:f>SUM(CC25:CC27)</x:f>
      </x:c>
      <x:c r="CD28" s="120" t="n">
        <x:f>SUM(CD25:CD27)</x:f>
      </x:c>
      <x:c r="CE28" s="120" t="n">
        <x:f>SUM(CE25:CE27)</x:f>
      </x:c>
      <x:c r="CF28" s="120" t="n">
        <x:f>SUM(CF25:CF27)</x:f>
      </x:c>
      <x:c r="CG28" s="120" t="n">
        <x:f>SUM(CG25:CG27)</x:f>
      </x:c>
      <x:c r="CH28" s="120" t="n">
        <x:f>SUM(CH25:CH27)</x:f>
      </x:c>
      <x:c r="CI28" s="120" t="n">
        <x:f>SUM(CI25:CI27)</x:f>
      </x:c>
      <x:c r="CJ28" s="120" t="n">
        <x:f>SUM(CJ25:CJ27)</x:f>
      </x:c>
      <x:c r="CK28" s="120" t="n">
        <x:f>SUM(CK25:CK27)</x:f>
      </x:c>
      <x:c r="CL28" s="120" t="n">
        <x:f>SUM(CL25:CL27)</x:f>
      </x:c>
      <x:c r="CM28" s="120" t="n">
        <x:f>SUM(CM25:CM27)</x:f>
      </x:c>
      <x:c r="CN28" s="120" t="n">
        <x:f>SUM(CN25:CN27)</x:f>
      </x:c>
      <x:c r="CO28" s="120" t="n">
        <x:f>SUM(CO25:CO27)</x:f>
      </x:c>
      <x:c r="CP28" s="120" t="n">
        <x:f>SUM(CP25:CP27)</x:f>
      </x:c>
      <x:c r="CQ28" s="120" t="n">
        <x:f>SUM(CQ25:CQ27)</x:f>
      </x:c>
      <x:c r="CR28" s="120" t="n">
        <x:f>SUM(CR25:CR27)</x:f>
      </x:c>
      <x:c r="CS28" s="120" t="n">
        <x:f>SUM(CS25:CS27)</x:f>
      </x:c>
      <x:c r="CT28" s="120" t="n">
        <x:f>SUM(CT25:CT27)</x:f>
      </x:c>
      <x:c r="CU28" s="120" t="n">
        <x:f>SUM(CU25:CU27)</x:f>
      </x:c>
      <x:c r="CV28" s="120" t="n">
        <x:f>SUM(CV25:CV27)</x:f>
      </x:c>
      <x:c r="CW28" s="120" t="n">
        <x:f>SUM(CW25:CW27)</x:f>
      </x:c>
      <x:c r="CX28" s="120" t="n">
        <x:f>SUM(CX25:CX27)</x:f>
      </x:c>
      <x:c r="CY28" s="120" t="n">
        <x:f>SUM(CY25:CY27)</x:f>
      </x:c>
      <x:c r="CZ28" s="120" t="n">
        <x:f>SUM(CZ25:CZ27)</x:f>
      </x:c>
      <x:c r="DA28" s="120" t="n">
        <x:f>SUM(DA25:DA27)</x:f>
      </x:c>
      <x:c r="DB28" s="120" t="n">
        <x:f>SUM(DB25:DB27)</x:f>
      </x:c>
      <x:c r="DC28" s="120" t="n">
        <x:f>SUM(DC25:DC27)</x:f>
      </x:c>
      <x:c r="DD28" s="120" t="n">
        <x:f>SUM(DD25:DD27)</x:f>
      </x:c>
      <x:c r="DE28" s="120" t="n">
        <x:f>SUM(DE25:DE27)</x:f>
      </x:c>
      <x:c r="DF28" s="120" t="n">
        <x:f>SUM(DF25:DF27)</x:f>
      </x:c>
      <x:c r="DG28" s="120" t="n">
        <x:f>SUM(DG25:DG27)</x:f>
      </x:c>
      <x:c r="DH28" s="120" t="n">
        <x:f>SUM(DH25:DH27)</x:f>
      </x:c>
      <x:c r="DI28" s="120" t="n">
        <x:f>SUM(DI25:DI27)</x:f>
      </x:c>
      <x:c r="DJ28" s="120" t="n">
        <x:f>SUM(DJ25:DJ27)</x:f>
      </x:c>
      <x:c r="DK28" s="120" t="n">
        <x:f>SUM(DK25:DK27)</x:f>
      </x:c>
      <x:c r="DL28" s="120" t="n">
        <x:f>SUM(DL25:DL27)</x:f>
      </x:c>
      <x:c r="DM28" s="120" t="n">
        <x:f>SUM(DM25:DM27)</x:f>
      </x:c>
      <x:c r="DN28" s="120" t="n">
        <x:f>SUM(DN25:DN27)</x:f>
      </x:c>
      <x:c r="DO28" s="120" t="n">
        <x:f>SUM(DO25:DO27)</x:f>
      </x:c>
      <x:c r="DP28" s="120" t="n">
        <x:f>SUM(DP25:DP27)</x:f>
      </x:c>
      <x:c r="DQ28" s="120" t="n">
        <x:f>SUM(DQ25:DQ27)</x:f>
      </x:c>
      <x:c r="DR28" s="120" t="n">
        <x:f>SUM(DR25:DR27)</x:f>
      </x:c>
      <x:c r="DS28" s="120" t="n">
        <x:f>SUM(DS25:DS27)</x:f>
      </x:c>
      <x:c r="DT28" s="120" t="n">
        <x:f>SUM(DT25:DT27)</x:f>
      </x:c>
      <x:c r="DU28" s="120" t="n">
        <x:f>SUM(DU25:DU27)</x:f>
      </x:c>
      <x:c r="DV28" s="120" t="n">
        <x:f>SUM(DV25:DV27)</x:f>
      </x:c>
      <x:c r="DW28" s="120" t="n">
        <x:f>SUM(DW25:DW27)</x:f>
      </x:c>
      <x:c r="DX28" s="120" t="n">
        <x:f>SUM(DX25:DX27)</x:f>
      </x:c>
      <x:c r="DY28" s="120" t="n">
        <x:f>SUM(DY25:DY27)</x:f>
      </x:c>
      <x:c r="DZ28" s="120" t="n">
        <x:f>SUM(DZ25:DZ27)</x:f>
      </x:c>
      <x:c r="EA28" s="120" t="n">
        <x:f>SUM(EA25:EA27)</x:f>
      </x:c>
      <x:c r="EB28" s="120" t="n">
        <x:f>SUM(EB25:EB27)</x:f>
      </x:c>
      <x:c r="EC28" s="120" t="n">
        <x:f>SUM(EC25:EC27)</x:f>
      </x:c>
      <x:c r="ED28" s="120" t="n">
        <x:f>SUM(ED25:ED27)</x:f>
      </x:c>
      <x:c r="EE28" s="120" t="n">
        <x:f>SUM(EE25:EE27)</x:f>
      </x:c>
      <x:c r="EF28" s="120" t="n">
        <x:f>SUM(EF25:EF27)</x:f>
      </x:c>
      <x:c r="EG28" s="120" t="n">
        <x:f>SUM(EG25:EG27)</x:f>
      </x:c>
      <x:c r="EH28" s="120" t="n">
        <x:f>SUM(EH25:EH27)</x:f>
      </x:c>
      <x:c r="EI28" s="120" t="n">
        <x:f>SUM(EI25:EI27)</x:f>
      </x:c>
      <x:c r="EJ28" s="120" t="n">
        <x:f>SUM(EJ25:EJ27)</x:f>
      </x:c>
      <x:c r="EK28" s="120" t="n">
        <x:f>SUM(EK25:EK27)</x:f>
      </x:c>
      <x:c r="EL28" s="120" t="n">
        <x:f>SUM(EL25:EL27)</x:f>
      </x:c>
      <x:c r="EM28" s="120" t="n">
        <x:f>SUM(EM25:EM27)</x:f>
      </x:c>
      <x:c r="EN28" s="120" t="n">
        <x:f>SUM(EN25:EN27)</x:f>
      </x:c>
      <x:c r="EO28" s="120" t="n">
        <x:f>SUM(EO25:EO27)</x:f>
      </x:c>
      <x:c r="EP28" s="120" t="n">
        <x:f>SUM(EP25:EP27)</x:f>
      </x:c>
      <x:c r="EQ28" s="120" t="n">
        <x:f>SUM(EQ25:EQ27)</x:f>
      </x:c>
      <x:c r="ER28" s="120" t="n">
        <x:f>SUM(ER25:ER27)</x:f>
      </x:c>
      <x:c r="ES28" s="120" t="n">
        <x:f>SUM(ES25:ES27)</x:f>
      </x:c>
      <x:c r="ET28" s="120" t="n">
        <x:f>SUM(ET25:ET27)</x:f>
      </x:c>
      <x:c r="EU28" s="120" t="n">
        <x:f>SUM(EU25:EU27)</x:f>
      </x:c>
      <x:c r="EV28" s="120" t="n">
        <x:f>SUM(EV25:EV27)</x:f>
      </x:c>
      <x:c r="EW28" s="120" t="n">
        <x:f>SUM(EW25:EW27)</x:f>
      </x:c>
      <x:c r="EX28" s="120" t="n">
        <x:f>SUM(EX25:EX27)</x:f>
      </x:c>
      <x:c r="EY28" s="120" t="n">
        <x:f>SUM(EY25:EY27)</x:f>
      </x:c>
      <x:c r="EZ28" s="120" t="n">
        <x:f>SUM(EZ25:EZ27)</x:f>
      </x:c>
      <x:c r="FA28" s="120" t="n">
        <x:f>SUM(FA25:FA27)</x:f>
      </x:c>
      <x:c r="FB28" s="120" t="n">
        <x:f>SUM(FB25:FB27)</x:f>
      </x:c>
      <x:c r="FC28" s="120" t="n">
        <x:f>SUM(FC25:FC27)</x:f>
      </x:c>
      <x:c r="FD28" s="120" t="n">
        <x:f>SUM(FD25:FD27)</x:f>
      </x:c>
      <x:c r="FE28" s="120" t="n">
        <x:f>SUM(FE25:FE27)</x:f>
      </x:c>
      <x:c r="FF28" s="120" t="n">
        <x:f>SUM(FF25:FF27)</x:f>
      </x:c>
      <x:c r="FG28" s="120" t="n">
        <x:f>SUM(FG25:FG27)</x:f>
      </x:c>
      <x:c r="FH28" s="120" t="n">
        <x:f>SUM(FH25:FH27)</x:f>
      </x:c>
      <x:c r="FI28" s="120" t="n">
        <x:f>SUM(FI25:FI27)</x:f>
      </x:c>
      <x:c r="FJ28" s="120" t="n">
        <x:f>SUM(FJ25:FJ27)</x:f>
      </x:c>
      <x:c r="FK28" s="120" t="n">
        <x:f>SUM(FK25:FK27)</x:f>
      </x:c>
      <x:c r="FL28" s="120" t="n">
        <x:f>SUM(FL25:FL27)</x:f>
      </x:c>
      <x:c r="FM28" s="120" t="n">
        <x:f>SUM(FM25:FM27)</x:f>
      </x:c>
      <x:c r="FN28" s="120" t="n">
        <x:f>SUM(FN25:FN27)</x:f>
      </x:c>
      <x:c r="FO28" s="120" t="n">
        <x:f>SUM(FO25:FO27)</x:f>
      </x:c>
      <x:c r="FP28" s="120" t="n">
        <x:f>SUM(FP25:FP27)</x:f>
      </x:c>
      <x:c r="FQ28" s="120" t="n">
        <x:f>SUM(FQ25:FQ27)</x:f>
      </x:c>
      <x:c r="FR28" s="120" t="n">
        <x:f>SUM(FR25:FR27)</x:f>
      </x:c>
      <x:c r="FS28" s="120" t="n">
        <x:f>SUM(FS25:FS27)</x:f>
      </x:c>
      <x:c r="FT28" s="120" t="n">
        <x:f>SUM(FT25:FT27)</x:f>
      </x:c>
      <x:c r="FU28" s="120" t="n">
        <x:f>SUM(FU25:FU27)</x:f>
      </x:c>
      <x:c r="FV28" s="120" t="n">
        <x:f>SUM(FV25:FV27)</x:f>
      </x:c>
      <x:c r="FW28" s="120" t="n">
        <x:f>SUM(FW25:FW27)</x:f>
      </x:c>
      <x:c r="FX28" s="120" t="n">
        <x:f>SUM(FX25:FX27)</x:f>
      </x:c>
      <x:c r="FY28" s="120" t="n">
        <x:f>SUM(FY25:FY27)</x:f>
      </x:c>
      <x:c r="FZ28" s="120" t="n">
        <x:f>SUM(FZ25:FZ27)</x:f>
      </x:c>
      <x:c r="GA28" s="120" t="n">
        <x:f>SUM(GA25:GA27)</x:f>
      </x:c>
    </x:row>
    <x:row r="29">
      <x:c r="A29" t="str">
        <x:v>Остаток на конец</x:v>
      </x:c>
      <x:c r="B29" s="107" t="n">
        <x:f>GA29</x:f>
      </x:c>
      <x:c r="C29" t="str">
        <x:v>млн ₽</x:v>
      </x:c>
      <x:c r="D29" s="117" t="n">
        <x:f>MAX(0,D23+D24-D25)</x:f>
      </x:c>
      <x:c r="E29" s="117" t="n">
        <x:f>MAX(0,E23+E24-E25)</x:f>
      </x:c>
      <x:c r="F29" s="117" t="n">
        <x:f>MAX(0,F23+F24-F25)</x:f>
      </x:c>
      <x:c r="G29" s="117" t="n">
        <x:f>MAX(0,G23+G24-G25)</x:f>
      </x:c>
      <x:c r="H29" s="117" t="n">
        <x:f>MAX(0,H23+H24-H25)</x:f>
      </x:c>
      <x:c r="I29" s="117" t="n">
        <x:f>MAX(0,I23+I24-I25)</x:f>
      </x:c>
      <x:c r="J29" s="117" t="n">
        <x:f>MAX(0,J23+J24-J25)</x:f>
      </x:c>
      <x:c r="K29" s="117" t="n">
        <x:f>MAX(0,K23+K24-K25)</x:f>
      </x:c>
      <x:c r="L29" s="117" t="n">
        <x:f>MAX(0,L23+L24-L25)</x:f>
      </x:c>
      <x:c r="M29" s="117" t="n">
        <x:f>MAX(0,M23+M24-M25)</x:f>
      </x:c>
      <x:c r="N29" s="117" t="n">
        <x:f>MAX(0,N23+N24-N25)</x:f>
      </x:c>
      <x:c r="O29" s="117" t="n">
        <x:f>MAX(0,O23+O24-O25)</x:f>
      </x:c>
      <x:c r="P29" s="117" t="n">
        <x:f>MAX(0,P23+P24-P25)</x:f>
      </x:c>
      <x:c r="Q29" s="117" t="n">
        <x:f>MAX(0,Q23+Q24-Q25)</x:f>
      </x:c>
      <x:c r="R29" s="117" t="n">
        <x:f>MAX(0,R23+R24-R25)</x:f>
      </x:c>
      <x:c r="S29" s="117" t="n">
        <x:f>MAX(0,S23+S24-S25)</x:f>
      </x:c>
      <x:c r="T29" s="117" t="n">
        <x:f>MAX(0,T23+T24-T25)</x:f>
      </x:c>
      <x:c r="U29" s="117" t="n">
        <x:f>MAX(0,U23+U24-U25)</x:f>
      </x:c>
      <x:c r="V29" s="117" t="n">
        <x:f>MAX(0,V23+V24-V25)</x:f>
      </x:c>
      <x:c r="W29" s="117" t="n">
        <x:f>MAX(0,W23+W24-W25)</x:f>
      </x:c>
      <x:c r="X29" s="117" t="n">
        <x:f>MAX(0,X23+X24-X25)</x:f>
      </x:c>
      <x:c r="Y29" s="117" t="n">
        <x:f>MAX(0,Y23+Y24-Y25)</x:f>
      </x:c>
      <x:c r="Z29" s="117" t="n">
        <x:f>MAX(0,Z23+Z24-Z25)</x:f>
      </x:c>
      <x:c r="AA29" s="117" t="n">
        <x:f>MAX(0,AA23+AA24-AA25)</x:f>
      </x:c>
      <x:c r="AB29" s="117" t="n">
        <x:f>MAX(0,AB23+AB24-AB25)</x:f>
      </x:c>
      <x:c r="AC29" s="117" t="n">
        <x:f>MAX(0,AC23+AC24-AC25)</x:f>
      </x:c>
      <x:c r="AD29" s="117" t="n">
        <x:f>MAX(0,AD23+AD24-AD25)</x:f>
      </x:c>
      <x:c r="AE29" s="117" t="n">
        <x:f>MAX(0,AE23+AE24-AE25)</x:f>
      </x:c>
      <x:c r="AF29" s="117" t="n">
        <x:f>MAX(0,AF23+AF24-AF25)</x:f>
      </x:c>
      <x:c r="AG29" s="117" t="n">
        <x:f>MAX(0,AG23+AG24-AG25)</x:f>
      </x:c>
      <x:c r="AH29" s="117" t="n">
        <x:f>MAX(0,AH23+AH24-AH25)</x:f>
      </x:c>
      <x:c r="AI29" s="117" t="n">
        <x:f>MAX(0,AI23+AI24-AI25)</x:f>
      </x:c>
      <x:c r="AJ29" s="117" t="n">
        <x:f>MAX(0,AJ23+AJ24-AJ25)</x:f>
      </x:c>
      <x:c r="AK29" s="117" t="n">
        <x:f>MAX(0,AK23+AK24-AK25)</x:f>
      </x:c>
      <x:c r="AL29" s="117" t="n">
        <x:f>MAX(0,AL23+AL24-AL25)</x:f>
      </x:c>
      <x:c r="AM29" s="117" t="n">
        <x:f>MAX(0,AM23+AM24-AM25)</x:f>
      </x:c>
      <x:c r="AN29" s="117" t="n">
        <x:f>MAX(0,AN23+AN24-AN25)</x:f>
      </x:c>
      <x:c r="AO29" s="117" t="n">
        <x:f>MAX(0,AO23+AO24-AO25)</x:f>
      </x:c>
      <x:c r="AP29" s="117" t="n">
        <x:f>MAX(0,AP23+AP24-AP25)</x:f>
      </x:c>
      <x:c r="AQ29" s="117" t="n">
        <x:f>MAX(0,AQ23+AQ24-AQ25)</x:f>
      </x:c>
      <x:c r="AR29" s="117" t="n">
        <x:f>MAX(0,AR23+AR24-AR25)</x:f>
      </x:c>
      <x:c r="AS29" s="117" t="n">
        <x:f>MAX(0,AS23+AS24-AS25)</x:f>
      </x:c>
      <x:c r="AT29" s="117" t="n">
        <x:f>MAX(0,AT23+AT24-AT25)</x:f>
      </x:c>
      <x:c r="AU29" s="117" t="n">
        <x:f>MAX(0,AU23+AU24-AU25)</x:f>
      </x:c>
      <x:c r="AV29" s="117" t="n">
        <x:f>MAX(0,AV23+AV24-AV25)</x:f>
      </x:c>
      <x:c r="AW29" s="117" t="n">
        <x:f>MAX(0,AW23+AW24-AW25)</x:f>
      </x:c>
      <x:c r="AX29" s="117" t="n">
        <x:f>MAX(0,AX23+AX24-AX25)</x:f>
      </x:c>
      <x:c r="AY29" s="117" t="n">
        <x:f>MAX(0,AY23+AY24-AY25)</x:f>
      </x:c>
      <x:c r="AZ29" s="117" t="n">
        <x:f>MAX(0,AZ23+AZ24-AZ25)</x:f>
      </x:c>
      <x:c r="BA29" s="117" t="n">
        <x:f>MAX(0,BA23+BA24-BA25)</x:f>
      </x:c>
      <x:c r="BB29" s="117" t="n">
        <x:f>MAX(0,BB23+BB24-BB25)</x:f>
      </x:c>
      <x:c r="BC29" s="117" t="n">
        <x:f>MAX(0,BC23+BC24-BC25)</x:f>
      </x:c>
      <x:c r="BD29" s="117" t="n">
        <x:f>MAX(0,BD23+BD24-BD25)</x:f>
      </x:c>
      <x:c r="BE29" s="117" t="n">
        <x:f>MAX(0,BE23+BE24-BE25)</x:f>
      </x:c>
      <x:c r="BF29" s="117" t="n">
        <x:f>MAX(0,BF23+BF24-BF25)</x:f>
      </x:c>
      <x:c r="BG29" s="117" t="n">
        <x:f>MAX(0,BG23+BG24-BG25)</x:f>
      </x:c>
      <x:c r="BH29" s="117" t="n">
        <x:f>MAX(0,BH23+BH24-BH25)</x:f>
      </x:c>
      <x:c r="BI29" s="117" t="n">
        <x:f>MAX(0,BI23+BI24-BI25)</x:f>
      </x:c>
      <x:c r="BJ29" s="117" t="n">
        <x:f>MAX(0,BJ23+BJ24-BJ25)</x:f>
      </x:c>
      <x:c r="BK29" s="117" t="n">
        <x:f>MAX(0,BK23+BK24-BK25)</x:f>
      </x:c>
      <x:c r="BL29" s="117" t="n">
        <x:f>MAX(0,BL23+BL24-BL25)</x:f>
      </x:c>
      <x:c r="BM29" s="117" t="n">
        <x:f>MAX(0,BM23+BM24-BM25)</x:f>
      </x:c>
      <x:c r="BN29" s="117" t="n">
        <x:f>MAX(0,BN23+BN24-BN25)</x:f>
      </x:c>
      <x:c r="BO29" s="117" t="n">
        <x:f>MAX(0,BO23+BO24-BO25)</x:f>
      </x:c>
      <x:c r="BP29" s="117" t="n">
        <x:f>MAX(0,BP23+BP24-BP25)</x:f>
      </x:c>
      <x:c r="BQ29" s="117" t="n">
        <x:f>MAX(0,BQ23+BQ24-BQ25)</x:f>
      </x:c>
      <x:c r="BR29" s="117" t="n">
        <x:f>MAX(0,BR23+BR24-BR25)</x:f>
      </x:c>
      <x:c r="BS29" s="117" t="n">
        <x:f>MAX(0,BS23+BS24-BS25)</x:f>
      </x:c>
      <x:c r="BT29" s="117" t="n">
        <x:f>MAX(0,BT23+BT24-BT25)</x:f>
      </x:c>
      <x:c r="BU29" s="117" t="n">
        <x:f>MAX(0,BU23+BU24-BU25)</x:f>
      </x:c>
      <x:c r="BV29" s="117" t="n">
        <x:f>MAX(0,BV23+BV24-BV25)</x:f>
      </x:c>
      <x:c r="BW29" s="117" t="n">
        <x:f>MAX(0,BW23+BW24-BW25)</x:f>
      </x:c>
      <x:c r="BX29" s="117" t="n">
        <x:f>MAX(0,BX23+BX24-BX25)</x:f>
      </x:c>
      <x:c r="BY29" s="117" t="n">
        <x:f>MAX(0,BY23+BY24-BY25)</x:f>
      </x:c>
      <x:c r="BZ29" s="117" t="n">
        <x:f>MAX(0,BZ23+BZ24-BZ25)</x:f>
      </x:c>
      <x:c r="CA29" s="117" t="n">
        <x:f>MAX(0,CA23+CA24-CA25)</x:f>
      </x:c>
      <x:c r="CB29" s="117" t="n">
        <x:f>MAX(0,CB23+CB24-CB25)</x:f>
      </x:c>
      <x:c r="CC29" s="117" t="n">
        <x:f>MAX(0,CC23+CC24-CC25)</x:f>
      </x:c>
      <x:c r="CD29" s="117" t="n">
        <x:f>MAX(0,CD23+CD24-CD25)</x:f>
      </x:c>
      <x:c r="CE29" s="117" t="n">
        <x:f>MAX(0,CE23+CE24-CE25)</x:f>
      </x:c>
      <x:c r="CF29" s="117" t="n">
        <x:f>MAX(0,CF23+CF24-CF25)</x:f>
      </x:c>
      <x:c r="CG29" s="117" t="n">
        <x:f>MAX(0,CG23+CG24-CG25)</x:f>
      </x:c>
      <x:c r="CH29" s="117" t="n">
        <x:f>MAX(0,CH23+CH24-CH25)</x:f>
      </x:c>
      <x:c r="CI29" s="117" t="n">
        <x:f>MAX(0,CI23+CI24-CI25)</x:f>
      </x:c>
      <x:c r="CJ29" s="117" t="n">
        <x:f>MAX(0,CJ23+CJ24-CJ25)</x:f>
      </x:c>
      <x:c r="CK29" s="117" t="n">
        <x:f>MAX(0,CK23+CK24-CK25)</x:f>
      </x:c>
      <x:c r="CL29" s="117" t="n">
        <x:f>MAX(0,CL23+CL24-CL25)</x:f>
      </x:c>
      <x:c r="CM29" s="117" t="n">
        <x:f>MAX(0,CM23+CM24-CM25)</x:f>
      </x:c>
      <x:c r="CN29" s="117" t="n">
        <x:f>MAX(0,CN23+CN24-CN25)</x:f>
      </x:c>
      <x:c r="CO29" s="117" t="n">
        <x:f>MAX(0,CO23+CO24-CO25)</x:f>
      </x:c>
      <x:c r="CP29" s="117" t="n">
        <x:f>MAX(0,CP23+CP24-CP25)</x:f>
      </x:c>
      <x:c r="CQ29" s="117" t="n">
        <x:f>MAX(0,CQ23+CQ24-CQ25)</x:f>
      </x:c>
      <x:c r="CR29" s="117" t="n">
        <x:f>MAX(0,CR23+CR24-CR25)</x:f>
      </x:c>
      <x:c r="CS29" s="117" t="n">
        <x:f>MAX(0,CS23+CS24-CS25)</x:f>
      </x:c>
      <x:c r="CT29" s="117" t="n">
        <x:f>MAX(0,CT23+CT24-CT25)</x:f>
      </x:c>
      <x:c r="CU29" s="117" t="n">
        <x:f>MAX(0,CU23+CU24-CU25)</x:f>
      </x:c>
      <x:c r="CV29" s="117" t="n">
        <x:f>MAX(0,CV23+CV24-CV25)</x:f>
      </x:c>
      <x:c r="CW29" s="117" t="n">
        <x:f>MAX(0,CW23+CW24-CW25)</x:f>
      </x:c>
      <x:c r="CX29" s="117" t="n">
        <x:f>MAX(0,CX23+CX24-CX25)</x:f>
      </x:c>
      <x:c r="CY29" s="117" t="n">
        <x:f>MAX(0,CY23+CY24-CY25)</x:f>
      </x:c>
      <x:c r="CZ29" s="117" t="n">
        <x:f>MAX(0,CZ23+CZ24-CZ25)</x:f>
      </x:c>
      <x:c r="DA29" s="117" t="n">
        <x:f>MAX(0,DA23+DA24-DA25)</x:f>
      </x:c>
      <x:c r="DB29" s="117" t="n">
        <x:f>MAX(0,DB23+DB24-DB25)</x:f>
      </x:c>
      <x:c r="DC29" s="117" t="n">
        <x:f>MAX(0,DC23+DC24-DC25)</x:f>
      </x:c>
      <x:c r="DD29" s="117" t="n">
        <x:f>MAX(0,DD23+DD24-DD25)</x:f>
      </x:c>
      <x:c r="DE29" s="117" t="n">
        <x:f>MAX(0,DE23+DE24-DE25)</x:f>
      </x:c>
      <x:c r="DF29" s="117" t="n">
        <x:f>MAX(0,DF23+DF24-DF25)</x:f>
      </x:c>
      <x:c r="DG29" s="117" t="n">
        <x:f>MAX(0,DG23+DG24-DG25)</x:f>
      </x:c>
      <x:c r="DH29" s="117" t="n">
        <x:f>MAX(0,DH23+DH24-DH25)</x:f>
      </x:c>
      <x:c r="DI29" s="117" t="n">
        <x:f>MAX(0,DI23+DI24-DI25)</x:f>
      </x:c>
      <x:c r="DJ29" s="117" t="n">
        <x:f>MAX(0,DJ23+DJ24-DJ25)</x:f>
      </x:c>
      <x:c r="DK29" s="117" t="n">
        <x:f>MAX(0,DK23+DK24-DK25)</x:f>
      </x:c>
      <x:c r="DL29" s="117" t="n">
        <x:f>MAX(0,DL23+DL24-DL25)</x:f>
      </x:c>
      <x:c r="DM29" s="117" t="n">
        <x:f>MAX(0,DM23+DM24-DM25)</x:f>
      </x:c>
      <x:c r="DN29" s="117" t="n">
        <x:f>MAX(0,DN23+DN24-DN25)</x:f>
      </x:c>
      <x:c r="DO29" s="117" t="n">
        <x:f>MAX(0,DO23+DO24-DO25)</x:f>
      </x:c>
      <x:c r="DP29" s="117" t="n">
        <x:f>MAX(0,DP23+DP24-DP25)</x:f>
      </x:c>
      <x:c r="DQ29" s="117" t="n">
        <x:f>MAX(0,DQ23+DQ24-DQ25)</x:f>
      </x:c>
      <x:c r="DR29" s="117" t="n">
        <x:f>MAX(0,DR23+DR24-DR25)</x:f>
      </x:c>
      <x:c r="DS29" s="117" t="n">
        <x:f>MAX(0,DS23+DS24-DS25)</x:f>
      </x:c>
      <x:c r="DT29" s="117" t="n">
        <x:f>MAX(0,DT23+DT24-DT25)</x:f>
      </x:c>
      <x:c r="DU29" s="117" t="n">
        <x:f>MAX(0,DU23+DU24-DU25)</x:f>
      </x:c>
      <x:c r="DV29" s="117" t="n">
        <x:f>MAX(0,DV23+DV24-DV25)</x:f>
      </x:c>
      <x:c r="DW29" s="117" t="n">
        <x:f>MAX(0,DW23+DW24-DW25)</x:f>
      </x:c>
      <x:c r="DX29" s="117" t="n">
        <x:f>MAX(0,DX23+DX24-DX25)</x:f>
      </x:c>
      <x:c r="DY29" s="117" t="n">
        <x:f>MAX(0,DY23+DY24-DY25)</x:f>
      </x:c>
      <x:c r="DZ29" s="117" t="n">
        <x:f>MAX(0,DZ23+DZ24-DZ25)</x:f>
      </x:c>
      <x:c r="EA29" s="117" t="n">
        <x:f>MAX(0,EA23+EA24-EA25)</x:f>
      </x:c>
      <x:c r="EB29" s="117" t="n">
        <x:f>MAX(0,EB23+EB24-EB25)</x:f>
      </x:c>
      <x:c r="EC29" s="117" t="n">
        <x:f>MAX(0,EC23+EC24-EC25)</x:f>
      </x:c>
      <x:c r="ED29" s="117" t="n">
        <x:f>MAX(0,ED23+ED24-ED25)</x:f>
      </x:c>
      <x:c r="EE29" s="117" t="n">
        <x:f>MAX(0,EE23+EE24-EE25)</x:f>
      </x:c>
      <x:c r="EF29" s="117" t="n">
        <x:f>MAX(0,EF23+EF24-EF25)</x:f>
      </x:c>
      <x:c r="EG29" s="117" t="n">
        <x:f>MAX(0,EG23+EG24-EG25)</x:f>
      </x:c>
      <x:c r="EH29" s="117" t="n">
        <x:f>MAX(0,EH23+EH24-EH25)</x:f>
      </x:c>
      <x:c r="EI29" s="117" t="n">
        <x:f>MAX(0,EI23+EI24-EI25)</x:f>
      </x:c>
      <x:c r="EJ29" s="117" t="n">
        <x:f>MAX(0,EJ23+EJ24-EJ25)</x:f>
      </x:c>
      <x:c r="EK29" s="117" t="n">
        <x:f>MAX(0,EK23+EK24-EK25)</x:f>
      </x:c>
      <x:c r="EL29" s="117" t="n">
        <x:f>MAX(0,EL23+EL24-EL25)</x:f>
      </x:c>
      <x:c r="EM29" s="117" t="n">
        <x:f>MAX(0,EM23+EM24-EM25)</x:f>
      </x:c>
      <x:c r="EN29" s="117" t="n">
        <x:f>MAX(0,EN23+EN24-EN25)</x:f>
      </x:c>
      <x:c r="EO29" s="117" t="n">
        <x:f>MAX(0,EO23+EO24-EO25)</x:f>
      </x:c>
      <x:c r="EP29" s="117" t="n">
        <x:f>MAX(0,EP23+EP24-EP25)</x:f>
      </x:c>
      <x:c r="EQ29" s="117" t="n">
        <x:f>MAX(0,EQ23+EQ24-EQ25)</x:f>
      </x:c>
      <x:c r="ER29" s="117" t="n">
        <x:f>MAX(0,ER23+ER24-ER25)</x:f>
      </x:c>
      <x:c r="ES29" s="117" t="n">
        <x:f>MAX(0,ES23+ES24-ES25)</x:f>
      </x:c>
      <x:c r="ET29" s="117" t="n">
        <x:f>MAX(0,ET23+ET24-ET25)</x:f>
      </x:c>
      <x:c r="EU29" s="117" t="n">
        <x:f>MAX(0,EU23+EU24-EU25)</x:f>
      </x:c>
      <x:c r="EV29" s="117" t="n">
        <x:f>MAX(0,EV23+EV24-EV25)</x:f>
      </x:c>
      <x:c r="EW29" s="117" t="n">
        <x:f>MAX(0,EW23+EW24-EW25)</x:f>
      </x:c>
      <x:c r="EX29" s="117" t="n">
        <x:f>MAX(0,EX23+EX24-EX25)</x:f>
      </x:c>
      <x:c r="EY29" s="117" t="n">
        <x:f>MAX(0,EY23+EY24-EY25)</x:f>
      </x:c>
      <x:c r="EZ29" s="117" t="n">
        <x:f>MAX(0,EZ23+EZ24-EZ25)</x:f>
      </x:c>
      <x:c r="FA29" s="117" t="n">
        <x:f>MAX(0,FA23+FA24-FA25)</x:f>
      </x:c>
      <x:c r="FB29" s="117" t="n">
        <x:f>MAX(0,FB23+FB24-FB25)</x:f>
      </x:c>
      <x:c r="FC29" s="117" t="n">
        <x:f>MAX(0,FC23+FC24-FC25)</x:f>
      </x:c>
      <x:c r="FD29" s="117" t="n">
        <x:f>MAX(0,FD23+FD24-FD25)</x:f>
      </x:c>
      <x:c r="FE29" s="117" t="n">
        <x:f>MAX(0,FE23+FE24-FE25)</x:f>
      </x:c>
      <x:c r="FF29" s="117" t="n">
        <x:f>MAX(0,FF23+FF24-FF25)</x:f>
      </x:c>
      <x:c r="FG29" s="117" t="n">
        <x:f>MAX(0,FG23+FG24-FG25)</x:f>
      </x:c>
      <x:c r="FH29" s="117" t="n">
        <x:f>MAX(0,FH23+FH24-FH25)</x:f>
      </x:c>
      <x:c r="FI29" s="117" t="n">
        <x:f>MAX(0,FI23+FI24-FI25)</x:f>
      </x:c>
      <x:c r="FJ29" s="117" t="n">
        <x:f>MAX(0,FJ23+FJ24-FJ25)</x:f>
      </x:c>
      <x:c r="FK29" s="117" t="n">
        <x:f>MAX(0,FK23+FK24-FK25)</x:f>
      </x:c>
      <x:c r="FL29" s="117" t="n">
        <x:f>MAX(0,FL23+FL24-FL25)</x:f>
      </x:c>
      <x:c r="FM29" s="117" t="n">
        <x:f>MAX(0,FM23+FM24-FM25)</x:f>
      </x:c>
      <x:c r="FN29" s="117" t="n">
        <x:f>MAX(0,FN23+FN24-FN25)</x:f>
      </x:c>
      <x:c r="FO29" s="117" t="n">
        <x:f>MAX(0,FO23+FO24-FO25)</x:f>
      </x:c>
      <x:c r="FP29" s="117" t="n">
        <x:f>MAX(0,FP23+FP24-FP25)</x:f>
      </x:c>
      <x:c r="FQ29" s="117" t="n">
        <x:f>MAX(0,FQ23+FQ24-FQ25)</x:f>
      </x:c>
      <x:c r="FR29" s="117" t="n">
        <x:f>MAX(0,FR23+FR24-FR25)</x:f>
      </x:c>
      <x:c r="FS29" s="117" t="n">
        <x:f>MAX(0,FS23+FS24-FS25)</x:f>
      </x:c>
      <x:c r="FT29" s="117" t="n">
        <x:f>MAX(0,FT23+FT24-FT25)</x:f>
      </x:c>
      <x:c r="FU29" s="117" t="n">
        <x:f>MAX(0,FU23+FU24-FU25)</x:f>
      </x:c>
      <x:c r="FV29" s="117" t="n">
        <x:f>MAX(0,FV23+FV24-FV25)</x:f>
      </x:c>
      <x:c r="FW29" s="117" t="n">
        <x:f>MAX(0,FW23+FW24-FW25)</x:f>
      </x:c>
      <x:c r="FX29" s="117" t="n">
        <x:f>MAX(0,FX23+FX24-FX25)</x:f>
      </x:c>
      <x:c r="FY29" s="117" t="n">
        <x:f>MAX(0,FY23+FY24-FY25)</x:f>
      </x:c>
      <x:c r="FZ29" s="117" t="n">
        <x:f>MAX(0,FZ23+FZ24-FZ25)</x:f>
      </x:c>
      <x:c r="GA29" s="117" t="n">
        <x:f>MAX(0,GA23+GA24-GA25)</x:f>
      </x:c>
    </x:row>
    <x:row r="30">
      <x:c r="A30" t="str">
        <x:v>Ставка по рассрочке</x:v>
      </x:c>
      <x:c r="B30" t="n">
        <x:f>IFERROR(SUMPRODUCT(D30:GA30,--(D23:GA23&gt;0))/COUNTIF(D23:GA23,"&gt;0"),0)</x:f>
      </x:c>
      <x:c r="C30" t="str">
        <x:v>% год</x:v>
      </x:c>
      <x:c r="D30" s="35" t="n">
        <x:f>'Ставки'!D$5+'Вводные'!$B$81</x:f>
      </x:c>
      <x:c r="E30" s="35" t="n">
        <x:f>'Ставки'!E$5+'Вводные'!$B$81</x:f>
      </x:c>
      <x:c r="F30" s="35" t="n">
        <x:f>'Ставки'!F$5+'Вводные'!$B$81</x:f>
      </x:c>
      <x:c r="G30" s="35" t="n">
        <x:f>'Ставки'!G$5+'Вводные'!$B$81</x:f>
      </x:c>
      <x:c r="H30" s="35" t="n">
        <x:f>'Ставки'!H$5+'Вводные'!$B$81</x:f>
      </x:c>
      <x:c r="I30" s="35" t="n">
        <x:f>'Ставки'!I$5+'Вводные'!$B$81</x:f>
      </x:c>
      <x:c r="J30" s="35" t="n">
        <x:f>'Ставки'!J$5+'Вводные'!$B$81</x:f>
      </x:c>
      <x:c r="K30" s="35" t="n">
        <x:f>'Ставки'!K$5+'Вводные'!$B$81</x:f>
      </x:c>
      <x:c r="L30" s="35" t="n">
        <x:f>'Ставки'!L$5+'Вводные'!$B$81</x:f>
      </x:c>
      <x:c r="M30" s="35" t="n">
        <x:f>'Ставки'!M$5+'Вводные'!$B$81</x:f>
      </x:c>
      <x:c r="N30" s="35" t="n">
        <x:f>'Ставки'!N$5+'Вводные'!$B$81</x:f>
      </x:c>
      <x:c r="O30" s="35" t="n">
        <x:f>'Ставки'!O$5+'Вводные'!$B$81</x:f>
      </x:c>
      <x:c r="P30" s="35" t="n">
        <x:f>'Ставки'!P$5+'Вводные'!$B$81</x:f>
      </x:c>
      <x:c r="Q30" s="35" t="n">
        <x:f>'Ставки'!Q$5+'Вводные'!$B$81</x:f>
      </x:c>
      <x:c r="R30" s="35" t="n">
        <x:f>'Ставки'!R$5+'Вводные'!$B$81</x:f>
      </x:c>
      <x:c r="S30" s="35" t="n">
        <x:f>'Ставки'!S$5+'Вводные'!$B$81</x:f>
      </x:c>
      <x:c r="T30" s="35" t="n">
        <x:f>'Ставки'!T$5+'Вводные'!$B$81</x:f>
      </x:c>
      <x:c r="U30" s="35" t="n">
        <x:f>'Ставки'!U$5+'Вводные'!$B$81</x:f>
      </x:c>
      <x:c r="V30" s="35" t="n">
        <x:f>'Ставки'!V$5+'Вводные'!$B$81</x:f>
      </x:c>
      <x:c r="W30" s="35" t="n">
        <x:f>'Ставки'!W$5+'Вводные'!$B$81</x:f>
      </x:c>
      <x:c r="X30" s="35" t="n">
        <x:f>'Ставки'!X$5+'Вводные'!$B$81</x:f>
      </x:c>
      <x:c r="Y30" s="35" t="n">
        <x:f>'Ставки'!Y$5+'Вводные'!$B$81</x:f>
      </x:c>
      <x:c r="Z30" s="35" t="n">
        <x:f>'Ставки'!Z$5+'Вводные'!$B$81</x:f>
      </x:c>
      <x:c r="AA30" s="35" t="n">
        <x:f>'Ставки'!AA$5+'Вводные'!$B$81</x:f>
      </x:c>
      <x:c r="AB30" s="35" t="n">
        <x:f>'Ставки'!AB$5+'Вводные'!$B$81</x:f>
      </x:c>
      <x:c r="AC30" s="35" t="n">
        <x:f>'Ставки'!AC$5+'Вводные'!$B$81</x:f>
      </x:c>
      <x:c r="AD30" s="35" t="n">
        <x:f>'Ставки'!AD$5+'Вводные'!$B$81</x:f>
      </x:c>
      <x:c r="AE30" s="35" t="n">
        <x:f>'Ставки'!AE$5+'Вводные'!$B$81</x:f>
      </x:c>
      <x:c r="AF30" s="35" t="n">
        <x:f>'Ставки'!AF$5+'Вводные'!$B$81</x:f>
      </x:c>
      <x:c r="AG30" s="35" t="n">
        <x:f>'Ставки'!AG$5+'Вводные'!$B$81</x:f>
      </x:c>
      <x:c r="AH30" s="35" t="n">
        <x:f>'Ставки'!AH$5+'Вводные'!$B$81</x:f>
      </x:c>
      <x:c r="AI30" s="35" t="n">
        <x:f>'Ставки'!AI$5+'Вводные'!$B$81</x:f>
      </x:c>
      <x:c r="AJ30" s="35" t="n">
        <x:f>'Ставки'!AJ$5+'Вводные'!$B$81</x:f>
      </x:c>
      <x:c r="AK30" s="35" t="n">
        <x:f>'Ставки'!AK$5+'Вводные'!$B$81</x:f>
      </x:c>
      <x:c r="AL30" s="35" t="n">
        <x:f>'Ставки'!AL$5+'Вводные'!$B$81</x:f>
      </x:c>
      <x:c r="AM30" s="35" t="n">
        <x:f>'Ставки'!AM$5+'Вводные'!$B$81</x:f>
      </x:c>
      <x:c r="AN30" s="35" t="n">
        <x:f>'Ставки'!AN$5+'Вводные'!$B$81</x:f>
      </x:c>
      <x:c r="AO30" s="35" t="n">
        <x:f>'Ставки'!AO$5+'Вводные'!$B$81</x:f>
      </x:c>
      <x:c r="AP30" s="35" t="n">
        <x:f>'Ставки'!AP$5+'Вводные'!$B$81</x:f>
      </x:c>
      <x:c r="AQ30" s="35" t="n">
        <x:f>'Ставки'!AQ$5+'Вводные'!$B$81</x:f>
      </x:c>
      <x:c r="AR30" s="35" t="n">
        <x:f>'Ставки'!AR$5+'Вводные'!$B$81</x:f>
      </x:c>
      <x:c r="AS30" s="35" t="n">
        <x:f>'Ставки'!AS$5+'Вводные'!$B$81</x:f>
      </x:c>
      <x:c r="AT30" s="35" t="n">
        <x:f>'Ставки'!AT$5+'Вводные'!$B$81</x:f>
      </x:c>
      <x:c r="AU30" s="35" t="n">
        <x:f>'Ставки'!AU$5+'Вводные'!$B$81</x:f>
      </x:c>
      <x:c r="AV30" s="35" t="n">
        <x:f>'Ставки'!AV$5+'Вводные'!$B$81</x:f>
      </x:c>
      <x:c r="AW30" s="35" t="n">
        <x:f>'Ставки'!AW$5+'Вводные'!$B$81</x:f>
      </x:c>
      <x:c r="AX30" s="35" t="n">
        <x:f>'Ставки'!AX$5+'Вводные'!$B$81</x:f>
      </x:c>
      <x:c r="AY30" s="35" t="n">
        <x:f>'Ставки'!AY$5+'Вводные'!$B$81</x:f>
      </x:c>
      <x:c r="AZ30" s="35" t="n">
        <x:f>'Ставки'!AZ$5+'Вводные'!$B$81</x:f>
      </x:c>
      <x:c r="BA30" s="35" t="n">
        <x:f>'Ставки'!BA$5+'Вводные'!$B$81</x:f>
      </x:c>
      <x:c r="BB30" s="35" t="n">
        <x:f>'Ставки'!BB$5+'Вводные'!$B$81</x:f>
      </x:c>
      <x:c r="BC30" s="35" t="n">
        <x:f>'Ставки'!BC$5+'Вводные'!$B$81</x:f>
      </x:c>
      <x:c r="BD30" s="35" t="n">
        <x:f>'Ставки'!BD$5+'Вводные'!$B$81</x:f>
      </x:c>
      <x:c r="BE30" s="35" t="n">
        <x:f>'Ставки'!BE$5+'Вводные'!$B$81</x:f>
      </x:c>
      <x:c r="BF30" s="35" t="n">
        <x:f>'Ставки'!BF$5+'Вводные'!$B$81</x:f>
      </x:c>
      <x:c r="BG30" s="35" t="n">
        <x:f>'Ставки'!BG$5+'Вводные'!$B$81</x:f>
      </x:c>
      <x:c r="BH30" s="35" t="n">
        <x:f>'Ставки'!BH$5+'Вводные'!$B$81</x:f>
      </x:c>
      <x:c r="BI30" s="35" t="n">
        <x:f>'Ставки'!BI$5+'Вводные'!$B$81</x:f>
      </x:c>
      <x:c r="BJ30" s="35" t="n">
        <x:f>'Ставки'!BJ$5+'Вводные'!$B$81</x:f>
      </x:c>
      <x:c r="BK30" s="35" t="n">
        <x:f>'Ставки'!BK$5+'Вводные'!$B$81</x:f>
      </x:c>
      <x:c r="BL30" s="35" t="n">
        <x:f>'Ставки'!BL$5+'Вводные'!$B$81</x:f>
      </x:c>
      <x:c r="BM30" s="35" t="n">
        <x:f>'Ставки'!BM$5+'Вводные'!$B$81</x:f>
      </x:c>
      <x:c r="BN30" s="35" t="n">
        <x:f>'Ставки'!BN$5+'Вводные'!$B$81</x:f>
      </x:c>
      <x:c r="BO30" s="35" t="n">
        <x:f>'Ставки'!BO$5+'Вводные'!$B$81</x:f>
      </x:c>
      <x:c r="BP30" s="35" t="n">
        <x:f>'Ставки'!BP$5+'Вводные'!$B$81</x:f>
      </x:c>
      <x:c r="BQ30" s="35" t="n">
        <x:f>'Ставки'!BQ$5+'Вводные'!$B$81</x:f>
      </x:c>
      <x:c r="BR30" s="35" t="n">
        <x:f>'Ставки'!BR$5+'Вводные'!$B$81</x:f>
      </x:c>
      <x:c r="BS30" s="35" t="n">
        <x:f>'Ставки'!BS$5+'Вводные'!$B$81</x:f>
      </x:c>
      <x:c r="BT30" s="35" t="n">
        <x:f>'Ставки'!BT$5+'Вводные'!$B$81</x:f>
      </x:c>
      <x:c r="BU30" s="35" t="n">
        <x:f>'Ставки'!BU$5+'Вводные'!$B$81</x:f>
      </x:c>
      <x:c r="BV30" s="35" t="n">
        <x:f>'Ставки'!BV$5+'Вводные'!$B$81</x:f>
      </x:c>
      <x:c r="BW30" s="35" t="n">
        <x:f>'Ставки'!BW$5+'Вводные'!$B$81</x:f>
      </x:c>
      <x:c r="BX30" s="35" t="n">
        <x:f>'Ставки'!BX$5+'Вводные'!$B$81</x:f>
      </x:c>
      <x:c r="BY30" s="35" t="n">
        <x:f>'Ставки'!BY$5+'Вводные'!$B$81</x:f>
      </x:c>
      <x:c r="BZ30" s="35" t="n">
        <x:f>'Ставки'!BZ$5+'Вводные'!$B$81</x:f>
      </x:c>
      <x:c r="CA30" s="35" t="n">
        <x:f>'Ставки'!CA$5+'Вводные'!$B$81</x:f>
      </x:c>
      <x:c r="CB30" s="35" t="n">
        <x:f>'Ставки'!CB$5+'Вводные'!$B$81</x:f>
      </x:c>
      <x:c r="CC30" s="35" t="n">
        <x:f>'Ставки'!CC$5+'Вводные'!$B$81</x:f>
      </x:c>
      <x:c r="CD30" s="35" t="n">
        <x:f>'Ставки'!CD$5+'Вводные'!$B$81</x:f>
      </x:c>
      <x:c r="CE30" s="35" t="n">
        <x:f>'Ставки'!CE$5+'Вводные'!$B$81</x:f>
      </x:c>
      <x:c r="CF30" s="35" t="n">
        <x:f>'Ставки'!CF$5+'Вводные'!$B$81</x:f>
      </x:c>
      <x:c r="CG30" s="35" t="n">
        <x:f>'Ставки'!CG$5+'Вводные'!$B$81</x:f>
      </x:c>
      <x:c r="CH30" s="35" t="n">
        <x:f>'Ставки'!CH$5+'Вводные'!$B$81</x:f>
      </x:c>
      <x:c r="CI30" s="35" t="n">
        <x:f>'Ставки'!CI$5+'Вводные'!$B$81</x:f>
      </x:c>
      <x:c r="CJ30" s="35" t="n">
        <x:f>'Ставки'!CJ$5+'Вводные'!$B$81</x:f>
      </x:c>
      <x:c r="CK30" s="35" t="n">
        <x:f>'Ставки'!CK$5+'Вводные'!$B$81</x:f>
      </x:c>
      <x:c r="CL30" s="35" t="n">
        <x:f>'Ставки'!CL$5+'Вводные'!$B$81</x:f>
      </x:c>
      <x:c r="CM30" s="35" t="n">
        <x:f>'Ставки'!CM$5+'Вводные'!$B$81</x:f>
      </x:c>
      <x:c r="CN30" s="35" t="n">
        <x:f>'Ставки'!CN$5+'Вводные'!$B$81</x:f>
      </x:c>
      <x:c r="CO30" s="35" t="n">
        <x:f>'Ставки'!CO$5+'Вводные'!$B$81</x:f>
      </x:c>
      <x:c r="CP30" s="35" t="n">
        <x:f>'Ставки'!CP$5+'Вводные'!$B$81</x:f>
      </x:c>
      <x:c r="CQ30" s="35" t="n">
        <x:f>'Ставки'!CQ$5+'Вводные'!$B$81</x:f>
      </x:c>
      <x:c r="CR30" s="35" t="n">
        <x:f>'Ставки'!CR$5+'Вводные'!$B$81</x:f>
      </x:c>
      <x:c r="CS30" s="35" t="n">
        <x:f>'Ставки'!CS$5+'Вводные'!$B$81</x:f>
      </x:c>
      <x:c r="CT30" s="35" t="n">
        <x:f>'Ставки'!CT$5+'Вводные'!$B$81</x:f>
      </x:c>
      <x:c r="CU30" s="35" t="n">
        <x:f>'Ставки'!CU$5+'Вводные'!$B$81</x:f>
      </x:c>
      <x:c r="CV30" s="35" t="n">
        <x:f>'Ставки'!CV$5+'Вводные'!$B$81</x:f>
      </x:c>
      <x:c r="CW30" s="35" t="n">
        <x:f>'Ставки'!CW$5+'Вводные'!$B$81</x:f>
      </x:c>
      <x:c r="CX30" s="35" t="n">
        <x:f>'Ставки'!CX$5+'Вводные'!$B$81</x:f>
      </x:c>
      <x:c r="CY30" s="35" t="n">
        <x:f>'Ставки'!CY$5+'Вводные'!$B$81</x:f>
      </x:c>
      <x:c r="CZ30" s="35" t="n">
        <x:f>'Ставки'!CZ$5+'Вводные'!$B$81</x:f>
      </x:c>
      <x:c r="DA30" s="35" t="n">
        <x:f>'Ставки'!DA$5+'Вводные'!$B$81</x:f>
      </x:c>
      <x:c r="DB30" s="35" t="n">
        <x:f>'Ставки'!DB$5+'Вводные'!$B$81</x:f>
      </x:c>
      <x:c r="DC30" s="35" t="n">
        <x:f>'Ставки'!DC$5+'Вводные'!$B$81</x:f>
      </x:c>
      <x:c r="DD30" s="35" t="n">
        <x:f>'Ставки'!DD$5+'Вводные'!$B$81</x:f>
      </x:c>
      <x:c r="DE30" s="35" t="n">
        <x:f>'Ставки'!DE$5+'Вводные'!$B$81</x:f>
      </x:c>
      <x:c r="DF30" s="35" t="n">
        <x:f>'Ставки'!DF$5+'Вводные'!$B$81</x:f>
      </x:c>
      <x:c r="DG30" s="35" t="n">
        <x:f>'Ставки'!DG$5+'Вводные'!$B$81</x:f>
      </x:c>
      <x:c r="DH30" s="35" t="n">
        <x:f>'Ставки'!DH$5+'Вводные'!$B$81</x:f>
      </x:c>
      <x:c r="DI30" s="35" t="n">
        <x:f>'Ставки'!DI$5+'Вводные'!$B$81</x:f>
      </x:c>
      <x:c r="DJ30" s="35" t="n">
        <x:f>'Ставки'!DJ$5+'Вводные'!$B$81</x:f>
      </x:c>
      <x:c r="DK30" s="35" t="n">
        <x:f>'Ставки'!DK$5+'Вводные'!$B$81</x:f>
      </x:c>
      <x:c r="DL30" s="35" t="n">
        <x:f>'Ставки'!DL$5+'Вводные'!$B$81</x:f>
      </x:c>
      <x:c r="DM30" s="35" t="n">
        <x:f>'Ставки'!DM$5+'Вводные'!$B$81</x:f>
      </x:c>
      <x:c r="DN30" s="35" t="n">
        <x:f>'Ставки'!DN$5+'Вводные'!$B$81</x:f>
      </x:c>
      <x:c r="DO30" s="35" t="n">
        <x:f>'Ставки'!DO$5+'Вводные'!$B$81</x:f>
      </x:c>
      <x:c r="DP30" s="35" t="n">
        <x:f>'Ставки'!DP$5+'Вводные'!$B$81</x:f>
      </x:c>
      <x:c r="DQ30" s="35" t="n">
        <x:f>'Ставки'!DQ$5+'Вводные'!$B$81</x:f>
      </x:c>
      <x:c r="DR30" s="35" t="n">
        <x:f>'Ставки'!DR$5+'Вводные'!$B$81</x:f>
      </x:c>
      <x:c r="DS30" s="35" t="n">
        <x:f>'Ставки'!DS$5+'Вводные'!$B$81</x:f>
      </x:c>
      <x:c r="DT30" s="35" t="n">
        <x:f>'Ставки'!DT$5+'Вводные'!$B$81</x:f>
      </x:c>
      <x:c r="DU30" s="35" t="n">
        <x:f>'Ставки'!DU$5+'Вводные'!$B$81</x:f>
      </x:c>
      <x:c r="DV30" s="35" t="n">
        <x:f>'Ставки'!DV$5+'Вводные'!$B$81</x:f>
      </x:c>
      <x:c r="DW30" s="35" t="n">
        <x:f>'Ставки'!DW$5+'Вводные'!$B$81</x:f>
      </x:c>
      <x:c r="DX30" s="35" t="n">
        <x:f>'Ставки'!DX$5+'Вводные'!$B$81</x:f>
      </x:c>
      <x:c r="DY30" s="35" t="n">
        <x:f>'Ставки'!DY$5+'Вводные'!$B$81</x:f>
      </x:c>
      <x:c r="DZ30" s="35" t="n">
        <x:f>'Ставки'!DZ$5+'Вводные'!$B$81</x:f>
      </x:c>
      <x:c r="EA30" s="35" t="n">
        <x:f>'Ставки'!EA$5+'Вводные'!$B$81</x:f>
      </x:c>
      <x:c r="EB30" s="35" t="n">
        <x:f>'Ставки'!EB$5+'Вводные'!$B$81</x:f>
      </x:c>
      <x:c r="EC30" s="35" t="n">
        <x:f>'Ставки'!EC$5+'Вводные'!$B$81</x:f>
      </x:c>
      <x:c r="ED30" s="35" t="n">
        <x:f>'Ставки'!ED$5+'Вводные'!$B$81</x:f>
      </x:c>
      <x:c r="EE30" s="35" t="n">
        <x:f>'Ставки'!EE$5+'Вводные'!$B$81</x:f>
      </x:c>
      <x:c r="EF30" s="35" t="n">
        <x:f>'Ставки'!EF$5+'Вводные'!$B$81</x:f>
      </x:c>
      <x:c r="EG30" s="35" t="n">
        <x:f>'Ставки'!EG$5+'Вводные'!$B$81</x:f>
      </x:c>
      <x:c r="EH30" s="35" t="n">
        <x:f>'Ставки'!EH$5+'Вводные'!$B$81</x:f>
      </x:c>
      <x:c r="EI30" s="35" t="n">
        <x:f>'Ставки'!EI$5+'Вводные'!$B$81</x:f>
      </x:c>
      <x:c r="EJ30" s="35" t="n">
        <x:f>'Ставки'!EJ$5+'Вводные'!$B$81</x:f>
      </x:c>
      <x:c r="EK30" s="35" t="n">
        <x:f>'Ставки'!EK$5+'Вводные'!$B$81</x:f>
      </x:c>
      <x:c r="EL30" s="35" t="n">
        <x:f>'Ставки'!EL$5+'Вводные'!$B$81</x:f>
      </x:c>
      <x:c r="EM30" s="35" t="n">
        <x:f>'Ставки'!EM$5+'Вводные'!$B$81</x:f>
      </x:c>
      <x:c r="EN30" s="35" t="n">
        <x:f>'Ставки'!EN$5+'Вводные'!$B$81</x:f>
      </x:c>
      <x:c r="EO30" s="35" t="n">
        <x:f>'Ставки'!EO$5+'Вводные'!$B$81</x:f>
      </x:c>
      <x:c r="EP30" s="35" t="n">
        <x:f>'Ставки'!EP$5+'Вводные'!$B$81</x:f>
      </x:c>
      <x:c r="EQ30" s="35" t="n">
        <x:f>'Ставки'!EQ$5+'Вводные'!$B$81</x:f>
      </x:c>
      <x:c r="ER30" s="35" t="n">
        <x:f>'Ставки'!ER$5+'Вводные'!$B$81</x:f>
      </x:c>
      <x:c r="ES30" s="35" t="n">
        <x:f>'Ставки'!ES$5+'Вводные'!$B$81</x:f>
      </x:c>
      <x:c r="ET30" s="35" t="n">
        <x:f>'Ставки'!ET$5+'Вводные'!$B$81</x:f>
      </x:c>
      <x:c r="EU30" s="35" t="n">
        <x:f>'Ставки'!EU$5+'Вводные'!$B$81</x:f>
      </x:c>
      <x:c r="EV30" s="35" t="n">
        <x:f>'Ставки'!EV$5+'Вводные'!$B$81</x:f>
      </x:c>
      <x:c r="EW30" s="35" t="n">
        <x:f>'Ставки'!EW$5+'Вводные'!$B$81</x:f>
      </x:c>
      <x:c r="EX30" s="35" t="n">
        <x:f>'Ставки'!EX$5+'Вводные'!$B$81</x:f>
      </x:c>
      <x:c r="EY30" s="35" t="n">
        <x:f>'Ставки'!EY$5+'Вводные'!$B$81</x:f>
      </x:c>
      <x:c r="EZ30" s="35" t="n">
        <x:f>'Ставки'!EZ$5+'Вводные'!$B$81</x:f>
      </x:c>
      <x:c r="FA30" s="35" t="n">
        <x:f>'Ставки'!FA$5+'Вводные'!$B$81</x:f>
      </x:c>
      <x:c r="FB30" s="35" t="n">
        <x:f>'Ставки'!FB$5+'Вводные'!$B$81</x:f>
      </x:c>
      <x:c r="FC30" s="35" t="n">
        <x:f>'Ставки'!FC$5+'Вводные'!$B$81</x:f>
      </x:c>
      <x:c r="FD30" s="35" t="n">
        <x:f>'Ставки'!FD$5+'Вводные'!$B$81</x:f>
      </x:c>
      <x:c r="FE30" s="35" t="n">
        <x:f>'Ставки'!FE$5+'Вводные'!$B$81</x:f>
      </x:c>
      <x:c r="FF30" s="35" t="n">
        <x:f>'Ставки'!FF$5+'Вводные'!$B$81</x:f>
      </x:c>
      <x:c r="FG30" s="35" t="n">
        <x:f>'Ставки'!FG$5+'Вводные'!$B$81</x:f>
      </x:c>
      <x:c r="FH30" s="35" t="n">
        <x:f>'Ставки'!FH$5+'Вводные'!$B$81</x:f>
      </x:c>
      <x:c r="FI30" s="35" t="n">
        <x:f>'Ставки'!FI$5+'Вводные'!$B$81</x:f>
      </x:c>
      <x:c r="FJ30" s="35" t="n">
        <x:f>'Ставки'!FJ$5+'Вводные'!$B$81</x:f>
      </x:c>
      <x:c r="FK30" s="35" t="n">
        <x:f>'Ставки'!FK$5+'Вводные'!$B$81</x:f>
      </x:c>
      <x:c r="FL30" s="35" t="n">
        <x:f>'Ставки'!FL$5+'Вводные'!$B$81</x:f>
      </x:c>
      <x:c r="FM30" s="35" t="n">
        <x:f>'Ставки'!FM$5+'Вводные'!$B$81</x:f>
      </x:c>
      <x:c r="FN30" s="35" t="n">
        <x:f>'Ставки'!FN$5+'Вводные'!$B$81</x:f>
      </x:c>
      <x:c r="FO30" s="35" t="n">
        <x:f>'Ставки'!FO$5+'Вводные'!$B$81</x:f>
      </x:c>
      <x:c r="FP30" s="35" t="n">
        <x:f>'Ставки'!FP$5+'Вводные'!$B$81</x:f>
      </x:c>
      <x:c r="FQ30" s="35" t="n">
        <x:f>'Ставки'!FQ$5+'Вводные'!$B$81</x:f>
      </x:c>
      <x:c r="FR30" s="35" t="n">
        <x:f>'Ставки'!FR$5+'Вводные'!$B$81</x:f>
      </x:c>
      <x:c r="FS30" s="35" t="n">
        <x:f>'Ставки'!FS$5+'Вводные'!$B$81</x:f>
      </x:c>
      <x:c r="FT30" s="35" t="n">
        <x:f>'Ставки'!FT$5+'Вводные'!$B$81</x:f>
      </x:c>
      <x:c r="FU30" s="35" t="n">
        <x:f>'Ставки'!FU$5+'Вводные'!$B$81</x:f>
      </x:c>
      <x:c r="FV30" s="35" t="n">
        <x:f>'Ставки'!FV$5+'Вводные'!$B$81</x:f>
      </x:c>
      <x:c r="FW30" s="35" t="n">
        <x:f>'Ставки'!FW$5+'Вводные'!$B$81</x:f>
      </x:c>
      <x:c r="FX30" s="35" t="n">
        <x:f>'Ставки'!FX$5+'Вводные'!$B$81</x:f>
      </x:c>
      <x:c r="FY30" s="35" t="n">
        <x:f>'Ставки'!FY$5+'Вводные'!$B$81</x:f>
      </x:c>
      <x:c r="FZ30" s="35" t="n">
        <x:f>'Ставки'!FZ$5+'Вводные'!$B$81</x:f>
      </x:c>
      <x:c r="GA30" s="35" t="n">
        <x:f>'Ставки'!GA$5+'Вводные'!$B$81</x:f>
      </x:c>
    </x:row>
    <x:row r="32" ht="21" customHeight="1">
      <x:c r="A32" s="52" t="str">
        <x:v>ОЧЕРЕДЬ 3</x:v>
      </x:c>
      <x:c r="B32" s="53" t="str">
        <x:v>ОЧЕРЕДЬ 3</x:v>
      </x:c>
      <x:c r="C32" s="53" t="str">
        <x:v>ОЧЕРЕДЬ 3</x:v>
      </x:c>
      <x:c r="D32" s="53" t="str">
        <x:v>ОЧЕРЕДЬ 3</x:v>
      </x:c>
      <x:c r="E32" s="53" t="str">
        <x:v>ОЧЕРЕДЬ 3</x:v>
      </x:c>
      <x:c r="F32" s="53" t="str">
        <x:v>ОЧЕРЕДЬ 3</x:v>
      </x:c>
      <x:c r="G32" s="53" t="str">
        <x:v>ОЧЕРЕДЬ 3</x:v>
      </x:c>
      <x:c r="H32" s="53" t="str">
        <x:v>ОЧЕРЕДЬ 3</x:v>
      </x:c>
      <x:c r="I32" s="53" t="str">
        <x:v>ОЧЕРЕДЬ 3</x:v>
      </x:c>
      <x:c r="J32" s="53" t="str">
        <x:v>ОЧЕРЕДЬ 3</x:v>
      </x:c>
      <x:c r="K32" s="53" t="str">
        <x:v>ОЧЕРЕДЬ 3</x:v>
      </x:c>
      <x:c r="L32" s="53" t="str">
        <x:v>ОЧЕРЕДЬ 3</x:v>
      </x:c>
      <x:c r="M32" s="53" t="str">
        <x:v>ОЧЕРЕДЬ 3</x:v>
      </x:c>
      <x:c r="N32" s="53" t="str">
        <x:v>ОЧЕРЕДЬ 3</x:v>
      </x:c>
      <x:c r="O32" s="53" t="str">
        <x:v>ОЧЕРЕДЬ 3</x:v>
      </x:c>
      <x:c r="P32" s="53" t="str">
        <x:v>ОЧЕРЕДЬ 3</x:v>
      </x:c>
      <x:c r="Q32" s="53" t="str">
        <x:v>ОЧЕРЕДЬ 3</x:v>
      </x:c>
      <x:c r="R32" s="53" t="str">
        <x:v>ОЧЕРЕДЬ 3</x:v>
      </x:c>
      <x:c r="S32" s="53" t="str">
        <x:v>ОЧЕРЕДЬ 3</x:v>
      </x:c>
      <x:c r="T32" s="53" t="str">
        <x:v>ОЧЕРЕДЬ 3</x:v>
      </x:c>
      <x:c r="U32" s="53" t="str">
        <x:v>ОЧЕРЕДЬ 3</x:v>
      </x:c>
      <x:c r="V32" s="53" t="str">
        <x:v>ОЧЕРЕДЬ 3</x:v>
      </x:c>
      <x:c r="W32" s="53" t="str">
        <x:v>ОЧЕРЕДЬ 3</x:v>
      </x:c>
      <x:c r="X32" s="53" t="str">
        <x:v>ОЧЕРЕДЬ 3</x:v>
      </x:c>
      <x:c r="Y32" s="53" t="str">
        <x:v>ОЧЕРЕДЬ 3</x:v>
      </x:c>
      <x:c r="Z32" s="53" t="str">
        <x:v>ОЧЕРЕДЬ 3</x:v>
      </x:c>
      <x:c r="AA32" s="53" t="str">
        <x:v>ОЧЕРЕДЬ 3</x:v>
      </x:c>
      <x:c r="AB32" s="53" t="str">
        <x:v>ОЧЕРЕДЬ 3</x:v>
      </x:c>
      <x:c r="AC32" s="53" t="str">
        <x:v>ОЧЕРЕДЬ 3</x:v>
      </x:c>
      <x:c r="AD32" s="53" t="str">
        <x:v>ОЧЕРЕДЬ 3</x:v>
      </x:c>
      <x:c r="AE32" s="53" t="str">
        <x:v>ОЧЕРЕДЬ 3</x:v>
      </x:c>
      <x:c r="AF32" s="53" t="str">
        <x:v>ОЧЕРЕДЬ 3</x:v>
      </x:c>
      <x:c r="AG32" s="53" t="str">
        <x:v>ОЧЕРЕДЬ 3</x:v>
      </x:c>
      <x:c r="AH32" s="53" t="str">
        <x:v>ОЧЕРЕДЬ 3</x:v>
      </x:c>
      <x:c r="AI32" s="53" t="str">
        <x:v>ОЧЕРЕДЬ 3</x:v>
      </x:c>
      <x:c r="AJ32" s="53" t="str">
        <x:v>ОЧЕРЕДЬ 3</x:v>
      </x:c>
      <x:c r="AK32" s="53" t="str">
        <x:v>ОЧЕРЕДЬ 3</x:v>
      </x:c>
      <x:c r="AL32" s="53" t="str">
        <x:v>ОЧЕРЕДЬ 3</x:v>
      </x:c>
      <x:c r="AM32" s="53" t="str">
        <x:v>ОЧЕРЕДЬ 3</x:v>
      </x:c>
      <x:c r="AN32" s="53" t="str">
        <x:v>ОЧЕРЕДЬ 3</x:v>
      </x:c>
      <x:c r="AO32" s="53" t="str">
        <x:v>ОЧЕРЕДЬ 3</x:v>
      </x:c>
      <x:c r="AP32" s="53" t="str">
        <x:v>ОЧЕРЕДЬ 3</x:v>
      </x:c>
      <x:c r="AQ32" s="53" t="str">
        <x:v>ОЧЕРЕДЬ 3</x:v>
      </x:c>
      <x:c r="AR32" s="53" t="str">
        <x:v>ОЧЕРЕДЬ 3</x:v>
      </x:c>
      <x:c r="AS32" s="53" t="str">
        <x:v>ОЧЕРЕДЬ 3</x:v>
      </x:c>
      <x:c r="AT32" s="53" t="str">
        <x:v>ОЧЕРЕДЬ 3</x:v>
      </x:c>
      <x:c r="AU32" s="53" t="str">
        <x:v>ОЧЕРЕДЬ 3</x:v>
      </x:c>
      <x:c r="AV32" s="53" t="str">
        <x:v>ОЧЕРЕДЬ 3</x:v>
      </x:c>
      <x:c r="AW32" s="53" t="str">
        <x:v>ОЧЕРЕДЬ 3</x:v>
      </x:c>
      <x:c r="AX32" s="53" t="str">
        <x:v>ОЧЕРЕДЬ 3</x:v>
      </x:c>
      <x:c r="AY32" s="53" t="str">
        <x:v>ОЧЕРЕДЬ 3</x:v>
      </x:c>
      <x:c r="AZ32" s="53" t="str">
        <x:v>ОЧЕРЕДЬ 3</x:v>
      </x:c>
      <x:c r="BA32" s="53" t="str">
        <x:v>ОЧЕРЕДЬ 3</x:v>
      </x:c>
      <x:c r="BB32" s="53" t="str">
        <x:v>ОЧЕРЕДЬ 3</x:v>
      </x:c>
      <x:c r="BC32" s="53" t="str">
        <x:v>ОЧЕРЕДЬ 3</x:v>
      </x:c>
      <x:c r="BD32" s="53" t="str">
        <x:v>ОЧЕРЕДЬ 3</x:v>
      </x:c>
      <x:c r="BE32" s="53" t="str">
        <x:v>ОЧЕРЕДЬ 3</x:v>
      </x:c>
      <x:c r="BF32" s="53" t="str">
        <x:v>ОЧЕРЕДЬ 3</x:v>
      </x:c>
      <x:c r="BG32" s="53" t="str">
        <x:v>ОЧЕРЕДЬ 3</x:v>
      </x:c>
      <x:c r="BH32" s="53" t="str">
        <x:v>ОЧЕРЕДЬ 3</x:v>
      </x:c>
      <x:c r="BI32" s="53" t="str">
        <x:v>ОЧЕРЕДЬ 3</x:v>
      </x:c>
      <x:c r="BJ32" s="53" t="str">
        <x:v>ОЧЕРЕДЬ 3</x:v>
      </x:c>
      <x:c r="BK32" s="53" t="str">
        <x:v>ОЧЕРЕДЬ 3</x:v>
      </x:c>
      <x:c r="BL32" s="53" t="str">
        <x:v>ОЧЕРЕДЬ 3</x:v>
      </x:c>
      <x:c r="BM32" s="53" t="str">
        <x:v>ОЧЕРЕДЬ 3</x:v>
      </x:c>
      <x:c r="BN32" s="53" t="str">
        <x:v>ОЧЕРЕДЬ 3</x:v>
      </x:c>
      <x:c r="BO32" s="53" t="str">
        <x:v>ОЧЕРЕДЬ 3</x:v>
      </x:c>
      <x:c r="BP32" s="53" t="str">
        <x:v>ОЧЕРЕДЬ 3</x:v>
      </x:c>
      <x:c r="BQ32" s="53" t="str">
        <x:v>ОЧЕРЕДЬ 3</x:v>
      </x:c>
      <x:c r="BR32" s="53" t="str">
        <x:v>ОЧЕРЕДЬ 3</x:v>
      </x:c>
      <x:c r="BS32" s="53" t="str">
        <x:v>ОЧЕРЕДЬ 3</x:v>
      </x:c>
      <x:c r="BT32" s="53" t="str">
        <x:v>ОЧЕРЕДЬ 3</x:v>
      </x:c>
      <x:c r="BU32" s="53" t="str">
        <x:v>ОЧЕРЕДЬ 3</x:v>
      </x:c>
      <x:c r="BV32" s="53" t="str">
        <x:v>ОЧЕРЕДЬ 3</x:v>
      </x:c>
      <x:c r="BW32" s="53" t="str">
        <x:v>ОЧЕРЕДЬ 3</x:v>
      </x:c>
      <x:c r="BX32" s="53" t="str">
        <x:v>ОЧЕРЕДЬ 3</x:v>
      </x:c>
      <x:c r="BY32" s="53" t="str">
        <x:v>ОЧЕРЕДЬ 3</x:v>
      </x:c>
      <x:c r="BZ32" s="53" t="str">
        <x:v>ОЧЕРЕДЬ 3</x:v>
      </x:c>
      <x:c r="CA32" s="53" t="str">
        <x:v>ОЧЕРЕДЬ 3</x:v>
      </x:c>
      <x:c r="CB32" s="53" t="str">
        <x:v>ОЧЕРЕДЬ 3</x:v>
      </x:c>
      <x:c r="CC32" s="53" t="str">
        <x:v>ОЧЕРЕДЬ 3</x:v>
      </x:c>
      <x:c r="CD32" s="53" t="str">
        <x:v>ОЧЕРЕДЬ 3</x:v>
      </x:c>
      <x:c r="CE32" s="53" t="str">
        <x:v>ОЧЕРЕДЬ 3</x:v>
      </x:c>
      <x:c r="CF32" s="53" t="str">
        <x:v>ОЧЕРЕДЬ 3</x:v>
      </x:c>
      <x:c r="CG32" s="53" t="str">
        <x:v>ОЧЕРЕДЬ 3</x:v>
      </x:c>
      <x:c r="CH32" s="53" t="str">
        <x:v>ОЧЕРЕДЬ 3</x:v>
      </x:c>
      <x:c r="CI32" s="53" t="str">
        <x:v>ОЧЕРЕДЬ 3</x:v>
      </x:c>
      <x:c r="CJ32" s="53" t="str">
        <x:v>ОЧЕРЕДЬ 3</x:v>
      </x:c>
      <x:c r="CK32" s="53" t="str">
        <x:v>ОЧЕРЕДЬ 3</x:v>
      </x:c>
      <x:c r="CL32" s="53" t="str">
        <x:v>ОЧЕРЕДЬ 3</x:v>
      </x:c>
      <x:c r="CM32" s="53" t="str">
        <x:v>ОЧЕРЕДЬ 3</x:v>
      </x:c>
      <x:c r="CN32" s="53" t="str">
        <x:v>ОЧЕРЕДЬ 3</x:v>
      </x:c>
      <x:c r="CO32" s="53" t="str">
        <x:v>ОЧЕРЕДЬ 3</x:v>
      </x:c>
      <x:c r="CP32" s="53" t="str">
        <x:v>ОЧЕРЕДЬ 3</x:v>
      </x:c>
      <x:c r="CQ32" s="53" t="str">
        <x:v>ОЧЕРЕДЬ 3</x:v>
      </x:c>
      <x:c r="CR32" s="53" t="str">
        <x:v>ОЧЕРЕДЬ 3</x:v>
      </x:c>
      <x:c r="CS32" s="53" t="str">
        <x:v>ОЧЕРЕДЬ 3</x:v>
      </x:c>
      <x:c r="CT32" s="53" t="str">
        <x:v>ОЧЕРЕДЬ 3</x:v>
      </x:c>
      <x:c r="CU32" s="53" t="str">
        <x:v>ОЧЕРЕДЬ 3</x:v>
      </x:c>
      <x:c r="CV32" s="53" t="str">
        <x:v>ОЧЕРЕДЬ 3</x:v>
      </x:c>
      <x:c r="CW32" s="53" t="str">
        <x:v>ОЧЕРЕДЬ 3</x:v>
      </x:c>
      <x:c r="CX32" s="53" t="str">
        <x:v>ОЧЕРЕДЬ 3</x:v>
      </x:c>
      <x:c r="CY32" s="53" t="str">
        <x:v>ОЧЕРЕДЬ 3</x:v>
      </x:c>
      <x:c r="CZ32" s="53" t="str">
        <x:v>ОЧЕРЕДЬ 3</x:v>
      </x:c>
      <x:c r="DA32" s="53" t="str">
        <x:v>ОЧЕРЕДЬ 3</x:v>
      </x:c>
      <x:c r="DB32" s="53" t="str">
        <x:v>ОЧЕРЕДЬ 3</x:v>
      </x:c>
      <x:c r="DC32" s="53" t="str">
        <x:v>ОЧЕРЕДЬ 3</x:v>
      </x:c>
      <x:c r="DD32" s="53" t="str">
        <x:v>ОЧЕРЕДЬ 3</x:v>
      </x:c>
      <x:c r="DE32" s="53" t="str">
        <x:v>ОЧЕРЕДЬ 3</x:v>
      </x:c>
      <x:c r="DF32" s="53" t="str">
        <x:v>ОЧЕРЕДЬ 3</x:v>
      </x:c>
      <x:c r="DG32" s="53" t="str">
        <x:v>ОЧЕРЕДЬ 3</x:v>
      </x:c>
      <x:c r="DH32" s="53" t="str">
        <x:v>ОЧЕРЕДЬ 3</x:v>
      </x:c>
      <x:c r="DI32" s="53" t="str">
        <x:v>ОЧЕРЕДЬ 3</x:v>
      </x:c>
      <x:c r="DJ32" s="53" t="str">
        <x:v>ОЧЕРЕДЬ 3</x:v>
      </x:c>
      <x:c r="DK32" s="53" t="str">
        <x:v>ОЧЕРЕДЬ 3</x:v>
      </x:c>
      <x:c r="DL32" s="53" t="str">
        <x:v>ОЧЕРЕДЬ 3</x:v>
      </x:c>
      <x:c r="DM32" s="53" t="str">
        <x:v>ОЧЕРЕДЬ 3</x:v>
      </x:c>
      <x:c r="DN32" s="53" t="str">
        <x:v>ОЧЕРЕДЬ 3</x:v>
      </x:c>
      <x:c r="DO32" s="53" t="str">
        <x:v>ОЧЕРЕДЬ 3</x:v>
      </x:c>
      <x:c r="DP32" s="53" t="str">
        <x:v>ОЧЕРЕДЬ 3</x:v>
      </x:c>
      <x:c r="DQ32" s="53" t="str">
        <x:v>ОЧЕРЕДЬ 3</x:v>
      </x:c>
      <x:c r="DR32" s="53" t="str">
        <x:v>ОЧЕРЕДЬ 3</x:v>
      </x:c>
      <x:c r="DS32" s="54" t="str">
        <x:v>ОЧЕРЕДЬ 3</x:v>
      </x:c>
      <x:c r="DT32" s="54" t="str"/>
      <x:c r="DU32" s="54" t="str"/>
      <x:c r="DV32" s="54" t="str"/>
      <x:c r="DW32" s="54" t="str"/>
      <x:c r="DX32" s="54" t="str"/>
      <x:c r="DY32" s="54" t="str"/>
      <x:c r="DZ32" s="54" t="str"/>
      <x:c r="EA32" s="54" t="str"/>
      <x:c r="EB32" s="54" t="str"/>
      <x:c r="EC32" s="54" t="str"/>
      <x:c r="ED32" s="54" t="str"/>
      <x:c r="EE32" s="54" t="str"/>
      <x:c r="EF32" s="54" t="str"/>
      <x:c r="EG32" s="54" t="str"/>
      <x:c r="EH32" s="54" t="str"/>
      <x:c r="EI32" s="54" t="str"/>
      <x:c r="EJ32" s="54" t="str"/>
      <x:c r="EK32" s="54" t="str"/>
      <x:c r="EL32" s="54" t="str"/>
      <x:c r="EM32" s="54" t="str"/>
      <x:c r="EN32" s="54" t="str"/>
      <x:c r="EO32" s="54" t="str"/>
      <x:c r="EP32" s="54" t="str"/>
      <x:c r="EQ32" s="54" t="str"/>
      <x:c r="ER32" s="54" t="str"/>
      <x:c r="ES32" s="54" t="str"/>
      <x:c r="ET32" s="54" t="str"/>
      <x:c r="EU32" s="54" t="str"/>
      <x:c r="EV32" s="54" t="str"/>
      <x:c r="EW32" s="54" t="str"/>
      <x:c r="EX32" s="54" t="str"/>
      <x:c r="EY32" s="54" t="str"/>
      <x:c r="EZ32" s="54" t="str"/>
      <x:c r="FA32" s="54" t="str"/>
      <x:c r="FB32" s="54" t="str"/>
      <x:c r="FC32" s="54" t="str"/>
      <x:c r="FD32" s="54" t="str"/>
      <x:c r="FE32" s="54" t="str"/>
      <x:c r="FF32" s="54" t="str"/>
      <x:c r="FG32" s="54" t="str"/>
      <x:c r="FH32" s="54" t="str"/>
      <x:c r="FI32" s="54" t="str"/>
      <x:c r="FJ32" s="54" t="str"/>
      <x:c r="FK32" s="54" t="str"/>
      <x:c r="FL32" s="54" t="str"/>
      <x:c r="FM32" s="54" t="str"/>
      <x:c r="FN32" s="54" t="str"/>
      <x:c r="FO32" s="54" t="str"/>
      <x:c r="FP32" s="54" t="str"/>
      <x:c r="FQ32" s="54" t="str"/>
      <x:c r="FR32" s="54" t="str"/>
      <x:c r="FS32" s="54" t="str"/>
      <x:c r="FT32" s="54" t="str"/>
      <x:c r="FU32" s="54" t="str"/>
      <x:c r="FV32" s="54" t="str"/>
      <x:c r="FW32" s="54" t="str"/>
      <x:c r="FX32" s="54" t="str"/>
      <x:c r="FY32" s="54" t="str"/>
      <x:c r="FZ32" s="54" t="str"/>
      <x:c r="GA32" s="54" t="str"/>
    </x:row>
    <x:row r="33">
      <x:c r="A33" t="str">
        <x:v>Дата возникновения обязательства</x:v>
      </x:c>
      <x:c r="B33" s="106" t="n">
        <x:f>EDATE('Вводные'!$D$90,'Вводные'!$E$90+'Вводные'!$H$9-'Вводные'!$B$76)</x:f>
      </x:c>
      <x:c r="C33" t="str">
        <x:v>дата</x:v>
      </x:c>
    </x:row>
    <x:row r="34">
      <x:c r="A34" t="str">
        <x:v>Дата открытия ПФ</x:v>
      </x:c>
      <x:c r="B34" s="106" t="n">
        <x:f>EDATE('Вводные'!$D$90,'Вводные'!$E$90+'Вводные'!$H$9)</x:f>
      </x:c>
      <x:c r="C34" t="str">
        <x:v>дата</x:v>
      </x:c>
    </x:row>
    <x:row r="35">
      <x:c r="A35" t="str">
        <x:v>Сумма обязательства после льготы</x:v>
      </x:c>
      <x:c r="B35" s="115" t="n">
        <x:f>IF(AND('Вводные'!$B$90="Да",'Вводные'!$B$74="Да"),MAX(0,'Вводные'!$B$16*'Вводные'!$Q$90-'Вводные'!$B$82*'Вводные'!$Q$90),0)</x:f>
      </x:c>
      <x:c r="C35" t="str">
        <x:v>млн ₽</x:v>
      </x:c>
    </x:row>
    <x:row r="36">
      <x:c r="A36" t="str">
        <x:v>Остаток на начало</x:v>
      </x:c>
      <x:c r="B36" s="107" t="n">
        <x:f>MAX(D36:GA36)</x:f>
      </x:c>
      <x:c r="C36" t="str">
        <x:v>млн ₽</x:v>
      </x:c>
      <x:c r="D36" s="117" t="n">
        <x:f>0</x:f>
      </x:c>
      <x:c r="E36" s="117" t="n">
        <x:f>D42</x:f>
      </x:c>
      <x:c r="F36" s="117" t="n">
        <x:f>E42</x:f>
      </x:c>
      <x:c r="G36" s="117" t="n">
        <x:f>F42</x:f>
      </x:c>
      <x:c r="H36" s="117" t="n">
        <x:f>G42</x:f>
      </x:c>
      <x:c r="I36" s="117" t="n">
        <x:f>H42</x:f>
      </x:c>
      <x:c r="J36" s="117" t="n">
        <x:f>I42</x:f>
      </x:c>
      <x:c r="K36" s="117" t="n">
        <x:f>J42</x:f>
      </x:c>
      <x:c r="L36" s="117" t="n">
        <x:f>K42</x:f>
      </x:c>
      <x:c r="M36" s="117" t="n">
        <x:f>L42</x:f>
      </x:c>
      <x:c r="N36" s="117" t="n">
        <x:f>M42</x:f>
      </x:c>
      <x:c r="O36" s="117" t="n">
        <x:f>N42</x:f>
      </x:c>
      <x:c r="P36" s="117" t="n">
        <x:f>O42</x:f>
      </x:c>
      <x:c r="Q36" s="117" t="n">
        <x:f>P42</x:f>
      </x:c>
      <x:c r="R36" s="117" t="n">
        <x:f>Q42</x:f>
      </x:c>
      <x:c r="S36" s="117" t="n">
        <x:f>R42</x:f>
      </x:c>
      <x:c r="T36" s="117" t="n">
        <x:f>S42</x:f>
      </x:c>
      <x:c r="U36" s="117" t="n">
        <x:f>T42</x:f>
      </x:c>
      <x:c r="V36" s="117" t="n">
        <x:f>U42</x:f>
      </x:c>
      <x:c r="W36" s="117" t="n">
        <x:f>V42</x:f>
      </x:c>
      <x:c r="X36" s="117" t="n">
        <x:f>W42</x:f>
      </x:c>
      <x:c r="Y36" s="117" t="n">
        <x:f>X42</x:f>
      </x:c>
      <x:c r="Z36" s="117" t="n">
        <x:f>Y42</x:f>
      </x:c>
      <x:c r="AA36" s="117" t="n">
        <x:f>Z42</x:f>
      </x:c>
      <x:c r="AB36" s="117" t="n">
        <x:f>AA42</x:f>
      </x:c>
      <x:c r="AC36" s="117" t="n">
        <x:f>AB42</x:f>
      </x:c>
      <x:c r="AD36" s="117" t="n">
        <x:f>AC42</x:f>
      </x:c>
      <x:c r="AE36" s="117" t="n">
        <x:f>AD42</x:f>
      </x:c>
      <x:c r="AF36" s="117" t="n">
        <x:f>AE42</x:f>
      </x:c>
      <x:c r="AG36" s="117" t="n">
        <x:f>AF42</x:f>
      </x:c>
      <x:c r="AH36" s="117" t="n">
        <x:f>AG42</x:f>
      </x:c>
      <x:c r="AI36" s="117" t="n">
        <x:f>AH42</x:f>
      </x:c>
      <x:c r="AJ36" s="117" t="n">
        <x:f>AI42</x:f>
      </x:c>
      <x:c r="AK36" s="117" t="n">
        <x:f>AJ42</x:f>
      </x:c>
      <x:c r="AL36" s="117" t="n">
        <x:f>AK42</x:f>
      </x:c>
      <x:c r="AM36" s="117" t="n">
        <x:f>AL42</x:f>
      </x:c>
      <x:c r="AN36" s="117" t="n">
        <x:f>AM42</x:f>
      </x:c>
      <x:c r="AO36" s="117" t="n">
        <x:f>AN42</x:f>
      </x:c>
      <x:c r="AP36" s="117" t="n">
        <x:f>AO42</x:f>
      </x:c>
      <x:c r="AQ36" s="117" t="n">
        <x:f>AP42</x:f>
      </x:c>
      <x:c r="AR36" s="117" t="n">
        <x:f>AQ42</x:f>
      </x:c>
      <x:c r="AS36" s="117" t="n">
        <x:f>AR42</x:f>
      </x:c>
      <x:c r="AT36" s="117" t="n">
        <x:f>AS42</x:f>
      </x:c>
      <x:c r="AU36" s="117" t="n">
        <x:f>AT42</x:f>
      </x:c>
      <x:c r="AV36" s="117" t="n">
        <x:f>AU42</x:f>
      </x:c>
      <x:c r="AW36" s="117" t="n">
        <x:f>AV42</x:f>
      </x:c>
      <x:c r="AX36" s="117" t="n">
        <x:f>AW42</x:f>
      </x:c>
      <x:c r="AY36" s="117" t="n">
        <x:f>AX42</x:f>
      </x:c>
      <x:c r="AZ36" s="117" t="n">
        <x:f>AY42</x:f>
      </x:c>
      <x:c r="BA36" s="117" t="n">
        <x:f>AZ42</x:f>
      </x:c>
      <x:c r="BB36" s="117" t="n">
        <x:f>BA42</x:f>
      </x:c>
      <x:c r="BC36" s="117" t="n">
        <x:f>BB42</x:f>
      </x:c>
      <x:c r="BD36" s="117" t="n">
        <x:f>BC42</x:f>
      </x:c>
      <x:c r="BE36" s="117" t="n">
        <x:f>BD42</x:f>
      </x:c>
      <x:c r="BF36" s="117" t="n">
        <x:f>BE42</x:f>
      </x:c>
      <x:c r="BG36" s="117" t="n">
        <x:f>BF42</x:f>
      </x:c>
      <x:c r="BH36" s="117" t="n">
        <x:f>BG42</x:f>
      </x:c>
      <x:c r="BI36" s="117" t="n">
        <x:f>BH42</x:f>
      </x:c>
      <x:c r="BJ36" s="117" t="n">
        <x:f>BI42</x:f>
      </x:c>
      <x:c r="BK36" s="117" t="n">
        <x:f>BJ42</x:f>
      </x:c>
      <x:c r="BL36" s="117" t="n">
        <x:f>BK42</x:f>
      </x:c>
      <x:c r="BM36" s="117" t="n">
        <x:f>BL42</x:f>
      </x:c>
      <x:c r="BN36" s="117" t="n">
        <x:f>BM42</x:f>
      </x:c>
      <x:c r="BO36" s="117" t="n">
        <x:f>BN42</x:f>
      </x:c>
      <x:c r="BP36" s="117" t="n">
        <x:f>BO42</x:f>
      </x:c>
      <x:c r="BQ36" s="117" t="n">
        <x:f>BP42</x:f>
      </x:c>
      <x:c r="BR36" s="117" t="n">
        <x:f>BQ42</x:f>
      </x:c>
      <x:c r="BS36" s="117" t="n">
        <x:f>BR42</x:f>
      </x:c>
      <x:c r="BT36" s="117" t="n">
        <x:f>BS42</x:f>
      </x:c>
      <x:c r="BU36" s="117" t="n">
        <x:f>BT42</x:f>
      </x:c>
      <x:c r="BV36" s="117" t="n">
        <x:f>BU42</x:f>
      </x:c>
      <x:c r="BW36" s="117" t="n">
        <x:f>BV42</x:f>
      </x:c>
      <x:c r="BX36" s="117" t="n">
        <x:f>BW42</x:f>
      </x:c>
      <x:c r="BY36" s="117" t="n">
        <x:f>BX42</x:f>
      </x:c>
      <x:c r="BZ36" s="117" t="n">
        <x:f>BY42</x:f>
      </x:c>
      <x:c r="CA36" s="117" t="n">
        <x:f>BZ42</x:f>
      </x:c>
      <x:c r="CB36" s="117" t="n">
        <x:f>CA42</x:f>
      </x:c>
      <x:c r="CC36" s="117" t="n">
        <x:f>CB42</x:f>
      </x:c>
      <x:c r="CD36" s="117" t="n">
        <x:f>CC42</x:f>
      </x:c>
      <x:c r="CE36" s="117" t="n">
        <x:f>CD42</x:f>
      </x:c>
      <x:c r="CF36" s="117" t="n">
        <x:f>CE42</x:f>
      </x:c>
      <x:c r="CG36" s="117" t="n">
        <x:f>CF42</x:f>
      </x:c>
      <x:c r="CH36" s="117" t="n">
        <x:f>CG42</x:f>
      </x:c>
      <x:c r="CI36" s="117" t="n">
        <x:f>CH42</x:f>
      </x:c>
      <x:c r="CJ36" s="117" t="n">
        <x:f>CI42</x:f>
      </x:c>
      <x:c r="CK36" s="117" t="n">
        <x:f>CJ42</x:f>
      </x:c>
      <x:c r="CL36" s="117" t="n">
        <x:f>CK42</x:f>
      </x:c>
      <x:c r="CM36" s="117" t="n">
        <x:f>CL42</x:f>
      </x:c>
      <x:c r="CN36" s="117" t="n">
        <x:f>CM42</x:f>
      </x:c>
      <x:c r="CO36" s="117" t="n">
        <x:f>CN42</x:f>
      </x:c>
      <x:c r="CP36" s="117" t="n">
        <x:f>CO42</x:f>
      </x:c>
      <x:c r="CQ36" s="117" t="n">
        <x:f>CP42</x:f>
      </x:c>
      <x:c r="CR36" s="117" t="n">
        <x:f>CQ42</x:f>
      </x:c>
      <x:c r="CS36" s="117" t="n">
        <x:f>CR42</x:f>
      </x:c>
      <x:c r="CT36" s="117" t="n">
        <x:f>CS42</x:f>
      </x:c>
      <x:c r="CU36" s="117" t="n">
        <x:f>CT42</x:f>
      </x:c>
      <x:c r="CV36" s="117" t="n">
        <x:f>CU42</x:f>
      </x:c>
      <x:c r="CW36" s="117" t="n">
        <x:f>CV42</x:f>
      </x:c>
      <x:c r="CX36" s="117" t="n">
        <x:f>CW42</x:f>
      </x:c>
      <x:c r="CY36" s="117" t="n">
        <x:f>CX42</x:f>
      </x:c>
      <x:c r="CZ36" s="117" t="n">
        <x:f>CY42</x:f>
      </x:c>
      <x:c r="DA36" s="117" t="n">
        <x:f>CZ42</x:f>
      </x:c>
      <x:c r="DB36" s="117" t="n">
        <x:f>DA42</x:f>
      </x:c>
      <x:c r="DC36" s="117" t="n">
        <x:f>DB42</x:f>
      </x:c>
      <x:c r="DD36" s="117" t="n">
        <x:f>DC42</x:f>
      </x:c>
      <x:c r="DE36" s="117" t="n">
        <x:f>DD42</x:f>
      </x:c>
      <x:c r="DF36" s="117" t="n">
        <x:f>DE42</x:f>
      </x:c>
      <x:c r="DG36" s="117" t="n">
        <x:f>DF42</x:f>
      </x:c>
      <x:c r="DH36" s="117" t="n">
        <x:f>DG42</x:f>
      </x:c>
      <x:c r="DI36" s="117" t="n">
        <x:f>DH42</x:f>
      </x:c>
      <x:c r="DJ36" s="117" t="n">
        <x:f>DI42</x:f>
      </x:c>
      <x:c r="DK36" s="117" t="n">
        <x:f>DJ42</x:f>
      </x:c>
      <x:c r="DL36" s="117" t="n">
        <x:f>DK42</x:f>
      </x:c>
      <x:c r="DM36" s="117" t="n">
        <x:f>DL42</x:f>
      </x:c>
      <x:c r="DN36" s="117" t="n">
        <x:f>DM42</x:f>
      </x:c>
      <x:c r="DO36" s="117" t="n">
        <x:f>DN42</x:f>
      </x:c>
      <x:c r="DP36" s="117" t="n">
        <x:f>DO42</x:f>
      </x:c>
      <x:c r="DQ36" s="117" t="n">
        <x:f>DP42</x:f>
      </x:c>
      <x:c r="DR36" s="117" t="n">
        <x:f>DQ42</x:f>
      </x:c>
      <x:c r="DS36" s="117" t="n">
        <x:f>DR42</x:f>
      </x:c>
      <x:c r="DT36" s="117" t="n">
        <x:f>DS42</x:f>
      </x:c>
      <x:c r="DU36" s="117" t="n">
        <x:f>DT42</x:f>
      </x:c>
      <x:c r="DV36" s="117" t="n">
        <x:f>DU42</x:f>
      </x:c>
      <x:c r="DW36" s="117" t="n">
        <x:f>DV42</x:f>
      </x:c>
      <x:c r="DX36" s="117" t="n">
        <x:f>DW42</x:f>
      </x:c>
      <x:c r="DY36" s="117" t="n">
        <x:f>DX42</x:f>
      </x:c>
      <x:c r="DZ36" s="117" t="n">
        <x:f>DY42</x:f>
      </x:c>
      <x:c r="EA36" s="117" t="n">
        <x:f>DZ42</x:f>
      </x:c>
      <x:c r="EB36" s="117" t="n">
        <x:f>EA42</x:f>
      </x:c>
      <x:c r="EC36" s="117" t="n">
        <x:f>EB42</x:f>
      </x:c>
      <x:c r="ED36" s="117" t="n">
        <x:f>EC42</x:f>
      </x:c>
      <x:c r="EE36" s="117" t="n">
        <x:f>ED42</x:f>
      </x:c>
      <x:c r="EF36" s="117" t="n">
        <x:f>EE42</x:f>
      </x:c>
      <x:c r="EG36" s="117" t="n">
        <x:f>EF42</x:f>
      </x:c>
      <x:c r="EH36" s="117" t="n">
        <x:f>EG42</x:f>
      </x:c>
      <x:c r="EI36" s="117" t="n">
        <x:f>EH42</x:f>
      </x:c>
      <x:c r="EJ36" s="117" t="n">
        <x:f>EI42</x:f>
      </x:c>
      <x:c r="EK36" s="117" t="n">
        <x:f>EJ42</x:f>
      </x:c>
      <x:c r="EL36" s="117" t="n">
        <x:f>EK42</x:f>
      </x:c>
      <x:c r="EM36" s="117" t="n">
        <x:f>EL42</x:f>
      </x:c>
      <x:c r="EN36" s="117" t="n">
        <x:f>EM42</x:f>
      </x:c>
      <x:c r="EO36" s="117" t="n">
        <x:f>EN42</x:f>
      </x:c>
      <x:c r="EP36" s="117" t="n">
        <x:f>EO42</x:f>
      </x:c>
      <x:c r="EQ36" s="117" t="n">
        <x:f>EP42</x:f>
      </x:c>
      <x:c r="ER36" s="117" t="n">
        <x:f>EQ42</x:f>
      </x:c>
      <x:c r="ES36" s="117" t="n">
        <x:f>ER42</x:f>
      </x:c>
      <x:c r="ET36" s="117" t="n">
        <x:f>ES42</x:f>
      </x:c>
      <x:c r="EU36" s="117" t="n">
        <x:f>ET42</x:f>
      </x:c>
      <x:c r="EV36" s="117" t="n">
        <x:f>EU42</x:f>
      </x:c>
      <x:c r="EW36" s="117" t="n">
        <x:f>EV42</x:f>
      </x:c>
      <x:c r="EX36" s="117" t="n">
        <x:f>EW42</x:f>
      </x:c>
      <x:c r="EY36" s="117" t="n">
        <x:f>EX42</x:f>
      </x:c>
      <x:c r="EZ36" s="117" t="n">
        <x:f>EY42</x:f>
      </x:c>
      <x:c r="FA36" s="117" t="n">
        <x:f>EZ42</x:f>
      </x:c>
      <x:c r="FB36" s="117" t="n">
        <x:f>FA42</x:f>
      </x:c>
      <x:c r="FC36" s="117" t="n">
        <x:f>FB42</x:f>
      </x:c>
      <x:c r="FD36" s="117" t="n">
        <x:f>FC42</x:f>
      </x:c>
      <x:c r="FE36" s="117" t="n">
        <x:f>FD42</x:f>
      </x:c>
      <x:c r="FF36" s="117" t="n">
        <x:f>FE42</x:f>
      </x:c>
      <x:c r="FG36" s="117" t="n">
        <x:f>FF42</x:f>
      </x:c>
      <x:c r="FH36" s="117" t="n">
        <x:f>FG42</x:f>
      </x:c>
      <x:c r="FI36" s="117" t="n">
        <x:f>FH42</x:f>
      </x:c>
      <x:c r="FJ36" s="117" t="n">
        <x:f>FI42</x:f>
      </x:c>
      <x:c r="FK36" s="117" t="n">
        <x:f>FJ42</x:f>
      </x:c>
      <x:c r="FL36" s="117" t="n">
        <x:f>FK42</x:f>
      </x:c>
      <x:c r="FM36" s="117" t="n">
        <x:f>FL42</x:f>
      </x:c>
      <x:c r="FN36" s="117" t="n">
        <x:f>FM42</x:f>
      </x:c>
      <x:c r="FO36" s="117" t="n">
        <x:f>FN42</x:f>
      </x:c>
      <x:c r="FP36" s="117" t="n">
        <x:f>FO42</x:f>
      </x:c>
      <x:c r="FQ36" s="117" t="n">
        <x:f>FP42</x:f>
      </x:c>
      <x:c r="FR36" s="117" t="n">
        <x:f>FQ42</x:f>
      </x:c>
      <x:c r="FS36" s="117" t="n">
        <x:f>FR42</x:f>
      </x:c>
      <x:c r="FT36" s="117" t="n">
        <x:f>FS42</x:f>
      </x:c>
      <x:c r="FU36" s="117" t="n">
        <x:f>FT42</x:f>
      </x:c>
      <x:c r="FV36" s="117" t="n">
        <x:f>FU42</x:f>
      </x:c>
      <x:c r="FW36" s="117" t="n">
        <x:f>FV42</x:f>
      </x:c>
      <x:c r="FX36" s="117" t="n">
        <x:f>FW42</x:f>
      </x:c>
      <x:c r="FY36" s="117" t="n">
        <x:f>FX42</x:f>
      </x:c>
      <x:c r="FZ36" s="117" t="n">
        <x:f>FY42</x:f>
      </x:c>
      <x:c r="GA36" s="117" t="n">
        <x:f>FZ42</x:f>
      </x:c>
    </x:row>
    <x:row r="37">
      <x:c r="A37" t="str">
        <x:v>Возникновение обязательства</x:v>
      </x:c>
      <x:c r="B37" s="107" t="n">
        <x:f>SUM(D37:GA37)</x:f>
      </x:c>
      <x:c r="C37" t="str">
        <x:v>млн ₽</x:v>
      </x:c>
      <x:c r="D37" s="117" t="n">
        <x:f>IF(AND(YEAR(D$3)=YEAR($B$33),MONTH(D$3)=MONTH($B$33)),$B$35,0)</x:f>
      </x:c>
      <x:c r="E37" s="117" t="n">
        <x:f>IF(AND(YEAR(E$3)=YEAR($B$33),MONTH(E$3)=MONTH($B$33)),$B$35,0)</x:f>
      </x:c>
      <x:c r="F37" s="117" t="n">
        <x:f>IF(AND(YEAR(F$3)=YEAR($B$33),MONTH(F$3)=MONTH($B$33)),$B$35,0)</x:f>
      </x:c>
      <x:c r="G37" s="117" t="n">
        <x:f>IF(AND(YEAR(G$3)=YEAR($B$33),MONTH(G$3)=MONTH($B$33)),$B$35,0)</x:f>
      </x:c>
      <x:c r="H37" s="117" t="n">
        <x:f>IF(AND(YEAR(H$3)=YEAR($B$33),MONTH(H$3)=MONTH($B$33)),$B$35,0)</x:f>
      </x:c>
      <x:c r="I37" s="117" t="n">
        <x:f>IF(AND(YEAR(I$3)=YEAR($B$33),MONTH(I$3)=MONTH($B$33)),$B$35,0)</x:f>
      </x:c>
      <x:c r="J37" s="117" t="n">
        <x:f>IF(AND(YEAR(J$3)=YEAR($B$33),MONTH(J$3)=MONTH($B$33)),$B$35,0)</x:f>
      </x:c>
      <x:c r="K37" s="117" t="n">
        <x:f>IF(AND(YEAR(K$3)=YEAR($B$33),MONTH(K$3)=MONTH($B$33)),$B$35,0)</x:f>
      </x:c>
      <x:c r="L37" s="117" t="n">
        <x:f>IF(AND(YEAR(L$3)=YEAR($B$33),MONTH(L$3)=MONTH($B$33)),$B$35,0)</x:f>
      </x:c>
      <x:c r="M37" s="117" t="n">
        <x:f>IF(AND(YEAR(M$3)=YEAR($B$33),MONTH(M$3)=MONTH($B$33)),$B$35,0)</x:f>
      </x:c>
      <x:c r="N37" s="117" t="n">
        <x:f>IF(AND(YEAR(N$3)=YEAR($B$33),MONTH(N$3)=MONTH($B$33)),$B$35,0)</x:f>
      </x:c>
      <x:c r="O37" s="117" t="n">
        <x:f>IF(AND(YEAR(O$3)=YEAR($B$33),MONTH(O$3)=MONTH($B$33)),$B$35,0)</x:f>
      </x:c>
      <x:c r="P37" s="117" t="n">
        <x:f>IF(AND(YEAR(P$3)=YEAR($B$33),MONTH(P$3)=MONTH($B$33)),$B$35,0)</x:f>
      </x:c>
      <x:c r="Q37" s="117" t="n">
        <x:f>IF(AND(YEAR(Q$3)=YEAR($B$33),MONTH(Q$3)=MONTH($B$33)),$B$35,0)</x:f>
      </x:c>
      <x:c r="R37" s="117" t="n">
        <x:f>IF(AND(YEAR(R$3)=YEAR($B$33),MONTH(R$3)=MONTH($B$33)),$B$35,0)</x:f>
      </x:c>
      <x:c r="S37" s="117" t="n">
        <x:f>IF(AND(YEAR(S$3)=YEAR($B$33),MONTH(S$3)=MONTH($B$33)),$B$35,0)</x:f>
      </x:c>
      <x:c r="T37" s="117" t="n">
        <x:f>IF(AND(YEAR(T$3)=YEAR($B$33),MONTH(T$3)=MONTH($B$33)),$B$35,0)</x:f>
      </x:c>
      <x:c r="U37" s="117" t="n">
        <x:f>IF(AND(YEAR(U$3)=YEAR($B$33),MONTH(U$3)=MONTH($B$33)),$B$35,0)</x:f>
      </x:c>
      <x:c r="V37" s="117" t="n">
        <x:f>IF(AND(YEAR(V$3)=YEAR($B$33),MONTH(V$3)=MONTH($B$33)),$B$35,0)</x:f>
      </x:c>
      <x:c r="W37" s="117" t="n">
        <x:f>IF(AND(YEAR(W$3)=YEAR($B$33),MONTH(W$3)=MONTH($B$33)),$B$35,0)</x:f>
      </x:c>
      <x:c r="X37" s="117" t="n">
        <x:f>IF(AND(YEAR(X$3)=YEAR($B$33),MONTH(X$3)=MONTH($B$33)),$B$35,0)</x:f>
      </x:c>
      <x:c r="Y37" s="117" t="n">
        <x:f>IF(AND(YEAR(Y$3)=YEAR($B$33),MONTH(Y$3)=MONTH($B$33)),$B$35,0)</x:f>
      </x:c>
      <x:c r="Z37" s="117" t="n">
        <x:f>IF(AND(YEAR(Z$3)=YEAR($B$33),MONTH(Z$3)=MONTH($B$33)),$B$35,0)</x:f>
      </x:c>
      <x:c r="AA37" s="117" t="n">
        <x:f>IF(AND(YEAR(AA$3)=YEAR($B$33),MONTH(AA$3)=MONTH($B$33)),$B$35,0)</x:f>
      </x:c>
      <x:c r="AB37" s="117" t="n">
        <x:f>IF(AND(YEAR(AB$3)=YEAR($B$33),MONTH(AB$3)=MONTH($B$33)),$B$35,0)</x:f>
      </x:c>
      <x:c r="AC37" s="117" t="n">
        <x:f>IF(AND(YEAR(AC$3)=YEAR($B$33),MONTH(AC$3)=MONTH($B$33)),$B$35,0)</x:f>
      </x:c>
      <x:c r="AD37" s="117" t="n">
        <x:f>IF(AND(YEAR(AD$3)=YEAR($B$33),MONTH(AD$3)=MONTH($B$33)),$B$35,0)</x:f>
      </x:c>
      <x:c r="AE37" s="117" t="n">
        <x:f>IF(AND(YEAR(AE$3)=YEAR($B$33),MONTH(AE$3)=MONTH($B$33)),$B$35,0)</x:f>
      </x:c>
      <x:c r="AF37" s="117" t="n">
        <x:f>IF(AND(YEAR(AF$3)=YEAR($B$33),MONTH(AF$3)=MONTH($B$33)),$B$35,0)</x:f>
      </x:c>
      <x:c r="AG37" s="117" t="n">
        <x:f>IF(AND(YEAR(AG$3)=YEAR($B$33),MONTH(AG$3)=MONTH($B$33)),$B$35,0)</x:f>
      </x:c>
      <x:c r="AH37" s="117" t="n">
        <x:f>IF(AND(YEAR(AH$3)=YEAR($B$33),MONTH(AH$3)=MONTH($B$33)),$B$35,0)</x:f>
      </x:c>
      <x:c r="AI37" s="117" t="n">
        <x:f>IF(AND(YEAR(AI$3)=YEAR($B$33),MONTH(AI$3)=MONTH($B$33)),$B$35,0)</x:f>
      </x:c>
      <x:c r="AJ37" s="117" t="n">
        <x:f>IF(AND(YEAR(AJ$3)=YEAR($B$33),MONTH(AJ$3)=MONTH($B$33)),$B$35,0)</x:f>
      </x:c>
      <x:c r="AK37" s="117" t="n">
        <x:f>IF(AND(YEAR(AK$3)=YEAR($B$33),MONTH(AK$3)=MONTH($B$33)),$B$35,0)</x:f>
      </x:c>
      <x:c r="AL37" s="117" t="n">
        <x:f>IF(AND(YEAR(AL$3)=YEAR($B$33),MONTH(AL$3)=MONTH($B$33)),$B$35,0)</x:f>
      </x:c>
      <x:c r="AM37" s="117" t="n">
        <x:f>IF(AND(YEAR(AM$3)=YEAR($B$33),MONTH(AM$3)=MONTH($B$33)),$B$35,0)</x:f>
      </x:c>
      <x:c r="AN37" s="117" t="n">
        <x:f>IF(AND(YEAR(AN$3)=YEAR($B$33),MONTH(AN$3)=MONTH($B$33)),$B$35,0)</x:f>
      </x:c>
      <x:c r="AO37" s="117" t="n">
        <x:f>IF(AND(YEAR(AO$3)=YEAR($B$33),MONTH(AO$3)=MONTH($B$33)),$B$35,0)</x:f>
      </x:c>
      <x:c r="AP37" s="117" t="n">
        <x:f>IF(AND(YEAR(AP$3)=YEAR($B$33),MONTH(AP$3)=MONTH($B$33)),$B$35,0)</x:f>
      </x:c>
      <x:c r="AQ37" s="117" t="n">
        <x:f>IF(AND(YEAR(AQ$3)=YEAR($B$33),MONTH(AQ$3)=MONTH($B$33)),$B$35,0)</x:f>
      </x:c>
      <x:c r="AR37" s="117" t="n">
        <x:f>IF(AND(YEAR(AR$3)=YEAR($B$33),MONTH(AR$3)=MONTH($B$33)),$B$35,0)</x:f>
      </x:c>
      <x:c r="AS37" s="117" t="n">
        <x:f>IF(AND(YEAR(AS$3)=YEAR($B$33),MONTH(AS$3)=MONTH($B$33)),$B$35,0)</x:f>
      </x:c>
      <x:c r="AT37" s="117" t="n">
        <x:f>IF(AND(YEAR(AT$3)=YEAR($B$33),MONTH(AT$3)=MONTH($B$33)),$B$35,0)</x:f>
      </x:c>
      <x:c r="AU37" s="117" t="n">
        <x:f>IF(AND(YEAR(AU$3)=YEAR($B$33),MONTH(AU$3)=MONTH($B$33)),$B$35,0)</x:f>
      </x:c>
      <x:c r="AV37" s="117" t="n">
        <x:f>IF(AND(YEAR(AV$3)=YEAR($B$33),MONTH(AV$3)=MONTH($B$33)),$B$35,0)</x:f>
      </x:c>
      <x:c r="AW37" s="117" t="n">
        <x:f>IF(AND(YEAR(AW$3)=YEAR($B$33),MONTH(AW$3)=MONTH($B$33)),$B$35,0)</x:f>
      </x:c>
      <x:c r="AX37" s="117" t="n">
        <x:f>IF(AND(YEAR(AX$3)=YEAR($B$33),MONTH(AX$3)=MONTH($B$33)),$B$35,0)</x:f>
      </x:c>
      <x:c r="AY37" s="117" t="n">
        <x:f>IF(AND(YEAR(AY$3)=YEAR($B$33),MONTH(AY$3)=MONTH($B$33)),$B$35,0)</x:f>
      </x:c>
      <x:c r="AZ37" s="117" t="n">
        <x:f>IF(AND(YEAR(AZ$3)=YEAR($B$33),MONTH(AZ$3)=MONTH($B$33)),$B$35,0)</x:f>
      </x:c>
      <x:c r="BA37" s="117" t="n">
        <x:f>IF(AND(YEAR(BA$3)=YEAR($B$33),MONTH(BA$3)=MONTH($B$33)),$B$35,0)</x:f>
      </x:c>
      <x:c r="BB37" s="117" t="n">
        <x:f>IF(AND(YEAR(BB$3)=YEAR($B$33),MONTH(BB$3)=MONTH($B$33)),$B$35,0)</x:f>
      </x:c>
      <x:c r="BC37" s="117" t="n">
        <x:f>IF(AND(YEAR(BC$3)=YEAR($B$33),MONTH(BC$3)=MONTH($B$33)),$B$35,0)</x:f>
      </x:c>
      <x:c r="BD37" s="117" t="n">
        <x:f>IF(AND(YEAR(BD$3)=YEAR($B$33),MONTH(BD$3)=MONTH($B$33)),$B$35,0)</x:f>
      </x:c>
      <x:c r="BE37" s="117" t="n">
        <x:f>IF(AND(YEAR(BE$3)=YEAR($B$33),MONTH(BE$3)=MONTH($B$33)),$B$35,0)</x:f>
      </x:c>
      <x:c r="BF37" s="117" t="n">
        <x:f>IF(AND(YEAR(BF$3)=YEAR($B$33),MONTH(BF$3)=MONTH($B$33)),$B$35,0)</x:f>
      </x:c>
      <x:c r="BG37" s="117" t="n">
        <x:f>IF(AND(YEAR(BG$3)=YEAR($B$33),MONTH(BG$3)=MONTH($B$33)),$B$35,0)</x:f>
      </x:c>
      <x:c r="BH37" s="117" t="n">
        <x:f>IF(AND(YEAR(BH$3)=YEAR($B$33),MONTH(BH$3)=MONTH($B$33)),$B$35,0)</x:f>
      </x:c>
      <x:c r="BI37" s="117" t="n">
        <x:f>IF(AND(YEAR(BI$3)=YEAR($B$33),MONTH(BI$3)=MONTH($B$33)),$B$35,0)</x:f>
      </x:c>
      <x:c r="BJ37" s="117" t="n">
        <x:f>IF(AND(YEAR(BJ$3)=YEAR($B$33),MONTH(BJ$3)=MONTH($B$33)),$B$35,0)</x:f>
      </x:c>
      <x:c r="BK37" s="117" t="n">
        <x:f>IF(AND(YEAR(BK$3)=YEAR($B$33),MONTH(BK$3)=MONTH($B$33)),$B$35,0)</x:f>
      </x:c>
      <x:c r="BL37" s="117" t="n">
        <x:f>IF(AND(YEAR(BL$3)=YEAR($B$33),MONTH(BL$3)=MONTH($B$33)),$B$35,0)</x:f>
      </x:c>
      <x:c r="BM37" s="117" t="n">
        <x:f>IF(AND(YEAR(BM$3)=YEAR($B$33),MONTH(BM$3)=MONTH($B$33)),$B$35,0)</x:f>
      </x:c>
      <x:c r="BN37" s="117" t="n">
        <x:f>IF(AND(YEAR(BN$3)=YEAR($B$33),MONTH(BN$3)=MONTH($B$33)),$B$35,0)</x:f>
      </x:c>
      <x:c r="BO37" s="117" t="n">
        <x:f>IF(AND(YEAR(BO$3)=YEAR($B$33),MONTH(BO$3)=MONTH($B$33)),$B$35,0)</x:f>
      </x:c>
      <x:c r="BP37" s="117" t="n">
        <x:f>IF(AND(YEAR(BP$3)=YEAR($B$33),MONTH(BP$3)=MONTH($B$33)),$B$35,0)</x:f>
      </x:c>
      <x:c r="BQ37" s="117" t="n">
        <x:f>IF(AND(YEAR(BQ$3)=YEAR($B$33),MONTH(BQ$3)=MONTH($B$33)),$B$35,0)</x:f>
      </x:c>
      <x:c r="BR37" s="117" t="n">
        <x:f>IF(AND(YEAR(BR$3)=YEAR($B$33),MONTH(BR$3)=MONTH($B$33)),$B$35,0)</x:f>
      </x:c>
      <x:c r="BS37" s="117" t="n">
        <x:f>IF(AND(YEAR(BS$3)=YEAR($B$33),MONTH(BS$3)=MONTH($B$33)),$B$35,0)</x:f>
      </x:c>
      <x:c r="BT37" s="117" t="n">
        <x:f>IF(AND(YEAR(BT$3)=YEAR($B$33),MONTH(BT$3)=MONTH($B$33)),$B$35,0)</x:f>
      </x:c>
      <x:c r="BU37" s="117" t="n">
        <x:f>IF(AND(YEAR(BU$3)=YEAR($B$33),MONTH(BU$3)=MONTH($B$33)),$B$35,0)</x:f>
      </x:c>
      <x:c r="BV37" s="117" t="n">
        <x:f>IF(AND(YEAR(BV$3)=YEAR($B$33),MONTH(BV$3)=MONTH($B$33)),$B$35,0)</x:f>
      </x:c>
      <x:c r="BW37" s="117" t="n">
        <x:f>IF(AND(YEAR(BW$3)=YEAR($B$33),MONTH(BW$3)=MONTH($B$33)),$B$35,0)</x:f>
      </x:c>
      <x:c r="BX37" s="117" t="n">
        <x:f>IF(AND(YEAR(BX$3)=YEAR($B$33),MONTH(BX$3)=MONTH($B$33)),$B$35,0)</x:f>
      </x:c>
      <x:c r="BY37" s="117" t="n">
        <x:f>IF(AND(YEAR(BY$3)=YEAR($B$33),MONTH(BY$3)=MONTH($B$33)),$B$35,0)</x:f>
      </x:c>
      <x:c r="BZ37" s="117" t="n">
        <x:f>IF(AND(YEAR(BZ$3)=YEAR($B$33),MONTH(BZ$3)=MONTH($B$33)),$B$35,0)</x:f>
      </x:c>
      <x:c r="CA37" s="117" t="n">
        <x:f>IF(AND(YEAR(CA$3)=YEAR($B$33),MONTH(CA$3)=MONTH($B$33)),$B$35,0)</x:f>
      </x:c>
      <x:c r="CB37" s="117" t="n">
        <x:f>IF(AND(YEAR(CB$3)=YEAR($B$33),MONTH(CB$3)=MONTH($B$33)),$B$35,0)</x:f>
      </x:c>
      <x:c r="CC37" s="117" t="n">
        <x:f>IF(AND(YEAR(CC$3)=YEAR($B$33),MONTH(CC$3)=MONTH($B$33)),$B$35,0)</x:f>
      </x:c>
      <x:c r="CD37" s="117" t="n">
        <x:f>IF(AND(YEAR(CD$3)=YEAR($B$33),MONTH(CD$3)=MONTH($B$33)),$B$35,0)</x:f>
      </x:c>
      <x:c r="CE37" s="117" t="n">
        <x:f>IF(AND(YEAR(CE$3)=YEAR($B$33),MONTH(CE$3)=MONTH($B$33)),$B$35,0)</x:f>
      </x:c>
      <x:c r="CF37" s="117" t="n">
        <x:f>IF(AND(YEAR(CF$3)=YEAR($B$33),MONTH(CF$3)=MONTH($B$33)),$B$35,0)</x:f>
      </x:c>
      <x:c r="CG37" s="117" t="n">
        <x:f>IF(AND(YEAR(CG$3)=YEAR($B$33),MONTH(CG$3)=MONTH($B$33)),$B$35,0)</x:f>
      </x:c>
      <x:c r="CH37" s="117" t="n">
        <x:f>IF(AND(YEAR(CH$3)=YEAR($B$33),MONTH(CH$3)=MONTH($B$33)),$B$35,0)</x:f>
      </x:c>
      <x:c r="CI37" s="117" t="n">
        <x:f>IF(AND(YEAR(CI$3)=YEAR($B$33),MONTH(CI$3)=MONTH($B$33)),$B$35,0)</x:f>
      </x:c>
      <x:c r="CJ37" s="117" t="n">
        <x:f>IF(AND(YEAR(CJ$3)=YEAR($B$33),MONTH(CJ$3)=MONTH($B$33)),$B$35,0)</x:f>
      </x:c>
      <x:c r="CK37" s="117" t="n">
        <x:f>IF(AND(YEAR(CK$3)=YEAR($B$33),MONTH(CK$3)=MONTH($B$33)),$B$35,0)</x:f>
      </x:c>
      <x:c r="CL37" s="117" t="n">
        <x:f>IF(AND(YEAR(CL$3)=YEAR($B$33),MONTH(CL$3)=MONTH($B$33)),$B$35,0)</x:f>
      </x:c>
      <x:c r="CM37" s="117" t="n">
        <x:f>IF(AND(YEAR(CM$3)=YEAR($B$33),MONTH(CM$3)=MONTH($B$33)),$B$35,0)</x:f>
      </x:c>
      <x:c r="CN37" s="117" t="n">
        <x:f>IF(AND(YEAR(CN$3)=YEAR($B$33),MONTH(CN$3)=MONTH($B$33)),$B$35,0)</x:f>
      </x:c>
      <x:c r="CO37" s="117" t="n">
        <x:f>IF(AND(YEAR(CO$3)=YEAR($B$33),MONTH(CO$3)=MONTH($B$33)),$B$35,0)</x:f>
      </x:c>
      <x:c r="CP37" s="117" t="n">
        <x:f>IF(AND(YEAR(CP$3)=YEAR($B$33),MONTH(CP$3)=MONTH($B$33)),$B$35,0)</x:f>
      </x:c>
      <x:c r="CQ37" s="117" t="n">
        <x:f>IF(AND(YEAR(CQ$3)=YEAR($B$33),MONTH(CQ$3)=MONTH($B$33)),$B$35,0)</x:f>
      </x:c>
      <x:c r="CR37" s="117" t="n">
        <x:f>IF(AND(YEAR(CR$3)=YEAR($B$33),MONTH(CR$3)=MONTH($B$33)),$B$35,0)</x:f>
      </x:c>
      <x:c r="CS37" s="117" t="n">
        <x:f>IF(AND(YEAR(CS$3)=YEAR($B$33),MONTH(CS$3)=MONTH($B$33)),$B$35,0)</x:f>
      </x:c>
      <x:c r="CT37" s="117" t="n">
        <x:f>IF(AND(YEAR(CT$3)=YEAR($B$33),MONTH(CT$3)=MONTH($B$33)),$B$35,0)</x:f>
      </x:c>
      <x:c r="CU37" s="117" t="n">
        <x:f>IF(AND(YEAR(CU$3)=YEAR($B$33),MONTH(CU$3)=MONTH($B$33)),$B$35,0)</x:f>
      </x:c>
      <x:c r="CV37" s="117" t="n">
        <x:f>IF(AND(YEAR(CV$3)=YEAR($B$33),MONTH(CV$3)=MONTH($B$33)),$B$35,0)</x:f>
      </x:c>
      <x:c r="CW37" s="117" t="n">
        <x:f>IF(AND(YEAR(CW$3)=YEAR($B$33),MONTH(CW$3)=MONTH($B$33)),$B$35,0)</x:f>
      </x:c>
      <x:c r="CX37" s="117" t="n">
        <x:f>IF(AND(YEAR(CX$3)=YEAR($B$33),MONTH(CX$3)=MONTH($B$33)),$B$35,0)</x:f>
      </x:c>
      <x:c r="CY37" s="117" t="n">
        <x:f>IF(AND(YEAR(CY$3)=YEAR($B$33),MONTH(CY$3)=MONTH($B$33)),$B$35,0)</x:f>
      </x:c>
      <x:c r="CZ37" s="117" t="n">
        <x:f>IF(AND(YEAR(CZ$3)=YEAR($B$33),MONTH(CZ$3)=MONTH($B$33)),$B$35,0)</x:f>
      </x:c>
      <x:c r="DA37" s="117" t="n">
        <x:f>IF(AND(YEAR(DA$3)=YEAR($B$33),MONTH(DA$3)=MONTH($B$33)),$B$35,0)</x:f>
      </x:c>
      <x:c r="DB37" s="117" t="n">
        <x:f>IF(AND(YEAR(DB$3)=YEAR($B$33),MONTH(DB$3)=MONTH($B$33)),$B$35,0)</x:f>
      </x:c>
      <x:c r="DC37" s="117" t="n">
        <x:f>IF(AND(YEAR(DC$3)=YEAR($B$33),MONTH(DC$3)=MONTH($B$33)),$B$35,0)</x:f>
      </x:c>
      <x:c r="DD37" s="117" t="n">
        <x:f>IF(AND(YEAR(DD$3)=YEAR($B$33),MONTH(DD$3)=MONTH($B$33)),$B$35,0)</x:f>
      </x:c>
      <x:c r="DE37" s="117" t="n">
        <x:f>IF(AND(YEAR(DE$3)=YEAR($B$33),MONTH(DE$3)=MONTH($B$33)),$B$35,0)</x:f>
      </x:c>
      <x:c r="DF37" s="117" t="n">
        <x:f>IF(AND(YEAR(DF$3)=YEAR($B$33),MONTH(DF$3)=MONTH($B$33)),$B$35,0)</x:f>
      </x:c>
      <x:c r="DG37" s="117" t="n">
        <x:f>IF(AND(YEAR(DG$3)=YEAR($B$33),MONTH(DG$3)=MONTH($B$33)),$B$35,0)</x:f>
      </x:c>
      <x:c r="DH37" s="117" t="n">
        <x:f>IF(AND(YEAR(DH$3)=YEAR($B$33),MONTH(DH$3)=MONTH($B$33)),$B$35,0)</x:f>
      </x:c>
      <x:c r="DI37" s="117" t="n">
        <x:f>IF(AND(YEAR(DI$3)=YEAR($B$33),MONTH(DI$3)=MONTH($B$33)),$B$35,0)</x:f>
      </x:c>
      <x:c r="DJ37" s="117" t="n">
        <x:f>IF(AND(YEAR(DJ$3)=YEAR($B$33),MONTH(DJ$3)=MONTH($B$33)),$B$35,0)</x:f>
      </x:c>
      <x:c r="DK37" s="117" t="n">
        <x:f>IF(AND(YEAR(DK$3)=YEAR($B$33),MONTH(DK$3)=MONTH($B$33)),$B$35,0)</x:f>
      </x:c>
      <x:c r="DL37" s="117" t="n">
        <x:f>IF(AND(YEAR(DL$3)=YEAR($B$33),MONTH(DL$3)=MONTH($B$33)),$B$35,0)</x:f>
      </x:c>
      <x:c r="DM37" s="117" t="n">
        <x:f>IF(AND(YEAR(DM$3)=YEAR($B$33),MONTH(DM$3)=MONTH($B$33)),$B$35,0)</x:f>
      </x:c>
      <x:c r="DN37" s="117" t="n">
        <x:f>IF(AND(YEAR(DN$3)=YEAR($B$33),MONTH(DN$3)=MONTH($B$33)),$B$35,0)</x:f>
      </x:c>
      <x:c r="DO37" s="117" t="n">
        <x:f>IF(AND(YEAR(DO$3)=YEAR($B$33),MONTH(DO$3)=MONTH($B$33)),$B$35,0)</x:f>
      </x:c>
      <x:c r="DP37" s="117" t="n">
        <x:f>IF(AND(YEAR(DP$3)=YEAR($B$33),MONTH(DP$3)=MONTH($B$33)),$B$35,0)</x:f>
      </x:c>
      <x:c r="DQ37" s="117" t="n">
        <x:f>IF(AND(YEAR(DQ$3)=YEAR($B$33),MONTH(DQ$3)=MONTH($B$33)),$B$35,0)</x:f>
      </x:c>
      <x:c r="DR37" s="117" t="n">
        <x:f>IF(AND(YEAR(DR$3)=YEAR($B$33),MONTH(DR$3)=MONTH($B$33)),$B$35,0)</x:f>
      </x:c>
      <x:c r="DS37" s="117" t="n">
        <x:f>IF(AND(YEAR(DS$3)=YEAR($B$33),MONTH(DS$3)=MONTH($B$33)),$B$35,0)</x:f>
      </x:c>
      <x:c r="DT37" s="117" t="n">
        <x:f>IF(AND(YEAR(DT$3)=YEAR($B$33),MONTH(DT$3)=MONTH($B$33)),$B$35,0)</x:f>
      </x:c>
      <x:c r="DU37" s="117" t="n">
        <x:f>IF(AND(YEAR(DU$3)=YEAR($B$33),MONTH(DU$3)=MONTH($B$33)),$B$35,0)</x:f>
      </x:c>
      <x:c r="DV37" s="117" t="n">
        <x:f>IF(AND(YEAR(DV$3)=YEAR($B$33),MONTH(DV$3)=MONTH($B$33)),$B$35,0)</x:f>
      </x:c>
      <x:c r="DW37" s="117" t="n">
        <x:f>IF(AND(YEAR(DW$3)=YEAR($B$33),MONTH(DW$3)=MONTH($B$33)),$B$35,0)</x:f>
      </x:c>
      <x:c r="DX37" s="117" t="n">
        <x:f>IF(AND(YEAR(DX$3)=YEAR($B$33),MONTH(DX$3)=MONTH($B$33)),$B$35,0)</x:f>
      </x:c>
      <x:c r="DY37" s="117" t="n">
        <x:f>IF(AND(YEAR(DY$3)=YEAR($B$33),MONTH(DY$3)=MONTH($B$33)),$B$35,0)</x:f>
      </x:c>
      <x:c r="DZ37" s="117" t="n">
        <x:f>IF(AND(YEAR(DZ$3)=YEAR($B$33),MONTH(DZ$3)=MONTH($B$33)),$B$35,0)</x:f>
      </x:c>
      <x:c r="EA37" s="117" t="n">
        <x:f>IF(AND(YEAR(EA$3)=YEAR($B$33),MONTH(EA$3)=MONTH($B$33)),$B$35,0)</x:f>
      </x:c>
      <x:c r="EB37" s="117" t="n">
        <x:f>IF(AND(YEAR(EB$3)=YEAR($B$33),MONTH(EB$3)=MONTH($B$33)),$B$35,0)</x:f>
      </x:c>
      <x:c r="EC37" s="117" t="n">
        <x:f>IF(AND(YEAR(EC$3)=YEAR($B$33),MONTH(EC$3)=MONTH($B$33)),$B$35,0)</x:f>
      </x:c>
      <x:c r="ED37" s="117" t="n">
        <x:f>IF(AND(YEAR(ED$3)=YEAR($B$33),MONTH(ED$3)=MONTH($B$33)),$B$35,0)</x:f>
      </x:c>
      <x:c r="EE37" s="117" t="n">
        <x:f>IF(AND(YEAR(EE$3)=YEAR($B$33),MONTH(EE$3)=MONTH($B$33)),$B$35,0)</x:f>
      </x:c>
      <x:c r="EF37" s="117" t="n">
        <x:f>IF(AND(YEAR(EF$3)=YEAR($B$33),MONTH(EF$3)=MONTH($B$33)),$B$35,0)</x:f>
      </x:c>
      <x:c r="EG37" s="117" t="n">
        <x:f>IF(AND(YEAR(EG$3)=YEAR($B$33),MONTH(EG$3)=MONTH($B$33)),$B$35,0)</x:f>
      </x:c>
      <x:c r="EH37" s="117" t="n">
        <x:f>IF(AND(YEAR(EH$3)=YEAR($B$33),MONTH(EH$3)=MONTH($B$33)),$B$35,0)</x:f>
      </x:c>
      <x:c r="EI37" s="117" t="n">
        <x:f>IF(AND(YEAR(EI$3)=YEAR($B$33),MONTH(EI$3)=MONTH($B$33)),$B$35,0)</x:f>
      </x:c>
      <x:c r="EJ37" s="117" t="n">
        <x:f>IF(AND(YEAR(EJ$3)=YEAR($B$33),MONTH(EJ$3)=MONTH($B$33)),$B$35,0)</x:f>
      </x:c>
      <x:c r="EK37" s="117" t="n">
        <x:f>IF(AND(YEAR(EK$3)=YEAR($B$33),MONTH(EK$3)=MONTH($B$33)),$B$35,0)</x:f>
      </x:c>
      <x:c r="EL37" s="117" t="n">
        <x:f>IF(AND(YEAR(EL$3)=YEAR($B$33),MONTH(EL$3)=MONTH($B$33)),$B$35,0)</x:f>
      </x:c>
      <x:c r="EM37" s="117" t="n">
        <x:f>IF(AND(YEAR(EM$3)=YEAR($B$33),MONTH(EM$3)=MONTH($B$33)),$B$35,0)</x:f>
      </x:c>
      <x:c r="EN37" s="117" t="n">
        <x:f>IF(AND(YEAR(EN$3)=YEAR($B$33),MONTH(EN$3)=MONTH($B$33)),$B$35,0)</x:f>
      </x:c>
      <x:c r="EO37" s="117" t="n">
        <x:f>IF(AND(YEAR(EO$3)=YEAR($B$33),MONTH(EO$3)=MONTH($B$33)),$B$35,0)</x:f>
      </x:c>
      <x:c r="EP37" s="117" t="n">
        <x:f>IF(AND(YEAR(EP$3)=YEAR($B$33),MONTH(EP$3)=MONTH($B$33)),$B$35,0)</x:f>
      </x:c>
      <x:c r="EQ37" s="117" t="n">
        <x:f>IF(AND(YEAR(EQ$3)=YEAR($B$33),MONTH(EQ$3)=MONTH($B$33)),$B$35,0)</x:f>
      </x:c>
      <x:c r="ER37" s="117" t="n">
        <x:f>IF(AND(YEAR(ER$3)=YEAR($B$33),MONTH(ER$3)=MONTH($B$33)),$B$35,0)</x:f>
      </x:c>
      <x:c r="ES37" s="117" t="n">
        <x:f>IF(AND(YEAR(ES$3)=YEAR($B$33),MONTH(ES$3)=MONTH($B$33)),$B$35,0)</x:f>
      </x:c>
      <x:c r="ET37" s="117" t="n">
        <x:f>IF(AND(YEAR(ET$3)=YEAR($B$33),MONTH(ET$3)=MONTH($B$33)),$B$35,0)</x:f>
      </x:c>
      <x:c r="EU37" s="117" t="n">
        <x:f>IF(AND(YEAR(EU$3)=YEAR($B$33),MONTH(EU$3)=MONTH($B$33)),$B$35,0)</x:f>
      </x:c>
      <x:c r="EV37" s="117" t="n">
        <x:f>IF(AND(YEAR(EV$3)=YEAR($B$33),MONTH(EV$3)=MONTH($B$33)),$B$35,0)</x:f>
      </x:c>
      <x:c r="EW37" s="117" t="n">
        <x:f>IF(AND(YEAR(EW$3)=YEAR($B$33),MONTH(EW$3)=MONTH($B$33)),$B$35,0)</x:f>
      </x:c>
      <x:c r="EX37" s="117" t="n">
        <x:f>IF(AND(YEAR(EX$3)=YEAR($B$33),MONTH(EX$3)=MONTH($B$33)),$B$35,0)</x:f>
      </x:c>
      <x:c r="EY37" s="117" t="n">
        <x:f>IF(AND(YEAR(EY$3)=YEAR($B$33),MONTH(EY$3)=MONTH($B$33)),$B$35,0)</x:f>
      </x:c>
      <x:c r="EZ37" s="117" t="n">
        <x:f>IF(AND(YEAR(EZ$3)=YEAR($B$33),MONTH(EZ$3)=MONTH($B$33)),$B$35,0)</x:f>
      </x:c>
      <x:c r="FA37" s="117" t="n">
        <x:f>IF(AND(YEAR(FA$3)=YEAR($B$33),MONTH(FA$3)=MONTH($B$33)),$B$35,0)</x:f>
      </x:c>
      <x:c r="FB37" s="117" t="n">
        <x:f>IF(AND(YEAR(FB$3)=YEAR($B$33),MONTH(FB$3)=MONTH($B$33)),$B$35,0)</x:f>
      </x:c>
      <x:c r="FC37" s="117" t="n">
        <x:f>IF(AND(YEAR(FC$3)=YEAR($B$33),MONTH(FC$3)=MONTH($B$33)),$B$35,0)</x:f>
      </x:c>
      <x:c r="FD37" s="117" t="n">
        <x:f>IF(AND(YEAR(FD$3)=YEAR($B$33),MONTH(FD$3)=MONTH($B$33)),$B$35,0)</x:f>
      </x:c>
      <x:c r="FE37" s="117" t="n">
        <x:f>IF(AND(YEAR(FE$3)=YEAR($B$33),MONTH(FE$3)=MONTH($B$33)),$B$35,0)</x:f>
      </x:c>
      <x:c r="FF37" s="117" t="n">
        <x:f>IF(AND(YEAR(FF$3)=YEAR($B$33),MONTH(FF$3)=MONTH($B$33)),$B$35,0)</x:f>
      </x:c>
      <x:c r="FG37" s="117" t="n">
        <x:f>IF(AND(YEAR(FG$3)=YEAR($B$33),MONTH(FG$3)=MONTH($B$33)),$B$35,0)</x:f>
      </x:c>
      <x:c r="FH37" s="117" t="n">
        <x:f>IF(AND(YEAR(FH$3)=YEAR($B$33),MONTH(FH$3)=MONTH($B$33)),$B$35,0)</x:f>
      </x:c>
      <x:c r="FI37" s="117" t="n">
        <x:f>IF(AND(YEAR(FI$3)=YEAR($B$33),MONTH(FI$3)=MONTH($B$33)),$B$35,0)</x:f>
      </x:c>
      <x:c r="FJ37" s="117" t="n">
        <x:f>IF(AND(YEAR(FJ$3)=YEAR($B$33),MONTH(FJ$3)=MONTH($B$33)),$B$35,0)</x:f>
      </x:c>
      <x:c r="FK37" s="117" t="n">
        <x:f>IF(AND(YEAR(FK$3)=YEAR($B$33),MONTH(FK$3)=MONTH($B$33)),$B$35,0)</x:f>
      </x:c>
      <x:c r="FL37" s="117" t="n">
        <x:f>IF(AND(YEAR(FL$3)=YEAR($B$33),MONTH(FL$3)=MONTH($B$33)),$B$35,0)</x:f>
      </x:c>
      <x:c r="FM37" s="117" t="n">
        <x:f>IF(AND(YEAR(FM$3)=YEAR($B$33),MONTH(FM$3)=MONTH($B$33)),$B$35,0)</x:f>
      </x:c>
      <x:c r="FN37" s="117" t="n">
        <x:f>IF(AND(YEAR(FN$3)=YEAR($B$33),MONTH(FN$3)=MONTH($B$33)),$B$35,0)</x:f>
      </x:c>
      <x:c r="FO37" s="117" t="n">
        <x:f>IF(AND(YEAR(FO$3)=YEAR($B$33),MONTH(FO$3)=MONTH($B$33)),$B$35,0)</x:f>
      </x:c>
      <x:c r="FP37" s="117" t="n">
        <x:f>IF(AND(YEAR(FP$3)=YEAR($B$33),MONTH(FP$3)=MONTH($B$33)),$B$35,0)</x:f>
      </x:c>
      <x:c r="FQ37" s="117" t="n">
        <x:f>IF(AND(YEAR(FQ$3)=YEAR($B$33),MONTH(FQ$3)=MONTH($B$33)),$B$35,0)</x:f>
      </x:c>
      <x:c r="FR37" s="117" t="n">
        <x:f>IF(AND(YEAR(FR$3)=YEAR($B$33),MONTH(FR$3)=MONTH($B$33)),$B$35,0)</x:f>
      </x:c>
      <x:c r="FS37" s="117" t="n">
        <x:f>IF(AND(YEAR(FS$3)=YEAR($B$33),MONTH(FS$3)=MONTH($B$33)),$B$35,0)</x:f>
      </x:c>
      <x:c r="FT37" s="117" t="n">
        <x:f>IF(AND(YEAR(FT$3)=YEAR($B$33),MONTH(FT$3)=MONTH($B$33)),$B$35,0)</x:f>
      </x:c>
      <x:c r="FU37" s="117" t="n">
        <x:f>IF(AND(YEAR(FU$3)=YEAR($B$33),MONTH(FU$3)=MONTH($B$33)),$B$35,0)</x:f>
      </x:c>
      <x:c r="FV37" s="117" t="n">
        <x:f>IF(AND(YEAR(FV$3)=YEAR($B$33),MONTH(FV$3)=MONTH($B$33)),$B$35,0)</x:f>
      </x:c>
      <x:c r="FW37" s="117" t="n">
        <x:f>IF(AND(YEAR(FW$3)=YEAR($B$33),MONTH(FW$3)=MONTH($B$33)),$B$35,0)</x:f>
      </x:c>
      <x:c r="FX37" s="117" t="n">
        <x:f>IF(AND(YEAR(FX$3)=YEAR($B$33),MONTH(FX$3)=MONTH($B$33)),$B$35,0)</x:f>
      </x:c>
      <x:c r="FY37" s="117" t="n">
        <x:f>IF(AND(YEAR(FY$3)=YEAR($B$33),MONTH(FY$3)=MONTH($B$33)),$B$35,0)</x:f>
      </x:c>
      <x:c r="FZ37" s="117" t="n">
        <x:f>IF(AND(YEAR(FZ$3)=YEAR($B$33),MONTH(FZ$3)=MONTH($B$33)),$B$35,0)</x:f>
      </x:c>
      <x:c r="GA37" s="117" t="n">
        <x:f>IF(AND(YEAR(GA$3)=YEAR($B$33),MONTH(GA$3)=MONTH($B$33)),$B$35,0)</x:f>
      </x:c>
    </x:row>
    <x:row r="38">
      <x:c r="A38" t="str">
        <x:v>Погашение основного долга</x:v>
      </x:c>
      <x:c r="B38" s="107" t="n">
        <x:f>SUM(D38:GA38)</x:f>
      </x:c>
      <x:c r="C38" t="str">
        <x:v>млн ₽</x:v>
      </x:c>
      <x:c r="D38" s="117" t="n">
        <x:f>MIN(D36+D37,IF('Вводные'!$B$75="Единовременно",D37,IF(AND('Вводные'!$B$84="Да",YEAR(D$3)=YEAR($B$34),MONTH(D$3)=MONTH($B$34)),D36+D37,IF(AND((12*(YEAR(D$3)-YEAR($B$33))+MONTH(D$3)-MONTH($B$33))&gt;0,MOD((12*(YEAR(D$3)-YEAR($B$33))+MONTH(D$3)-MONTH($B$33)),'Вводные'!$B$78)=0,(12*(YEAR(D$3)-YEAR($B$33))+MONTH(D$3)-MONTH($B$33))&lt;='Вводные'!$B$77*12),$B$35/MAX(1,'Вводные'!$B$79),0))))</x:f>
      </x:c>
      <x:c r="E38" s="117" t="n">
        <x:f>MIN(E36+E37,IF('Вводные'!$B$75="Единовременно",E37,IF(AND('Вводные'!$B$84="Да",YEAR(E$3)=YEAR($B$34),MONTH(E$3)=MONTH($B$34)),E36+E37,IF(AND((12*(YEAR(E$3)-YEAR($B$33))+MONTH(E$3)-MONTH($B$33))&gt;0,MOD((12*(YEAR(E$3)-YEAR($B$33))+MONTH(E$3)-MONTH($B$33)),'Вводные'!$B$78)=0,(12*(YEAR(E$3)-YEAR($B$33))+MONTH(E$3)-MONTH($B$33))&lt;='Вводные'!$B$77*12),$B$35/MAX(1,'Вводные'!$B$79),0))))</x:f>
      </x:c>
      <x:c r="F38" s="117" t="n">
        <x:f>MIN(F36+F37,IF('Вводные'!$B$75="Единовременно",F37,IF(AND('Вводные'!$B$84="Да",YEAR(F$3)=YEAR($B$34),MONTH(F$3)=MONTH($B$34)),F36+F37,IF(AND((12*(YEAR(F$3)-YEAR($B$33))+MONTH(F$3)-MONTH($B$33))&gt;0,MOD((12*(YEAR(F$3)-YEAR($B$33))+MONTH(F$3)-MONTH($B$33)),'Вводные'!$B$78)=0,(12*(YEAR(F$3)-YEAR($B$33))+MONTH(F$3)-MONTH($B$33))&lt;='Вводные'!$B$77*12),$B$35/MAX(1,'Вводные'!$B$79),0))))</x:f>
      </x:c>
      <x:c r="G38" s="117" t="n">
        <x:f>MIN(G36+G37,IF('Вводные'!$B$75="Единовременно",G37,IF(AND('Вводные'!$B$84="Да",YEAR(G$3)=YEAR($B$34),MONTH(G$3)=MONTH($B$34)),G36+G37,IF(AND((12*(YEAR(G$3)-YEAR($B$33))+MONTH(G$3)-MONTH($B$33))&gt;0,MOD((12*(YEAR(G$3)-YEAR($B$33))+MONTH(G$3)-MONTH($B$33)),'Вводные'!$B$78)=0,(12*(YEAR(G$3)-YEAR($B$33))+MONTH(G$3)-MONTH($B$33))&lt;='Вводные'!$B$77*12),$B$35/MAX(1,'Вводные'!$B$79),0))))</x:f>
      </x:c>
      <x:c r="H38" s="117" t="n">
        <x:f>MIN(H36+H37,IF('Вводные'!$B$75="Единовременно",H37,IF(AND('Вводные'!$B$84="Да",YEAR(H$3)=YEAR($B$34),MONTH(H$3)=MONTH($B$34)),H36+H37,IF(AND((12*(YEAR(H$3)-YEAR($B$33))+MONTH(H$3)-MONTH($B$33))&gt;0,MOD((12*(YEAR(H$3)-YEAR($B$33))+MONTH(H$3)-MONTH($B$33)),'Вводные'!$B$78)=0,(12*(YEAR(H$3)-YEAR($B$33))+MONTH(H$3)-MONTH($B$33))&lt;='Вводные'!$B$77*12),$B$35/MAX(1,'Вводные'!$B$79),0))))</x:f>
      </x:c>
      <x:c r="I38" s="117" t="n">
        <x:f>MIN(I36+I37,IF('Вводные'!$B$75="Единовременно",I37,IF(AND('Вводные'!$B$84="Да",YEAR(I$3)=YEAR($B$34),MONTH(I$3)=MONTH($B$34)),I36+I37,IF(AND((12*(YEAR(I$3)-YEAR($B$33))+MONTH(I$3)-MONTH($B$33))&gt;0,MOD((12*(YEAR(I$3)-YEAR($B$33))+MONTH(I$3)-MONTH($B$33)),'Вводные'!$B$78)=0,(12*(YEAR(I$3)-YEAR($B$33))+MONTH(I$3)-MONTH($B$33))&lt;='Вводные'!$B$77*12),$B$35/MAX(1,'Вводные'!$B$79),0))))</x:f>
      </x:c>
      <x:c r="J38" s="117" t="n">
        <x:f>MIN(J36+J37,IF('Вводные'!$B$75="Единовременно",J37,IF(AND('Вводные'!$B$84="Да",YEAR(J$3)=YEAR($B$34),MONTH(J$3)=MONTH($B$34)),J36+J37,IF(AND((12*(YEAR(J$3)-YEAR($B$33))+MONTH(J$3)-MONTH($B$33))&gt;0,MOD((12*(YEAR(J$3)-YEAR($B$33))+MONTH(J$3)-MONTH($B$33)),'Вводные'!$B$78)=0,(12*(YEAR(J$3)-YEAR($B$33))+MONTH(J$3)-MONTH($B$33))&lt;='Вводные'!$B$77*12),$B$35/MAX(1,'Вводные'!$B$79),0))))</x:f>
      </x:c>
      <x:c r="K38" s="117" t="n">
        <x:f>MIN(K36+K37,IF('Вводные'!$B$75="Единовременно",K37,IF(AND('Вводные'!$B$84="Да",YEAR(K$3)=YEAR($B$34),MONTH(K$3)=MONTH($B$34)),K36+K37,IF(AND((12*(YEAR(K$3)-YEAR($B$33))+MONTH(K$3)-MONTH($B$33))&gt;0,MOD((12*(YEAR(K$3)-YEAR($B$33))+MONTH(K$3)-MONTH($B$33)),'Вводные'!$B$78)=0,(12*(YEAR(K$3)-YEAR($B$33))+MONTH(K$3)-MONTH($B$33))&lt;='Вводные'!$B$77*12),$B$35/MAX(1,'Вводные'!$B$79),0))))</x:f>
      </x:c>
      <x:c r="L38" s="117" t="n">
        <x:f>MIN(L36+L37,IF('Вводные'!$B$75="Единовременно",L37,IF(AND('Вводные'!$B$84="Да",YEAR(L$3)=YEAR($B$34),MONTH(L$3)=MONTH($B$34)),L36+L37,IF(AND((12*(YEAR(L$3)-YEAR($B$33))+MONTH(L$3)-MONTH($B$33))&gt;0,MOD((12*(YEAR(L$3)-YEAR($B$33))+MONTH(L$3)-MONTH($B$33)),'Вводные'!$B$78)=0,(12*(YEAR(L$3)-YEAR($B$33))+MONTH(L$3)-MONTH($B$33))&lt;='Вводные'!$B$77*12),$B$35/MAX(1,'Вводные'!$B$79),0))))</x:f>
      </x:c>
      <x:c r="M38" s="117" t="n">
        <x:f>MIN(M36+M37,IF('Вводные'!$B$75="Единовременно",M37,IF(AND('Вводные'!$B$84="Да",YEAR(M$3)=YEAR($B$34),MONTH(M$3)=MONTH($B$34)),M36+M37,IF(AND((12*(YEAR(M$3)-YEAR($B$33))+MONTH(M$3)-MONTH($B$33))&gt;0,MOD((12*(YEAR(M$3)-YEAR($B$33))+MONTH(M$3)-MONTH($B$33)),'Вводные'!$B$78)=0,(12*(YEAR(M$3)-YEAR($B$33))+MONTH(M$3)-MONTH($B$33))&lt;='Вводные'!$B$77*12),$B$35/MAX(1,'Вводные'!$B$79),0))))</x:f>
      </x:c>
      <x:c r="N38" s="117" t="n">
        <x:f>MIN(N36+N37,IF('Вводные'!$B$75="Единовременно",N37,IF(AND('Вводные'!$B$84="Да",YEAR(N$3)=YEAR($B$34),MONTH(N$3)=MONTH($B$34)),N36+N37,IF(AND((12*(YEAR(N$3)-YEAR($B$33))+MONTH(N$3)-MONTH($B$33))&gt;0,MOD((12*(YEAR(N$3)-YEAR($B$33))+MONTH(N$3)-MONTH($B$33)),'Вводные'!$B$78)=0,(12*(YEAR(N$3)-YEAR($B$33))+MONTH(N$3)-MONTH($B$33))&lt;='Вводные'!$B$77*12),$B$35/MAX(1,'Вводные'!$B$79),0))))</x:f>
      </x:c>
      <x:c r="O38" s="117" t="n">
        <x:f>MIN(O36+O37,IF('Вводные'!$B$75="Единовременно",O37,IF(AND('Вводные'!$B$84="Да",YEAR(O$3)=YEAR($B$34),MONTH(O$3)=MONTH($B$34)),O36+O37,IF(AND((12*(YEAR(O$3)-YEAR($B$33))+MONTH(O$3)-MONTH($B$33))&gt;0,MOD((12*(YEAR(O$3)-YEAR($B$33))+MONTH(O$3)-MONTH($B$33)),'Вводные'!$B$78)=0,(12*(YEAR(O$3)-YEAR($B$33))+MONTH(O$3)-MONTH($B$33))&lt;='Вводные'!$B$77*12),$B$35/MAX(1,'Вводные'!$B$79),0))))</x:f>
      </x:c>
      <x:c r="P38" s="117" t="n">
        <x:f>MIN(P36+P37,IF('Вводные'!$B$75="Единовременно",P37,IF(AND('Вводные'!$B$84="Да",YEAR(P$3)=YEAR($B$34),MONTH(P$3)=MONTH($B$34)),P36+P37,IF(AND((12*(YEAR(P$3)-YEAR($B$33))+MONTH(P$3)-MONTH($B$33))&gt;0,MOD((12*(YEAR(P$3)-YEAR($B$33))+MONTH(P$3)-MONTH($B$33)),'Вводные'!$B$78)=0,(12*(YEAR(P$3)-YEAR($B$33))+MONTH(P$3)-MONTH($B$33))&lt;='Вводные'!$B$77*12),$B$35/MAX(1,'Вводные'!$B$79),0))))</x:f>
      </x:c>
      <x:c r="Q38" s="117" t="n">
        <x:f>MIN(Q36+Q37,IF('Вводные'!$B$75="Единовременно",Q37,IF(AND('Вводные'!$B$84="Да",YEAR(Q$3)=YEAR($B$34),MONTH(Q$3)=MONTH($B$34)),Q36+Q37,IF(AND((12*(YEAR(Q$3)-YEAR($B$33))+MONTH(Q$3)-MONTH($B$33))&gt;0,MOD((12*(YEAR(Q$3)-YEAR($B$33))+MONTH(Q$3)-MONTH($B$33)),'Вводные'!$B$78)=0,(12*(YEAR(Q$3)-YEAR($B$33))+MONTH(Q$3)-MONTH($B$33))&lt;='Вводные'!$B$77*12),$B$35/MAX(1,'Вводные'!$B$79),0))))</x:f>
      </x:c>
      <x:c r="R38" s="117" t="n">
        <x:f>MIN(R36+R37,IF('Вводные'!$B$75="Единовременно",R37,IF(AND('Вводные'!$B$84="Да",YEAR(R$3)=YEAR($B$34),MONTH(R$3)=MONTH($B$34)),R36+R37,IF(AND((12*(YEAR(R$3)-YEAR($B$33))+MONTH(R$3)-MONTH($B$33))&gt;0,MOD((12*(YEAR(R$3)-YEAR($B$33))+MONTH(R$3)-MONTH($B$33)),'Вводные'!$B$78)=0,(12*(YEAR(R$3)-YEAR($B$33))+MONTH(R$3)-MONTH($B$33))&lt;='Вводные'!$B$77*12),$B$35/MAX(1,'Вводные'!$B$79),0))))</x:f>
      </x:c>
      <x:c r="S38" s="117" t="n">
        <x:f>MIN(S36+S37,IF('Вводные'!$B$75="Единовременно",S37,IF(AND('Вводные'!$B$84="Да",YEAR(S$3)=YEAR($B$34),MONTH(S$3)=MONTH($B$34)),S36+S37,IF(AND((12*(YEAR(S$3)-YEAR($B$33))+MONTH(S$3)-MONTH($B$33))&gt;0,MOD((12*(YEAR(S$3)-YEAR($B$33))+MONTH(S$3)-MONTH($B$33)),'Вводные'!$B$78)=0,(12*(YEAR(S$3)-YEAR($B$33))+MONTH(S$3)-MONTH($B$33))&lt;='Вводные'!$B$77*12),$B$35/MAX(1,'Вводные'!$B$79),0))))</x:f>
      </x:c>
      <x:c r="T38" s="117" t="n">
        <x:f>MIN(T36+T37,IF('Вводные'!$B$75="Единовременно",T37,IF(AND('Вводные'!$B$84="Да",YEAR(T$3)=YEAR($B$34),MONTH(T$3)=MONTH($B$34)),T36+T37,IF(AND((12*(YEAR(T$3)-YEAR($B$33))+MONTH(T$3)-MONTH($B$33))&gt;0,MOD((12*(YEAR(T$3)-YEAR($B$33))+MONTH(T$3)-MONTH($B$33)),'Вводные'!$B$78)=0,(12*(YEAR(T$3)-YEAR($B$33))+MONTH(T$3)-MONTH($B$33))&lt;='Вводные'!$B$77*12),$B$35/MAX(1,'Вводные'!$B$79),0))))</x:f>
      </x:c>
      <x:c r="U38" s="117" t="n">
        <x:f>MIN(U36+U37,IF('Вводные'!$B$75="Единовременно",U37,IF(AND('Вводные'!$B$84="Да",YEAR(U$3)=YEAR($B$34),MONTH(U$3)=MONTH($B$34)),U36+U37,IF(AND((12*(YEAR(U$3)-YEAR($B$33))+MONTH(U$3)-MONTH($B$33))&gt;0,MOD((12*(YEAR(U$3)-YEAR($B$33))+MONTH(U$3)-MONTH($B$33)),'Вводные'!$B$78)=0,(12*(YEAR(U$3)-YEAR($B$33))+MONTH(U$3)-MONTH($B$33))&lt;='Вводные'!$B$77*12),$B$35/MAX(1,'Вводные'!$B$79),0))))</x:f>
      </x:c>
      <x:c r="V38" s="117" t="n">
        <x:f>MIN(V36+V37,IF('Вводные'!$B$75="Единовременно",V37,IF(AND('Вводные'!$B$84="Да",YEAR(V$3)=YEAR($B$34),MONTH(V$3)=MONTH($B$34)),V36+V37,IF(AND((12*(YEAR(V$3)-YEAR($B$33))+MONTH(V$3)-MONTH($B$33))&gt;0,MOD((12*(YEAR(V$3)-YEAR($B$33))+MONTH(V$3)-MONTH($B$33)),'Вводные'!$B$78)=0,(12*(YEAR(V$3)-YEAR($B$33))+MONTH(V$3)-MONTH($B$33))&lt;='Вводные'!$B$77*12),$B$35/MAX(1,'Вводные'!$B$79),0))))</x:f>
      </x:c>
      <x:c r="W38" s="117" t="n">
        <x:f>MIN(W36+W37,IF('Вводные'!$B$75="Единовременно",W37,IF(AND('Вводные'!$B$84="Да",YEAR(W$3)=YEAR($B$34),MONTH(W$3)=MONTH($B$34)),W36+W37,IF(AND((12*(YEAR(W$3)-YEAR($B$33))+MONTH(W$3)-MONTH($B$33))&gt;0,MOD((12*(YEAR(W$3)-YEAR($B$33))+MONTH(W$3)-MONTH($B$33)),'Вводные'!$B$78)=0,(12*(YEAR(W$3)-YEAR($B$33))+MONTH(W$3)-MONTH($B$33))&lt;='Вводные'!$B$77*12),$B$35/MAX(1,'Вводные'!$B$79),0))))</x:f>
      </x:c>
      <x:c r="X38" s="117" t="n">
        <x:f>MIN(X36+X37,IF('Вводные'!$B$75="Единовременно",X37,IF(AND('Вводные'!$B$84="Да",YEAR(X$3)=YEAR($B$34),MONTH(X$3)=MONTH($B$34)),X36+X37,IF(AND((12*(YEAR(X$3)-YEAR($B$33))+MONTH(X$3)-MONTH($B$33))&gt;0,MOD((12*(YEAR(X$3)-YEAR($B$33))+MONTH(X$3)-MONTH($B$33)),'Вводные'!$B$78)=0,(12*(YEAR(X$3)-YEAR($B$33))+MONTH(X$3)-MONTH($B$33))&lt;='Вводные'!$B$77*12),$B$35/MAX(1,'Вводные'!$B$79),0))))</x:f>
      </x:c>
      <x:c r="Y38" s="117" t="n">
        <x:f>MIN(Y36+Y37,IF('Вводные'!$B$75="Единовременно",Y37,IF(AND('Вводные'!$B$84="Да",YEAR(Y$3)=YEAR($B$34),MONTH(Y$3)=MONTH($B$34)),Y36+Y37,IF(AND((12*(YEAR(Y$3)-YEAR($B$33))+MONTH(Y$3)-MONTH($B$33))&gt;0,MOD((12*(YEAR(Y$3)-YEAR($B$33))+MONTH(Y$3)-MONTH($B$33)),'Вводные'!$B$78)=0,(12*(YEAR(Y$3)-YEAR($B$33))+MONTH(Y$3)-MONTH($B$33))&lt;='Вводные'!$B$77*12),$B$35/MAX(1,'Вводные'!$B$79),0))))</x:f>
      </x:c>
      <x:c r="Z38" s="117" t="n">
        <x:f>MIN(Z36+Z37,IF('Вводные'!$B$75="Единовременно",Z37,IF(AND('Вводные'!$B$84="Да",YEAR(Z$3)=YEAR($B$34),MONTH(Z$3)=MONTH($B$34)),Z36+Z37,IF(AND((12*(YEAR(Z$3)-YEAR($B$33))+MONTH(Z$3)-MONTH($B$33))&gt;0,MOD((12*(YEAR(Z$3)-YEAR($B$33))+MONTH(Z$3)-MONTH($B$33)),'Вводные'!$B$78)=0,(12*(YEAR(Z$3)-YEAR($B$33))+MONTH(Z$3)-MONTH($B$33))&lt;='Вводные'!$B$77*12),$B$35/MAX(1,'Вводные'!$B$79),0))))</x:f>
      </x:c>
      <x:c r="AA38" s="117" t="n">
        <x:f>MIN(AA36+AA37,IF('Вводные'!$B$75="Единовременно",AA37,IF(AND('Вводные'!$B$84="Да",YEAR(AA$3)=YEAR($B$34),MONTH(AA$3)=MONTH($B$34)),AA36+AA37,IF(AND((12*(YEAR(AA$3)-YEAR($B$33))+MONTH(AA$3)-MONTH($B$33))&gt;0,MOD((12*(YEAR(AA$3)-YEAR($B$33))+MONTH(AA$3)-MONTH($B$33)),'Вводные'!$B$78)=0,(12*(YEAR(AA$3)-YEAR($B$33))+MONTH(AA$3)-MONTH($B$33))&lt;='Вводные'!$B$77*12),$B$35/MAX(1,'Вводные'!$B$79),0))))</x:f>
      </x:c>
      <x:c r="AB38" s="117" t="n">
        <x:f>MIN(AB36+AB37,IF('Вводные'!$B$75="Единовременно",AB37,IF(AND('Вводные'!$B$84="Да",YEAR(AB$3)=YEAR($B$34),MONTH(AB$3)=MONTH($B$34)),AB36+AB37,IF(AND((12*(YEAR(AB$3)-YEAR($B$33))+MONTH(AB$3)-MONTH($B$33))&gt;0,MOD((12*(YEAR(AB$3)-YEAR($B$33))+MONTH(AB$3)-MONTH($B$33)),'Вводные'!$B$78)=0,(12*(YEAR(AB$3)-YEAR($B$33))+MONTH(AB$3)-MONTH($B$33))&lt;='Вводные'!$B$77*12),$B$35/MAX(1,'Вводные'!$B$79),0))))</x:f>
      </x:c>
      <x:c r="AC38" s="117" t="n">
        <x:f>MIN(AC36+AC37,IF('Вводные'!$B$75="Единовременно",AC37,IF(AND('Вводные'!$B$84="Да",YEAR(AC$3)=YEAR($B$34),MONTH(AC$3)=MONTH($B$34)),AC36+AC37,IF(AND((12*(YEAR(AC$3)-YEAR($B$33))+MONTH(AC$3)-MONTH($B$33))&gt;0,MOD((12*(YEAR(AC$3)-YEAR($B$33))+MONTH(AC$3)-MONTH($B$33)),'Вводные'!$B$78)=0,(12*(YEAR(AC$3)-YEAR($B$33))+MONTH(AC$3)-MONTH($B$33))&lt;='Вводные'!$B$77*12),$B$35/MAX(1,'Вводные'!$B$79),0))))</x:f>
      </x:c>
      <x:c r="AD38" s="117" t="n">
        <x:f>MIN(AD36+AD37,IF('Вводные'!$B$75="Единовременно",AD37,IF(AND('Вводные'!$B$84="Да",YEAR(AD$3)=YEAR($B$34),MONTH(AD$3)=MONTH($B$34)),AD36+AD37,IF(AND((12*(YEAR(AD$3)-YEAR($B$33))+MONTH(AD$3)-MONTH($B$33))&gt;0,MOD((12*(YEAR(AD$3)-YEAR($B$33))+MONTH(AD$3)-MONTH($B$33)),'Вводные'!$B$78)=0,(12*(YEAR(AD$3)-YEAR($B$33))+MONTH(AD$3)-MONTH($B$33))&lt;='Вводные'!$B$77*12),$B$35/MAX(1,'Вводные'!$B$79),0))))</x:f>
      </x:c>
      <x:c r="AE38" s="117" t="n">
        <x:f>MIN(AE36+AE37,IF('Вводные'!$B$75="Единовременно",AE37,IF(AND('Вводные'!$B$84="Да",YEAR(AE$3)=YEAR($B$34),MONTH(AE$3)=MONTH($B$34)),AE36+AE37,IF(AND((12*(YEAR(AE$3)-YEAR($B$33))+MONTH(AE$3)-MONTH($B$33))&gt;0,MOD((12*(YEAR(AE$3)-YEAR($B$33))+MONTH(AE$3)-MONTH($B$33)),'Вводные'!$B$78)=0,(12*(YEAR(AE$3)-YEAR($B$33))+MONTH(AE$3)-MONTH($B$33))&lt;='Вводные'!$B$77*12),$B$35/MAX(1,'Вводные'!$B$79),0))))</x:f>
      </x:c>
      <x:c r="AF38" s="117" t="n">
        <x:f>MIN(AF36+AF37,IF('Вводные'!$B$75="Единовременно",AF37,IF(AND('Вводные'!$B$84="Да",YEAR(AF$3)=YEAR($B$34),MONTH(AF$3)=MONTH($B$34)),AF36+AF37,IF(AND((12*(YEAR(AF$3)-YEAR($B$33))+MONTH(AF$3)-MONTH($B$33))&gt;0,MOD((12*(YEAR(AF$3)-YEAR($B$33))+MONTH(AF$3)-MONTH($B$33)),'Вводные'!$B$78)=0,(12*(YEAR(AF$3)-YEAR($B$33))+MONTH(AF$3)-MONTH($B$33))&lt;='Вводные'!$B$77*12),$B$35/MAX(1,'Вводные'!$B$79),0))))</x:f>
      </x:c>
      <x:c r="AG38" s="117" t="n">
        <x:f>MIN(AG36+AG37,IF('Вводные'!$B$75="Единовременно",AG37,IF(AND('Вводные'!$B$84="Да",YEAR(AG$3)=YEAR($B$34),MONTH(AG$3)=MONTH($B$34)),AG36+AG37,IF(AND((12*(YEAR(AG$3)-YEAR($B$33))+MONTH(AG$3)-MONTH($B$33))&gt;0,MOD((12*(YEAR(AG$3)-YEAR($B$33))+MONTH(AG$3)-MONTH($B$33)),'Вводные'!$B$78)=0,(12*(YEAR(AG$3)-YEAR($B$33))+MONTH(AG$3)-MONTH($B$33))&lt;='Вводные'!$B$77*12),$B$35/MAX(1,'Вводные'!$B$79),0))))</x:f>
      </x:c>
      <x:c r="AH38" s="117" t="n">
        <x:f>MIN(AH36+AH37,IF('Вводные'!$B$75="Единовременно",AH37,IF(AND('Вводные'!$B$84="Да",YEAR(AH$3)=YEAR($B$34),MONTH(AH$3)=MONTH($B$34)),AH36+AH37,IF(AND((12*(YEAR(AH$3)-YEAR($B$33))+MONTH(AH$3)-MONTH($B$33))&gt;0,MOD((12*(YEAR(AH$3)-YEAR($B$33))+MONTH(AH$3)-MONTH($B$33)),'Вводные'!$B$78)=0,(12*(YEAR(AH$3)-YEAR($B$33))+MONTH(AH$3)-MONTH($B$33))&lt;='Вводные'!$B$77*12),$B$35/MAX(1,'Вводные'!$B$79),0))))</x:f>
      </x:c>
      <x:c r="AI38" s="117" t="n">
        <x:f>MIN(AI36+AI37,IF('Вводные'!$B$75="Единовременно",AI37,IF(AND('Вводные'!$B$84="Да",YEAR(AI$3)=YEAR($B$34),MONTH(AI$3)=MONTH($B$34)),AI36+AI37,IF(AND((12*(YEAR(AI$3)-YEAR($B$33))+MONTH(AI$3)-MONTH($B$33))&gt;0,MOD((12*(YEAR(AI$3)-YEAR($B$33))+MONTH(AI$3)-MONTH($B$33)),'Вводные'!$B$78)=0,(12*(YEAR(AI$3)-YEAR($B$33))+MONTH(AI$3)-MONTH($B$33))&lt;='Вводные'!$B$77*12),$B$35/MAX(1,'Вводные'!$B$79),0))))</x:f>
      </x:c>
      <x:c r="AJ38" s="117" t="n">
        <x:f>MIN(AJ36+AJ37,IF('Вводные'!$B$75="Единовременно",AJ37,IF(AND('Вводные'!$B$84="Да",YEAR(AJ$3)=YEAR($B$34),MONTH(AJ$3)=MONTH($B$34)),AJ36+AJ37,IF(AND((12*(YEAR(AJ$3)-YEAR($B$33))+MONTH(AJ$3)-MONTH($B$33))&gt;0,MOD((12*(YEAR(AJ$3)-YEAR($B$33))+MONTH(AJ$3)-MONTH($B$33)),'Вводные'!$B$78)=0,(12*(YEAR(AJ$3)-YEAR($B$33))+MONTH(AJ$3)-MONTH($B$33))&lt;='Вводные'!$B$77*12),$B$35/MAX(1,'Вводные'!$B$79),0))))</x:f>
      </x:c>
      <x:c r="AK38" s="117" t="n">
        <x:f>MIN(AK36+AK37,IF('Вводные'!$B$75="Единовременно",AK37,IF(AND('Вводные'!$B$84="Да",YEAR(AK$3)=YEAR($B$34),MONTH(AK$3)=MONTH($B$34)),AK36+AK37,IF(AND((12*(YEAR(AK$3)-YEAR($B$33))+MONTH(AK$3)-MONTH($B$33))&gt;0,MOD((12*(YEAR(AK$3)-YEAR($B$33))+MONTH(AK$3)-MONTH($B$33)),'Вводные'!$B$78)=0,(12*(YEAR(AK$3)-YEAR($B$33))+MONTH(AK$3)-MONTH($B$33))&lt;='Вводные'!$B$77*12),$B$35/MAX(1,'Вводные'!$B$79),0))))</x:f>
      </x:c>
      <x:c r="AL38" s="117" t="n">
        <x:f>MIN(AL36+AL37,IF('Вводные'!$B$75="Единовременно",AL37,IF(AND('Вводные'!$B$84="Да",YEAR(AL$3)=YEAR($B$34),MONTH(AL$3)=MONTH($B$34)),AL36+AL37,IF(AND((12*(YEAR(AL$3)-YEAR($B$33))+MONTH(AL$3)-MONTH($B$33))&gt;0,MOD((12*(YEAR(AL$3)-YEAR($B$33))+MONTH(AL$3)-MONTH($B$33)),'Вводные'!$B$78)=0,(12*(YEAR(AL$3)-YEAR($B$33))+MONTH(AL$3)-MONTH($B$33))&lt;='Вводные'!$B$77*12),$B$35/MAX(1,'Вводные'!$B$79),0))))</x:f>
      </x:c>
      <x:c r="AM38" s="117" t="n">
        <x:f>MIN(AM36+AM37,IF('Вводные'!$B$75="Единовременно",AM37,IF(AND('Вводные'!$B$84="Да",YEAR(AM$3)=YEAR($B$34),MONTH(AM$3)=MONTH($B$34)),AM36+AM37,IF(AND((12*(YEAR(AM$3)-YEAR($B$33))+MONTH(AM$3)-MONTH($B$33))&gt;0,MOD((12*(YEAR(AM$3)-YEAR($B$33))+MONTH(AM$3)-MONTH($B$33)),'Вводные'!$B$78)=0,(12*(YEAR(AM$3)-YEAR($B$33))+MONTH(AM$3)-MONTH($B$33))&lt;='Вводные'!$B$77*12),$B$35/MAX(1,'Вводные'!$B$79),0))))</x:f>
      </x:c>
      <x:c r="AN38" s="117" t="n">
        <x:f>MIN(AN36+AN37,IF('Вводные'!$B$75="Единовременно",AN37,IF(AND('Вводные'!$B$84="Да",YEAR(AN$3)=YEAR($B$34),MONTH(AN$3)=MONTH($B$34)),AN36+AN37,IF(AND((12*(YEAR(AN$3)-YEAR($B$33))+MONTH(AN$3)-MONTH($B$33))&gt;0,MOD((12*(YEAR(AN$3)-YEAR($B$33))+MONTH(AN$3)-MONTH($B$33)),'Вводные'!$B$78)=0,(12*(YEAR(AN$3)-YEAR($B$33))+MONTH(AN$3)-MONTH($B$33))&lt;='Вводные'!$B$77*12),$B$35/MAX(1,'Вводные'!$B$79),0))))</x:f>
      </x:c>
      <x:c r="AO38" s="117" t="n">
        <x:f>MIN(AO36+AO37,IF('Вводные'!$B$75="Единовременно",AO37,IF(AND('Вводные'!$B$84="Да",YEAR(AO$3)=YEAR($B$34),MONTH(AO$3)=MONTH($B$34)),AO36+AO37,IF(AND((12*(YEAR(AO$3)-YEAR($B$33))+MONTH(AO$3)-MONTH($B$33))&gt;0,MOD((12*(YEAR(AO$3)-YEAR($B$33))+MONTH(AO$3)-MONTH($B$33)),'Вводные'!$B$78)=0,(12*(YEAR(AO$3)-YEAR($B$33))+MONTH(AO$3)-MONTH($B$33))&lt;='Вводные'!$B$77*12),$B$35/MAX(1,'Вводные'!$B$79),0))))</x:f>
      </x:c>
      <x:c r="AP38" s="117" t="n">
        <x:f>MIN(AP36+AP37,IF('Вводные'!$B$75="Единовременно",AP37,IF(AND('Вводные'!$B$84="Да",YEAR(AP$3)=YEAR($B$34),MONTH(AP$3)=MONTH($B$34)),AP36+AP37,IF(AND((12*(YEAR(AP$3)-YEAR($B$33))+MONTH(AP$3)-MONTH($B$33))&gt;0,MOD((12*(YEAR(AP$3)-YEAR($B$33))+MONTH(AP$3)-MONTH($B$33)),'Вводные'!$B$78)=0,(12*(YEAR(AP$3)-YEAR($B$33))+MONTH(AP$3)-MONTH($B$33))&lt;='Вводные'!$B$77*12),$B$35/MAX(1,'Вводные'!$B$79),0))))</x:f>
      </x:c>
      <x:c r="AQ38" s="117" t="n">
        <x:f>MIN(AQ36+AQ37,IF('Вводные'!$B$75="Единовременно",AQ37,IF(AND('Вводные'!$B$84="Да",YEAR(AQ$3)=YEAR($B$34),MONTH(AQ$3)=MONTH($B$34)),AQ36+AQ37,IF(AND((12*(YEAR(AQ$3)-YEAR($B$33))+MONTH(AQ$3)-MONTH($B$33))&gt;0,MOD((12*(YEAR(AQ$3)-YEAR($B$33))+MONTH(AQ$3)-MONTH($B$33)),'Вводные'!$B$78)=0,(12*(YEAR(AQ$3)-YEAR($B$33))+MONTH(AQ$3)-MONTH($B$33))&lt;='Вводные'!$B$77*12),$B$35/MAX(1,'Вводные'!$B$79),0))))</x:f>
      </x:c>
      <x:c r="AR38" s="117" t="n">
        <x:f>MIN(AR36+AR37,IF('Вводные'!$B$75="Единовременно",AR37,IF(AND('Вводные'!$B$84="Да",YEAR(AR$3)=YEAR($B$34),MONTH(AR$3)=MONTH($B$34)),AR36+AR37,IF(AND((12*(YEAR(AR$3)-YEAR($B$33))+MONTH(AR$3)-MONTH($B$33))&gt;0,MOD((12*(YEAR(AR$3)-YEAR($B$33))+MONTH(AR$3)-MONTH($B$33)),'Вводные'!$B$78)=0,(12*(YEAR(AR$3)-YEAR($B$33))+MONTH(AR$3)-MONTH($B$33))&lt;='Вводные'!$B$77*12),$B$35/MAX(1,'Вводные'!$B$79),0))))</x:f>
      </x:c>
      <x:c r="AS38" s="117" t="n">
        <x:f>MIN(AS36+AS37,IF('Вводные'!$B$75="Единовременно",AS37,IF(AND('Вводные'!$B$84="Да",YEAR(AS$3)=YEAR($B$34),MONTH(AS$3)=MONTH($B$34)),AS36+AS37,IF(AND((12*(YEAR(AS$3)-YEAR($B$33))+MONTH(AS$3)-MONTH($B$33))&gt;0,MOD((12*(YEAR(AS$3)-YEAR($B$33))+MONTH(AS$3)-MONTH($B$33)),'Вводные'!$B$78)=0,(12*(YEAR(AS$3)-YEAR($B$33))+MONTH(AS$3)-MONTH($B$33))&lt;='Вводные'!$B$77*12),$B$35/MAX(1,'Вводные'!$B$79),0))))</x:f>
      </x:c>
      <x:c r="AT38" s="117" t="n">
        <x:f>MIN(AT36+AT37,IF('Вводные'!$B$75="Единовременно",AT37,IF(AND('Вводные'!$B$84="Да",YEAR(AT$3)=YEAR($B$34),MONTH(AT$3)=MONTH($B$34)),AT36+AT37,IF(AND((12*(YEAR(AT$3)-YEAR($B$33))+MONTH(AT$3)-MONTH($B$33))&gt;0,MOD((12*(YEAR(AT$3)-YEAR($B$33))+MONTH(AT$3)-MONTH($B$33)),'Вводные'!$B$78)=0,(12*(YEAR(AT$3)-YEAR($B$33))+MONTH(AT$3)-MONTH($B$33))&lt;='Вводные'!$B$77*12),$B$35/MAX(1,'Вводные'!$B$79),0))))</x:f>
      </x:c>
      <x:c r="AU38" s="117" t="n">
        <x:f>MIN(AU36+AU37,IF('Вводные'!$B$75="Единовременно",AU37,IF(AND('Вводные'!$B$84="Да",YEAR(AU$3)=YEAR($B$34),MONTH(AU$3)=MONTH($B$34)),AU36+AU37,IF(AND((12*(YEAR(AU$3)-YEAR($B$33))+MONTH(AU$3)-MONTH($B$33))&gt;0,MOD((12*(YEAR(AU$3)-YEAR($B$33))+MONTH(AU$3)-MONTH($B$33)),'Вводные'!$B$78)=0,(12*(YEAR(AU$3)-YEAR($B$33))+MONTH(AU$3)-MONTH($B$33))&lt;='Вводные'!$B$77*12),$B$35/MAX(1,'Вводные'!$B$79),0))))</x:f>
      </x:c>
      <x:c r="AV38" s="117" t="n">
        <x:f>MIN(AV36+AV37,IF('Вводные'!$B$75="Единовременно",AV37,IF(AND('Вводные'!$B$84="Да",YEAR(AV$3)=YEAR($B$34),MONTH(AV$3)=MONTH($B$34)),AV36+AV37,IF(AND((12*(YEAR(AV$3)-YEAR($B$33))+MONTH(AV$3)-MONTH($B$33))&gt;0,MOD((12*(YEAR(AV$3)-YEAR($B$33))+MONTH(AV$3)-MONTH($B$33)),'Вводные'!$B$78)=0,(12*(YEAR(AV$3)-YEAR($B$33))+MONTH(AV$3)-MONTH($B$33))&lt;='Вводные'!$B$77*12),$B$35/MAX(1,'Вводные'!$B$79),0))))</x:f>
      </x:c>
      <x:c r="AW38" s="117" t="n">
        <x:f>MIN(AW36+AW37,IF('Вводные'!$B$75="Единовременно",AW37,IF(AND('Вводные'!$B$84="Да",YEAR(AW$3)=YEAR($B$34),MONTH(AW$3)=MONTH($B$34)),AW36+AW37,IF(AND((12*(YEAR(AW$3)-YEAR($B$33))+MONTH(AW$3)-MONTH($B$33))&gt;0,MOD((12*(YEAR(AW$3)-YEAR($B$33))+MONTH(AW$3)-MONTH($B$33)),'Вводные'!$B$78)=0,(12*(YEAR(AW$3)-YEAR($B$33))+MONTH(AW$3)-MONTH($B$33))&lt;='Вводные'!$B$77*12),$B$35/MAX(1,'Вводные'!$B$79),0))))</x:f>
      </x:c>
      <x:c r="AX38" s="117" t="n">
        <x:f>MIN(AX36+AX37,IF('Вводные'!$B$75="Единовременно",AX37,IF(AND('Вводные'!$B$84="Да",YEAR(AX$3)=YEAR($B$34),MONTH(AX$3)=MONTH($B$34)),AX36+AX37,IF(AND((12*(YEAR(AX$3)-YEAR($B$33))+MONTH(AX$3)-MONTH($B$33))&gt;0,MOD((12*(YEAR(AX$3)-YEAR($B$33))+MONTH(AX$3)-MONTH($B$33)),'Вводные'!$B$78)=0,(12*(YEAR(AX$3)-YEAR($B$33))+MONTH(AX$3)-MONTH($B$33))&lt;='Вводные'!$B$77*12),$B$35/MAX(1,'Вводные'!$B$79),0))))</x:f>
      </x:c>
      <x:c r="AY38" s="117" t="n">
        <x:f>MIN(AY36+AY37,IF('Вводные'!$B$75="Единовременно",AY37,IF(AND('Вводные'!$B$84="Да",YEAR(AY$3)=YEAR($B$34),MONTH(AY$3)=MONTH($B$34)),AY36+AY37,IF(AND((12*(YEAR(AY$3)-YEAR($B$33))+MONTH(AY$3)-MONTH($B$33))&gt;0,MOD((12*(YEAR(AY$3)-YEAR($B$33))+MONTH(AY$3)-MONTH($B$33)),'Вводные'!$B$78)=0,(12*(YEAR(AY$3)-YEAR($B$33))+MONTH(AY$3)-MONTH($B$33))&lt;='Вводные'!$B$77*12),$B$35/MAX(1,'Вводные'!$B$79),0))))</x:f>
      </x:c>
      <x:c r="AZ38" s="117" t="n">
        <x:f>MIN(AZ36+AZ37,IF('Вводные'!$B$75="Единовременно",AZ37,IF(AND('Вводные'!$B$84="Да",YEAR(AZ$3)=YEAR($B$34),MONTH(AZ$3)=MONTH($B$34)),AZ36+AZ37,IF(AND((12*(YEAR(AZ$3)-YEAR($B$33))+MONTH(AZ$3)-MONTH($B$33))&gt;0,MOD((12*(YEAR(AZ$3)-YEAR($B$33))+MONTH(AZ$3)-MONTH($B$33)),'Вводные'!$B$78)=0,(12*(YEAR(AZ$3)-YEAR($B$33))+MONTH(AZ$3)-MONTH($B$33))&lt;='Вводные'!$B$77*12),$B$35/MAX(1,'Вводные'!$B$79),0))))</x:f>
      </x:c>
      <x:c r="BA38" s="117" t="n">
        <x:f>MIN(BA36+BA37,IF('Вводные'!$B$75="Единовременно",BA37,IF(AND('Вводные'!$B$84="Да",YEAR(BA$3)=YEAR($B$34),MONTH(BA$3)=MONTH($B$34)),BA36+BA37,IF(AND((12*(YEAR(BA$3)-YEAR($B$33))+MONTH(BA$3)-MONTH($B$33))&gt;0,MOD((12*(YEAR(BA$3)-YEAR($B$33))+MONTH(BA$3)-MONTH($B$33)),'Вводные'!$B$78)=0,(12*(YEAR(BA$3)-YEAR($B$33))+MONTH(BA$3)-MONTH($B$33))&lt;='Вводные'!$B$77*12),$B$35/MAX(1,'Вводные'!$B$79),0))))</x:f>
      </x:c>
      <x:c r="BB38" s="117" t="n">
        <x:f>MIN(BB36+BB37,IF('Вводные'!$B$75="Единовременно",BB37,IF(AND('Вводные'!$B$84="Да",YEAR(BB$3)=YEAR($B$34),MONTH(BB$3)=MONTH($B$34)),BB36+BB37,IF(AND((12*(YEAR(BB$3)-YEAR($B$33))+MONTH(BB$3)-MONTH($B$33))&gt;0,MOD((12*(YEAR(BB$3)-YEAR($B$33))+MONTH(BB$3)-MONTH($B$33)),'Вводные'!$B$78)=0,(12*(YEAR(BB$3)-YEAR($B$33))+MONTH(BB$3)-MONTH($B$33))&lt;='Вводные'!$B$77*12),$B$35/MAX(1,'Вводные'!$B$79),0))))</x:f>
      </x:c>
      <x:c r="BC38" s="117" t="n">
        <x:f>MIN(BC36+BC37,IF('Вводные'!$B$75="Единовременно",BC37,IF(AND('Вводные'!$B$84="Да",YEAR(BC$3)=YEAR($B$34),MONTH(BC$3)=MONTH($B$34)),BC36+BC37,IF(AND((12*(YEAR(BC$3)-YEAR($B$33))+MONTH(BC$3)-MONTH($B$33))&gt;0,MOD((12*(YEAR(BC$3)-YEAR($B$33))+MONTH(BC$3)-MONTH($B$33)),'Вводные'!$B$78)=0,(12*(YEAR(BC$3)-YEAR($B$33))+MONTH(BC$3)-MONTH($B$33))&lt;='Вводные'!$B$77*12),$B$35/MAX(1,'Вводные'!$B$79),0))))</x:f>
      </x:c>
      <x:c r="BD38" s="117" t="n">
        <x:f>MIN(BD36+BD37,IF('Вводные'!$B$75="Единовременно",BD37,IF(AND('Вводные'!$B$84="Да",YEAR(BD$3)=YEAR($B$34),MONTH(BD$3)=MONTH($B$34)),BD36+BD37,IF(AND((12*(YEAR(BD$3)-YEAR($B$33))+MONTH(BD$3)-MONTH($B$33))&gt;0,MOD((12*(YEAR(BD$3)-YEAR($B$33))+MONTH(BD$3)-MONTH($B$33)),'Вводные'!$B$78)=0,(12*(YEAR(BD$3)-YEAR($B$33))+MONTH(BD$3)-MONTH($B$33))&lt;='Вводные'!$B$77*12),$B$35/MAX(1,'Вводные'!$B$79),0))))</x:f>
      </x:c>
      <x:c r="BE38" s="117" t="n">
        <x:f>MIN(BE36+BE37,IF('Вводные'!$B$75="Единовременно",BE37,IF(AND('Вводные'!$B$84="Да",YEAR(BE$3)=YEAR($B$34),MONTH(BE$3)=MONTH($B$34)),BE36+BE37,IF(AND((12*(YEAR(BE$3)-YEAR($B$33))+MONTH(BE$3)-MONTH($B$33))&gt;0,MOD((12*(YEAR(BE$3)-YEAR($B$33))+MONTH(BE$3)-MONTH($B$33)),'Вводные'!$B$78)=0,(12*(YEAR(BE$3)-YEAR($B$33))+MONTH(BE$3)-MONTH($B$33))&lt;='Вводные'!$B$77*12),$B$35/MAX(1,'Вводные'!$B$79),0))))</x:f>
      </x:c>
      <x:c r="BF38" s="117" t="n">
        <x:f>MIN(BF36+BF37,IF('Вводные'!$B$75="Единовременно",BF37,IF(AND('Вводные'!$B$84="Да",YEAR(BF$3)=YEAR($B$34),MONTH(BF$3)=MONTH($B$34)),BF36+BF37,IF(AND((12*(YEAR(BF$3)-YEAR($B$33))+MONTH(BF$3)-MONTH($B$33))&gt;0,MOD((12*(YEAR(BF$3)-YEAR($B$33))+MONTH(BF$3)-MONTH($B$33)),'Вводные'!$B$78)=0,(12*(YEAR(BF$3)-YEAR($B$33))+MONTH(BF$3)-MONTH($B$33))&lt;='Вводные'!$B$77*12),$B$35/MAX(1,'Вводные'!$B$79),0))))</x:f>
      </x:c>
      <x:c r="BG38" s="117" t="n">
        <x:f>MIN(BG36+BG37,IF('Вводные'!$B$75="Единовременно",BG37,IF(AND('Вводные'!$B$84="Да",YEAR(BG$3)=YEAR($B$34),MONTH(BG$3)=MONTH($B$34)),BG36+BG37,IF(AND((12*(YEAR(BG$3)-YEAR($B$33))+MONTH(BG$3)-MONTH($B$33))&gt;0,MOD((12*(YEAR(BG$3)-YEAR($B$33))+MONTH(BG$3)-MONTH($B$33)),'Вводные'!$B$78)=0,(12*(YEAR(BG$3)-YEAR($B$33))+MONTH(BG$3)-MONTH($B$33))&lt;='Вводные'!$B$77*12),$B$35/MAX(1,'Вводные'!$B$79),0))))</x:f>
      </x:c>
      <x:c r="BH38" s="117" t="n">
        <x:f>MIN(BH36+BH37,IF('Вводные'!$B$75="Единовременно",BH37,IF(AND('Вводные'!$B$84="Да",YEAR(BH$3)=YEAR($B$34),MONTH(BH$3)=MONTH($B$34)),BH36+BH37,IF(AND((12*(YEAR(BH$3)-YEAR($B$33))+MONTH(BH$3)-MONTH($B$33))&gt;0,MOD((12*(YEAR(BH$3)-YEAR($B$33))+MONTH(BH$3)-MONTH($B$33)),'Вводные'!$B$78)=0,(12*(YEAR(BH$3)-YEAR($B$33))+MONTH(BH$3)-MONTH($B$33))&lt;='Вводные'!$B$77*12),$B$35/MAX(1,'Вводные'!$B$79),0))))</x:f>
      </x:c>
      <x:c r="BI38" s="117" t="n">
        <x:f>MIN(BI36+BI37,IF('Вводные'!$B$75="Единовременно",BI37,IF(AND('Вводные'!$B$84="Да",YEAR(BI$3)=YEAR($B$34),MONTH(BI$3)=MONTH($B$34)),BI36+BI37,IF(AND((12*(YEAR(BI$3)-YEAR($B$33))+MONTH(BI$3)-MONTH($B$33))&gt;0,MOD((12*(YEAR(BI$3)-YEAR($B$33))+MONTH(BI$3)-MONTH($B$33)),'Вводные'!$B$78)=0,(12*(YEAR(BI$3)-YEAR($B$33))+MONTH(BI$3)-MONTH($B$33))&lt;='Вводные'!$B$77*12),$B$35/MAX(1,'Вводные'!$B$79),0))))</x:f>
      </x:c>
      <x:c r="BJ38" s="117" t="n">
        <x:f>MIN(BJ36+BJ37,IF('Вводные'!$B$75="Единовременно",BJ37,IF(AND('Вводные'!$B$84="Да",YEAR(BJ$3)=YEAR($B$34),MONTH(BJ$3)=MONTH($B$34)),BJ36+BJ37,IF(AND((12*(YEAR(BJ$3)-YEAR($B$33))+MONTH(BJ$3)-MONTH($B$33))&gt;0,MOD((12*(YEAR(BJ$3)-YEAR($B$33))+MONTH(BJ$3)-MONTH($B$33)),'Вводные'!$B$78)=0,(12*(YEAR(BJ$3)-YEAR($B$33))+MONTH(BJ$3)-MONTH($B$33))&lt;='Вводные'!$B$77*12),$B$35/MAX(1,'Вводные'!$B$79),0))))</x:f>
      </x:c>
      <x:c r="BK38" s="117" t="n">
        <x:f>MIN(BK36+BK37,IF('Вводные'!$B$75="Единовременно",BK37,IF(AND('Вводные'!$B$84="Да",YEAR(BK$3)=YEAR($B$34),MONTH(BK$3)=MONTH($B$34)),BK36+BK37,IF(AND((12*(YEAR(BK$3)-YEAR($B$33))+MONTH(BK$3)-MONTH($B$33))&gt;0,MOD((12*(YEAR(BK$3)-YEAR($B$33))+MONTH(BK$3)-MONTH($B$33)),'Вводные'!$B$78)=0,(12*(YEAR(BK$3)-YEAR($B$33))+MONTH(BK$3)-MONTH($B$33))&lt;='Вводные'!$B$77*12),$B$35/MAX(1,'Вводные'!$B$79),0))))</x:f>
      </x:c>
      <x:c r="BL38" s="117" t="n">
        <x:f>MIN(BL36+BL37,IF('Вводные'!$B$75="Единовременно",BL37,IF(AND('Вводные'!$B$84="Да",YEAR(BL$3)=YEAR($B$34),MONTH(BL$3)=MONTH($B$34)),BL36+BL37,IF(AND((12*(YEAR(BL$3)-YEAR($B$33))+MONTH(BL$3)-MONTH($B$33))&gt;0,MOD((12*(YEAR(BL$3)-YEAR($B$33))+MONTH(BL$3)-MONTH($B$33)),'Вводные'!$B$78)=0,(12*(YEAR(BL$3)-YEAR($B$33))+MONTH(BL$3)-MONTH($B$33))&lt;='Вводные'!$B$77*12),$B$35/MAX(1,'Вводные'!$B$79),0))))</x:f>
      </x:c>
      <x:c r="BM38" s="117" t="n">
        <x:f>MIN(BM36+BM37,IF('Вводные'!$B$75="Единовременно",BM37,IF(AND('Вводные'!$B$84="Да",YEAR(BM$3)=YEAR($B$34),MONTH(BM$3)=MONTH($B$34)),BM36+BM37,IF(AND((12*(YEAR(BM$3)-YEAR($B$33))+MONTH(BM$3)-MONTH($B$33))&gt;0,MOD((12*(YEAR(BM$3)-YEAR($B$33))+MONTH(BM$3)-MONTH($B$33)),'Вводные'!$B$78)=0,(12*(YEAR(BM$3)-YEAR($B$33))+MONTH(BM$3)-MONTH($B$33))&lt;='Вводные'!$B$77*12),$B$35/MAX(1,'Вводные'!$B$79),0))))</x:f>
      </x:c>
      <x:c r="BN38" s="117" t="n">
        <x:f>MIN(BN36+BN37,IF('Вводные'!$B$75="Единовременно",BN37,IF(AND('Вводные'!$B$84="Да",YEAR(BN$3)=YEAR($B$34),MONTH(BN$3)=MONTH($B$34)),BN36+BN37,IF(AND((12*(YEAR(BN$3)-YEAR($B$33))+MONTH(BN$3)-MONTH($B$33))&gt;0,MOD((12*(YEAR(BN$3)-YEAR($B$33))+MONTH(BN$3)-MONTH($B$33)),'Вводные'!$B$78)=0,(12*(YEAR(BN$3)-YEAR($B$33))+MONTH(BN$3)-MONTH($B$33))&lt;='Вводные'!$B$77*12),$B$35/MAX(1,'Вводные'!$B$79),0))))</x:f>
      </x:c>
      <x:c r="BO38" s="117" t="n">
        <x:f>MIN(BO36+BO37,IF('Вводные'!$B$75="Единовременно",BO37,IF(AND('Вводные'!$B$84="Да",YEAR(BO$3)=YEAR($B$34),MONTH(BO$3)=MONTH($B$34)),BO36+BO37,IF(AND((12*(YEAR(BO$3)-YEAR($B$33))+MONTH(BO$3)-MONTH($B$33))&gt;0,MOD((12*(YEAR(BO$3)-YEAR($B$33))+MONTH(BO$3)-MONTH($B$33)),'Вводные'!$B$78)=0,(12*(YEAR(BO$3)-YEAR($B$33))+MONTH(BO$3)-MONTH($B$33))&lt;='Вводные'!$B$77*12),$B$35/MAX(1,'Вводные'!$B$79),0))))</x:f>
      </x:c>
      <x:c r="BP38" s="117" t="n">
        <x:f>MIN(BP36+BP37,IF('Вводные'!$B$75="Единовременно",BP37,IF(AND('Вводные'!$B$84="Да",YEAR(BP$3)=YEAR($B$34),MONTH(BP$3)=MONTH($B$34)),BP36+BP37,IF(AND((12*(YEAR(BP$3)-YEAR($B$33))+MONTH(BP$3)-MONTH($B$33))&gt;0,MOD((12*(YEAR(BP$3)-YEAR($B$33))+MONTH(BP$3)-MONTH($B$33)),'Вводные'!$B$78)=0,(12*(YEAR(BP$3)-YEAR($B$33))+MONTH(BP$3)-MONTH($B$33))&lt;='Вводные'!$B$77*12),$B$35/MAX(1,'Вводные'!$B$79),0))))</x:f>
      </x:c>
      <x:c r="BQ38" s="117" t="n">
        <x:f>MIN(BQ36+BQ37,IF('Вводные'!$B$75="Единовременно",BQ37,IF(AND('Вводные'!$B$84="Да",YEAR(BQ$3)=YEAR($B$34),MONTH(BQ$3)=MONTH($B$34)),BQ36+BQ37,IF(AND((12*(YEAR(BQ$3)-YEAR($B$33))+MONTH(BQ$3)-MONTH($B$33))&gt;0,MOD((12*(YEAR(BQ$3)-YEAR($B$33))+MONTH(BQ$3)-MONTH($B$33)),'Вводные'!$B$78)=0,(12*(YEAR(BQ$3)-YEAR($B$33))+MONTH(BQ$3)-MONTH($B$33))&lt;='Вводные'!$B$77*12),$B$35/MAX(1,'Вводные'!$B$79),0))))</x:f>
      </x:c>
      <x:c r="BR38" s="117" t="n">
        <x:f>MIN(BR36+BR37,IF('Вводные'!$B$75="Единовременно",BR37,IF(AND('Вводные'!$B$84="Да",YEAR(BR$3)=YEAR($B$34),MONTH(BR$3)=MONTH($B$34)),BR36+BR37,IF(AND((12*(YEAR(BR$3)-YEAR($B$33))+MONTH(BR$3)-MONTH($B$33))&gt;0,MOD((12*(YEAR(BR$3)-YEAR($B$33))+MONTH(BR$3)-MONTH($B$33)),'Вводные'!$B$78)=0,(12*(YEAR(BR$3)-YEAR($B$33))+MONTH(BR$3)-MONTH($B$33))&lt;='Вводные'!$B$77*12),$B$35/MAX(1,'Вводные'!$B$79),0))))</x:f>
      </x:c>
      <x:c r="BS38" s="117" t="n">
        <x:f>MIN(BS36+BS37,IF('Вводные'!$B$75="Единовременно",BS37,IF(AND('Вводные'!$B$84="Да",YEAR(BS$3)=YEAR($B$34),MONTH(BS$3)=MONTH($B$34)),BS36+BS37,IF(AND((12*(YEAR(BS$3)-YEAR($B$33))+MONTH(BS$3)-MONTH($B$33))&gt;0,MOD((12*(YEAR(BS$3)-YEAR($B$33))+MONTH(BS$3)-MONTH($B$33)),'Вводные'!$B$78)=0,(12*(YEAR(BS$3)-YEAR($B$33))+MONTH(BS$3)-MONTH($B$33))&lt;='Вводные'!$B$77*12),$B$35/MAX(1,'Вводные'!$B$79),0))))</x:f>
      </x:c>
      <x:c r="BT38" s="117" t="n">
        <x:f>MIN(BT36+BT37,IF('Вводные'!$B$75="Единовременно",BT37,IF(AND('Вводные'!$B$84="Да",YEAR(BT$3)=YEAR($B$34),MONTH(BT$3)=MONTH($B$34)),BT36+BT37,IF(AND((12*(YEAR(BT$3)-YEAR($B$33))+MONTH(BT$3)-MONTH($B$33))&gt;0,MOD((12*(YEAR(BT$3)-YEAR($B$33))+MONTH(BT$3)-MONTH($B$33)),'Вводные'!$B$78)=0,(12*(YEAR(BT$3)-YEAR($B$33))+MONTH(BT$3)-MONTH($B$33))&lt;='Вводные'!$B$77*12),$B$35/MAX(1,'Вводные'!$B$79),0))))</x:f>
      </x:c>
      <x:c r="BU38" s="117" t="n">
        <x:f>MIN(BU36+BU37,IF('Вводные'!$B$75="Единовременно",BU37,IF(AND('Вводные'!$B$84="Да",YEAR(BU$3)=YEAR($B$34),MONTH(BU$3)=MONTH($B$34)),BU36+BU37,IF(AND((12*(YEAR(BU$3)-YEAR($B$33))+MONTH(BU$3)-MONTH($B$33))&gt;0,MOD((12*(YEAR(BU$3)-YEAR($B$33))+MONTH(BU$3)-MONTH($B$33)),'Вводные'!$B$78)=0,(12*(YEAR(BU$3)-YEAR($B$33))+MONTH(BU$3)-MONTH($B$33))&lt;='Вводные'!$B$77*12),$B$35/MAX(1,'Вводные'!$B$79),0))))</x:f>
      </x:c>
      <x:c r="BV38" s="117" t="n">
        <x:f>MIN(BV36+BV37,IF('Вводные'!$B$75="Единовременно",BV37,IF(AND('Вводные'!$B$84="Да",YEAR(BV$3)=YEAR($B$34),MONTH(BV$3)=MONTH($B$34)),BV36+BV37,IF(AND((12*(YEAR(BV$3)-YEAR($B$33))+MONTH(BV$3)-MONTH($B$33))&gt;0,MOD((12*(YEAR(BV$3)-YEAR($B$33))+MONTH(BV$3)-MONTH($B$33)),'Вводные'!$B$78)=0,(12*(YEAR(BV$3)-YEAR($B$33))+MONTH(BV$3)-MONTH($B$33))&lt;='Вводные'!$B$77*12),$B$35/MAX(1,'Вводные'!$B$79),0))))</x:f>
      </x:c>
      <x:c r="BW38" s="117" t="n">
        <x:f>MIN(BW36+BW37,IF('Вводные'!$B$75="Единовременно",BW37,IF(AND('Вводные'!$B$84="Да",YEAR(BW$3)=YEAR($B$34),MONTH(BW$3)=MONTH($B$34)),BW36+BW37,IF(AND((12*(YEAR(BW$3)-YEAR($B$33))+MONTH(BW$3)-MONTH($B$33))&gt;0,MOD((12*(YEAR(BW$3)-YEAR($B$33))+MONTH(BW$3)-MONTH($B$33)),'Вводные'!$B$78)=0,(12*(YEAR(BW$3)-YEAR($B$33))+MONTH(BW$3)-MONTH($B$33))&lt;='Вводные'!$B$77*12),$B$35/MAX(1,'Вводные'!$B$79),0))))</x:f>
      </x:c>
      <x:c r="BX38" s="117" t="n">
        <x:f>MIN(BX36+BX37,IF('Вводные'!$B$75="Единовременно",BX37,IF(AND('Вводные'!$B$84="Да",YEAR(BX$3)=YEAR($B$34),MONTH(BX$3)=MONTH($B$34)),BX36+BX37,IF(AND((12*(YEAR(BX$3)-YEAR($B$33))+MONTH(BX$3)-MONTH($B$33))&gt;0,MOD((12*(YEAR(BX$3)-YEAR($B$33))+MONTH(BX$3)-MONTH($B$33)),'Вводные'!$B$78)=0,(12*(YEAR(BX$3)-YEAR($B$33))+MONTH(BX$3)-MONTH($B$33))&lt;='Вводные'!$B$77*12),$B$35/MAX(1,'Вводные'!$B$79),0))))</x:f>
      </x:c>
      <x:c r="BY38" s="117" t="n">
        <x:f>MIN(BY36+BY37,IF('Вводные'!$B$75="Единовременно",BY37,IF(AND('Вводные'!$B$84="Да",YEAR(BY$3)=YEAR($B$34),MONTH(BY$3)=MONTH($B$34)),BY36+BY37,IF(AND((12*(YEAR(BY$3)-YEAR($B$33))+MONTH(BY$3)-MONTH($B$33))&gt;0,MOD((12*(YEAR(BY$3)-YEAR($B$33))+MONTH(BY$3)-MONTH($B$33)),'Вводные'!$B$78)=0,(12*(YEAR(BY$3)-YEAR($B$33))+MONTH(BY$3)-MONTH($B$33))&lt;='Вводные'!$B$77*12),$B$35/MAX(1,'Вводные'!$B$79),0))))</x:f>
      </x:c>
      <x:c r="BZ38" s="117" t="n">
        <x:f>MIN(BZ36+BZ37,IF('Вводные'!$B$75="Единовременно",BZ37,IF(AND('Вводные'!$B$84="Да",YEAR(BZ$3)=YEAR($B$34),MONTH(BZ$3)=MONTH($B$34)),BZ36+BZ37,IF(AND((12*(YEAR(BZ$3)-YEAR($B$33))+MONTH(BZ$3)-MONTH($B$33))&gt;0,MOD((12*(YEAR(BZ$3)-YEAR($B$33))+MONTH(BZ$3)-MONTH($B$33)),'Вводные'!$B$78)=0,(12*(YEAR(BZ$3)-YEAR($B$33))+MONTH(BZ$3)-MONTH($B$33))&lt;='Вводные'!$B$77*12),$B$35/MAX(1,'Вводные'!$B$79),0))))</x:f>
      </x:c>
      <x:c r="CA38" s="117" t="n">
        <x:f>MIN(CA36+CA37,IF('Вводные'!$B$75="Единовременно",CA37,IF(AND('Вводные'!$B$84="Да",YEAR(CA$3)=YEAR($B$34),MONTH(CA$3)=MONTH($B$34)),CA36+CA37,IF(AND((12*(YEAR(CA$3)-YEAR($B$33))+MONTH(CA$3)-MONTH($B$33))&gt;0,MOD((12*(YEAR(CA$3)-YEAR($B$33))+MONTH(CA$3)-MONTH($B$33)),'Вводные'!$B$78)=0,(12*(YEAR(CA$3)-YEAR($B$33))+MONTH(CA$3)-MONTH($B$33))&lt;='Вводные'!$B$77*12),$B$35/MAX(1,'Вводные'!$B$79),0))))</x:f>
      </x:c>
      <x:c r="CB38" s="117" t="n">
        <x:f>MIN(CB36+CB37,IF('Вводные'!$B$75="Единовременно",CB37,IF(AND('Вводные'!$B$84="Да",YEAR(CB$3)=YEAR($B$34),MONTH(CB$3)=MONTH($B$34)),CB36+CB37,IF(AND((12*(YEAR(CB$3)-YEAR($B$33))+MONTH(CB$3)-MONTH($B$33))&gt;0,MOD((12*(YEAR(CB$3)-YEAR($B$33))+MONTH(CB$3)-MONTH($B$33)),'Вводные'!$B$78)=0,(12*(YEAR(CB$3)-YEAR($B$33))+MONTH(CB$3)-MONTH($B$33))&lt;='Вводные'!$B$77*12),$B$35/MAX(1,'Вводные'!$B$79),0))))</x:f>
      </x:c>
      <x:c r="CC38" s="117" t="n">
        <x:f>MIN(CC36+CC37,IF('Вводные'!$B$75="Единовременно",CC37,IF(AND('Вводные'!$B$84="Да",YEAR(CC$3)=YEAR($B$34),MONTH(CC$3)=MONTH($B$34)),CC36+CC37,IF(AND((12*(YEAR(CC$3)-YEAR($B$33))+MONTH(CC$3)-MONTH($B$33))&gt;0,MOD((12*(YEAR(CC$3)-YEAR($B$33))+MONTH(CC$3)-MONTH($B$33)),'Вводные'!$B$78)=0,(12*(YEAR(CC$3)-YEAR($B$33))+MONTH(CC$3)-MONTH($B$33))&lt;='Вводные'!$B$77*12),$B$35/MAX(1,'Вводные'!$B$79),0))))</x:f>
      </x:c>
      <x:c r="CD38" s="117" t="n">
        <x:f>MIN(CD36+CD37,IF('Вводные'!$B$75="Единовременно",CD37,IF(AND('Вводные'!$B$84="Да",YEAR(CD$3)=YEAR($B$34),MONTH(CD$3)=MONTH($B$34)),CD36+CD37,IF(AND((12*(YEAR(CD$3)-YEAR($B$33))+MONTH(CD$3)-MONTH($B$33))&gt;0,MOD((12*(YEAR(CD$3)-YEAR($B$33))+MONTH(CD$3)-MONTH($B$33)),'Вводные'!$B$78)=0,(12*(YEAR(CD$3)-YEAR($B$33))+MONTH(CD$3)-MONTH($B$33))&lt;='Вводные'!$B$77*12),$B$35/MAX(1,'Вводные'!$B$79),0))))</x:f>
      </x:c>
      <x:c r="CE38" s="117" t="n">
        <x:f>MIN(CE36+CE37,IF('Вводные'!$B$75="Единовременно",CE37,IF(AND('Вводные'!$B$84="Да",YEAR(CE$3)=YEAR($B$34),MONTH(CE$3)=MONTH($B$34)),CE36+CE37,IF(AND((12*(YEAR(CE$3)-YEAR($B$33))+MONTH(CE$3)-MONTH($B$33))&gt;0,MOD((12*(YEAR(CE$3)-YEAR($B$33))+MONTH(CE$3)-MONTH($B$33)),'Вводные'!$B$78)=0,(12*(YEAR(CE$3)-YEAR($B$33))+MONTH(CE$3)-MONTH($B$33))&lt;='Вводные'!$B$77*12),$B$35/MAX(1,'Вводные'!$B$79),0))))</x:f>
      </x:c>
      <x:c r="CF38" s="117" t="n">
        <x:f>MIN(CF36+CF37,IF('Вводные'!$B$75="Единовременно",CF37,IF(AND('Вводные'!$B$84="Да",YEAR(CF$3)=YEAR($B$34),MONTH(CF$3)=MONTH($B$34)),CF36+CF37,IF(AND((12*(YEAR(CF$3)-YEAR($B$33))+MONTH(CF$3)-MONTH($B$33))&gt;0,MOD((12*(YEAR(CF$3)-YEAR($B$33))+MONTH(CF$3)-MONTH($B$33)),'Вводные'!$B$78)=0,(12*(YEAR(CF$3)-YEAR($B$33))+MONTH(CF$3)-MONTH($B$33))&lt;='Вводные'!$B$77*12),$B$35/MAX(1,'Вводные'!$B$79),0))))</x:f>
      </x:c>
      <x:c r="CG38" s="117" t="n">
        <x:f>MIN(CG36+CG37,IF('Вводные'!$B$75="Единовременно",CG37,IF(AND('Вводные'!$B$84="Да",YEAR(CG$3)=YEAR($B$34),MONTH(CG$3)=MONTH($B$34)),CG36+CG37,IF(AND((12*(YEAR(CG$3)-YEAR($B$33))+MONTH(CG$3)-MONTH($B$33))&gt;0,MOD((12*(YEAR(CG$3)-YEAR($B$33))+MONTH(CG$3)-MONTH($B$33)),'Вводные'!$B$78)=0,(12*(YEAR(CG$3)-YEAR($B$33))+MONTH(CG$3)-MONTH($B$33))&lt;='Вводные'!$B$77*12),$B$35/MAX(1,'Вводные'!$B$79),0))))</x:f>
      </x:c>
      <x:c r="CH38" s="117" t="n">
        <x:f>MIN(CH36+CH37,IF('Вводные'!$B$75="Единовременно",CH37,IF(AND('Вводные'!$B$84="Да",YEAR(CH$3)=YEAR($B$34),MONTH(CH$3)=MONTH($B$34)),CH36+CH37,IF(AND((12*(YEAR(CH$3)-YEAR($B$33))+MONTH(CH$3)-MONTH($B$33))&gt;0,MOD((12*(YEAR(CH$3)-YEAR($B$33))+MONTH(CH$3)-MONTH($B$33)),'Вводные'!$B$78)=0,(12*(YEAR(CH$3)-YEAR($B$33))+MONTH(CH$3)-MONTH($B$33))&lt;='Вводные'!$B$77*12),$B$35/MAX(1,'Вводные'!$B$79),0))))</x:f>
      </x:c>
      <x:c r="CI38" s="117" t="n">
        <x:f>MIN(CI36+CI37,IF('Вводные'!$B$75="Единовременно",CI37,IF(AND('Вводные'!$B$84="Да",YEAR(CI$3)=YEAR($B$34),MONTH(CI$3)=MONTH($B$34)),CI36+CI37,IF(AND((12*(YEAR(CI$3)-YEAR($B$33))+MONTH(CI$3)-MONTH($B$33))&gt;0,MOD((12*(YEAR(CI$3)-YEAR($B$33))+MONTH(CI$3)-MONTH($B$33)),'Вводные'!$B$78)=0,(12*(YEAR(CI$3)-YEAR($B$33))+MONTH(CI$3)-MONTH($B$33))&lt;='Вводные'!$B$77*12),$B$35/MAX(1,'Вводные'!$B$79),0))))</x:f>
      </x:c>
      <x:c r="CJ38" s="117" t="n">
        <x:f>MIN(CJ36+CJ37,IF('Вводные'!$B$75="Единовременно",CJ37,IF(AND('Вводные'!$B$84="Да",YEAR(CJ$3)=YEAR($B$34),MONTH(CJ$3)=MONTH($B$34)),CJ36+CJ37,IF(AND((12*(YEAR(CJ$3)-YEAR($B$33))+MONTH(CJ$3)-MONTH($B$33))&gt;0,MOD((12*(YEAR(CJ$3)-YEAR($B$33))+MONTH(CJ$3)-MONTH($B$33)),'Вводные'!$B$78)=0,(12*(YEAR(CJ$3)-YEAR($B$33))+MONTH(CJ$3)-MONTH($B$33))&lt;='Вводные'!$B$77*12),$B$35/MAX(1,'Вводные'!$B$79),0))))</x:f>
      </x:c>
      <x:c r="CK38" s="117" t="n">
        <x:f>MIN(CK36+CK37,IF('Вводные'!$B$75="Единовременно",CK37,IF(AND('Вводные'!$B$84="Да",YEAR(CK$3)=YEAR($B$34),MONTH(CK$3)=MONTH($B$34)),CK36+CK37,IF(AND((12*(YEAR(CK$3)-YEAR($B$33))+MONTH(CK$3)-MONTH($B$33))&gt;0,MOD((12*(YEAR(CK$3)-YEAR($B$33))+MONTH(CK$3)-MONTH($B$33)),'Вводные'!$B$78)=0,(12*(YEAR(CK$3)-YEAR($B$33))+MONTH(CK$3)-MONTH($B$33))&lt;='Вводные'!$B$77*12),$B$35/MAX(1,'Вводные'!$B$79),0))))</x:f>
      </x:c>
      <x:c r="CL38" s="117" t="n">
        <x:f>MIN(CL36+CL37,IF('Вводные'!$B$75="Единовременно",CL37,IF(AND('Вводные'!$B$84="Да",YEAR(CL$3)=YEAR($B$34),MONTH(CL$3)=MONTH($B$34)),CL36+CL37,IF(AND((12*(YEAR(CL$3)-YEAR($B$33))+MONTH(CL$3)-MONTH($B$33))&gt;0,MOD((12*(YEAR(CL$3)-YEAR($B$33))+MONTH(CL$3)-MONTH($B$33)),'Вводные'!$B$78)=0,(12*(YEAR(CL$3)-YEAR($B$33))+MONTH(CL$3)-MONTH($B$33))&lt;='Вводные'!$B$77*12),$B$35/MAX(1,'Вводные'!$B$79),0))))</x:f>
      </x:c>
      <x:c r="CM38" s="117" t="n">
        <x:f>MIN(CM36+CM37,IF('Вводные'!$B$75="Единовременно",CM37,IF(AND('Вводные'!$B$84="Да",YEAR(CM$3)=YEAR($B$34),MONTH(CM$3)=MONTH($B$34)),CM36+CM37,IF(AND((12*(YEAR(CM$3)-YEAR($B$33))+MONTH(CM$3)-MONTH($B$33))&gt;0,MOD((12*(YEAR(CM$3)-YEAR($B$33))+MONTH(CM$3)-MONTH($B$33)),'Вводные'!$B$78)=0,(12*(YEAR(CM$3)-YEAR($B$33))+MONTH(CM$3)-MONTH($B$33))&lt;='Вводные'!$B$77*12),$B$35/MAX(1,'Вводные'!$B$79),0))))</x:f>
      </x:c>
      <x:c r="CN38" s="117" t="n">
        <x:f>MIN(CN36+CN37,IF('Вводные'!$B$75="Единовременно",CN37,IF(AND('Вводные'!$B$84="Да",YEAR(CN$3)=YEAR($B$34),MONTH(CN$3)=MONTH($B$34)),CN36+CN37,IF(AND((12*(YEAR(CN$3)-YEAR($B$33))+MONTH(CN$3)-MONTH($B$33))&gt;0,MOD((12*(YEAR(CN$3)-YEAR($B$33))+MONTH(CN$3)-MONTH($B$33)),'Вводные'!$B$78)=0,(12*(YEAR(CN$3)-YEAR($B$33))+MONTH(CN$3)-MONTH($B$33))&lt;='Вводные'!$B$77*12),$B$35/MAX(1,'Вводные'!$B$79),0))))</x:f>
      </x:c>
      <x:c r="CO38" s="117" t="n">
        <x:f>MIN(CO36+CO37,IF('Вводные'!$B$75="Единовременно",CO37,IF(AND('Вводные'!$B$84="Да",YEAR(CO$3)=YEAR($B$34),MONTH(CO$3)=MONTH($B$34)),CO36+CO37,IF(AND((12*(YEAR(CO$3)-YEAR($B$33))+MONTH(CO$3)-MONTH($B$33))&gt;0,MOD((12*(YEAR(CO$3)-YEAR($B$33))+MONTH(CO$3)-MONTH($B$33)),'Вводные'!$B$78)=0,(12*(YEAR(CO$3)-YEAR($B$33))+MONTH(CO$3)-MONTH($B$33))&lt;='Вводные'!$B$77*12),$B$35/MAX(1,'Вводные'!$B$79),0))))</x:f>
      </x:c>
      <x:c r="CP38" s="117" t="n">
        <x:f>MIN(CP36+CP37,IF('Вводные'!$B$75="Единовременно",CP37,IF(AND('Вводные'!$B$84="Да",YEAR(CP$3)=YEAR($B$34),MONTH(CP$3)=MONTH($B$34)),CP36+CP37,IF(AND((12*(YEAR(CP$3)-YEAR($B$33))+MONTH(CP$3)-MONTH($B$33))&gt;0,MOD((12*(YEAR(CP$3)-YEAR($B$33))+MONTH(CP$3)-MONTH($B$33)),'Вводные'!$B$78)=0,(12*(YEAR(CP$3)-YEAR($B$33))+MONTH(CP$3)-MONTH($B$33))&lt;='Вводные'!$B$77*12),$B$35/MAX(1,'Вводные'!$B$79),0))))</x:f>
      </x:c>
      <x:c r="CQ38" s="117" t="n">
        <x:f>MIN(CQ36+CQ37,IF('Вводные'!$B$75="Единовременно",CQ37,IF(AND('Вводные'!$B$84="Да",YEAR(CQ$3)=YEAR($B$34),MONTH(CQ$3)=MONTH($B$34)),CQ36+CQ37,IF(AND((12*(YEAR(CQ$3)-YEAR($B$33))+MONTH(CQ$3)-MONTH($B$33))&gt;0,MOD((12*(YEAR(CQ$3)-YEAR($B$33))+MONTH(CQ$3)-MONTH($B$33)),'Вводные'!$B$78)=0,(12*(YEAR(CQ$3)-YEAR($B$33))+MONTH(CQ$3)-MONTH($B$33))&lt;='Вводные'!$B$77*12),$B$35/MAX(1,'Вводные'!$B$79),0))))</x:f>
      </x:c>
      <x:c r="CR38" s="117" t="n">
        <x:f>MIN(CR36+CR37,IF('Вводные'!$B$75="Единовременно",CR37,IF(AND('Вводные'!$B$84="Да",YEAR(CR$3)=YEAR($B$34),MONTH(CR$3)=MONTH($B$34)),CR36+CR37,IF(AND((12*(YEAR(CR$3)-YEAR($B$33))+MONTH(CR$3)-MONTH($B$33))&gt;0,MOD((12*(YEAR(CR$3)-YEAR($B$33))+MONTH(CR$3)-MONTH($B$33)),'Вводные'!$B$78)=0,(12*(YEAR(CR$3)-YEAR($B$33))+MONTH(CR$3)-MONTH($B$33))&lt;='Вводные'!$B$77*12),$B$35/MAX(1,'Вводные'!$B$79),0))))</x:f>
      </x:c>
      <x:c r="CS38" s="117" t="n">
        <x:f>MIN(CS36+CS37,IF('Вводные'!$B$75="Единовременно",CS37,IF(AND('Вводные'!$B$84="Да",YEAR(CS$3)=YEAR($B$34),MONTH(CS$3)=MONTH($B$34)),CS36+CS37,IF(AND((12*(YEAR(CS$3)-YEAR($B$33))+MONTH(CS$3)-MONTH($B$33))&gt;0,MOD((12*(YEAR(CS$3)-YEAR($B$33))+MONTH(CS$3)-MONTH($B$33)),'Вводные'!$B$78)=0,(12*(YEAR(CS$3)-YEAR($B$33))+MONTH(CS$3)-MONTH($B$33))&lt;='Вводные'!$B$77*12),$B$35/MAX(1,'Вводные'!$B$79),0))))</x:f>
      </x:c>
      <x:c r="CT38" s="117" t="n">
        <x:f>MIN(CT36+CT37,IF('Вводные'!$B$75="Единовременно",CT37,IF(AND('Вводные'!$B$84="Да",YEAR(CT$3)=YEAR($B$34),MONTH(CT$3)=MONTH($B$34)),CT36+CT37,IF(AND((12*(YEAR(CT$3)-YEAR($B$33))+MONTH(CT$3)-MONTH($B$33))&gt;0,MOD((12*(YEAR(CT$3)-YEAR($B$33))+MONTH(CT$3)-MONTH($B$33)),'Вводные'!$B$78)=0,(12*(YEAR(CT$3)-YEAR($B$33))+MONTH(CT$3)-MONTH($B$33))&lt;='Вводные'!$B$77*12),$B$35/MAX(1,'Вводные'!$B$79),0))))</x:f>
      </x:c>
      <x:c r="CU38" s="117" t="n">
        <x:f>MIN(CU36+CU37,IF('Вводные'!$B$75="Единовременно",CU37,IF(AND('Вводные'!$B$84="Да",YEAR(CU$3)=YEAR($B$34),MONTH(CU$3)=MONTH($B$34)),CU36+CU37,IF(AND((12*(YEAR(CU$3)-YEAR($B$33))+MONTH(CU$3)-MONTH($B$33))&gt;0,MOD((12*(YEAR(CU$3)-YEAR($B$33))+MONTH(CU$3)-MONTH($B$33)),'Вводные'!$B$78)=0,(12*(YEAR(CU$3)-YEAR($B$33))+MONTH(CU$3)-MONTH($B$33))&lt;='Вводные'!$B$77*12),$B$35/MAX(1,'Вводные'!$B$79),0))))</x:f>
      </x:c>
      <x:c r="CV38" s="117" t="n">
        <x:f>MIN(CV36+CV37,IF('Вводные'!$B$75="Единовременно",CV37,IF(AND('Вводные'!$B$84="Да",YEAR(CV$3)=YEAR($B$34),MONTH(CV$3)=MONTH($B$34)),CV36+CV37,IF(AND((12*(YEAR(CV$3)-YEAR($B$33))+MONTH(CV$3)-MONTH($B$33))&gt;0,MOD((12*(YEAR(CV$3)-YEAR($B$33))+MONTH(CV$3)-MONTH($B$33)),'Вводные'!$B$78)=0,(12*(YEAR(CV$3)-YEAR($B$33))+MONTH(CV$3)-MONTH($B$33))&lt;='Вводные'!$B$77*12),$B$35/MAX(1,'Вводные'!$B$79),0))))</x:f>
      </x:c>
      <x:c r="CW38" s="117" t="n">
        <x:f>MIN(CW36+CW37,IF('Вводные'!$B$75="Единовременно",CW37,IF(AND('Вводные'!$B$84="Да",YEAR(CW$3)=YEAR($B$34),MONTH(CW$3)=MONTH($B$34)),CW36+CW37,IF(AND((12*(YEAR(CW$3)-YEAR($B$33))+MONTH(CW$3)-MONTH($B$33))&gt;0,MOD((12*(YEAR(CW$3)-YEAR($B$33))+MONTH(CW$3)-MONTH($B$33)),'Вводные'!$B$78)=0,(12*(YEAR(CW$3)-YEAR($B$33))+MONTH(CW$3)-MONTH($B$33))&lt;='Вводные'!$B$77*12),$B$35/MAX(1,'Вводные'!$B$79),0))))</x:f>
      </x:c>
      <x:c r="CX38" s="117" t="n">
        <x:f>MIN(CX36+CX37,IF('Вводные'!$B$75="Единовременно",CX37,IF(AND('Вводные'!$B$84="Да",YEAR(CX$3)=YEAR($B$34),MONTH(CX$3)=MONTH($B$34)),CX36+CX37,IF(AND((12*(YEAR(CX$3)-YEAR($B$33))+MONTH(CX$3)-MONTH($B$33))&gt;0,MOD((12*(YEAR(CX$3)-YEAR($B$33))+MONTH(CX$3)-MONTH($B$33)),'Вводные'!$B$78)=0,(12*(YEAR(CX$3)-YEAR($B$33))+MONTH(CX$3)-MONTH($B$33))&lt;='Вводные'!$B$77*12),$B$35/MAX(1,'Вводные'!$B$79),0))))</x:f>
      </x:c>
      <x:c r="CY38" s="117" t="n">
        <x:f>MIN(CY36+CY37,IF('Вводные'!$B$75="Единовременно",CY37,IF(AND('Вводные'!$B$84="Да",YEAR(CY$3)=YEAR($B$34),MONTH(CY$3)=MONTH($B$34)),CY36+CY37,IF(AND((12*(YEAR(CY$3)-YEAR($B$33))+MONTH(CY$3)-MONTH($B$33))&gt;0,MOD((12*(YEAR(CY$3)-YEAR($B$33))+MONTH(CY$3)-MONTH($B$33)),'Вводные'!$B$78)=0,(12*(YEAR(CY$3)-YEAR($B$33))+MONTH(CY$3)-MONTH($B$33))&lt;='Вводные'!$B$77*12),$B$35/MAX(1,'Вводные'!$B$79),0))))</x:f>
      </x:c>
      <x:c r="CZ38" s="117" t="n">
        <x:f>MIN(CZ36+CZ37,IF('Вводные'!$B$75="Единовременно",CZ37,IF(AND('Вводные'!$B$84="Да",YEAR(CZ$3)=YEAR($B$34),MONTH(CZ$3)=MONTH($B$34)),CZ36+CZ37,IF(AND((12*(YEAR(CZ$3)-YEAR($B$33))+MONTH(CZ$3)-MONTH($B$33))&gt;0,MOD((12*(YEAR(CZ$3)-YEAR($B$33))+MONTH(CZ$3)-MONTH($B$33)),'Вводные'!$B$78)=0,(12*(YEAR(CZ$3)-YEAR($B$33))+MONTH(CZ$3)-MONTH($B$33))&lt;='Вводные'!$B$77*12),$B$35/MAX(1,'Вводные'!$B$79),0))))</x:f>
      </x:c>
      <x:c r="DA38" s="117" t="n">
        <x:f>MIN(DA36+DA37,IF('Вводные'!$B$75="Единовременно",DA37,IF(AND('Вводные'!$B$84="Да",YEAR(DA$3)=YEAR($B$34),MONTH(DA$3)=MONTH($B$34)),DA36+DA37,IF(AND((12*(YEAR(DA$3)-YEAR($B$33))+MONTH(DA$3)-MONTH($B$33))&gt;0,MOD((12*(YEAR(DA$3)-YEAR($B$33))+MONTH(DA$3)-MONTH($B$33)),'Вводные'!$B$78)=0,(12*(YEAR(DA$3)-YEAR($B$33))+MONTH(DA$3)-MONTH($B$33))&lt;='Вводные'!$B$77*12),$B$35/MAX(1,'Вводные'!$B$79),0))))</x:f>
      </x:c>
      <x:c r="DB38" s="117" t="n">
        <x:f>MIN(DB36+DB37,IF('Вводные'!$B$75="Единовременно",DB37,IF(AND('Вводные'!$B$84="Да",YEAR(DB$3)=YEAR($B$34),MONTH(DB$3)=MONTH($B$34)),DB36+DB37,IF(AND((12*(YEAR(DB$3)-YEAR($B$33))+MONTH(DB$3)-MONTH($B$33))&gt;0,MOD((12*(YEAR(DB$3)-YEAR($B$33))+MONTH(DB$3)-MONTH($B$33)),'Вводные'!$B$78)=0,(12*(YEAR(DB$3)-YEAR($B$33))+MONTH(DB$3)-MONTH($B$33))&lt;='Вводные'!$B$77*12),$B$35/MAX(1,'Вводные'!$B$79),0))))</x:f>
      </x:c>
      <x:c r="DC38" s="117" t="n">
        <x:f>MIN(DC36+DC37,IF('Вводные'!$B$75="Единовременно",DC37,IF(AND('Вводные'!$B$84="Да",YEAR(DC$3)=YEAR($B$34),MONTH(DC$3)=MONTH($B$34)),DC36+DC37,IF(AND((12*(YEAR(DC$3)-YEAR($B$33))+MONTH(DC$3)-MONTH($B$33))&gt;0,MOD((12*(YEAR(DC$3)-YEAR($B$33))+MONTH(DC$3)-MONTH($B$33)),'Вводные'!$B$78)=0,(12*(YEAR(DC$3)-YEAR($B$33))+MONTH(DC$3)-MONTH($B$33))&lt;='Вводные'!$B$77*12),$B$35/MAX(1,'Вводные'!$B$79),0))))</x:f>
      </x:c>
      <x:c r="DD38" s="117" t="n">
        <x:f>MIN(DD36+DD37,IF('Вводные'!$B$75="Единовременно",DD37,IF(AND('Вводные'!$B$84="Да",YEAR(DD$3)=YEAR($B$34),MONTH(DD$3)=MONTH($B$34)),DD36+DD37,IF(AND((12*(YEAR(DD$3)-YEAR($B$33))+MONTH(DD$3)-MONTH($B$33))&gt;0,MOD((12*(YEAR(DD$3)-YEAR($B$33))+MONTH(DD$3)-MONTH($B$33)),'Вводные'!$B$78)=0,(12*(YEAR(DD$3)-YEAR($B$33))+MONTH(DD$3)-MONTH($B$33))&lt;='Вводные'!$B$77*12),$B$35/MAX(1,'Вводные'!$B$79),0))))</x:f>
      </x:c>
      <x:c r="DE38" s="117" t="n">
        <x:f>MIN(DE36+DE37,IF('Вводные'!$B$75="Единовременно",DE37,IF(AND('Вводные'!$B$84="Да",YEAR(DE$3)=YEAR($B$34),MONTH(DE$3)=MONTH($B$34)),DE36+DE37,IF(AND((12*(YEAR(DE$3)-YEAR($B$33))+MONTH(DE$3)-MONTH($B$33))&gt;0,MOD((12*(YEAR(DE$3)-YEAR($B$33))+MONTH(DE$3)-MONTH($B$33)),'Вводные'!$B$78)=0,(12*(YEAR(DE$3)-YEAR($B$33))+MONTH(DE$3)-MONTH($B$33))&lt;='Вводные'!$B$77*12),$B$35/MAX(1,'Вводные'!$B$79),0))))</x:f>
      </x:c>
      <x:c r="DF38" s="117" t="n">
        <x:f>MIN(DF36+DF37,IF('Вводные'!$B$75="Единовременно",DF37,IF(AND('Вводные'!$B$84="Да",YEAR(DF$3)=YEAR($B$34),MONTH(DF$3)=MONTH($B$34)),DF36+DF37,IF(AND((12*(YEAR(DF$3)-YEAR($B$33))+MONTH(DF$3)-MONTH($B$33))&gt;0,MOD((12*(YEAR(DF$3)-YEAR($B$33))+MONTH(DF$3)-MONTH($B$33)),'Вводные'!$B$78)=0,(12*(YEAR(DF$3)-YEAR($B$33))+MONTH(DF$3)-MONTH($B$33))&lt;='Вводные'!$B$77*12),$B$35/MAX(1,'Вводные'!$B$79),0))))</x:f>
      </x:c>
      <x:c r="DG38" s="117" t="n">
        <x:f>MIN(DG36+DG37,IF('Вводные'!$B$75="Единовременно",DG37,IF(AND('Вводные'!$B$84="Да",YEAR(DG$3)=YEAR($B$34),MONTH(DG$3)=MONTH($B$34)),DG36+DG37,IF(AND((12*(YEAR(DG$3)-YEAR($B$33))+MONTH(DG$3)-MONTH($B$33))&gt;0,MOD((12*(YEAR(DG$3)-YEAR($B$33))+MONTH(DG$3)-MONTH($B$33)),'Вводные'!$B$78)=0,(12*(YEAR(DG$3)-YEAR($B$33))+MONTH(DG$3)-MONTH($B$33))&lt;='Вводные'!$B$77*12),$B$35/MAX(1,'Вводные'!$B$79),0))))</x:f>
      </x:c>
      <x:c r="DH38" s="117" t="n">
        <x:f>MIN(DH36+DH37,IF('Вводные'!$B$75="Единовременно",DH37,IF(AND('Вводные'!$B$84="Да",YEAR(DH$3)=YEAR($B$34),MONTH(DH$3)=MONTH($B$34)),DH36+DH37,IF(AND((12*(YEAR(DH$3)-YEAR($B$33))+MONTH(DH$3)-MONTH($B$33))&gt;0,MOD((12*(YEAR(DH$3)-YEAR($B$33))+MONTH(DH$3)-MONTH($B$33)),'Вводные'!$B$78)=0,(12*(YEAR(DH$3)-YEAR($B$33))+MONTH(DH$3)-MONTH($B$33))&lt;='Вводные'!$B$77*12),$B$35/MAX(1,'Вводные'!$B$79),0))))</x:f>
      </x:c>
      <x:c r="DI38" s="117" t="n">
        <x:f>MIN(DI36+DI37,IF('Вводные'!$B$75="Единовременно",DI37,IF(AND('Вводные'!$B$84="Да",YEAR(DI$3)=YEAR($B$34),MONTH(DI$3)=MONTH($B$34)),DI36+DI37,IF(AND((12*(YEAR(DI$3)-YEAR($B$33))+MONTH(DI$3)-MONTH($B$33))&gt;0,MOD((12*(YEAR(DI$3)-YEAR($B$33))+MONTH(DI$3)-MONTH($B$33)),'Вводные'!$B$78)=0,(12*(YEAR(DI$3)-YEAR($B$33))+MONTH(DI$3)-MONTH($B$33))&lt;='Вводные'!$B$77*12),$B$35/MAX(1,'Вводные'!$B$79),0))))</x:f>
      </x:c>
      <x:c r="DJ38" s="117" t="n">
        <x:f>MIN(DJ36+DJ37,IF('Вводные'!$B$75="Единовременно",DJ37,IF(AND('Вводные'!$B$84="Да",YEAR(DJ$3)=YEAR($B$34),MONTH(DJ$3)=MONTH($B$34)),DJ36+DJ37,IF(AND((12*(YEAR(DJ$3)-YEAR($B$33))+MONTH(DJ$3)-MONTH($B$33))&gt;0,MOD((12*(YEAR(DJ$3)-YEAR($B$33))+MONTH(DJ$3)-MONTH($B$33)),'Вводные'!$B$78)=0,(12*(YEAR(DJ$3)-YEAR($B$33))+MONTH(DJ$3)-MONTH($B$33))&lt;='Вводные'!$B$77*12),$B$35/MAX(1,'Вводные'!$B$79),0))))</x:f>
      </x:c>
      <x:c r="DK38" s="117" t="n">
        <x:f>MIN(DK36+DK37,IF('Вводные'!$B$75="Единовременно",DK37,IF(AND('Вводные'!$B$84="Да",YEAR(DK$3)=YEAR($B$34),MONTH(DK$3)=MONTH($B$34)),DK36+DK37,IF(AND((12*(YEAR(DK$3)-YEAR($B$33))+MONTH(DK$3)-MONTH($B$33))&gt;0,MOD((12*(YEAR(DK$3)-YEAR($B$33))+MONTH(DK$3)-MONTH($B$33)),'Вводные'!$B$78)=0,(12*(YEAR(DK$3)-YEAR($B$33))+MONTH(DK$3)-MONTH($B$33))&lt;='Вводные'!$B$77*12),$B$35/MAX(1,'Вводные'!$B$79),0))))</x:f>
      </x:c>
      <x:c r="DL38" s="117" t="n">
        <x:f>MIN(DL36+DL37,IF('Вводные'!$B$75="Единовременно",DL37,IF(AND('Вводные'!$B$84="Да",YEAR(DL$3)=YEAR($B$34),MONTH(DL$3)=MONTH($B$34)),DL36+DL37,IF(AND((12*(YEAR(DL$3)-YEAR($B$33))+MONTH(DL$3)-MONTH($B$33))&gt;0,MOD((12*(YEAR(DL$3)-YEAR($B$33))+MONTH(DL$3)-MONTH($B$33)),'Вводные'!$B$78)=0,(12*(YEAR(DL$3)-YEAR($B$33))+MONTH(DL$3)-MONTH($B$33))&lt;='Вводные'!$B$77*12),$B$35/MAX(1,'Вводные'!$B$79),0))))</x:f>
      </x:c>
      <x:c r="DM38" s="117" t="n">
        <x:f>MIN(DM36+DM37,IF('Вводные'!$B$75="Единовременно",DM37,IF(AND('Вводные'!$B$84="Да",YEAR(DM$3)=YEAR($B$34),MONTH(DM$3)=MONTH($B$34)),DM36+DM37,IF(AND((12*(YEAR(DM$3)-YEAR($B$33))+MONTH(DM$3)-MONTH($B$33))&gt;0,MOD((12*(YEAR(DM$3)-YEAR($B$33))+MONTH(DM$3)-MONTH($B$33)),'Вводные'!$B$78)=0,(12*(YEAR(DM$3)-YEAR($B$33))+MONTH(DM$3)-MONTH($B$33))&lt;='Вводные'!$B$77*12),$B$35/MAX(1,'Вводные'!$B$79),0))))</x:f>
      </x:c>
      <x:c r="DN38" s="117" t="n">
        <x:f>MIN(DN36+DN37,IF('Вводные'!$B$75="Единовременно",DN37,IF(AND('Вводные'!$B$84="Да",YEAR(DN$3)=YEAR($B$34),MONTH(DN$3)=MONTH($B$34)),DN36+DN37,IF(AND((12*(YEAR(DN$3)-YEAR($B$33))+MONTH(DN$3)-MONTH($B$33))&gt;0,MOD((12*(YEAR(DN$3)-YEAR($B$33))+MONTH(DN$3)-MONTH($B$33)),'Вводные'!$B$78)=0,(12*(YEAR(DN$3)-YEAR($B$33))+MONTH(DN$3)-MONTH($B$33))&lt;='Вводные'!$B$77*12),$B$35/MAX(1,'Вводные'!$B$79),0))))</x:f>
      </x:c>
      <x:c r="DO38" s="117" t="n">
        <x:f>MIN(DO36+DO37,IF('Вводные'!$B$75="Единовременно",DO37,IF(AND('Вводные'!$B$84="Да",YEAR(DO$3)=YEAR($B$34),MONTH(DO$3)=MONTH($B$34)),DO36+DO37,IF(AND((12*(YEAR(DO$3)-YEAR($B$33))+MONTH(DO$3)-MONTH($B$33))&gt;0,MOD((12*(YEAR(DO$3)-YEAR($B$33))+MONTH(DO$3)-MONTH($B$33)),'Вводные'!$B$78)=0,(12*(YEAR(DO$3)-YEAR($B$33))+MONTH(DO$3)-MONTH($B$33))&lt;='Вводные'!$B$77*12),$B$35/MAX(1,'Вводные'!$B$79),0))))</x:f>
      </x:c>
      <x:c r="DP38" s="117" t="n">
        <x:f>MIN(DP36+DP37,IF('Вводные'!$B$75="Единовременно",DP37,IF(AND('Вводные'!$B$84="Да",YEAR(DP$3)=YEAR($B$34),MONTH(DP$3)=MONTH($B$34)),DP36+DP37,IF(AND((12*(YEAR(DP$3)-YEAR($B$33))+MONTH(DP$3)-MONTH($B$33))&gt;0,MOD((12*(YEAR(DP$3)-YEAR($B$33))+MONTH(DP$3)-MONTH($B$33)),'Вводные'!$B$78)=0,(12*(YEAR(DP$3)-YEAR($B$33))+MONTH(DP$3)-MONTH($B$33))&lt;='Вводные'!$B$77*12),$B$35/MAX(1,'Вводные'!$B$79),0))))</x:f>
      </x:c>
      <x:c r="DQ38" s="117" t="n">
        <x:f>MIN(DQ36+DQ37,IF('Вводные'!$B$75="Единовременно",DQ37,IF(AND('Вводные'!$B$84="Да",YEAR(DQ$3)=YEAR($B$34),MONTH(DQ$3)=MONTH($B$34)),DQ36+DQ37,IF(AND((12*(YEAR(DQ$3)-YEAR($B$33))+MONTH(DQ$3)-MONTH($B$33))&gt;0,MOD((12*(YEAR(DQ$3)-YEAR($B$33))+MONTH(DQ$3)-MONTH($B$33)),'Вводные'!$B$78)=0,(12*(YEAR(DQ$3)-YEAR($B$33))+MONTH(DQ$3)-MONTH($B$33))&lt;='Вводные'!$B$77*12),$B$35/MAX(1,'Вводные'!$B$79),0))))</x:f>
      </x:c>
      <x:c r="DR38" s="117" t="n">
        <x:f>MIN(DR36+DR37,IF('Вводные'!$B$75="Единовременно",DR37,IF(AND('Вводные'!$B$84="Да",YEAR(DR$3)=YEAR($B$34),MONTH(DR$3)=MONTH($B$34)),DR36+DR37,IF(AND((12*(YEAR(DR$3)-YEAR($B$33))+MONTH(DR$3)-MONTH($B$33))&gt;0,MOD((12*(YEAR(DR$3)-YEAR($B$33))+MONTH(DR$3)-MONTH($B$33)),'Вводные'!$B$78)=0,(12*(YEAR(DR$3)-YEAR($B$33))+MONTH(DR$3)-MONTH($B$33))&lt;='Вводные'!$B$77*12),$B$35/MAX(1,'Вводные'!$B$79),0))))</x:f>
      </x:c>
      <x:c r="DS38" s="117" t="n">
        <x:f>MIN(DS36+DS37,IF('Вводные'!$B$75="Единовременно",DS37,IF(AND('Вводные'!$B$84="Да",YEAR(DS$3)=YEAR($B$34),MONTH(DS$3)=MONTH($B$34)),DS36+DS37,IF(AND((12*(YEAR(DS$3)-YEAR($B$33))+MONTH(DS$3)-MONTH($B$33))&gt;0,MOD((12*(YEAR(DS$3)-YEAR($B$33))+MONTH(DS$3)-MONTH($B$33)),'Вводные'!$B$78)=0,(12*(YEAR(DS$3)-YEAR($B$33))+MONTH(DS$3)-MONTH($B$33))&lt;='Вводные'!$B$77*12),$B$35/MAX(1,'Вводные'!$B$79),0))))</x:f>
      </x:c>
      <x:c r="DT38" s="117" t="n">
        <x:f>MIN(DT36+DT37,IF('Вводные'!$B$75="Единовременно",DT37,IF(AND('Вводные'!$B$84="Да",YEAR(DT$3)=YEAR($B$34),MONTH(DT$3)=MONTH($B$34)),DT36+DT37,IF(AND((12*(YEAR(DT$3)-YEAR($B$33))+MONTH(DT$3)-MONTH($B$33))&gt;0,MOD((12*(YEAR(DT$3)-YEAR($B$33))+MONTH(DT$3)-MONTH($B$33)),'Вводные'!$B$78)=0,(12*(YEAR(DT$3)-YEAR($B$33))+MONTH(DT$3)-MONTH($B$33))&lt;='Вводные'!$B$77*12),$B$35/MAX(1,'Вводные'!$B$79),0))))</x:f>
      </x:c>
      <x:c r="DU38" s="117" t="n">
        <x:f>MIN(DU36+DU37,IF('Вводные'!$B$75="Единовременно",DU37,IF(AND('Вводные'!$B$84="Да",YEAR(DU$3)=YEAR($B$34),MONTH(DU$3)=MONTH($B$34)),DU36+DU37,IF(AND((12*(YEAR(DU$3)-YEAR($B$33))+MONTH(DU$3)-MONTH($B$33))&gt;0,MOD((12*(YEAR(DU$3)-YEAR($B$33))+MONTH(DU$3)-MONTH($B$33)),'Вводные'!$B$78)=0,(12*(YEAR(DU$3)-YEAR($B$33))+MONTH(DU$3)-MONTH($B$33))&lt;='Вводные'!$B$77*12),$B$35/MAX(1,'Вводные'!$B$79),0))))</x:f>
      </x:c>
      <x:c r="DV38" s="117" t="n">
        <x:f>MIN(DV36+DV37,IF('Вводные'!$B$75="Единовременно",DV37,IF(AND('Вводные'!$B$84="Да",YEAR(DV$3)=YEAR($B$34),MONTH(DV$3)=MONTH($B$34)),DV36+DV37,IF(AND((12*(YEAR(DV$3)-YEAR($B$33))+MONTH(DV$3)-MONTH($B$33))&gt;0,MOD((12*(YEAR(DV$3)-YEAR($B$33))+MONTH(DV$3)-MONTH($B$33)),'Вводные'!$B$78)=0,(12*(YEAR(DV$3)-YEAR($B$33))+MONTH(DV$3)-MONTH($B$33))&lt;='Вводные'!$B$77*12),$B$35/MAX(1,'Вводные'!$B$79),0))))</x:f>
      </x:c>
      <x:c r="DW38" s="117" t="n">
        <x:f>MIN(DW36+DW37,IF('Вводные'!$B$75="Единовременно",DW37,IF(AND('Вводные'!$B$84="Да",YEAR(DW$3)=YEAR($B$34),MONTH(DW$3)=MONTH($B$34)),DW36+DW37,IF(AND((12*(YEAR(DW$3)-YEAR($B$33))+MONTH(DW$3)-MONTH($B$33))&gt;0,MOD((12*(YEAR(DW$3)-YEAR($B$33))+MONTH(DW$3)-MONTH($B$33)),'Вводные'!$B$78)=0,(12*(YEAR(DW$3)-YEAR($B$33))+MONTH(DW$3)-MONTH($B$33))&lt;='Вводные'!$B$77*12),$B$35/MAX(1,'Вводные'!$B$79),0))))</x:f>
      </x:c>
      <x:c r="DX38" s="117" t="n">
        <x:f>MIN(DX36+DX37,IF('Вводные'!$B$75="Единовременно",DX37,IF(AND('Вводные'!$B$84="Да",YEAR(DX$3)=YEAR($B$34),MONTH(DX$3)=MONTH($B$34)),DX36+DX37,IF(AND((12*(YEAR(DX$3)-YEAR($B$33))+MONTH(DX$3)-MONTH($B$33))&gt;0,MOD((12*(YEAR(DX$3)-YEAR($B$33))+MONTH(DX$3)-MONTH($B$33)),'Вводные'!$B$78)=0,(12*(YEAR(DX$3)-YEAR($B$33))+MONTH(DX$3)-MONTH($B$33))&lt;='Вводные'!$B$77*12),$B$35/MAX(1,'Вводные'!$B$79),0))))</x:f>
      </x:c>
      <x:c r="DY38" s="117" t="n">
        <x:f>MIN(DY36+DY37,IF('Вводные'!$B$75="Единовременно",DY37,IF(AND('Вводные'!$B$84="Да",YEAR(DY$3)=YEAR($B$34),MONTH(DY$3)=MONTH($B$34)),DY36+DY37,IF(AND((12*(YEAR(DY$3)-YEAR($B$33))+MONTH(DY$3)-MONTH($B$33))&gt;0,MOD((12*(YEAR(DY$3)-YEAR($B$33))+MONTH(DY$3)-MONTH($B$33)),'Вводные'!$B$78)=0,(12*(YEAR(DY$3)-YEAR($B$33))+MONTH(DY$3)-MONTH($B$33))&lt;='Вводные'!$B$77*12),$B$35/MAX(1,'Вводные'!$B$79),0))))</x:f>
      </x:c>
      <x:c r="DZ38" s="117" t="n">
        <x:f>MIN(DZ36+DZ37,IF('Вводные'!$B$75="Единовременно",DZ37,IF(AND('Вводные'!$B$84="Да",YEAR(DZ$3)=YEAR($B$34),MONTH(DZ$3)=MONTH($B$34)),DZ36+DZ37,IF(AND((12*(YEAR(DZ$3)-YEAR($B$33))+MONTH(DZ$3)-MONTH($B$33))&gt;0,MOD((12*(YEAR(DZ$3)-YEAR($B$33))+MONTH(DZ$3)-MONTH($B$33)),'Вводные'!$B$78)=0,(12*(YEAR(DZ$3)-YEAR($B$33))+MONTH(DZ$3)-MONTH($B$33))&lt;='Вводные'!$B$77*12),$B$35/MAX(1,'Вводные'!$B$79),0))))</x:f>
      </x:c>
      <x:c r="EA38" s="117" t="n">
        <x:f>MIN(EA36+EA37,IF('Вводные'!$B$75="Единовременно",EA37,IF(AND('Вводные'!$B$84="Да",YEAR(EA$3)=YEAR($B$34),MONTH(EA$3)=MONTH($B$34)),EA36+EA37,IF(AND((12*(YEAR(EA$3)-YEAR($B$33))+MONTH(EA$3)-MONTH($B$33))&gt;0,MOD((12*(YEAR(EA$3)-YEAR($B$33))+MONTH(EA$3)-MONTH($B$33)),'Вводные'!$B$78)=0,(12*(YEAR(EA$3)-YEAR($B$33))+MONTH(EA$3)-MONTH($B$33))&lt;='Вводные'!$B$77*12),$B$35/MAX(1,'Вводные'!$B$79),0))))</x:f>
      </x:c>
      <x:c r="EB38" s="117" t="n">
        <x:f>MIN(EB36+EB37,IF('Вводные'!$B$75="Единовременно",EB37,IF(AND('Вводные'!$B$84="Да",YEAR(EB$3)=YEAR($B$34),MONTH(EB$3)=MONTH($B$34)),EB36+EB37,IF(AND((12*(YEAR(EB$3)-YEAR($B$33))+MONTH(EB$3)-MONTH($B$33))&gt;0,MOD((12*(YEAR(EB$3)-YEAR($B$33))+MONTH(EB$3)-MONTH($B$33)),'Вводные'!$B$78)=0,(12*(YEAR(EB$3)-YEAR($B$33))+MONTH(EB$3)-MONTH($B$33))&lt;='Вводные'!$B$77*12),$B$35/MAX(1,'Вводные'!$B$79),0))))</x:f>
      </x:c>
      <x:c r="EC38" s="117" t="n">
        <x:f>MIN(EC36+EC37,IF('Вводные'!$B$75="Единовременно",EC37,IF(AND('Вводные'!$B$84="Да",YEAR(EC$3)=YEAR($B$34),MONTH(EC$3)=MONTH($B$34)),EC36+EC37,IF(AND((12*(YEAR(EC$3)-YEAR($B$33))+MONTH(EC$3)-MONTH($B$33))&gt;0,MOD((12*(YEAR(EC$3)-YEAR($B$33))+MONTH(EC$3)-MONTH($B$33)),'Вводные'!$B$78)=0,(12*(YEAR(EC$3)-YEAR($B$33))+MONTH(EC$3)-MONTH($B$33))&lt;='Вводные'!$B$77*12),$B$35/MAX(1,'Вводные'!$B$79),0))))</x:f>
      </x:c>
      <x:c r="ED38" s="117" t="n">
        <x:f>MIN(ED36+ED37,IF('Вводные'!$B$75="Единовременно",ED37,IF(AND('Вводные'!$B$84="Да",YEAR(ED$3)=YEAR($B$34),MONTH(ED$3)=MONTH($B$34)),ED36+ED37,IF(AND((12*(YEAR(ED$3)-YEAR($B$33))+MONTH(ED$3)-MONTH($B$33))&gt;0,MOD((12*(YEAR(ED$3)-YEAR($B$33))+MONTH(ED$3)-MONTH($B$33)),'Вводные'!$B$78)=0,(12*(YEAR(ED$3)-YEAR($B$33))+MONTH(ED$3)-MONTH($B$33))&lt;='Вводные'!$B$77*12),$B$35/MAX(1,'Вводные'!$B$79),0))))</x:f>
      </x:c>
      <x:c r="EE38" s="117" t="n">
        <x:f>MIN(EE36+EE37,IF('Вводные'!$B$75="Единовременно",EE37,IF(AND('Вводные'!$B$84="Да",YEAR(EE$3)=YEAR($B$34),MONTH(EE$3)=MONTH($B$34)),EE36+EE37,IF(AND((12*(YEAR(EE$3)-YEAR($B$33))+MONTH(EE$3)-MONTH($B$33))&gt;0,MOD((12*(YEAR(EE$3)-YEAR($B$33))+MONTH(EE$3)-MONTH($B$33)),'Вводные'!$B$78)=0,(12*(YEAR(EE$3)-YEAR($B$33))+MONTH(EE$3)-MONTH($B$33))&lt;='Вводные'!$B$77*12),$B$35/MAX(1,'Вводные'!$B$79),0))))</x:f>
      </x:c>
      <x:c r="EF38" s="117" t="n">
        <x:f>MIN(EF36+EF37,IF('Вводные'!$B$75="Единовременно",EF37,IF(AND('Вводные'!$B$84="Да",YEAR(EF$3)=YEAR($B$34),MONTH(EF$3)=MONTH($B$34)),EF36+EF37,IF(AND((12*(YEAR(EF$3)-YEAR($B$33))+MONTH(EF$3)-MONTH($B$33))&gt;0,MOD((12*(YEAR(EF$3)-YEAR($B$33))+MONTH(EF$3)-MONTH($B$33)),'Вводные'!$B$78)=0,(12*(YEAR(EF$3)-YEAR($B$33))+MONTH(EF$3)-MONTH($B$33))&lt;='Вводные'!$B$77*12),$B$35/MAX(1,'Вводные'!$B$79),0))))</x:f>
      </x:c>
      <x:c r="EG38" s="117" t="n">
        <x:f>MIN(EG36+EG37,IF('Вводные'!$B$75="Единовременно",EG37,IF(AND('Вводные'!$B$84="Да",YEAR(EG$3)=YEAR($B$34),MONTH(EG$3)=MONTH($B$34)),EG36+EG37,IF(AND((12*(YEAR(EG$3)-YEAR($B$33))+MONTH(EG$3)-MONTH($B$33))&gt;0,MOD((12*(YEAR(EG$3)-YEAR($B$33))+MONTH(EG$3)-MONTH($B$33)),'Вводные'!$B$78)=0,(12*(YEAR(EG$3)-YEAR($B$33))+MONTH(EG$3)-MONTH($B$33))&lt;='Вводные'!$B$77*12),$B$35/MAX(1,'Вводные'!$B$79),0))))</x:f>
      </x:c>
      <x:c r="EH38" s="117" t="n">
        <x:f>MIN(EH36+EH37,IF('Вводные'!$B$75="Единовременно",EH37,IF(AND('Вводные'!$B$84="Да",YEAR(EH$3)=YEAR($B$34),MONTH(EH$3)=MONTH($B$34)),EH36+EH37,IF(AND((12*(YEAR(EH$3)-YEAR($B$33))+MONTH(EH$3)-MONTH($B$33))&gt;0,MOD((12*(YEAR(EH$3)-YEAR($B$33))+MONTH(EH$3)-MONTH($B$33)),'Вводные'!$B$78)=0,(12*(YEAR(EH$3)-YEAR($B$33))+MONTH(EH$3)-MONTH($B$33))&lt;='Вводные'!$B$77*12),$B$35/MAX(1,'Вводные'!$B$79),0))))</x:f>
      </x:c>
      <x:c r="EI38" s="117" t="n">
        <x:f>MIN(EI36+EI37,IF('Вводные'!$B$75="Единовременно",EI37,IF(AND('Вводные'!$B$84="Да",YEAR(EI$3)=YEAR($B$34),MONTH(EI$3)=MONTH($B$34)),EI36+EI37,IF(AND((12*(YEAR(EI$3)-YEAR($B$33))+MONTH(EI$3)-MONTH($B$33))&gt;0,MOD((12*(YEAR(EI$3)-YEAR($B$33))+MONTH(EI$3)-MONTH($B$33)),'Вводные'!$B$78)=0,(12*(YEAR(EI$3)-YEAR($B$33))+MONTH(EI$3)-MONTH($B$33))&lt;='Вводные'!$B$77*12),$B$35/MAX(1,'Вводные'!$B$79),0))))</x:f>
      </x:c>
      <x:c r="EJ38" s="117" t="n">
        <x:f>MIN(EJ36+EJ37,IF('Вводные'!$B$75="Единовременно",EJ37,IF(AND('Вводные'!$B$84="Да",YEAR(EJ$3)=YEAR($B$34),MONTH(EJ$3)=MONTH($B$34)),EJ36+EJ37,IF(AND((12*(YEAR(EJ$3)-YEAR($B$33))+MONTH(EJ$3)-MONTH($B$33))&gt;0,MOD((12*(YEAR(EJ$3)-YEAR($B$33))+MONTH(EJ$3)-MONTH($B$33)),'Вводные'!$B$78)=0,(12*(YEAR(EJ$3)-YEAR($B$33))+MONTH(EJ$3)-MONTH($B$33))&lt;='Вводные'!$B$77*12),$B$35/MAX(1,'Вводные'!$B$79),0))))</x:f>
      </x:c>
      <x:c r="EK38" s="117" t="n">
        <x:f>MIN(EK36+EK37,IF('Вводные'!$B$75="Единовременно",EK37,IF(AND('Вводные'!$B$84="Да",YEAR(EK$3)=YEAR($B$34),MONTH(EK$3)=MONTH($B$34)),EK36+EK37,IF(AND((12*(YEAR(EK$3)-YEAR($B$33))+MONTH(EK$3)-MONTH($B$33))&gt;0,MOD((12*(YEAR(EK$3)-YEAR($B$33))+MONTH(EK$3)-MONTH($B$33)),'Вводные'!$B$78)=0,(12*(YEAR(EK$3)-YEAR($B$33))+MONTH(EK$3)-MONTH($B$33))&lt;='Вводные'!$B$77*12),$B$35/MAX(1,'Вводные'!$B$79),0))))</x:f>
      </x:c>
      <x:c r="EL38" s="117" t="n">
        <x:f>MIN(EL36+EL37,IF('Вводные'!$B$75="Единовременно",EL37,IF(AND('Вводные'!$B$84="Да",YEAR(EL$3)=YEAR($B$34),MONTH(EL$3)=MONTH($B$34)),EL36+EL37,IF(AND((12*(YEAR(EL$3)-YEAR($B$33))+MONTH(EL$3)-MONTH($B$33))&gt;0,MOD((12*(YEAR(EL$3)-YEAR($B$33))+MONTH(EL$3)-MONTH($B$33)),'Вводные'!$B$78)=0,(12*(YEAR(EL$3)-YEAR($B$33))+MONTH(EL$3)-MONTH($B$33))&lt;='Вводные'!$B$77*12),$B$35/MAX(1,'Вводные'!$B$79),0))))</x:f>
      </x:c>
      <x:c r="EM38" s="117" t="n">
        <x:f>MIN(EM36+EM37,IF('Вводные'!$B$75="Единовременно",EM37,IF(AND('Вводные'!$B$84="Да",YEAR(EM$3)=YEAR($B$34),MONTH(EM$3)=MONTH($B$34)),EM36+EM37,IF(AND((12*(YEAR(EM$3)-YEAR($B$33))+MONTH(EM$3)-MONTH($B$33))&gt;0,MOD((12*(YEAR(EM$3)-YEAR($B$33))+MONTH(EM$3)-MONTH($B$33)),'Вводные'!$B$78)=0,(12*(YEAR(EM$3)-YEAR($B$33))+MONTH(EM$3)-MONTH($B$33))&lt;='Вводные'!$B$77*12),$B$35/MAX(1,'Вводные'!$B$79),0))))</x:f>
      </x:c>
      <x:c r="EN38" s="117" t="n">
        <x:f>MIN(EN36+EN37,IF('Вводные'!$B$75="Единовременно",EN37,IF(AND('Вводные'!$B$84="Да",YEAR(EN$3)=YEAR($B$34),MONTH(EN$3)=MONTH($B$34)),EN36+EN37,IF(AND((12*(YEAR(EN$3)-YEAR($B$33))+MONTH(EN$3)-MONTH($B$33))&gt;0,MOD((12*(YEAR(EN$3)-YEAR($B$33))+MONTH(EN$3)-MONTH($B$33)),'Вводные'!$B$78)=0,(12*(YEAR(EN$3)-YEAR($B$33))+MONTH(EN$3)-MONTH($B$33))&lt;='Вводные'!$B$77*12),$B$35/MAX(1,'Вводные'!$B$79),0))))</x:f>
      </x:c>
      <x:c r="EO38" s="117" t="n">
        <x:f>MIN(EO36+EO37,IF('Вводные'!$B$75="Единовременно",EO37,IF(AND('Вводные'!$B$84="Да",YEAR(EO$3)=YEAR($B$34),MONTH(EO$3)=MONTH($B$34)),EO36+EO37,IF(AND((12*(YEAR(EO$3)-YEAR($B$33))+MONTH(EO$3)-MONTH($B$33))&gt;0,MOD((12*(YEAR(EO$3)-YEAR($B$33))+MONTH(EO$3)-MONTH($B$33)),'Вводные'!$B$78)=0,(12*(YEAR(EO$3)-YEAR($B$33))+MONTH(EO$3)-MONTH($B$33))&lt;='Вводные'!$B$77*12),$B$35/MAX(1,'Вводные'!$B$79),0))))</x:f>
      </x:c>
      <x:c r="EP38" s="117" t="n">
        <x:f>MIN(EP36+EP37,IF('Вводные'!$B$75="Единовременно",EP37,IF(AND('Вводные'!$B$84="Да",YEAR(EP$3)=YEAR($B$34),MONTH(EP$3)=MONTH($B$34)),EP36+EP37,IF(AND((12*(YEAR(EP$3)-YEAR($B$33))+MONTH(EP$3)-MONTH($B$33))&gt;0,MOD((12*(YEAR(EP$3)-YEAR($B$33))+MONTH(EP$3)-MONTH($B$33)),'Вводные'!$B$78)=0,(12*(YEAR(EP$3)-YEAR($B$33))+MONTH(EP$3)-MONTH($B$33))&lt;='Вводные'!$B$77*12),$B$35/MAX(1,'Вводные'!$B$79),0))))</x:f>
      </x:c>
      <x:c r="EQ38" s="117" t="n">
        <x:f>MIN(EQ36+EQ37,IF('Вводные'!$B$75="Единовременно",EQ37,IF(AND('Вводные'!$B$84="Да",YEAR(EQ$3)=YEAR($B$34),MONTH(EQ$3)=MONTH($B$34)),EQ36+EQ37,IF(AND((12*(YEAR(EQ$3)-YEAR($B$33))+MONTH(EQ$3)-MONTH($B$33))&gt;0,MOD((12*(YEAR(EQ$3)-YEAR($B$33))+MONTH(EQ$3)-MONTH($B$33)),'Вводные'!$B$78)=0,(12*(YEAR(EQ$3)-YEAR($B$33))+MONTH(EQ$3)-MONTH($B$33))&lt;='Вводные'!$B$77*12),$B$35/MAX(1,'Вводные'!$B$79),0))))</x:f>
      </x:c>
      <x:c r="ER38" s="117" t="n">
        <x:f>MIN(ER36+ER37,IF('Вводные'!$B$75="Единовременно",ER37,IF(AND('Вводные'!$B$84="Да",YEAR(ER$3)=YEAR($B$34),MONTH(ER$3)=MONTH($B$34)),ER36+ER37,IF(AND((12*(YEAR(ER$3)-YEAR($B$33))+MONTH(ER$3)-MONTH($B$33))&gt;0,MOD((12*(YEAR(ER$3)-YEAR($B$33))+MONTH(ER$3)-MONTH($B$33)),'Вводные'!$B$78)=0,(12*(YEAR(ER$3)-YEAR($B$33))+MONTH(ER$3)-MONTH($B$33))&lt;='Вводные'!$B$77*12),$B$35/MAX(1,'Вводные'!$B$79),0))))</x:f>
      </x:c>
      <x:c r="ES38" s="117" t="n">
        <x:f>MIN(ES36+ES37,IF('Вводные'!$B$75="Единовременно",ES37,IF(AND('Вводные'!$B$84="Да",YEAR(ES$3)=YEAR($B$34),MONTH(ES$3)=MONTH($B$34)),ES36+ES37,IF(AND((12*(YEAR(ES$3)-YEAR($B$33))+MONTH(ES$3)-MONTH($B$33))&gt;0,MOD((12*(YEAR(ES$3)-YEAR($B$33))+MONTH(ES$3)-MONTH($B$33)),'Вводные'!$B$78)=0,(12*(YEAR(ES$3)-YEAR($B$33))+MONTH(ES$3)-MONTH($B$33))&lt;='Вводные'!$B$77*12),$B$35/MAX(1,'Вводные'!$B$79),0))))</x:f>
      </x:c>
      <x:c r="ET38" s="117" t="n">
        <x:f>MIN(ET36+ET37,IF('Вводные'!$B$75="Единовременно",ET37,IF(AND('Вводные'!$B$84="Да",YEAR(ET$3)=YEAR($B$34),MONTH(ET$3)=MONTH($B$34)),ET36+ET37,IF(AND((12*(YEAR(ET$3)-YEAR($B$33))+MONTH(ET$3)-MONTH($B$33))&gt;0,MOD((12*(YEAR(ET$3)-YEAR($B$33))+MONTH(ET$3)-MONTH($B$33)),'Вводные'!$B$78)=0,(12*(YEAR(ET$3)-YEAR($B$33))+MONTH(ET$3)-MONTH($B$33))&lt;='Вводные'!$B$77*12),$B$35/MAX(1,'Вводные'!$B$79),0))))</x:f>
      </x:c>
      <x:c r="EU38" s="117" t="n">
        <x:f>MIN(EU36+EU37,IF('Вводные'!$B$75="Единовременно",EU37,IF(AND('Вводные'!$B$84="Да",YEAR(EU$3)=YEAR($B$34),MONTH(EU$3)=MONTH($B$34)),EU36+EU37,IF(AND((12*(YEAR(EU$3)-YEAR($B$33))+MONTH(EU$3)-MONTH($B$33))&gt;0,MOD((12*(YEAR(EU$3)-YEAR($B$33))+MONTH(EU$3)-MONTH($B$33)),'Вводные'!$B$78)=0,(12*(YEAR(EU$3)-YEAR($B$33))+MONTH(EU$3)-MONTH($B$33))&lt;='Вводные'!$B$77*12),$B$35/MAX(1,'Вводные'!$B$79),0))))</x:f>
      </x:c>
      <x:c r="EV38" s="117" t="n">
        <x:f>MIN(EV36+EV37,IF('Вводные'!$B$75="Единовременно",EV37,IF(AND('Вводные'!$B$84="Да",YEAR(EV$3)=YEAR($B$34),MONTH(EV$3)=MONTH($B$34)),EV36+EV37,IF(AND((12*(YEAR(EV$3)-YEAR($B$33))+MONTH(EV$3)-MONTH($B$33))&gt;0,MOD((12*(YEAR(EV$3)-YEAR($B$33))+MONTH(EV$3)-MONTH($B$33)),'Вводные'!$B$78)=0,(12*(YEAR(EV$3)-YEAR($B$33))+MONTH(EV$3)-MONTH($B$33))&lt;='Вводные'!$B$77*12),$B$35/MAX(1,'Вводные'!$B$79),0))))</x:f>
      </x:c>
      <x:c r="EW38" s="117" t="n">
        <x:f>MIN(EW36+EW37,IF('Вводные'!$B$75="Единовременно",EW37,IF(AND('Вводные'!$B$84="Да",YEAR(EW$3)=YEAR($B$34),MONTH(EW$3)=MONTH($B$34)),EW36+EW37,IF(AND((12*(YEAR(EW$3)-YEAR($B$33))+MONTH(EW$3)-MONTH($B$33))&gt;0,MOD((12*(YEAR(EW$3)-YEAR($B$33))+MONTH(EW$3)-MONTH($B$33)),'Вводные'!$B$78)=0,(12*(YEAR(EW$3)-YEAR($B$33))+MONTH(EW$3)-MONTH($B$33))&lt;='Вводные'!$B$77*12),$B$35/MAX(1,'Вводные'!$B$79),0))))</x:f>
      </x:c>
      <x:c r="EX38" s="117" t="n">
        <x:f>MIN(EX36+EX37,IF('Вводные'!$B$75="Единовременно",EX37,IF(AND('Вводные'!$B$84="Да",YEAR(EX$3)=YEAR($B$34),MONTH(EX$3)=MONTH($B$34)),EX36+EX37,IF(AND((12*(YEAR(EX$3)-YEAR($B$33))+MONTH(EX$3)-MONTH($B$33))&gt;0,MOD((12*(YEAR(EX$3)-YEAR($B$33))+MONTH(EX$3)-MONTH($B$33)),'Вводные'!$B$78)=0,(12*(YEAR(EX$3)-YEAR($B$33))+MONTH(EX$3)-MONTH($B$33))&lt;='Вводные'!$B$77*12),$B$35/MAX(1,'Вводные'!$B$79),0))))</x:f>
      </x:c>
      <x:c r="EY38" s="117" t="n">
        <x:f>MIN(EY36+EY37,IF('Вводные'!$B$75="Единовременно",EY37,IF(AND('Вводные'!$B$84="Да",YEAR(EY$3)=YEAR($B$34),MONTH(EY$3)=MONTH($B$34)),EY36+EY37,IF(AND((12*(YEAR(EY$3)-YEAR($B$33))+MONTH(EY$3)-MONTH($B$33))&gt;0,MOD((12*(YEAR(EY$3)-YEAR($B$33))+MONTH(EY$3)-MONTH($B$33)),'Вводные'!$B$78)=0,(12*(YEAR(EY$3)-YEAR($B$33))+MONTH(EY$3)-MONTH($B$33))&lt;='Вводные'!$B$77*12),$B$35/MAX(1,'Вводные'!$B$79),0))))</x:f>
      </x:c>
      <x:c r="EZ38" s="117" t="n">
        <x:f>MIN(EZ36+EZ37,IF('Вводные'!$B$75="Единовременно",EZ37,IF(AND('Вводные'!$B$84="Да",YEAR(EZ$3)=YEAR($B$34),MONTH(EZ$3)=MONTH($B$34)),EZ36+EZ37,IF(AND((12*(YEAR(EZ$3)-YEAR($B$33))+MONTH(EZ$3)-MONTH($B$33))&gt;0,MOD((12*(YEAR(EZ$3)-YEAR($B$33))+MONTH(EZ$3)-MONTH($B$33)),'Вводные'!$B$78)=0,(12*(YEAR(EZ$3)-YEAR($B$33))+MONTH(EZ$3)-MONTH($B$33))&lt;='Вводные'!$B$77*12),$B$35/MAX(1,'Вводные'!$B$79),0))))</x:f>
      </x:c>
      <x:c r="FA38" s="117" t="n">
        <x:f>MIN(FA36+FA37,IF('Вводные'!$B$75="Единовременно",FA37,IF(AND('Вводные'!$B$84="Да",YEAR(FA$3)=YEAR($B$34),MONTH(FA$3)=MONTH($B$34)),FA36+FA37,IF(AND((12*(YEAR(FA$3)-YEAR($B$33))+MONTH(FA$3)-MONTH($B$33))&gt;0,MOD((12*(YEAR(FA$3)-YEAR($B$33))+MONTH(FA$3)-MONTH($B$33)),'Вводные'!$B$78)=0,(12*(YEAR(FA$3)-YEAR($B$33))+MONTH(FA$3)-MONTH($B$33))&lt;='Вводные'!$B$77*12),$B$35/MAX(1,'Вводные'!$B$79),0))))</x:f>
      </x:c>
      <x:c r="FB38" s="117" t="n">
        <x:f>MIN(FB36+FB37,IF('Вводные'!$B$75="Единовременно",FB37,IF(AND('Вводные'!$B$84="Да",YEAR(FB$3)=YEAR($B$34),MONTH(FB$3)=MONTH($B$34)),FB36+FB37,IF(AND((12*(YEAR(FB$3)-YEAR($B$33))+MONTH(FB$3)-MONTH($B$33))&gt;0,MOD((12*(YEAR(FB$3)-YEAR($B$33))+MONTH(FB$3)-MONTH($B$33)),'Вводные'!$B$78)=0,(12*(YEAR(FB$3)-YEAR($B$33))+MONTH(FB$3)-MONTH($B$33))&lt;='Вводные'!$B$77*12),$B$35/MAX(1,'Вводные'!$B$79),0))))</x:f>
      </x:c>
      <x:c r="FC38" s="117" t="n">
        <x:f>MIN(FC36+FC37,IF('Вводные'!$B$75="Единовременно",FC37,IF(AND('Вводные'!$B$84="Да",YEAR(FC$3)=YEAR($B$34),MONTH(FC$3)=MONTH($B$34)),FC36+FC37,IF(AND((12*(YEAR(FC$3)-YEAR($B$33))+MONTH(FC$3)-MONTH($B$33))&gt;0,MOD((12*(YEAR(FC$3)-YEAR($B$33))+MONTH(FC$3)-MONTH($B$33)),'Вводные'!$B$78)=0,(12*(YEAR(FC$3)-YEAR($B$33))+MONTH(FC$3)-MONTH($B$33))&lt;='Вводные'!$B$77*12),$B$35/MAX(1,'Вводные'!$B$79),0))))</x:f>
      </x:c>
      <x:c r="FD38" s="117" t="n">
        <x:f>MIN(FD36+FD37,IF('Вводные'!$B$75="Единовременно",FD37,IF(AND('Вводные'!$B$84="Да",YEAR(FD$3)=YEAR($B$34),MONTH(FD$3)=MONTH($B$34)),FD36+FD37,IF(AND((12*(YEAR(FD$3)-YEAR($B$33))+MONTH(FD$3)-MONTH($B$33))&gt;0,MOD((12*(YEAR(FD$3)-YEAR($B$33))+MONTH(FD$3)-MONTH($B$33)),'Вводные'!$B$78)=0,(12*(YEAR(FD$3)-YEAR($B$33))+MONTH(FD$3)-MONTH($B$33))&lt;='Вводные'!$B$77*12),$B$35/MAX(1,'Вводные'!$B$79),0))))</x:f>
      </x:c>
      <x:c r="FE38" s="117" t="n">
        <x:f>MIN(FE36+FE37,IF('Вводные'!$B$75="Единовременно",FE37,IF(AND('Вводные'!$B$84="Да",YEAR(FE$3)=YEAR($B$34),MONTH(FE$3)=MONTH($B$34)),FE36+FE37,IF(AND((12*(YEAR(FE$3)-YEAR($B$33))+MONTH(FE$3)-MONTH($B$33))&gt;0,MOD((12*(YEAR(FE$3)-YEAR($B$33))+MONTH(FE$3)-MONTH($B$33)),'Вводные'!$B$78)=0,(12*(YEAR(FE$3)-YEAR($B$33))+MONTH(FE$3)-MONTH($B$33))&lt;='Вводные'!$B$77*12),$B$35/MAX(1,'Вводные'!$B$79),0))))</x:f>
      </x:c>
      <x:c r="FF38" s="117" t="n">
        <x:f>MIN(FF36+FF37,IF('Вводные'!$B$75="Единовременно",FF37,IF(AND('Вводные'!$B$84="Да",YEAR(FF$3)=YEAR($B$34),MONTH(FF$3)=MONTH($B$34)),FF36+FF37,IF(AND((12*(YEAR(FF$3)-YEAR($B$33))+MONTH(FF$3)-MONTH($B$33))&gt;0,MOD((12*(YEAR(FF$3)-YEAR($B$33))+MONTH(FF$3)-MONTH($B$33)),'Вводные'!$B$78)=0,(12*(YEAR(FF$3)-YEAR($B$33))+MONTH(FF$3)-MONTH($B$33))&lt;='Вводные'!$B$77*12),$B$35/MAX(1,'Вводные'!$B$79),0))))</x:f>
      </x:c>
      <x:c r="FG38" s="117" t="n">
        <x:f>MIN(FG36+FG37,IF('Вводные'!$B$75="Единовременно",FG37,IF(AND('Вводные'!$B$84="Да",YEAR(FG$3)=YEAR($B$34),MONTH(FG$3)=MONTH($B$34)),FG36+FG37,IF(AND((12*(YEAR(FG$3)-YEAR($B$33))+MONTH(FG$3)-MONTH($B$33))&gt;0,MOD((12*(YEAR(FG$3)-YEAR($B$33))+MONTH(FG$3)-MONTH($B$33)),'Вводные'!$B$78)=0,(12*(YEAR(FG$3)-YEAR($B$33))+MONTH(FG$3)-MONTH($B$33))&lt;='Вводные'!$B$77*12),$B$35/MAX(1,'Вводные'!$B$79),0))))</x:f>
      </x:c>
      <x:c r="FH38" s="117" t="n">
        <x:f>MIN(FH36+FH37,IF('Вводные'!$B$75="Единовременно",FH37,IF(AND('Вводные'!$B$84="Да",YEAR(FH$3)=YEAR($B$34),MONTH(FH$3)=MONTH($B$34)),FH36+FH37,IF(AND((12*(YEAR(FH$3)-YEAR($B$33))+MONTH(FH$3)-MONTH($B$33))&gt;0,MOD((12*(YEAR(FH$3)-YEAR($B$33))+MONTH(FH$3)-MONTH($B$33)),'Вводные'!$B$78)=0,(12*(YEAR(FH$3)-YEAR($B$33))+MONTH(FH$3)-MONTH($B$33))&lt;='Вводные'!$B$77*12),$B$35/MAX(1,'Вводные'!$B$79),0))))</x:f>
      </x:c>
      <x:c r="FI38" s="117" t="n">
        <x:f>MIN(FI36+FI37,IF('Вводные'!$B$75="Единовременно",FI37,IF(AND('Вводные'!$B$84="Да",YEAR(FI$3)=YEAR($B$34),MONTH(FI$3)=MONTH($B$34)),FI36+FI37,IF(AND((12*(YEAR(FI$3)-YEAR($B$33))+MONTH(FI$3)-MONTH($B$33))&gt;0,MOD((12*(YEAR(FI$3)-YEAR($B$33))+MONTH(FI$3)-MONTH($B$33)),'Вводные'!$B$78)=0,(12*(YEAR(FI$3)-YEAR($B$33))+MONTH(FI$3)-MONTH($B$33))&lt;='Вводные'!$B$77*12),$B$35/MAX(1,'Вводные'!$B$79),0))))</x:f>
      </x:c>
      <x:c r="FJ38" s="117" t="n">
        <x:f>MIN(FJ36+FJ37,IF('Вводные'!$B$75="Единовременно",FJ37,IF(AND('Вводные'!$B$84="Да",YEAR(FJ$3)=YEAR($B$34),MONTH(FJ$3)=MONTH($B$34)),FJ36+FJ37,IF(AND((12*(YEAR(FJ$3)-YEAR($B$33))+MONTH(FJ$3)-MONTH($B$33))&gt;0,MOD((12*(YEAR(FJ$3)-YEAR($B$33))+MONTH(FJ$3)-MONTH($B$33)),'Вводные'!$B$78)=0,(12*(YEAR(FJ$3)-YEAR($B$33))+MONTH(FJ$3)-MONTH($B$33))&lt;='Вводные'!$B$77*12),$B$35/MAX(1,'Вводные'!$B$79),0))))</x:f>
      </x:c>
      <x:c r="FK38" s="117" t="n">
        <x:f>MIN(FK36+FK37,IF('Вводные'!$B$75="Единовременно",FK37,IF(AND('Вводные'!$B$84="Да",YEAR(FK$3)=YEAR($B$34),MONTH(FK$3)=MONTH($B$34)),FK36+FK37,IF(AND((12*(YEAR(FK$3)-YEAR($B$33))+MONTH(FK$3)-MONTH($B$33))&gt;0,MOD((12*(YEAR(FK$3)-YEAR($B$33))+MONTH(FK$3)-MONTH($B$33)),'Вводные'!$B$78)=0,(12*(YEAR(FK$3)-YEAR($B$33))+MONTH(FK$3)-MONTH($B$33))&lt;='Вводные'!$B$77*12),$B$35/MAX(1,'Вводные'!$B$79),0))))</x:f>
      </x:c>
      <x:c r="FL38" s="117" t="n">
        <x:f>MIN(FL36+FL37,IF('Вводные'!$B$75="Единовременно",FL37,IF(AND('Вводные'!$B$84="Да",YEAR(FL$3)=YEAR($B$34),MONTH(FL$3)=MONTH($B$34)),FL36+FL37,IF(AND((12*(YEAR(FL$3)-YEAR($B$33))+MONTH(FL$3)-MONTH($B$33))&gt;0,MOD((12*(YEAR(FL$3)-YEAR($B$33))+MONTH(FL$3)-MONTH($B$33)),'Вводные'!$B$78)=0,(12*(YEAR(FL$3)-YEAR($B$33))+MONTH(FL$3)-MONTH($B$33))&lt;='Вводные'!$B$77*12),$B$35/MAX(1,'Вводные'!$B$79),0))))</x:f>
      </x:c>
      <x:c r="FM38" s="117" t="n">
        <x:f>MIN(FM36+FM37,IF('Вводные'!$B$75="Единовременно",FM37,IF(AND('Вводные'!$B$84="Да",YEAR(FM$3)=YEAR($B$34),MONTH(FM$3)=MONTH($B$34)),FM36+FM37,IF(AND((12*(YEAR(FM$3)-YEAR($B$33))+MONTH(FM$3)-MONTH($B$33))&gt;0,MOD((12*(YEAR(FM$3)-YEAR($B$33))+MONTH(FM$3)-MONTH($B$33)),'Вводные'!$B$78)=0,(12*(YEAR(FM$3)-YEAR($B$33))+MONTH(FM$3)-MONTH($B$33))&lt;='Вводные'!$B$77*12),$B$35/MAX(1,'Вводные'!$B$79),0))))</x:f>
      </x:c>
      <x:c r="FN38" s="117" t="n">
        <x:f>MIN(FN36+FN37,IF('Вводные'!$B$75="Единовременно",FN37,IF(AND('Вводные'!$B$84="Да",YEAR(FN$3)=YEAR($B$34),MONTH(FN$3)=MONTH($B$34)),FN36+FN37,IF(AND((12*(YEAR(FN$3)-YEAR($B$33))+MONTH(FN$3)-MONTH($B$33))&gt;0,MOD((12*(YEAR(FN$3)-YEAR($B$33))+MONTH(FN$3)-MONTH($B$33)),'Вводные'!$B$78)=0,(12*(YEAR(FN$3)-YEAR($B$33))+MONTH(FN$3)-MONTH($B$33))&lt;='Вводные'!$B$77*12),$B$35/MAX(1,'Вводные'!$B$79),0))))</x:f>
      </x:c>
      <x:c r="FO38" s="117" t="n">
        <x:f>MIN(FO36+FO37,IF('Вводные'!$B$75="Единовременно",FO37,IF(AND('Вводные'!$B$84="Да",YEAR(FO$3)=YEAR($B$34),MONTH(FO$3)=MONTH($B$34)),FO36+FO37,IF(AND((12*(YEAR(FO$3)-YEAR($B$33))+MONTH(FO$3)-MONTH($B$33))&gt;0,MOD((12*(YEAR(FO$3)-YEAR($B$33))+MONTH(FO$3)-MONTH($B$33)),'Вводные'!$B$78)=0,(12*(YEAR(FO$3)-YEAR($B$33))+MONTH(FO$3)-MONTH($B$33))&lt;='Вводные'!$B$77*12),$B$35/MAX(1,'Вводные'!$B$79),0))))</x:f>
      </x:c>
      <x:c r="FP38" s="117" t="n">
        <x:f>MIN(FP36+FP37,IF('Вводные'!$B$75="Единовременно",FP37,IF(AND('Вводные'!$B$84="Да",YEAR(FP$3)=YEAR($B$34),MONTH(FP$3)=MONTH($B$34)),FP36+FP37,IF(AND((12*(YEAR(FP$3)-YEAR($B$33))+MONTH(FP$3)-MONTH($B$33))&gt;0,MOD((12*(YEAR(FP$3)-YEAR($B$33))+MONTH(FP$3)-MONTH($B$33)),'Вводные'!$B$78)=0,(12*(YEAR(FP$3)-YEAR($B$33))+MONTH(FP$3)-MONTH($B$33))&lt;='Вводные'!$B$77*12),$B$35/MAX(1,'Вводные'!$B$79),0))))</x:f>
      </x:c>
      <x:c r="FQ38" s="117" t="n">
        <x:f>MIN(FQ36+FQ37,IF('Вводные'!$B$75="Единовременно",FQ37,IF(AND('Вводные'!$B$84="Да",YEAR(FQ$3)=YEAR($B$34),MONTH(FQ$3)=MONTH($B$34)),FQ36+FQ37,IF(AND((12*(YEAR(FQ$3)-YEAR($B$33))+MONTH(FQ$3)-MONTH($B$33))&gt;0,MOD((12*(YEAR(FQ$3)-YEAR($B$33))+MONTH(FQ$3)-MONTH($B$33)),'Вводные'!$B$78)=0,(12*(YEAR(FQ$3)-YEAR($B$33))+MONTH(FQ$3)-MONTH($B$33))&lt;='Вводные'!$B$77*12),$B$35/MAX(1,'Вводные'!$B$79),0))))</x:f>
      </x:c>
      <x:c r="FR38" s="117" t="n">
        <x:f>MIN(FR36+FR37,IF('Вводные'!$B$75="Единовременно",FR37,IF(AND('Вводные'!$B$84="Да",YEAR(FR$3)=YEAR($B$34),MONTH(FR$3)=MONTH($B$34)),FR36+FR37,IF(AND((12*(YEAR(FR$3)-YEAR($B$33))+MONTH(FR$3)-MONTH($B$33))&gt;0,MOD((12*(YEAR(FR$3)-YEAR($B$33))+MONTH(FR$3)-MONTH($B$33)),'Вводные'!$B$78)=0,(12*(YEAR(FR$3)-YEAR($B$33))+MONTH(FR$3)-MONTH($B$33))&lt;='Вводные'!$B$77*12),$B$35/MAX(1,'Вводные'!$B$79),0))))</x:f>
      </x:c>
      <x:c r="FS38" s="117" t="n">
        <x:f>MIN(FS36+FS37,IF('Вводные'!$B$75="Единовременно",FS37,IF(AND('Вводные'!$B$84="Да",YEAR(FS$3)=YEAR($B$34),MONTH(FS$3)=MONTH($B$34)),FS36+FS37,IF(AND((12*(YEAR(FS$3)-YEAR($B$33))+MONTH(FS$3)-MONTH($B$33))&gt;0,MOD((12*(YEAR(FS$3)-YEAR($B$33))+MONTH(FS$3)-MONTH($B$33)),'Вводные'!$B$78)=0,(12*(YEAR(FS$3)-YEAR($B$33))+MONTH(FS$3)-MONTH($B$33))&lt;='Вводные'!$B$77*12),$B$35/MAX(1,'Вводные'!$B$79),0))))</x:f>
      </x:c>
      <x:c r="FT38" s="117" t="n">
        <x:f>MIN(FT36+FT37,IF('Вводные'!$B$75="Единовременно",FT37,IF(AND('Вводные'!$B$84="Да",YEAR(FT$3)=YEAR($B$34),MONTH(FT$3)=MONTH($B$34)),FT36+FT37,IF(AND((12*(YEAR(FT$3)-YEAR($B$33))+MONTH(FT$3)-MONTH($B$33))&gt;0,MOD((12*(YEAR(FT$3)-YEAR($B$33))+MONTH(FT$3)-MONTH($B$33)),'Вводные'!$B$78)=0,(12*(YEAR(FT$3)-YEAR($B$33))+MONTH(FT$3)-MONTH($B$33))&lt;='Вводные'!$B$77*12),$B$35/MAX(1,'Вводные'!$B$79),0))))</x:f>
      </x:c>
      <x:c r="FU38" s="117" t="n">
        <x:f>MIN(FU36+FU37,IF('Вводные'!$B$75="Единовременно",FU37,IF(AND('Вводные'!$B$84="Да",YEAR(FU$3)=YEAR($B$34),MONTH(FU$3)=MONTH($B$34)),FU36+FU37,IF(AND((12*(YEAR(FU$3)-YEAR($B$33))+MONTH(FU$3)-MONTH($B$33))&gt;0,MOD((12*(YEAR(FU$3)-YEAR($B$33))+MONTH(FU$3)-MONTH($B$33)),'Вводные'!$B$78)=0,(12*(YEAR(FU$3)-YEAR($B$33))+MONTH(FU$3)-MONTH($B$33))&lt;='Вводные'!$B$77*12),$B$35/MAX(1,'Вводные'!$B$79),0))))</x:f>
      </x:c>
      <x:c r="FV38" s="117" t="n">
        <x:f>MIN(FV36+FV37,IF('Вводные'!$B$75="Единовременно",FV37,IF(AND('Вводные'!$B$84="Да",YEAR(FV$3)=YEAR($B$34),MONTH(FV$3)=MONTH($B$34)),FV36+FV37,IF(AND((12*(YEAR(FV$3)-YEAR($B$33))+MONTH(FV$3)-MONTH($B$33))&gt;0,MOD((12*(YEAR(FV$3)-YEAR($B$33))+MONTH(FV$3)-MONTH($B$33)),'Вводные'!$B$78)=0,(12*(YEAR(FV$3)-YEAR($B$33))+MONTH(FV$3)-MONTH($B$33))&lt;='Вводные'!$B$77*12),$B$35/MAX(1,'Вводные'!$B$79),0))))</x:f>
      </x:c>
      <x:c r="FW38" s="117" t="n">
        <x:f>MIN(FW36+FW37,IF('Вводные'!$B$75="Единовременно",FW37,IF(AND('Вводные'!$B$84="Да",YEAR(FW$3)=YEAR($B$34),MONTH(FW$3)=MONTH($B$34)),FW36+FW37,IF(AND((12*(YEAR(FW$3)-YEAR($B$33))+MONTH(FW$3)-MONTH($B$33))&gt;0,MOD((12*(YEAR(FW$3)-YEAR($B$33))+MONTH(FW$3)-MONTH($B$33)),'Вводные'!$B$78)=0,(12*(YEAR(FW$3)-YEAR($B$33))+MONTH(FW$3)-MONTH($B$33))&lt;='Вводные'!$B$77*12),$B$35/MAX(1,'Вводные'!$B$79),0))))</x:f>
      </x:c>
      <x:c r="FX38" s="117" t="n">
        <x:f>MIN(FX36+FX37,IF('Вводные'!$B$75="Единовременно",FX37,IF(AND('Вводные'!$B$84="Да",YEAR(FX$3)=YEAR($B$34),MONTH(FX$3)=MONTH($B$34)),FX36+FX37,IF(AND((12*(YEAR(FX$3)-YEAR($B$33))+MONTH(FX$3)-MONTH($B$33))&gt;0,MOD((12*(YEAR(FX$3)-YEAR($B$33))+MONTH(FX$3)-MONTH($B$33)),'Вводные'!$B$78)=0,(12*(YEAR(FX$3)-YEAR($B$33))+MONTH(FX$3)-MONTH($B$33))&lt;='Вводные'!$B$77*12),$B$35/MAX(1,'Вводные'!$B$79),0))))</x:f>
      </x:c>
      <x:c r="FY38" s="117" t="n">
        <x:f>MIN(FY36+FY37,IF('Вводные'!$B$75="Единовременно",FY37,IF(AND('Вводные'!$B$84="Да",YEAR(FY$3)=YEAR($B$34),MONTH(FY$3)=MONTH($B$34)),FY36+FY37,IF(AND((12*(YEAR(FY$3)-YEAR($B$33))+MONTH(FY$3)-MONTH($B$33))&gt;0,MOD((12*(YEAR(FY$3)-YEAR($B$33))+MONTH(FY$3)-MONTH($B$33)),'Вводные'!$B$78)=0,(12*(YEAR(FY$3)-YEAR($B$33))+MONTH(FY$3)-MONTH($B$33))&lt;='Вводные'!$B$77*12),$B$35/MAX(1,'Вводные'!$B$79),0))))</x:f>
      </x:c>
      <x:c r="FZ38" s="117" t="n">
        <x:f>MIN(FZ36+FZ37,IF('Вводные'!$B$75="Единовременно",FZ37,IF(AND('Вводные'!$B$84="Да",YEAR(FZ$3)=YEAR($B$34),MONTH(FZ$3)=MONTH($B$34)),FZ36+FZ37,IF(AND((12*(YEAR(FZ$3)-YEAR($B$33))+MONTH(FZ$3)-MONTH($B$33))&gt;0,MOD((12*(YEAR(FZ$3)-YEAR($B$33))+MONTH(FZ$3)-MONTH($B$33)),'Вводные'!$B$78)=0,(12*(YEAR(FZ$3)-YEAR($B$33))+MONTH(FZ$3)-MONTH($B$33))&lt;='Вводные'!$B$77*12),$B$35/MAX(1,'Вводные'!$B$79),0))))</x:f>
      </x:c>
      <x:c r="GA38" s="117" t="n">
        <x:f>MIN(GA36+GA37,IF('Вводные'!$B$75="Единовременно",GA37,IF(AND('Вводные'!$B$84="Да",YEAR(GA$3)=YEAR($B$34),MONTH(GA$3)=MONTH($B$34)),GA36+GA37,IF(AND((12*(YEAR(GA$3)-YEAR($B$33))+MONTH(GA$3)-MONTH($B$33))&gt;0,MOD((12*(YEAR(GA$3)-YEAR($B$33))+MONTH(GA$3)-MONTH($B$33)),'Вводные'!$B$78)=0,(12*(YEAR(GA$3)-YEAR($B$33))+MONTH(GA$3)-MONTH($B$33))&lt;='Вводные'!$B$77*12),$B$35/MAX(1,'Вводные'!$B$79),0))))</x:f>
      </x:c>
    </x:row>
    <x:row r="39">
      <x:c r="A39" t="str">
        <x:v>Проценты по рассрочке</x:v>
      </x:c>
      <x:c r="B39" s="107" t="n">
        <x:f>SUM(D39:GA39)</x:f>
      </x:c>
      <x:c r="C39" t="str">
        <x:v>млн ₽</x:v>
      </x:c>
      <x:c r="D39" s="117" t="n">
        <x:f>IF(AND('Вводные'!$B$75&lt;&gt;"Единовременно",'Вводные'!$B$80="Да",D36&gt;0),IF(AND('Вводные'!$B$84="Да",YEAR(D$3)=YEAR($B$34),MONTH(D$3)=MONTH($B$34)),D36*D43/12,IF(AND((12*(YEAR(D$3)-YEAR($B$33))+MONTH(D$3)-MONTH($B$33))&gt;0,MOD((12*(YEAR(D$3)-YEAR($B$33))+MONTH(D$3)-MONTH($B$33)),'Вводные'!$B$78)=0,(12*(YEAR(D$3)-YEAR($B$33))+MONTH(D$3)-MONTH($B$33))&lt;='Вводные'!$B$77*12),D36*D43*'Вводные'!$B$78/12,0)),0)</x:f>
      </x:c>
      <x:c r="E39" s="117" t="n">
        <x:f>IF(AND('Вводные'!$B$75&lt;&gt;"Единовременно",'Вводные'!$B$80="Да",E36&gt;0),IF(AND('Вводные'!$B$84="Да",YEAR(E$3)=YEAR($B$34),MONTH(E$3)=MONTH($B$34)),E36*E43/12,IF(AND((12*(YEAR(E$3)-YEAR($B$33))+MONTH(E$3)-MONTH($B$33))&gt;0,MOD((12*(YEAR(E$3)-YEAR($B$33))+MONTH(E$3)-MONTH($B$33)),'Вводные'!$B$78)=0,(12*(YEAR(E$3)-YEAR($B$33))+MONTH(E$3)-MONTH($B$33))&lt;='Вводные'!$B$77*12),E36*E43*'Вводные'!$B$78/12,0)),0)</x:f>
      </x:c>
      <x:c r="F39" s="117" t="n">
        <x:f>IF(AND('Вводные'!$B$75&lt;&gt;"Единовременно",'Вводные'!$B$80="Да",F36&gt;0),IF(AND('Вводные'!$B$84="Да",YEAR(F$3)=YEAR($B$34),MONTH(F$3)=MONTH($B$34)),F36*F43/12,IF(AND((12*(YEAR(F$3)-YEAR($B$33))+MONTH(F$3)-MONTH($B$33))&gt;0,MOD((12*(YEAR(F$3)-YEAR($B$33))+MONTH(F$3)-MONTH($B$33)),'Вводные'!$B$78)=0,(12*(YEAR(F$3)-YEAR($B$33))+MONTH(F$3)-MONTH($B$33))&lt;='Вводные'!$B$77*12),F36*F43*'Вводные'!$B$78/12,0)),0)</x:f>
      </x:c>
      <x:c r="G39" s="117" t="n">
        <x:f>IF(AND('Вводные'!$B$75&lt;&gt;"Единовременно",'Вводные'!$B$80="Да",G36&gt;0),IF(AND('Вводные'!$B$84="Да",YEAR(G$3)=YEAR($B$34),MONTH(G$3)=MONTH($B$34)),G36*G43/12,IF(AND((12*(YEAR(G$3)-YEAR($B$33))+MONTH(G$3)-MONTH($B$33))&gt;0,MOD((12*(YEAR(G$3)-YEAR($B$33))+MONTH(G$3)-MONTH($B$33)),'Вводные'!$B$78)=0,(12*(YEAR(G$3)-YEAR($B$33))+MONTH(G$3)-MONTH($B$33))&lt;='Вводные'!$B$77*12),G36*G43*'Вводные'!$B$78/12,0)),0)</x:f>
      </x:c>
      <x:c r="H39" s="117" t="n">
        <x:f>IF(AND('Вводные'!$B$75&lt;&gt;"Единовременно",'Вводные'!$B$80="Да",H36&gt;0),IF(AND('Вводные'!$B$84="Да",YEAR(H$3)=YEAR($B$34),MONTH(H$3)=MONTH($B$34)),H36*H43/12,IF(AND((12*(YEAR(H$3)-YEAR($B$33))+MONTH(H$3)-MONTH($B$33))&gt;0,MOD((12*(YEAR(H$3)-YEAR($B$33))+MONTH(H$3)-MONTH($B$33)),'Вводные'!$B$78)=0,(12*(YEAR(H$3)-YEAR($B$33))+MONTH(H$3)-MONTH($B$33))&lt;='Вводные'!$B$77*12),H36*H43*'Вводные'!$B$78/12,0)),0)</x:f>
      </x:c>
      <x:c r="I39" s="117" t="n">
        <x:f>IF(AND('Вводные'!$B$75&lt;&gt;"Единовременно",'Вводные'!$B$80="Да",I36&gt;0),IF(AND('Вводные'!$B$84="Да",YEAR(I$3)=YEAR($B$34),MONTH(I$3)=MONTH($B$34)),I36*I43/12,IF(AND((12*(YEAR(I$3)-YEAR($B$33))+MONTH(I$3)-MONTH($B$33))&gt;0,MOD((12*(YEAR(I$3)-YEAR($B$33))+MONTH(I$3)-MONTH($B$33)),'Вводные'!$B$78)=0,(12*(YEAR(I$3)-YEAR($B$33))+MONTH(I$3)-MONTH($B$33))&lt;='Вводные'!$B$77*12),I36*I43*'Вводные'!$B$78/12,0)),0)</x:f>
      </x:c>
      <x:c r="J39" s="117" t="n">
        <x:f>IF(AND('Вводные'!$B$75&lt;&gt;"Единовременно",'Вводные'!$B$80="Да",J36&gt;0),IF(AND('Вводные'!$B$84="Да",YEAR(J$3)=YEAR($B$34),MONTH(J$3)=MONTH($B$34)),J36*J43/12,IF(AND((12*(YEAR(J$3)-YEAR($B$33))+MONTH(J$3)-MONTH($B$33))&gt;0,MOD((12*(YEAR(J$3)-YEAR($B$33))+MONTH(J$3)-MONTH($B$33)),'Вводные'!$B$78)=0,(12*(YEAR(J$3)-YEAR($B$33))+MONTH(J$3)-MONTH($B$33))&lt;='Вводные'!$B$77*12),J36*J43*'Вводные'!$B$78/12,0)),0)</x:f>
      </x:c>
      <x:c r="K39" s="117" t="n">
        <x:f>IF(AND('Вводные'!$B$75&lt;&gt;"Единовременно",'Вводные'!$B$80="Да",K36&gt;0),IF(AND('Вводные'!$B$84="Да",YEAR(K$3)=YEAR($B$34),MONTH(K$3)=MONTH($B$34)),K36*K43/12,IF(AND((12*(YEAR(K$3)-YEAR($B$33))+MONTH(K$3)-MONTH($B$33))&gt;0,MOD((12*(YEAR(K$3)-YEAR($B$33))+MONTH(K$3)-MONTH($B$33)),'Вводные'!$B$78)=0,(12*(YEAR(K$3)-YEAR($B$33))+MONTH(K$3)-MONTH($B$33))&lt;='Вводные'!$B$77*12),K36*K43*'Вводные'!$B$78/12,0)),0)</x:f>
      </x:c>
      <x:c r="L39" s="117" t="n">
        <x:f>IF(AND('Вводные'!$B$75&lt;&gt;"Единовременно",'Вводные'!$B$80="Да",L36&gt;0),IF(AND('Вводные'!$B$84="Да",YEAR(L$3)=YEAR($B$34),MONTH(L$3)=MONTH($B$34)),L36*L43/12,IF(AND((12*(YEAR(L$3)-YEAR($B$33))+MONTH(L$3)-MONTH($B$33))&gt;0,MOD((12*(YEAR(L$3)-YEAR($B$33))+MONTH(L$3)-MONTH($B$33)),'Вводные'!$B$78)=0,(12*(YEAR(L$3)-YEAR($B$33))+MONTH(L$3)-MONTH($B$33))&lt;='Вводные'!$B$77*12),L36*L43*'Вводные'!$B$78/12,0)),0)</x:f>
      </x:c>
      <x:c r="M39" s="117" t="n">
        <x:f>IF(AND('Вводные'!$B$75&lt;&gt;"Единовременно",'Вводные'!$B$80="Да",M36&gt;0),IF(AND('Вводные'!$B$84="Да",YEAR(M$3)=YEAR($B$34),MONTH(M$3)=MONTH($B$34)),M36*M43/12,IF(AND((12*(YEAR(M$3)-YEAR($B$33))+MONTH(M$3)-MONTH($B$33))&gt;0,MOD((12*(YEAR(M$3)-YEAR($B$33))+MONTH(M$3)-MONTH($B$33)),'Вводные'!$B$78)=0,(12*(YEAR(M$3)-YEAR($B$33))+MONTH(M$3)-MONTH($B$33))&lt;='Вводные'!$B$77*12),M36*M43*'Вводные'!$B$78/12,0)),0)</x:f>
      </x:c>
      <x:c r="N39" s="117" t="n">
        <x:f>IF(AND('Вводные'!$B$75&lt;&gt;"Единовременно",'Вводные'!$B$80="Да",N36&gt;0),IF(AND('Вводные'!$B$84="Да",YEAR(N$3)=YEAR($B$34),MONTH(N$3)=MONTH($B$34)),N36*N43/12,IF(AND((12*(YEAR(N$3)-YEAR($B$33))+MONTH(N$3)-MONTH($B$33))&gt;0,MOD((12*(YEAR(N$3)-YEAR($B$33))+MONTH(N$3)-MONTH($B$33)),'Вводные'!$B$78)=0,(12*(YEAR(N$3)-YEAR($B$33))+MONTH(N$3)-MONTH($B$33))&lt;='Вводные'!$B$77*12),N36*N43*'Вводные'!$B$78/12,0)),0)</x:f>
      </x:c>
      <x:c r="O39" s="117" t="n">
        <x:f>IF(AND('Вводные'!$B$75&lt;&gt;"Единовременно",'Вводные'!$B$80="Да",O36&gt;0),IF(AND('Вводные'!$B$84="Да",YEAR(O$3)=YEAR($B$34),MONTH(O$3)=MONTH($B$34)),O36*O43/12,IF(AND((12*(YEAR(O$3)-YEAR($B$33))+MONTH(O$3)-MONTH($B$33))&gt;0,MOD((12*(YEAR(O$3)-YEAR($B$33))+MONTH(O$3)-MONTH($B$33)),'Вводные'!$B$78)=0,(12*(YEAR(O$3)-YEAR($B$33))+MONTH(O$3)-MONTH($B$33))&lt;='Вводные'!$B$77*12),O36*O43*'Вводные'!$B$78/12,0)),0)</x:f>
      </x:c>
      <x:c r="P39" s="117" t="n">
        <x:f>IF(AND('Вводные'!$B$75&lt;&gt;"Единовременно",'Вводные'!$B$80="Да",P36&gt;0),IF(AND('Вводные'!$B$84="Да",YEAR(P$3)=YEAR($B$34),MONTH(P$3)=MONTH($B$34)),P36*P43/12,IF(AND((12*(YEAR(P$3)-YEAR($B$33))+MONTH(P$3)-MONTH($B$33))&gt;0,MOD((12*(YEAR(P$3)-YEAR($B$33))+MONTH(P$3)-MONTH($B$33)),'Вводные'!$B$78)=0,(12*(YEAR(P$3)-YEAR($B$33))+MONTH(P$3)-MONTH($B$33))&lt;='Вводные'!$B$77*12),P36*P43*'Вводные'!$B$78/12,0)),0)</x:f>
      </x:c>
      <x:c r="Q39" s="117" t="n">
        <x:f>IF(AND('Вводные'!$B$75&lt;&gt;"Единовременно",'Вводные'!$B$80="Да",Q36&gt;0),IF(AND('Вводные'!$B$84="Да",YEAR(Q$3)=YEAR($B$34),MONTH(Q$3)=MONTH($B$34)),Q36*Q43/12,IF(AND((12*(YEAR(Q$3)-YEAR($B$33))+MONTH(Q$3)-MONTH($B$33))&gt;0,MOD((12*(YEAR(Q$3)-YEAR($B$33))+MONTH(Q$3)-MONTH($B$33)),'Вводные'!$B$78)=0,(12*(YEAR(Q$3)-YEAR($B$33))+MONTH(Q$3)-MONTH($B$33))&lt;='Вводные'!$B$77*12),Q36*Q43*'Вводные'!$B$78/12,0)),0)</x:f>
      </x:c>
      <x:c r="R39" s="117" t="n">
        <x:f>IF(AND('Вводные'!$B$75&lt;&gt;"Единовременно",'Вводные'!$B$80="Да",R36&gt;0),IF(AND('Вводные'!$B$84="Да",YEAR(R$3)=YEAR($B$34),MONTH(R$3)=MONTH($B$34)),R36*R43/12,IF(AND((12*(YEAR(R$3)-YEAR($B$33))+MONTH(R$3)-MONTH($B$33))&gt;0,MOD((12*(YEAR(R$3)-YEAR($B$33))+MONTH(R$3)-MONTH($B$33)),'Вводные'!$B$78)=0,(12*(YEAR(R$3)-YEAR($B$33))+MONTH(R$3)-MONTH($B$33))&lt;='Вводные'!$B$77*12),R36*R43*'Вводные'!$B$78/12,0)),0)</x:f>
      </x:c>
      <x:c r="S39" s="117" t="n">
        <x:f>IF(AND('Вводные'!$B$75&lt;&gt;"Единовременно",'Вводные'!$B$80="Да",S36&gt;0),IF(AND('Вводные'!$B$84="Да",YEAR(S$3)=YEAR($B$34),MONTH(S$3)=MONTH($B$34)),S36*S43/12,IF(AND((12*(YEAR(S$3)-YEAR($B$33))+MONTH(S$3)-MONTH($B$33))&gt;0,MOD((12*(YEAR(S$3)-YEAR($B$33))+MONTH(S$3)-MONTH($B$33)),'Вводные'!$B$78)=0,(12*(YEAR(S$3)-YEAR($B$33))+MONTH(S$3)-MONTH($B$33))&lt;='Вводные'!$B$77*12),S36*S43*'Вводные'!$B$78/12,0)),0)</x:f>
      </x:c>
      <x:c r="T39" s="117" t="n">
        <x:f>IF(AND('Вводные'!$B$75&lt;&gt;"Единовременно",'Вводные'!$B$80="Да",T36&gt;0),IF(AND('Вводные'!$B$84="Да",YEAR(T$3)=YEAR($B$34),MONTH(T$3)=MONTH($B$34)),T36*T43/12,IF(AND((12*(YEAR(T$3)-YEAR($B$33))+MONTH(T$3)-MONTH($B$33))&gt;0,MOD((12*(YEAR(T$3)-YEAR($B$33))+MONTH(T$3)-MONTH($B$33)),'Вводные'!$B$78)=0,(12*(YEAR(T$3)-YEAR($B$33))+MONTH(T$3)-MONTH($B$33))&lt;='Вводные'!$B$77*12),T36*T43*'Вводные'!$B$78/12,0)),0)</x:f>
      </x:c>
      <x:c r="U39" s="117" t="n">
        <x:f>IF(AND('Вводные'!$B$75&lt;&gt;"Единовременно",'Вводные'!$B$80="Да",U36&gt;0),IF(AND('Вводные'!$B$84="Да",YEAR(U$3)=YEAR($B$34),MONTH(U$3)=MONTH($B$34)),U36*U43/12,IF(AND((12*(YEAR(U$3)-YEAR($B$33))+MONTH(U$3)-MONTH($B$33))&gt;0,MOD((12*(YEAR(U$3)-YEAR($B$33))+MONTH(U$3)-MONTH($B$33)),'Вводные'!$B$78)=0,(12*(YEAR(U$3)-YEAR($B$33))+MONTH(U$3)-MONTH($B$33))&lt;='Вводные'!$B$77*12),U36*U43*'Вводные'!$B$78/12,0)),0)</x:f>
      </x:c>
      <x:c r="V39" s="117" t="n">
        <x:f>IF(AND('Вводные'!$B$75&lt;&gt;"Единовременно",'Вводные'!$B$80="Да",V36&gt;0),IF(AND('Вводные'!$B$84="Да",YEAR(V$3)=YEAR($B$34),MONTH(V$3)=MONTH($B$34)),V36*V43/12,IF(AND((12*(YEAR(V$3)-YEAR($B$33))+MONTH(V$3)-MONTH($B$33))&gt;0,MOD((12*(YEAR(V$3)-YEAR($B$33))+MONTH(V$3)-MONTH($B$33)),'Вводные'!$B$78)=0,(12*(YEAR(V$3)-YEAR($B$33))+MONTH(V$3)-MONTH($B$33))&lt;='Вводные'!$B$77*12),V36*V43*'Вводные'!$B$78/12,0)),0)</x:f>
      </x:c>
      <x:c r="W39" s="117" t="n">
        <x:f>IF(AND('Вводные'!$B$75&lt;&gt;"Единовременно",'Вводные'!$B$80="Да",W36&gt;0),IF(AND('Вводные'!$B$84="Да",YEAR(W$3)=YEAR($B$34),MONTH(W$3)=MONTH($B$34)),W36*W43/12,IF(AND((12*(YEAR(W$3)-YEAR($B$33))+MONTH(W$3)-MONTH($B$33))&gt;0,MOD((12*(YEAR(W$3)-YEAR($B$33))+MONTH(W$3)-MONTH($B$33)),'Вводные'!$B$78)=0,(12*(YEAR(W$3)-YEAR($B$33))+MONTH(W$3)-MONTH($B$33))&lt;='Вводные'!$B$77*12),W36*W43*'Вводные'!$B$78/12,0)),0)</x:f>
      </x:c>
      <x:c r="X39" s="117" t="n">
        <x:f>IF(AND('Вводные'!$B$75&lt;&gt;"Единовременно",'Вводные'!$B$80="Да",X36&gt;0),IF(AND('Вводные'!$B$84="Да",YEAR(X$3)=YEAR($B$34),MONTH(X$3)=MONTH($B$34)),X36*X43/12,IF(AND((12*(YEAR(X$3)-YEAR($B$33))+MONTH(X$3)-MONTH($B$33))&gt;0,MOD((12*(YEAR(X$3)-YEAR($B$33))+MONTH(X$3)-MONTH($B$33)),'Вводные'!$B$78)=0,(12*(YEAR(X$3)-YEAR($B$33))+MONTH(X$3)-MONTH($B$33))&lt;='Вводные'!$B$77*12),X36*X43*'Вводные'!$B$78/12,0)),0)</x:f>
      </x:c>
      <x:c r="Y39" s="117" t="n">
        <x:f>IF(AND('Вводные'!$B$75&lt;&gt;"Единовременно",'Вводные'!$B$80="Да",Y36&gt;0),IF(AND('Вводные'!$B$84="Да",YEAR(Y$3)=YEAR($B$34),MONTH(Y$3)=MONTH($B$34)),Y36*Y43/12,IF(AND((12*(YEAR(Y$3)-YEAR($B$33))+MONTH(Y$3)-MONTH($B$33))&gt;0,MOD((12*(YEAR(Y$3)-YEAR($B$33))+MONTH(Y$3)-MONTH($B$33)),'Вводные'!$B$78)=0,(12*(YEAR(Y$3)-YEAR($B$33))+MONTH(Y$3)-MONTH($B$33))&lt;='Вводные'!$B$77*12),Y36*Y43*'Вводные'!$B$78/12,0)),0)</x:f>
      </x:c>
      <x:c r="Z39" s="117" t="n">
        <x:f>IF(AND('Вводные'!$B$75&lt;&gt;"Единовременно",'Вводные'!$B$80="Да",Z36&gt;0),IF(AND('Вводные'!$B$84="Да",YEAR(Z$3)=YEAR($B$34),MONTH(Z$3)=MONTH($B$34)),Z36*Z43/12,IF(AND((12*(YEAR(Z$3)-YEAR($B$33))+MONTH(Z$3)-MONTH($B$33))&gt;0,MOD((12*(YEAR(Z$3)-YEAR($B$33))+MONTH(Z$3)-MONTH($B$33)),'Вводные'!$B$78)=0,(12*(YEAR(Z$3)-YEAR($B$33))+MONTH(Z$3)-MONTH($B$33))&lt;='Вводные'!$B$77*12),Z36*Z43*'Вводные'!$B$78/12,0)),0)</x:f>
      </x:c>
      <x:c r="AA39" s="117" t="n">
        <x:f>IF(AND('Вводные'!$B$75&lt;&gt;"Единовременно",'Вводные'!$B$80="Да",AA36&gt;0),IF(AND('Вводные'!$B$84="Да",YEAR(AA$3)=YEAR($B$34),MONTH(AA$3)=MONTH($B$34)),AA36*AA43/12,IF(AND((12*(YEAR(AA$3)-YEAR($B$33))+MONTH(AA$3)-MONTH($B$33))&gt;0,MOD((12*(YEAR(AA$3)-YEAR($B$33))+MONTH(AA$3)-MONTH($B$33)),'Вводные'!$B$78)=0,(12*(YEAR(AA$3)-YEAR($B$33))+MONTH(AA$3)-MONTH($B$33))&lt;='Вводные'!$B$77*12),AA36*AA43*'Вводные'!$B$78/12,0)),0)</x:f>
      </x:c>
      <x:c r="AB39" s="117" t="n">
        <x:f>IF(AND('Вводные'!$B$75&lt;&gt;"Единовременно",'Вводные'!$B$80="Да",AB36&gt;0),IF(AND('Вводные'!$B$84="Да",YEAR(AB$3)=YEAR($B$34),MONTH(AB$3)=MONTH($B$34)),AB36*AB43/12,IF(AND((12*(YEAR(AB$3)-YEAR($B$33))+MONTH(AB$3)-MONTH($B$33))&gt;0,MOD((12*(YEAR(AB$3)-YEAR($B$33))+MONTH(AB$3)-MONTH($B$33)),'Вводные'!$B$78)=0,(12*(YEAR(AB$3)-YEAR($B$33))+MONTH(AB$3)-MONTH($B$33))&lt;='Вводные'!$B$77*12),AB36*AB43*'Вводные'!$B$78/12,0)),0)</x:f>
      </x:c>
      <x:c r="AC39" s="117" t="n">
        <x:f>IF(AND('Вводные'!$B$75&lt;&gt;"Единовременно",'Вводные'!$B$80="Да",AC36&gt;0),IF(AND('Вводные'!$B$84="Да",YEAR(AC$3)=YEAR($B$34),MONTH(AC$3)=MONTH($B$34)),AC36*AC43/12,IF(AND((12*(YEAR(AC$3)-YEAR($B$33))+MONTH(AC$3)-MONTH($B$33))&gt;0,MOD((12*(YEAR(AC$3)-YEAR($B$33))+MONTH(AC$3)-MONTH($B$33)),'Вводные'!$B$78)=0,(12*(YEAR(AC$3)-YEAR($B$33))+MONTH(AC$3)-MONTH($B$33))&lt;='Вводные'!$B$77*12),AC36*AC43*'Вводные'!$B$78/12,0)),0)</x:f>
      </x:c>
      <x:c r="AD39" s="117" t="n">
        <x:f>IF(AND('Вводные'!$B$75&lt;&gt;"Единовременно",'Вводные'!$B$80="Да",AD36&gt;0),IF(AND('Вводные'!$B$84="Да",YEAR(AD$3)=YEAR($B$34),MONTH(AD$3)=MONTH($B$34)),AD36*AD43/12,IF(AND((12*(YEAR(AD$3)-YEAR($B$33))+MONTH(AD$3)-MONTH($B$33))&gt;0,MOD((12*(YEAR(AD$3)-YEAR($B$33))+MONTH(AD$3)-MONTH($B$33)),'Вводные'!$B$78)=0,(12*(YEAR(AD$3)-YEAR($B$33))+MONTH(AD$3)-MONTH($B$33))&lt;='Вводные'!$B$77*12),AD36*AD43*'Вводные'!$B$78/12,0)),0)</x:f>
      </x:c>
      <x:c r="AE39" s="117" t="n">
        <x:f>IF(AND('Вводные'!$B$75&lt;&gt;"Единовременно",'Вводные'!$B$80="Да",AE36&gt;0),IF(AND('Вводные'!$B$84="Да",YEAR(AE$3)=YEAR($B$34),MONTH(AE$3)=MONTH($B$34)),AE36*AE43/12,IF(AND((12*(YEAR(AE$3)-YEAR($B$33))+MONTH(AE$3)-MONTH($B$33))&gt;0,MOD((12*(YEAR(AE$3)-YEAR($B$33))+MONTH(AE$3)-MONTH($B$33)),'Вводные'!$B$78)=0,(12*(YEAR(AE$3)-YEAR($B$33))+MONTH(AE$3)-MONTH($B$33))&lt;='Вводные'!$B$77*12),AE36*AE43*'Вводные'!$B$78/12,0)),0)</x:f>
      </x:c>
      <x:c r="AF39" s="117" t="n">
        <x:f>IF(AND('Вводные'!$B$75&lt;&gt;"Единовременно",'Вводные'!$B$80="Да",AF36&gt;0),IF(AND('Вводные'!$B$84="Да",YEAR(AF$3)=YEAR($B$34),MONTH(AF$3)=MONTH($B$34)),AF36*AF43/12,IF(AND((12*(YEAR(AF$3)-YEAR($B$33))+MONTH(AF$3)-MONTH($B$33))&gt;0,MOD((12*(YEAR(AF$3)-YEAR($B$33))+MONTH(AF$3)-MONTH($B$33)),'Вводные'!$B$78)=0,(12*(YEAR(AF$3)-YEAR($B$33))+MONTH(AF$3)-MONTH($B$33))&lt;='Вводные'!$B$77*12),AF36*AF43*'Вводные'!$B$78/12,0)),0)</x:f>
      </x:c>
      <x:c r="AG39" s="117" t="n">
        <x:f>IF(AND('Вводные'!$B$75&lt;&gt;"Единовременно",'Вводные'!$B$80="Да",AG36&gt;0),IF(AND('Вводные'!$B$84="Да",YEAR(AG$3)=YEAR($B$34),MONTH(AG$3)=MONTH($B$34)),AG36*AG43/12,IF(AND((12*(YEAR(AG$3)-YEAR($B$33))+MONTH(AG$3)-MONTH($B$33))&gt;0,MOD((12*(YEAR(AG$3)-YEAR($B$33))+MONTH(AG$3)-MONTH($B$33)),'Вводные'!$B$78)=0,(12*(YEAR(AG$3)-YEAR($B$33))+MONTH(AG$3)-MONTH($B$33))&lt;='Вводные'!$B$77*12),AG36*AG43*'Вводные'!$B$78/12,0)),0)</x:f>
      </x:c>
      <x:c r="AH39" s="117" t="n">
        <x:f>IF(AND('Вводные'!$B$75&lt;&gt;"Единовременно",'Вводные'!$B$80="Да",AH36&gt;0),IF(AND('Вводные'!$B$84="Да",YEAR(AH$3)=YEAR($B$34),MONTH(AH$3)=MONTH($B$34)),AH36*AH43/12,IF(AND((12*(YEAR(AH$3)-YEAR($B$33))+MONTH(AH$3)-MONTH($B$33))&gt;0,MOD((12*(YEAR(AH$3)-YEAR($B$33))+MONTH(AH$3)-MONTH($B$33)),'Вводные'!$B$78)=0,(12*(YEAR(AH$3)-YEAR($B$33))+MONTH(AH$3)-MONTH($B$33))&lt;='Вводные'!$B$77*12),AH36*AH43*'Вводные'!$B$78/12,0)),0)</x:f>
      </x:c>
      <x:c r="AI39" s="117" t="n">
        <x:f>IF(AND('Вводные'!$B$75&lt;&gt;"Единовременно",'Вводные'!$B$80="Да",AI36&gt;0),IF(AND('Вводные'!$B$84="Да",YEAR(AI$3)=YEAR($B$34),MONTH(AI$3)=MONTH($B$34)),AI36*AI43/12,IF(AND((12*(YEAR(AI$3)-YEAR($B$33))+MONTH(AI$3)-MONTH($B$33))&gt;0,MOD((12*(YEAR(AI$3)-YEAR($B$33))+MONTH(AI$3)-MONTH($B$33)),'Вводные'!$B$78)=0,(12*(YEAR(AI$3)-YEAR($B$33))+MONTH(AI$3)-MONTH($B$33))&lt;='Вводные'!$B$77*12),AI36*AI43*'Вводные'!$B$78/12,0)),0)</x:f>
      </x:c>
      <x:c r="AJ39" s="117" t="n">
        <x:f>IF(AND('Вводные'!$B$75&lt;&gt;"Единовременно",'Вводные'!$B$80="Да",AJ36&gt;0),IF(AND('Вводные'!$B$84="Да",YEAR(AJ$3)=YEAR($B$34),MONTH(AJ$3)=MONTH($B$34)),AJ36*AJ43/12,IF(AND((12*(YEAR(AJ$3)-YEAR($B$33))+MONTH(AJ$3)-MONTH($B$33))&gt;0,MOD((12*(YEAR(AJ$3)-YEAR($B$33))+MONTH(AJ$3)-MONTH($B$33)),'Вводные'!$B$78)=0,(12*(YEAR(AJ$3)-YEAR($B$33))+MONTH(AJ$3)-MONTH($B$33))&lt;='Вводные'!$B$77*12),AJ36*AJ43*'Вводные'!$B$78/12,0)),0)</x:f>
      </x:c>
      <x:c r="AK39" s="117" t="n">
        <x:f>IF(AND('Вводные'!$B$75&lt;&gt;"Единовременно",'Вводные'!$B$80="Да",AK36&gt;0),IF(AND('Вводные'!$B$84="Да",YEAR(AK$3)=YEAR($B$34),MONTH(AK$3)=MONTH($B$34)),AK36*AK43/12,IF(AND((12*(YEAR(AK$3)-YEAR($B$33))+MONTH(AK$3)-MONTH($B$33))&gt;0,MOD((12*(YEAR(AK$3)-YEAR($B$33))+MONTH(AK$3)-MONTH($B$33)),'Вводные'!$B$78)=0,(12*(YEAR(AK$3)-YEAR($B$33))+MONTH(AK$3)-MONTH($B$33))&lt;='Вводные'!$B$77*12),AK36*AK43*'Вводные'!$B$78/12,0)),0)</x:f>
      </x:c>
      <x:c r="AL39" s="117" t="n">
        <x:f>IF(AND('Вводные'!$B$75&lt;&gt;"Единовременно",'Вводные'!$B$80="Да",AL36&gt;0),IF(AND('Вводные'!$B$84="Да",YEAR(AL$3)=YEAR($B$34),MONTH(AL$3)=MONTH($B$34)),AL36*AL43/12,IF(AND((12*(YEAR(AL$3)-YEAR($B$33))+MONTH(AL$3)-MONTH($B$33))&gt;0,MOD((12*(YEAR(AL$3)-YEAR($B$33))+MONTH(AL$3)-MONTH($B$33)),'Вводные'!$B$78)=0,(12*(YEAR(AL$3)-YEAR($B$33))+MONTH(AL$3)-MONTH($B$33))&lt;='Вводные'!$B$77*12),AL36*AL43*'Вводные'!$B$78/12,0)),0)</x:f>
      </x:c>
      <x:c r="AM39" s="117" t="n">
        <x:f>IF(AND('Вводные'!$B$75&lt;&gt;"Единовременно",'Вводные'!$B$80="Да",AM36&gt;0),IF(AND('Вводные'!$B$84="Да",YEAR(AM$3)=YEAR($B$34),MONTH(AM$3)=MONTH($B$34)),AM36*AM43/12,IF(AND((12*(YEAR(AM$3)-YEAR($B$33))+MONTH(AM$3)-MONTH($B$33))&gt;0,MOD((12*(YEAR(AM$3)-YEAR($B$33))+MONTH(AM$3)-MONTH($B$33)),'Вводные'!$B$78)=0,(12*(YEAR(AM$3)-YEAR($B$33))+MONTH(AM$3)-MONTH($B$33))&lt;='Вводные'!$B$77*12),AM36*AM43*'Вводные'!$B$78/12,0)),0)</x:f>
      </x:c>
      <x:c r="AN39" s="117" t="n">
        <x:f>IF(AND('Вводные'!$B$75&lt;&gt;"Единовременно",'Вводные'!$B$80="Да",AN36&gt;0),IF(AND('Вводные'!$B$84="Да",YEAR(AN$3)=YEAR($B$34),MONTH(AN$3)=MONTH($B$34)),AN36*AN43/12,IF(AND((12*(YEAR(AN$3)-YEAR($B$33))+MONTH(AN$3)-MONTH($B$33))&gt;0,MOD((12*(YEAR(AN$3)-YEAR($B$33))+MONTH(AN$3)-MONTH($B$33)),'Вводные'!$B$78)=0,(12*(YEAR(AN$3)-YEAR($B$33))+MONTH(AN$3)-MONTH($B$33))&lt;='Вводные'!$B$77*12),AN36*AN43*'Вводные'!$B$78/12,0)),0)</x:f>
      </x:c>
      <x:c r="AO39" s="117" t="n">
        <x:f>IF(AND('Вводные'!$B$75&lt;&gt;"Единовременно",'Вводные'!$B$80="Да",AO36&gt;0),IF(AND('Вводные'!$B$84="Да",YEAR(AO$3)=YEAR($B$34),MONTH(AO$3)=MONTH($B$34)),AO36*AO43/12,IF(AND((12*(YEAR(AO$3)-YEAR($B$33))+MONTH(AO$3)-MONTH($B$33))&gt;0,MOD((12*(YEAR(AO$3)-YEAR($B$33))+MONTH(AO$3)-MONTH($B$33)),'Вводные'!$B$78)=0,(12*(YEAR(AO$3)-YEAR($B$33))+MONTH(AO$3)-MONTH($B$33))&lt;='Вводные'!$B$77*12),AO36*AO43*'Вводные'!$B$78/12,0)),0)</x:f>
      </x:c>
      <x:c r="AP39" s="117" t="n">
        <x:f>IF(AND('Вводные'!$B$75&lt;&gt;"Единовременно",'Вводные'!$B$80="Да",AP36&gt;0),IF(AND('Вводные'!$B$84="Да",YEAR(AP$3)=YEAR($B$34),MONTH(AP$3)=MONTH($B$34)),AP36*AP43/12,IF(AND((12*(YEAR(AP$3)-YEAR($B$33))+MONTH(AP$3)-MONTH($B$33))&gt;0,MOD((12*(YEAR(AP$3)-YEAR($B$33))+MONTH(AP$3)-MONTH($B$33)),'Вводные'!$B$78)=0,(12*(YEAR(AP$3)-YEAR($B$33))+MONTH(AP$3)-MONTH($B$33))&lt;='Вводные'!$B$77*12),AP36*AP43*'Вводные'!$B$78/12,0)),0)</x:f>
      </x:c>
      <x:c r="AQ39" s="117" t="n">
        <x:f>IF(AND('Вводные'!$B$75&lt;&gt;"Единовременно",'Вводные'!$B$80="Да",AQ36&gt;0),IF(AND('Вводные'!$B$84="Да",YEAR(AQ$3)=YEAR($B$34),MONTH(AQ$3)=MONTH($B$34)),AQ36*AQ43/12,IF(AND((12*(YEAR(AQ$3)-YEAR($B$33))+MONTH(AQ$3)-MONTH($B$33))&gt;0,MOD((12*(YEAR(AQ$3)-YEAR($B$33))+MONTH(AQ$3)-MONTH($B$33)),'Вводные'!$B$78)=0,(12*(YEAR(AQ$3)-YEAR($B$33))+MONTH(AQ$3)-MONTH($B$33))&lt;='Вводные'!$B$77*12),AQ36*AQ43*'Вводные'!$B$78/12,0)),0)</x:f>
      </x:c>
      <x:c r="AR39" s="117" t="n">
        <x:f>IF(AND('Вводные'!$B$75&lt;&gt;"Единовременно",'Вводные'!$B$80="Да",AR36&gt;0),IF(AND('Вводные'!$B$84="Да",YEAR(AR$3)=YEAR($B$34),MONTH(AR$3)=MONTH($B$34)),AR36*AR43/12,IF(AND((12*(YEAR(AR$3)-YEAR($B$33))+MONTH(AR$3)-MONTH($B$33))&gt;0,MOD((12*(YEAR(AR$3)-YEAR($B$33))+MONTH(AR$3)-MONTH($B$33)),'Вводные'!$B$78)=0,(12*(YEAR(AR$3)-YEAR($B$33))+MONTH(AR$3)-MONTH($B$33))&lt;='Вводные'!$B$77*12),AR36*AR43*'Вводные'!$B$78/12,0)),0)</x:f>
      </x:c>
      <x:c r="AS39" s="117" t="n">
        <x:f>IF(AND('Вводные'!$B$75&lt;&gt;"Единовременно",'Вводные'!$B$80="Да",AS36&gt;0),IF(AND('Вводные'!$B$84="Да",YEAR(AS$3)=YEAR($B$34),MONTH(AS$3)=MONTH($B$34)),AS36*AS43/12,IF(AND((12*(YEAR(AS$3)-YEAR($B$33))+MONTH(AS$3)-MONTH($B$33))&gt;0,MOD((12*(YEAR(AS$3)-YEAR($B$33))+MONTH(AS$3)-MONTH($B$33)),'Вводные'!$B$78)=0,(12*(YEAR(AS$3)-YEAR($B$33))+MONTH(AS$3)-MONTH($B$33))&lt;='Вводные'!$B$77*12),AS36*AS43*'Вводные'!$B$78/12,0)),0)</x:f>
      </x:c>
      <x:c r="AT39" s="117" t="n">
        <x:f>IF(AND('Вводные'!$B$75&lt;&gt;"Единовременно",'Вводные'!$B$80="Да",AT36&gt;0),IF(AND('Вводные'!$B$84="Да",YEAR(AT$3)=YEAR($B$34),MONTH(AT$3)=MONTH($B$34)),AT36*AT43/12,IF(AND((12*(YEAR(AT$3)-YEAR($B$33))+MONTH(AT$3)-MONTH($B$33))&gt;0,MOD((12*(YEAR(AT$3)-YEAR($B$33))+MONTH(AT$3)-MONTH($B$33)),'Вводные'!$B$78)=0,(12*(YEAR(AT$3)-YEAR($B$33))+MONTH(AT$3)-MONTH($B$33))&lt;='Вводные'!$B$77*12),AT36*AT43*'Вводные'!$B$78/12,0)),0)</x:f>
      </x:c>
      <x:c r="AU39" s="117" t="n">
        <x:f>IF(AND('Вводные'!$B$75&lt;&gt;"Единовременно",'Вводные'!$B$80="Да",AU36&gt;0),IF(AND('Вводные'!$B$84="Да",YEAR(AU$3)=YEAR($B$34),MONTH(AU$3)=MONTH($B$34)),AU36*AU43/12,IF(AND((12*(YEAR(AU$3)-YEAR($B$33))+MONTH(AU$3)-MONTH($B$33))&gt;0,MOD((12*(YEAR(AU$3)-YEAR($B$33))+MONTH(AU$3)-MONTH($B$33)),'Вводные'!$B$78)=0,(12*(YEAR(AU$3)-YEAR($B$33))+MONTH(AU$3)-MONTH($B$33))&lt;='Вводные'!$B$77*12),AU36*AU43*'Вводные'!$B$78/12,0)),0)</x:f>
      </x:c>
      <x:c r="AV39" s="117" t="n">
        <x:f>IF(AND('Вводные'!$B$75&lt;&gt;"Единовременно",'Вводные'!$B$80="Да",AV36&gt;0),IF(AND('Вводные'!$B$84="Да",YEAR(AV$3)=YEAR($B$34),MONTH(AV$3)=MONTH($B$34)),AV36*AV43/12,IF(AND((12*(YEAR(AV$3)-YEAR($B$33))+MONTH(AV$3)-MONTH($B$33))&gt;0,MOD((12*(YEAR(AV$3)-YEAR($B$33))+MONTH(AV$3)-MONTH($B$33)),'Вводные'!$B$78)=0,(12*(YEAR(AV$3)-YEAR($B$33))+MONTH(AV$3)-MONTH($B$33))&lt;='Вводные'!$B$77*12),AV36*AV43*'Вводные'!$B$78/12,0)),0)</x:f>
      </x:c>
      <x:c r="AW39" s="117" t="n">
        <x:f>IF(AND('Вводные'!$B$75&lt;&gt;"Единовременно",'Вводные'!$B$80="Да",AW36&gt;0),IF(AND('Вводные'!$B$84="Да",YEAR(AW$3)=YEAR($B$34),MONTH(AW$3)=MONTH($B$34)),AW36*AW43/12,IF(AND((12*(YEAR(AW$3)-YEAR($B$33))+MONTH(AW$3)-MONTH($B$33))&gt;0,MOD((12*(YEAR(AW$3)-YEAR($B$33))+MONTH(AW$3)-MONTH($B$33)),'Вводные'!$B$78)=0,(12*(YEAR(AW$3)-YEAR($B$33))+MONTH(AW$3)-MONTH($B$33))&lt;='Вводные'!$B$77*12),AW36*AW43*'Вводные'!$B$78/12,0)),0)</x:f>
      </x:c>
      <x:c r="AX39" s="117" t="n">
        <x:f>IF(AND('Вводные'!$B$75&lt;&gt;"Единовременно",'Вводные'!$B$80="Да",AX36&gt;0),IF(AND('Вводные'!$B$84="Да",YEAR(AX$3)=YEAR($B$34),MONTH(AX$3)=MONTH($B$34)),AX36*AX43/12,IF(AND((12*(YEAR(AX$3)-YEAR($B$33))+MONTH(AX$3)-MONTH($B$33))&gt;0,MOD((12*(YEAR(AX$3)-YEAR($B$33))+MONTH(AX$3)-MONTH($B$33)),'Вводные'!$B$78)=0,(12*(YEAR(AX$3)-YEAR($B$33))+MONTH(AX$3)-MONTH($B$33))&lt;='Вводные'!$B$77*12),AX36*AX43*'Вводные'!$B$78/12,0)),0)</x:f>
      </x:c>
      <x:c r="AY39" s="117" t="n">
        <x:f>IF(AND('Вводные'!$B$75&lt;&gt;"Единовременно",'Вводные'!$B$80="Да",AY36&gt;0),IF(AND('Вводные'!$B$84="Да",YEAR(AY$3)=YEAR($B$34),MONTH(AY$3)=MONTH($B$34)),AY36*AY43/12,IF(AND((12*(YEAR(AY$3)-YEAR($B$33))+MONTH(AY$3)-MONTH($B$33))&gt;0,MOD((12*(YEAR(AY$3)-YEAR($B$33))+MONTH(AY$3)-MONTH($B$33)),'Вводные'!$B$78)=0,(12*(YEAR(AY$3)-YEAR($B$33))+MONTH(AY$3)-MONTH($B$33))&lt;='Вводные'!$B$77*12),AY36*AY43*'Вводные'!$B$78/12,0)),0)</x:f>
      </x:c>
      <x:c r="AZ39" s="117" t="n">
        <x:f>IF(AND('Вводные'!$B$75&lt;&gt;"Единовременно",'Вводные'!$B$80="Да",AZ36&gt;0),IF(AND('Вводные'!$B$84="Да",YEAR(AZ$3)=YEAR($B$34),MONTH(AZ$3)=MONTH($B$34)),AZ36*AZ43/12,IF(AND((12*(YEAR(AZ$3)-YEAR($B$33))+MONTH(AZ$3)-MONTH($B$33))&gt;0,MOD((12*(YEAR(AZ$3)-YEAR($B$33))+MONTH(AZ$3)-MONTH($B$33)),'Вводные'!$B$78)=0,(12*(YEAR(AZ$3)-YEAR($B$33))+MONTH(AZ$3)-MONTH($B$33))&lt;='Вводные'!$B$77*12),AZ36*AZ43*'Вводные'!$B$78/12,0)),0)</x:f>
      </x:c>
      <x:c r="BA39" s="117" t="n">
        <x:f>IF(AND('Вводные'!$B$75&lt;&gt;"Единовременно",'Вводные'!$B$80="Да",BA36&gt;0),IF(AND('Вводные'!$B$84="Да",YEAR(BA$3)=YEAR($B$34),MONTH(BA$3)=MONTH($B$34)),BA36*BA43/12,IF(AND((12*(YEAR(BA$3)-YEAR($B$33))+MONTH(BA$3)-MONTH($B$33))&gt;0,MOD((12*(YEAR(BA$3)-YEAR($B$33))+MONTH(BA$3)-MONTH($B$33)),'Вводные'!$B$78)=0,(12*(YEAR(BA$3)-YEAR($B$33))+MONTH(BA$3)-MONTH($B$33))&lt;='Вводные'!$B$77*12),BA36*BA43*'Вводные'!$B$78/12,0)),0)</x:f>
      </x:c>
      <x:c r="BB39" s="117" t="n">
        <x:f>IF(AND('Вводные'!$B$75&lt;&gt;"Единовременно",'Вводные'!$B$80="Да",BB36&gt;0),IF(AND('Вводные'!$B$84="Да",YEAR(BB$3)=YEAR($B$34),MONTH(BB$3)=MONTH($B$34)),BB36*BB43/12,IF(AND((12*(YEAR(BB$3)-YEAR($B$33))+MONTH(BB$3)-MONTH($B$33))&gt;0,MOD((12*(YEAR(BB$3)-YEAR($B$33))+MONTH(BB$3)-MONTH($B$33)),'Вводные'!$B$78)=0,(12*(YEAR(BB$3)-YEAR($B$33))+MONTH(BB$3)-MONTH($B$33))&lt;='Вводные'!$B$77*12),BB36*BB43*'Вводные'!$B$78/12,0)),0)</x:f>
      </x:c>
      <x:c r="BC39" s="117" t="n">
        <x:f>IF(AND('Вводные'!$B$75&lt;&gt;"Единовременно",'Вводные'!$B$80="Да",BC36&gt;0),IF(AND('Вводные'!$B$84="Да",YEAR(BC$3)=YEAR($B$34),MONTH(BC$3)=MONTH($B$34)),BC36*BC43/12,IF(AND((12*(YEAR(BC$3)-YEAR($B$33))+MONTH(BC$3)-MONTH($B$33))&gt;0,MOD((12*(YEAR(BC$3)-YEAR($B$33))+MONTH(BC$3)-MONTH($B$33)),'Вводные'!$B$78)=0,(12*(YEAR(BC$3)-YEAR($B$33))+MONTH(BC$3)-MONTH($B$33))&lt;='Вводные'!$B$77*12),BC36*BC43*'Вводные'!$B$78/12,0)),0)</x:f>
      </x:c>
      <x:c r="BD39" s="117" t="n">
        <x:f>IF(AND('Вводные'!$B$75&lt;&gt;"Единовременно",'Вводные'!$B$80="Да",BD36&gt;0),IF(AND('Вводные'!$B$84="Да",YEAR(BD$3)=YEAR($B$34),MONTH(BD$3)=MONTH($B$34)),BD36*BD43/12,IF(AND((12*(YEAR(BD$3)-YEAR($B$33))+MONTH(BD$3)-MONTH($B$33))&gt;0,MOD((12*(YEAR(BD$3)-YEAR($B$33))+MONTH(BD$3)-MONTH($B$33)),'Вводные'!$B$78)=0,(12*(YEAR(BD$3)-YEAR($B$33))+MONTH(BD$3)-MONTH($B$33))&lt;='Вводные'!$B$77*12),BD36*BD43*'Вводные'!$B$78/12,0)),0)</x:f>
      </x:c>
      <x:c r="BE39" s="117" t="n">
        <x:f>IF(AND('Вводные'!$B$75&lt;&gt;"Единовременно",'Вводные'!$B$80="Да",BE36&gt;0),IF(AND('Вводные'!$B$84="Да",YEAR(BE$3)=YEAR($B$34),MONTH(BE$3)=MONTH($B$34)),BE36*BE43/12,IF(AND((12*(YEAR(BE$3)-YEAR($B$33))+MONTH(BE$3)-MONTH($B$33))&gt;0,MOD((12*(YEAR(BE$3)-YEAR($B$33))+MONTH(BE$3)-MONTH($B$33)),'Вводные'!$B$78)=0,(12*(YEAR(BE$3)-YEAR($B$33))+MONTH(BE$3)-MONTH($B$33))&lt;='Вводные'!$B$77*12),BE36*BE43*'Вводные'!$B$78/12,0)),0)</x:f>
      </x:c>
      <x:c r="BF39" s="117" t="n">
        <x:f>IF(AND('Вводные'!$B$75&lt;&gt;"Единовременно",'Вводные'!$B$80="Да",BF36&gt;0),IF(AND('Вводные'!$B$84="Да",YEAR(BF$3)=YEAR($B$34),MONTH(BF$3)=MONTH($B$34)),BF36*BF43/12,IF(AND((12*(YEAR(BF$3)-YEAR($B$33))+MONTH(BF$3)-MONTH($B$33))&gt;0,MOD((12*(YEAR(BF$3)-YEAR($B$33))+MONTH(BF$3)-MONTH($B$33)),'Вводные'!$B$78)=0,(12*(YEAR(BF$3)-YEAR($B$33))+MONTH(BF$3)-MONTH($B$33))&lt;='Вводные'!$B$77*12),BF36*BF43*'Вводные'!$B$78/12,0)),0)</x:f>
      </x:c>
      <x:c r="BG39" s="117" t="n">
        <x:f>IF(AND('Вводные'!$B$75&lt;&gt;"Единовременно",'Вводные'!$B$80="Да",BG36&gt;0),IF(AND('Вводные'!$B$84="Да",YEAR(BG$3)=YEAR($B$34),MONTH(BG$3)=MONTH($B$34)),BG36*BG43/12,IF(AND((12*(YEAR(BG$3)-YEAR($B$33))+MONTH(BG$3)-MONTH($B$33))&gt;0,MOD((12*(YEAR(BG$3)-YEAR($B$33))+MONTH(BG$3)-MONTH($B$33)),'Вводные'!$B$78)=0,(12*(YEAR(BG$3)-YEAR($B$33))+MONTH(BG$3)-MONTH($B$33))&lt;='Вводные'!$B$77*12),BG36*BG43*'Вводные'!$B$78/12,0)),0)</x:f>
      </x:c>
      <x:c r="BH39" s="117" t="n">
        <x:f>IF(AND('Вводные'!$B$75&lt;&gt;"Единовременно",'Вводные'!$B$80="Да",BH36&gt;0),IF(AND('Вводные'!$B$84="Да",YEAR(BH$3)=YEAR($B$34),MONTH(BH$3)=MONTH($B$34)),BH36*BH43/12,IF(AND((12*(YEAR(BH$3)-YEAR($B$33))+MONTH(BH$3)-MONTH($B$33))&gt;0,MOD((12*(YEAR(BH$3)-YEAR($B$33))+MONTH(BH$3)-MONTH($B$33)),'Вводные'!$B$78)=0,(12*(YEAR(BH$3)-YEAR($B$33))+MONTH(BH$3)-MONTH($B$33))&lt;='Вводные'!$B$77*12),BH36*BH43*'Вводные'!$B$78/12,0)),0)</x:f>
      </x:c>
      <x:c r="BI39" s="117" t="n">
        <x:f>IF(AND('Вводные'!$B$75&lt;&gt;"Единовременно",'Вводные'!$B$80="Да",BI36&gt;0),IF(AND('Вводные'!$B$84="Да",YEAR(BI$3)=YEAR($B$34),MONTH(BI$3)=MONTH($B$34)),BI36*BI43/12,IF(AND((12*(YEAR(BI$3)-YEAR($B$33))+MONTH(BI$3)-MONTH($B$33))&gt;0,MOD((12*(YEAR(BI$3)-YEAR($B$33))+MONTH(BI$3)-MONTH($B$33)),'Вводные'!$B$78)=0,(12*(YEAR(BI$3)-YEAR($B$33))+MONTH(BI$3)-MONTH($B$33))&lt;='Вводные'!$B$77*12),BI36*BI43*'Вводные'!$B$78/12,0)),0)</x:f>
      </x:c>
      <x:c r="BJ39" s="117" t="n">
        <x:f>IF(AND('Вводные'!$B$75&lt;&gt;"Единовременно",'Вводные'!$B$80="Да",BJ36&gt;0),IF(AND('Вводные'!$B$84="Да",YEAR(BJ$3)=YEAR($B$34),MONTH(BJ$3)=MONTH($B$34)),BJ36*BJ43/12,IF(AND((12*(YEAR(BJ$3)-YEAR($B$33))+MONTH(BJ$3)-MONTH($B$33))&gt;0,MOD((12*(YEAR(BJ$3)-YEAR($B$33))+MONTH(BJ$3)-MONTH($B$33)),'Вводные'!$B$78)=0,(12*(YEAR(BJ$3)-YEAR($B$33))+MONTH(BJ$3)-MONTH($B$33))&lt;='Вводные'!$B$77*12),BJ36*BJ43*'Вводные'!$B$78/12,0)),0)</x:f>
      </x:c>
      <x:c r="BK39" s="117" t="n">
        <x:f>IF(AND('Вводные'!$B$75&lt;&gt;"Единовременно",'Вводные'!$B$80="Да",BK36&gt;0),IF(AND('Вводные'!$B$84="Да",YEAR(BK$3)=YEAR($B$34),MONTH(BK$3)=MONTH($B$34)),BK36*BK43/12,IF(AND((12*(YEAR(BK$3)-YEAR($B$33))+MONTH(BK$3)-MONTH($B$33))&gt;0,MOD((12*(YEAR(BK$3)-YEAR($B$33))+MONTH(BK$3)-MONTH($B$33)),'Вводные'!$B$78)=0,(12*(YEAR(BK$3)-YEAR($B$33))+MONTH(BK$3)-MONTH($B$33))&lt;='Вводные'!$B$77*12),BK36*BK43*'Вводные'!$B$78/12,0)),0)</x:f>
      </x:c>
      <x:c r="BL39" s="117" t="n">
        <x:f>IF(AND('Вводные'!$B$75&lt;&gt;"Единовременно",'Вводные'!$B$80="Да",BL36&gt;0),IF(AND('Вводные'!$B$84="Да",YEAR(BL$3)=YEAR($B$34),MONTH(BL$3)=MONTH($B$34)),BL36*BL43/12,IF(AND((12*(YEAR(BL$3)-YEAR($B$33))+MONTH(BL$3)-MONTH($B$33))&gt;0,MOD((12*(YEAR(BL$3)-YEAR($B$33))+MONTH(BL$3)-MONTH($B$33)),'Вводные'!$B$78)=0,(12*(YEAR(BL$3)-YEAR($B$33))+MONTH(BL$3)-MONTH($B$33))&lt;='Вводные'!$B$77*12),BL36*BL43*'Вводные'!$B$78/12,0)),0)</x:f>
      </x:c>
      <x:c r="BM39" s="117" t="n">
        <x:f>IF(AND('Вводные'!$B$75&lt;&gt;"Единовременно",'Вводные'!$B$80="Да",BM36&gt;0),IF(AND('Вводные'!$B$84="Да",YEAR(BM$3)=YEAR($B$34),MONTH(BM$3)=MONTH($B$34)),BM36*BM43/12,IF(AND((12*(YEAR(BM$3)-YEAR($B$33))+MONTH(BM$3)-MONTH($B$33))&gt;0,MOD((12*(YEAR(BM$3)-YEAR($B$33))+MONTH(BM$3)-MONTH($B$33)),'Вводные'!$B$78)=0,(12*(YEAR(BM$3)-YEAR($B$33))+MONTH(BM$3)-MONTH($B$33))&lt;='Вводные'!$B$77*12),BM36*BM43*'Вводные'!$B$78/12,0)),0)</x:f>
      </x:c>
      <x:c r="BN39" s="117" t="n">
        <x:f>IF(AND('Вводные'!$B$75&lt;&gt;"Единовременно",'Вводные'!$B$80="Да",BN36&gt;0),IF(AND('Вводные'!$B$84="Да",YEAR(BN$3)=YEAR($B$34),MONTH(BN$3)=MONTH($B$34)),BN36*BN43/12,IF(AND((12*(YEAR(BN$3)-YEAR($B$33))+MONTH(BN$3)-MONTH($B$33))&gt;0,MOD((12*(YEAR(BN$3)-YEAR($B$33))+MONTH(BN$3)-MONTH($B$33)),'Вводные'!$B$78)=0,(12*(YEAR(BN$3)-YEAR($B$33))+MONTH(BN$3)-MONTH($B$33))&lt;='Вводные'!$B$77*12),BN36*BN43*'Вводные'!$B$78/12,0)),0)</x:f>
      </x:c>
      <x:c r="BO39" s="117" t="n">
        <x:f>IF(AND('Вводные'!$B$75&lt;&gt;"Единовременно",'Вводные'!$B$80="Да",BO36&gt;0),IF(AND('Вводные'!$B$84="Да",YEAR(BO$3)=YEAR($B$34),MONTH(BO$3)=MONTH($B$34)),BO36*BO43/12,IF(AND((12*(YEAR(BO$3)-YEAR($B$33))+MONTH(BO$3)-MONTH($B$33))&gt;0,MOD((12*(YEAR(BO$3)-YEAR($B$33))+MONTH(BO$3)-MONTH($B$33)),'Вводные'!$B$78)=0,(12*(YEAR(BO$3)-YEAR($B$33))+MONTH(BO$3)-MONTH($B$33))&lt;='Вводные'!$B$77*12),BO36*BO43*'Вводные'!$B$78/12,0)),0)</x:f>
      </x:c>
      <x:c r="BP39" s="117" t="n">
        <x:f>IF(AND('Вводные'!$B$75&lt;&gt;"Единовременно",'Вводные'!$B$80="Да",BP36&gt;0),IF(AND('Вводные'!$B$84="Да",YEAR(BP$3)=YEAR($B$34),MONTH(BP$3)=MONTH($B$34)),BP36*BP43/12,IF(AND((12*(YEAR(BP$3)-YEAR($B$33))+MONTH(BP$3)-MONTH($B$33))&gt;0,MOD((12*(YEAR(BP$3)-YEAR($B$33))+MONTH(BP$3)-MONTH($B$33)),'Вводные'!$B$78)=0,(12*(YEAR(BP$3)-YEAR($B$33))+MONTH(BP$3)-MONTH($B$33))&lt;='Вводные'!$B$77*12),BP36*BP43*'Вводные'!$B$78/12,0)),0)</x:f>
      </x:c>
      <x:c r="BQ39" s="117" t="n">
        <x:f>IF(AND('Вводные'!$B$75&lt;&gt;"Единовременно",'Вводные'!$B$80="Да",BQ36&gt;0),IF(AND('Вводные'!$B$84="Да",YEAR(BQ$3)=YEAR($B$34),MONTH(BQ$3)=MONTH($B$34)),BQ36*BQ43/12,IF(AND((12*(YEAR(BQ$3)-YEAR($B$33))+MONTH(BQ$3)-MONTH($B$33))&gt;0,MOD((12*(YEAR(BQ$3)-YEAR($B$33))+MONTH(BQ$3)-MONTH($B$33)),'Вводные'!$B$78)=0,(12*(YEAR(BQ$3)-YEAR($B$33))+MONTH(BQ$3)-MONTH($B$33))&lt;='Вводные'!$B$77*12),BQ36*BQ43*'Вводные'!$B$78/12,0)),0)</x:f>
      </x:c>
      <x:c r="BR39" s="117" t="n">
        <x:f>IF(AND('Вводные'!$B$75&lt;&gt;"Единовременно",'Вводные'!$B$80="Да",BR36&gt;0),IF(AND('Вводные'!$B$84="Да",YEAR(BR$3)=YEAR($B$34),MONTH(BR$3)=MONTH($B$34)),BR36*BR43/12,IF(AND((12*(YEAR(BR$3)-YEAR($B$33))+MONTH(BR$3)-MONTH($B$33))&gt;0,MOD((12*(YEAR(BR$3)-YEAR($B$33))+MONTH(BR$3)-MONTH($B$33)),'Вводные'!$B$78)=0,(12*(YEAR(BR$3)-YEAR($B$33))+MONTH(BR$3)-MONTH($B$33))&lt;='Вводные'!$B$77*12),BR36*BR43*'Вводные'!$B$78/12,0)),0)</x:f>
      </x:c>
      <x:c r="BS39" s="117" t="n">
        <x:f>IF(AND('Вводные'!$B$75&lt;&gt;"Единовременно",'Вводные'!$B$80="Да",BS36&gt;0),IF(AND('Вводные'!$B$84="Да",YEAR(BS$3)=YEAR($B$34),MONTH(BS$3)=MONTH($B$34)),BS36*BS43/12,IF(AND((12*(YEAR(BS$3)-YEAR($B$33))+MONTH(BS$3)-MONTH($B$33))&gt;0,MOD((12*(YEAR(BS$3)-YEAR($B$33))+MONTH(BS$3)-MONTH($B$33)),'Вводные'!$B$78)=0,(12*(YEAR(BS$3)-YEAR($B$33))+MONTH(BS$3)-MONTH($B$33))&lt;='Вводные'!$B$77*12),BS36*BS43*'Вводные'!$B$78/12,0)),0)</x:f>
      </x:c>
      <x:c r="BT39" s="117" t="n">
        <x:f>IF(AND('Вводные'!$B$75&lt;&gt;"Единовременно",'Вводные'!$B$80="Да",BT36&gt;0),IF(AND('Вводные'!$B$84="Да",YEAR(BT$3)=YEAR($B$34),MONTH(BT$3)=MONTH($B$34)),BT36*BT43/12,IF(AND((12*(YEAR(BT$3)-YEAR($B$33))+MONTH(BT$3)-MONTH($B$33))&gt;0,MOD((12*(YEAR(BT$3)-YEAR($B$33))+MONTH(BT$3)-MONTH($B$33)),'Вводные'!$B$78)=0,(12*(YEAR(BT$3)-YEAR($B$33))+MONTH(BT$3)-MONTH($B$33))&lt;='Вводные'!$B$77*12),BT36*BT43*'Вводные'!$B$78/12,0)),0)</x:f>
      </x:c>
      <x:c r="BU39" s="117" t="n">
        <x:f>IF(AND('Вводные'!$B$75&lt;&gt;"Единовременно",'Вводные'!$B$80="Да",BU36&gt;0),IF(AND('Вводные'!$B$84="Да",YEAR(BU$3)=YEAR($B$34),MONTH(BU$3)=MONTH($B$34)),BU36*BU43/12,IF(AND((12*(YEAR(BU$3)-YEAR($B$33))+MONTH(BU$3)-MONTH($B$33))&gt;0,MOD((12*(YEAR(BU$3)-YEAR($B$33))+MONTH(BU$3)-MONTH($B$33)),'Вводные'!$B$78)=0,(12*(YEAR(BU$3)-YEAR($B$33))+MONTH(BU$3)-MONTH($B$33))&lt;='Вводные'!$B$77*12),BU36*BU43*'Вводные'!$B$78/12,0)),0)</x:f>
      </x:c>
      <x:c r="BV39" s="117" t="n">
        <x:f>IF(AND('Вводные'!$B$75&lt;&gt;"Единовременно",'Вводные'!$B$80="Да",BV36&gt;0),IF(AND('Вводные'!$B$84="Да",YEAR(BV$3)=YEAR($B$34),MONTH(BV$3)=MONTH($B$34)),BV36*BV43/12,IF(AND((12*(YEAR(BV$3)-YEAR($B$33))+MONTH(BV$3)-MONTH($B$33))&gt;0,MOD((12*(YEAR(BV$3)-YEAR($B$33))+MONTH(BV$3)-MONTH($B$33)),'Вводные'!$B$78)=0,(12*(YEAR(BV$3)-YEAR($B$33))+MONTH(BV$3)-MONTH($B$33))&lt;='Вводные'!$B$77*12),BV36*BV43*'Вводные'!$B$78/12,0)),0)</x:f>
      </x:c>
      <x:c r="BW39" s="117" t="n">
        <x:f>IF(AND('Вводные'!$B$75&lt;&gt;"Единовременно",'Вводные'!$B$80="Да",BW36&gt;0),IF(AND('Вводные'!$B$84="Да",YEAR(BW$3)=YEAR($B$34),MONTH(BW$3)=MONTH($B$34)),BW36*BW43/12,IF(AND((12*(YEAR(BW$3)-YEAR($B$33))+MONTH(BW$3)-MONTH($B$33))&gt;0,MOD((12*(YEAR(BW$3)-YEAR($B$33))+MONTH(BW$3)-MONTH($B$33)),'Вводные'!$B$78)=0,(12*(YEAR(BW$3)-YEAR($B$33))+MONTH(BW$3)-MONTH($B$33))&lt;='Вводные'!$B$77*12),BW36*BW43*'Вводные'!$B$78/12,0)),0)</x:f>
      </x:c>
      <x:c r="BX39" s="117" t="n">
        <x:f>IF(AND('Вводные'!$B$75&lt;&gt;"Единовременно",'Вводные'!$B$80="Да",BX36&gt;0),IF(AND('Вводные'!$B$84="Да",YEAR(BX$3)=YEAR($B$34),MONTH(BX$3)=MONTH($B$34)),BX36*BX43/12,IF(AND((12*(YEAR(BX$3)-YEAR($B$33))+MONTH(BX$3)-MONTH($B$33))&gt;0,MOD((12*(YEAR(BX$3)-YEAR($B$33))+MONTH(BX$3)-MONTH($B$33)),'Вводные'!$B$78)=0,(12*(YEAR(BX$3)-YEAR($B$33))+MONTH(BX$3)-MONTH($B$33))&lt;='Вводные'!$B$77*12),BX36*BX43*'Вводные'!$B$78/12,0)),0)</x:f>
      </x:c>
      <x:c r="BY39" s="117" t="n">
        <x:f>IF(AND('Вводные'!$B$75&lt;&gt;"Единовременно",'Вводные'!$B$80="Да",BY36&gt;0),IF(AND('Вводные'!$B$84="Да",YEAR(BY$3)=YEAR($B$34),MONTH(BY$3)=MONTH($B$34)),BY36*BY43/12,IF(AND((12*(YEAR(BY$3)-YEAR($B$33))+MONTH(BY$3)-MONTH($B$33))&gt;0,MOD((12*(YEAR(BY$3)-YEAR($B$33))+MONTH(BY$3)-MONTH($B$33)),'Вводные'!$B$78)=0,(12*(YEAR(BY$3)-YEAR($B$33))+MONTH(BY$3)-MONTH($B$33))&lt;='Вводные'!$B$77*12),BY36*BY43*'Вводные'!$B$78/12,0)),0)</x:f>
      </x:c>
      <x:c r="BZ39" s="117" t="n">
        <x:f>IF(AND('Вводные'!$B$75&lt;&gt;"Единовременно",'Вводные'!$B$80="Да",BZ36&gt;0),IF(AND('Вводные'!$B$84="Да",YEAR(BZ$3)=YEAR($B$34),MONTH(BZ$3)=MONTH($B$34)),BZ36*BZ43/12,IF(AND((12*(YEAR(BZ$3)-YEAR($B$33))+MONTH(BZ$3)-MONTH($B$33))&gt;0,MOD((12*(YEAR(BZ$3)-YEAR($B$33))+MONTH(BZ$3)-MONTH($B$33)),'Вводные'!$B$78)=0,(12*(YEAR(BZ$3)-YEAR($B$33))+MONTH(BZ$3)-MONTH($B$33))&lt;='Вводные'!$B$77*12),BZ36*BZ43*'Вводные'!$B$78/12,0)),0)</x:f>
      </x:c>
      <x:c r="CA39" s="117" t="n">
        <x:f>IF(AND('Вводные'!$B$75&lt;&gt;"Единовременно",'Вводные'!$B$80="Да",CA36&gt;0),IF(AND('Вводные'!$B$84="Да",YEAR(CA$3)=YEAR($B$34),MONTH(CA$3)=MONTH($B$34)),CA36*CA43/12,IF(AND((12*(YEAR(CA$3)-YEAR($B$33))+MONTH(CA$3)-MONTH($B$33))&gt;0,MOD((12*(YEAR(CA$3)-YEAR($B$33))+MONTH(CA$3)-MONTH($B$33)),'Вводные'!$B$78)=0,(12*(YEAR(CA$3)-YEAR($B$33))+MONTH(CA$3)-MONTH($B$33))&lt;='Вводные'!$B$77*12),CA36*CA43*'Вводные'!$B$78/12,0)),0)</x:f>
      </x:c>
      <x:c r="CB39" s="117" t="n">
        <x:f>IF(AND('Вводные'!$B$75&lt;&gt;"Единовременно",'Вводные'!$B$80="Да",CB36&gt;0),IF(AND('Вводные'!$B$84="Да",YEAR(CB$3)=YEAR($B$34),MONTH(CB$3)=MONTH($B$34)),CB36*CB43/12,IF(AND((12*(YEAR(CB$3)-YEAR($B$33))+MONTH(CB$3)-MONTH($B$33))&gt;0,MOD((12*(YEAR(CB$3)-YEAR($B$33))+MONTH(CB$3)-MONTH($B$33)),'Вводные'!$B$78)=0,(12*(YEAR(CB$3)-YEAR($B$33))+MONTH(CB$3)-MONTH($B$33))&lt;='Вводные'!$B$77*12),CB36*CB43*'Вводные'!$B$78/12,0)),0)</x:f>
      </x:c>
      <x:c r="CC39" s="117" t="n">
        <x:f>IF(AND('Вводные'!$B$75&lt;&gt;"Единовременно",'Вводные'!$B$80="Да",CC36&gt;0),IF(AND('Вводные'!$B$84="Да",YEAR(CC$3)=YEAR($B$34),MONTH(CC$3)=MONTH($B$34)),CC36*CC43/12,IF(AND((12*(YEAR(CC$3)-YEAR($B$33))+MONTH(CC$3)-MONTH($B$33))&gt;0,MOD((12*(YEAR(CC$3)-YEAR($B$33))+MONTH(CC$3)-MONTH($B$33)),'Вводные'!$B$78)=0,(12*(YEAR(CC$3)-YEAR($B$33))+MONTH(CC$3)-MONTH($B$33))&lt;='Вводные'!$B$77*12),CC36*CC43*'Вводные'!$B$78/12,0)),0)</x:f>
      </x:c>
      <x:c r="CD39" s="117" t="n">
        <x:f>IF(AND('Вводные'!$B$75&lt;&gt;"Единовременно",'Вводные'!$B$80="Да",CD36&gt;0),IF(AND('Вводные'!$B$84="Да",YEAR(CD$3)=YEAR($B$34),MONTH(CD$3)=MONTH($B$34)),CD36*CD43/12,IF(AND((12*(YEAR(CD$3)-YEAR($B$33))+MONTH(CD$3)-MONTH($B$33))&gt;0,MOD((12*(YEAR(CD$3)-YEAR($B$33))+MONTH(CD$3)-MONTH($B$33)),'Вводные'!$B$78)=0,(12*(YEAR(CD$3)-YEAR($B$33))+MONTH(CD$3)-MONTH($B$33))&lt;='Вводные'!$B$77*12),CD36*CD43*'Вводные'!$B$78/12,0)),0)</x:f>
      </x:c>
      <x:c r="CE39" s="117" t="n">
        <x:f>IF(AND('Вводные'!$B$75&lt;&gt;"Единовременно",'Вводные'!$B$80="Да",CE36&gt;0),IF(AND('Вводные'!$B$84="Да",YEAR(CE$3)=YEAR($B$34),MONTH(CE$3)=MONTH($B$34)),CE36*CE43/12,IF(AND((12*(YEAR(CE$3)-YEAR($B$33))+MONTH(CE$3)-MONTH($B$33))&gt;0,MOD((12*(YEAR(CE$3)-YEAR($B$33))+MONTH(CE$3)-MONTH($B$33)),'Вводные'!$B$78)=0,(12*(YEAR(CE$3)-YEAR($B$33))+MONTH(CE$3)-MONTH($B$33))&lt;='Вводные'!$B$77*12),CE36*CE43*'Вводные'!$B$78/12,0)),0)</x:f>
      </x:c>
      <x:c r="CF39" s="117" t="n">
        <x:f>IF(AND('Вводные'!$B$75&lt;&gt;"Единовременно",'Вводные'!$B$80="Да",CF36&gt;0),IF(AND('Вводные'!$B$84="Да",YEAR(CF$3)=YEAR($B$34),MONTH(CF$3)=MONTH($B$34)),CF36*CF43/12,IF(AND((12*(YEAR(CF$3)-YEAR($B$33))+MONTH(CF$3)-MONTH($B$33))&gt;0,MOD((12*(YEAR(CF$3)-YEAR($B$33))+MONTH(CF$3)-MONTH($B$33)),'Вводные'!$B$78)=0,(12*(YEAR(CF$3)-YEAR($B$33))+MONTH(CF$3)-MONTH($B$33))&lt;='Вводные'!$B$77*12),CF36*CF43*'Вводные'!$B$78/12,0)),0)</x:f>
      </x:c>
      <x:c r="CG39" s="117" t="n">
        <x:f>IF(AND('Вводные'!$B$75&lt;&gt;"Единовременно",'Вводные'!$B$80="Да",CG36&gt;0),IF(AND('Вводные'!$B$84="Да",YEAR(CG$3)=YEAR($B$34),MONTH(CG$3)=MONTH($B$34)),CG36*CG43/12,IF(AND((12*(YEAR(CG$3)-YEAR($B$33))+MONTH(CG$3)-MONTH($B$33))&gt;0,MOD((12*(YEAR(CG$3)-YEAR($B$33))+MONTH(CG$3)-MONTH($B$33)),'Вводные'!$B$78)=0,(12*(YEAR(CG$3)-YEAR($B$33))+MONTH(CG$3)-MONTH($B$33))&lt;='Вводные'!$B$77*12),CG36*CG43*'Вводные'!$B$78/12,0)),0)</x:f>
      </x:c>
      <x:c r="CH39" s="117" t="n">
        <x:f>IF(AND('Вводные'!$B$75&lt;&gt;"Единовременно",'Вводные'!$B$80="Да",CH36&gt;0),IF(AND('Вводные'!$B$84="Да",YEAR(CH$3)=YEAR($B$34),MONTH(CH$3)=MONTH($B$34)),CH36*CH43/12,IF(AND((12*(YEAR(CH$3)-YEAR($B$33))+MONTH(CH$3)-MONTH($B$33))&gt;0,MOD((12*(YEAR(CH$3)-YEAR($B$33))+MONTH(CH$3)-MONTH($B$33)),'Вводные'!$B$78)=0,(12*(YEAR(CH$3)-YEAR($B$33))+MONTH(CH$3)-MONTH($B$33))&lt;='Вводные'!$B$77*12),CH36*CH43*'Вводные'!$B$78/12,0)),0)</x:f>
      </x:c>
      <x:c r="CI39" s="117" t="n">
        <x:f>IF(AND('Вводные'!$B$75&lt;&gt;"Единовременно",'Вводные'!$B$80="Да",CI36&gt;0),IF(AND('Вводные'!$B$84="Да",YEAR(CI$3)=YEAR($B$34),MONTH(CI$3)=MONTH($B$34)),CI36*CI43/12,IF(AND((12*(YEAR(CI$3)-YEAR($B$33))+MONTH(CI$3)-MONTH($B$33))&gt;0,MOD((12*(YEAR(CI$3)-YEAR($B$33))+MONTH(CI$3)-MONTH($B$33)),'Вводные'!$B$78)=0,(12*(YEAR(CI$3)-YEAR($B$33))+MONTH(CI$3)-MONTH($B$33))&lt;='Вводные'!$B$77*12),CI36*CI43*'Вводные'!$B$78/12,0)),0)</x:f>
      </x:c>
      <x:c r="CJ39" s="117" t="n">
        <x:f>IF(AND('Вводные'!$B$75&lt;&gt;"Единовременно",'Вводные'!$B$80="Да",CJ36&gt;0),IF(AND('Вводные'!$B$84="Да",YEAR(CJ$3)=YEAR($B$34),MONTH(CJ$3)=MONTH($B$34)),CJ36*CJ43/12,IF(AND((12*(YEAR(CJ$3)-YEAR($B$33))+MONTH(CJ$3)-MONTH($B$33))&gt;0,MOD((12*(YEAR(CJ$3)-YEAR($B$33))+MONTH(CJ$3)-MONTH($B$33)),'Вводные'!$B$78)=0,(12*(YEAR(CJ$3)-YEAR($B$33))+MONTH(CJ$3)-MONTH($B$33))&lt;='Вводные'!$B$77*12),CJ36*CJ43*'Вводные'!$B$78/12,0)),0)</x:f>
      </x:c>
      <x:c r="CK39" s="117" t="n">
        <x:f>IF(AND('Вводные'!$B$75&lt;&gt;"Единовременно",'Вводные'!$B$80="Да",CK36&gt;0),IF(AND('Вводные'!$B$84="Да",YEAR(CK$3)=YEAR($B$34),MONTH(CK$3)=MONTH($B$34)),CK36*CK43/12,IF(AND((12*(YEAR(CK$3)-YEAR($B$33))+MONTH(CK$3)-MONTH($B$33))&gt;0,MOD((12*(YEAR(CK$3)-YEAR($B$33))+MONTH(CK$3)-MONTH($B$33)),'Вводные'!$B$78)=0,(12*(YEAR(CK$3)-YEAR($B$33))+MONTH(CK$3)-MONTH($B$33))&lt;='Вводные'!$B$77*12),CK36*CK43*'Вводные'!$B$78/12,0)),0)</x:f>
      </x:c>
      <x:c r="CL39" s="117" t="n">
        <x:f>IF(AND('Вводные'!$B$75&lt;&gt;"Единовременно",'Вводные'!$B$80="Да",CL36&gt;0),IF(AND('Вводные'!$B$84="Да",YEAR(CL$3)=YEAR($B$34),MONTH(CL$3)=MONTH($B$34)),CL36*CL43/12,IF(AND((12*(YEAR(CL$3)-YEAR($B$33))+MONTH(CL$3)-MONTH($B$33))&gt;0,MOD((12*(YEAR(CL$3)-YEAR($B$33))+MONTH(CL$3)-MONTH($B$33)),'Вводные'!$B$78)=0,(12*(YEAR(CL$3)-YEAR($B$33))+MONTH(CL$3)-MONTH($B$33))&lt;='Вводные'!$B$77*12),CL36*CL43*'Вводные'!$B$78/12,0)),0)</x:f>
      </x:c>
      <x:c r="CM39" s="117" t="n">
        <x:f>IF(AND('Вводные'!$B$75&lt;&gt;"Единовременно",'Вводные'!$B$80="Да",CM36&gt;0),IF(AND('Вводные'!$B$84="Да",YEAR(CM$3)=YEAR($B$34),MONTH(CM$3)=MONTH($B$34)),CM36*CM43/12,IF(AND((12*(YEAR(CM$3)-YEAR($B$33))+MONTH(CM$3)-MONTH($B$33))&gt;0,MOD((12*(YEAR(CM$3)-YEAR($B$33))+MONTH(CM$3)-MONTH($B$33)),'Вводные'!$B$78)=0,(12*(YEAR(CM$3)-YEAR($B$33))+MONTH(CM$3)-MONTH($B$33))&lt;='Вводные'!$B$77*12),CM36*CM43*'Вводные'!$B$78/12,0)),0)</x:f>
      </x:c>
      <x:c r="CN39" s="117" t="n">
        <x:f>IF(AND('Вводные'!$B$75&lt;&gt;"Единовременно",'Вводные'!$B$80="Да",CN36&gt;0),IF(AND('Вводные'!$B$84="Да",YEAR(CN$3)=YEAR($B$34),MONTH(CN$3)=MONTH($B$34)),CN36*CN43/12,IF(AND((12*(YEAR(CN$3)-YEAR($B$33))+MONTH(CN$3)-MONTH($B$33))&gt;0,MOD((12*(YEAR(CN$3)-YEAR($B$33))+MONTH(CN$3)-MONTH($B$33)),'Вводные'!$B$78)=0,(12*(YEAR(CN$3)-YEAR($B$33))+MONTH(CN$3)-MONTH($B$33))&lt;='Вводные'!$B$77*12),CN36*CN43*'Вводные'!$B$78/12,0)),0)</x:f>
      </x:c>
      <x:c r="CO39" s="117" t="n">
        <x:f>IF(AND('Вводные'!$B$75&lt;&gt;"Единовременно",'Вводные'!$B$80="Да",CO36&gt;0),IF(AND('Вводные'!$B$84="Да",YEAR(CO$3)=YEAR($B$34),MONTH(CO$3)=MONTH($B$34)),CO36*CO43/12,IF(AND((12*(YEAR(CO$3)-YEAR($B$33))+MONTH(CO$3)-MONTH($B$33))&gt;0,MOD((12*(YEAR(CO$3)-YEAR($B$33))+MONTH(CO$3)-MONTH($B$33)),'Вводные'!$B$78)=0,(12*(YEAR(CO$3)-YEAR($B$33))+MONTH(CO$3)-MONTH($B$33))&lt;='Вводные'!$B$77*12),CO36*CO43*'Вводные'!$B$78/12,0)),0)</x:f>
      </x:c>
      <x:c r="CP39" s="117" t="n">
        <x:f>IF(AND('Вводные'!$B$75&lt;&gt;"Единовременно",'Вводные'!$B$80="Да",CP36&gt;0),IF(AND('Вводные'!$B$84="Да",YEAR(CP$3)=YEAR($B$34),MONTH(CP$3)=MONTH($B$34)),CP36*CP43/12,IF(AND((12*(YEAR(CP$3)-YEAR($B$33))+MONTH(CP$3)-MONTH($B$33))&gt;0,MOD((12*(YEAR(CP$3)-YEAR($B$33))+MONTH(CP$3)-MONTH($B$33)),'Вводные'!$B$78)=0,(12*(YEAR(CP$3)-YEAR($B$33))+MONTH(CP$3)-MONTH($B$33))&lt;='Вводные'!$B$77*12),CP36*CP43*'Вводные'!$B$78/12,0)),0)</x:f>
      </x:c>
      <x:c r="CQ39" s="117" t="n">
        <x:f>IF(AND('Вводные'!$B$75&lt;&gt;"Единовременно",'Вводные'!$B$80="Да",CQ36&gt;0),IF(AND('Вводные'!$B$84="Да",YEAR(CQ$3)=YEAR($B$34),MONTH(CQ$3)=MONTH($B$34)),CQ36*CQ43/12,IF(AND((12*(YEAR(CQ$3)-YEAR($B$33))+MONTH(CQ$3)-MONTH($B$33))&gt;0,MOD((12*(YEAR(CQ$3)-YEAR($B$33))+MONTH(CQ$3)-MONTH($B$33)),'Вводные'!$B$78)=0,(12*(YEAR(CQ$3)-YEAR($B$33))+MONTH(CQ$3)-MONTH($B$33))&lt;='Вводные'!$B$77*12),CQ36*CQ43*'Вводные'!$B$78/12,0)),0)</x:f>
      </x:c>
      <x:c r="CR39" s="117" t="n">
        <x:f>IF(AND('Вводные'!$B$75&lt;&gt;"Единовременно",'Вводные'!$B$80="Да",CR36&gt;0),IF(AND('Вводные'!$B$84="Да",YEAR(CR$3)=YEAR($B$34),MONTH(CR$3)=MONTH($B$34)),CR36*CR43/12,IF(AND((12*(YEAR(CR$3)-YEAR($B$33))+MONTH(CR$3)-MONTH($B$33))&gt;0,MOD((12*(YEAR(CR$3)-YEAR($B$33))+MONTH(CR$3)-MONTH($B$33)),'Вводные'!$B$78)=0,(12*(YEAR(CR$3)-YEAR($B$33))+MONTH(CR$3)-MONTH($B$33))&lt;='Вводные'!$B$77*12),CR36*CR43*'Вводные'!$B$78/12,0)),0)</x:f>
      </x:c>
      <x:c r="CS39" s="117" t="n">
        <x:f>IF(AND('Вводные'!$B$75&lt;&gt;"Единовременно",'Вводные'!$B$80="Да",CS36&gt;0),IF(AND('Вводные'!$B$84="Да",YEAR(CS$3)=YEAR($B$34),MONTH(CS$3)=MONTH($B$34)),CS36*CS43/12,IF(AND((12*(YEAR(CS$3)-YEAR($B$33))+MONTH(CS$3)-MONTH($B$33))&gt;0,MOD((12*(YEAR(CS$3)-YEAR($B$33))+MONTH(CS$3)-MONTH($B$33)),'Вводные'!$B$78)=0,(12*(YEAR(CS$3)-YEAR($B$33))+MONTH(CS$3)-MONTH($B$33))&lt;='Вводные'!$B$77*12),CS36*CS43*'Вводные'!$B$78/12,0)),0)</x:f>
      </x:c>
      <x:c r="CT39" s="117" t="n">
        <x:f>IF(AND('Вводные'!$B$75&lt;&gt;"Единовременно",'Вводные'!$B$80="Да",CT36&gt;0),IF(AND('Вводные'!$B$84="Да",YEAR(CT$3)=YEAR($B$34),MONTH(CT$3)=MONTH($B$34)),CT36*CT43/12,IF(AND((12*(YEAR(CT$3)-YEAR($B$33))+MONTH(CT$3)-MONTH($B$33))&gt;0,MOD((12*(YEAR(CT$3)-YEAR($B$33))+MONTH(CT$3)-MONTH($B$33)),'Вводные'!$B$78)=0,(12*(YEAR(CT$3)-YEAR($B$33))+MONTH(CT$3)-MONTH($B$33))&lt;='Вводные'!$B$77*12),CT36*CT43*'Вводные'!$B$78/12,0)),0)</x:f>
      </x:c>
      <x:c r="CU39" s="117" t="n">
        <x:f>IF(AND('Вводные'!$B$75&lt;&gt;"Единовременно",'Вводные'!$B$80="Да",CU36&gt;0),IF(AND('Вводные'!$B$84="Да",YEAR(CU$3)=YEAR($B$34),MONTH(CU$3)=MONTH($B$34)),CU36*CU43/12,IF(AND((12*(YEAR(CU$3)-YEAR($B$33))+MONTH(CU$3)-MONTH($B$33))&gt;0,MOD((12*(YEAR(CU$3)-YEAR($B$33))+MONTH(CU$3)-MONTH($B$33)),'Вводные'!$B$78)=0,(12*(YEAR(CU$3)-YEAR($B$33))+MONTH(CU$3)-MONTH($B$33))&lt;='Вводные'!$B$77*12),CU36*CU43*'Вводные'!$B$78/12,0)),0)</x:f>
      </x:c>
      <x:c r="CV39" s="117" t="n">
        <x:f>IF(AND('Вводные'!$B$75&lt;&gt;"Единовременно",'Вводные'!$B$80="Да",CV36&gt;0),IF(AND('Вводные'!$B$84="Да",YEAR(CV$3)=YEAR($B$34),MONTH(CV$3)=MONTH($B$34)),CV36*CV43/12,IF(AND((12*(YEAR(CV$3)-YEAR($B$33))+MONTH(CV$3)-MONTH($B$33))&gt;0,MOD((12*(YEAR(CV$3)-YEAR($B$33))+MONTH(CV$3)-MONTH($B$33)),'Вводные'!$B$78)=0,(12*(YEAR(CV$3)-YEAR($B$33))+MONTH(CV$3)-MONTH($B$33))&lt;='Вводные'!$B$77*12),CV36*CV43*'Вводные'!$B$78/12,0)),0)</x:f>
      </x:c>
      <x:c r="CW39" s="117" t="n">
        <x:f>IF(AND('Вводные'!$B$75&lt;&gt;"Единовременно",'Вводные'!$B$80="Да",CW36&gt;0),IF(AND('Вводные'!$B$84="Да",YEAR(CW$3)=YEAR($B$34),MONTH(CW$3)=MONTH($B$34)),CW36*CW43/12,IF(AND((12*(YEAR(CW$3)-YEAR($B$33))+MONTH(CW$3)-MONTH($B$33))&gt;0,MOD((12*(YEAR(CW$3)-YEAR($B$33))+MONTH(CW$3)-MONTH($B$33)),'Вводные'!$B$78)=0,(12*(YEAR(CW$3)-YEAR($B$33))+MONTH(CW$3)-MONTH($B$33))&lt;='Вводные'!$B$77*12),CW36*CW43*'Вводные'!$B$78/12,0)),0)</x:f>
      </x:c>
      <x:c r="CX39" s="117" t="n">
        <x:f>IF(AND('Вводные'!$B$75&lt;&gt;"Единовременно",'Вводные'!$B$80="Да",CX36&gt;0),IF(AND('Вводные'!$B$84="Да",YEAR(CX$3)=YEAR($B$34),MONTH(CX$3)=MONTH($B$34)),CX36*CX43/12,IF(AND((12*(YEAR(CX$3)-YEAR($B$33))+MONTH(CX$3)-MONTH($B$33))&gt;0,MOD((12*(YEAR(CX$3)-YEAR($B$33))+MONTH(CX$3)-MONTH($B$33)),'Вводные'!$B$78)=0,(12*(YEAR(CX$3)-YEAR($B$33))+MONTH(CX$3)-MONTH($B$33))&lt;='Вводные'!$B$77*12),CX36*CX43*'Вводные'!$B$78/12,0)),0)</x:f>
      </x:c>
      <x:c r="CY39" s="117" t="n">
        <x:f>IF(AND('Вводные'!$B$75&lt;&gt;"Единовременно",'Вводные'!$B$80="Да",CY36&gt;0),IF(AND('Вводные'!$B$84="Да",YEAR(CY$3)=YEAR($B$34),MONTH(CY$3)=MONTH($B$34)),CY36*CY43/12,IF(AND((12*(YEAR(CY$3)-YEAR($B$33))+MONTH(CY$3)-MONTH($B$33))&gt;0,MOD((12*(YEAR(CY$3)-YEAR($B$33))+MONTH(CY$3)-MONTH($B$33)),'Вводные'!$B$78)=0,(12*(YEAR(CY$3)-YEAR($B$33))+MONTH(CY$3)-MONTH($B$33))&lt;='Вводные'!$B$77*12),CY36*CY43*'Вводные'!$B$78/12,0)),0)</x:f>
      </x:c>
      <x:c r="CZ39" s="117" t="n">
        <x:f>IF(AND('Вводные'!$B$75&lt;&gt;"Единовременно",'Вводные'!$B$80="Да",CZ36&gt;0),IF(AND('Вводные'!$B$84="Да",YEAR(CZ$3)=YEAR($B$34),MONTH(CZ$3)=MONTH($B$34)),CZ36*CZ43/12,IF(AND((12*(YEAR(CZ$3)-YEAR($B$33))+MONTH(CZ$3)-MONTH($B$33))&gt;0,MOD((12*(YEAR(CZ$3)-YEAR($B$33))+MONTH(CZ$3)-MONTH($B$33)),'Вводные'!$B$78)=0,(12*(YEAR(CZ$3)-YEAR($B$33))+MONTH(CZ$3)-MONTH($B$33))&lt;='Вводные'!$B$77*12),CZ36*CZ43*'Вводные'!$B$78/12,0)),0)</x:f>
      </x:c>
      <x:c r="DA39" s="117" t="n">
        <x:f>IF(AND('Вводные'!$B$75&lt;&gt;"Единовременно",'Вводные'!$B$80="Да",DA36&gt;0),IF(AND('Вводные'!$B$84="Да",YEAR(DA$3)=YEAR($B$34),MONTH(DA$3)=MONTH($B$34)),DA36*DA43/12,IF(AND((12*(YEAR(DA$3)-YEAR($B$33))+MONTH(DA$3)-MONTH($B$33))&gt;0,MOD((12*(YEAR(DA$3)-YEAR($B$33))+MONTH(DA$3)-MONTH($B$33)),'Вводные'!$B$78)=0,(12*(YEAR(DA$3)-YEAR($B$33))+MONTH(DA$3)-MONTH($B$33))&lt;='Вводные'!$B$77*12),DA36*DA43*'Вводные'!$B$78/12,0)),0)</x:f>
      </x:c>
      <x:c r="DB39" s="117" t="n">
        <x:f>IF(AND('Вводные'!$B$75&lt;&gt;"Единовременно",'Вводные'!$B$80="Да",DB36&gt;0),IF(AND('Вводные'!$B$84="Да",YEAR(DB$3)=YEAR($B$34),MONTH(DB$3)=MONTH($B$34)),DB36*DB43/12,IF(AND((12*(YEAR(DB$3)-YEAR($B$33))+MONTH(DB$3)-MONTH($B$33))&gt;0,MOD((12*(YEAR(DB$3)-YEAR($B$33))+MONTH(DB$3)-MONTH($B$33)),'Вводные'!$B$78)=0,(12*(YEAR(DB$3)-YEAR($B$33))+MONTH(DB$3)-MONTH($B$33))&lt;='Вводные'!$B$77*12),DB36*DB43*'Вводные'!$B$78/12,0)),0)</x:f>
      </x:c>
      <x:c r="DC39" s="117" t="n">
        <x:f>IF(AND('Вводные'!$B$75&lt;&gt;"Единовременно",'Вводные'!$B$80="Да",DC36&gt;0),IF(AND('Вводные'!$B$84="Да",YEAR(DC$3)=YEAR($B$34),MONTH(DC$3)=MONTH($B$34)),DC36*DC43/12,IF(AND((12*(YEAR(DC$3)-YEAR($B$33))+MONTH(DC$3)-MONTH($B$33))&gt;0,MOD((12*(YEAR(DC$3)-YEAR($B$33))+MONTH(DC$3)-MONTH($B$33)),'Вводные'!$B$78)=0,(12*(YEAR(DC$3)-YEAR($B$33))+MONTH(DC$3)-MONTH($B$33))&lt;='Вводные'!$B$77*12),DC36*DC43*'Вводные'!$B$78/12,0)),0)</x:f>
      </x:c>
      <x:c r="DD39" s="117" t="n">
        <x:f>IF(AND('Вводные'!$B$75&lt;&gt;"Единовременно",'Вводные'!$B$80="Да",DD36&gt;0),IF(AND('Вводные'!$B$84="Да",YEAR(DD$3)=YEAR($B$34),MONTH(DD$3)=MONTH($B$34)),DD36*DD43/12,IF(AND((12*(YEAR(DD$3)-YEAR($B$33))+MONTH(DD$3)-MONTH($B$33))&gt;0,MOD((12*(YEAR(DD$3)-YEAR($B$33))+MONTH(DD$3)-MONTH($B$33)),'Вводные'!$B$78)=0,(12*(YEAR(DD$3)-YEAR($B$33))+MONTH(DD$3)-MONTH($B$33))&lt;='Вводные'!$B$77*12),DD36*DD43*'Вводные'!$B$78/12,0)),0)</x:f>
      </x:c>
      <x:c r="DE39" s="117" t="n">
        <x:f>IF(AND('Вводные'!$B$75&lt;&gt;"Единовременно",'Вводные'!$B$80="Да",DE36&gt;0),IF(AND('Вводные'!$B$84="Да",YEAR(DE$3)=YEAR($B$34),MONTH(DE$3)=MONTH($B$34)),DE36*DE43/12,IF(AND((12*(YEAR(DE$3)-YEAR($B$33))+MONTH(DE$3)-MONTH($B$33))&gt;0,MOD((12*(YEAR(DE$3)-YEAR($B$33))+MONTH(DE$3)-MONTH($B$33)),'Вводные'!$B$78)=0,(12*(YEAR(DE$3)-YEAR($B$33))+MONTH(DE$3)-MONTH($B$33))&lt;='Вводные'!$B$77*12),DE36*DE43*'Вводные'!$B$78/12,0)),0)</x:f>
      </x:c>
      <x:c r="DF39" s="117" t="n">
        <x:f>IF(AND('Вводные'!$B$75&lt;&gt;"Единовременно",'Вводные'!$B$80="Да",DF36&gt;0),IF(AND('Вводные'!$B$84="Да",YEAR(DF$3)=YEAR($B$34),MONTH(DF$3)=MONTH($B$34)),DF36*DF43/12,IF(AND((12*(YEAR(DF$3)-YEAR($B$33))+MONTH(DF$3)-MONTH($B$33))&gt;0,MOD((12*(YEAR(DF$3)-YEAR($B$33))+MONTH(DF$3)-MONTH($B$33)),'Вводные'!$B$78)=0,(12*(YEAR(DF$3)-YEAR($B$33))+MONTH(DF$3)-MONTH($B$33))&lt;='Вводные'!$B$77*12),DF36*DF43*'Вводные'!$B$78/12,0)),0)</x:f>
      </x:c>
      <x:c r="DG39" s="117" t="n">
        <x:f>IF(AND('Вводные'!$B$75&lt;&gt;"Единовременно",'Вводные'!$B$80="Да",DG36&gt;0),IF(AND('Вводные'!$B$84="Да",YEAR(DG$3)=YEAR($B$34),MONTH(DG$3)=MONTH($B$34)),DG36*DG43/12,IF(AND((12*(YEAR(DG$3)-YEAR($B$33))+MONTH(DG$3)-MONTH($B$33))&gt;0,MOD((12*(YEAR(DG$3)-YEAR($B$33))+MONTH(DG$3)-MONTH($B$33)),'Вводные'!$B$78)=0,(12*(YEAR(DG$3)-YEAR($B$33))+MONTH(DG$3)-MONTH($B$33))&lt;='Вводные'!$B$77*12),DG36*DG43*'Вводные'!$B$78/12,0)),0)</x:f>
      </x:c>
      <x:c r="DH39" s="117" t="n">
        <x:f>IF(AND('Вводные'!$B$75&lt;&gt;"Единовременно",'Вводные'!$B$80="Да",DH36&gt;0),IF(AND('Вводные'!$B$84="Да",YEAR(DH$3)=YEAR($B$34),MONTH(DH$3)=MONTH($B$34)),DH36*DH43/12,IF(AND((12*(YEAR(DH$3)-YEAR($B$33))+MONTH(DH$3)-MONTH($B$33))&gt;0,MOD((12*(YEAR(DH$3)-YEAR($B$33))+MONTH(DH$3)-MONTH($B$33)),'Вводные'!$B$78)=0,(12*(YEAR(DH$3)-YEAR($B$33))+MONTH(DH$3)-MONTH($B$33))&lt;='Вводные'!$B$77*12),DH36*DH43*'Вводные'!$B$78/12,0)),0)</x:f>
      </x:c>
      <x:c r="DI39" s="117" t="n">
        <x:f>IF(AND('Вводные'!$B$75&lt;&gt;"Единовременно",'Вводные'!$B$80="Да",DI36&gt;0),IF(AND('Вводные'!$B$84="Да",YEAR(DI$3)=YEAR($B$34),MONTH(DI$3)=MONTH($B$34)),DI36*DI43/12,IF(AND((12*(YEAR(DI$3)-YEAR($B$33))+MONTH(DI$3)-MONTH($B$33))&gt;0,MOD((12*(YEAR(DI$3)-YEAR($B$33))+MONTH(DI$3)-MONTH($B$33)),'Вводные'!$B$78)=0,(12*(YEAR(DI$3)-YEAR($B$33))+MONTH(DI$3)-MONTH($B$33))&lt;='Вводные'!$B$77*12),DI36*DI43*'Вводные'!$B$78/12,0)),0)</x:f>
      </x:c>
      <x:c r="DJ39" s="117" t="n">
        <x:f>IF(AND('Вводные'!$B$75&lt;&gt;"Единовременно",'Вводные'!$B$80="Да",DJ36&gt;0),IF(AND('Вводные'!$B$84="Да",YEAR(DJ$3)=YEAR($B$34),MONTH(DJ$3)=MONTH($B$34)),DJ36*DJ43/12,IF(AND((12*(YEAR(DJ$3)-YEAR($B$33))+MONTH(DJ$3)-MONTH($B$33))&gt;0,MOD((12*(YEAR(DJ$3)-YEAR($B$33))+MONTH(DJ$3)-MONTH($B$33)),'Вводные'!$B$78)=0,(12*(YEAR(DJ$3)-YEAR($B$33))+MONTH(DJ$3)-MONTH($B$33))&lt;='Вводные'!$B$77*12),DJ36*DJ43*'Вводные'!$B$78/12,0)),0)</x:f>
      </x:c>
      <x:c r="DK39" s="117" t="n">
        <x:f>IF(AND('Вводные'!$B$75&lt;&gt;"Единовременно",'Вводные'!$B$80="Да",DK36&gt;0),IF(AND('Вводные'!$B$84="Да",YEAR(DK$3)=YEAR($B$34),MONTH(DK$3)=MONTH($B$34)),DK36*DK43/12,IF(AND((12*(YEAR(DK$3)-YEAR($B$33))+MONTH(DK$3)-MONTH($B$33))&gt;0,MOD((12*(YEAR(DK$3)-YEAR($B$33))+MONTH(DK$3)-MONTH($B$33)),'Вводные'!$B$78)=0,(12*(YEAR(DK$3)-YEAR($B$33))+MONTH(DK$3)-MONTH($B$33))&lt;='Вводные'!$B$77*12),DK36*DK43*'Вводные'!$B$78/12,0)),0)</x:f>
      </x:c>
      <x:c r="DL39" s="117" t="n">
        <x:f>IF(AND('Вводные'!$B$75&lt;&gt;"Единовременно",'Вводные'!$B$80="Да",DL36&gt;0),IF(AND('Вводные'!$B$84="Да",YEAR(DL$3)=YEAR($B$34),MONTH(DL$3)=MONTH($B$34)),DL36*DL43/12,IF(AND((12*(YEAR(DL$3)-YEAR($B$33))+MONTH(DL$3)-MONTH($B$33))&gt;0,MOD((12*(YEAR(DL$3)-YEAR($B$33))+MONTH(DL$3)-MONTH($B$33)),'Вводные'!$B$78)=0,(12*(YEAR(DL$3)-YEAR($B$33))+MONTH(DL$3)-MONTH($B$33))&lt;='Вводные'!$B$77*12),DL36*DL43*'Вводные'!$B$78/12,0)),0)</x:f>
      </x:c>
      <x:c r="DM39" s="117" t="n">
        <x:f>IF(AND('Вводные'!$B$75&lt;&gt;"Единовременно",'Вводные'!$B$80="Да",DM36&gt;0),IF(AND('Вводные'!$B$84="Да",YEAR(DM$3)=YEAR($B$34),MONTH(DM$3)=MONTH($B$34)),DM36*DM43/12,IF(AND((12*(YEAR(DM$3)-YEAR($B$33))+MONTH(DM$3)-MONTH($B$33))&gt;0,MOD((12*(YEAR(DM$3)-YEAR($B$33))+MONTH(DM$3)-MONTH($B$33)),'Вводные'!$B$78)=0,(12*(YEAR(DM$3)-YEAR($B$33))+MONTH(DM$3)-MONTH($B$33))&lt;='Вводные'!$B$77*12),DM36*DM43*'Вводные'!$B$78/12,0)),0)</x:f>
      </x:c>
      <x:c r="DN39" s="117" t="n">
        <x:f>IF(AND('Вводные'!$B$75&lt;&gt;"Единовременно",'Вводные'!$B$80="Да",DN36&gt;0),IF(AND('Вводные'!$B$84="Да",YEAR(DN$3)=YEAR($B$34),MONTH(DN$3)=MONTH($B$34)),DN36*DN43/12,IF(AND((12*(YEAR(DN$3)-YEAR($B$33))+MONTH(DN$3)-MONTH($B$33))&gt;0,MOD((12*(YEAR(DN$3)-YEAR($B$33))+MONTH(DN$3)-MONTH($B$33)),'Вводные'!$B$78)=0,(12*(YEAR(DN$3)-YEAR($B$33))+MONTH(DN$3)-MONTH($B$33))&lt;='Вводные'!$B$77*12),DN36*DN43*'Вводные'!$B$78/12,0)),0)</x:f>
      </x:c>
      <x:c r="DO39" s="117" t="n">
        <x:f>IF(AND('Вводные'!$B$75&lt;&gt;"Единовременно",'Вводные'!$B$80="Да",DO36&gt;0),IF(AND('Вводные'!$B$84="Да",YEAR(DO$3)=YEAR($B$34),MONTH(DO$3)=MONTH($B$34)),DO36*DO43/12,IF(AND((12*(YEAR(DO$3)-YEAR($B$33))+MONTH(DO$3)-MONTH($B$33))&gt;0,MOD((12*(YEAR(DO$3)-YEAR($B$33))+MONTH(DO$3)-MONTH($B$33)),'Вводные'!$B$78)=0,(12*(YEAR(DO$3)-YEAR($B$33))+MONTH(DO$3)-MONTH($B$33))&lt;='Вводные'!$B$77*12),DO36*DO43*'Вводные'!$B$78/12,0)),0)</x:f>
      </x:c>
      <x:c r="DP39" s="117" t="n">
        <x:f>IF(AND('Вводные'!$B$75&lt;&gt;"Единовременно",'Вводные'!$B$80="Да",DP36&gt;0),IF(AND('Вводные'!$B$84="Да",YEAR(DP$3)=YEAR($B$34),MONTH(DP$3)=MONTH($B$34)),DP36*DP43/12,IF(AND((12*(YEAR(DP$3)-YEAR($B$33))+MONTH(DP$3)-MONTH($B$33))&gt;0,MOD((12*(YEAR(DP$3)-YEAR($B$33))+MONTH(DP$3)-MONTH($B$33)),'Вводные'!$B$78)=0,(12*(YEAR(DP$3)-YEAR($B$33))+MONTH(DP$3)-MONTH($B$33))&lt;='Вводные'!$B$77*12),DP36*DP43*'Вводные'!$B$78/12,0)),0)</x:f>
      </x:c>
      <x:c r="DQ39" s="117" t="n">
        <x:f>IF(AND('Вводные'!$B$75&lt;&gt;"Единовременно",'Вводные'!$B$80="Да",DQ36&gt;0),IF(AND('Вводные'!$B$84="Да",YEAR(DQ$3)=YEAR($B$34),MONTH(DQ$3)=MONTH($B$34)),DQ36*DQ43/12,IF(AND((12*(YEAR(DQ$3)-YEAR($B$33))+MONTH(DQ$3)-MONTH($B$33))&gt;0,MOD((12*(YEAR(DQ$3)-YEAR($B$33))+MONTH(DQ$3)-MONTH($B$33)),'Вводные'!$B$78)=0,(12*(YEAR(DQ$3)-YEAR($B$33))+MONTH(DQ$3)-MONTH($B$33))&lt;='Вводные'!$B$77*12),DQ36*DQ43*'Вводные'!$B$78/12,0)),0)</x:f>
      </x:c>
      <x:c r="DR39" s="117" t="n">
        <x:f>IF(AND('Вводные'!$B$75&lt;&gt;"Единовременно",'Вводные'!$B$80="Да",DR36&gt;0),IF(AND('Вводные'!$B$84="Да",YEAR(DR$3)=YEAR($B$34),MONTH(DR$3)=MONTH($B$34)),DR36*DR43/12,IF(AND((12*(YEAR(DR$3)-YEAR($B$33))+MONTH(DR$3)-MONTH($B$33))&gt;0,MOD((12*(YEAR(DR$3)-YEAR($B$33))+MONTH(DR$3)-MONTH($B$33)),'Вводные'!$B$78)=0,(12*(YEAR(DR$3)-YEAR($B$33))+MONTH(DR$3)-MONTH($B$33))&lt;='Вводные'!$B$77*12),DR36*DR43*'Вводные'!$B$78/12,0)),0)</x:f>
      </x:c>
      <x:c r="DS39" s="117" t="n">
        <x:f>IF(AND('Вводные'!$B$75&lt;&gt;"Единовременно",'Вводные'!$B$80="Да",DS36&gt;0),IF(AND('Вводные'!$B$84="Да",YEAR(DS$3)=YEAR($B$34),MONTH(DS$3)=MONTH($B$34)),DS36*DS43/12,IF(AND((12*(YEAR(DS$3)-YEAR($B$33))+MONTH(DS$3)-MONTH($B$33))&gt;0,MOD((12*(YEAR(DS$3)-YEAR($B$33))+MONTH(DS$3)-MONTH($B$33)),'Вводные'!$B$78)=0,(12*(YEAR(DS$3)-YEAR($B$33))+MONTH(DS$3)-MONTH($B$33))&lt;='Вводные'!$B$77*12),DS36*DS43*'Вводные'!$B$78/12,0)),0)</x:f>
      </x:c>
      <x:c r="DT39" s="117" t="n">
        <x:f>IF(AND('Вводные'!$B$75&lt;&gt;"Единовременно",'Вводные'!$B$80="Да",DT36&gt;0),IF(AND('Вводные'!$B$84="Да",YEAR(DT$3)=YEAR($B$34),MONTH(DT$3)=MONTH($B$34)),DT36*DT43/12,IF(AND((12*(YEAR(DT$3)-YEAR($B$33))+MONTH(DT$3)-MONTH($B$33))&gt;0,MOD((12*(YEAR(DT$3)-YEAR($B$33))+MONTH(DT$3)-MONTH($B$33)),'Вводные'!$B$78)=0,(12*(YEAR(DT$3)-YEAR($B$33))+MONTH(DT$3)-MONTH($B$33))&lt;='Вводные'!$B$77*12),DT36*DT43*'Вводные'!$B$78/12,0)),0)</x:f>
      </x:c>
      <x:c r="DU39" s="117" t="n">
        <x:f>IF(AND('Вводные'!$B$75&lt;&gt;"Единовременно",'Вводные'!$B$80="Да",DU36&gt;0),IF(AND('Вводные'!$B$84="Да",YEAR(DU$3)=YEAR($B$34),MONTH(DU$3)=MONTH($B$34)),DU36*DU43/12,IF(AND((12*(YEAR(DU$3)-YEAR($B$33))+MONTH(DU$3)-MONTH($B$33))&gt;0,MOD((12*(YEAR(DU$3)-YEAR($B$33))+MONTH(DU$3)-MONTH($B$33)),'Вводные'!$B$78)=0,(12*(YEAR(DU$3)-YEAR($B$33))+MONTH(DU$3)-MONTH($B$33))&lt;='Вводные'!$B$77*12),DU36*DU43*'Вводные'!$B$78/12,0)),0)</x:f>
      </x:c>
      <x:c r="DV39" s="117" t="n">
        <x:f>IF(AND('Вводные'!$B$75&lt;&gt;"Единовременно",'Вводные'!$B$80="Да",DV36&gt;0),IF(AND('Вводные'!$B$84="Да",YEAR(DV$3)=YEAR($B$34),MONTH(DV$3)=MONTH($B$34)),DV36*DV43/12,IF(AND((12*(YEAR(DV$3)-YEAR($B$33))+MONTH(DV$3)-MONTH($B$33))&gt;0,MOD((12*(YEAR(DV$3)-YEAR($B$33))+MONTH(DV$3)-MONTH($B$33)),'Вводные'!$B$78)=0,(12*(YEAR(DV$3)-YEAR($B$33))+MONTH(DV$3)-MONTH($B$33))&lt;='Вводные'!$B$77*12),DV36*DV43*'Вводные'!$B$78/12,0)),0)</x:f>
      </x:c>
      <x:c r="DW39" s="117" t="n">
        <x:f>IF(AND('Вводные'!$B$75&lt;&gt;"Единовременно",'Вводные'!$B$80="Да",DW36&gt;0),IF(AND('Вводные'!$B$84="Да",YEAR(DW$3)=YEAR($B$34),MONTH(DW$3)=MONTH($B$34)),DW36*DW43/12,IF(AND((12*(YEAR(DW$3)-YEAR($B$33))+MONTH(DW$3)-MONTH($B$33))&gt;0,MOD((12*(YEAR(DW$3)-YEAR($B$33))+MONTH(DW$3)-MONTH($B$33)),'Вводные'!$B$78)=0,(12*(YEAR(DW$3)-YEAR($B$33))+MONTH(DW$3)-MONTH($B$33))&lt;='Вводные'!$B$77*12),DW36*DW43*'Вводные'!$B$78/12,0)),0)</x:f>
      </x:c>
      <x:c r="DX39" s="117" t="n">
        <x:f>IF(AND('Вводные'!$B$75&lt;&gt;"Единовременно",'Вводные'!$B$80="Да",DX36&gt;0),IF(AND('Вводные'!$B$84="Да",YEAR(DX$3)=YEAR($B$34),MONTH(DX$3)=MONTH($B$34)),DX36*DX43/12,IF(AND((12*(YEAR(DX$3)-YEAR($B$33))+MONTH(DX$3)-MONTH($B$33))&gt;0,MOD((12*(YEAR(DX$3)-YEAR($B$33))+MONTH(DX$3)-MONTH($B$33)),'Вводные'!$B$78)=0,(12*(YEAR(DX$3)-YEAR($B$33))+MONTH(DX$3)-MONTH($B$33))&lt;='Вводные'!$B$77*12),DX36*DX43*'Вводные'!$B$78/12,0)),0)</x:f>
      </x:c>
      <x:c r="DY39" s="117" t="n">
        <x:f>IF(AND('Вводные'!$B$75&lt;&gt;"Единовременно",'Вводные'!$B$80="Да",DY36&gt;0),IF(AND('Вводные'!$B$84="Да",YEAR(DY$3)=YEAR($B$34),MONTH(DY$3)=MONTH($B$34)),DY36*DY43/12,IF(AND((12*(YEAR(DY$3)-YEAR($B$33))+MONTH(DY$3)-MONTH($B$33))&gt;0,MOD((12*(YEAR(DY$3)-YEAR($B$33))+MONTH(DY$3)-MONTH($B$33)),'Вводные'!$B$78)=0,(12*(YEAR(DY$3)-YEAR($B$33))+MONTH(DY$3)-MONTH($B$33))&lt;='Вводные'!$B$77*12),DY36*DY43*'Вводные'!$B$78/12,0)),0)</x:f>
      </x:c>
      <x:c r="DZ39" s="117" t="n">
        <x:f>IF(AND('Вводные'!$B$75&lt;&gt;"Единовременно",'Вводные'!$B$80="Да",DZ36&gt;0),IF(AND('Вводные'!$B$84="Да",YEAR(DZ$3)=YEAR($B$34),MONTH(DZ$3)=MONTH($B$34)),DZ36*DZ43/12,IF(AND((12*(YEAR(DZ$3)-YEAR($B$33))+MONTH(DZ$3)-MONTH($B$33))&gt;0,MOD((12*(YEAR(DZ$3)-YEAR($B$33))+MONTH(DZ$3)-MONTH($B$33)),'Вводные'!$B$78)=0,(12*(YEAR(DZ$3)-YEAR($B$33))+MONTH(DZ$3)-MONTH($B$33))&lt;='Вводные'!$B$77*12),DZ36*DZ43*'Вводные'!$B$78/12,0)),0)</x:f>
      </x:c>
      <x:c r="EA39" s="117" t="n">
        <x:f>IF(AND('Вводные'!$B$75&lt;&gt;"Единовременно",'Вводные'!$B$80="Да",EA36&gt;0),IF(AND('Вводные'!$B$84="Да",YEAR(EA$3)=YEAR($B$34),MONTH(EA$3)=MONTH($B$34)),EA36*EA43/12,IF(AND((12*(YEAR(EA$3)-YEAR($B$33))+MONTH(EA$3)-MONTH($B$33))&gt;0,MOD((12*(YEAR(EA$3)-YEAR($B$33))+MONTH(EA$3)-MONTH($B$33)),'Вводные'!$B$78)=0,(12*(YEAR(EA$3)-YEAR($B$33))+MONTH(EA$3)-MONTH($B$33))&lt;='Вводные'!$B$77*12),EA36*EA43*'Вводные'!$B$78/12,0)),0)</x:f>
      </x:c>
      <x:c r="EB39" s="117" t="n">
        <x:f>IF(AND('Вводные'!$B$75&lt;&gt;"Единовременно",'Вводные'!$B$80="Да",EB36&gt;0),IF(AND('Вводные'!$B$84="Да",YEAR(EB$3)=YEAR($B$34),MONTH(EB$3)=MONTH($B$34)),EB36*EB43/12,IF(AND((12*(YEAR(EB$3)-YEAR($B$33))+MONTH(EB$3)-MONTH($B$33))&gt;0,MOD((12*(YEAR(EB$3)-YEAR($B$33))+MONTH(EB$3)-MONTH($B$33)),'Вводные'!$B$78)=0,(12*(YEAR(EB$3)-YEAR($B$33))+MONTH(EB$3)-MONTH($B$33))&lt;='Вводные'!$B$77*12),EB36*EB43*'Вводные'!$B$78/12,0)),0)</x:f>
      </x:c>
      <x:c r="EC39" s="117" t="n">
        <x:f>IF(AND('Вводные'!$B$75&lt;&gt;"Единовременно",'Вводные'!$B$80="Да",EC36&gt;0),IF(AND('Вводные'!$B$84="Да",YEAR(EC$3)=YEAR($B$34),MONTH(EC$3)=MONTH($B$34)),EC36*EC43/12,IF(AND((12*(YEAR(EC$3)-YEAR($B$33))+MONTH(EC$3)-MONTH($B$33))&gt;0,MOD((12*(YEAR(EC$3)-YEAR($B$33))+MONTH(EC$3)-MONTH($B$33)),'Вводные'!$B$78)=0,(12*(YEAR(EC$3)-YEAR($B$33))+MONTH(EC$3)-MONTH($B$33))&lt;='Вводные'!$B$77*12),EC36*EC43*'Вводные'!$B$78/12,0)),0)</x:f>
      </x:c>
      <x:c r="ED39" s="117" t="n">
        <x:f>IF(AND('Вводные'!$B$75&lt;&gt;"Единовременно",'Вводные'!$B$80="Да",ED36&gt;0),IF(AND('Вводные'!$B$84="Да",YEAR(ED$3)=YEAR($B$34),MONTH(ED$3)=MONTH($B$34)),ED36*ED43/12,IF(AND((12*(YEAR(ED$3)-YEAR($B$33))+MONTH(ED$3)-MONTH($B$33))&gt;0,MOD((12*(YEAR(ED$3)-YEAR($B$33))+MONTH(ED$3)-MONTH($B$33)),'Вводные'!$B$78)=0,(12*(YEAR(ED$3)-YEAR($B$33))+MONTH(ED$3)-MONTH($B$33))&lt;='Вводные'!$B$77*12),ED36*ED43*'Вводные'!$B$78/12,0)),0)</x:f>
      </x:c>
      <x:c r="EE39" s="117" t="n">
        <x:f>IF(AND('Вводные'!$B$75&lt;&gt;"Единовременно",'Вводные'!$B$80="Да",EE36&gt;0),IF(AND('Вводные'!$B$84="Да",YEAR(EE$3)=YEAR($B$34),MONTH(EE$3)=MONTH($B$34)),EE36*EE43/12,IF(AND((12*(YEAR(EE$3)-YEAR($B$33))+MONTH(EE$3)-MONTH($B$33))&gt;0,MOD((12*(YEAR(EE$3)-YEAR($B$33))+MONTH(EE$3)-MONTH($B$33)),'Вводные'!$B$78)=0,(12*(YEAR(EE$3)-YEAR($B$33))+MONTH(EE$3)-MONTH($B$33))&lt;='Вводные'!$B$77*12),EE36*EE43*'Вводные'!$B$78/12,0)),0)</x:f>
      </x:c>
      <x:c r="EF39" s="117" t="n">
        <x:f>IF(AND('Вводные'!$B$75&lt;&gt;"Единовременно",'Вводные'!$B$80="Да",EF36&gt;0),IF(AND('Вводные'!$B$84="Да",YEAR(EF$3)=YEAR($B$34),MONTH(EF$3)=MONTH($B$34)),EF36*EF43/12,IF(AND((12*(YEAR(EF$3)-YEAR($B$33))+MONTH(EF$3)-MONTH($B$33))&gt;0,MOD((12*(YEAR(EF$3)-YEAR($B$33))+MONTH(EF$3)-MONTH($B$33)),'Вводные'!$B$78)=0,(12*(YEAR(EF$3)-YEAR($B$33))+MONTH(EF$3)-MONTH($B$33))&lt;='Вводные'!$B$77*12),EF36*EF43*'Вводные'!$B$78/12,0)),0)</x:f>
      </x:c>
      <x:c r="EG39" s="117" t="n">
        <x:f>IF(AND('Вводные'!$B$75&lt;&gt;"Единовременно",'Вводные'!$B$80="Да",EG36&gt;0),IF(AND('Вводные'!$B$84="Да",YEAR(EG$3)=YEAR($B$34),MONTH(EG$3)=MONTH($B$34)),EG36*EG43/12,IF(AND((12*(YEAR(EG$3)-YEAR($B$33))+MONTH(EG$3)-MONTH($B$33))&gt;0,MOD((12*(YEAR(EG$3)-YEAR($B$33))+MONTH(EG$3)-MONTH($B$33)),'Вводные'!$B$78)=0,(12*(YEAR(EG$3)-YEAR($B$33))+MONTH(EG$3)-MONTH($B$33))&lt;='Вводные'!$B$77*12),EG36*EG43*'Вводные'!$B$78/12,0)),0)</x:f>
      </x:c>
      <x:c r="EH39" s="117" t="n">
        <x:f>IF(AND('Вводные'!$B$75&lt;&gt;"Единовременно",'Вводные'!$B$80="Да",EH36&gt;0),IF(AND('Вводные'!$B$84="Да",YEAR(EH$3)=YEAR($B$34),MONTH(EH$3)=MONTH($B$34)),EH36*EH43/12,IF(AND((12*(YEAR(EH$3)-YEAR($B$33))+MONTH(EH$3)-MONTH($B$33))&gt;0,MOD((12*(YEAR(EH$3)-YEAR($B$33))+MONTH(EH$3)-MONTH($B$33)),'Вводные'!$B$78)=0,(12*(YEAR(EH$3)-YEAR($B$33))+MONTH(EH$3)-MONTH($B$33))&lt;='Вводные'!$B$77*12),EH36*EH43*'Вводные'!$B$78/12,0)),0)</x:f>
      </x:c>
      <x:c r="EI39" s="117" t="n">
        <x:f>IF(AND('Вводные'!$B$75&lt;&gt;"Единовременно",'Вводные'!$B$80="Да",EI36&gt;0),IF(AND('Вводные'!$B$84="Да",YEAR(EI$3)=YEAR($B$34),MONTH(EI$3)=MONTH($B$34)),EI36*EI43/12,IF(AND((12*(YEAR(EI$3)-YEAR($B$33))+MONTH(EI$3)-MONTH($B$33))&gt;0,MOD((12*(YEAR(EI$3)-YEAR($B$33))+MONTH(EI$3)-MONTH($B$33)),'Вводные'!$B$78)=0,(12*(YEAR(EI$3)-YEAR($B$33))+MONTH(EI$3)-MONTH($B$33))&lt;='Вводные'!$B$77*12),EI36*EI43*'Вводные'!$B$78/12,0)),0)</x:f>
      </x:c>
      <x:c r="EJ39" s="117" t="n">
        <x:f>IF(AND('Вводные'!$B$75&lt;&gt;"Единовременно",'Вводные'!$B$80="Да",EJ36&gt;0),IF(AND('Вводные'!$B$84="Да",YEAR(EJ$3)=YEAR($B$34),MONTH(EJ$3)=MONTH($B$34)),EJ36*EJ43/12,IF(AND((12*(YEAR(EJ$3)-YEAR($B$33))+MONTH(EJ$3)-MONTH($B$33))&gt;0,MOD((12*(YEAR(EJ$3)-YEAR($B$33))+MONTH(EJ$3)-MONTH($B$33)),'Вводные'!$B$78)=0,(12*(YEAR(EJ$3)-YEAR($B$33))+MONTH(EJ$3)-MONTH($B$33))&lt;='Вводные'!$B$77*12),EJ36*EJ43*'Вводные'!$B$78/12,0)),0)</x:f>
      </x:c>
      <x:c r="EK39" s="117" t="n">
        <x:f>IF(AND('Вводные'!$B$75&lt;&gt;"Единовременно",'Вводные'!$B$80="Да",EK36&gt;0),IF(AND('Вводные'!$B$84="Да",YEAR(EK$3)=YEAR($B$34),MONTH(EK$3)=MONTH($B$34)),EK36*EK43/12,IF(AND((12*(YEAR(EK$3)-YEAR($B$33))+MONTH(EK$3)-MONTH($B$33))&gt;0,MOD((12*(YEAR(EK$3)-YEAR($B$33))+MONTH(EK$3)-MONTH($B$33)),'Вводные'!$B$78)=0,(12*(YEAR(EK$3)-YEAR($B$33))+MONTH(EK$3)-MONTH($B$33))&lt;='Вводные'!$B$77*12),EK36*EK43*'Вводные'!$B$78/12,0)),0)</x:f>
      </x:c>
      <x:c r="EL39" s="117" t="n">
        <x:f>IF(AND('Вводные'!$B$75&lt;&gt;"Единовременно",'Вводные'!$B$80="Да",EL36&gt;0),IF(AND('Вводные'!$B$84="Да",YEAR(EL$3)=YEAR($B$34),MONTH(EL$3)=MONTH($B$34)),EL36*EL43/12,IF(AND((12*(YEAR(EL$3)-YEAR($B$33))+MONTH(EL$3)-MONTH($B$33))&gt;0,MOD((12*(YEAR(EL$3)-YEAR($B$33))+MONTH(EL$3)-MONTH($B$33)),'Вводные'!$B$78)=0,(12*(YEAR(EL$3)-YEAR($B$33))+MONTH(EL$3)-MONTH($B$33))&lt;='Вводные'!$B$77*12),EL36*EL43*'Вводные'!$B$78/12,0)),0)</x:f>
      </x:c>
      <x:c r="EM39" s="117" t="n">
        <x:f>IF(AND('Вводные'!$B$75&lt;&gt;"Единовременно",'Вводные'!$B$80="Да",EM36&gt;0),IF(AND('Вводные'!$B$84="Да",YEAR(EM$3)=YEAR($B$34),MONTH(EM$3)=MONTH($B$34)),EM36*EM43/12,IF(AND((12*(YEAR(EM$3)-YEAR($B$33))+MONTH(EM$3)-MONTH($B$33))&gt;0,MOD((12*(YEAR(EM$3)-YEAR($B$33))+MONTH(EM$3)-MONTH($B$33)),'Вводные'!$B$78)=0,(12*(YEAR(EM$3)-YEAR($B$33))+MONTH(EM$3)-MONTH($B$33))&lt;='Вводные'!$B$77*12),EM36*EM43*'Вводные'!$B$78/12,0)),0)</x:f>
      </x:c>
      <x:c r="EN39" s="117" t="n">
        <x:f>IF(AND('Вводные'!$B$75&lt;&gt;"Единовременно",'Вводные'!$B$80="Да",EN36&gt;0),IF(AND('Вводные'!$B$84="Да",YEAR(EN$3)=YEAR($B$34),MONTH(EN$3)=MONTH($B$34)),EN36*EN43/12,IF(AND((12*(YEAR(EN$3)-YEAR($B$33))+MONTH(EN$3)-MONTH($B$33))&gt;0,MOD((12*(YEAR(EN$3)-YEAR($B$33))+MONTH(EN$3)-MONTH($B$33)),'Вводные'!$B$78)=0,(12*(YEAR(EN$3)-YEAR($B$33))+MONTH(EN$3)-MONTH($B$33))&lt;='Вводные'!$B$77*12),EN36*EN43*'Вводные'!$B$78/12,0)),0)</x:f>
      </x:c>
      <x:c r="EO39" s="117" t="n">
        <x:f>IF(AND('Вводные'!$B$75&lt;&gt;"Единовременно",'Вводные'!$B$80="Да",EO36&gt;0),IF(AND('Вводные'!$B$84="Да",YEAR(EO$3)=YEAR($B$34),MONTH(EO$3)=MONTH($B$34)),EO36*EO43/12,IF(AND((12*(YEAR(EO$3)-YEAR($B$33))+MONTH(EO$3)-MONTH($B$33))&gt;0,MOD((12*(YEAR(EO$3)-YEAR($B$33))+MONTH(EO$3)-MONTH($B$33)),'Вводные'!$B$78)=0,(12*(YEAR(EO$3)-YEAR($B$33))+MONTH(EO$3)-MONTH($B$33))&lt;='Вводные'!$B$77*12),EO36*EO43*'Вводные'!$B$78/12,0)),0)</x:f>
      </x:c>
      <x:c r="EP39" s="117" t="n">
        <x:f>IF(AND('Вводные'!$B$75&lt;&gt;"Единовременно",'Вводные'!$B$80="Да",EP36&gt;0),IF(AND('Вводные'!$B$84="Да",YEAR(EP$3)=YEAR($B$34),MONTH(EP$3)=MONTH($B$34)),EP36*EP43/12,IF(AND((12*(YEAR(EP$3)-YEAR($B$33))+MONTH(EP$3)-MONTH($B$33))&gt;0,MOD((12*(YEAR(EP$3)-YEAR($B$33))+MONTH(EP$3)-MONTH($B$33)),'Вводные'!$B$78)=0,(12*(YEAR(EP$3)-YEAR($B$33))+MONTH(EP$3)-MONTH($B$33))&lt;='Вводные'!$B$77*12),EP36*EP43*'Вводные'!$B$78/12,0)),0)</x:f>
      </x:c>
      <x:c r="EQ39" s="117" t="n">
        <x:f>IF(AND('Вводные'!$B$75&lt;&gt;"Единовременно",'Вводные'!$B$80="Да",EQ36&gt;0),IF(AND('Вводные'!$B$84="Да",YEAR(EQ$3)=YEAR($B$34),MONTH(EQ$3)=MONTH($B$34)),EQ36*EQ43/12,IF(AND((12*(YEAR(EQ$3)-YEAR($B$33))+MONTH(EQ$3)-MONTH($B$33))&gt;0,MOD((12*(YEAR(EQ$3)-YEAR($B$33))+MONTH(EQ$3)-MONTH($B$33)),'Вводные'!$B$78)=0,(12*(YEAR(EQ$3)-YEAR($B$33))+MONTH(EQ$3)-MONTH($B$33))&lt;='Вводные'!$B$77*12),EQ36*EQ43*'Вводные'!$B$78/12,0)),0)</x:f>
      </x:c>
      <x:c r="ER39" s="117" t="n">
        <x:f>IF(AND('Вводные'!$B$75&lt;&gt;"Единовременно",'Вводные'!$B$80="Да",ER36&gt;0),IF(AND('Вводные'!$B$84="Да",YEAR(ER$3)=YEAR($B$34),MONTH(ER$3)=MONTH($B$34)),ER36*ER43/12,IF(AND((12*(YEAR(ER$3)-YEAR($B$33))+MONTH(ER$3)-MONTH($B$33))&gt;0,MOD((12*(YEAR(ER$3)-YEAR($B$33))+MONTH(ER$3)-MONTH($B$33)),'Вводные'!$B$78)=0,(12*(YEAR(ER$3)-YEAR($B$33))+MONTH(ER$3)-MONTH($B$33))&lt;='Вводные'!$B$77*12),ER36*ER43*'Вводные'!$B$78/12,0)),0)</x:f>
      </x:c>
      <x:c r="ES39" s="117" t="n">
        <x:f>IF(AND('Вводные'!$B$75&lt;&gt;"Единовременно",'Вводные'!$B$80="Да",ES36&gt;0),IF(AND('Вводные'!$B$84="Да",YEAR(ES$3)=YEAR($B$34),MONTH(ES$3)=MONTH($B$34)),ES36*ES43/12,IF(AND((12*(YEAR(ES$3)-YEAR($B$33))+MONTH(ES$3)-MONTH($B$33))&gt;0,MOD((12*(YEAR(ES$3)-YEAR($B$33))+MONTH(ES$3)-MONTH($B$33)),'Вводные'!$B$78)=0,(12*(YEAR(ES$3)-YEAR($B$33))+MONTH(ES$3)-MONTH($B$33))&lt;='Вводные'!$B$77*12),ES36*ES43*'Вводные'!$B$78/12,0)),0)</x:f>
      </x:c>
      <x:c r="ET39" s="117" t="n">
        <x:f>IF(AND('Вводные'!$B$75&lt;&gt;"Единовременно",'Вводные'!$B$80="Да",ET36&gt;0),IF(AND('Вводные'!$B$84="Да",YEAR(ET$3)=YEAR($B$34),MONTH(ET$3)=MONTH($B$34)),ET36*ET43/12,IF(AND((12*(YEAR(ET$3)-YEAR($B$33))+MONTH(ET$3)-MONTH($B$33))&gt;0,MOD((12*(YEAR(ET$3)-YEAR($B$33))+MONTH(ET$3)-MONTH($B$33)),'Вводные'!$B$78)=0,(12*(YEAR(ET$3)-YEAR($B$33))+MONTH(ET$3)-MONTH($B$33))&lt;='Вводные'!$B$77*12),ET36*ET43*'Вводные'!$B$78/12,0)),0)</x:f>
      </x:c>
      <x:c r="EU39" s="117" t="n">
        <x:f>IF(AND('Вводные'!$B$75&lt;&gt;"Единовременно",'Вводные'!$B$80="Да",EU36&gt;0),IF(AND('Вводные'!$B$84="Да",YEAR(EU$3)=YEAR($B$34),MONTH(EU$3)=MONTH($B$34)),EU36*EU43/12,IF(AND((12*(YEAR(EU$3)-YEAR($B$33))+MONTH(EU$3)-MONTH($B$33))&gt;0,MOD((12*(YEAR(EU$3)-YEAR($B$33))+MONTH(EU$3)-MONTH($B$33)),'Вводные'!$B$78)=0,(12*(YEAR(EU$3)-YEAR($B$33))+MONTH(EU$3)-MONTH($B$33))&lt;='Вводные'!$B$77*12),EU36*EU43*'Вводные'!$B$78/12,0)),0)</x:f>
      </x:c>
      <x:c r="EV39" s="117" t="n">
        <x:f>IF(AND('Вводные'!$B$75&lt;&gt;"Единовременно",'Вводные'!$B$80="Да",EV36&gt;0),IF(AND('Вводные'!$B$84="Да",YEAR(EV$3)=YEAR($B$34),MONTH(EV$3)=MONTH($B$34)),EV36*EV43/12,IF(AND((12*(YEAR(EV$3)-YEAR($B$33))+MONTH(EV$3)-MONTH($B$33))&gt;0,MOD((12*(YEAR(EV$3)-YEAR($B$33))+MONTH(EV$3)-MONTH($B$33)),'Вводные'!$B$78)=0,(12*(YEAR(EV$3)-YEAR($B$33))+MONTH(EV$3)-MONTH($B$33))&lt;='Вводные'!$B$77*12),EV36*EV43*'Вводные'!$B$78/12,0)),0)</x:f>
      </x:c>
      <x:c r="EW39" s="117" t="n">
        <x:f>IF(AND('Вводные'!$B$75&lt;&gt;"Единовременно",'Вводные'!$B$80="Да",EW36&gt;0),IF(AND('Вводные'!$B$84="Да",YEAR(EW$3)=YEAR($B$34),MONTH(EW$3)=MONTH($B$34)),EW36*EW43/12,IF(AND((12*(YEAR(EW$3)-YEAR($B$33))+MONTH(EW$3)-MONTH($B$33))&gt;0,MOD((12*(YEAR(EW$3)-YEAR($B$33))+MONTH(EW$3)-MONTH($B$33)),'Вводные'!$B$78)=0,(12*(YEAR(EW$3)-YEAR($B$33))+MONTH(EW$3)-MONTH($B$33))&lt;='Вводные'!$B$77*12),EW36*EW43*'Вводные'!$B$78/12,0)),0)</x:f>
      </x:c>
      <x:c r="EX39" s="117" t="n">
        <x:f>IF(AND('Вводные'!$B$75&lt;&gt;"Единовременно",'Вводные'!$B$80="Да",EX36&gt;0),IF(AND('Вводные'!$B$84="Да",YEAR(EX$3)=YEAR($B$34),MONTH(EX$3)=MONTH($B$34)),EX36*EX43/12,IF(AND((12*(YEAR(EX$3)-YEAR($B$33))+MONTH(EX$3)-MONTH($B$33))&gt;0,MOD((12*(YEAR(EX$3)-YEAR($B$33))+MONTH(EX$3)-MONTH($B$33)),'Вводные'!$B$78)=0,(12*(YEAR(EX$3)-YEAR($B$33))+MONTH(EX$3)-MONTH($B$33))&lt;='Вводные'!$B$77*12),EX36*EX43*'Вводные'!$B$78/12,0)),0)</x:f>
      </x:c>
      <x:c r="EY39" s="117" t="n">
        <x:f>IF(AND('Вводные'!$B$75&lt;&gt;"Единовременно",'Вводные'!$B$80="Да",EY36&gt;0),IF(AND('Вводные'!$B$84="Да",YEAR(EY$3)=YEAR($B$34),MONTH(EY$3)=MONTH($B$34)),EY36*EY43/12,IF(AND((12*(YEAR(EY$3)-YEAR($B$33))+MONTH(EY$3)-MONTH($B$33))&gt;0,MOD((12*(YEAR(EY$3)-YEAR($B$33))+MONTH(EY$3)-MONTH($B$33)),'Вводные'!$B$78)=0,(12*(YEAR(EY$3)-YEAR($B$33))+MONTH(EY$3)-MONTH($B$33))&lt;='Вводные'!$B$77*12),EY36*EY43*'Вводные'!$B$78/12,0)),0)</x:f>
      </x:c>
      <x:c r="EZ39" s="117" t="n">
        <x:f>IF(AND('Вводные'!$B$75&lt;&gt;"Единовременно",'Вводные'!$B$80="Да",EZ36&gt;0),IF(AND('Вводные'!$B$84="Да",YEAR(EZ$3)=YEAR($B$34),MONTH(EZ$3)=MONTH($B$34)),EZ36*EZ43/12,IF(AND((12*(YEAR(EZ$3)-YEAR($B$33))+MONTH(EZ$3)-MONTH($B$33))&gt;0,MOD((12*(YEAR(EZ$3)-YEAR($B$33))+MONTH(EZ$3)-MONTH($B$33)),'Вводные'!$B$78)=0,(12*(YEAR(EZ$3)-YEAR($B$33))+MONTH(EZ$3)-MONTH($B$33))&lt;='Вводные'!$B$77*12),EZ36*EZ43*'Вводные'!$B$78/12,0)),0)</x:f>
      </x:c>
      <x:c r="FA39" s="117" t="n">
        <x:f>IF(AND('Вводные'!$B$75&lt;&gt;"Единовременно",'Вводные'!$B$80="Да",FA36&gt;0),IF(AND('Вводные'!$B$84="Да",YEAR(FA$3)=YEAR($B$34),MONTH(FA$3)=MONTH($B$34)),FA36*FA43/12,IF(AND((12*(YEAR(FA$3)-YEAR($B$33))+MONTH(FA$3)-MONTH($B$33))&gt;0,MOD((12*(YEAR(FA$3)-YEAR($B$33))+MONTH(FA$3)-MONTH($B$33)),'Вводные'!$B$78)=0,(12*(YEAR(FA$3)-YEAR($B$33))+MONTH(FA$3)-MONTH($B$33))&lt;='Вводные'!$B$77*12),FA36*FA43*'Вводные'!$B$78/12,0)),0)</x:f>
      </x:c>
      <x:c r="FB39" s="117" t="n">
        <x:f>IF(AND('Вводные'!$B$75&lt;&gt;"Единовременно",'Вводные'!$B$80="Да",FB36&gt;0),IF(AND('Вводные'!$B$84="Да",YEAR(FB$3)=YEAR($B$34),MONTH(FB$3)=MONTH($B$34)),FB36*FB43/12,IF(AND((12*(YEAR(FB$3)-YEAR($B$33))+MONTH(FB$3)-MONTH($B$33))&gt;0,MOD((12*(YEAR(FB$3)-YEAR($B$33))+MONTH(FB$3)-MONTH($B$33)),'Вводные'!$B$78)=0,(12*(YEAR(FB$3)-YEAR($B$33))+MONTH(FB$3)-MONTH($B$33))&lt;='Вводные'!$B$77*12),FB36*FB43*'Вводные'!$B$78/12,0)),0)</x:f>
      </x:c>
      <x:c r="FC39" s="117" t="n">
        <x:f>IF(AND('Вводные'!$B$75&lt;&gt;"Единовременно",'Вводные'!$B$80="Да",FC36&gt;0),IF(AND('Вводные'!$B$84="Да",YEAR(FC$3)=YEAR($B$34),MONTH(FC$3)=MONTH($B$34)),FC36*FC43/12,IF(AND((12*(YEAR(FC$3)-YEAR($B$33))+MONTH(FC$3)-MONTH($B$33))&gt;0,MOD((12*(YEAR(FC$3)-YEAR($B$33))+MONTH(FC$3)-MONTH($B$33)),'Вводные'!$B$78)=0,(12*(YEAR(FC$3)-YEAR($B$33))+MONTH(FC$3)-MONTH($B$33))&lt;='Вводные'!$B$77*12),FC36*FC43*'Вводные'!$B$78/12,0)),0)</x:f>
      </x:c>
      <x:c r="FD39" s="117" t="n">
        <x:f>IF(AND('Вводные'!$B$75&lt;&gt;"Единовременно",'Вводные'!$B$80="Да",FD36&gt;0),IF(AND('Вводные'!$B$84="Да",YEAR(FD$3)=YEAR($B$34),MONTH(FD$3)=MONTH($B$34)),FD36*FD43/12,IF(AND((12*(YEAR(FD$3)-YEAR($B$33))+MONTH(FD$3)-MONTH($B$33))&gt;0,MOD((12*(YEAR(FD$3)-YEAR($B$33))+MONTH(FD$3)-MONTH($B$33)),'Вводные'!$B$78)=0,(12*(YEAR(FD$3)-YEAR($B$33))+MONTH(FD$3)-MONTH($B$33))&lt;='Вводные'!$B$77*12),FD36*FD43*'Вводные'!$B$78/12,0)),0)</x:f>
      </x:c>
      <x:c r="FE39" s="117" t="n">
        <x:f>IF(AND('Вводные'!$B$75&lt;&gt;"Единовременно",'Вводные'!$B$80="Да",FE36&gt;0),IF(AND('Вводные'!$B$84="Да",YEAR(FE$3)=YEAR($B$34),MONTH(FE$3)=MONTH($B$34)),FE36*FE43/12,IF(AND((12*(YEAR(FE$3)-YEAR($B$33))+MONTH(FE$3)-MONTH($B$33))&gt;0,MOD((12*(YEAR(FE$3)-YEAR($B$33))+MONTH(FE$3)-MONTH($B$33)),'Вводные'!$B$78)=0,(12*(YEAR(FE$3)-YEAR($B$33))+MONTH(FE$3)-MONTH($B$33))&lt;='Вводные'!$B$77*12),FE36*FE43*'Вводные'!$B$78/12,0)),0)</x:f>
      </x:c>
      <x:c r="FF39" s="117" t="n">
        <x:f>IF(AND('Вводные'!$B$75&lt;&gt;"Единовременно",'Вводные'!$B$80="Да",FF36&gt;0),IF(AND('Вводные'!$B$84="Да",YEAR(FF$3)=YEAR($B$34),MONTH(FF$3)=MONTH($B$34)),FF36*FF43/12,IF(AND((12*(YEAR(FF$3)-YEAR($B$33))+MONTH(FF$3)-MONTH($B$33))&gt;0,MOD((12*(YEAR(FF$3)-YEAR($B$33))+MONTH(FF$3)-MONTH($B$33)),'Вводные'!$B$78)=0,(12*(YEAR(FF$3)-YEAR($B$33))+MONTH(FF$3)-MONTH($B$33))&lt;='Вводные'!$B$77*12),FF36*FF43*'Вводные'!$B$78/12,0)),0)</x:f>
      </x:c>
      <x:c r="FG39" s="117" t="n">
        <x:f>IF(AND('Вводные'!$B$75&lt;&gt;"Единовременно",'Вводные'!$B$80="Да",FG36&gt;0),IF(AND('Вводные'!$B$84="Да",YEAR(FG$3)=YEAR($B$34),MONTH(FG$3)=MONTH($B$34)),FG36*FG43/12,IF(AND((12*(YEAR(FG$3)-YEAR($B$33))+MONTH(FG$3)-MONTH($B$33))&gt;0,MOD((12*(YEAR(FG$3)-YEAR($B$33))+MONTH(FG$3)-MONTH($B$33)),'Вводные'!$B$78)=0,(12*(YEAR(FG$3)-YEAR($B$33))+MONTH(FG$3)-MONTH($B$33))&lt;='Вводные'!$B$77*12),FG36*FG43*'Вводные'!$B$78/12,0)),0)</x:f>
      </x:c>
      <x:c r="FH39" s="117" t="n">
        <x:f>IF(AND('Вводные'!$B$75&lt;&gt;"Единовременно",'Вводные'!$B$80="Да",FH36&gt;0),IF(AND('Вводные'!$B$84="Да",YEAR(FH$3)=YEAR($B$34),MONTH(FH$3)=MONTH($B$34)),FH36*FH43/12,IF(AND((12*(YEAR(FH$3)-YEAR($B$33))+MONTH(FH$3)-MONTH($B$33))&gt;0,MOD((12*(YEAR(FH$3)-YEAR($B$33))+MONTH(FH$3)-MONTH($B$33)),'Вводные'!$B$78)=0,(12*(YEAR(FH$3)-YEAR($B$33))+MONTH(FH$3)-MONTH($B$33))&lt;='Вводные'!$B$77*12),FH36*FH43*'Вводные'!$B$78/12,0)),0)</x:f>
      </x:c>
      <x:c r="FI39" s="117" t="n">
        <x:f>IF(AND('Вводные'!$B$75&lt;&gt;"Единовременно",'Вводные'!$B$80="Да",FI36&gt;0),IF(AND('Вводные'!$B$84="Да",YEAR(FI$3)=YEAR($B$34),MONTH(FI$3)=MONTH($B$34)),FI36*FI43/12,IF(AND((12*(YEAR(FI$3)-YEAR($B$33))+MONTH(FI$3)-MONTH($B$33))&gt;0,MOD((12*(YEAR(FI$3)-YEAR($B$33))+MONTH(FI$3)-MONTH($B$33)),'Вводные'!$B$78)=0,(12*(YEAR(FI$3)-YEAR($B$33))+MONTH(FI$3)-MONTH($B$33))&lt;='Вводные'!$B$77*12),FI36*FI43*'Вводные'!$B$78/12,0)),0)</x:f>
      </x:c>
      <x:c r="FJ39" s="117" t="n">
        <x:f>IF(AND('Вводные'!$B$75&lt;&gt;"Единовременно",'Вводные'!$B$80="Да",FJ36&gt;0),IF(AND('Вводные'!$B$84="Да",YEAR(FJ$3)=YEAR($B$34),MONTH(FJ$3)=MONTH($B$34)),FJ36*FJ43/12,IF(AND((12*(YEAR(FJ$3)-YEAR($B$33))+MONTH(FJ$3)-MONTH($B$33))&gt;0,MOD((12*(YEAR(FJ$3)-YEAR($B$33))+MONTH(FJ$3)-MONTH($B$33)),'Вводные'!$B$78)=0,(12*(YEAR(FJ$3)-YEAR($B$33))+MONTH(FJ$3)-MONTH($B$33))&lt;='Вводные'!$B$77*12),FJ36*FJ43*'Вводные'!$B$78/12,0)),0)</x:f>
      </x:c>
      <x:c r="FK39" s="117" t="n">
        <x:f>IF(AND('Вводные'!$B$75&lt;&gt;"Единовременно",'Вводные'!$B$80="Да",FK36&gt;0),IF(AND('Вводные'!$B$84="Да",YEAR(FK$3)=YEAR($B$34),MONTH(FK$3)=MONTH($B$34)),FK36*FK43/12,IF(AND((12*(YEAR(FK$3)-YEAR($B$33))+MONTH(FK$3)-MONTH($B$33))&gt;0,MOD((12*(YEAR(FK$3)-YEAR($B$33))+MONTH(FK$3)-MONTH($B$33)),'Вводные'!$B$78)=0,(12*(YEAR(FK$3)-YEAR($B$33))+MONTH(FK$3)-MONTH($B$33))&lt;='Вводные'!$B$77*12),FK36*FK43*'Вводные'!$B$78/12,0)),0)</x:f>
      </x:c>
      <x:c r="FL39" s="117" t="n">
        <x:f>IF(AND('Вводные'!$B$75&lt;&gt;"Единовременно",'Вводные'!$B$80="Да",FL36&gt;0),IF(AND('Вводные'!$B$84="Да",YEAR(FL$3)=YEAR($B$34),MONTH(FL$3)=MONTH($B$34)),FL36*FL43/12,IF(AND((12*(YEAR(FL$3)-YEAR($B$33))+MONTH(FL$3)-MONTH($B$33))&gt;0,MOD((12*(YEAR(FL$3)-YEAR($B$33))+MONTH(FL$3)-MONTH($B$33)),'Вводные'!$B$78)=0,(12*(YEAR(FL$3)-YEAR($B$33))+MONTH(FL$3)-MONTH($B$33))&lt;='Вводные'!$B$77*12),FL36*FL43*'Вводные'!$B$78/12,0)),0)</x:f>
      </x:c>
      <x:c r="FM39" s="117" t="n">
        <x:f>IF(AND('Вводные'!$B$75&lt;&gt;"Единовременно",'Вводные'!$B$80="Да",FM36&gt;0),IF(AND('Вводные'!$B$84="Да",YEAR(FM$3)=YEAR($B$34),MONTH(FM$3)=MONTH($B$34)),FM36*FM43/12,IF(AND((12*(YEAR(FM$3)-YEAR($B$33))+MONTH(FM$3)-MONTH($B$33))&gt;0,MOD((12*(YEAR(FM$3)-YEAR($B$33))+MONTH(FM$3)-MONTH($B$33)),'Вводные'!$B$78)=0,(12*(YEAR(FM$3)-YEAR($B$33))+MONTH(FM$3)-MONTH($B$33))&lt;='Вводные'!$B$77*12),FM36*FM43*'Вводные'!$B$78/12,0)),0)</x:f>
      </x:c>
      <x:c r="FN39" s="117" t="n">
        <x:f>IF(AND('Вводные'!$B$75&lt;&gt;"Единовременно",'Вводные'!$B$80="Да",FN36&gt;0),IF(AND('Вводные'!$B$84="Да",YEAR(FN$3)=YEAR($B$34),MONTH(FN$3)=MONTH($B$34)),FN36*FN43/12,IF(AND((12*(YEAR(FN$3)-YEAR($B$33))+MONTH(FN$3)-MONTH($B$33))&gt;0,MOD((12*(YEAR(FN$3)-YEAR($B$33))+MONTH(FN$3)-MONTH($B$33)),'Вводные'!$B$78)=0,(12*(YEAR(FN$3)-YEAR($B$33))+MONTH(FN$3)-MONTH($B$33))&lt;='Вводные'!$B$77*12),FN36*FN43*'Вводные'!$B$78/12,0)),0)</x:f>
      </x:c>
      <x:c r="FO39" s="117" t="n">
        <x:f>IF(AND('Вводные'!$B$75&lt;&gt;"Единовременно",'Вводные'!$B$80="Да",FO36&gt;0),IF(AND('Вводные'!$B$84="Да",YEAR(FO$3)=YEAR($B$34),MONTH(FO$3)=MONTH($B$34)),FO36*FO43/12,IF(AND((12*(YEAR(FO$3)-YEAR($B$33))+MONTH(FO$3)-MONTH($B$33))&gt;0,MOD((12*(YEAR(FO$3)-YEAR($B$33))+MONTH(FO$3)-MONTH($B$33)),'Вводные'!$B$78)=0,(12*(YEAR(FO$3)-YEAR($B$33))+MONTH(FO$3)-MONTH($B$33))&lt;='Вводные'!$B$77*12),FO36*FO43*'Вводные'!$B$78/12,0)),0)</x:f>
      </x:c>
      <x:c r="FP39" s="117" t="n">
        <x:f>IF(AND('Вводные'!$B$75&lt;&gt;"Единовременно",'Вводные'!$B$80="Да",FP36&gt;0),IF(AND('Вводные'!$B$84="Да",YEAR(FP$3)=YEAR($B$34),MONTH(FP$3)=MONTH($B$34)),FP36*FP43/12,IF(AND((12*(YEAR(FP$3)-YEAR($B$33))+MONTH(FP$3)-MONTH($B$33))&gt;0,MOD((12*(YEAR(FP$3)-YEAR($B$33))+MONTH(FP$3)-MONTH($B$33)),'Вводные'!$B$78)=0,(12*(YEAR(FP$3)-YEAR($B$33))+MONTH(FP$3)-MONTH($B$33))&lt;='Вводные'!$B$77*12),FP36*FP43*'Вводные'!$B$78/12,0)),0)</x:f>
      </x:c>
      <x:c r="FQ39" s="117" t="n">
        <x:f>IF(AND('Вводные'!$B$75&lt;&gt;"Единовременно",'Вводные'!$B$80="Да",FQ36&gt;0),IF(AND('Вводные'!$B$84="Да",YEAR(FQ$3)=YEAR($B$34),MONTH(FQ$3)=MONTH($B$34)),FQ36*FQ43/12,IF(AND((12*(YEAR(FQ$3)-YEAR($B$33))+MONTH(FQ$3)-MONTH($B$33))&gt;0,MOD((12*(YEAR(FQ$3)-YEAR($B$33))+MONTH(FQ$3)-MONTH($B$33)),'Вводные'!$B$78)=0,(12*(YEAR(FQ$3)-YEAR($B$33))+MONTH(FQ$3)-MONTH($B$33))&lt;='Вводные'!$B$77*12),FQ36*FQ43*'Вводные'!$B$78/12,0)),0)</x:f>
      </x:c>
      <x:c r="FR39" s="117" t="n">
        <x:f>IF(AND('Вводные'!$B$75&lt;&gt;"Единовременно",'Вводные'!$B$80="Да",FR36&gt;0),IF(AND('Вводные'!$B$84="Да",YEAR(FR$3)=YEAR($B$34),MONTH(FR$3)=MONTH($B$34)),FR36*FR43/12,IF(AND((12*(YEAR(FR$3)-YEAR($B$33))+MONTH(FR$3)-MONTH($B$33))&gt;0,MOD((12*(YEAR(FR$3)-YEAR($B$33))+MONTH(FR$3)-MONTH($B$33)),'Вводные'!$B$78)=0,(12*(YEAR(FR$3)-YEAR($B$33))+MONTH(FR$3)-MONTH($B$33))&lt;='Вводные'!$B$77*12),FR36*FR43*'Вводные'!$B$78/12,0)),0)</x:f>
      </x:c>
      <x:c r="FS39" s="117" t="n">
        <x:f>IF(AND('Вводные'!$B$75&lt;&gt;"Единовременно",'Вводные'!$B$80="Да",FS36&gt;0),IF(AND('Вводные'!$B$84="Да",YEAR(FS$3)=YEAR($B$34),MONTH(FS$3)=MONTH($B$34)),FS36*FS43/12,IF(AND((12*(YEAR(FS$3)-YEAR($B$33))+MONTH(FS$3)-MONTH($B$33))&gt;0,MOD((12*(YEAR(FS$3)-YEAR($B$33))+MONTH(FS$3)-MONTH($B$33)),'Вводные'!$B$78)=0,(12*(YEAR(FS$3)-YEAR($B$33))+MONTH(FS$3)-MONTH($B$33))&lt;='Вводные'!$B$77*12),FS36*FS43*'Вводные'!$B$78/12,0)),0)</x:f>
      </x:c>
      <x:c r="FT39" s="117" t="n">
        <x:f>IF(AND('Вводные'!$B$75&lt;&gt;"Единовременно",'Вводные'!$B$80="Да",FT36&gt;0),IF(AND('Вводные'!$B$84="Да",YEAR(FT$3)=YEAR($B$34),MONTH(FT$3)=MONTH($B$34)),FT36*FT43/12,IF(AND((12*(YEAR(FT$3)-YEAR($B$33))+MONTH(FT$3)-MONTH($B$33))&gt;0,MOD((12*(YEAR(FT$3)-YEAR($B$33))+MONTH(FT$3)-MONTH($B$33)),'Вводные'!$B$78)=0,(12*(YEAR(FT$3)-YEAR($B$33))+MONTH(FT$3)-MONTH($B$33))&lt;='Вводные'!$B$77*12),FT36*FT43*'Вводные'!$B$78/12,0)),0)</x:f>
      </x:c>
      <x:c r="FU39" s="117" t="n">
        <x:f>IF(AND('Вводные'!$B$75&lt;&gt;"Единовременно",'Вводные'!$B$80="Да",FU36&gt;0),IF(AND('Вводные'!$B$84="Да",YEAR(FU$3)=YEAR($B$34),MONTH(FU$3)=MONTH($B$34)),FU36*FU43/12,IF(AND((12*(YEAR(FU$3)-YEAR($B$33))+MONTH(FU$3)-MONTH($B$33))&gt;0,MOD((12*(YEAR(FU$3)-YEAR($B$33))+MONTH(FU$3)-MONTH($B$33)),'Вводные'!$B$78)=0,(12*(YEAR(FU$3)-YEAR($B$33))+MONTH(FU$3)-MONTH($B$33))&lt;='Вводные'!$B$77*12),FU36*FU43*'Вводные'!$B$78/12,0)),0)</x:f>
      </x:c>
      <x:c r="FV39" s="117" t="n">
        <x:f>IF(AND('Вводные'!$B$75&lt;&gt;"Единовременно",'Вводные'!$B$80="Да",FV36&gt;0),IF(AND('Вводные'!$B$84="Да",YEAR(FV$3)=YEAR($B$34),MONTH(FV$3)=MONTH($B$34)),FV36*FV43/12,IF(AND((12*(YEAR(FV$3)-YEAR($B$33))+MONTH(FV$3)-MONTH($B$33))&gt;0,MOD((12*(YEAR(FV$3)-YEAR($B$33))+MONTH(FV$3)-MONTH($B$33)),'Вводные'!$B$78)=0,(12*(YEAR(FV$3)-YEAR($B$33))+MONTH(FV$3)-MONTH($B$33))&lt;='Вводные'!$B$77*12),FV36*FV43*'Вводные'!$B$78/12,0)),0)</x:f>
      </x:c>
      <x:c r="FW39" s="117" t="n">
        <x:f>IF(AND('Вводные'!$B$75&lt;&gt;"Единовременно",'Вводные'!$B$80="Да",FW36&gt;0),IF(AND('Вводные'!$B$84="Да",YEAR(FW$3)=YEAR($B$34),MONTH(FW$3)=MONTH($B$34)),FW36*FW43/12,IF(AND((12*(YEAR(FW$3)-YEAR($B$33))+MONTH(FW$3)-MONTH($B$33))&gt;0,MOD((12*(YEAR(FW$3)-YEAR($B$33))+MONTH(FW$3)-MONTH($B$33)),'Вводные'!$B$78)=0,(12*(YEAR(FW$3)-YEAR($B$33))+MONTH(FW$3)-MONTH($B$33))&lt;='Вводные'!$B$77*12),FW36*FW43*'Вводные'!$B$78/12,0)),0)</x:f>
      </x:c>
      <x:c r="FX39" s="117" t="n">
        <x:f>IF(AND('Вводные'!$B$75&lt;&gt;"Единовременно",'Вводные'!$B$80="Да",FX36&gt;0),IF(AND('Вводные'!$B$84="Да",YEAR(FX$3)=YEAR($B$34),MONTH(FX$3)=MONTH($B$34)),FX36*FX43/12,IF(AND((12*(YEAR(FX$3)-YEAR($B$33))+MONTH(FX$3)-MONTH($B$33))&gt;0,MOD((12*(YEAR(FX$3)-YEAR($B$33))+MONTH(FX$3)-MONTH($B$33)),'Вводные'!$B$78)=0,(12*(YEAR(FX$3)-YEAR($B$33))+MONTH(FX$3)-MONTH($B$33))&lt;='Вводные'!$B$77*12),FX36*FX43*'Вводные'!$B$78/12,0)),0)</x:f>
      </x:c>
      <x:c r="FY39" s="117" t="n">
        <x:f>IF(AND('Вводные'!$B$75&lt;&gt;"Единовременно",'Вводные'!$B$80="Да",FY36&gt;0),IF(AND('Вводные'!$B$84="Да",YEAR(FY$3)=YEAR($B$34),MONTH(FY$3)=MONTH($B$34)),FY36*FY43/12,IF(AND((12*(YEAR(FY$3)-YEAR($B$33))+MONTH(FY$3)-MONTH($B$33))&gt;0,MOD((12*(YEAR(FY$3)-YEAR($B$33))+MONTH(FY$3)-MONTH($B$33)),'Вводные'!$B$78)=0,(12*(YEAR(FY$3)-YEAR($B$33))+MONTH(FY$3)-MONTH($B$33))&lt;='Вводные'!$B$77*12),FY36*FY43*'Вводные'!$B$78/12,0)),0)</x:f>
      </x:c>
      <x:c r="FZ39" s="117" t="n">
        <x:f>IF(AND('Вводные'!$B$75&lt;&gt;"Единовременно",'Вводные'!$B$80="Да",FZ36&gt;0),IF(AND('Вводные'!$B$84="Да",YEAR(FZ$3)=YEAR($B$34),MONTH(FZ$3)=MONTH($B$34)),FZ36*FZ43/12,IF(AND((12*(YEAR(FZ$3)-YEAR($B$33))+MONTH(FZ$3)-MONTH($B$33))&gt;0,MOD((12*(YEAR(FZ$3)-YEAR($B$33))+MONTH(FZ$3)-MONTH($B$33)),'Вводные'!$B$78)=0,(12*(YEAR(FZ$3)-YEAR($B$33))+MONTH(FZ$3)-MONTH($B$33))&lt;='Вводные'!$B$77*12),FZ36*FZ43*'Вводные'!$B$78/12,0)),0)</x:f>
      </x:c>
      <x:c r="GA39" s="117" t="n">
        <x:f>IF(AND('Вводные'!$B$75&lt;&gt;"Единовременно",'Вводные'!$B$80="Да",GA36&gt;0),IF(AND('Вводные'!$B$84="Да",YEAR(GA$3)=YEAR($B$34),MONTH(GA$3)=MONTH($B$34)),GA36*GA43/12,IF(AND((12*(YEAR(GA$3)-YEAR($B$33))+MONTH(GA$3)-MONTH($B$33))&gt;0,MOD((12*(YEAR(GA$3)-YEAR($B$33))+MONTH(GA$3)-MONTH($B$33)),'Вводные'!$B$78)=0,(12*(YEAR(GA$3)-YEAR($B$33))+MONTH(GA$3)-MONTH($B$33))&lt;='Вводные'!$B$77*12),GA36*GA43*'Вводные'!$B$78/12,0)),0)</x:f>
      </x:c>
    </x:row>
    <x:row r="40">
      <x:c r="A40" t="str">
        <x:v>Расходы на обеспечение</x:v>
      </x:c>
      <x:c r="B40" s="107" t="n">
        <x:f>SUM(D40:GA40)</x:f>
      </x:c>
      <x:c r="C40" t="str">
        <x:v>млн ₽</x:v>
      </x:c>
      <x:c r="D40" s="117" t="n">
        <x:f>IF(D37&gt;0,'Вводные'!$B$83*'Вводные'!$Q$90,0)</x:f>
      </x:c>
      <x:c r="E40" s="117" t="n">
        <x:f>IF(E37&gt;0,'Вводные'!$B$83*'Вводные'!$Q$90,0)</x:f>
      </x:c>
      <x:c r="F40" s="117" t="n">
        <x:f>IF(F37&gt;0,'Вводные'!$B$83*'Вводные'!$Q$90,0)</x:f>
      </x:c>
      <x:c r="G40" s="117" t="n">
        <x:f>IF(G37&gt;0,'Вводные'!$B$83*'Вводные'!$Q$90,0)</x:f>
      </x:c>
      <x:c r="H40" s="117" t="n">
        <x:f>IF(H37&gt;0,'Вводные'!$B$83*'Вводные'!$Q$90,0)</x:f>
      </x:c>
      <x:c r="I40" s="117" t="n">
        <x:f>IF(I37&gt;0,'Вводные'!$B$83*'Вводные'!$Q$90,0)</x:f>
      </x:c>
      <x:c r="J40" s="117" t="n">
        <x:f>IF(J37&gt;0,'Вводные'!$B$83*'Вводные'!$Q$90,0)</x:f>
      </x:c>
      <x:c r="K40" s="117" t="n">
        <x:f>IF(K37&gt;0,'Вводные'!$B$83*'Вводные'!$Q$90,0)</x:f>
      </x:c>
      <x:c r="L40" s="117" t="n">
        <x:f>IF(L37&gt;0,'Вводные'!$B$83*'Вводные'!$Q$90,0)</x:f>
      </x:c>
      <x:c r="M40" s="117" t="n">
        <x:f>IF(M37&gt;0,'Вводные'!$B$83*'Вводные'!$Q$90,0)</x:f>
      </x:c>
      <x:c r="N40" s="117" t="n">
        <x:f>IF(N37&gt;0,'Вводные'!$B$83*'Вводные'!$Q$90,0)</x:f>
      </x:c>
      <x:c r="O40" s="117" t="n">
        <x:f>IF(O37&gt;0,'Вводные'!$B$83*'Вводные'!$Q$90,0)</x:f>
      </x:c>
      <x:c r="P40" s="117" t="n">
        <x:f>IF(P37&gt;0,'Вводные'!$B$83*'Вводные'!$Q$90,0)</x:f>
      </x:c>
      <x:c r="Q40" s="117" t="n">
        <x:f>IF(Q37&gt;0,'Вводные'!$B$83*'Вводные'!$Q$90,0)</x:f>
      </x:c>
      <x:c r="R40" s="117" t="n">
        <x:f>IF(R37&gt;0,'Вводные'!$B$83*'Вводные'!$Q$90,0)</x:f>
      </x:c>
      <x:c r="S40" s="117" t="n">
        <x:f>IF(S37&gt;0,'Вводные'!$B$83*'Вводные'!$Q$90,0)</x:f>
      </x:c>
      <x:c r="T40" s="117" t="n">
        <x:f>IF(T37&gt;0,'Вводные'!$B$83*'Вводные'!$Q$90,0)</x:f>
      </x:c>
      <x:c r="U40" s="117" t="n">
        <x:f>IF(U37&gt;0,'Вводные'!$B$83*'Вводные'!$Q$90,0)</x:f>
      </x:c>
      <x:c r="V40" s="117" t="n">
        <x:f>IF(V37&gt;0,'Вводные'!$B$83*'Вводные'!$Q$90,0)</x:f>
      </x:c>
      <x:c r="W40" s="117" t="n">
        <x:f>IF(W37&gt;0,'Вводные'!$B$83*'Вводные'!$Q$90,0)</x:f>
      </x:c>
      <x:c r="X40" s="117" t="n">
        <x:f>IF(X37&gt;0,'Вводные'!$B$83*'Вводные'!$Q$90,0)</x:f>
      </x:c>
      <x:c r="Y40" s="117" t="n">
        <x:f>IF(Y37&gt;0,'Вводные'!$B$83*'Вводные'!$Q$90,0)</x:f>
      </x:c>
      <x:c r="Z40" s="117" t="n">
        <x:f>IF(Z37&gt;0,'Вводные'!$B$83*'Вводные'!$Q$90,0)</x:f>
      </x:c>
      <x:c r="AA40" s="117" t="n">
        <x:f>IF(AA37&gt;0,'Вводные'!$B$83*'Вводные'!$Q$90,0)</x:f>
      </x:c>
      <x:c r="AB40" s="117" t="n">
        <x:f>IF(AB37&gt;0,'Вводные'!$B$83*'Вводные'!$Q$90,0)</x:f>
      </x:c>
      <x:c r="AC40" s="117" t="n">
        <x:f>IF(AC37&gt;0,'Вводные'!$B$83*'Вводные'!$Q$90,0)</x:f>
      </x:c>
      <x:c r="AD40" s="117" t="n">
        <x:f>IF(AD37&gt;0,'Вводные'!$B$83*'Вводные'!$Q$90,0)</x:f>
      </x:c>
      <x:c r="AE40" s="117" t="n">
        <x:f>IF(AE37&gt;0,'Вводные'!$B$83*'Вводные'!$Q$90,0)</x:f>
      </x:c>
      <x:c r="AF40" s="117" t="n">
        <x:f>IF(AF37&gt;0,'Вводные'!$B$83*'Вводные'!$Q$90,0)</x:f>
      </x:c>
      <x:c r="AG40" s="117" t="n">
        <x:f>IF(AG37&gt;0,'Вводные'!$B$83*'Вводные'!$Q$90,0)</x:f>
      </x:c>
      <x:c r="AH40" s="117" t="n">
        <x:f>IF(AH37&gt;0,'Вводные'!$B$83*'Вводные'!$Q$90,0)</x:f>
      </x:c>
      <x:c r="AI40" s="117" t="n">
        <x:f>IF(AI37&gt;0,'Вводные'!$B$83*'Вводные'!$Q$90,0)</x:f>
      </x:c>
      <x:c r="AJ40" s="117" t="n">
        <x:f>IF(AJ37&gt;0,'Вводные'!$B$83*'Вводные'!$Q$90,0)</x:f>
      </x:c>
      <x:c r="AK40" s="117" t="n">
        <x:f>IF(AK37&gt;0,'Вводные'!$B$83*'Вводные'!$Q$90,0)</x:f>
      </x:c>
      <x:c r="AL40" s="117" t="n">
        <x:f>IF(AL37&gt;0,'Вводные'!$B$83*'Вводные'!$Q$90,0)</x:f>
      </x:c>
      <x:c r="AM40" s="117" t="n">
        <x:f>IF(AM37&gt;0,'Вводные'!$B$83*'Вводные'!$Q$90,0)</x:f>
      </x:c>
      <x:c r="AN40" s="117" t="n">
        <x:f>IF(AN37&gt;0,'Вводные'!$B$83*'Вводные'!$Q$90,0)</x:f>
      </x:c>
      <x:c r="AO40" s="117" t="n">
        <x:f>IF(AO37&gt;0,'Вводные'!$B$83*'Вводные'!$Q$90,0)</x:f>
      </x:c>
      <x:c r="AP40" s="117" t="n">
        <x:f>IF(AP37&gt;0,'Вводные'!$B$83*'Вводные'!$Q$90,0)</x:f>
      </x:c>
      <x:c r="AQ40" s="117" t="n">
        <x:f>IF(AQ37&gt;0,'Вводные'!$B$83*'Вводные'!$Q$90,0)</x:f>
      </x:c>
      <x:c r="AR40" s="117" t="n">
        <x:f>IF(AR37&gt;0,'Вводные'!$B$83*'Вводные'!$Q$90,0)</x:f>
      </x:c>
      <x:c r="AS40" s="117" t="n">
        <x:f>IF(AS37&gt;0,'Вводные'!$B$83*'Вводные'!$Q$90,0)</x:f>
      </x:c>
      <x:c r="AT40" s="117" t="n">
        <x:f>IF(AT37&gt;0,'Вводные'!$B$83*'Вводные'!$Q$90,0)</x:f>
      </x:c>
      <x:c r="AU40" s="117" t="n">
        <x:f>IF(AU37&gt;0,'Вводные'!$B$83*'Вводные'!$Q$90,0)</x:f>
      </x:c>
      <x:c r="AV40" s="117" t="n">
        <x:f>IF(AV37&gt;0,'Вводные'!$B$83*'Вводные'!$Q$90,0)</x:f>
      </x:c>
      <x:c r="AW40" s="117" t="n">
        <x:f>IF(AW37&gt;0,'Вводные'!$B$83*'Вводные'!$Q$90,0)</x:f>
      </x:c>
      <x:c r="AX40" s="117" t="n">
        <x:f>IF(AX37&gt;0,'Вводные'!$B$83*'Вводные'!$Q$90,0)</x:f>
      </x:c>
      <x:c r="AY40" s="117" t="n">
        <x:f>IF(AY37&gt;0,'Вводные'!$B$83*'Вводные'!$Q$90,0)</x:f>
      </x:c>
      <x:c r="AZ40" s="117" t="n">
        <x:f>IF(AZ37&gt;0,'Вводные'!$B$83*'Вводные'!$Q$90,0)</x:f>
      </x:c>
      <x:c r="BA40" s="117" t="n">
        <x:f>IF(BA37&gt;0,'Вводные'!$B$83*'Вводные'!$Q$90,0)</x:f>
      </x:c>
      <x:c r="BB40" s="117" t="n">
        <x:f>IF(BB37&gt;0,'Вводные'!$B$83*'Вводные'!$Q$90,0)</x:f>
      </x:c>
      <x:c r="BC40" s="117" t="n">
        <x:f>IF(BC37&gt;0,'Вводные'!$B$83*'Вводные'!$Q$90,0)</x:f>
      </x:c>
      <x:c r="BD40" s="117" t="n">
        <x:f>IF(BD37&gt;0,'Вводные'!$B$83*'Вводные'!$Q$90,0)</x:f>
      </x:c>
      <x:c r="BE40" s="117" t="n">
        <x:f>IF(BE37&gt;0,'Вводные'!$B$83*'Вводные'!$Q$90,0)</x:f>
      </x:c>
      <x:c r="BF40" s="117" t="n">
        <x:f>IF(BF37&gt;0,'Вводные'!$B$83*'Вводные'!$Q$90,0)</x:f>
      </x:c>
      <x:c r="BG40" s="117" t="n">
        <x:f>IF(BG37&gt;0,'Вводные'!$B$83*'Вводные'!$Q$90,0)</x:f>
      </x:c>
      <x:c r="BH40" s="117" t="n">
        <x:f>IF(BH37&gt;0,'Вводные'!$B$83*'Вводные'!$Q$90,0)</x:f>
      </x:c>
      <x:c r="BI40" s="117" t="n">
        <x:f>IF(BI37&gt;0,'Вводные'!$B$83*'Вводные'!$Q$90,0)</x:f>
      </x:c>
      <x:c r="BJ40" s="117" t="n">
        <x:f>IF(BJ37&gt;0,'Вводные'!$B$83*'Вводные'!$Q$90,0)</x:f>
      </x:c>
      <x:c r="BK40" s="117" t="n">
        <x:f>IF(BK37&gt;0,'Вводные'!$B$83*'Вводные'!$Q$90,0)</x:f>
      </x:c>
      <x:c r="BL40" s="117" t="n">
        <x:f>IF(BL37&gt;0,'Вводные'!$B$83*'Вводные'!$Q$90,0)</x:f>
      </x:c>
      <x:c r="BM40" s="117" t="n">
        <x:f>IF(BM37&gt;0,'Вводные'!$B$83*'Вводные'!$Q$90,0)</x:f>
      </x:c>
      <x:c r="BN40" s="117" t="n">
        <x:f>IF(BN37&gt;0,'Вводные'!$B$83*'Вводные'!$Q$90,0)</x:f>
      </x:c>
      <x:c r="BO40" s="117" t="n">
        <x:f>IF(BO37&gt;0,'Вводные'!$B$83*'Вводные'!$Q$90,0)</x:f>
      </x:c>
      <x:c r="BP40" s="117" t="n">
        <x:f>IF(BP37&gt;0,'Вводные'!$B$83*'Вводные'!$Q$90,0)</x:f>
      </x:c>
      <x:c r="BQ40" s="117" t="n">
        <x:f>IF(BQ37&gt;0,'Вводные'!$B$83*'Вводные'!$Q$90,0)</x:f>
      </x:c>
      <x:c r="BR40" s="117" t="n">
        <x:f>IF(BR37&gt;0,'Вводные'!$B$83*'Вводные'!$Q$90,0)</x:f>
      </x:c>
      <x:c r="BS40" s="117" t="n">
        <x:f>IF(BS37&gt;0,'Вводные'!$B$83*'Вводные'!$Q$90,0)</x:f>
      </x:c>
      <x:c r="BT40" s="117" t="n">
        <x:f>IF(BT37&gt;0,'Вводные'!$B$83*'Вводные'!$Q$90,0)</x:f>
      </x:c>
      <x:c r="BU40" s="117" t="n">
        <x:f>IF(BU37&gt;0,'Вводные'!$B$83*'Вводные'!$Q$90,0)</x:f>
      </x:c>
      <x:c r="BV40" s="117" t="n">
        <x:f>IF(BV37&gt;0,'Вводные'!$B$83*'Вводные'!$Q$90,0)</x:f>
      </x:c>
      <x:c r="BW40" s="117" t="n">
        <x:f>IF(BW37&gt;0,'Вводные'!$B$83*'Вводные'!$Q$90,0)</x:f>
      </x:c>
      <x:c r="BX40" s="117" t="n">
        <x:f>IF(BX37&gt;0,'Вводные'!$B$83*'Вводные'!$Q$90,0)</x:f>
      </x:c>
      <x:c r="BY40" s="117" t="n">
        <x:f>IF(BY37&gt;0,'Вводные'!$B$83*'Вводные'!$Q$90,0)</x:f>
      </x:c>
      <x:c r="BZ40" s="117" t="n">
        <x:f>IF(BZ37&gt;0,'Вводные'!$B$83*'Вводные'!$Q$90,0)</x:f>
      </x:c>
      <x:c r="CA40" s="117" t="n">
        <x:f>IF(CA37&gt;0,'Вводные'!$B$83*'Вводные'!$Q$90,0)</x:f>
      </x:c>
      <x:c r="CB40" s="117" t="n">
        <x:f>IF(CB37&gt;0,'Вводные'!$B$83*'Вводные'!$Q$90,0)</x:f>
      </x:c>
      <x:c r="CC40" s="117" t="n">
        <x:f>IF(CC37&gt;0,'Вводные'!$B$83*'Вводные'!$Q$90,0)</x:f>
      </x:c>
      <x:c r="CD40" s="117" t="n">
        <x:f>IF(CD37&gt;0,'Вводные'!$B$83*'Вводные'!$Q$90,0)</x:f>
      </x:c>
      <x:c r="CE40" s="117" t="n">
        <x:f>IF(CE37&gt;0,'Вводные'!$B$83*'Вводные'!$Q$90,0)</x:f>
      </x:c>
      <x:c r="CF40" s="117" t="n">
        <x:f>IF(CF37&gt;0,'Вводные'!$B$83*'Вводные'!$Q$90,0)</x:f>
      </x:c>
      <x:c r="CG40" s="117" t="n">
        <x:f>IF(CG37&gt;0,'Вводные'!$B$83*'Вводные'!$Q$90,0)</x:f>
      </x:c>
      <x:c r="CH40" s="117" t="n">
        <x:f>IF(CH37&gt;0,'Вводные'!$B$83*'Вводные'!$Q$90,0)</x:f>
      </x:c>
      <x:c r="CI40" s="117" t="n">
        <x:f>IF(CI37&gt;0,'Вводные'!$B$83*'Вводные'!$Q$90,0)</x:f>
      </x:c>
      <x:c r="CJ40" s="117" t="n">
        <x:f>IF(CJ37&gt;0,'Вводные'!$B$83*'Вводные'!$Q$90,0)</x:f>
      </x:c>
      <x:c r="CK40" s="117" t="n">
        <x:f>IF(CK37&gt;0,'Вводные'!$B$83*'Вводные'!$Q$90,0)</x:f>
      </x:c>
      <x:c r="CL40" s="117" t="n">
        <x:f>IF(CL37&gt;0,'Вводные'!$B$83*'Вводные'!$Q$90,0)</x:f>
      </x:c>
      <x:c r="CM40" s="117" t="n">
        <x:f>IF(CM37&gt;0,'Вводные'!$B$83*'Вводные'!$Q$90,0)</x:f>
      </x:c>
      <x:c r="CN40" s="117" t="n">
        <x:f>IF(CN37&gt;0,'Вводные'!$B$83*'Вводные'!$Q$90,0)</x:f>
      </x:c>
      <x:c r="CO40" s="117" t="n">
        <x:f>IF(CO37&gt;0,'Вводные'!$B$83*'Вводные'!$Q$90,0)</x:f>
      </x:c>
      <x:c r="CP40" s="117" t="n">
        <x:f>IF(CP37&gt;0,'Вводные'!$B$83*'Вводные'!$Q$90,0)</x:f>
      </x:c>
      <x:c r="CQ40" s="117" t="n">
        <x:f>IF(CQ37&gt;0,'Вводные'!$B$83*'Вводные'!$Q$90,0)</x:f>
      </x:c>
      <x:c r="CR40" s="117" t="n">
        <x:f>IF(CR37&gt;0,'Вводные'!$B$83*'Вводные'!$Q$90,0)</x:f>
      </x:c>
      <x:c r="CS40" s="117" t="n">
        <x:f>IF(CS37&gt;0,'Вводные'!$B$83*'Вводные'!$Q$90,0)</x:f>
      </x:c>
      <x:c r="CT40" s="117" t="n">
        <x:f>IF(CT37&gt;0,'Вводные'!$B$83*'Вводные'!$Q$90,0)</x:f>
      </x:c>
      <x:c r="CU40" s="117" t="n">
        <x:f>IF(CU37&gt;0,'Вводные'!$B$83*'Вводные'!$Q$90,0)</x:f>
      </x:c>
      <x:c r="CV40" s="117" t="n">
        <x:f>IF(CV37&gt;0,'Вводные'!$B$83*'Вводные'!$Q$90,0)</x:f>
      </x:c>
      <x:c r="CW40" s="117" t="n">
        <x:f>IF(CW37&gt;0,'Вводные'!$B$83*'Вводные'!$Q$90,0)</x:f>
      </x:c>
      <x:c r="CX40" s="117" t="n">
        <x:f>IF(CX37&gt;0,'Вводные'!$B$83*'Вводные'!$Q$90,0)</x:f>
      </x:c>
      <x:c r="CY40" s="117" t="n">
        <x:f>IF(CY37&gt;0,'Вводные'!$B$83*'Вводные'!$Q$90,0)</x:f>
      </x:c>
      <x:c r="CZ40" s="117" t="n">
        <x:f>IF(CZ37&gt;0,'Вводные'!$B$83*'Вводные'!$Q$90,0)</x:f>
      </x:c>
      <x:c r="DA40" s="117" t="n">
        <x:f>IF(DA37&gt;0,'Вводные'!$B$83*'Вводные'!$Q$90,0)</x:f>
      </x:c>
      <x:c r="DB40" s="117" t="n">
        <x:f>IF(DB37&gt;0,'Вводные'!$B$83*'Вводные'!$Q$90,0)</x:f>
      </x:c>
      <x:c r="DC40" s="117" t="n">
        <x:f>IF(DC37&gt;0,'Вводные'!$B$83*'Вводные'!$Q$90,0)</x:f>
      </x:c>
      <x:c r="DD40" s="117" t="n">
        <x:f>IF(DD37&gt;0,'Вводные'!$B$83*'Вводные'!$Q$90,0)</x:f>
      </x:c>
      <x:c r="DE40" s="117" t="n">
        <x:f>IF(DE37&gt;0,'Вводные'!$B$83*'Вводные'!$Q$90,0)</x:f>
      </x:c>
      <x:c r="DF40" s="117" t="n">
        <x:f>IF(DF37&gt;0,'Вводные'!$B$83*'Вводные'!$Q$90,0)</x:f>
      </x:c>
      <x:c r="DG40" s="117" t="n">
        <x:f>IF(DG37&gt;0,'Вводные'!$B$83*'Вводные'!$Q$90,0)</x:f>
      </x:c>
      <x:c r="DH40" s="117" t="n">
        <x:f>IF(DH37&gt;0,'Вводные'!$B$83*'Вводные'!$Q$90,0)</x:f>
      </x:c>
      <x:c r="DI40" s="117" t="n">
        <x:f>IF(DI37&gt;0,'Вводные'!$B$83*'Вводные'!$Q$90,0)</x:f>
      </x:c>
      <x:c r="DJ40" s="117" t="n">
        <x:f>IF(DJ37&gt;0,'Вводные'!$B$83*'Вводные'!$Q$90,0)</x:f>
      </x:c>
      <x:c r="DK40" s="117" t="n">
        <x:f>IF(DK37&gt;0,'Вводные'!$B$83*'Вводные'!$Q$90,0)</x:f>
      </x:c>
      <x:c r="DL40" s="117" t="n">
        <x:f>IF(DL37&gt;0,'Вводные'!$B$83*'Вводные'!$Q$90,0)</x:f>
      </x:c>
      <x:c r="DM40" s="117" t="n">
        <x:f>IF(DM37&gt;0,'Вводные'!$B$83*'Вводные'!$Q$90,0)</x:f>
      </x:c>
      <x:c r="DN40" s="117" t="n">
        <x:f>IF(DN37&gt;0,'Вводные'!$B$83*'Вводные'!$Q$90,0)</x:f>
      </x:c>
      <x:c r="DO40" s="117" t="n">
        <x:f>IF(DO37&gt;0,'Вводные'!$B$83*'Вводные'!$Q$90,0)</x:f>
      </x:c>
      <x:c r="DP40" s="117" t="n">
        <x:f>IF(DP37&gt;0,'Вводные'!$B$83*'Вводные'!$Q$90,0)</x:f>
      </x:c>
      <x:c r="DQ40" s="117" t="n">
        <x:f>IF(DQ37&gt;0,'Вводные'!$B$83*'Вводные'!$Q$90,0)</x:f>
      </x:c>
      <x:c r="DR40" s="117" t="n">
        <x:f>IF(DR37&gt;0,'Вводные'!$B$83*'Вводные'!$Q$90,0)</x:f>
      </x:c>
      <x:c r="DS40" s="117" t="n">
        <x:f>IF(DS37&gt;0,'Вводные'!$B$83*'Вводные'!$Q$90,0)</x:f>
      </x:c>
      <x:c r="DT40" s="117" t="n">
        <x:f>IF(DT37&gt;0,'Вводные'!$B$83*'Вводные'!$Q$90,0)</x:f>
      </x:c>
      <x:c r="DU40" s="117" t="n">
        <x:f>IF(DU37&gt;0,'Вводные'!$B$83*'Вводные'!$Q$90,0)</x:f>
      </x:c>
      <x:c r="DV40" s="117" t="n">
        <x:f>IF(DV37&gt;0,'Вводные'!$B$83*'Вводные'!$Q$90,0)</x:f>
      </x:c>
      <x:c r="DW40" s="117" t="n">
        <x:f>IF(DW37&gt;0,'Вводные'!$B$83*'Вводные'!$Q$90,0)</x:f>
      </x:c>
      <x:c r="DX40" s="117" t="n">
        <x:f>IF(DX37&gt;0,'Вводные'!$B$83*'Вводные'!$Q$90,0)</x:f>
      </x:c>
      <x:c r="DY40" s="117" t="n">
        <x:f>IF(DY37&gt;0,'Вводные'!$B$83*'Вводные'!$Q$90,0)</x:f>
      </x:c>
      <x:c r="DZ40" s="117" t="n">
        <x:f>IF(DZ37&gt;0,'Вводные'!$B$83*'Вводные'!$Q$90,0)</x:f>
      </x:c>
      <x:c r="EA40" s="117" t="n">
        <x:f>IF(EA37&gt;0,'Вводные'!$B$83*'Вводные'!$Q$90,0)</x:f>
      </x:c>
      <x:c r="EB40" s="117" t="n">
        <x:f>IF(EB37&gt;0,'Вводные'!$B$83*'Вводные'!$Q$90,0)</x:f>
      </x:c>
      <x:c r="EC40" s="117" t="n">
        <x:f>IF(EC37&gt;0,'Вводные'!$B$83*'Вводные'!$Q$90,0)</x:f>
      </x:c>
      <x:c r="ED40" s="117" t="n">
        <x:f>IF(ED37&gt;0,'Вводные'!$B$83*'Вводные'!$Q$90,0)</x:f>
      </x:c>
      <x:c r="EE40" s="117" t="n">
        <x:f>IF(EE37&gt;0,'Вводные'!$B$83*'Вводные'!$Q$90,0)</x:f>
      </x:c>
      <x:c r="EF40" s="117" t="n">
        <x:f>IF(EF37&gt;0,'Вводные'!$B$83*'Вводные'!$Q$90,0)</x:f>
      </x:c>
      <x:c r="EG40" s="117" t="n">
        <x:f>IF(EG37&gt;0,'Вводные'!$B$83*'Вводные'!$Q$90,0)</x:f>
      </x:c>
      <x:c r="EH40" s="117" t="n">
        <x:f>IF(EH37&gt;0,'Вводные'!$B$83*'Вводные'!$Q$90,0)</x:f>
      </x:c>
      <x:c r="EI40" s="117" t="n">
        <x:f>IF(EI37&gt;0,'Вводные'!$B$83*'Вводные'!$Q$90,0)</x:f>
      </x:c>
      <x:c r="EJ40" s="117" t="n">
        <x:f>IF(EJ37&gt;0,'Вводные'!$B$83*'Вводные'!$Q$90,0)</x:f>
      </x:c>
      <x:c r="EK40" s="117" t="n">
        <x:f>IF(EK37&gt;0,'Вводные'!$B$83*'Вводные'!$Q$90,0)</x:f>
      </x:c>
      <x:c r="EL40" s="117" t="n">
        <x:f>IF(EL37&gt;0,'Вводные'!$B$83*'Вводные'!$Q$90,0)</x:f>
      </x:c>
      <x:c r="EM40" s="117" t="n">
        <x:f>IF(EM37&gt;0,'Вводные'!$B$83*'Вводные'!$Q$90,0)</x:f>
      </x:c>
      <x:c r="EN40" s="117" t="n">
        <x:f>IF(EN37&gt;0,'Вводные'!$B$83*'Вводные'!$Q$90,0)</x:f>
      </x:c>
      <x:c r="EO40" s="117" t="n">
        <x:f>IF(EO37&gt;0,'Вводные'!$B$83*'Вводные'!$Q$90,0)</x:f>
      </x:c>
      <x:c r="EP40" s="117" t="n">
        <x:f>IF(EP37&gt;0,'Вводные'!$B$83*'Вводные'!$Q$90,0)</x:f>
      </x:c>
      <x:c r="EQ40" s="117" t="n">
        <x:f>IF(EQ37&gt;0,'Вводные'!$B$83*'Вводные'!$Q$90,0)</x:f>
      </x:c>
      <x:c r="ER40" s="117" t="n">
        <x:f>IF(ER37&gt;0,'Вводные'!$B$83*'Вводные'!$Q$90,0)</x:f>
      </x:c>
      <x:c r="ES40" s="117" t="n">
        <x:f>IF(ES37&gt;0,'Вводные'!$B$83*'Вводные'!$Q$90,0)</x:f>
      </x:c>
      <x:c r="ET40" s="117" t="n">
        <x:f>IF(ET37&gt;0,'Вводные'!$B$83*'Вводные'!$Q$90,0)</x:f>
      </x:c>
      <x:c r="EU40" s="117" t="n">
        <x:f>IF(EU37&gt;0,'Вводные'!$B$83*'Вводные'!$Q$90,0)</x:f>
      </x:c>
      <x:c r="EV40" s="117" t="n">
        <x:f>IF(EV37&gt;0,'Вводные'!$B$83*'Вводные'!$Q$90,0)</x:f>
      </x:c>
      <x:c r="EW40" s="117" t="n">
        <x:f>IF(EW37&gt;0,'Вводные'!$B$83*'Вводные'!$Q$90,0)</x:f>
      </x:c>
      <x:c r="EX40" s="117" t="n">
        <x:f>IF(EX37&gt;0,'Вводные'!$B$83*'Вводные'!$Q$90,0)</x:f>
      </x:c>
      <x:c r="EY40" s="117" t="n">
        <x:f>IF(EY37&gt;0,'Вводные'!$B$83*'Вводные'!$Q$90,0)</x:f>
      </x:c>
      <x:c r="EZ40" s="117" t="n">
        <x:f>IF(EZ37&gt;0,'Вводные'!$B$83*'Вводные'!$Q$90,0)</x:f>
      </x:c>
      <x:c r="FA40" s="117" t="n">
        <x:f>IF(FA37&gt;0,'Вводные'!$B$83*'Вводные'!$Q$90,0)</x:f>
      </x:c>
      <x:c r="FB40" s="117" t="n">
        <x:f>IF(FB37&gt;0,'Вводные'!$B$83*'Вводные'!$Q$90,0)</x:f>
      </x:c>
      <x:c r="FC40" s="117" t="n">
        <x:f>IF(FC37&gt;0,'Вводные'!$B$83*'Вводные'!$Q$90,0)</x:f>
      </x:c>
      <x:c r="FD40" s="117" t="n">
        <x:f>IF(FD37&gt;0,'Вводные'!$B$83*'Вводные'!$Q$90,0)</x:f>
      </x:c>
      <x:c r="FE40" s="117" t="n">
        <x:f>IF(FE37&gt;0,'Вводные'!$B$83*'Вводные'!$Q$90,0)</x:f>
      </x:c>
      <x:c r="FF40" s="117" t="n">
        <x:f>IF(FF37&gt;0,'Вводные'!$B$83*'Вводные'!$Q$90,0)</x:f>
      </x:c>
      <x:c r="FG40" s="117" t="n">
        <x:f>IF(FG37&gt;0,'Вводные'!$B$83*'Вводные'!$Q$90,0)</x:f>
      </x:c>
      <x:c r="FH40" s="117" t="n">
        <x:f>IF(FH37&gt;0,'Вводные'!$B$83*'Вводные'!$Q$90,0)</x:f>
      </x:c>
      <x:c r="FI40" s="117" t="n">
        <x:f>IF(FI37&gt;0,'Вводные'!$B$83*'Вводные'!$Q$90,0)</x:f>
      </x:c>
      <x:c r="FJ40" s="117" t="n">
        <x:f>IF(FJ37&gt;0,'Вводные'!$B$83*'Вводные'!$Q$90,0)</x:f>
      </x:c>
      <x:c r="FK40" s="117" t="n">
        <x:f>IF(FK37&gt;0,'Вводные'!$B$83*'Вводные'!$Q$90,0)</x:f>
      </x:c>
      <x:c r="FL40" s="117" t="n">
        <x:f>IF(FL37&gt;0,'Вводные'!$B$83*'Вводные'!$Q$90,0)</x:f>
      </x:c>
      <x:c r="FM40" s="117" t="n">
        <x:f>IF(FM37&gt;0,'Вводные'!$B$83*'Вводные'!$Q$90,0)</x:f>
      </x:c>
      <x:c r="FN40" s="117" t="n">
        <x:f>IF(FN37&gt;0,'Вводные'!$B$83*'Вводные'!$Q$90,0)</x:f>
      </x:c>
      <x:c r="FO40" s="117" t="n">
        <x:f>IF(FO37&gt;0,'Вводные'!$B$83*'Вводные'!$Q$90,0)</x:f>
      </x:c>
      <x:c r="FP40" s="117" t="n">
        <x:f>IF(FP37&gt;0,'Вводные'!$B$83*'Вводные'!$Q$90,0)</x:f>
      </x:c>
      <x:c r="FQ40" s="117" t="n">
        <x:f>IF(FQ37&gt;0,'Вводные'!$B$83*'Вводные'!$Q$90,0)</x:f>
      </x:c>
      <x:c r="FR40" s="117" t="n">
        <x:f>IF(FR37&gt;0,'Вводные'!$B$83*'Вводные'!$Q$90,0)</x:f>
      </x:c>
      <x:c r="FS40" s="117" t="n">
        <x:f>IF(FS37&gt;0,'Вводные'!$B$83*'Вводные'!$Q$90,0)</x:f>
      </x:c>
      <x:c r="FT40" s="117" t="n">
        <x:f>IF(FT37&gt;0,'Вводные'!$B$83*'Вводные'!$Q$90,0)</x:f>
      </x:c>
      <x:c r="FU40" s="117" t="n">
        <x:f>IF(FU37&gt;0,'Вводные'!$B$83*'Вводные'!$Q$90,0)</x:f>
      </x:c>
      <x:c r="FV40" s="117" t="n">
        <x:f>IF(FV37&gt;0,'Вводные'!$B$83*'Вводные'!$Q$90,0)</x:f>
      </x:c>
      <x:c r="FW40" s="117" t="n">
        <x:f>IF(FW37&gt;0,'Вводные'!$B$83*'Вводные'!$Q$90,0)</x:f>
      </x:c>
      <x:c r="FX40" s="117" t="n">
        <x:f>IF(FX37&gt;0,'Вводные'!$B$83*'Вводные'!$Q$90,0)</x:f>
      </x:c>
      <x:c r="FY40" s="117" t="n">
        <x:f>IF(FY37&gt;0,'Вводные'!$B$83*'Вводные'!$Q$90,0)</x:f>
      </x:c>
      <x:c r="FZ40" s="117" t="n">
        <x:f>IF(FZ37&gt;0,'Вводные'!$B$83*'Вводные'!$Q$90,0)</x:f>
      </x:c>
      <x:c r="GA40" s="117" t="n">
        <x:f>IF(GA37&gt;0,'Вводные'!$B$83*'Вводные'!$Q$90,0)</x:f>
      </x:c>
    </x:row>
    <x:row r="41">
      <x:c r="A41" s="113" t="str">
        <x:v>ДЕНЕЖНЫЙ ПЛАТЁЖ ПО ВРИ</x:v>
      </x:c>
      <x:c r="B41" s="113" t="n">
        <x:f>SUM(D41:GA41)</x:f>
      </x:c>
      <x:c r="C41" s="113" t="str">
        <x:v>млн ₽</x:v>
      </x:c>
      <x:c r="D41" s="120" t="n">
        <x:f>SUM(D38:D40)</x:f>
      </x:c>
      <x:c r="E41" s="120" t="n">
        <x:f>SUM(E38:E40)</x:f>
      </x:c>
      <x:c r="F41" s="120" t="n">
        <x:f>SUM(F38:F40)</x:f>
      </x:c>
      <x:c r="G41" s="120" t="n">
        <x:f>SUM(G38:G40)</x:f>
      </x:c>
      <x:c r="H41" s="120" t="n">
        <x:f>SUM(H38:H40)</x:f>
      </x:c>
      <x:c r="I41" s="120" t="n">
        <x:f>SUM(I38:I40)</x:f>
      </x:c>
      <x:c r="J41" s="120" t="n">
        <x:f>SUM(J38:J40)</x:f>
      </x:c>
      <x:c r="K41" s="120" t="n">
        <x:f>SUM(K38:K40)</x:f>
      </x:c>
      <x:c r="L41" s="120" t="n">
        <x:f>SUM(L38:L40)</x:f>
      </x:c>
      <x:c r="M41" s="120" t="n">
        <x:f>SUM(M38:M40)</x:f>
      </x:c>
      <x:c r="N41" s="120" t="n">
        <x:f>SUM(N38:N40)</x:f>
      </x:c>
      <x:c r="O41" s="120" t="n">
        <x:f>SUM(O38:O40)</x:f>
      </x:c>
      <x:c r="P41" s="120" t="n">
        <x:f>SUM(P38:P40)</x:f>
      </x:c>
      <x:c r="Q41" s="120" t="n">
        <x:f>SUM(Q38:Q40)</x:f>
      </x:c>
      <x:c r="R41" s="120" t="n">
        <x:f>SUM(R38:R40)</x:f>
      </x:c>
      <x:c r="S41" s="120" t="n">
        <x:f>SUM(S38:S40)</x:f>
      </x:c>
      <x:c r="T41" s="120" t="n">
        <x:f>SUM(T38:T40)</x:f>
      </x:c>
      <x:c r="U41" s="120" t="n">
        <x:f>SUM(U38:U40)</x:f>
      </x:c>
      <x:c r="V41" s="120" t="n">
        <x:f>SUM(V38:V40)</x:f>
      </x:c>
      <x:c r="W41" s="120" t="n">
        <x:f>SUM(W38:W40)</x:f>
      </x:c>
      <x:c r="X41" s="120" t="n">
        <x:f>SUM(X38:X40)</x:f>
      </x:c>
      <x:c r="Y41" s="120" t="n">
        <x:f>SUM(Y38:Y40)</x:f>
      </x:c>
      <x:c r="Z41" s="120" t="n">
        <x:f>SUM(Z38:Z40)</x:f>
      </x:c>
      <x:c r="AA41" s="120" t="n">
        <x:f>SUM(AA38:AA40)</x:f>
      </x:c>
      <x:c r="AB41" s="120" t="n">
        <x:f>SUM(AB38:AB40)</x:f>
      </x:c>
      <x:c r="AC41" s="120" t="n">
        <x:f>SUM(AC38:AC40)</x:f>
      </x:c>
      <x:c r="AD41" s="120" t="n">
        <x:f>SUM(AD38:AD40)</x:f>
      </x:c>
      <x:c r="AE41" s="120" t="n">
        <x:f>SUM(AE38:AE40)</x:f>
      </x:c>
      <x:c r="AF41" s="120" t="n">
        <x:f>SUM(AF38:AF40)</x:f>
      </x:c>
      <x:c r="AG41" s="120" t="n">
        <x:f>SUM(AG38:AG40)</x:f>
      </x:c>
      <x:c r="AH41" s="120" t="n">
        <x:f>SUM(AH38:AH40)</x:f>
      </x:c>
      <x:c r="AI41" s="120" t="n">
        <x:f>SUM(AI38:AI40)</x:f>
      </x:c>
      <x:c r="AJ41" s="120" t="n">
        <x:f>SUM(AJ38:AJ40)</x:f>
      </x:c>
      <x:c r="AK41" s="120" t="n">
        <x:f>SUM(AK38:AK40)</x:f>
      </x:c>
      <x:c r="AL41" s="120" t="n">
        <x:f>SUM(AL38:AL40)</x:f>
      </x:c>
      <x:c r="AM41" s="120" t="n">
        <x:f>SUM(AM38:AM40)</x:f>
      </x:c>
      <x:c r="AN41" s="120" t="n">
        <x:f>SUM(AN38:AN40)</x:f>
      </x:c>
      <x:c r="AO41" s="120" t="n">
        <x:f>SUM(AO38:AO40)</x:f>
      </x:c>
      <x:c r="AP41" s="120" t="n">
        <x:f>SUM(AP38:AP40)</x:f>
      </x:c>
      <x:c r="AQ41" s="120" t="n">
        <x:f>SUM(AQ38:AQ40)</x:f>
      </x:c>
      <x:c r="AR41" s="120" t="n">
        <x:f>SUM(AR38:AR40)</x:f>
      </x:c>
      <x:c r="AS41" s="120" t="n">
        <x:f>SUM(AS38:AS40)</x:f>
      </x:c>
      <x:c r="AT41" s="120" t="n">
        <x:f>SUM(AT38:AT40)</x:f>
      </x:c>
      <x:c r="AU41" s="120" t="n">
        <x:f>SUM(AU38:AU40)</x:f>
      </x:c>
      <x:c r="AV41" s="120" t="n">
        <x:f>SUM(AV38:AV40)</x:f>
      </x:c>
      <x:c r="AW41" s="120" t="n">
        <x:f>SUM(AW38:AW40)</x:f>
      </x:c>
      <x:c r="AX41" s="120" t="n">
        <x:f>SUM(AX38:AX40)</x:f>
      </x:c>
      <x:c r="AY41" s="120" t="n">
        <x:f>SUM(AY38:AY40)</x:f>
      </x:c>
      <x:c r="AZ41" s="120" t="n">
        <x:f>SUM(AZ38:AZ40)</x:f>
      </x:c>
      <x:c r="BA41" s="120" t="n">
        <x:f>SUM(BA38:BA40)</x:f>
      </x:c>
      <x:c r="BB41" s="120" t="n">
        <x:f>SUM(BB38:BB40)</x:f>
      </x:c>
      <x:c r="BC41" s="120" t="n">
        <x:f>SUM(BC38:BC40)</x:f>
      </x:c>
      <x:c r="BD41" s="120" t="n">
        <x:f>SUM(BD38:BD40)</x:f>
      </x:c>
      <x:c r="BE41" s="120" t="n">
        <x:f>SUM(BE38:BE40)</x:f>
      </x:c>
      <x:c r="BF41" s="120" t="n">
        <x:f>SUM(BF38:BF40)</x:f>
      </x:c>
      <x:c r="BG41" s="120" t="n">
        <x:f>SUM(BG38:BG40)</x:f>
      </x:c>
      <x:c r="BH41" s="120" t="n">
        <x:f>SUM(BH38:BH40)</x:f>
      </x:c>
      <x:c r="BI41" s="120" t="n">
        <x:f>SUM(BI38:BI40)</x:f>
      </x:c>
      <x:c r="BJ41" s="120" t="n">
        <x:f>SUM(BJ38:BJ40)</x:f>
      </x:c>
      <x:c r="BK41" s="120" t="n">
        <x:f>SUM(BK38:BK40)</x:f>
      </x:c>
      <x:c r="BL41" s="120" t="n">
        <x:f>SUM(BL38:BL40)</x:f>
      </x:c>
      <x:c r="BM41" s="120" t="n">
        <x:f>SUM(BM38:BM40)</x:f>
      </x:c>
      <x:c r="BN41" s="120" t="n">
        <x:f>SUM(BN38:BN40)</x:f>
      </x:c>
      <x:c r="BO41" s="120" t="n">
        <x:f>SUM(BO38:BO40)</x:f>
      </x:c>
      <x:c r="BP41" s="120" t="n">
        <x:f>SUM(BP38:BP40)</x:f>
      </x:c>
      <x:c r="BQ41" s="120" t="n">
        <x:f>SUM(BQ38:BQ40)</x:f>
      </x:c>
      <x:c r="BR41" s="120" t="n">
        <x:f>SUM(BR38:BR40)</x:f>
      </x:c>
      <x:c r="BS41" s="120" t="n">
        <x:f>SUM(BS38:BS40)</x:f>
      </x:c>
      <x:c r="BT41" s="120" t="n">
        <x:f>SUM(BT38:BT40)</x:f>
      </x:c>
      <x:c r="BU41" s="120" t="n">
        <x:f>SUM(BU38:BU40)</x:f>
      </x:c>
      <x:c r="BV41" s="120" t="n">
        <x:f>SUM(BV38:BV40)</x:f>
      </x:c>
      <x:c r="BW41" s="120" t="n">
        <x:f>SUM(BW38:BW40)</x:f>
      </x:c>
      <x:c r="BX41" s="120" t="n">
        <x:f>SUM(BX38:BX40)</x:f>
      </x:c>
      <x:c r="BY41" s="120" t="n">
        <x:f>SUM(BY38:BY40)</x:f>
      </x:c>
      <x:c r="BZ41" s="120" t="n">
        <x:f>SUM(BZ38:BZ40)</x:f>
      </x:c>
      <x:c r="CA41" s="120" t="n">
        <x:f>SUM(CA38:CA40)</x:f>
      </x:c>
      <x:c r="CB41" s="120" t="n">
        <x:f>SUM(CB38:CB40)</x:f>
      </x:c>
      <x:c r="CC41" s="120" t="n">
        <x:f>SUM(CC38:CC40)</x:f>
      </x:c>
      <x:c r="CD41" s="120" t="n">
        <x:f>SUM(CD38:CD40)</x:f>
      </x:c>
      <x:c r="CE41" s="120" t="n">
        <x:f>SUM(CE38:CE40)</x:f>
      </x:c>
      <x:c r="CF41" s="120" t="n">
        <x:f>SUM(CF38:CF40)</x:f>
      </x:c>
      <x:c r="CG41" s="120" t="n">
        <x:f>SUM(CG38:CG40)</x:f>
      </x:c>
      <x:c r="CH41" s="120" t="n">
        <x:f>SUM(CH38:CH40)</x:f>
      </x:c>
      <x:c r="CI41" s="120" t="n">
        <x:f>SUM(CI38:CI40)</x:f>
      </x:c>
      <x:c r="CJ41" s="120" t="n">
        <x:f>SUM(CJ38:CJ40)</x:f>
      </x:c>
      <x:c r="CK41" s="120" t="n">
        <x:f>SUM(CK38:CK40)</x:f>
      </x:c>
      <x:c r="CL41" s="120" t="n">
        <x:f>SUM(CL38:CL40)</x:f>
      </x:c>
      <x:c r="CM41" s="120" t="n">
        <x:f>SUM(CM38:CM40)</x:f>
      </x:c>
      <x:c r="CN41" s="120" t="n">
        <x:f>SUM(CN38:CN40)</x:f>
      </x:c>
      <x:c r="CO41" s="120" t="n">
        <x:f>SUM(CO38:CO40)</x:f>
      </x:c>
      <x:c r="CP41" s="120" t="n">
        <x:f>SUM(CP38:CP40)</x:f>
      </x:c>
      <x:c r="CQ41" s="120" t="n">
        <x:f>SUM(CQ38:CQ40)</x:f>
      </x:c>
      <x:c r="CR41" s="120" t="n">
        <x:f>SUM(CR38:CR40)</x:f>
      </x:c>
      <x:c r="CS41" s="120" t="n">
        <x:f>SUM(CS38:CS40)</x:f>
      </x:c>
      <x:c r="CT41" s="120" t="n">
        <x:f>SUM(CT38:CT40)</x:f>
      </x:c>
      <x:c r="CU41" s="120" t="n">
        <x:f>SUM(CU38:CU40)</x:f>
      </x:c>
      <x:c r="CV41" s="120" t="n">
        <x:f>SUM(CV38:CV40)</x:f>
      </x:c>
      <x:c r="CW41" s="120" t="n">
        <x:f>SUM(CW38:CW40)</x:f>
      </x:c>
      <x:c r="CX41" s="120" t="n">
        <x:f>SUM(CX38:CX40)</x:f>
      </x:c>
      <x:c r="CY41" s="120" t="n">
        <x:f>SUM(CY38:CY40)</x:f>
      </x:c>
      <x:c r="CZ41" s="120" t="n">
        <x:f>SUM(CZ38:CZ40)</x:f>
      </x:c>
      <x:c r="DA41" s="120" t="n">
        <x:f>SUM(DA38:DA40)</x:f>
      </x:c>
      <x:c r="DB41" s="120" t="n">
        <x:f>SUM(DB38:DB40)</x:f>
      </x:c>
      <x:c r="DC41" s="120" t="n">
        <x:f>SUM(DC38:DC40)</x:f>
      </x:c>
      <x:c r="DD41" s="120" t="n">
        <x:f>SUM(DD38:DD40)</x:f>
      </x:c>
      <x:c r="DE41" s="120" t="n">
        <x:f>SUM(DE38:DE40)</x:f>
      </x:c>
      <x:c r="DF41" s="120" t="n">
        <x:f>SUM(DF38:DF40)</x:f>
      </x:c>
      <x:c r="DG41" s="120" t="n">
        <x:f>SUM(DG38:DG40)</x:f>
      </x:c>
      <x:c r="DH41" s="120" t="n">
        <x:f>SUM(DH38:DH40)</x:f>
      </x:c>
      <x:c r="DI41" s="120" t="n">
        <x:f>SUM(DI38:DI40)</x:f>
      </x:c>
      <x:c r="DJ41" s="120" t="n">
        <x:f>SUM(DJ38:DJ40)</x:f>
      </x:c>
      <x:c r="DK41" s="120" t="n">
        <x:f>SUM(DK38:DK40)</x:f>
      </x:c>
      <x:c r="DL41" s="120" t="n">
        <x:f>SUM(DL38:DL40)</x:f>
      </x:c>
      <x:c r="DM41" s="120" t="n">
        <x:f>SUM(DM38:DM40)</x:f>
      </x:c>
      <x:c r="DN41" s="120" t="n">
        <x:f>SUM(DN38:DN40)</x:f>
      </x:c>
      <x:c r="DO41" s="120" t="n">
        <x:f>SUM(DO38:DO40)</x:f>
      </x:c>
      <x:c r="DP41" s="120" t="n">
        <x:f>SUM(DP38:DP40)</x:f>
      </x:c>
      <x:c r="DQ41" s="120" t="n">
        <x:f>SUM(DQ38:DQ40)</x:f>
      </x:c>
      <x:c r="DR41" s="120" t="n">
        <x:f>SUM(DR38:DR40)</x:f>
      </x:c>
      <x:c r="DS41" s="120" t="n">
        <x:f>SUM(DS38:DS40)</x:f>
      </x:c>
      <x:c r="DT41" s="120" t="n">
        <x:f>SUM(DT38:DT40)</x:f>
      </x:c>
      <x:c r="DU41" s="120" t="n">
        <x:f>SUM(DU38:DU40)</x:f>
      </x:c>
      <x:c r="DV41" s="120" t="n">
        <x:f>SUM(DV38:DV40)</x:f>
      </x:c>
      <x:c r="DW41" s="120" t="n">
        <x:f>SUM(DW38:DW40)</x:f>
      </x:c>
      <x:c r="DX41" s="120" t="n">
        <x:f>SUM(DX38:DX40)</x:f>
      </x:c>
      <x:c r="DY41" s="120" t="n">
        <x:f>SUM(DY38:DY40)</x:f>
      </x:c>
      <x:c r="DZ41" s="120" t="n">
        <x:f>SUM(DZ38:DZ40)</x:f>
      </x:c>
      <x:c r="EA41" s="120" t="n">
        <x:f>SUM(EA38:EA40)</x:f>
      </x:c>
      <x:c r="EB41" s="120" t="n">
        <x:f>SUM(EB38:EB40)</x:f>
      </x:c>
      <x:c r="EC41" s="120" t="n">
        <x:f>SUM(EC38:EC40)</x:f>
      </x:c>
      <x:c r="ED41" s="120" t="n">
        <x:f>SUM(ED38:ED40)</x:f>
      </x:c>
      <x:c r="EE41" s="120" t="n">
        <x:f>SUM(EE38:EE40)</x:f>
      </x:c>
      <x:c r="EF41" s="120" t="n">
        <x:f>SUM(EF38:EF40)</x:f>
      </x:c>
      <x:c r="EG41" s="120" t="n">
        <x:f>SUM(EG38:EG40)</x:f>
      </x:c>
      <x:c r="EH41" s="120" t="n">
        <x:f>SUM(EH38:EH40)</x:f>
      </x:c>
      <x:c r="EI41" s="120" t="n">
        <x:f>SUM(EI38:EI40)</x:f>
      </x:c>
      <x:c r="EJ41" s="120" t="n">
        <x:f>SUM(EJ38:EJ40)</x:f>
      </x:c>
      <x:c r="EK41" s="120" t="n">
        <x:f>SUM(EK38:EK40)</x:f>
      </x:c>
      <x:c r="EL41" s="120" t="n">
        <x:f>SUM(EL38:EL40)</x:f>
      </x:c>
      <x:c r="EM41" s="120" t="n">
        <x:f>SUM(EM38:EM40)</x:f>
      </x:c>
      <x:c r="EN41" s="120" t="n">
        <x:f>SUM(EN38:EN40)</x:f>
      </x:c>
      <x:c r="EO41" s="120" t="n">
        <x:f>SUM(EO38:EO40)</x:f>
      </x:c>
      <x:c r="EP41" s="120" t="n">
        <x:f>SUM(EP38:EP40)</x:f>
      </x:c>
      <x:c r="EQ41" s="120" t="n">
        <x:f>SUM(EQ38:EQ40)</x:f>
      </x:c>
      <x:c r="ER41" s="120" t="n">
        <x:f>SUM(ER38:ER40)</x:f>
      </x:c>
      <x:c r="ES41" s="120" t="n">
        <x:f>SUM(ES38:ES40)</x:f>
      </x:c>
      <x:c r="ET41" s="120" t="n">
        <x:f>SUM(ET38:ET40)</x:f>
      </x:c>
      <x:c r="EU41" s="120" t="n">
        <x:f>SUM(EU38:EU40)</x:f>
      </x:c>
      <x:c r="EV41" s="120" t="n">
        <x:f>SUM(EV38:EV40)</x:f>
      </x:c>
      <x:c r="EW41" s="120" t="n">
        <x:f>SUM(EW38:EW40)</x:f>
      </x:c>
      <x:c r="EX41" s="120" t="n">
        <x:f>SUM(EX38:EX40)</x:f>
      </x:c>
      <x:c r="EY41" s="120" t="n">
        <x:f>SUM(EY38:EY40)</x:f>
      </x:c>
      <x:c r="EZ41" s="120" t="n">
        <x:f>SUM(EZ38:EZ40)</x:f>
      </x:c>
      <x:c r="FA41" s="120" t="n">
        <x:f>SUM(FA38:FA40)</x:f>
      </x:c>
      <x:c r="FB41" s="120" t="n">
        <x:f>SUM(FB38:FB40)</x:f>
      </x:c>
      <x:c r="FC41" s="120" t="n">
        <x:f>SUM(FC38:FC40)</x:f>
      </x:c>
      <x:c r="FD41" s="120" t="n">
        <x:f>SUM(FD38:FD40)</x:f>
      </x:c>
      <x:c r="FE41" s="120" t="n">
        <x:f>SUM(FE38:FE40)</x:f>
      </x:c>
      <x:c r="FF41" s="120" t="n">
        <x:f>SUM(FF38:FF40)</x:f>
      </x:c>
      <x:c r="FG41" s="120" t="n">
        <x:f>SUM(FG38:FG40)</x:f>
      </x:c>
      <x:c r="FH41" s="120" t="n">
        <x:f>SUM(FH38:FH40)</x:f>
      </x:c>
      <x:c r="FI41" s="120" t="n">
        <x:f>SUM(FI38:FI40)</x:f>
      </x:c>
      <x:c r="FJ41" s="120" t="n">
        <x:f>SUM(FJ38:FJ40)</x:f>
      </x:c>
      <x:c r="FK41" s="120" t="n">
        <x:f>SUM(FK38:FK40)</x:f>
      </x:c>
      <x:c r="FL41" s="120" t="n">
        <x:f>SUM(FL38:FL40)</x:f>
      </x:c>
      <x:c r="FM41" s="120" t="n">
        <x:f>SUM(FM38:FM40)</x:f>
      </x:c>
      <x:c r="FN41" s="120" t="n">
        <x:f>SUM(FN38:FN40)</x:f>
      </x:c>
      <x:c r="FO41" s="120" t="n">
        <x:f>SUM(FO38:FO40)</x:f>
      </x:c>
      <x:c r="FP41" s="120" t="n">
        <x:f>SUM(FP38:FP40)</x:f>
      </x:c>
      <x:c r="FQ41" s="120" t="n">
        <x:f>SUM(FQ38:FQ40)</x:f>
      </x:c>
      <x:c r="FR41" s="120" t="n">
        <x:f>SUM(FR38:FR40)</x:f>
      </x:c>
      <x:c r="FS41" s="120" t="n">
        <x:f>SUM(FS38:FS40)</x:f>
      </x:c>
      <x:c r="FT41" s="120" t="n">
        <x:f>SUM(FT38:FT40)</x:f>
      </x:c>
      <x:c r="FU41" s="120" t="n">
        <x:f>SUM(FU38:FU40)</x:f>
      </x:c>
      <x:c r="FV41" s="120" t="n">
        <x:f>SUM(FV38:FV40)</x:f>
      </x:c>
      <x:c r="FW41" s="120" t="n">
        <x:f>SUM(FW38:FW40)</x:f>
      </x:c>
      <x:c r="FX41" s="120" t="n">
        <x:f>SUM(FX38:FX40)</x:f>
      </x:c>
      <x:c r="FY41" s="120" t="n">
        <x:f>SUM(FY38:FY40)</x:f>
      </x:c>
      <x:c r="FZ41" s="120" t="n">
        <x:f>SUM(FZ38:FZ40)</x:f>
      </x:c>
      <x:c r="GA41" s="120" t="n">
        <x:f>SUM(GA38:GA40)</x:f>
      </x:c>
    </x:row>
    <x:row r="42">
      <x:c r="A42" t="str">
        <x:v>Остаток на конец</x:v>
      </x:c>
      <x:c r="B42" s="107" t="n">
        <x:f>GA42</x:f>
      </x:c>
      <x:c r="C42" t="str">
        <x:v>млн ₽</x:v>
      </x:c>
      <x:c r="D42" s="117" t="n">
        <x:f>MAX(0,D36+D37-D38)</x:f>
      </x:c>
      <x:c r="E42" s="117" t="n">
        <x:f>MAX(0,E36+E37-E38)</x:f>
      </x:c>
      <x:c r="F42" s="117" t="n">
        <x:f>MAX(0,F36+F37-F38)</x:f>
      </x:c>
      <x:c r="G42" s="117" t="n">
        <x:f>MAX(0,G36+G37-G38)</x:f>
      </x:c>
      <x:c r="H42" s="117" t="n">
        <x:f>MAX(0,H36+H37-H38)</x:f>
      </x:c>
      <x:c r="I42" s="117" t="n">
        <x:f>MAX(0,I36+I37-I38)</x:f>
      </x:c>
      <x:c r="J42" s="117" t="n">
        <x:f>MAX(0,J36+J37-J38)</x:f>
      </x:c>
      <x:c r="K42" s="117" t="n">
        <x:f>MAX(0,K36+K37-K38)</x:f>
      </x:c>
      <x:c r="L42" s="117" t="n">
        <x:f>MAX(0,L36+L37-L38)</x:f>
      </x:c>
      <x:c r="M42" s="117" t="n">
        <x:f>MAX(0,M36+M37-M38)</x:f>
      </x:c>
      <x:c r="N42" s="117" t="n">
        <x:f>MAX(0,N36+N37-N38)</x:f>
      </x:c>
      <x:c r="O42" s="117" t="n">
        <x:f>MAX(0,O36+O37-O38)</x:f>
      </x:c>
      <x:c r="P42" s="117" t="n">
        <x:f>MAX(0,P36+P37-P38)</x:f>
      </x:c>
      <x:c r="Q42" s="117" t="n">
        <x:f>MAX(0,Q36+Q37-Q38)</x:f>
      </x:c>
      <x:c r="R42" s="117" t="n">
        <x:f>MAX(0,R36+R37-R38)</x:f>
      </x:c>
      <x:c r="S42" s="117" t="n">
        <x:f>MAX(0,S36+S37-S38)</x:f>
      </x:c>
      <x:c r="T42" s="117" t="n">
        <x:f>MAX(0,T36+T37-T38)</x:f>
      </x:c>
      <x:c r="U42" s="117" t="n">
        <x:f>MAX(0,U36+U37-U38)</x:f>
      </x:c>
      <x:c r="V42" s="117" t="n">
        <x:f>MAX(0,V36+V37-V38)</x:f>
      </x:c>
      <x:c r="W42" s="117" t="n">
        <x:f>MAX(0,W36+W37-W38)</x:f>
      </x:c>
      <x:c r="X42" s="117" t="n">
        <x:f>MAX(0,X36+X37-X38)</x:f>
      </x:c>
      <x:c r="Y42" s="117" t="n">
        <x:f>MAX(0,Y36+Y37-Y38)</x:f>
      </x:c>
      <x:c r="Z42" s="117" t="n">
        <x:f>MAX(0,Z36+Z37-Z38)</x:f>
      </x:c>
      <x:c r="AA42" s="117" t="n">
        <x:f>MAX(0,AA36+AA37-AA38)</x:f>
      </x:c>
      <x:c r="AB42" s="117" t="n">
        <x:f>MAX(0,AB36+AB37-AB38)</x:f>
      </x:c>
      <x:c r="AC42" s="117" t="n">
        <x:f>MAX(0,AC36+AC37-AC38)</x:f>
      </x:c>
      <x:c r="AD42" s="117" t="n">
        <x:f>MAX(0,AD36+AD37-AD38)</x:f>
      </x:c>
      <x:c r="AE42" s="117" t="n">
        <x:f>MAX(0,AE36+AE37-AE38)</x:f>
      </x:c>
      <x:c r="AF42" s="117" t="n">
        <x:f>MAX(0,AF36+AF37-AF38)</x:f>
      </x:c>
      <x:c r="AG42" s="117" t="n">
        <x:f>MAX(0,AG36+AG37-AG38)</x:f>
      </x:c>
      <x:c r="AH42" s="117" t="n">
        <x:f>MAX(0,AH36+AH37-AH38)</x:f>
      </x:c>
      <x:c r="AI42" s="117" t="n">
        <x:f>MAX(0,AI36+AI37-AI38)</x:f>
      </x:c>
      <x:c r="AJ42" s="117" t="n">
        <x:f>MAX(0,AJ36+AJ37-AJ38)</x:f>
      </x:c>
      <x:c r="AK42" s="117" t="n">
        <x:f>MAX(0,AK36+AK37-AK38)</x:f>
      </x:c>
      <x:c r="AL42" s="117" t="n">
        <x:f>MAX(0,AL36+AL37-AL38)</x:f>
      </x:c>
      <x:c r="AM42" s="117" t="n">
        <x:f>MAX(0,AM36+AM37-AM38)</x:f>
      </x:c>
      <x:c r="AN42" s="117" t="n">
        <x:f>MAX(0,AN36+AN37-AN38)</x:f>
      </x:c>
      <x:c r="AO42" s="117" t="n">
        <x:f>MAX(0,AO36+AO37-AO38)</x:f>
      </x:c>
      <x:c r="AP42" s="117" t="n">
        <x:f>MAX(0,AP36+AP37-AP38)</x:f>
      </x:c>
      <x:c r="AQ42" s="117" t="n">
        <x:f>MAX(0,AQ36+AQ37-AQ38)</x:f>
      </x:c>
      <x:c r="AR42" s="117" t="n">
        <x:f>MAX(0,AR36+AR37-AR38)</x:f>
      </x:c>
      <x:c r="AS42" s="117" t="n">
        <x:f>MAX(0,AS36+AS37-AS38)</x:f>
      </x:c>
      <x:c r="AT42" s="117" t="n">
        <x:f>MAX(0,AT36+AT37-AT38)</x:f>
      </x:c>
      <x:c r="AU42" s="117" t="n">
        <x:f>MAX(0,AU36+AU37-AU38)</x:f>
      </x:c>
      <x:c r="AV42" s="117" t="n">
        <x:f>MAX(0,AV36+AV37-AV38)</x:f>
      </x:c>
      <x:c r="AW42" s="117" t="n">
        <x:f>MAX(0,AW36+AW37-AW38)</x:f>
      </x:c>
      <x:c r="AX42" s="117" t="n">
        <x:f>MAX(0,AX36+AX37-AX38)</x:f>
      </x:c>
      <x:c r="AY42" s="117" t="n">
        <x:f>MAX(0,AY36+AY37-AY38)</x:f>
      </x:c>
      <x:c r="AZ42" s="117" t="n">
        <x:f>MAX(0,AZ36+AZ37-AZ38)</x:f>
      </x:c>
      <x:c r="BA42" s="117" t="n">
        <x:f>MAX(0,BA36+BA37-BA38)</x:f>
      </x:c>
      <x:c r="BB42" s="117" t="n">
        <x:f>MAX(0,BB36+BB37-BB38)</x:f>
      </x:c>
      <x:c r="BC42" s="117" t="n">
        <x:f>MAX(0,BC36+BC37-BC38)</x:f>
      </x:c>
      <x:c r="BD42" s="117" t="n">
        <x:f>MAX(0,BD36+BD37-BD38)</x:f>
      </x:c>
      <x:c r="BE42" s="117" t="n">
        <x:f>MAX(0,BE36+BE37-BE38)</x:f>
      </x:c>
      <x:c r="BF42" s="117" t="n">
        <x:f>MAX(0,BF36+BF37-BF38)</x:f>
      </x:c>
      <x:c r="BG42" s="117" t="n">
        <x:f>MAX(0,BG36+BG37-BG38)</x:f>
      </x:c>
      <x:c r="BH42" s="117" t="n">
        <x:f>MAX(0,BH36+BH37-BH38)</x:f>
      </x:c>
      <x:c r="BI42" s="117" t="n">
        <x:f>MAX(0,BI36+BI37-BI38)</x:f>
      </x:c>
      <x:c r="BJ42" s="117" t="n">
        <x:f>MAX(0,BJ36+BJ37-BJ38)</x:f>
      </x:c>
      <x:c r="BK42" s="117" t="n">
        <x:f>MAX(0,BK36+BK37-BK38)</x:f>
      </x:c>
      <x:c r="BL42" s="117" t="n">
        <x:f>MAX(0,BL36+BL37-BL38)</x:f>
      </x:c>
      <x:c r="BM42" s="117" t="n">
        <x:f>MAX(0,BM36+BM37-BM38)</x:f>
      </x:c>
      <x:c r="BN42" s="117" t="n">
        <x:f>MAX(0,BN36+BN37-BN38)</x:f>
      </x:c>
      <x:c r="BO42" s="117" t="n">
        <x:f>MAX(0,BO36+BO37-BO38)</x:f>
      </x:c>
      <x:c r="BP42" s="117" t="n">
        <x:f>MAX(0,BP36+BP37-BP38)</x:f>
      </x:c>
      <x:c r="BQ42" s="117" t="n">
        <x:f>MAX(0,BQ36+BQ37-BQ38)</x:f>
      </x:c>
      <x:c r="BR42" s="117" t="n">
        <x:f>MAX(0,BR36+BR37-BR38)</x:f>
      </x:c>
      <x:c r="BS42" s="117" t="n">
        <x:f>MAX(0,BS36+BS37-BS38)</x:f>
      </x:c>
      <x:c r="BT42" s="117" t="n">
        <x:f>MAX(0,BT36+BT37-BT38)</x:f>
      </x:c>
      <x:c r="BU42" s="117" t="n">
        <x:f>MAX(0,BU36+BU37-BU38)</x:f>
      </x:c>
      <x:c r="BV42" s="117" t="n">
        <x:f>MAX(0,BV36+BV37-BV38)</x:f>
      </x:c>
      <x:c r="BW42" s="117" t="n">
        <x:f>MAX(0,BW36+BW37-BW38)</x:f>
      </x:c>
      <x:c r="BX42" s="117" t="n">
        <x:f>MAX(0,BX36+BX37-BX38)</x:f>
      </x:c>
      <x:c r="BY42" s="117" t="n">
        <x:f>MAX(0,BY36+BY37-BY38)</x:f>
      </x:c>
      <x:c r="BZ42" s="117" t="n">
        <x:f>MAX(0,BZ36+BZ37-BZ38)</x:f>
      </x:c>
      <x:c r="CA42" s="117" t="n">
        <x:f>MAX(0,CA36+CA37-CA38)</x:f>
      </x:c>
      <x:c r="CB42" s="117" t="n">
        <x:f>MAX(0,CB36+CB37-CB38)</x:f>
      </x:c>
      <x:c r="CC42" s="117" t="n">
        <x:f>MAX(0,CC36+CC37-CC38)</x:f>
      </x:c>
      <x:c r="CD42" s="117" t="n">
        <x:f>MAX(0,CD36+CD37-CD38)</x:f>
      </x:c>
      <x:c r="CE42" s="117" t="n">
        <x:f>MAX(0,CE36+CE37-CE38)</x:f>
      </x:c>
      <x:c r="CF42" s="117" t="n">
        <x:f>MAX(0,CF36+CF37-CF38)</x:f>
      </x:c>
      <x:c r="CG42" s="117" t="n">
        <x:f>MAX(0,CG36+CG37-CG38)</x:f>
      </x:c>
      <x:c r="CH42" s="117" t="n">
        <x:f>MAX(0,CH36+CH37-CH38)</x:f>
      </x:c>
      <x:c r="CI42" s="117" t="n">
        <x:f>MAX(0,CI36+CI37-CI38)</x:f>
      </x:c>
      <x:c r="CJ42" s="117" t="n">
        <x:f>MAX(0,CJ36+CJ37-CJ38)</x:f>
      </x:c>
      <x:c r="CK42" s="117" t="n">
        <x:f>MAX(0,CK36+CK37-CK38)</x:f>
      </x:c>
      <x:c r="CL42" s="117" t="n">
        <x:f>MAX(0,CL36+CL37-CL38)</x:f>
      </x:c>
      <x:c r="CM42" s="117" t="n">
        <x:f>MAX(0,CM36+CM37-CM38)</x:f>
      </x:c>
      <x:c r="CN42" s="117" t="n">
        <x:f>MAX(0,CN36+CN37-CN38)</x:f>
      </x:c>
      <x:c r="CO42" s="117" t="n">
        <x:f>MAX(0,CO36+CO37-CO38)</x:f>
      </x:c>
      <x:c r="CP42" s="117" t="n">
        <x:f>MAX(0,CP36+CP37-CP38)</x:f>
      </x:c>
      <x:c r="CQ42" s="117" t="n">
        <x:f>MAX(0,CQ36+CQ37-CQ38)</x:f>
      </x:c>
      <x:c r="CR42" s="117" t="n">
        <x:f>MAX(0,CR36+CR37-CR38)</x:f>
      </x:c>
      <x:c r="CS42" s="117" t="n">
        <x:f>MAX(0,CS36+CS37-CS38)</x:f>
      </x:c>
      <x:c r="CT42" s="117" t="n">
        <x:f>MAX(0,CT36+CT37-CT38)</x:f>
      </x:c>
      <x:c r="CU42" s="117" t="n">
        <x:f>MAX(0,CU36+CU37-CU38)</x:f>
      </x:c>
      <x:c r="CV42" s="117" t="n">
        <x:f>MAX(0,CV36+CV37-CV38)</x:f>
      </x:c>
      <x:c r="CW42" s="117" t="n">
        <x:f>MAX(0,CW36+CW37-CW38)</x:f>
      </x:c>
      <x:c r="CX42" s="117" t="n">
        <x:f>MAX(0,CX36+CX37-CX38)</x:f>
      </x:c>
      <x:c r="CY42" s="117" t="n">
        <x:f>MAX(0,CY36+CY37-CY38)</x:f>
      </x:c>
      <x:c r="CZ42" s="117" t="n">
        <x:f>MAX(0,CZ36+CZ37-CZ38)</x:f>
      </x:c>
      <x:c r="DA42" s="117" t="n">
        <x:f>MAX(0,DA36+DA37-DA38)</x:f>
      </x:c>
      <x:c r="DB42" s="117" t="n">
        <x:f>MAX(0,DB36+DB37-DB38)</x:f>
      </x:c>
      <x:c r="DC42" s="117" t="n">
        <x:f>MAX(0,DC36+DC37-DC38)</x:f>
      </x:c>
      <x:c r="DD42" s="117" t="n">
        <x:f>MAX(0,DD36+DD37-DD38)</x:f>
      </x:c>
      <x:c r="DE42" s="117" t="n">
        <x:f>MAX(0,DE36+DE37-DE38)</x:f>
      </x:c>
      <x:c r="DF42" s="117" t="n">
        <x:f>MAX(0,DF36+DF37-DF38)</x:f>
      </x:c>
      <x:c r="DG42" s="117" t="n">
        <x:f>MAX(0,DG36+DG37-DG38)</x:f>
      </x:c>
      <x:c r="DH42" s="117" t="n">
        <x:f>MAX(0,DH36+DH37-DH38)</x:f>
      </x:c>
      <x:c r="DI42" s="117" t="n">
        <x:f>MAX(0,DI36+DI37-DI38)</x:f>
      </x:c>
      <x:c r="DJ42" s="117" t="n">
        <x:f>MAX(0,DJ36+DJ37-DJ38)</x:f>
      </x:c>
      <x:c r="DK42" s="117" t="n">
        <x:f>MAX(0,DK36+DK37-DK38)</x:f>
      </x:c>
      <x:c r="DL42" s="117" t="n">
        <x:f>MAX(0,DL36+DL37-DL38)</x:f>
      </x:c>
      <x:c r="DM42" s="117" t="n">
        <x:f>MAX(0,DM36+DM37-DM38)</x:f>
      </x:c>
      <x:c r="DN42" s="117" t="n">
        <x:f>MAX(0,DN36+DN37-DN38)</x:f>
      </x:c>
      <x:c r="DO42" s="117" t="n">
        <x:f>MAX(0,DO36+DO37-DO38)</x:f>
      </x:c>
      <x:c r="DP42" s="117" t="n">
        <x:f>MAX(0,DP36+DP37-DP38)</x:f>
      </x:c>
      <x:c r="DQ42" s="117" t="n">
        <x:f>MAX(0,DQ36+DQ37-DQ38)</x:f>
      </x:c>
      <x:c r="DR42" s="117" t="n">
        <x:f>MAX(0,DR36+DR37-DR38)</x:f>
      </x:c>
      <x:c r="DS42" s="117" t="n">
        <x:f>MAX(0,DS36+DS37-DS38)</x:f>
      </x:c>
      <x:c r="DT42" s="117" t="n">
        <x:f>MAX(0,DT36+DT37-DT38)</x:f>
      </x:c>
      <x:c r="DU42" s="117" t="n">
        <x:f>MAX(0,DU36+DU37-DU38)</x:f>
      </x:c>
      <x:c r="DV42" s="117" t="n">
        <x:f>MAX(0,DV36+DV37-DV38)</x:f>
      </x:c>
      <x:c r="DW42" s="117" t="n">
        <x:f>MAX(0,DW36+DW37-DW38)</x:f>
      </x:c>
      <x:c r="DX42" s="117" t="n">
        <x:f>MAX(0,DX36+DX37-DX38)</x:f>
      </x:c>
      <x:c r="DY42" s="117" t="n">
        <x:f>MAX(0,DY36+DY37-DY38)</x:f>
      </x:c>
      <x:c r="DZ42" s="117" t="n">
        <x:f>MAX(0,DZ36+DZ37-DZ38)</x:f>
      </x:c>
      <x:c r="EA42" s="117" t="n">
        <x:f>MAX(0,EA36+EA37-EA38)</x:f>
      </x:c>
      <x:c r="EB42" s="117" t="n">
        <x:f>MAX(0,EB36+EB37-EB38)</x:f>
      </x:c>
      <x:c r="EC42" s="117" t="n">
        <x:f>MAX(0,EC36+EC37-EC38)</x:f>
      </x:c>
      <x:c r="ED42" s="117" t="n">
        <x:f>MAX(0,ED36+ED37-ED38)</x:f>
      </x:c>
      <x:c r="EE42" s="117" t="n">
        <x:f>MAX(0,EE36+EE37-EE38)</x:f>
      </x:c>
      <x:c r="EF42" s="117" t="n">
        <x:f>MAX(0,EF36+EF37-EF38)</x:f>
      </x:c>
      <x:c r="EG42" s="117" t="n">
        <x:f>MAX(0,EG36+EG37-EG38)</x:f>
      </x:c>
      <x:c r="EH42" s="117" t="n">
        <x:f>MAX(0,EH36+EH37-EH38)</x:f>
      </x:c>
      <x:c r="EI42" s="117" t="n">
        <x:f>MAX(0,EI36+EI37-EI38)</x:f>
      </x:c>
      <x:c r="EJ42" s="117" t="n">
        <x:f>MAX(0,EJ36+EJ37-EJ38)</x:f>
      </x:c>
      <x:c r="EK42" s="117" t="n">
        <x:f>MAX(0,EK36+EK37-EK38)</x:f>
      </x:c>
      <x:c r="EL42" s="117" t="n">
        <x:f>MAX(0,EL36+EL37-EL38)</x:f>
      </x:c>
      <x:c r="EM42" s="117" t="n">
        <x:f>MAX(0,EM36+EM37-EM38)</x:f>
      </x:c>
      <x:c r="EN42" s="117" t="n">
        <x:f>MAX(0,EN36+EN37-EN38)</x:f>
      </x:c>
      <x:c r="EO42" s="117" t="n">
        <x:f>MAX(0,EO36+EO37-EO38)</x:f>
      </x:c>
      <x:c r="EP42" s="117" t="n">
        <x:f>MAX(0,EP36+EP37-EP38)</x:f>
      </x:c>
      <x:c r="EQ42" s="117" t="n">
        <x:f>MAX(0,EQ36+EQ37-EQ38)</x:f>
      </x:c>
      <x:c r="ER42" s="117" t="n">
        <x:f>MAX(0,ER36+ER37-ER38)</x:f>
      </x:c>
      <x:c r="ES42" s="117" t="n">
        <x:f>MAX(0,ES36+ES37-ES38)</x:f>
      </x:c>
      <x:c r="ET42" s="117" t="n">
        <x:f>MAX(0,ET36+ET37-ET38)</x:f>
      </x:c>
      <x:c r="EU42" s="117" t="n">
        <x:f>MAX(0,EU36+EU37-EU38)</x:f>
      </x:c>
      <x:c r="EV42" s="117" t="n">
        <x:f>MAX(0,EV36+EV37-EV38)</x:f>
      </x:c>
      <x:c r="EW42" s="117" t="n">
        <x:f>MAX(0,EW36+EW37-EW38)</x:f>
      </x:c>
      <x:c r="EX42" s="117" t="n">
        <x:f>MAX(0,EX36+EX37-EX38)</x:f>
      </x:c>
      <x:c r="EY42" s="117" t="n">
        <x:f>MAX(0,EY36+EY37-EY38)</x:f>
      </x:c>
      <x:c r="EZ42" s="117" t="n">
        <x:f>MAX(0,EZ36+EZ37-EZ38)</x:f>
      </x:c>
      <x:c r="FA42" s="117" t="n">
        <x:f>MAX(0,FA36+FA37-FA38)</x:f>
      </x:c>
      <x:c r="FB42" s="117" t="n">
        <x:f>MAX(0,FB36+FB37-FB38)</x:f>
      </x:c>
      <x:c r="FC42" s="117" t="n">
        <x:f>MAX(0,FC36+FC37-FC38)</x:f>
      </x:c>
      <x:c r="FD42" s="117" t="n">
        <x:f>MAX(0,FD36+FD37-FD38)</x:f>
      </x:c>
      <x:c r="FE42" s="117" t="n">
        <x:f>MAX(0,FE36+FE37-FE38)</x:f>
      </x:c>
      <x:c r="FF42" s="117" t="n">
        <x:f>MAX(0,FF36+FF37-FF38)</x:f>
      </x:c>
      <x:c r="FG42" s="117" t="n">
        <x:f>MAX(0,FG36+FG37-FG38)</x:f>
      </x:c>
      <x:c r="FH42" s="117" t="n">
        <x:f>MAX(0,FH36+FH37-FH38)</x:f>
      </x:c>
      <x:c r="FI42" s="117" t="n">
        <x:f>MAX(0,FI36+FI37-FI38)</x:f>
      </x:c>
      <x:c r="FJ42" s="117" t="n">
        <x:f>MAX(0,FJ36+FJ37-FJ38)</x:f>
      </x:c>
      <x:c r="FK42" s="117" t="n">
        <x:f>MAX(0,FK36+FK37-FK38)</x:f>
      </x:c>
      <x:c r="FL42" s="117" t="n">
        <x:f>MAX(0,FL36+FL37-FL38)</x:f>
      </x:c>
      <x:c r="FM42" s="117" t="n">
        <x:f>MAX(0,FM36+FM37-FM38)</x:f>
      </x:c>
      <x:c r="FN42" s="117" t="n">
        <x:f>MAX(0,FN36+FN37-FN38)</x:f>
      </x:c>
      <x:c r="FO42" s="117" t="n">
        <x:f>MAX(0,FO36+FO37-FO38)</x:f>
      </x:c>
      <x:c r="FP42" s="117" t="n">
        <x:f>MAX(0,FP36+FP37-FP38)</x:f>
      </x:c>
      <x:c r="FQ42" s="117" t="n">
        <x:f>MAX(0,FQ36+FQ37-FQ38)</x:f>
      </x:c>
      <x:c r="FR42" s="117" t="n">
        <x:f>MAX(0,FR36+FR37-FR38)</x:f>
      </x:c>
      <x:c r="FS42" s="117" t="n">
        <x:f>MAX(0,FS36+FS37-FS38)</x:f>
      </x:c>
      <x:c r="FT42" s="117" t="n">
        <x:f>MAX(0,FT36+FT37-FT38)</x:f>
      </x:c>
      <x:c r="FU42" s="117" t="n">
        <x:f>MAX(0,FU36+FU37-FU38)</x:f>
      </x:c>
      <x:c r="FV42" s="117" t="n">
        <x:f>MAX(0,FV36+FV37-FV38)</x:f>
      </x:c>
      <x:c r="FW42" s="117" t="n">
        <x:f>MAX(0,FW36+FW37-FW38)</x:f>
      </x:c>
      <x:c r="FX42" s="117" t="n">
        <x:f>MAX(0,FX36+FX37-FX38)</x:f>
      </x:c>
      <x:c r="FY42" s="117" t="n">
        <x:f>MAX(0,FY36+FY37-FY38)</x:f>
      </x:c>
      <x:c r="FZ42" s="117" t="n">
        <x:f>MAX(0,FZ36+FZ37-FZ38)</x:f>
      </x:c>
      <x:c r="GA42" s="117" t="n">
        <x:f>MAX(0,GA36+GA37-GA38)</x:f>
      </x:c>
    </x:row>
    <x:row r="43">
      <x:c r="A43" t="str">
        <x:v>Ставка по рассрочке</x:v>
      </x:c>
      <x:c r="B43" t="n">
        <x:f>IFERROR(SUMPRODUCT(D43:GA43,--(D36:GA36&gt;0))/COUNTIF(D36:GA36,"&gt;0"),0)</x:f>
      </x:c>
      <x:c r="C43" t="str">
        <x:v>% год</x:v>
      </x:c>
      <x:c r="D43" s="35" t="n">
        <x:f>'Ставки'!D$5+'Вводные'!$B$81</x:f>
      </x:c>
      <x:c r="E43" s="35" t="n">
        <x:f>'Ставки'!E$5+'Вводные'!$B$81</x:f>
      </x:c>
      <x:c r="F43" s="35" t="n">
        <x:f>'Ставки'!F$5+'Вводные'!$B$81</x:f>
      </x:c>
      <x:c r="G43" s="35" t="n">
        <x:f>'Ставки'!G$5+'Вводные'!$B$81</x:f>
      </x:c>
      <x:c r="H43" s="35" t="n">
        <x:f>'Ставки'!H$5+'Вводные'!$B$81</x:f>
      </x:c>
      <x:c r="I43" s="35" t="n">
        <x:f>'Ставки'!I$5+'Вводные'!$B$81</x:f>
      </x:c>
      <x:c r="J43" s="35" t="n">
        <x:f>'Ставки'!J$5+'Вводные'!$B$81</x:f>
      </x:c>
      <x:c r="K43" s="35" t="n">
        <x:f>'Ставки'!K$5+'Вводные'!$B$81</x:f>
      </x:c>
      <x:c r="L43" s="35" t="n">
        <x:f>'Ставки'!L$5+'Вводные'!$B$81</x:f>
      </x:c>
      <x:c r="M43" s="35" t="n">
        <x:f>'Ставки'!M$5+'Вводные'!$B$81</x:f>
      </x:c>
      <x:c r="N43" s="35" t="n">
        <x:f>'Ставки'!N$5+'Вводные'!$B$81</x:f>
      </x:c>
      <x:c r="O43" s="35" t="n">
        <x:f>'Ставки'!O$5+'Вводные'!$B$81</x:f>
      </x:c>
      <x:c r="P43" s="35" t="n">
        <x:f>'Ставки'!P$5+'Вводные'!$B$81</x:f>
      </x:c>
      <x:c r="Q43" s="35" t="n">
        <x:f>'Ставки'!Q$5+'Вводные'!$B$81</x:f>
      </x:c>
      <x:c r="R43" s="35" t="n">
        <x:f>'Ставки'!R$5+'Вводные'!$B$81</x:f>
      </x:c>
      <x:c r="S43" s="35" t="n">
        <x:f>'Ставки'!S$5+'Вводные'!$B$81</x:f>
      </x:c>
      <x:c r="T43" s="35" t="n">
        <x:f>'Ставки'!T$5+'Вводные'!$B$81</x:f>
      </x:c>
      <x:c r="U43" s="35" t="n">
        <x:f>'Ставки'!U$5+'Вводные'!$B$81</x:f>
      </x:c>
      <x:c r="V43" s="35" t="n">
        <x:f>'Ставки'!V$5+'Вводные'!$B$81</x:f>
      </x:c>
      <x:c r="W43" s="35" t="n">
        <x:f>'Ставки'!W$5+'Вводные'!$B$81</x:f>
      </x:c>
      <x:c r="X43" s="35" t="n">
        <x:f>'Ставки'!X$5+'Вводные'!$B$81</x:f>
      </x:c>
      <x:c r="Y43" s="35" t="n">
        <x:f>'Ставки'!Y$5+'Вводные'!$B$81</x:f>
      </x:c>
      <x:c r="Z43" s="35" t="n">
        <x:f>'Ставки'!Z$5+'Вводные'!$B$81</x:f>
      </x:c>
      <x:c r="AA43" s="35" t="n">
        <x:f>'Ставки'!AA$5+'Вводные'!$B$81</x:f>
      </x:c>
      <x:c r="AB43" s="35" t="n">
        <x:f>'Ставки'!AB$5+'Вводные'!$B$81</x:f>
      </x:c>
      <x:c r="AC43" s="35" t="n">
        <x:f>'Ставки'!AC$5+'Вводные'!$B$81</x:f>
      </x:c>
      <x:c r="AD43" s="35" t="n">
        <x:f>'Ставки'!AD$5+'Вводные'!$B$81</x:f>
      </x:c>
      <x:c r="AE43" s="35" t="n">
        <x:f>'Ставки'!AE$5+'Вводные'!$B$81</x:f>
      </x:c>
      <x:c r="AF43" s="35" t="n">
        <x:f>'Ставки'!AF$5+'Вводные'!$B$81</x:f>
      </x:c>
      <x:c r="AG43" s="35" t="n">
        <x:f>'Ставки'!AG$5+'Вводные'!$B$81</x:f>
      </x:c>
      <x:c r="AH43" s="35" t="n">
        <x:f>'Ставки'!AH$5+'Вводные'!$B$81</x:f>
      </x:c>
      <x:c r="AI43" s="35" t="n">
        <x:f>'Ставки'!AI$5+'Вводные'!$B$81</x:f>
      </x:c>
      <x:c r="AJ43" s="35" t="n">
        <x:f>'Ставки'!AJ$5+'Вводные'!$B$81</x:f>
      </x:c>
      <x:c r="AK43" s="35" t="n">
        <x:f>'Ставки'!AK$5+'Вводные'!$B$81</x:f>
      </x:c>
      <x:c r="AL43" s="35" t="n">
        <x:f>'Ставки'!AL$5+'Вводные'!$B$81</x:f>
      </x:c>
      <x:c r="AM43" s="35" t="n">
        <x:f>'Ставки'!AM$5+'Вводные'!$B$81</x:f>
      </x:c>
      <x:c r="AN43" s="35" t="n">
        <x:f>'Ставки'!AN$5+'Вводные'!$B$81</x:f>
      </x:c>
      <x:c r="AO43" s="35" t="n">
        <x:f>'Ставки'!AO$5+'Вводные'!$B$81</x:f>
      </x:c>
      <x:c r="AP43" s="35" t="n">
        <x:f>'Ставки'!AP$5+'Вводные'!$B$81</x:f>
      </x:c>
      <x:c r="AQ43" s="35" t="n">
        <x:f>'Ставки'!AQ$5+'Вводные'!$B$81</x:f>
      </x:c>
      <x:c r="AR43" s="35" t="n">
        <x:f>'Ставки'!AR$5+'Вводные'!$B$81</x:f>
      </x:c>
      <x:c r="AS43" s="35" t="n">
        <x:f>'Ставки'!AS$5+'Вводные'!$B$81</x:f>
      </x:c>
      <x:c r="AT43" s="35" t="n">
        <x:f>'Ставки'!AT$5+'Вводные'!$B$81</x:f>
      </x:c>
      <x:c r="AU43" s="35" t="n">
        <x:f>'Ставки'!AU$5+'Вводные'!$B$81</x:f>
      </x:c>
      <x:c r="AV43" s="35" t="n">
        <x:f>'Ставки'!AV$5+'Вводные'!$B$81</x:f>
      </x:c>
      <x:c r="AW43" s="35" t="n">
        <x:f>'Ставки'!AW$5+'Вводные'!$B$81</x:f>
      </x:c>
      <x:c r="AX43" s="35" t="n">
        <x:f>'Ставки'!AX$5+'Вводные'!$B$81</x:f>
      </x:c>
      <x:c r="AY43" s="35" t="n">
        <x:f>'Ставки'!AY$5+'Вводные'!$B$81</x:f>
      </x:c>
      <x:c r="AZ43" s="35" t="n">
        <x:f>'Ставки'!AZ$5+'Вводные'!$B$81</x:f>
      </x:c>
      <x:c r="BA43" s="35" t="n">
        <x:f>'Ставки'!BA$5+'Вводные'!$B$81</x:f>
      </x:c>
      <x:c r="BB43" s="35" t="n">
        <x:f>'Ставки'!BB$5+'Вводные'!$B$81</x:f>
      </x:c>
      <x:c r="BC43" s="35" t="n">
        <x:f>'Ставки'!BC$5+'Вводные'!$B$81</x:f>
      </x:c>
      <x:c r="BD43" s="35" t="n">
        <x:f>'Ставки'!BD$5+'Вводные'!$B$81</x:f>
      </x:c>
      <x:c r="BE43" s="35" t="n">
        <x:f>'Ставки'!BE$5+'Вводные'!$B$81</x:f>
      </x:c>
      <x:c r="BF43" s="35" t="n">
        <x:f>'Ставки'!BF$5+'Вводные'!$B$81</x:f>
      </x:c>
      <x:c r="BG43" s="35" t="n">
        <x:f>'Ставки'!BG$5+'Вводные'!$B$81</x:f>
      </x:c>
      <x:c r="BH43" s="35" t="n">
        <x:f>'Ставки'!BH$5+'Вводные'!$B$81</x:f>
      </x:c>
      <x:c r="BI43" s="35" t="n">
        <x:f>'Ставки'!BI$5+'Вводные'!$B$81</x:f>
      </x:c>
      <x:c r="BJ43" s="35" t="n">
        <x:f>'Ставки'!BJ$5+'Вводные'!$B$81</x:f>
      </x:c>
      <x:c r="BK43" s="35" t="n">
        <x:f>'Ставки'!BK$5+'Вводные'!$B$81</x:f>
      </x:c>
      <x:c r="BL43" s="35" t="n">
        <x:f>'Ставки'!BL$5+'Вводные'!$B$81</x:f>
      </x:c>
      <x:c r="BM43" s="35" t="n">
        <x:f>'Ставки'!BM$5+'Вводные'!$B$81</x:f>
      </x:c>
      <x:c r="BN43" s="35" t="n">
        <x:f>'Ставки'!BN$5+'Вводные'!$B$81</x:f>
      </x:c>
      <x:c r="BO43" s="35" t="n">
        <x:f>'Ставки'!BO$5+'Вводные'!$B$81</x:f>
      </x:c>
      <x:c r="BP43" s="35" t="n">
        <x:f>'Ставки'!BP$5+'Вводные'!$B$81</x:f>
      </x:c>
      <x:c r="BQ43" s="35" t="n">
        <x:f>'Ставки'!BQ$5+'Вводные'!$B$81</x:f>
      </x:c>
      <x:c r="BR43" s="35" t="n">
        <x:f>'Ставки'!BR$5+'Вводные'!$B$81</x:f>
      </x:c>
      <x:c r="BS43" s="35" t="n">
        <x:f>'Ставки'!BS$5+'Вводные'!$B$81</x:f>
      </x:c>
      <x:c r="BT43" s="35" t="n">
        <x:f>'Ставки'!BT$5+'Вводные'!$B$81</x:f>
      </x:c>
      <x:c r="BU43" s="35" t="n">
        <x:f>'Ставки'!BU$5+'Вводные'!$B$81</x:f>
      </x:c>
      <x:c r="BV43" s="35" t="n">
        <x:f>'Ставки'!BV$5+'Вводные'!$B$81</x:f>
      </x:c>
      <x:c r="BW43" s="35" t="n">
        <x:f>'Ставки'!BW$5+'Вводные'!$B$81</x:f>
      </x:c>
      <x:c r="BX43" s="35" t="n">
        <x:f>'Ставки'!BX$5+'Вводные'!$B$81</x:f>
      </x:c>
      <x:c r="BY43" s="35" t="n">
        <x:f>'Ставки'!BY$5+'Вводные'!$B$81</x:f>
      </x:c>
      <x:c r="BZ43" s="35" t="n">
        <x:f>'Ставки'!BZ$5+'Вводные'!$B$81</x:f>
      </x:c>
      <x:c r="CA43" s="35" t="n">
        <x:f>'Ставки'!CA$5+'Вводные'!$B$81</x:f>
      </x:c>
      <x:c r="CB43" s="35" t="n">
        <x:f>'Ставки'!CB$5+'Вводные'!$B$81</x:f>
      </x:c>
      <x:c r="CC43" s="35" t="n">
        <x:f>'Ставки'!CC$5+'Вводные'!$B$81</x:f>
      </x:c>
      <x:c r="CD43" s="35" t="n">
        <x:f>'Ставки'!CD$5+'Вводные'!$B$81</x:f>
      </x:c>
      <x:c r="CE43" s="35" t="n">
        <x:f>'Ставки'!CE$5+'Вводные'!$B$81</x:f>
      </x:c>
      <x:c r="CF43" s="35" t="n">
        <x:f>'Ставки'!CF$5+'Вводные'!$B$81</x:f>
      </x:c>
      <x:c r="CG43" s="35" t="n">
        <x:f>'Ставки'!CG$5+'Вводные'!$B$81</x:f>
      </x:c>
      <x:c r="CH43" s="35" t="n">
        <x:f>'Ставки'!CH$5+'Вводные'!$B$81</x:f>
      </x:c>
      <x:c r="CI43" s="35" t="n">
        <x:f>'Ставки'!CI$5+'Вводные'!$B$81</x:f>
      </x:c>
      <x:c r="CJ43" s="35" t="n">
        <x:f>'Ставки'!CJ$5+'Вводные'!$B$81</x:f>
      </x:c>
      <x:c r="CK43" s="35" t="n">
        <x:f>'Ставки'!CK$5+'Вводные'!$B$81</x:f>
      </x:c>
      <x:c r="CL43" s="35" t="n">
        <x:f>'Ставки'!CL$5+'Вводные'!$B$81</x:f>
      </x:c>
      <x:c r="CM43" s="35" t="n">
        <x:f>'Ставки'!CM$5+'Вводные'!$B$81</x:f>
      </x:c>
      <x:c r="CN43" s="35" t="n">
        <x:f>'Ставки'!CN$5+'Вводные'!$B$81</x:f>
      </x:c>
      <x:c r="CO43" s="35" t="n">
        <x:f>'Ставки'!CO$5+'Вводные'!$B$81</x:f>
      </x:c>
      <x:c r="CP43" s="35" t="n">
        <x:f>'Ставки'!CP$5+'Вводные'!$B$81</x:f>
      </x:c>
      <x:c r="CQ43" s="35" t="n">
        <x:f>'Ставки'!CQ$5+'Вводные'!$B$81</x:f>
      </x:c>
      <x:c r="CR43" s="35" t="n">
        <x:f>'Ставки'!CR$5+'Вводные'!$B$81</x:f>
      </x:c>
      <x:c r="CS43" s="35" t="n">
        <x:f>'Ставки'!CS$5+'Вводные'!$B$81</x:f>
      </x:c>
      <x:c r="CT43" s="35" t="n">
        <x:f>'Ставки'!CT$5+'Вводные'!$B$81</x:f>
      </x:c>
      <x:c r="CU43" s="35" t="n">
        <x:f>'Ставки'!CU$5+'Вводные'!$B$81</x:f>
      </x:c>
      <x:c r="CV43" s="35" t="n">
        <x:f>'Ставки'!CV$5+'Вводные'!$B$81</x:f>
      </x:c>
      <x:c r="CW43" s="35" t="n">
        <x:f>'Ставки'!CW$5+'Вводные'!$B$81</x:f>
      </x:c>
      <x:c r="CX43" s="35" t="n">
        <x:f>'Ставки'!CX$5+'Вводные'!$B$81</x:f>
      </x:c>
      <x:c r="CY43" s="35" t="n">
        <x:f>'Ставки'!CY$5+'Вводные'!$B$81</x:f>
      </x:c>
      <x:c r="CZ43" s="35" t="n">
        <x:f>'Ставки'!CZ$5+'Вводные'!$B$81</x:f>
      </x:c>
      <x:c r="DA43" s="35" t="n">
        <x:f>'Ставки'!DA$5+'Вводные'!$B$81</x:f>
      </x:c>
      <x:c r="DB43" s="35" t="n">
        <x:f>'Ставки'!DB$5+'Вводные'!$B$81</x:f>
      </x:c>
      <x:c r="DC43" s="35" t="n">
        <x:f>'Ставки'!DC$5+'Вводные'!$B$81</x:f>
      </x:c>
      <x:c r="DD43" s="35" t="n">
        <x:f>'Ставки'!DD$5+'Вводные'!$B$81</x:f>
      </x:c>
      <x:c r="DE43" s="35" t="n">
        <x:f>'Ставки'!DE$5+'Вводные'!$B$81</x:f>
      </x:c>
      <x:c r="DF43" s="35" t="n">
        <x:f>'Ставки'!DF$5+'Вводные'!$B$81</x:f>
      </x:c>
      <x:c r="DG43" s="35" t="n">
        <x:f>'Ставки'!DG$5+'Вводные'!$B$81</x:f>
      </x:c>
      <x:c r="DH43" s="35" t="n">
        <x:f>'Ставки'!DH$5+'Вводные'!$B$81</x:f>
      </x:c>
      <x:c r="DI43" s="35" t="n">
        <x:f>'Ставки'!DI$5+'Вводные'!$B$81</x:f>
      </x:c>
      <x:c r="DJ43" s="35" t="n">
        <x:f>'Ставки'!DJ$5+'Вводные'!$B$81</x:f>
      </x:c>
      <x:c r="DK43" s="35" t="n">
        <x:f>'Ставки'!DK$5+'Вводные'!$B$81</x:f>
      </x:c>
      <x:c r="DL43" s="35" t="n">
        <x:f>'Ставки'!DL$5+'Вводные'!$B$81</x:f>
      </x:c>
      <x:c r="DM43" s="35" t="n">
        <x:f>'Ставки'!DM$5+'Вводные'!$B$81</x:f>
      </x:c>
      <x:c r="DN43" s="35" t="n">
        <x:f>'Ставки'!DN$5+'Вводные'!$B$81</x:f>
      </x:c>
      <x:c r="DO43" s="35" t="n">
        <x:f>'Ставки'!DO$5+'Вводные'!$B$81</x:f>
      </x:c>
      <x:c r="DP43" s="35" t="n">
        <x:f>'Ставки'!DP$5+'Вводные'!$B$81</x:f>
      </x:c>
      <x:c r="DQ43" s="35" t="n">
        <x:f>'Ставки'!DQ$5+'Вводные'!$B$81</x:f>
      </x:c>
      <x:c r="DR43" s="35" t="n">
        <x:f>'Ставки'!DR$5+'Вводные'!$B$81</x:f>
      </x:c>
      <x:c r="DS43" s="35" t="n">
        <x:f>'Ставки'!DS$5+'Вводные'!$B$81</x:f>
      </x:c>
      <x:c r="DT43" s="35" t="n">
        <x:f>'Ставки'!DT$5+'Вводные'!$B$81</x:f>
      </x:c>
      <x:c r="DU43" s="35" t="n">
        <x:f>'Ставки'!DU$5+'Вводные'!$B$81</x:f>
      </x:c>
      <x:c r="DV43" s="35" t="n">
        <x:f>'Ставки'!DV$5+'Вводные'!$B$81</x:f>
      </x:c>
      <x:c r="DW43" s="35" t="n">
        <x:f>'Ставки'!DW$5+'Вводные'!$B$81</x:f>
      </x:c>
      <x:c r="DX43" s="35" t="n">
        <x:f>'Ставки'!DX$5+'Вводные'!$B$81</x:f>
      </x:c>
      <x:c r="DY43" s="35" t="n">
        <x:f>'Ставки'!DY$5+'Вводные'!$B$81</x:f>
      </x:c>
      <x:c r="DZ43" s="35" t="n">
        <x:f>'Ставки'!DZ$5+'Вводные'!$B$81</x:f>
      </x:c>
      <x:c r="EA43" s="35" t="n">
        <x:f>'Ставки'!EA$5+'Вводные'!$B$81</x:f>
      </x:c>
      <x:c r="EB43" s="35" t="n">
        <x:f>'Ставки'!EB$5+'Вводные'!$B$81</x:f>
      </x:c>
      <x:c r="EC43" s="35" t="n">
        <x:f>'Ставки'!EC$5+'Вводные'!$B$81</x:f>
      </x:c>
      <x:c r="ED43" s="35" t="n">
        <x:f>'Ставки'!ED$5+'Вводные'!$B$81</x:f>
      </x:c>
      <x:c r="EE43" s="35" t="n">
        <x:f>'Ставки'!EE$5+'Вводные'!$B$81</x:f>
      </x:c>
      <x:c r="EF43" s="35" t="n">
        <x:f>'Ставки'!EF$5+'Вводные'!$B$81</x:f>
      </x:c>
      <x:c r="EG43" s="35" t="n">
        <x:f>'Ставки'!EG$5+'Вводные'!$B$81</x:f>
      </x:c>
      <x:c r="EH43" s="35" t="n">
        <x:f>'Ставки'!EH$5+'Вводные'!$B$81</x:f>
      </x:c>
      <x:c r="EI43" s="35" t="n">
        <x:f>'Ставки'!EI$5+'Вводные'!$B$81</x:f>
      </x:c>
      <x:c r="EJ43" s="35" t="n">
        <x:f>'Ставки'!EJ$5+'Вводные'!$B$81</x:f>
      </x:c>
      <x:c r="EK43" s="35" t="n">
        <x:f>'Ставки'!EK$5+'Вводные'!$B$81</x:f>
      </x:c>
      <x:c r="EL43" s="35" t="n">
        <x:f>'Ставки'!EL$5+'Вводные'!$B$81</x:f>
      </x:c>
      <x:c r="EM43" s="35" t="n">
        <x:f>'Ставки'!EM$5+'Вводные'!$B$81</x:f>
      </x:c>
      <x:c r="EN43" s="35" t="n">
        <x:f>'Ставки'!EN$5+'Вводные'!$B$81</x:f>
      </x:c>
      <x:c r="EO43" s="35" t="n">
        <x:f>'Ставки'!EO$5+'Вводные'!$B$81</x:f>
      </x:c>
      <x:c r="EP43" s="35" t="n">
        <x:f>'Ставки'!EP$5+'Вводные'!$B$81</x:f>
      </x:c>
      <x:c r="EQ43" s="35" t="n">
        <x:f>'Ставки'!EQ$5+'Вводные'!$B$81</x:f>
      </x:c>
      <x:c r="ER43" s="35" t="n">
        <x:f>'Ставки'!ER$5+'Вводные'!$B$81</x:f>
      </x:c>
      <x:c r="ES43" s="35" t="n">
        <x:f>'Ставки'!ES$5+'Вводные'!$B$81</x:f>
      </x:c>
      <x:c r="ET43" s="35" t="n">
        <x:f>'Ставки'!ET$5+'Вводные'!$B$81</x:f>
      </x:c>
      <x:c r="EU43" s="35" t="n">
        <x:f>'Ставки'!EU$5+'Вводные'!$B$81</x:f>
      </x:c>
      <x:c r="EV43" s="35" t="n">
        <x:f>'Ставки'!EV$5+'Вводные'!$B$81</x:f>
      </x:c>
      <x:c r="EW43" s="35" t="n">
        <x:f>'Ставки'!EW$5+'Вводные'!$B$81</x:f>
      </x:c>
      <x:c r="EX43" s="35" t="n">
        <x:f>'Ставки'!EX$5+'Вводные'!$B$81</x:f>
      </x:c>
      <x:c r="EY43" s="35" t="n">
        <x:f>'Ставки'!EY$5+'Вводные'!$B$81</x:f>
      </x:c>
      <x:c r="EZ43" s="35" t="n">
        <x:f>'Ставки'!EZ$5+'Вводные'!$B$81</x:f>
      </x:c>
      <x:c r="FA43" s="35" t="n">
        <x:f>'Ставки'!FA$5+'Вводные'!$B$81</x:f>
      </x:c>
      <x:c r="FB43" s="35" t="n">
        <x:f>'Ставки'!FB$5+'Вводные'!$B$81</x:f>
      </x:c>
      <x:c r="FC43" s="35" t="n">
        <x:f>'Ставки'!FC$5+'Вводные'!$B$81</x:f>
      </x:c>
      <x:c r="FD43" s="35" t="n">
        <x:f>'Ставки'!FD$5+'Вводные'!$B$81</x:f>
      </x:c>
      <x:c r="FE43" s="35" t="n">
        <x:f>'Ставки'!FE$5+'Вводные'!$B$81</x:f>
      </x:c>
      <x:c r="FF43" s="35" t="n">
        <x:f>'Ставки'!FF$5+'Вводные'!$B$81</x:f>
      </x:c>
      <x:c r="FG43" s="35" t="n">
        <x:f>'Ставки'!FG$5+'Вводные'!$B$81</x:f>
      </x:c>
      <x:c r="FH43" s="35" t="n">
        <x:f>'Ставки'!FH$5+'Вводные'!$B$81</x:f>
      </x:c>
      <x:c r="FI43" s="35" t="n">
        <x:f>'Ставки'!FI$5+'Вводные'!$B$81</x:f>
      </x:c>
      <x:c r="FJ43" s="35" t="n">
        <x:f>'Ставки'!FJ$5+'Вводные'!$B$81</x:f>
      </x:c>
      <x:c r="FK43" s="35" t="n">
        <x:f>'Ставки'!FK$5+'Вводные'!$B$81</x:f>
      </x:c>
      <x:c r="FL43" s="35" t="n">
        <x:f>'Ставки'!FL$5+'Вводные'!$B$81</x:f>
      </x:c>
      <x:c r="FM43" s="35" t="n">
        <x:f>'Ставки'!FM$5+'Вводные'!$B$81</x:f>
      </x:c>
      <x:c r="FN43" s="35" t="n">
        <x:f>'Ставки'!FN$5+'Вводные'!$B$81</x:f>
      </x:c>
      <x:c r="FO43" s="35" t="n">
        <x:f>'Ставки'!FO$5+'Вводные'!$B$81</x:f>
      </x:c>
      <x:c r="FP43" s="35" t="n">
        <x:f>'Ставки'!FP$5+'Вводные'!$B$81</x:f>
      </x:c>
      <x:c r="FQ43" s="35" t="n">
        <x:f>'Ставки'!FQ$5+'Вводные'!$B$81</x:f>
      </x:c>
      <x:c r="FR43" s="35" t="n">
        <x:f>'Ставки'!FR$5+'Вводные'!$B$81</x:f>
      </x:c>
      <x:c r="FS43" s="35" t="n">
        <x:f>'Ставки'!FS$5+'Вводные'!$B$81</x:f>
      </x:c>
      <x:c r="FT43" s="35" t="n">
        <x:f>'Ставки'!FT$5+'Вводные'!$B$81</x:f>
      </x:c>
      <x:c r="FU43" s="35" t="n">
        <x:f>'Ставки'!FU$5+'Вводные'!$B$81</x:f>
      </x:c>
      <x:c r="FV43" s="35" t="n">
        <x:f>'Ставки'!FV$5+'Вводные'!$B$81</x:f>
      </x:c>
      <x:c r="FW43" s="35" t="n">
        <x:f>'Ставки'!FW$5+'Вводные'!$B$81</x:f>
      </x:c>
      <x:c r="FX43" s="35" t="n">
        <x:f>'Ставки'!FX$5+'Вводные'!$B$81</x:f>
      </x:c>
      <x:c r="FY43" s="35" t="n">
        <x:f>'Ставки'!FY$5+'Вводные'!$B$81</x:f>
      </x:c>
      <x:c r="FZ43" s="35" t="n">
        <x:f>'Ставки'!FZ$5+'Вводные'!$B$81</x:f>
      </x:c>
      <x:c r="GA43" s="35" t="n">
        <x:f>'Ставки'!GA$5+'Вводные'!$B$81</x:f>
      </x:c>
    </x:row>
    <x:row r="45" ht="21" customHeight="1">
      <x:c r="A45" s="52" t="str">
        <x:v>ОЧЕРЕДЬ 4</x:v>
      </x:c>
      <x:c r="B45" s="53" t="str">
        <x:v>ОЧЕРЕДЬ 4</x:v>
      </x:c>
      <x:c r="C45" s="53" t="str">
        <x:v>ОЧЕРЕДЬ 4</x:v>
      </x:c>
      <x:c r="D45" s="53" t="str">
        <x:v>ОЧЕРЕДЬ 4</x:v>
      </x:c>
      <x:c r="E45" s="53" t="str">
        <x:v>ОЧЕРЕДЬ 4</x:v>
      </x:c>
      <x:c r="F45" s="53" t="str">
        <x:v>ОЧЕРЕДЬ 4</x:v>
      </x:c>
      <x:c r="G45" s="53" t="str">
        <x:v>ОЧЕРЕДЬ 4</x:v>
      </x:c>
      <x:c r="H45" s="53" t="str">
        <x:v>ОЧЕРЕДЬ 4</x:v>
      </x:c>
      <x:c r="I45" s="53" t="str">
        <x:v>ОЧЕРЕДЬ 4</x:v>
      </x:c>
      <x:c r="J45" s="53" t="str">
        <x:v>ОЧЕРЕДЬ 4</x:v>
      </x:c>
      <x:c r="K45" s="53" t="str">
        <x:v>ОЧЕРЕДЬ 4</x:v>
      </x:c>
      <x:c r="L45" s="53" t="str">
        <x:v>ОЧЕРЕДЬ 4</x:v>
      </x:c>
      <x:c r="M45" s="53" t="str">
        <x:v>ОЧЕРЕДЬ 4</x:v>
      </x:c>
      <x:c r="N45" s="53" t="str">
        <x:v>ОЧЕРЕДЬ 4</x:v>
      </x:c>
      <x:c r="O45" s="53" t="str">
        <x:v>ОЧЕРЕДЬ 4</x:v>
      </x:c>
      <x:c r="P45" s="53" t="str">
        <x:v>ОЧЕРЕДЬ 4</x:v>
      </x:c>
      <x:c r="Q45" s="53" t="str">
        <x:v>ОЧЕРЕДЬ 4</x:v>
      </x:c>
      <x:c r="R45" s="53" t="str">
        <x:v>ОЧЕРЕДЬ 4</x:v>
      </x:c>
      <x:c r="S45" s="53" t="str">
        <x:v>ОЧЕРЕДЬ 4</x:v>
      </x:c>
      <x:c r="T45" s="53" t="str">
        <x:v>ОЧЕРЕДЬ 4</x:v>
      </x:c>
      <x:c r="U45" s="53" t="str">
        <x:v>ОЧЕРЕДЬ 4</x:v>
      </x:c>
      <x:c r="V45" s="53" t="str">
        <x:v>ОЧЕРЕДЬ 4</x:v>
      </x:c>
      <x:c r="W45" s="53" t="str">
        <x:v>ОЧЕРЕДЬ 4</x:v>
      </x:c>
      <x:c r="X45" s="53" t="str">
        <x:v>ОЧЕРЕДЬ 4</x:v>
      </x:c>
      <x:c r="Y45" s="53" t="str">
        <x:v>ОЧЕРЕДЬ 4</x:v>
      </x:c>
      <x:c r="Z45" s="53" t="str">
        <x:v>ОЧЕРЕДЬ 4</x:v>
      </x:c>
      <x:c r="AA45" s="53" t="str">
        <x:v>ОЧЕРЕДЬ 4</x:v>
      </x:c>
      <x:c r="AB45" s="53" t="str">
        <x:v>ОЧЕРЕДЬ 4</x:v>
      </x:c>
      <x:c r="AC45" s="53" t="str">
        <x:v>ОЧЕРЕДЬ 4</x:v>
      </x:c>
      <x:c r="AD45" s="53" t="str">
        <x:v>ОЧЕРЕДЬ 4</x:v>
      </x:c>
      <x:c r="AE45" s="53" t="str">
        <x:v>ОЧЕРЕДЬ 4</x:v>
      </x:c>
      <x:c r="AF45" s="53" t="str">
        <x:v>ОЧЕРЕДЬ 4</x:v>
      </x:c>
      <x:c r="AG45" s="53" t="str">
        <x:v>ОЧЕРЕДЬ 4</x:v>
      </x:c>
      <x:c r="AH45" s="53" t="str">
        <x:v>ОЧЕРЕДЬ 4</x:v>
      </x:c>
      <x:c r="AI45" s="53" t="str">
        <x:v>ОЧЕРЕДЬ 4</x:v>
      </x:c>
      <x:c r="AJ45" s="53" t="str">
        <x:v>ОЧЕРЕДЬ 4</x:v>
      </x:c>
      <x:c r="AK45" s="53" t="str">
        <x:v>ОЧЕРЕДЬ 4</x:v>
      </x:c>
      <x:c r="AL45" s="53" t="str">
        <x:v>ОЧЕРЕДЬ 4</x:v>
      </x:c>
      <x:c r="AM45" s="53" t="str">
        <x:v>ОЧЕРЕДЬ 4</x:v>
      </x:c>
      <x:c r="AN45" s="53" t="str">
        <x:v>ОЧЕРЕДЬ 4</x:v>
      </x:c>
      <x:c r="AO45" s="53" t="str">
        <x:v>ОЧЕРЕДЬ 4</x:v>
      </x:c>
      <x:c r="AP45" s="53" t="str">
        <x:v>ОЧЕРЕДЬ 4</x:v>
      </x:c>
      <x:c r="AQ45" s="53" t="str">
        <x:v>ОЧЕРЕДЬ 4</x:v>
      </x:c>
      <x:c r="AR45" s="53" t="str">
        <x:v>ОЧЕРЕДЬ 4</x:v>
      </x:c>
      <x:c r="AS45" s="53" t="str">
        <x:v>ОЧЕРЕДЬ 4</x:v>
      </x:c>
      <x:c r="AT45" s="53" t="str">
        <x:v>ОЧЕРЕДЬ 4</x:v>
      </x:c>
      <x:c r="AU45" s="53" t="str">
        <x:v>ОЧЕРЕДЬ 4</x:v>
      </x:c>
      <x:c r="AV45" s="53" t="str">
        <x:v>ОЧЕРЕДЬ 4</x:v>
      </x:c>
      <x:c r="AW45" s="53" t="str">
        <x:v>ОЧЕРЕДЬ 4</x:v>
      </x:c>
      <x:c r="AX45" s="53" t="str">
        <x:v>ОЧЕРЕДЬ 4</x:v>
      </x:c>
      <x:c r="AY45" s="53" t="str">
        <x:v>ОЧЕРЕДЬ 4</x:v>
      </x:c>
      <x:c r="AZ45" s="53" t="str">
        <x:v>ОЧЕРЕДЬ 4</x:v>
      </x:c>
      <x:c r="BA45" s="53" t="str">
        <x:v>ОЧЕРЕДЬ 4</x:v>
      </x:c>
      <x:c r="BB45" s="53" t="str">
        <x:v>ОЧЕРЕДЬ 4</x:v>
      </x:c>
      <x:c r="BC45" s="53" t="str">
        <x:v>ОЧЕРЕДЬ 4</x:v>
      </x:c>
      <x:c r="BD45" s="53" t="str">
        <x:v>ОЧЕРЕДЬ 4</x:v>
      </x:c>
      <x:c r="BE45" s="53" t="str">
        <x:v>ОЧЕРЕДЬ 4</x:v>
      </x:c>
      <x:c r="BF45" s="53" t="str">
        <x:v>ОЧЕРЕДЬ 4</x:v>
      </x:c>
      <x:c r="BG45" s="53" t="str">
        <x:v>ОЧЕРЕДЬ 4</x:v>
      </x:c>
      <x:c r="BH45" s="53" t="str">
        <x:v>ОЧЕРЕДЬ 4</x:v>
      </x:c>
      <x:c r="BI45" s="53" t="str">
        <x:v>ОЧЕРЕДЬ 4</x:v>
      </x:c>
      <x:c r="BJ45" s="53" t="str">
        <x:v>ОЧЕРЕДЬ 4</x:v>
      </x:c>
      <x:c r="BK45" s="53" t="str">
        <x:v>ОЧЕРЕДЬ 4</x:v>
      </x:c>
      <x:c r="BL45" s="53" t="str">
        <x:v>ОЧЕРЕДЬ 4</x:v>
      </x:c>
      <x:c r="BM45" s="53" t="str">
        <x:v>ОЧЕРЕДЬ 4</x:v>
      </x:c>
      <x:c r="BN45" s="53" t="str">
        <x:v>ОЧЕРЕДЬ 4</x:v>
      </x:c>
      <x:c r="BO45" s="53" t="str">
        <x:v>ОЧЕРЕДЬ 4</x:v>
      </x:c>
      <x:c r="BP45" s="53" t="str">
        <x:v>ОЧЕРЕДЬ 4</x:v>
      </x:c>
      <x:c r="BQ45" s="53" t="str">
        <x:v>ОЧЕРЕДЬ 4</x:v>
      </x:c>
      <x:c r="BR45" s="53" t="str">
        <x:v>ОЧЕРЕДЬ 4</x:v>
      </x:c>
      <x:c r="BS45" s="53" t="str">
        <x:v>ОЧЕРЕДЬ 4</x:v>
      </x:c>
      <x:c r="BT45" s="53" t="str">
        <x:v>ОЧЕРЕДЬ 4</x:v>
      </x:c>
      <x:c r="BU45" s="53" t="str">
        <x:v>ОЧЕРЕДЬ 4</x:v>
      </x:c>
      <x:c r="BV45" s="53" t="str">
        <x:v>ОЧЕРЕДЬ 4</x:v>
      </x:c>
      <x:c r="BW45" s="53" t="str">
        <x:v>ОЧЕРЕДЬ 4</x:v>
      </x:c>
      <x:c r="BX45" s="53" t="str">
        <x:v>ОЧЕРЕДЬ 4</x:v>
      </x:c>
      <x:c r="BY45" s="53" t="str">
        <x:v>ОЧЕРЕДЬ 4</x:v>
      </x:c>
      <x:c r="BZ45" s="53" t="str">
        <x:v>ОЧЕРЕДЬ 4</x:v>
      </x:c>
      <x:c r="CA45" s="53" t="str">
        <x:v>ОЧЕРЕДЬ 4</x:v>
      </x:c>
      <x:c r="CB45" s="53" t="str">
        <x:v>ОЧЕРЕДЬ 4</x:v>
      </x:c>
      <x:c r="CC45" s="53" t="str">
        <x:v>ОЧЕРЕДЬ 4</x:v>
      </x:c>
      <x:c r="CD45" s="53" t="str">
        <x:v>ОЧЕРЕДЬ 4</x:v>
      </x:c>
      <x:c r="CE45" s="53" t="str">
        <x:v>ОЧЕРЕДЬ 4</x:v>
      </x:c>
      <x:c r="CF45" s="53" t="str">
        <x:v>ОЧЕРЕДЬ 4</x:v>
      </x:c>
      <x:c r="CG45" s="53" t="str">
        <x:v>ОЧЕРЕДЬ 4</x:v>
      </x:c>
      <x:c r="CH45" s="53" t="str">
        <x:v>ОЧЕРЕДЬ 4</x:v>
      </x:c>
      <x:c r="CI45" s="53" t="str">
        <x:v>ОЧЕРЕДЬ 4</x:v>
      </x:c>
      <x:c r="CJ45" s="53" t="str">
        <x:v>ОЧЕРЕДЬ 4</x:v>
      </x:c>
      <x:c r="CK45" s="53" t="str">
        <x:v>ОЧЕРЕДЬ 4</x:v>
      </x:c>
      <x:c r="CL45" s="53" t="str">
        <x:v>ОЧЕРЕДЬ 4</x:v>
      </x:c>
      <x:c r="CM45" s="53" t="str">
        <x:v>ОЧЕРЕДЬ 4</x:v>
      </x:c>
      <x:c r="CN45" s="53" t="str">
        <x:v>ОЧЕРЕДЬ 4</x:v>
      </x:c>
      <x:c r="CO45" s="53" t="str">
        <x:v>ОЧЕРЕДЬ 4</x:v>
      </x:c>
      <x:c r="CP45" s="53" t="str">
        <x:v>ОЧЕРЕДЬ 4</x:v>
      </x:c>
      <x:c r="CQ45" s="53" t="str">
        <x:v>ОЧЕРЕДЬ 4</x:v>
      </x:c>
      <x:c r="CR45" s="53" t="str">
        <x:v>ОЧЕРЕДЬ 4</x:v>
      </x:c>
      <x:c r="CS45" s="53" t="str">
        <x:v>ОЧЕРЕДЬ 4</x:v>
      </x:c>
      <x:c r="CT45" s="53" t="str">
        <x:v>ОЧЕРЕДЬ 4</x:v>
      </x:c>
      <x:c r="CU45" s="53" t="str">
        <x:v>ОЧЕРЕДЬ 4</x:v>
      </x:c>
      <x:c r="CV45" s="53" t="str">
        <x:v>ОЧЕРЕДЬ 4</x:v>
      </x:c>
      <x:c r="CW45" s="53" t="str">
        <x:v>ОЧЕРЕДЬ 4</x:v>
      </x:c>
      <x:c r="CX45" s="53" t="str">
        <x:v>ОЧЕРЕДЬ 4</x:v>
      </x:c>
      <x:c r="CY45" s="53" t="str">
        <x:v>ОЧЕРЕДЬ 4</x:v>
      </x:c>
      <x:c r="CZ45" s="53" t="str">
        <x:v>ОЧЕРЕДЬ 4</x:v>
      </x:c>
      <x:c r="DA45" s="53" t="str">
        <x:v>ОЧЕРЕДЬ 4</x:v>
      </x:c>
      <x:c r="DB45" s="53" t="str">
        <x:v>ОЧЕРЕДЬ 4</x:v>
      </x:c>
      <x:c r="DC45" s="53" t="str">
        <x:v>ОЧЕРЕДЬ 4</x:v>
      </x:c>
      <x:c r="DD45" s="53" t="str">
        <x:v>ОЧЕРЕДЬ 4</x:v>
      </x:c>
      <x:c r="DE45" s="53" t="str">
        <x:v>ОЧЕРЕДЬ 4</x:v>
      </x:c>
      <x:c r="DF45" s="53" t="str">
        <x:v>ОЧЕРЕДЬ 4</x:v>
      </x:c>
      <x:c r="DG45" s="53" t="str">
        <x:v>ОЧЕРЕДЬ 4</x:v>
      </x:c>
      <x:c r="DH45" s="53" t="str">
        <x:v>ОЧЕРЕДЬ 4</x:v>
      </x:c>
      <x:c r="DI45" s="53" t="str">
        <x:v>ОЧЕРЕДЬ 4</x:v>
      </x:c>
      <x:c r="DJ45" s="53" t="str">
        <x:v>ОЧЕРЕДЬ 4</x:v>
      </x:c>
      <x:c r="DK45" s="53" t="str">
        <x:v>ОЧЕРЕДЬ 4</x:v>
      </x:c>
      <x:c r="DL45" s="53" t="str">
        <x:v>ОЧЕРЕДЬ 4</x:v>
      </x:c>
      <x:c r="DM45" s="53" t="str">
        <x:v>ОЧЕРЕДЬ 4</x:v>
      </x:c>
      <x:c r="DN45" s="53" t="str">
        <x:v>ОЧЕРЕДЬ 4</x:v>
      </x:c>
      <x:c r="DO45" s="53" t="str">
        <x:v>ОЧЕРЕДЬ 4</x:v>
      </x:c>
      <x:c r="DP45" s="53" t="str">
        <x:v>ОЧЕРЕДЬ 4</x:v>
      </x:c>
      <x:c r="DQ45" s="53" t="str">
        <x:v>ОЧЕРЕДЬ 4</x:v>
      </x:c>
      <x:c r="DR45" s="53" t="str">
        <x:v>ОЧЕРЕДЬ 4</x:v>
      </x:c>
      <x:c r="DS45" s="54" t="str">
        <x:v>ОЧЕРЕДЬ 4</x:v>
      </x:c>
      <x:c r="DT45" s="54" t="str"/>
      <x:c r="DU45" s="54" t="str"/>
      <x:c r="DV45" s="54" t="str"/>
      <x:c r="DW45" s="54" t="str"/>
      <x:c r="DX45" s="54" t="str"/>
      <x:c r="DY45" s="54" t="str"/>
      <x:c r="DZ45" s="54" t="str"/>
      <x:c r="EA45" s="54" t="str"/>
      <x:c r="EB45" s="54" t="str"/>
      <x:c r="EC45" s="54" t="str"/>
      <x:c r="ED45" s="54" t="str"/>
      <x:c r="EE45" s="54" t="str"/>
      <x:c r="EF45" s="54" t="str"/>
      <x:c r="EG45" s="54" t="str"/>
      <x:c r="EH45" s="54" t="str"/>
      <x:c r="EI45" s="54" t="str"/>
      <x:c r="EJ45" s="54" t="str"/>
      <x:c r="EK45" s="54" t="str"/>
      <x:c r="EL45" s="54" t="str"/>
      <x:c r="EM45" s="54" t="str"/>
      <x:c r="EN45" s="54" t="str"/>
      <x:c r="EO45" s="54" t="str"/>
      <x:c r="EP45" s="54" t="str"/>
      <x:c r="EQ45" s="54" t="str"/>
      <x:c r="ER45" s="54" t="str"/>
      <x:c r="ES45" s="54" t="str"/>
      <x:c r="ET45" s="54" t="str"/>
      <x:c r="EU45" s="54" t="str"/>
      <x:c r="EV45" s="54" t="str"/>
      <x:c r="EW45" s="54" t="str"/>
      <x:c r="EX45" s="54" t="str"/>
      <x:c r="EY45" s="54" t="str"/>
      <x:c r="EZ45" s="54" t="str"/>
      <x:c r="FA45" s="54" t="str"/>
      <x:c r="FB45" s="54" t="str"/>
      <x:c r="FC45" s="54" t="str"/>
      <x:c r="FD45" s="54" t="str"/>
      <x:c r="FE45" s="54" t="str"/>
      <x:c r="FF45" s="54" t="str"/>
      <x:c r="FG45" s="54" t="str"/>
      <x:c r="FH45" s="54" t="str"/>
      <x:c r="FI45" s="54" t="str"/>
      <x:c r="FJ45" s="54" t="str"/>
      <x:c r="FK45" s="54" t="str"/>
      <x:c r="FL45" s="54" t="str"/>
      <x:c r="FM45" s="54" t="str"/>
      <x:c r="FN45" s="54" t="str"/>
      <x:c r="FO45" s="54" t="str"/>
      <x:c r="FP45" s="54" t="str"/>
      <x:c r="FQ45" s="54" t="str"/>
      <x:c r="FR45" s="54" t="str"/>
      <x:c r="FS45" s="54" t="str"/>
      <x:c r="FT45" s="54" t="str"/>
      <x:c r="FU45" s="54" t="str"/>
      <x:c r="FV45" s="54" t="str"/>
      <x:c r="FW45" s="54" t="str"/>
      <x:c r="FX45" s="54" t="str"/>
      <x:c r="FY45" s="54" t="str"/>
      <x:c r="FZ45" s="54" t="str"/>
      <x:c r="GA45" s="54" t="str"/>
    </x:row>
    <x:row r="46">
      <x:c r="A46" t="str">
        <x:v>Дата возникновения обязательства</x:v>
      </x:c>
      <x:c r="B46" s="106" t="n">
        <x:f>EDATE('Вводные'!$D$91,'Вводные'!$E$91+'Вводные'!$H$9-'Вводные'!$B$76)</x:f>
      </x:c>
      <x:c r="C46" t="str">
        <x:v>дата</x:v>
      </x:c>
    </x:row>
    <x:row r="47">
      <x:c r="A47" t="str">
        <x:v>Дата открытия ПФ</x:v>
      </x:c>
      <x:c r="B47" s="106" t="n">
        <x:f>EDATE('Вводные'!$D$91,'Вводные'!$E$91+'Вводные'!$H$9)</x:f>
      </x:c>
      <x:c r="C47" t="str">
        <x:v>дата</x:v>
      </x:c>
    </x:row>
    <x:row r="48">
      <x:c r="A48" t="str">
        <x:v>Сумма обязательства после льготы</x:v>
      </x:c>
      <x:c r="B48" s="115" t="n">
        <x:f>IF(AND('Вводные'!$B$91="Да",'Вводные'!$B$74="Да"),MAX(0,'Вводные'!$B$16*'Вводные'!$Q$91-'Вводные'!$B$82*'Вводные'!$Q$91),0)</x:f>
      </x:c>
      <x:c r="C48" t="str">
        <x:v>млн ₽</x:v>
      </x:c>
    </x:row>
    <x:row r="49">
      <x:c r="A49" t="str">
        <x:v>Остаток на начало</x:v>
      </x:c>
      <x:c r="B49" s="107" t="n">
        <x:f>MAX(D49:GA49)</x:f>
      </x:c>
      <x:c r="C49" t="str">
        <x:v>млн ₽</x:v>
      </x:c>
      <x:c r="D49" s="117" t="n">
        <x:f>0</x:f>
      </x:c>
      <x:c r="E49" s="117" t="n">
        <x:f>D55</x:f>
      </x:c>
      <x:c r="F49" s="117" t="n">
        <x:f>E55</x:f>
      </x:c>
      <x:c r="G49" s="117" t="n">
        <x:f>F55</x:f>
      </x:c>
      <x:c r="H49" s="117" t="n">
        <x:f>G55</x:f>
      </x:c>
      <x:c r="I49" s="117" t="n">
        <x:f>H55</x:f>
      </x:c>
      <x:c r="J49" s="117" t="n">
        <x:f>I55</x:f>
      </x:c>
      <x:c r="K49" s="117" t="n">
        <x:f>J55</x:f>
      </x:c>
      <x:c r="L49" s="117" t="n">
        <x:f>K55</x:f>
      </x:c>
      <x:c r="M49" s="117" t="n">
        <x:f>L55</x:f>
      </x:c>
      <x:c r="N49" s="117" t="n">
        <x:f>M55</x:f>
      </x:c>
      <x:c r="O49" s="117" t="n">
        <x:f>N55</x:f>
      </x:c>
      <x:c r="P49" s="117" t="n">
        <x:f>O55</x:f>
      </x:c>
      <x:c r="Q49" s="117" t="n">
        <x:f>P55</x:f>
      </x:c>
      <x:c r="R49" s="117" t="n">
        <x:f>Q55</x:f>
      </x:c>
      <x:c r="S49" s="117" t="n">
        <x:f>R55</x:f>
      </x:c>
      <x:c r="T49" s="117" t="n">
        <x:f>S55</x:f>
      </x:c>
      <x:c r="U49" s="117" t="n">
        <x:f>T55</x:f>
      </x:c>
      <x:c r="V49" s="117" t="n">
        <x:f>U55</x:f>
      </x:c>
      <x:c r="W49" s="117" t="n">
        <x:f>V55</x:f>
      </x:c>
      <x:c r="X49" s="117" t="n">
        <x:f>W55</x:f>
      </x:c>
      <x:c r="Y49" s="117" t="n">
        <x:f>X55</x:f>
      </x:c>
      <x:c r="Z49" s="117" t="n">
        <x:f>Y55</x:f>
      </x:c>
      <x:c r="AA49" s="117" t="n">
        <x:f>Z55</x:f>
      </x:c>
      <x:c r="AB49" s="117" t="n">
        <x:f>AA55</x:f>
      </x:c>
      <x:c r="AC49" s="117" t="n">
        <x:f>AB55</x:f>
      </x:c>
      <x:c r="AD49" s="117" t="n">
        <x:f>AC55</x:f>
      </x:c>
      <x:c r="AE49" s="117" t="n">
        <x:f>AD55</x:f>
      </x:c>
      <x:c r="AF49" s="117" t="n">
        <x:f>AE55</x:f>
      </x:c>
      <x:c r="AG49" s="117" t="n">
        <x:f>AF55</x:f>
      </x:c>
      <x:c r="AH49" s="117" t="n">
        <x:f>AG55</x:f>
      </x:c>
      <x:c r="AI49" s="117" t="n">
        <x:f>AH55</x:f>
      </x:c>
      <x:c r="AJ49" s="117" t="n">
        <x:f>AI55</x:f>
      </x:c>
      <x:c r="AK49" s="117" t="n">
        <x:f>AJ55</x:f>
      </x:c>
      <x:c r="AL49" s="117" t="n">
        <x:f>AK55</x:f>
      </x:c>
      <x:c r="AM49" s="117" t="n">
        <x:f>AL55</x:f>
      </x:c>
      <x:c r="AN49" s="117" t="n">
        <x:f>AM55</x:f>
      </x:c>
      <x:c r="AO49" s="117" t="n">
        <x:f>AN55</x:f>
      </x:c>
      <x:c r="AP49" s="117" t="n">
        <x:f>AO55</x:f>
      </x:c>
      <x:c r="AQ49" s="117" t="n">
        <x:f>AP55</x:f>
      </x:c>
      <x:c r="AR49" s="117" t="n">
        <x:f>AQ55</x:f>
      </x:c>
      <x:c r="AS49" s="117" t="n">
        <x:f>AR55</x:f>
      </x:c>
      <x:c r="AT49" s="117" t="n">
        <x:f>AS55</x:f>
      </x:c>
      <x:c r="AU49" s="117" t="n">
        <x:f>AT55</x:f>
      </x:c>
      <x:c r="AV49" s="117" t="n">
        <x:f>AU55</x:f>
      </x:c>
      <x:c r="AW49" s="117" t="n">
        <x:f>AV55</x:f>
      </x:c>
      <x:c r="AX49" s="117" t="n">
        <x:f>AW55</x:f>
      </x:c>
      <x:c r="AY49" s="117" t="n">
        <x:f>AX55</x:f>
      </x:c>
      <x:c r="AZ49" s="117" t="n">
        <x:f>AY55</x:f>
      </x:c>
      <x:c r="BA49" s="117" t="n">
        <x:f>AZ55</x:f>
      </x:c>
      <x:c r="BB49" s="117" t="n">
        <x:f>BA55</x:f>
      </x:c>
      <x:c r="BC49" s="117" t="n">
        <x:f>BB55</x:f>
      </x:c>
      <x:c r="BD49" s="117" t="n">
        <x:f>BC55</x:f>
      </x:c>
      <x:c r="BE49" s="117" t="n">
        <x:f>BD55</x:f>
      </x:c>
      <x:c r="BF49" s="117" t="n">
        <x:f>BE55</x:f>
      </x:c>
      <x:c r="BG49" s="117" t="n">
        <x:f>BF55</x:f>
      </x:c>
      <x:c r="BH49" s="117" t="n">
        <x:f>BG55</x:f>
      </x:c>
      <x:c r="BI49" s="117" t="n">
        <x:f>BH55</x:f>
      </x:c>
      <x:c r="BJ49" s="117" t="n">
        <x:f>BI55</x:f>
      </x:c>
      <x:c r="BK49" s="117" t="n">
        <x:f>BJ55</x:f>
      </x:c>
      <x:c r="BL49" s="117" t="n">
        <x:f>BK55</x:f>
      </x:c>
      <x:c r="BM49" s="117" t="n">
        <x:f>BL55</x:f>
      </x:c>
      <x:c r="BN49" s="117" t="n">
        <x:f>BM55</x:f>
      </x:c>
      <x:c r="BO49" s="117" t="n">
        <x:f>BN55</x:f>
      </x:c>
      <x:c r="BP49" s="117" t="n">
        <x:f>BO55</x:f>
      </x:c>
      <x:c r="BQ49" s="117" t="n">
        <x:f>BP55</x:f>
      </x:c>
      <x:c r="BR49" s="117" t="n">
        <x:f>BQ55</x:f>
      </x:c>
      <x:c r="BS49" s="117" t="n">
        <x:f>BR55</x:f>
      </x:c>
      <x:c r="BT49" s="117" t="n">
        <x:f>BS55</x:f>
      </x:c>
      <x:c r="BU49" s="117" t="n">
        <x:f>BT55</x:f>
      </x:c>
      <x:c r="BV49" s="117" t="n">
        <x:f>BU55</x:f>
      </x:c>
      <x:c r="BW49" s="117" t="n">
        <x:f>BV55</x:f>
      </x:c>
      <x:c r="BX49" s="117" t="n">
        <x:f>BW55</x:f>
      </x:c>
      <x:c r="BY49" s="117" t="n">
        <x:f>BX55</x:f>
      </x:c>
      <x:c r="BZ49" s="117" t="n">
        <x:f>BY55</x:f>
      </x:c>
      <x:c r="CA49" s="117" t="n">
        <x:f>BZ55</x:f>
      </x:c>
      <x:c r="CB49" s="117" t="n">
        <x:f>CA55</x:f>
      </x:c>
      <x:c r="CC49" s="117" t="n">
        <x:f>CB55</x:f>
      </x:c>
      <x:c r="CD49" s="117" t="n">
        <x:f>CC55</x:f>
      </x:c>
      <x:c r="CE49" s="117" t="n">
        <x:f>CD55</x:f>
      </x:c>
      <x:c r="CF49" s="117" t="n">
        <x:f>CE55</x:f>
      </x:c>
      <x:c r="CG49" s="117" t="n">
        <x:f>CF55</x:f>
      </x:c>
      <x:c r="CH49" s="117" t="n">
        <x:f>CG55</x:f>
      </x:c>
      <x:c r="CI49" s="117" t="n">
        <x:f>CH55</x:f>
      </x:c>
      <x:c r="CJ49" s="117" t="n">
        <x:f>CI55</x:f>
      </x:c>
      <x:c r="CK49" s="117" t="n">
        <x:f>CJ55</x:f>
      </x:c>
      <x:c r="CL49" s="117" t="n">
        <x:f>CK55</x:f>
      </x:c>
      <x:c r="CM49" s="117" t="n">
        <x:f>CL55</x:f>
      </x:c>
      <x:c r="CN49" s="117" t="n">
        <x:f>CM55</x:f>
      </x:c>
      <x:c r="CO49" s="117" t="n">
        <x:f>CN55</x:f>
      </x:c>
      <x:c r="CP49" s="117" t="n">
        <x:f>CO55</x:f>
      </x:c>
      <x:c r="CQ49" s="117" t="n">
        <x:f>CP55</x:f>
      </x:c>
      <x:c r="CR49" s="117" t="n">
        <x:f>CQ55</x:f>
      </x:c>
      <x:c r="CS49" s="117" t="n">
        <x:f>CR55</x:f>
      </x:c>
      <x:c r="CT49" s="117" t="n">
        <x:f>CS55</x:f>
      </x:c>
      <x:c r="CU49" s="117" t="n">
        <x:f>CT55</x:f>
      </x:c>
      <x:c r="CV49" s="117" t="n">
        <x:f>CU55</x:f>
      </x:c>
      <x:c r="CW49" s="117" t="n">
        <x:f>CV55</x:f>
      </x:c>
      <x:c r="CX49" s="117" t="n">
        <x:f>CW55</x:f>
      </x:c>
      <x:c r="CY49" s="117" t="n">
        <x:f>CX55</x:f>
      </x:c>
      <x:c r="CZ49" s="117" t="n">
        <x:f>CY55</x:f>
      </x:c>
      <x:c r="DA49" s="117" t="n">
        <x:f>CZ55</x:f>
      </x:c>
      <x:c r="DB49" s="117" t="n">
        <x:f>DA55</x:f>
      </x:c>
      <x:c r="DC49" s="117" t="n">
        <x:f>DB55</x:f>
      </x:c>
      <x:c r="DD49" s="117" t="n">
        <x:f>DC55</x:f>
      </x:c>
      <x:c r="DE49" s="117" t="n">
        <x:f>DD55</x:f>
      </x:c>
      <x:c r="DF49" s="117" t="n">
        <x:f>DE55</x:f>
      </x:c>
      <x:c r="DG49" s="117" t="n">
        <x:f>DF55</x:f>
      </x:c>
      <x:c r="DH49" s="117" t="n">
        <x:f>DG55</x:f>
      </x:c>
      <x:c r="DI49" s="117" t="n">
        <x:f>DH55</x:f>
      </x:c>
      <x:c r="DJ49" s="117" t="n">
        <x:f>DI55</x:f>
      </x:c>
      <x:c r="DK49" s="117" t="n">
        <x:f>DJ55</x:f>
      </x:c>
      <x:c r="DL49" s="117" t="n">
        <x:f>DK55</x:f>
      </x:c>
      <x:c r="DM49" s="117" t="n">
        <x:f>DL55</x:f>
      </x:c>
      <x:c r="DN49" s="117" t="n">
        <x:f>DM55</x:f>
      </x:c>
      <x:c r="DO49" s="117" t="n">
        <x:f>DN55</x:f>
      </x:c>
      <x:c r="DP49" s="117" t="n">
        <x:f>DO55</x:f>
      </x:c>
      <x:c r="DQ49" s="117" t="n">
        <x:f>DP55</x:f>
      </x:c>
      <x:c r="DR49" s="117" t="n">
        <x:f>DQ55</x:f>
      </x:c>
      <x:c r="DS49" s="117" t="n">
        <x:f>DR55</x:f>
      </x:c>
      <x:c r="DT49" s="117" t="n">
        <x:f>DS55</x:f>
      </x:c>
      <x:c r="DU49" s="117" t="n">
        <x:f>DT55</x:f>
      </x:c>
      <x:c r="DV49" s="117" t="n">
        <x:f>DU55</x:f>
      </x:c>
      <x:c r="DW49" s="117" t="n">
        <x:f>DV55</x:f>
      </x:c>
      <x:c r="DX49" s="117" t="n">
        <x:f>DW55</x:f>
      </x:c>
      <x:c r="DY49" s="117" t="n">
        <x:f>DX55</x:f>
      </x:c>
      <x:c r="DZ49" s="117" t="n">
        <x:f>DY55</x:f>
      </x:c>
      <x:c r="EA49" s="117" t="n">
        <x:f>DZ55</x:f>
      </x:c>
      <x:c r="EB49" s="117" t="n">
        <x:f>EA55</x:f>
      </x:c>
      <x:c r="EC49" s="117" t="n">
        <x:f>EB55</x:f>
      </x:c>
      <x:c r="ED49" s="117" t="n">
        <x:f>EC55</x:f>
      </x:c>
      <x:c r="EE49" s="117" t="n">
        <x:f>ED55</x:f>
      </x:c>
      <x:c r="EF49" s="117" t="n">
        <x:f>EE55</x:f>
      </x:c>
      <x:c r="EG49" s="117" t="n">
        <x:f>EF55</x:f>
      </x:c>
      <x:c r="EH49" s="117" t="n">
        <x:f>EG55</x:f>
      </x:c>
      <x:c r="EI49" s="117" t="n">
        <x:f>EH55</x:f>
      </x:c>
      <x:c r="EJ49" s="117" t="n">
        <x:f>EI55</x:f>
      </x:c>
      <x:c r="EK49" s="117" t="n">
        <x:f>EJ55</x:f>
      </x:c>
      <x:c r="EL49" s="117" t="n">
        <x:f>EK55</x:f>
      </x:c>
      <x:c r="EM49" s="117" t="n">
        <x:f>EL55</x:f>
      </x:c>
      <x:c r="EN49" s="117" t="n">
        <x:f>EM55</x:f>
      </x:c>
      <x:c r="EO49" s="117" t="n">
        <x:f>EN55</x:f>
      </x:c>
      <x:c r="EP49" s="117" t="n">
        <x:f>EO55</x:f>
      </x:c>
      <x:c r="EQ49" s="117" t="n">
        <x:f>EP55</x:f>
      </x:c>
      <x:c r="ER49" s="117" t="n">
        <x:f>EQ55</x:f>
      </x:c>
      <x:c r="ES49" s="117" t="n">
        <x:f>ER55</x:f>
      </x:c>
      <x:c r="ET49" s="117" t="n">
        <x:f>ES55</x:f>
      </x:c>
      <x:c r="EU49" s="117" t="n">
        <x:f>ET55</x:f>
      </x:c>
      <x:c r="EV49" s="117" t="n">
        <x:f>EU55</x:f>
      </x:c>
      <x:c r="EW49" s="117" t="n">
        <x:f>EV55</x:f>
      </x:c>
      <x:c r="EX49" s="117" t="n">
        <x:f>EW55</x:f>
      </x:c>
      <x:c r="EY49" s="117" t="n">
        <x:f>EX55</x:f>
      </x:c>
      <x:c r="EZ49" s="117" t="n">
        <x:f>EY55</x:f>
      </x:c>
      <x:c r="FA49" s="117" t="n">
        <x:f>EZ55</x:f>
      </x:c>
      <x:c r="FB49" s="117" t="n">
        <x:f>FA55</x:f>
      </x:c>
      <x:c r="FC49" s="117" t="n">
        <x:f>FB55</x:f>
      </x:c>
      <x:c r="FD49" s="117" t="n">
        <x:f>FC55</x:f>
      </x:c>
      <x:c r="FE49" s="117" t="n">
        <x:f>FD55</x:f>
      </x:c>
      <x:c r="FF49" s="117" t="n">
        <x:f>FE55</x:f>
      </x:c>
      <x:c r="FG49" s="117" t="n">
        <x:f>FF55</x:f>
      </x:c>
      <x:c r="FH49" s="117" t="n">
        <x:f>FG55</x:f>
      </x:c>
      <x:c r="FI49" s="117" t="n">
        <x:f>FH55</x:f>
      </x:c>
      <x:c r="FJ49" s="117" t="n">
        <x:f>FI55</x:f>
      </x:c>
      <x:c r="FK49" s="117" t="n">
        <x:f>FJ55</x:f>
      </x:c>
      <x:c r="FL49" s="117" t="n">
        <x:f>FK55</x:f>
      </x:c>
      <x:c r="FM49" s="117" t="n">
        <x:f>FL55</x:f>
      </x:c>
      <x:c r="FN49" s="117" t="n">
        <x:f>FM55</x:f>
      </x:c>
      <x:c r="FO49" s="117" t="n">
        <x:f>FN55</x:f>
      </x:c>
      <x:c r="FP49" s="117" t="n">
        <x:f>FO55</x:f>
      </x:c>
      <x:c r="FQ49" s="117" t="n">
        <x:f>FP55</x:f>
      </x:c>
      <x:c r="FR49" s="117" t="n">
        <x:f>FQ55</x:f>
      </x:c>
      <x:c r="FS49" s="117" t="n">
        <x:f>FR55</x:f>
      </x:c>
      <x:c r="FT49" s="117" t="n">
        <x:f>FS55</x:f>
      </x:c>
      <x:c r="FU49" s="117" t="n">
        <x:f>FT55</x:f>
      </x:c>
      <x:c r="FV49" s="117" t="n">
        <x:f>FU55</x:f>
      </x:c>
      <x:c r="FW49" s="117" t="n">
        <x:f>FV55</x:f>
      </x:c>
      <x:c r="FX49" s="117" t="n">
        <x:f>FW55</x:f>
      </x:c>
      <x:c r="FY49" s="117" t="n">
        <x:f>FX55</x:f>
      </x:c>
      <x:c r="FZ49" s="117" t="n">
        <x:f>FY55</x:f>
      </x:c>
      <x:c r="GA49" s="117" t="n">
        <x:f>FZ55</x:f>
      </x:c>
    </x:row>
    <x:row r="50">
      <x:c r="A50" t="str">
        <x:v>Возникновение обязательства</x:v>
      </x:c>
      <x:c r="B50" s="107" t="n">
        <x:f>SUM(D50:GA50)</x:f>
      </x:c>
      <x:c r="C50" t="str">
        <x:v>млн ₽</x:v>
      </x:c>
      <x:c r="D50" s="117" t="n">
        <x:f>IF(AND(YEAR(D$3)=YEAR($B$46),MONTH(D$3)=MONTH($B$46)),$B$48,0)</x:f>
      </x:c>
      <x:c r="E50" s="117" t="n">
        <x:f>IF(AND(YEAR(E$3)=YEAR($B$46),MONTH(E$3)=MONTH($B$46)),$B$48,0)</x:f>
      </x:c>
      <x:c r="F50" s="117" t="n">
        <x:f>IF(AND(YEAR(F$3)=YEAR($B$46),MONTH(F$3)=MONTH($B$46)),$B$48,0)</x:f>
      </x:c>
      <x:c r="G50" s="117" t="n">
        <x:f>IF(AND(YEAR(G$3)=YEAR($B$46),MONTH(G$3)=MONTH($B$46)),$B$48,0)</x:f>
      </x:c>
      <x:c r="H50" s="117" t="n">
        <x:f>IF(AND(YEAR(H$3)=YEAR($B$46),MONTH(H$3)=MONTH($B$46)),$B$48,0)</x:f>
      </x:c>
      <x:c r="I50" s="117" t="n">
        <x:f>IF(AND(YEAR(I$3)=YEAR($B$46),MONTH(I$3)=MONTH($B$46)),$B$48,0)</x:f>
      </x:c>
      <x:c r="J50" s="117" t="n">
        <x:f>IF(AND(YEAR(J$3)=YEAR($B$46),MONTH(J$3)=MONTH($B$46)),$B$48,0)</x:f>
      </x:c>
      <x:c r="K50" s="117" t="n">
        <x:f>IF(AND(YEAR(K$3)=YEAR($B$46),MONTH(K$3)=MONTH($B$46)),$B$48,0)</x:f>
      </x:c>
      <x:c r="L50" s="117" t="n">
        <x:f>IF(AND(YEAR(L$3)=YEAR($B$46),MONTH(L$3)=MONTH($B$46)),$B$48,0)</x:f>
      </x:c>
      <x:c r="M50" s="117" t="n">
        <x:f>IF(AND(YEAR(M$3)=YEAR($B$46),MONTH(M$3)=MONTH($B$46)),$B$48,0)</x:f>
      </x:c>
      <x:c r="N50" s="117" t="n">
        <x:f>IF(AND(YEAR(N$3)=YEAR($B$46),MONTH(N$3)=MONTH($B$46)),$B$48,0)</x:f>
      </x:c>
      <x:c r="O50" s="117" t="n">
        <x:f>IF(AND(YEAR(O$3)=YEAR($B$46),MONTH(O$3)=MONTH($B$46)),$B$48,0)</x:f>
      </x:c>
      <x:c r="P50" s="117" t="n">
        <x:f>IF(AND(YEAR(P$3)=YEAR($B$46),MONTH(P$3)=MONTH($B$46)),$B$48,0)</x:f>
      </x:c>
      <x:c r="Q50" s="117" t="n">
        <x:f>IF(AND(YEAR(Q$3)=YEAR($B$46),MONTH(Q$3)=MONTH($B$46)),$B$48,0)</x:f>
      </x:c>
      <x:c r="R50" s="117" t="n">
        <x:f>IF(AND(YEAR(R$3)=YEAR($B$46),MONTH(R$3)=MONTH($B$46)),$B$48,0)</x:f>
      </x:c>
      <x:c r="S50" s="117" t="n">
        <x:f>IF(AND(YEAR(S$3)=YEAR($B$46),MONTH(S$3)=MONTH($B$46)),$B$48,0)</x:f>
      </x:c>
      <x:c r="T50" s="117" t="n">
        <x:f>IF(AND(YEAR(T$3)=YEAR($B$46),MONTH(T$3)=MONTH($B$46)),$B$48,0)</x:f>
      </x:c>
      <x:c r="U50" s="117" t="n">
        <x:f>IF(AND(YEAR(U$3)=YEAR($B$46),MONTH(U$3)=MONTH($B$46)),$B$48,0)</x:f>
      </x:c>
      <x:c r="V50" s="117" t="n">
        <x:f>IF(AND(YEAR(V$3)=YEAR($B$46),MONTH(V$3)=MONTH($B$46)),$B$48,0)</x:f>
      </x:c>
      <x:c r="W50" s="117" t="n">
        <x:f>IF(AND(YEAR(W$3)=YEAR($B$46),MONTH(W$3)=MONTH($B$46)),$B$48,0)</x:f>
      </x:c>
      <x:c r="X50" s="117" t="n">
        <x:f>IF(AND(YEAR(X$3)=YEAR($B$46),MONTH(X$3)=MONTH($B$46)),$B$48,0)</x:f>
      </x:c>
      <x:c r="Y50" s="117" t="n">
        <x:f>IF(AND(YEAR(Y$3)=YEAR($B$46),MONTH(Y$3)=MONTH($B$46)),$B$48,0)</x:f>
      </x:c>
      <x:c r="Z50" s="117" t="n">
        <x:f>IF(AND(YEAR(Z$3)=YEAR($B$46),MONTH(Z$3)=MONTH($B$46)),$B$48,0)</x:f>
      </x:c>
      <x:c r="AA50" s="117" t="n">
        <x:f>IF(AND(YEAR(AA$3)=YEAR($B$46),MONTH(AA$3)=MONTH($B$46)),$B$48,0)</x:f>
      </x:c>
      <x:c r="AB50" s="117" t="n">
        <x:f>IF(AND(YEAR(AB$3)=YEAR($B$46),MONTH(AB$3)=MONTH($B$46)),$B$48,0)</x:f>
      </x:c>
      <x:c r="AC50" s="117" t="n">
        <x:f>IF(AND(YEAR(AC$3)=YEAR($B$46),MONTH(AC$3)=MONTH($B$46)),$B$48,0)</x:f>
      </x:c>
      <x:c r="AD50" s="117" t="n">
        <x:f>IF(AND(YEAR(AD$3)=YEAR($B$46),MONTH(AD$3)=MONTH($B$46)),$B$48,0)</x:f>
      </x:c>
      <x:c r="AE50" s="117" t="n">
        <x:f>IF(AND(YEAR(AE$3)=YEAR($B$46),MONTH(AE$3)=MONTH($B$46)),$B$48,0)</x:f>
      </x:c>
      <x:c r="AF50" s="117" t="n">
        <x:f>IF(AND(YEAR(AF$3)=YEAR($B$46),MONTH(AF$3)=MONTH($B$46)),$B$48,0)</x:f>
      </x:c>
      <x:c r="AG50" s="117" t="n">
        <x:f>IF(AND(YEAR(AG$3)=YEAR($B$46),MONTH(AG$3)=MONTH($B$46)),$B$48,0)</x:f>
      </x:c>
      <x:c r="AH50" s="117" t="n">
        <x:f>IF(AND(YEAR(AH$3)=YEAR($B$46),MONTH(AH$3)=MONTH($B$46)),$B$48,0)</x:f>
      </x:c>
      <x:c r="AI50" s="117" t="n">
        <x:f>IF(AND(YEAR(AI$3)=YEAR($B$46),MONTH(AI$3)=MONTH($B$46)),$B$48,0)</x:f>
      </x:c>
      <x:c r="AJ50" s="117" t="n">
        <x:f>IF(AND(YEAR(AJ$3)=YEAR($B$46),MONTH(AJ$3)=MONTH($B$46)),$B$48,0)</x:f>
      </x:c>
      <x:c r="AK50" s="117" t="n">
        <x:f>IF(AND(YEAR(AK$3)=YEAR($B$46),MONTH(AK$3)=MONTH($B$46)),$B$48,0)</x:f>
      </x:c>
      <x:c r="AL50" s="117" t="n">
        <x:f>IF(AND(YEAR(AL$3)=YEAR($B$46),MONTH(AL$3)=MONTH($B$46)),$B$48,0)</x:f>
      </x:c>
      <x:c r="AM50" s="117" t="n">
        <x:f>IF(AND(YEAR(AM$3)=YEAR($B$46),MONTH(AM$3)=MONTH($B$46)),$B$48,0)</x:f>
      </x:c>
      <x:c r="AN50" s="117" t="n">
        <x:f>IF(AND(YEAR(AN$3)=YEAR($B$46),MONTH(AN$3)=MONTH($B$46)),$B$48,0)</x:f>
      </x:c>
      <x:c r="AO50" s="117" t="n">
        <x:f>IF(AND(YEAR(AO$3)=YEAR($B$46),MONTH(AO$3)=MONTH($B$46)),$B$48,0)</x:f>
      </x:c>
      <x:c r="AP50" s="117" t="n">
        <x:f>IF(AND(YEAR(AP$3)=YEAR($B$46),MONTH(AP$3)=MONTH($B$46)),$B$48,0)</x:f>
      </x:c>
      <x:c r="AQ50" s="117" t="n">
        <x:f>IF(AND(YEAR(AQ$3)=YEAR($B$46),MONTH(AQ$3)=MONTH($B$46)),$B$48,0)</x:f>
      </x:c>
      <x:c r="AR50" s="117" t="n">
        <x:f>IF(AND(YEAR(AR$3)=YEAR($B$46),MONTH(AR$3)=MONTH($B$46)),$B$48,0)</x:f>
      </x:c>
      <x:c r="AS50" s="117" t="n">
        <x:f>IF(AND(YEAR(AS$3)=YEAR($B$46),MONTH(AS$3)=MONTH($B$46)),$B$48,0)</x:f>
      </x:c>
      <x:c r="AT50" s="117" t="n">
        <x:f>IF(AND(YEAR(AT$3)=YEAR($B$46),MONTH(AT$3)=MONTH($B$46)),$B$48,0)</x:f>
      </x:c>
      <x:c r="AU50" s="117" t="n">
        <x:f>IF(AND(YEAR(AU$3)=YEAR($B$46),MONTH(AU$3)=MONTH($B$46)),$B$48,0)</x:f>
      </x:c>
      <x:c r="AV50" s="117" t="n">
        <x:f>IF(AND(YEAR(AV$3)=YEAR($B$46),MONTH(AV$3)=MONTH($B$46)),$B$48,0)</x:f>
      </x:c>
      <x:c r="AW50" s="117" t="n">
        <x:f>IF(AND(YEAR(AW$3)=YEAR($B$46),MONTH(AW$3)=MONTH($B$46)),$B$48,0)</x:f>
      </x:c>
      <x:c r="AX50" s="117" t="n">
        <x:f>IF(AND(YEAR(AX$3)=YEAR($B$46),MONTH(AX$3)=MONTH($B$46)),$B$48,0)</x:f>
      </x:c>
      <x:c r="AY50" s="117" t="n">
        <x:f>IF(AND(YEAR(AY$3)=YEAR($B$46),MONTH(AY$3)=MONTH($B$46)),$B$48,0)</x:f>
      </x:c>
      <x:c r="AZ50" s="117" t="n">
        <x:f>IF(AND(YEAR(AZ$3)=YEAR($B$46),MONTH(AZ$3)=MONTH($B$46)),$B$48,0)</x:f>
      </x:c>
      <x:c r="BA50" s="117" t="n">
        <x:f>IF(AND(YEAR(BA$3)=YEAR($B$46),MONTH(BA$3)=MONTH($B$46)),$B$48,0)</x:f>
      </x:c>
      <x:c r="BB50" s="117" t="n">
        <x:f>IF(AND(YEAR(BB$3)=YEAR($B$46),MONTH(BB$3)=MONTH($B$46)),$B$48,0)</x:f>
      </x:c>
      <x:c r="BC50" s="117" t="n">
        <x:f>IF(AND(YEAR(BC$3)=YEAR($B$46),MONTH(BC$3)=MONTH($B$46)),$B$48,0)</x:f>
      </x:c>
      <x:c r="BD50" s="117" t="n">
        <x:f>IF(AND(YEAR(BD$3)=YEAR($B$46),MONTH(BD$3)=MONTH($B$46)),$B$48,0)</x:f>
      </x:c>
      <x:c r="BE50" s="117" t="n">
        <x:f>IF(AND(YEAR(BE$3)=YEAR($B$46),MONTH(BE$3)=MONTH($B$46)),$B$48,0)</x:f>
      </x:c>
      <x:c r="BF50" s="117" t="n">
        <x:f>IF(AND(YEAR(BF$3)=YEAR($B$46),MONTH(BF$3)=MONTH($B$46)),$B$48,0)</x:f>
      </x:c>
      <x:c r="BG50" s="117" t="n">
        <x:f>IF(AND(YEAR(BG$3)=YEAR($B$46),MONTH(BG$3)=MONTH($B$46)),$B$48,0)</x:f>
      </x:c>
      <x:c r="BH50" s="117" t="n">
        <x:f>IF(AND(YEAR(BH$3)=YEAR($B$46),MONTH(BH$3)=MONTH($B$46)),$B$48,0)</x:f>
      </x:c>
      <x:c r="BI50" s="117" t="n">
        <x:f>IF(AND(YEAR(BI$3)=YEAR($B$46),MONTH(BI$3)=MONTH($B$46)),$B$48,0)</x:f>
      </x:c>
      <x:c r="BJ50" s="117" t="n">
        <x:f>IF(AND(YEAR(BJ$3)=YEAR($B$46),MONTH(BJ$3)=MONTH($B$46)),$B$48,0)</x:f>
      </x:c>
      <x:c r="BK50" s="117" t="n">
        <x:f>IF(AND(YEAR(BK$3)=YEAR($B$46),MONTH(BK$3)=MONTH($B$46)),$B$48,0)</x:f>
      </x:c>
      <x:c r="BL50" s="117" t="n">
        <x:f>IF(AND(YEAR(BL$3)=YEAR($B$46),MONTH(BL$3)=MONTH($B$46)),$B$48,0)</x:f>
      </x:c>
      <x:c r="BM50" s="117" t="n">
        <x:f>IF(AND(YEAR(BM$3)=YEAR($B$46),MONTH(BM$3)=MONTH($B$46)),$B$48,0)</x:f>
      </x:c>
      <x:c r="BN50" s="117" t="n">
        <x:f>IF(AND(YEAR(BN$3)=YEAR($B$46),MONTH(BN$3)=MONTH($B$46)),$B$48,0)</x:f>
      </x:c>
      <x:c r="BO50" s="117" t="n">
        <x:f>IF(AND(YEAR(BO$3)=YEAR($B$46),MONTH(BO$3)=MONTH($B$46)),$B$48,0)</x:f>
      </x:c>
      <x:c r="BP50" s="117" t="n">
        <x:f>IF(AND(YEAR(BP$3)=YEAR($B$46),MONTH(BP$3)=MONTH($B$46)),$B$48,0)</x:f>
      </x:c>
      <x:c r="BQ50" s="117" t="n">
        <x:f>IF(AND(YEAR(BQ$3)=YEAR($B$46),MONTH(BQ$3)=MONTH($B$46)),$B$48,0)</x:f>
      </x:c>
      <x:c r="BR50" s="117" t="n">
        <x:f>IF(AND(YEAR(BR$3)=YEAR($B$46),MONTH(BR$3)=MONTH($B$46)),$B$48,0)</x:f>
      </x:c>
      <x:c r="BS50" s="117" t="n">
        <x:f>IF(AND(YEAR(BS$3)=YEAR($B$46),MONTH(BS$3)=MONTH($B$46)),$B$48,0)</x:f>
      </x:c>
      <x:c r="BT50" s="117" t="n">
        <x:f>IF(AND(YEAR(BT$3)=YEAR($B$46),MONTH(BT$3)=MONTH($B$46)),$B$48,0)</x:f>
      </x:c>
      <x:c r="BU50" s="117" t="n">
        <x:f>IF(AND(YEAR(BU$3)=YEAR($B$46),MONTH(BU$3)=MONTH($B$46)),$B$48,0)</x:f>
      </x:c>
      <x:c r="BV50" s="117" t="n">
        <x:f>IF(AND(YEAR(BV$3)=YEAR($B$46),MONTH(BV$3)=MONTH($B$46)),$B$48,0)</x:f>
      </x:c>
      <x:c r="BW50" s="117" t="n">
        <x:f>IF(AND(YEAR(BW$3)=YEAR($B$46),MONTH(BW$3)=MONTH($B$46)),$B$48,0)</x:f>
      </x:c>
      <x:c r="BX50" s="117" t="n">
        <x:f>IF(AND(YEAR(BX$3)=YEAR($B$46),MONTH(BX$3)=MONTH($B$46)),$B$48,0)</x:f>
      </x:c>
      <x:c r="BY50" s="117" t="n">
        <x:f>IF(AND(YEAR(BY$3)=YEAR($B$46),MONTH(BY$3)=MONTH($B$46)),$B$48,0)</x:f>
      </x:c>
      <x:c r="BZ50" s="117" t="n">
        <x:f>IF(AND(YEAR(BZ$3)=YEAR($B$46),MONTH(BZ$3)=MONTH($B$46)),$B$48,0)</x:f>
      </x:c>
      <x:c r="CA50" s="117" t="n">
        <x:f>IF(AND(YEAR(CA$3)=YEAR($B$46),MONTH(CA$3)=MONTH($B$46)),$B$48,0)</x:f>
      </x:c>
      <x:c r="CB50" s="117" t="n">
        <x:f>IF(AND(YEAR(CB$3)=YEAR($B$46),MONTH(CB$3)=MONTH($B$46)),$B$48,0)</x:f>
      </x:c>
      <x:c r="CC50" s="117" t="n">
        <x:f>IF(AND(YEAR(CC$3)=YEAR($B$46),MONTH(CC$3)=MONTH($B$46)),$B$48,0)</x:f>
      </x:c>
      <x:c r="CD50" s="117" t="n">
        <x:f>IF(AND(YEAR(CD$3)=YEAR($B$46),MONTH(CD$3)=MONTH($B$46)),$B$48,0)</x:f>
      </x:c>
      <x:c r="CE50" s="117" t="n">
        <x:f>IF(AND(YEAR(CE$3)=YEAR($B$46),MONTH(CE$3)=MONTH($B$46)),$B$48,0)</x:f>
      </x:c>
      <x:c r="CF50" s="117" t="n">
        <x:f>IF(AND(YEAR(CF$3)=YEAR($B$46),MONTH(CF$3)=MONTH($B$46)),$B$48,0)</x:f>
      </x:c>
      <x:c r="CG50" s="117" t="n">
        <x:f>IF(AND(YEAR(CG$3)=YEAR($B$46),MONTH(CG$3)=MONTH($B$46)),$B$48,0)</x:f>
      </x:c>
      <x:c r="CH50" s="117" t="n">
        <x:f>IF(AND(YEAR(CH$3)=YEAR($B$46),MONTH(CH$3)=MONTH($B$46)),$B$48,0)</x:f>
      </x:c>
      <x:c r="CI50" s="117" t="n">
        <x:f>IF(AND(YEAR(CI$3)=YEAR($B$46),MONTH(CI$3)=MONTH($B$46)),$B$48,0)</x:f>
      </x:c>
      <x:c r="CJ50" s="117" t="n">
        <x:f>IF(AND(YEAR(CJ$3)=YEAR($B$46),MONTH(CJ$3)=MONTH($B$46)),$B$48,0)</x:f>
      </x:c>
      <x:c r="CK50" s="117" t="n">
        <x:f>IF(AND(YEAR(CK$3)=YEAR($B$46),MONTH(CK$3)=MONTH($B$46)),$B$48,0)</x:f>
      </x:c>
      <x:c r="CL50" s="117" t="n">
        <x:f>IF(AND(YEAR(CL$3)=YEAR($B$46),MONTH(CL$3)=MONTH($B$46)),$B$48,0)</x:f>
      </x:c>
      <x:c r="CM50" s="117" t="n">
        <x:f>IF(AND(YEAR(CM$3)=YEAR($B$46),MONTH(CM$3)=MONTH($B$46)),$B$48,0)</x:f>
      </x:c>
      <x:c r="CN50" s="117" t="n">
        <x:f>IF(AND(YEAR(CN$3)=YEAR($B$46),MONTH(CN$3)=MONTH($B$46)),$B$48,0)</x:f>
      </x:c>
      <x:c r="CO50" s="117" t="n">
        <x:f>IF(AND(YEAR(CO$3)=YEAR($B$46),MONTH(CO$3)=MONTH($B$46)),$B$48,0)</x:f>
      </x:c>
      <x:c r="CP50" s="117" t="n">
        <x:f>IF(AND(YEAR(CP$3)=YEAR($B$46),MONTH(CP$3)=MONTH($B$46)),$B$48,0)</x:f>
      </x:c>
      <x:c r="CQ50" s="117" t="n">
        <x:f>IF(AND(YEAR(CQ$3)=YEAR($B$46),MONTH(CQ$3)=MONTH($B$46)),$B$48,0)</x:f>
      </x:c>
      <x:c r="CR50" s="117" t="n">
        <x:f>IF(AND(YEAR(CR$3)=YEAR($B$46),MONTH(CR$3)=MONTH($B$46)),$B$48,0)</x:f>
      </x:c>
      <x:c r="CS50" s="117" t="n">
        <x:f>IF(AND(YEAR(CS$3)=YEAR($B$46),MONTH(CS$3)=MONTH($B$46)),$B$48,0)</x:f>
      </x:c>
      <x:c r="CT50" s="117" t="n">
        <x:f>IF(AND(YEAR(CT$3)=YEAR($B$46),MONTH(CT$3)=MONTH($B$46)),$B$48,0)</x:f>
      </x:c>
      <x:c r="CU50" s="117" t="n">
        <x:f>IF(AND(YEAR(CU$3)=YEAR($B$46),MONTH(CU$3)=MONTH($B$46)),$B$48,0)</x:f>
      </x:c>
      <x:c r="CV50" s="117" t="n">
        <x:f>IF(AND(YEAR(CV$3)=YEAR($B$46),MONTH(CV$3)=MONTH($B$46)),$B$48,0)</x:f>
      </x:c>
      <x:c r="CW50" s="117" t="n">
        <x:f>IF(AND(YEAR(CW$3)=YEAR($B$46),MONTH(CW$3)=MONTH($B$46)),$B$48,0)</x:f>
      </x:c>
      <x:c r="CX50" s="117" t="n">
        <x:f>IF(AND(YEAR(CX$3)=YEAR($B$46),MONTH(CX$3)=MONTH($B$46)),$B$48,0)</x:f>
      </x:c>
      <x:c r="CY50" s="117" t="n">
        <x:f>IF(AND(YEAR(CY$3)=YEAR($B$46),MONTH(CY$3)=MONTH($B$46)),$B$48,0)</x:f>
      </x:c>
      <x:c r="CZ50" s="117" t="n">
        <x:f>IF(AND(YEAR(CZ$3)=YEAR($B$46),MONTH(CZ$3)=MONTH($B$46)),$B$48,0)</x:f>
      </x:c>
      <x:c r="DA50" s="117" t="n">
        <x:f>IF(AND(YEAR(DA$3)=YEAR($B$46),MONTH(DA$3)=MONTH($B$46)),$B$48,0)</x:f>
      </x:c>
      <x:c r="DB50" s="117" t="n">
        <x:f>IF(AND(YEAR(DB$3)=YEAR($B$46),MONTH(DB$3)=MONTH($B$46)),$B$48,0)</x:f>
      </x:c>
      <x:c r="DC50" s="117" t="n">
        <x:f>IF(AND(YEAR(DC$3)=YEAR($B$46),MONTH(DC$3)=MONTH($B$46)),$B$48,0)</x:f>
      </x:c>
      <x:c r="DD50" s="117" t="n">
        <x:f>IF(AND(YEAR(DD$3)=YEAR($B$46),MONTH(DD$3)=MONTH($B$46)),$B$48,0)</x:f>
      </x:c>
      <x:c r="DE50" s="117" t="n">
        <x:f>IF(AND(YEAR(DE$3)=YEAR($B$46),MONTH(DE$3)=MONTH($B$46)),$B$48,0)</x:f>
      </x:c>
      <x:c r="DF50" s="117" t="n">
        <x:f>IF(AND(YEAR(DF$3)=YEAR($B$46),MONTH(DF$3)=MONTH($B$46)),$B$48,0)</x:f>
      </x:c>
      <x:c r="DG50" s="117" t="n">
        <x:f>IF(AND(YEAR(DG$3)=YEAR($B$46),MONTH(DG$3)=MONTH($B$46)),$B$48,0)</x:f>
      </x:c>
      <x:c r="DH50" s="117" t="n">
        <x:f>IF(AND(YEAR(DH$3)=YEAR($B$46),MONTH(DH$3)=MONTH($B$46)),$B$48,0)</x:f>
      </x:c>
      <x:c r="DI50" s="117" t="n">
        <x:f>IF(AND(YEAR(DI$3)=YEAR($B$46),MONTH(DI$3)=MONTH($B$46)),$B$48,0)</x:f>
      </x:c>
      <x:c r="DJ50" s="117" t="n">
        <x:f>IF(AND(YEAR(DJ$3)=YEAR($B$46),MONTH(DJ$3)=MONTH($B$46)),$B$48,0)</x:f>
      </x:c>
      <x:c r="DK50" s="117" t="n">
        <x:f>IF(AND(YEAR(DK$3)=YEAR($B$46),MONTH(DK$3)=MONTH($B$46)),$B$48,0)</x:f>
      </x:c>
      <x:c r="DL50" s="117" t="n">
        <x:f>IF(AND(YEAR(DL$3)=YEAR($B$46),MONTH(DL$3)=MONTH($B$46)),$B$48,0)</x:f>
      </x:c>
      <x:c r="DM50" s="117" t="n">
        <x:f>IF(AND(YEAR(DM$3)=YEAR($B$46),MONTH(DM$3)=MONTH($B$46)),$B$48,0)</x:f>
      </x:c>
      <x:c r="DN50" s="117" t="n">
        <x:f>IF(AND(YEAR(DN$3)=YEAR($B$46),MONTH(DN$3)=MONTH($B$46)),$B$48,0)</x:f>
      </x:c>
      <x:c r="DO50" s="117" t="n">
        <x:f>IF(AND(YEAR(DO$3)=YEAR($B$46),MONTH(DO$3)=MONTH($B$46)),$B$48,0)</x:f>
      </x:c>
      <x:c r="DP50" s="117" t="n">
        <x:f>IF(AND(YEAR(DP$3)=YEAR($B$46),MONTH(DP$3)=MONTH($B$46)),$B$48,0)</x:f>
      </x:c>
      <x:c r="DQ50" s="117" t="n">
        <x:f>IF(AND(YEAR(DQ$3)=YEAR($B$46),MONTH(DQ$3)=MONTH($B$46)),$B$48,0)</x:f>
      </x:c>
      <x:c r="DR50" s="117" t="n">
        <x:f>IF(AND(YEAR(DR$3)=YEAR($B$46),MONTH(DR$3)=MONTH($B$46)),$B$48,0)</x:f>
      </x:c>
      <x:c r="DS50" s="117" t="n">
        <x:f>IF(AND(YEAR(DS$3)=YEAR($B$46),MONTH(DS$3)=MONTH($B$46)),$B$48,0)</x:f>
      </x:c>
      <x:c r="DT50" s="117" t="n">
        <x:f>IF(AND(YEAR(DT$3)=YEAR($B$46),MONTH(DT$3)=MONTH($B$46)),$B$48,0)</x:f>
      </x:c>
      <x:c r="DU50" s="117" t="n">
        <x:f>IF(AND(YEAR(DU$3)=YEAR($B$46),MONTH(DU$3)=MONTH($B$46)),$B$48,0)</x:f>
      </x:c>
      <x:c r="DV50" s="117" t="n">
        <x:f>IF(AND(YEAR(DV$3)=YEAR($B$46),MONTH(DV$3)=MONTH($B$46)),$B$48,0)</x:f>
      </x:c>
      <x:c r="DW50" s="117" t="n">
        <x:f>IF(AND(YEAR(DW$3)=YEAR($B$46),MONTH(DW$3)=MONTH($B$46)),$B$48,0)</x:f>
      </x:c>
      <x:c r="DX50" s="117" t="n">
        <x:f>IF(AND(YEAR(DX$3)=YEAR($B$46),MONTH(DX$3)=MONTH($B$46)),$B$48,0)</x:f>
      </x:c>
      <x:c r="DY50" s="117" t="n">
        <x:f>IF(AND(YEAR(DY$3)=YEAR($B$46),MONTH(DY$3)=MONTH($B$46)),$B$48,0)</x:f>
      </x:c>
      <x:c r="DZ50" s="117" t="n">
        <x:f>IF(AND(YEAR(DZ$3)=YEAR($B$46),MONTH(DZ$3)=MONTH($B$46)),$B$48,0)</x:f>
      </x:c>
      <x:c r="EA50" s="117" t="n">
        <x:f>IF(AND(YEAR(EA$3)=YEAR($B$46),MONTH(EA$3)=MONTH($B$46)),$B$48,0)</x:f>
      </x:c>
      <x:c r="EB50" s="117" t="n">
        <x:f>IF(AND(YEAR(EB$3)=YEAR($B$46),MONTH(EB$3)=MONTH($B$46)),$B$48,0)</x:f>
      </x:c>
      <x:c r="EC50" s="117" t="n">
        <x:f>IF(AND(YEAR(EC$3)=YEAR($B$46),MONTH(EC$3)=MONTH($B$46)),$B$48,0)</x:f>
      </x:c>
      <x:c r="ED50" s="117" t="n">
        <x:f>IF(AND(YEAR(ED$3)=YEAR($B$46),MONTH(ED$3)=MONTH($B$46)),$B$48,0)</x:f>
      </x:c>
      <x:c r="EE50" s="117" t="n">
        <x:f>IF(AND(YEAR(EE$3)=YEAR($B$46),MONTH(EE$3)=MONTH($B$46)),$B$48,0)</x:f>
      </x:c>
      <x:c r="EF50" s="117" t="n">
        <x:f>IF(AND(YEAR(EF$3)=YEAR($B$46),MONTH(EF$3)=MONTH($B$46)),$B$48,0)</x:f>
      </x:c>
      <x:c r="EG50" s="117" t="n">
        <x:f>IF(AND(YEAR(EG$3)=YEAR($B$46),MONTH(EG$3)=MONTH($B$46)),$B$48,0)</x:f>
      </x:c>
      <x:c r="EH50" s="117" t="n">
        <x:f>IF(AND(YEAR(EH$3)=YEAR($B$46),MONTH(EH$3)=MONTH($B$46)),$B$48,0)</x:f>
      </x:c>
      <x:c r="EI50" s="117" t="n">
        <x:f>IF(AND(YEAR(EI$3)=YEAR($B$46),MONTH(EI$3)=MONTH($B$46)),$B$48,0)</x:f>
      </x:c>
      <x:c r="EJ50" s="117" t="n">
        <x:f>IF(AND(YEAR(EJ$3)=YEAR($B$46),MONTH(EJ$3)=MONTH($B$46)),$B$48,0)</x:f>
      </x:c>
      <x:c r="EK50" s="117" t="n">
        <x:f>IF(AND(YEAR(EK$3)=YEAR($B$46),MONTH(EK$3)=MONTH($B$46)),$B$48,0)</x:f>
      </x:c>
      <x:c r="EL50" s="117" t="n">
        <x:f>IF(AND(YEAR(EL$3)=YEAR($B$46),MONTH(EL$3)=MONTH($B$46)),$B$48,0)</x:f>
      </x:c>
      <x:c r="EM50" s="117" t="n">
        <x:f>IF(AND(YEAR(EM$3)=YEAR($B$46),MONTH(EM$3)=MONTH($B$46)),$B$48,0)</x:f>
      </x:c>
      <x:c r="EN50" s="117" t="n">
        <x:f>IF(AND(YEAR(EN$3)=YEAR($B$46),MONTH(EN$3)=MONTH($B$46)),$B$48,0)</x:f>
      </x:c>
      <x:c r="EO50" s="117" t="n">
        <x:f>IF(AND(YEAR(EO$3)=YEAR($B$46),MONTH(EO$3)=MONTH($B$46)),$B$48,0)</x:f>
      </x:c>
      <x:c r="EP50" s="117" t="n">
        <x:f>IF(AND(YEAR(EP$3)=YEAR($B$46),MONTH(EP$3)=MONTH($B$46)),$B$48,0)</x:f>
      </x:c>
      <x:c r="EQ50" s="117" t="n">
        <x:f>IF(AND(YEAR(EQ$3)=YEAR($B$46),MONTH(EQ$3)=MONTH($B$46)),$B$48,0)</x:f>
      </x:c>
      <x:c r="ER50" s="117" t="n">
        <x:f>IF(AND(YEAR(ER$3)=YEAR($B$46),MONTH(ER$3)=MONTH($B$46)),$B$48,0)</x:f>
      </x:c>
      <x:c r="ES50" s="117" t="n">
        <x:f>IF(AND(YEAR(ES$3)=YEAR($B$46),MONTH(ES$3)=MONTH($B$46)),$B$48,0)</x:f>
      </x:c>
      <x:c r="ET50" s="117" t="n">
        <x:f>IF(AND(YEAR(ET$3)=YEAR($B$46),MONTH(ET$3)=MONTH($B$46)),$B$48,0)</x:f>
      </x:c>
      <x:c r="EU50" s="117" t="n">
        <x:f>IF(AND(YEAR(EU$3)=YEAR($B$46),MONTH(EU$3)=MONTH($B$46)),$B$48,0)</x:f>
      </x:c>
      <x:c r="EV50" s="117" t="n">
        <x:f>IF(AND(YEAR(EV$3)=YEAR($B$46),MONTH(EV$3)=MONTH($B$46)),$B$48,0)</x:f>
      </x:c>
      <x:c r="EW50" s="117" t="n">
        <x:f>IF(AND(YEAR(EW$3)=YEAR($B$46),MONTH(EW$3)=MONTH($B$46)),$B$48,0)</x:f>
      </x:c>
      <x:c r="EX50" s="117" t="n">
        <x:f>IF(AND(YEAR(EX$3)=YEAR($B$46),MONTH(EX$3)=MONTH($B$46)),$B$48,0)</x:f>
      </x:c>
      <x:c r="EY50" s="117" t="n">
        <x:f>IF(AND(YEAR(EY$3)=YEAR($B$46),MONTH(EY$3)=MONTH($B$46)),$B$48,0)</x:f>
      </x:c>
      <x:c r="EZ50" s="117" t="n">
        <x:f>IF(AND(YEAR(EZ$3)=YEAR($B$46),MONTH(EZ$3)=MONTH($B$46)),$B$48,0)</x:f>
      </x:c>
      <x:c r="FA50" s="117" t="n">
        <x:f>IF(AND(YEAR(FA$3)=YEAR($B$46),MONTH(FA$3)=MONTH($B$46)),$B$48,0)</x:f>
      </x:c>
      <x:c r="FB50" s="117" t="n">
        <x:f>IF(AND(YEAR(FB$3)=YEAR($B$46),MONTH(FB$3)=MONTH($B$46)),$B$48,0)</x:f>
      </x:c>
      <x:c r="FC50" s="117" t="n">
        <x:f>IF(AND(YEAR(FC$3)=YEAR($B$46),MONTH(FC$3)=MONTH($B$46)),$B$48,0)</x:f>
      </x:c>
      <x:c r="FD50" s="117" t="n">
        <x:f>IF(AND(YEAR(FD$3)=YEAR($B$46),MONTH(FD$3)=MONTH($B$46)),$B$48,0)</x:f>
      </x:c>
      <x:c r="FE50" s="117" t="n">
        <x:f>IF(AND(YEAR(FE$3)=YEAR($B$46),MONTH(FE$3)=MONTH($B$46)),$B$48,0)</x:f>
      </x:c>
      <x:c r="FF50" s="117" t="n">
        <x:f>IF(AND(YEAR(FF$3)=YEAR($B$46),MONTH(FF$3)=MONTH($B$46)),$B$48,0)</x:f>
      </x:c>
      <x:c r="FG50" s="117" t="n">
        <x:f>IF(AND(YEAR(FG$3)=YEAR($B$46),MONTH(FG$3)=MONTH($B$46)),$B$48,0)</x:f>
      </x:c>
      <x:c r="FH50" s="117" t="n">
        <x:f>IF(AND(YEAR(FH$3)=YEAR($B$46),MONTH(FH$3)=MONTH($B$46)),$B$48,0)</x:f>
      </x:c>
      <x:c r="FI50" s="117" t="n">
        <x:f>IF(AND(YEAR(FI$3)=YEAR($B$46),MONTH(FI$3)=MONTH($B$46)),$B$48,0)</x:f>
      </x:c>
      <x:c r="FJ50" s="117" t="n">
        <x:f>IF(AND(YEAR(FJ$3)=YEAR($B$46),MONTH(FJ$3)=MONTH($B$46)),$B$48,0)</x:f>
      </x:c>
      <x:c r="FK50" s="117" t="n">
        <x:f>IF(AND(YEAR(FK$3)=YEAR($B$46),MONTH(FK$3)=MONTH($B$46)),$B$48,0)</x:f>
      </x:c>
      <x:c r="FL50" s="117" t="n">
        <x:f>IF(AND(YEAR(FL$3)=YEAR($B$46),MONTH(FL$3)=MONTH($B$46)),$B$48,0)</x:f>
      </x:c>
      <x:c r="FM50" s="117" t="n">
        <x:f>IF(AND(YEAR(FM$3)=YEAR($B$46),MONTH(FM$3)=MONTH($B$46)),$B$48,0)</x:f>
      </x:c>
      <x:c r="FN50" s="117" t="n">
        <x:f>IF(AND(YEAR(FN$3)=YEAR($B$46),MONTH(FN$3)=MONTH($B$46)),$B$48,0)</x:f>
      </x:c>
      <x:c r="FO50" s="117" t="n">
        <x:f>IF(AND(YEAR(FO$3)=YEAR($B$46),MONTH(FO$3)=MONTH($B$46)),$B$48,0)</x:f>
      </x:c>
      <x:c r="FP50" s="117" t="n">
        <x:f>IF(AND(YEAR(FP$3)=YEAR($B$46),MONTH(FP$3)=MONTH($B$46)),$B$48,0)</x:f>
      </x:c>
      <x:c r="FQ50" s="117" t="n">
        <x:f>IF(AND(YEAR(FQ$3)=YEAR($B$46),MONTH(FQ$3)=MONTH($B$46)),$B$48,0)</x:f>
      </x:c>
      <x:c r="FR50" s="117" t="n">
        <x:f>IF(AND(YEAR(FR$3)=YEAR($B$46),MONTH(FR$3)=MONTH($B$46)),$B$48,0)</x:f>
      </x:c>
      <x:c r="FS50" s="117" t="n">
        <x:f>IF(AND(YEAR(FS$3)=YEAR($B$46),MONTH(FS$3)=MONTH($B$46)),$B$48,0)</x:f>
      </x:c>
      <x:c r="FT50" s="117" t="n">
        <x:f>IF(AND(YEAR(FT$3)=YEAR($B$46),MONTH(FT$3)=MONTH($B$46)),$B$48,0)</x:f>
      </x:c>
      <x:c r="FU50" s="117" t="n">
        <x:f>IF(AND(YEAR(FU$3)=YEAR($B$46),MONTH(FU$3)=MONTH($B$46)),$B$48,0)</x:f>
      </x:c>
      <x:c r="FV50" s="117" t="n">
        <x:f>IF(AND(YEAR(FV$3)=YEAR($B$46),MONTH(FV$3)=MONTH($B$46)),$B$48,0)</x:f>
      </x:c>
      <x:c r="FW50" s="117" t="n">
        <x:f>IF(AND(YEAR(FW$3)=YEAR($B$46),MONTH(FW$3)=MONTH($B$46)),$B$48,0)</x:f>
      </x:c>
      <x:c r="FX50" s="117" t="n">
        <x:f>IF(AND(YEAR(FX$3)=YEAR($B$46),MONTH(FX$3)=MONTH($B$46)),$B$48,0)</x:f>
      </x:c>
      <x:c r="FY50" s="117" t="n">
        <x:f>IF(AND(YEAR(FY$3)=YEAR($B$46),MONTH(FY$3)=MONTH($B$46)),$B$48,0)</x:f>
      </x:c>
      <x:c r="FZ50" s="117" t="n">
        <x:f>IF(AND(YEAR(FZ$3)=YEAR($B$46),MONTH(FZ$3)=MONTH($B$46)),$B$48,0)</x:f>
      </x:c>
      <x:c r="GA50" s="117" t="n">
        <x:f>IF(AND(YEAR(GA$3)=YEAR($B$46),MONTH(GA$3)=MONTH($B$46)),$B$48,0)</x:f>
      </x:c>
    </x:row>
    <x:row r="51">
      <x:c r="A51" t="str">
        <x:v>Погашение основного долга</x:v>
      </x:c>
      <x:c r="B51" s="107" t="n">
        <x:f>SUM(D51:GA51)</x:f>
      </x:c>
      <x:c r="C51" t="str">
        <x:v>млн ₽</x:v>
      </x:c>
      <x:c r="D51" s="117" t="n">
        <x:f>MIN(D49+D50,IF('Вводные'!$B$75="Единовременно",D50,IF(AND('Вводные'!$B$84="Да",YEAR(D$3)=YEAR($B$47),MONTH(D$3)=MONTH($B$47)),D49+D50,IF(AND((12*(YEAR(D$3)-YEAR($B$46))+MONTH(D$3)-MONTH($B$46))&gt;0,MOD((12*(YEAR(D$3)-YEAR($B$46))+MONTH(D$3)-MONTH($B$46)),'Вводные'!$B$78)=0,(12*(YEAR(D$3)-YEAR($B$46))+MONTH(D$3)-MONTH($B$46))&lt;='Вводные'!$B$77*12),$B$48/MAX(1,'Вводные'!$B$79),0))))</x:f>
      </x:c>
      <x:c r="E51" s="117" t="n">
        <x:f>MIN(E49+E50,IF('Вводные'!$B$75="Единовременно",E50,IF(AND('Вводные'!$B$84="Да",YEAR(E$3)=YEAR($B$47),MONTH(E$3)=MONTH($B$47)),E49+E50,IF(AND((12*(YEAR(E$3)-YEAR($B$46))+MONTH(E$3)-MONTH($B$46))&gt;0,MOD((12*(YEAR(E$3)-YEAR($B$46))+MONTH(E$3)-MONTH($B$46)),'Вводные'!$B$78)=0,(12*(YEAR(E$3)-YEAR($B$46))+MONTH(E$3)-MONTH($B$46))&lt;='Вводные'!$B$77*12),$B$48/MAX(1,'Вводные'!$B$79),0))))</x:f>
      </x:c>
      <x:c r="F51" s="117" t="n">
        <x:f>MIN(F49+F50,IF('Вводные'!$B$75="Единовременно",F50,IF(AND('Вводные'!$B$84="Да",YEAR(F$3)=YEAR($B$47),MONTH(F$3)=MONTH($B$47)),F49+F50,IF(AND((12*(YEAR(F$3)-YEAR($B$46))+MONTH(F$3)-MONTH($B$46))&gt;0,MOD((12*(YEAR(F$3)-YEAR($B$46))+MONTH(F$3)-MONTH($B$46)),'Вводные'!$B$78)=0,(12*(YEAR(F$3)-YEAR($B$46))+MONTH(F$3)-MONTH($B$46))&lt;='Вводные'!$B$77*12),$B$48/MAX(1,'Вводные'!$B$79),0))))</x:f>
      </x:c>
      <x:c r="G51" s="117" t="n">
        <x:f>MIN(G49+G50,IF('Вводные'!$B$75="Единовременно",G50,IF(AND('Вводные'!$B$84="Да",YEAR(G$3)=YEAR($B$47),MONTH(G$3)=MONTH($B$47)),G49+G50,IF(AND((12*(YEAR(G$3)-YEAR($B$46))+MONTH(G$3)-MONTH($B$46))&gt;0,MOD((12*(YEAR(G$3)-YEAR($B$46))+MONTH(G$3)-MONTH($B$46)),'Вводные'!$B$78)=0,(12*(YEAR(G$3)-YEAR($B$46))+MONTH(G$3)-MONTH($B$46))&lt;='Вводные'!$B$77*12),$B$48/MAX(1,'Вводные'!$B$79),0))))</x:f>
      </x:c>
      <x:c r="H51" s="117" t="n">
        <x:f>MIN(H49+H50,IF('Вводные'!$B$75="Единовременно",H50,IF(AND('Вводные'!$B$84="Да",YEAR(H$3)=YEAR($B$47),MONTH(H$3)=MONTH($B$47)),H49+H50,IF(AND((12*(YEAR(H$3)-YEAR($B$46))+MONTH(H$3)-MONTH($B$46))&gt;0,MOD((12*(YEAR(H$3)-YEAR($B$46))+MONTH(H$3)-MONTH($B$46)),'Вводные'!$B$78)=0,(12*(YEAR(H$3)-YEAR($B$46))+MONTH(H$3)-MONTH($B$46))&lt;='Вводные'!$B$77*12),$B$48/MAX(1,'Вводные'!$B$79),0))))</x:f>
      </x:c>
      <x:c r="I51" s="117" t="n">
        <x:f>MIN(I49+I50,IF('Вводные'!$B$75="Единовременно",I50,IF(AND('Вводные'!$B$84="Да",YEAR(I$3)=YEAR($B$47),MONTH(I$3)=MONTH($B$47)),I49+I50,IF(AND((12*(YEAR(I$3)-YEAR($B$46))+MONTH(I$3)-MONTH($B$46))&gt;0,MOD((12*(YEAR(I$3)-YEAR($B$46))+MONTH(I$3)-MONTH($B$46)),'Вводные'!$B$78)=0,(12*(YEAR(I$3)-YEAR($B$46))+MONTH(I$3)-MONTH($B$46))&lt;='Вводные'!$B$77*12),$B$48/MAX(1,'Вводные'!$B$79),0))))</x:f>
      </x:c>
      <x:c r="J51" s="117" t="n">
        <x:f>MIN(J49+J50,IF('Вводные'!$B$75="Единовременно",J50,IF(AND('Вводные'!$B$84="Да",YEAR(J$3)=YEAR($B$47),MONTH(J$3)=MONTH($B$47)),J49+J50,IF(AND((12*(YEAR(J$3)-YEAR($B$46))+MONTH(J$3)-MONTH($B$46))&gt;0,MOD((12*(YEAR(J$3)-YEAR($B$46))+MONTH(J$3)-MONTH($B$46)),'Вводные'!$B$78)=0,(12*(YEAR(J$3)-YEAR($B$46))+MONTH(J$3)-MONTH($B$46))&lt;='Вводные'!$B$77*12),$B$48/MAX(1,'Вводные'!$B$79),0))))</x:f>
      </x:c>
      <x:c r="K51" s="117" t="n">
        <x:f>MIN(K49+K50,IF('Вводные'!$B$75="Единовременно",K50,IF(AND('Вводные'!$B$84="Да",YEAR(K$3)=YEAR($B$47),MONTH(K$3)=MONTH($B$47)),K49+K50,IF(AND((12*(YEAR(K$3)-YEAR($B$46))+MONTH(K$3)-MONTH($B$46))&gt;0,MOD((12*(YEAR(K$3)-YEAR($B$46))+MONTH(K$3)-MONTH($B$46)),'Вводные'!$B$78)=0,(12*(YEAR(K$3)-YEAR($B$46))+MONTH(K$3)-MONTH($B$46))&lt;='Вводные'!$B$77*12),$B$48/MAX(1,'Вводные'!$B$79),0))))</x:f>
      </x:c>
      <x:c r="L51" s="117" t="n">
        <x:f>MIN(L49+L50,IF('Вводные'!$B$75="Единовременно",L50,IF(AND('Вводные'!$B$84="Да",YEAR(L$3)=YEAR($B$47),MONTH(L$3)=MONTH($B$47)),L49+L50,IF(AND((12*(YEAR(L$3)-YEAR($B$46))+MONTH(L$3)-MONTH($B$46))&gt;0,MOD((12*(YEAR(L$3)-YEAR($B$46))+MONTH(L$3)-MONTH($B$46)),'Вводные'!$B$78)=0,(12*(YEAR(L$3)-YEAR($B$46))+MONTH(L$3)-MONTH($B$46))&lt;='Вводные'!$B$77*12),$B$48/MAX(1,'Вводные'!$B$79),0))))</x:f>
      </x:c>
      <x:c r="M51" s="117" t="n">
        <x:f>MIN(M49+M50,IF('Вводные'!$B$75="Единовременно",M50,IF(AND('Вводные'!$B$84="Да",YEAR(M$3)=YEAR($B$47),MONTH(M$3)=MONTH($B$47)),M49+M50,IF(AND((12*(YEAR(M$3)-YEAR($B$46))+MONTH(M$3)-MONTH($B$46))&gt;0,MOD((12*(YEAR(M$3)-YEAR($B$46))+MONTH(M$3)-MONTH($B$46)),'Вводные'!$B$78)=0,(12*(YEAR(M$3)-YEAR($B$46))+MONTH(M$3)-MONTH($B$46))&lt;='Вводные'!$B$77*12),$B$48/MAX(1,'Вводные'!$B$79),0))))</x:f>
      </x:c>
      <x:c r="N51" s="117" t="n">
        <x:f>MIN(N49+N50,IF('Вводные'!$B$75="Единовременно",N50,IF(AND('Вводные'!$B$84="Да",YEAR(N$3)=YEAR($B$47),MONTH(N$3)=MONTH($B$47)),N49+N50,IF(AND((12*(YEAR(N$3)-YEAR($B$46))+MONTH(N$3)-MONTH($B$46))&gt;0,MOD((12*(YEAR(N$3)-YEAR($B$46))+MONTH(N$3)-MONTH($B$46)),'Вводные'!$B$78)=0,(12*(YEAR(N$3)-YEAR($B$46))+MONTH(N$3)-MONTH($B$46))&lt;='Вводные'!$B$77*12),$B$48/MAX(1,'Вводные'!$B$79),0))))</x:f>
      </x:c>
      <x:c r="O51" s="117" t="n">
        <x:f>MIN(O49+O50,IF('Вводные'!$B$75="Единовременно",O50,IF(AND('Вводные'!$B$84="Да",YEAR(O$3)=YEAR($B$47),MONTH(O$3)=MONTH($B$47)),O49+O50,IF(AND((12*(YEAR(O$3)-YEAR($B$46))+MONTH(O$3)-MONTH($B$46))&gt;0,MOD((12*(YEAR(O$3)-YEAR($B$46))+MONTH(O$3)-MONTH($B$46)),'Вводные'!$B$78)=0,(12*(YEAR(O$3)-YEAR($B$46))+MONTH(O$3)-MONTH($B$46))&lt;='Вводные'!$B$77*12),$B$48/MAX(1,'Вводные'!$B$79),0))))</x:f>
      </x:c>
      <x:c r="P51" s="117" t="n">
        <x:f>MIN(P49+P50,IF('Вводные'!$B$75="Единовременно",P50,IF(AND('Вводные'!$B$84="Да",YEAR(P$3)=YEAR($B$47),MONTH(P$3)=MONTH($B$47)),P49+P50,IF(AND((12*(YEAR(P$3)-YEAR($B$46))+MONTH(P$3)-MONTH($B$46))&gt;0,MOD((12*(YEAR(P$3)-YEAR($B$46))+MONTH(P$3)-MONTH($B$46)),'Вводные'!$B$78)=0,(12*(YEAR(P$3)-YEAR($B$46))+MONTH(P$3)-MONTH($B$46))&lt;='Вводные'!$B$77*12),$B$48/MAX(1,'Вводные'!$B$79),0))))</x:f>
      </x:c>
      <x:c r="Q51" s="117" t="n">
        <x:f>MIN(Q49+Q50,IF('Вводные'!$B$75="Единовременно",Q50,IF(AND('Вводные'!$B$84="Да",YEAR(Q$3)=YEAR($B$47),MONTH(Q$3)=MONTH($B$47)),Q49+Q50,IF(AND((12*(YEAR(Q$3)-YEAR($B$46))+MONTH(Q$3)-MONTH($B$46))&gt;0,MOD((12*(YEAR(Q$3)-YEAR($B$46))+MONTH(Q$3)-MONTH($B$46)),'Вводные'!$B$78)=0,(12*(YEAR(Q$3)-YEAR($B$46))+MONTH(Q$3)-MONTH($B$46))&lt;='Вводные'!$B$77*12),$B$48/MAX(1,'Вводные'!$B$79),0))))</x:f>
      </x:c>
      <x:c r="R51" s="117" t="n">
        <x:f>MIN(R49+R50,IF('Вводные'!$B$75="Единовременно",R50,IF(AND('Вводные'!$B$84="Да",YEAR(R$3)=YEAR($B$47),MONTH(R$3)=MONTH($B$47)),R49+R50,IF(AND((12*(YEAR(R$3)-YEAR($B$46))+MONTH(R$3)-MONTH($B$46))&gt;0,MOD((12*(YEAR(R$3)-YEAR($B$46))+MONTH(R$3)-MONTH($B$46)),'Вводные'!$B$78)=0,(12*(YEAR(R$3)-YEAR($B$46))+MONTH(R$3)-MONTH($B$46))&lt;='Вводные'!$B$77*12),$B$48/MAX(1,'Вводные'!$B$79),0))))</x:f>
      </x:c>
      <x:c r="S51" s="117" t="n">
        <x:f>MIN(S49+S50,IF('Вводные'!$B$75="Единовременно",S50,IF(AND('Вводные'!$B$84="Да",YEAR(S$3)=YEAR($B$47),MONTH(S$3)=MONTH($B$47)),S49+S50,IF(AND((12*(YEAR(S$3)-YEAR($B$46))+MONTH(S$3)-MONTH($B$46))&gt;0,MOD((12*(YEAR(S$3)-YEAR($B$46))+MONTH(S$3)-MONTH($B$46)),'Вводные'!$B$78)=0,(12*(YEAR(S$3)-YEAR($B$46))+MONTH(S$3)-MONTH($B$46))&lt;='Вводные'!$B$77*12),$B$48/MAX(1,'Вводные'!$B$79),0))))</x:f>
      </x:c>
      <x:c r="T51" s="117" t="n">
        <x:f>MIN(T49+T50,IF('Вводные'!$B$75="Единовременно",T50,IF(AND('Вводные'!$B$84="Да",YEAR(T$3)=YEAR($B$47),MONTH(T$3)=MONTH($B$47)),T49+T50,IF(AND((12*(YEAR(T$3)-YEAR($B$46))+MONTH(T$3)-MONTH($B$46))&gt;0,MOD((12*(YEAR(T$3)-YEAR($B$46))+MONTH(T$3)-MONTH($B$46)),'Вводные'!$B$78)=0,(12*(YEAR(T$3)-YEAR($B$46))+MONTH(T$3)-MONTH($B$46))&lt;='Вводные'!$B$77*12),$B$48/MAX(1,'Вводные'!$B$79),0))))</x:f>
      </x:c>
      <x:c r="U51" s="117" t="n">
        <x:f>MIN(U49+U50,IF('Вводные'!$B$75="Единовременно",U50,IF(AND('Вводные'!$B$84="Да",YEAR(U$3)=YEAR($B$47),MONTH(U$3)=MONTH($B$47)),U49+U50,IF(AND((12*(YEAR(U$3)-YEAR($B$46))+MONTH(U$3)-MONTH($B$46))&gt;0,MOD((12*(YEAR(U$3)-YEAR($B$46))+MONTH(U$3)-MONTH($B$46)),'Вводные'!$B$78)=0,(12*(YEAR(U$3)-YEAR($B$46))+MONTH(U$3)-MONTH($B$46))&lt;='Вводные'!$B$77*12),$B$48/MAX(1,'Вводные'!$B$79),0))))</x:f>
      </x:c>
      <x:c r="V51" s="117" t="n">
        <x:f>MIN(V49+V50,IF('Вводные'!$B$75="Единовременно",V50,IF(AND('Вводные'!$B$84="Да",YEAR(V$3)=YEAR($B$47),MONTH(V$3)=MONTH($B$47)),V49+V50,IF(AND((12*(YEAR(V$3)-YEAR($B$46))+MONTH(V$3)-MONTH($B$46))&gt;0,MOD((12*(YEAR(V$3)-YEAR($B$46))+MONTH(V$3)-MONTH($B$46)),'Вводные'!$B$78)=0,(12*(YEAR(V$3)-YEAR($B$46))+MONTH(V$3)-MONTH($B$46))&lt;='Вводные'!$B$77*12),$B$48/MAX(1,'Вводные'!$B$79),0))))</x:f>
      </x:c>
      <x:c r="W51" s="117" t="n">
        <x:f>MIN(W49+W50,IF('Вводные'!$B$75="Единовременно",W50,IF(AND('Вводные'!$B$84="Да",YEAR(W$3)=YEAR($B$47),MONTH(W$3)=MONTH($B$47)),W49+W50,IF(AND((12*(YEAR(W$3)-YEAR($B$46))+MONTH(W$3)-MONTH($B$46))&gt;0,MOD((12*(YEAR(W$3)-YEAR($B$46))+MONTH(W$3)-MONTH($B$46)),'Вводные'!$B$78)=0,(12*(YEAR(W$3)-YEAR($B$46))+MONTH(W$3)-MONTH($B$46))&lt;='Вводные'!$B$77*12),$B$48/MAX(1,'Вводные'!$B$79),0))))</x:f>
      </x:c>
      <x:c r="X51" s="117" t="n">
        <x:f>MIN(X49+X50,IF('Вводные'!$B$75="Единовременно",X50,IF(AND('Вводные'!$B$84="Да",YEAR(X$3)=YEAR($B$47),MONTH(X$3)=MONTH($B$47)),X49+X50,IF(AND((12*(YEAR(X$3)-YEAR($B$46))+MONTH(X$3)-MONTH($B$46))&gt;0,MOD((12*(YEAR(X$3)-YEAR($B$46))+MONTH(X$3)-MONTH($B$46)),'Вводные'!$B$78)=0,(12*(YEAR(X$3)-YEAR($B$46))+MONTH(X$3)-MONTH($B$46))&lt;='Вводные'!$B$77*12),$B$48/MAX(1,'Вводные'!$B$79),0))))</x:f>
      </x:c>
      <x:c r="Y51" s="117" t="n">
        <x:f>MIN(Y49+Y50,IF('Вводные'!$B$75="Единовременно",Y50,IF(AND('Вводные'!$B$84="Да",YEAR(Y$3)=YEAR($B$47),MONTH(Y$3)=MONTH($B$47)),Y49+Y50,IF(AND((12*(YEAR(Y$3)-YEAR($B$46))+MONTH(Y$3)-MONTH($B$46))&gt;0,MOD((12*(YEAR(Y$3)-YEAR($B$46))+MONTH(Y$3)-MONTH($B$46)),'Вводные'!$B$78)=0,(12*(YEAR(Y$3)-YEAR($B$46))+MONTH(Y$3)-MONTH($B$46))&lt;='Вводные'!$B$77*12),$B$48/MAX(1,'Вводные'!$B$79),0))))</x:f>
      </x:c>
      <x:c r="Z51" s="117" t="n">
        <x:f>MIN(Z49+Z50,IF('Вводные'!$B$75="Единовременно",Z50,IF(AND('Вводные'!$B$84="Да",YEAR(Z$3)=YEAR($B$47),MONTH(Z$3)=MONTH($B$47)),Z49+Z50,IF(AND((12*(YEAR(Z$3)-YEAR($B$46))+MONTH(Z$3)-MONTH($B$46))&gt;0,MOD((12*(YEAR(Z$3)-YEAR($B$46))+MONTH(Z$3)-MONTH($B$46)),'Вводные'!$B$78)=0,(12*(YEAR(Z$3)-YEAR($B$46))+MONTH(Z$3)-MONTH($B$46))&lt;='Вводные'!$B$77*12),$B$48/MAX(1,'Вводные'!$B$79),0))))</x:f>
      </x:c>
      <x:c r="AA51" s="117" t="n">
        <x:f>MIN(AA49+AA50,IF('Вводные'!$B$75="Единовременно",AA50,IF(AND('Вводные'!$B$84="Да",YEAR(AA$3)=YEAR($B$47),MONTH(AA$3)=MONTH($B$47)),AA49+AA50,IF(AND((12*(YEAR(AA$3)-YEAR($B$46))+MONTH(AA$3)-MONTH($B$46))&gt;0,MOD((12*(YEAR(AA$3)-YEAR($B$46))+MONTH(AA$3)-MONTH($B$46)),'Вводные'!$B$78)=0,(12*(YEAR(AA$3)-YEAR($B$46))+MONTH(AA$3)-MONTH($B$46))&lt;='Вводные'!$B$77*12),$B$48/MAX(1,'Вводные'!$B$79),0))))</x:f>
      </x:c>
      <x:c r="AB51" s="117" t="n">
        <x:f>MIN(AB49+AB50,IF('Вводные'!$B$75="Единовременно",AB50,IF(AND('Вводные'!$B$84="Да",YEAR(AB$3)=YEAR($B$47),MONTH(AB$3)=MONTH($B$47)),AB49+AB50,IF(AND((12*(YEAR(AB$3)-YEAR($B$46))+MONTH(AB$3)-MONTH($B$46))&gt;0,MOD((12*(YEAR(AB$3)-YEAR($B$46))+MONTH(AB$3)-MONTH($B$46)),'Вводные'!$B$78)=0,(12*(YEAR(AB$3)-YEAR($B$46))+MONTH(AB$3)-MONTH($B$46))&lt;='Вводные'!$B$77*12),$B$48/MAX(1,'Вводные'!$B$79),0))))</x:f>
      </x:c>
      <x:c r="AC51" s="117" t="n">
        <x:f>MIN(AC49+AC50,IF('Вводные'!$B$75="Единовременно",AC50,IF(AND('Вводные'!$B$84="Да",YEAR(AC$3)=YEAR($B$47),MONTH(AC$3)=MONTH($B$47)),AC49+AC50,IF(AND((12*(YEAR(AC$3)-YEAR($B$46))+MONTH(AC$3)-MONTH($B$46))&gt;0,MOD((12*(YEAR(AC$3)-YEAR($B$46))+MONTH(AC$3)-MONTH($B$46)),'Вводные'!$B$78)=0,(12*(YEAR(AC$3)-YEAR($B$46))+MONTH(AC$3)-MONTH($B$46))&lt;='Вводные'!$B$77*12),$B$48/MAX(1,'Вводные'!$B$79),0))))</x:f>
      </x:c>
      <x:c r="AD51" s="117" t="n">
        <x:f>MIN(AD49+AD50,IF('Вводные'!$B$75="Единовременно",AD50,IF(AND('Вводные'!$B$84="Да",YEAR(AD$3)=YEAR($B$47),MONTH(AD$3)=MONTH($B$47)),AD49+AD50,IF(AND((12*(YEAR(AD$3)-YEAR($B$46))+MONTH(AD$3)-MONTH($B$46))&gt;0,MOD((12*(YEAR(AD$3)-YEAR($B$46))+MONTH(AD$3)-MONTH($B$46)),'Вводные'!$B$78)=0,(12*(YEAR(AD$3)-YEAR($B$46))+MONTH(AD$3)-MONTH($B$46))&lt;='Вводные'!$B$77*12),$B$48/MAX(1,'Вводные'!$B$79),0))))</x:f>
      </x:c>
      <x:c r="AE51" s="117" t="n">
        <x:f>MIN(AE49+AE50,IF('Вводные'!$B$75="Единовременно",AE50,IF(AND('Вводные'!$B$84="Да",YEAR(AE$3)=YEAR($B$47),MONTH(AE$3)=MONTH($B$47)),AE49+AE50,IF(AND((12*(YEAR(AE$3)-YEAR($B$46))+MONTH(AE$3)-MONTH($B$46))&gt;0,MOD((12*(YEAR(AE$3)-YEAR($B$46))+MONTH(AE$3)-MONTH($B$46)),'Вводные'!$B$78)=0,(12*(YEAR(AE$3)-YEAR($B$46))+MONTH(AE$3)-MONTH($B$46))&lt;='Вводные'!$B$77*12),$B$48/MAX(1,'Вводные'!$B$79),0))))</x:f>
      </x:c>
      <x:c r="AF51" s="117" t="n">
        <x:f>MIN(AF49+AF50,IF('Вводные'!$B$75="Единовременно",AF50,IF(AND('Вводные'!$B$84="Да",YEAR(AF$3)=YEAR($B$47),MONTH(AF$3)=MONTH($B$47)),AF49+AF50,IF(AND((12*(YEAR(AF$3)-YEAR($B$46))+MONTH(AF$3)-MONTH($B$46))&gt;0,MOD((12*(YEAR(AF$3)-YEAR($B$46))+MONTH(AF$3)-MONTH($B$46)),'Вводные'!$B$78)=0,(12*(YEAR(AF$3)-YEAR($B$46))+MONTH(AF$3)-MONTH($B$46))&lt;='Вводные'!$B$77*12),$B$48/MAX(1,'Вводные'!$B$79),0))))</x:f>
      </x:c>
      <x:c r="AG51" s="117" t="n">
        <x:f>MIN(AG49+AG50,IF('Вводные'!$B$75="Единовременно",AG50,IF(AND('Вводные'!$B$84="Да",YEAR(AG$3)=YEAR($B$47),MONTH(AG$3)=MONTH($B$47)),AG49+AG50,IF(AND((12*(YEAR(AG$3)-YEAR($B$46))+MONTH(AG$3)-MONTH($B$46))&gt;0,MOD((12*(YEAR(AG$3)-YEAR($B$46))+MONTH(AG$3)-MONTH($B$46)),'Вводные'!$B$78)=0,(12*(YEAR(AG$3)-YEAR($B$46))+MONTH(AG$3)-MONTH($B$46))&lt;='Вводные'!$B$77*12),$B$48/MAX(1,'Вводные'!$B$79),0))))</x:f>
      </x:c>
      <x:c r="AH51" s="117" t="n">
        <x:f>MIN(AH49+AH50,IF('Вводные'!$B$75="Единовременно",AH50,IF(AND('Вводные'!$B$84="Да",YEAR(AH$3)=YEAR($B$47),MONTH(AH$3)=MONTH($B$47)),AH49+AH50,IF(AND((12*(YEAR(AH$3)-YEAR($B$46))+MONTH(AH$3)-MONTH($B$46))&gt;0,MOD((12*(YEAR(AH$3)-YEAR($B$46))+MONTH(AH$3)-MONTH($B$46)),'Вводные'!$B$78)=0,(12*(YEAR(AH$3)-YEAR($B$46))+MONTH(AH$3)-MONTH($B$46))&lt;='Вводные'!$B$77*12),$B$48/MAX(1,'Вводные'!$B$79),0))))</x:f>
      </x:c>
      <x:c r="AI51" s="117" t="n">
        <x:f>MIN(AI49+AI50,IF('Вводные'!$B$75="Единовременно",AI50,IF(AND('Вводные'!$B$84="Да",YEAR(AI$3)=YEAR($B$47),MONTH(AI$3)=MONTH($B$47)),AI49+AI50,IF(AND((12*(YEAR(AI$3)-YEAR($B$46))+MONTH(AI$3)-MONTH($B$46))&gt;0,MOD((12*(YEAR(AI$3)-YEAR($B$46))+MONTH(AI$3)-MONTH($B$46)),'Вводные'!$B$78)=0,(12*(YEAR(AI$3)-YEAR($B$46))+MONTH(AI$3)-MONTH($B$46))&lt;='Вводные'!$B$77*12),$B$48/MAX(1,'Вводные'!$B$79),0))))</x:f>
      </x:c>
      <x:c r="AJ51" s="117" t="n">
        <x:f>MIN(AJ49+AJ50,IF('Вводные'!$B$75="Единовременно",AJ50,IF(AND('Вводные'!$B$84="Да",YEAR(AJ$3)=YEAR($B$47),MONTH(AJ$3)=MONTH($B$47)),AJ49+AJ50,IF(AND((12*(YEAR(AJ$3)-YEAR($B$46))+MONTH(AJ$3)-MONTH($B$46))&gt;0,MOD((12*(YEAR(AJ$3)-YEAR($B$46))+MONTH(AJ$3)-MONTH($B$46)),'Вводные'!$B$78)=0,(12*(YEAR(AJ$3)-YEAR($B$46))+MONTH(AJ$3)-MONTH($B$46))&lt;='Вводные'!$B$77*12),$B$48/MAX(1,'Вводные'!$B$79),0))))</x:f>
      </x:c>
      <x:c r="AK51" s="117" t="n">
        <x:f>MIN(AK49+AK50,IF('Вводные'!$B$75="Единовременно",AK50,IF(AND('Вводные'!$B$84="Да",YEAR(AK$3)=YEAR($B$47),MONTH(AK$3)=MONTH($B$47)),AK49+AK50,IF(AND((12*(YEAR(AK$3)-YEAR($B$46))+MONTH(AK$3)-MONTH($B$46))&gt;0,MOD((12*(YEAR(AK$3)-YEAR($B$46))+MONTH(AK$3)-MONTH($B$46)),'Вводные'!$B$78)=0,(12*(YEAR(AK$3)-YEAR($B$46))+MONTH(AK$3)-MONTH($B$46))&lt;='Вводные'!$B$77*12),$B$48/MAX(1,'Вводные'!$B$79),0))))</x:f>
      </x:c>
      <x:c r="AL51" s="117" t="n">
        <x:f>MIN(AL49+AL50,IF('Вводные'!$B$75="Единовременно",AL50,IF(AND('Вводные'!$B$84="Да",YEAR(AL$3)=YEAR($B$47),MONTH(AL$3)=MONTH($B$47)),AL49+AL50,IF(AND((12*(YEAR(AL$3)-YEAR($B$46))+MONTH(AL$3)-MONTH($B$46))&gt;0,MOD((12*(YEAR(AL$3)-YEAR($B$46))+MONTH(AL$3)-MONTH($B$46)),'Вводные'!$B$78)=0,(12*(YEAR(AL$3)-YEAR($B$46))+MONTH(AL$3)-MONTH($B$46))&lt;='Вводные'!$B$77*12),$B$48/MAX(1,'Вводные'!$B$79),0))))</x:f>
      </x:c>
      <x:c r="AM51" s="117" t="n">
        <x:f>MIN(AM49+AM50,IF('Вводные'!$B$75="Единовременно",AM50,IF(AND('Вводные'!$B$84="Да",YEAR(AM$3)=YEAR($B$47),MONTH(AM$3)=MONTH($B$47)),AM49+AM50,IF(AND((12*(YEAR(AM$3)-YEAR($B$46))+MONTH(AM$3)-MONTH($B$46))&gt;0,MOD((12*(YEAR(AM$3)-YEAR($B$46))+MONTH(AM$3)-MONTH($B$46)),'Вводные'!$B$78)=0,(12*(YEAR(AM$3)-YEAR($B$46))+MONTH(AM$3)-MONTH($B$46))&lt;='Вводные'!$B$77*12),$B$48/MAX(1,'Вводные'!$B$79),0))))</x:f>
      </x:c>
      <x:c r="AN51" s="117" t="n">
        <x:f>MIN(AN49+AN50,IF('Вводные'!$B$75="Единовременно",AN50,IF(AND('Вводные'!$B$84="Да",YEAR(AN$3)=YEAR($B$47),MONTH(AN$3)=MONTH($B$47)),AN49+AN50,IF(AND((12*(YEAR(AN$3)-YEAR($B$46))+MONTH(AN$3)-MONTH($B$46))&gt;0,MOD((12*(YEAR(AN$3)-YEAR($B$46))+MONTH(AN$3)-MONTH($B$46)),'Вводные'!$B$78)=0,(12*(YEAR(AN$3)-YEAR($B$46))+MONTH(AN$3)-MONTH($B$46))&lt;='Вводные'!$B$77*12),$B$48/MAX(1,'Вводные'!$B$79),0))))</x:f>
      </x:c>
      <x:c r="AO51" s="117" t="n">
        <x:f>MIN(AO49+AO50,IF('Вводные'!$B$75="Единовременно",AO50,IF(AND('Вводные'!$B$84="Да",YEAR(AO$3)=YEAR($B$47),MONTH(AO$3)=MONTH($B$47)),AO49+AO50,IF(AND((12*(YEAR(AO$3)-YEAR($B$46))+MONTH(AO$3)-MONTH($B$46))&gt;0,MOD((12*(YEAR(AO$3)-YEAR($B$46))+MONTH(AO$3)-MONTH($B$46)),'Вводные'!$B$78)=0,(12*(YEAR(AO$3)-YEAR($B$46))+MONTH(AO$3)-MONTH($B$46))&lt;='Вводные'!$B$77*12),$B$48/MAX(1,'Вводные'!$B$79),0))))</x:f>
      </x:c>
      <x:c r="AP51" s="117" t="n">
        <x:f>MIN(AP49+AP50,IF('Вводные'!$B$75="Единовременно",AP50,IF(AND('Вводные'!$B$84="Да",YEAR(AP$3)=YEAR($B$47),MONTH(AP$3)=MONTH($B$47)),AP49+AP50,IF(AND((12*(YEAR(AP$3)-YEAR($B$46))+MONTH(AP$3)-MONTH($B$46))&gt;0,MOD((12*(YEAR(AP$3)-YEAR($B$46))+MONTH(AP$3)-MONTH($B$46)),'Вводные'!$B$78)=0,(12*(YEAR(AP$3)-YEAR($B$46))+MONTH(AP$3)-MONTH($B$46))&lt;='Вводные'!$B$77*12),$B$48/MAX(1,'Вводные'!$B$79),0))))</x:f>
      </x:c>
      <x:c r="AQ51" s="117" t="n">
        <x:f>MIN(AQ49+AQ50,IF('Вводные'!$B$75="Единовременно",AQ50,IF(AND('Вводные'!$B$84="Да",YEAR(AQ$3)=YEAR($B$47),MONTH(AQ$3)=MONTH($B$47)),AQ49+AQ50,IF(AND((12*(YEAR(AQ$3)-YEAR($B$46))+MONTH(AQ$3)-MONTH($B$46))&gt;0,MOD((12*(YEAR(AQ$3)-YEAR($B$46))+MONTH(AQ$3)-MONTH($B$46)),'Вводные'!$B$78)=0,(12*(YEAR(AQ$3)-YEAR($B$46))+MONTH(AQ$3)-MONTH($B$46))&lt;='Вводные'!$B$77*12),$B$48/MAX(1,'Вводные'!$B$79),0))))</x:f>
      </x:c>
      <x:c r="AR51" s="117" t="n">
        <x:f>MIN(AR49+AR50,IF('Вводные'!$B$75="Единовременно",AR50,IF(AND('Вводные'!$B$84="Да",YEAR(AR$3)=YEAR($B$47),MONTH(AR$3)=MONTH($B$47)),AR49+AR50,IF(AND((12*(YEAR(AR$3)-YEAR($B$46))+MONTH(AR$3)-MONTH($B$46))&gt;0,MOD((12*(YEAR(AR$3)-YEAR($B$46))+MONTH(AR$3)-MONTH($B$46)),'Вводные'!$B$78)=0,(12*(YEAR(AR$3)-YEAR($B$46))+MONTH(AR$3)-MONTH($B$46))&lt;='Вводные'!$B$77*12),$B$48/MAX(1,'Вводные'!$B$79),0))))</x:f>
      </x:c>
      <x:c r="AS51" s="117" t="n">
        <x:f>MIN(AS49+AS50,IF('Вводные'!$B$75="Единовременно",AS50,IF(AND('Вводные'!$B$84="Да",YEAR(AS$3)=YEAR($B$47),MONTH(AS$3)=MONTH($B$47)),AS49+AS50,IF(AND((12*(YEAR(AS$3)-YEAR($B$46))+MONTH(AS$3)-MONTH($B$46))&gt;0,MOD((12*(YEAR(AS$3)-YEAR($B$46))+MONTH(AS$3)-MONTH($B$46)),'Вводные'!$B$78)=0,(12*(YEAR(AS$3)-YEAR($B$46))+MONTH(AS$3)-MONTH($B$46))&lt;='Вводные'!$B$77*12),$B$48/MAX(1,'Вводные'!$B$79),0))))</x:f>
      </x:c>
      <x:c r="AT51" s="117" t="n">
        <x:f>MIN(AT49+AT50,IF('Вводные'!$B$75="Единовременно",AT50,IF(AND('Вводные'!$B$84="Да",YEAR(AT$3)=YEAR($B$47),MONTH(AT$3)=MONTH($B$47)),AT49+AT50,IF(AND((12*(YEAR(AT$3)-YEAR($B$46))+MONTH(AT$3)-MONTH($B$46))&gt;0,MOD((12*(YEAR(AT$3)-YEAR($B$46))+MONTH(AT$3)-MONTH($B$46)),'Вводные'!$B$78)=0,(12*(YEAR(AT$3)-YEAR($B$46))+MONTH(AT$3)-MONTH($B$46))&lt;='Вводные'!$B$77*12),$B$48/MAX(1,'Вводные'!$B$79),0))))</x:f>
      </x:c>
      <x:c r="AU51" s="117" t="n">
        <x:f>MIN(AU49+AU50,IF('Вводные'!$B$75="Единовременно",AU50,IF(AND('Вводные'!$B$84="Да",YEAR(AU$3)=YEAR($B$47),MONTH(AU$3)=MONTH($B$47)),AU49+AU50,IF(AND((12*(YEAR(AU$3)-YEAR($B$46))+MONTH(AU$3)-MONTH($B$46))&gt;0,MOD((12*(YEAR(AU$3)-YEAR($B$46))+MONTH(AU$3)-MONTH($B$46)),'Вводные'!$B$78)=0,(12*(YEAR(AU$3)-YEAR($B$46))+MONTH(AU$3)-MONTH($B$46))&lt;='Вводные'!$B$77*12),$B$48/MAX(1,'Вводные'!$B$79),0))))</x:f>
      </x:c>
      <x:c r="AV51" s="117" t="n">
        <x:f>MIN(AV49+AV50,IF('Вводные'!$B$75="Единовременно",AV50,IF(AND('Вводные'!$B$84="Да",YEAR(AV$3)=YEAR($B$47),MONTH(AV$3)=MONTH($B$47)),AV49+AV50,IF(AND((12*(YEAR(AV$3)-YEAR($B$46))+MONTH(AV$3)-MONTH($B$46))&gt;0,MOD((12*(YEAR(AV$3)-YEAR($B$46))+MONTH(AV$3)-MONTH($B$46)),'Вводные'!$B$78)=0,(12*(YEAR(AV$3)-YEAR($B$46))+MONTH(AV$3)-MONTH($B$46))&lt;='Вводные'!$B$77*12),$B$48/MAX(1,'Вводные'!$B$79),0))))</x:f>
      </x:c>
      <x:c r="AW51" s="117" t="n">
        <x:f>MIN(AW49+AW50,IF('Вводные'!$B$75="Единовременно",AW50,IF(AND('Вводные'!$B$84="Да",YEAR(AW$3)=YEAR($B$47),MONTH(AW$3)=MONTH($B$47)),AW49+AW50,IF(AND((12*(YEAR(AW$3)-YEAR($B$46))+MONTH(AW$3)-MONTH($B$46))&gt;0,MOD((12*(YEAR(AW$3)-YEAR($B$46))+MONTH(AW$3)-MONTH($B$46)),'Вводные'!$B$78)=0,(12*(YEAR(AW$3)-YEAR($B$46))+MONTH(AW$3)-MONTH($B$46))&lt;='Вводные'!$B$77*12),$B$48/MAX(1,'Вводные'!$B$79),0))))</x:f>
      </x:c>
      <x:c r="AX51" s="117" t="n">
        <x:f>MIN(AX49+AX50,IF('Вводные'!$B$75="Единовременно",AX50,IF(AND('Вводные'!$B$84="Да",YEAR(AX$3)=YEAR($B$47),MONTH(AX$3)=MONTH($B$47)),AX49+AX50,IF(AND((12*(YEAR(AX$3)-YEAR($B$46))+MONTH(AX$3)-MONTH($B$46))&gt;0,MOD((12*(YEAR(AX$3)-YEAR($B$46))+MONTH(AX$3)-MONTH($B$46)),'Вводные'!$B$78)=0,(12*(YEAR(AX$3)-YEAR($B$46))+MONTH(AX$3)-MONTH($B$46))&lt;='Вводные'!$B$77*12),$B$48/MAX(1,'Вводные'!$B$79),0))))</x:f>
      </x:c>
      <x:c r="AY51" s="117" t="n">
        <x:f>MIN(AY49+AY50,IF('Вводные'!$B$75="Единовременно",AY50,IF(AND('Вводные'!$B$84="Да",YEAR(AY$3)=YEAR($B$47),MONTH(AY$3)=MONTH($B$47)),AY49+AY50,IF(AND((12*(YEAR(AY$3)-YEAR($B$46))+MONTH(AY$3)-MONTH($B$46))&gt;0,MOD((12*(YEAR(AY$3)-YEAR($B$46))+MONTH(AY$3)-MONTH($B$46)),'Вводные'!$B$78)=0,(12*(YEAR(AY$3)-YEAR($B$46))+MONTH(AY$3)-MONTH($B$46))&lt;='Вводные'!$B$77*12),$B$48/MAX(1,'Вводные'!$B$79),0))))</x:f>
      </x:c>
      <x:c r="AZ51" s="117" t="n">
        <x:f>MIN(AZ49+AZ50,IF('Вводные'!$B$75="Единовременно",AZ50,IF(AND('Вводные'!$B$84="Да",YEAR(AZ$3)=YEAR($B$47),MONTH(AZ$3)=MONTH($B$47)),AZ49+AZ50,IF(AND((12*(YEAR(AZ$3)-YEAR($B$46))+MONTH(AZ$3)-MONTH($B$46))&gt;0,MOD((12*(YEAR(AZ$3)-YEAR($B$46))+MONTH(AZ$3)-MONTH($B$46)),'Вводные'!$B$78)=0,(12*(YEAR(AZ$3)-YEAR($B$46))+MONTH(AZ$3)-MONTH($B$46))&lt;='Вводные'!$B$77*12),$B$48/MAX(1,'Вводные'!$B$79),0))))</x:f>
      </x:c>
      <x:c r="BA51" s="117" t="n">
        <x:f>MIN(BA49+BA50,IF('Вводные'!$B$75="Единовременно",BA50,IF(AND('Вводные'!$B$84="Да",YEAR(BA$3)=YEAR($B$47),MONTH(BA$3)=MONTH($B$47)),BA49+BA50,IF(AND((12*(YEAR(BA$3)-YEAR($B$46))+MONTH(BA$3)-MONTH($B$46))&gt;0,MOD((12*(YEAR(BA$3)-YEAR($B$46))+MONTH(BA$3)-MONTH($B$46)),'Вводные'!$B$78)=0,(12*(YEAR(BA$3)-YEAR($B$46))+MONTH(BA$3)-MONTH($B$46))&lt;='Вводные'!$B$77*12),$B$48/MAX(1,'Вводные'!$B$79),0))))</x:f>
      </x:c>
      <x:c r="BB51" s="117" t="n">
        <x:f>MIN(BB49+BB50,IF('Вводные'!$B$75="Единовременно",BB50,IF(AND('Вводные'!$B$84="Да",YEAR(BB$3)=YEAR($B$47),MONTH(BB$3)=MONTH($B$47)),BB49+BB50,IF(AND((12*(YEAR(BB$3)-YEAR($B$46))+MONTH(BB$3)-MONTH($B$46))&gt;0,MOD((12*(YEAR(BB$3)-YEAR($B$46))+MONTH(BB$3)-MONTH($B$46)),'Вводные'!$B$78)=0,(12*(YEAR(BB$3)-YEAR($B$46))+MONTH(BB$3)-MONTH($B$46))&lt;='Вводные'!$B$77*12),$B$48/MAX(1,'Вводные'!$B$79),0))))</x:f>
      </x:c>
      <x:c r="BC51" s="117" t="n">
        <x:f>MIN(BC49+BC50,IF('Вводные'!$B$75="Единовременно",BC50,IF(AND('Вводные'!$B$84="Да",YEAR(BC$3)=YEAR($B$47),MONTH(BC$3)=MONTH($B$47)),BC49+BC50,IF(AND((12*(YEAR(BC$3)-YEAR($B$46))+MONTH(BC$3)-MONTH($B$46))&gt;0,MOD((12*(YEAR(BC$3)-YEAR($B$46))+MONTH(BC$3)-MONTH($B$46)),'Вводные'!$B$78)=0,(12*(YEAR(BC$3)-YEAR($B$46))+MONTH(BC$3)-MONTH($B$46))&lt;='Вводные'!$B$77*12),$B$48/MAX(1,'Вводные'!$B$79),0))))</x:f>
      </x:c>
      <x:c r="BD51" s="117" t="n">
        <x:f>MIN(BD49+BD50,IF('Вводные'!$B$75="Единовременно",BD50,IF(AND('Вводные'!$B$84="Да",YEAR(BD$3)=YEAR($B$47),MONTH(BD$3)=MONTH($B$47)),BD49+BD50,IF(AND((12*(YEAR(BD$3)-YEAR($B$46))+MONTH(BD$3)-MONTH($B$46))&gt;0,MOD((12*(YEAR(BD$3)-YEAR($B$46))+MONTH(BD$3)-MONTH($B$46)),'Вводные'!$B$78)=0,(12*(YEAR(BD$3)-YEAR($B$46))+MONTH(BD$3)-MONTH($B$46))&lt;='Вводные'!$B$77*12),$B$48/MAX(1,'Вводные'!$B$79),0))))</x:f>
      </x:c>
      <x:c r="BE51" s="117" t="n">
        <x:f>MIN(BE49+BE50,IF('Вводные'!$B$75="Единовременно",BE50,IF(AND('Вводные'!$B$84="Да",YEAR(BE$3)=YEAR($B$47),MONTH(BE$3)=MONTH($B$47)),BE49+BE50,IF(AND((12*(YEAR(BE$3)-YEAR($B$46))+MONTH(BE$3)-MONTH($B$46))&gt;0,MOD((12*(YEAR(BE$3)-YEAR($B$46))+MONTH(BE$3)-MONTH($B$46)),'Вводные'!$B$78)=0,(12*(YEAR(BE$3)-YEAR($B$46))+MONTH(BE$3)-MONTH($B$46))&lt;='Вводные'!$B$77*12),$B$48/MAX(1,'Вводные'!$B$79),0))))</x:f>
      </x:c>
      <x:c r="BF51" s="117" t="n">
        <x:f>MIN(BF49+BF50,IF('Вводные'!$B$75="Единовременно",BF50,IF(AND('Вводные'!$B$84="Да",YEAR(BF$3)=YEAR($B$47),MONTH(BF$3)=MONTH($B$47)),BF49+BF50,IF(AND((12*(YEAR(BF$3)-YEAR($B$46))+MONTH(BF$3)-MONTH($B$46))&gt;0,MOD((12*(YEAR(BF$3)-YEAR($B$46))+MONTH(BF$3)-MONTH($B$46)),'Вводные'!$B$78)=0,(12*(YEAR(BF$3)-YEAR($B$46))+MONTH(BF$3)-MONTH($B$46))&lt;='Вводные'!$B$77*12),$B$48/MAX(1,'Вводные'!$B$79),0))))</x:f>
      </x:c>
      <x:c r="BG51" s="117" t="n">
        <x:f>MIN(BG49+BG50,IF('Вводные'!$B$75="Единовременно",BG50,IF(AND('Вводные'!$B$84="Да",YEAR(BG$3)=YEAR($B$47),MONTH(BG$3)=MONTH($B$47)),BG49+BG50,IF(AND((12*(YEAR(BG$3)-YEAR($B$46))+MONTH(BG$3)-MONTH($B$46))&gt;0,MOD((12*(YEAR(BG$3)-YEAR($B$46))+MONTH(BG$3)-MONTH($B$46)),'Вводные'!$B$78)=0,(12*(YEAR(BG$3)-YEAR($B$46))+MONTH(BG$3)-MONTH($B$46))&lt;='Вводные'!$B$77*12),$B$48/MAX(1,'Вводные'!$B$79),0))))</x:f>
      </x:c>
      <x:c r="BH51" s="117" t="n">
        <x:f>MIN(BH49+BH50,IF('Вводные'!$B$75="Единовременно",BH50,IF(AND('Вводные'!$B$84="Да",YEAR(BH$3)=YEAR($B$47),MONTH(BH$3)=MONTH($B$47)),BH49+BH50,IF(AND((12*(YEAR(BH$3)-YEAR($B$46))+MONTH(BH$3)-MONTH($B$46))&gt;0,MOD((12*(YEAR(BH$3)-YEAR($B$46))+MONTH(BH$3)-MONTH($B$46)),'Вводные'!$B$78)=0,(12*(YEAR(BH$3)-YEAR($B$46))+MONTH(BH$3)-MONTH($B$46))&lt;='Вводные'!$B$77*12),$B$48/MAX(1,'Вводные'!$B$79),0))))</x:f>
      </x:c>
      <x:c r="BI51" s="117" t="n">
        <x:f>MIN(BI49+BI50,IF('Вводные'!$B$75="Единовременно",BI50,IF(AND('Вводные'!$B$84="Да",YEAR(BI$3)=YEAR($B$47),MONTH(BI$3)=MONTH($B$47)),BI49+BI50,IF(AND((12*(YEAR(BI$3)-YEAR($B$46))+MONTH(BI$3)-MONTH($B$46))&gt;0,MOD((12*(YEAR(BI$3)-YEAR($B$46))+MONTH(BI$3)-MONTH($B$46)),'Вводные'!$B$78)=0,(12*(YEAR(BI$3)-YEAR($B$46))+MONTH(BI$3)-MONTH($B$46))&lt;='Вводные'!$B$77*12),$B$48/MAX(1,'Вводные'!$B$79),0))))</x:f>
      </x:c>
      <x:c r="BJ51" s="117" t="n">
        <x:f>MIN(BJ49+BJ50,IF('Вводные'!$B$75="Единовременно",BJ50,IF(AND('Вводные'!$B$84="Да",YEAR(BJ$3)=YEAR($B$47),MONTH(BJ$3)=MONTH($B$47)),BJ49+BJ50,IF(AND((12*(YEAR(BJ$3)-YEAR($B$46))+MONTH(BJ$3)-MONTH($B$46))&gt;0,MOD((12*(YEAR(BJ$3)-YEAR($B$46))+MONTH(BJ$3)-MONTH($B$46)),'Вводные'!$B$78)=0,(12*(YEAR(BJ$3)-YEAR($B$46))+MONTH(BJ$3)-MONTH($B$46))&lt;='Вводные'!$B$77*12),$B$48/MAX(1,'Вводные'!$B$79),0))))</x:f>
      </x:c>
      <x:c r="BK51" s="117" t="n">
        <x:f>MIN(BK49+BK50,IF('Вводные'!$B$75="Единовременно",BK50,IF(AND('Вводные'!$B$84="Да",YEAR(BK$3)=YEAR($B$47),MONTH(BK$3)=MONTH($B$47)),BK49+BK50,IF(AND((12*(YEAR(BK$3)-YEAR($B$46))+MONTH(BK$3)-MONTH($B$46))&gt;0,MOD((12*(YEAR(BK$3)-YEAR($B$46))+MONTH(BK$3)-MONTH($B$46)),'Вводные'!$B$78)=0,(12*(YEAR(BK$3)-YEAR($B$46))+MONTH(BK$3)-MONTH($B$46))&lt;='Вводные'!$B$77*12),$B$48/MAX(1,'Вводные'!$B$79),0))))</x:f>
      </x:c>
      <x:c r="BL51" s="117" t="n">
        <x:f>MIN(BL49+BL50,IF('Вводные'!$B$75="Единовременно",BL50,IF(AND('Вводные'!$B$84="Да",YEAR(BL$3)=YEAR($B$47),MONTH(BL$3)=MONTH($B$47)),BL49+BL50,IF(AND((12*(YEAR(BL$3)-YEAR($B$46))+MONTH(BL$3)-MONTH($B$46))&gt;0,MOD((12*(YEAR(BL$3)-YEAR($B$46))+MONTH(BL$3)-MONTH($B$46)),'Вводные'!$B$78)=0,(12*(YEAR(BL$3)-YEAR($B$46))+MONTH(BL$3)-MONTH($B$46))&lt;='Вводные'!$B$77*12),$B$48/MAX(1,'Вводные'!$B$79),0))))</x:f>
      </x:c>
      <x:c r="BM51" s="117" t="n">
        <x:f>MIN(BM49+BM50,IF('Вводные'!$B$75="Единовременно",BM50,IF(AND('Вводные'!$B$84="Да",YEAR(BM$3)=YEAR($B$47),MONTH(BM$3)=MONTH($B$47)),BM49+BM50,IF(AND((12*(YEAR(BM$3)-YEAR($B$46))+MONTH(BM$3)-MONTH($B$46))&gt;0,MOD((12*(YEAR(BM$3)-YEAR($B$46))+MONTH(BM$3)-MONTH($B$46)),'Вводные'!$B$78)=0,(12*(YEAR(BM$3)-YEAR($B$46))+MONTH(BM$3)-MONTH($B$46))&lt;='Вводные'!$B$77*12),$B$48/MAX(1,'Вводные'!$B$79),0))))</x:f>
      </x:c>
      <x:c r="BN51" s="117" t="n">
        <x:f>MIN(BN49+BN50,IF('Вводные'!$B$75="Единовременно",BN50,IF(AND('Вводные'!$B$84="Да",YEAR(BN$3)=YEAR($B$47),MONTH(BN$3)=MONTH($B$47)),BN49+BN50,IF(AND((12*(YEAR(BN$3)-YEAR($B$46))+MONTH(BN$3)-MONTH($B$46))&gt;0,MOD((12*(YEAR(BN$3)-YEAR($B$46))+MONTH(BN$3)-MONTH($B$46)),'Вводные'!$B$78)=0,(12*(YEAR(BN$3)-YEAR($B$46))+MONTH(BN$3)-MONTH($B$46))&lt;='Вводные'!$B$77*12),$B$48/MAX(1,'Вводные'!$B$79),0))))</x:f>
      </x:c>
      <x:c r="BO51" s="117" t="n">
        <x:f>MIN(BO49+BO50,IF('Вводные'!$B$75="Единовременно",BO50,IF(AND('Вводные'!$B$84="Да",YEAR(BO$3)=YEAR($B$47),MONTH(BO$3)=MONTH($B$47)),BO49+BO50,IF(AND((12*(YEAR(BO$3)-YEAR($B$46))+MONTH(BO$3)-MONTH($B$46))&gt;0,MOD((12*(YEAR(BO$3)-YEAR($B$46))+MONTH(BO$3)-MONTH($B$46)),'Вводные'!$B$78)=0,(12*(YEAR(BO$3)-YEAR($B$46))+MONTH(BO$3)-MONTH($B$46))&lt;='Вводные'!$B$77*12),$B$48/MAX(1,'Вводные'!$B$79),0))))</x:f>
      </x:c>
      <x:c r="BP51" s="117" t="n">
        <x:f>MIN(BP49+BP50,IF('Вводные'!$B$75="Единовременно",BP50,IF(AND('Вводные'!$B$84="Да",YEAR(BP$3)=YEAR($B$47),MONTH(BP$3)=MONTH($B$47)),BP49+BP50,IF(AND((12*(YEAR(BP$3)-YEAR($B$46))+MONTH(BP$3)-MONTH($B$46))&gt;0,MOD((12*(YEAR(BP$3)-YEAR($B$46))+MONTH(BP$3)-MONTH($B$46)),'Вводные'!$B$78)=0,(12*(YEAR(BP$3)-YEAR($B$46))+MONTH(BP$3)-MONTH($B$46))&lt;='Вводные'!$B$77*12),$B$48/MAX(1,'Вводные'!$B$79),0))))</x:f>
      </x:c>
      <x:c r="BQ51" s="117" t="n">
        <x:f>MIN(BQ49+BQ50,IF('Вводные'!$B$75="Единовременно",BQ50,IF(AND('Вводные'!$B$84="Да",YEAR(BQ$3)=YEAR($B$47),MONTH(BQ$3)=MONTH($B$47)),BQ49+BQ50,IF(AND((12*(YEAR(BQ$3)-YEAR($B$46))+MONTH(BQ$3)-MONTH($B$46))&gt;0,MOD((12*(YEAR(BQ$3)-YEAR($B$46))+MONTH(BQ$3)-MONTH($B$46)),'Вводные'!$B$78)=0,(12*(YEAR(BQ$3)-YEAR($B$46))+MONTH(BQ$3)-MONTH($B$46))&lt;='Вводные'!$B$77*12),$B$48/MAX(1,'Вводные'!$B$79),0))))</x:f>
      </x:c>
      <x:c r="BR51" s="117" t="n">
        <x:f>MIN(BR49+BR50,IF('Вводные'!$B$75="Единовременно",BR50,IF(AND('Вводные'!$B$84="Да",YEAR(BR$3)=YEAR($B$47),MONTH(BR$3)=MONTH($B$47)),BR49+BR50,IF(AND((12*(YEAR(BR$3)-YEAR($B$46))+MONTH(BR$3)-MONTH($B$46))&gt;0,MOD((12*(YEAR(BR$3)-YEAR($B$46))+MONTH(BR$3)-MONTH($B$46)),'Вводные'!$B$78)=0,(12*(YEAR(BR$3)-YEAR($B$46))+MONTH(BR$3)-MONTH($B$46))&lt;='Вводные'!$B$77*12),$B$48/MAX(1,'Вводные'!$B$79),0))))</x:f>
      </x:c>
      <x:c r="BS51" s="117" t="n">
        <x:f>MIN(BS49+BS50,IF('Вводные'!$B$75="Единовременно",BS50,IF(AND('Вводные'!$B$84="Да",YEAR(BS$3)=YEAR($B$47),MONTH(BS$3)=MONTH($B$47)),BS49+BS50,IF(AND((12*(YEAR(BS$3)-YEAR($B$46))+MONTH(BS$3)-MONTH($B$46))&gt;0,MOD((12*(YEAR(BS$3)-YEAR($B$46))+MONTH(BS$3)-MONTH($B$46)),'Вводные'!$B$78)=0,(12*(YEAR(BS$3)-YEAR($B$46))+MONTH(BS$3)-MONTH($B$46))&lt;='Вводные'!$B$77*12),$B$48/MAX(1,'Вводные'!$B$79),0))))</x:f>
      </x:c>
      <x:c r="BT51" s="117" t="n">
        <x:f>MIN(BT49+BT50,IF('Вводные'!$B$75="Единовременно",BT50,IF(AND('Вводные'!$B$84="Да",YEAR(BT$3)=YEAR($B$47),MONTH(BT$3)=MONTH($B$47)),BT49+BT50,IF(AND((12*(YEAR(BT$3)-YEAR($B$46))+MONTH(BT$3)-MONTH($B$46))&gt;0,MOD((12*(YEAR(BT$3)-YEAR($B$46))+MONTH(BT$3)-MONTH($B$46)),'Вводные'!$B$78)=0,(12*(YEAR(BT$3)-YEAR($B$46))+MONTH(BT$3)-MONTH($B$46))&lt;='Вводные'!$B$77*12),$B$48/MAX(1,'Вводные'!$B$79),0))))</x:f>
      </x:c>
      <x:c r="BU51" s="117" t="n">
        <x:f>MIN(BU49+BU50,IF('Вводные'!$B$75="Единовременно",BU50,IF(AND('Вводные'!$B$84="Да",YEAR(BU$3)=YEAR($B$47),MONTH(BU$3)=MONTH($B$47)),BU49+BU50,IF(AND((12*(YEAR(BU$3)-YEAR($B$46))+MONTH(BU$3)-MONTH($B$46))&gt;0,MOD((12*(YEAR(BU$3)-YEAR($B$46))+MONTH(BU$3)-MONTH($B$46)),'Вводные'!$B$78)=0,(12*(YEAR(BU$3)-YEAR($B$46))+MONTH(BU$3)-MONTH($B$46))&lt;='Вводные'!$B$77*12),$B$48/MAX(1,'Вводные'!$B$79),0))))</x:f>
      </x:c>
      <x:c r="BV51" s="117" t="n">
        <x:f>MIN(BV49+BV50,IF('Вводные'!$B$75="Единовременно",BV50,IF(AND('Вводные'!$B$84="Да",YEAR(BV$3)=YEAR($B$47),MONTH(BV$3)=MONTH($B$47)),BV49+BV50,IF(AND((12*(YEAR(BV$3)-YEAR($B$46))+MONTH(BV$3)-MONTH($B$46))&gt;0,MOD((12*(YEAR(BV$3)-YEAR($B$46))+MONTH(BV$3)-MONTH($B$46)),'Вводные'!$B$78)=0,(12*(YEAR(BV$3)-YEAR($B$46))+MONTH(BV$3)-MONTH($B$46))&lt;='Вводные'!$B$77*12),$B$48/MAX(1,'Вводные'!$B$79),0))))</x:f>
      </x:c>
      <x:c r="BW51" s="117" t="n">
        <x:f>MIN(BW49+BW50,IF('Вводные'!$B$75="Единовременно",BW50,IF(AND('Вводные'!$B$84="Да",YEAR(BW$3)=YEAR($B$47),MONTH(BW$3)=MONTH($B$47)),BW49+BW50,IF(AND((12*(YEAR(BW$3)-YEAR($B$46))+MONTH(BW$3)-MONTH($B$46))&gt;0,MOD((12*(YEAR(BW$3)-YEAR($B$46))+MONTH(BW$3)-MONTH($B$46)),'Вводные'!$B$78)=0,(12*(YEAR(BW$3)-YEAR($B$46))+MONTH(BW$3)-MONTH($B$46))&lt;='Вводные'!$B$77*12),$B$48/MAX(1,'Вводные'!$B$79),0))))</x:f>
      </x:c>
      <x:c r="BX51" s="117" t="n">
        <x:f>MIN(BX49+BX50,IF('Вводные'!$B$75="Единовременно",BX50,IF(AND('Вводные'!$B$84="Да",YEAR(BX$3)=YEAR($B$47),MONTH(BX$3)=MONTH($B$47)),BX49+BX50,IF(AND((12*(YEAR(BX$3)-YEAR($B$46))+MONTH(BX$3)-MONTH($B$46))&gt;0,MOD((12*(YEAR(BX$3)-YEAR($B$46))+MONTH(BX$3)-MONTH($B$46)),'Вводные'!$B$78)=0,(12*(YEAR(BX$3)-YEAR($B$46))+MONTH(BX$3)-MONTH($B$46))&lt;='Вводные'!$B$77*12),$B$48/MAX(1,'Вводные'!$B$79),0))))</x:f>
      </x:c>
      <x:c r="BY51" s="117" t="n">
        <x:f>MIN(BY49+BY50,IF('Вводные'!$B$75="Единовременно",BY50,IF(AND('Вводные'!$B$84="Да",YEAR(BY$3)=YEAR($B$47),MONTH(BY$3)=MONTH($B$47)),BY49+BY50,IF(AND((12*(YEAR(BY$3)-YEAR($B$46))+MONTH(BY$3)-MONTH($B$46))&gt;0,MOD((12*(YEAR(BY$3)-YEAR($B$46))+MONTH(BY$3)-MONTH($B$46)),'Вводные'!$B$78)=0,(12*(YEAR(BY$3)-YEAR($B$46))+MONTH(BY$3)-MONTH($B$46))&lt;='Вводные'!$B$77*12),$B$48/MAX(1,'Вводные'!$B$79),0))))</x:f>
      </x:c>
      <x:c r="BZ51" s="117" t="n">
        <x:f>MIN(BZ49+BZ50,IF('Вводные'!$B$75="Единовременно",BZ50,IF(AND('Вводные'!$B$84="Да",YEAR(BZ$3)=YEAR($B$47),MONTH(BZ$3)=MONTH($B$47)),BZ49+BZ50,IF(AND((12*(YEAR(BZ$3)-YEAR($B$46))+MONTH(BZ$3)-MONTH($B$46))&gt;0,MOD((12*(YEAR(BZ$3)-YEAR($B$46))+MONTH(BZ$3)-MONTH($B$46)),'Вводные'!$B$78)=0,(12*(YEAR(BZ$3)-YEAR($B$46))+MONTH(BZ$3)-MONTH($B$46))&lt;='Вводные'!$B$77*12),$B$48/MAX(1,'Вводные'!$B$79),0))))</x:f>
      </x:c>
      <x:c r="CA51" s="117" t="n">
        <x:f>MIN(CA49+CA50,IF('Вводные'!$B$75="Единовременно",CA50,IF(AND('Вводные'!$B$84="Да",YEAR(CA$3)=YEAR($B$47),MONTH(CA$3)=MONTH($B$47)),CA49+CA50,IF(AND((12*(YEAR(CA$3)-YEAR($B$46))+MONTH(CA$3)-MONTH($B$46))&gt;0,MOD((12*(YEAR(CA$3)-YEAR($B$46))+MONTH(CA$3)-MONTH($B$46)),'Вводные'!$B$78)=0,(12*(YEAR(CA$3)-YEAR($B$46))+MONTH(CA$3)-MONTH($B$46))&lt;='Вводные'!$B$77*12),$B$48/MAX(1,'Вводные'!$B$79),0))))</x:f>
      </x:c>
      <x:c r="CB51" s="117" t="n">
        <x:f>MIN(CB49+CB50,IF('Вводные'!$B$75="Единовременно",CB50,IF(AND('Вводные'!$B$84="Да",YEAR(CB$3)=YEAR($B$47),MONTH(CB$3)=MONTH($B$47)),CB49+CB50,IF(AND((12*(YEAR(CB$3)-YEAR($B$46))+MONTH(CB$3)-MONTH($B$46))&gt;0,MOD((12*(YEAR(CB$3)-YEAR($B$46))+MONTH(CB$3)-MONTH($B$46)),'Вводные'!$B$78)=0,(12*(YEAR(CB$3)-YEAR($B$46))+MONTH(CB$3)-MONTH($B$46))&lt;='Вводные'!$B$77*12),$B$48/MAX(1,'Вводные'!$B$79),0))))</x:f>
      </x:c>
      <x:c r="CC51" s="117" t="n">
        <x:f>MIN(CC49+CC50,IF('Вводные'!$B$75="Единовременно",CC50,IF(AND('Вводные'!$B$84="Да",YEAR(CC$3)=YEAR($B$47),MONTH(CC$3)=MONTH($B$47)),CC49+CC50,IF(AND((12*(YEAR(CC$3)-YEAR($B$46))+MONTH(CC$3)-MONTH($B$46))&gt;0,MOD((12*(YEAR(CC$3)-YEAR($B$46))+MONTH(CC$3)-MONTH($B$46)),'Вводные'!$B$78)=0,(12*(YEAR(CC$3)-YEAR($B$46))+MONTH(CC$3)-MONTH($B$46))&lt;='Вводные'!$B$77*12),$B$48/MAX(1,'Вводные'!$B$79),0))))</x:f>
      </x:c>
      <x:c r="CD51" s="117" t="n">
        <x:f>MIN(CD49+CD50,IF('Вводные'!$B$75="Единовременно",CD50,IF(AND('Вводные'!$B$84="Да",YEAR(CD$3)=YEAR($B$47),MONTH(CD$3)=MONTH($B$47)),CD49+CD50,IF(AND((12*(YEAR(CD$3)-YEAR($B$46))+MONTH(CD$3)-MONTH($B$46))&gt;0,MOD((12*(YEAR(CD$3)-YEAR($B$46))+MONTH(CD$3)-MONTH($B$46)),'Вводные'!$B$78)=0,(12*(YEAR(CD$3)-YEAR($B$46))+MONTH(CD$3)-MONTH($B$46))&lt;='Вводные'!$B$77*12),$B$48/MAX(1,'Вводные'!$B$79),0))))</x:f>
      </x:c>
      <x:c r="CE51" s="117" t="n">
        <x:f>MIN(CE49+CE50,IF('Вводные'!$B$75="Единовременно",CE50,IF(AND('Вводные'!$B$84="Да",YEAR(CE$3)=YEAR($B$47),MONTH(CE$3)=MONTH($B$47)),CE49+CE50,IF(AND((12*(YEAR(CE$3)-YEAR($B$46))+MONTH(CE$3)-MONTH($B$46))&gt;0,MOD((12*(YEAR(CE$3)-YEAR($B$46))+MONTH(CE$3)-MONTH($B$46)),'Вводные'!$B$78)=0,(12*(YEAR(CE$3)-YEAR($B$46))+MONTH(CE$3)-MONTH($B$46))&lt;='Вводные'!$B$77*12),$B$48/MAX(1,'Вводные'!$B$79),0))))</x:f>
      </x:c>
      <x:c r="CF51" s="117" t="n">
        <x:f>MIN(CF49+CF50,IF('Вводные'!$B$75="Единовременно",CF50,IF(AND('Вводные'!$B$84="Да",YEAR(CF$3)=YEAR($B$47),MONTH(CF$3)=MONTH($B$47)),CF49+CF50,IF(AND((12*(YEAR(CF$3)-YEAR($B$46))+MONTH(CF$3)-MONTH($B$46))&gt;0,MOD((12*(YEAR(CF$3)-YEAR($B$46))+MONTH(CF$3)-MONTH($B$46)),'Вводные'!$B$78)=0,(12*(YEAR(CF$3)-YEAR($B$46))+MONTH(CF$3)-MONTH($B$46))&lt;='Вводные'!$B$77*12),$B$48/MAX(1,'Вводные'!$B$79),0))))</x:f>
      </x:c>
      <x:c r="CG51" s="117" t="n">
        <x:f>MIN(CG49+CG50,IF('Вводные'!$B$75="Единовременно",CG50,IF(AND('Вводные'!$B$84="Да",YEAR(CG$3)=YEAR($B$47),MONTH(CG$3)=MONTH($B$47)),CG49+CG50,IF(AND((12*(YEAR(CG$3)-YEAR($B$46))+MONTH(CG$3)-MONTH($B$46))&gt;0,MOD((12*(YEAR(CG$3)-YEAR($B$46))+MONTH(CG$3)-MONTH($B$46)),'Вводные'!$B$78)=0,(12*(YEAR(CG$3)-YEAR($B$46))+MONTH(CG$3)-MONTH($B$46))&lt;='Вводные'!$B$77*12),$B$48/MAX(1,'Вводные'!$B$79),0))))</x:f>
      </x:c>
      <x:c r="CH51" s="117" t="n">
        <x:f>MIN(CH49+CH50,IF('Вводные'!$B$75="Единовременно",CH50,IF(AND('Вводные'!$B$84="Да",YEAR(CH$3)=YEAR($B$47),MONTH(CH$3)=MONTH($B$47)),CH49+CH50,IF(AND((12*(YEAR(CH$3)-YEAR($B$46))+MONTH(CH$3)-MONTH($B$46))&gt;0,MOD((12*(YEAR(CH$3)-YEAR($B$46))+MONTH(CH$3)-MONTH($B$46)),'Вводные'!$B$78)=0,(12*(YEAR(CH$3)-YEAR($B$46))+MONTH(CH$3)-MONTH($B$46))&lt;='Вводные'!$B$77*12),$B$48/MAX(1,'Вводные'!$B$79),0))))</x:f>
      </x:c>
      <x:c r="CI51" s="117" t="n">
        <x:f>MIN(CI49+CI50,IF('Вводные'!$B$75="Единовременно",CI50,IF(AND('Вводные'!$B$84="Да",YEAR(CI$3)=YEAR($B$47),MONTH(CI$3)=MONTH($B$47)),CI49+CI50,IF(AND((12*(YEAR(CI$3)-YEAR($B$46))+MONTH(CI$3)-MONTH($B$46))&gt;0,MOD((12*(YEAR(CI$3)-YEAR($B$46))+MONTH(CI$3)-MONTH($B$46)),'Вводные'!$B$78)=0,(12*(YEAR(CI$3)-YEAR($B$46))+MONTH(CI$3)-MONTH($B$46))&lt;='Вводные'!$B$77*12),$B$48/MAX(1,'Вводные'!$B$79),0))))</x:f>
      </x:c>
      <x:c r="CJ51" s="117" t="n">
        <x:f>MIN(CJ49+CJ50,IF('Вводные'!$B$75="Единовременно",CJ50,IF(AND('Вводные'!$B$84="Да",YEAR(CJ$3)=YEAR($B$47),MONTH(CJ$3)=MONTH($B$47)),CJ49+CJ50,IF(AND((12*(YEAR(CJ$3)-YEAR($B$46))+MONTH(CJ$3)-MONTH($B$46))&gt;0,MOD((12*(YEAR(CJ$3)-YEAR($B$46))+MONTH(CJ$3)-MONTH($B$46)),'Вводные'!$B$78)=0,(12*(YEAR(CJ$3)-YEAR($B$46))+MONTH(CJ$3)-MONTH($B$46))&lt;='Вводные'!$B$77*12),$B$48/MAX(1,'Вводные'!$B$79),0))))</x:f>
      </x:c>
      <x:c r="CK51" s="117" t="n">
        <x:f>MIN(CK49+CK50,IF('Вводные'!$B$75="Единовременно",CK50,IF(AND('Вводные'!$B$84="Да",YEAR(CK$3)=YEAR($B$47),MONTH(CK$3)=MONTH($B$47)),CK49+CK50,IF(AND((12*(YEAR(CK$3)-YEAR($B$46))+MONTH(CK$3)-MONTH($B$46))&gt;0,MOD((12*(YEAR(CK$3)-YEAR($B$46))+MONTH(CK$3)-MONTH($B$46)),'Вводные'!$B$78)=0,(12*(YEAR(CK$3)-YEAR($B$46))+MONTH(CK$3)-MONTH($B$46))&lt;='Вводные'!$B$77*12),$B$48/MAX(1,'Вводные'!$B$79),0))))</x:f>
      </x:c>
      <x:c r="CL51" s="117" t="n">
        <x:f>MIN(CL49+CL50,IF('Вводные'!$B$75="Единовременно",CL50,IF(AND('Вводные'!$B$84="Да",YEAR(CL$3)=YEAR($B$47),MONTH(CL$3)=MONTH($B$47)),CL49+CL50,IF(AND((12*(YEAR(CL$3)-YEAR($B$46))+MONTH(CL$3)-MONTH($B$46))&gt;0,MOD((12*(YEAR(CL$3)-YEAR($B$46))+MONTH(CL$3)-MONTH($B$46)),'Вводные'!$B$78)=0,(12*(YEAR(CL$3)-YEAR($B$46))+MONTH(CL$3)-MONTH($B$46))&lt;='Вводные'!$B$77*12),$B$48/MAX(1,'Вводные'!$B$79),0))))</x:f>
      </x:c>
      <x:c r="CM51" s="117" t="n">
        <x:f>MIN(CM49+CM50,IF('Вводные'!$B$75="Единовременно",CM50,IF(AND('Вводные'!$B$84="Да",YEAR(CM$3)=YEAR($B$47),MONTH(CM$3)=MONTH($B$47)),CM49+CM50,IF(AND((12*(YEAR(CM$3)-YEAR($B$46))+MONTH(CM$3)-MONTH($B$46))&gt;0,MOD((12*(YEAR(CM$3)-YEAR($B$46))+MONTH(CM$3)-MONTH($B$46)),'Вводные'!$B$78)=0,(12*(YEAR(CM$3)-YEAR($B$46))+MONTH(CM$3)-MONTH($B$46))&lt;='Вводные'!$B$77*12),$B$48/MAX(1,'Вводные'!$B$79),0))))</x:f>
      </x:c>
      <x:c r="CN51" s="117" t="n">
        <x:f>MIN(CN49+CN50,IF('Вводные'!$B$75="Единовременно",CN50,IF(AND('Вводные'!$B$84="Да",YEAR(CN$3)=YEAR($B$47),MONTH(CN$3)=MONTH($B$47)),CN49+CN50,IF(AND((12*(YEAR(CN$3)-YEAR($B$46))+MONTH(CN$3)-MONTH($B$46))&gt;0,MOD((12*(YEAR(CN$3)-YEAR($B$46))+MONTH(CN$3)-MONTH($B$46)),'Вводные'!$B$78)=0,(12*(YEAR(CN$3)-YEAR($B$46))+MONTH(CN$3)-MONTH($B$46))&lt;='Вводные'!$B$77*12),$B$48/MAX(1,'Вводные'!$B$79),0))))</x:f>
      </x:c>
      <x:c r="CO51" s="117" t="n">
        <x:f>MIN(CO49+CO50,IF('Вводные'!$B$75="Единовременно",CO50,IF(AND('Вводные'!$B$84="Да",YEAR(CO$3)=YEAR($B$47),MONTH(CO$3)=MONTH($B$47)),CO49+CO50,IF(AND((12*(YEAR(CO$3)-YEAR($B$46))+MONTH(CO$3)-MONTH($B$46))&gt;0,MOD((12*(YEAR(CO$3)-YEAR($B$46))+MONTH(CO$3)-MONTH($B$46)),'Вводные'!$B$78)=0,(12*(YEAR(CO$3)-YEAR($B$46))+MONTH(CO$3)-MONTH($B$46))&lt;='Вводные'!$B$77*12),$B$48/MAX(1,'Вводные'!$B$79),0))))</x:f>
      </x:c>
      <x:c r="CP51" s="117" t="n">
        <x:f>MIN(CP49+CP50,IF('Вводные'!$B$75="Единовременно",CP50,IF(AND('Вводные'!$B$84="Да",YEAR(CP$3)=YEAR($B$47),MONTH(CP$3)=MONTH($B$47)),CP49+CP50,IF(AND((12*(YEAR(CP$3)-YEAR($B$46))+MONTH(CP$3)-MONTH($B$46))&gt;0,MOD((12*(YEAR(CP$3)-YEAR($B$46))+MONTH(CP$3)-MONTH($B$46)),'Вводные'!$B$78)=0,(12*(YEAR(CP$3)-YEAR($B$46))+MONTH(CP$3)-MONTH($B$46))&lt;='Вводные'!$B$77*12),$B$48/MAX(1,'Вводные'!$B$79),0))))</x:f>
      </x:c>
      <x:c r="CQ51" s="117" t="n">
        <x:f>MIN(CQ49+CQ50,IF('Вводные'!$B$75="Единовременно",CQ50,IF(AND('Вводные'!$B$84="Да",YEAR(CQ$3)=YEAR($B$47),MONTH(CQ$3)=MONTH($B$47)),CQ49+CQ50,IF(AND((12*(YEAR(CQ$3)-YEAR($B$46))+MONTH(CQ$3)-MONTH($B$46))&gt;0,MOD((12*(YEAR(CQ$3)-YEAR($B$46))+MONTH(CQ$3)-MONTH($B$46)),'Вводные'!$B$78)=0,(12*(YEAR(CQ$3)-YEAR($B$46))+MONTH(CQ$3)-MONTH($B$46))&lt;='Вводные'!$B$77*12),$B$48/MAX(1,'Вводные'!$B$79),0))))</x:f>
      </x:c>
      <x:c r="CR51" s="117" t="n">
        <x:f>MIN(CR49+CR50,IF('Вводные'!$B$75="Единовременно",CR50,IF(AND('Вводные'!$B$84="Да",YEAR(CR$3)=YEAR($B$47),MONTH(CR$3)=MONTH($B$47)),CR49+CR50,IF(AND((12*(YEAR(CR$3)-YEAR($B$46))+MONTH(CR$3)-MONTH($B$46))&gt;0,MOD((12*(YEAR(CR$3)-YEAR($B$46))+MONTH(CR$3)-MONTH($B$46)),'Вводные'!$B$78)=0,(12*(YEAR(CR$3)-YEAR($B$46))+MONTH(CR$3)-MONTH($B$46))&lt;='Вводные'!$B$77*12),$B$48/MAX(1,'Вводные'!$B$79),0))))</x:f>
      </x:c>
      <x:c r="CS51" s="117" t="n">
        <x:f>MIN(CS49+CS50,IF('Вводные'!$B$75="Единовременно",CS50,IF(AND('Вводные'!$B$84="Да",YEAR(CS$3)=YEAR($B$47),MONTH(CS$3)=MONTH($B$47)),CS49+CS50,IF(AND((12*(YEAR(CS$3)-YEAR($B$46))+MONTH(CS$3)-MONTH($B$46))&gt;0,MOD((12*(YEAR(CS$3)-YEAR($B$46))+MONTH(CS$3)-MONTH($B$46)),'Вводные'!$B$78)=0,(12*(YEAR(CS$3)-YEAR($B$46))+MONTH(CS$3)-MONTH($B$46))&lt;='Вводные'!$B$77*12),$B$48/MAX(1,'Вводные'!$B$79),0))))</x:f>
      </x:c>
      <x:c r="CT51" s="117" t="n">
        <x:f>MIN(CT49+CT50,IF('Вводные'!$B$75="Единовременно",CT50,IF(AND('Вводные'!$B$84="Да",YEAR(CT$3)=YEAR($B$47),MONTH(CT$3)=MONTH($B$47)),CT49+CT50,IF(AND((12*(YEAR(CT$3)-YEAR($B$46))+MONTH(CT$3)-MONTH($B$46))&gt;0,MOD((12*(YEAR(CT$3)-YEAR($B$46))+MONTH(CT$3)-MONTH($B$46)),'Вводные'!$B$78)=0,(12*(YEAR(CT$3)-YEAR($B$46))+MONTH(CT$3)-MONTH($B$46))&lt;='Вводные'!$B$77*12),$B$48/MAX(1,'Вводные'!$B$79),0))))</x:f>
      </x:c>
      <x:c r="CU51" s="117" t="n">
        <x:f>MIN(CU49+CU50,IF('Вводные'!$B$75="Единовременно",CU50,IF(AND('Вводные'!$B$84="Да",YEAR(CU$3)=YEAR($B$47),MONTH(CU$3)=MONTH($B$47)),CU49+CU50,IF(AND((12*(YEAR(CU$3)-YEAR($B$46))+MONTH(CU$3)-MONTH($B$46))&gt;0,MOD((12*(YEAR(CU$3)-YEAR($B$46))+MONTH(CU$3)-MONTH($B$46)),'Вводные'!$B$78)=0,(12*(YEAR(CU$3)-YEAR($B$46))+MONTH(CU$3)-MONTH($B$46))&lt;='Вводные'!$B$77*12),$B$48/MAX(1,'Вводные'!$B$79),0))))</x:f>
      </x:c>
      <x:c r="CV51" s="117" t="n">
        <x:f>MIN(CV49+CV50,IF('Вводные'!$B$75="Единовременно",CV50,IF(AND('Вводные'!$B$84="Да",YEAR(CV$3)=YEAR($B$47),MONTH(CV$3)=MONTH($B$47)),CV49+CV50,IF(AND((12*(YEAR(CV$3)-YEAR($B$46))+MONTH(CV$3)-MONTH($B$46))&gt;0,MOD((12*(YEAR(CV$3)-YEAR($B$46))+MONTH(CV$3)-MONTH($B$46)),'Вводные'!$B$78)=0,(12*(YEAR(CV$3)-YEAR($B$46))+MONTH(CV$3)-MONTH($B$46))&lt;='Вводные'!$B$77*12),$B$48/MAX(1,'Вводные'!$B$79),0))))</x:f>
      </x:c>
      <x:c r="CW51" s="117" t="n">
        <x:f>MIN(CW49+CW50,IF('Вводные'!$B$75="Единовременно",CW50,IF(AND('Вводные'!$B$84="Да",YEAR(CW$3)=YEAR($B$47),MONTH(CW$3)=MONTH($B$47)),CW49+CW50,IF(AND((12*(YEAR(CW$3)-YEAR($B$46))+MONTH(CW$3)-MONTH($B$46))&gt;0,MOD((12*(YEAR(CW$3)-YEAR($B$46))+MONTH(CW$3)-MONTH($B$46)),'Вводные'!$B$78)=0,(12*(YEAR(CW$3)-YEAR($B$46))+MONTH(CW$3)-MONTH($B$46))&lt;='Вводные'!$B$77*12),$B$48/MAX(1,'Вводные'!$B$79),0))))</x:f>
      </x:c>
      <x:c r="CX51" s="117" t="n">
        <x:f>MIN(CX49+CX50,IF('Вводные'!$B$75="Единовременно",CX50,IF(AND('Вводные'!$B$84="Да",YEAR(CX$3)=YEAR($B$47),MONTH(CX$3)=MONTH($B$47)),CX49+CX50,IF(AND((12*(YEAR(CX$3)-YEAR($B$46))+MONTH(CX$3)-MONTH($B$46))&gt;0,MOD((12*(YEAR(CX$3)-YEAR($B$46))+MONTH(CX$3)-MONTH($B$46)),'Вводные'!$B$78)=0,(12*(YEAR(CX$3)-YEAR($B$46))+MONTH(CX$3)-MONTH($B$46))&lt;='Вводные'!$B$77*12),$B$48/MAX(1,'Вводные'!$B$79),0))))</x:f>
      </x:c>
      <x:c r="CY51" s="117" t="n">
        <x:f>MIN(CY49+CY50,IF('Вводные'!$B$75="Единовременно",CY50,IF(AND('Вводные'!$B$84="Да",YEAR(CY$3)=YEAR($B$47),MONTH(CY$3)=MONTH($B$47)),CY49+CY50,IF(AND((12*(YEAR(CY$3)-YEAR($B$46))+MONTH(CY$3)-MONTH($B$46))&gt;0,MOD((12*(YEAR(CY$3)-YEAR($B$46))+MONTH(CY$3)-MONTH($B$46)),'Вводные'!$B$78)=0,(12*(YEAR(CY$3)-YEAR($B$46))+MONTH(CY$3)-MONTH($B$46))&lt;='Вводные'!$B$77*12),$B$48/MAX(1,'Вводные'!$B$79),0))))</x:f>
      </x:c>
      <x:c r="CZ51" s="117" t="n">
        <x:f>MIN(CZ49+CZ50,IF('Вводные'!$B$75="Единовременно",CZ50,IF(AND('Вводные'!$B$84="Да",YEAR(CZ$3)=YEAR($B$47),MONTH(CZ$3)=MONTH($B$47)),CZ49+CZ50,IF(AND((12*(YEAR(CZ$3)-YEAR($B$46))+MONTH(CZ$3)-MONTH($B$46))&gt;0,MOD((12*(YEAR(CZ$3)-YEAR($B$46))+MONTH(CZ$3)-MONTH($B$46)),'Вводные'!$B$78)=0,(12*(YEAR(CZ$3)-YEAR($B$46))+MONTH(CZ$3)-MONTH($B$46))&lt;='Вводные'!$B$77*12),$B$48/MAX(1,'Вводные'!$B$79),0))))</x:f>
      </x:c>
      <x:c r="DA51" s="117" t="n">
        <x:f>MIN(DA49+DA50,IF('Вводные'!$B$75="Единовременно",DA50,IF(AND('Вводные'!$B$84="Да",YEAR(DA$3)=YEAR($B$47),MONTH(DA$3)=MONTH($B$47)),DA49+DA50,IF(AND((12*(YEAR(DA$3)-YEAR($B$46))+MONTH(DA$3)-MONTH($B$46))&gt;0,MOD((12*(YEAR(DA$3)-YEAR($B$46))+MONTH(DA$3)-MONTH($B$46)),'Вводные'!$B$78)=0,(12*(YEAR(DA$3)-YEAR($B$46))+MONTH(DA$3)-MONTH($B$46))&lt;='Вводные'!$B$77*12),$B$48/MAX(1,'Вводные'!$B$79),0))))</x:f>
      </x:c>
      <x:c r="DB51" s="117" t="n">
        <x:f>MIN(DB49+DB50,IF('Вводные'!$B$75="Единовременно",DB50,IF(AND('Вводные'!$B$84="Да",YEAR(DB$3)=YEAR($B$47),MONTH(DB$3)=MONTH($B$47)),DB49+DB50,IF(AND((12*(YEAR(DB$3)-YEAR($B$46))+MONTH(DB$3)-MONTH($B$46))&gt;0,MOD((12*(YEAR(DB$3)-YEAR($B$46))+MONTH(DB$3)-MONTH($B$46)),'Вводные'!$B$78)=0,(12*(YEAR(DB$3)-YEAR($B$46))+MONTH(DB$3)-MONTH($B$46))&lt;='Вводные'!$B$77*12),$B$48/MAX(1,'Вводные'!$B$79),0))))</x:f>
      </x:c>
      <x:c r="DC51" s="117" t="n">
        <x:f>MIN(DC49+DC50,IF('Вводные'!$B$75="Единовременно",DC50,IF(AND('Вводные'!$B$84="Да",YEAR(DC$3)=YEAR($B$47),MONTH(DC$3)=MONTH($B$47)),DC49+DC50,IF(AND((12*(YEAR(DC$3)-YEAR($B$46))+MONTH(DC$3)-MONTH($B$46))&gt;0,MOD((12*(YEAR(DC$3)-YEAR($B$46))+MONTH(DC$3)-MONTH($B$46)),'Вводные'!$B$78)=0,(12*(YEAR(DC$3)-YEAR($B$46))+MONTH(DC$3)-MONTH($B$46))&lt;='Вводные'!$B$77*12),$B$48/MAX(1,'Вводные'!$B$79),0))))</x:f>
      </x:c>
      <x:c r="DD51" s="117" t="n">
        <x:f>MIN(DD49+DD50,IF('Вводные'!$B$75="Единовременно",DD50,IF(AND('Вводные'!$B$84="Да",YEAR(DD$3)=YEAR($B$47),MONTH(DD$3)=MONTH($B$47)),DD49+DD50,IF(AND((12*(YEAR(DD$3)-YEAR($B$46))+MONTH(DD$3)-MONTH($B$46))&gt;0,MOD((12*(YEAR(DD$3)-YEAR($B$46))+MONTH(DD$3)-MONTH($B$46)),'Вводные'!$B$78)=0,(12*(YEAR(DD$3)-YEAR($B$46))+MONTH(DD$3)-MONTH($B$46))&lt;='Вводные'!$B$77*12),$B$48/MAX(1,'Вводные'!$B$79),0))))</x:f>
      </x:c>
      <x:c r="DE51" s="117" t="n">
        <x:f>MIN(DE49+DE50,IF('Вводные'!$B$75="Единовременно",DE50,IF(AND('Вводные'!$B$84="Да",YEAR(DE$3)=YEAR($B$47),MONTH(DE$3)=MONTH($B$47)),DE49+DE50,IF(AND((12*(YEAR(DE$3)-YEAR($B$46))+MONTH(DE$3)-MONTH($B$46))&gt;0,MOD((12*(YEAR(DE$3)-YEAR($B$46))+MONTH(DE$3)-MONTH($B$46)),'Вводные'!$B$78)=0,(12*(YEAR(DE$3)-YEAR($B$46))+MONTH(DE$3)-MONTH($B$46))&lt;='Вводные'!$B$77*12),$B$48/MAX(1,'Вводные'!$B$79),0))))</x:f>
      </x:c>
      <x:c r="DF51" s="117" t="n">
        <x:f>MIN(DF49+DF50,IF('Вводные'!$B$75="Единовременно",DF50,IF(AND('Вводные'!$B$84="Да",YEAR(DF$3)=YEAR($B$47),MONTH(DF$3)=MONTH($B$47)),DF49+DF50,IF(AND((12*(YEAR(DF$3)-YEAR($B$46))+MONTH(DF$3)-MONTH($B$46))&gt;0,MOD((12*(YEAR(DF$3)-YEAR($B$46))+MONTH(DF$3)-MONTH($B$46)),'Вводные'!$B$78)=0,(12*(YEAR(DF$3)-YEAR($B$46))+MONTH(DF$3)-MONTH($B$46))&lt;='Вводные'!$B$77*12),$B$48/MAX(1,'Вводные'!$B$79),0))))</x:f>
      </x:c>
      <x:c r="DG51" s="117" t="n">
        <x:f>MIN(DG49+DG50,IF('Вводные'!$B$75="Единовременно",DG50,IF(AND('Вводные'!$B$84="Да",YEAR(DG$3)=YEAR($B$47),MONTH(DG$3)=MONTH($B$47)),DG49+DG50,IF(AND((12*(YEAR(DG$3)-YEAR($B$46))+MONTH(DG$3)-MONTH($B$46))&gt;0,MOD((12*(YEAR(DG$3)-YEAR($B$46))+MONTH(DG$3)-MONTH($B$46)),'Вводные'!$B$78)=0,(12*(YEAR(DG$3)-YEAR($B$46))+MONTH(DG$3)-MONTH($B$46))&lt;='Вводные'!$B$77*12),$B$48/MAX(1,'Вводные'!$B$79),0))))</x:f>
      </x:c>
      <x:c r="DH51" s="117" t="n">
        <x:f>MIN(DH49+DH50,IF('Вводные'!$B$75="Единовременно",DH50,IF(AND('Вводные'!$B$84="Да",YEAR(DH$3)=YEAR($B$47),MONTH(DH$3)=MONTH($B$47)),DH49+DH50,IF(AND((12*(YEAR(DH$3)-YEAR($B$46))+MONTH(DH$3)-MONTH($B$46))&gt;0,MOD((12*(YEAR(DH$3)-YEAR($B$46))+MONTH(DH$3)-MONTH($B$46)),'Вводные'!$B$78)=0,(12*(YEAR(DH$3)-YEAR($B$46))+MONTH(DH$3)-MONTH($B$46))&lt;='Вводные'!$B$77*12),$B$48/MAX(1,'Вводные'!$B$79),0))))</x:f>
      </x:c>
      <x:c r="DI51" s="117" t="n">
        <x:f>MIN(DI49+DI50,IF('Вводные'!$B$75="Единовременно",DI50,IF(AND('Вводные'!$B$84="Да",YEAR(DI$3)=YEAR($B$47),MONTH(DI$3)=MONTH($B$47)),DI49+DI50,IF(AND((12*(YEAR(DI$3)-YEAR($B$46))+MONTH(DI$3)-MONTH($B$46))&gt;0,MOD((12*(YEAR(DI$3)-YEAR($B$46))+MONTH(DI$3)-MONTH($B$46)),'Вводные'!$B$78)=0,(12*(YEAR(DI$3)-YEAR($B$46))+MONTH(DI$3)-MONTH($B$46))&lt;='Вводные'!$B$77*12),$B$48/MAX(1,'Вводные'!$B$79),0))))</x:f>
      </x:c>
      <x:c r="DJ51" s="117" t="n">
        <x:f>MIN(DJ49+DJ50,IF('Вводные'!$B$75="Единовременно",DJ50,IF(AND('Вводные'!$B$84="Да",YEAR(DJ$3)=YEAR($B$47),MONTH(DJ$3)=MONTH($B$47)),DJ49+DJ50,IF(AND((12*(YEAR(DJ$3)-YEAR($B$46))+MONTH(DJ$3)-MONTH($B$46))&gt;0,MOD((12*(YEAR(DJ$3)-YEAR($B$46))+MONTH(DJ$3)-MONTH($B$46)),'Вводные'!$B$78)=0,(12*(YEAR(DJ$3)-YEAR($B$46))+MONTH(DJ$3)-MONTH($B$46))&lt;='Вводные'!$B$77*12),$B$48/MAX(1,'Вводные'!$B$79),0))))</x:f>
      </x:c>
      <x:c r="DK51" s="117" t="n">
        <x:f>MIN(DK49+DK50,IF('Вводные'!$B$75="Единовременно",DK50,IF(AND('Вводные'!$B$84="Да",YEAR(DK$3)=YEAR($B$47),MONTH(DK$3)=MONTH($B$47)),DK49+DK50,IF(AND((12*(YEAR(DK$3)-YEAR($B$46))+MONTH(DK$3)-MONTH($B$46))&gt;0,MOD((12*(YEAR(DK$3)-YEAR($B$46))+MONTH(DK$3)-MONTH($B$46)),'Вводные'!$B$78)=0,(12*(YEAR(DK$3)-YEAR($B$46))+MONTH(DK$3)-MONTH($B$46))&lt;='Вводные'!$B$77*12),$B$48/MAX(1,'Вводные'!$B$79),0))))</x:f>
      </x:c>
      <x:c r="DL51" s="117" t="n">
        <x:f>MIN(DL49+DL50,IF('Вводные'!$B$75="Единовременно",DL50,IF(AND('Вводные'!$B$84="Да",YEAR(DL$3)=YEAR($B$47),MONTH(DL$3)=MONTH($B$47)),DL49+DL50,IF(AND((12*(YEAR(DL$3)-YEAR($B$46))+MONTH(DL$3)-MONTH($B$46))&gt;0,MOD((12*(YEAR(DL$3)-YEAR($B$46))+MONTH(DL$3)-MONTH($B$46)),'Вводные'!$B$78)=0,(12*(YEAR(DL$3)-YEAR($B$46))+MONTH(DL$3)-MONTH($B$46))&lt;='Вводные'!$B$77*12),$B$48/MAX(1,'Вводные'!$B$79),0))))</x:f>
      </x:c>
      <x:c r="DM51" s="117" t="n">
        <x:f>MIN(DM49+DM50,IF('Вводные'!$B$75="Единовременно",DM50,IF(AND('Вводные'!$B$84="Да",YEAR(DM$3)=YEAR($B$47),MONTH(DM$3)=MONTH($B$47)),DM49+DM50,IF(AND((12*(YEAR(DM$3)-YEAR($B$46))+MONTH(DM$3)-MONTH($B$46))&gt;0,MOD((12*(YEAR(DM$3)-YEAR($B$46))+MONTH(DM$3)-MONTH($B$46)),'Вводные'!$B$78)=0,(12*(YEAR(DM$3)-YEAR($B$46))+MONTH(DM$3)-MONTH($B$46))&lt;='Вводные'!$B$77*12),$B$48/MAX(1,'Вводные'!$B$79),0))))</x:f>
      </x:c>
      <x:c r="DN51" s="117" t="n">
        <x:f>MIN(DN49+DN50,IF('Вводные'!$B$75="Единовременно",DN50,IF(AND('Вводные'!$B$84="Да",YEAR(DN$3)=YEAR($B$47),MONTH(DN$3)=MONTH($B$47)),DN49+DN50,IF(AND((12*(YEAR(DN$3)-YEAR($B$46))+MONTH(DN$3)-MONTH($B$46))&gt;0,MOD((12*(YEAR(DN$3)-YEAR($B$46))+MONTH(DN$3)-MONTH($B$46)),'Вводные'!$B$78)=0,(12*(YEAR(DN$3)-YEAR($B$46))+MONTH(DN$3)-MONTH($B$46))&lt;='Вводные'!$B$77*12),$B$48/MAX(1,'Вводные'!$B$79),0))))</x:f>
      </x:c>
      <x:c r="DO51" s="117" t="n">
        <x:f>MIN(DO49+DO50,IF('Вводные'!$B$75="Единовременно",DO50,IF(AND('Вводные'!$B$84="Да",YEAR(DO$3)=YEAR($B$47),MONTH(DO$3)=MONTH($B$47)),DO49+DO50,IF(AND((12*(YEAR(DO$3)-YEAR($B$46))+MONTH(DO$3)-MONTH($B$46))&gt;0,MOD((12*(YEAR(DO$3)-YEAR($B$46))+MONTH(DO$3)-MONTH($B$46)),'Вводные'!$B$78)=0,(12*(YEAR(DO$3)-YEAR($B$46))+MONTH(DO$3)-MONTH($B$46))&lt;='Вводные'!$B$77*12),$B$48/MAX(1,'Вводные'!$B$79),0))))</x:f>
      </x:c>
      <x:c r="DP51" s="117" t="n">
        <x:f>MIN(DP49+DP50,IF('Вводные'!$B$75="Единовременно",DP50,IF(AND('Вводные'!$B$84="Да",YEAR(DP$3)=YEAR($B$47),MONTH(DP$3)=MONTH($B$47)),DP49+DP50,IF(AND((12*(YEAR(DP$3)-YEAR($B$46))+MONTH(DP$3)-MONTH($B$46))&gt;0,MOD((12*(YEAR(DP$3)-YEAR($B$46))+MONTH(DP$3)-MONTH($B$46)),'Вводные'!$B$78)=0,(12*(YEAR(DP$3)-YEAR($B$46))+MONTH(DP$3)-MONTH($B$46))&lt;='Вводные'!$B$77*12),$B$48/MAX(1,'Вводные'!$B$79),0))))</x:f>
      </x:c>
      <x:c r="DQ51" s="117" t="n">
        <x:f>MIN(DQ49+DQ50,IF('Вводные'!$B$75="Единовременно",DQ50,IF(AND('Вводные'!$B$84="Да",YEAR(DQ$3)=YEAR($B$47),MONTH(DQ$3)=MONTH($B$47)),DQ49+DQ50,IF(AND((12*(YEAR(DQ$3)-YEAR($B$46))+MONTH(DQ$3)-MONTH($B$46))&gt;0,MOD((12*(YEAR(DQ$3)-YEAR($B$46))+MONTH(DQ$3)-MONTH($B$46)),'Вводные'!$B$78)=0,(12*(YEAR(DQ$3)-YEAR($B$46))+MONTH(DQ$3)-MONTH($B$46))&lt;='Вводные'!$B$77*12),$B$48/MAX(1,'Вводные'!$B$79),0))))</x:f>
      </x:c>
      <x:c r="DR51" s="117" t="n">
        <x:f>MIN(DR49+DR50,IF('Вводные'!$B$75="Единовременно",DR50,IF(AND('Вводные'!$B$84="Да",YEAR(DR$3)=YEAR($B$47),MONTH(DR$3)=MONTH($B$47)),DR49+DR50,IF(AND((12*(YEAR(DR$3)-YEAR($B$46))+MONTH(DR$3)-MONTH($B$46))&gt;0,MOD((12*(YEAR(DR$3)-YEAR($B$46))+MONTH(DR$3)-MONTH($B$46)),'Вводные'!$B$78)=0,(12*(YEAR(DR$3)-YEAR($B$46))+MONTH(DR$3)-MONTH($B$46))&lt;='Вводные'!$B$77*12),$B$48/MAX(1,'Вводные'!$B$79),0))))</x:f>
      </x:c>
      <x:c r="DS51" s="117" t="n">
        <x:f>MIN(DS49+DS50,IF('Вводные'!$B$75="Единовременно",DS50,IF(AND('Вводные'!$B$84="Да",YEAR(DS$3)=YEAR($B$47),MONTH(DS$3)=MONTH($B$47)),DS49+DS50,IF(AND((12*(YEAR(DS$3)-YEAR($B$46))+MONTH(DS$3)-MONTH($B$46))&gt;0,MOD((12*(YEAR(DS$3)-YEAR($B$46))+MONTH(DS$3)-MONTH($B$46)),'Вводные'!$B$78)=0,(12*(YEAR(DS$3)-YEAR($B$46))+MONTH(DS$3)-MONTH($B$46))&lt;='Вводные'!$B$77*12),$B$48/MAX(1,'Вводные'!$B$79),0))))</x:f>
      </x:c>
      <x:c r="DT51" s="117" t="n">
        <x:f>MIN(DT49+DT50,IF('Вводные'!$B$75="Единовременно",DT50,IF(AND('Вводные'!$B$84="Да",YEAR(DT$3)=YEAR($B$47),MONTH(DT$3)=MONTH($B$47)),DT49+DT50,IF(AND((12*(YEAR(DT$3)-YEAR($B$46))+MONTH(DT$3)-MONTH($B$46))&gt;0,MOD((12*(YEAR(DT$3)-YEAR($B$46))+MONTH(DT$3)-MONTH($B$46)),'Вводные'!$B$78)=0,(12*(YEAR(DT$3)-YEAR($B$46))+MONTH(DT$3)-MONTH($B$46))&lt;='Вводные'!$B$77*12),$B$48/MAX(1,'Вводные'!$B$79),0))))</x:f>
      </x:c>
      <x:c r="DU51" s="117" t="n">
        <x:f>MIN(DU49+DU50,IF('Вводные'!$B$75="Единовременно",DU50,IF(AND('Вводные'!$B$84="Да",YEAR(DU$3)=YEAR($B$47),MONTH(DU$3)=MONTH($B$47)),DU49+DU50,IF(AND((12*(YEAR(DU$3)-YEAR($B$46))+MONTH(DU$3)-MONTH($B$46))&gt;0,MOD((12*(YEAR(DU$3)-YEAR($B$46))+MONTH(DU$3)-MONTH($B$46)),'Вводные'!$B$78)=0,(12*(YEAR(DU$3)-YEAR($B$46))+MONTH(DU$3)-MONTH($B$46))&lt;='Вводные'!$B$77*12),$B$48/MAX(1,'Вводные'!$B$79),0))))</x:f>
      </x:c>
      <x:c r="DV51" s="117" t="n">
        <x:f>MIN(DV49+DV50,IF('Вводные'!$B$75="Единовременно",DV50,IF(AND('Вводные'!$B$84="Да",YEAR(DV$3)=YEAR($B$47),MONTH(DV$3)=MONTH($B$47)),DV49+DV50,IF(AND((12*(YEAR(DV$3)-YEAR($B$46))+MONTH(DV$3)-MONTH($B$46))&gt;0,MOD((12*(YEAR(DV$3)-YEAR($B$46))+MONTH(DV$3)-MONTH($B$46)),'Вводные'!$B$78)=0,(12*(YEAR(DV$3)-YEAR($B$46))+MONTH(DV$3)-MONTH($B$46))&lt;='Вводные'!$B$77*12),$B$48/MAX(1,'Вводные'!$B$79),0))))</x:f>
      </x:c>
      <x:c r="DW51" s="117" t="n">
        <x:f>MIN(DW49+DW50,IF('Вводные'!$B$75="Единовременно",DW50,IF(AND('Вводные'!$B$84="Да",YEAR(DW$3)=YEAR($B$47),MONTH(DW$3)=MONTH($B$47)),DW49+DW50,IF(AND((12*(YEAR(DW$3)-YEAR($B$46))+MONTH(DW$3)-MONTH($B$46))&gt;0,MOD((12*(YEAR(DW$3)-YEAR($B$46))+MONTH(DW$3)-MONTH($B$46)),'Вводные'!$B$78)=0,(12*(YEAR(DW$3)-YEAR($B$46))+MONTH(DW$3)-MONTH($B$46))&lt;='Вводные'!$B$77*12),$B$48/MAX(1,'Вводные'!$B$79),0))))</x:f>
      </x:c>
      <x:c r="DX51" s="117" t="n">
        <x:f>MIN(DX49+DX50,IF('Вводные'!$B$75="Единовременно",DX50,IF(AND('Вводные'!$B$84="Да",YEAR(DX$3)=YEAR($B$47),MONTH(DX$3)=MONTH($B$47)),DX49+DX50,IF(AND((12*(YEAR(DX$3)-YEAR($B$46))+MONTH(DX$3)-MONTH($B$46))&gt;0,MOD((12*(YEAR(DX$3)-YEAR($B$46))+MONTH(DX$3)-MONTH($B$46)),'Вводные'!$B$78)=0,(12*(YEAR(DX$3)-YEAR($B$46))+MONTH(DX$3)-MONTH($B$46))&lt;='Вводные'!$B$77*12),$B$48/MAX(1,'Вводные'!$B$79),0))))</x:f>
      </x:c>
      <x:c r="DY51" s="117" t="n">
        <x:f>MIN(DY49+DY50,IF('Вводные'!$B$75="Единовременно",DY50,IF(AND('Вводные'!$B$84="Да",YEAR(DY$3)=YEAR($B$47),MONTH(DY$3)=MONTH($B$47)),DY49+DY50,IF(AND((12*(YEAR(DY$3)-YEAR($B$46))+MONTH(DY$3)-MONTH($B$46))&gt;0,MOD((12*(YEAR(DY$3)-YEAR($B$46))+MONTH(DY$3)-MONTH($B$46)),'Вводные'!$B$78)=0,(12*(YEAR(DY$3)-YEAR($B$46))+MONTH(DY$3)-MONTH($B$46))&lt;='Вводные'!$B$77*12),$B$48/MAX(1,'Вводные'!$B$79),0))))</x:f>
      </x:c>
      <x:c r="DZ51" s="117" t="n">
        <x:f>MIN(DZ49+DZ50,IF('Вводные'!$B$75="Единовременно",DZ50,IF(AND('Вводные'!$B$84="Да",YEAR(DZ$3)=YEAR($B$47),MONTH(DZ$3)=MONTH($B$47)),DZ49+DZ50,IF(AND((12*(YEAR(DZ$3)-YEAR($B$46))+MONTH(DZ$3)-MONTH($B$46))&gt;0,MOD((12*(YEAR(DZ$3)-YEAR($B$46))+MONTH(DZ$3)-MONTH($B$46)),'Вводные'!$B$78)=0,(12*(YEAR(DZ$3)-YEAR($B$46))+MONTH(DZ$3)-MONTH($B$46))&lt;='Вводные'!$B$77*12),$B$48/MAX(1,'Вводные'!$B$79),0))))</x:f>
      </x:c>
      <x:c r="EA51" s="117" t="n">
        <x:f>MIN(EA49+EA50,IF('Вводные'!$B$75="Единовременно",EA50,IF(AND('Вводные'!$B$84="Да",YEAR(EA$3)=YEAR($B$47),MONTH(EA$3)=MONTH($B$47)),EA49+EA50,IF(AND((12*(YEAR(EA$3)-YEAR($B$46))+MONTH(EA$3)-MONTH($B$46))&gt;0,MOD((12*(YEAR(EA$3)-YEAR($B$46))+MONTH(EA$3)-MONTH($B$46)),'Вводные'!$B$78)=0,(12*(YEAR(EA$3)-YEAR($B$46))+MONTH(EA$3)-MONTH($B$46))&lt;='Вводные'!$B$77*12),$B$48/MAX(1,'Вводные'!$B$79),0))))</x:f>
      </x:c>
      <x:c r="EB51" s="117" t="n">
        <x:f>MIN(EB49+EB50,IF('Вводные'!$B$75="Единовременно",EB50,IF(AND('Вводные'!$B$84="Да",YEAR(EB$3)=YEAR($B$47),MONTH(EB$3)=MONTH($B$47)),EB49+EB50,IF(AND((12*(YEAR(EB$3)-YEAR($B$46))+MONTH(EB$3)-MONTH($B$46))&gt;0,MOD((12*(YEAR(EB$3)-YEAR($B$46))+MONTH(EB$3)-MONTH($B$46)),'Вводные'!$B$78)=0,(12*(YEAR(EB$3)-YEAR($B$46))+MONTH(EB$3)-MONTH($B$46))&lt;='Вводные'!$B$77*12),$B$48/MAX(1,'Вводные'!$B$79),0))))</x:f>
      </x:c>
      <x:c r="EC51" s="117" t="n">
        <x:f>MIN(EC49+EC50,IF('Вводные'!$B$75="Единовременно",EC50,IF(AND('Вводные'!$B$84="Да",YEAR(EC$3)=YEAR($B$47),MONTH(EC$3)=MONTH($B$47)),EC49+EC50,IF(AND((12*(YEAR(EC$3)-YEAR($B$46))+MONTH(EC$3)-MONTH($B$46))&gt;0,MOD((12*(YEAR(EC$3)-YEAR($B$46))+MONTH(EC$3)-MONTH($B$46)),'Вводные'!$B$78)=0,(12*(YEAR(EC$3)-YEAR($B$46))+MONTH(EC$3)-MONTH($B$46))&lt;='Вводные'!$B$77*12),$B$48/MAX(1,'Вводные'!$B$79),0))))</x:f>
      </x:c>
      <x:c r="ED51" s="117" t="n">
        <x:f>MIN(ED49+ED50,IF('Вводные'!$B$75="Единовременно",ED50,IF(AND('Вводные'!$B$84="Да",YEAR(ED$3)=YEAR($B$47),MONTH(ED$3)=MONTH($B$47)),ED49+ED50,IF(AND((12*(YEAR(ED$3)-YEAR($B$46))+MONTH(ED$3)-MONTH($B$46))&gt;0,MOD((12*(YEAR(ED$3)-YEAR($B$46))+MONTH(ED$3)-MONTH($B$46)),'Вводные'!$B$78)=0,(12*(YEAR(ED$3)-YEAR($B$46))+MONTH(ED$3)-MONTH($B$46))&lt;='Вводные'!$B$77*12),$B$48/MAX(1,'Вводные'!$B$79),0))))</x:f>
      </x:c>
      <x:c r="EE51" s="117" t="n">
        <x:f>MIN(EE49+EE50,IF('Вводные'!$B$75="Единовременно",EE50,IF(AND('Вводные'!$B$84="Да",YEAR(EE$3)=YEAR($B$47),MONTH(EE$3)=MONTH($B$47)),EE49+EE50,IF(AND((12*(YEAR(EE$3)-YEAR($B$46))+MONTH(EE$3)-MONTH($B$46))&gt;0,MOD((12*(YEAR(EE$3)-YEAR($B$46))+MONTH(EE$3)-MONTH($B$46)),'Вводные'!$B$78)=0,(12*(YEAR(EE$3)-YEAR($B$46))+MONTH(EE$3)-MONTH($B$46))&lt;='Вводные'!$B$77*12),$B$48/MAX(1,'Вводные'!$B$79),0))))</x:f>
      </x:c>
      <x:c r="EF51" s="117" t="n">
        <x:f>MIN(EF49+EF50,IF('Вводные'!$B$75="Единовременно",EF50,IF(AND('Вводные'!$B$84="Да",YEAR(EF$3)=YEAR($B$47),MONTH(EF$3)=MONTH($B$47)),EF49+EF50,IF(AND((12*(YEAR(EF$3)-YEAR($B$46))+MONTH(EF$3)-MONTH($B$46))&gt;0,MOD((12*(YEAR(EF$3)-YEAR($B$46))+MONTH(EF$3)-MONTH($B$46)),'Вводные'!$B$78)=0,(12*(YEAR(EF$3)-YEAR($B$46))+MONTH(EF$3)-MONTH($B$46))&lt;='Вводные'!$B$77*12),$B$48/MAX(1,'Вводные'!$B$79),0))))</x:f>
      </x:c>
      <x:c r="EG51" s="117" t="n">
        <x:f>MIN(EG49+EG50,IF('Вводные'!$B$75="Единовременно",EG50,IF(AND('Вводные'!$B$84="Да",YEAR(EG$3)=YEAR($B$47),MONTH(EG$3)=MONTH($B$47)),EG49+EG50,IF(AND((12*(YEAR(EG$3)-YEAR($B$46))+MONTH(EG$3)-MONTH($B$46))&gt;0,MOD((12*(YEAR(EG$3)-YEAR($B$46))+MONTH(EG$3)-MONTH($B$46)),'Вводные'!$B$78)=0,(12*(YEAR(EG$3)-YEAR($B$46))+MONTH(EG$3)-MONTH($B$46))&lt;='Вводные'!$B$77*12),$B$48/MAX(1,'Вводные'!$B$79),0))))</x:f>
      </x:c>
      <x:c r="EH51" s="117" t="n">
        <x:f>MIN(EH49+EH50,IF('Вводные'!$B$75="Единовременно",EH50,IF(AND('Вводные'!$B$84="Да",YEAR(EH$3)=YEAR($B$47),MONTH(EH$3)=MONTH($B$47)),EH49+EH50,IF(AND((12*(YEAR(EH$3)-YEAR($B$46))+MONTH(EH$3)-MONTH($B$46))&gt;0,MOD((12*(YEAR(EH$3)-YEAR($B$46))+MONTH(EH$3)-MONTH($B$46)),'Вводные'!$B$78)=0,(12*(YEAR(EH$3)-YEAR($B$46))+MONTH(EH$3)-MONTH($B$46))&lt;='Вводные'!$B$77*12),$B$48/MAX(1,'Вводные'!$B$79),0))))</x:f>
      </x:c>
      <x:c r="EI51" s="117" t="n">
        <x:f>MIN(EI49+EI50,IF('Вводные'!$B$75="Единовременно",EI50,IF(AND('Вводные'!$B$84="Да",YEAR(EI$3)=YEAR($B$47),MONTH(EI$3)=MONTH($B$47)),EI49+EI50,IF(AND((12*(YEAR(EI$3)-YEAR($B$46))+MONTH(EI$3)-MONTH($B$46))&gt;0,MOD((12*(YEAR(EI$3)-YEAR($B$46))+MONTH(EI$3)-MONTH($B$46)),'Вводные'!$B$78)=0,(12*(YEAR(EI$3)-YEAR($B$46))+MONTH(EI$3)-MONTH($B$46))&lt;='Вводные'!$B$77*12),$B$48/MAX(1,'Вводные'!$B$79),0))))</x:f>
      </x:c>
      <x:c r="EJ51" s="117" t="n">
        <x:f>MIN(EJ49+EJ50,IF('Вводные'!$B$75="Единовременно",EJ50,IF(AND('Вводные'!$B$84="Да",YEAR(EJ$3)=YEAR($B$47),MONTH(EJ$3)=MONTH($B$47)),EJ49+EJ50,IF(AND((12*(YEAR(EJ$3)-YEAR($B$46))+MONTH(EJ$3)-MONTH($B$46))&gt;0,MOD((12*(YEAR(EJ$3)-YEAR($B$46))+MONTH(EJ$3)-MONTH($B$46)),'Вводные'!$B$78)=0,(12*(YEAR(EJ$3)-YEAR($B$46))+MONTH(EJ$3)-MONTH($B$46))&lt;='Вводные'!$B$77*12),$B$48/MAX(1,'Вводные'!$B$79),0))))</x:f>
      </x:c>
      <x:c r="EK51" s="117" t="n">
        <x:f>MIN(EK49+EK50,IF('Вводные'!$B$75="Единовременно",EK50,IF(AND('Вводные'!$B$84="Да",YEAR(EK$3)=YEAR($B$47),MONTH(EK$3)=MONTH($B$47)),EK49+EK50,IF(AND((12*(YEAR(EK$3)-YEAR($B$46))+MONTH(EK$3)-MONTH($B$46))&gt;0,MOD((12*(YEAR(EK$3)-YEAR($B$46))+MONTH(EK$3)-MONTH($B$46)),'Вводные'!$B$78)=0,(12*(YEAR(EK$3)-YEAR($B$46))+MONTH(EK$3)-MONTH($B$46))&lt;='Вводные'!$B$77*12),$B$48/MAX(1,'Вводные'!$B$79),0))))</x:f>
      </x:c>
      <x:c r="EL51" s="117" t="n">
        <x:f>MIN(EL49+EL50,IF('Вводные'!$B$75="Единовременно",EL50,IF(AND('Вводные'!$B$84="Да",YEAR(EL$3)=YEAR($B$47),MONTH(EL$3)=MONTH($B$47)),EL49+EL50,IF(AND((12*(YEAR(EL$3)-YEAR($B$46))+MONTH(EL$3)-MONTH($B$46))&gt;0,MOD((12*(YEAR(EL$3)-YEAR($B$46))+MONTH(EL$3)-MONTH($B$46)),'Вводные'!$B$78)=0,(12*(YEAR(EL$3)-YEAR($B$46))+MONTH(EL$3)-MONTH($B$46))&lt;='Вводные'!$B$77*12),$B$48/MAX(1,'Вводные'!$B$79),0))))</x:f>
      </x:c>
      <x:c r="EM51" s="117" t="n">
        <x:f>MIN(EM49+EM50,IF('Вводные'!$B$75="Единовременно",EM50,IF(AND('Вводные'!$B$84="Да",YEAR(EM$3)=YEAR($B$47),MONTH(EM$3)=MONTH($B$47)),EM49+EM50,IF(AND((12*(YEAR(EM$3)-YEAR($B$46))+MONTH(EM$3)-MONTH($B$46))&gt;0,MOD((12*(YEAR(EM$3)-YEAR($B$46))+MONTH(EM$3)-MONTH($B$46)),'Вводные'!$B$78)=0,(12*(YEAR(EM$3)-YEAR($B$46))+MONTH(EM$3)-MONTH($B$46))&lt;='Вводные'!$B$77*12),$B$48/MAX(1,'Вводные'!$B$79),0))))</x:f>
      </x:c>
      <x:c r="EN51" s="117" t="n">
        <x:f>MIN(EN49+EN50,IF('Вводные'!$B$75="Единовременно",EN50,IF(AND('Вводные'!$B$84="Да",YEAR(EN$3)=YEAR($B$47),MONTH(EN$3)=MONTH($B$47)),EN49+EN50,IF(AND((12*(YEAR(EN$3)-YEAR($B$46))+MONTH(EN$3)-MONTH($B$46))&gt;0,MOD((12*(YEAR(EN$3)-YEAR($B$46))+MONTH(EN$3)-MONTH($B$46)),'Вводные'!$B$78)=0,(12*(YEAR(EN$3)-YEAR($B$46))+MONTH(EN$3)-MONTH($B$46))&lt;='Вводные'!$B$77*12),$B$48/MAX(1,'Вводные'!$B$79),0))))</x:f>
      </x:c>
      <x:c r="EO51" s="117" t="n">
        <x:f>MIN(EO49+EO50,IF('Вводные'!$B$75="Единовременно",EO50,IF(AND('Вводные'!$B$84="Да",YEAR(EO$3)=YEAR($B$47),MONTH(EO$3)=MONTH($B$47)),EO49+EO50,IF(AND((12*(YEAR(EO$3)-YEAR($B$46))+MONTH(EO$3)-MONTH($B$46))&gt;0,MOD((12*(YEAR(EO$3)-YEAR($B$46))+MONTH(EO$3)-MONTH($B$46)),'Вводные'!$B$78)=0,(12*(YEAR(EO$3)-YEAR($B$46))+MONTH(EO$3)-MONTH($B$46))&lt;='Вводные'!$B$77*12),$B$48/MAX(1,'Вводные'!$B$79),0))))</x:f>
      </x:c>
      <x:c r="EP51" s="117" t="n">
        <x:f>MIN(EP49+EP50,IF('Вводные'!$B$75="Единовременно",EP50,IF(AND('Вводные'!$B$84="Да",YEAR(EP$3)=YEAR($B$47),MONTH(EP$3)=MONTH($B$47)),EP49+EP50,IF(AND((12*(YEAR(EP$3)-YEAR($B$46))+MONTH(EP$3)-MONTH($B$46))&gt;0,MOD((12*(YEAR(EP$3)-YEAR($B$46))+MONTH(EP$3)-MONTH($B$46)),'Вводные'!$B$78)=0,(12*(YEAR(EP$3)-YEAR($B$46))+MONTH(EP$3)-MONTH($B$46))&lt;='Вводные'!$B$77*12),$B$48/MAX(1,'Вводные'!$B$79),0))))</x:f>
      </x:c>
      <x:c r="EQ51" s="117" t="n">
        <x:f>MIN(EQ49+EQ50,IF('Вводные'!$B$75="Единовременно",EQ50,IF(AND('Вводные'!$B$84="Да",YEAR(EQ$3)=YEAR($B$47),MONTH(EQ$3)=MONTH($B$47)),EQ49+EQ50,IF(AND((12*(YEAR(EQ$3)-YEAR($B$46))+MONTH(EQ$3)-MONTH($B$46))&gt;0,MOD((12*(YEAR(EQ$3)-YEAR($B$46))+MONTH(EQ$3)-MONTH($B$46)),'Вводные'!$B$78)=0,(12*(YEAR(EQ$3)-YEAR($B$46))+MONTH(EQ$3)-MONTH($B$46))&lt;='Вводные'!$B$77*12),$B$48/MAX(1,'Вводные'!$B$79),0))))</x:f>
      </x:c>
      <x:c r="ER51" s="117" t="n">
        <x:f>MIN(ER49+ER50,IF('Вводные'!$B$75="Единовременно",ER50,IF(AND('Вводные'!$B$84="Да",YEAR(ER$3)=YEAR($B$47),MONTH(ER$3)=MONTH($B$47)),ER49+ER50,IF(AND((12*(YEAR(ER$3)-YEAR($B$46))+MONTH(ER$3)-MONTH($B$46))&gt;0,MOD((12*(YEAR(ER$3)-YEAR($B$46))+MONTH(ER$3)-MONTH($B$46)),'Вводные'!$B$78)=0,(12*(YEAR(ER$3)-YEAR($B$46))+MONTH(ER$3)-MONTH($B$46))&lt;='Вводные'!$B$77*12),$B$48/MAX(1,'Вводные'!$B$79),0))))</x:f>
      </x:c>
      <x:c r="ES51" s="117" t="n">
        <x:f>MIN(ES49+ES50,IF('Вводные'!$B$75="Единовременно",ES50,IF(AND('Вводные'!$B$84="Да",YEAR(ES$3)=YEAR($B$47),MONTH(ES$3)=MONTH($B$47)),ES49+ES50,IF(AND((12*(YEAR(ES$3)-YEAR($B$46))+MONTH(ES$3)-MONTH($B$46))&gt;0,MOD((12*(YEAR(ES$3)-YEAR($B$46))+MONTH(ES$3)-MONTH($B$46)),'Вводные'!$B$78)=0,(12*(YEAR(ES$3)-YEAR($B$46))+MONTH(ES$3)-MONTH($B$46))&lt;='Вводные'!$B$77*12),$B$48/MAX(1,'Вводные'!$B$79),0))))</x:f>
      </x:c>
      <x:c r="ET51" s="117" t="n">
        <x:f>MIN(ET49+ET50,IF('Вводные'!$B$75="Единовременно",ET50,IF(AND('Вводные'!$B$84="Да",YEAR(ET$3)=YEAR($B$47),MONTH(ET$3)=MONTH($B$47)),ET49+ET50,IF(AND((12*(YEAR(ET$3)-YEAR($B$46))+MONTH(ET$3)-MONTH($B$46))&gt;0,MOD((12*(YEAR(ET$3)-YEAR($B$46))+MONTH(ET$3)-MONTH($B$46)),'Вводные'!$B$78)=0,(12*(YEAR(ET$3)-YEAR($B$46))+MONTH(ET$3)-MONTH($B$46))&lt;='Вводные'!$B$77*12),$B$48/MAX(1,'Вводные'!$B$79),0))))</x:f>
      </x:c>
      <x:c r="EU51" s="117" t="n">
        <x:f>MIN(EU49+EU50,IF('Вводные'!$B$75="Единовременно",EU50,IF(AND('Вводные'!$B$84="Да",YEAR(EU$3)=YEAR($B$47),MONTH(EU$3)=MONTH($B$47)),EU49+EU50,IF(AND((12*(YEAR(EU$3)-YEAR($B$46))+MONTH(EU$3)-MONTH($B$46))&gt;0,MOD((12*(YEAR(EU$3)-YEAR($B$46))+MONTH(EU$3)-MONTH($B$46)),'Вводные'!$B$78)=0,(12*(YEAR(EU$3)-YEAR($B$46))+MONTH(EU$3)-MONTH($B$46))&lt;='Вводные'!$B$77*12),$B$48/MAX(1,'Вводные'!$B$79),0))))</x:f>
      </x:c>
      <x:c r="EV51" s="117" t="n">
        <x:f>MIN(EV49+EV50,IF('Вводные'!$B$75="Единовременно",EV50,IF(AND('Вводные'!$B$84="Да",YEAR(EV$3)=YEAR($B$47),MONTH(EV$3)=MONTH($B$47)),EV49+EV50,IF(AND((12*(YEAR(EV$3)-YEAR($B$46))+MONTH(EV$3)-MONTH($B$46))&gt;0,MOD((12*(YEAR(EV$3)-YEAR($B$46))+MONTH(EV$3)-MONTH($B$46)),'Вводные'!$B$78)=0,(12*(YEAR(EV$3)-YEAR($B$46))+MONTH(EV$3)-MONTH($B$46))&lt;='Вводные'!$B$77*12),$B$48/MAX(1,'Вводные'!$B$79),0))))</x:f>
      </x:c>
      <x:c r="EW51" s="117" t="n">
        <x:f>MIN(EW49+EW50,IF('Вводные'!$B$75="Единовременно",EW50,IF(AND('Вводные'!$B$84="Да",YEAR(EW$3)=YEAR($B$47),MONTH(EW$3)=MONTH($B$47)),EW49+EW50,IF(AND((12*(YEAR(EW$3)-YEAR($B$46))+MONTH(EW$3)-MONTH($B$46))&gt;0,MOD((12*(YEAR(EW$3)-YEAR($B$46))+MONTH(EW$3)-MONTH($B$46)),'Вводные'!$B$78)=0,(12*(YEAR(EW$3)-YEAR($B$46))+MONTH(EW$3)-MONTH($B$46))&lt;='Вводные'!$B$77*12),$B$48/MAX(1,'Вводные'!$B$79),0))))</x:f>
      </x:c>
      <x:c r="EX51" s="117" t="n">
        <x:f>MIN(EX49+EX50,IF('Вводные'!$B$75="Единовременно",EX50,IF(AND('Вводные'!$B$84="Да",YEAR(EX$3)=YEAR($B$47),MONTH(EX$3)=MONTH($B$47)),EX49+EX50,IF(AND((12*(YEAR(EX$3)-YEAR($B$46))+MONTH(EX$3)-MONTH($B$46))&gt;0,MOD((12*(YEAR(EX$3)-YEAR($B$46))+MONTH(EX$3)-MONTH($B$46)),'Вводные'!$B$78)=0,(12*(YEAR(EX$3)-YEAR($B$46))+MONTH(EX$3)-MONTH($B$46))&lt;='Вводные'!$B$77*12),$B$48/MAX(1,'Вводные'!$B$79),0))))</x:f>
      </x:c>
      <x:c r="EY51" s="117" t="n">
        <x:f>MIN(EY49+EY50,IF('Вводные'!$B$75="Единовременно",EY50,IF(AND('Вводные'!$B$84="Да",YEAR(EY$3)=YEAR($B$47),MONTH(EY$3)=MONTH($B$47)),EY49+EY50,IF(AND((12*(YEAR(EY$3)-YEAR($B$46))+MONTH(EY$3)-MONTH($B$46))&gt;0,MOD((12*(YEAR(EY$3)-YEAR($B$46))+MONTH(EY$3)-MONTH($B$46)),'Вводные'!$B$78)=0,(12*(YEAR(EY$3)-YEAR($B$46))+MONTH(EY$3)-MONTH($B$46))&lt;='Вводные'!$B$77*12),$B$48/MAX(1,'Вводные'!$B$79),0))))</x:f>
      </x:c>
      <x:c r="EZ51" s="117" t="n">
        <x:f>MIN(EZ49+EZ50,IF('Вводные'!$B$75="Единовременно",EZ50,IF(AND('Вводные'!$B$84="Да",YEAR(EZ$3)=YEAR($B$47),MONTH(EZ$3)=MONTH($B$47)),EZ49+EZ50,IF(AND((12*(YEAR(EZ$3)-YEAR($B$46))+MONTH(EZ$3)-MONTH($B$46))&gt;0,MOD((12*(YEAR(EZ$3)-YEAR($B$46))+MONTH(EZ$3)-MONTH($B$46)),'Вводные'!$B$78)=0,(12*(YEAR(EZ$3)-YEAR($B$46))+MONTH(EZ$3)-MONTH($B$46))&lt;='Вводные'!$B$77*12),$B$48/MAX(1,'Вводные'!$B$79),0))))</x:f>
      </x:c>
      <x:c r="FA51" s="117" t="n">
        <x:f>MIN(FA49+FA50,IF('Вводные'!$B$75="Единовременно",FA50,IF(AND('Вводные'!$B$84="Да",YEAR(FA$3)=YEAR($B$47),MONTH(FA$3)=MONTH($B$47)),FA49+FA50,IF(AND((12*(YEAR(FA$3)-YEAR($B$46))+MONTH(FA$3)-MONTH($B$46))&gt;0,MOD((12*(YEAR(FA$3)-YEAR($B$46))+MONTH(FA$3)-MONTH($B$46)),'Вводные'!$B$78)=0,(12*(YEAR(FA$3)-YEAR($B$46))+MONTH(FA$3)-MONTH($B$46))&lt;='Вводные'!$B$77*12),$B$48/MAX(1,'Вводные'!$B$79),0))))</x:f>
      </x:c>
      <x:c r="FB51" s="117" t="n">
        <x:f>MIN(FB49+FB50,IF('Вводные'!$B$75="Единовременно",FB50,IF(AND('Вводные'!$B$84="Да",YEAR(FB$3)=YEAR($B$47),MONTH(FB$3)=MONTH($B$47)),FB49+FB50,IF(AND((12*(YEAR(FB$3)-YEAR($B$46))+MONTH(FB$3)-MONTH($B$46))&gt;0,MOD((12*(YEAR(FB$3)-YEAR($B$46))+MONTH(FB$3)-MONTH($B$46)),'Вводные'!$B$78)=0,(12*(YEAR(FB$3)-YEAR($B$46))+MONTH(FB$3)-MONTH($B$46))&lt;='Вводные'!$B$77*12),$B$48/MAX(1,'Вводные'!$B$79),0))))</x:f>
      </x:c>
      <x:c r="FC51" s="117" t="n">
        <x:f>MIN(FC49+FC50,IF('Вводные'!$B$75="Единовременно",FC50,IF(AND('Вводные'!$B$84="Да",YEAR(FC$3)=YEAR($B$47),MONTH(FC$3)=MONTH($B$47)),FC49+FC50,IF(AND((12*(YEAR(FC$3)-YEAR($B$46))+MONTH(FC$3)-MONTH($B$46))&gt;0,MOD((12*(YEAR(FC$3)-YEAR($B$46))+MONTH(FC$3)-MONTH($B$46)),'Вводные'!$B$78)=0,(12*(YEAR(FC$3)-YEAR($B$46))+MONTH(FC$3)-MONTH($B$46))&lt;='Вводные'!$B$77*12),$B$48/MAX(1,'Вводные'!$B$79),0))))</x:f>
      </x:c>
      <x:c r="FD51" s="117" t="n">
        <x:f>MIN(FD49+FD50,IF('Вводные'!$B$75="Единовременно",FD50,IF(AND('Вводные'!$B$84="Да",YEAR(FD$3)=YEAR($B$47),MONTH(FD$3)=MONTH($B$47)),FD49+FD50,IF(AND((12*(YEAR(FD$3)-YEAR($B$46))+MONTH(FD$3)-MONTH($B$46))&gt;0,MOD((12*(YEAR(FD$3)-YEAR($B$46))+MONTH(FD$3)-MONTH($B$46)),'Вводные'!$B$78)=0,(12*(YEAR(FD$3)-YEAR($B$46))+MONTH(FD$3)-MONTH($B$46))&lt;='Вводные'!$B$77*12),$B$48/MAX(1,'Вводные'!$B$79),0))))</x:f>
      </x:c>
      <x:c r="FE51" s="117" t="n">
        <x:f>MIN(FE49+FE50,IF('Вводные'!$B$75="Единовременно",FE50,IF(AND('Вводные'!$B$84="Да",YEAR(FE$3)=YEAR($B$47),MONTH(FE$3)=MONTH($B$47)),FE49+FE50,IF(AND((12*(YEAR(FE$3)-YEAR($B$46))+MONTH(FE$3)-MONTH($B$46))&gt;0,MOD((12*(YEAR(FE$3)-YEAR($B$46))+MONTH(FE$3)-MONTH($B$46)),'Вводные'!$B$78)=0,(12*(YEAR(FE$3)-YEAR($B$46))+MONTH(FE$3)-MONTH($B$46))&lt;='Вводные'!$B$77*12),$B$48/MAX(1,'Вводные'!$B$79),0))))</x:f>
      </x:c>
      <x:c r="FF51" s="117" t="n">
        <x:f>MIN(FF49+FF50,IF('Вводные'!$B$75="Единовременно",FF50,IF(AND('Вводные'!$B$84="Да",YEAR(FF$3)=YEAR($B$47),MONTH(FF$3)=MONTH($B$47)),FF49+FF50,IF(AND((12*(YEAR(FF$3)-YEAR($B$46))+MONTH(FF$3)-MONTH($B$46))&gt;0,MOD((12*(YEAR(FF$3)-YEAR($B$46))+MONTH(FF$3)-MONTH($B$46)),'Вводные'!$B$78)=0,(12*(YEAR(FF$3)-YEAR($B$46))+MONTH(FF$3)-MONTH($B$46))&lt;='Вводные'!$B$77*12),$B$48/MAX(1,'Вводные'!$B$79),0))))</x:f>
      </x:c>
      <x:c r="FG51" s="117" t="n">
        <x:f>MIN(FG49+FG50,IF('Вводные'!$B$75="Единовременно",FG50,IF(AND('Вводные'!$B$84="Да",YEAR(FG$3)=YEAR($B$47),MONTH(FG$3)=MONTH($B$47)),FG49+FG50,IF(AND((12*(YEAR(FG$3)-YEAR($B$46))+MONTH(FG$3)-MONTH($B$46))&gt;0,MOD((12*(YEAR(FG$3)-YEAR($B$46))+MONTH(FG$3)-MONTH($B$46)),'Вводные'!$B$78)=0,(12*(YEAR(FG$3)-YEAR($B$46))+MONTH(FG$3)-MONTH($B$46))&lt;='Вводные'!$B$77*12),$B$48/MAX(1,'Вводные'!$B$79),0))))</x:f>
      </x:c>
      <x:c r="FH51" s="117" t="n">
        <x:f>MIN(FH49+FH50,IF('Вводные'!$B$75="Единовременно",FH50,IF(AND('Вводные'!$B$84="Да",YEAR(FH$3)=YEAR($B$47),MONTH(FH$3)=MONTH($B$47)),FH49+FH50,IF(AND((12*(YEAR(FH$3)-YEAR($B$46))+MONTH(FH$3)-MONTH($B$46))&gt;0,MOD((12*(YEAR(FH$3)-YEAR($B$46))+MONTH(FH$3)-MONTH($B$46)),'Вводные'!$B$78)=0,(12*(YEAR(FH$3)-YEAR($B$46))+MONTH(FH$3)-MONTH($B$46))&lt;='Вводные'!$B$77*12),$B$48/MAX(1,'Вводные'!$B$79),0))))</x:f>
      </x:c>
      <x:c r="FI51" s="117" t="n">
        <x:f>MIN(FI49+FI50,IF('Вводные'!$B$75="Единовременно",FI50,IF(AND('Вводные'!$B$84="Да",YEAR(FI$3)=YEAR($B$47),MONTH(FI$3)=MONTH($B$47)),FI49+FI50,IF(AND((12*(YEAR(FI$3)-YEAR($B$46))+MONTH(FI$3)-MONTH($B$46))&gt;0,MOD((12*(YEAR(FI$3)-YEAR($B$46))+MONTH(FI$3)-MONTH($B$46)),'Вводные'!$B$78)=0,(12*(YEAR(FI$3)-YEAR($B$46))+MONTH(FI$3)-MONTH($B$46))&lt;='Вводные'!$B$77*12),$B$48/MAX(1,'Вводные'!$B$79),0))))</x:f>
      </x:c>
      <x:c r="FJ51" s="117" t="n">
        <x:f>MIN(FJ49+FJ50,IF('Вводные'!$B$75="Единовременно",FJ50,IF(AND('Вводные'!$B$84="Да",YEAR(FJ$3)=YEAR($B$47),MONTH(FJ$3)=MONTH($B$47)),FJ49+FJ50,IF(AND((12*(YEAR(FJ$3)-YEAR($B$46))+MONTH(FJ$3)-MONTH($B$46))&gt;0,MOD((12*(YEAR(FJ$3)-YEAR($B$46))+MONTH(FJ$3)-MONTH($B$46)),'Вводные'!$B$78)=0,(12*(YEAR(FJ$3)-YEAR($B$46))+MONTH(FJ$3)-MONTH($B$46))&lt;='Вводные'!$B$77*12),$B$48/MAX(1,'Вводные'!$B$79),0))))</x:f>
      </x:c>
      <x:c r="FK51" s="117" t="n">
        <x:f>MIN(FK49+FK50,IF('Вводные'!$B$75="Единовременно",FK50,IF(AND('Вводные'!$B$84="Да",YEAR(FK$3)=YEAR($B$47),MONTH(FK$3)=MONTH($B$47)),FK49+FK50,IF(AND((12*(YEAR(FK$3)-YEAR($B$46))+MONTH(FK$3)-MONTH($B$46))&gt;0,MOD((12*(YEAR(FK$3)-YEAR($B$46))+MONTH(FK$3)-MONTH($B$46)),'Вводные'!$B$78)=0,(12*(YEAR(FK$3)-YEAR($B$46))+MONTH(FK$3)-MONTH($B$46))&lt;='Вводные'!$B$77*12),$B$48/MAX(1,'Вводные'!$B$79),0))))</x:f>
      </x:c>
      <x:c r="FL51" s="117" t="n">
        <x:f>MIN(FL49+FL50,IF('Вводные'!$B$75="Единовременно",FL50,IF(AND('Вводные'!$B$84="Да",YEAR(FL$3)=YEAR($B$47),MONTH(FL$3)=MONTH($B$47)),FL49+FL50,IF(AND((12*(YEAR(FL$3)-YEAR($B$46))+MONTH(FL$3)-MONTH($B$46))&gt;0,MOD((12*(YEAR(FL$3)-YEAR($B$46))+MONTH(FL$3)-MONTH($B$46)),'Вводные'!$B$78)=0,(12*(YEAR(FL$3)-YEAR($B$46))+MONTH(FL$3)-MONTH($B$46))&lt;='Вводные'!$B$77*12),$B$48/MAX(1,'Вводные'!$B$79),0))))</x:f>
      </x:c>
      <x:c r="FM51" s="117" t="n">
        <x:f>MIN(FM49+FM50,IF('Вводные'!$B$75="Единовременно",FM50,IF(AND('Вводные'!$B$84="Да",YEAR(FM$3)=YEAR($B$47),MONTH(FM$3)=MONTH($B$47)),FM49+FM50,IF(AND((12*(YEAR(FM$3)-YEAR($B$46))+MONTH(FM$3)-MONTH($B$46))&gt;0,MOD((12*(YEAR(FM$3)-YEAR($B$46))+MONTH(FM$3)-MONTH($B$46)),'Вводные'!$B$78)=0,(12*(YEAR(FM$3)-YEAR($B$46))+MONTH(FM$3)-MONTH($B$46))&lt;='Вводные'!$B$77*12),$B$48/MAX(1,'Вводные'!$B$79),0))))</x:f>
      </x:c>
      <x:c r="FN51" s="117" t="n">
        <x:f>MIN(FN49+FN50,IF('Вводные'!$B$75="Единовременно",FN50,IF(AND('Вводные'!$B$84="Да",YEAR(FN$3)=YEAR($B$47),MONTH(FN$3)=MONTH($B$47)),FN49+FN50,IF(AND((12*(YEAR(FN$3)-YEAR($B$46))+MONTH(FN$3)-MONTH($B$46))&gt;0,MOD((12*(YEAR(FN$3)-YEAR($B$46))+MONTH(FN$3)-MONTH($B$46)),'Вводные'!$B$78)=0,(12*(YEAR(FN$3)-YEAR($B$46))+MONTH(FN$3)-MONTH($B$46))&lt;='Вводные'!$B$77*12),$B$48/MAX(1,'Вводные'!$B$79),0))))</x:f>
      </x:c>
      <x:c r="FO51" s="117" t="n">
        <x:f>MIN(FO49+FO50,IF('Вводные'!$B$75="Единовременно",FO50,IF(AND('Вводные'!$B$84="Да",YEAR(FO$3)=YEAR($B$47),MONTH(FO$3)=MONTH($B$47)),FO49+FO50,IF(AND((12*(YEAR(FO$3)-YEAR($B$46))+MONTH(FO$3)-MONTH($B$46))&gt;0,MOD((12*(YEAR(FO$3)-YEAR($B$46))+MONTH(FO$3)-MONTH($B$46)),'Вводные'!$B$78)=0,(12*(YEAR(FO$3)-YEAR($B$46))+MONTH(FO$3)-MONTH($B$46))&lt;='Вводные'!$B$77*12),$B$48/MAX(1,'Вводные'!$B$79),0))))</x:f>
      </x:c>
      <x:c r="FP51" s="117" t="n">
        <x:f>MIN(FP49+FP50,IF('Вводные'!$B$75="Единовременно",FP50,IF(AND('Вводные'!$B$84="Да",YEAR(FP$3)=YEAR($B$47),MONTH(FP$3)=MONTH($B$47)),FP49+FP50,IF(AND((12*(YEAR(FP$3)-YEAR($B$46))+MONTH(FP$3)-MONTH($B$46))&gt;0,MOD((12*(YEAR(FP$3)-YEAR($B$46))+MONTH(FP$3)-MONTH($B$46)),'Вводные'!$B$78)=0,(12*(YEAR(FP$3)-YEAR($B$46))+MONTH(FP$3)-MONTH($B$46))&lt;='Вводные'!$B$77*12),$B$48/MAX(1,'Вводные'!$B$79),0))))</x:f>
      </x:c>
      <x:c r="FQ51" s="117" t="n">
        <x:f>MIN(FQ49+FQ50,IF('Вводные'!$B$75="Единовременно",FQ50,IF(AND('Вводные'!$B$84="Да",YEAR(FQ$3)=YEAR($B$47),MONTH(FQ$3)=MONTH($B$47)),FQ49+FQ50,IF(AND((12*(YEAR(FQ$3)-YEAR($B$46))+MONTH(FQ$3)-MONTH($B$46))&gt;0,MOD((12*(YEAR(FQ$3)-YEAR($B$46))+MONTH(FQ$3)-MONTH($B$46)),'Вводные'!$B$78)=0,(12*(YEAR(FQ$3)-YEAR($B$46))+MONTH(FQ$3)-MONTH($B$46))&lt;='Вводные'!$B$77*12),$B$48/MAX(1,'Вводные'!$B$79),0))))</x:f>
      </x:c>
      <x:c r="FR51" s="117" t="n">
        <x:f>MIN(FR49+FR50,IF('Вводные'!$B$75="Единовременно",FR50,IF(AND('Вводные'!$B$84="Да",YEAR(FR$3)=YEAR($B$47),MONTH(FR$3)=MONTH($B$47)),FR49+FR50,IF(AND((12*(YEAR(FR$3)-YEAR($B$46))+MONTH(FR$3)-MONTH($B$46))&gt;0,MOD((12*(YEAR(FR$3)-YEAR($B$46))+MONTH(FR$3)-MONTH($B$46)),'Вводные'!$B$78)=0,(12*(YEAR(FR$3)-YEAR($B$46))+MONTH(FR$3)-MONTH($B$46))&lt;='Вводные'!$B$77*12),$B$48/MAX(1,'Вводные'!$B$79),0))))</x:f>
      </x:c>
      <x:c r="FS51" s="117" t="n">
        <x:f>MIN(FS49+FS50,IF('Вводные'!$B$75="Единовременно",FS50,IF(AND('Вводные'!$B$84="Да",YEAR(FS$3)=YEAR($B$47),MONTH(FS$3)=MONTH($B$47)),FS49+FS50,IF(AND((12*(YEAR(FS$3)-YEAR($B$46))+MONTH(FS$3)-MONTH($B$46))&gt;0,MOD((12*(YEAR(FS$3)-YEAR($B$46))+MONTH(FS$3)-MONTH($B$46)),'Вводные'!$B$78)=0,(12*(YEAR(FS$3)-YEAR($B$46))+MONTH(FS$3)-MONTH($B$46))&lt;='Вводные'!$B$77*12),$B$48/MAX(1,'Вводные'!$B$79),0))))</x:f>
      </x:c>
      <x:c r="FT51" s="117" t="n">
        <x:f>MIN(FT49+FT50,IF('Вводные'!$B$75="Единовременно",FT50,IF(AND('Вводные'!$B$84="Да",YEAR(FT$3)=YEAR($B$47),MONTH(FT$3)=MONTH($B$47)),FT49+FT50,IF(AND((12*(YEAR(FT$3)-YEAR($B$46))+MONTH(FT$3)-MONTH($B$46))&gt;0,MOD((12*(YEAR(FT$3)-YEAR($B$46))+MONTH(FT$3)-MONTH($B$46)),'Вводные'!$B$78)=0,(12*(YEAR(FT$3)-YEAR($B$46))+MONTH(FT$3)-MONTH($B$46))&lt;='Вводные'!$B$77*12),$B$48/MAX(1,'Вводные'!$B$79),0))))</x:f>
      </x:c>
      <x:c r="FU51" s="117" t="n">
        <x:f>MIN(FU49+FU50,IF('Вводные'!$B$75="Единовременно",FU50,IF(AND('Вводные'!$B$84="Да",YEAR(FU$3)=YEAR($B$47),MONTH(FU$3)=MONTH($B$47)),FU49+FU50,IF(AND((12*(YEAR(FU$3)-YEAR($B$46))+MONTH(FU$3)-MONTH($B$46))&gt;0,MOD((12*(YEAR(FU$3)-YEAR($B$46))+MONTH(FU$3)-MONTH($B$46)),'Вводные'!$B$78)=0,(12*(YEAR(FU$3)-YEAR($B$46))+MONTH(FU$3)-MONTH($B$46))&lt;='Вводные'!$B$77*12),$B$48/MAX(1,'Вводные'!$B$79),0))))</x:f>
      </x:c>
      <x:c r="FV51" s="117" t="n">
        <x:f>MIN(FV49+FV50,IF('Вводные'!$B$75="Единовременно",FV50,IF(AND('Вводные'!$B$84="Да",YEAR(FV$3)=YEAR($B$47),MONTH(FV$3)=MONTH($B$47)),FV49+FV50,IF(AND((12*(YEAR(FV$3)-YEAR($B$46))+MONTH(FV$3)-MONTH($B$46))&gt;0,MOD((12*(YEAR(FV$3)-YEAR($B$46))+MONTH(FV$3)-MONTH($B$46)),'Вводные'!$B$78)=0,(12*(YEAR(FV$3)-YEAR($B$46))+MONTH(FV$3)-MONTH($B$46))&lt;='Вводные'!$B$77*12),$B$48/MAX(1,'Вводные'!$B$79),0))))</x:f>
      </x:c>
      <x:c r="FW51" s="117" t="n">
        <x:f>MIN(FW49+FW50,IF('Вводные'!$B$75="Единовременно",FW50,IF(AND('Вводные'!$B$84="Да",YEAR(FW$3)=YEAR($B$47),MONTH(FW$3)=MONTH($B$47)),FW49+FW50,IF(AND((12*(YEAR(FW$3)-YEAR($B$46))+MONTH(FW$3)-MONTH($B$46))&gt;0,MOD((12*(YEAR(FW$3)-YEAR($B$46))+MONTH(FW$3)-MONTH($B$46)),'Вводные'!$B$78)=0,(12*(YEAR(FW$3)-YEAR($B$46))+MONTH(FW$3)-MONTH($B$46))&lt;='Вводные'!$B$77*12),$B$48/MAX(1,'Вводные'!$B$79),0))))</x:f>
      </x:c>
      <x:c r="FX51" s="117" t="n">
        <x:f>MIN(FX49+FX50,IF('Вводные'!$B$75="Единовременно",FX50,IF(AND('Вводные'!$B$84="Да",YEAR(FX$3)=YEAR($B$47),MONTH(FX$3)=MONTH($B$47)),FX49+FX50,IF(AND((12*(YEAR(FX$3)-YEAR($B$46))+MONTH(FX$3)-MONTH($B$46))&gt;0,MOD((12*(YEAR(FX$3)-YEAR($B$46))+MONTH(FX$3)-MONTH($B$46)),'Вводные'!$B$78)=0,(12*(YEAR(FX$3)-YEAR($B$46))+MONTH(FX$3)-MONTH($B$46))&lt;='Вводные'!$B$77*12),$B$48/MAX(1,'Вводные'!$B$79),0))))</x:f>
      </x:c>
      <x:c r="FY51" s="117" t="n">
        <x:f>MIN(FY49+FY50,IF('Вводные'!$B$75="Единовременно",FY50,IF(AND('Вводные'!$B$84="Да",YEAR(FY$3)=YEAR($B$47),MONTH(FY$3)=MONTH($B$47)),FY49+FY50,IF(AND((12*(YEAR(FY$3)-YEAR($B$46))+MONTH(FY$3)-MONTH($B$46))&gt;0,MOD((12*(YEAR(FY$3)-YEAR($B$46))+MONTH(FY$3)-MONTH($B$46)),'Вводные'!$B$78)=0,(12*(YEAR(FY$3)-YEAR($B$46))+MONTH(FY$3)-MONTH($B$46))&lt;='Вводные'!$B$77*12),$B$48/MAX(1,'Вводные'!$B$79),0))))</x:f>
      </x:c>
      <x:c r="FZ51" s="117" t="n">
        <x:f>MIN(FZ49+FZ50,IF('Вводные'!$B$75="Единовременно",FZ50,IF(AND('Вводные'!$B$84="Да",YEAR(FZ$3)=YEAR($B$47),MONTH(FZ$3)=MONTH($B$47)),FZ49+FZ50,IF(AND((12*(YEAR(FZ$3)-YEAR($B$46))+MONTH(FZ$3)-MONTH($B$46))&gt;0,MOD((12*(YEAR(FZ$3)-YEAR($B$46))+MONTH(FZ$3)-MONTH($B$46)),'Вводные'!$B$78)=0,(12*(YEAR(FZ$3)-YEAR($B$46))+MONTH(FZ$3)-MONTH($B$46))&lt;='Вводные'!$B$77*12),$B$48/MAX(1,'Вводные'!$B$79),0))))</x:f>
      </x:c>
      <x:c r="GA51" s="117" t="n">
        <x:f>MIN(GA49+GA50,IF('Вводные'!$B$75="Единовременно",GA50,IF(AND('Вводные'!$B$84="Да",YEAR(GA$3)=YEAR($B$47),MONTH(GA$3)=MONTH($B$47)),GA49+GA50,IF(AND((12*(YEAR(GA$3)-YEAR($B$46))+MONTH(GA$3)-MONTH($B$46))&gt;0,MOD((12*(YEAR(GA$3)-YEAR($B$46))+MONTH(GA$3)-MONTH($B$46)),'Вводные'!$B$78)=0,(12*(YEAR(GA$3)-YEAR($B$46))+MONTH(GA$3)-MONTH($B$46))&lt;='Вводные'!$B$77*12),$B$48/MAX(1,'Вводные'!$B$79),0))))</x:f>
      </x:c>
    </x:row>
    <x:row r="52">
      <x:c r="A52" t="str">
        <x:v>Проценты по рассрочке</x:v>
      </x:c>
      <x:c r="B52" s="107" t="n">
        <x:f>SUM(D52:GA52)</x:f>
      </x:c>
      <x:c r="C52" t="str">
        <x:v>млн ₽</x:v>
      </x:c>
      <x:c r="D52" s="117" t="n">
        <x:f>IF(AND('Вводные'!$B$75&lt;&gt;"Единовременно",'Вводные'!$B$80="Да",D49&gt;0),IF(AND('Вводные'!$B$84="Да",YEAR(D$3)=YEAR($B$47),MONTH(D$3)=MONTH($B$47)),D49*D56/12,IF(AND((12*(YEAR(D$3)-YEAR($B$46))+MONTH(D$3)-MONTH($B$46))&gt;0,MOD((12*(YEAR(D$3)-YEAR($B$46))+MONTH(D$3)-MONTH($B$46)),'Вводные'!$B$78)=0,(12*(YEAR(D$3)-YEAR($B$46))+MONTH(D$3)-MONTH($B$46))&lt;='Вводные'!$B$77*12),D49*D56*'Вводные'!$B$78/12,0)),0)</x:f>
      </x:c>
      <x:c r="E52" s="117" t="n">
        <x:f>IF(AND('Вводные'!$B$75&lt;&gt;"Единовременно",'Вводные'!$B$80="Да",E49&gt;0),IF(AND('Вводные'!$B$84="Да",YEAR(E$3)=YEAR($B$47),MONTH(E$3)=MONTH($B$47)),E49*E56/12,IF(AND((12*(YEAR(E$3)-YEAR($B$46))+MONTH(E$3)-MONTH($B$46))&gt;0,MOD((12*(YEAR(E$3)-YEAR($B$46))+MONTH(E$3)-MONTH($B$46)),'Вводные'!$B$78)=0,(12*(YEAR(E$3)-YEAR($B$46))+MONTH(E$3)-MONTH($B$46))&lt;='Вводные'!$B$77*12),E49*E56*'Вводные'!$B$78/12,0)),0)</x:f>
      </x:c>
      <x:c r="F52" s="117" t="n">
        <x:f>IF(AND('Вводные'!$B$75&lt;&gt;"Единовременно",'Вводные'!$B$80="Да",F49&gt;0),IF(AND('Вводные'!$B$84="Да",YEAR(F$3)=YEAR($B$47),MONTH(F$3)=MONTH($B$47)),F49*F56/12,IF(AND((12*(YEAR(F$3)-YEAR($B$46))+MONTH(F$3)-MONTH($B$46))&gt;0,MOD((12*(YEAR(F$3)-YEAR($B$46))+MONTH(F$3)-MONTH($B$46)),'Вводные'!$B$78)=0,(12*(YEAR(F$3)-YEAR($B$46))+MONTH(F$3)-MONTH($B$46))&lt;='Вводные'!$B$77*12),F49*F56*'Вводные'!$B$78/12,0)),0)</x:f>
      </x:c>
      <x:c r="G52" s="117" t="n">
        <x:f>IF(AND('Вводные'!$B$75&lt;&gt;"Единовременно",'Вводные'!$B$80="Да",G49&gt;0),IF(AND('Вводные'!$B$84="Да",YEAR(G$3)=YEAR($B$47),MONTH(G$3)=MONTH($B$47)),G49*G56/12,IF(AND((12*(YEAR(G$3)-YEAR($B$46))+MONTH(G$3)-MONTH($B$46))&gt;0,MOD((12*(YEAR(G$3)-YEAR($B$46))+MONTH(G$3)-MONTH($B$46)),'Вводные'!$B$78)=0,(12*(YEAR(G$3)-YEAR($B$46))+MONTH(G$3)-MONTH($B$46))&lt;='Вводные'!$B$77*12),G49*G56*'Вводные'!$B$78/12,0)),0)</x:f>
      </x:c>
      <x:c r="H52" s="117" t="n">
        <x:f>IF(AND('Вводные'!$B$75&lt;&gt;"Единовременно",'Вводные'!$B$80="Да",H49&gt;0),IF(AND('Вводные'!$B$84="Да",YEAR(H$3)=YEAR($B$47),MONTH(H$3)=MONTH($B$47)),H49*H56/12,IF(AND((12*(YEAR(H$3)-YEAR($B$46))+MONTH(H$3)-MONTH($B$46))&gt;0,MOD((12*(YEAR(H$3)-YEAR($B$46))+MONTH(H$3)-MONTH($B$46)),'Вводные'!$B$78)=0,(12*(YEAR(H$3)-YEAR($B$46))+MONTH(H$3)-MONTH($B$46))&lt;='Вводные'!$B$77*12),H49*H56*'Вводные'!$B$78/12,0)),0)</x:f>
      </x:c>
      <x:c r="I52" s="117" t="n">
        <x:f>IF(AND('Вводные'!$B$75&lt;&gt;"Единовременно",'Вводные'!$B$80="Да",I49&gt;0),IF(AND('Вводные'!$B$84="Да",YEAR(I$3)=YEAR($B$47),MONTH(I$3)=MONTH($B$47)),I49*I56/12,IF(AND((12*(YEAR(I$3)-YEAR($B$46))+MONTH(I$3)-MONTH($B$46))&gt;0,MOD((12*(YEAR(I$3)-YEAR($B$46))+MONTH(I$3)-MONTH($B$46)),'Вводные'!$B$78)=0,(12*(YEAR(I$3)-YEAR($B$46))+MONTH(I$3)-MONTH($B$46))&lt;='Вводные'!$B$77*12),I49*I56*'Вводные'!$B$78/12,0)),0)</x:f>
      </x:c>
      <x:c r="J52" s="117" t="n">
        <x:f>IF(AND('Вводные'!$B$75&lt;&gt;"Единовременно",'Вводные'!$B$80="Да",J49&gt;0),IF(AND('Вводные'!$B$84="Да",YEAR(J$3)=YEAR($B$47),MONTH(J$3)=MONTH($B$47)),J49*J56/12,IF(AND((12*(YEAR(J$3)-YEAR($B$46))+MONTH(J$3)-MONTH($B$46))&gt;0,MOD((12*(YEAR(J$3)-YEAR($B$46))+MONTH(J$3)-MONTH($B$46)),'Вводные'!$B$78)=0,(12*(YEAR(J$3)-YEAR($B$46))+MONTH(J$3)-MONTH($B$46))&lt;='Вводные'!$B$77*12),J49*J56*'Вводные'!$B$78/12,0)),0)</x:f>
      </x:c>
      <x:c r="K52" s="117" t="n">
        <x:f>IF(AND('Вводные'!$B$75&lt;&gt;"Единовременно",'Вводные'!$B$80="Да",K49&gt;0),IF(AND('Вводные'!$B$84="Да",YEAR(K$3)=YEAR($B$47),MONTH(K$3)=MONTH($B$47)),K49*K56/12,IF(AND((12*(YEAR(K$3)-YEAR($B$46))+MONTH(K$3)-MONTH($B$46))&gt;0,MOD((12*(YEAR(K$3)-YEAR($B$46))+MONTH(K$3)-MONTH($B$46)),'Вводные'!$B$78)=0,(12*(YEAR(K$3)-YEAR($B$46))+MONTH(K$3)-MONTH($B$46))&lt;='Вводные'!$B$77*12),K49*K56*'Вводные'!$B$78/12,0)),0)</x:f>
      </x:c>
      <x:c r="L52" s="117" t="n">
        <x:f>IF(AND('Вводные'!$B$75&lt;&gt;"Единовременно",'Вводные'!$B$80="Да",L49&gt;0),IF(AND('Вводные'!$B$84="Да",YEAR(L$3)=YEAR($B$47),MONTH(L$3)=MONTH($B$47)),L49*L56/12,IF(AND((12*(YEAR(L$3)-YEAR($B$46))+MONTH(L$3)-MONTH($B$46))&gt;0,MOD((12*(YEAR(L$3)-YEAR($B$46))+MONTH(L$3)-MONTH($B$46)),'Вводные'!$B$78)=0,(12*(YEAR(L$3)-YEAR($B$46))+MONTH(L$3)-MONTH($B$46))&lt;='Вводные'!$B$77*12),L49*L56*'Вводные'!$B$78/12,0)),0)</x:f>
      </x:c>
      <x:c r="M52" s="117" t="n">
        <x:f>IF(AND('Вводные'!$B$75&lt;&gt;"Единовременно",'Вводные'!$B$80="Да",M49&gt;0),IF(AND('Вводные'!$B$84="Да",YEAR(M$3)=YEAR($B$47),MONTH(M$3)=MONTH($B$47)),M49*M56/12,IF(AND((12*(YEAR(M$3)-YEAR($B$46))+MONTH(M$3)-MONTH($B$46))&gt;0,MOD((12*(YEAR(M$3)-YEAR($B$46))+MONTH(M$3)-MONTH($B$46)),'Вводные'!$B$78)=0,(12*(YEAR(M$3)-YEAR($B$46))+MONTH(M$3)-MONTH($B$46))&lt;='Вводные'!$B$77*12),M49*M56*'Вводные'!$B$78/12,0)),0)</x:f>
      </x:c>
      <x:c r="N52" s="117" t="n">
        <x:f>IF(AND('Вводные'!$B$75&lt;&gt;"Единовременно",'Вводные'!$B$80="Да",N49&gt;0),IF(AND('Вводные'!$B$84="Да",YEAR(N$3)=YEAR($B$47),MONTH(N$3)=MONTH($B$47)),N49*N56/12,IF(AND((12*(YEAR(N$3)-YEAR($B$46))+MONTH(N$3)-MONTH($B$46))&gt;0,MOD((12*(YEAR(N$3)-YEAR($B$46))+MONTH(N$3)-MONTH($B$46)),'Вводные'!$B$78)=0,(12*(YEAR(N$3)-YEAR($B$46))+MONTH(N$3)-MONTH($B$46))&lt;='Вводные'!$B$77*12),N49*N56*'Вводные'!$B$78/12,0)),0)</x:f>
      </x:c>
      <x:c r="O52" s="117" t="n">
        <x:f>IF(AND('Вводные'!$B$75&lt;&gt;"Единовременно",'Вводные'!$B$80="Да",O49&gt;0),IF(AND('Вводные'!$B$84="Да",YEAR(O$3)=YEAR($B$47),MONTH(O$3)=MONTH($B$47)),O49*O56/12,IF(AND((12*(YEAR(O$3)-YEAR($B$46))+MONTH(O$3)-MONTH($B$46))&gt;0,MOD((12*(YEAR(O$3)-YEAR($B$46))+MONTH(O$3)-MONTH($B$46)),'Вводные'!$B$78)=0,(12*(YEAR(O$3)-YEAR($B$46))+MONTH(O$3)-MONTH($B$46))&lt;='Вводные'!$B$77*12),O49*O56*'Вводные'!$B$78/12,0)),0)</x:f>
      </x:c>
      <x:c r="P52" s="117" t="n">
        <x:f>IF(AND('Вводные'!$B$75&lt;&gt;"Единовременно",'Вводные'!$B$80="Да",P49&gt;0),IF(AND('Вводные'!$B$84="Да",YEAR(P$3)=YEAR($B$47),MONTH(P$3)=MONTH($B$47)),P49*P56/12,IF(AND((12*(YEAR(P$3)-YEAR($B$46))+MONTH(P$3)-MONTH($B$46))&gt;0,MOD((12*(YEAR(P$3)-YEAR($B$46))+MONTH(P$3)-MONTH($B$46)),'Вводные'!$B$78)=0,(12*(YEAR(P$3)-YEAR($B$46))+MONTH(P$3)-MONTH($B$46))&lt;='Вводные'!$B$77*12),P49*P56*'Вводные'!$B$78/12,0)),0)</x:f>
      </x:c>
      <x:c r="Q52" s="117" t="n">
        <x:f>IF(AND('Вводные'!$B$75&lt;&gt;"Единовременно",'Вводные'!$B$80="Да",Q49&gt;0),IF(AND('Вводные'!$B$84="Да",YEAR(Q$3)=YEAR($B$47),MONTH(Q$3)=MONTH($B$47)),Q49*Q56/12,IF(AND((12*(YEAR(Q$3)-YEAR($B$46))+MONTH(Q$3)-MONTH($B$46))&gt;0,MOD((12*(YEAR(Q$3)-YEAR($B$46))+MONTH(Q$3)-MONTH($B$46)),'Вводные'!$B$78)=0,(12*(YEAR(Q$3)-YEAR($B$46))+MONTH(Q$3)-MONTH($B$46))&lt;='Вводные'!$B$77*12),Q49*Q56*'Вводные'!$B$78/12,0)),0)</x:f>
      </x:c>
      <x:c r="R52" s="117" t="n">
        <x:f>IF(AND('Вводные'!$B$75&lt;&gt;"Единовременно",'Вводные'!$B$80="Да",R49&gt;0),IF(AND('Вводные'!$B$84="Да",YEAR(R$3)=YEAR($B$47),MONTH(R$3)=MONTH($B$47)),R49*R56/12,IF(AND((12*(YEAR(R$3)-YEAR($B$46))+MONTH(R$3)-MONTH($B$46))&gt;0,MOD((12*(YEAR(R$3)-YEAR($B$46))+MONTH(R$3)-MONTH($B$46)),'Вводные'!$B$78)=0,(12*(YEAR(R$3)-YEAR($B$46))+MONTH(R$3)-MONTH($B$46))&lt;='Вводные'!$B$77*12),R49*R56*'Вводные'!$B$78/12,0)),0)</x:f>
      </x:c>
      <x:c r="S52" s="117" t="n">
        <x:f>IF(AND('Вводные'!$B$75&lt;&gt;"Единовременно",'Вводные'!$B$80="Да",S49&gt;0),IF(AND('Вводные'!$B$84="Да",YEAR(S$3)=YEAR($B$47),MONTH(S$3)=MONTH($B$47)),S49*S56/12,IF(AND((12*(YEAR(S$3)-YEAR($B$46))+MONTH(S$3)-MONTH($B$46))&gt;0,MOD((12*(YEAR(S$3)-YEAR($B$46))+MONTH(S$3)-MONTH($B$46)),'Вводные'!$B$78)=0,(12*(YEAR(S$3)-YEAR($B$46))+MONTH(S$3)-MONTH($B$46))&lt;='Вводные'!$B$77*12),S49*S56*'Вводные'!$B$78/12,0)),0)</x:f>
      </x:c>
      <x:c r="T52" s="117" t="n">
        <x:f>IF(AND('Вводные'!$B$75&lt;&gt;"Единовременно",'Вводные'!$B$80="Да",T49&gt;0),IF(AND('Вводные'!$B$84="Да",YEAR(T$3)=YEAR($B$47),MONTH(T$3)=MONTH($B$47)),T49*T56/12,IF(AND((12*(YEAR(T$3)-YEAR($B$46))+MONTH(T$3)-MONTH($B$46))&gt;0,MOD((12*(YEAR(T$3)-YEAR($B$46))+MONTH(T$3)-MONTH($B$46)),'Вводные'!$B$78)=0,(12*(YEAR(T$3)-YEAR($B$46))+MONTH(T$3)-MONTH($B$46))&lt;='Вводные'!$B$77*12),T49*T56*'Вводные'!$B$78/12,0)),0)</x:f>
      </x:c>
      <x:c r="U52" s="117" t="n">
        <x:f>IF(AND('Вводные'!$B$75&lt;&gt;"Единовременно",'Вводные'!$B$80="Да",U49&gt;0),IF(AND('Вводные'!$B$84="Да",YEAR(U$3)=YEAR($B$47),MONTH(U$3)=MONTH($B$47)),U49*U56/12,IF(AND((12*(YEAR(U$3)-YEAR($B$46))+MONTH(U$3)-MONTH($B$46))&gt;0,MOD((12*(YEAR(U$3)-YEAR($B$46))+MONTH(U$3)-MONTH($B$46)),'Вводные'!$B$78)=0,(12*(YEAR(U$3)-YEAR($B$46))+MONTH(U$3)-MONTH($B$46))&lt;='Вводные'!$B$77*12),U49*U56*'Вводные'!$B$78/12,0)),0)</x:f>
      </x:c>
      <x:c r="V52" s="117" t="n">
        <x:f>IF(AND('Вводные'!$B$75&lt;&gt;"Единовременно",'Вводные'!$B$80="Да",V49&gt;0),IF(AND('Вводные'!$B$84="Да",YEAR(V$3)=YEAR($B$47),MONTH(V$3)=MONTH($B$47)),V49*V56/12,IF(AND((12*(YEAR(V$3)-YEAR($B$46))+MONTH(V$3)-MONTH($B$46))&gt;0,MOD((12*(YEAR(V$3)-YEAR($B$46))+MONTH(V$3)-MONTH($B$46)),'Вводные'!$B$78)=0,(12*(YEAR(V$3)-YEAR($B$46))+MONTH(V$3)-MONTH($B$46))&lt;='Вводные'!$B$77*12),V49*V56*'Вводные'!$B$78/12,0)),0)</x:f>
      </x:c>
      <x:c r="W52" s="117" t="n">
        <x:f>IF(AND('Вводные'!$B$75&lt;&gt;"Единовременно",'Вводные'!$B$80="Да",W49&gt;0),IF(AND('Вводные'!$B$84="Да",YEAR(W$3)=YEAR($B$47),MONTH(W$3)=MONTH($B$47)),W49*W56/12,IF(AND((12*(YEAR(W$3)-YEAR($B$46))+MONTH(W$3)-MONTH($B$46))&gt;0,MOD((12*(YEAR(W$3)-YEAR($B$46))+MONTH(W$3)-MONTH($B$46)),'Вводные'!$B$78)=0,(12*(YEAR(W$3)-YEAR($B$46))+MONTH(W$3)-MONTH($B$46))&lt;='Вводные'!$B$77*12),W49*W56*'Вводные'!$B$78/12,0)),0)</x:f>
      </x:c>
      <x:c r="X52" s="117" t="n">
        <x:f>IF(AND('Вводные'!$B$75&lt;&gt;"Единовременно",'Вводные'!$B$80="Да",X49&gt;0),IF(AND('Вводные'!$B$84="Да",YEAR(X$3)=YEAR($B$47),MONTH(X$3)=MONTH($B$47)),X49*X56/12,IF(AND((12*(YEAR(X$3)-YEAR($B$46))+MONTH(X$3)-MONTH($B$46))&gt;0,MOD((12*(YEAR(X$3)-YEAR($B$46))+MONTH(X$3)-MONTH($B$46)),'Вводные'!$B$78)=0,(12*(YEAR(X$3)-YEAR($B$46))+MONTH(X$3)-MONTH($B$46))&lt;='Вводные'!$B$77*12),X49*X56*'Вводные'!$B$78/12,0)),0)</x:f>
      </x:c>
      <x:c r="Y52" s="117" t="n">
        <x:f>IF(AND('Вводные'!$B$75&lt;&gt;"Единовременно",'Вводные'!$B$80="Да",Y49&gt;0),IF(AND('Вводные'!$B$84="Да",YEAR(Y$3)=YEAR($B$47),MONTH(Y$3)=MONTH($B$47)),Y49*Y56/12,IF(AND((12*(YEAR(Y$3)-YEAR($B$46))+MONTH(Y$3)-MONTH($B$46))&gt;0,MOD((12*(YEAR(Y$3)-YEAR($B$46))+MONTH(Y$3)-MONTH($B$46)),'Вводные'!$B$78)=0,(12*(YEAR(Y$3)-YEAR($B$46))+MONTH(Y$3)-MONTH($B$46))&lt;='Вводные'!$B$77*12),Y49*Y56*'Вводные'!$B$78/12,0)),0)</x:f>
      </x:c>
      <x:c r="Z52" s="117" t="n">
        <x:f>IF(AND('Вводные'!$B$75&lt;&gt;"Единовременно",'Вводные'!$B$80="Да",Z49&gt;0),IF(AND('Вводные'!$B$84="Да",YEAR(Z$3)=YEAR($B$47),MONTH(Z$3)=MONTH($B$47)),Z49*Z56/12,IF(AND((12*(YEAR(Z$3)-YEAR($B$46))+MONTH(Z$3)-MONTH($B$46))&gt;0,MOD((12*(YEAR(Z$3)-YEAR($B$46))+MONTH(Z$3)-MONTH($B$46)),'Вводные'!$B$78)=0,(12*(YEAR(Z$3)-YEAR($B$46))+MONTH(Z$3)-MONTH($B$46))&lt;='Вводные'!$B$77*12),Z49*Z56*'Вводные'!$B$78/12,0)),0)</x:f>
      </x:c>
      <x:c r="AA52" s="117" t="n">
        <x:f>IF(AND('Вводные'!$B$75&lt;&gt;"Единовременно",'Вводные'!$B$80="Да",AA49&gt;0),IF(AND('Вводные'!$B$84="Да",YEAR(AA$3)=YEAR($B$47),MONTH(AA$3)=MONTH($B$47)),AA49*AA56/12,IF(AND((12*(YEAR(AA$3)-YEAR($B$46))+MONTH(AA$3)-MONTH($B$46))&gt;0,MOD((12*(YEAR(AA$3)-YEAR($B$46))+MONTH(AA$3)-MONTH($B$46)),'Вводные'!$B$78)=0,(12*(YEAR(AA$3)-YEAR($B$46))+MONTH(AA$3)-MONTH($B$46))&lt;='Вводные'!$B$77*12),AA49*AA56*'Вводные'!$B$78/12,0)),0)</x:f>
      </x:c>
      <x:c r="AB52" s="117" t="n">
        <x:f>IF(AND('Вводные'!$B$75&lt;&gt;"Единовременно",'Вводные'!$B$80="Да",AB49&gt;0),IF(AND('Вводные'!$B$84="Да",YEAR(AB$3)=YEAR($B$47),MONTH(AB$3)=MONTH($B$47)),AB49*AB56/12,IF(AND((12*(YEAR(AB$3)-YEAR($B$46))+MONTH(AB$3)-MONTH($B$46))&gt;0,MOD((12*(YEAR(AB$3)-YEAR($B$46))+MONTH(AB$3)-MONTH($B$46)),'Вводные'!$B$78)=0,(12*(YEAR(AB$3)-YEAR($B$46))+MONTH(AB$3)-MONTH($B$46))&lt;='Вводные'!$B$77*12),AB49*AB56*'Вводные'!$B$78/12,0)),0)</x:f>
      </x:c>
      <x:c r="AC52" s="117" t="n">
        <x:f>IF(AND('Вводные'!$B$75&lt;&gt;"Единовременно",'Вводные'!$B$80="Да",AC49&gt;0),IF(AND('Вводные'!$B$84="Да",YEAR(AC$3)=YEAR($B$47),MONTH(AC$3)=MONTH($B$47)),AC49*AC56/12,IF(AND((12*(YEAR(AC$3)-YEAR($B$46))+MONTH(AC$3)-MONTH($B$46))&gt;0,MOD((12*(YEAR(AC$3)-YEAR($B$46))+MONTH(AC$3)-MONTH($B$46)),'Вводные'!$B$78)=0,(12*(YEAR(AC$3)-YEAR($B$46))+MONTH(AC$3)-MONTH($B$46))&lt;='Вводные'!$B$77*12),AC49*AC56*'Вводные'!$B$78/12,0)),0)</x:f>
      </x:c>
      <x:c r="AD52" s="117" t="n">
        <x:f>IF(AND('Вводные'!$B$75&lt;&gt;"Единовременно",'Вводные'!$B$80="Да",AD49&gt;0),IF(AND('Вводные'!$B$84="Да",YEAR(AD$3)=YEAR($B$47),MONTH(AD$3)=MONTH($B$47)),AD49*AD56/12,IF(AND((12*(YEAR(AD$3)-YEAR($B$46))+MONTH(AD$3)-MONTH($B$46))&gt;0,MOD((12*(YEAR(AD$3)-YEAR($B$46))+MONTH(AD$3)-MONTH($B$46)),'Вводные'!$B$78)=0,(12*(YEAR(AD$3)-YEAR($B$46))+MONTH(AD$3)-MONTH($B$46))&lt;='Вводные'!$B$77*12),AD49*AD56*'Вводные'!$B$78/12,0)),0)</x:f>
      </x:c>
      <x:c r="AE52" s="117" t="n">
        <x:f>IF(AND('Вводные'!$B$75&lt;&gt;"Единовременно",'Вводные'!$B$80="Да",AE49&gt;0),IF(AND('Вводные'!$B$84="Да",YEAR(AE$3)=YEAR($B$47),MONTH(AE$3)=MONTH($B$47)),AE49*AE56/12,IF(AND((12*(YEAR(AE$3)-YEAR($B$46))+MONTH(AE$3)-MONTH($B$46))&gt;0,MOD((12*(YEAR(AE$3)-YEAR($B$46))+MONTH(AE$3)-MONTH($B$46)),'Вводные'!$B$78)=0,(12*(YEAR(AE$3)-YEAR($B$46))+MONTH(AE$3)-MONTH($B$46))&lt;='Вводные'!$B$77*12),AE49*AE56*'Вводные'!$B$78/12,0)),0)</x:f>
      </x:c>
      <x:c r="AF52" s="117" t="n">
        <x:f>IF(AND('Вводные'!$B$75&lt;&gt;"Единовременно",'Вводные'!$B$80="Да",AF49&gt;0),IF(AND('Вводные'!$B$84="Да",YEAR(AF$3)=YEAR($B$47),MONTH(AF$3)=MONTH($B$47)),AF49*AF56/12,IF(AND((12*(YEAR(AF$3)-YEAR($B$46))+MONTH(AF$3)-MONTH($B$46))&gt;0,MOD((12*(YEAR(AF$3)-YEAR($B$46))+MONTH(AF$3)-MONTH($B$46)),'Вводные'!$B$78)=0,(12*(YEAR(AF$3)-YEAR($B$46))+MONTH(AF$3)-MONTH($B$46))&lt;='Вводные'!$B$77*12),AF49*AF56*'Вводные'!$B$78/12,0)),0)</x:f>
      </x:c>
      <x:c r="AG52" s="117" t="n">
        <x:f>IF(AND('Вводные'!$B$75&lt;&gt;"Единовременно",'Вводные'!$B$80="Да",AG49&gt;0),IF(AND('Вводные'!$B$84="Да",YEAR(AG$3)=YEAR($B$47),MONTH(AG$3)=MONTH($B$47)),AG49*AG56/12,IF(AND((12*(YEAR(AG$3)-YEAR($B$46))+MONTH(AG$3)-MONTH($B$46))&gt;0,MOD((12*(YEAR(AG$3)-YEAR($B$46))+MONTH(AG$3)-MONTH($B$46)),'Вводные'!$B$78)=0,(12*(YEAR(AG$3)-YEAR($B$46))+MONTH(AG$3)-MONTH($B$46))&lt;='Вводные'!$B$77*12),AG49*AG56*'Вводные'!$B$78/12,0)),0)</x:f>
      </x:c>
      <x:c r="AH52" s="117" t="n">
        <x:f>IF(AND('Вводные'!$B$75&lt;&gt;"Единовременно",'Вводные'!$B$80="Да",AH49&gt;0),IF(AND('Вводные'!$B$84="Да",YEAR(AH$3)=YEAR($B$47),MONTH(AH$3)=MONTH($B$47)),AH49*AH56/12,IF(AND((12*(YEAR(AH$3)-YEAR($B$46))+MONTH(AH$3)-MONTH($B$46))&gt;0,MOD((12*(YEAR(AH$3)-YEAR($B$46))+MONTH(AH$3)-MONTH($B$46)),'Вводные'!$B$78)=0,(12*(YEAR(AH$3)-YEAR($B$46))+MONTH(AH$3)-MONTH($B$46))&lt;='Вводные'!$B$77*12),AH49*AH56*'Вводные'!$B$78/12,0)),0)</x:f>
      </x:c>
      <x:c r="AI52" s="117" t="n">
        <x:f>IF(AND('Вводные'!$B$75&lt;&gt;"Единовременно",'Вводные'!$B$80="Да",AI49&gt;0),IF(AND('Вводные'!$B$84="Да",YEAR(AI$3)=YEAR($B$47),MONTH(AI$3)=MONTH($B$47)),AI49*AI56/12,IF(AND((12*(YEAR(AI$3)-YEAR($B$46))+MONTH(AI$3)-MONTH($B$46))&gt;0,MOD((12*(YEAR(AI$3)-YEAR($B$46))+MONTH(AI$3)-MONTH($B$46)),'Вводные'!$B$78)=0,(12*(YEAR(AI$3)-YEAR($B$46))+MONTH(AI$3)-MONTH($B$46))&lt;='Вводные'!$B$77*12),AI49*AI56*'Вводные'!$B$78/12,0)),0)</x:f>
      </x:c>
      <x:c r="AJ52" s="117" t="n">
        <x:f>IF(AND('Вводные'!$B$75&lt;&gt;"Единовременно",'Вводные'!$B$80="Да",AJ49&gt;0),IF(AND('Вводные'!$B$84="Да",YEAR(AJ$3)=YEAR($B$47),MONTH(AJ$3)=MONTH($B$47)),AJ49*AJ56/12,IF(AND((12*(YEAR(AJ$3)-YEAR($B$46))+MONTH(AJ$3)-MONTH($B$46))&gt;0,MOD((12*(YEAR(AJ$3)-YEAR($B$46))+MONTH(AJ$3)-MONTH($B$46)),'Вводные'!$B$78)=0,(12*(YEAR(AJ$3)-YEAR($B$46))+MONTH(AJ$3)-MONTH($B$46))&lt;='Вводные'!$B$77*12),AJ49*AJ56*'Вводные'!$B$78/12,0)),0)</x:f>
      </x:c>
      <x:c r="AK52" s="117" t="n">
        <x:f>IF(AND('Вводные'!$B$75&lt;&gt;"Единовременно",'Вводные'!$B$80="Да",AK49&gt;0),IF(AND('Вводные'!$B$84="Да",YEAR(AK$3)=YEAR($B$47),MONTH(AK$3)=MONTH($B$47)),AK49*AK56/12,IF(AND((12*(YEAR(AK$3)-YEAR($B$46))+MONTH(AK$3)-MONTH($B$46))&gt;0,MOD((12*(YEAR(AK$3)-YEAR($B$46))+MONTH(AK$3)-MONTH($B$46)),'Вводные'!$B$78)=0,(12*(YEAR(AK$3)-YEAR($B$46))+MONTH(AK$3)-MONTH($B$46))&lt;='Вводные'!$B$77*12),AK49*AK56*'Вводные'!$B$78/12,0)),0)</x:f>
      </x:c>
      <x:c r="AL52" s="117" t="n">
        <x:f>IF(AND('Вводные'!$B$75&lt;&gt;"Единовременно",'Вводные'!$B$80="Да",AL49&gt;0),IF(AND('Вводные'!$B$84="Да",YEAR(AL$3)=YEAR($B$47),MONTH(AL$3)=MONTH($B$47)),AL49*AL56/12,IF(AND((12*(YEAR(AL$3)-YEAR($B$46))+MONTH(AL$3)-MONTH($B$46))&gt;0,MOD((12*(YEAR(AL$3)-YEAR($B$46))+MONTH(AL$3)-MONTH($B$46)),'Вводные'!$B$78)=0,(12*(YEAR(AL$3)-YEAR($B$46))+MONTH(AL$3)-MONTH($B$46))&lt;='Вводные'!$B$77*12),AL49*AL56*'Вводные'!$B$78/12,0)),0)</x:f>
      </x:c>
      <x:c r="AM52" s="117" t="n">
        <x:f>IF(AND('Вводные'!$B$75&lt;&gt;"Единовременно",'Вводные'!$B$80="Да",AM49&gt;0),IF(AND('Вводные'!$B$84="Да",YEAR(AM$3)=YEAR($B$47),MONTH(AM$3)=MONTH($B$47)),AM49*AM56/12,IF(AND((12*(YEAR(AM$3)-YEAR($B$46))+MONTH(AM$3)-MONTH($B$46))&gt;0,MOD((12*(YEAR(AM$3)-YEAR($B$46))+MONTH(AM$3)-MONTH($B$46)),'Вводные'!$B$78)=0,(12*(YEAR(AM$3)-YEAR($B$46))+MONTH(AM$3)-MONTH($B$46))&lt;='Вводные'!$B$77*12),AM49*AM56*'Вводные'!$B$78/12,0)),0)</x:f>
      </x:c>
      <x:c r="AN52" s="117" t="n">
        <x:f>IF(AND('Вводные'!$B$75&lt;&gt;"Единовременно",'Вводные'!$B$80="Да",AN49&gt;0),IF(AND('Вводные'!$B$84="Да",YEAR(AN$3)=YEAR($B$47),MONTH(AN$3)=MONTH($B$47)),AN49*AN56/12,IF(AND((12*(YEAR(AN$3)-YEAR($B$46))+MONTH(AN$3)-MONTH($B$46))&gt;0,MOD((12*(YEAR(AN$3)-YEAR($B$46))+MONTH(AN$3)-MONTH($B$46)),'Вводные'!$B$78)=0,(12*(YEAR(AN$3)-YEAR($B$46))+MONTH(AN$3)-MONTH($B$46))&lt;='Вводные'!$B$77*12),AN49*AN56*'Вводные'!$B$78/12,0)),0)</x:f>
      </x:c>
      <x:c r="AO52" s="117" t="n">
        <x:f>IF(AND('Вводные'!$B$75&lt;&gt;"Единовременно",'Вводные'!$B$80="Да",AO49&gt;0),IF(AND('Вводные'!$B$84="Да",YEAR(AO$3)=YEAR($B$47),MONTH(AO$3)=MONTH($B$47)),AO49*AO56/12,IF(AND((12*(YEAR(AO$3)-YEAR($B$46))+MONTH(AO$3)-MONTH($B$46))&gt;0,MOD((12*(YEAR(AO$3)-YEAR($B$46))+MONTH(AO$3)-MONTH($B$46)),'Вводные'!$B$78)=0,(12*(YEAR(AO$3)-YEAR($B$46))+MONTH(AO$3)-MONTH($B$46))&lt;='Вводные'!$B$77*12),AO49*AO56*'Вводные'!$B$78/12,0)),0)</x:f>
      </x:c>
      <x:c r="AP52" s="117" t="n">
        <x:f>IF(AND('Вводные'!$B$75&lt;&gt;"Единовременно",'Вводные'!$B$80="Да",AP49&gt;0),IF(AND('Вводные'!$B$84="Да",YEAR(AP$3)=YEAR($B$47),MONTH(AP$3)=MONTH($B$47)),AP49*AP56/12,IF(AND((12*(YEAR(AP$3)-YEAR($B$46))+MONTH(AP$3)-MONTH($B$46))&gt;0,MOD((12*(YEAR(AP$3)-YEAR($B$46))+MONTH(AP$3)-MONTH($B$46)),'Вводные'!$B$78)=0,(12*(YEAR(AP$3)-YEAR($B$46))+MONTH(AP$3)-MONTH($B$46))&lt;='Вводные'!$B$77*12),AP49*AP56*'Вводные'!$B$78/12,0)),0)</x:f>
      </x:c>
      <x:c r="AQ52" s="117" t="n">
        <x:f>IF(AND('Вводные'!$B$75&lt;&gt;"Единовременно",'Вводные'!$B$80="Да",AQ49&gt;0),IF(AND('Вводные'!$B$84="Да",YEAR(AQ$3)=YEAR($B$47),MONTH(AQ$3)=MONTH($B$47)),AQ49*AQ56/12,IF(AND((12*(YEAR(AQ$3)-YEAR($B$46))+MONTH(AQ$3)-MONTH($B$46))&gt;0,MOD((12*(YEAR(AQ$3)-YEAR($B$46))+MONTH(AQ$3)-MONTH($B$46)),'Вводные'!$B$78)=0,(12*(YEAR(AQ$3)-YEAR($B$46))+MONTH(AQ$3)-MONTH($B$46))&lt;='Вводные'!$B$77*12),AQ49*AQ56*'Вводные'!$B$78/12,0)),0)</x:f>
      </x:c>
      <x:c r="AR52" s="117" t="n">
        <x:f>IF(AND('Вводные'!$B$75&lt;&gt;"Единовременно",'Вводные'!$B$80="Да",AR49&gt;0),IF(AND('Вводные'!$B$84="Да",YEAR(AR$3)=YEAR($B$47),MONTH(AR$3)=MONTH($B$47)),AR49*AR56/12,IF(AND((12*(YEAR(AR$3)-YEAR($B$46))+MONTH(AR$3)-MONTH($B$46))&gt;0,MOD((12*(YEAR(AR$3)-YEAR($B$46))+MONTH(AR$3)-MONTH($B$46)),'Вводные'!$B$78)=0,(12*(YEAR(AR$3)-YEAR($B$46))+MONTH(AR$3)-MONTH($B$46))&lt;='Вводные'!$B$77*12),AR49*AR56*'Вводные'!$B$78/12,0)),0)</x:f>
      </x:c>
      <x:c r="AS52" s="117" t="n">
        <x:f>IF(AND('Вводные'!$B$75&lt;&gt;"Единовременно",'Вводные'!$B$80="Да",AS49&gt;0),IF(AND('Вводные'!$B$84="Да",YEAR(AS$3)=YEAR($B$47),MONTH(AS$3)=MONTH($B$47)),AS49*AS56/12,IF(AND((12*(YEAR(AS$3)-YEAR($B$46))+MONTH(AS$3)-MONTH($B$46))&gt;0,MOD((12*(YEAR(AS$3)-YEAR($B$46))+MONTH(AS$3)-MONTH($B$46)),'Вводные'!$B$78)=0,(12*(YEAR(AS$3)-YEAR($B$46))+MONTH(AS$3)-MONTH($B$46))&lt;='Вводные'!$B$77*12),AS49*AS56*'Вводные'!$B$78/12,0)),0)</x:f>
      </x:c>
      <x:c r="AT52" s="117" t="n">
        <x:f>IF(AND('Вводные'!$B$75&lt;&gt;"Единовременно",'Вводные'!$B$80="Да",AT49&gt;0),IF(AND('Вводные'!$B$84="Да",YEAR(AT$3)=YEAR($B$47),MONTH(AT$3)=MONTH($B$47)),AT49*AT56/12,IF(AND((12*(YEAR(AT$3)-YEAR($B$46))+MONTH(AT$3)-MONTH($B$46))&gt;0,MOD((12*(YEAR(AT$3)-YEAR($B$46))+MONTH(AT$3)-MONTH($B$46)),'Вводные'!$B$78)=0,(12*(YEAR(AT$3)-YEAR($B$46))+MONTH(AT$3)-MONTH($B$46))&lt;='Вводные'!$B$77*12),AT49*AT56*'Вводные'!$B$78/12,0)),0)</x:f>
      </x:c>
      <x:c r="AU52" s="117" t="n">
        <x:f>IF(AND('Вводные'!$B$75&lt;&gt;"Единовременно",'Вводные'!$B$80="Да",AU49&gt;0),IF(AND('Вводные'!$B$84="Да",YEAR(AU$3)=YEAR($B$47),MONTH(AU$3)=MONTH($B$47)),AU49*AU56/12,IF(AND((12*(YEAR(AU$3)-YEAR($B$46))+MONTH(AU$3)-MONTH($B$46))&gt;0,MOD((12*(YEAR(AU$3)-YEAR($B$46))+MONTH(AU$3)-MONTH($B$46)),'Вводные'!$B$78)=0,(12*(YEAR(AU$3)-YEAR($B$46))+MONTH(AU$3)-MONTH($B$46))&lt;='Вводные'!$B$77*12),AU49*AU56*'Вводные'!$B$78/12,0)),0)</x:f>
      </x:c>
      <x:c r="AV52" s="117" t="n">
        <x:f>IF(AND('Вводные'!$B$75&lt;&gt;"Единовременно",'Вводные'!$B$80="Да",AV49&gt;0),IF(AND('Вводные'!$B$84="Да",YEAR(AV$3)=YEAR($B$47),MONTH(AV$3)=MONTH($B$47)),AV49*AV56/12,IF(AND((12*(YEAR(AV$3)-YEAR($B$46))+MONTH(AV$3)-MONTH($B$46))&gt;0,MOD((12*(YEAR(AV$3)-YEAR($B$46))+MONTH(AV$3)-MONTH($B$46)),'Вводные'!$B$78)=0,(12*(YEAR(AV$3)-YEAR($B$46))+MONTH(AV$3)-MONTH($B$46))&lt;='Вводные'!$B$77*12),AV49*AV56*'Вводные'!$B$78/12,0)),0)</x:f>
      </x:c>
      <x:c r="AW52" s="117" t="n">
        <x:f>IF(AND('Вводные'!$B$75&lt;&gt;"Единовременно",'Вводные'!$B$80="Да",AW49&gt;0),IF(AND('Вводные'!$B$84="Да",YEAR(AW$3)=YEAR($B$47),MONTH(AW$3)=MONTH($B$47)),AW49*AW56/12,IF(AND((12*(YEAR(AW$3)-YEAR($B$46))+MONTH(AW$3)-MONTH($B$46))&gt;0,MOD((12*(YEAR(AW$3)-YEAR($B$46))+MONTH(AW$3)-MONTH($B$46)),'Вводные'!$B$78)=0,(12*(YEAR(AW$3)-YEAR($B$46))+MONTH(AW$3)-MONTH($B$46))&lt;='Вводные'!$B$77*12),AW49*AW56*'Вводные'!$B$78/12,0)),0)</x:f>
      </x:c>
      <x:c r="AX52" s="117" t="n">
        <x:f>IF(AND('Вводные'!$B$75&lt;&gt;"Единовременно",'Вводные'!$B$80="Да",AX49&gt;0),IF(AND('Вводные'!$B$84="Да",YEAR(AX$3)=YEAR($B$47),MONTH(AX$3)=MONTH($B$47)),AX49*AX56/12,IF(AND((12*(YEAR(AX$3)-YEAR($B$46))+MONTH(AX$3)-MONTH($B$46))&gt;0,MOD((12*(YEAR(AX$3)-YEAR($B$46))+MONTH(AX$3)-MONTH($B$46)),'Вводные'!$B$78)=0,(12*(YEAR(AX$3)-YEAR($B$46))+MONTH(AX$3)-MONTH($B$46))&lt;='Вводные'!$B$77*12),AX49*AX56*'Вводные'!$B$78/12,0)),0)</x:f>
      </x:c>
      <x:c r="AY52" s="117" t="n">
        <x:f>IF(AND('Вводные'!$B$75&lt;&gt;"Единовременно",'Вводные'!$B$80="Да",AY49&gt;0),IF(AND('Вводные'!$B$84="Да",YEAR(AY$3)=YEAR($B$47),MONTH(AY$3)=MONTH($B$47)),AY49*AY56/12,IF(AND((12*(YEAR(AY$3)-YEAR($B$46))+MONTH(AY$3)-MONTH($B$46))&gt;0,MOD((12*(YEAR(AY$3)-YEAR($B$46))+MONTH(AY$3)-MONTH($B$46)),'Вводные'!$B$78)=0,(12*(YEAR(AY$3)-YEAR($B$46))+MONTH(AY$3)-MONTH($B$46))&lt;='Вводные'!$B$77*12),AY49*AY56*'Вводные'!$B$78/12,0)),0)</x:f>
      </x:c>
      <x:c r="AZ52" s="117" t="n">
        <x:f>IF(AND('Вводные'!$B$75&lt;&gt;"Единовременно",'Вводные'!$B$80="Да",AZ49&gt;0),IF(AND('Вводные'!$B$84="Да",YEAR(AZ$3)=YEAR($B$47),MONTH(AZ$3)=MONTH($B$47)),AZ49*AZ56/12,IF(AND((12*(YEAR(AZ$3)-YEAR($B$46))+MONTH(AZ$3)-MONTH($B$46))&gt;0,MOD((12*(YEAR(AZ$3)-YEAR($B$46))+MONTH(AZ$3)-MONTH($B$46)),'Вводные'!$B$78)=0,(12*(YEAR(AZ$3)-YEAR($B$46))+MONTH(AZ$3)-MONTH($B$46))&lt;='Вводные'!$B$77*12),AZ49*AZ56*'Вводные'!$B$78/12,0)),0)</x:f>
      </x:c>
      <x:c r="BA52" s="117" t="n">
        <x:f>IF(AND('Вводные'!$B$75&lt;&gt;"Единовременно",'Вводные'!$B$80="Да",BA49&gt;0),IF(AND('Вводные'!$B$84="Да",YEAR(BA$3)=YEAR($B$47),MONTH(BA$3)=MONTH($B$47)),BA49*BA56/12,IF(AND((12*(YEAR(BA$3)-YEAR($B$46))+MONTH(BA$3)-MONTH($B$46))&gt;0,MOD((12*(YEAR(BA$3)-YEAR($B$46))+MONTH(BA$3)-MONTH($B$46)),'Вводные'!$B$78)=0,(12*(YEAR(BA$3)-YEAR($B$46))+MONTH(BA$3)-MONTH($B$46))&lt;='Вводные'!$B$77*12),BA49*BA56*'Вводные'!$B$78/12,0)),0)</x:f>
      </x:c>
      <x:c r="BB52" s="117" t="n">
        <x:f>IF(AND('Вводные'!$B$75&lt;&gt;"Единовременно",'Вводные'!$B$80="Да",BB49&gt;0),IF(AND('Вводные'!$B$84="Да",YEAR(BB$3)=YEAR($B$47),MONTH(BB$3)=MONTH($B$47)),BB49*BB56/12,IF(AND((12*(YEAR(BB$3)-YEAR($B$46))+MONTH(BB$3)-MONTH($B$46))&gt;0,MOD((12*(YEAR(BB$3)-YEAR($B$46))+MONTH(BB$3)-MONTH($B$46)),'Вводные'!$B$78)=0,(12*(YEAR(BB$3)-YEAR($B$46))+MONTH(BB$3)-MONTH($B$46))&lt;='Вводные'!$B$77*12),BB49*BB56*'Вводные'!$B$78/12,0)),0)</x:f>
      </x:c>
      <x:c r="BC52" s="117" t="n">
        <x:f>IF(AND('Вводные'!$B$75&lt;&gt;"Единовременно",'Вводные'!$B$80="Да",BC49&gt;0),IF(AND('Вводные'!$B$84="Да",YEAR(BC$3)=YEAR($B$47),MONTH(BC$3)=MONTH($B$47)),BC49*BC56/12,IF(AND((12*(YEAR(BC$3)-YEAR($B$46))+MONTH(BC$3)-MONTH($B$46))&gt;0,MOD((12*(YEAR(BC$3)-YEAR($B$46))+MONTH(BC$3)-MONTH($B$46)),'Вводные'!$B$78)=0,(12*(YEAR(BC$3)-YEAR($B$46))+MONTH(BC$3)-MONTH($B$46))&lt;='Вводные'!$B$77*12),BC49*BC56*'Вводные'!$B$78/12,0)),0)</x:f>
      </x:c>
      <x:c r="BD52" s="117" t="n">
        <x:f>IF(AND('Вводные'!$B$75&lt;&gt;"Единовременно",'Вводные'!$B$80="Да",BD49&gt;0),IF(AND('Вводные'!$B$84="Да",YEAR(BD$3)=YEAR($B$47),MONTH(BD$3)=MONTH($B$47)),BD49*BD56/12,IF(AND((12*(YEAR(BD$3)-YEAR($B$46))+MONTH(BD$3)-MONTH($B$46))&gt;0,MOD((12*(YEAR(BD$3)-YEAR($B$46))+MONTH(BD$3)-MONTH($B$46)),'Вводные'!$B$78)=0,(12*(YEAR(BD$3)-YEAR($B$46))+MONTH(BD$3)-MONTH($B$46))&lt;='Вводные'!$B$77*12),BD49*BD56*'Вводные'!$B$78/12,0)),0)</x:f>
      </x:c>
      <x:c r="BE52" s="117" t="n">
        <x:f>IF(AND('Вводные'!$B$75&lt;&gt;"Единовременно",'Вводные'!$B$80="Да",BE49&gt;0),IF(AND('Вводные'!$B$84="Да",YEAR(BE$3)=YEAR($B$47),MONTH(BE$3)=MONTH($B$47)),BE49*BE56/12,IF(AND((12*(YEAR(BE$3)-YEAR($B$46))+MONTH(BE$3)-MONTH($B$46))&gt;0,MOD((12*(YEAR(BE$3)-YEAR($B$46))+MONTH(BE$3)-MONTH($B$46)),'Вводные'!$B$78)=0,(12*(YEAR(BE$3)-YEAR($B$46))+MONTH(BE$3)-MONTH($B$46))&lt;='Вводные'!$B$77*12),BE49*BE56*'Вводные'!$B$78/12,0)),0)</x:f>
      </x:c>
      <x:c r="BF52" s="117" t="n">
        <x:f>IF(AND('Вводные'!$B$75&lt;&gt;"Единовременно",'Вводные'!$B$80="Да",BF49&gt;0),IF(AND('Вводные'!$B$84="Да",YEAR(BF$3)=YEAR($B$47),MONTH(BF$3)=MONTH($B$47)),BF49*BF56/12,IF(AND((12*(YEAR(BF$3)-YEAR($B$46))+MONTH(BF$3)-MONTH($B$46))&gt;0,MOD((12*(YEAR(BF$3)-YEAR($B$46))+MONTH(BF$3)-MONTH($B$46)),'Вводные'!$B$78)=0,(12*(YEAR(BF$3)-YEAR($B$46))+MONTH(BF$3)-MONTH($B$46))&lt;='Вводные'!$B$77*12),BF49*BF56*'Вводные'!$B$78/12,0)),0)</x:f>
      </x:c>
      <x:c r="BG52" s="117" t="n">
        <x:f>IF(AND('Вводные'!$B$75&lt;&gt;"Единовременно",'Вводные'!$B$80="Да",BG49&gt;0),IF(AND('Вводные'!$B$84="Да",YEAR(BG$3)=YEAR($B$47),MONTH(BG$3)=MONTH($B$47)),BG49*BG56/12,IF(AND((12*(YEAR(BG$3)-YEAR($B$46))+MONTH(BG$3)-MONTH($B$46))&gt;0,MOD((12*(YEAR(BG$3)-YEAR($B$46))+MONTH(BG$3)-MONTH($B$46)),'Вводные'!$B$78)=0,(12*(YEAR(BG$3)-YEAR($B$46))+MONTH(BG$3)-MONTH($B$46))&lt;='Вводные'!$B$77*12),BG49*BG56*'Вводные'!$B$78/12,0)),0)</x:f>
      </x:c>
      <x:c r="BH52" s="117" t="n">
        <x:f>IF(AND('Вводные'!$B$75&lt;&gt;"Единовременно",'Вводные'!$B$80="Да",BH49&gt;0),IF(AND('Вводные'!$B$84="Да",YEAR(BH$3)=YEAR($B$47),MONTH(BH$3)=MONTH($B$47)),BH49*BH56/12,IF(AND((12*(YEAR(BH$3)-YEAR($B$46))+MONTH(BH$3)-MONTH($B$46))&gt;0,MOD((12*(YEAR(BH$3)-YEAR($B$46))+MONTH(BH$3)-MONTH($B$46)),'Вводные'!$B$78)=0,(12*(YEAR(BH$3)-YEAR($B$46))+MONTH(BH$3)-MONTH($B$46))&lt;='Вводные'!$B$77*12),BH49*BH56*'Вводные'!$B$78/12,0)),0)</x:f>
      </x:c>
      <x:c r="BI52" s="117" t="n">
        <x:f>IF(AND('Вводные'!$B$75&lt;&gt;"Единовременно",'Вводные'!$B$80="Да",BI49&gt;0),IF(AND('Вводные'!$B$84="Да",YEAR(BI$3)=YEAR($B$47),MONTH(BI$3)=MONTH($B$47)),BI49*BI56/12,IF(AND((12*(YEAR(BI$3)-YEAR($B$46))+MONTH(BI$3)-MONTH($B$46))&gt;0,MOD((12*(YEAR(BI$3)-YEAR($B$46))+MONTH(BI$3)-MONTH($B$46)),'Вводные'!$B$78)=0,(12*(YEAR(BI$3)-YEAR($B$46))+MONTH(BI$3)-MONTH($B$46))&lt;='Вводные'!$B$77*12),BI49*BI56*'Вводные'!$B$78/12,0)),0)</x:f>
      </x:c>
      <x:c r="BJ52" s="117" t="n">
        <x:f>IF(AND('Вводные'!$B$75&lt;&gt;"Единовременно",'Вводные'!$B$80="Да",BJ49&gt;0),IF(AND('Вводные'!$B$84="Да",YEAR(BJ$3)=YEAR($B$47),MONTH(BJ$3)=MONTH($B$47)),BJ49*BJ56/12,IF(AND((12*(YEAR(BJ$3)-YEAR($B$46))+MONTH(BJ$3)-MONTH($B$46))&gt;0,MOD((12*(YEAR(BJ$3)-YEAR($B$46))+MONTH(BJ$3)-MONTH($B$46)),'Вводные'!$B$78)=0,(12*(YEAR(BJ$3)-YEAR($B$46))+MONTH(BJ$3)-MONTH($B$46))&lt;='Вводные'!$B$77*12),BJ49*BJ56*'Вводные'!$B$78/12,0)),0)</x:f>
      </x:c>
      <x:c r="BK52" s="117" t="n">
        <x:f>IF(AND('Вводные'!$B$75&lt;&gt;"Единовременно",'Вводные'!$B$80="Да",BK49&gt;0),IF(AND('Вводные'!$B$84="Да",YEAR(BK$3)=YEAR($B$47),MONTH(BK$3)=MONTH($B$47)),BK49*BK56/12,IF(AND((12*(YEAR(BK$3)-YEAR($B$46))+MONTH(BK$3)-MONTH($B$46))&gt;0,MOD((12*(YEAR(BK$3)-YEAR($B$46))+MONTH(BK$3)-MONTH($B$46)),'Вводные'!$B$78)=0,(12*(YEAR(BK$3)-YEAR($B$46))+MONTH(BK$3)-MONTH($B$46))&lt;='Вводные'!$B$77*12),BK49*BK56*'Вводные'!$B$78/12,0)),0)</x:f>
      </x:c>
      <x:c r="BL52" s="117" t="n">
        <x:f>IF(AND('Вводные'!$B$75&lt;&gt;"Единовременно",'Вводные'!$B$80="Да",BL49&gt;0),IF(AND('Вводные'!$B$84="Да",YEAR(BL$3)=YEAR($B$47),MONTH(BL$3)=MONTH($B$47)),BL49*BL56/12,IF(AND((12*(YEAR(BL$3)-YEAR($B$46))+MONTH(BL$3)-MONTH($B$46))&gt;0,MOD((12*(YEAR(BL$3)-YEAR($B$46))+MONTH(BL$3)-MONTH($B$46)),'Вводные'!$B$78)=0,(12*(YEAR(BL$3)-YEAR($B$46))+MONTH(BL$3)-MONTH($B$46))&lt;='Вводные'!$B$77*12),BL49*BL56*'Вводные'!$B$78/12,0)),0)</x:f>
      </x:c>
      <x:c r="BM52" s="117" t="n">
        <x:f>IF(AND('Вводные'!$B$75&lt;&gt;"Единовременно",'Вводные'!$B$80="Да",BM49&gt;0),IF(AND('Вводные'!$B$84="Да",YEAR(BM$3)=YEAR($B$47),MONTH(BM$3)=MONTH($B$47)),BM49*BM56/12,IF(AND((12*(YEAR(BM$3)-YEAR($B$46))+MONTH(BM$3)-MONTH($B$46))&gt;0,MOD((12*(YEAR(BM$3)-YEAR($B$46))+MONTH(BM$3)-MONTH($B$46)),'Вводные'!$B$78)=0,(12*(YEAR(BM$3)-YEAR($B$46))+MONTH(BM$3)-MONTH($B$46))&lt;='Вводные'!$B$77*12),BM49*BM56*'Вводные'!$B$78/12,0)),0)</x:f>
      </x:c>
      <x:c r="BN52" s="117" t="n">
        <x:f>IF(AND('Вводные'!$B$75&lt;&gt;"Единовременно",'Вводные'!$B$80="Да",BN49&gt;0),IF(AND('Вводные'!$B$84="Да",YEAR(BN$3)=YEAR($B$47),MONTH(BN$3)=MONTH($B$47)),BN49*BN56/12,IF(AND((12*(YEAR(BN$3)-YEAR($B$46))+MONTH(BN$3)-MONTH($B$46))&gt;0,MOD((12*(YEAR(BN$3)-YEAR($B$46))+MONTH(BN$3)-MONTH($B$46)),'Вводные'!$B$78)=0,(12*(YEAR(BN$3)-YEAR($B$46))+MONTH(BN$3)-MONTH($B$46))&lt;='Вводные'!$B$77*12),BN49*BN56*'Вводные'!$B$78/12,0)),0)</x:f>
      </x:c>
      <x:c r="BO52" s="117" t="n">
        <x:f>IF(AND('Вводные'!$B$75&lt;&gt;"Единовременно",'Вводные'!$B$80="Да",BO49&gt;0),IF(AND('Вводные'!$B$84="Да",YEAR(BO$3)=YEAR($B$47),MONTH(BO$3)=MONTH($B$47)),BO49*BO56/12,IF(AND((12*(YEAR(BO$3)-YEAR($B$46))+MONTH(BO$3)-MONTH($B$46))&gt;0,MOD((12*(YEAR(BO$3)-YEAR($B$46))+MONTH(BO$3)-MONTH($B$46)),'Вводные'!$B$78)=0,(12*(YEAR(BO$3)-YEAR($B$46))+MONTH(BO$3)-MONTH($B$46))&lt;='Вводные'!$B$77*12),BO49*BO56*'Вводные'!$B$78/12,0)),0)</x:f>
      </x:c>
      <x:c r="BP52" s="117" t="n">
        <x:f>IF(AND('Вводные'!$B$75&lt;&gt;"Единовременно",'Вводные'!$B$80="Да",BP49&gt;0),IF(AND('Вводные'!$B$84="Да",YEAR(BP$3)=YEAR($B$47),MONTH(BP$3)=MONTH($B$47)),BP49*BP56/12,IF(AND((12*(YEAR(BP$3)-YEAR($B$46))+MONTH(BP$3)-MONTH($B$46))&gt;0,MOD((12*(YEAR(BP$3)-YEAR($B$46))+MONTH(BP$3)-MONTH($B$46)),'Вводные'!$B$78)=0,(12*(YEAR(BP$3)-YEAR($B$46))+MONTH(BP$3)-MONTH($B$46))&lt;='Вводные'!$B$77*12),BP49*BP56*'Вводные'!$B$78/12,0)),0)</x:f>
      </x:c>
      <x:c r="BQ52" s="117" t="n">
        <x:f>IF(AND('Вводные'!$B$75&lt;&gt;"Единовременно",'Вводные'!$B$80="Да",BQ49&gt;0),IF(AND('Вводные'!$B$84="Да",YEAR(BQ$3)=YEAR($B$47),MONTH(BQ$3)=MONTH($B$47)),BQ49*BQ56/12,IF(AND((12*(YEAR(BQ$3)-YEAR($B$46))+MONTH(BQ$3)-MONTH($B$46))&gt;0,MOD((12*(YEAR(BQ$3)-YEAR($B$46))+MONTH(BQ$3)-MONTH($B$46)),'Вводные'!$B$78)=0,(12*(YEAR(BQ$3)-YEAR($B$46))+MONTH(BQ$3)-MONTH($B$46))&lt;='Вводные'!$B$77*12),BQ49*BQ56*'Вводные'!$B$78/12,0)),0)</x:f>
      </x:c>
      <x:c r="BR52" s="117" t="n">
        <x:f>IF(AND('Вводные'!$B$75&lt;&gt;"Единовременно",'Вводные'!$B$80="Да",BR49&gt;0),IF(AND('Вводные'!$B$84="Да",YEAR(BR$3)=YEAR($B$47),MONTH(BR$3)=MONTH($B$47)),BR49*BR56/12,IF(AND((12*(YEAR(BR$3)-YEAR($B$46))+MONTH(BR$3)-MONTH($B$46))&gt;0,MOD((12*(YEAR(BR$3)-YEAR($B$46))+MONTH(BR$3)-MONTH($B$46)),'Вводные'!$B$78)=0,(12*(YEAR(BR$3)-YEAR($B$46))+MONTH(BR$3)-MONTH($B$46))&lt;='Вводные'!$B$77*12),BR49*BR56*'Вводные'!$B$78/12,0)),0)</x:f>
      </x:c>
      <x:c r="BS52" s="117" t="n">
        <x:f>IF(AND('Вводные'!$B$75&lt;&gt;"Единовременно",'Вводные'!$B$80="Да",BS49&gt;0),IF(AND('Вводные'!$B$84="Да",YEAR(BS$3)=YEAR($B$47),MONTH(BS$3)=MONTH($B$47)),BS49*BS56/12,IF(AND((12*(YEAR(BS$3)-YEAR($B$46))+MONTH(BS$3)-MONTH($B$46))&gt;0,MOD((12*(YEAR(BS$3)-YEAR($B$46))+MONTH(BS$3)-MONTH($B$46)),'Вводные'!$B$78)=0,(12*(YEAR(BS$3)-YEAR($B$46))+MONTH(BS$3)-MONTH($B$46))&lt;='Вводные'!$B$77*12),BS49*BS56*'Вводные'!$B$78/12,0)),0)</x:f>
      </x:c>
      <x:c r="BT52" s="117" t="n">
        <x:f>IF(AND('Вводные'!$B$75&lt;&gt;"Единовременно",'Вводные'!$B$80="Да",BT49&gt;0),IF(AND('Вводные'!$B$84="Да",YEAR(BT$3)=YEAR($B$47),MONTH(BT$3)=MONTH($B$47)),BT49*BT56/12,IF(AND((12*(YEAR(BT$3)-YEAR($B$46))+MONTH(BT$3)-MONTH($B$46))&gt;0,MOD((12*(YEAR(BT$3)-YEAR($B$46))+MONTH(BT$3)-MONTH($B$46)),'Вводные'!$B$78)=0,(12*(YEAR(BT$3)-YEAR($B$46))+MONTH(BT$3)-MONTH($B$46))&lt;='Вводные'!$B$77*12),BT49*BT56*'Вводные'!$B$78/12,0)),0)</x:f>
      </x:c>
      <x:c r="BU52" s="117" t="n">
        <x:f>IF(AND('Вводные'!$B$75&lt;&gt;"Единовременно",'Вводные'!$B$80="Да",BU49&gt;0),IF(AND('Вводные'!$B$84="Да",YEAR(BU$3)=YEAR($B$47),MONTH(BU$3)=MONTH($B$47)),BU49*BU56/12,IF(AND((12*(YEAR(BU$3)-YEAR($B$46))+MONTH(BU$3)-MONTH($B$46))&gt;0,MOD((12*(YEAR(BU$3)-YEAR($B$46))+MONTH(BU$3)-MONTH($B$46)),'Вводные'!$B$78)=0,(12*(YEAR(BU$3)-YEAR($B$46))+MONTH(BU$3)-MONTH($B$46))&lt;='Вводные'!$B$77*12),BU49*BU56*'Вводные'!$B$78/12,0)),0)</x:f>
      </x:c>
      <x:c r="BV52" s="117" t="n">
        <x:f>IF(AND('Вводные'!$B$75&lt;&gt;"Единовременно",'Вводные'!$B$80="Да",BV49&gt;0),IF(AND('Вводные'!$B$84="Да",YEAR(BV$3)=YEAR($B$47),MONTH(BV$3)=MONTH($B$47)),BV49*BV56/12,IF(AND((12*(YEAR(BV$3)-YEAR($B$46))+MONTH(BV$3)-MONTH($B$46))&gt;0,MOD((12*(YEAR(BV$3)-YEAR($B$46))+MONTH(BV$3)-MONTH($B$46)),'Вводные'!$B$78)=0,(12*(YEAR(BV$3)-YEAR($B$46))+MONTH(BV$3)-MONTH($B$46))&lt;='Вводные'!$B$77*12),BV49*BV56*'Вводные'!$B$78/12,0)),0)</x:f>
      </x:c>
      <x:c r="BW52" s="117" t="n">
        <x:f>IF(AND('Вводные'!$B$75&lt;&gt;"Единовременно",'Вводные'!$B$80="Да",BW49&gt;0),IF(AND('Вводные'!$B$84="Да",YEAR(BW$3)=YEAR($B$47),MONTH(BW$3)=MONTH($B$47)),BW49*BW56/12,IF(AND((12*(YEAR(BW$3)-YEAR($B$46))+MONTH(BW$3)-MONTH($B$46))&gt;0,MOD((12*(YEAR(BW$3)-YEAR($B$46))+MONTH(BW$3)-MONTH($B$46)),'Вводные'!$B$78)=0,(12*(YEAR(BW$3)-YEAR($B$46))+MONTH(BW$3)-MONTH($B$46))&lt;='Вводные'!$B$77*12),BW49*BW56*'Вводные'!$B$78/12,0)),0)</x:f>
      </x:c>
      <x:c r="BX52" s="117" t="n">
        <x:f>IF(AND('Вводные'!$B$75&lt;&gt;"Единовременно",'Вводные'!$B$80="Да",BX49&gt;0),IF(AND('Вводные'!$B$84="Да",YEAR(BX$3)=YEAR($B$47),MONTH(BX$3)=MONTH($B$47)),BX49*BX56/12,IF(AND((12*(YEAR(BX$3)-YEAR($B$46))+MONTH(BX$3)-MONTH($B$46))&gt;0,MOD((12*(YEAR(BX$3)-YEAR($B$46))+MONTH(BX$3)-MONTH($B$46)),'Вводные'!$B$78)=0,(12*(YEAR(BX$3)-YEAR($B$46))+MONTH(BX$3)-MONTH($B$46))&lt;='Вводные'!$B$77*12),BX49*BX56*'Вводные'!$B$78/12,0)),0)</x:f>
      </x:c>
      <x:c r="BY52" s="117" t="n">
        <x:f>IF(AND('Вводные'!$B$75&lt;&gt;"Единовременно",'Вводные'!$B$80="Да",BY49&gt;0),IF(AND('Вводные'!$B$84="Да",YEAR(BY$3)=YEAR($B$47),MONTH(BY$3)=MONTH($B$47)),BY49*BY56/12,IF(AND((12*(YEAR(BY$3)-YEAR($B$46))+MONTH(BY$3)-MONTH($B$46))&gt;0,MOD((12*(YEAR(BY$3)-YEAR($B$46))+MONTH(BY$3)-MONTH($B$46)),'Вводные'!$B$78)=0,(12*(YEAR(BY$3)-YEAR($B$46))+MONTH(BY$3)-MONTH($B$46))&lt;='Вводные'!$B$77*12),BY49*BY56*'Вводные'!$B$78/12,0)),0)</x:f>
      </x:c>
      <x:c r="BZ52" s="117" t="n">
        <x:f>IF(AND('Вводные'!$B$75&lt;&gt;"Единовременно",'Вводные'!$B$80="Да",BZ49&gt;0),IF(AND('Вводные'!$B$84="Да",YEAR(BZ$3)=YEAR($B$47),MONTH(BZ$3)=MONTH($B$47)),BZ49*BZ56/12,IF(AND((12*(YEAR(BZ$3)-YEAR($B$46))+MONTH(BZ$3)-MONTH($B$46))&gt;0,MOD((12*(YEAR(BZ$3)-YEAR($B$46))+MONTH(BZ$3)-MONTH($B$46)),'Вводные'!$B$78)=0,(12*(YEAR(BZ$3)-YEAR($B$46))+MONTH(BZ$3)-MONTH($B$46))&lt;='Вводные'!$B$77*12),BZ49*BZ56*'Вводные'!$B$78/12,0)),0)</x:f>
      </x:c>
      <x:c r="CA52" s="117" t="n">
        <x:f>IF(AND('Вводные'!$B$75&lt;&gt;"Единовременно",'Вводные'!$B$80="Да",CA49&gt;0),IF(AND('Вводные'!$B$84="Да",YEAR(CA$3)=YEAR($B$47),MONTH(CA$3)=MONTH($B$47)),CA49*CA56/12,IF(AND((12*(YEAR(CA$3)-YEAR($B$46))+MONTH(CA$3)-MONTH($B$46))&gt;0,MOD((12*(YEAR(CA$3)-YEAR($B$46))+MONTH(CA$3)-MONTH($B$46)),'Вводные'!$B$78)=0,(12*(YEAR(CA$3)-YEAR($B$46))+MONTH(CA$3)-MONTH($B$46))&lt;='Вводные'!$B$77*12),CA49*CA56*'Вводные'!$B$78/12,0)),0)</x:f>
      </x:c>
      <x:c r="CB52" s="117" t="n">
        <x:f>IF(AND('Вводные'!$B$75&lt;&gt;"Единовременно",'Вводные'!$B$80="Да",CB49&gt;0),IF(AND('Вводные'!$B$84="Да",YEAR(CB$3)=YEAR($B$47),MONTH(CB$3)=MONTH($B$47)),CB49*CB56/12,IF(AND((12*(YEAR(CB$3)-YEAR($B$46))+MONTH(CB$3)-MONTH($B$46))&gt;0,MOD((12*(YEAR(CB$3)-YEAR($B$46))+MONTH(CB$3)-MONTH($B$46)),'Вводные'!$B$78)=0,(12*(YEAR(CB$3)-YEAR($B$46))+MONTH(CB$3)-MONTH($B$46))&lt;='Вводные'!$B$77*12),CB49*CB56*'Вводные'!$B$78/12,0)),0)</x:f>
      </x:c>
      <x:c r="CC52" s="117" t="n">
        <x:f>IF(AND('Вводные'!$B$75&lt;&gt;"Единовременно",'Вводные'!$B$80="Да",CC49&gt;0),IF(AND('Вводные'!$B$84="Да",YEAR(CC$3)=YEAR($B$47),MONTH(CC$3)=MONTH($B$47)),CC49*CC56/12,IF(AND((12*(YEAR(CC$3)-YEAR($B$46))+MONTH(CC$3)-MONTH($B$46))&gt;0,MOD((12*(YEAR(CC$3)-YEAR($B$46))+MONTH(CC$3)-MONTH($B$46)),'Вводные'!$B$78)=0,(12*(YEAR(CC$3)-YEAR($B$46))+MONTH(CC$3)-MONTH($B$46))&lt;='Вводные'!$B$77*12),CC49*CC56*'Вводные'!$B$78/12,0)),0)</x:f>
      </x:c>
      <x:c r="CD52" s="117" t="n">
        <x:f>IF(AND('Вводные'!$B$75&lt;&gt;"Единовременно",'Вводные'!$B$80="Да",CD49&gt;0),IF(AND('Вводные'!$B$84="Да",YEAR(CD$3)=YEAR($B$47),MONTH(CD$3)=MONTH($B$47)),CD49*CD56/12,IF(AND((12*(YEAR(CD$3)-YEAR($B$46))+MONTH(CD$3)-MONTH($B$46))&gt;0,MOD((12*(YEAR(CD$3)-YEAR($B$46))+MONTH(CD$3)-MONTH($B$46)),'Вводные'!$B$78)=0,(12*(YEAR(CD$3)-YEAR($B$46))+MONTH(CD$3)-MONTH($B$46))&lt;='Вводные'!$B$77*12),CD49*CD56*'Вводные'!$B$78/12,0)),0)</x:f>
      </x:c>
      <x:c r="CE52" s="117" t="n">
        <x:f>IF(AND('Вводные'!$B$75&lt;&gt;"Единовременно",'Вводные'!$B$80="Да",CE49&gt;0),IF(AND('Вводные'!$B$84="Да",YEAR(CE$3)=YEAR($B$47),MONTH(CE$3)=MONTH($B$47)),CE49*CE56/12,IF(AND((12*(YEAR(CE$3)-YEAR($B$46))+MONTH(CE$3)-MONTH($B$46))&gt;0,MOD((12*(YEAR(CE$3)-YEAR($B$46))+MONTH(CE$3)-MONTH($B$46)),'Вводные'!$B$78)=0,(12*(YEAR(CE$3)-YEAR($B$46))+MONTH(CE$3)-MONTH($B$46))&lt;='Вводные'!$B$77*12),CE49*CE56*'Вводные'!$B$78/12,0)),0)</x:f>
      </x:c>
      <x:c r="CF52" s="117" t="n">
        <x:f>IF(AND('Вводные'!$B$75&lt;&gt;"Единовременно",'Вводные'!$B$80="Да",CF49&gt;0),IF(AND('Вводные'!$B$84="Да",YEAR(CF$3)=YEAR($B$47),MONTH(CF$3)=MONTH($B$47)),CF49*CF56/12,IF(AND((12*(YEAR(CF$3)-YEAR($B$46))+MONTH(CF$3)-MONTH($B$46))&gt;0,MOD((12*(YEAR(CF$3)-YEAR($B$46))+MONTH(CF$3)-MONTH($B$46)),'Вводные'!$B$78)=0,(12*(YEAR(CF$3)-YEAR($B$46))+MONTH(CF$3)-MONTH($B$46))&lt;='Вводные'!$B$77*12),CF49*CF56*'Вводные'!$B$78/12,0)),0)</x:f>
      </x:c>
      <x:c r="CG52" s="117" t="n">
        <x:f>IF(AND('Вводные'!$B$75&lt;&gt;"Единовременно",'Вводные'!$B$80="Да",CG49&gt;0),IF(AND('Вводные'!$B$84="Да",YEAR(CG$3)=YEAR($B$47),MONTH(CG$3)=MONTH($B$47)),CG49*CG56/12,IF(AND((12*(YEAR(CG$3)-YEAR($B$46))+MONTH(CG$3)-MONTH($B$46))&gt;0,MOD((12*(YEAR(CG$3)-YEAR($B$46))+MONTH(CG$3)-MONTH($B$46)),'Вводные'!$B$78)=0,(12*(YEAR(CG$3)-YEAR($B$46))+MONTH(CG$3)-MONTH($B$46))&lt;='Вводные'!$B$77*12),CG49*CG56*'Вводные'!$B$78/12,0)),0)</x:f>
      </x:c>
      <x:c r="CH52" s="117" t="n">
        <x:f>IF(AND('Вводные'!$B$75&lt;&gt;"Единовременно",'Вводные'!$B$80="Да",CH49&gt;0),IF(AND('Вводные'!$B$84="Да",YEAR(CH$3)=YEAR($B$47),MONTH(CH$3)=MONTH($B$47)),CH49*CH56/12,IF(AND((12*(YEAR(CH$3)-YEAR($B$46))+MONTH(CH$3)-MONTH($B$46))&gt;0,MOD((12*(YEAR(CH$3)-YEAR($B$46))+MONTH(CH$3)-MONTH($B$46)),'Вводные'!$B$78)=0,(12*(YEAR(CH$3)-YEAR($B$46))+MONTH(CH$3)-MONTH($B$46))&lt;='Вводные'!$B$77*12),CH49*CH56*'Вводные'!$B$78/12,0)),0)</x:f>
      </x:c>
      <x:c r="CI52" s="117" t="n">
        <x:f>IF(AND('Вводные'!$B$75&lt;&gt;"Единовременно",'Вводные'!$B$80="Да",CI49&gt;0),IF(AND('Вводные'!$B$84="Да",YEAR(CI$3)=YEAR($B$47),MONTH(CI$3)=MONTH($B$47)),CI49*CI56/12,IF(AND((12*(YEAR(CI$3)-YEAR($B$46))+MONTH(CI$3)-MONTH($B$46))&gt;0,MOD((12*(YEAR(CI$3)-YEAR($B$46))+MONTH(CI$3)-MONTH($B$46)),'Вводные'!$B$78)=0,(12*(YEAR(CI$3)-YEAR($B$46))+MONTH(CI$3)-MONTH($B$46))&lt;='Вводные'!$B$77*12),CI49*CI56*'Вводные'!$B$78/12,0)),0)</x:f>
      </x:c>
      <x:c r="CJ52" s="117" t="n">
        <x:f>IF(AND('Вводные'!$B$75&lt;&gt;"Единовременно",'Вводные'!$B$80="Да",CJ49&gt;0),IF(AND('Вводные'!$B$84="Да",YEAR(CJ$3)=YEAR($B$47),MONTH(CJ$3)=MONTH($B$47)),CJ49*CJ56/12,IF(AND((12*(YEAR(CJ$3)-YEAR($B$46))+MONTH(CJ$3)-MONTH($B$46))&gt;0,MOD((12*(YEAR(CJ$3)-YEAR($B$46))+MONTH(CJ$3)-MONTH($B$46)),'Вводные'!$B$78)=0,(12*(YEAR(CJ$3)-YEAR($B$46))+MONTH(CJ$3)-MONTH($B$46))&lt;='Вводные'!$B$77*12),CJ49*CJ56*'Вводные'!$B$78/12,0)),0)</x:f>
      </x:c>
      <x:c r="CK52" s="117" t="n">
        <x:f>IF(AND('Вводные'!$B$75&lt;&gt;"Единовременно",'Вводные'!$B$80="Да",CK49&gt;0),IF(AND('Вводные'!$B$84="Да",YEAR(CK$3)=YEAR($B$47),MONTH(CK$3)=MONTH($B$47)),CK49*CK56/12,IF(AND((12*(YEAR(CK$3)-YEAR($B$46))+MONTH(CK$3)-MONTH($B$46))&gt;0,MOD((12*(YEAR(CK$3)-YEAR($B$46))+MONTH(CK$3)-MONTH($B$46)),'Вводные'!$B$78)=0,(12*(YEAR(CK$3)-YEAR($B$46))+MONTH(CK$3)-MONTH($B$46))&lt;='Вводные'!$B$77*12),CK49*CK56*'Вводные'!$B$78/12,0)),0)</x:f>
      </x:c>
      <x:c r="CL52" s="117" t="n">
        <x:f>IF(AND('Вводные'!$B$75&lt;&gt;"Единовременно",'Вводные'!$B$80="Да",CL49&gt;0),IF(AND('Вводные'!$B$84="Да",YEAR(CL$3)=YEAR($B$47),MONTH(CL$3)=MONTH($B$47)),CL49*CL56/12,IF(AND((12*(YEAR(CL$3)-YEAR($B$46))+MONTH(CL$3)-MONTH($B$46))&gt;0,MOD((12*(YEAR(CL$3)-YEAR($B$46))+MONTH(CL$3)-MONTH($B$46)),'Вводные'!$B$78)=0,(12*(YEAR(CL$3)-YEAR($B$46))+MONTH(CL$3)-MONTH($B$46))&lt;='Вводные'!$B$77*12),CL49*CL56*'Вводные'!$B$78/12,0)),0)</x:f>
      </x:c>
      <x:c r="CM52" s="117" t="n">
        <x:f>IF(AND('Вводные'!$B$75&lt;&gt;"Единовременно",'Вводные'!$B$80="Да",CM49&gt;0),IF(AND('Вводные'!$B$84="Да",YEAR(CM$3)=YEAR($B$47),MONTH(CM$3)=MONTH($B$47)),CM49*CM56/12,IF(AND((12*(YEAR(CM$3)-YEAR($B$46))+MONTH(CM$3)-MONTH($B$46))&gt;0,MOD((12*(YEAR(CM$3)-YEAR($B$46))+MONTH(CM$3)-MONTH($B$46)),'Вводные'!$B$78)=0,(12*(YEAR(CM$3)-YEAR($B$46))+MONTH(CM$3)-MONTH($B$46))&lt;='Вводные'!$B$77*12),CM49*CM56*'Вводные'!$B$78/12,0)),0)</x:f>
      </x:c>
      <x:c r="CN52" s="117" t="n">
        <x:f>IF(AND('Вводные'!$B$75&lt;&gt;"Единовременно",'Вводные'!$B$80="Да",CN49&gt;0),IF(AND('Вводные'!$B$84="Да",YEAR(CN$3)=YEAR($B$47),MONTH(CN$3)=MONTH($B$47)),CN49*CN56/12,IF(AND((12*(YEAR(CN$3)-YEAR($B$46))+MONTH(CN$3)-MONTH($B$46))&gt;0,MOD((12*(YEAR(CN$3)-YEAR($B$46))+MONTH(CN$3)-MONTH($B$46)),'Вводные'!$B$78)=0,(12*(YEAR(CN$3)-YEAR($B$46))+MONTH(CN$3)-MONTH($B$46))&lt;='Вводные'!$B$77*12),CN49*CN56*'Вводные'!$B$78/12,0)),0)</x:f>
      </x:c>
      <x:c r="CO52" s="117" t="n">
        <x:f>IF(AND('Вводные'!$B$75&lt;&gt;"Единовременно",'Вводные'!$B$80="Да",CO49&gt;0),IF(AND('Вводные'!$B$84="Да",YEAR(CO$3)=YEAR($B$47),MONTH(CO$3)=MONTH($B$47)),CO49*CO56/12,IF(AND((12*(YEAR(CO$3)-YEAR($B$46))+MONTH(CO$3)-MONTH($B$46))&gt;0,MOD((12*(YEAR(CO$3)-YEAR($B$46))+MONTH(CO$3)-MONTH($B$46)),'Вводные'!$B$78)=0,(12*(YEAR(CO$3)-YEAR($B$46))+MONTH(CO$3)-MONTH($B$46))&lt;='Вводные'!$B$77*12),CO49*CO56*'Вводные'!$B$78/12,0)),0)</x:f>
      </x:c>
      <x:c r="CP52" s="117" t="n">
        <x:f>IF(AND('Вводные'!$B$75&lt;&gt;"Единовременно",'Вводные'!$B$80="Да",CP49&gt;0),IF(AND('Вводные'!$B$84="Да",YEAR(CP$3)=YEAR($B$47),MONTH(CP$3)=MONTH($B$47)),CP49*CP56/12,IF(AND((12*(YEAR(CP$3)-YEAR($B$46))+MONTH(CP$3)-MONTH($B$46))&gt;0,MOD((12*(YEAR(CP$3)-YEAR($B$46))+MONTH(CP$3)-MONTH($B$46)),'Вводные'!$B$78)=0,(12*(YEAR(CP$3)-YEAR($B$46))+MONTH(CP$3)-MONTH($B$46))&lt;='Вводные'!$B$77*12),CP49*CP56*'Вводные'!$B$78/12,0)),0)</x:f>
      </x:c>
      <x:c r="CQ52" s="117" t="n">
        <x:f>IF(AND('Вводные'!$B$75&lt;&gt;"Единовременно",'Вводные'!$B$80="Да",CQ49&gt;0),IF(AND('Вводные'!$B$84="Да",YEAR(CQ$3)=YEAR($B$47),MONTH(CQ$3)=MONTH($B$47)),CQ49*CQ56/12,IF(AND((12*(YEAR(CQ$3)-YEAR($B$46))+MONTH(CQ$3)-MONTH($B$46))&gt;0,MOD((12*(YEAR(CQ$3)-YEAR($B$46))+MONTH(CQ$3)-MONTH($B$46)),'Вводные'!$B$78)=0,(12*(YEAR(CQ$3)-YEAR($B$46))+MONTH(CQ$3)-MONTH($B$46))&lt;='Вводные'!$B$77*12),CQ49*CQ56*'Вводные'!$B$78/12,0)),0)</x:f>
      </x:c>
      <x:c r="CR52" s="117" t="n">
        <x:f>IF(AND('Вводные'!$B$75&lt;&gt;"Единовременно",'Вводные'!$B$80="Да",CR49&gt;0),IF(AND('Вводные'!$B$84="Да",YEAR(CR$3)=YEAR($B$47),MONTH(CR$3)=MONTH($B$47)),CR49*CR56/12,IF(AND((12*(YEAR(CR$3)-YEAR($B$46))+MONTH(CR$3)-MONTH($B$46))&gt;0,MOD((12*(YEAR(CR$3)-YEAR($B$46))+MONTH(CR$3)-MONTH($B$46)),'Вводные'!$B$78)=0,(12*(YEAR(CR$3)-YEAR($B$46))+MONTH(CR$3)-MONTH($B$46))&lt;='Вводные'!$B$77*12),CR49*CR56*'Вводные'!$B$78/12,0)),0)</x:f>
      </x:c>
      <x:c r="CS52" s="117" t="n">
        <x:f>IF(AND('Вводные'!$B$75&lt;&gt;"Единовременно",'Вводные'!$B$80="Да",CS49&gt;0),IF(AND('Вводные'!$B$84="Да",YEAR(CS$3)=YEAR($B$47),MONTH(CS$3)=MONTH($B$47)),CS49*CS56/12,IF(AND((12*(YEAR(CS$3)-YEAR($B$46))+MONTH(CS$3)-MONTH($B$46))&gt;0,MOD((12*(YEAR(CS$3)-YEAR($B$46))+MONTH(CS$3)-MONTH($B$46)),'Вводные'!$B$78)=0,(12*(YEAR(CS$3)-YEAR($B$46))+MONTH(CS$3)-MONTH($B$46))&lt;='Вводные'!$B$77*12),CS49*CS56*'Вводные'!$B$78/12,0)),0)</x:f>
      </x:c>
      <x:c r="CT52" s="117" t="n">
        <x:f>IF(AND('Вводные'!$B$75&lt;&gt;"Единовременно",'Вводные'!$B$80="Да",CT49&gt;0),IF(AND('Вводные'!$B$84="Да",YEAR(CT$3)=YEAR($B$47),MONTH(CT$3)=MONTH($B$47)),CT49*CT56/12,IF(AND((12*(YEAR(CT$3)-YEAR($B$46))+MONTH(CT$3)-MONTH($B$46))&gt;0,MOD((12*(YEAR(CT$3)-YEAR($B$46))+MONTH(CT$3)-MONTH($B$46)),'Вводные'!$B$78)=0,(12*(YEAR(CT$3)-YEAR($B$46))+MONTH(CT$3)-MONTH($B$46))&lt;='Вводные'!$B$77*12),CT49*CT56*'Вводные'!$B$78/12,0)),0)</x:f>
      </x:c>
      <x:c r="CU52" s="117" t="n">
        <x:f>IF(AND('Вводные'!$B$75&lt;&gt;"Единовременно",'Вводные'!$B$80="Да",CU49&gt;0),IF(AND('Вводные'!$B$84="Да",YEAR(CU$3)=YEAR($B$47),MONTH(CU$3)=MONTH($B$47)),CU49*CU56/12,IF(AND((12*(YEAR(CU$3)-YEAR($B$46))+MONTH(CU$3)-MONTH($B$46))&gt;0,MOD((12*(YEAR(CU$3)-YEAR($B$46))+MONTH(CU$3)-MONTH($B$46)),'Вводные'!$B$78)=0,(12*(YEAR(CU$3)-YEAR($B$46))+MONTH(CU$3)-MONTH($B$46))&lt;='Вводные'!$B$77*12),CU49*CU56*'Вводные'!$B$78/12,0)),0)</x:f>
      </x:c>
      <x:c r="CV52" s="117" t="n">
        <x:f>IF(AND('Вводные'!$B$75&lt;&gt;"Единовременно",'Вводные'!$B$80="Да",CV49&gt;0),IF(AND('Вводные'!$B$84="Да",YEAR(CV$3)=YEAR($B$47),MONTH(CV$3)=MONTH($B$47)),CV49*CV56/12,IF(AND((12*(YEAR(CV$3)-YEAR($B$46))+MONTH(CV$3)-MONTH($B$46))&gt;0,MOD((12*(YEAR(CV$3)-YEAR($B$46))+MONTH(CV$3)-MONTH($B$46)),'Вводные'!$B$78)=0,(12*(YEAR(CV$3)-YEAR($B$46))+MONTH(CV$3)-MONTH($B$46))&lt;='Вводные'!$B$77*12),CV49*CV56*'Вводные'!$B$78/12,0)),0)</x:f>
      </x:c>
      <x:c r="CW52" s="117" t="n">
        <x:f>IF(AND('Вводные'!$B$75&lt;&gt;"Единовременно",'Вводные'!$B$80="Да",CW49&gt;0),IF(AND('Вводные'!$B$84="Да",YEAR(CW$3)=YEAR($B$47),MONTH(CW$3)=MONTH($B$47)),CW49*CW56/12,IF(AND((12*(YEAR(CW$3)-YEAR($B$46))+MONTH(CW$3)-MONTH($B$46))&gt;0,MOD((12*(YEAR(CW$3)-YEAR($B$46))+MONTH(CW$3)-MONTH($B$46)),'Вводные'!$B$78)=0,(12*(YEAR(CW$3)-YEAR($B$46))+MONTH(CW$3)-MONTH($B$46))&lt;='Вводные'!$B$77*12),CW49*CW56*'Вводные'!$B$78/12,0)),0)</x:f>
      </x:c>
      <x:c r="CX52" s="117" t="n">
        <x:f>IF(AND('Вводные'!$B$75&lt;&gt;"Единовременно",'Вводные'!$B$80="Да",CX49&gt;0),IF(AND('Вводные'!$B$84="Да",YEAR(CX$3)=YEAR($B$47),MONTH(CX$3)=MONTH($B$47)),CX49*CX56/12,IF(AND((12*(YEAR(CX$3)-YEAR($B$46))+MONTH(CX$3)-MONTH($B$46))&gt;0,MOD((12*(YEAR(CX$3)-YEAR($B$46))+MONTH(CX$3)-MONTH($B$46)),'Вводные'!$B$78)=0,(12*(YEAR(CX$3)-YEAR($B$46))+MONTH(CX$3)-MONTH($B$46))&lt;='Вводные'!$B$77*12),CX49*CX56*'Вводные'!$B$78/12,0)),0)</x:f>
      </x:c>
      <x:c r="CY52" s="117" t="n">
        <x:f>IF(AND('Вводные'!$B$75&lt;&gt;"Единовременно",'Вводные'!$B$80="Да",CY49&gt;0),IF(AND('Вводные'!$B$84="Да",YEAR(CY$3)=YEAR($B$47),MONTH(CY$3)=MONTH($B$47)),CY49*CY56/12,IF(AND((12*(YEAR(CY$3)-YEAR($B$46))+MONTH(CY$3)-MONTH($B$46))&gt;0,MOD((12*(YEAR(CY$3)-YEAR($B$46))+MONTH(CY$3)-MONTH($B$46)),'Вводные'!$B$78)=0,(12*(YEAR(CY$3)-YEAR($B$46))+MONTH(CY$3)-MONTH($B$46))&lt;='Вводные'!$B$77*12),CY49*CY56*'Вводные'!$B$78/12,0)),0)</x:f>
      </x:c>
      <x:c r="CZ52" s="117" t="n">
        <x:f>IF(AND('Вводные'!$B$75&lt;&gt;"Единовременно",'Вводные'!$B$80="Да",CZ49&gt;0),IF(AND('Вводные'!$B$84="Да",YEAR(CZ$3)=YEAR($B$47),MONTH(CZ$3)=MONTH($B$47)),CZ49*CZ56/12,IF(AND((12*(YEAR(CZ$3)-YEAR($B$46))+MONTH(CZ$3)-MONTH($B$46))&gt;0,MOD((12*(YEAR(CZ$3)-YEAR($B$46))+MONTH(CZ$3)-MONTH($B$46)),'Вводные'!$B$78)=0,(12*(YEAR(CZ$3)-YEAR($B$46))+MONTH(CZ$3)-MONTH($B$46))&lt;='Вводные'!$B$77*12),CZ49*CZ56*'Вводные'!$B$78/12,0)),0)</x:f>
      </x:c>
      <x:c r="DA52" s="117" t="n">
        <x:f>IF(AND('Вводные'!$B$75&lt;&gt;"Единовременно",'Вводные'!$B$80="Да",DA49&gt;0),IF(AND('Вводные'!$B$84="Да",YEAR(DA$3)=YEAR($B$47),MONTH(DA$3)=MONTH($B$47)),DA49*DA56/12,IF(AND((12*(YEAR(DA$3)-YEAR($B$46))+MONTH(DA$3)-MONTH($B$46))&gt;0,MOD((12*(YEAR(DA$3)-YEAR($B$46))+MONTH(DA$3)-MONTH($B$46)),'Вводные'!$B$78)=0,(12*(YEAR(DA$3)-YEAR($B$46))+MONTH(DA$3)-MONTH($B$46))&lt;='Вводные'!$B$77*12),DA49*DA56*'Вводные'!$B$78/12,0)),0)</x:f>
      </x:c>
      <x:c r="DB52" s="117" t="n">
        <x:f>IF(AND('Вводные'!$B$75&lt;&gt;"Единовременно",'Вводные'!$B$80="Да",DB49&gt;0),IF(AND('Вводные'!$B$84="Да",YEAR(DB$3)=YEAR($B$47),MONTH(DB$3)=MONTH($B$47)),DB49*DB56/12,IF(AND((12*(YEAR(DB$3)-YEAR($B$46))+MONTH(DB$3)-MONTH($B$46))&gt;0,MOD((12*(YEAR(DB$3)-YEAR($B$46))+MONTH(DB$3)-MONTH($B$46)),'Вводные'!$B$78)=0,(12*(YEAR(DB$3)-YEAR($B$46))+MONTH(DB$3)-MONTH($B$46))&lt;='Вводные'!$B$77*12),DB49*DB56*'Вводные'!$B$78/12,0)),0)</x:f>
      </x:c>
      <x:c r="DC52" s="117" t="n">
        <x:f>IF(AND('Вводные'!$B$75&lt;&gt;"Единовременно",'Вводные'!$B$80="Да",DC49&gt;0),IF(AND('Вводные'!$B$84="Да",YEAR(DC$3)=YEAR($B$47),MONTH(DC$3)=MONTH($B$47)),DC49*DC56/12,IF(AND((12*(YEAR(DC$3)-YEAR($B$46))+MONTH(DC$3)-MONTH($B$46))&gt;0,MOD((12*(YEAR(DC$3)-YEAR($B$46))+MONTH(DC$3)-MONTH($B$46)),'Вводные'!$B$78)=0,(12*(YEAR(DC$3)-YEAR($B$46))+MONTH(DC$3)-MONTH($B$46))&lt;='Вводные'!$B$77*12),DC49*DC56*'Вводные'!$B$78/12,0)),0)</x:f>
      </x:c>
      <x:c r="DD52" s="117" t="n">
        <x:f>IF(AND('Вводные'!$B$75&lt;&gt;"Единовременно",'Вводные'!$B$80="Да",DD49&gt;0),IF(AND('Вводные'!$B$84="Да",YEAR(DD$3)=YEAR($B$47),MONTH(DD$3)=MONTH($B$47)),DD49*DD56/12,IF(AND((12*(YEAR(DD$3)-YEAR($B$46))+MONTH(DD$3)-MONTH($B$46))&gt;0,MOD((12*(YEAR(DD$3)-YEAR($B$46))+MONTH(DD$3)-MONTH($B$46)),'Вводные'!$B$78)=0,(12*(YEAR(DD$3)-YEAR($B$46))+MONTH(DD$3)-MONTH($B$46))&lt;='Вводные'!$B$77*12),DD49*DD56*'Вводные'!$B$78/12,0)),0)</x:f>
      </x:c>
      <x:c r="DE52" s="117" t="n">
        <x:f>IF(AND('Вводные'!$B$75&lt;&gt;"Единовременно",'Вводные'!$B$80="Да",DE49&gt;0),IF(AND('Вводные'!$B$84="Да",YEAR(DE$3)=YEAR($B$47),MONTH(DE$3)=MONTH($B$47)),DE49*DE56/12,IF(AND((12*(YEAR(DE$3)-YEAR($B$46))+MONTH(DE$3)-MONTH($B$46))&gt;0,MOD((12*(YEAR(DE$3)-YEAR($B$46))+MONTH(DE$3)-MONTH($B$46)),'Вводные'!$B$78)=0,(12*(YEAR(DE$3)-YEAR($B$46))+MONTH(DE$3)-MONTH($B$46))&lt;='Вводные'!$B$77*12),DE49*DE56*'Вводные'!$B$78/12,0)),0)</x:f>
      </x:c>
      <x:c r="DF52" s="117" t="n">
        <x:f>IF(AND('Вводные'!$B$75&lt;&gt;"Единовременно",'Вводные'!$B$80="Да",DF49&gt;0),IF(AND('Вводные'!$B$84="Да",YEAR(DF$3)=YEAR($B$47),MONTH(DF$3)=MONTH($B$47)),DF49*DF56/12,IF(AND((12*(YEAR(DF$3)-YEAR($B$46))+MONTH(DF$3)-MONTH($B$46))&gt;0,MOD((12*(YEAR(DF$3)-YEAR($B$46))+MONTH(DF$3)-MONTH($B$46)),'Вводные'!$B$78)=0,(12*(YEAR(DF$3)-YEAR($B$46))+MONTH(DF$3)-MONTH($B$46))&lt;='Вводные'!$B$77*12),DF49*DF56*'Вводные'!$B$78/12,0)),0)</x:f>
      </x:c>
      <x:c r="DG52" s="117" t="n">
        <x:f>IF(AND('Вводные'!$B$75&lt;&gt;"Единовременно",'Вводные'!$B$80="Да",DG49&gt;0),IF(AND('Вводные'!$B$84="Да",YEAR(DG$3)=YEAR($B$47),MONTH(DG$3)=MONTH($B$47)),DG49*DG56/12,IF(AND((12*(YEAR(DG$3)-YEAR($B$46))+MONTH(DG$3)-MONTH($B$46))&gt;0,MOD((12*(YEAR(DG$3)-YEAR($B$46))+MONTH(DG$3)-MONTH($B$46)),'Вводные'!$B$78)=0,(12*(YEAR(DG$3)-YEAR($B$46))+MONTH(DG$3)-MONTH($B$46))&lt;='Вводные'!$B$77*12),DG49*DG56*'Вводные'!$B$78/12,0)),0)</x:f>
      </x:c>
      <x:c r="DH52" s="117" t="n">
        <x:f>IF(AND('Вводные'!$B$75&lt;&gt;"Единовременно",'Вводные'!$B$80="Да",DH49&gt;0),IF(AND('Вводные'!$B$84="Да",YEAR(DH$3)=YEAR($B$47),MONTH(DH$3)=MONTH($B$47)),DH49*DH56/12,IF(AND((12*(YEAR(DH$3)-YEAR($B$46))+MONTH(DH$3)-MONTH($B$46))&gt;0,MOD((12*(YEAR(DH$3)-YEAR($B$46))+MONTH(DH$3)-MONTH($B$46)),'Вводные'!$B$78)=0,(12*(YEAR(DH$3)-YEAR($B$46))+MONTH(DH$3)-MONTH($B$46))&lt;='Вводные'!$B$77*12),DH49*DH56*'Вводные'!$B$78/12,0)),0)</x:f>
      </x:c>
      <x:c r="DI52" s="117" t="n">
        <x:f>IF(AND('Вводные'!$B$75&lt;&gt;"Единовременно",'Вводные'!$B$80="Да",DI49&gt;0),IF(AND('Вводные'!$B$84="Да",YEAR(DI$3)=YEAR($B$47),MONTH(DI$3)=MONTH($B$47)),DI49*DI56/12,IF(AND((12*(YEAR(DI$3)-YEAR($B$46))+MONTH(DI$3)-MONTH($B$46))&gt;0,MOD((12*(YEAR(DI$3)-YEAR($B$46))+MONTH(DI$3)-MONTH($B$46)),'Вводные'!$B$78)=0,(12*(YEAR(DI$3)-YEAR($B$46))+MONTH(DI$3)-MONTH($B$46))&lt;='Вводные'!$B$77*12),DI49*DI56*'Вводные'!$B$78/12,0)),0)</x:f>
      </x:c>
      <x:c r="DJ52" s="117" t="n">
        <x:f>IF(AND('Вводные'!$B$75&lt;&gt;"Единовременно",'Вводные'!$B$80="Да",DJ49&gt;0),IF(AND('Вводные'!$B$84="Да",YEAR(DJ$3)=YEAR($B$47),MONTH(DJ$3)=MONTH($B$47)),DJ49*DJ56/12,IF(AND((12*(YEAR(DJ$3)-YEAR($B$46))+MONTH(DJ$3)-MONTH($B$46))&gt;0,MOD((12*(YEAR(DJ$3)-YEAR($B$46))+MONTH(DJ$3)-MONTH($B$46)),'Вводные'!$B$78)=0,(12*(YEAR(DJ$3)-YEAR($B$46))+MONTH(DJ$3)-MONTH($B$46))&lt;='Вводные'!$B$77*12),DJ49*DJ56*'Вводные'!$B$78/12,0)),0)</x:f>
      </x:c>
      <x:c r="DK52" s="117" t="n">
        <x:f>IF(AND('Вводные'!$B$75&lt;&gt;"Единовременно",'Вводные'!$B$80="Да",DK49&gt;0),IF(AND('Вводные'!$B$84="Да",YEAR(DK$3)=YEAR($B$47),MONTH(DK$3)=MONTH($B$47)),DK49*DK56/12,IF(AND((12*(YEAR(DK$3)-YEAR($B$46))+MONTH(DK$3)-MONTH($B$46))&gt;0,MOD((12*(YEAR(DK$3)-YEAR($B$46))+MONTH(DK$3)-MONTH($B$46)),'Вводные'!$B$78)=0,(12*(YEAR(DK$3)-YEAR($B$46))+MONTH(DK$3)-MONTH($B$46))&lt;='Вводные'!$B$77*12),DK49*DK56*'Вводные'!$B$78/12,0)),0)</x:f>
      </x:c>
      <x:c r="DL52" s="117" t="n">
        <x:f>IF(AND('Вводные'!$B$75&lt;&gt;"Единовременно",'Вводные'!$B$80="Да",DL49&gt;0),IF(AND('Вводные'!$B$84="Да",YEAR(DL$3)=YEAR($B$47),MONTH(DL$3)=MONTH($B$47)),DL49*DL56/12,IF(AND((12*(YEAR(DL$3)-YEAR($B$46))+MONTH(DL$3)-MONTH($B$46))&gt;0,MOD((12*(YEAR(DL$3)-YEAR($B$46))+MONTH(DL$3)-MONTH($B$46)),'Вводные'!$B$78)=0,(12*(YEAR(DL$3)-YEAR($B$46))+MONTH(DL$3)-MONTH($B$46))&lt;='Вводные'!$B$77*12),DL49*DL56*'Вводные'!$B$78/12,0)),0)</x:f>
      </x:c>
      <x:c r="DM52" s="117" t="n">
        <x:f>IF(AND('Вводные'!$B$75&lt;&gt;"Единовременно",'Вводные'!$B$80="Да",DM49&gt;0),IF(AND('Вводные'!$B$84="Да",YEAR(DM$3)=YEAR($B$47),MONTH(DM$3)=MONTH($B$47)),DM49*DM56/12,IF(AND((12*(YEAR(DM$3)-YEAR($B$46))+MONTH(DM$3)-MONTH($B$46))&gt;0,MOD((12*(YEAR(DM$3)-YEAR($B$46))+MONTH(DM$3)-MONTH($B$46)),'Вводные'!$B$78)=0,(12*(YEAR(DM$3)-YEAR($B$46))+MONTH(DM$3)-MONTH($B$46))&lt;='Вводные'!$B$77*12),DM49*DM56*'Вводные'!$B$78/12,0)),0)</x:f>
      </x:c>
      <x:c r="DN52" s="117" t="n">
        <x:f>IF(AND('Вводные'!$B$75&lt;&gt;"Единовременно",'Вводные'!$B$80="Да",DN49&gt;0),IF(AND('Вводные'!$B$84="Да",YEAR(DN$3)=YEAR($B$47),MONTH(DN$3)=MONTH($B$47)),DN49*DN56/12,IF(AND((12*(YEAR(DN$3)-YEAR($B$46))+MONTH(DN$3)-MONTH($B$46))&gt;0,MOD((12*(YEAR(DN$3)-YEAR($B$46))+MONTH(DN$3)-MONTH($B$46)),'Вводные'!$B$78)=0,(12*(YEAR(DN$3)-YEAR($B$46))+MONTH(DN$3)-MONTH($B$46))&lt;='Вводные'!$B$77*12),DN49*DN56*'Вводные'!$B$78/12,0)),0)</x:f>
      </x:c>
      <x:c r="DO52" s="117" t="n">
        <x:f>IF(AND('Вводные'!$B$75&lt;&gt;"Единовременно",'Вводные'!$B$80="Да",DO49&gt;0),IF(AND('Вводные'!$B$84="Да",YEAR(DO$3)=YEAR($B$47),MONTH(DO$3)=MONTH($B$47)),DO49*DO56/12,IF(AND((12*(YEAR(DO$3)-YEAR($B$46))+MONTH(DO$3)-MONTH($B$46))&gt;0,MOD((12*(YEAR(DO$3)-YEAR($B$46))+MONTH(DO$3)-MONTH($B$46)),'Вводные'!$B$78)=0,(12*(YEAR(DO$3)-YEAR($B$46))+MONTH(DO$3)-MONTH($B$46))&lt;='Вводные'!$B$77*12),DO49*DO56*'Вводные'!$B$78/12,0)),0)</x:f>
      </x:c>
      <x:c r="DP52" s="117" t="n">
        <x:f>IF(AND('Вводные'!$B$75&lt;&gt;"Единовременно",'Вводные'!$B$80="Да",DP49&gt;0),IF(AND('Вводные'!$B$84="Да",YEAR(DP$3)=YEAR($B$47),MONTH(DP$3)=MONTH($B$47)),DP49*DP56/12,IF(AND((12*(YEAR(DP$3)-YEAR($B$46))+MONTH(DP$3)-MONTH($B$46))&gt;0,MOD((12*(YEAR(DP$3)-YEAR($B$46))+MONTH(DP$3)-MONTH($B$46)),'Вводные'!$B$78)=0,(12*(YEAR(DP$3)-YEAR($B$46))+MONTH(DP$3)-MONTH($B$46))&lt;='Вводные'!$B$77*12),DP49*DP56*'Вводные'!$B$78/12,0)),0)</x:f>
      </x:c>
      <x:c r="DQ52" s="117" t="n">
        <x:f>IF(AND('Вводные'!$B$75&lt;&gt;"Единовременно",'Вводные'!$B$80="Да",DQ49&gt;0),IF(AND('Вводные'!$B$84="Да",YEAR(DQ$3)=YEAR($B$47),MONTH(DQ$3)=MONTH($B$47)),DQ49*DQ56/12,IF(AND((12*(YEAR(DQ$3)-YEAR($B$46))+MONTH(DQ$3)-MONTH($B$46))&gt;0,MOD((12*(YEAR(DQ$3)-YEAR($B$46))+MONTH(DQ$3)-MONTH($B$46)),'Вводные'!$B$78)=0,(12*(YEAR(DQ$3)-YEAR($B$46))+MONTH(DQ$3)-MONTH($B$46))&lt;='Вводные'!$B$77*12),DQ49*DQ56*'Вводные'!$B$78/12,0)),0)</x:f>
      </x:c>
      <x:c r="DR52" s="117" t="n">
        <x:f>IF(AND('Вводные'!$B$75&lt;&gt;"Единовременно",'Вводные'!$B$80="Да",DR49&gt;0),IF(AND('Вводные'!$B$84="Да",YEAR(DR$3)=YEAR($B$47),MONTH(DR$3)=MONTH($B$47)),DR49*DR56/12,IF(AND((12*(YEAR(DR$3)-YEAR($B$46))+MONTH(DR$3)-MONTH($B$46))&gt;0,MOD((12*(YEAR(DR$3)-YEAR($B$46))+MONTH(DR$3)-MONTH($B$46)),'Вводные'!$B$78)=0,(12*(YEAR(DR$3)-YEAR($B$46))+MONTH(DR$3)-MONTH($B$46))&lt;='Вводные'!$B$77*12),DR49*DR56*'Вводные'!$B$78/12,0)),0)</x:f>
      </x:c>
      <x:c r="DS52" s="117" t="n">
        <x:f>IF(AND('Вводные'!$B$75&lt;&gt;"Единовременно",'Вводные'!$B$80="Да",DS49&gt;0),IF(AND('Вводные'!$B$84="Да",YEAR(DS$3)=YEAR($B$47),MONTH(DS$3)=MONTH($B$47)),DS49*DS56/12,IF(AND((12*(YEAR(DS$3)-YEAR($B$46))+MONTH(DS$3)-MONTH($B$46))&gt;0,MOD((12*(YEAR(DS$3)-YEAR($B$46))+MONTH(DS$3)-MONTH($B$46)),'Вводные'!$B$78)=0,(12*(YEAR(DS$3)-YEAR($B$46))+MONTH(DS$3)-MONTH($B$46))&lt;='Вводные'!$B$77*12),DS49*DS56*'Вводные'!$B$78/12,0)),0)</x:f>
      </x:c>
      <x:c r="DT52" s="117" t="n">
        <x:f>IF(AND('Вводные'!$B$75&lt;&gt;"Единовременно",'Вводные'!$B$80="Да",DT49&gt;0),IF(AND('Вводные'!$B$84="Да",YEAR(DT$3)=YEAR($B$47),MONTH(DT$3)=MONTH($B$47)),DT49*DT56/12,IF(AND((12*(YEAR(DT$3)-YEAR($B$46))+MONTH(DT$3)-MONTH($B$46))&gt;0,MOD((12*(YEAR(DT$3)-YEAR($B$46))+MONTH(DT$3)-MONTH($B$46)),'Вводные'!$B$78)=0,(12*(YEAR(DT$3)-YEAR($B$46))+MONTH(DT$3)-MONTH($B$46))&lt;='Вводные'!$B$77*12),DT49*DT56*'Вводные'!$B$78/12,0)),0)</x:f>
      </x:c>
      <x:c r="DU52" s="117" t="n">
        <x:f>IF(AND('Вводные'!$B$75&lt;&gt;"Единовременно",'Вводные'!$B$80="Да",DU49&gt;0),IF(AND('Вводные'!$B$84="Да",YEAR(DU$3)=YEAR($B$47),MONTH(DU$3)=MONTH($B$47)),DU49*DU56/12,IF(AND((12*(YEAR(DU$3)-YEAR($B$46))+MONTH(DU$3)-MONTH($B$46))&gt;0,MOD((12*(YEAR(DU$3)-YEAR($B$46))+MONTH(DU$3)-MONTH($B$46)),'Вводные'!$B$78)=0,(12*(YEAR(DU$3)-YEAR($B$46))+MONTH(DU$3)-MONTH($B$46))&lt;='Вводные'!$B$77*12),DU49*DU56*'Вводные'!$B$78/12,0)),0)</x:f>
      </x:c>
      <x:c r="DV52" s="117" t="n">
        <x:f>IF(AND('Вводные'!$B$75&lt;&gt;"Единовременно",'Вводные'!$B$80="Да",DV49&gt;0),IF(AND('Вводные'!$B$84="Да",YEAR(DV$3)=YEAR($B$47),MONTH(DV$3)=MONTH($B$47)),DV49*DV56/12,IF(AND((12*(YEAR(DV$3)-YEAR($B$46))+MONTH(DV$3)-MONTH($B$46))&gt;0,MOD((12*(YEAR(DV$3)-YEAR($B$46))+MONTH(DV$3)-MONTH($B$46)),'Вводные'!$B$78)=0,(12*(YEAR(DV$3)-YEAR($B$46))+MONTH(DV$3)-MONTH($B$46))&lt;='Вводные'!$B$77*12),DV49*DV56*'Вводные'!$B$78/12,0)),0)</x:f>
      </x:c>
      <x:c r="DW52" s="117" t="n">
        <x:f>IF(AND('Вводные'!$B$75&lt;&gt;"Единовременно",'Вводные'!$B$80="Да",DW49&gt;0),IF(AND('Вводные'!$B$84="Да",YEAR(DW$3)=YEAR($B$47),MONTH(DW$3)=MONTH($B$47)),DW49*DW56/12,IF(AND((12*(YEAR(DW$3)-YEAR($B$46))+MONTH(DW$3)-MONTH($B$46))&gt;0,MOD((12*(YEAR(DW$3)-YEAR($B$46))+MONTH(DW$3)-MONTH($B$46)),'Вводные'!$B$78)=0,(12*(YEAR(DW$3)-YEAR($B$46))+MONTH(DW$3)-MONTH($B$46))&lt;='Вводные'!$B$77*12),DW49*DW56*'Вводные'!$B$78/12,0)),0)</x:f>
      </x:c>
      <x:c r="DX52" s="117" t="n">
        <x:f>IF(AND('Вводные'!$B$75&lt;&gt;"Единовременно",'Вводные'!$B$80="Да",DX49&gt;0),IF(AND('Вводные'!$B$84="Да",YEAR(DX$3)=YEAR($B$47),MONTH(DX$3)=MONTH($B$47)),DX49*DX56/12,IF(AND((12*(YEAR(DX$3)-YEAR($B$46))+MONTH(DX$3)-MONTH($B$46))&gt;0,MOD((12*(YEAR(DX$3)-YEAR($B$46))+MONTH(DX$3)-MONTH($B$46)),'Вводные'!$B$78)=0,(12*(YEAR(DX$3)-YEAR($B$46))+MONTH(DX$3)-MONTH($B$46))&lt;='Вводные'!$B$77*12),DX49*DX56*'Вводные'!$B$78/12,0)),0)</x:f>
      </x:c>
      <x:c r="DY52" s="117" t="n">
        <x:f>IF(AND('Вводные'!$B$75&lt;&gt;"Единовременно",'Вводные'!$B$80="Да",DY49&gt;0),IF(AND('Вводные'!$B$84="Да",YEAR(DY$3)=YEAR($B$47),MONTH(DY$3)=MONTH($B$47)),DY49*DY56/12,IF(AND((12*(YEAR(DY$3)-YEAR($B$46))+MONTH(DY$3)-MONTH($B$46))&gt;0,MOD((12*(YEAR(DY$3)-YEAR($B$46))+MONTH(DY$3)-MONTH($B$46)),'Вводные'!$B$78)=0,(12*(YEAR(DY$3)-YEAR($B$46))+MONTH(DY$3)-MONTH($B$46))&lt;='Вводные'!$B$77*12),DY49*DY56*'Вводные'!$B$78/12,0)),0)</x:f>
      </x:c>
      <x:c r="DZ52" s="117" t="n">
        <x:f>IF(AND('Вводные'!$B$75&lt;&gt;"Единовременно",'Вводные'!$B$80="Да",DZ49&gt;0),IF(AND('Вводные'!$B$84="Да",YEAR(DZ$3)=YEAR($B$47),MONTH(DZ$3)=MONTH($B$47)),DZ49*DZ56/12,IF(AND((12*(YEAR(DZ$3)-YEAR($B$46))+MONTH(DZ$3)-MONTH($B$46))&gt;0,MOD((12*(YEAR(DZ$3)-YEAR($B$46))+MONTH(DZ$3)-MONTH($B$46)),'Вводные'!$B$78)=0,(12*(YEAR(DZ$3)-YEAR($B$46))+MONTH(DZ$3)-MONTH($B$46))&lt;='Вводные'!$B$77*12),DZ49*DZ56*'Вводные'!$B$78/12,0)),0)</x:f>
      </x:c>
      <x:c r="EA52" s="117" t="n">
        <x:f>IF(AND('Вводные'!$B$75&lt;&gt;"Единовременно",'Вводные'!$B$80="Да",EA49&gt;0),IF(AND('Вводные'!$B$84="Да",YEAR(EA$3)=YEAR($B$47),MONTH(EA$3)=MONTH($B$47)),EA49*EA56/12,IF(AND((12*(YEAR(EA$3)-YEAR($B$46))+MONTH(EA$3)-MONTH($B$46))&gt;0,MOD((12*(YEAR(EA$3)-YEAR($B$46))+MONTH(EA$3)-MONTH($B$46)),'Вводные'!$B$78)=0,(12*(YEAR(EA$3)-YEAR($B$46))+MONTH(EA$3)-MONTH($B$46))&lt;='Вводные'!$B$77*12),EA49*EA56*'Вводные'!$B$78/12,0)),0)</x:f>
      </x:c>
      <x:c r="EB52" s="117" t="n">
        <x:f>IF(AND('Вводные'!$B$75&lt;&gt;"Единовременно",'Вводные'!$B$80="Да",EB49&gt;0),IF(AND('Вводные'!$B$84="Да",YEAR(EB$3)=YEAR($B$47),MONTH(EB$3)=MONTH($B$47)),EB49*EB56/12,IF(AND((12*(YEAR(EB$3)-YEAR($B$46))+MONTH(EB$3)-MONTH($B$46))&gt;0,MOD((12*(YEAR(EB$3)-YEAR($B$46))+MONTH(EB$3)-MONTH($B$46)),'Вводные'!$B$78)=0,(12*(YEAR(EB$3)-YEAR($B$46))+MONTH(EB$3)-MONTH($B$46))&lt;='Вводные'!$B$77*12),EB49*EB56*'Вводные'!$B$78/12,0)),0)</x:f>
      </x:c>
      <x:c r="EC52" s="117" t="n">
        <x:f>IF(AND('Вводные'!$B$75&lt;&gt;"Единовременно",'Вводные'!$B$80="Да",EC49&gt;0),IF(AND('Вводные'!$B$84="Да",YEAR(EC$3)=YEAR($B$47),MONTH(EC$3)=MONTH($B$47)),EC49*EC56/12,IF(AND((12*(YEAR(EC$3)-YEAR($B$46))+MONTH(EC$3)-MONTH($B$46))&gt;0,MOD((12*(YEAR(EC$3)-YEAR($B$46))+MONTH(EC$3)-MONTH($B$46)),'Вводные'!$B$78)=0,(12*(YEAR(EC$3)-YEAR($B$46))+MONTH(EC$3)-MONTH($B$46))&lt;='Вводные'!$B$77*12),EC49*EC56*'Вводные'!$B$78/12,0)),0)</x:f>
      </x:c>
      <x:c r="ED52" s="117" t="n">
        <x:f>IF(AND('Вводные'!$B$75&lt;&gt;"Единовременно",'Вводные'!$B$80="Да",ED49&gt;0),IF(AND('Вводные'!$B$84="Да",YEAR(ED$3)=YEAR($B$47),MONTH(ED$3)=MONTH($B$47)),ED49*ED56/12,IF(AND((12*(YEAR(ED$3)-YEAR($B$46))+MONTH(ED$3)-MONTH($B$46))&gt;0,MOD((12*(YEAR(ED$3)-YEAR($B$46))+MONTH(ED$3)-MONTH($B$46)),'Вводные'!$B$78)=0,(12*(YEAR(ED$3)-YEAR($B$46))+MONTH(ED$3)-MONTH($B$46))&lt;='Вводные'!$B$77*12),ED49*ED56*'Вводные'!$B$78/12,0)),0)</x:f>
      </x:c>
      <x:c r="EE52" s="117" t="n">
        <x:f>IF(AND('Вводные'!$B$75&lt;&gt;"Единовременно",'Вводные'!$B$80="Да",EE49&gt;0),IF(AND('Вводные'!$B$84="Да",YEAR(EE$3)=YEAR($B$47),MONTH(EE$3)=MONTH($B$47)),EE49*EE56/12,IF(AND((12*(YEAR(EE$3)-YEAR($B$46))+MONTH(EE$3)-MONTH($B$46))&gt;0,MOD((12*(YEAR(EE$3)-YEAR($B$46))+MONTH(EE$3)-MONTH($B$46)),'Вводные'!$B$78)=0,(12*(YEAR(EE$3)-YEAR($B$46))+MONTH(EE$3)-MONTH($B$46))&lt;='Вводные'!$B$77*12),EE49*EE56*'Вводные'!$B$78/12,0)),0)</x:f>
      </x:c>
      <x:c r="EF52" s="117" t="n">
        <x:f>IF(AND('Вводные'!$B$75&lt;&gt;"Единовременно",'Вводные'!$B$80="Да",EF49&gt;0),IF(AND('Вводные'!$B$84="Да",YEAR(EF$3)=YEAR($B$47),MONTH(EF$3)=MONTH($B$47)),EF49*EF56/12,IF(AND((12*(YEAR(EF$3)-YEAR($B$46))+MONTH(EF$3)-MONTH($B$46))&gt;0,MOD((12*(YEAR(EF$3)-YEAR($B$46))+MONTH(EF$3)-MONTH($B$46)),'Вводные'!$B$78)=0,(12*(YEAR(EF$3)-YEAR($B$46))+MONTH(EF$3)-MONTH($B$46))&lt;='Вводные'!$B$77*12),EF49*EF56*'Вводные'!$B$78/12,0)),0)</x:f>
      </x:c>
      <x:c r="EG52" s="117" t="n">
        <x:f>IF(AND('Вводные'!$B$75&lt;&gt;"Единовременно",'Вводные'!$B$80="Да",EG49&gt;0),IF(AND('Вводные'!$B$84="Да",YEAR(EG$3)=YEAR($B$47),MONTH(EG$3)=MONTH($B$47)),EG49*EG56/12,IF(AND((12*(YEAR(EG$3)-YEAR($B$46))+MONTH(EG$3)-MONTH($B$46))&gt;0,MOD((12*(YEAR(EG$3)-YEAR($B$46))+MONTH(EG$3)-MONTH($B$46)),'Вводные'!$B$78)=0,(12*(YEAR(EG$3)-YEAR($B$46))+MONTH(EG$3)-MONTH($B$46))&lt;='Вводные'!$B$77*12),EG49*EG56*'Вводные'!$B$78/12,0)),0)</x:f>
      </x:c>
      <x:c r="EH52" s="117" t="n">
        <x:f>IF(AND('Вводные'!$B$75&lt;&gt;"Единовременно",'Вводные'!$B$80="Да",EH49&gt;0),IF(AND('Вводные'!$B$84="Да",YEAR(EH$3)=YEAR($B$47),MONTH(EH$3)=MONTH($B$47)),EH49*EH56/12,IF(AND((12*(YEAR(EH$3)-YEAR($B$46))+MONTH(EH$3)-MONTH($B$46))&gt;0,MOD((12*(YEAR(EH$3)-YEAR($B$46))+MONTH(EH$3)-MONTH($B$46)),'Вводные'!$B$78)=0,(12*(YEAR(EH$3)-YEAR($B$46))+MONTH(EH$3)-MONTH($B$46))&lt;='Вводные'!$B$77*12),EH49*EH56*'Вводные'!$B$78/12,0)),0)</x:f>
      </x:c>
      <x:c r="EI52" s="117" t="n">
        <x:f>IF(AND('Вводные'!$B$75&lt;&gt;"Единовременно",'Вводные'!$B$80="Да",EI49&gt;0),IF(AND('Вводные'!$B$84="Да",YEAR(EI$3)=YEAR($B$47),MONTH(EI$3)=MONTH($B$47)),EI49*EI56/12,IF(AND((12*(YEAR(EI$3)-YEAR($B$46))+MONTH(EI$3)-MONTH($B$46))&gt;0,MOD((12*(YEAR(EI$3)-YEAR($B$46))+MONTH(EI$3)-MONTH($B$46)),'Вводные'!$B$78)=0,(12*(YEAR(EI$3)-YEAR($B$46))+MONTH(EI$3)-MONTH($B$46))&lt;='Вводные'!$B$77*12),EI49*EI56*'Вводные'!$B$78/12,0)),0)</x:f>
      </x:c>
      <x:c r="EJ52" s="117" t="n">
        <x:f>IF(AND('Вводные'!$B$75&lt;&gt;"Единовременно",'Вводные'!$B$80="Да",EJ49&gt;0),IF(AND('Вводные'!$B$84="Да",YEAR(EJ$3)=YEAR($B$47),MONTH(EJ$3)=MONTH($B$47)),EJ49*EJ56/12,IF(AND((12*(YEAR(EJ$3)-YEAR($B$46))+MONTH(EJ$3)-MONTH($B$46))&gt;0,MOD((12*(YEAR(EJ$3)-YEAR($B$46))+MONTH(EJ$3)-MONTH($B$46)),'Вводные'!$B$78)=0,(12*(YEAR(EJ$3)-YEAR($B$46))+MONTH(EJ$3)-MONTH($B$46))&lt;='Вводные'!$B$77*12),EJ49*EJ56*'Вводные'!$B$78/12,0)),0)</x:f>
      </x:c>
      <x:c r="EK52" s="117" t="n">
        <x:f>IF(AND('Вводные'!$B$75&lt;&gt;"Единовременно",'Вводные'!$B$80="Да",EK49&gt;0),IF(AND('Вводные'!$B$84="Да",YEAR(EK$3)=YEAR($B$47),MONTH(EK$3)=MONTH($B$47)),EK49*EK56/12,IF(AND((12*(YEAR(EK$3)-YEAR($B$46))+MONTH(EK$3)-MONTH($B$46))&gt;0,MOD((12*(YEAR(EK$3)-YEAR($B$46))+MONTH(EK$3)-MONTH($B$46)),'Вводные'!$B$78)=0,(12*(YEAR(EK$3)-YEAR($B$46))+MONTH(EK$3)-MONTH($B$46))&lt;='Вводные'!$B$77*12),EK49*EK56*'Вводные'!$B$78/12,0)),0)</x:f>
      </x:c>
      <x:c r="EL52" s="117" t="n">
        <x:f>IF(AND('Вводные'!$B$75&lt;&gt;"Единовременно",'Вводные'!$B$80="Да",EL49&gt;0),IF(AND('Вводные'!$B$84="Да",YEAR(EL$3)=YEAR($B$47),MONTH(EL$3)=MONTH($B$47)),EL49*EL56/12,IF(AND((12*(YEAR(EL$3)-YEAR($B$46))+MONTH(EL$3)-MONTH($B$46))&gt;0,MOD((12*(YEAR(EL$3)-YEAR($B$46))+MONTH(EL$3)-MONTH($B$46)),'Вводные'!$B$78)=0,(12*(YEAR(EL$3)-YEAR($B$46))+MONTH(EL$3)-MONTH($B$46))&lt;='Вводные'!$B$77*12),EL49*EL56*'Вводные'!$B$78/12,0)),0)</x:f>
      </x:c>
      <x:c r="EM52" s="117" t="n">
        <x:f>IF(AND('Вводные'!$B$75&lt;&gt;"Единовременно",'Вводные'!$B$80="Да",EM49&gt;0),IF(AND('Вводные'!$B$84="Да",YEAR(EM$3)=YEAR($B$47),MONTH(EM$3)=MONTH($B$47)),EM49*EM56/12,IF(AND((12*(YEAR(EM$3)-YEAR($B$46))+MONTH(EM$3)-MONTH($B$46))&gt;0,MOD((12*(YEAR(EM$3)-YEAR($B$46))+MONTH(EM$3)-MONTH($B$46)),'Вводные'!$B$78)=0,(12*(YEAR(EM$3)-YEAR($B$46))+MONTH(EM$3)-MONTH($B$46))&lt;='Вводные'!$B$77*12),EM49*EM56*'Вводные'!$B$78/12,0)),0)</x:f>
      </x:c>
      <x:c r="EN52" s="117" t="n">
        <x:f>IF(AND('Вводные'!$B$75&lt;&gt;"Единовременно",'Вводные'!$B$80="Да",EN49&gt;0),IF(AND('Вводные'!$B$84="Да",YEAR(EN$3)=YEAR($B$47),MONTH(EN$3)=MONTH($B$47)),EN49*EN56/12,IF(AND((12*(YEAR(EN$3)-YEAR($B$46))+MONTH(EN$3)-MONTH($B$46))&gt;0,MOD((12*(YEAR(EN$3)-YEAR($B$46))+MONTH(EN$3)-MONTH($B$46)),'Вводные'!$B$78)=0,(12*(YEAR(EN$3)-YEAR($B$46))+MONTH(EN$3)-MONTH($B$46))&lt;='Вводные'!$B$77*12),EN49*EN56*'Вводные'!$B$78/12,0)),0)</x:f>
      </x:c>
      <x:c r="EO52" s="117" t="n">
        <x:f>IF(AND('Вводные'!$B$75&lt;&gt;"Единовременно",'Вводные'!$B$80="Да",EO49&gt;0),IF(AND('Вводные'!$B$84="Да",YEAR(EO$3)=YEAR($B$47),MONTH(EO$3)=MONTH($B$47)),EO49*EO56/12,IF(AND((12*(YEAR(EO$3)-YEAR($B$46))+MONTH(EO$3)-MONTH($B$46))&gt;0,MOD((12*(YEAR(EO$3)-YEAR($B$46))+MONTH(EO$3)-MONTH($B$46)),'Вводные'!$B$78)=0,(12*(YEAR(EO$3)-YEAR($B$46))+MONTH(EO$3)-MONTH($B$46))&lt;='Вводные'!$B$77*12),EO49*EO56*'Вводные'!$B$78/12,0)),0)</x:f>
      </x:c>
      <x:c r="EP52" s="117" t="n">
        <x:f>IF(AND('Вводные'!$B$75&lt;&gt;"Единовременно",'Вводные'!$B$80="Да",EP49&gt;0),IF(AND('Вводные'!$B$84="Да",YEAR(EP$3)=YEAR($B$47),MONTH(EP$3)=MONTH($B$47)),EP49*EP56/12,IF(AND((12*(YEAR(EP$3)-YEAR($B$46))+MONTH(EP$3)-MONTH($B$46))&gt;0,MOD((12*(YEAR(EP$3)-YEAR($B$46))+MONTH(EP$3)-MONTH($B$46)),'Вводные'!$B$78)=0,(12*(YEAR(EP$3)-YEAR($B$46))+MONTH(EP$3)-MONTH($B$46))&lt;='Вводные'!$B$77*12),EP49*EP56*'Вводные'!$B$78/12,0)),0)</x:f>
      </x:c>
      <x:c r="EQ52" s="117" t="n">
        <x:f>IF(AND('Вводные'!$B$75&lt;&gt;"Единовременно",'Вводные'!$B$80="Да",EQ49&gt;0),IF(AND('Вводные'!$B$84="Да",YEAR(EQ$3)=YEAR($B$47),MONTH(EQ$3)=MONTH($B$47)),EQ49*EQ56/12,IF(AND((12*(YEAR(EQ$3)-YEAR($B$46))+MONTH(EQ$3)-MONTH($B$46))&gt;0,MOD((12*(YEAR(EQ$3)-YEAR($B$46))+MONTH(EQ$3)-MONTH($B$46)),'Вводные'!$B$78)=0,(12*(YEAR(EQ$3)-YEAR($B$46))+MONTH(EQ$3)-MONTH($B$46))&lt;='Вводные'!$B$77*12),EQ49*EQ56*'Вводные'!$B$78/12,0)),0)</x:f>
      </x:c>
      <x:c r="ER52" s="117" t="n">
        <x:f>IF(AND('Вводные'!$B$75&lt;&gt;"Единовременно",'Вводные'!$B$80="Да",ER49&gt;0),IF(AND('Вводные'!$B$84="Да",YEAR(ER$3)=YEAR($B$47),MONTH(ER$3)=MONTH($B$47)),ER49*ER56/12,IF(AND((12*(YEAR(ER$3)-YEAR($B$46))+MONTH(ER$3)-MONTH($B$46))&gt;0,MOD((12*(YEAR(ER$3)-YEAR($B$46))+MONTH(ER$3)-MONTH($B$46)),'Вводные'!$B$78)=0,(12*(YEAR(ER$3)-YEAR($B$46))+MONTH(ER$3)-MONTH($B$46))&lt;='Вводные'!$B$77*12),ER49*ER56*'Вводные'!$B$78/12,0)),0)</x:f>
      </x:c>
      <x:c r="ES52" s="117" t="n">
        <x:f>IF(AND('Вводные'!$B$75&lt;&gt;"Единовременно",'Вводные'!$B$80="Да",ES49&gt;0),IF(AND('Вводные'!$B$84="Да",YEAR(ES$3)=YEAR($B$47),MONTH(ES$3)=MONTH($B$47)),ES49*ES56/12,IF(AND((12*(YEAR(ES$3)-YEAR($B$46))+MONTH(ES$3)-MONTH($B$46))&gt;0,MOD((12*(YEAR(ES$3)-YEAR($B$46))+MONTH(ES$3)-MONTH($B$46)),'Вводные'!$B$78)=0,(12*(YEAR(ES$3)-YEAR($B$46))+MONTH(ES$3)-MONTH($B$46))&lt;='Вводные'!$B$77*12),ES49*ES56*'Вводные'!$B$78/12,0)),0)</x:f>
      </x:c>
      <x:c r="ET52" s="117" t="n">
        <x:f>IF(AND('Вводные'!$B$75&lt;&gt;"Единовременно",'Вводные'!$B$80="Да",ET49&gt;0),IF(AND('Вводные'!$B$84="Да",YEAR(ET$3)=YEAR($B$47),MONTH(ET$3)=MONTH($B$47)),ET49*ET56/12,IF(AND((12*(YEAR(ET$3)-YEAR($B$46))+MONTH(ET$3)-MONTH($B$46))&gt;0,MOD((12*(YEAR(ET$3)-YEAR($B$46))+MONTH(ET$3)-MONTH($B$46)),'Вводные'!$B$78)=0,(12*(YEAR(ET$3)-YEAR($B$46))+MONTH(ET$3)-MONTH($B$46))&lt;='Вводные'!$B$77*12),ET49*ET56*'Вводные'!$B$78/12,0)),0)</x:f>
      </x:c>
      <x:c r="EU52" s="117" t="n">
        <x:f>IF(AND('Вводные'!$B$75&lt;&gt;"Единовременно",'Вводные'!$B$80="Да",EU49&gt;0),IF(AND('Вводные'!$B$84="Да",YEAR(EU$3)=YEAR($B$47),MONTH(EU$3)=MONTH($B$47)),EU49*EU56/12,IF(AND((12*(YEAR(EU$3)-YEAR($B$46))+MONTH(EU$3)-MONTH($B$46))&gt;0,MOD((12*(YEAR(EU$3)-YEAR($B$46))+MONTH(EU$3)-MONTH($B$46)),'Вводные'!$B$78)=0,(12*(YEAR(EU$3)-YEAR($B$46))+MONTH(EU$3)-MONTH($B$46))&lt;='Вводные'!$B$77*12),EU49*EU56*'Вводные'!$B$78/12,0)),0)</x:f>
      </x:c>
      <x:c r="EV52" s="117" t="n">
        <x:f>IF(AND('Вводные'!$B$75&lt;&gt;"Единовременно",'Вводные'!$B$80="Да",EV49&gt;0),IF(AND('Вводные'!$B$84="Да",YEAR(EV$3)=YEAR($B$47),MONTH(EV$3)=MONTH($B$47)),EV49*EV56/12,IF(AND((12*(YEAR(EV$3)-YEAR($B$46))+MONTH(EV$3)-MONTH($B$46))&gt;0,MOD((12*(YEAR(EV$3)-YEAR($B$46))+MONTH(EV$3)-MONTH($B$46)),'Вводные'!$B$78)=0,(12*(YEAR(EV$3)-YEAR($B$46))+MONTH(EV$3)-MONTH($B$46))&lt;='Вводные'!$B$77*12),EV49*EV56*'Вводные'!$B$78/12,0)),0)</x:f>
      </x:c>
      <x:c r="EW52" s="117" t="n">
        <x:f>IF(AND('Вводные'!$B$75&lt;&gt;"Единовременно",'Вводные'!$B$80="Да",EW49&gt;0),IF(AND('Вводные'!$B$84="Да",YEAR(EW$3)=YEAR($B$47),MONTH(EW$3)=MONTH($B$47)),EW49*EW56/12,IF(AND((12*(YEAR(EW$3)-YEAR($B$46))+MONTH(EW$3)-MONTH($B$46))&gt;0,MOD((12*(YEAR(EW$3)-YEAR($B$46))+MONTH(EW$3)-MONTH($B$46)),'Вводные'!$B$78)=0,(12*(YEAR(EW$3)-YEAR($B$46))+MONTH(EW$3)-MONTH($B$46))&lt;='Вводные'!$B$77*12),EW49*EW56*'Вводные'!$B$78/12,0)),0)</x:f>
      </x:c>
      <x:c r="EX52" s="117" t="n">
        <x:f>IF(AND('Вводные'!$B$75&lt;&gt;"Единовременно",'Вводные'!$B$80="Да",EX49&gt;0),IF(AND('Вводные'!$B$84="Да",YEAR(EX$3)=YEAR($B$47),MONTH(EX$3)=MONTH($B$47)),EX49*EX56/12,IF(AND((12*(YEAR(EX$3)-YEAR($B$46))+MONTH(EX$3)-MONTH($B$46))&gt;0,MOD((12*(YEAR(EX$3)-YEAR($B$46))+MONTH(EX$3)-MONTH($B$46)),'Вводные'!$B$78)=0,(12*(YEAR(EX$3)-YEAR($B$46))+MONTH(EX$3)-MONTH($B$46))&lt;='Вводные'!$B$77*12),EX49*EX56*'Вводные'!$B$78/12,0)),0)</x:f>
      </x:c>
      <x:c r="EY52" s="117" t="n">
        <x:f>IF(AND('Вводные'!$B$75&lt;&gt;"Единовременно",'Вводные'!$B$80="Да",EY49&gt;0),IF(AND('Вводные'!$B$84="Да",YEAR(EY$3)=YEAR($B$47),MONTH(EY$3)=MONTH($B$47)),EY49*EY56/12,IF(AND((12*(YEAR(EY$3)-YEAR($B$46))+MONTH(EY$3)-MONTH($B$46))&gt;0,MOD((12*(YEAR(EY$3)-YEAR($B$46))+MONTH(EY$3)-MONTH($B$46)),'Вводные'!$B$78)=0,(12*(YEAR(EY$3)-YEAR($B$46))+MONTH(EY$3)-MONTH($B$46))&lt;='Вводные'!$B$77*12),EY49*EY56*'Вводные'!$B$78/12,0)),0)</x:f>
      </x:c>
      <x:c r="EZ52" s="117" t="n">
        <x:f>IF(AND('Вводные'!$B$75&lt;&gt;"Единовременно",'Вводные'!$B$80="Да",EZ49&gt;0),IF(AND('Вводные'!$B$84="Да",YEAR(EZ$3)=YEAR($B$47),MONTH(EZ$3)=MONTH($B$47)),EZ49*EZ56/12,IF(AND((12*(YEAR(EZ$3)-YEAR($B$46))+MONTH(EZ$3)-MONTH($B$46))&gt;0,MOD((12*(YEAR(EZ$3)-YEAR($B$46))+MONTH(EZ$3)-MONTH($B$46)),'Вводные'!$B$78)=0,(12*(YEAR(EZ$3)-YEAR($B$46))+MONTH(EZ$3)-MONTH($B$46))&lt;='Вводные'!$B$77*12),EZ49*EZ56*'Вводные'!$B$78/12,0)),0)</x:f>
      </x:c>
      <x:c r="FA52" s="117" t="n">
        <x:f>IF(AND('Вводные'!$B$75&lt;&gt;"Единовременно",'Вводные'!$B$80="Да",FA49&gt;0),IF(AND('Вводные'!$B$84="Да",YEAR(FA$3)=YEAR($B$47),MONTH(FA$3)=MONTH($B$47)),FA49*FA56/12,IF(AND((12*(YEAR(FA$3)-YEAR($B$46))+MONTH(FA$3)-MONTH($B$46))&gt;0,MOD((12*(YEAR(FA$3)-YEAR($B$46))+MONTH(FA$3)-MONTH($B$46)),'Вводные'!$B$78)=0,(12*(YEAR(FA$3)-YEAR($B$46))+MONTH(FA$3)-MONTH($B$46))&lt;='Вводные'!$B$77*12),FA49*FA56*'Вводные'!$B$78/12,0)),0)</x:f>
      </x:c>
      <x:c r="FB52" s="117" t="n">
        <x:f>IF(AND('Вводные'!$B$75&lt;&gt;"Единовременно",'Вводные'!$B$80="Да",FB49&gt;0),IF(AND('Вводные'!$B$84="Да",YEAR(FB$3)=YEAR($B$47),MONTH(FB$3)=MONTH($B$47)),FB49*FB56/12,IF(AND((12*(YEAR(FB$3)-YEAR($B$46))+MONTH(FB$3)-MONTH($B$46))&gt;0,MOD((12*(YEAR(FB$3)-YEAR($B$46))+MONTH(FB$3)-MONTH($B$46)),'Вводные'!$B$78)=0,(12*(YEAR(FB$3)-YEAR($B$46))+MONTH(FB$3)-MONTH($B$46))&lt;='Вводные'!$B$77*12),FB49*FB56*'Вводные'!$B$78/12,0)),0)</x:f>
      </x:c>
      <x:c r="FC52" s="117" t="n">
        <x:f>IF(AND('Вводные'!$B$75&lt;&gt;"Единовременно",'Вводные'!$B$80="Да",FC49&gt;0),IF(AND('Вводные'!$B$84="Да",YEAR(FC$3)=YEAR($B$47),MONTH(FC$3)=MONTH($B$47)),FC49*FC56/12,IF(AND((12*(YEAR(FC$3)-YEAR($B$46))+MONTH(FC$3)-MONTH($B$46))&gt;0,MOD((12*(YEAR(FC$3)-YEAR($B$46))+MONTH(FC$3)-MONTH($B$46)),'Вводные'!$B$78)=0,(12*(YEAR(FC$3)-YEAR($B$46))+MONTH(FC$3)-MONTH($B$46))&lt;='Вводные'!$B$77*12),FC49*FC56*'Вводные'!$B$78/12,0)),0)</x:f>
      </x:c>
      <x:c r="FD52" s="117" t="n">
        <x:f>IF(AND('Вводные'!$B$75&lt;&gt;"Единовременно",'Вводные'!$B$80="Да",FD49&gt;0),IF(AND('Вводные'!$B$84="Да",YEAR(FD$3)=YEAR($B$47),MONTH(FD$3)=MONTH($B$47)),FD49*FD56/12,IF(AND((12*(YEAR(FD$3)-YEAR($B$46))+MONTH(FD$3)-MONTH($B$46))&gt;0,MOD((12*(YEAR(FD$3)-YEAR($B$46))+MONTH(FD$3)-MONTH($B$46)),'Вводные'!$B$78)=0,(12*(YEAR(FD$3)-YEAR($B$46))+MONTH(FD$3)-MONTH($B$46))&lt;='Вводные'!$B$77*12),FD49*FD56*'Вводные'!$B$78/12,0)),0)</x:f>
      </x:c>
      <x:c r="FE52" s="117" t="n">
        <x:f>IF(AND('Вводные'!$B$75&lt;&gt;"Единовременно",'Вводные'!$B$80="Да",FE49&gt;0),IF(AND('Вводные'!$B$84="Да",YEAR(FE$3)=YEAR($B$47),MONTH(FE$3)=MONTH($B$47)),FE49*FE56/12,IF(AND((12*(YEAR(FE$3)-YEAR($B$46))+MONTH(FE$3)-MONTH($B$46))&gt;0,MOD((12*(YEAR(FE$3)-YEAR($B$46))+MONTH(FE$3)-MONTH($B$46)),'Вводные'!$B$78)=0,(12*(YEAR(FE$3)-YEAR($B$46))+MONTH(FE$3)-MONTH($B$46))&lt;='Вводные'!$B$77*12),FE49*FE56*'Вводные'!$B$78/12,0)),0)</x:f>
      </x:c>
      <x:c r="FF52" s="117" t="n">
        <x:f>IF(AND('Вводные'!$B$75&lt;&gt;"Единовременно",'Вводные'!$B$80="Да",FF49&gt;0),IF(AND('Вводные'!$B$84="Да",YEAR(FF$3)=YEAR($B$47),MONTH(FF$3)=MONTH($B$47)),FF49*FF56/12,IF(AND((12*(YEAR(FF$3)-YEAR($B$46))+MONTH(FF$3)-MONTH($B$46))&gt;0,MOD((12*(YEAR(FF$3)-YEAR($B$46))+MONTH(FF$3)-MONTH($B$46)),'Вводные'!$B$78)=0,(12*(YEAR(FF$3)-YEAR($B$46))+MONTH(FF$3)-MONTH($B$46))&lt;='Вводные'!$B$77*12),FF49*FF56*'Вводные'!$B$78/12,0)),0)</x:f>
      </x:c>
      <x:c r="FG52" s="117" t="n">
        <x:f>IF(AND('Вводные'!$B$75&lt;&gt;"Единовременно",'Вводные'!$B$80="Да",FG49&gt;0),IF(AND('Вводные'!$B$84="Да",YEAR(FG$3)=YEAR($B$47),MONTH(FG$3)=MONTH($B$47)),FG49*FG56/12,IF(AND((12*(YEAR(FG$3)-YEAR($B$46))+MONTH(FG$3)-MONTH($B$46))&gt;0,MOD((12*(YEAR(FG$3)-YEAR($B$46))+MONTH(FG$3)-MONTH($B$46)),'Вводные'!$B$78)=0,(12*(YEAR(FG$3)-YEAR($B$46))+MONTH(FG$3)-MONTH($B$46))&lt;='Вводные'!$B$77*12),FG49*FG56*'Вводные'!$B$78/12,0)),0)</x:f>
      </x:c>
      <x:c r="FH52" s="117" t="n">
        <x:f>IF(AND('Вводные'!$B$75&lt;&gt;"Единовременно",'Вводные'!$B$80="Да",FH49&gt;0),IF(AND('Вводные'!$B$84="Да",YEAR(FH$3)=YEAR($B$47),MONTH(FH$3)=MONTH($B$47)),FH49*FH56/12,IF(AND((12*(YEAR(FH$3)-YEAR($B$46))+MONTH(FH$3)-MONTH($B$46))&gt;0,MOD((12*(YEAR(FH$3)-YEAR($B$46))+MONTH(FH$3)-MONTH($B$46)),'Вводные'!$B$78)=0,(12*(YEAR(FH$3)-YEAR($B$46))+MONTH(FH$3)-MONTH($B$46))&lt;='Вводные'!$B$77*12),FH49*FH56*'Вводные'!$B$78/12,0)),0)</x:f>
      </x:c>
      <x:c r="FI52" s="117" t="n">
        <x:f>IF(AND('Вводные'!$B$75&lt;&gt;"Единовременно",'Вводные'!$B$80="Да",FI49&gt;0),IF(AND('Вводные'!$B$84="Да",YEAR(FI$3)=YEAR($B$47),MONTH(FI$3)=MONTH($B$47)),FI49*FI56/12,IF(AND((12*(YEAR(FI$3)-YEAR($B$46))+MONTH(FI$3)-MONTH($B$46))&gt;0,MOD((12*(YEAR(FI$3)-YEAR($B$46))+MONTH(FI$3)-MONTH($B$46)),'Вводные'!$B$78)=0,(12*(YEAR(FI$3)-YEAR($B$46))+MONTH(FI$3)-MONTH($B$46))&lt;='Вводные'!$B$77*12),FI49*FI56*'Вводные'!$B$78/12,0)),0)</x:f>
      </x:c>
      <x:c r="FJ52" s="117" t="n">
        <x:f>IF(AND('Вводные'!$B$75&lt;&gt;"Единовременно",'Вводные'!$B$80="Да",FJ49&gt;0),IF(AND('Вводные'!$B$84="Да",YEAR(FJ$3)=YEAR($B$47),MONTH(FJ$3)=MONTH($B$47)),FJ49*FJ56/12,IF(AND((12*(YEAR(FJ$3)-YEAR($B$46))+MONTH(FJ$3)-MONTH($B$46))&gt;0,MOD((12*(YEAR(FJ$3)-YEAR($B$46))+MONTH(FJ$3)-MONTH($B$46)),'Вводные'!$B$78)=0,(12*(YEAR(FJ$3)-YEAR($B$46))+MONTH(FJ$3)-MONTH($B$46))&lt;='Вводные'!$B$77*12),FJ49*FJ56*'Вводные'!$B$78/12,0)),0)</x:f>
      </x:c>
      <x:c r="FK52" s="117" t="n">
        <x:f>IF(AND('Вводные'!$B$75&lt;&gt;"Единовременно",'Вводные'!$B$80="Да",FK49&gt;0),IF(AND('Вводные'!$B$84="Да",YEAR(FK$3)=YEAR($B$47),MONTH(FK$3)=MONTH($B$47)),FK49*FK56/12,IF(AND((12*(YEAR(FK$3)-YEAR($B$46))+MONTH(FK$3)-MONTH($B$46))&gt;0,MOD((12*(YEAR(FK$3)-YEAR($B$46))+MONTH(FK$3)-MONTH($B$46)),'Вводные'!$B$78)=0,(12*(YEAR(FK$3)-YEAR($B$46))+MONTH(FK$3)-MONTH($B$46))&lt;='Вводные'!$B$77*12),FK49*FK56*'Вводные'!$B$78/12,0)),0)</x:f>
      </x:c>
      <x:c r="FL52" s="117" t="n">
        <x:f>IF(AND('Вводные'!$B$75&lt;&gt;"Единовременно",'Вводные'!$B$80="Да",FL49&gt;0),IF(AND('Вводные'!$B$84="Да",YEAR(FL$3)=YEAR($B$47),MONTH(FL$3)=MONTH($B$47)),FL49*FL56/12,IF(AND((12*(YEAR(FL$3)-YEAR($B$46))+MONTH(FL$3)-MONTH($B$46))&gt;0,MOD((12*(YEAR(FL$3)-YEAR($B$46))+MONTH(FL$3)-MONTH($B$46)),'Вводные'!$B$78)=0,(12*(YEAR(FL$3)-YEAR($B$46))+MONTH(FL$3)-MONTH($B$46))&lt;='Вводные'!$B$77*12),FL49*FL56*'Вводные'!$B$78/12,0)),0)</x:f>
      </x:c>
      <x:c r="FM52" s="117" t="n">
        <x:f>IF(AND('Вводные'!$B$75&lt;&gt;"Единовременно",'Вводные'!$B$80="Да",FM49&gt;0),IF(AND('Вводные'!$B$84="Да",YEAR(FM$3)=YEAR($B$47),MONTH(FM$3)=MONTH($B$47)),FM49*FM56/12,IF(AND((12*(YEAR(FM$3)-YEAR($B$46))+MONTH(FM$3)-MONTH($B$46))&gt;0,MOD((12*(YEAR(FM$3)-YEAR($B$46))+MONTH(FM$3)-MONTH($B$46)),'Вводные'!$B$78)=0,(12*(YEAR(FM$3)-YEAR($B$46))+MONTH(FM$3)-MONTH($B$46))&lt;='Вводные'!$B$77*12),FM49*FM56*'Вводные'!$B$78/12,0)),0)</x:f>
      </x:c>
      <x:c r="FN52" s="117" t="n">
        <x:f>IF(AND('Вводные'!$B$75&lt;&gt;"Единовременно",'Вводные'!$B$80="Да",FN49&gt;0),IF(AND('Вводные'!$B$84="Да",YEAR(FN$3)=YEAR($B$47),MONTH(FN$3)=MONTH($B$47)),FN49*FN56/12,IF(AND((12*(YEAR(FN$3)-YEAR($B$46))+MONTH(FN$3)-MONTH($B$46))&gt;0,MOD((12*(YEAR(FN$3)-YEAR($B$46))+MONTH(FN$3)-MONTH($B$46)),'Вводные'!$B$78)=0,(12*(YEAR(FN$3)-YEAR($B$46))+MONTH(FN$3)-MONTH($B$46))&lt;='Вводные'!$B$77*12),FN49*FN56*'Вводные'!$B$78/12,0)),0)</x:f>
      </x:c>
      <x:c r="FO52" s="117" t="n">
        <x:f>IF(AND('Вводные'!$B$75&lt;&gt;"Единовременно",'Вводные'!$B$80="Да",FO49&gt;0),IF(AND('Вводные'!$B$84="Да",YEAR(FO$3)=YEAR($B$47),MONTH(FO$3)=MONTH($B$47)),FO49*FO56/12,IF(AND((12*(YEAR(FO$3)-YEAR($B$46))+MONTH(FO$3)-MONTH($B$46))&gt;0,MOD((12*(YEAR(FO$3)-YEAR($B$46))+MONTH(FO$3)-MONTH($B$46)),'Вводные'!$B$78)=0,(12*(YEAR(FO$3)-YEAR($B$46))+MONTH(FO$3)-MONTH($B$46))&lt;='Вводные'!$B$77*12),FO49*FO56*'Вводные'!$B$78/12,0)),0)</x:f>
      </x:c>
      <x:c r="FP52" s="117" t="n">
        <x:f>IF(AND('Вводные'!$B$75&lt;&gt;"Единовременно",'Вводные'!$B$80="Да",FP49&gt;0),IF(AND('Вводные'!$B$84="Да",YEAR(FP$3)=YEAR($B$47),MONTH(FP$3)=MONTH($B$47)),FP49*FP56/12,IF(AND((12*(YEAR(FP$3)-YEAR($B$46))+MONTH(FP$3)-MONTH($B$46))&gt;0,MOD((12*(YEAR(FP$3)-YEAR($B$46))+MONTH(FP$3)-MONTH($B$46)),'Вводные'!$B$78)=0,(12*(YEAR(FP$3)-YEAR($B$46))+MONTH(FP$3)-MONTH($B$46))&lt;='Вводные'!$B$77*12),FP49*FP56*'Вводные'!$B$78/12,0)),0)</x:f>
      </x:c>
      <x:c r="FQ52" s="117" t="n">
        <x:f>IF(AND('Вводные'!$B$75&lt;&gt;"Единовременно",'Вводные'!$B$80="Да",FQ49&gt;0),IF(AND('Вводные'!$B$84="Да",YEAR(FQ$3)=YEAR($B$47),MONTH(FQ$3)=MONTH($B$47)),FQ49*FQ56/12,IF(AND((12*(YEAR(FQ$3)-YEAR($B$46))+MONTH(FQ$3)-MONTH($B$46))&gt;0,MOD((12*(YEAR(FQ$3)-YEAR($B$46))+MONTH(FQ$3)-MONTH($B$46)),'Вводные'!$B$78)=0,(12*(YEAR(FQ$3)-YEAR($B$46))+MONTH(FQ$3)-MONTH($B$46))&lt;='Вводные'!$B$77*12),FQ49*FQ56*'Вводные'!$B$78/12,0)),0)</x:f>
      </x:c>
      <x:c r="FR52" s="117" t="n">
        <x:f>IF(AND('Вводные'!$B$75&lt;&gt;"Единовременно",'Вводные'!$B$80="Да",FR49&gt;0),IF(AND('Вводные'!$B$84="Да",YEAR(FR$3)=YEAR($B$47),MONTH(FR$3)=MONTH($B$47)),FR49*FR56/12,IF(AND((12*(YEAR(FR$3)-YEAR($B$46))+MONTH(FR$3)-MONTH($B$46))&gt;0,MOD((12*(YEAR(FR$3)-YEAR($B$46))+MONTH(FR$3)-MONTH($B$46)),'Вводные'!$B$78)=0,(12*(YEAR(FR$3)-YEAR($B$46))+MONTH(FR$3)-MONTH($B$46))&lt;='Вводные'!$B$77*12),FR49*FR56*'Вводные'!$B$78/12,0)),0)</x:f>
      </x:c>
      <x:c r="FS52" s="117" t="n">
        <x:f>IF(AND('Вводные'!$B$75&lt;&gt;"Единовременно",'Вводные'!$B$80="Да",FS49&gt;0),IF(AND('Вводные'!$B$84="Да",YEAR(FS$3)=YEAR($B$47),MONTH(FS$3)=MONTH($B$47)),FS49*FS56/12,IF(AND((12*(YEAR(FS$3)-YEAR($B$46))+MONTH(FS$3)-MONTH($B$46))&gt;0,MOD((12*(YEAR(FS$3)-YEAR($B$46))+MONTH(FS$3)-MONTH($B$46)),'Вводные'!$B$78)=0,(12*(YEAR(FS$3)-YEAR($B$46))+MONTH(FS$3)-MONTH($B$46))&lt;='Вводные'!$B$77*12),FS49*FS56*'Вводные'!$B$78/12,0)),0)</x:f>
      </x:c>
      <x:c r="FT52" s="117" t="n">
        <x:f>IF(AND('Вводные'!$B$75&lt;&gt;"Единовременно",'Вводные'!$B$80="Да",FT49&gt;0),IF(AND('Вводные'!$B$84="Да",YEAR(FT$3)=YEAR($B$47),MONTH(FT$3)=MONTH($B$47)),FT49*FT56/12,IF(AND((12*(YEAR(FT$3)-YEAR($B$46))+MONTH(FT$3)-MONTH($B$46))&gt;0,MOD((12*(YEAR(FT$3)-YEAR($B$46))+MONTH(FT$3)-MONTH($B$46)),'Вводные'!$B$78)=0,(12*(YEAR(FT$3)-YEAR($B$46))+MONTH(FT$3)-MONTH($B$46))&lt;='Вводные'!$B$77*12),FT49*FT56*'Вводные'!$B$78/12,0)),0)</x:f>
      </x:c>
      <x:c r="FU52" s="117" t="n">
        <x:f>IF(AND('Вводные'!$B$75&lt;&gt;"Единовременно",'Вводные'!$B$80="Да",FU49&gt;0),IF(AND('Вводные'!$B$84="Да",YEAR(FU$3)=YEAR($B$47),MONTH(FU$3)=MONTH($B$47)),FU49*FU56/12,IF(AND((12*(YEAR(FU$3)-YEAR($B$46))+MONTH(FU$3)-MONTH($B$46))&gt;0,MOD((12*(YEAR(FU$3)-YEAR($B$46))+MONTH(FU$3)-MONTH($B$46)),'Вводные'!$B$78)=0,(12*(YEAR(FU$3)-YEAR($B$46))+MONTH(FU$3)-MONTH($B$46))&lt;='Вводные'!$B$77*12),FU49*FU56*'Вводные'!$B$78/12,0)),0)</x:f>
      </x:c>
      <x:c r="FV52" s="117" t="n">
        <x:f>IF(AND('Вводные'!$B$75&lt;&gt;"Единовременно",'Вводные'!$B$80="Да",FV49&gt;0),IF(AND('Вводные'!$B$84="Да",YEAR(FV$3)=YEAR($B$47),MONTH(FV$3)=MONTH($B$47)),FV49*FV56/12,IF(AND((12*(YEAR(FV$3)-YEAR($B$46))+MONTH(FV$3)-MONTH($B$46))&gt;0,MOD((12*(YEAR(FV$3)-YEAR($B$46))+MONTH(FV$3)-MONTH($B$46)),'Вводные'!$B$78)=0,(12*(YEAR(FV$3)-YEAR($B$46))+MONTH(FV$3)-MONTH($B$46))&lt;='Вводные'!$B$77*12),FV49*FV56*'Вводные'!$B$78/12,0)),0)</x:f>
      </x:c>
      <x:c r="FW52" s="117" t="n">
        <x:f>IF(AND('Вводные'!$B$75&lt;&gt;"Единовременно",'Вводные'!$B$80="Да",FW49&gt;0),IF(AND('Вводные'!$B$84="Да",YEAR(FW$3)=YEAR($B$47),MONTH(FW$3)=MONTH($B$47)),FW49*FW56/12,IF(AND((12*(YEAR(FW$3)-YEAR($B$46))+MONTH(FW$3)-MONTH($B$46))&gt;0,MOD((12*(YEAR(FW$3)-YEAR($B$46))+MONTH(FW$3)-MONTH($B$46)),'Вводные'!$B$78)=0,(12*(YEAR(FW$3)-YEAR($B$46))+MONTH(FW$3)-MONTH($B$46))&lt;='Вводные'!$B$77*12),FW49*FW56*'Вводные'!$B$78/12,0)),0)</x:f>
      </x:c>
      <x:c r="FX52" s="117" t="n">
        <x:f>IF(AND('Вводные'!$B$75&lt;&gt;"Единовременно",'Вводные'!$B$80="Да",FX49&gt;0),IF(AND('Вводные'!$B$84="Да",YEAR(FX$3)=YEAR($B$47),MONTH(FX$3)=MONTH($B$47)),FX49*FX56/12,IF(AND((12*(YEAR(FX$3)-YEAR($B$46))+MONTH(FX$3)-MONTH($B$46))&gt;0,MOD((12*(YEAR(FX$3)-YEAR($B$46))+MONTH(FX$3)-MONTH($B$46)),'Вводные'!$B$78)=0,(12*(YEAR(FX$3)-YEAR($B$46))+MONTH(FX$3)-MONTH($B$46))&lt;='Вводные'!$B$77*12),FX49*FX56*'Вводные'!$B$78/12,0)),0)</x:f>
      </x:c>
      <x:c r="FY52" s="117" t="n">
        <x:f>IF(AND('Вводные'!$B$75&lt;&gt;"Единовременно",'Вводные'!$B$80="Да",FY49&gt;0),IF(AND('Вводные'!$B$84="Да",YEAR(FY$3)=YEAR($B$47),MONTH(FY$3)=MONTH($B$47)),FY49*FY56/12,IF(AND((12*(YEAR(FY$3)-YEAR($B$46))+MONTH(FY$3)-MONTH($B$46))&gt;0,MOD((12*(YEAR(FY$3)-YEAR($B$46))+MONTH(FY$3)-MONTH($B$46)),'Вводные'!$B$78)=0,(12*(YEAR(FY$3)-YEAR($B$46))+MONTH(FY$3)-MONTH($B$46))&lt;='Вводные'!$B$77*12),FY49*FY56*'Вводные'!$B$78/12,0)),0)</x:f>
      </x:c>
      <x:c r="FZ52" s="117" t="n">
        <x:f>IF(AND('Вводные'!$B$75&lt;&gt;"Единовременно",'Вводные'!$B$80="Да",FZ49&gt;0),IF(AND('Вводные'!$B$84="Да",YEAR(FZ$3)=YEAR($B$47),MONTH(FZ$3)=MONTH($B$47)),FZ49*FZ56/12,IF(AND((12*(YEAR(FZ$3)-YEAR($B$46))+MONTH(FZ$3)-MONTH($B$46))&gt;0,MOD((12*(YEAR(FZ$3)-YEAR($B$46))+MONTH(FZ$3)-MONTH($B$46)),'Вводные'!$B$78)=0,(12*(YEAR(FZ$3)-YEAR($B$46))+MONTH(FZ$3)-MONTH($B$46))&lt;='Вводные'!$B$77*12),FZ49*FZ56*'Вводные'!$B$78/12,0)),0)</x:f>
      </x:c>
      <x:c r="GA52" s="117" t="n">
        <x:f>IF(AND('Вводные'!$B$75&lt;&gt;"Единовременно",'Вводные'!$B$80="Да",GA49&gt;0),IF(AND('Вводные'!$B$84="Да",YEAR(GA$3)=YEAR($B$47),MONTH(GA$3)=MONTH($B$47)),GA49*GA56/12,IF(AND((12*(YEAR(GA$3)-YEAR($B$46))+MONTH(GA$3)-MONTH($B$46))&gt;0,MOD((12*(YEAR(GA$3)-YEAR($B$46))+MONTH(GA$3)-MONTH($B$46)),'Вводные'!$B$78)=0,(12*(YEAR(GA$3)-YEAR($B$46))+MONTH(GA$3)-MONTH($B$46))&lt;='Вводные'!$B$77*12),GA49*GA56*'Вводные'!$B$78/12,0)),0)</x:f>
      </x:c>
    </x:row>
    <x:row r="53">
      <x:c r="A53" t="str">
        <x:v>Расходы на обеспечение</x:v>
      </x:c>
      <x:c r="B53" s="107" t="n">
        <x:f>SUM(D53:GA53)</x:f>
      </x:c>
      <x:c r="C53" t="str">
        <x:v>млн ₽</x:v>
      </x:c>
      <x:c r="D53" s="117" t="n">
        <x:f>IF(D50&gt;0,'Вводные'!$B$83*'Вводные'!$Q$91,0)</x:f>
      </x:c>
      <x:c r="E53" s="117" t="n">
        <x:f>IF(E50&gt;0,'Вводные'!$B$83*'Вводные'!$Q$91,0)</x:f>
      </x:c>
      <x:c r="F53" s="117" t="n">
        <x:f>IF(F50&gt;0,'Вводные'!$B$83*'Вводные'!$Q$91,0)</x:f>
      </x:c>
      <x:c r="G53" s="117" t="n">
        <x:f>IF(G50&gt;0,'Вводные'!$B$83*'Вводные'!$Q$91,0)</x:f>
      </x:c>
      <x:c r="H53" s="117" t="n">
        <x:f>IF(H50&gt;0,'Вводные'!$B$83*'Вводные'!$Q$91,0)</x:f>
      </x:c>
      <x:c r="I53" s="117" t="n">
        <x:f>IF(I50&gt;0,'Вводные'!$B$83*'Вводные'!$Q$91,0)</x:f>
      </x:c>
      <x:c r="J53" s="117" t="n">
        <x:f>IF(J50&gt;0,'Вводные'!$B$83*'Вводные'!$Q$91,0)</x:f>
      </x:c>
      <x:c r="K53" s="117" t="n">
        <x:f>IF(K50&gt;0,'Вводные'!$B$83*'Вводные'!$Q$91,0)</x:f>
      </x:c>
      <x:c r="L53" s="117" t="n">
        <x:f>IF(L50&gt;0,'Вводные'!$B$83*'Вводные'!$Q$91,0)</x:f>
      </x:c>
      <x:c r="M53" s="117" t="n">
        <x:f>IF(M50&gt;0,'Вводные'!$B$83*'Вводные'!$Q$91,0)</x:f>
      </x:c>
      <x:c r="N53" s="117" t="n">
        <x:f>IF(N50&gt;0,'Вводные'!$B$83*'Вводные'!$Q$91,0)</x:f>
      </x:c>
      <x:c r="O53" s="117" t="n">
        <x:f>IF(O50&gt;0,'Вводные'!$B$83*'Вводные'!$Q$91,0)</x:f>
      </x:c>
      <x:c r="P53" s="117" t="n">
        <x:f>IF(P50&gt;0,'Вводные'!$B$83*'Вводные'!$Q$91,0)</x:f>
      </x:c>
      <x:c r="Q53" s="117" t="n">
        <x:f>IF(Q50&gt;0,'Вводные'!$B$83*'Вводные'!$Q$91,0)</x:f>
      </x:c>
      <x:c r="R53" s="117" t="n">
        <x:f>IF(R50&gt;0,'Вводные'!$B$83*'Вводные'!$Q$91,0)</x:f>
      </x:c>
      <x:c r="S53" s="117" t="n">
        <x:f>IF(S50&gt;0,'Вводные'!$B$83*'Вводные'!$Q$91,0)</x:f>
      </x:c>
      <x:c r="T53" s="117" t="n">
        <x:f>IF(T50&gt;0,'Вводные'!$B$83*'Вводные'!$Q$91,0)</x:f>
      </x:c>
      <x:c r="U53" s="117" t="n">
        <x:f>IF(U50&gt;0,'Вводные'!$B$83*'Вводные'!$Q$91,0)</x:f>
      </x:c>
      <x:c r="V53" s="117" t="n">
        <x:f>IF(V50&gt;0,'Вводные'!$B$83*'Вводные'!$Q$91,0)</x:f>
      </x:c>
      <x:c r="W53" s="117" t="n">
        <x:f>IF(W50&gt;0,'Вводные'!$B$83*'Вводные'!$Q$91,0)</x:f>
      </x:c>
      <x:c r="X53" s="117" t="n">
        <x:f>IF(X50&gt;0,'Вводные'!$B$83*'Вводные'!$Q$91,0)</x:f>
      </x:c>
      <x:c r="Y53" s="117" t="n">
        <x:f>IF(Y50&gt;0,'Вводные'!$B$83*'Вводные'!$Q$91,0)</x:f>
      </x:c>
      <x:c r="Z53" s="117" t="n">
        <x:f>IF(Z50&gt;0,'Вводные'!$B$83*'Вводные'!$Q$91,0)</x:f>
      </x:c>
      <x:c r="AA53" s="117" t="n">
        <x:f>IF(AA50&gt;0,'Вводные'!$B$83*'Вводные'!$Q$91,0)</x:f>
      </x:c>
      <x:c r="AB53" s="117" t="n">
        <x:f>IF(AB50&gt;0,'Вводные'!$B$83*'Вводные'!$Q$91,0)</x:f>
      </x:c>
      <x:c r="AC53" s="117" t="n">
        <x:f>IF(AC50&gt;0,'Вводные'!$B$83*'Вводные'!$Q$91,0)</x:f>
      </x:c>
      <x:c r="AD53" s="117" t="n">
        <x:f>IF(AD50&gt;0,'Вводные'!$B$83*'Вводные'!$Q$91,0)</x:f>
      </x:c>
      <x:c r="AE53" s="117" t="n">
        <x:f>IF(AE50&gt;0,'Вводные'!$B$83*'Вводные'!$Q$91,0)</x:f>
      </x:c>
      <x:c r="AF53" s="117" t="n">
        <x:f>IF(AF50&gt;0,'Вводные'!$B$83*'Вводные'!$Q$91,0)</x:f>
      </x:c>
      <x:c r="AG53" s="117" t="n">
        <x:f>IF(AG50&gt;0,'Вводные'!$B$83*'Вводные'!$Q$91,0)</x:f>
      </x:c>
      <x:c r="AH53" s="117" t="n">
        <x:f>IF(AH50&gt;0,'Вводные'!$B$83*'Вводные'!$Q$91,0)</x:f>
      </x:c>
      <x:c r="AI53" s="117" t="n">
        <x:f>IF(AI50&gt;0,'Вводные'!$B$83*'Вводные'!$Q$91,0)</x:f>
      </x:c>
      <x:c r="AJ53" s="117" t="n">
        <x:f>IF(AJ50&gt;0,'Вводные'!$B$83*'Вводные'!$Q$91,0)</x:f>
      </x:c>
      <x:c r="AK53" s="117" t="n">
        <x:f>IF(AK50&gt;0,'Вводные'!$B$83*'Вводные'!$Q$91,0)</x:f>
      </x:c>
      <x:c r="AL53" s="117" t="n">
        <x:f>IF(AL50&gt;0,'Вводные'!$B$83*'Вводные'!$Q$91,0)</x:f>
      </x:c>
      <x:c r="AM53" s="117" t="n">
        <x:f>IF(AM50&gt;0,'Вводные'!$B$83*'Вводные'!$Q$91,0)</x:f>
      </x:c>
      <x:c r="AN53" s="117" t="n">
        <x:f>IF(AN50&gt;0,'Вводные'!$B$83*'Вводные'!$Q$91,0)</x:f>
      </x:c>
      <x:c r="AO53" s="117" t="n">
        <x:f>IF(AO50&gt;0,'Вводные'!$B$83*'Вводные'!$Q$91,0)</x:f>
      </x:c>
      <x:c r="AP53" s="117" t="n">
        <x:f>IF(AP50&gt;0,'Вводные'!$B$83*'Вводные'!$Q$91,0)</x:f>
      </x:c>
      <x:c r="AQ53" s="117" t="n">
        <x:f>IF(AQ50&gt;0,'Вводные'!$B$83*'Вводные'!$Q$91,0)</x:f>
      </x:c>
      <x:c r="AR53" s="117" t="n">
        <x:f>IF(AR50&gt;0,'Вводные'!$B$83*'Вводные'!$Q$91,0)</x:f>
      </x:c>
      <x:c r="AS53" s="117" t="n">
        <x:f>IF(AS50&gt;0,'Вводные'!$B$83*'Вводные'!$Q$91,0)</x:f>
      </x:c>
      <x:c r="AT53" s="117" t="n">
        <x:f>IF(AT50&gt;0,'Вводные'!$B$83*'Вводные'!$Q$91,0)</x:f>
      </x:c>
      <x:c r="AU53" s="117" t="n">
        <x:f>IF(AU50&gt;0,'Вводные'!$B$83*'Вводные'!$Q$91,0)</x:f>
      </x:c>
      <x:c r="AV53" s="117" t="n">
        <x:f>IF(AV50&gt;0,'Вводные'!$B$83*'Вводные'!$Q$91,0)</x:f>
      </x:c>
      <x:c r="AW53" s="117" t="n">
        <x:f>IF(AW50&gt;0,'Вводные'!$B$83*'Вводные'!$Q$91,0)</x:f>
      </x:c>
      <x:c r="AX53" s="117" t="n">
        <x:f>IF(AX50&gt;0,'Вводные'!$B$83*'Вводные'!$Q$91,0)</x:f>
      </x:c>
      <x:c r="AY53" s="117" t="n">
        <x:f>IF(AY50&gt;0,'Вводные'!$B$83*'Вводные'!$Q$91,0)</x:f>
      </x:c>
      <x:c r="AZ53" s="117" t="n">
        <x:f>IF(AZ50&gt;0,'Вводные'!$B$83*'Вводные'!$Q$91,0)</x:f>
      </x:c>
      <x:c r="BA53" s="117" t="n">
        <x:f>IF(BA50&gt;0,'Вводные'!$B$83*'Вводные'!$Q$91,0)</x:f>
      </x:c>
      <x:c r="BB53" s="117" t="n">
        <x:f>IF(BB50&gt;0,'Вводные'!$B$83*'Вводные'!$Q$91,0)</x:f>
      </x:c>
      <x:c r="BC53" s="117" t="n">
        <x:f>IF(BC50&gt;0,'Вводные'!$B$83*'Вводные'!$Q$91,0)</x:f>
      </x:c>
      <x:c r="BD53" s="117" t="n">
        <x:f>IF(BD50&gt;0,'Вводные'!$B$83*'Вводные'!$Q$91,0)</x:f>
      </x:c>
      <x:c r="BE53" s="117" t="n">
        <x:f>IF(BE50&gt;0,'Вводные'!$B$83*'Вводные'!$Q$91,0)</x:f>
      </x:c>
      <x:c r="BF53" s="117" t="n">
        <x:f>IF(BF50&gt;0,'Вводные'!$B$83*'Вводные'!$Q$91,0)</x:f>
      </x:c>
      <x:c r="BG53" s="117" t="n">
        <x:f>IF(BG50&gt;0,'Вводные'!$B$83*'Вводные'!$Q$91,0)</x:f>
      </x:c>
      <x:c r="BH53" s="117" t="n">
        <x:f>IF(BH50&gt;0,'Вводные'!$B$83*'Вводные'!$Q$91,0)</x:f>
      </x:c>
      <x:c r="BI53" s="117" t="n">
        <x:f>IF(BI50&gt;0,'Вводные'!$B$83*'Вводные'!$Q$91,0)</x:f>
      </x:c>
      <x:c r="BJ53" s="117" t="n">
        <x:f>IF(BJ50&gt;0,'Вводные'!$B$83*'Вводные'!$Q$91,0)</x:f>
      </x:c>
      <x:c r="BK53" s="117" t="n">
        <x:f>IF(BK50&gt;0,'Вводные'!$B$83*'Вводные'!$Q$91,0)</x:f>
      </x:c>
      <x:c r="BL53" s="117" t="n">
        <x:f>IF(BL50&gt;0,'Вводные'!$B$83*'Вводные'!$Q$91,0)</x:f>
      </x:c>
      <x:c r="BM53" s="117" t="n">
        <x:f>IF(BM50&gt;0,'Вводные'!$B$83*'Вводные'!$Q$91,0)</x:f>
      </x:c>
      <x:c r="BN53" s="117" t="n">
        <x:f>IF(BN50&gt;0,'Вводные'!$B$83*'Вводные'!$Q$91,0)</x:f>
      </x:c>
      <x:c r="BO53" s="117" t="n">
        <x:f>IF(BO50&gt;0,'Вводные'!$B$83*'Вводные'!$Q$91,0)</x:f>
      </x:c>
      <x:c r="BP53" s="117" t="n">
        <x:f>IF(BP50&gt;0,'Вводные'!$B$83*'Вводные'!$Q$91,0)</x:f>
      </x:c>
      <x:c r="BQ53" s="117" t="n">
        <x:f>IF(BQ50&gt;0,'Вводные'!$B$83*'Вводные'!$Q$91,0)</x:f>
      </x:c>
      <x:c r="BR53" s="117" t="n">
        <x:f>IF(BR50&gt;0,'Вводные'!$B$83*'Вводные'!$Q$91,0)</x:f>
      </x:c>
      <x:c r="BS53" s="117" t="n">
        <x:f>IF(BS50&gt;0,'Вводные'!$B$83*'Вводные'!$Q$91,0)</x:f>
      </x:c>
      <x:c r="BT53" s="117" t="n">
        <x:f>IF(BT50&gt;0,'Вводные'!$B$83*'Вводные'!$Q$91,0)</x:f>
      </x:c>
      <x:c r="BU53" s="117" t="n">
        <x:f>IF(BU50&gt;0,'Вводные'!$B$83*'Вводные'!$Q$91,0)</x:f>
      </x:c>
      <x:c r="BV53" s="117" t="n">
        <x:f>IF(BV50&gt;0,'Вводные'!$B$83*'Вводные'!$Q$91,0)</x:f>
      </x:c>
      <x:c r="BW53" s="117" t="n">
        <x:f>IF(BW50&gt;0,'Вводные'!$B$83*'Вводные'!$Q$91,0)</x:f>
      </x:c>
      <x:c r="BX53" s="117" t="n">
        <x:f>IF(BX50&gt;0,'Вводные'!$B$83*'Вводные'!$Q$91,0)</x:f>
      </x:c>
      <x:c r="BY53" s="117" t="n">
        <x:f>IF(BY50&gt;0,'Вводные'!$B$83*'Вводные'!$Q$91,0)</x:f>
      </x:c>
      <x:c r="BZ53" s="117" t="n">
        <x:f>IF(BZ50&gt;0,'Вводные'!$B$83*'Вводные'!$Q$91,0)</x:f>
      </x:c>
      <x:c r="CA53" s="117" t="n">
        <x:f>IF(CA50&gt;0,'Вводные'!$B$83*'Вводные'!$Q$91,0)</x:f>
      </x:c>
      <x:c r="CB53" s="117" t="n">
        <x:f>IF(CB50&gt;0,'Вводные'!$B$83*'Вводные'!$Q$91,0)</x:f>
      </x:c>
      <x:c r="CC53" s="117" t="n">
        <x:f>IF(CC50&gt;0,'Вводные'!$B$83*'Вводные'!$Q$91,0)</x:f>
      </x:c>
      <x:c r="CD53" s="117" t="n">
        <x:f>IF(CD50&gt;0,'Вводные'!$B$83*'Вводные'!$Q$91,0)</x:f>
      </x:c>
      <x:c r="CE53" s="117" t="n">
        <x:f>IF(CE50&gt;0,'Вводные'!$B$83*'Вводные'!$Q$91,0)</x:f>
      </x:c>
      <x:c r="CF53" s="117" t="n">
        <x:f>IF(CF50&gt;0,'Вводные'!$B$83*'Вводные'!$Q$91,0)</x:f>
      </x:c>
      <x:c r="CG53" s="117" t="n">
        <x:f>IF(CG50&gt;0,'Вводные'!$B$83*'Вводные'!$Q$91,0)</x:f>
      </x:c>
      <x:c r="CH53" s="117" t="n">
        <x:f>IF(CH50&gt;0,'Вводные'!$B$83*'Вводные'!$Q$91,0)</x:f>
      </x:c>
      <x:c r="CI53" s="117" t="n">
        <x:f>IF(CI50&gt;0,'Вводные'!$B$83*'Вводные'!$Q$91,0)</x:f>
      </x:c>
      <x:c r="CJ53" s="117" t="n">
        <x:f>IF(CJ50&gt;0,'Вводные'!$B$83*'Вводные'!$Q$91,0)</x:f>
      </x:c>
      <x:c r="CK53" s="117" t="n">
        <x:f>IF(CK50&gt;0,'Вводные'!$B$83*'Вводные'!$Q$91,0)</x:f>
      </x:c>
      <x:c r="CL53" s="117" t="n">
        <x:f>IF(CL50&gt;0,'Вводные'!$B$83*'Вводные'!$Q$91,0)</x:f>
      </x:c>
      <x:c r="CM53" s="117" t="n">
        <x:f>IF(CM50&gt;0,'Вводные'!$B$83*'Вводные'!$Q$91,0)</x:f>
      </x:c>
      <x:c r="CN53" s="117" t="n">
        <x:f>IF(CN50&gt;0,'Вводные'!$B$83*'Вводные'!$Q$91,0)</x:f>
      </x:c>
      <x:c r="CO53" s="117" t="n">
        <x:f>IF(CO50&gt;0,'Вводные'!$B$83*'Вводные'!$Q$91,0)</x:f>
      </x:c>
      <x:c r="CP53" s="117" t="n">
        <x:f>IF(CP50&gt;0,'Вводные'!$B$83*'Вводные'!$Q$91,0)</x:f>
      </x:c>
      <x:c r="CQ53" s="117" t="n">
        <x:f>IF(CQ50&gt;0,'Вводные'!$B$83*'Вводные'!$Q$91,0)</x:f>
      </x:c>
      <x:c r="CR53" s="117" t="n">
        <x:f>IF(CR50&gt;0,'Вводные'!$B$83*'Вводные'!$Q$91,0)</x:f>
      </x:c>
      <x:c r="CS53" s="117" t="n">
        <x:f>IF(CS50&gt;0,'Вводные'!$B$83*'Вводные'!$Q$91,0)</x:f>
      </x:c>
      <x:c r="CT53" s="117" t="n">
        <x:f>IF(CT50&gt;0,'Вводные'!$B$83*'Вводные'!$Q$91,0)</x:f>
      </x:c>
      <x:c r="CU53" s="117" t="n">
        <x:f>IF(CU50&gt;0,'Вводные'!$B$83*'Вводные'!$Q$91,0)</x:f>
      </x:c>
      <x:c r="CV53" s="117" t="n">
        <x:f>IF(CV50&gt;0,'Вводные'!$B$83*'Вводные'!$Q$91,0)</x:f>
      </x:c>
      <x:c r="CW53" s="117" t="n">
        <x:f>IF(CW50&gt;0,'Вводные'!$B$83*'Вводные'!$Q$91,0)</x:f>
      </x:c>
      <x:c r="CX53" s="117" t="n">
        <x:f>IF(CX50&gt;0,'Вводные'!$B$83*'Вводные'!$Q$91,0)</x:f>
      </x:c>
      <x:c r="CY53" s="117" t="n">
        <x:f>IF(CY50&gt;0,'Вводные'!$B$83*'Вводные'!$Q$91,0)</x:f>
      </x:c>
      <x:c r="CZ53" s="117" t="n">
        <x:f>IF(CZ50&gt;0,'Вводные'!$B$83*'Вводные'!$Q$91,0)</x:f>
      </x:c>
      <x:c r="DA53" s="117" t="n">
        <x:f>IF(DA50&gt;0,'Вводные'!$B$83*'Вводные'!$Q$91,0)</x:f>
      </x:c>
      <x:c r="DB53" s="117" t="n">
        <x:f>IF(DB50&gt;0,'Вводные'!$B$83*'Вводные'!$Q$91,0)</x:f>
      </x:c>
      <x:c r="DC53" s="117" t="n">
        <x:f>IF(DC50&gt;0,'Вводные'!$B$83*'Вводные'!$Q$91,0)</x:f>
      </x:c>
      <x:c r="DD53" s="117" t="n">
        <x:f>IF(DD50&gt;0,'Вводные'!$B$83*'Вводные'!$Q$91,0)</x:f>
      </x:c>
      <x:c r="DE53" s="117" t="n">
        <x:f>IF(DE50&gt;0,'Вводные'!$B$83*'Вводные'!$Q$91,0)</x:f>
      </x:c>
      <x:c r="DF53" s="117" t="n">
        <x:f>IF(DF50&gt;0,'Вводные'!$B$83*'Вводные'!$Q$91,0)</x:f>
      </x:c>
      <x:c r="DG53" s="117" t="n">
        <x:f>IF(DG50&gt;0,'Вводные'!$B$83*'Вводные'!$Q$91,0)</x:f>
      </x:c>
      <x:c r="DH53" s="117" t="n">
        <x:f>IF(DH50&gt;0,'Вводные'!$B$83*'Вводные'!$Q$91,0)</x:f>
      </x:c>
      <x:c r="DI53" s="117" t="n">
        <x:f>IF(DI50&gt;0,'Вводные'!$B$83*'Вводные'!$Q$91,0)</x:f>
      </x:c>
      <x:c r="DJ53" s="117" t="n">
        <x:f>IF(DJ50&gt;0,'Вводные'!$B$83*'Вводные'!$Q$91,0)</x:f>
      </x:c>
      <x:c r="DK53" s="117" t="n">
        <x:f>IF(DK50&gt;0,'Вводные'!$B$83*'Вводные'!$Q$91,0)</x:f>
      </x:c>
      <x:c r="DL53" s="117" t="n">
        <x:f>IF(DL50&gt;0,'Вводные'!$B$83*'Вводные'!$Q$91,0)</x:f>
      </x:c>
      <x:c r="DM53" s="117" t="n">
        <x:f>IF(DM50&gt;0,'Вводные'!$B$83*'Вводные'!$Q$91,0)</x:f>
      </x:c>
      <x:c r="DN53" s="117" t="n">
        <x:f>IF(DN50&gt;0,'Вводные'!$B$83*'Вводные'!$Q$91,0)</x:f>
      </x:c>
      <x:c r="DO53" s="117" t="n">
        <x:f>IF(DO50&gt;0,'Вводные'!$B$83*'Вводные'!$Q$91,0)</x:f>
      </x:c>
      <x:c r="DP53" s="117" t="n">
        <x:f>IF(DP50&gt;0,'Вводные'!$B$83*'Вводные'!$Q$91,0)</x:f>
      </x:c>
      <x:c r="DQ53" s="117" t="n">
        <x:f>IF(DQ50&gt;0,'Вводные'!$B$83*'Вводные'!$Q$91,0)</x:f>
      </x:c>
      <x:c r="DR53" s="117" t="n">
        <x:f>IF(DR50&gt;0,'Вводные'!$B$83*'Вводные'!$Q$91,0)</x:f>
      </x:c>
      <x:c r="DS53" s="117" t="n">
        <x:f>IF(DS50&gt;0,'Вводные'!$B$83*'Вводные'!$Q$91,0)</x:f>
      </x:c>
      <x:c r="DT53" s="117" t="n">
        <x:f>IF(DT50&gt;0,'Вводные'!$B$83*'Вводные'!$Q$91,0)</x:f>
      </x:c>
      <x:c r="DU53" s="117" t="n">
        <x:f>IF(DU50&gt;0,'Вводные'!$B$83*'Вводные'!$Q$91,0)</x:f>
      </x:c>
      <x:c r="DV53" s="117" t="n">
        <x:f>IF(DV50&gt;0,'Вводные'!$B$83*'Вводные'!$Q$91,0)</x:f>
      </x:c>
      <x:c r="DW53" s="117" t="n">
        <x:f>IF(DW50&gt;0,'Вводные'!$B$83*'Вводные'!$Q$91,0)</x:f>
      </x:c>
      <x:c r="DX53" s="117" t="n">
        <x:f>IF(DX50&gt;0,'Вводные'!$B$83*'Вводные'!$Q$91,0)</x:f>
      </x:c>
      <x:c r="DY53" s="117" t="n">
        <x:f>IF(DY50&gt;0,'Вводные'!$B$83*'Вводные'!$Q$91,0)</x:f>
      </x:c>
      <x:c r="DZ53" s="117" t="n">
        <x:f>IF(DZ50&gt;0,'Вводные'!$B$83*'Вводные'!$Q$91,0)</x:f>
      </x:c>
      <x:c r="EA53" s="117" t="n">
        <x:f>IF(EA50&gt;0,'Вводные'!$B$83*'Вводные'!$Q$91,0)</x:f>
      </x:c>
      <x:c r="EB53" s="117" t="n">
        <x:f>IF(EB50&gt;0,'Вводные'!$B$83*'Вводные'!$Q$91,0)</x:f>
      </x:c>
      <x:c r="EC53" s="117" t="n">
        <x:f>IF(EC50&gt;0,'Вводные'!$B$83*'Вводные'!$Q$91,0)</x:f>
      </x:c>
      <x:c r="ED53" s="117" t="n">
        <x:f>IF(ED50&gt;0,'Вводные'!$B$83*'Вводные'!$Q$91,0)</x:f>
      </x:c>
      <x:c r="EE53" s="117" t="n">
        <x:f>IF(EE50&gt;0,'Вводные'!$B$83*'Вводные'!$Q$91,0)</x:f>
      </x:c>
      <x:c r="EF53" s="117" t="n">
        <x:f>IF(EF50&gt;0,'Вводные'!$B$83*'Вводные'!$Q$91,0)</x:f>
      </x:c>
      <x:c r="EG53" s="117" t="n">
        <x:f>IF(EG50&gt;0,'Вводные'!$B$83*'Вводные'!$Q$91,0)</x:f>
      </x:c>
      <x:c r="EH53" s="117" t="n">
        <x:f>IF(EH50&gt;0,'Вводные'!$B$83*'Вводные'!$Q$91,0)</x:f>
      </x:c>
      <x:c r="EI53" s="117" t="n">
        <x:f>IF(EI50&gt;0,'Вводные'!$B$83*'Вводные'!$Q$91,0)</x:f>
      </x:c>
      <x:c r="EJ53" s="117" t="n">
        <x:f>IF(EJ50&gt;0,'Вводные'!$B$83*'Вводные'!$Q$91,0)</x:f>
      </x:c>
      <x:c r="EK53" s="117" t="n">
        <x:f>IF(EK50&gt;0,'Вводные'!$B$83*'Вводные'!$Q$91,0)</x:f>
      </x:c>
      <x:c r="EL53" s="117" t="n">
        <x:f>IF(EL50&gt;0,'Вводные'!$B$83*'Вводные'!$Q$91,0)</x:f>
      </x:c>
      <x:c r="EM53" s="117" t="n">
        <x:f>IF(EM50&gt;0,'Вводные'!$B$83*'Вводные'!$Q$91,0)</x:f>
      </x:c>
      <x:c r="EN53" s="117" t="n">
        <x:f>IF(EN50&gt;0,'Вводные'!$B$83*'Вводные'!$Q$91,0)</x:f>
      </x:c>
      <x:c r="EO53" s="117" t="n">
        <x:f>IF(EO50&gt;0,'Вводные'!$B$83*'Вводные'!$Q$91,0)</x:f>
      </x:c>
      <x:c r="EP53" s="117" t="n">
        <x:f>IF(EP50&gt;0,'Вводные'!$B$83*'Вводные'!$Q$91,0)</x:f>
      </x:c>
      <x:c r="EQ53" s="117" t="n">
        <x:f>IF(EQ50&gt;0,'Вводные'!$B$83*'Вводные'!$Q$91,0)</x:f>
      </x:c>
      <x:c r="ER53" s="117" t="n">
        <x:f>IF(ER50&gt;0,'Вводные'!$B$83*'Вводные'!$Q$91,0)</x:f>
      </x:c>
      <x:c r="ES53" s="117" t="n">
        <x:f>IF(ES50&gt;0,'Вводные'!$B$83*'Вводные'!$Q$91,0)</x:f>
      </x:c>
      <x:c r="ET53" s="117" t="n">
        <x:f>IF(ET50&gt;0,'Вводные'!$B$83*'Вводные'!$Q$91,0)</x:f>
      </x:c>
      <x:c r="EU53" s="117" t="n">
        <x:f>IF(EU50&gt;0,'Вводные'!$B$83*'Вводные'!$Q$91,0)</x:f>
      </x:c>
      <x:c r="EV53" s="117" t="n">
        <x:f>IF(EV50&gt;0,'Вводные'!$B$83*'Вводные'!$Q$91,0)</x:f>
      </x:c>
      <x:c r="EW53" s="117" t="n">
        <x:f>IF(EW50&gt;0,'Вводные'!$B$83*'Вводные'!$Q$91,0)</x:f>
      </x:c>
      <x:c r="EX53" s="117" t="n">
        <x:f>IF(EX50&gt;0,'Вводные'!$B$83*'Вводные'!$Q$91,0)</x:f>
      </x:c>
      <x:c r="EY53" s="117" t="n">
        <x:f>IF(EY50&gt;0,'Вводные'!$B$83*'Вводные'!$Q$91,0)</x:f>
      </x:c>
      <x:c r="EZ53" s="117" t="n">
        <x:f>IF(EZ50&gt;0,'Вводные'!$B$83*'Вводные'!$Q$91,0)</x:f>
      </x:c>
      <x:c r="FA53" s="117" t="n">
        <x:f>IF(FA50&gt;0,'Вводные'!$B$83*'Вводные'!$Q$91,0)</x:f>
      </x:c>
      <x:c r="FB53" s="117" t="n">
        <x:f>IF(FB50&gt;0,'Вводные'!$B$83*'Вводные'!$Q$91,0)</x:f>
      </x:c>
      <x:c r="FC53" s="117" t="n">
        <x:f>IF(FC50&gt;0,'Вводные'!$B$83*'Вводные'!$Q$91,0)</x:f>
      </x:c>
      <x:c r="FD53" s="117" t="n">
        <x:f>IF(FD50&gt;0,'Вводные'!$B$83*'Вводные'!$Q$91,0)</x:f>
      </x:c>
      <x:c r="FE53" s="117" t="n">
        <x:f>IF(FE50&gt;0,'Вводные'!$B$83*'Вводные'!$Q$91,0)</x:f>
      </x:c>
      <x:c r="FF53" s="117" t="n">
        <x:f>IF(FF50&gt;0,'Вводные'!$B$83*'Вводные'!$Q$91,0)</x:f>
      </x:c>
      <x:c r="FG53" s="117" t="n">
        <x:f>IF(FG50&gt;0,'Вводные'!$B$83*'Вводные'!$Q$91,0)</x:f>
      </x:c>
      <x:c r="FH53" s="117" t="n">
        <x:f>IF(FH50&gt;0,'Вводные'!$B$83*'Вводные'!$Q$91,0)</x:f>
      </x:c>
      <x:c r="FI53" s="117" t="n">
        <x:f>IF(FI50&gt;0,'Вводные'!$B$83*'Вводные'!$Q$91,0)</x:f>
      </x:c>
      <x:c r="FJ53" s="117" t="n">
        <x:f>IF(FJ50&gt;0,'Вводные'!$B$83*'Вводные'!$Q$91,0)</x:f>
      </x:c>
      <x:c r="FK53" s="117" t="n">
        <x:f>IF(FK50&gt;0,'Вводные'!$B$83*'Вводные'!$Q$91,0)</x:f>
      </x:c>
      <x:c r="FL53" s="117" t="n">
        <x:f>IF(FL50&gt;0,'Вводные'!$B$83*'Вводные'!$Q$91,0)</x:f>
      </x:c>
      <x:c r="FM53" s="117" t="n">
        <x:f>IF(FM50&gt;0,'Вводные'!$B$83*'Вводные'!$Q$91,0)</x:f>
      </x:c>
      <x:c r="FN53" s="117" t="n">
        <x:f>IF(FN50&gt;0,'Вводные'!$B$83*'Вводные'!$Q$91,0)</x:f>
      </x:c>
      <x:c r="FO53" s="117" t="n">
        <x:f>IF(FO50&gt;0,'Вводные'!$B$83*'Вводные'!$Q$91,0)</x:f>
      </x:c>
      <x:c r="FP53" s="117" t="n">
        <x:f>IF(FP50&gt;0,'Вводные'!$B$83*'Вводные'!$Q$91,0)</x:f>
      </x:c>
      <x:c r="FQ53" s="117" t="n">
        <x:f>IF(FQ50&gt;0,'Вводные'!$B$83*'Вводные'!$Q$91,0)</x:f>
      </x:c>
      <x:c r="FR53" s="117" t="n">
        <x:f>IF(FR50&gt;0,'Вводные'!$B$83*'Вводные'!$Q$91,0)</x:f>
      </x:c>
      <x:c r="FS53" s="117" t="n">
        <x:f>IF(FS50&gt;0,'Вводные'!$B$83*'Вводные'!$Q$91,0)</x:f>
      </x:c>
      <x:c r="FT53" s="117" t="n">
        <x:f>IF(FT50&gt;0,'Вводные'!$B$83*'Вводные'!$Q$91,0)</x:f>
      </x:c>
      <x:c r="FU53" s="117" t="n">
        <x:f>IF(FU50&gt;0,'Вводные'!$B$83*'Вводные'!$Q$91,0)</x:f>
      </x:c>
      <x:c r="FV53" s="117" t="n">
        <x:f>IF(FV50&gt;0,'Вводные'!$B$83*'Вводные'!$Q$91,0)</x:f>
      </x:c>
      <x:c r="FW53" s="117" t="n">
        <x:f>IF(FW50&gt;0,'Вводные'!$B$83*'Вводные'!$Q$91,0)</x:f>
      </x:c>
      <x:c r="FX53" s="117" t="n">
        <x:f>IF(FX50&gt;0,'Вводные'!$B$83*'Вводные'!$Q$91,0)</x:f>
      </x:c>
      <x:c r="FY53" s="117" t="n">
        <x:f>IF(FY50&gt;0,'Вводные'!$B$83*'Вводные'!$Q$91,0)</x:f>
      </x:c>
      <x:c r="FZ53" s="117" t="n">
        <x:f>IF(FZ50&gt;0,'Вводные'!$B$83*'Вводные'!$Q$91,0)</x:f>
      </x:c>
      <x:c r="GA53" s="117" t="n">
        <x:f>IF(GA50&gt;0,'Вводные'!$B$83*'Вводные'!$Q$91,0)</x:f>
      </x:c>
    </x:row>
    <x:row r="54">
      <x:c r="A54" s="113" t="str">
        <x:v>ДЕНЕЖНЫЙ ПЛАТЁЖ ПО ВРИ</x:v>
      </x:c>
      <x:c r="B54" s="113" t="n">
        <x:f>SUM(D54:GA54)</x:f>
      </x:c>
      <x:c r="C54" s="113" t="str">
        <x:v>млн ₽</x:v>
      </x:c>
      <x:c r="D54" s="120" t="n">
        <x:f>SUM(D51:D53)</x:f>
      </x:c>
      <x:c r="E54" s="120" t="n">
        <x:f>SUM(E51:E53)</x:f>
      </x:c>
      <x:c r="F54" s="120" t="n">
        <x:f>SUM(F51:F53)</x:f>
      </x:c>
      <x:c r="G54" s="120" t="n">
        <x:f>SUM(G51:G53)</x:f>
      </x:c>
      <x:c r="H54" s="120" t="n">
        <x:f>SUM(H51:H53)</x:f>
      </x:c>
      <x:c r="I54" s="120" t="n">
        <x:f>SUM(I51:I53)</x:f>
      </x:c>
      <x:c r="J54" s="120" t="n">
        <x:f>SUM(J51:J53)</x:f>
      </x:c>
      <x:c r="K54" s="120" t="n">
        <x:f>SUM(K51:K53)</x:f>
      </x:c>
      <x:c r="L54" s="120" t="n">
        <x:f>SUM(L51:L53)</x:f>
      </x:c>
      <x:c r="M54" s="120" t="n">
        <x:f>SUM(M51:M53)</x:f>
      </x:c>
      <x:c r="N54" s="120" t="n">
        <x:f>SUM(N51:N53)</x:f>
      </x:c>
      <x:c r="O54" s="120" t="n">
        <x:f>SUM(O51:O53)</x:f>
      </x:c>
      <x:c r="P54" s="120" t="n">
        <x:f>SUM(P51:P53)</x:f>
      </x:c>
      <x:c r="Q54" s="120" t="n">
        <x:f>SUM(Q51:Q53)</x:f>
      </x:c>
      <x:c r="R54" s="120" t="n">
        <x:f>SUM(R51:R53)</x:f>
      </x:c>
      <x:c r="S54" s="120" t="n">
        <x:f>SUM(S51:S53)</x:f>
      </x:c>
      <x:c r="T54" s="120" t="n">
        <x:f>SUM(T51:T53)</x:f>
      </x:c>
      <x:c r="U54" s="120" t="n">
        <x:f>SUM(U51:U53)</x:f>
      </x:c>
      <x:c r="V54" s="120" t="n">
        <x:f>SUM(V51:V53)</x:f>
      </x:c>
      <x:c r="W54" s="120" t="n">
        <x:f>SUM(W51:W53)</x:f>
      </x:c>
      <x:c r="X54" s="120" t="n">
        <x:f>SUM(X51:X53)</x:f>
      </x:c>
      <x:c r="Y54" s="120" t="n">
        <x:f>SUM(Y51:Y53)</x:f>
      </x:c>
      <x:c r="Z54" s="120" t="n">
        <x:f>SUM(Z51:Z53)</x:f>
      </x:c>
      <x:c r="AA54" s="120" t="n">
        <x:f>SUM(AA51:AA53)</x:f>
      </x:c>
      <x:c r="AB54" s="120" t="n">
        <x:f>SUM(AB51:AB53)</x:f>
      </x:c>
      <x:c r="AC54" s="120" t="n">
        <x:f>SUM(AC51:AC53)</x:f>
      </x:c>
      <x:c r="AD54" s="120" t="n">
        <x:f>SUM(AD51:AD53)</x:f>
      </x:c>
      <x:c r="AE54" s="120" t="n">
        <x:f>SUM(AE51:AE53)</x:f>
      </x:c>
      <x:c r="AF54" s="120" t="n">
        <x:f>SUM(AF51:AF53)</x:f>
      </x:c>
      <x:c r="AG54" s="120" t="n">
        <x:f>SUM(AG51:AG53)</x:f>
      </x:c>
      <x:c r="AH54" s="120" t="n">
        <x:f>SUM(AH51:AH53)</x:f>
      </x:c>
      <x:c r="AI54" s="120" t="n">
        <x:f>SUM(AI51:AI53)</x:f>
      </x:c>
      <x:c r="AJ54" s="120" t="n">
        <x:f>SUM(AJ51:AJ53)</x:f>
      </x:c>
      <x:c r="AK54" s="120" t="n">
        <x:f>SUM(AK51:AK53)</x:f>
      </x:c>
      <x:c r="AL54" s="120" t="n">
        <x:f>SUM(AL51:AL53)</x:f>
      </x:c>
      <x:c r="AM54" s="120" t="n">
        <x:f>SUM(AM51:AM53)</x:f>
      </x:c>
      <x:c r="AN54" s="120" t="n">
        <x:f>SUM(AN51:AN53)</x:f>
      </x:c>
      <x:c r="AO54" s="120" t="n">
        <x:f>SUM(AO51:AO53)</x:f>
      </x:c>
      <x:c r="AP54" s="120" t="n">
        <x:f>SUM(AP51:AP53)</x:f>
      </x:c>
      <x:c r="AQ54" s="120" t="n">
        <x:f>SUM(AQ51:AQ53)</x:f>
      </x:c>
      <x:c r="AR54" s="120" t="n">
        <x:f>SUM(AR51:AR53)</x:f>
      </x:c>
      <x:c r="AS54" s="120" t="n">
        <x:f>SUM(AS51:AS53)</x:f>
      </x:c>
      <x:c r="AT54" s="120" t="n">
        <x:f>SUM(AT51:AT53)</x:f>
      </x:c>
      <x:c r="AU54" s="120" t="n">
        <x:f>SUM(AU51:AU53)</x:f>
      </x:c>
      <x:c r="AV54" s="120" t="n">
        <x:f>SUM(AV51:AV53)</x:f>
      </x:c>
      <x:c r="AW54" s="120" t="n">
        <x:f>SUM(AW51:AW53)</x:f>
      </x:c>
      <x:c r="AX54" s="120" t="n">
        <x:f>SUM(AX51:AX53)</x:f>
      </x:c>
      <x:c r="AY54" s="120" t="n">
        <x:f>SUM(AY51:AY53)</x:f>
      </x:c>
      <x:c r="AZ54" s="120" t="n">
        <x:f>SUM(AZ51:AZ53)</x:f>
      </x:c>
      <x:c r="BA54" s="120" t="n">
        <x:f>SUM(BA51:BA53)</x:f>
      </x:c>
      <x:c r="BB54" s="120" t="n">
        <x:f>SUM(BB51:BB53)</x:f>
      </x:c>
      <x:c r="BC54" s="120" t="n">
        <x:f>SUM(BC51:BC53)</x:f>
      </x:c>
      <x:c r="BD54" s="120" t="n">
        <x:f>SUM(BD51:BD53)</x:f>
      </x:c>
      <x:c r="BE54" s="120" t="n">
        <x:f>SUM(BE51:BE53)</x:f>
      </x:c>
      <x:c r="BF54" s="120" t="n">
        <x:f>SUM(BF51:BF53)</x:f>
      </x:c>
      <x:c r="BG54" s="120" t="n">
        <x:f>SUM(BG51:BG53)</x:f>
      </x:c>
      <x:c r="BH54" s="120" t="n">
        <x:f>SUM(BH51:BH53)</x:f>
      </x:c>
      <x:c r="BI54" s="120" t="n">
        <x:f>SUM(BI51:BI53)</x:f>
      </x:c>
      <x:c r="BJ54" s="120" t="n">
        <x:f>SUM(BJ51:BJ53)</x:f>
      </x:c>
      <x:c r="BK54" s="120" t="n">
        <x:f>SUM(BK51:BK53)</x:f>
      </x:c>
      <x:c r="BL54" s="120" t="n">
        <x:f>SUM(BL51:BL53)</x:f>
      </x:c>
      <x:c r="BM54" s="120" t="n">
        <x:f>SUM(BM51:BM53)</x:f>
      </x:c>
      <x:c r="BN54" s="120" t="n">
        <x:f>SUM(BN51:BN53)</x:f>
      </x:c>
      <x:c r="BO54" s="120" t="n">
        <x:f>SUM(BO51:BO53)</x:f>
      </x:c>
      <x:c r="BP54" s="120" t="n">
        <x:f>SUM(BP51:BP53)</x:f>
      </x:c>
      <x:c r="BQ54" s="120" t="n">
        <x:f>SUM(BQ51:BQ53)</x:f>
      </x:c>
      <x:c r="BR54" s="120" t="n">
        <x:f>SUM(BR51:BR53)</x:f>
      </x:c>
      <x:c r="BS54" s="120" t="n">
        <x:f>SUM(BS51:BS53)</x:f>
      </x:c>
      <x:c r="BT54" s="120" t="n">
        <x:f>SUM(BT51:BT53)</x:f>
      </x:c>
      <x:c r="BU54" s="120" t="n">
        <x:f>SUM(BU51:BU53)</x:f>
      </x:c>
      <x:c r="BV54" s="120" t="n">
        <x:f>SUM(BV51:BV53)</x:f>
      </x:c>
      <x:c r="BW54" s="120" t="n">
        <x:f>SUM(BW51:BW53)</x:f>
      </x:c>
      <x:c r="BX54" s="120" t="n">
        <x:f>SUM(BX51:BX53)</x:f>
      </x:c>
      <x:c r="BY54" s="120" t="n">
        <x:f>SUM(BY51:BY53)</x:f>
      </x:c>
      <x:c r="BZ54" s="120" t="n">
        <x:f>SUM(BZ51:BZ53)</x:f>
      </x:c>
      <x:c r="CA54" s="120" t="n">
        <x:f>SUM(CA51:CA53)</x:f>
      </x:c>
      <x:c r="CB54" s="120" t="n">
        <x:f>SUM(CB51:CB53)</x:f>
      </x:c>
      <x:c r="CC54" s="120" t="n">
        <x:f>SUM(CC51:CC53)</x:f>
      </x:c>
      <x:c r="CD54" s="120" t="n">
        <x:f>SUM(CD51:CD53)</x:f>
      </x:c>
      <x:c r="CE54" s="120" t="n">
        <x:f>SUM(CE51:CE53)</x:f>
      </x:c>
      <x:c r="CF54" s="120" t="n">
        <x:f>SUM(CF51:CF53)</x:f>
      </x:c>
      <x:c r="CG54" s="120" t="n">
        <x:f>SUM(CG51:CG53)</x:f>
      </x:c>
      <x:c r="CH54" s="120" t="n">
        <x:f>SUM(CH51:CH53)</x:f>
      </x:c>
      <x:c r="CI54" s="120" t="n">
        <x:f>SUM(CI51:CI53)</x:f>
      </x:c>
      <x:c r="CJ54" s="120" t="n">
        <x:f>SUM(CJ51:CJ53)</x:f>
      </x:c>
      <x:c r="CK54" s="120" t="n">
        <x:f>SUM(CK51:CK53)</x:f>
      </x:c>
      <x:c r="CL54" s="120" t="n">
        <x:f>SUM(CL51:CL53)</x:f>
      </x:c>
      <x:c r="CM54" s="120" t="n">
        <x:f>SUM(CM51:CM53)</x:f>
      </x:c>
      <x:c r="CN54" s="120" t="n">
        <x:f>SUM(CN51:CN53)</x:f>
      </x:c>
      <x:c r="CO54" s="120" t="n">
        <x:f>SUM(CO51:CO53)</x:f>
      </x:c>
      <x:c r="CP54" s="120" t="n">
        <x:f>SUM(CP51:CP53)</x:f>
      </x:c>
      <x:c r="CQ54" s="120" t="n">
        <x:f>SUM(CQ51:CQ53)</x:f>
      </x:c>
      <x:c r="CR54" s="120" t="n">
        <x:f>SUM(CR51:CR53)</x:f>
      </x:c>
      <x:c r="CS54" s="120" t="n">
        <x:f>SUM(CS51:CS53)</x:f>
      </x:c>
      <x:c r="CT54" s="120" t="n">
        <x:f>SUM(CT51:CT53)</x:f>
      </x:c>
      <x:c r="CU54" s="120" t="n">
        <x:f>SUM(CU51:CU53)</x:f>
      </x:c>
      <x:c r="CV54" s="120" t="n">
        <x:f>SUM(CV51:CV53)</x:f>
      </x:c>
      <x:c r="CW54" s="120" t="n">
        <x:f>SUM(CW51:CW53)</x:f>
      </x:c>
      <x:c r="CX54" s="120" t="n">
        <x:f>SUM(CX51:CX53)</x:f>
      </x:c>
      <x:c r="CY54" s="120" t="n">
        <x:f>SUM(CY51:CY53)</x:f>
      </x:c>
      <x:c r="CZ54" s="120" t="n">
        <x:f>SUM(CZ51:CZ53)</x:f>
      </x:c>
      <x:c r="DA54" s="120" t="n">
        <x:f>SUM(DA51:DA53)</x:f>
      </x:c>
      <x:c r="DB54" s="120" t="n">
        <x:f>SUM(DB51:DB53)</x:f>
      </x:c>
      <x:c r="DC54" s="120" t="n">
        <x:f>SUM(DC51:DC53)</x:f>
      </x:c>
      <x:c r="DD54" s="120" t="n">
        <x:f>SUM(DD51:DD53)</x:f>
      </x:c>
      <x:c r="DE54" s="120" t="n">
        <x:f>SUM(DE51:DE53)</x:f>
      </x:c>
      <x:c r="DF54" s="120" t="n">
        <x:f>SUM(DF51:DF53)</x:f>
      </x:c>
      <x:c r="DG54" s="120" t="n">
        <x:f>SUM(DG51:DG53)</x:f>
      </x:c>
      <x:c r="DH54" s="120" t="n">
        <x:f>SUM(DH51:DH53)</x:f>
      </x:c>
      <x:c r="DI54" s="120" t="n">
        <x:f>SUM(DI51:DI53)</x:f>
      </x:c>
      <x:c r="DJ54" s="120" t="n">
        <x:f>SUM(DJ51:DJ53)</x:f>
      </x:c>
      <x:c r="DK54" s="120" t="n">
        <x:f>SUM(DK51:DK53)</x:f>
      </x:c>
      <x:c r="DL54" s="120" t="n">
        <x:f>SUM(DL51:DL53)</x:f>
      </x:c>
      <x:c r="DM54" s="120" t="n">
        <x:f>SUM(DM51:DM53)</x:f>
      </x:c>
      <x:c r="DN54" s="120" t="n">
        <x:f>SUM(DN51:DN53)</x:f>
      </x:c>
      <x:c r="DO54" s="120" t="n">
        <x:f>SUM(DO51:DO53)</x:f>
      </x:c>
      <x:c r="DP54" s="120" t="n">
        <x:f>SUM(DP51:DP53)</x:f>
      </x:c>
      <x:c r="DQ54" s="120" t="n">
        <x:f>SUM(DQ51:DQ53)</x:f>
      </x:c>
      <x:c r="DR54" s="120" t="n">
        <x:f>SUM(DR51:DR53)</x:f>
      </x:c>
      <x:c r="DS54" s="120" t="n">
        <x:f>SUM(DS51:DS53)</x:f>
      </x:c>
      <x:c r="DT54" s="120" t="n">
        <x:f>SUM(DT51:DT53)</x:f>
      </x:c>
      <x:c r="DU54" s="120" t="n">
        <x:f>SUM(DU51:DU53)</x:f>
      </x:c>
      <x:c r="DV54" s="120" t="n">
        <x:f>SUM(DV51:DV53)</x:f>
      </x:c>
      <x:c r="DW54" s="120" t="n">
        <x:f>SUM(DW51:DW53)</x:f>
      </x:c>
      <x:c r="DX54" s="120" t="n">
        <x:f>SUM(DX51:DX53)</x:f>
      </x:c>
      <x:c r="DY54" s="120" t="n">
        <x:f>SUM(DY51:DY53)</x:f>
      </x:c>
      <x:c r="DZ54" s="120" t="n">
        <x:f>SUM(DZ51:DZ53)</x:f>
      </x:c>
      <x:c r="EA54" s="120" t="n">
        <x:f>SUM(EA51:EA53)</x:f>
      </x:c>
      <x:c r="EB54" s="120" t="n">
        <x:f>SUM(EB51:EB53)</x:f>
      </x:c>
      <x:c r="EC54" s="120" t="n">
        <x:f>SUM(EC51:EC53)</x:f>
      </x:c>
      <x:c r="ED54" s="120" t="n">
        <x:f>SUM(ED51:ED53)</x:f>
      </x:c>
      <x:c r="EE54" s="120" t="n">
        <x:f>SUM(EE51:EE53)</x:f>
      </x:c>
      <x:c r="EF54" s="120" t="n">
        <x:f>SUM(EF51:EF53)</x:f>
      </x:c>
      <x:c r="EG54" s="120" t="n">
        <x:f>SUM(EG51:EG53)</x:f>
      </x:c>
      <x:c r="EH54" s="120" t="n">
        <x:f>SUM(EH51:EH53)</x:f>
      </x:c>
      <x:c r="EI54" s="120" t="n">
        <x:f>SUM(EI51:EI53)</x:f>
      </x:c>
      <x:c r="EJ54" s="120" t="n">
        <x:f>SUM(EJ51:EJ53)</x:f>
      </x:c>
      <x:c r="EK54" s="120" t="n">
        <x:f>SUM(EK51:EK53)</x:f>
      </x:c>
      <x:c r="EL54" s="120" t="n">
        <x:f>SUM(EL51:EL53)</x:f>
      </x:c>
      <x:c r="EM54" s="120" t="n">
        <x:f>SUM(EM51:EM53)</x:f>
      </x:c>
      <x:c r="EN54" s="120" t="n">
        <x:f>SUM(EN51:EN53)</x:f>
      </x:c>
      <x:c r="EO54" s="120" t="n">
        <x:f>SUM(EO51:EO53)</x:f>
      </x:c>
      <x:c r="EP54" s="120" t="n">
        <x:f>SUM(EP51:EP53)</x:f>
      </x:c>
      <x:c r="EQ54" s="120" t="n">
        <x:f>SUM(EQ51:EQ53)</x:f>
      </x:c>
      <x:c r="ER54" s="120" t="n">
        <x:f>SUM(ER51:ER53)</x:f>
      </x:c>
      <x:c r="ES54" s="120" t="n">
        <x:f>SUM(ES51:ES53)</x:f>
      </x:c>
      <x:c r="ET54" s="120" t="n">
        <x:f>SUM(ET51:ET53)</x:f>
      </x:c>
      <x:c r="EU54" s="120" t="n">
        <x:f>SUM(EU51:EU53)</x:f>
      </x:c>
      <x:c r="EV54" s="120" t="n">
        <x:f>SUM(EV51:EV53)</x:f>
      </x:c>
      <x:c r="EW54" s="120" t="n">
        <x:f>SUM(EW51:EW53)</x:f>
      </x:c>
      <x:c r="EX54" s="120" t="n">
        <x:f>SUM(EX51:EX53)</x:f>
      </x:c>
      <x:c r="EY54" s="120" t="n">
        <x:f>SUM(EY51:EY53)</x:f>
      </x:c>
      <x:c r="EZ54" s="120" t="n">
        <x:f>SUM(EZ51:EZ53)</x:f>
      </x:c>
      <x:c r="FA54" s="120" t="n">
        <x:f>SUM(FA51:FA53)</x:f>
      </x:c>
      <x:c r="FB54" s="120" t="n">
        <x:f>SUM(FB51:FB53)</x:f>
      </x:c>
      <x:c r="FC54" s="120" t="n">
        <x:f>SUM(FC51:FC53)</x:f>
      </x:c>
      <x:c r="FD54" s="120" t="n">
        <x:f>SUM(FD51:FD53)</x:f>
      </x:c>
      <x:c r="FE54" s="120" t="n">
        <x:f>SUM(FE51:FE53)</x:f>
      </x:c>
      <x:c r="FF54" s="120" t="n">
        <x:f>SUM(FF51:FF53)</x:f>
      </x:c>
      <x:c r="FG54" s="120" t="n">
        <x:f>SUM(FG51:FG53)</x:f>
      </x:c>
      <x:c r="FH54" s="120" t="n">
        <x:f>SUM(FH51:FH53)</x:f>
      </x:c>
      <x:c r="FI54" s="120" t="n">
        <x:f>SUM(FI51:FI53)</x:f>
      </x:c>
      <x:c r="FJ54" s="120" t="n">
        <x:f>SUM(FJ51:FJ53)</x:f>
      </x:c>
      <x:c r="FK54" s="120" t="n">
        <x:f>SUM(FK51:FK53)</x:f>
      </x:c>
      <x:c r="FL54" s="120" t="n">
        <x:f>SUM(FL51:FL53)</x:f>
      </x:c>
      <x:c r="FM54" s="120" t="n">
        <x:f>SUM(FM51:FM53)</x:f>
      </x:c>
      <x:c r="FN54" s="120" t="n">
        <x:f>SUM(FN51:FN53)</x:f>
      </x:c>
      <x:c r="FO54" s="120" t="n">
        <x:f>SUM(FO51:FO53)</x:f>
      </x:c>
      <x:c r="FP54" s="120" t="n">
        <x:f>SUM(FP51:FP53)</x:f>
      </x:c>
      <x:c r="FQ54" s="120" t="n">
        <x:f>SUM(FQ51:FQ53)</x:f>
      </x:c>
      <x:c r="FR54" s="120" t="n">
        <x:f>SUM(FR51:FR53)</x:f>
      </x:c>
      <x:c r="FS54" s="120" t="n">
        <x:f>SUM(FS51:FS53)</x:f>
      </x:c>
      <x:c r="FT54" s="120" t="n">
        <x:f>SUM(FT51:FT53)</x:f>
      </x:c>
      <x:c r="FU54" s="120" t="n">
        <x:f>SUM(FU51:FU53)</x:f>
      </x:c>
      <x:c r="FV54" s="120" t="n">
        <x:f>SUM(FV51:FV53)</x:f>
      </x:c>
      <x:c r="FW54" s="120" t="n">
        <x:f>SUM(FW51:FW53)</x:f>
      </x:c>
      <x:c r="FX54" s="120" t="n">
        <x:f>SUM(FX51:FX53)</x:f>
      </x:c>
      <x:c r="FY54" s="120" t="n">
        <x:f>SUM(FY51:FY53)</x:f>
      </x:c>
      <x:c r="FZ54" s="120" t="n">
        <x:f>SUM(FZ51:FZ53)</x:f>
      </x:c>
      <x:c r="GA54" s="120" t="n">
        <x:f>SUM(GA51:GA53)</x:f>
      </x:c>
    </x:row>
    <x:row r="55">
      <x:c r="A55" t="str">
        <x:v>Остаток на конец</x:v>
      </x:c>
      <x:c r="B55" s="107" t="n">
        <x:f>GA55</x:f>
      </x:c>
      <x:c r="C55" t="str">
        <x:v>млн ₽</x:v>
      </x:c>
      <x:c r="D55" s="117" t="n">
        <x:f>MAX(0,D49+D50-D51)</x:f>
      </x:c>
      <x:c r="E55" s="117" t="n">
        <x:f>MAX(0,E49+E50-E51)</x:f>
      </x:c>
      <x:c r="F55" s="117" t="n">
        <x:f>MAX(0,F49+F50-F51)</x:f>
      </x:c>
      <x:c r="G55" s="117" t="n">
        <x:f>MAX(0,G49+G50-G51)</x:f>
      </x:c>
      <x:c r="H55" s="117" t="n">
        <x:f>MAX(0,H49+H50-H51)</x:f>
      </x:c>
      <x:c r="I55" s="117" t="n">
        <x:f>MAX(0,I49+I50-I51)</x:f>
      </x:c>
      <x:c r="J55" s="117" t="n">
        <x:f>MAX(0,J49+J50-J51)</x:f>
      </x:c>
      <x:c r="K55" s="117" t="n">
        <x:f>MAX(0,K49+K50-K51)</x:f>
      </x:c>
      <x:c r="L55" s="117" t="n">
        <x:f>MAX(0,L49+L50-L51)</x:f>
      </x:c>
      <x:c r="M55" s="117" t="n">
        <x:f>MAX(0,M49+M50-M51)</x:f>
      </x:c>
      <x:c r="N55" s="117" t="n">
        <x:f>MAX(0,N49+N50-N51)</x:f>
      </x:c>
      <x:c r="O55" s="117" t="n">
        <x:f>MAX(0,O49+O50-O51)</x:f>
      </x:c>
      <x:c r="P55" s="117" t="n">
        <x:f>MAX(0,P49+P50-P51)</x:f>
      </x:c>
      <x:c r="Q55" s="117" t="n">
        <x:f>MAX(0,Q49+Q50-Q51)</x:f>
      </x:c>
      <x:c r="R55" s="117" t="n">
        <x:f>MAX(0,R49+R50-R51)</x:f>
      </x:c>
      <x:c r="S55" s="117" t="n">
        <x:f>MAX(0,S49+S50-S51)</x:f>
      </x:c>
      <x:c r="T55" s="117" t="n">
        <x:f>MAX(0,T49+T50-T51)</x:f>
      </x:c>
      <x:c r="U55" s="117" t="n">
        <x:f>MAX(0,U49+U50-U51)</x:f>
      </x:c>
      <x:c r="V55" s="117" t="n">
        <x:f>MAX(0,V49+V50-V51)</x:f>
      </x:c>
      <x:c r="W55" s="117" t="n">
        <x:f>MAX(0,W49+W50-W51)</x:f>
      </x:c>
      <x:c r="X55" s="117" t="n">
        <x:f>MAX(0,X49+X50-X51)</x:f>
      </x:c>
      <x:c r="Y55" s="117" t="n">
        <x:f>MAX(0,Y49+Y50-Y51)</x:f>
      </x:c>
      <x:c r="Z55" s="117" t="n">
        <x:f>MAX(0,Z49+Z50-Z51)</x:f>
      </x:c>
      <x:c r="AA55" s="117" t="n">
        <x:f>MAX(0,AA49+AA50-AA51)</x:f>
      </x:c>
      <x:c r="AB55" s="117" t="n">
        <x:f>MAX(0,AB49+AB50-AB51)</x:f>
      </x:c>
      <x:c r="AC55" s="117" t="n">
        <x:f>MAX(0,AC49+AC50-AC51)</x:f>
      </x:c>
      <x:c r="AD55" s="117" t="n">
        <x:f>MAX(0,AD49+AD50-AD51)</x:f>
      </x:c>
      <x:c r="AE55" s="117" t="n">
        <x:f>MAX(0,AE49+AE50-AE51)</x:f>
      </x:c>
      <x:c r="AF55" s="117" t="n">
        <x:f>MAX(0,AF49+AF50-AF51)</x:f>
      </x:c>
      <x:c r="AG55" s="117" t="n">
        <x:f>MAX(0,AG49+AG50-AG51)</x:f>
      </x:c>
      <x:c r="AH55" s="117" t="n">
        <x:f>MAX(0,AH49+AH50-AH51)</x:f>
      </x:c>
      <x:c r="AI55" s="117" t="n">
        <x:f>MAX(0,AI49+AI50-AI51)</x:f>
      </x:c>
      <x:c r="AJ55" s="117" t="n">
        <x:f>MAX(0,AJ49+AJ50-AJ51)</x:f>
      </x:c>
      <x:c r="AK55" s="117" t="n">
        <x:f>MAX(0,AK49+AK50-AK51)</x:f>
      </x:c>
      <x:c r="AL55" s="117" t="n">
        <x:f>MAX(0,AL49+AL50-AL51)</x:f>
      </x:c>
      <x:c r="AM55" s="117" t="n">
        <x:f>MAX(0,AM49+AM50-AM51)</x:f>
      </x:c>
      <x:c r="AN55" s="117" t="n">
        <x:f>MAX(0,AN49+AN50-AN51)</x:f>
      </x:c>
      <x:c r="AO55" s="117" t="n">
        <x:f>MAX(0,AO49+AO50-AO51)</x:f>
      </x:c>
      <x:c r="AP55" s="117" t="n">
        <x:f>MAX(0,AP49+AP50-AP51)</x:f>
      </x:c>
      <x:c r="AQ55" s="117" t="n">
        <x:f>MAX(0,AQ49+AQ50-AQ51)</x:f>
      </x:c>
      <x:c r="AR55" s="117" t="n">
        <x:f>MAX(0,AR49+AR50-AR51)</x:f>
      </x:c>
      <x:c r="AS55" s="117" t="n">
        <x:f>MAX(0,AS49+AS50-AS51)</x:f>
      </x:c>
      <x:c r="AT55" s="117" t="n">
        <x:f>MAX(0,AT49+AT50-AT51)</x:f>
      </x:c>
      <x:c r="AU55" s="117" t="n">
        <x:f>MAX(0,AU49+AU50-AU51)</x:f>
      </x:c>
      <x:c r="AV55" s="117" t="n">
        <x:f>MAX(0,AV49+AV50-AV51)</x:f>
      </x:c>
      <x:c r="AW55" s="117" t="n">
        <x:f>MAX(0,AW49+AW50-AW51)</x:f>
      </x:c>
      <x:c r="AX55" s="117" t="n">
        <x:f>MAX(0,AX49+AX50-AX51)</x:f>
      </x:c>
      <x:c r="AY55" s="117" t="n">
        <x:f>MAX(0,AY49+AY50-AY51)</x:f>
      </x:c>
      <x:c r="AZ55" s="117" t="n">
        <x:f>MAX(0,AZ49+AZ50-AZ51)</x:f>
      </x:c>
      <x:c r="BA55" s="117" t="n">
        <x:f>MAX(0,BA49+BA50-BA51)</x:f>
      </x:c>
      <x:c r="BB55" s="117" t="n">
        <x:f>MAX(0,BB49+BB50-BB51)</x:f>
      </x:c>
      <x:c r="BC55" s="117" t="n">
        <x:f>MAX(0,BC49+BC50-BC51)</x:f>
      </x:c>
      <x:c r="BD55" s="117" t="n">
        <x:f>MAX(0,BD49+BD50-BD51)</x:f>
      </x:c>
      <x:c r="BE55" s="117" t="n">
        <x:f>MAX(0,BE49+BE50-BE51)</x:f>
      </x:c>
      <x:c r="BF55" s="117" t="n">
        <x:f>MAX(0,BF49+BF50-BF51)</x:f>
      </x:c>
      <x:c r="BG55" s="117" t="n">
        <x:f>MAX(0,BG49+BG50-BG51)</x:f>
      </x:c>
      <x:c r="BH55" s="117" t="n">
        <x:f>MAX(0,BH49+BH50-BH51)</x:f>
      </x:c>
      <x:c r="BI55" s="117" t="n">
        <x:f>MAX(0,BI49+BI50-BI51)</x:f>
      </x:c>
      <x:c r="BJ55" s="117" t="n">
        <x:f>MAX(0,BJ49+BJ50-BJ51)</x:f>
      </x:c>
      <x:c r="BK55" s="117" t="n">
        <x:f>MAX(0,BK49+BK50-BK51)</x:f>
      </x:c>
      <x:c r="BL55" s="117" t="n">
        <x:f>MAX(0,BL49+BL50-BL51)</x:f>
      </x:c>
      <x:c r="BM55" s="117" t="n">
        <x:f>MAX(0,BM49+BM50-BM51)</x:f>
      </x:c>
      <x:c r="BN55" s="117" t="n">
        <x:f>MAX(0,BN49+BN50-BN51)</x:f>
      </x:c>
      <x:c r="BO55" s="117" t="n">
        <x:f>MAX(0,BO49+BO50-BO51)</x:f>
      </x:c>
      <x:c r="BP55" s="117" t="n">
        <x:f>MAX(0,BP49+BP50-BP51)</x:f>
      </x:c>
      <x:c r="BQ55" s="117" t="n">
        <x:f>MAX(0,BQ49+BQ50-BQ51)</x:f>
      </x:c>
      <x:c r="BR55" s="117" t="n">
        <x:f>MAX(0,BR49+BR50-BR51)</x:f>
      </x:c>
      <x:c r="BS55" s="117" t="n">
        <x:f>MAX(0,BS49+BS50-BS51)</x:f>
      </x:c>
      <x:c r="BT55" s="117" t="n">
        <x:f>MAX(0,BT49+BT50-BT51)</x:f>
      </x:c>
      <x:c r="BU55" s="117" t="n">
        <x:f>MAX(0,BU49+BU50-BU51)</x:f>
      </x:c>
      <x:c r="BV55" s="117" t="n">
        <x:f>MAX(0,BV49+BV50-BV51)</x:f>
      </x:c>
      <x:c r="BW55" s="117" t="n">
        <x:f>MAX(0,BW49+BW50-BW51)</x:f>
      </x:c>
      <x:c r="BX55" s="117" t="n">
        <x:f>MAX(0,BX49+BX50-BX51)</x:f>
      </x:c>
      <x:c r="BY55" s="117" t="n">
        <x:f>MAX(0,BY49+BY50-BY51)</x:f>
      </x:c>
      <x:c r="BZ55" s="117" t="n">
        <x:f>MAX(0,BZ49+BZ50-BZ51)</x:f>
      </x:c>
      <x:c r="CA55" s="117" t="n">
        <x:f>MAX(0,CA49+CA50-CA51)</x:f>
      </x:c>
      <x:c r="CB55" s="117" t="n">
        <x:f>MAX(0,CB49+CB50-CB51)</x:f>
      </x:c>
      <x:c r="CC55" s="117" t="n">
        <x:f>MAX(0,CC49+CC50-CC51)</x:f>
      </x:c>
      <x:c r="CD55" s="117" t="n">
        <x:f>MAX(0,CD49+CD50-CD51)</x:f>
      </x:c>
      <x:c r="CE55" s="117" t="n">
        <x:f>MAX(0,CE49+CE50-CE51)</x:f>
      </x:c>
      <x:c r="CF55" s="117" t="n">
        <x:f>MAX(0,CF49+CF50-CF51)</x:f>
      </x:c>
      <x:c r="CG55" s="117" t="n">
        <x:f>MAX(0,CG49+CG50-CG51)</x:f>
      </x:c>
      <x:c r="CH55" s="117" t="n">
        <x:f>MAX(0,CH49+CH50-CH51)</x:f>
      </x:c>
      <x:c r="CI55" s="117" t="n">
        <x:f>MAX(0,CI49+CI50-CI51)</x:f>
      </x:c>
      <x:c r="CJ55" s="117" t="n">
        <x:f>MAX(0,CJ49+CJ50-CJ51)</x:f>
      </x:c>
      <x:c r="CK55" s="117" t="n">
        <x:f>MAX(0,CK49+CK50-CK51)</x:f>
      </x:c>
      <x:c r="CL55" s="117" t="n">
        <x:f>MAX(0,CL49+CL50-CL51)</x:f>
      </x:c>
      <x:c r="CM55" s="117" t="n">
        <x:f>MAX(0,CM49+CM50-CM51)</x:f>
      </x:c>
      <x:c r="CN55" s="117" t="n">
        <x:f>MAX(0,CN49+CN50-CN51)</x:f>
      </x:c>
      <x:c r="CO55" s="117" t="n">
        <x:f>MAX(0,CO49+CO50-CO51)</x:f>
      </x:c>
      <x:c r="CP55" s="117" t="n">
        <x:f>MAX(0,CP49+CP50-CP51)</x:f>
      </x:c>
      <x:c r="CQ55" s="117" t="n">
        <x:f>MAX(0,CQ49+CQ50-CQ51)</x:f>
      </x:c>
      <x:c r="CR55" s="117" t="n">
        <x:f>MAX(0,CR49+CR50-CR51)</x:f>
      </x:c>
      <x:c r="CS55" s="117" t="n">
        <x:f>MAX(0,CS49+CS50-CS51)</x:f>
      </x:c>
      <x:c r="CT55" s="117" t="n">
        <x:f>MAX(0,CT49+CT50-CT51)</x:f>
      </x:c>
      <x:c r="CU55" s="117" t="n">
        <x:f>MAX(0,CU49+CU50-CU51)</x:f>
      </x:c>
      <x:c r="CV55" s="117" t="n">
        <x:f>MAX(0,CV49+CV50-CV51)</x:f>
      </x:c>
      <x:c r="CW55" s="117" t="n">
        <x:f>MAX(0,CW49+CW50-CW51)</x:f>
      </x:c>
      <x:c r="CX55" s="117" t="n">
        <x:f>MAX(0,CX49+CX50-CX51)</x:f>
      </x:c>
      <x:c r="CY55" s="117" t="n">
        <x:f>MAX(0,CY49+CY50-CY51)</x:f>
      </x:c>
      <x:c r="CZ55" s="117" t="n">
        <x:f>MAX(0,CZ49+CZ50-CZ51)</x:f>
      </x:c>
      <x:c r="DA55" s="117" t="n">
        <x:f>MAX(0,DA49+DA50-DA51)</x:f>
      </x:c>
      <x:c r="DB55" s="117" t="n">
        <x:f>MAX(0,DB49+DB50-DB51)</x:f>
      </x:c>
      <x:c r="DC55" s="117" t="n">
        <x:f>MAX(0,DC49+DC50-DC51)</x:f>
      </x:c>
      <x:c r="DD55" s="117" t="n">
        <x:f>MAX(0,DD49+DD50-DD51)</x:f>
      </x:c>
      <x:c r="DE55" s="117" t="n">
        <x:f>MAX(0,DE49+DE50-DE51)</x:f>
      </x:c>
      <x:c r="DF55" s="117" t="n">
        <x:f>MAX(0,DF49+DF50-DF51)</x:f>
      </x:c>
      <x:c r="DG55" s="117" t="n">
        <x:f>MAX(0,DG49+DG50-DG51)</x:f>
      </x:c>
      <x:c r="DH55" s="117" t="n">
        <x:f>MAX(0,DH49+DH50-DH51)</x:f>
      </x:c>
      <x:c r="DI55" s="117" t="n">
        <x:f>MAX(0,DI49+DI50-DI51)</x:f>
      </x:c>
      <x:c r="DJ55" s="117" t="n">
        <x:f>MAX(0,DJ49+DJ50-DJ51)</x:f>
      </x:c>
      <x:c r="DK55" s="117" t="n">
        <x:f>MAX(0,DK49+DK50-DK51)</x:f>
      </x:c>
      <x:c r="DL55" s="117" t="n">
        <x:f>MAX(0,DL49+DL50-DL51)</x:f>
      </x:c>
      <x:c r="DM55" s="117" t="n">
        <x:f>MAX(0,DM49+DM50-DM51)</x:f>
      </x:c>
      <x:c r="DN55" s="117" t="n">
        <x:f>MAX(0,DN49+DN50-DN51)</x:f>
      </x:c>
      <x:c r="DO55" s="117" t="n">
        <x:f>MAX(0,DO49+DO50-DO51)</x:f>
      </x:c>
      <x:c r="DP55" s="117" t="n">
        <x:f>MAX(0,DP49+DP50-DP51)</x:f>
      </x:c>
      <x:c r="DQ55" s="117" t="n">
        <x:f>MAX(0,DQ49+DQ50-DQ51)</x:f>
      </x:c>
      <x:c r="DR55" s="117" t="n">
        <x:f>MAX(0,DR49+DR50-DR51)</x:f>
      </x:c>
      <x:c r="DS55" s="117" t="n">
        <x:f>MAX(0,DS49+DS50-DS51)</x:f>
      </x:c>
      <x:c r="DT55" s="117" t="n">
        <x:f>MAX(0,DT49+DT50-DT51)</x:f>
      </x:c>
      <x:c r="DU55" s="117" t="n">
        <x:f>MAX(0,DU49+DU50-DU51)</x:f>
      </x:c>
      <x:c r="DV55" s="117" t="n">
        <x:f>MAX(0,DV49+DV50-DV51)</x:f>
      </x:c>
      <x:c r="DW55" s="117" t="n">
        <x:f>MAX(0,DW49+DW50-DW51)</x:f>
      </x:c>
      <x:c r="DX55" s="117" t="n">
        <x:f>MAX(0,DX49+DX50-DX51)</x:f>
      </x:c>
      <x:c r="DY55" s="117" t="n">
        <x:f>MAX(0,DY49+DY50-DY51)</x:f>
      </x:c>
      <x:c r="DZ55" s="117" t="n">
        <x:f>MAX(0,DZ49+DZ50-DZ51)</x:f>
      </x:c>
      <x:c r="EA55" s="117" t="n">
        <x:f>MAX(0,EA49+EA50-EA51)</x:f>
      </x:c>
      <x:c r="EB55" s="117" t="n">
        <x:f>MAX(0,EB49+EB50-EB51)</x:f>
      </x:c>
      <x:c r="EC55" s="117" t="n">
        <x:f>MAX(0,EC49+EC50-EC51)</x:f>
      </x:c>
      <x:c r="ED55" s="117" t="n">
        <x:f>MAX(0,ED49+ED50-ED51)</x:f>
      </x:c>
      <x:c r="EE55" s="117" t="n">
        <x:f>MAX(0,EE49+EE50-EE51)</x:f>
      </x:c>
      <x:c r="EF55" s="117" t="n">
        <x:f>MAX(0,EF49+EF50-EF51)</x:f>
      </x:c>
      <x:c r="EG55" s="117" t="n">
        <x:f>MAX(0,EG49+EG50-EG51)</x:f>
      </x:c>
      <x:c r="EH55" s="117" t="n">
        <x:f>MAX(0,EH49+EH50-EH51)</x:f>
      </x:c>
      <x:c r="EI55" s="117" t="n">
        <x:f>MAX(0,EI49+EI50-EI51)</x:f>
      </x:c>
      <x:c r="EJ55" s="117" t="n">
        <x:f>MAX(0,EJ49+EJ50-EJ51)</x:f>
      </x:c>
      <x:c r="EK55" s="117" t="n">
        <x:f>MAX(0,EK49+EK50-EK51)</x:f>
      </x:c>
      <x:c r="EL55" s="117" t="n">
        <x:f>MAX(0,EL49+EL50-EL51)</x:f>
      </x:c>
      <x:c r="EM55" s="117" t="n">
        <x:f>MAX(0,EM49+EM50-EM51)</x:f>
      </x:c>
      <x:c r="EN55" s="117" t="n">
        <x:f>MAX(0,EN49+EN50-EN51)</x:f>
      </x:c>
      <x:c r="EO55" s="117" t="n">
        <x:f>MAX(0,EO49+EO50-EO51)</x:f>
      </x:c>
      <x:c r="EP55" s="117" t="n">
        <x:f>MAX(0,EP49+EP50-EP51)</x:f>
      </x:c>
      <x:c r="EQ55" s="117" t="n">
        <x:f>MAX(0,EQ49+EQ50-EQ51)</x:f>
      </x:c>
      <x:c r="ER55" s="117" t="n">
        <x:f>MAX(0,ER49+ER50-ER51)</x:f>
      </x:c>
      <x:c r="ES55" s="117" t="n">
        <x:f>MAX(0,ES49+ES50-ES51)</x:f>
      </x:c>
      <x:c r="ET55" s="117" t="n">
        <x:f>MAX(0,ET49+ET50-ET51)</x:f>
      </x:c>
      <x:c r="EU55" s="117" t="n">
        <x:f>MAX(0,EU49+EU50-EU51)</x:f>
      </x:c>
      <x:c r="EV55" s="117" t="n">
        <x:f>MAX(0,EV49+EV50-EV51)</x:f>
      </x:c>
      <x:c r="EW55" s="117" t="n">
        <x:f>MAX(0,EW49+EW50-EW51)</x:f>
      </x:c>
      <x:c r="EX55" s="117" t="n">
        <x:f>MAX(0,EX49+EX50-EX51)</x:f>
      </x:c>
      <x:c r="EY55" s="117" t="n">
        <x:f>MAX(0,EY49+EY50-EY51)</x:f>
      </x:c>
      <x:c r="EZ55" s="117" t="n">
        <x:f>MAX(0,EZ49+EZ50-EZ51)</x:f>
      </x:c>
      <x:c r="FA55" s="117" t="n">
        <x:f>MAX(0,FA49+FA50-FA51)</x:f>
      </x:c>
      <x:c r="FB55" s="117" t="n">
        <x:f>MAX(0,FB49+FB50-FB51)</x:f>
      </x:c>
      <x:c r="FC55" s="117" t="n">
        <x:f>MAX(0,FC49+FC50-FC51)</x:f>
      </x:c>
      <x:c r="FD55" s="117" t="n">
        <x:f>MAX(0,FD49+FD50-FD51)</x:f>
      </x:c>
      <x:c r="FE55" s="117" t="n">
        <x:f>MAX(0,FE49+FE50-FE51)</x:f>
      </x:c>
      <x:c r="FF55" s="117" t="n">
        <x:f>MAX(0,FF49+FF50-FF51)</x:f>
      </x:c>
      <x:c r="FG55" s="117" t="n">
        <x:f>MAX(0,FG49+FG50-FG51)</x:f>
      </x:c>
      <x:c r="FH55" s="117" t="n">
        <x:f>MAX(0,FH49+FH50-FH51)</x:f>
      </x:c>
      <x:c r="FI55" s="117" t="n">
        <x:f>MAX(0,FI49+FI50-FI51)</x:f>
      </x:c>
      <x:c r="FJ55" s="117" t="n">
        <x:f>MAX(0,FJ49+FJ50-FJ51)</x:f>
      </x:c>
      <x:c r="FK55" s="117" t="n">
        <x:f>MAX(0,FK49+FK50-FK51)</x:f>
      </x:c>
      <x:c r="FL55" s="117" t="n">
        <x:f>MAX(0,FL49+FL50-FL51)</x:f>
      </x:c>
      <x:c r="FM55" s="117" t="n">
        <x:f>MAX(0,FM49+FM50-FM51)</x:f>
      </x:c>
      <x:c r="FN55" s="117" t="n">
        <x:f>MAX(0,FN49+FN50-FN51)</x:f>
      </x:c>
      <x:c r="FO55" s="117" t="n">
        <x:f>MAX(0,FO49+FO50-FO51)</x:f>
      </x:c>
      <x:c r="FP55" s="117" t="n">
        <x:f>MAX(0,FP49+FP50-FP51)</x:f>
      </x:c>
      <x:c r="FQ55" s="117" t="n">
        <x:f>MAX(0,FQ49+FQ50-FQ51)</x:f>
      </x:c>
      <x:c r="FR55" s="117" t="n">
        <x:f>MAX(0,FR49+FR50-FR51)</x:f>
      </x:c>
      <x:c r="FS55" s="117" t="n">
        <x:f>MAX(0,FS49+FS50-FS51)</x:f>
      </x:c>
      <x:c r="FT55" s="117" t="n">
        <x:f>MAX(0,FT49+FT50-FT51)</x:f>
      </x:c>
      <x:c r="FU55" s="117" t="n">
        <x:f>MAX(0,FU49+FU50-FU51)</x:f>
      </x:c>
      <x:c r="FV55" s="117" t="n">
        <x:f>MAX(0,FV49+FV50-FV51)</x:f>
      </x:c>
      <x:c r="FW55" s="117" t="n">
        <x:f>MAX(0,FW49+FW50-FW51)</x:f>
      </x:c>
      <x:c r="FX55" s="117" t="n">
        <x:f>MAX(0,FX49+FX50-FX51)</x:f>
      </x:c>
      <x:c r="FY55" s="117" t="n">
        <x:f>MAX(0,FY49+FY50-FY51)</x:f>
      </x:c>
      <x:c r="FZ55" s="117" t="n">
        <x:f>MAX(0,FZ49+FZ50-FZ51)</x:f>
      </x:c>
      <x:c r="GA55" s="117" t="n">
        <x:f>MAX(0,GA49+GA50-GA51)</x:f>
      </x:c>
    </x:row>
    <x:row r="56">
      <x:c r="A56" t="str">
        <x:v>Ставка по рассрочке</x:v>
      </x:c>
      <x:c r="B56" t="n">
        <x:f>IFERROR(SUMPRODUCT(D56:GA56,--(D49:GA49&gt;0))/COUNTIF(D49:GA49,"&gt;0"),0)</x:f>
      </x:c>
      <x:c r="C56" t="str">
        <x:v>% год</x:v>
      </x:c>
      <x:c r="D56" s="35" t="n">
        <x:f>'Ставки'!D$5+'Вводные'!$B$81</x:f>
      </x:c>
      <x:c r="E56" s="35" t="n">
        <x:f>'Ставки'!E$5+'Вводные'!$B$81</x:f>
      </x:c>
      <x:c r="F56" s="35" t="n">
        <x:f>'Ставки'!F$5+'Вводные'!$B$81</x:f>
      </x:c>
      <x:c r="G56" s="35" t="n">
        <x:f>'Ставки'!G$5+'Вводные'!$B$81</x:f>
      </x:c>
      <x:c r="H56" s="35" t="n">
        <x:f>'Ставки'!H$5+'Вводные'!$B$81</x:f>
      </x:c>
      <x:c r="I56" s="35" t="n">
        <x:f>'Ставки'!I$5+'Вводные'!$B$81</x:f>
      </x:c>
      <x:c r="J56" s="35" t="n">
        <x:f>'Ставки'!J$5+'Вводные'!$B$81</x:f>
      </x:c>
      <x:c r="K56" s="35" t="n">
        <x:f>'Ставки'!K$5+'Вводные'!$B$81</x:f>
      </x:c>
      <x:c r="L56" s="35" t="n">
        <x:f>'Ставки'!L$5+'Вводные'!$B$81</x:f>
      </x:c>
      <x:c r="M56" s="35" t="n">
        <x:f>'Ставки'!M$5+'Вводные'!$B$81</x:f>
      </x:c>
      <x:c r="N56" s="35" t="n">
        <x:f>'Ставки'!N$5+'Вводные'!$B$81</x:f>
      </x:c>
      <x:c r="O56" s="35" t="n">
        <x:f>'Ставки'!O$5+'Вводные'!$B$81</x:f>
      </x:c>
      <x:c r="P56" s="35" t="n">
        <x:f>'Ставки'!P$5+'Вводные'!$B$81</x:f>
      </x:c>
      <x:c r="Q56" s="35" t="n">
        <x:f>'Ставки'!Q$5+'Вводные'!$B$81</x:f>
      </x:c>
      <x:c r="R56" s="35" t="n">
        <x:f>'Ставки'!R$5+'Вводные'!$B$81</x:f>
      </x:c>
      <x:c r="S56" s="35" t="n">
        <x:f>'Ставки'!S$5+'Вводные'!$B$81</x:f>
      </x:c>
      <x:c r="T56" s="35" t="n">
        <x:f>'Ставки'!T$5+'Вводные'!$B$81</x:f>
      </x:c>
      <x:c r="U56" s="35" t="n">
        <x:f>'Ставки'!U$5+'Вводные'!$B$81</x:f>
      </x:c>
      <x:c r="V56" s="35" t="n">
        <x:f>'Ставки'!V$5+'Вводные'!$B$81</x:f>
      </x:c>
      <x:c r="W56" s="35" t="n">
        <x:f>'Ставки'!W$5+'Вводные'!$B$81</x:f>
      </x:c>
      <x:c r="X56" s="35" t="n">
        <x:f>'Ставки'!X$5+'Вводные'!$B$81</x:f>
      </x:c>
      <x:c r="Y56" s="35" t="n">
        <x:f>'Ставки'!Y$5+'Вводные'!$B$81</x:f>
      </x:c>
      <x:c r="Z56" s="35" t="n">
        <x:f>'Ставки'!Z$5+'Вводные'!$B$81</x:f>
      </x:c>
      <x:c r="AA56" s="35" t="n">
        <x:f>'Ставки'!AA$5+'Вводные'!$B$81</x:f>
      </x:c>
      <x:c r="AB56" s="35" t="n">
        <x:f>'Ставки'!AB$5+'Вводные'!$B$81</x:f>
      </x:c>
      <x:c r="AC56" s="35" t="n">
        <x:f>'Ставки'!AC$5+'Вводные'!$B$81</x:f>
      </x:c>
      <x:c r="AD56" s="35" t="n">
        <x:f>'Ставки'!AD$5+'Вводные'!$B$81</x:f>
      </x:c>
      <x:c r="AE56" s="35" t="n">
        <x:f>'Ставки'!AE$5+'Вводные'!$B$81</x:f>
      </x:c>
      <x:c r="AF56" s="35" t="n">
        <x:f>'Ставки'!AF$5+'Вводные'!$B$81</x:f>
      </x:c>
      <x:c r="AG56" s="35" t="n">
        <x:f>'Ставки'!AG$5+'Вводные'!$B$81</x:f>
      </x:c>
      <x:c r="AH56" s="35" t="n">
        <x:f>'Ставки'!AH$5+'Вводные'!$B$81</x:f>
      </x:c>
      <x:c r="AI56" s="35" t="n">
        <x:f>'Ставки'!AI$5+'Вводные'!$B$81</x:f>
      </x:c>
      <x:c r="AJ56" s="35" t="n">
        <x:f>'Ставки'!AJ$5+'Вводные'!$B$81</x:f>
      </x:c>
      <x:c r="AK56" s="35" t="n">
        <x:f>'Ставки'!AK$5+'Вводные'!$B$81</x:f>
      </x:c>
      <x:c r="AL56" s="35" t="n">
        <x:f>'Ставки'!AL$5+'Вводные'!$B$81</x:f>
      </x:c>
      <x:c r="AM56" s="35" t="n">
        <x:f>'Ставки'!AM$5+'Вводные'!$B$81</x:f>
      </x:c>
      <x:c r="AN56" s="35" t="n">
        <x:f>'Ставки'!AN$5+'Вводные'!$B$81</x:f>
      </x:c>
      <x:c r="AO56" s="35" t="n">
        <x:f>'Ставки'!AO$5+'Вводные'!$B$81</x:f>
      </x:c>
      <x:c r="AP56" s="35" t="n">
        <x:f>'Ставки'!AP$5+'Вводные'!$B$81</x:f>
      </x:c>
      <x:c r="AQ56" s="35" t="n">
        <x:f>'Ставки'!AQ$5+'Вводные'!$B$81</x:f>
      </x:c>
      <x:c r="AR56" s="35" t="n">
        <x:f>'Ставки'!AR$5+'Вводные'!$B$81</x:f>
      </x:c>
      <x:c r="AS56" s="35" t="n">
        <x:f>'Ставки'!AS$5+'Вводные'!$B$81</x:f>
      </x:c>
      <x:c r="AT56" s="35" t="n">
        <x:f>'Ставки'!AT$5+'Вводные'!$B$81</x:f>
      </x:c>
      <x:c r="AU56" s="35" t="n">
        <x:f>'Ставки'!AU$5+'Вводные'!$B$81</x:f>
      </x:c>
      <x:c r="AV56" s="35" t="n">
        <x:f>'Ставки'!AV$5+'Вводные'!$B$81</x:f>
      </x:c>
      <x:c r="AW56" s="35" t="n">
        <x:f>'Ставки'!AW$5+'Вводные'!$B$81</x:f>
      </x:c>
      <x:c r="AX56" s="35" t="n">
        <x:f>'Ставки'!AX$5+'Вводные'!$B$81</x:f>
      </x:c>
      <x:c r="AY56" s="35" t="n">
        <x:f>'Ставки'!AY$5+'Вводные'!$B$81</x:f>
      </x:c>
      <x:c r="AZ56" s="35" t="n">
        <x:f>'Ставки'!AZ$5+'Вводные'!$B$81</x:f>
      </x:c>
      <x:c r="BA56" s="35" t="n">
        <x:f>'Ставки'!BA$5+'Вводные'!$B$81</x:f>
      </x:c>
      <x:c r="BB56" s="35" t="n">
        <x:f>'Ставки'!BB$5+'Вводные'!$B$81</x:f>
      </x:c>
      <x:c r="BC56" s="35" t="n">
        <x:f>'Ставки'!BC$5+'Вводные'!$B$81</x:f>
      </x:c>
      <x:c r="BD56" s="35" t="n">
        <x:f>'Ставки'!BD$5+'Вводные'!$B$81</x:f>
      </x:c>
      <x:c r="BE56" s="35" t="n">
        <x:f>'Ставки'!BE$5+'Вводные'!$B$81</x:f>
      </x:c>
      <x:c r="BF56" s="35" t="n">
        <x:f>'Ставки'!BF$5+'Вводные'!$B$81</x:f>
      </x:c>
      <x:c r="BG56" s="35" t="n">
        <x:f>'Ставки'!BG$5+'Вводные'!$B$81</x:f>
      </x:c>
      <x:c r="BH56" s="35" t="n">
        <x:f>'Ставки'!BH$5+'Вводные'!$B$81</x:f>
      </x:c>
      <x:c r="BI56" s="35" t="n">
        <x:f>'Ставки'!BI$5+'Вводные'!$B$81</x:f>
      </x:c>
      <x:c r="BJ56" s="35" t="n">
        <x:f>'Ставки'!BJ$5+'Вводные'!$B$81</x:f>
      </x:c>
      <x:c r="BK56" s="35" t="n">
        <x:f>'Ставки'!BK$5+'Вводные'!$B$81</x:f>
      </x:c>
      <x:c r="BL56" s="35" t="n">
        <x:f>'Ставки'!BL$5+'Вводные'!$B$81</x:f>
      </x:c>
      <x:c r="BM56" s="35" t="n">
        <x:f>'Ставки'!BM$5+'Вводные'!$B$81</x:f>
      </x:c>
      <x:c r="BN56" s="35" t="n">
        <x:f>'Ставки'!BN$5+'Вводные'!$B$81</x:f>
      </x:c>
      <x:c r="BO56" s="35" t="n">
        <x:f>'Ставки'!BO$5+'Вводные'!$B$81</x:f>
      </x:c>
      <x:c r="BP56" s="35" t="n">
        <x:f>'Ставки'!BP$5+'Вводные'!$B$81</x:f>
      </x:c>
      <x:c r="BQ56" s="35" t="n">
        <x:f>'Ставки'!BQ$5+'Вводные'!$B$81</x:f>
      </x:c>
      <x:c r="BR56" s="35" t="n">
        <x:f>'Ставки'!BR$5+'Вводные'!$B$81</x:f>
      </x:c>
      <x:c r="BS56" s="35" t="n">
        <x:f>'Ставки'!BS$5+'Вводные'!$B$81</x:f>
      </x:c>
      <x:c r="BT56" s="35" t="n">
        <x:f>'Ставки'!BT$5+'Вводные'!$B$81</x:f>
      </x:c>
      <x:c r="BU56" s="35" t="n">
        <x:f>'Ставки'!BU$5+'Вводные'!$B$81</x:f>
      </x:c>
      <x:c r="BV56" s="35" t="n">
        <x:f>'Ставки'!BV$5+'Вводные'!$B$81</x:f>
      </x:c>
      <x:c r="BW56" s="35" t="n">
        <x:f>'Ставки'!BW$5+'Вводные'!$B$81</x:f>
      </x:c>
      <x:c r="BX56" s="35" t="n">
        <x:f>'Ставки'!BX$5+'Вводные'!$B$81</x:f>
      </x:c>
      <x:c r="BY56" s="35" t="n">
        <x:f>'Ставки'!BY$5+'Вводные'!$B$81</x:f>
      </x:c>
      <x:c r="BZ56" s="35" t="n">
        <x:f>'Ставки'!BZ$5+'Вводные'!$B$81</x:f>
      </x:c>
      <x:c r="CA56" s="35" t="n">
        <x:f>'Ставки'!CA$5+'Вводные'!$B$81</x:f>
      </x:c>
      <x:c r="CB56" s="35" t="n">
        <x:f>'Ставки'!CB$5+'Вводные'!$B$81</x:f>
      </x:c>
      <x:c r="CC56" s="35" t="n">
        <x:f>'Ставки'!CC$5+'Вводные'!$B$81</x:f>
      </x:c>
      <x:c r="CD56" s="35" t="n">
        <x:f>'Ставки'!CD$5+'Вводные'!$B$81</x:f>
      </x:c>
      <x:c r="CE56" s="35" t="n">
        <x:f>'Ставки'!CE$5+'Вводные'!$B$81</x:f>
      </x:c>
      <x:c r="CF56" s="35" t="n">
        <x:f>'Ставки'!CF$5+'Вводные'!$B$81</x:f>
      </x:c>
      <x:c r="CG56" s="35" t="n">
        <x:f>'Ставки'!CG$5+'Вводные'!$B$81</x:f>
      </x:c>
      <x:c r="CH56" s="35" t="n">
        <x:f>'Ставки'!CH$5+'Вводные'!$B$81</x:f>
      </x:c>
      <x:c r="CI56" s="35" t="n">
        <x:f>'Ставки'!CI$5+'Вводные'!$B$81</x:f>
      </x:c>
      <x:c r="CJ56" s="35" t="n">
        <x:f>'Ставки'!CJ$5+'Вводные'!$B$81</x:f>
      </x:c>
      <x:c r="CK56" s="35" t="n">
        <x:f>'Ставки'!CK$5+'Вводные'!$B$81</x:f>
      </x:c>
      <x:c r="CL56" s="35" t="n">
        <x:f>'Ставки'!CL$5+'Вводные'!$B$81</x:f>
      </x:c>
      <x:c r="CM56" s="35" t="n">
        <x:f>'Ставки'!CM$5+'Вводные'!$B$81</x:f>
      </x:c>
      <x:c r="CN56" s="35" t="n">
        <x:f>'Ставки'!CN$5+'Вводные'!$B$81</x:f>
      </x:c>
      <x:c r="CO56" s="35" t="n">
        <x:f>'Ставки'!CO$5+'Вводные'!$B$81</x:f>
      </x:c>
      <x:c r="CP56" s="35" t="n">
        <x:f>'Ставки'!CP$5+'Вводные'!$B$81</x:f>
      </x:c>
      <x:c r="CQ56" s="35" t="n">
        <x:f>'Ставки'!CQ$5+'Вводные'!$B$81</x:f>
      </x:c>
      <x:c r="CR56" s="35" t="n">
        <x:f>'Ставки'!CR$5+'Вводные'!$B$81</x:f>
      </x:c>
      <x:c r="CS56" s="35" t="n">
        <x:f>'Ставки'!CS$5+'Вводные'!$B$81</x:f>
      </x:c>
      <x:c r="CT56" s="35" t="n">
        <x:f>'Ставки'!CT$5+'Вводные'!$B$81</x:f>
      </x:c>
      <x:c r="CU56" s="35" t="n">
        <x:f>'Ставки'!CU$5+'Вводные'!$B$81</x:f>
      </x:c>
      <x:c r="CV56" s="35" t="n">
        <x:f>'Ставки'!CV$5+'Вводные'!$B$81</x:f>
      </x:c>
      <x:c r="CW56" s="35" t="n">
        <x:f>'Ставки'!CW$5+'Вводные'!$B$81</x:f>
      </x:c>
      <x:c r="CX56" s="35" t="n">
        <x:f>'Ставки'!CX$5+'Вводные'!$B$81</x:f>
      </x:c>
      <x:c r="CY56" s="35" t="n">
        <x:f>'Ставки'!CY$5+'Вводные'!$B$81</x:f>
      </x:c>
      <x:c r="CZ56" s="35" t="n">
        <x:f>'Ставки'!CZ$5+'Вводные'!$B$81</x:f>
      </x:c>
      <x:c r="DA56" s="35" t="n">
        <x:f>'Ставки'!DA$5+'Вводные'!$B$81</x:f>
      </x:c>
      <x:c r="DB56" s="35" t="n">
        <x:f>'Ставки'!DB$5+'Вводные'!$B$81</x:f>
      </x:c>
      <x:c r="DC56" s="35" t="n">
        <x:f>'Ставки'!DC$5+'Вводные'!$B$81</x:f>
      </x:c>
      <x:c r="DD56" s="35" t="n">
        <x:f>'Ставки'!DD$5+'Вводные'!$B$81</x:f>
      </x:c>
      <x:c r="DE56" s="35" t="n">
        <x:f>'Ставки'!DE$5+'Вводные'!$B$81</x:f>
      </x:c>
      <x:c r="DF56" s="35" t="n">
        <x:f>'Ставки'!DF$5+'Вводные'!$B$81</x:f>
      </x:c>
      <x:c r="DG56" s="35" t="n">
        <x:f>'Ставки'!DG$5+'Вводные'!$B$81</x:f>
      </x:c>
      <x:c r="DH56" s="35" t="n">
        <x:f>'Ставки'!DH$5+'Вводные'!$B$81</x:f>
      </x:c>
      <x:c r="DI56" s="35" t="n">
        <x:f>'Ставки'!DI$5+'Вводные'!$B$81</x:f>
      </x:c>
      <x:c r="DJ56" s="35" t="n">
        <x:f>'Ставки'!DJ$5+'Вводные'!$B$81</x:f>
      </x:c>
      <x:c r="DK56" s="35" t="n">
        <x:f>'Ставки'!DK$5+'Вводные'!$B$81</x:f>
      </x:c>
      <x:c r="DL56" s="35" t="n">
        <x:f>'Ставки'!DL$5+'Вводные'!$B$81</x:f>
      </x:c>
      <x:c r="DM56" s="35" t="n">
        <x:f>'Ставки'!DM$5+'Вводные'!$B$81</x:f>
      </x:c>
      <x:c r="DN56" s="35" t="n">
        <x:f>'Ставки'!DN$5+'Вводные'!$B$81</x:f>
      </x:c>
      <x:c r="DO56" s="35" t="n">
        <x:f>'Ставки'!DO$5+'Вводные'!$B$81</x:f>
      </x:c>
      <x:c r="DP56" s="35" t="n">
        <x:f>'Ставки'!DP$5+'Вводные'!$B$81</x:f>
      </x:c>
      <x:c r="DQ56" s="35" t="n">
        <x:f>'Ставки'!DQ$5+'Вводные'!$B$81</x:f>
      </x:c>
      <x:c r="DR56" s="35" t="n">
        <x:f>'Ставки'!DR$5+'Вводные'!$B$81</x:f>
      </x:c>
      <x:c r="DS56" s="35" t="n">
        <x:f>'Ставки'!DS$5+'Вводные'!$B$81</x:f>
      </x:c>
      <x:c r="DT56" s="35" t="n">
        <x:f>'Ставки'!DT$5+'Вводные'!$B$81</x:f>
      </x:c>
      <x:c r="DU56" s="35" t="n">
        <x:f>'Ставки'!DU$5+'Вводные'!$B$81</x:f>
      </x:c>
      <x:c r="DV56" s="35" t="n">
        <x:f>'Ставки'!DV$5+'Вводные'!$B$81</x:f>
      </x:c>
      <x:c r="DW56" s="35" t="n">
        <x:f>'Ставки'!DW$5+'Вводные'!$B$81</x:f>
      </x:c>
      <x:c r="DX56" s="35" t="n">
        <x:f>'Ставки'!DX$5+'Вводные'!$B$81</x:f>
      </x:c>
      <x:c r="DY56" s="35" t="n">
        <x:f>'Ставки'!DY$5+'Вводные'!$B$81</x:f>
      </x:c>
      <x:c r="DZ56" s="35" t="n">
        <x:f>'Ставки'!DZ$5+'Вводные'!$B$81</x:f>
      </x:c>
      <x:c r="EA56" s="35" t="n">
        <x:f>'Ставки'!EA$5+'Вводные'!$B$81</x:f>
      </x:c>
      <x:c r="EB56" s="35" t="n">
        <x:f>'Ставки'!EB$5+'Вводные'!$B$81</x:f>
      </x:c>
      <x:c r="EC56" s="35" t="n">
        <x:f>'Ставки'!EC$5+'Вводные'!$B$81</x:f>
      </x:c>
      <x:c r="ED56" s="35" t="n">
        <x:f>'Ставки'!ED$5+'Вводные'!$B$81</x:f>
      </x:c>
      <x:c r="EE56" s="35" t="n">
        <x:f>'Ставки'!EE$5+'Вводные'!$B$81</x:f>
      </x:c>
      <x:c r="EF56" s="35" t="n">
        <x:f>'Ставки'!EF$5+'Вводные'!$B$81</x:f>
      </x:c>
      <x:c r="EG56" s="35" t="n">
        <x:f>'Ставки'!EG$5+'Вводные'!$B$81</x:f>
      </x:c>
      <x:c r="EH56" s="35" t="n">
        <x:f>'Ставки'!EH$5+'Вводные'!$B$81</x:f>
      </x:c>
      <x:c r="EI56" s="35" t="n">
        <x:f>'Ставки'!EI$5+'Вводные'!$B$81</x:f>
      </x:c>
      <x:c r="EJ56" s="35" t="n">
        <x:f>'Ставки'!EJ$5+'Вводные'!$B$81</x:f>
      </x:c>
      <x:c r="EK56" s="35" t="n">
        <x:f>'Ставки'!EK$5+'Вводные'!$B$81</x:f>
      </x:c>
      <x:c r="EL56" s="35" t="n">
        <x:f>'Ставки'!EL$5+'Вводные'!$B$81</x:f>
      </x:c>
      <x:c r="EM56" s="35" t="n">
        <x:f>'Ставки'!EM$5+'Вводные'!$B$81</x:f>
      </x:c>
      <x:c r="EN56" s="35" t="n">
        <x:f>'Ставки'!EN$5+'Вводные'!$B$81</x:f>
      </x:c>
      <x:c r="EO56" s="35" t="n">
        <x:f>'Ставки'!EO$5+'Вводные'!$B$81</x:f>
      </x:c>
      <x:c r="EP56" s="35" t="n">
        <x:f>'Ставки'!EP$5+'Вводные'!$B$81</x:f>
      </x:c>
      <x:c r="EQ56" s="35" t="n">
        <x:f>'Ставки'!EQ$5+'Вводные'!$B$81</x:f>
      </x:c>
      <x:c r="ER56" s="35" t="n">
        <x:f>'Ставки'!ER$5+'Вводные'!$B$81</x:f>
      </x:c>
      <x:c r="ES56" s="35" t="n">
        <x:f>'Ставки'!ES$5+'Вводные'!$B$81</x:f>
      </x:c>
      <x:c r="ET56" s="35" t="n">
        <x:f>'Ставки'!ET$5+'Вводные'!$B$81</x:f>
      </x:c>
      <x:c r="EU56" s="35" t="n">
        <x:f>'Ставки'!EU$5+'Вводные'!$B$81</x:f>
      </x:c>
      <x:c r="EV56" s="35" t="n">
        <x:f>'Ставки'!EV$5+'Вводные'!$B$81</x:f>
      </x:c>
      <x:c r="EW56" s="35" t="n">
        <x:f>'Ставки'!EW$5+'Вводные'!$B$81</x:f>
      </x:c>
      <x:c r="EX56" s="35" t="n">
        <x:f>'Ставки'!EX$5+'Вводные'!$B$81</x:f>
      </x:c>
      <x:c r="EY56" s="35" t="n">
        <x:f>'Ставки'!EY$5+'Вводные'!$B$81</x:f>
      </x:c>
      <x:c r="EZ56" s="35" t="n">
        <x:f>'Ставки'!EZ$5+'Вводные'!$B$81</x:f>
      </x:c>
      <x:c r="FA56" s="35" t="n">
        <x:f>'Ставки'!FA$5+'Вводные'!$B$81</x:f>
      </x:c>
      <x:c r="FB56" s="35" t="n">
        <x:f>'Ставки'!FB$5+'Вводные'!$B$81</x:f>
      </x:c>
      <x:c r="FC56" s="35" t="n">
        <x:f>'Ставки'!FC$5+'Вводные'!$B$81</x:f>
      </x:c>
      <x:c r="FD56" s="35" t="n">
        <x:f>'Ставки'!FD$5+'Вводные'!$B$81</x:f>
      </x:c>
      <x:c r="FE56" s="35" t="n">
        <x:f>'Ставки'!FE$5+'Вводные'!$B$81</x:f>
      </x:c>
      <x:c r="FF56" s="35" t="n">
        <x:f>'Ставки'!FF$5+'Вводные'!$B$81</x:f>
      </x:c>
      <x:c r="FG56" s="35" t="n">
        <x:f>'Ставки'!FG$5+'Вводные'!$B$81</x:f>
      </x:c>
      <x:c r="FH56" s="35" t="n">
        <x:f>'Ставки'!FH$5+'Вводные'!$B$81</x:f>
      </x:c>
      <x:c r="FI56" s="35" t="n">
        <x:f>'Ставки'!FI$5+'Вводные'!$B$81</x:f>
      </x:c>
      <x:c r="FJ56" s="35" t="n">
        <x:f>'Ставки'!FJ$5+'Вводные'!$B$81</x:f>
      </x:c>
      <x:c r="FK56" s="35" t="n">
        <x:f>'Ставки'!FK$5+'Вводные'!$B$81</x:f>
      </x:c>
      <x:c r="FL56" s="35" t="n">
        <x:f>'Ставки'!FL$5+'Вводные'!$B$81</x:f>
      </x:c>
      <x:c r="FM56" s="35" t="n">
        <x:f>'Ставки'!FM$5+'Вводные'!$B$81</x:f>
      </x:c>
      <x:c r="FN56" s="35" t="n">
        <x:f>'Ставки'!FN$5+'Вводные'!$B$81</x:f>
      </x:c>
      <x:c r="FO56" s="35" t="n">
        <x:f>'Ставки'!FO$5+'Вводные'!$B$81</x:f>
      </x:c>
      <x:c r="FP56" s="35" t="n">
        <x:f>'Ставки'!FP$5+'Вводные'!$B$81</x:f>
      </x:c>
      <x:c r="FQ56" s="35" t="n">
        <x:f>'Ставки'!FQ$5+'Вводные'!$B$81</x:f>
      </x:c>
      <x:c r="FR56" s="35" t="n">
        <x:f>'Ставки'!FR$5+'Вводные'!$B$81</x:f>
      </x:c>
      <x:c r="FS56" s="35" t="n">
        <x:f>'Ставки'!FS$5+'Вводные'!$B$81</x:f>
      </x:c>
      <x:c r="FT56" s="35" t="n">
        <x:f>'Ставки'!FT$5+'Вводные'!$B$81</x:f>
      </x:c>
      <x:c r="FU56" s="35" t="n">
        <x:f>'Ставки'!FU$5+'Вводные'!$B$81</x:f>
      </x:c>
      <x:c r="FV56" s="35" t="n">
        <x:f>'Ставки'!FV$5+'Вводные'!$B$81</x:f>
      </x:c>
      <x:c r="FW56" s="35" t="n">
        <x:f>'Ставки'!FW$5+'Вводные'!$B$81</x:f>
      </x:c>
      <x:c r="FX56" s="35" t="n">
        <x:f>'Ставки'!FX$5+'Вводные'!$B$81</x:f>
      </x:c>
      <x:c r="FY56" s="35" t="n">
        <x:f>'Ставки'!FY$5+'Вводные'!$B$81</x:f>
      </x:c>
      <x:c r="FZ56" s="35" t="n">
        <x:f>'Ставки'!FZ$5+'Вводные'!$B$81</x:f>
      </x:c>
      <x:c r="GA56" s="35" t="n">
        <x:f>'Ставки'!GA$5+'Вводные'!$B$81</x:f>
      </x:c>
    </x:row>
  </x:sheetData>
  <x:mergeCells>
    <x:mergeCell ref="A1:GA1"/>
    <x:mergeCell ref="A6:GA6"/>
    <x:mergeCell ref="A19:GA19"/>
    <x:mergeCell ref="A32:GA32"/>
    <x:mergeCell ref="A45:GA4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5" hidden="0" customWidth="1"/>
    <x:col min="3" max="3" width="12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  <x:col min="45" max="45" width="11" hidden="0" customWidth="1"/>
    <x:col min="46" max="46" width="11" hidden="0" customWidth="1"/>
    <x:col min="47" max="47" width="11" hidden="0" customWidth="1"/>
    <x:col min="48" max="48" width="11" hidden="0" customWidth="1"/>
    <x:col min="49" max="49" width="11" hidden="0" customWidth="1"/>
    <x:col min="50" max="50" width="11" hidden="0" customWidth="1"/>
    <x:col min="51" max="51" width="11" hidden="0" customWidth="1"/>
    <x:col min="52" max="52" width="11" hidden="0" customWidth="1"/>
    <x:col min="53" max="53" width="11" hidden="0" customWidth="1"/>
    <x:col min="54" max="54" width="11" hidden="0" customWidth="1"/>
    <x:col min="55" max="55" width="11" hidden="0" customWidth="1"/>
    <x:col min="56" max="56" width="11" hidden="0" customWidth="1"/>
    <x:col min="57" max="57" width="11" hidden="0" customWidth="1"/>
    <x:col min="58" max="58" width="11" hidden="0" customWidth="1"/>
    <x:col min="59" max="59" width="11" hidden="0" customWidth="1"/>
    <x:col min="60" max="60" width="11" hidden="0" customWidth="1"/>
    <x:col min="61" max="61" width="11" hidden="0" customWidth="1"/>
    <x:col min="62" max="62" width="11" hidden="0" customWidth="1"/>
    <x:col min="63" max="63" width="11" hidden="0" customWidth="1"/>
    <x:col min="64" max="64" width="11" hidden="0" customWidth="1"/>
    <x:col min="65" max="65" width="11" hidden="0" customWidth="1"/>
    <x:col min="66" max="66" width="11" hidden="0" customWidth="1"/>
    <x:col min="67" max="67" width="11" hidden="0" customWidth="1"/>
    <x:col min="68" max="68" width="11" hidden="0" customWidth="1"/>
    <x:col min="69" max="69" width="11" hidden="0" customWidth="1"/>
    <x:col min="70" max="70" width="11" hidden="0" customWidth="1"/>
    <x:col min="71" max="71" width="11" hidden="0" customWidth="1"/>
    <x:col min="72" max="72" width="11" hidden="0" customWidth="1"/>
    <x:col min="73" max="73" width="11" hidden="0" customWidth="1"/>
    <x:col min="74" max="74" width="11" hidden="0" customWidth="1"/>
    <x:col min="75" max="75" width="11" hidden="0" customWidth="1"/>
    <x:col min="76" max="76" width="11" hidden="0" customWidth="1"/>
    <x:col min="77" max="77" width="11" hidden="0" customWidth="1"/>
    <x:col min="78" max="78" width="11" hidden="0" customWidth="1"/>
    <x:col min="79" max="79" width="11" hidden="0" customWidth="1"/>
    <x:col min="80" max="80" width="11" hidden="0" customWidth="1"/>
    <x:col min="81" max="81" width="11" hidden="0" customWidth="1"/>
    <x:col min="82" max="82" width="11" hidden="0" customWidth="1"/>
    <x:col min="83" max="83" width="11" hidden="0" customWidth="1"/>
    <x:col min="84" max="84" width="11" hidden="0" customWidth="1"/>
    <x:col min="85" max="85" width="11" hidden="0" customWidth="1"/>
    <x:col min="86" max="86" width="11" hidden="0" customWidth="1"/>
    <x:col min="87" max="87" width="11" hidden="0" customWidth="1"/>
    <x:col min="88" max="88" width="11" hidden="0" customWidth="1"/>
    <x:col min="89" max="89" width="11" hidden="0" customWidth="1"/>
    <x:col min="90" max="90" width="11" hidden="0" customWidth="1"/>
    <x:col min="91" max="91" width="11" hidden="0" customWidth="1"/>
    <x:col min="92" max="92" width="11" hidden="0" customWidth="1"/>
    <x:col min="93" max="93" width="11" hidden="0" customWidth="1"/>
    <x:col min="94" max="94" width="11" hidden="0" customWidth="1"/>
    <x:col min="95" max="95" width="11" hidden="0" customWidth="1"/>
    <x:col min="96" max="96" width="11" hidden="0" customWidth="1"/>
    <x:col min="97" max="97" width="11" hidden="0" customWidth="1"/>
    <x:col min="98" max="98" width="11" hidden="0" customWidth="1"/>
    <x:col min="99" max="99" width="11" hidden="0" customWidth="1"/>
    <x:col min="100" max="100" width="11" hidden="0" customWidth="1"/>
    <x:col min="101" max="101" width="11" hidden="0" customWidth="1"/>
    <x:col min="102" max="102" width="11" hidden="0" customWidth="1"/>
    <x:col min="103" max="103" width="11" hidden="0" customWidth="1"/>
    <x:col min="104" max="104" width="11" hidden="0" customWidth="1"/>
    <x:col min="105" max="105" width="11" hidden="0" customWidth="1"/>
    <x:col min="106" max="106" width="11" hidden="0" customWidth="1"/>
    <x:col min="107" max="107" width="11" hidden="0" customWidth="1"/>
    <x:col min="108" max="108" width="11" hidden="0" customWidth="1"/>
    <x:col min="109" max="109" width="11" hidden="0" customWidth="1"/>
    <x:col min="110" max="110" width="11" hidden="0" customWidth="1"/>
    <x:col min="111" max="111" width="11" hidden="0" customWidth="1"/>
    <x:col min="112" max="112" width="11" hidden="0" customWidth="1"/>
    <x:col min="113" max="113" width="11" hidden="0" customWidth="1"/>
    <x:col min="114" max="114" width="11" hidden="0" customWidth="1"/>
    <x:col min="115" max="115" width="11" hidden="0" customWidth="1"/>
    <x:col min="116" max="116" width="11" hidden="0" customWidth="1"/>
    <x:col min="117" max="117" width="11" hidden="0" customWidth="1"/>
    <x:col min="118" max="118" width="11" hidden="0" customWidth="1"/>
    <x:col min="119" max="119" width="11" hidden="0" customWidth="1"/>
    <x:col min="120" max="120" width="11" hidden="0" customWidth="1"/>
    <x:col min="121" max="121" width="11" hidden="0" customWidth="1"/>
    <x:col min="122" max="122" width="11" hidden="0" customWidth="1"/>
    <x:col min="123" max="123" width="11" hidden="0" customWidth="1"/>
    <x:col min="124" max="124" width="11" hidden="0" customWidth="1"/>
    <x:col min="125" max="125" width="11" hidden="0" customWidth="1"/>
    <x:col min="126" max="126" width="11" hidden="0" customWidth="1"/>
    <x:col min="127" max="127" width="11" hidden="0" customWidth="1"/>
    <x:col min="128" max="128" width="11" hidden="0" customWidth="1"/>
    <x:col min="129" max="129" width="11" hidden="0" customWidth="1"/>
    <x:col min="130" max="130" width="11" hidden="0" customWidth="1"/>
    <x:col min="131" max="131" width="11" hidden="0" customWidth="1"/>
    <x:col min="132" max="132" width="11" hidden="0" customWidth="1"/>
    <x:col min="133" max="133" width="11" hidden="0" customWidth="1"/>
    <x:col min="134" max="134" width="11" hidden="0" customWidth="1"/>
    <x:col min="135" max="135" width="11" hidden="0" customWidth="1"/>
    <x:col min="136" max="136" width="11" hidden="0" customWidth="1"/>
    <x:col min="137" max="137" width="11" hidden="0" customWidth="1"/>
    <x:col min="138" max="138" width="11" hidden="0" customWidth="1"/>
    <x:col min="139" max="139" width="11" hidden="0" customWidth="1"/>
    <x:col min="140" max="140" width="11" hidden="0" customWidth="1"/>
    <x:col min="141" max="141" width="11" hidden="0" customWidth="1"/>
    <x:col min="142" max="142" width="11" hidden="0" customWidth="1"/>
    <x:col min="143" max="143" width="11" hidden="0" customWidth="1"/>
    <x:col min="144" max="144" width="11" hidden="0" customWidth="1"/>
    <x:col min="145" max="145" width="11" hidden="0" customWidth="1"/>
    <x:col min="146" max="146" width="11" hidden="0" customWidth="1"/>
    <x:col min="147" max="147" width="11" hidden="0" customWidth="1"/>
    <x:col min="148" max="148" width="11" hidden="0" customWidth="1"/>
    <x:col min="149" max="149" width="11" hidden="0" customWidth="1"/>
    <x:col min="150" max="150" width="11" hidden="0" customWidth="1"/>
    <x:col min="151" max="151" width="11" hidden="0" customWidth="1"/>
    <x:col min="152" max="152" width="11" hidden="0" customWidth="1"/>
    <x:col min="153" max="153" width="11" hidden="0" customWidth="1"/>
    <x:col min="154" max="154" width="11" hidden="0" customWidth="1"/>
    <x:col min="155" max="155" width="11" hidden="0" customWidth="1"/>
    <x:col min="156" max="156" width="11" hidden="0" customWidth="1"/>
    <x:col min="157" max="157" width="11" hidden="0" customWidth="1"/>
    <x:col min="158" max="158" width="11" hidden="0" customWidth="1"/>
    <x:col min="159" max="159" width="11" hidden="0" customWidth="1"/>
    <x:col min="160" max="160" width="11" hidden="0" customWidth="1"/>
    <x:col min="161" max="161" width="11" hidden="0" customWidth="1"/>
    <x:col min="162" max="162" width="11" hidden="0" customWidth="1"/>
    <x:col min="163" max="163" width="11" hidden="0" customWidth="1"/>
    <x:col min="164" max="164" width="11" hidden="0" customWidth="1"/>
    <x:col min="165" max="165" width="11" hidden="0" customWidth="1"/>
    <x:col min="166" max="166" width="11" hidden="0" customWidth="1"/>
    <x:col min="167" max="167" width="11" hidden="0" customWidth="1"/>
    <x:col min="168" max="168" width="11" hidden="0" customWidth="1"/>
    <x:col min="169" max="169" width="11" hidden="0" customWidth="1"/>
    <x:col min="170" max="170" width="11" hidden="0" customWidth="1"/>
    <x:col min="171" max="171" width="11" hidden="0" customWidth="1"/>
    <x:col min="172" max="172" width="11" hidden="0" customWidth="1"/>
    <x:col min="173" max="173" width="11" hidden="0" customWidth="1"/>
    <x:col min="174" max="174" width="11" hidden="0" customWidth="1"/>
    <x:col min="175" max="175" width="11" hidden="0" customWidth="1"/>
    <x:col min="176" max="176" width="11" hidden="0" customWidth="1"/>
    <x:col min="177" max="177" width="11" hidden="0" customWidth="1"/>
    <x:col min="178" max="178" width="11" hidden="0" customWidth="1"/>
    <x:col min="179" max="179" width="11" hidden="0" customWidth="1"/>
    <x:col min="180" max="180" width="11" hidden="0" customWidth="1"/>
    <x:col min="181" max="181" width="11" hidden="0" customWidth="1"/>
    <x:col min="182" max="182" width="11" hidden="0" customWidth="1"/>
    <x:col min="183" max="183" width="11" hidden="0" customWidth="1"/>
  </x:cols>
  <x:sheetData>
    <x:row r="1" ht="28" customHeight="1">
      <x:c r="A1" s="4" t="str">
        <x:v>CAPEX И КОММЕРЧЕСКИЕ РАСХОДЫ · ПОМЕСЯЧНО</x:v>
      </x:c>
      <x:c r="B1" s="4" t="str">
        <x:v>CAPEX И КОММЕРЧЕСКИЕ РАСХОДЫ · ПОМЕСЯЧНО</x:v>
      </x:c>
      <x:c r="C1" s="4" t="str">
        <x:v>CAPEX И КОММЕРЧЕСКИЕ РАСХОДЫ · ПОМЕСЯЧНО</x:v>
      </x:c>
      <x:c r="D1" s="4" t="str">
        <x:v>CAPEX И КОММЕРЧЕСКИЕ РАСХОДЫ · ПОМЕСЯЧНО</x:v>
      </x:c>
      <x:c r="E1" s="4" t="str">
        <x:v>CAPEX И КОММЕРЧЕСКИЕ РАСХОДЫ · ПОМЕСЯЧНО</x:v>
      </x:c>
      <x:c r="F1" s="4" t="str">
        <x:v>CAPEX И КОММЕРЧЕСКИЕ РАСХОДЫ · ПОМЕСЯЧНО</x:v>
      </x:c>
      <x:c r="G1" s="4" t="str">
        <x:v>CAPEX И КОММЕРЧЕСКИЕ РАСХОДЫ · ПОМЕСЯЧНО</x:v>
      </x:c>
      <x:c r="H1" s="4" t="str">
        <x:v>CAPEX И КОММЕРЧЕСКИЕ РАСХОДЫ · ПОМЕСЯЧНО</x:v>
      </x:c>
      <x:c r="I1" s="4" t="str">
        <x:v>CAPEX И КОММЕРЧЕСКИЕ РАСХОДЫ · ПОМЕСЯЧНО</x:v>
      </x:c>
      <x:c r="J1" s="4" t="str">
        <x:v>CAPEX И КОММЕРЧЕСКИЕ РАСХОДЫ · ПОМЕСЯЧНО</x:v>
      </x:c>
      <x:c r="K1" s="4" t="str">
        <x:v>CAPEX И КОММЕРЧЕСКИЕ РАСХОДЫ · ПОМЕСЯЧНО</x:v>
      </x:c>
      <x:c r="L1" s="4" t="str">
        <x:v>CAPEX И КОММЕРЧЕСКИЕ РАСХОДЫ · ПОМЕСЯЧНО</x:v>
      </x:c>
      <x:c r="M1" s="4" t="str">
        <x:v>CAPEX И КОММЕРЧЕСКИЕ РАСХОДЫ · ПОМЕСЯЧНО</x:v>
      </x:c>
      <x:c r="N1" s="4" t="str">
        <x:v>CAPEX И КОММЕРЧЕСКИЕ РАСХОДЫ · ПОМЕСЯЧНО</x:v>
      </x:c>
      <x:c r="O1" s="4" t="str">
        <x:v>CAPEX И КОММЕРЧЕСКИЕ РАСХОДЫ · ПОМЕСЯЧНО</x:v>
      </x:c>
      <x:c r="P1" s="4" t="str">
        <x:v>CAPEX И КОММЕРЧЕСКИЕ РАСХОДЫ · ПОМЕСЯЧНО</x:v>
      </x:c>
      <x:c r="Q1" s="4" t="str">
        <x:v>CAPEX И КОММЕРЧЕСКИЕ РАСХОДЫ · ПОМЕСЯЧНО</x:v>
      </x:c>
      <x:c r="R1" s="4" t="str">
        <x:v>CAPEX И КОММЕРЧЕСКИЕ РАСХОДЫ · ПОМЕСЯЧНО</x:v>
      </x:c>
      <x:c r="S1" s="4" t="str">
        <x:v>CAPEX И КОММЕРЧЕСКИЕ РАСХОДЫ · ПОМЕСЯЧНО</x:v>
      </x:c>
      <x:c r="T1" s="4" t="str">
        <x:v>CAPEX И КОММЕРЧЕСКИЕ РАСХОДЫ · ПОМЕСЯЧНО</x:v>
      </x:c>
      <x:c r="U1" s="4" t="str">
        <x:v>CAPEX И КОММЕРЧЕСКИЕ РАСХОДЫ · ПОМЕСЯЧНО</x:v>
      </x:c>
      <x:c r="V1" s="4" t="str">
        <x:v>CAPEX И КОММЕРЧЕСКИЕ РАСХОДЫ · ПОМЕСЯЧНО</x:v>
      </x:c>
      <x:c r="W1" s="4" t="str">
        <x:v>CAPEX И КОММЕРЧЕСКИЕ РАСХОДЫ · ПОМЕСЯЧНО</x:v>
      </x:c>
      <x:c r="X1" s="4" t="str">
        <x:v>CAPEX И КОММЕРЧЕСКИЕ РАСХОДЫ · ПОМЕСЯЧНО</x:v>
      </x:c>
      <x:c r="Y1" s="4" t="str">
        <x:v>CAPEX И КОММЕРЧЕСКИЕ РАСХОДЫ · ПОМЕСЯЧНО</x:v>
      </x:c>
      <x:c r="Z1" s="4" t="str">
        <x:v>CAPEX И КОММЕРЧЕСКИЕ РАСХОДЫ · ПОМЕСЯЧНО</x:v>
      </x:c>
      <x:c r="AA1" s="4" t="str">
        <x:v>CAPEX И КОММЕРЧЕСКИЕ РАСХОДЫ · ПОМЕСЯЧНО</x:v>
      </x:c>
      <x:c r="AB1" s="4" t="str">
        <x:v>CAPEX И КОММЕРЧЕСКИЕ РАСХОДЫ · ПОМЕСЯЧНО</x:v>
      </x:c>
      <x:c r="AC1" s="4" t="str">
        <x:v>CAPEX И КОММЕРЧЕСКИЕ РАСХОДЫ · ПОМЕСЯЧНО</x:v>
      </x:c>
      <x:c r="AD1" s="4" t="str">
        <x:v>CAPEX И КОММЕРЧЕСКИЕ РАСХОДЫ · ПОМЕСЯЧНО</x:v>
      </x:c>
      <x:c r="AE1" s="4" t="str">
        <x:v>CAPEX И КОММЕРЧЕСКИЕ РАСХОДЫ · ПОМЕСЯЧНО</x:v>
      </x:c>
      <x:c r="AF1" s="4" t="str">
        <x:v>CAPEX И КОММЕРЧЕСКИЕ РАСХОДЫ · ПОМЕСЯЧНО</x:v>
      </x:c>
      <x:c r="AG1" s="4" t="str">
        <x:v>CAPEX И КОММЕРЧЕСКИЕ РАСХОДЫ · ПОМЕСЯЧНО</x:v>
      </x:c>
      <x:c r="AH1" s="4" t="str">
        <x:v>CAPEX И КОММЕРЧЕСКИЕ РАСХОДЫ · ПОМЕСЯЧНО</x:v>
      </x:c>
      <x:c r="AI1" s="4" t="str">
        <x:v>CAPEX И КОММЕРЧЕСКИЕ РАСХОДЫ · ПОМЕСЯЧНО</x:v>
      </x:c>
      <x:c r="AJ1" s="4" t="str">
        <x:v>CAPEX И КОММЕРЧЕСКИЕ РАСХОДЫ · ПОМЕСЯЧНО</x:v>
      </x:c>
      <x:c r="AK1" s="4" t="str">
        <x:v>CAPEX И КОММЕРЧЕСКИЕ РАСХОДЫ · ПОМЕСЯЧНО</x:v>
      </x:c>
      <x:c r="AL1" s="4" t="str">
        <x:v>CAPEX И КОММЕРЧЕСКИЕ РАСХОДЫ · ПОМЕСЯЧНО</x:v>
      </x:c>
      <x:c r="AM1" s="4" t="str">
        <x:v>CAPEX И КОММЕРЧЕСКИЕ РАСХОДЫ · ПОМЕСЯЧНО</x:v>
      </x:c>
      <x:c r="AN1" s="4" t="str">
        <x:v>CAPEX И КОММЕРЧЕСКИЕ РАСХОДЫ · ПОМЕСЯЧНО</x:v>
      </x:c>
      <x:c r="AO1" s="4" t="str">
        <x:v>CAPEX И КОММЕРЧЕСКИЕ РАСХОДЫ · ПОМЕСЯЧНО</x:v>
      </x:c>
      <x:c r="AP1" s="4" t="str">
        <x:v>CAPEX И КОММЕРЧЕСКИЕ РАСХОДЫ · ПОМЕСЯЧНО</x:v>
      </x:c>
      <x:c r="AQ1" s="4" t="str">
        <x:v>CAPEX И КОММЕРЧЕСКИЕ РАСХОДЫ · ПОМЕСЯЧНО</x:v>
      </x:c>
      <x:c r="AR1" s="4" t="str">
        <x:v>CAPEX И КОММЕРЧЕСКИЕ РАСХОДЫ · ПОМЕСЯЧНО</x:v>
      </x:c>
      <x:c r="AS1" s="4" t="str">
        <x:v>CAPEX И КОММЕРЧЕСКИЕ РАСХОДЫ · ПОМЕСЯЧНО</x:v>
      </x:c>
      <x:c r="AT1" s="4" t="str">
        <x:v>CAPEX И КОММЕРЧЕСКИЕ РАСХОДЫ · ПОМЕСЯЧНО</x:v>
      </x:c>
      <x:c r="AU1" s="4" t="str">
        <x:v>CAPEX И КОММЕРЧЕСКИЕ РАСХОДЫ · ПОМЕСЯЧНО</x:v>
      </x:c>
      <x:c r="AV1" s="4" t="str">
        <x:v>CAPEX И КОММЕРЧЕСКИЕ РАСХОДЫ · ПОМЕСЯЧНО</x:v>
      </x:c>
      <x:c r="AW1" s="4" t="str">
        <x:v>CAPEX И КОММЕРЧЕСКИЕ РАСХОДЫ · ПОМЕСЯЧНО</x:v>
      </x:c>
      <x:c r="AX1" s="4" t="str">
        <x:v>CAPEX И КОММЕРЧЕСКИЕ РАСХОДЫ · ПОМЕСЯЧНО</x:v>
      </x:c>
      <x:c r="AY1" s="4" t="str">
        <x:v>CAPEX И КОММЕРЧЕСКИЕ РАСХОДЫ · ПОМЕСЯЧНО</x:v>
      </x:c>
      <x:c r="AZ1" s="4" t="str">
        <x:v>CAPEX И КОММЕРЧЕСКИЕ РАСХОДЫ · ПОМЕСЯЧНО</x:v>
      </x:c>
      <x:c r="BA1" s="4" t="str">
        <x:v>CAPEX И КОММЕРЧЕСКИЕ РАСХОДЫ · ПОМЕСЯЧНО</x:v>
      </x:c>
      <x:c r="BB1" s="4" t="str">
        <x:v>CAPEX И КОММЕРЧЕСКИЕ РАСХОДЫ · ПОМЕСЯЧНО</x:v>
      </x:c>
      <x:c r="BC1" s="4" t="str">
        <x:v>CAPEX И КОММЕРЧЕСКИЕ РАСХОДЫ · ПОМЕСЯЧНО</x:v>
      </x:c>
      <x:c r="BD1" s="4" t="str">
        <x:v>CAPEX И КОММЕРЧЕСКИЕ РАСХОДЫ · ПОМЕСЯЧНО</x:v>
      </x:c>
      <x:c r="BE1" s="4" t="str">
        <x:v>CAPEX И КОММЕРЧЕСКИЕ РАСХОДЫ · ПОМЕСЯЧНО</x:v>
      </x:c>
      <x:c r="BF1" s="4" t="str">
        <x:v>CAPEX И КОММЕРЧЕСКИЕ РАСХОДЫ · ПОМЕСЯЧНО</x:v>
      </x:c>
      <x:c r="BG1" s="4" t="str">
        <x:v>CAPEX И КОММЕРЧЕСКИЕ РАСХОДЫ · ПОМЕСЯЧНО</x:v>
      </x:c>
      <x:c r="BH1" s="4" t="str">
        <x:v>CAPEX И КОММЕРЧЕСКИЕ РАСХОДЫ · ПОМЕСЯЧНО</x:v>
      </x:c>
      <x:c r="BI1" s="4" t="str">
        <x:v>CAPEX И КОММЕРЧЕСКИЕ РАСХОДЫ · ПОМЕСЯЧНО</x:v>
      </x:c>
      <x:c r="BJ1" s="4" t="str">
        <x:v>CAPEX И КОММЕРЧЕСКИЕ РАСХОДЫ · ПОМЕСЯЧНО</x:v>
      </x:c>
      <x:c r="BK1" s="4" t="str">
        <x:v>CAPEX И КОММЕРЧЕСКИЕ РАСХОДЫ · ПОМЕСЯЧНО</x:v>
      </x:c>
      <x:c r="BL1" s="4" t="str">
        <x:v>CAPEX И КОММЕРЧЕСКИЕ РАСХОДЫ · ПОМЕСЯЧНО</x:v>
      </x:c>
      <x:c r="BM1" s="4" t="str">
        <x:v>CAPEX И КОММЕРЧЕСКИЕ РАСХОДЫ · ПОМЕСЯЧНО</x:v>
      </x:c>
      <x:c r="BN1" s="4" t="str">
        <x:v>CAPEX И КОММЕРЧЕСКИЕ РАСХОДЫ · ПОМЕСЯЧНО</x:v>
      </x:c>
      <x:c r="BO1" s="4" t="str">
        <x:v>CAPEX И КОММЕРЧЕСКИЕ РАСХОДЫ · ПОМЕСЯЧНО</x:v>
      </x:c>
      <x:c r="BP1" s="4" t="str">
        <x:v>CAPEX И КОММЕРЧЕСКИЕ РАСХОДЫ · ПОМЕСЯЧНО</x:v>
      </x:c>
      <x:c r="BQ1" s="4" t="str">
        <x:v>CAPEX И КОММЕРЧЕСКИЕ РАСХОДЫ · ПОМЕСЯЧНО</x:v>
      </x:c>
      <x:c r="BR1" s="4" t="str">
        <x:v>CAPEX И КОММЕРЧЕСКИЕ РАСХОДЫ · ПОМЕСЯЧНО</x:v>
      </x:c>
      <x:c r="BS1" s="4" t="str">
        <x:v>CAPEX И КОММЕРЧЕСКИЕ РАСХОДЫ · ПОМЕСЯЧНО</x:v>
      </x:c>
      <x:c r="BT1" s="4" t="str">
        <x:v>CAPEX И КОММЕРЧЕСКИЕ РАСХОДЫ · ПОМЕСЯЧНО</x:v>
      </x:c>
      <x:c r="BU1" s="4" t="str">
        <x:v>CAPEX И КОММЕРЧЕСКИЕ РАСХОДЫ · ПОМЕСЯЧНО</x:v>
      </x:c>
      <x:c r="BV1" s="4" t="str">
        <x:v>CAPEX И КОММЕРЧЕСКИЕ РАСХОДЫ · ПОМЕСЯЧНО</x:v>
      </x:c>
      <x:c r="BW1" s="4" t="str">
        <x:v>CAPEX И КОММЕРЧЕСКИЕ РАСХОДЫ · ПОМЕСЯЧНО</x:v>
      </x:c>
      <x:c r="BX1" s="4" t="str">
        <x:v>CAPEX И КОММЕРЧЕСКИЕ РАСХОДЫ · ПОМЕСЯЧНО</x:v>
      </x:c>
      <x:c r="BY1" s="4" t="str">
        <x:v>CAPEX И КОММЕРЧЕСКИЕ РАСХОДЫ · ПОМЕСЯЧНО</x:v>
      </x:c>
      <x:c r="BZ1" s="4" t="str">
        <x:v>CAPEX И КОММЕРЧЕСКИЕ РАСХОДЫ · ПОМЕСЯЧНО</x:v>
      </x:c>
      <x:c r="CA1" s="4" t="str">
        <x:v>CAPEX И КОММЕРЧЕСКИЕ РАСХОДЫ · ПОМЕСЯЧНО</x:v>
      </x:c>
      <x:c r="CB1" s="4" t="str">
        <x:v>CAPEX И КОММЕРЧЕСКИЕ РАСХОДЫ · ПОМЕСЯЧНО</x:v>
      </x:c>
      <x:c r="CC1" s="4" t="str">
        <x:v>CAPEX И КОММЕРЧЕСКИЕ РАСХОДЫ · ПОМЕСЯЧНО</x:v>
      </x:c>
      <x:c r="CD1" s="4" t="str">
        <x:v>CAPEX И КОММЕРЧЕСКИЕ РАСХОДЫ · ПОМЕСЯЧНО</x:v>
      </x:c>
      <x:c r="CE1" s="4" t="str">
        <x:v>CAPEX И КОММЕРЧЕСКИЕ РАСХОДЫ · ПОМЕСЯЧНО</x:v>
      </x:c>
      <x:c r="CF1" s="4" t="str">
        <x:v>CAPEX И КОММЕРЧЕСКИЕ РАСХОДЫ · ПОМЕСЯЧНО</x:v>
      </x:c>
      <x:c r="CG1" s="4" t="str">
        <x:v>CAPEX И КОММЕРЧЕСКИЕ РАСХОДЫ · ПОМЕСЯЧНО</x:v>
      </x:c>
      <x:c r="CH1" s="4" t="str">
        <x:v>CAPEX И КОММЕРЧЕСКИЕ РАСХОДЫ · ПОМЕСЯЧНО</x:v>
      </x:c>
      <x:c r="CI1" s="4" t="str">
        <x:v>CAPEX И КОММЕРЧЕСКИЕ РАСХОДЫ · ПОМЕСЯЧНО</x:v>
      </x:c>
      <x:c r="CJ1" s="4" t="str">
        <x:v>CAPEX И КОММЕРЧЕСКИЕ РАСХОДЫ · ПОМЕСЯЧНО</x:v>
      </x:c>
      <x:c r="CK1" s="4" t="str">
        <x:v>CAPEX И КОММЕРЧЕСКИЕ РАСХОДЫ · ПОМЕСЯЧНО</x:v>
      </x:c>
      <x:c r="CL1" s="4" t="str">
        <x:v>CAPEX И КОММЕРЧЕСКИЕ РАСХОДЫ · ПОМЕСЯЧНО</x:v>
      </x:c>
      <x:c r="CM1" s="4" t="str">
        <x:v>CAPEX И КОММЕРЧЕСКИЕ РАСХОДЫ · ПОМЕСЯЧНО</x:v>
      </x:c>
      <x:c r="CN1" s="4" t="str">
        <x:v>CAPEX И КОММЕРЧЕСКИЕ РАСХОДЫ · ПОМЕСЯЧНО</x:v>
      </x:c>
      <x:c r="CO1" s="4" t="str">
        <x:v>CAPEX И КОММЕРЧЕСКИЕ РАСХОДЫ · ПОМЕСЯЧНО</x:v>
      </x:c>
      <x:c r="CP1" s="4" t="str">
        <x:v>CAPEX И КОММЕРЧЕСКИЕ РАСХОДЫ · ПОМЕСЯЧНО</x:v>
      </x:c>
      <x:c r="CQ1" s="4" t="str">
        <x:v>CAPEX И КОММЕРЧЕСКИЕ РАСХОДЫ · ПОМЕСЯЧНО</x:v>
      </x:c>
      <x:c r="CR1" s="4" t="str">
        <x:v>CAPEX И КОММЕРЧЕСКИЕ РАСХОДЫ · ПОМЕСЯЧНО</x:v>
      </x:c>
      <x:c r="CS1" s="4" t="str">
        <x:v>CAPEX И КОММЕРЧЕСКИЕ РАСХОДЫ · ПОМЕСЯЧНО</x:v>
      </x:c>
      <x:c r="CT1" s="4" t="str">
        <x:v>CAPEX И КОММЕРЧЕСКИЕ РАСХОДЫ · ПОМЕСЯЧНО</x:v>
      </x:c>
      <x:c r="CU1" s="4" t="str">
        <x:v>CAPEX И КОММЕРЧЕСКИЕ РАСХОДЫ · ПОМЕСЯЧНО</x:v>
      </x:c>
      <x:c r="CV1" s="4" t="str">
        <x:v>CAPEX И КОММЕРЧЕСКИЕ РАСХОДЫ · ПОМЕСЯЧНО</x:v>
      </x:c>
      <x:c r="CW1" s="4" t="str">
        <x:v>CAPEX И КОММЕРЧЕСКИЕ РАСХОДЫ · ПОМЕСЯЧНО</x:v>
      </x:c>
      <x:c r="CX1" s="4" t="str">
        <x:v>CAPEX И КОММЕРЧЕСКИЕ РАСХОДЫ · ПОМЕСЯЧНО</x:v>
      </x:c>
      <x:c r="CY1" s="4" t="str">
        <x:v>CAPEX И КОММЕРЧЕСКИЕ РАСХОДЫ · ПОМЕСЯЧНО</x:v>
      </x:c>
      <x:c r="CZ1" s="4" t="str">
        <x:v>CAPEX И КОММЕРЧЕСКИЕ РАСХОДЫ · ПОМЕСЯЧНО</x:v>
      </x:c>
      <x:c r="DA1" s="4" t="str">
        <x:v>CAPEX И КОММЕРЧЕСКИЕ РАСХОДЫ · ПОМЕСЯЧНО</x:v>
      </x:c>
      <x:c r="DB1" s="4" t="str">
        <x:v>CAPEX И КОММЕРЧЕСКИЕ РАСХОДЫ · ПОМЕСЯЧНО</x:v>
      </x:c>
      <x:c r="DC1" s="4" t="str">
        <x:v>CAPEX И КОММЕРЧЕСКИЕ РАСХОДЫ · ПОМЕСЯЧНО</x:v>
      </x:c>
      <x:c r="DD1" s="4" t="str">
        <x:v>CAPEX И КОММЕРЧЕСКИЕ РАСХОДЫ · ПОМЕСЯЧНО</x:v>
      </x:c>
      <x:c r="DE1" s="4" t="str">
        <x:v>CAPEX И КОММЕРЧЕСКИЕ РАСХОДЫ · ПОМЕСЯЧНО</x:v>
      </x:c>
      <x:c r="DF1" s="4" t="str">
        <x:v>CAPEX И КОММЕРЧЕСКИЕ РАСХОДЫ · ПОМЕСЯЧНО</x:v>
      </x:c>
      <x:c r="DG1" s="4" t="str">
        <x:v>CAPEX И КОММЕРЧЕСКИЕ РАСХОДЫ · ПОМЕСЯЧНО</x:v>
      </x:c>
      <x:c r="DH1" s="4" t="str">
        <x:v>CAPEX И КОММЕРЧЕСКИЕ РАСХОДЫ · ПОМЕСЯЧНО</x:v>
      </x:c>
      <x:c r="DI1" s="4" t="str">
        <x:v>CAPEX И КОММЕРЧЕСКИЕ РАСХОДЫ · ПОМЕСЯЧНО</x:v>
      </x:c>
      <x:c r="DJ1" s="4" t="str">
        <x:v>CAPEX И КОММЕРЧЕСКИЕ РАСХОДЫ · ПОМЕСЯЧНО</x:v>
      </x:c>
      <x:c r="DK1" s="4" t="str">
        <x:v>CAPEX И КОММЕРЧЕСКИЕ РАСХОДЫ · ПОМЕСЯЧНО</x:v>
      </x:c>
      <x:c r="DL1" s="4" t="str">
        <x:v>CAPEX И КОММЕРЧЕСКИЕ РАСХОДЫ · ПОМЕСЯЧНО</x:v>
      </x:c>
      <x:c r="DM1" s="4" t="str">
        <x:v>CAPEX И КОММЕРЧЕСКИЕ РАСХОДЫ · ПОМЕСЯЧНО</x:v>
      </x:c>
      <x:c r="DN1" s="4" t="str">
        <x:v>CAPEX И КОММЕРЧЕСКИЕ РАСХОДЫ · ПОМЕСЯЧНО</x:v>
      </x:c>
      <x:c r="DO1" s="4" t="str">
        <x:v>CAPEX И КОММЕРЧЕСКИЕ РАСХОДЫ · ПОМЕСЯЧНО</x:v>
      </x:c>
      <x:c r="DP1" s="4" t="str">
        <x:v>CAPEX И КОММЕРЧЕСКИЕ РАСХОДЫ · ПОМЕСЯЧНО</x:v>
      </x:c>
      <x:c r="DQ1" s="4" t="str">
        <x:v>CAPEX И КОММЕРЧЕСКИЕ РАСХОДЫ · ПОМЕСЯЧНО</x:v>
      </x:c>
      <x:c r="DR1" s="4" t="str">
        <x:v>CAPEX И КОММЕРЧЕСКИЕ РАСХОДЫ · ПОМЕСЯЧНО</x:v>
      </x:c>
      <x:c r="DS1" s="4" t="str">
        <x:v>CAPEX И КОММЕРЧЕСКИЕ РАСХОДЫ · ПОМЕСЯЧНО</x:v>
      </x:c>
      <x:c r="DT1" s="4" t="str"/>
      <x:c r="DU1" s="4" t="str"/>
      <x:c r="DV1" s="4" t="str"/>
      <x:c r="DW1" s="4" t="str"/>
      <x:c r="DX1" s="4" t="str"/>
      <x:c r="DY1" s="4" t="str"/>
      <x:c r="DZ1" s="4" t="str"/>
      <x:c r="EA1" s="4" t="str"/>
      <x:c r="EB1" s="4" t="str"/>
      <x:c r="EC1" s="4" t="str"/>
      <x:c r="ED1" s="4" t="str"/>
      <x:c r="EE1" s="4" t="str"/>
      <x:c r="EF1" s="4" t="str"/>
      <x:c r="EG1" s="4" t="str"/>
      <x:c r="EH1" s="4" t="str"/>
      <x:c r="EI1" s="4" t="str"/>
      <x:c r="EJ1" s="4" t="str"/>
      <x:c r="EK1" s="4" t="str"/>
      <x:c r="EL1" s="4" t="str"/>
      <x:c r="EM1" s="4" t="str"/>
      <x:c r="EN1" s="4" t="str"/>
      <x:c r="EO1" s="4" t="str"/>
      <x:c r="EP1" s="4" t="str"/>
      <x:c r="EQ1" s="4" t="str"/>
      <x:c r="ER1" s="4" t="str"/>
      <x:c r="ES1" s="4" t="str"/>
      <x:c r="ET1" s="4" t="str"/>
      <x:c r="EU1" s="4" t="str"/>
      <x:c r="EV1" s="4" t="str"/>
      <x:c r="EW1" s="4" t="str"/>
      <x:c r="EX1" s="4" t="str"/>
      <x:c r="EY1" s="4" t="str"/>
      <x:c r="EZ1" s="4" t="str"/>
      <x:c r="FA1" s="4" t="str"/>
      <x:c r="FB1" s="4" t="str"/>
      <x:c r="FC1" s="4" t="str"/>
      <x:c r="FD1" s="4" t="str"/>
      <x:c r="FE1" s="4" t="str"/>
      <x:c r="FF1" s="4" t="str"/>
      <x:c r="FG1" s="4" t="str"/>
      <x:c r="FH1" s="4" t="str"/>
      <x:c r="FI1" s="4" t="str"/>
      <x:c r="FJ1" s="4" t="str"/>
      <x:c r="FK1" s="4" t="str"/>
      <x:c r="FL1" s="4" t="str"/>
      <x:c r="FM1" s="4" t="str"/>
      <x:c r="FN1" s="4" t="str"/>
      <x:c r="FO1" s="4" t="str"/>
      <x:c r="FP1" s="4" t="str"/>
      <x:c r="FQ1" s="4" t="str"/>
      <x:c r="FR1" s="4" t="str"/>
      <x:c r="FS1" s="4" t="str"/>
      <x:c r="FT1" s="4" t="str"/>
      <x:c r="FU1" s="4" t="str"/>
      <x:c r="FV1" s="4" t="str"/>
      <x:c r="FW1" s="4" t="str"/>
      <x:c r="FX1" s="4" t="str"/>
      <x:c r="FY1" s="4" t="str"/>
      <x:c r="FZ1" s="4" t="str"/>
      <x:c r="GA1" s="4" t="str"/>
    </x:row>
    <x:row r="3">
      <x:c r="A3" s="23" t="str">
        <x:v>Статья</x:v>
      </x:c>
      <x:c r="B3" s="23" t="str">
        <x:v>Итого</x:v>
      </x:c>
      <x:c r="C3" s="23" t="str">
        <x:v>Ед.</x:v>
      </x:c>
      <x:c r="D3" s="102" t="n">
        <x:f>'Ставки'!$D$3</x:f>
      </x:c>
      <x:c r="E3" s="102" t="n">
        <x:f>'Ставки'!$E$3</x:f>
      </x:c>
      <x:c r="F3" s="102" t="n">
        <x:f>'Ставки'!$F$3</x:f>
      </x:c>
      <x:c r="G3" s="102" t="n">
        <x:f>'Ставки'!$G$3</x:f>
      </x:c>
      <x:c r="H3" s="102" t="n">
        <x:f>'Ставки'!$H$3</x:f>
      </x:c>
      <x:c r="I3" s="102" t="n">
        <x:f>'Ставки'!$I$3</x:f>
      </x:c>
      <x:c r="J3" s="102" t="n">
        <x:f>'Ставки'!$J$3</x:f>
      </x:c>
      <x:c r="K3" s="102" t="n">
        <x:f>'Ставки'!$K$3</x:f>
      </x:c>
      <x:c r="L3" s="102" t="n">
        <x:f>'Ставки'!$L$3</x:f>
      </x:c>
      <x:c r="M3" s="102" t="n">
        <x:f>'Ставки'!$M$3</x:f>
      </x:c>
      <x:c r="N3" s="102" t="n">
        <x:f>'Ставки'!$N$3</x:f>
      </x:c>
      <x:c r="O3" s="102" t="n">
        <x:f>'Ставки'!$O$3</x:f>
      </x:c>
      <x:c r="P3" s="102" t="n">
        <x:f>'Ставки'!$P$3</x:f>
      </x:c>
      <x:c r="Q3" s="102" t="n">
        <x:f>'Ставки'!$Q$3</x:f>
      </x:c>
      <x:c r="R3" s="102" t="n">
        <x:f>'Ставки'!$R$3</x:f>
      </x:c>
      <x:c r="S3" s="102" t="n">
        <x:f>'Ставки'!$S$3</x:f>
      </x:c>
      <x:c r="T3" s="102" t="n">
        <x:f>'Ставки'!$T$3</x:f>
      </x:c>
      <x:c r="U3" s="102" t="n">
        <x:f>'Ставки'!$U$3</x:f>
      </x:c>
      <x:c r="V3" s="102" t="n">
        <x:f>'Ставки'!$V$3</x:f>
      </x:c>
      <x:c r="W3" s="102" t="n">
        <x:f>'Ставки'!$W$3</x:f>
      </x:c>
      <x:c r="X3" s="102" t="n">
        <x:f>'Ставки'!$X$3</x:f>
      </x:c>
      <x:c r="Y3" s="102" t="n">
        <x:f>'Ставки'!$Y$3</x:f>
      </x:c>
      <x:c r="Z3" s="102" t="n">
        <x:f>'Ставки'!$Z$3</x:f>
      </x:c>
      <x:c r="AA3" s="102" t="n">
        <x:f>'Ставки'!$AA$3</x:f>
      </x:c>
      <x:c r="AB3" s="102" t="n">
        <x:f>'Ставки'!$AB$3</x:f>
      </x:c>
      <x:c r="AC3" s="102" t="n">
        <x:f>'Ставки'!$AC$3</x:f>
      </x:c>
      <x:c r="AD3" s="102" t="n">
        <x:f>'Ставки'!$AD$3</x:f>
      </x:c>
      <x:c r="AE3" s="102" t="n">
        <x:f>'Ставки'!$AE$3</x:f>
      </x:c>
      <x:c r="AF3" s="102" t="n">
        <x:f>'Ставки'!$AF$3</x:f>
      </x:c>
      <x:c r="AG3" s="102" t="n">
        <x:f>'Ставки'!$AG$3</x:f>
      </x:c>
      <x:c r="AH3" s="102" t="n">
        <x:f>'Ставки'!$AH$3</x:f>
      </x:c>
      <x:c r="AI3" s="102" t="n">
        <x:f>'Ставки'!$AI$3</x:f>
      </x:c>
      <x:c r="AJ3" s="102" t="n">
        <x:f>'Ставки'!$AJ$3</x:f>
      </x:c>
      <x:c r="AK3" s="102" t="n">
        <x:f>'Ставки'!$AK$3</x:f>
      </x:c>
      <x:c r="AL3" s="102" t="n">
        <x:f>'Ставки'!$AL$3</x:f>
      </x:c>
      <x:c r="AM3" s="102" t="n">
        <x:f>'Ставки'!$AM$3</x:f>
      </x:c>
      <x:c r="AN3" s="102" t="n">
        <x:f>'Ставки'!$AN$3</x:f>
      </x:c>
      <x:c r="AO3" s="102" t="n">
        <x:f>'Ставки'!$AO$3</x:f>
      </x:c>
      <x:c r="AP3" s="102" t="n">
        <x:f>'Ставки'!$AP$3</x:f>
      </x:c>
      <x:c r="AQ3" s="102" t="n">
        <x:f>'Ставки'!$AQ$3</x:f>
      </x:c>
      <x:c r="AR3" s="102" t="n">
        <x:f>'Ставки'!$AR$3</x:f>
      </x:c>
      <x:c r="AS3" s="102" t="n">
        <x:f>'Ставки'!$AS$3</x:f>
      </x:c>
      <x:c r="AT3" s="102" t="n">
        <x:f>'Ставки'!$AT$3</x:f>
      </x:c>
      <x:c r="AU3" s="102" t="n">
        <x:f>'Ставки'!$AU$3</x:f>
      </x:c>
      <x:c r="AV3" s="102" t="n">
        <x:f>'Ставки'!$AV$3</x:f>
      </x:c>
      <x:c r="AW3" s="102" t="n">
        <x:f>'Ставки'!$AW$3</x:f>
      </x:c>
      <x:c r="AX3" s="102" t="n">
        <x:f>'Ставки'!$AX$3</x:f>
      </x:c>
      <x:c r="AY3" s="102" t="n">
        <x:f>'Ставки'!$AY$3</x:f>
      </x:c>
      <x:c r="AZ3" s="102" t="n">
        <x:f>'Ставки'!$AZ$3</x:f>
      </x:c>
      <x:c r="BA3" s="102" t="n">
        <x:f>'Ставки'!$BA$3</x:f>
      </x:c>
      <x:c r="BB3" s="102" t="n">
        <x:f>'Ставки'!$BB$3</x:f>
      </x:c>
      <x:c r="BC3" s="102" t="n">
        <x:f>'Ставки'!$BC$3</x:f>
      </x:c>
      <x:c r="BD3" s="102" t="n">
        <x:f>'Ставки'!$BD$3</x:f>
      </x:c>
      <x:c r="BE3" s="102" t="n">
        <x:f>'Ставки'!$BE$3</x:f>
      </x:c>
      <x:c r="BF3" s="102" t="n">
        <x:f>'Ставки'!$BF$3</x:f>
      </x:c>
      <x:c r="BG3" s="102" t="n">
        <x:f>'Ставки'!$BG$3</x:f>
      </x:c>
      <x:c r="BH3" s="102" t="n">
        <x:f>'Ставки'!$BH$3</x:f>
      </x:c>
      <x:c r="BI3" s="102" t="n">
        <x:f>'Ставки'!$BI$3</x:f>
      </x:c>
      <x:c r="BJ3" s="102" t="n">
        <x:f>'Ставки'!$BJ$3</x:f>
      </x:c>
      <x:c r="BK3" s="102" t="n">
        <x:f>'Ставки'!$BK$3</x:f>
      </x:c>
      <x:c r="BL3" s="102" t="n">
        <x:f>'Ставки'!$BL$3</x:f>
      </x:c>
      <x:c r="BM3" s="102" t="n">
        <x:f>'Ставки'!$BM$3</x:f>
      </x:c>
      <x:c r="BN3" s="102" t="n">
        <x:f>'Ставки'!$BN$3</x:f>
      </x:c>
      <x:c r="BO3" s="102" t="n">
        <x:f>'Ставки'!$BO$3</x:f>
      </x:c>
      <x:c r="BP3" s="102" t="n">
        <x:f>'Ставки'!$BP$3</x:f>
      </x:c>
      <x:c r="BQ3" s="102" t="n">
        <x:f>'Ставки'!$BQ$3</x:f>
      </x:c>
      <x:c r="BR3" s="102" t="n">
        <x:f>'Ставки'!$BR$3</x:f>
      </x:c>
      <x:c r="BS3" s="102" t="n">
        <x:f>'Ставки'!$BS$3</x:f>
      </x:c>
      <x:c r="BT3" s="102" t="n">
        <x:f>'Ставки'!$BT$3</x:f>
      </x:c>
      <x:c r="BU3" s="102" t="n">
        <x:f>'Ставки'!$BU$3</x:f>
      </x:c>
      <x:c r="BV3" s="102" t="n">
        <x:f>'Ставки'!$BV$3</x:f>
      </x:c>
      <x:c r="BW3" s="102" t="n">
        <x:f>'Ставки'!$BW$3</x:f>
      </x:c>
      <x:c r="BX3" s="102" t="n">
        <x:f>'Ставки'!$BX$3</x:f>
      </x:c>
      <x:c r="BY3" s="102" t="n">
        <x:f>'Ставки'!$BY$3</x:f>
      </x:c>
      <x:c r="BZ3" s="102" t="n">
        <x:f>'Ставки'!$BZ$3</x:f>
      </x:c>
      <x:c r="CA3" s="102" t="n">
        <x:f>'Ставки'!$CA$3</x:f>
      </x:c>
      <x:c r="CB3" s="102" t="n">
        <x:f>'Ставки'!$CB$3</x:f>
      </x:c>
      <x:c r="CC3" s="102" t="n">
        <x:f>'Ставки'!$CC$3</x:f>
      </x:c>
      <x:c r="CD3" s="102" t="n">
        <x:f>'Ставки'!$CD$3</x:f>
      </x:c>
      <x:c r="CE3" s="102" t="n">
        <x:f>'Ставки'!$CE$3</x:f>
      </x:c>
      <x:c r="CF3" s="102" t="n">
        <x:f>'Ставки'!$CF$3</x:f>
      </x:c>
      <x:c r="CG3" s="102" t="n">
        <x:f>'Ставки'!$CG$3</x:f>
      </x:c>
      <x:c r="CH3" s="102" t="n">
        <x:f>'Ставки'!$CH$3</x:f>
      </x:c>
      <x:c r="CI3" s="102" t="n">
        <x:f>'Ставки'!$CI$3</x:f>
      </x:c>
      <x:c r="CJ3" s="102" t="n">
        <x:f>'Ставки'!$CJ$3</x:f>
      </x:c>
      <x:c r="CK3" s="102" t="n">
        <x:f>'Ставки'!$CK$3</x:f>
      </x:c>
      <x:c r="CL3" s="102" t="n">
        <x:f>'Ставки'!$CL$3</x:f>
      </x:c>
      <x:c r="CM3" s="102" t="n">
        <x:f>'Ставки'!$CM$3</x:f>
      </x:c>
      <x:c r="CN3" s="102" t="n">
        <x:f>'Ставки'!$CN$3</x:f>
      </x:c>
      <x:c r="CO3" s="102" t="n">
        <x:f>'Ставки'!$CO$3</x:f>
      </x:c>
      <x:c r="CP3" s="102" t="n">
        <x:f>'Ставки'!$CP$3</x:f>
      </x:c>
      <x:c r="CQ3" s="102" t="n">
        <x:f>'Ставки'!$CQ$3</x:f>
      </x:c>
      <x:c r="CR3" s="102" t="n">
        <x:f>'Ставки'!$CR$3</x:f>
      </x:c>
      <x:c r="CS3" s="102" t="n">
        <x:f>'Ставки'!$CS$3</x:f>
      </x:c>
      <x:c r="CT3" s="102" t="n">
        <x:f>'Ставки'!$CT$3</x:f>
      </x:c>
      <x:c r="CU3" s="102" t="n">
        <x:f>'Ставки'!$CU$3</x:f>
      </x:c>
      <x:c r="CV3" s="102" t="n">
        <x:f>'Ставки'!$CV$3</x:f>
      </x:c>
      <x:c r="CW3" s="102" t="n">
        <x:f>'Ставки'!$CW$3</x:f>
      </x:c>
      <x:c r="CX3" s="102" t="n">
        <x:f>'Ставки'!$CX$3</x:f>
      </x:c>
      <x:c r="CY3" s="102" t="n">
        <x:f>'Ставки'!$CY$3</x:f>
      </x:c>
      <x:c r="CZ3" s="102" t="n">
        <x:f>'Ставки'!$CZ$3</x:f>
      </x:c>
      <x:c r="DA3" s="102" t="n">
        <x:f>'Ставки'!$DA$3</x:f>
      </x:c>
      <x:c r="DB3" s="102" t="n">
        <x:f>'Ставки'!$DB$3</x:f>
      </x:c>
      <x:c r="DC3" s="102" t="n">
        <x:f>'Ставки'!$DC$3</x:f>
      </x:c>
      <x:c r="DD3" s="102" t="n">
        <x:f>'Ставки'!$DD$3</x:f>
      </x:c>
      <x:c r="DE3" s="102" t="n">
        <x:f>'Ставки'!$DE$3</x:f>
      </x:c>
      <x:c r="DF3" s="102" t="n">
        <x:f>'Ставки'!$DF$3</x:f>
      </x:c>
      <x:c r="DG3" s="102" t="n">
        <x:f>'Ставки'!$DG$3</x:f>
      </x:c>
      <x:c r="DH3" s="102" t="n">
        <x:f>'Ставки'!$DH$3</x:f>
      </x:c>
      <x:c r="DI3" s="102" t="n">
        <x:f>'Ставки'!$DI$3</x:f>
      </x:c>
      <x:c r="DJ3" s="102" t="n">
        <x:f>'Ставки'!$DJ$3</x:f>
      </x:c>
      <x:c r="DK3" s="102" t="n">
        <x:f>'Ставки'!$DK$3</x:f>
      </x:c>
      <x:c r="DL3" s="102" t="n">
        <x:f>'Ставки'!$DL$3</x:f>
      </x:c>
      <x:c r="DM3" s="102" t="n">
        <x:f>'Ставки'!$DM$3</x:f>
      </x:c>
      <x:c r="DN3" s="102" t="n">
        <x:f>'Ставки'!$DN$3</x:f>
      </x:c>
      <x:c r="DO3" s="102" t="n">
        <x:f>'Ставки'!$DO$3</x:f>
      </x:c>
      <x:c r="DP3" s="102" t="n">
        <x:f>'Ставки'!$DP$3</x:f>
      </x:c>
      <x:c r="DQ3" s="102" t="n">
        <x:f>'Ставки'!$DQ$3</x:f>
      </x:c>
      <x:c r="DR3" s="102" t="n">
        <x:f>'Ставки'!$DR$3</x:f>
      </x:c>
      <x:c r="DS3" s="102" t="n">
        <x:f>'Ставки'!$DS$3</x:f>
      </x:c>
      <x:c r="DT3" s="102" t="n">
        <x:f>'Ставки'!$DT$3</x:f>
      </x:c>
      <x:c r="DU3" s="102" t="n">
        <x:f>'Ставки'!$DU$3</x:f>
      </x:c>
      <x:c r="DV3" s="102" t="n">
        <x:f>'Ставки'!$DV$3</x:f>
      </x:c>
      <x:c r="DW3" s="102" t="n">
        <x:f>'Ставки'!$DW$3</x:f>
      </x:c>
      <x:c r="DX3" s="102" t="n">
        <x:f>'Ставки'!$DX$3</x:f>
      </x:c>
      <x:c r="DY3" s="102" t="n">
        <x:f>'Ставки'!$DY$3</x:f>
      </x:c>
      <x:c r="DZ3" s="102" t="n">
        <x:f>'Ставки'!$DZ$3</x:f>
      </x:c>
      <x:c r="EA3" s="102" t="n">
        <x:f>'Ставки'!$EA$3</x:f>
      </x:c>
      <x:c r="EB3" s="102" t="n">
        <x:f>'Ставки'!$EB$3</x:f>
      </x:c>
      <x:c r="EC3" s="102" t="n">
        <x:f>'Ставки'!$EC$3</x:f>
      </x:c>
      <x:c r="ED3" s="102" t="n">
        <x:f>'Ставки'!$ED$3</x:f>
      </x:c>
      <x:c r="EE3" s="102" t="n">
        <x:f>'Ставки'!$EE$3</x:f>
      </x:c>
      <x:c r="EF3" s="102" t="n">
        <x:f>'Ставки'!$EF$3</x:f>
      </x:c>
      <x:c r="EG3" s="102" t="n">
        <x:f>'Ставки'!$EG$3</x:f>
      </x:c>
      <x:c r="EH3" s="102" t="n">
        <x:f>'Ставки'!$EH$3</x:f>
      </x:c>
      <x:c r="EI3" s="102" t="n">
        <x:f>'Ставки'!$EI$3</x:f>
      </x:c>
      <x:c r="EJ3" s="102" t="n">
        <x:f>'Ставки'!$EJ$3</x:f>
      </x:c>
      <x:c r="EK3" s="102" t="n">
        <x:f>'Ставки'!$EK$3</x:f>
      </x:c>
      <x:c r="EL3" s="102" t="n">
        <x:f>'Ставки'!$EL$3</x:f>
      </x:c>
      <x:c r="EM3" s="102" t="n">
        <x:f>'Ставки'!$EM$3</x:f>
      </x:c>
      <x:c r="EN3" s="102" t="n">
        <x:f>'Ставки'!$EN$3</x:f>
      </x:c>
      <x:c r="EO3" s="102" t="n">
        <x:f>'Ставки'!$EO$3</x:f>
      </x:c>
      <x:c r="EP3" s="102" t="n">
        <x:f>'Ставки'!$EP$3</x:f>
      </x:c>
      <x:c r="EQ3" s="102" t="n">
        <x:f>'Ставки'!$EQ$3</x:f>
      </x:c>
      <x:c r="ER3" s="102" t="n">
        <x:f>'Ставки'!$ER$3</x:f>
      </x:c>
      <x:c r="ES3" s="102" t="n">
        <x:f>'Ставки'!$ES$3</x:f>
      </x:c>
      <x:c r="ET3" s="102" t="n">
        <x:f>'Ставки'!$ET$3</x:f>
      </x:c>
      <x:c r="EU3" s="102" t="n">
        <x:f>'Ставки'!$EU$3</x:f>
      </x:c>
      <x:c r="EV3" s="102" t="n">
        <x:f>'Ставки'!$EV$3</x:f>
      </x:c>
      <x:c r="EW3" s="102" t="n">
        <x:f>'Ставки'!$EW$3</x:f>
      </x:c>
      <x:c r="EX3" s="102" t="n">
        <x:f>'Ставки'!$EX$3</x:f>
      </x:c>
      <x:c r="EY3" s="102" t="n">
        <x:f>'Ставки'!$EY$3</x:f>
      </x:c>
      <x:c r="EZ3" s="102" t="n">
        <x:f>'Ставки'!$EZ$3</x:f>
      </x:c>
      <x:c r="FA3" s="102" t="n">
        <x:f>'Ставки'!$FA$3</x:f>
      </x:c>
      <x:c r="FB3" s="102" t="n">
        <x:f>'Ставки'!$FB$3</x:f>
      </x:c>
      <x:c r="FC3" s="102" t="n">
        <x:f>'Ставки'!$FC$3</x:f>
      </x:c>
      <x:c r="FD3" s="102" t="n">
        <x:f>'Ставки'!$FD$3</x:f>
      </x:c>
      <x:c r="FE3" s="102" t="n">
        <x:f>'Ставки'!$FE$3</x:f>
      </x:c>
      <x:c r="FF3" s="102" t="n">
        <x:f>'Ставки'!$FF$3</x:f>
      </x:c>
      <x:c r="FG3" s="102" t="n">
        <x:f>'Ставки'!$FG$3</x:f>
      </x:c>
      <x:c r="FH3" s="102" t="n">
        <x:f>'Ставки'!$FH$3</x:f>
      </x:c>
      <x:c r="FI3" s="102" t="n">
        <x:f>'Ставки'!$FI$3</x:f>
      </x:c>
      <x:c r="FJ3" s="102" t="n">
        <x:f>'Ставки'!$FJ$3</x:f>
      </x:c>
      <x:c r="FK3" s="102" t="n">
        <x:f>'Ставки'!$FK$3</x:f>
      </x:c>
      <x:c r="FL3" s="102" t="n">
        <x:f>'Ставки'!$FL$3</x:f>
      </x:c>
      <x:c r="FM3" s="102" t="n">
        <x:f>'Ставки'!$FM$3</x:f>
      </x:c>
      <x:c r="FN3" s="102" t="n">
        <x:f>'Ставки'!$FN$3</x:f>
      </x:c>
      <x:c r="FO3" s="102" t="n">
        <x:f>'Ставки'!$FO$3</x:f>
      </x:c>
      <x:c r="FP3" s="102" t="n">
        <x:f>'Ставки'!$FP$3</x:f>
      </x:c>
      <x:c r="FQ3" s="102" t="n">
        <x:f>'Ставки'!$FQ$3</x:f>
      </x:c>
      <x:c r="FR3" s="102" t="n">
        <x:f>'Ставки'!$FR$3</x:f>
      </x:c>
      <x:c r="FS3" s="102" t="n">
        <x:f>'Ставки'!$FS$3</x:f>
      </x:c>
      <x:c r="FT3" s="102" t="n">
        <x:f>'Ставки'!$FT$3</x:f>
      </x:c>
      <x:c r="FU3" s="102" t="n">
        <x:f>'Ставки'!$FU$3</x:f>
      </x:c>
      <x:c r="FV3" s="102" t="n">
        <x:f>'Ставки'!$FV$3</x:f>
      </x:c>
      <x:c r="FW3" s="102" t="n">
        <x:f>'Ставки'!$FW$3</x:f>
      </x:c>
      <x:c r="FX3" s="102" t="n">
        <x:f>'Ставки'!$FX$3</x:f>
      </x:c>
      <x:c r="FY3" s="102" t="n">
        <x:f>'Ставки'!$FY$3</x:f>
      </x:c>
      <x:c r="FZ3" s="102" t="n">
        <x:f>'Ставки'!$FZ$3</x:f>
      </x:c>
      <x:c r="GA3" s="102" t="n">
        <x:f>'Ставки'!$GA$3</x:f>
      </x:c>
    </x:row>
    <x:row r="4">
      <x:c r="A4" t="str">
        <x:v>Период</x:v>
      </x:c>
      <x:c r="B4"/>
      <x:c r="C4" t="str">
        <x:v>№</x:v>
      </x:c>
      <x:c r="D4" s="104" t="n">
        <x:f>1</x:f>
      </x:c>
      <x:c r="E4" s="104" t="n">
        <x:f>2</x:f>
      </x:c>
      <x:c r="F4" s="104" t="n">
        <x:f>3</x:f>
      </x:c>
      <x:c r="G4" s="104" t="n">
        <x:f>4</x:f>
      </x:c>
      <x:c r="H4" s="104" t="n">
        <x:f>5</x:f>
      </x:c>
      <x:c r="I4" s="104" t="n">
        <x:f>6</x:f>
      </x:c>
      <x:c r="J4" s="104" t="n">
        <x:f>7</x:f>
      </x:c>
      <x:c r="K4" s="104" t="n">
        <x:f>8</x:f>
      </x:c>
      <x:c r="L4" s="104" t="n">
        <x:f>9</x:f>
      </x:c>
      <x:c r="M4" s="104" t="n">
        <x:f>10</x:f>
      </x:c>
      <x:c r="N4" s="104" t="n">
        <x:f>11</x:f>
      </x:c>
      <x:c r="O4" s="104" t="n">
        <x:f>12</x:f>
      </x:c>
      <x:c r="P4" s="104" t="n">
        <x:f>13</x:f>
      </x:c>
      <x:c r="Q4" s="104" t="n">
        <x:f>14</x:f>
      </x:c>
      <x:c r="R4" s="104" t="n">
        <x:f>15</x:f>
      </x:c>
      <x:c r="S4" s="104" t="n">
        <x:f>16</x:f>
      </x:c>
      <x:c r="T4" s="104" t="n">
        <x:f>17</x:f>
      </x:c>
      <x:c r="U4" s="104" t="n">
        <x:f>18</x:f>
      </x:c>
      <x:c r="V4" s="104" t="n">
        <x:f>19</x:f>
      </x:c>
      <x:c r="W4" s="104" t="n">
        <x:f>20</x:f>
      </x:c>
      <x:c r="X4" s="104" t="n">
        <x:f>21</x:f>
      </x:c>
      <x:c r="Y4" s="104" t="n">
        <x:f>22</x:f>
      </x:c>
      <x:c r="Z4" s="104" t="n">
        <x:f>23</x:f>
      </x:c>
      <x:c r="AA4" s="104" t="n">
        <x:f>24</x:f>
      </x:c>
      <x:c r="AB4" s="104" t="n">
        <x:f>25</x:f>
      </x:c>
      <x:c r="AC4" s="104" t="n">
        <x:f>26</x:f>
      </x:c>
      <x:c r="AD4" s="104" t="n">
        <x:f>27</x:f>
      </x:c>
      <x:c r="AE4" s="104" t="n">
        <x:f>28</x:f>
      </x:c>
      <x:c r="AF4" s="104" t="n">
        <x:f>29</x:f>
      </x:c>
      <x:c r="AG4" s="104" t="n">
        <x:f>30</x:f>
      </x:c>
      <x:c r="AH4" s="104" t="n">
        <x:f>31</x:f>
      </x:c>
      <x:c r="AI4" s="104" t="n">
        <x:f>32</x:f>
      </x:c>
      <x:c r="AJ4" s="104" t="n">
        <x:f>33</x:f>
      </x:c>
      <x:c r="AK4" s="104" t="n">
        <x:f>34</x:f>
      </x:c>
      <x:c r="AL4" s="104" t="n">
        <x:f>35</x:f>
      </x:c>
      <x:c r="AM4" s="104" t="n">
        <x:f>36</x:f>
      </x:c>
      <x:c r="AN4" s="104" t="n">
        <x:f>37</x:f>
      </x:c>
      <x:c r="AO4" s="104" t="n">
        <x:f>38</x:f>
      </x:c>
      <x:c r="AP4" s="104" t="n">
        <x:f>39</x:f>
      </x:c>
      <x:c r="AQ4" s="104" t="n">
        <x:f>40</x:f>
      </x:c>
      <x:c r="AR4" s="104" t="n">
        <x:f>41</x:f>
      </x:c>
      <x:c r="AS4" s="104" t="n">
        <x:f>42</x:f>
      </x:c>
      <x:c r="AT4" s="104" t="n">
        <x:f>43</x:f>
      </x:c>
      <x:c r="AU4" s="104" t="n">
        <x:f>44</x:f>
      </x:c>
      <x:c r="AV4" s="104" t="n">
        <x:f>45</x:f>
      </x:c>
      <x:c r="AW4" s="104" t="n">
        <x:f>46</x:f>
      </x:c>
      <x:c r="AX4" s="104" t="n">
        <x:f>47</x:f>
      </x:c>
      <x:c r="AY4" s="104" t="n">
        <x:f>48</x:f>
      </x:c>
      <x:c r="AZ4" s="104" t="n">
        <x:f>49</x:f>
      </x:c>
      <x:c r="BA4" s="104" t="n">
        <x:f>50</x:f>
      </x:c>
      <x:c r="BB4" s="104" t="n">
        <x:f>51</x:f>
      </x:c>
      <x:c r="BC4" s="104" t="n">
        <x:f>52</x:f>
      </x:c>
      <x:c r="BD4" s="104" t="n">
        <x:f>53</x:f>
      </x:c>
      <x:c r="BE4" s="104" t="n">
        <x:f>54</x:f>
      </x:c>
      <x:c r="BF4" s="104" t="n">
        <x:f>55</x:f>
      </x:c>
      <x:c r="BG4" s="104" t="n">
        <x:f>56</x:f>
      </x:c>
      <x:c r="BH4" s="104" t="n">
        <x:f>57</x:f>
      </x:c>
      <x:c r="BI4" s="104" t="n">
        <x:f>58</x:f>
      </x:c>
      <x:c r="BJ4" s="104" t="n">
        <x:f>59</x:f>
      </x:c>
      <x:c r="BK4" s="104" t="n">
        <x:f>60</x:f>
      </x:c>
      <x:c r="BL4" s="104" t="n">
        <x:f>61</x:f>
      </x:c>
      <x:c r="BM4" s="104" t="n">
        <x:f>62</x:f>
      </x:c>
      <x:c r="BN4" s="104" t="n">
        <x:f>63</x:f>
      </x:c>
      <x:c r="BO4" s="104" t="n">
        <x:f>64</x:f>
      </x:c>
      <x:c r="BP4" s="104" t="n">
        <x:f>65</x:f>
      </x:c>
      <x:c r="BQ4" s="104" t="n">
        <x:f>66</x:f>
      </x:c>
      <x:c r="BR4" s="104" t="n">
        <x:f>67</x:f>
      </x:c>
      <x:c r="BS4" s="104" t="n">
        <x:f>68</x:f>
      </x:c>
      <x:c r="BT4" s="104" t="n">
        <x:f>69</x:f>
      </x:c>
      <x:c r="BU4" s="104" t="n">
        <x:f>70</x:f>
      </x:c>
      <x:c r="BV4" s="104" t="n">
        <x:f>71</x:f>
      </x:c>
      <x:c r="BW4" s="104" t="n">
        <x:f>72</x:f>
      </x:c>
      <x:c r="BX4" s="104" t="n">
        <x:f>73</x:f>
      </x:c>
      <x:c r="BY4" s="104" t="n">
        <x:f>74</x:f>
      </x:c>
      <x:c r="BZ4" s="104" t="n">
        <x:f>75</x:f>
      </x:c>
      <x:c r="CA4" s="104" t="n">
        <x:f>76</x:f>
      </x:c>
      <x:c r="CB4" s="104" t="n">
        <x:f>77</x:f>
      </x:c>
      <x:c r="CC4" s="104" t="n">
        <x:f>78</x:f>
      </x:c>
      <x:c r="CD4" s="104" t="n">
        <x:f>79</x:f>
      </x:c>
      <x:c r="CE4" s="104" t="n">
        <x:f>80</x:f>
      </x:c>
      <x:c r="CF4" s="104" t="n">
        <x:f>81</x:f>
      </x:c>
      <x:c r="CG4" s="104" t="n">
        <x:f>82</x:f>
      </x:c>
      <x:c r="CH4" s="104" t="n">
        <x:f>83</x:f>
      </x:c>
      <x:c r="CI4" s="104" t="n">
        <x:f>84</x:f>
      </x:c>
      <x:c r="CJ4" s="104" t="n">
        <x:f>85</x:f>
      </x:c>
      <x:c r="CK4" s="104" t="n">
        <x:f>86</x:f>
      </x:c>
      <x:c r="CL4" s="104" t="n">
        <x:f>87</x:f>
      </x:c>
      <x:c r="CM4" s="104" t="n">
        <x:f>88</x:f>
      </x:c>
      <x:c r="CN4" s="104" t="n">
        <x:f>89</x:f>
      </x:c>
      <x:c r="CO4" s="104" t="n">
        <x:f>90</x:f>
      </x:c>
      <x:c r="CP4" s="104" t="n">
        <x:f>91</x:f>
      </x:c>
      <x:c r="CQ4" s="104" t="n">
        <x:f>92</x:f>
      </x:c>
      <x:c r="CR4" s="104" t="n">
        <x:f>93</x:f>
      </x:c>
      <x:c r="CS4" s="104" t="n">
        <x:f>94</x:f>
      </x:c>
      <x:c r="CT4" s="104" t="n">
        <x:f>95</x:f>
      </x:c>
      <x:c r="CU4" s="104" t="n">
        <x:f>96</x:f>
      </x:c>
      <x:c r="CV4" s="104" t="n">
        <x:f>97</x:f>
      </x:c>
      <x:c r="CW4" s="104" t="n">
        <x:f>98</x:f>
      </x:c>
      <x:c r="CX4" s="104" t="n">
        <x:f>99</x:f>
      </x:c>
      <x:c r="CY4" s="104" t="n">
        <x:f>100</x:f>
      </x:c>
      <x:c r="CZ4" s="104" t="n">
        <x:f>101</x:f>
      </x:c>
      <x:c r="DA4" s="104" t="n">
        <x:f>102</x:f>
      </x:c>
      <x:c r="DB4" s="104" t="n">
        <x:f>103</x:f>
      </x:c>
      <x:c r="DC4" s="104" t="n">
        <x:f>104</x:f>
      </x:c>
      <x:c r="DD4" s="104" t="n">
        <x:f>105</x:f>
      </x:c>
      <x:c r="DE4" s="104" t="n">
        <x:f>106</x:f>
      </x:c>
      <x:c r="DF4" s="104" t="n">
        <x:f>107</x:f>
      </x:c>
      <x:c r="DG4" s="104" t="n">
        <x:f>108</x:f>
      </x:c>
      <x:c r="DH4" s="104" t="n">
        <x:f>109</x:f>
      </x:c>
      <x:c r="DI4" s="104" t="n">
        <x:f>110</x:f>
      </x:c>
      <x:c r="DJ4" s="104" t="n">
        <x:f>111</x:f>
      </x:c>
      <x:c r="DK4" s="104" t="n">
        <x:f>112</x:f>
      </x:c>
      <x:c r="DL4" s="104" t="n">
        <x:f>113</x:f>
      </x:c>
      <x:c r="DM4" s="104" t="n">
        <x:f>114</x:f>
      </x:c>
      <x:c r="DN4" s="104" t="n">
        <x:f>115</x:f>
      </x:c>
      <x:c r="DO4" s="104" t="n">
        <x:f>116</x:f>
      </x:c>
      <x:c r="DP4" s="104" t="n">
        <x:f>117</x:f>
      </x:c>
      <x:c r="DQ4" s="104" t="n">
        <x:f>118</x:f>
      </x:c>
      <x:c r="DR4" s="104" t="n">
        <x:f>119</x:f>
      </x:c>
      <x:c r="DS4" s="104" t="n">
        <x:f>120</x:f>
      </x:c>
      <x:c r="DT4" s="104" t="n">
        <x:f>121</x:f>
      </x:c>
      <x:c r="DU4" s="104" t="n">
        <x:f>122</x:f>
      </x:c>
      <x:c r="DV4" s="104" t="n">
        <x:f>123</x:f>
      </x:c>
      <x:c r="DW4" s="104" t="n">
        <x:f>124</x:f>
      </x:c>
      <x:c r="DX4" s="104" t="n">
        <x:f>125</x:f>
      </x:c>
      <x:c r="DY4" s="104" t="n">
        <x:f>126</x:f>
      </x:c>
      <x:c r="DZ4" s="104" t="n">
        <x:f>127</x:f>
      </x:c>
      <x:c r="EA4" s="104" t="n">
        <x:f>128</x:f>
      </x:c>
      <x:c r="EB4" s="104" t="n">
        <x:f>129</x:f>
      </x:c>
      <x:c r="EC4" s="104" t="n">
        <x:f>130</x:f>
      </x:c>
      <x:c r="ED4" s="104" t="n">
        <x:f>131</x:f>
      </x:c>
      <x:c r="EE4" s="104" t="n">
        <x:f>132</x:f>
      </x:c>
      <x:c r="EF4" s="104" t="n">
        <x:f>133</x:f>
      </x:c>
      <x:c r="EG4" s="104" t="n">
        <x:f>134</x:f>
      </x:c>
      <x:c r="EH4" s="104" t="n">
        <x:f>135</x:f>
      </x:c>
      <x:c r="EI4" s="104" t="n">
        <x:f>136</x:f>
      </x:c>
      <x:c r="EJ4" s="104" t="n">
        <x:f>137</x:f>
      </x:c>
      <x:c r="EK4" s="104" t="n">
        <x:f>138</x:f>
      </x:c>
      <x:c r="EL4" s="104" t="n">
        <x:f>139</x:f>
      </x:c>
      <x:c r="EM4" s="104" t="n">
        <x:f>140</x:f>
      </x:c>
      <x:c r="EN4" s="104" t="n">
        <x:f>141</x:f>
      </x:c>
      <x:c r="EO4" s="104" t="n">
        <x:f>142</x:f>
      </x:c>
      <x:c r="EP4" s="104" t="n">
        <x:f>143</x:f>
      </x:c>
      <x:c r="EQ4" s="104" t="n">
        <x:f>144</x:f>
      </x:c>
      <x:c r="ER4" s="104" t="n">
        <x:f>145</x:f>
      </x:c>
      <x:c r="ES4" s="104" t="n">
        <x:f>146</x:f>
      </x:c>
      <x:c r="ET4" s="104" t="n">
        <x:f>147</x:f>
      </x:c>
      <x:c r="EU4" s="104" t="n">
        <x:f>148</x:f>
      </x:c>
      <x:c r="EV4" s="104" t="n">
        <x:f>149</x:f>
      </x:c>
      <x:c r="EW4" s="104" t="n">
        <x:f>150</x:f>
      </x:c>
      <x:c r="EX4" s="104" t="n">
        <x:f>151</x:f>
      </x:c>
      <x:c r="EY4" s="104" t="n">
        <x:f>152</x:f>
      </x:c>
      <x:c r="EZ4" s="104" t="n">
        <x:f>153</x:f>
      </x:c>
      <x:c r="FA4" s="104" t="n">
        <x:f>154</x:f>
      </x:c>
      <x:c r="FB4" s="104" t="n">
        <x:f>155</x:f>
      </x:c>
      <x:c r="FC4" s="104" t="n">
        <x:f>156</x:f>
      </x:c>
      <x:c r="FD4" s="104" t="n">
        <x:f>157</x:f>
      </x:c>
      <x:c r="FE4" s="104" t="n">
        <x:f>158</x:f>
      </x:c>
      <x:c r="FF4" s="104" t="n">
        <x:f>159</x:f>
      </x:c>
      <x:c r="FG4" s="104" t="n">
        <x:f>160</x:f>
      </x:c>
      <x:c r="FH4" s="104" t="n">
        <x:f>161</x:f>
      </x:c>
      <x:c r="FI4" s="104" t="n">
        <x:f>162</x:f>
      </x:c>
      <x:c r="FJ4" s="104" t="n">
        <x:f>163</x:f>
      </x:c>
      <x:c r="FK4" s="104" t="n">
        <x:f>164</x:f>
      </x:c>
      <x:c r="FL4" s="104" t="n">
        <x:f>165</x:f>
      </x:c>
      <x:c r="FM4" s="104" t="n">
        <x:f>166</x:f>
      </x:c>
      <x:c r="FN4" s="104" t="n">
        <x:f>167</x:f>
      </x:c>
      <x:c r="FO4" s="104" t="n">
        <x:f>168</x:f>
      </x:c>
      <x:c r="FP4" s="104" t="n">
        <x:f>169</x:f>
      </x:c>
      <x:c r="FQ4" s="104" t="n">
        <x:f>170</x:f>
      </x:c>
      <x:c r="FR4" s="104" t="n">
        <x:f>171</x:f>
      </x:c>
      <x:c r="FS4" s="104" t="n">
        <x:f>172</x:f>
      </x:c>
      <x:c r="FT4" s="104" t="n">
        <x:f>173</x:f>
      </x:c>
      <x:c r="FU4" s="104" t="n">
        <x:f>174</x:f>
      </x:c>
      <x:c r="FV4" s="104" t="n">
        <x:f>175</x:f>
      </x:c>
      <x:c r="FW4" s="104" t="n">
        <x:f>176</x:f>
      </x:c>
      <x:c r="FX4" s="104" t="n">
        <x:f>177</x:f>
      </x:c>
      <x:c r="FY4" s="104" t="n">
        <x:f>178</x:f>
      </x:c>
      <x:c r="FZ4" s="104" t="n">
        <x:f>179</x:f>
      </x:c>
      <x:c r="GA4" s="104" t="n">
        <x:f>180</x:f>
      </x:c>
    </x:row>
    <x:row r="6" ht="21" customHeight="1">
      <x:c r="A6" s="52" t="str">
        <x:v>ОЧЕРЕДЬ 1</x:v>
      </x:c>
      <x:c r="B6" s="53" t="str">
        <x:v>ОЧЕРЕДЬ 1</x:v>
      </x:c>
      <x:c r="C6" s="53" t="str">
        <x:v>ОЧЕРЕДЬ 1</x:v>
      </x:c>
      <x:c r="D6" s="53" t="str">
        <x:v>ОЧЕРЕДЬ 1</x:v>
      </x:c>
      <x:c r="E6" s="53" t="str">
        <x:v>ОЧЕРЕДЬ 1</x:v>
      </x:c>
      <x:c r="F6" s="53" t="str">
        <x:v>ОЧЕРЕДЬ 1</x:v>
      </x:c>
      <x:c r="G6" s="53" t="str">
        <x:v>ОЧЕРЕДЬ 1</x:v>
      </x:c>
      <x:c r="H6" s="53" t="str">
        <x:v>ОЧЕРЕДЬ 1</x:v>
      </x:c>
      <x:c r="I6" s="53" t="str">
        <x:v>ОЧЕРЕДЬ 1</x:v>
      </x:c>
      <x:c r="J6" s="53" t="str">
        <x:v>ОЧЕРЕДЬ 1</x:v>
      </x:c>
      <x:c r="K6" s="53" t="str">
        <x:v>ОЧЕРЕДЬ 1</x:v>
      </x:c>
      <x:c r="L6" s="53" t="str">
        <x:v>ОЧЕРЕДЬ 1</x:v>
      </x:c>
      <x:c r="M6" s="53" t="str">
        <x:v>ОЧЕРЕДЬ 1</x:v>
      </x:c>
      <x:c r="N6" s="53" t="str">
        <x:v>ОЧЕРЕДЬ 1</x:v>
      </x:c>
      <x:c r="O6" s="53" t="str">
        <x:v>ОЧЕРЕДЬ 1</x:v>
      </x:c>
      <x:c r="P6" s="53" t="str">
        <x:v>ОЧЕРЕДЬ 1</x:v>
      </x:c>
      <x:c r="Q6" s="53" t="str">
        <x:v>ОЧЕРЕДЬ 1</x:v>
      </x:c>
      <x:c r="R6" s="53" t="str">
        <x:v>ОЧЕРЕДЬ 1</x:v>
      </x:c>
      <x:c r="S6" s="53" t="str">
        <x:v>ОЧЕРЕДЬ 1</x:v>
      </x:c>
      <x:c r="T6" s="53" t="str">
        <x:v>ОЧЕРЕДЬ 1</x:v>
      </x:c>
      <x:c r="U6" s="53" t="str">
        <x:v>ОЧЕРЕДЬ 1</x:v>
      </x:c>
      <x:c r="V6" s="53" t="str">
        <x:v>ОЧЕРЕДЬ 1</x:v>
      </x:c>
      <x:c r="W6" s="53" t="str">
        <x:v>ОЧЕРЕДЬ 1</x:v>
      </x:c>
      <x:c r="X6" s="53" t="str">
        <x:v>ОЧЕРЕДЬ 1</x:v>
      </x:c>
      <x:c r="Y6" s="53" t="str">
        <x:v>ОЧЕРЕДЬ 1</x:v>
      </x:c>
      <x:c r="Z6" s="53" t="str">
        <x:v>ОЧЕРЕДЬ 1</x:v>
      </x:c>
      <x:c r="AA6" s="53" t="str">
        <x:v>ОЧЕРЕДЬ 1</x:v>
      </x:c>
      <x:c r="AB6" s="53" t="str">
        <x:v>ОЧЕРЕДЬ 1</x:v>
      </x:c>
      <x:c r="AC6" s="53" t="str">
        <x:v>ОЧЕРЕДЬ 1</x:v>
      </x:c>
      <x:c r="AD6" s="53" t="str">
        <x:v>ОЧЕРЕДЬ 1</x:v>
      </x:c>
      <x:c r="AE6" s="53" t="str">
        <x:v>ОЧЕРЕДЬ 1</x:v>
      </x:c>
      <x:c r="AF6" s="53" t="str">
        <x:v>ОЧЕРЕДЬ 1</x:v>
      </x:c>
      <x:c r="AG6" s="53" t="str">
        <x:v>ОЧЕРЕДЬ 1</x:v>
      </x:c>
      <x:c r="AH6" s="53" t="str">
        <x:v>ОЧЕРЕДЬ 1</x:v>
      </x:c>
      <x:c r="AI6" s="53" t="str">
        <x:v>ОЧЕРЕДЬ 1</x:v>
      </x:c>
      <x:c r="AJ6" s="53" t="str">
        <x:v>ОЧЕРЕДЬ 1</x:v>
      </x:c>
      <x:c r="AK6" s="53" t="str">
        <x:v>ОЧЕРЕДЬ 1</x:v>
      </x:c>
      <x:c r="AL6" s="53" t="str">
        <x:v>ОЧЕРЕДЬ 1</x:v>
      </x:c>
      <x:c r="AM6" s="53" t="str">
        <x:v>ОЧЕРЕДЬ 1</x:v>
      </x:c>
      <x:c r="AN6" s="53" t="str">
        <x:v>ОЧЕРЕДЬ 1</x:v>
      </x:c>
      <x:c r="AO6" s="53" t="str">
        <x:v>ОЧЕРЕДЬ 1</x:v>
      </x:c>
      <x:c r="AP6" s="53" t="str">
        <x:v>ОЧЕРЕДЬ 1</x:v>
      </x:c>
      <x:c r="AQ6" s="53" t="str">
        <x:v>ОЧЕРЕДЬ 1</x:v>
      </x:c>
      <x:c r="AR6" s="53" t="str">
        <x:v>ОЧЕРЕДЬ 1</x:v>
      </x:c>
      <x:c r="AS6" s="53" t="str">
        <x:v>ОЧЕРЕДЬ 1</x:v>
      </x:c>
      <x:c r="AT6" s="53" t="str">
        <x:v>ОЧЕРЕДЬ 1</x:v>
      </x:c>
      <x:c r="AU6" s="53" t="str">
        <x:v>ОЧЕРЕДЬ 1</x:v>
      </x:c>
      <x:c r="AV6" s="53" t="str">
        <x:v>ОЧЕРЕДЬ 1</x:v>
      </x:c>
      <x:c r="AW6" s="53" t="str">
        <x:v>ОЧЕРЕДЬ 1</x:v>
      </x:c>
      <x:c r="AX6" s="53" t="str">
        <x:v>ОЧЕРЕДЬ 1</x:v>
      </x:c>
      <x:c r="AY6" s="53" t="str">
        <x:v>ОЧЕРЕДЬ 1</x:v>
      </x:c>
      <x:c r="AZ6" s="53" t="str">
        <x:v>ОЧЕРЕДЬ 1</x:v>
      </x:c>
      <x:c r="BA6" s="53" t="str">
        <x:v>ОЧЕРЕДЬ 1</x:v>
      </x:c>
      <x:c r="BB6" s="53" t="str">
        <x:v>ОЧЕРЕДЬ 1</x:v>
      </x:c>
      <x:c r="BC6" s="53" t="str">
        <x:v>ОЧЕРЕДЬ 1</x:v>
      </x:c>
      <x:c r="BD6" s="53" t="str">
        <x:v>ОЧЕРЕДЬ 1</x:v>
      </x:c>
      <x:c r="BE6" s="53" t="str">
        <x:v>ОЧЕРЕДЬ 1</x:v>
      </x:c>
      <x:c r="BF6" s="53" t="str">
        <x:v>ОЧЕРЕДЬ 1</x:v>
      </x:c>
      <x:c r="BG6" s="53" t="str">
        <x:v>ОЧЕРЕДЬ 1</x:v>
      </x:c>
      <x:c r="BH6" s="53" t="str">
        <x:v>ОЧЕРЕДЬ 1</x:v>
      </x:c>
      <x:c r="BI6" s="53" t="str">
        <x:v>ОЧЕРЕДЬ 1</x:v>
      </x:c>
      <x:c r="BJ6" s="53" t="str">
        <x:v>ОЧЕРЕДЬ 1</x:v>
      </x:c>
      <x:c r="BK6" s="53" t="str">
        <x:v>ОЧЕРЕДЬ 1</x:v>
      </x:c>
      <x:c r="BL6" s="53" t="str">
        <x:v>ОЧЕРЕДЬ 1</x:v>
      </x:c>
      <x:c r="BM6" s="53" t="str">
        <x:v>ОЧЕРЕДЬ 1</x:v>
      </x:c>
      <x:c r="BN6" s="53" t="str">
        <x:v>ОЧЕРЕДЬ 1</x:v>
      </x:c>
      <x:c r="BO6" s="53" t="str">
        <x:v>ОЧЕРЕДЬ 1</x:v>
      </x:c>
      <x:c r="BP6" s="53" t="str">
        <x:v>ОЧЕРЕДЬ 1</x:v>
      </x:c>
      <x:c r="BQ6" s="53" t="str">
        <x:v>ОЧЕРЕДЬ 1</x:v>
      </x:c>
      <x:c r="BR6" s="53" t="str">
        <x:v>ОЧЕРЕДЬ 1</x:v>
      </x:c>
      <x:c r="BS6" s="53" t="str">
        <x:v>ОЧЕРЕДЬ 1</x:v>
      </x:c>
      <x:c r="BT6" s="53" t="str">
        <x:v>ОЧЕРЕДЬ 1</x:v>
      </x:c>
      <x:c r="BU6" s="53" t="str">
        <x:v>ОЧЕРЕДЬ 1</x:v>
      </x:c>
      <x:c r="BV6" s="53" t="str">
        <x:v>ОЧЕРЕДЬ 1</x:v>
      </x:c>
      <x:c r="BW6" s="53" t="str">
        <x:v>ОЧЕРЕДЬ 1</x:v>
      </x:c>
      <x:c r="BX6" s="53" t="str">
        <x:v>ОЧЕРЕДЬ 1</x:v>
      </x:c>
      <x:c r="BY6" s="53" t="str">
        <x:v>ОЧЕРЕДЬ 1</x:v>
      </x:c>
      <x:c r="BZ6" s="53" t="str">
        <x:v>ОЧЕРЕДЬ 1</x:v>
      </x:c>
      <x:c r="CA6" s="53" t="str">
        <x:v>ОЧЕРЕДЬ 1</x:v>
      </x:c>
      <x:c r="CB6" s="53" t="str">
        <x:v>ОЧЕРЕДЬ 1</x:v>
      </x:c>
      <x:c r="CC6" s="53" t="str">
        <x:v>ОЧЕРЕДЬ 1</x:v>
      </x:c>
      <x:c r="CD6" s="53" t="str">
        <x:v>ОЧЕРЕДЬ 1</x:v>
      </x:c>
      <x:c r="CE6" s="53" t="str">
        <x:v>ОЧЕРЕДЬ 1</x:v>
      </x:c>
      <x:c r="CF6" s="53" t="str">
        <x:v>ОЧЕРЕДЬ 1</x:v>
      </x:c>
      <x:c r="CG6" s="53" t="str">
        <x:v>ОЧЕРЕДЬ 1</x:v>
      </x:c>
      <x:c r="CH6" s="53" t="str">
        <x:v>ОЧЕРЕДЬ 1</x:v>
      </x:c>
      <x:c r="CI6" s="53" t="str">
        <x:v>ОЧЕРЕДЬ 1</x:v>
      </x:c>
      <x:c r="CJ6" s="53" t="str">
        <x:v>ОЧЕРЕДЬ 1</x:v>
      </x:c>
      <x:c r="CK6" s="53" t="str">
        <x:v>ОЧЕРЕДЬ 1</x:v>
      </x:c>
      <x:c r="CL6" s="53" t="str">
        <x:v>ОЧЕРЕДЬ 1</x:v>
      </x:c>
      <x:c r="CM6" s="53" t="str">
        <x:v>ОЧЕРЕДЬ 1</x:v>
      </x:c>
      <x:c r="CN6" s="53" t="str">
        <x:v>ОЧЕРЕДЬ 1</x:v>
      </x:c>
      <x:c r="CO6" s="53" t="str">
        <x:v>ОЧЕРЕДЬ 1</x:v>
      </x:c>
      <x:c r="CP6" s="53" t="str">
        <x:v>ОЧЕРЕДЬ 1</x:v>
      </x:c>
      <x:c r="CQ6" s="53" t="str">
        <x:v>ОЧЕРЕДЬ 1</x:v>
      </x:c>
      <x:c r="CR6" s="53" t="str">
        <x:v>ОЧЕРЕДЬ 1</x:v>
      </x:c>
      <x:c r="CS6" s="53" t="str">
        <x:v>ОЧЕРЕДЬ 1</x:v>
      </x:c>
      <x:c r="CT6" s="53" t="str">
        <x:v>ОЧЕРЕДЬ 1</x:v>
      </x:c>
      <x:c r="CU6" s="53" t="str">
        <x:v>ОЧЕРЕДЬ 1</x:v>
      </x:c>
      <x:c r="CV6" s="53" t="str">
        <x:v>ОЧЕРЕДЬ 1</x:v>
      </x:c>
      <x:c r="CW6" s="53" t="str">
        <x:v>ОЧЕРЕДЬ 1</x:v>
      </x:c>
      <x:c r="CX6" s="53" t="str">
        <x:v>ОЧЕРЕДЬ 1</x:v>
      </x:c>
      <x:c r="CY6" s="53" t="str">
        <x:v>ОЧЕРЕДЬ 1</x:v>
      </x:c>
      <x:c r="CZ6" s="53" t="str">
        <x:v>ОЧЕРЕДЬ 1</x:v>
      </x:c>
      <x:c r="DA6" s="53" t="str">
        <x:v>ОЧЕРЕДЬ 1</x:v>
      </x:c>
      <x:c r="DB6" s="53" t="str">
        <x:v>ОЧЕРЕДЬ 1</x:v>
      </x:c>
      <x:c r="DC6" s="53" t="str">
        <x:v>ОЧЕРЕДЬ 1</x:v>
      </x:c>
      <x:c r="DD6" s="53" t="str">
        <x:v>ОЧЕРЕДЬ 1</x:v>
      </x:c>
      <x:c r="DE6" s="53" t="str">
        <x:v>ОЧЕРЕДЬ 1</x:v>
      </x:c>
      <x:c r="DF6" s="53" t="str">
        <x:v>ОЧЕРЕДЬ 1</x:v>
      </x:c>
      <x:c r="DG6" s="53" t="str">
        <x:v>ОЧЕРЕДЬ 1</x:v>
      </x:c>
      <x:c r="DH6" s="53" t="str">
        <x:v>ОЧЕРЕДЬ 1</x:v>
      </x:c>
      <x:c r="DI6" s="53" t="str">
        <x:v>ОЧЕРЕДЬ 1</x:v>
      </x:c>
      <x:c r="DJ6" s="53" t="str">
        <x:v>ОЧЕРЕДЬ 1</x:v>
      </x:c>
      <x:c r="DK6" s="53" t="str">
        <x:v>ОЧЕРЕДЬ 1</x:v>
      </x:c>
      <x:c r="DL6" s="53" t="str">
        <x:v>ОЧЕРЕДЬ 1</x:v>
      </x:c>
      <x:c r="DM6" s="53" t="str">
        <x:v>ОЧЕРЕДЬ 1</x:v>
      </x:c>
      <x:c r="DN6" s="53" t="str">
        <x:v>ОЧЕРЕДЬ 1</x:v>
      </x:c>
      <x:c r="DO6" s="53" t="str">
        <x:v>ОЧЕРЕДЬ 1</x:v>
      </x:c>
      <x:c r="DP6" s="53" t="str">
        <x:v>ОЧЕРЕДЬ 1</x:v>
      </x:c>
      <x:c r="DQ6" s="53" t="str">
        <x:v>ОЧЕРЕДЬ 1</x:v>
      </x:c>
      <x:c r="DR6" s="53" t="str">
        <x:v>ОЧЕРЕДЬ 1</x:v>
      </x:c>
      <x:c r="DS6" s="54" t="str">
        <x:v>ОЧЕРЕДЬ 1</x:v>
      </x:c>
      <x:c r="DT6" s="54" t="str"/>
      <x:c r="DU6" s="54" t="str"/>
      <x:c r="DV6" s="54" t="str"/>
      <x:c r="DW6" s="54" t="str"/>
      <x:c r="DX6" s="54" t="str"/>
      <x:c r="DY6" s="54" t="str"/>
      <x:c r="DZ6" s="54" t="str"/>
      <x:c r="EA6" s="54" t="str"/>
      <x:c r="EB6" s="54" t="str"/>
      <x:c r="EC6" s="54" t="str"/>
      <x:c r="ED6" s="54" t="str"/>
      <x:c r="EE6" s="54" t="str"/>
      <x:c r="EF6" s="54" t="str"/>
      <x:c r="EG6" s="54" t="str"/>
      <x:c r="EH6" s="54" t="str"/>
      <x:c r="EI6" s="54" t="str"/>
      <x:c r="EJ6" s="54" t="str"/>
      <x:c r="EK6" s="54" t="str"/>
      <x:c r="EL6" s="54" t="str"/>
      <x:c r="EM6" s="54" t="str"/>
      <x:c r="EN6" s="54" t="str"/>
      <x:c r="EO6" s="54" t="str"/>
      <x:c r="EP6" s="54" t="str"/>
      <x:c r="EQ6" s="54" t="str"/>
      <x:c r="ER6" s="54" t="str"/>
      <x:c r="ES6" s="54" t="str"/>
      <x:c r="ET6" s="54" t="str"/>
      <x:c r="EU6" s="54" t="str"/>
      <x:c r="EV6" s="54" t="str"/>
      <x:c r="EW6" s="54" t="str"/>
      <x:c r="EX6" s="54" t="str"/>
      <x:c r="EY6" s="54" t="str"/>
      <x:c r="EZ6" s="54" t="str"/>
      <x:c r="FA6" s="54" t="str"/>
      <x:c r="FB6" s="54" t="str"/>
      <x:c r="FC6" s="54" t="str"/>
      <x:c r="FD6" s="54" t="str"/>
      <x:c r="FE6" s="54" t="str"/>
      <x:c r="FF6" s="54" t="str"/>
      <x:c r="FG6" s="54" t="str"/>
      <x:c r="FH6" s="54" t="str"/>
      <x:c r="FI6" s="54" t="str"/>
      <x:c r="FJ6" s="54" t="str"/>
      <x:c r="FK6" s="54" t="str"/>
      <x:c r="FL6" s="54" t="str"/>
      <x:c r="FM6" s="54" t="str"/>
      <x:c r="FN6" s="54" t="str"/>
      <x:c r="FO6" s="54" t="str"/>
      <x:c r="FP6" s="54" t="str"/>
      <x:c r="FQ6" s="54" t="str"/>
      <x:c r="FR6" s="54" t="str"/>
      <x:c r="FS6" s="54" t="str"/>
      <x:c r="FT6" s="54" t="str"/>
      <x:c r="FU6" s="54" t="str"/>
      <x:c r="FV6" s="54" t="str"/>
      <x:c r="FW6" s="54" t="str"/>
      <x:c r="FX6" s="54" t="str"/>
      <x:c r="FY6" s="54" t="str"/>
      <x:c r="FZ6" s="54" t="str"/>
      <x:c r="GA6" s="54" t="str"/>
    </x:row>
    <x:row r="7">
      <x:c r="A7" t="str">
        <x:v>РнС / открытие ПФ</x:v>
      </x:c>
      <x:c r="B7" s="106" t="n">
        <x:f>EDATE('Вводные'!$D$88,'Вводные'!$E$88+'Вводные'!$H$9)</x:f>
      </x:c>
      <x:c r="C7" t="str">
        <x:v>дата</x:v>
      </x:c>
    </x:row>
    <x:row r="8">
      <x:c r="A8" t="str">
        <x:v>РВЭ</x:v>
      </x:c>
      <x:c r="B8" s="106" t="n">
        <x:f>EDATE(B7,'Вводные'!$F$88)</x:f>
      </x:c>
      <x:c r="C8" t="str">
        <x:v>дата</x:v>
      </x:c>
    </x:row>
    <x:row r="9">
      <x:c r="A9" t="str">
        <x:v>Флаг проекта</x:v>
      </x:c>
      <x:c r="B9"/>
      <x:c r="C9" t="str">
        <x:v>0/1</x:v>
      </x:c>
      <x:c r="D9" t="n">
        <x:f>--AND(D$3&gt;=EDATE($B$7,-'Вводные'!$E$88),D$3&lt;$B$8,'Вводные'!$B$88="Да")</x:f>
      </x:c>
      <x:c r="E9" t="n">
        <x:f>--AND(E$3&gt;=EDATE($B$7,-'Вводные'!$E$88),E$3&lt;$B$8,'Вводные'!$B$88="Да")</x:f>
      </x:c>
      <x:c r="F9" t="n">
        <x:f>--AND(F$3&gt;=EDATE($B$7,-'Вводные'!$E$88),F$3&lt;$B$8,'Вводные'!$B$88="Да")</x:f>
      </x:c>
      <x:c r="G9" t="n">
        <x:f>--AND(G$3&gt;=EDATE($B$7,-'Вводные'!$E$88),G$3&lt;$B$8,'Вводные'!$B$88="Да")</x:f>
      </x:c>
      <x:c r="H9" t="n">
        <x:f>--AND(H$3&gt;=EDATE($B$7,-'Вводные'!$E$88),H$3&lt;$B$8,'Вводные'!$B$88="Да")</x:f>
      </x:c>
      <x:c r="I9" t="n">
        <x:f>--AND(I$3&gt;=EDATE($B$7,-'Вводные'!$E$88),I$3&lt;$B$8,'Вводные'!$B$88="Да")</x:f>
      </x:c>
      <x:c r="J9" t="n">
        <x:f>--AND(J$3&gt;=EDATE($B$7,-'Вводные'!$E$88),J$3&lt;$B$8,'Вводные'!$B$88="Да")</x:f>
      </x:c>
      <x:c r="K9" t="n">
        <x:f>--AND(K$3&gt;=EDATE($B$7,-'Вводные'!$E$88),K$3&lt;$B$8,'Вводные'!$B$88="Да")</x:f>
      </x:c>
      <x:c r="L9" t="n">
        <x:f>--AND(L$3&gt;=EDATE($B$7,-'Вводные'!$E$88),L$3&lt;$B$8,'Вводные'!$B$88="Да")</x:f>
      </x:c>
      <x:c r="M9" t="n">
        <x:f>--AND(M$3&gt;=EDATE($B$7,-'Вводные'!$E$88),M$3&lt;$B$8,'Вводные'!$B$88="Да")</x:f>
      </x:c>
      <x:c r="N9" t="n">
        <x:f>--AND(N$3&gt;=EDATE($B$7,-'Вводные'!$E$88),N$3&lt;$B$8,'Вводные'!$B$88="Да")</x:f>
      </x:c>
      <x:c r="O9" t="n">
        <x:f>--AND(O$3&gt;=EDATE($B$7,-'Вводные'!$E$88),O$3&lt;$B$8,'Вводные'!$B$88="Да")</x:f>
      </x:c>
      <x:c r="P9" t="n">
        <x:f>--AND(P$3&gt;=EDATE($B$7,-'Вводные'!$E$88),P$3&lt;$B$8,'Вводные'!$B$88="Да")</x:f>
      </x:c>
      <x:c r="Q9" t="n">
        <x:f>--AND(Q$3&gt;=EDATE($B$7,-'Вводные'!$E$88),Q$3&lt;$B$8,'Вводные'!$B$88="Да")</x:f>
      </x:c>
      <x:c r="R9" t="n">
        <x:f>--AND(R$3&gt;=EDATE($B$7,-'Вводные'!$E$88),R$3&lt;$B$8,'Вводные'!$B$88="Да")</x:f>
      </x:c>
      <x:c r="S9" t="n">
        <x:f>--AND(S$3&gt;=EDATE($B$7,-'Вводные'!$E$88),S$3&lt;$B$8,'Вводные'!$B$88="Да")</x:f>
      </x:c>
      <x:c r="T9" t="n">
        <x:f>--AND(T$3&gt;=EDATE($B$7,-'Вводные'!$E$88),T$3&lt;$B$8,'Вводные'!$B$88="Да")</x:f>
      </x:c>
      <x:c r="U9" t="n">
        <x:f>--AND(U$3&gt;=EDATE($B$7,-'Вводные'!$E$88),U$3&lt;$B$8,'Вводные'!$B$88="Да")</x:f>
      </x:c>
      <x:c r="V9" t="n">
        <x:f>--AND(V$3&gt;=EDATE($B$7,-'Вводные'!$E$88),V$3&lt;$B$8,'Вводные'!$B$88="Да")</x:f>
      </x:c>
      <x:c r="W9" t="n">
        <x:f>--AND(W$3&gt;=EDATE($B$7,-'Вводные'!$E$88),W$3&lt;$B$8,'Вводные'!$B$88="Да")</x:f>
      </x:c>
      <x:c r="X9" t="n">
        <x:f>--AND(X$3&gt;=EDATE($B$7,-'Вводные'!$E$88),X$3&lt;$B$8,'Вводные'!$B$88="Да")</x:f>
      </x:c>
      <x:c r="Y9" t="n">
        <x:f>--AND(Y$3&gt;=EDATE($B$7,-'Вводные'!$E$88),Y$3&lt;$B$8,'Вводные'!$B$88="Да")</x:f>
      </x:c>
      <x:c r="Z9" t="n">
        <x:f>--AND(Z$3&gt;=EDATE($B$7,-'Вводные'!$E$88),Z$3&lt;$B$8,'Вводные'!$B$88="Да")</x:f>
      </x:c>
      <x:c r="AA9" t="n">
        <x:f>--AND(AA$3&gt;=EDATE($B$7,-'Вводные'!$E$88),AA$3&lt;$B$8,'Вводные'!$B$88="Да")</x:f>
      </x:c>
      <x:c r="AB9" t="n">
        <x:f>--AND(AB$3&gt;=EDATE($B$7,-'Вводные'!$E$88),AB$3&lt;$B$8,'Вводные'!$B$88="Да")</x:f>
      </x:c>
      <x:c r="AC9" t="n">
        <x:f>--AND(AC$3&gt;=EDATE($B$7,-'Вводные'!$E$88),AC$3&lt;$B$8,'Вводные'!$B$88="Да")</x:f>
      </x:c>
      <x:c r="AD9" t="n">
        <x:f>--AND(AD$3&gt;=EDATE($B$7,-'Вводные'!$E$88),AD$3&lt;$B$8,'Вводные'!$B$88="Да")</x:f>
      </x:c>
      <x:c r="AE9" t="n">
        <x:f>--AND(AE$3&gt;=EDATE($B$7,-'Вводные'!$E$88),AE$3&lt;$B$8,'Вводные'!$B$88="Да")</x:f>
      </x:c>
      <x:c r="AF9" t="n">
        <x:f>--AND(AF$3&gt;=EDATE($B$7,-'Вводные'!$E$88),AF$3&lt;$B$8,'Вводные'!$B$88="Да")</x:f>
      </x:c>
      <x:c r="AG9" t="n">
        <x:f>--AND(AG$3&gt;=EDATE($B$7,-'Вводные'!$E$88),AG$3&lt;$B$8,'Вводные'!$B$88="Да")</x:f>
      </x:c>
      <x:c r="AH9" t="n">
        <x:f>--AND(AH$3&gt;=EDATE($B$7,-'Вводные'!$E$88),AH$3&lt;$B$8,'Вводные'!$B$88="Да")</x:f>
      </x:c>
      <x:c r="AI9" t="n">
        <x:f>--AND(AI$3&gt;=EDATE($B$7,-'Вводные'!$E$88),AI$3&lt;$B$8,'Вводные'!$B$88="Да")</x:f>
      </x:c>
      <x:c r="AJ9" t="n">
        <x:f>--AND(AJ$3&gt;=EDATE($B$7,-'Вводные'!$E$88),AJ$3&lt;$B$8,'Вводные'!$B$88="Да")</x:f>
      </x:c>
      <x:c r="AK9" t="n">
        <x:f>--AND(AK$3&gt;=EDATE($B$7,-'Вводные'!$E$88),AK$3&lt;$B$8,'Вводные'!$B$88="Да")</x:f>
      </x:c>
      <x:c r="AL9" t="n">
        <x:f>--AND(AL$3&gt;=EDATE($B$7,-'Вводные'!$E$88),AL$3&lt;$B$8,'Вводные'!$B$88="Да")</x:f>
      </x:c>
      <x:c r="AM9" t="n">
        <x:f>--AND(AM$3&gt;=EDATE($B$7,-'Вводные'!$E$88),AM$3&lt;$B$8,'Вводные'!$B$88="Да")</x:f>
      </x:c>
      <x:c r="AN9" t="n">
        <x:f>--AND(AN$3&gt;=EDATE($B$7,-'Вводные'!$E$88),AN$3&lt;$B$8,'Вводные'!$B$88="Да")</x:f>
      </x:c>
      <x:c r="AO9" t="n">
        <x:f>--AND(AO$3&gt;=EDATE($B$7,-'Вводные'!$E$88),AO$3&lt;$B$8,'Вводные'!$B$88="Да")</x:f>
      </x:c>
      <x:c r="AP9" t="n">
        <x:f>--AND(AP$3&gt;=EDATE($B$7,-'Вводные'!$E$88),AP$3&lt;$B$8,'Вводные'!$B$88="Да")</x:f>
      </x:c>
      <x:c r="AQ9" t="n">
        <x:f>--AND(AQ$3&gt;=EDATE($B$7,-'Вводные'!$E$88),AQ$3&lt;$B$8,'Вводные'!$B$88="Да")</x:f>
      </x:c>
      <x:c r="AR9" t="n">
        <x:f>--AND(AR$3&gt;=EDATE($B$7,-'Вводные'!$E$88),AR$3&lt;$B$8,'Вводные'!$B$88="Да")</x:f>
      </x:c>
      <x:c r="AS9" t="n">
        <x:f>--AND(AS$3&gt;=EDATE($B$7,-'Вводные'!$E$88),AS$3&lt;$B$8,'Вводные'!$B$88="Да")</x:f>
      </x:c>
      <x:c r="AT9" t="n">
        <x:f>--AND(AT$3&gt;=EDATE($B$7,-'Вводные'!$E$88),AT$3&lt;$B$8,'Вводные'!$B$88="Да")</x:f>
      </x:c>
      <x:c r="AU9" t="n">
        <x:f>--AND(AU$3&gt;=EDATE($B$7,-'Вводные'!$E$88),AU$3&lt;$B$8,'Вводные'!$B$88="Да")</x:f>
      </x:c>
      <x:c r="AV9" t="n">
        <x:f>--AND(AV$3&gt;=EDATE($B$7,-'Вводные'!$E$88),AV$3&lt;$B$8,'Вводные'!$B$88="Да")</x:f>
      </x:c>
      <x:c r="AW9" t="n">
        <x:f>--AND(AW$3&gt;=EDATE($B$7,-'Вводные'!$E$88),AW$3&lt;$B$8,'Вводные'!$B$88="Да")</x:f>
      </x:c>
      <x:c r="AX9" t="n">
        <x:f>--AND(AX$3&gt;=EDATE($B$7,-'Вводные'!$E$88),AX$3&lt;$B$8,'Вводные'!$B$88="Да")</x:f>
      </x:c>
      <x:c r="AY9" t="n">
        <x:f>--AND(AY$3&gt;=EDATE($B$7,-'Вводные'!$E$88),AY$3&lt;$B$8,'Вводные'!$B$88="Да")</x:f>
      </x:c>
      <x:c r="AZ9" t="n">
        <x:f>--AND(AZ$3&gt;=EDATE($B$7,-'Вводные'!$E$88),AZ$3&lt;$B$8,'Вводные'!$B$88="Да")</x:f>
      </x:c>
      <x:c r="BA9" t="n">
        <x:f>--AND(BA$3&gt;=EDATE($B$7,-'Вводные'!$E$88),BA$3&lt;$B$8,'Вводные'!$B$88="Да")</x:f>
      </x:c>
      <x:c r="BB9" t="n">
        <x:f>--AND(BB$3&gt;=EDATE($B$7,-'Вводные'!$E$88),BB$3&lt;$B$8,'Вводные'!$B$88="Да")</x:f>
      </x:c>
      <x:c r="BC9" t="n">
        <x:f>--AND(BC$3&gt;=EDATE($B$7,-'Вводные'!$E$88),BC$3&lt;$B$8,'Вводные'!$B$88="Да")</x:f>
      </x:c>
      <x:c r="BD9" t="n">
        <x:f>--AND(BD$3&gt;=EDATE($B$7,-'Вводные'!$E$88),BD$3&lt;$B$8,'Вводные'!$B$88="Да")</x:f>
      </x:c>
      <x:c r="BE9" t="n">
        <x:f>--AND(BE$3&gt;=EDATE($B$7,-'Вводные'!$E$88),BE$3&lt;$B$8,'Вводные'!$B$88="Да")</x:f>
      </x:c>
      <x:c r="BF9" t="n">
        <x:f>--AND(BF$3&gt;=EDATE($B$7,-'Вводные'!$E$88),BF$3&lt;$B$8,'Вводные'!$B$88="Да")</x:f>
      </x:c>
      <x:c r="BG9" t="n">
        <x:f>--AND(BG$3&gt;=EDATE($B$7,-'Вводные'!$E$88),BG$3&lt;$B$8,'Вводные'!$B$88="Да")</x:f>
      </x:c>
      <x:c r="BH9" t="n">
        <x:f>--AND(BH$3&gt;=EDATE($B$7,-'Вводные'!$E$88),BH$3&lt;$B$8,'Вводные'!$B$88="Да")</x:f>
      </x:c>
      <x:c r="BI9" t="n">
        <x:f>--AND(BI$3&gt;=EDATE($B$7,-'Вводные'!$E$88),BI$3&lt;$B$8,'Вводные'!$B$88="Да")</x:f>
      </x:c>
      <x:c r="BJ9" t="n">
        <x:f>--AND(BJ$3&gt;=EDATE($B$7,-'Вводные'!$E$88),BJ$3&lt;$B$8,'Вводные'!$B$88="Да")</x:f>
      </x:c>
      <x:c r="BK9" t="n">
        <x:f>--AND(BK$3&gt;=EDATE($B$7,-'Вводные'!$E$88),BK$3&lt;$B$8,'Вводные'!$B$88="Да")</x:f>
      </x:c>
      <x:c r="BL9" t="n">
        <x:f>--AND(BL$3&gt;=EDATE($B$7,-'Вводные'!$E$88),BL$3&lt;$B$8,'Вводные'!$B$88="Да")</x:f>
      </x:c>
      <x:c r="BM9" t="n">
        <x:f>--AND(BM$3&gt;=EDATE($B$7,-'Вводные'!$E$88),BM$3&lt;$B$8,'Вводные'!$B$88="Да")</x:f>
      </x:c>
      <x:c r="BN9" t="n">
        <x:f>--AND(BN$3&gt;=EDATE($B$7,-'Вводные'!$E$88),BN$3&lt;$B$8,'Вводные'!$B$88="Да")</x:f>
      </x:c>
      <x:c r="BO9" t="n">
        <x:f>--AND(BO$3&gt;=EDATE($B$7,-'Вводные'!$E$88),BO$3&lt;$B$8,'Вводные'!$B$88="Да")</x:f>
      </x:c>
      <x:c r="BP9" t="n">
        <x:f>--AND(BP$3&gt;=EDATE($B$7,-'Вводные'!$E$88),BP$3&lt;$B$8,'Вводные'!$B$88="Да")</x:f>
      </x:c>
      <x:c r="BQ9" t="n">
        <x:f>--AND(BQ$3&gt;=EDATE($B$7,-'Вводные'!$E$88),BQ$3&lt;$B$8,'Вводные'!$B$88="Да")</x:f>
      </x:c>
      <x:c r="BR9" t="n">
        <x:f>--AND(BR$3&gt;=EDATE($B$7,-'Вводные'!$E$88),BR$3&lt;$B$8,'Вводные'!$B$88="Да")</x:f>
      </x:c>
      <x:c r="BS9" t="n">
        <x:f>--AND(BS$3&gt;=EDATE($B$7,-'Вводные'!$E$88),BS$3&lt;$B$8,'Вводные'!$B$88="Да")</x:f>
      </x:c>
      <x:c r="BT9" t="n">
        <x:f>--AND(BT$3&gt;=EDATE($B$7,-'Вводные'!$E$88),BT$3&lt;$B$8,'Вводные'!$B$88="Да")</x:f>
      </x:c>
      <x:c r="BU9" t="n">
        <x:f>--AND(BU$3&gt;=EDATE($B$7,-'Вводные'!$E$88),BU$3&lt;$B$8,'Вводные'!$B$88="Да")</x:f>
      </x:c>
      <x:c r="BV9" t="n">
        <x:f>--AND(BV$3&gt;=EDATE($B$7,-'Вводные'!$E$88),BV$3&lt;$B$8,'Вводные'!$B$88="Да")</x:f>
      </x:c>
      <x:c r="BW9" t="n">
        <x:f>--AND(BW$3&gt;=EDATE($B$7,-'Вводные'!$E$88),BW$3&lt;$B$8,'Вводные'!$B$88="Да")</x:f>
      </x:c>
      <x:c r="BX9" t="n">
        <x:f>--AND(BX$3&gt;=EDATE($B$7,-'Вводные'!$E$88),BX$3&lt;$B$8,'Вводные'!$B$88="Да")</x:f>
      </x:c>
      <x:c r="BY9" t="n">
        <x:f>--AND(BY$3&gt;=EDATE($B$7,-'Вводные'!$E$88),BY$3&lt;$B$8,'Вводные'!$B$88="Да")</x:f>
      </x:c>
      <x:c r="BZ9" t="n">
        <x:f>--AND(BZ$3&gt;=EDATE($B$7,-'Вводные'!$E$88),BZ$3&lt;$B$8,'Вводные'!$B$88="Да")</x:f>
      </x:c>
      <x:c r="CA9" t="n">
        <x:f>--AND(CA$3&gt;=EDATE($B$7,-'Вводные'!$E$88),CA$3&lt;$B$8,'Вводные'!$B$88="Да")</x:f>
      </x:c>
      <x:c r="CB9" t="n">
        <x:f>--AND(CB$3&gt;=EDATE($B$7,-'Вводные'!$E$88),CB$3&lt;$B$8,'Вводные'!$B$88="Да")</x:f>
      </x:c>
      <x:c r="CC9" t="n">
        <x:f>--AND(CC$3&gt;=EDATE($B$7,-'Вводные'!$E$88),CC$3&lt;$B$8,'Вводные'!$B$88="Да")</x:f>
      </x:c>
      <x:c r="CD9" t="n">
        <x:f>--AND(CD$3&gt;=EDATE($B$7,-'Вводные'!$E$88),CD$3&lt;$B$8,'Вводные'!$B$88="Да")</x:f>
      </x:c>
      <x:c r="CE9" t="n">
        <x:f>--AND(CE$3&gt;=EDATE($B$7,-'Вводные'!$E$88),CE$3&lt;$B$8,'Вводные'!$B$88="Да")</x:f>
      </x:c>
      <x:c r="CF9" t="n">
        <x:f>--AND(CF$3&gt;=EDATE($B$7,-'Вводные'!$E$88),CF$3&lt;$B$8,'Вводные'!$B$88="Да")</x:f>
      </x:c>
      <x:c r="CG9" t="n">
        <x:f>--AND(CG$3&gt;=EDATE($B$7,-'Вводные'!$E$88),CG$3&lt;$B$8,'Вводные'!$B$88="Да")</x:f>
      </x:c>
      <x:c r="CH9" t="n">
        <x:f>--AND(CH$3&gt;=EDATE($B$7,-'Вводные'!$E$88),CH$3&lt;$B$8,'Вводные'!$B$88="Да")</x:f>
      </x:c>
      <x:c r="CI9" t="n">
        <x:f>--AND(CI$3&gt;=EDATE($B$7,-'Вводные'!$E$88),CI$3&lt;$B$8,'Вводные'!$B$88="Да")</x:f>
      </x:c>
      <x:c r="CJ9" t="n">
        <x:f>--AND(CJ$3&gt;=EDATE($B$7,-'Вводные'!$E$88),CJ$3&lt;$B$8,'Вводные'!$B$88="Да")</x:f>
      </x:c>
      <x:c r="CK9" t="n">
        <x:f>--AND(CK$3&gt;=EDATE($B$7,-'Вводные'!$E$88),CK$3&lt;$B$8,'Вводные'!$B$88="Да")</x:f>
      </x:c>
      <x:c r="CL9" t="n">
        <x:f>--AND(CL$3&gt;=EDATE($B$7,-'Вводные'!$E$88),CL$3&lt;$B$8,'Вводные'!$B$88="Да")</x:f>
      </x:c>
      <x:c r="CM9" t="n">
        <x:f>--AND(CM$3&gt;=EDATE($B$7,-'Вводные'!$E$88),CM$3&lt;$B$8,'Вводные'!$B$88="Да")</x:f>
      </x:c>
      <x:c r="CN9" t="n">
        <x:f>--AND(CN$3&gt;=EDATE($B$7,-'Вводные'!$E$88),CN$3&lt;$B$8,'Вводные'!$B$88="Да")</x:f>
      </x:c>
      <x:c r="CO9" t="n">
        <x:f>--AND(CO$3&gt;=EDATE($B$7,-'Вводные'!$E$88),CO$3&lt;$B$8,'Вводные'!$B$88="Да")</x:f>
      </x:c>
      <x:c r="CP9" t="n">
        <x:f>--AND(CP$3&gt;=EDATE($B$7,-'Вводные'!$E$88),CP$3&lt;$B$8,'Вводные'!$B$88="Да")</x:f>
      </x:c>
      <x:c r="CQ9" t="n">
        <x:f>--AND(CQ$3&gt;=EDATE($B$7,-'Вводные'!$E$88),CQ$3&lt;$B$8,'Вводные'!$B$88="Да")</x:f>
      </x:c>
      <x:c r="CR9" t="n">
        <x:f>--AND(CR$3&gt;=EDATE($B$7,-'Вводные'!$E$88),CR$3&lt;$B$8,'Вводные'!$B$88="Да")</x:f>
      </x:c>
      <x:c r="CS9" t="n">
        <x:f>--AND(CS$3&gt;=EDATE($B$7,-'Вводные'!$E$88),CS$3&lt;$B$8,'Вводные'!$B$88="Да")</x:f>
      </x:c>
      <x:c r="CT9" t="n">
        <x:f>--AND(CT$3&gt;=EDATE($B$7,-'Вводные'!$E$88),CT$3&lt;$B$8,'Вводные'!$B$88="Да")</x:f>
      </x:c>
      <x:c r="CU9" t="n">
        <x:f>--AND(CU$3&gt;=EDATE($B$7,-'Вводные'!$E$88),CU$3&lt;$B$8,'Вводные'!$B$88="Да")</x:f>
      </x:c>
      <x:c r="CV9" t="n">
        <x:f>--AND(CV$3&gt;=EDATE($B$7,-'Вводные'!$E$88),CV$3&lt;$B$8,'Вводные'!$B$88="Да")</x:f>
      </x:c>
      <x:c r="CW9" t="n">
        <x:f>--AND(CW$3&gt;=EDATE($B$7,-'Вводные'!$E$88),CW$3&lt;$B$8,'Вводные'!$B$88="Да")</x:f>
      </x:c>
      <x:c r="CX9" t="n">
        <x:f>--AND(CX$3&gt;=EDATE($B$7,-'Вводные'!$E$88),CX$3&lt;$B$8,'Вводные'!$B$88="Да")</x:f>
      </x:c>
      <x:c r="CY9" t="n">
        <x:f>--AND(CY$3&gt;=EDATE($B$7,-'Вводные'!$E$88),CY$3&lt;$B$8,'Вводные'!$B$88="Да")</x:f>
      </x:c>
      <x:c r="CZ9" t="n">
        <x:f>--AND(CZ$3&gt;=EDATE($B$7,-'Вводные'!$E$88),CZ$3&lt;$B$8,'Вводные'!$B$88="Да")</x:f>
      </x:c>
      <x:c r="DA9" t="n">
        <x:f>--AND(DA$3&gt;=EDATE($B$7,-'Вводные'!$E$88),DA$3&lt;$B$8,'Вводные'!$B$88="Да")</x:f>
      </x:c>
      <x:c r="DB9" t="n">
        <x:f>--AND(DB$3&gt;=EDATE($B$7,-'Вводные'!$E$88),DB$3&lt;$B$8,'Вводные'!$B$88="Да")</x:f>
      </x:c>
      <x:c r="DC9" t="n">
        <x:f>--AND(DC$3&gt;=EDATE($B$7,-'Вводные'!$E$88),DC$3&lt;$B$8,'Вводные'!$B$88="Да")</x:f>
      </x:c>
      <x:c r="DD9" t="n">
        <x:f>--AND(DD$3&gt;=EDATE($B$7,-'Вводные'!$E$88),DD$3&lt;$B$8,'Вводные'!$B$88="Да")</x:f>
      </x:c>
      <x:c r="DE9" t="n">
        <x:f>--AND(DE$3&gt;=EDATE($B$7,-'Вводные'!$E$88),DE$3&lt;$B$8,'Вводные'!$B$88="Да")</x:f>
      </x:c>
      <x:c r="DF9" t="n">
        <x:f>--AND(DF$3&gt;=EDATE($B$7,-'Вводные'!$E$88),DF$3&lt;$B$8,'Вводные'!$B$88="Да")</x:f>
      </x:c>
      <x:c r="DG9" t="n">
        <x:f>--AND(DG$3&gt;=EDATE($B$7,-'Вводные'!$E$88),DG$3&lt;$B$8,'Вводные'!$B$88="Да")</x:f>
      </x:c>
      <x:c r="DH9" t="n">
        <x:f>--AND(DH$3&gt;=EDATE($B$7,-'Вводные'!$E$88),DH$3&lt;$B$8,'Вводные'!$B$88="Да")</x:f>
      </x:c>
      <x:c r="DI9" t="n">
        <x:f>--AND(DI$3&gt;=EDATE($B$7,-'Вводные'!$E$88),DI$3&lt;$B$8,'Вводные'!$B$88="Да")</x:f>
      </x:c>
      <x:c r="DJ9" t="n">
        <x:f>--AND(DJ$3&gt;=EDATE($B$7,-'Вводные'!$E$88),DJ$3&lt;$B$8,'Вводные'!$B$88="Да")</x:f>
      </x:c>
      <x:c r="DK9" t="n">
        <x:f>--AND(DK$3&gt;=EDATE($B$7,-'Вводные'!$E$88),DK$3&lt;$B$8,'Вводные'!$B$88="Да")</x:f>
      </x:c>
      <x:c r="DL9" t="n">
        <x:f>--AND(DL$3&gt;=EDATE($B$7,-'Вводные'!$E$88),DL$3&lt;$B$8,'Вводные'!$B$88="Да")</x:f>
      </x:c>
      <x:c r="DM9" t="n">
        <x:f>--AND(DM$3&gt;=EDATE($B$7,-'Вводные'!$E$88),DM$3&lt;$B$8,'Вводные'!$B$88="Да")</x:f>
      </x:c>
      <x:c r="DN9" t="n">
        <x:f>--AND(DN$3&gt;=EDATE($B$7,-'Вводные'!$E$88),DN$3&lt;$B$8,'Вводные'!$B$88="Да")</x:f>
      </x:c>
      <x:c r="DO9" t="n">
        <x:f>--AND(DO$3&gt;=EDATE($B$7,-'Вводные'!$E$88),DO$3&lt;$B$8,'Вводные'!$B$88="Да")</x:f>
      </x:c>
      <x:c r="DP9" t="n">
        <x:f>--AND(DP$3&gt;=EDATE($B$7,-'Вводные'!$E$88),DP$3&lt;$B$8,'Вводные'!$B$88="Да")</x:f>
      </x:c>
      <x:c r="DQ9" t="n">
        <x:f>--AND(DQ$3&gt;=EDATE($B$7,-'Вводные'!$E$88),DQ$3&lt;$B$8,'Вводные'!$B$88="Да")</x:f>
      </x:c>
      <x:c r="DR9" t="n">
        <x:f>--AND(DR$3&gt;=EDATE($B$7,-'Вводные'!$E$88),DR$3&lt;$B$8,'Вводные'!$B$88="Да")</x:f>
      </x:c>
      <x:c r="DS9" t="n">
        <x:f>--AND(DS$3&gt;=EDATE($B$7,-'Вводные'!$E$88),DS$3&lt;$B$8,'Вводные'!$B$88="Да")</x:f>
      </x:c>
      <x:c r="DT9" t="n">
        <x:f>--AND(DT$3&gt;=EDATE($B$7,-'Вводные'!$E$88),DT$3&lt;$B$8,'Вводные'!$B$88="Да")</x:f>
      </x:c>
      <x:c r="DU9" t="n">
        <x:f>--AND(DU$3&gt;=EDATE($B$7,-'Вводные'!$E$88),DU$3&lt;$B$8,'Вводные'!$B$88="Да")</x:f>
      </x:c>
      <x:c r="DV9" t="n">
        <x:f>--AND(DV$3&gt;=EDATE($B$7,-'Вводные'!$E$88),DV$3&lt;$B$8,'Вводные'!$B$88="Да")</x:f>
      </x:c>
      <x:c r="DW9" t="n">
        <x:f>--AND(DW$3&gt;=EDATE($B$7,-'Вводные'!$E$88),DW$3&lt;$B$8,'Вводные'!$B$88="Да")</x:f>
      </x:c>
      <x:c r="DX9" t="n">
        <x:f>--AND(DX$3&gt;=EDATE($B$7,-'Вводные'!$E$88),DX$3&lt;$B$8,'Вводные'!$B$88="Да")</x:f>
      </x:c>
      <x:c r="DY9" t="n">
        <x:f>--AND(DY$3&gt;=EDATE($B$7,-'Вводные'!$E$88),DY$3&lt;$B$8,'Вводные'!$B$88="Да")</x:f>
      </x:c>
      <x:c r="DZ9" t="n">
        <x:f>--AND(DZ$3&gt;=EDATE($B$7,-'Вводные'!$E$88),DZ$3&lt;$B$8,'Вводные'!$B$88="Да")</x:f>
      </x:c>
      <x:c r="EA9" t="n">
        <x:f>--AND(EA$3&gt;=EDATE($B$7,-'Вводные'!$E$88),EA$3&lt;$B$8,'Вводные'!$B$88="Да")</x:f>
      </x:c>
      <x:c r="EB9" t="n">
        <x:f>--AND(EB$3&gt;=EDATE($B$7,-'Вводные'!$E$88),EB$3&lt;$B$8,'Вводные'!$B$88="Да")</x:f>
      </x:c>
      <x:c r="EC9" t="n">
        <x:f>--AND(EC$3&gt;=EDATE($B$7,-'Вводные'!$E$88),EC$3&lt;$B$8,'Вводные'!$B$88="Да")</x:f>
      </x:c>
      <x:c r="ED9" t="n">
        <x:f>--AND(ED$3&gt;=EDATE($B$7,-'Вводные'!$E$88),ED$3&lt;$B$8,'Вводные'!$B$88="Да")</x:f>
      </x:c>
      <x:c r="EE9" t="n">
        <x:f>--AND(EE$3&gt;=EDATE($B$7,-'Вводные'!$E$88),EE$3&lt;$B$8,'Вводные'!$B$88="Да")</x:f>
      </x:c>
      <x:c r="EF9" t="n">
        <x:f>--AND(EF$3&gt;=EDATE($B$7,-'Вводные'!$E$88),EF$3&lt;$B$8,'Вводные'!$B$88="Да")</x:f>
      </x:c>
      <x:c r="EG9" t="n">
        <x:f>--AND(EG$3&gt;=EDATE($B$7,-'Вводные'!$E$88),EG$3&lt;$B$8,'Вводные'!$B$88="Да")</x:f>
      </x:c>
      <x:c r="EH9" t="n">
        <x:f>--AND(EH$3&gt;=EDATE($B$7,-'Вводные'!$E$88),EH$3&lt;$B$8,'Вводные'!$B$88="Да")</x:f>
      </x:c>
      <x:c r="EI9" t="n">
        <x:f>--AND(EI$3&gt;=EDATE($B$7,-'Вводные'!$E$88),EI$3&lt;$B$8,'Вводные'!$B$88="Да")</x:f>
      </x:c>
      <x:c r="EJ9" t="n">
        <x:f>--AND(EJ$3&gt;=EDATE($B$7,-'Вводные'!$E$88),EJ$3&lt;$B$8,'Вводные'!$B$88="Да")</x:f>
      </x:c>
      <x:c r="EK9" t="n">
        <x:f>--AND(EK$3&gt;=EDATE($B$7,-'Вводные'!$E$88),EK$3&lt;$B$8,'Вводные'!$B$88="Да")</x:f>
      </x:c>
      <x:c r="EL9" t="n">
        <x:f>--AND(EL$3&gt;=EDATE($B$7,-'Вводные'!$E$88),EL$3&lt;$B$8,'Вводные'!$B$88="Да")</x:f>
      </x:c>
      <x:c r="EM9" t="n">
        <x:f>--AND(EM$3&gt;=EDATE($B$7,-'Вводные'!$E$88),EM$3&lt;$B$8,'Вводные'!$B$88="Да")</x:f>
      </x:c>
      <x:c r="EN9" t="n">
        <x:f>--AND(EN$3&gt;=EDATE($B$7,-'Вводные'!$E$88),EN$3&lt;$B$8,'Вводные'!$B$88="Да")</x:f>
      </x:c>
      <x:c r="EO9" t="n">
        <x:f>--AND(EO$3&gt;=EDATE($B$7,-'Вводные'!$E$88),EO$3&lt;$B$8,'Вводные'!$B$88="Да")</x:f>
      </x:c>
      <x:c r="EP9" t="n">
        <x:f>--AND(EP$3&gt;=EDATE($B$7,-'Вводные'!$E$88),EP$3&lt;$B$8,'Вводные'!$B$88="Да")</x:f>
      </x:c>
      <x:c r="EQ9" t="n">
        <x:f>--AND(EQ$3&gt;=EDATE($B$7,-'Вводные'!$E$88),EQ$3&lt;$B$8,'Вводные'!$B$88="Да")</x:f>
      </x:c>
      <x:c r="ER9" t="n">
        <x:f>--AND(ER$3&gt;=EDATE($B$7,-'Вводные'!$E$88),ER$3&lt;$B$8,'Вводные'!$B$88="Да")</x:f>
      </x:c>
      <x:c r="ES9" t="n">
        <x:f>--AND(ES$3&gt;=EDATE($B$7,-'Вводные'!$E$88),ES$3&lt;$B$8,'Вводные'!$B$88="Да")</x:f>
      </x:c>
      <x:c r="ET9" t="n">
        <x:f>--AND(ET$3&gt;=EDATE($B$7,-'Вводные'!$E$88),ET$3&lt;$B$8,'Вводные'!$B$88="Да")</x:f>
      </x:c>
      <x:c r="EU9" t="n">
        <x:f>--AND(EU$3&gt;=EDATE($B$7,-'Вводные'!$E$88),EU$3&lt;$B$8,'Вводные'!$B$88="Да")</x:f>
      </x:c>
      <x:c r="EV9" t="n">
        <x:f>--AND(EV$3&gt;=EDATE($B$7,-'Вводные'!$E$88),EV$3&lt;$B$8,'Вводные'!$B$88="Да")</x:f>
      </x:c>
      <x:c r="EW9" t="n">
        <x:f>--AND(EW$3&gt;=EDATE($B$7,-'Вводные'!$E$88),EW$3&lt;$B$8,'Вводные'!$B$88="Да")</x:f>
      </x:c>
      <x:c r="EX9" t="n">
        <x:f>--AND(EX$3&gt;=EDATE($B$7,-'Вводные'!$E$88),EX$3&lt;$B$8,'Вводные'!$B$88="Да")</x:f>
      </x:c>
      <x:c r="EY9" t="n">
        <x:f>--AND(EY$3&gt;=EDATE($B$7,-'Вводные'!$E$88),EY$3&lt;$B$8,'Вводные'!$B$88="Да")</x:f>
      </x:c>
      <x:c r="EZ9" t="n">
        <x:f>--AND(EZ$3&gt;=EDATE($B$7,-'Вводные'!$E$88),EZ$3&lt;$B$8,'Вводные'!$B$88="Да")</x:f>
      </x:c>
      <x:c r="FA9" t="n">
        <x:f>--AND(FA$3&gt;=EDATE($B$7,-'Вводные'!$E$88),FA$3&lt;$B$8,'Вводные'!$B$88="Да")</x:f>
      </x:c>
      <x:c r="FB9" t="n">
        <x:f>--AND(FB$3&gt;=EDATE($B$7,-'Вводные'!$E$88),FB$3&lt;$B$8,'Вводные'!$B$88="Да")</x:f>
      </x:c>
      <x:c r="FC9" t="n">
        <x:f>--AND(FC$3&gt;=EDATE($B$7,-'Вводные'!$E$88),FC$3&lt;$B$8,'Вводные'!$B$88="Да")</x:f>
      </x:c>
      <x:c r="FD9" t="n">
        <x:f>--AND(FD$3&gt;=EDATE($B$7,-'Вводные'!$E$88),FD$3&lt;$B$8,'Вводные'!$B$88="Да")</x:f>
      </x:c>
      <x:c r="FE9" t="n">
        <x:f>--AND(FE$3&gt;=EDATE($B$7,-'Вводные'!$E$88),FE$3&lt;$B$8,'Вводные'!$B$88="Да")</x:f>
      </x:c>
      <x:c r="FF9" t="n">
        <x:f>--AND(FF$3&gt;=EDATE($B$7,-'Вводные'!$E$88),FF$3&lt;$B$8,'Вводные'!$B$88="Да")</x:f>
      </x:c>
      <x:c r="FG9" t="n">
        <x:f>--AND(FG$3&gt;=EDATE($B$7,-'Вводные'!$E$88),FG$3&lt;$B$8,'Вводные'!$B$88="Да")</x:f>
      </x:c>
      <x:c r="FH9" t="n">
        <x:f>--AND(FH$3&gt;=EDATE($B$7,-'Вводные'!$E$88),FH$3&lt;$B$8,'Вводные'!$B$88="Да")</x:f>
      </x:c>
      <x:c r="FI9" t="n">
        <x:f>--AND(FI$3&gt;=EDATE($B$7,-'Вводные'!$E$88),FI$3&lt;$B$8,'Вводные'!$B$88="Да")</x:f>
      </x:c>
      <x:c r="FJ9" t="n">
        <x:f>--AND(FJ$3&gt;=EDATE($B$7,-'Вводные'!$E$88),FJ$3&lt;$B$8,'Вводные'!$B$88="Да")</x:f>
      </x:c>
      <x:c r="FK9" t="n">
        <x:f>--AND(FK$3&gt;=EDATE($B$7,-'Вводные'!$E$88),FK$3&lt;$B$8,'Вводные'!$B$88="Да")</x:f>
      </x:c>
      <x:c r="FL9" t="n">
        <x:f>--AND(FL$3&gt;=EDATE($B$7,-'Вводные'!$E$88),FL$3&lt;$B$8,'Вводные'!$B$88="Да")</x:f>
      </x:c>
      <x:c r="FM9" t="n">
        <x:f>--AND(FM$3&gt;=EDATE($B$7,-'Вводные'!$E$88),FM$3&lt;$B$8,'Вводные'!$B$88="Да")</x:f>
      </x:c>
      <x:c r="FN9" t="n">
        <x:f>--AND(FN$3&gt;=EDATE($B$7,-'Вводные'!$E$88),FN$3&lt;$B$8,'Вводные'!$B$88="Да")</x:f>
      </x:c>
      <x:c r="FO9" t="n">
        <x:f>--AND(FO$3&gt;=EDATE($B$7,-'Вводные'!$E$88),FO$3&lt;$B$8,'Вводные'!$B$88="Да")</x:f>
      </x:c>
      <x:c r="FP9" t="n">
        <x:f>--AND(FP$3&gt;=EDATE($B$7,-'Вводные'!$E$88),FP$3&lt;$B$8,'Вводные'!$B$88="Да")</x:f>
      </x:c>
      <x:c r="FQ9" t="n">
        <x:f>--AND(FQ$3&gt;=EDATE($B$7,-'Вводные'!$E$88),FQ$3&lt;$B$8,'Вводные'!$B$88="Да")</x:f>
      </x:c>
      <x:c r="FR9" t="n">
        <x:f>--AND(FR$3&gt;=EDATE($B$7,-'Вводные'!$E$88),FR$3&lt;$B$8,'Вводные'!$B$88="Да")</x:f>
      </x:c>
      <x:c r="FS9" t="n">
        <x:f>--AND(FS$3&gt;=EDATE($B$7,-'Вводные'!$E$88),FS$3&lt;$B$8,'Вводные'!$B$88="Да")</x:f>
      </x:c>
      <x:c r="FT9" t="n">
        <x:f>--AND(FT$3&gt;=EDATE($B$7,-'Вводные'!$E$88),FT$3&lt;$B$8,'Вводные'!$B$88="Да")</x:f>
      </x:c>
      <x:c r="FU9" t="n">
        <x:f>--AND(FU$3&gt;=EDATE($B$7,-'Вводные'!$E$88),FU$3&lt;$B$8,'Вводные'!$B$88="Да")</x:f>
      </x:c>
      <x:c r="FV9" t="n">
        <x:f>--AND(FV$3&gt;=EDATE($B$7,-'Вводные'!$E$88),FV$3&lt;$B$8,'Вводные'!$B$88="Да")</x:f>
      </x:c>
      <x:c r="FW9" t="n">
        <x:f>--AND(FW$3&gt;=EDATE($B$7,-'Вводные'!$E$88),FW$3&lt;$B$8,'Вводные'!$B$88="Да")</x:f>
      </x:c>
      <x:c r="FX9" t="n">
        <x:f>--AND(FX$3&gt;=EDATE($B$7,-'Вводные'!$E$88),FX$3&lt;$B$8,'Вводные'!$B$88="Да")</x:f>
      </x:c>
      <x:c r="FY9" t="n">
        <x:f>--AND(FY$3&gt;=EDATE($B$7,-'Вводные'!$E$88),FY$3&lt;$B$8,'Вводные'!$B$88="Да")</x:f>
      </x:c>
      <x:c r="FZ9" t="n">
        <x:f>--AND(FZ$3&gt;=EDATE($B$7,-'Вводные'!$E$88),FZ$3&lt;$B$8,'Вводные'!$B$88="Да")</x:f>
      </x:c>
      <x:c r="GA9" t="n">
        <x:f>--AND(GA$3&gt;=EDATE($B$7,-'Вводные'!$E$88),GA$3&lt;$B$8,'Вводные'!$B$88="Да")</x:f>
      </x:c>
    </x:row>
    <x:row r="10">
      <x:c r="A10" t="str">
        <x:v>Нормированный вес проекта</x:v>
      </x:c>
      <x:c r="B10"/>
      <x:c r="C10" t="str">
        <x:v>%</x:v>
      </x:c>
      <x:c r="D10" s="35" t="n">
        <x:f>IFERROR(D9/SUM($D9:$GA9),0)</x:f>
      </x:c>
      <x:c r="E10" s="35" t="n">
        <x:f>IFERROR(E9/SUM($D9:$GA9),0)</x:f>
      </x:c>
      <x:c r="F10" s="35" t="n">
        <x:f>IFERROR(F9/SUM($D9:$GA9),0)</x:f>
      </x:c>
      <x:c r="G10" s="35" t="n">
        <x:f>IFERROR(G9/SUM($D9:$GA9),0)</x:f>
      </x:c>
      <x:c r="H10" s="35" t="n">
        <x:f>IFERROR(H9/SUM($D9:$GA9),0)</x:f>
      </x:c>
      <x:c r="I10" s="35" t="n">
        <x:f>IFERROR(I9/SUM($D9:$GA9),0)</x:f>
      </x:c>
      <x:c r="J10" s="35" t="n">
        <x:f>IFERROR(J9/SUM($D9:$GA9),0)</x:f>
      </x:c>
      <x:c r="K10" s="35" t="n">
        <x:f>IFERROR(K9/SUM($D9:$GA9),0)</x:f>
      </x:c>
      <x:c r="L10" s="35" t="n">
        <x:f>IFERROR(L9/SUM($D9:$GA9),0)</x:f>
      </x:c>
      <x:c r="M10" s="35" t="n">
        <x:f>IFERROR(M9/SUM($D9:$GA9),0)</x:f>
      </x:c>
      <x:c r="N10" s="35" t="n">
        <x:f>IFERROR(N9/SUM($D9:$GA9),0)</x:f>
      </x:c>
      <x:c r="O10" s="35" t="n">
        <x:f>IFERROR(O9/SUM($D9:$GA9),0)</x:f>
      </x:c>
      <x:c r="P10" s="35" t="n">
        <x:f>IFERROR(P9/SUM($D9:$GA9),0)</x:f>
      </x:c>
      <x:c r="Q10" s="35" t="n">
        <x:f>IFERROR(Q9/SUM($D9:$GA9),0)</x:f>
      </x:c>
      <x:c r="R10" s="35" t="n">
        <x:f>IFERROR(R9/SUM($D9:$GA9),0)</x:f>
      </x:c>
      <x:c r="S10" s="35" t="n">
        <x:f>IFERROR(S9/SUM($D9:$GA9),0)</x:f>
      </x:c>
      <x:c r="T10" s="35" t="n">
        <x:f>IFERROR(T9/SUM($D9:$GA9),0)</x:f>
      </x:c>
      <x:c r="U10" s="35" t="n">
        <x:f>IFERROR(U9/SUM($D9:$GA9),0)</x:f>
      </x:c>
      <x:c r="V10" s="35" t="n">
        <x:f>IFERROR(V9/SUM($D9:$GA9),0)</x:f>
      </x:c>
      <x:c r="W10" s="35" t="n">
        <x:f>IFERROR(W9/SUM($D9:$GA9),0)</x:f>
      </x:c>
      <x:c r="X10" s="35" t="n">
        <x:f>IFERROR(X9/SUM($D9:$GA9),0)</x:f>
      </x:c>
      <x:c r="Y10" s="35" t="n">
        <x:f>IFERROR(Y9/SUM($D9:$GA9),0)</x:f>
      </x:c>
      <x:c r="Z10" s="35" t="n">
        <x:f>IFERROR(Z9/SUM($D9:$GA9),0)</x:f>
      </x:c>
      <x:c r="AA10" s="35" t="n">
        <x:f>IFERROR(AA9/SUM($D9:$GA9),0)</x:f>
      </x:c>
      <x:c r="AB10" s="35" t="n">
        <x:f>IFERROR(AB9/SUM($D9:$GA9),0)</x:f>
      </x:c>
      <x:c r="AC10" s="35" t="n">
        <x:f>IFERROR(AC9/SUM($D9:$GA9),0)</x:f>
      </x:c>
      <x:c r="AD10" s="35" t="n">
        <x:f>IFERROR(AD9/SUM($D9:$GA9),0)</x:f>
      </x:c>
      <x:c r="AE10" s="35" t="n">
        <x:f>IFERROR(AE9/SUM($D9:$GA9),0)</x:f>
      </x:c>
      <x:c r="AF10" s="35" t="n">
        <x:f>IFERROR(AF9/SUM($D9:$GA9),0)</x:f>
      </x:c>
      <x:c r="AG10" s="35" t="n">
        <x:f>IFERROR(AG9/SUM($D9:$GA9),0)</x:f>
      </x:c>
      <x:c r="AH10" s="35" t="n">
        <x:f>IFERROR(AH9/SUM($D9:$GA9),0)</x:f>
      </x:c>
      <x:c r="AI10" s="35" t="n">
        <x:f>IFERROR(AI9/SUM($D9:$GA9),0)</x:f>
      </x:c>
      <x:c r="AJ10" s="35" t="n">
        <x:f>IFERROR(AJ9/SUM($D9:$GA9),0)</x:f>
      </x:c>
      <x:c r="AK10" s="35" t="n">
        <x:f>IFERROR(AK9/SUM($D9:$GA9),0)</x:f>
      </x:c>
      <x:c r="AL10" s="35" t="n">
        <x:f>IFERROR(AL9/SUM($D9:$GA9),0)</x:f>
      </x:c>
      <x:c r="AM10" s="35" t="n">
        <x:f>IFERROR(AM9/SUM($D9:$GA9),0)</x:f>
      </x:c>
      <x:c r="AN10" s="35" t="n">
        <x:f>IFERROR(AN9/SUM($D9:$GA9),0)</x:f>
      </x:c>
      <x:c r="AO10" s="35" t="n">
        <x:f>IFERROR(AO9/SUM($D9:$GA9),0)</x:f>
      </x:c>
      <x:c r="AP10" s="35" t="n">
        <x:f>IFERROR(AP9/SUM($D9:$GA9),0)</x:f>
      </x:c>
      <x:c r="AQ10" s="35" t="n">
        <x:f>IFERROR(AQ9/SUM($D9:$GA9),0)</x:f>
      </x:c>
      <x:c r="AR10" s="35" t="n">
        <x:f>IFERROR(AR9/SUM($D9:$GA9),0)</x:f>
      </x:c>
      <x:c r="AS10" s="35" t="n">
        <x:f>IFERROR(AS9/SUM($D9:$GA9),0)</x:f>
      </x:c>
      <x:c r="AT10" s="35" t="n">
        <x:f>IFERROR(AT9/SUM($D9:$GA9),0)</x:f>
      </x:c>
      <x:c r="AU10" s="35" t="n">
        <x:f>IFERROR(AU9/SUM($D9:$GA9),0)</x:f>
      </x:c>
      <x:c r="AV10" s="35" t="n">
        <x:f>IFERROR(AV9/SUM($D9:$GA9),0)</x:f>
      </x:c>
      <x:c r="AW10" s="35" t="n">
        <x:f>IFERROR(AW9/SUM($D9:$GA9),0)</x:f>
      </x:c>
      <x:c r="AX10" s="35" t="n">
        <x:f>IFERROR(AX9/SUM($D9:$GA9),0)</x:f>
      </x:c>
      <x:c r="AY10" s="35" t="n">
        <x:f>IFERROR(AY9/SUM($D9:$GA9),0)</x:f>
      </x:c>
      <x:c r="AZ10" s="35" t="n">
        <x:f>IFERROR(AZ9/SUM($D9:$GA9),0)</x:f>
      </x:c>
      <x:c r="BA10" s="35" t="n">
        <x:f>IFERROR(BA9/SUM($D9:$GA9),0)</x:f>
      </x:c>
      <x:c r="BB10" s="35" t="n">
        <x:f>IFERROR(BB9/SUM($D9:$GA9),0)</x:f>
      </x:c>
      <x:c r="BC10" s="35" t="n">
        <x:f>IFERROR(BC9/SUM($D9:$GA9),0)</x:f>
      </x:c>
      <x:c r="BD10" s="35" t="n">
        <x:f>IFERROR(BD9/SUM($D9:$GA9),0)</x:f>
      </x:c>
      <x:c r="BE10" s="35" t="n">
        <x:f>IFERROR(BE9/SUM($D9:$GA9),0)</x:f>
      </x:c>
      <x:c r="BF10" s="35" t="n">
        <x:f>IFERROR(BF9/SUM($D9:$GA9),0)</x:f>
      </x:c>
      <x:c r="BG10" s="35" t="n">
        <x:f>IFERROR(BG9/SUM($D9:$GA9),0)</x:f>
      </x:c>
      <x:c r="BH10" s="35" t="n">
        <x:f>IFERROR(BH9/SUM($D9:$GA9),0)</x:f>
      </x:c>
      <x:c r="BI10" s="35" t="n">
        <x:f>IFERROR(BI9/SUM($D9:$GA9),0)</x:f>
      </x:c>
      <x:c r="BJ10" s="35" t="n">
        <x:f>IFERROR(BJ9/SUM($D9:$GA9),0)</x:f>
      </x:c>
      <x:c r="BK10" s="35" t="n">
        <x:f>IFERROR(BK9/SUM($D9:$GA9),0)</x:f>
      </x:c>
      <x:c r="BL10" s="35" t="n">
        <x:f>IFERROR(BL9/SUM($D9:$GA9),0)</x:f>
      </x:c>
      <x:c r="BM10" s="35" t="n">
        <x:f>IFERROR(BM9/SUM($D9:$GA9),0)</x:f>
      </x:c>
      <x:c r="BN10" s="35" t="n">
        <x:f>IFERROR(BN9/SUM($D9:$GA9),0)</x:f>
      </x:c>
      <x:c r="BO10" s="35" t="n">
        <x:f>IFERROR(BO9/SUM($D9:$GA9),0)</x:f>
      </x:c>
      <x:c r="BP10" s="35" t="n">
        <x:f>IFERROR(BP9/SUM($D9:$GA9),0)</x:f>
      </x:c>
      <x:c r="BQ10" s="35" t="n">
        <x:f>IFERROR(BQ9/SUM($D9:$GA9),0)</x:f>
      </x:c>
      <x:c r="BR10" s="35" t="n">
        <x:f>IFERROR(BR9/SUM($D9:$GA9),0)</x:f>
      </x:c>
      <x:c r="BS10" s="35" t="n">
        <x:f>IFERROR(BS9/SUM($D9:$GA9),0)</x:f>
      </x:c>
      <x:c r="BT10" s="35" t="n">
        <x:f>IFERROR(BT9/SUM($D9:$GA9),0)</x:f>
      </x:c>
      <x:c r="BU10" s="35" t="n">
        <x:f>IFERROR(BU9/SUM($D9:$GA9),0)</x:f>
      </x:c>
      <x:c r="BV10" s="35" t="n">
        <x:f>IFERROR(BV9/SUM($D9:$GA9),0)</x:f>
      </x:c>
      <x:c r="BW10" s="35" t="n">
        <x:f>IFERROR(BW9/SUM($D9:$GA9),0)</x:f>
      </x:c>
      <x:c r="BX10" s="35" t="n">
        <x:f>IFERROR(BX9/SUM($D9:$GA9),0)</x:f>
      </x:c>
      <x:c r="BY10" s="35" t="n">
        <x:f>IFERROR(BY9/SUM($D9:$GA9),0)</x:f>
      </x:c>
      <x:c r="BZ10" s="35" t="n">
        <x:f>IFERROR(BZ9/SUM($D9:$GA9),0)</x:f>
      </x:c>
      <x:c r="CA10" s="35" t="n">
        <x:f>IFERROR(CA9/SUM($D9:$GA9),0)</x:f>
      </x:c>
      <x:c r="CB10" s="35" t="n">
        <x:f>IFERROR(CB9/SUM($D9:$GA9),0)</x:f>
      </x:c>
      <x:c r="CC10" s="35" t="n">
        <x:f>IFERROR(CC9/SUM($D9:$GA9),0)</x:f>
      </x:c>
      <x:c r="CD10" s="35" t="n">
        <x:f>IFERROR(CD9/SUM($D9:$GA9),0)</x:f>
      </x:c>
      <x:c r="CE10" s="35" t="n">
        <x:f>IFERROR(CE9/SUM($D9:$GA9),0)</x:f>
      </x:c>
      <x:c r="CF10" s="35" t="n">
        <x:f>IFERROR(CF9/SUM($D9:$GA9),0)</x:f>
      </x:c>
      <x:c r="CG10" s="35" t="n">
        <x:f>IFERROR(CG9/SUM($D9:$GA9),0)</x:f>
      </x:c>
      <x:c r="CH10" s="35" t="n">
        <x:f>IFERROR(CH9/SUM($D9:$GA9),0)</x:f>
      </x:c>
      <x:c r="CI10" s="35" t="n">
        <x:f>IFERROR(CI9/SUM($D9:$GA9),0)</x:f>
      </x:c>
      <x:c r="CJ10" s="35" t="n">
        <x:f>IFERROR(CJ9/SUM($D9:$GA9),0)</x:f>
      </x:c>
      <x:c r="CK10" s="35" t="n">
        <x:f>IFERROR(CK9/SUM($D9:$GA9),0)</x:f>
      </x:c>
      <x:c r="CL10" s="35" t="n">
        <x:f>IFERROR(CL9/SUM($D9:$GA9),0)</x:f>
      </x:c>
      <x:c r="CM10" s="35" t="n">
        <x:f>IFERROR(CM9/SUM($D9:$GA9),0)</x:f>
      </x:c>
      <x:c r="CN10" s="35" t="n">
        <x:f>IFERROR(CN9/SUM($D9:$GA9),0)</x:f>
      </x:c>
      <x:c r="CO10" s="35" t="n">
        <x:f>IFERROR(CO9/SUM($D9:$GA9),0)</x:f>
      </x:c>
      <x:c r="CP10" s="35" t="n">
        <x:f>IFERROR(CP9/SUM($D9:$GA9),0)</x:f>
      </x:c>
      <x:c r="CQ10" s="35" t="n">
        <x:f>IFERROR(CQ9/SUM($D9:$GA9),0)</x:f>
      </x:c>
      <x:c r="CR10" s="35" t="n">
        <x:f>IFERROR(CR9/SUM($D9:$GA9),0)</x:f>
      </x:c>
      <x:c r="CS10" s="35" t="n">
        <x:f>IFERROR(CS9/SUM($D9:$GA9),0)</x:f>
      </x:c>
      <x:c r="CT10" s="35" t="n">
        <x:f>IFERROR(CT9/SUM($D9:$GA9),0)</x:f>
      </x:c>
      <x:c r="CU10" s="35" t="n">
        <x:f>IFERROR(CU9/SUM($D9:$GA9),0)</x:f>
      </x:c>
      <x:c r="CV10" s="35" t="n">
        <x:f>IFERROR(CV9/SUM($D9:$GA9),0)</x:f>
      </x:c>
      <x:c r="CW10" s="35" t="n">
        <x:f>IFERROR(CW9/SUM($D9:$GA9),0)</x:f>
      </x:c>
      <x:c r="CX10" s="35" t="n">
        <x:f>IFERROR(CX9/SUM($D9:$GA9),0)</x:f>
      </x:c>
      <x:c r="CY10" s="35" t="n">
        <x:f>IFERROR(CY9/SUM($D9:$GA9),0)</x:f>
      </x:c>
      <x:c r="CZ10" s="35" t="n">
        <x:f>IFERROR(CZ9/SUM($D9:$GA9),0)</x:f>
      </x:c>
      <x:c r="DA10" s="35" t="n">
        <x:f>IFERROR(DA9/SUM($D9:$GA9),0)</x:f>
      </x:c>
      <x:c r="DB10" s="35" t="n">
        <x:f>IFERROR(DB9/SUM($D9:$GA9),0)</x:f>
      </x:c>
      <x:c r="DC10" s="35" t="n">
        <x:f>IFERROR(DC9/SUM($D9:$GA9),0)</x:f>
      </x:c>
      <x:c r="DD10" s="35" t="n">
        <x:f>IFERROR(DD9/SUM($D9:$GA9),0)</x:f>
      </x:c>
      <x:c r="DE10" s="35" t="n">
        <x:f>IFERROR(DE9/SUM($D9:$GA9),0)</x:f>
      </x:c>
      <x:c r="DF10" s="35" t="n">
        <x:f>IFERROR(DF9/SUM($D9:$GA9),0)</x:f>
      </x:c>
      <x:c r="DG10" s="35" t="n">
        <x:f>IFERROR(DG9/SUM($D9:$GA9),0)</x:f>
      </x:c>
      <x:c r="DH10" s="35" t="n">
        <x:f>IFERROR(DH9/SUM($D9:$GA9),0)</x:f>
      </x:c>
      <x:c r="DI10" s="35" t="n">
        <x:f>IFERROR(DI9/SUM($D9:$GA9),0)</x:f>
      </x:c>
      <x:c r="DJ10" s="35" t="n">
        <x:f>IFERROR(DJ9/SUM($D9:$GA9),0)</x:f>
      </x:c>
      <x:c r="DK10" s="35" t="n">
        <x:f>IFERROR(DK9/SUM($D9:$GA9),0)</x:f>
      </x:c>
      <x:c r="DL10" s="35" t="n">
        <x:f>IFERROR(DL9/SUM($D9:$GA9),0)</x:f>
      </x:c>
      <x:c r="DM10" s="35" t="n">
        <x:f>IFERROR(DM9/SUM($D9:$GA9),0)</x:f>
      </x:c>
      <x:c r="DN10" s="35" t="n">
        <x:f>IFERROR(DN9/SUM($D9:$GA9),0)</x:f>
      </x:c>
      <x:c r="DO10" s="35" t="n">
        <x:f>IFERROR(DO9/SUM($D9:$GA9),0)</x:f>
      </x:c>
      <x:c r="DP10" s="35" t="n">
        <x:f>IFERROR(DP9/SUM($D9:$GA9),0)</x:f>
      </x:c>
      <x:c r="DQ10" s="35" t="n">
        <x:f>IFERROR(DQ9/SUM($D9:$GA9),0)</x:f>
      </x:c>
      <x:c r="DR10" s="35" t="n">
        <x:f>IFERROR(DR9/SUM($D9:$GA9),0)</x:f>
      </x:c>
      <x:c r="DS10" s="35" t="n">
        <x:f>IFERROR(DS9/SUM($D9:$GA9),0)</x:f>
      </x:c>
      <x:c r="DT10" s="35" t="n">
        <x:f>IFERROR(DT9/SUM($D9:$GA9),0)</x:f>
      </x:c>
      <x:c r="DU10" s="35" t="n">
        <x:f>IFERROR(DU9/SUM($D9:$GA9),0)</x:f>
      </x:c>
      <x:c r="DV10" s="35" t="n">
        <x:f>IFERROR(DV9/SUM($D9:$GA9),0)</x:f>
      </x:c>
      <x:c r="DW10" s="35" t="n">
        <x:f>IFERROR(DW9/SUM($D9:$GA9),0)</x:f>
      </x:c>
      <x:c r="DX10" s="35" t="n">
        <x:f>IFERROR(DX9/SUM($D9:$GA9),0)</x:f>
      </x:c>
      <x:c r="DY10" s="35" t="n">
        <x:f>IFERROR(DY9/SUM($D9:$GA9),0)</x:f>
      </x:c>
      <x:c r="DZ10" s="35" t="n">
        <x:f>IFERROR(DZ9/SUM($D9:$GA9),0)</x:f>
      </x:c>
      <x:c r="EA10" s="35" t="n">
        <x:f>IFERROR(EA9/SUM($D9:$GA9),0)</x:f>
      </x:c>
      <x:c r="EB10" s="35" t="n">
        <x:f>IFERROR(EB9/SUM($D9:$GA9),0)</x:f>
      </x:c>
      <x:c r="EC10" s="35" t="n">
        <x:f>IFERROR(EC9/SUM($D9:$GA9),0)</x:f>
      </x:c>
      <x:c r="ED10" s="35" t="n">
        <x:f>IFERROR(ED9/SUM($D9:$GA9),0)</x:f>
      </x:c>
      <x:c r="EE10" s="35" t="n">
        <x:f>IFERROR(EE9/SUM($D9:$GA9),0)</x:f>
      </x:c>
      <x:c r="EF10" s="35" t="n">
        <x:f>IFERROR(EF9/SUM($D9:$GA9),0)</x:f>
      </x:c>
      <x:c r="EG10" s="35" t="n">
        <x:f>IFERROR(EG9/SUM($D9:$GA9),0)</x:f>
      </x:c>
      <x:c r="EH10" s="35" t="n">
        <x:f>IFERROR(EH9/SUM($D9:$GA9),0)</x:f>
      </x:c>
      <x:c r="EI10" s="35" t="n">
        <x:f>IFERROR(EI9/SUM($D9:$GA9),0)</x:f>
      </x:c>
      <x:c r="EJ10" s="35" t="n">
        <x:f>IFERROR(EJ9/SUM($D9:$GA9),0)</x:f>
      </x:c>
      <x:c r="EK10" s="35" t="n">
        <x:f>IFERROR(EK9/SUM($D9:$GA9),0)</x:f>
      </x:c>
      <x:c r="EL10" s="35" t="n">
        <x:f>IFERROR(EL9/SUM($D9:$GA9),0)</x:f>
      </x:c>
      <x:c r="EM10" s="35" t="n">
        <x:f>IFERROR(EM9/SUM($D9:$GA9),0)</x:f>
      </x:c>
      <x:c r="EN10" s="35" t="n">
        <x:f>IFERROR(EN9/SUM($D9:$GA9),0)</x:f>
      </x:c>
      <x:c r="EO10" s="35" t="n">
        <x:f>IFERROR(EO9/SUM($D9:$GA9),0)</x:f>
      </x:c>
      <x:c r="EP10" s="35" t="n">
        <x:f>IFERROR(EP9/SUM($D9:$GA9),0)</x:f>
      </x:c>
      <x:c r="EQ10" s="35" t="n">
        <x:f>IFERROR(EQ9/SUM($D9:$GA9),0)</x:f>
      </x:c>
      <x:c r="ER10" s="35" t="n">
        <x:f>IFERROR(ER9/SUM($D9:$GA9),0)</x:f>
      </x:c>
      <x:c r="ES10" s="35" t="n">
        <x:f>IFERROR(ES9/SUM($D9:$GA9),0)</x:f>
      </x:c>
      <x:c r="ET10" s="35" t="n">
        <x:f>IFERROR(ET9/SUM($D9:$GA9),0)</x:f>
      </x:c>
      <x:c r="EU10" s="35" t="n">
        <x:f>IFERROR(EU9/SUM($D9:$GA9),0)</x:f>
      </x:c>
      <x:c r="EV10" s="35" t="n">
        <x:f>IFERROR(EV9/SUM($D9:$GA9),0)</x:f>
      </x:c>
      <x:c r="EW10" s="35" t="n">
        <x:f>IFERROR(EW9/SUM($D9:$GA9),0)</x:f>
      </x:c>
      <x:c r="EX10" s="35" t="n">
        <x:f>IFERROR(EX9/SUM($D9:$GA9),0)</x:f>
      </x:c>
      <x:c r="EY10" s="35" t="n">
        <x:f>IFERROR(EY9/SUM($D9:$GA9),0)</x:f>
      </x:c>
      <x:c r="EZ10" s="35" t="n">
        <x:f>IFERROR(EZ9/SUM($D9:$GA9),0)</x:f>
      </x:c>
      <x:c r="FA10" s="35" t="n">
        <x:f>IFERROR(FA9/SUM($D9:$GA9),0)</x:f>
      </x:c>
      <x:c r="FB10" s="35" t="n">
        <x:f>IFERROR(FB9/SUM($D9:$GA9),0)</x:f>
      </x:c>
      <x:c r="FC10" s="35" t="n">
        <x:f>IFERROR(FC9/SUM($D9:$GA9),0)</x:f>
      </x:c>
      <x:c r="FD10" s="35" t="n">
        <x:f>IFERROR(FD9/SUM($D9:$GA9),0)</x:f>
      </x:c>
      <x:c r="FE10" s="35" t="n">
        <x:f>IFERROR(FE9/SUM($D9:$GA9),0)</x:f>
      </x:c>
      <x:c r="FF10" s="35" t="n">
        <x:f>IFERROR(FF9/SUM($D9:$GA9),0)</x:f>
      </x:c>
      <x:c r="FG10" s="35" t="n">
        <x:f>IFERROR(FG9/SUM($D9:$GA9),0)</x:f>
      </x:c>
      <x:c r="FH10" s="35" t="n">
        <x:f>IFERROR(FH9/SUM($D9:$GA9),0)</x:f>
      </x:c>
      <x:c r="FI10" s="35" t="n">
        <x:f>IFERROR(FI9/SUM($D9:$GA9),0)</x:f>
      </x:c>
      <x:c r="FJ10" s="35" t="n">
        <x:f>IFERROR(FJ9/SUM($D9:$GA9),0)</x:f>
      </x:c>
      <x:c r="FK10" s="35" t="n">
        <x:f>IFERROR(FK9/SUM($D9:$GA9),0)</x:f>
      </x:c>
      <x:c r="FL10" s="35" t="n">
        <x:f>IFERROR(FL9/SUM($D9:$GA9),0)</x:f>
      </x:c>
      <x:c r="FM10" s="35" t="n">
        <x:f>IFERROR(FM9/SUM($D9:$GA9),0)</x:f>
      </x:c>
      <x:c r="FN10" s="35" t="n">
        <x:f>IFERROR(FN9/SUM($D9:$GA9),0)</x:f>
      </x:c>
      <x:c r="FO10" s="35" t="n">
        <x:f>IFERROR(FO9/SUM($D9:$GA9),0)</x:f>
      </x:c>
      <x:c r="FP10" s="35" t="n">
        <x:f>IFERROR(FP9/SUM($D9:$GA9),0)</x:f>
      </x:c>
      <x:c r="FQ10" s="35" t="n">
        <x:f>IFERROR(FQ9/SUM($D9:$GA9),0)</x:f>
      </x:c>
      <x:c r="FR10" s="35" t="n">
        <x:f>IFERROR(FR9/SUM($D9:$GA9),0)</x:f>
      </x:c>
      <x:c r="FS10" s="35" t="n">
        <x:f>IFERROR(FS9/SUM($D9:$GA9),0)</x:f>
      </x:c>
      <x:c r="FT10" s="35" t="n">
        <x:f>IFERROR(FT9/SUM($D9:$GA9),0)</x:f>
      </x:c>
      <x:c r="FU10" s="35" t="n">
        <x:f>IFERROR(FU9/SUM($D9:$GA9),0)</x:f>
      </x:c>
      <x:c r="FV10" s="35" t="n">
        <x:f>IFERROR(FV9/SUM($D9:$GA9),0)</x:f>
      </x:c>
      <x:c r="FW10" s="35" t="n">
        <x:f>IFERROR(FW9/SUM($D9:$GA9),0)</x:f>
      </x:c>
      <x:c r="FX10" s="35" t="n">
        <x:f>IFERROR(FX9/SUM($D9:$GA9),0)</x:f>
      </x:c>
      <x:c r="FY10" s="35" t="n">
        <x:f>IFERROR(FY9/SUM($D9:$GA9),0)</x:f>
      </x:c>
      <x:c r="FZ10" s="35" t="n">
        <x:f>IFERROR(FZ9/SUM($D9:$GA9),0)</x:f>
      </x:c>
      <x:c r="GA10" s="35" t="n">
        <x:f>IFERROR(GA9/SUM($D9:$GA9),0)</x:f>
      </x:c>
    </x:row>
    <x:row r="11">
      <x:c r="A11" t="str">
        <x:v>Флаг строительства</x:v>
      </x:c>
      <x:c r="B11"/>
      <x:c r="C11" t="str">
        <x:v>0/1</x:v>
      </x:c>
      <x:c r="D11" s="35" t="n">
        <x:f>--AND(D$3&gt;=$B$7,D$3&lt;$B$8,'Вводные'!$B$88="Да")</x:f>
      </x:c>
      <x:c r="E11" s="35" t="n">
        <x:f>--AND(E$3&gt;=$B$7,E$3&lt;$B$8,'Вводные'!$B$88="Да")</x:f>
      </x:c>
      <x:c r="F11" s="35" t="n">
        <x:f>--AND(F$3&gt;=$B$7,F$3&lt;$B$8,'Вводные'!$B$88="Да")</x:f>
      </x:c>
      <x:c r="G11" s="35" t="n">
        <x:f>--AND(G$3&gt;=$B$7,G$3&lt;$B$8,'Вводные'!$B$88="Да")</x:f>
      </x:c>
      <x:c r="H11" s="35" t="n">
        <x:f>--AND(H$3&gt;=$B$7,H$3&lt;$B$8,'Вводные'!$B$88="Да")</x:f>
      </x:c>
      <x:c r="I11" s="35" t="n">
        <x:f>--AND(I$3&gt;=$B$7,I$3&lt;$B$8,'Вводные'!$B$88="Да")</x:f>
      </x:c>
      <x:c r="J11" s="35" t="n">
        <x:f>--AND(J$3&gt;=$B$7,J$3&lt;$B$8,'Вводные'!$B$88="Да")</x:f>
      </x:c>
      <x:c r="K11" s="35" t="n">
        <x:f>--AND(K$3&gt;=$B$7,K$3&lt;$B$8,'Вводные'!$B$88="Да")</x:f>
      </x:c>
      <x:c r="L11" s="35" t="n">
        <x:f>--AND(L$3&gt;=$B$7,L$3&lt;$B$8,'Вводные'!$B$88="Да")</x:f>
      </x:c>
      <x:c r="M11" s="35" t="n">
        <x:f>--AND(M$3&gt;=$B$7,M$3&lt;$B$8,'Вводные'!$B$88="Да")</x:f>
      </x:c>
      <x:c r="N11" s="35" t="n">
        <x:f>--AND(N$3&gt;=$B$7,N$3&lt;$B$8,'Вводные'!$B$88="Да")</x:f>
      </x:c>
      <x:c r="O11" s="35" t="n">
        <x:f>--AND(O$3&gt;=$B$7,O$3&lt;$B$8,'Вводные'!$B$88="Да")</x:f>
      </x:c>
      <x:c r="P11" s="35" t="n">
        <x:f>--AND(P$3&gt;=$B$7,P$3&lt;$B$8,'Вводные'!$B$88="Да")</x:f>
      </x:c>
      <x:c r="Q11" s="35" t="n">
        <x:f>--AND(Q$3&gt;=$B$7,Q$3&lt;$B$8,'Вводные'!$B$88="Да")</x:f>
      </x:c>
      <x:c r="R11" s="35" t="n">
        <x:f>--AND(R$3&gt;=$B$7,R$3&lt;$B$8,'Вводные'!$B$88="Да")</x:f>
      </x:c>
      <x:c r="S11" s="35" t="n">
        <x:f>--AND(S$3&gt;=$B$7,S$3&lt;$B$8,'Вводные'!$B$88="Да")</x:f>
      </x:c>
      <x:c r="T11" s="35" t="n">
        <x:f>--AND(T$3&gt;=$B$7,T$3&lt;$B$8,'Вводные'!$B$88="Да")</x:f>
      </x:c>
      <x:c r="U11" s="35" t="n">
        <x:f>--AND(U$3&gt;=$B$7,U$3&lt;$B$8,'Вводные'!$B$88="Да")</x:f>
      </x:c>
      <x:c r="V11" s="35" t="n">
        <x:f>--AND(V$3&gt;=$B$7,V$3&lt;$B$8,'Вводные'!$B$88="Да")</x:f>
      </x:c>
      <x:c r="W11" s="35" t="n">
        <x:f>--AND(W$3&gt;=$B$7,W$3&lt;$B$8,'Вводные'!$B$88="Да")</x:f>
      </x:c>
      <x:c r="X11" s="35" t="n">
        <x:f>--AND(X$3&gt;=$B$7,X$3&lt;$B$8,'Вводные'!$B$88="Да")</x:f>
      </x:c>
      <x:c r="Y11" s="35" t="n">
        <x:f>--AND(Y$3&gt;=$B$7,Y$3&lt;$B$8,'Вводные'!$B$88="Да")</x:f>
      </x:c>
      <x:c r="Z11" s="35" t="n">
        <x:f>--AND(Z$3&gt;=$B$7,Z$3&lt;$B$8,'Вводные'!$B$88="Да")</x:f>
      </x:c>
      <x:c r="AA11" s="35" t="n">
        <x:f>--AND(AA$3&gt;=$B$7,AA$3&lt;$B$8,'Вводные'!$B$88="Да")</x:f>
      </x:c>
      <x:c r="AB11" s="35" t="n">
        <x:f>--AND(AB$3&gt;=$B$7,AB$3&lt;$B$8,'Вводные'!$B$88="Да")</x:f>
      </x:c>
      <x:c r="AC11" s="35" t="n">
        <x:f>--AND(AC$3&gt;=$B$7,AC$3&lt;$B$8,'Вводные'!$B$88="Да")</x:f>
      </x:c>
      <x:c r="AD11" s="35" t="n">
        <x:f>--AND(AD$3&gt;=$B$7,AD$3&lt;$B$8,'Вводные'!$B$88="Да")</x:f>
      </x:c>
      <x:c r="AE11" s="35" t="n">
        <x:f>--AND(AE$3&gt;=$B$7,AE$3&lt;$B$8,'Вводные'!$B$88="Да")</x:f>
      </x:c>
      <x:c r="AF11" s="35" t="n">
        <x:f>--AND(AF$3&gt;=$B$7,AF$3&lt;$B$8,'Вводные'!$B$88="Да")</x:f>
      </x:c>
      <x:c r="AG11" s="35" t="n">
        <x:f>--AND(AG$3&gt;=$B$7,AG$3&lt;$B$8,'Вводные'!$B$88="Да")</x:f>
      </x:c>
      <x:c r="AH11" s="35" t="n">
        <x:f>--AND(AH$3&gt;=$B$7,AH$3&lt;$B$8,'Вводные'!$B$88="Да")</x:f>
      </x:c>
      <x:c r="AI11" s="35" t="n">
        <x:f>--AND(AI$3&gt;=$B$7,AI$3&lt;$B$8,'Вводные'!$B$88="Да")</x:f>
      </x:c>
      <x:c r="AJ11" s="35" t="n">
        <x:f>--AND(AJ$3&gt;=$B$7,AJ$3&lt;$B$8,'Вводные'!$B$88="Да")</x:f>
      </x:c>
      <x:c r="AK11" s="35" t="n">
        <x:f>--AND(AK$3&gt;=$B$7,AK$3&lt;$B$8,'Вводные'!$B$88="Да")</x:f>
      </x:c>
      <x:c r="AL11" s="35" t="n">
        <x:f>--AND(AL$3&gt;=$B$7,AL$3&lt;$B$8,'Вводные'!$B$88="Да")</x:f>
      </x:c>
      <x:c r="AM11" s="35" t="n">
        <x:f>--AND(AM$3&gt;=$B$7,AM$3&lt;$B$8,'Вводные'!$B$88="Да")</x:f>
      </x:c>
      <x:c r="AN11" s="35" t="n">
        <x:f>--AND(AN$3&gt;=$B$7,AN$3&lt;$B$8,'Вводные'!$B$88="Да")</x:f>
      </x:c>
      <x:c r="AO11" s="35" t="n">
        <x:f>--AND(AO$3&gt;=$B$7,AO$3&lt;$B$8,'Вводные'!$B$88="Да")</x:f>
      </x:c>
      <x:c r="AP11" s="35" t="n">
        <x:f>--AND(AP$3&gt;=$B$7,AP$3&lt;$B$8,'Вводные'!$B$88="Да")</x:f>
      </x:c>
      <x:c r="AQ11" s="35" t="n">
        <x:f>--AND(AQ$3&gt;=$B$7,AQ$3&lt;$B$8,'Вводные'!$B$88="Да")</x:f>
      </x:c>
      <x:c r="AR11" s="35" t="n">
        <x:f>--AND(AR$3&gt;=$B$7,AR$3&lt;$B$8,'Вводные'!$B$88="Да")</x:f>
      </x:c>
      <x:c r="AS11" s="35" t="n">
        <x:f>--AND(AS$3&gt;=$B$7,AS$3&lt;$B$8,'Вводные'!$B$88="Да")</x:f>
      </x:c>
      <x:c r="AT11" s="35" t="n">
        <x:f>--AND(AT$3&gt;=$B$7,AT$3&lt;$B$8,'Вводные'!$B$88="Да")</x:f>
      </x:c>
      <x:c r="AU11" s="35" t="n">
        <x:f>--AND(AU$3&gt;=$B$7,AU$3&lt;$B$8,'Вводные'!$B$88="Да")</x:f>
      </x:c>
      <x:c r="AV11" s="35" t="n">
        <x:f>--AND(AV$3&gt;=$B$7,AV$3&lt;$B$8,'Вводные'!$B$88="Да")</x:f>
      </x:c>
      <x:c r="AW11" s="35" t="n">
        <x:f>--AND(AW$3&gt;=$B$7,AW$3&lt;$B$8,'Вводные'!$B$88="Да")</x:f>
      </x:c>
      <x:c r="AX11" s="35" t="n">
        <x:f>--AND(AX$3&gt;=$B$7,AX$3&lt;$B$8,'Вводные'!$B$88="Да")</x:f>
      </x:c>
      <x:c r="AY11" s="35" t="n">
        <x:f>--AND(AY$3&gt;=$B$7,AY$3&lt;$B$8,'Вводные'!$B$88="Да")</x:f>
      </x:c>
      <x:c r="AZ11" s="35" t="n">
        <x:f>--AND(AZ$3&gt;=$B$7,AZ$3&lt;$B$8,'Вводные'!$B$88="Да")</x:f>
      </x:c>
      <x:c r="BA11" s="35" t="n">
        <x:f>--AND(BA$3&gt;=$B$7,BA$3&lt;$B$8,'Вводные'!$B$88="Да")</x:f>
      </x:c>
      <x:c r="BB11" s="35" t="n">
        <x:f>--AND(BB$3&gt;=$B$7,BB$3&lt;$B$8,'Вводные'!$B$88="Да")</x:f>
      </x:c>
      <x:c r="BC11" s="35" t="n">
        <x:f>--AND(BC$3&gt;=$B$7,BC$3&lt;$B$8,'Вводные'!$B$88="Да")</x:f>
      </x:c>
      <x:c r="BD11" s="35" t="n">
        <x:f>--AND(BD$3&gt;=$B$7,BD$3&lt;$B$8,'Вводные'!$B$88="Да")</x:f>
      </x:c>
      <x:c r="BE11" s="35" t="n">
        <x:f>--AND(BE$3&gt;=$B$7,BE$3&lt;$B$8,'Вводные'!$B$88="Да")</x:f>
      </x:c>
      <x:c r="BF11" s="35" t="n">
        <x:f>--AND(BF$3&gt;=$B$7,BF$3&lt;$B$8,'Вводные'!$B$88="Да")</x:f>
      </x:c>
      <x:c r="BG11" s="35" t="n">
        <x:f>--AND(BG$3&gt;=$B$7,BG$3&lt;$B$8,'Вводные'!$B$88="Да")</x:f>
      </x:c>
      <x:c r="BH11" s="35" t="n">
        <x:f>--AND(BH$3&gt;=$B$7,BH$3&lt;$B$8,'Вводные'!$B$88="Да")</x:f>
      </x:c>
      <x:c r="BI11" s="35" t="n">
        <x:f>--AND(BI$3&gt;=$B$7,BI$3&lt;$B$8,'Вводные'!$B$88="Да")</x:f>
      </x:c>
      <x:c r="BJ11" s="35" t="n">
        <x:f>--AND(BJ$3&gt;=$B$7,BJ$3&lt;$B$8,'Вводные'!$B$88="Да")</x:f>
      </x:c>
      <x:c r="BK11" s="35" t="n">
        <x:f>--AND(BK$3&gt;=$B$7,BK$3&lt;$B$8,'Вводные'!$B$88="Да")</x:f>
      </x:c>
      <x:c r="BL11" s="35" t="n">
        <x:f>--AND(BL$3&gt;=$B$7,BL$3&lt;$B$8,'Вводные'!$B$88="Да")</x:f>
      </x:c>
      <x:c r="BM11" s="35" t="n">
        <x:f>--AND(BM$3&gt;=$B$7,BM$3&lt;$B$8,'Вводные'!$B$88="Да")</x:f>
      </x:c>
      <x:c r="BN11" s="35" t="n">
        <x:f>--AND(BN$3&gt;=$B$7,BN$3&lt;$B$8,'Вводные'!$B$88="Да")</x:f>
      </x:c>
      <x:c r="BO11" s="35" t="n">
        <x:f>--AND(BO$3&gt;=$B$7,BO$3&lt;$B$8,'Вводные'!$B$88="Да")</x:f>
      </x:c>
      <x:c r="BP11" s="35" t="n">
        <x:f>--AND(BP$3&gt;=$B$7,BP$3&lt;$B$8,'Вводные'!$B$88="Да")</x:f>
      </x:c>
      <x:c r="BQ11" s="35" t="n">
        <x:f>--AND(BQ$3&gt;=$B$7,BQ$3&lt;$B$8,'Вводные'!$B$88="Да")</x:f>
      </x:c>
      <x:c r="BR11" s="35" t="n">
        <x:f>--AND(BR$3&gt;=$B$7,BR$3&lt;$B$8,'Вводные'!$B$88="Да")</x:f>
      </x:c>
      <x:c r="BS11" s="35" t="n">
        <x:f>--AND(BS$3&gt;=$B$7,BS$3&lt;$B$8,'Вводные'!$B$88="Да")</x:f>
      </x:c>
      <x:c r="BT11" s="35" t="n">
        <x:f>--AND(BT$3&gt;=$B$7,BT$3&lt;$B$8,'Вводные'!$B$88="Да")</x:f>
      </x:c>
      <x:c r="BU11" s="35" t="n">
        <x:f>--AND(BU$3&gt;=$B$7,BU$3&lt;$B$8,'Вводные'!$B$88="Да")</x:f>
      </x:c>
      <x:c r="BV11" s="35" t="n">
        <x:f>--AND(BV$3&gt;=$B$7,BV$3&lt;$B$8,'Вводные'!$B$88="Да")</x:f>
      </x:c>
      <x:c r="BW11" s="35" t="n">
        <x:f>--AND(BW$3&gt;=$B$7,BW$3&lt;$B$8,'Вводные'!$B$88="Да")</x:f>
      </x:c>
      <x:c r="BX11" s="35" t="n">
        <x:f>--AND(BX$3&gt;=$B$7,BX$3&lt;$B$8,'Вводные'!$B$88="Да")</x:f>
      </x:c>
      <x:c r="BY11" s="35" t="n">
        <x:f>--AND(BY$3&gt;=$B$7,BY$3&lt;$B$8,'Вводные'!$B$88="Да")</x:f>
      </x:c>
      <x:c r="BZ11" s="35" t="n">
        <x:f>--AND(BZ$3&gt;=$B$7,BZ$3&lt;$B$8,'Вводные'!$B$88="Да")</x:f>
      </x:c>
      <x:c r="CA11" s="35" t="n">
        <x:f>--AND(CA$3&gt;=$B$7,CA$3&lt;$B$8,'Вводные'!$B$88="Да")</x:f>
      </x:c>
      <x:c r="CB11" s="35" t="n">
        <x:f>--AND(CB$3&gt;=$B$7,CB$3&lt;$B$8,'Вводные'!$B$88="Да")</x:f>
      </x:c>
      <x:c r="CC11" s="35" t="n">
        <x:f>--AND(CC$3&gt;=$B$7,CC$3&lt;$B$8,'Вводные'!$B$88="Да")</x:f>
      </x:c>
      <x:c r="CD11" s="35" t="n">
        <x:f>--AND(CD$3&gt;=$B$7,CD$3&lt;$B$8,'Вводные'!$B$88="Да")</x:f>
      </x:c>
      <x:c r="CE11" s="35" t="n">
        <x:f>--AND(CE$3&gt;=$B$7,CE$3&lt;$B$8,'Вводные'!$B$88="Да")</x:f>
      </x:c>
      <x:c r="CF11" s="35" t="n">
        <x:f>--AND(CF$3&gt;=$B$7,CF$3&lt;$B$8,'Вводные'!$B$88="Да")</x:f>
      </x:c>
      <x:c r="CG11" s="35" t="n">
        <x:f>--AND(CG$3&gt;=$B$7,CG$3&lt;$B$8,'Вводные'!$B$88="Да")</x:f>
      </x:c>
      <x:c r="CH11" s="35" t="n">
        <x:f>--AND(CH$3&gt;=$B$7,CH$3&lt;$B$8,'Вводные'!$B$88="Да")</x:f>
      </x:c>
      <x:c r="CI11" s="35" t="n">
        <x:f>--AND(CI$3&gt;=$B$7,CI$3&lt;$B$8,'Вводные'!$B$88="Да")</x:f>
      </x:c>
      <x:c r="CJ11" s="35" t="n">
        <x:f>--AND(CJ$3&gt;=$B$7,CJ$3&lt;$B$8,'Вводные'!$B$88="Да")</x:f>
      </x:c>
      <x:c r="CK11" s="35" t="n">
        <x:f>--AND(CK$3&gt;=$B$7,CK$3&lt;$B$8,'Вводные'!$B$88="Да")</x:f>
      </x:c>
      <x:c r="CL11" s="35" t="n">
        <x:f>--AND(CL$3&gt;=$B$7,CL$3&lt;$B$8,'Вводные'!$B$88="Да")</x:f>
      </x:c>
      <x:c r="CM11" s="35" t="n">
        <x:f>--AND(CM$3&gt;=$B$7,CM$3&lt;$B$8,'Вводные'!$B$88="Да")</x:f>
      </x:c>
      <x:c r="CN11" s="35" t="n">
        <x:f>--AND(CN$3&gt;=$B$7,CN$3&lt;$B$8,'Вводные'!$B$88="Да")</x:f>
      </x:c>
      <x:c r="CO11" s="35" t="n">
        <x:f>--AND(CO$3&gt;=$B$7,CO$3&lt;$B$8,'Вводные'!$B$88="Да")</x:f>
      </x:c>
      <x:c r="CP11" s="35" t="n">
        <x:f>--AND(CP$3&gt;=$B$7,CP$3&lt;$B$8,'Вводные'!$B$88="Да")</x:f>
      </x:c>
      <x:c r="CQ11" s="35" t="n">
        <x:f>--AND(CQ$3&gt;=$B$7,CQ$3&lt;$B$8,'Вводные'!$B$88="Да")</x:f>
      </x:c>
      <x:c r="CR11" s="35" t="n">
        <x:f>--AND(CR$3&gt;=$B$7,CR$3&lt;$B$8,'Вводные'!$B$88="Да")</x:f>
      </x:c>
      <x:c r="CS11" s="35" t="n">
        <x:f>--AND(CS$3&gt;=$B$7,CS$3&lt;$B$8,'Вводные'!$B$88="Да")</x:f>
      </x:c>
      <x:c r="CT11" s="35" t="n">
        <x:f>--AND(CT$3&gt;=$B$7,CT$3&lt;$B$8,'Вводные'!$B$88="Да")</x:f>
      </x:c>
      <x:c r="CU11" s="35" t="n">
        <x:f>--AND(CU$3&gt;=$B$7,CU$3&lt;$B$8,'Вводные'!$B$88="Да")</x:f>
      </x:c>
      <x:c r="CV11" s="35" t="n">
        <x:f>--AND(CV$3&gt;=$B$7,CV$3&lt;$B$8,'Вводные'!$B$88="Да")</x:f>
      </x:c>
      <x:c r="CW11" s="35" t="n">
        <x:f>--AND(CW$3&gt;=$B$7,CW$3&lt;$B$8,'Вводные'!$B$88="Да")</x:f>
      </x:c>
      <x:c r="CX11" s="35" t="n">
        <x:f>--AND(CX$3&gt;=$B$7,CX$3&lt;$B$8,'Вводные'!$B$88="Да")</x:f>
      </x:c>
      <x:c r="CY11" s="35" t="n">
        <x:f>--AND(CY$3&gt;=$B$7,CY$3&lt;$B$8,'Вводные'!$B$88="Да")</x:f>
      </x:c>
      <x:c r="CZ11" s="35" t="n">
        <x:f>--AND(CZ$3&gt;=$B$7,CZ$3&lt;$B$8,'Вводные'!$B$88="Да")</x:f>
      </x:c>
      <x:c r="DA11" s="35" t="n">
        <x:f>--AND(DA$3&gt;=$B$7,DA$3&lt;$B$8,'Вводные'!$B$88="Да")</x:f>
      </x:c>
      <x:c r="DB11" s="35" t="n">
        <x:f>--AND(DB$3&gt;=$B$7,DB$3&lt;$B$8,'Вводные'!$B$88="Да")</x:f>
      </x:c>
      <x:c r="DC11" s="35" t="n">
        <x:f>--AND(DC$3&gt;=$B$7,DC$3&lt;$B$8,'Вводные'!$B$88="Да")</x:f>
      </x:c>
      <x:c r="DD11" s="35" t="n">
        <x:f>--AND(DD$3&gt;=$B$7,DD$3&lt;$B$8,'Вводные'!$B$88="Да")</x:f>
      </x:c>
      <x:c r="DE11" s="35" t="n">
        <x:f>--AND(DE$3&gt;=$B$7,DE$3&lt;$B$8,'Вводные'!$B$88="Да")</x:f>
      </x:c>
      <x:c r="DF11" s="35" t="n">
        <x:f>--AND(DF$3&gt;=$B$7,DF$3&lt;$B$8,'Вводные'!$B$88="Да")</x:f>
      </x:c>
      <x:c r="DG11" s="35" t="n">
        <x:f>--AND(DG$3&gt;=$B$7,DG$3&lt;$B$8,'Вводные'!$B$88="Да")</x:f>
      </x:c>
      <x:c r="DH11" s="35" t="n">
        <x:f>--AND(DH$3&gt;=$B$7,DH$3&lt;$B$8,'Вводные'!$B$88="Да")</x:f>
      </x:c>
      <x:c r="DI11" s="35" t="n">
        <x:f>--AND(DI$3&gt;=$B$7,DI$3&lt;$B$8,'Вводные'!$B$88="Да")</x:f>
      </x:c>
      <x:c r="DJ11" s="35" t="n">
        <x:f>--AND(DJ$3&gt;=$B$7,DJ$3&lt;$B$8,'Вводные'!$B$88="Да")</x:f>
      </x:c>
      <x:c r="DK11" s="35" t="n">
        <x:f>--AND(DK$3&gt;=$B$7,DK$3&lt;$B$8,'Вводные'!$B$88="Да")</x:f>
      </x:c>
      <x:c r="DL11" s="35" t="n">
        <x:f>--AND(DL$3&gt;=$B$7,DL$3&lt;$B$8,'Вводные'!$B$88="Да")</x:f>
      </x:c>
      <x:c r="DM11" s="35" t="n">
        <x:f>--AND(DM$3&gt;=$B$7,DM$3&lt;$B$8,'Вводные'!$B$88="Да")</x:f>
      </x:c>
      <x:c r="DN11" s="35" t="n">
        <x:f>--AND(DN$3&gt;=$B$7,DN$3&lt;$B$8,'Вводные'!$B$88="Да")</x:f>
      </x:c>
      <x:c r="DO11" s="35" t="n">
        <x:f>--AND(DO$3&gt;=$B$7,DO$3&lt;$B$8,'Вводные'!$B$88="Да")</x:f>
      </x:c>
      <x:c r="DP11" s="35" t="n">
        <x:f>--AND(DP$3&gt;=$B$7,DP$3&lt;$B$8,'Вводные'!$B$88="Да")</x:f>
      </x:c>
      <x:c r="DQ11" s="35" t="n">
        <x:f>--AND(DQ$3&gt;=$B$7,DQ$3&lt;$B$8,'Вводные'!$B$88="Да")</x:f>
      </x:c>
      <x:c r="DR11" s="35" t="n">
        <x:f>--AND(DR$3&gt;=$B$7,DR$3&lt;$B$8,'Вводные'!$B$88="Да")</x:f>
      </x:c>
      <x:c r="DS11" s="35" t="n">
        <x:f>--AND(DS$3&gt;=$B$7,DS$3&lt;$B$8,'Вводные'!$B$88="Да")</x:f>
      </x:c>
      <x:c r="DT11" s="35" t="n">
        <x:f>--AND(DT$3&gt;=$B$7,DT$3&lt;$B$8,'Вводные'!$B$88="Да")</x:f>
      </x:c>
      <x:c r="DU11" s="35" t="n">
        <x:f>--AND(DU$3&gt;=$B$7,DU$3&lt;$B$8,'Вводные'!$B$88="Да")</x:f>
      </x:c>
      <x:c r="DV11" s="35" t="n">
        <x:f>--AND(DV$3&gt;=$B$7,DV$3&lt;$B$8,'Вводные'!$B$88="Да")</x:f>
      </x:c>
      <x:c r="DW11" s="35" t="n">
        <x:f>--AND(DW$3&gt;=$B$7,DW$3&lt;$B$8,'Вводные'!$B$88="Да")</x:f>
      </x:c>
      <x:c r="DX11" s="35" t="n">
        <x:f>--AND(DX$3&gt;=$B$7,DX$3&lt;$B$8,'Вводные'!$B$88="Да")</x:f>
      </x:c>
      <x:c r="DY11" s="35" t="n">
        <x:f>--AND(DY$3&gt;=$B$7,DY$3&lt;$B$8,'Вводные'!$B$88="Да")</x:f>
      </x:c>
      <x:c r="DZ11" s="35" t="n">
        <x:f>--AND(DZ$3&gt;=$B$7,DZ$3&lt;$B$8,'Вводные'!$B$88="Да")</x:f>
      </x:c>
      <x:c r="EA11" s="35" t="n">
        <x:f>--AND(EA$3&gt;=$B$7,EA$3&lt;$B$8,'Вводные'!$B$88="Да")</x:f>
      </x:c>
      <x:c r="EB11" s="35" t="n">
        <x:f>--AND(EB$3&gt;=$B$7,EB$3&lt;$B$8,'Вводные'!$B$88="Да")</x:f>
      </x:c>
      <x:c r="EC11" s="35" t="n">
        <x:f>--AND(EC$3&gt;=$B$7,EC$3&lt;$B$8,'Вводные'!$B$88="Да")</x:f>
      </x:c>
      <x:c r="ED11" s="35" t="n">
        <x:f>--AND(ED$3&gt;=$B$7,ED$3&lt;$B$8,'Вводные'!$B$88="Да")</x:f>
      </x:c>
      <x:c r="EE11" s="35" t="n">
        <x:f>--AND(EE$3&gt;=$B$7,EE$3&lt;$B$8,'Вводные'!$B$88="Да")</x:f>
      </x:c>
      <x:c r="EF11" s="35" t="n">
        <x:f>--AND(EF$3&gt;=$B$7,EF$3&lt;$B$8,'Вводные'!$B$88="Да")</x:f>
      </x:c>
      <x:c r="EG11" s="35" t="n">
        <x:f>--AND(EG$3&gt;=$B$7,EG$3&lt;$B$8,'Вводные'!$B$88="Да")</x:f>
      </x:c>
      <x:c r="EH11" s="35" t="n">
        <x:f>--AND(EH$3&gt;=$B$7,EH$3&lt;$B$8,'Вводные'!$B$88="Да")</x:f>
      </x:c>
      <x:c r="EI11" s="35" t="n">
        <x:f>--AND(EI$3&gt;=$B$7,EI$3&lt;$B$8,'Вводные'!$B$88="Да")</x:f>
      </x:c>
      <x:c r="EJ11" s="35" t="n">
        <x:f>--AND(EJ$3&gt;=$B$7,EJ$3&lt;$B$8,'Вводные'!$B$88="Да")</x:f>
      </x:c>
      <x:c r="EK11" s="35" t="n">
        <x:f>--AND(EK$3&gt;=$B$7,EK$3&lt;$B$8,'Вводные'!$B$88="Да")</x:f>
      </x:c>
      <x:c r="EL11" s="35" t="n">
        <x:f>--AND(EL$3&gt;=$B$7,EL$3&lt;$B$8,'Вводные'!$B$88="Да")</x:f>
      </x:c>
      <x:c r="EM11" s="35" t="n">
        <x:f>--AND(EM$3&gt;=$B$7,EM$3&lt;$B$8,'Вводные'!$B$88="Да")</x:f>
      </x:c>
      <x:c r="EN11" s="35" t="n">
        <x:f>--AND(EN$3&gt;=$B$7,EN$3&lt;$B$8,'Вводные'!$B$88="Да")</x:f>
      </x:c>
      <x:c r="EO11" s="35" t="n">
        <x:f>--AND(EO$3&gt;=$B$7,EO$3&lt;$B$8,'Вводные'!$B$88="Да")</x:f>
      </x:c>
      <x:c r="EP11" s="35" t="n">
        <x:f>--AND(EP$3&gt;=$B$7,EP$3&lt;$B$8,'Вводные'!$B$88="Да")</x:f>
      </x:c>
      <x:c r="EQ11" s="35" t="n">
        <x:f>--AND(EQ$3&gt;=$B$7,EQ$3&lt;$B$8,'Вводные'!$B$88="Да")</x:f>
      </x:c>
      <x:c r="ER11" s="35" t="n">
        <x:f>--AND(ER$3&gt;=$B$7,ER$3&lt;$B$8,'Вводные'!$B$88="Да")</x:f>
      </x:c>
      <x:c r="ES11" s="35" t="n">
        <x:f>--AND(ES$3&gt;=$B$7,ES$3&lt;$B$8,'Вводные'!$B$88="Да")</x:f>
      </x:c>
      <x:c r="ET11" s="35" t="n">
        <x:f>--AND(ET$3&gt;=$B$7,ET$3&lt;$B$8,'Вводные'!$B$88="Да")</x:f>
      </x:c>
      <x:c r="EU11" s="35" t="n">
        <x:f>--AND(EU$3&gt;=$B$7,EU$3&lt;$B$8,'Вводные'!$B$88="Да")</x:f>
      </x:c>
      <x:c r="EV11" s="35" t="n">
        <x:f>--AND(EV$3&gt;=$B$7,EV$3&lt;$B$8,'Вводные'!$B$88="Да")</x:f>
      </x:c>
      <x:c r="EW11" s="35" t="n">
        <x:f>--AND(EW$3&gt;=$B$7,EW$3&lt;$B$8,'Вводные'!$B$88="Да")</x:f>
      </x:c>
      <x:c r="EX11" s="35" t="n">
        <x:f>--AND(EX$3&gt;=$B$7,EX$3&lt;$B$8,'Вводные'!$B$88="Да")</x:f>
      </x:c>
      <x:c r="EY11" s="35" t="n">
        <x:f>--AND(EY$3&gt;=$B$7,EY$3&lt;$B$8,'Вводные'!$B$88="Да")</x:f>
      </x:c>
      <x:c r="EZ11" s="35" t="n">
        <x:f>--AND(EZ$3&gt;=$B$7,EZ$3&lt;$B$8,'Вводные'!$B$88="Да")</x:f>
      </x:c>
      <x:c r="FA11" s="35" t="n">
        <x:f>--AND(FA$3&gt;=$B$7,FA$3&lt;$B$8,'Вводные'!$B$88="Да")</x:f>
      </x:c>
      <x:c r="FB11" s="35" t="n">
        <x:f>--AND(FB$3&gt;=$B$7,FB$3&lt;$B$8,'Вводные'!$B$88="Да")</x:f>
      </x:c>
      <x:c r="FC11" s="35" t="n">
        <x:f>--AND(FC$3&gt;=$B$7,FC$3&lt;$B$8,'Вводные'!$B$88="Да")</x:f>
      </x:c>
      <x:c r="FD11" s="35" t="n">
        <x:f>--AND(FD$3&gt;=$B$7,FD$3&lt;$B$8,'Вводные'!$B$88="Да")</x:f>
      </x:c>
      <x:c r="FE11" s="35" t="n">
        <x:f>--AND(FE$3&gt;=$B$7,FE$3&lt;$B$8,'Вводные'!$B$88="Да")</x:f>
      </x:c>
      <x:c r="FF11" s="35" t="n">
        <x:f>--AND(FF$3&gt;=$B$7,FF$3&lt;$B$8,'Вводные'!$B$88="Да")</x:f>
      </x:c>
      <x:c r="FG11" s="35" t="n">
        <x:f>--AND(FG$3&gt;=$B$7,FG$3&lt;$B$8,'Вводные'!$B$88="Да")</x:f>
      </x:c>
      <x:c r="FH11" s="35" t="n">
        <x:f>--AND(FH$3&gt;=$B$7,FH$3&lt;$B$8,'Вводные'!$B$88="Да")</x:f>
      </x:c>
      <x:c r="FI11" s="35" t="n">
        <x:f>--AND(FI$3&gt;=$B$7,FI$3&lt;$B$8,'Вводные'!$B$88="Да")</x:f>
      </x:c>
      <x:c r="FJ11" s="35" t="n">
        <x:f>--AND(FJ$3&gt;=$B$7,FJ$3&lt;$B$8,'Вводные'!$B$88="Да")</x:f>
      </x:c>
      <x:c r="FK11" s="35" t="n">
        <x:f>--AND(FK$3&gt;=$B$7,FK$3&lt;$B$8,'Вводные'!$B$88="Да")</x:f>
      </x:c>
      <x:c r="FL11" s="35" t="n">
        <x:f>--AND(FL$3&gt;=$B$7,FL$3&lt;$B$8,'Вводные'!$B$88="Да")</x:f>
      </x:c>
      <x:c r="FM11" s="35" t="n">
        <x:f>--AND(FM$3&gt;=$B$7,FM$3&lt;$B$8,'Вводные'!$B$88="Да")</x:f>
      </x:c>
      <x:c r="FN11" s="35" t="n">
        <x:f>--AND(FN$3&gt;=$B$7,FN$3&lt;$B$8,'Вводные'!$B$88="Да")</x:f>
      </x:c>
      <x:c r="FO11" s="35" t="n">
        <x:f>--AND(FO$3&gt;=$B$7,FO$3&lt;$B$8,'Вводные'!$B$88="Да")</x:f>
      </x:c>
      <x:c r="FP11" s="35" t="n">
        <x:f>--AND(FP$3&gt;=$B$7,FP$3&lt;$B$8,'Вводные'!$B$88="Да")</x:f>
      </x:c>
      <x:c r="FQ11" s="35" t="n">
        <x:f>--AND(FQ$3&gt;=$B$7,FQ$3&lt;$B$8,'Вводные'!$B$88="Да")</x:f>
      </x:c>
      <x:c r="FR11" s="35" t="n">
        <x:f>--AND(FR$3&gt;=$B$7,FR$3&lt;$B$8,'Вводные'!$B$88="Да")</x:f>
      </x:c>
      <x:c r="FS11" s="35" t="n">
        <x:f>--AND(FS$3&gt;=$B$7,FS$3&lt;$B$8,'Вводные'!$B$88="Да")</x:f>
      </x:c>
      <x:c r="FT11" s="35" t="n">
        <x:f>--AND(FT$3&gt;=$B$7,FT$3&lt;$B$8,'Вводные'!$B$88="Да")</x:f>
      </x:c>
      <x:c r="FU11" s="35" t="n">
        <x:f>--AND(FU$3&gt;=$B$7,FU$3&lt;$B$8,'Вводные'!$B$88="Да")</x:f>
      </x:c>
      <x:c r="FV11" s="35" t="n">
        <x:f>--AND(FV$3&gt;=$B$7,FV$3&lt;$B$8,'Вводные'!$B$88="Да")</x:f>
      </x:c>
      <x:c r="FW11" s="35" t="n">
        <x:f>--AND(FW$3&gt;=$B$7,FW$3&lt;$B$8,'Вводные'!$B$88="Да")</x:f>
      </x:c>
      <x:c r="FX11" s="35" t="n">
        <x:f>--AND(FX$3&gt;=$B$7,FX$3&lt;$B$8,'Вводные'!$B$88="Да")</x:f>
      </x:c>
      <x:c r="FY11" s="35" t="n">
        <x:f>--AND(FY$3&gt;=$B$7,FY$3&lt;$B$8,'Вводные'!$B$88="Да")</x:f>
      </x:c>
      <x:c r="FZ11" s="35" t="n">
        <x:f>--AND(FZ$3&gt;=$B$7,FZ$3&lt;$B$8,'Вводные'!$B$88="Да")</x:f>
      </x:c>
      <x:c r="GA11" s="35" t="n">
        <x:f>--AND(GA$3&gt;=$B$7,GA$3&lt;$B$8,'Вводные'!$B$88="Да")</x:f>
      </x:c>
    </x:row>
    <x:row r="12">
      <x:c r="A12" t="str">
        <x:v>Вес S-кривой</x:v>
      </x:c>
      <x:c r="B12"/>
      <x:c r="C12" t="str">
        <x:v>вес</x:v>
      </x:c>
      <x:c r="D12" s="35" t="n">
        <x:f>IF(D11=0,0,IF((12*(YEAR(D$3)-YEAR($B$7))+MONTH(D$3)-MONTH($B$7)+1)/MAX(1,'Вводные'!$F$88)&lt;=0.2,0.6,IF((12*(YEAR(D$3)-YEAR($B$7))+MONTH(D$3)-MONTH($B$7)+1)/MAX(1,'Вводные'!$F$88)&lt;=0.8,1.2,0.8)))</x:f>
      </x:c>
      <x:c r="E12" s="35" t="n">
        <x:f>IF(E11=0,0,IF((12*(YEAR(E$3)-YEAR($B$7))+MONTH(E$3)-MONTH($B$7)+1)/MAX(1,'Вводные'!$F$88)&lt;=0.2,0.6,IF((12*(YEAR(E$3)-YEAR($B$7))+MONTH(E$3)-MONTH($B$7)+1)/MAX(1,'Вводные'!$F$88)&lt;=0.8,1.2,0.8)))</x:f>
      </x:c>
      <x:c r="F12" s="35" t="n">
        <x:f>IF(F11=0,0,IF((12*(YEAR(F$3)-YEAR($B$7))+MONTH(F$3)-MONTH($B$7)+1)/MAX(1,'Вводные'!$F$88)&lt;=0.2,0.6,IF((12*(YEAR(F$3)-YEAR($B$7))+MONTH(F$3)-MONTH($B$7)+1)/MAX(1,'Вводные'!$F$88)&lt;=0.8,1.2,0.8)))</x:f>
      </x:c>
      <x:c r="G12" s="35" t="n">
        <x:f>IF(G11=0,0,IF((12*(YEAR(G$3)-YEAR($B$7))+MONTH(G$3)-MONTH($B$7)+1)/MAX(1,'Вводные'!$F$88)&lt;=0.2,0.6,IF((12*(YEAR(G$3)-YEAR($B$7))+MONTH(G$3)-MONTH($B$7)+1)/MAX(1,'Вводные'!$F$88)&lt;=0.8,1.2,0.8)))</x:f>
      </x:c>
      <x:c r="H12" s="35" t="n">
        <x:f>IF(H11=0,0,IF((12*(YEAR(H$3)-YEAR($B$7))+MONTH(H$3)-MONTH($B$7)+1)/MAX(1,'Вводные'!$F$88)&lt;=0.2,0.6,IF((12*(YEAR(H$3)-YEAR($B$7))+MONTH(H$3)-MONTH($B$7)+1)/MAX(1,'Вводные'!$F$88)&lt;=0.8,1.2,0.8)))</x:f>
      </x:c>
      <x:c r="I12" s="35" t="n">
        <x:f>IF(I11=0,0,IF((12*(YEAR(I$3)-YEAR($B$7))+MONTH(I$3)-MONTH($B$7)+1)/MAX(1,'Вводные'!$F$88)&lt;=0.2,0.6,IF((12*(YEAR(I$3)-YEAR($B$7))+MONTH(I$3)-MONTH($B$7)+1)/MAX(1,'Вводные'!$F$88)&lt;=0.8,1.2,0.8)))</x:f>
      </x:c>
      <x:c r="J12" s="35" t="n">
        <x:f>IF(J11=0,0,IF((12*(YEAR(J$3)-YEAR($B$7))+MONTH(J$3)-MONTH($B$7)+1)/MAX(1,'Вводные'!$F$88)&lt;=0.2,0.6,IF((12*(YEAR(J$3)-YEAR($B$7))+MONTH(J$3)-MONTH($B$7)+1)/MAX(1,'Вводные'!$F$88)&lt;=0.8,1.2,0.8)))</x:f>
      </x:c>
      <x:c r="K12" s="35" t="n">
        <x:f>IF(K11=0,0,IF((12*(YEAR(K$3)-YEAR($B$7))+MONTH(K$3)-MONTH($B$7)+1)/MAX(1,'Вводные'!$F$88)&lt;=0.2,0.6,IF((12*(YEAR(K$3)-YEAR($B$7))+MONTH(K$3)-MONTH($B$7)+1)/MAX(1,'Вводные'!$F$88)&lt;=0.8,1.2,0.8)))</x:f>
      </x:c>
      <x:c r="L12" s="35" t="n">
        <x:f>IF(L11=0,0,IF((12*(YEAR(L$3)-YEAR($B$7))+MONTH(L$3)-MONTH($B$7)+1)/MAX(1,'Вводные'!$F$88)&lt;=0.2,0.6,IF((12*(YEAR(L$3)-YEAR($B$7))+MONTH(L$3)-MONTH($B$7)+1)/MAX(1,'Вводные'!$F$88)&lt;=0.8,1.2,0.8)))</x:f>
      </x:c>
      <x:c r="M12" s="35" t="n">
        <x:f>IF(M11=0,0,IF((12*(YEAR(M$3)-YEAR($B$7))+MONTH(M$3)-MONTH($B$7)+1)/MAX(1,'Вводные'!$F$88)&lt;=0.2,0.6,IF((12*(YEAR(M$3)-YEAR($B$7))+MONTH(M$3)-MONTH($B$7)+1)/MAX(1,'Вводные'!$F$88)&lt;=0.8,1.2,0.8)))</x:f>
      </x:c>
      <x:c r="N12" s="35" t="n">
        <x:f>IF(N11=0,0,IF((12*(YEAR(N$3)-YEAR($B$7))+MONTH(N$3)-MONTH($B$7)+1)/MAX(1,'Вводные'!$F$88)&lt;=0.2,0.6,IF((12*(YEAR(N$3)-YEAR($B$7))+MONTH(N$3)-MONTH($B$7)+1)/MAX(1,'Вводные'!$F$88)&lt;=0.8,1.2,0.8)))</x:f>
      </x:c>
      <x:c r="O12" s="35" t="n">
        <x:f>IF(O11=0,0,IF((12*(YEAR(O$3)-YEAR($B$7))+MONTH(O$3)-MONTH($B$7)+1)/MAX(1,'Вводные'!$F$88)&lt;=0.2,0.6,IF((12*(YEAR(O$3)-YEAR($B$7))+MONTH(O$3)-MONTH($B$7)+1)/MAX(1,'Вводные'!$F$88)&lt;=0.8,1.2,0.8)))</x:f>
      </x:c>
      <x:c r="P12" s="35" t="n">
        <x:f>IF(P11=0,0,IF((12*(YEAR(P$3)-YEAR($B$7))+MONTH(P$3)-MONTH($B$7)+1)/MAX(1,'Вводные'!$F$88)&lt;=0.2,0.6,IF((12*(YEAR(P$3)-YEAR($B$7))+MONTH(P$3)-MONTH($B$7)+1)/MAX(1,'Вводные'!$F$88)&lt;=0.8,1.2,0.8)))</x:f>
      </x:c>
      <x:c r="Q12" s="35" t="n">
        <x:f>IF(Q11=0,0,IF((12*(YEAR(Q$3)-YEAR($B$7))+MONTH(Q$3)-MONTH($B$7)+1)/MAX(1,'Вводные'!$F$88)&lt;=0.2,0.6,IF((12*(YEAR(Q$3)-YEAR($B$7))+MONTH(Q$3)-MONTH($B$7)+1)/MAX(1,'Вводные'!$F$88)&lt;=0.8,1.2,0.8)))</x:f>
      </x:c>
      <x:c r="R12" s="35" t="n">
        <x:f>IF(R11=0,0,IF((12*(YEAR(R$3)-YEAR($B$7))+MONTH(R$3)-MONTH($B$7)+1)/MAX(1,'Вводные'!$F$88)&lt;=0.2,0.6,IF((12*(YEAR(R$3)-YEAR($B$7))+MONTH(R$3)-MONTH($B$7)+1)/MAX(1,'Вводные'!$F$88)&lt;=0.8,1.2,0.8)))</x:f>
      </x:c>
      <x:c r="S12" s="35" t="n">
        <x:f>IF(S11=0,0,IF((12*(YEAR(S$3)-YEAR($B$7))+MONTH(S$3)-MONTH($B$7)+1)/MAX(1,'Вводные'!$F$88)&lt;=0.2,0.6,IF((12*(YEAR(S$3)-YEAR($B$7))+MONTH(S$3)-MONTH($B$7)+1)/MAX(1,'Вводные'!$F$88)&lt;=0.8,1.2,0.8)))</x:f>
      </x:c>
      <x:c r="T12" s="35" t="n">
        <x:f>IF(T11=0,0,IF((12*(YEAR(T$3)-YEAR($B$7))+MONTH(T$3)-MONTH($B$7)+1)/MAX(1,'Вводные'!$F$88)&lt;=0.2,0.6,IF((12*(YEAR(T$3)-YEAR($B$7))+MONTH(T$3)-MONTH($B$7)+1)/MAX(1,'Вводные'!$F$88)&lt;=0.8,1.2,0.8)))</x:f>
      </x:c>
      <x:c r="U12" s="35" t="n">
        <x:f>IF(U11=0,0,IF((12*(YEAR(U$3)-YEAR($B$7))+MONTH(U$3)-MONTH($B$7)+1)/MAX(1,'Вводные'!$F$88)&lt;=0.2,0.6,IF((12*(YEAR(U$3)-YEAR($B$7))+MONTH(U$3)-MONTH($B$7)+1)/MAX(1,'Вводные'!$F$88)&lt;=0.8,1.2,0.8)))</x:f>
      </x:c>
      <x:c r="V12" s="35" t="n">
        <x:f>IF(V11=0,0,IF((12*(YEAR(V$3)-YEAR($B$7))+MONTH(V$3)-MONTH($B$7)+1)/MAX(1,'Вводные'!$F$88)&lt;=0.2,0.6,IF((12*(YEAR(V$3)-YEAR($B$7))+MONTH(V$3)-MONTH($B$7)+1)/MAX(1,'Вводные'!$F$88)&lt;=0.8,1.2,0.8)))</x:f>
      </x:c>
      <x:c r="W12" s="35" t="n">
        <x:f>IF(W11=0,0,IF((12*(YEAR(W$3)-YEAR($B$7))+MONTH(W$3)-MONTH($B$7)+1)/MAX(1,'Вводные'!$F$88)&lt;=0.2,0.6,IF((12*(YEAR(W$3)-YEAR($B$7))+MONTH(W$3)-MONTH($B$7)+1)/MAX(1,'Вводные'!$F$88)&lt;=0.8,1.2,0.8)))</x:f>
      </x:c>
      <x:c r="X12" s="35" t="n">
        <x:f>IF(X11=0,0,IF((12*(YEAR(X$3)-YEAR($B$7))+MONTH(X$3)-MONTH($B$7)+1)/MAX(1,'Вводные'!$F$88)&lt;=0.2,0.6,IF((12*(YEAR(X$3)-YEAR($B$7))+MONTH(X$3)-MONTH($B$7)+1)/MAX(1,'Вводные'!$F$88)&lt;=0.8,1.2,0.8)))</x:f>
      </x:c>
      <x:c r="Y12" s="35" t="n">
        <x:f>IF(Y11=0,0,IF((12*(YEAR(Y$3)-YEAR($B$7))+MONTH(Y$3)-MONTH($B$7)+1)/MAX(1,'Вводные'!$F$88)&lt;=0.2,0.6,IF((12*(YEAR(Y$3)-YEAR($B$7))+MONTH(Y$3)-MONTH($B$7)+1)/MAX(1,'Вводные'!$F$88)&lt;=0.8,1.2,0.8)))</x:f>
      </x:c>
      <x:c r="Z12" s="35" t="n">
        <x:f>IF(Z11=0,0,IF((12*(YEAR(Z$3)-YEAR($B$7))+MONTH(Z$3)-MONTH($B$7)+1)/MAX(1,'Вводные'!$F$88)&lt;=0.2,0.6,IF((12*(YEAR(Z$3)-YEAR($B$7))+MONTH(Z$3)-MONTH($B$7)+1)/MAX(1,'Вводные'!$F$88)&lt;=0.8,1.2,0.8)))</x:f>
      </x:c>
      <x:c r="AA12" s="35" t="n">
        <x:f>IF(AA11=0,0,IF((12*(YEAR(AA$3)-YEAR($B$7))+MONTH(AA$3)-MONTH($B$7)+1)/MAX(1,'Вводные'!$F$88)&lt;=0.2,0.6,IF((12*(YEAR(AA$3)-YEAR($B$7))+MONTH(AA$3)-MONTH($B$7)+1)/MAX(1,'Вводные'!$F$88)&lt;=0.8,1.2,0.8)))</x:f>
      </x:c>
      <x:c r="AB12" s="35" t="n">
        <x:f>IF(AB11=0,0,IF((12*(YEAR(AB$3)-YEAR($B$7))+MONTH(AB$3)-MONTH($B$7)+1)/MAX(1,'Вводные'!$F$88)&lt;=0.2,0.6,IF((12*(YEAR(AB$3)-YEAR($B$7))+MONTH(AB$3)-MONTH($B$7)+1)/MAX(1,'Вводные'!$F$88)&lt;=0.8,1.2,0.8)))</x:f>
      </x:c>
      <x:c r="AC12" s="35" t="n">
        <x:f>IF(AC11=0,0,IF((12*(YEAR(AC$3)-YEAR($B$7))+MONTH(AC$3)-MONTH($B$7)+1)/MAX(1,'Вводные'!$F$88)&lt;=0.2,0.6,IF((12*(YEAR(AC$3)-YEAR($B$7))+MONTH(AC$3)-MONTH($B$7)+1)/MAX(1,'Вводные'!$F$88)&lt;=0.8,1.2,0.8)))</x:f>
      </x:c>
      <x:c r="AD12" s="35" t="n">
        <x:f>IF(AD11=0,0,IF((12*(YEAR(AD$3)-YEAR($B$7))+MONTH(AD$3)-MONTH($B$7)+1)/MAX(1,'Вводные'!$F$88)&lt;=0.2,0.6,IF((12*(YEAR(AD$3)-YEAR($B$7))+MONTH(AD$3)-MONTH($B$7)+1)/MAX(1,'Вводные'!$F$88)&lt;=0.8,1.2,0.8)))</x:f>
      </x:c>
      <x:c r="AE12" s="35" t="n">
        <x:f>IF(AE11=0,0,IF((12*(YEAR(AE$3)-YEAR($B$7))+MONTH(AE$3)-MONTH($B$7)+1)/MAX(1,'Вводные'!$F$88)&lt;=0.2,0.6,IF((12*(YEAR(AE$3)-YEAR($B$7))+MONTH(AE$3)-MONTH($B$7)+1)/MAX(1,'Вводные'!$F$88)&lt;=0.8,1.2,0.8)))</x:f>
      </x:c>
      <x:c r="AF12" s="35" t="n">
        <x:f>IF(AF11=0,0,IF((12*(YEAR(AF$3)-YEAR($B$7))+MONTH(AF$3)-MONTH($B$7)+1)/MAX(1,'Вводные'!$F$88)&lt;=0.2,0.6,IF((12*(YEAR(AF$3)-YEAR($B$7))+MONTH(AF$3)-MONTH($B$7)+1)/MAX(1,'Вводные'!$F$88)&lt;=0.8,1.2,0.8)))</x:f>
      </x:c>
      <x:c r="AG12" s="35" t="n">
        <x:f>IF(AG11=0,0,IF((12*(YEAR(AG$3)-YEAR($B$7))+MONTH(AG$3)-MONTH($B$7)+1)/MAX(1,'Вводные'!$F$88)&lt;=0.2,0.6,IF((12*(YEAR(AG$3)-YEAR($B$7))+MONTH(AG$3)-MONTH($B$7)+1)/MAX(1,'Вводные'!$F$88)&lt;=0.8,1.2,0.8)))</x:f>
      </x:c>
      <x:c r="AH12" s="35" t="n">
        <x:f>IF(AH11=0,0,IF((12*(YEAR(AH$3)-YEAR($B$7))+MONTH(AH$3)-MONTH($B$7)+1)/MAX(1,'Вводные'!$F$88)&lt;=0.2,0.6,IF((12*(YEAR(AH$3)-YEAR($B$7))+MONTH(AH$3)-MONTH($B$7)+1)/MAX(1,'Вводные'!$F$88)&lt;=0.8,1.2,0.8)))</x:f>
      </x:c>
      <x:c r="AI12" s="35" t="n">
        <x:f>IF(AI11=0,0,IF((12*(YEAR(AI$3)-YEAR($B$7))+MONTH(AI$3)-MONTH($B$7)+1)/MAX(1,'Вводные'!$F$88)&lt;=0.2,0.6,IF((12*(YEAR(AI$3)-YEAR($B$7))+MONTH(AI$3)-MONTH($B$7)+1)/MAX(1,'Вводные'!$F$88)&lt;=0.8,1.2,0.8)))</x:f>
      </x:c>
      <x:c r="AJ12" s="35" t="n">
        <x:f>IF(AJ11=0,0,IF((12*(YEAR(AJ$3)-YEAR($B$7))+MONTH(AJ$3)-MONTH($B$7)+1)/MAX(1,'Вводные'!$F$88)&lt;=0.2,0.6,IF((12*(YEAR(AJ$3)-YEAR($B$7))+MONTH(AJ$3)-MONTH($B$7)+1)/MAX(1,'Вводные'!$F$88)&lt;=0.8,1.2,0.8)))</x:f>
      </x:c>
      <x:c r="AK12" s="35" t="n">
        <x:f>IF(AK11=0,0,IF((12*(YEAR(AK$3)-YEAR($B$7))+MONTH(AK$3)-MONTH($B$7)+1)/MAX(1,'Вводные'!$F$88)&lt;=0.2,0.6,IF((12*(YEAR(AK$3)-YEAR($B$7))+MONTH(AK$3)-MONTH($B$7)+1)/MAX(1,'Вводные'!$F$88)&lt;=0.8,1.2,0.8)))</x:f>
      </x:c>
      <x:c r="AL12" s="35" t="n">
        <x:f>IF(AL11=0,0,IF((12*(YEAR(AL$3)-YEAR($B$7))+MONTH(AL$3)-MONTH($B$7)+1)/MAX(1,'Вводные'!$F$88)&lt;=0.2,0.6,IF((12*(YEAR(AL$3)-YEAR($B$7))+MONTH(AL$3)-MONTH($B$7)+1)/MAX(1,'Вводные'!$F$88)&lt;=0.8,1.2,0.8)))</x:f>
      </x:c>
      <x:c r="AM12" s="35" t="n">
        <x:f>IF(AM11=0,0,IF((12*(YEAR(AM$3)-YEAR($B$7))+MONTH(AM$3)-MONTH($B$7)+1)/MAX(1,'Вводные'!$F$88)&lt;=0.2,0.6,IF((12*(YEAR(AM$3)-YEAR($B$7))+MONTH(AM$3)-MONTH($B$7)+1)/MAX(1,'Вводные'!$F$88)&lt;=0.8,1.2,0.8)))</x:f>
      </x:c>
      <x:c r="AN12" s="35" t="n">
        <x:f>IF(AN11=0,0,IF((12*(YEAR(AN$3)-YEAR($B$7))+MONTH(AN$3)-MONTH($B$7)+1)/MAX(1,'Вводные'!$F$88)&lt;=0.2,0.6,IF((12*(YEAR(AN$3)-YEAR($B$7))+MONTH(AN$3)-MONTH($B$7)+1)/MAX(1,'Вводные'!$F$88)&lt;=0.8,1.2,0.8)))</x:f>
      </x:c>
      <x:c r="AO12" s="35" t="n">
        <x:f>IF(AO11=0,0,IF((12*(YEAR(AO$3)-YEAR($B$7))+MONTH(AO$3)-MONTH($B$7)+1)/MAX(1,'Вводные'!$F$88)&lt;=0.2,0.6,IF((12*(YEAR(AO$3)-YEAR($B$7))+MONTH(AO$3)-MONTH($B$7)+1)/MAX(1,'Вводные'!$F$88)&lt;=0.8,1.2,0.8)))</x:f>
      </x:c>
      <x:c r="AP12" s="35" t="n">
        <x:f>IF(AP11=0,0,IF((12*(YEAR(AP$3)-YEAR($B$7))+MONTH(AP$3)-MONTH($B$7)+1)/MAX(1,'Вводные'!$F$88)&lt;=0.2,0.6,IF((12*(YEAR(AP$3)-YEAR($B$7))+MONTH(AP$3)-MONTH($B$7)+1)/MAX(1,'Вводные'!$F$88)&lt;=0.8,1.2,0.8)))</x:f>
      </x:c>
      <x:c r="AQ12" s="35" t="n">
        <x:f>IF(AQ11=0,0,IF((12*(YEAR(AQ$3)-YEAR($B$7))+MONTH(AQ$3)-MONTH($B$7)+1)/MAX(1,'Вводные'!$F$88)&lt;=0.2,0.6,IF((12*(YEAR(AQ$3)-YEAR($B$7))+MONTH(AQ$3)-MONTH($B$7)+1)/MAX(1,'Вводные'!$F$88)&lt;=0.8,1.2,0.8)))</x:f>
      </x:c>
      <x:c r="AR12" s="35" t="n">
        <x:f>IF(AR11=0,0,IF((12*(YEAR(AR$3)-YEAR($B$7))+MONTH(AR$3)-MONTH($B$7)+1)/MAX(1,'Вводные'!$F$88)&lt;=0.2,0.6,IF((12*(YEAR(AR$3)-YEAR($B$7))+MONTH(AR$3)-MONTH($B$7)+1)/MAX(1,'Вводные'!$F$88)&lt;=0.8,1.2,0.8)))</x:f>
      </x:c>
      <x:c r="AS12" s="35" t="n">
        <x:f>IF(AS11=0,0,IF((12*(YEAR(AS$3)-YEAR($B$7))+MONTH(AS$3)-MONTH($B$7)+1)/MAX(1,'Вводные'!$F$88)&lt;=0.2,0.6,IF((12*(YEAR(AS$3)-YEAR($B$7))+MONTH(AS$3)-MONTH($B$7)+1)/MAX(1,'Вводные'!$F$88)&lt;=0.8,1.2,0.8)))</x:f>
      </x:c>
      <x:c r="AT12" s="35" t="n">
        <x:f>IF(AT11=0,0,IF((12*(YEAR(AT$3)-YEAR($B$7))+MONTH(AT$3)-MONTH($B$7)+1)/MAX(1,'Вводные'!$F$88)&lt;=0.2,0.6,IF((12*(YEAR(AT$3)-YEAR($B$7))+MONTH(AT$3)-MONTH($B$7)+1)/MAX(1,'Вводные'!$F$88)&lt;=0.8,1.2,0.8)))</x:f>
      </x:c>
      <x:c r="AU12" s="35" t="n">
        <x:f>IF(AU11=0,0,IF((12*(YEAR(AU$3)-YEAR($B$7))+MONTH(AU$3)-MONTH($B$7)+1)/MAX(1,'Вводные'!$F$88)&lt;=0.2,0.6,IF((12*(YEAR(AU$3)-YEAR($B$7))+MONTH(AU$3)-MONTH($B$7)+1)/MAX(1,'Вводные'!$F$88)&lt;=0.8,1.2,0.8)))</x:f>
      </x:c>
      <x:c r="AV12" s="35" t="n">
        <x:f>IF(AV11=0,0,IF((12*(YEAR(AV$3)-YEAR($B$7))+MONTH(AV$3)-MONTH($B$7)+1)/MAX(1,'Вводные'!$F$88)&lt;=0.2,0.6,IF((12*(YEAR(AV$3)-YEAR($B$7))+MONTH(AV$3)-MONTH($B$7)+1)/MAX(1,'Вводные'!$F$88)&lt;=0.8,1.2,0.8)))</x:f>
      </x:c>
      <x:c r="AW12" s="35" t="n">
        <x:f>IF(AW11=0,0,IF((12*(YEAR(AW$3)-YEAR($B$7))+MONTH(AW$3)-MONTH($B$7)+1)/MAX(1,'Вводные'!$F$88)&lt;=0.2,0.6,IF((12*(YEAR(AW$3)-YEAR($B$7))+MONTH(AW$3)-MONTH($B$7)+1)/MAX(1,'Вводные'!$F$88)&lt;=0.8,1.2,0.8)))</x:f>
      </x:c>
      <x:c r="AX12" s="35" t="n">
        <x:f>IF(AX11=0,0,IF((12*(YEAR(AX$3)-YEAR($B$7))+MONTH(AX$3)-MONTH($B$7)+1)/MAX(1,'Вводные'!$F$88)&lt;=0.2,0.6,IF((12*(YEAR(AX$3)-YEAR($B$7))+MONTH(AX$3)-MONTH($B$7)+1)/MAX(1,'Вводные'!$F$88)&lt;=0.8,1.2,0.8)))</x:f>
      </x:c>
      <x:c r="AY12" s="35" t="n">
        <x:f>IF(AY11=0,0,IF((12*(YEAR(AY$3)-YEAR($B$7))+MONTH(AY$3)-MONTH($B$7)+1)/MAX(1,'Вводные'!$F$88)&lt;=0.2,0.6,IF((12*(YEAR(AY$3)-YEAR($B$7))+MONTH(AY$3)-MONTH($B$7)+1)/MAX(1,'Вводные'!$F$88)&lt;=0.8,1.2,0.8)))</x:f>
      </x:c>
      <x:c r="AZ12" s="35" t="n">
        <x:f>IF(AZ11=0,0,IF((12*(YEAR(AZ$3)-YEAR($B$7))+MONTH(AZ$3)-MONTH($B$7)+1)/MAX(1,'Вводные'!$F$88)&lt;=0.2,0.6,IF((12*(YEAR(AZ$3)-YEAR($B$7))+MONTH(AZ$3)-MONTH($B$7)+1)/MAX(1,'Вводные'!$F$88)&lt;=0.8,1.2,0.8)))</x:f>
      </x:c>
      <x:c r="BA12" s="35" t="n">
        <x:f>IF(BA11=0,0,IF((12*(YEAR(BA$3)-YEAR($B$7))+MONTH(BA$3)-MONTH($B$7)+1)/MAX(1,'Вводные'!$F$88)&lt;=0.2,0.6,IF((12*(YEAR(BA$3)-YEAR($B$7))+MONTH(BA$3)-MONTH($B$7)+1)/MAX(1,'Вводные'!$F$88)&lt;=0.8,1.2,0.8)))</x:f>
      </x:c>
      <x:c r="BB12" s="35" t="n">
        <x:f>IF(BB11=0,0,IF((12*(YEAR(BB$3)-YEAR($B$7))+MONTH(BB$3)-MONTH($B$7)+1)/MAX(1,'Вводные'!$F$88)&lt;=0.2,0.6,IF((12*(YEAR(BB$3)-YEAR($B$7))+MONTH(BB$3)-MONTH($B$7)+1)/MAX(1,'Вводные'!$F$88)&lt;=0.8,1.2,0.8)))</x:f>
      </x:c>
      <x:c r="BC12" s="35" t="n">
        <x:f>IF(BC11=0,0,IF((12*(YEAR(BC$3)-YEAR($B$7))+MONTH(BC$3)-MONTH($B$7)+1)/MAX(1,'Вводные'!$F$88)&lt;=0.2,0.6,IF((12*(YEAR(BC$3)-YEAR($B$7))+MONTH(BC$3)-MONTH($B$7)+1)/MAX(1,'Вводные'!$F$88)&lt;=0.8,1.2,0.8)))</x:f>
      </x:c>
      <x:c r="BD12" s="35" t="n">
        <x:f>IF(BD11=0,0,IF((12*(YEAR(BD$3)-YEAR($B$7))+MONTH(BD$3)-MONTH($B$7)+1)/MAX(1,'Вводные'!$F$88)&lt;=0.2,0.6,IF((12*(YEAR(BD$3)-YEAR($B$7))+MONTH(BD$3)-MONTH($B$7)+1)/MAX(1,'Вводные'!$F$88)&lt;=0.8,1.2,0.8)))</x:f>
      </x:c>
      <x:c r="BE12" s="35" t="n">
        <x:f>IF(BE11=0,0,IF((12*(YEAR(BE$3)-YEAR($B$7))+MONTH(BE$3)-MONTH($B$7)+1)/MAX(1,'Вводные'!$F$88)&lt;=0.2,0.6,IF((12*(YEAR(BE$3)-YEAR($B$7))+MONTH(BE$3)-MONTH($B$7)+1)/MAX(1,'Вводные'!$F$88)&lt;=0.8,1.2,0.8)))</x:f>
      </x:c>
      <x:c r="BF12" s="35" t="n">
        <x:f>IF(BF11=0,0,IF((12*(YEAR(BF$3)-YEAR($B$7))+MONTH(BF$3)-MONTH($B$7)+1)/MAX(1,'Вводные'!$F$88)&lt;=0.2,0.6,IF((12*(YEAR(BF$3)-YEAR($B$7))+MONTH(BF$3)-MONTH($B$7)+1)/MAX(1,'Вводные'!$F$88)&lt;=0.8,1.2,0.8)))</x:f>
      </x:c>
      <x:c r="BG12" s="35" t="n">
        <x:f>IF(BG11=0,0,IF((12*(YEAR(BG$3)-YEAR($B$7))+MONTH(BG$3)-MONTH($B$7)+1)/MAX(1,'Вводные'!$F$88)&lt;=0.2,0.6,IF((12*(YEAR(BG$3)-YEAR($B$7))+MONTH(BG$3)-MONTH($B$7)+1)/MAX(1,'Вводные'!$F$88)&lt;=0.8,1.2,0.8)))</x:f>
      </x:c>
      <x:c r="BH12" s="35" t="n">
        <x:f>IF(BH11=0,0,IF((12*(YEAR(BH$3)-YEAR($B$7))+MONTH(BH$3)-MONTH($B$7)+1)/MAX(1,'Вводные'!$F$88)&lt;=0.2,0.6,IF((12*(YEAR(BH$3)-YEAR($B$7))+MONTH(BH$3)-MONTH($B$7)+1)/MAX(1,'Вводные'!$F$88)&lt;=0.8,1.2,0.8)))</x:f>
      </x:c>
      <x:c r="BI12" s="35" t="n">
        <x:f>IF(BI11=0,0,IF((12*(YEAR(BI$3)-YEAR($B$7))+MONTH(BI$3)-MONTH($B$7)+1)/MAX(1,'Вводные'!$F$88)&lt;=0.2,0.6,IF((12*(YEAR(BI$3)-YEAR($B$7))+MONTH(BI$3)-MONTH($B$7)+1)/MAX(1,'Вводные'!$F$88)&lt;=0.8,1.2,0.8)))</x:f>
      </x:c>
      <x:c r="BJ12" s="35" t="n">
        <x:f>IF(BJ11=0,0,IF((12*(YEAR(BJ$3)-YEAR($B$7))+MONTH(BJ$3)-MONTH($B$7)+1)/MAX(1,'Вводные'!$F$88)&lt;=0.2,0.6,IF((12*(YEAR(BJ$3)-YEAR($B$7))+MONTH(BJ$3)-MONTH($B$7)+1)/MAX(1,'Вводные'!$F$88)&lt;=0.8,1.2,0.8)))</x:f>
      </x:c>
      <x:c r="BK12" s="35" t="n">
        <x:f>IF(BK11=0,0,IF((12*(YEAR(BK$3)-YEAR($B$7))+MONTH(BK$3)-MONTH($B$7)+1)/MAX(1,'Вводные'!$F$88)&lt;=0.2,0.6,IF((12*(YEAR(BK$3)-YEAR($B$7))+MONTH(BK$3)-MONTH($B$7)+1)/MAX(1,'Вводные'!$F$88)&lt;=0.8,1.2,0.8)))</x:f>
      </x:c>
      <x:c r="BL12" s="35" t="n">
        <x:f>IF(BL11=0,0,IF((12*(YEAR(BL$3)-YEAR($B$7))+MONTH(BL$3)-MONTH($B$7)+1)/MAX(1,'Вводные'!$F$88)&lt;=0.2,0.6,IF((12*(YEAR(BL$3)-YEAR($B$7))+MONTH(BL$3)-MONTH($B$7)+1)/MAX(1,'Вводные'!$F$88)&lt;=0.8,1.2,0.8)))</x:f>
      </x:c>
      <x:c r="BM12" s="35" t="n">
        <x:f>IF(BM11=0,0,IF((12*(YEAR(BM$3)-YEAR($B$7))+MONTH(BM$3)-MONTH($B$7)+1)/MAX(1,'Вводные'!$F$88)&lt;=0.2,0.6,IF((12*(YEAR(BM$3)-YEAR($B$7))+MONTH(BM$3)-MONTH($B$7)+1)/MAX(1,'Вводные'!$F$88)&lt;=0.8,1.2,0.8)))</x:f>
      </x:c>
      <x:c r="BN12" s="35" t="n">
        <x:f>IF(BN11=0,0,IF((12*(YEAR(BN$3)-YEAR($B$7))+MONTH(BN$3)-MONTH($B$7)+1)/MAX(1,'Вводные'!$F$88)&lt;=0.2,0.6,IF((12*(YEAR(BN$3)-YEAR($B$7))+MONTH(BN$3)-MONTH($B$7)+1)/MAX(1,'Вводные'!$F$88)&lt;=0.8,1.2,0.8)))</x:f>
      </x:c>
      <x:c r="BO12" s="35" t="n">
        <x:f>IF(BO11=0,0,IF((12*(YEAR(BO$3)-YEAR($B$7))+MONTH(BO$3)-MONTH($B$7)+1)/MAX(1,'Вводные'!$F$88)&lt;=0.2,0.6,IF((12*(YEAR(BO$3)-YEAR($B$7))+MONTH(BO$3)-MONTH($B$7)+1)/MAX(1,'Вводные'!$F$88)&lt;=0.8,1.2,0.8)))</x:f>
      </x:c>
      <x:c r="BP12" s="35" t="n">
        <x:f>IF(BP11=0,0,IF((12*(YEAR(BP$3)-YEAR($B$7))+MONTH(BP$3)-MONTH($B$7)+1)/MAX(1,'Вводные'!$F$88)&lt;=0.2,0.6,IF((12*(YEAR(BP$3)-YEAR($B$7))+MONTH(BP$3)-MONTH($B$7)+1)/MAX(1,'Вводные'!$F$88)&lt;=0.8,1.2,0.8)))</x:f>
      </x:c>
      <x:c r="BQ12" s="35" t="n">
        <x:f>IF(BQ11=0,0,IF((12*(YEAR(BQ$3)-YEAR($B$7))+MONTH(BQ$3)-MONTH($B$7)+1)/MAX(1,'Вводные'!$F$88)&lt;=0.2,0.6,IF((12*(YEAR(BQ$3)-YEAR($B$7))+MONTH(BQ$3)-MONTH($B$7)+1)/MAX(1,'Вводные'!$F$88)&lt;=0.8,1.2,0.8)))</x:f>
      </x:c>
      <x:c r="BR12" s="35" t="n">
        <x:f>IF(BR11=0,0,IF((12*(YEAR(BR$3)-YEAR($B$7))+MONTH(BR$3)-MONTH($B$7)+1)/MAX(1,'Вводные'!$F$88)&lt;=0.2,0.6,IF((12*(YEAR(BR$3)-YEAR($B$7))+MONTH(BR$3)-MONTH($B$7)+1)/MAX(1,'Вводные'!$F$88)&lt;=0.8,1.2,0.8)))</x:f>
      </x:c>
      <x:c r="BS12" s="35" t="n">
        <x:f>IF(BS11=0,0,IF((12*(YEAR(BS$3)-YEAR($B$7))+MONTH(BS$3)-MONTH($B$7)+1)/MAX(1,'Вводные'!$F$88)&lt;=0.2,0.6,IF((12*(YEAR(BS$3)-YEAR($B$7))+MONTH(BS$3)-MONTH($B$7)+1)/MAX(1,'Вводные'!$F$88)&lt;=0.8,1.2,0.8)))</x:f>
      </x:c>
      <x:c r="BT12" s="35" t="n">
        <x:f>IF(BT11=0,0,IF((12*(YEAR(BT$3)-YEAR($B$7))+MONTH(BT$3)-MONTH($B$7)+1)/MAX(1,'Вводные'!$F$88)&lt;=0.2,0.6,IF((12*(YEAR(BT$3)-YEAR($B$7))+MONTH(BT$3)-MONTH($B$7)+1)/MAX(1,'Вводные'!$F$88)&lt;=0.8,1.2,0.8)))</x:f>
      </x:c>
      <x:c r="BU12" s="35" t="n">
        <x:f>IF(BU11=0,0,IF((12*(YEAR(BU$3)-YEAR($B$7))+MONTH(BU$3)-MONTH($B$7)+1)/MAX(1,'Вводные'!$F$88)&lt;=0.2,0.6,IF((12*(YEAR(BU$3)-YEAR($B$7))+MONTH(BU$3)-MONTH($B$7)+1)/MAX(1,'Вводные'!$F$88)&lt;=0.8,1.2,0.8)))</x:f>
      </x:c>
      <x:c r="BV12" s="35" t="n">
        <x:f>IF(BV11=0,0,IF((12*(YEAR(BV$3)-YEAR($B$7))+MONTH(BV$3)-MONTH($B$7)+1)/MAX(1,'Вводные'!$F$88)&lt;=0.2,0.6,IF((12*(YEAR(BV$3)-YEAR($B$7))+MONTH(BV$3)-MONTH($B$7)+1)/MAX(1,'Вводные'!$F$88)&lt;=0.8,1.2,0.8)))</x:f>
      </x:c>
      <x:c r="BW12" s="35" t="n">
        <x:f>IF(BW11=0,0,IF((12*(YEAR(BW$3)-YEAR($B$7))+MONTH(BW$3)-MONTH($B$7)+1)/MAX(1,'Вводные'!$F$88)&lt;=0.2,0.6,IF((12*(YEAR(BW$3)-YEAR($B$7))+MONTH(BW$3)-MONTH($B$7)+1)/MAX(1,'Вводные'!$F$88)&lt;=0.8,1.2,0.8)))</x:f>
      </x:c>
      <x:c r="BX12" s="35" t="n">
        <x:f>IF(BX11=0,0,IF((12*(YEAR(BX$3)-YEAR($B$7))+MONTH(BX$3)-MONTH($B$7)+1)/MAX(1,'Вводные'!$F$88)&lt;=0.2,0.6,IF((12*(YEAR(BX$3)-YEAR($B$7))+MONTH(BX$3)-MONTH($B$7)+1)/MAX(1,'Вводные'!$F$88)&lt;=0.8,1.2,0.8)))</x:f>
      </x:c>
      <x:c r="BY12" s="35" t="n">
        <x:f>IF(BY11=0,0,IF((12*(YEAR(BY$3)-YEAR($B$7))+MONTH(BY$3)-MONTH($B$7)+1)/MAX(1,'Вводные'!$F$88)&lt;=0.2,0.6,IF((12*(YEAR(BY$3)-YEAR($B$7))+MONTH(BY$3)-MONTH($B$7)+1)/MAX(1,'Вводные'!$F$88)&lt;=0.8,1.2,0.8)))</x:f>
      </x:c>
      <x:c r="BZ12" s="35" t="n">
        <x:f>IF(BZ11=0,0,IF((12*(YEAR(BZ$3)-YEAR($B$7))+MONTH(BZ$3)-MONTH($B$7)+1)/MAX(1,'Вводные'!$F$88)&lt;=0.2,0.6,IF((12*(YEAR(BZ$3)-YEAR($B$7))+MONTH(BZ$3)-MONTH($B$7)+1)/MAX(1,'Вводные'!$F$88)&lt;=0.8,1.2,0.8)))</x:f>
      </x:c>
      <x:c r="CA12" s="35" t="n">
        <x:f>IF(CA11=0,0,IF((12*(YEAR(CA$3)-YEAR($B$7))+MONTH(CA$3)-MONTH($B$7)+1)/MAX(1,'Вводные'!$F$88)&lt;=0.2,0.6,IF((12*(YEAR(CA$3)-YEAR($B$7))+MONTH(CA$3)-MONTH($B$7)+1)/MAX(1,'Вводные'!$F$88)&lt;=0.8,1.2,0.8)))</x:f>
      </x:c>
      <x:c r="CB12" s="35" t="n">
        <x:f>IF(CB11=0,0,IF((12*(YEAR(CB$3)-YEAR($B$7))+MONTH(CB$3)-MONTH($B$7)+1)/MAX(1,'Вводные'!$F$88)&lt;=0.2,0.6,IF((12*(YEAR(CB$3)-YEAR($B$7))+MONTH(CB$3)-MONTH($B$7)+1)/MAX(1,'Вводные'!$F$88)&lt;=0.8,1.2,0.8)))</x:f>
      </x:c>
      <x:c r="CC12" s="35" t="n">
        <x:f>IF(CC11=0,0,IF((12*(YEAR(CC$3)-YEAR($B$7))+MONTH(CC$3)-MONTH($B$7)+1)/MAX(1,'Вводные'!$F$88)&lt;=0.2,0.6,IF((12*(YEAR(CC$3)-YEAR($B$7))+MONTH(CC$3)-MONTH($B$7)+1)/MAX(1,'Вводные'!$F$88)&lt;=0.8,1.2,0.8)))</x:f>
      </x:c>
      <x:c r="CD12" s="35" t="n">
        <x:f>IF(CD11=0,0,IF((12*(YEAR(CD$3)-YEAR($B$7))+MONTH(CD$3)-MONTH($B$7)+1)/MAX(1,'Вводные'!$F$88)&lt;=0.2,0.6,IF((12*(YEAR(CD$3)-YEAR($B$7))+MONTH(CD$3)-MONTH($B$7)+1)/MAX(1,'Вводные'!$F$88)&lt;=0.8,1.2,0.8)))</x:f>
      </x:c>
      <x:c r="CE12" s="35" t="n">
        <x:f>IF(CE11=0,0,IF((12*(YEAR(CE$3)-YEAR($B$7))+MONTH(CE$3)-MONTH($B$7)+1)/MAX(1,'Вводные'!$F$88)&lt;=0.2,0.6,IF((12*(YEAR(CE$3)-YEAR($B$7))+MONTH(CE$3)-MONTH($B$7)+1)/MAX(1,'Вводные'!$F$88)&lt;=0.8,1.2,0.8)))</x:f>
      </x:c>
      <x:c r="CF12" s="35" t="n">
        <x:f>IF(CF11=0,0,IF((12*(YEAR(CF$3)-YEAR($B$7))+MONTH(CF$3)-MONTH($B$7)+1)/MAX(1,'Вводные'!$F$88)&lt;=0.2,0.6,IF((12*(YEAR(CF$3)-YEAR($B$7))+MONTH(CF$3)-MONTH($B$7)+1)/MAX(1,'Вводные'!$F$88)&lt;=0.8,1.2,0.8)))</x:f>
      </x:c>
      <x:c r="CG12" s="35" t="n">
        <x:f>IF(CG11=0,0,IF((12*(YEAR(CG$3)-YEAR($B$7))+MONTH(CG$3)-MONTH($B$7)+1)/MAX(1,'Вводные'!$F$88)&lt;=0.2,0.6,IF((12*(YEAR(CG$3)-YEAR($B$7))+MONTH(CG$3)-MONTH($B$7)+1)/MAX(1,'Вводные'!$F$88)&lt;=0.8,1.2,0.8)))</x:f>
      </x:c>
      <x:c r="CH12" s="35" t="n">
        <x:f>IF(CH11=0,0,IF((12*(YEAR(CH$3)-YEAR($B$7))+MONTH(CH$3)-MONTH($B$7)+1)/MAX(1,'Вводные'!$F$88)&lt;=0.2,0.6,IF((12*(YEAR(CH$3)-YEAR($B$7))+MONTH(CH$3)-MONTH($B$7)+1)/MAX(1,'Вводные'!$F$88)&lt;=0.8,1.2,0.8)))</x:f>
      </x:c>
      <x:c r="CI12" s="35" t="n">
        <x:f>IF(CI11=0,0,IF((12*(YEAR(CI$3)-YEAR($B$7))+MONTH(CI$3)-MONTH($B$7)+1)/MAX(1,'Вводные'!$F$88)&lt;=0.2,0.6,IF((12*(YEAR(CI$3)-YEAR($B$7))+MONTH(CI$3)-MONTH($B$7)+1)/MAX(1,'Вводные'!$F$88)&lt;=0.8,1.2,0.8)))</x:f>
      </x:c>
      <x:c r="CJ12" s="35" t="n">
        <x:f>IF(CJ11=0,0,IF((12*(YEAR(CJ$3)-YEAR($B$7))+MONTH(CJ$3)-MONTH($B$7)+1)/MAX(1,'Вводные'!$F$88)&lt;=0.2,0.6,IF((12*(YEAR(CJ$3)-YEAR($B$7))+MONTH(CJ$3)-MONTH($B$7)+1)/MAX(1,'Вводные'!$F$88)&lt;=0.8,1.2,0.8)))</x:f>
      </x:c>
      <x:c r="CK12" s="35" t="n">
        <x:f>IF(CK11=0,0,IF((12*(YEAR(CK$3)-YEAR($B$7))+MONTH(CK$3)-MONTH($B$7)+1)/MAX(1,'Вводные'!$F$88)&lt;=0.2,0.6,IF((12*(YEAR(CK$3)-YEAR($B$7))+MONTH(CK$3)-MONTH($B$7)+1)/MAX(1,'Вводные'!$F$88)&lt;=0.8,1.2,0.8)))</x:f>
      </x:c>
      <x:c r="CL12" s="35" t="n">
        <x:f>IF(CL11=0,0,IF((12*(YEAR(CL$3)-YEAR($B$7))+MONTH(CL$3)-MONTH($B$7)+1)/MAX(1,'Вводные'!$F$88)&lt;=0.2,0.6,IF((12*(YEAR(CL$3)-YEAR($B$7))+MONTH(CL$3)-MONTH($B$7)+1)/MAX(1,'Вводные'!$F$88)&lt;=0.8,1.2,0.8)))</x:f>
      </x:c>
      <x:c r="CM12" s="35" t="n">
        <x:f>IF(CM11=0,0,IF((12*(YEAR(CM$3)-YEAR($B$7))+MONTH(CM$3)-MONTH($B$7)+1)/MAX(1,'Вводные'!$F$88)&lt;=0.2,0.6,IF((12*(YEAR(CM$3)-YEAR($B$7))+MONTH(CM$3)-MONTH($B$7)+1)/MAX(1,'Вводные'!$F$88)&lt;=0.8,1.2,0.8)))</x:f>
      </x:c>
      <x:c r="CN12" s="35" t="n">
        <x:f>IF(CN11=0,0,IF((12*(YEAR(CN$3)-YEAR($B$7))+MONTH(CN$3)-MONTH($B$7)+1)/MAX(1,'Вводные'!$F$88)&lt;=0.2,0.6,IF((12*(YEAR(CN$3)-YEAR($B$7))+MONTH(CN$3)-MONTH($B$7)+1)/MAX(1,'Вводные'!$F$88)&lt;=0.8,1.2,0.8)))</x:f>
      </x:c>
      <x:c r="CO12" s="35" t="n">
        <x:f>IF(CO11=0,0,IF((12*(YEAR(CO$3)-YEAR($B$7))+MONTH(CO$3)-MONTH($B$7)+1)/MAX(1,'Вводные'!$F$88)&lt;=0.2,0.6,IF((12*(YEAR(CO$3)-YEAR($B$7))+MONTH(CO$3)-MONTH($B$7)+1)/MAX(1,'Вводные'!$F$88)&lt;=0.8,1.2,0.8)))</x:f>
      </x:c>
      <x:c r="CP12" s="35" t="n">
        <x:f>IF(CP11=0,0,IF((12*(YEAR(CP$3)-YEAR($B$7))+MONTH(CP$3)-MONTH($B$7)+1)/MAX(1,'Вводные'!$F$88)&lt;=0.2,0.6,IF((12*(YEAR(CP$3)-YEAR($B$7))+MONTH(CP$3)-MONTH($B$7)+1)/MAX(1,'Вводные'!$F$88)&lt;=0.8,1.2,0.8)))</x:f>
      </x:c>
      <x:c r="CQ12" s="35" t="n">
        <x:f>IF(CQ11=0,0,IF((12*(YEAR(CQ$3)-YEAR($B$7))+MONTH(CQ$3)-MONTH($B$7)+1)/MAX(1,'Вводные'!$F$88)&lt;=0.2,0.6,IF((12*(YEAR(CQ$3)-YEAR($B$7))+MONTH(CQ$3)-MONTH($B$7)+1)/MAX(1,'Вводные'!$F$88)&lt;=0.8,1.2,0.8)))</x:f>
      </x:c>
      <x:c r="CR12" s="35" t="n">
        <x:f>IF(CR11=0,0,IF((12*(YEAR(CR$3)-YEAR($B$7))+MONTH(CR$3)-MONTH($B$7)+1)/MAX(1,'Вводные'!$F$88)&lt;=0.2,0.6,IF((12*(YEAR(CR$3)-YEAR($B$7))+MONTH(CR$3)-MONTH($B$7)+1)/MAX(1,'Вводные'!$F$88)&lt;=0.8,1.2,0.8)))</x:f>
      </x:c>
      <x:c r="CS12" s="35" t="n">
        <x:f>IF(CS11=0,0,IF((12*(YEAR(CS$3)-YEAR($B$7))+MONTH(CS$3)-MONTH($B$7)+1)/MAX(1,'Вводные'!$F$88)&lt;=0.2,0.6,IF((12*(YEAR(CS$3)-YEAR($B$7))+MONTH(CS$3)-MONTH($B$7)+1)/MAX(1,'Вводные'!$F$88)&lt;=0.8,1.2,0.8)))</x:f>
      </x:c>
      <x:c r="CT12" s="35" t="n">
        <x:f>IF(CT11=0,0,IF((12*(YEAR(CT$3)-YEAR($B$7))+MONTH(CT$3)-MONTH($B$7)+1)/MAX(1,'Вводные'!$F$88)&lt;=0.2,0.6,IF((12*(YEAR(CT$3)-YEAR($B$7))+MONTH(CT$3)-MONTH($B$7)+1)/MAX(1,'Вводные'!$F$88)&lt;=0.8,1.2,0.8)))</x:f>
      </x:c>
      <x:c r="CU12" s="35" t="n">
        <x:f>IF(CU11=0,0,IF((12*(YEAR(CU$3)-YEAR($B$7))+MONTH(CU$3)-MONTH($B$7)+1)/MAX(1,'Вводные'!$F$88)&lt;=0.2,0.6,IF((12*(YEAR(CU$3)-YEAR($B$7))+MONTH(CU$3)-MONTH($B$7)+1)/MAX(1,'Вводные'!$F$88)&lt;=0.8,1.2,0.8)))</x:f>
      </x:c>
      <x:c r="CV12" s="35" t="n">
        <x:f>IF(CV11=0,0,IF((12*(YEAR(CV$3)-YEAR($B$7))+MONTH(CV$3)-MONTH($B$7)+1)/MAX(1,'Вводные'!$F$88)&lt;=0.2,0.6,IF((12*(YEAR(CV$3)-YEAR($B$7))+MONTH(CV$3)-MONTH($B$7)+1)/MAX(1,'Вводные'!$F$88)&lt;=0.8,1.2,0.8)))</x:f>
      </x:c>
      <x:c r="CW12" s="35" t="n">
        <x:f>IF(CW11=0,0,IF((12*(YEAR(CW$3)-YEAR($B$7))+MONTH(CW$3)-MONTH($B$7)+1)/MAX(1,'Вводные'!$F$88)&lt;=0.2,0.6,IF((12*(YEAR(CW$3)-YEAR($B$7))+MONTH(CW$3)-MONTH($B$7)+1)/MAX(1,'Вводные'!$F$88)&lt;=0.8,1.2,0.8)))</x:f>
      </x:c>
      <x:c r="CX12" s="35" t="n">
        <x:f>IF(CX11=0,0,IF((12*(YEAR(CX$3)-YEAR($B$7))+MONTH(CX$3)-MONTH($B$7)+1)/MAX(1,'Вводные'!$F$88)&lt;=0.2,0.6,IF((12*(YEAR(CX$3)-YEAR($B$7))+MONTH(CX$3)-MONTH($B$7)+1)/MAX(1,'Вводные'!$F$88)&lt;=0.8,1.2,0.8)))</x:f>
      </x:c>
      <x:c r="CY12" s="35" t="n">
        <x:f>IF(CY11=0,0,IF((12*(YEAR(CY$3)-YEAR($B$7))+MONTH(CY$3)-MONTH($B$7)+1)/MAX(1,'Вводные'!$F$88)&lt;=0.2,0.6,IF((12*(YEAR(CY$3)-YEAR($B$7))+MONTH(CY$3)-MONTH($B$7)+1)/MAX(1,'Вводные'!$F$88)&lt;=0.8,1.2,0.8)))</x:f>
      </x:c>
      <x:c r="CZ12" s="35" t="n">
        <x:f>IF(CZ11=0,0,IF((12*(YEAR(CZ$3)-YEAR($B$7))+MONTH(CZ$3)-MONTH($B$7)+1)/MAX(1,'Вводные'!$F$88)&lt;=0.2,0.6,IF((12*(YEAR(CZ$3)-YEAR($B$7))+MONTH(CZ$3)-MONTH($B$7)+1)/MAX(1,'Вводные'!$F$88)&lt;=0.8,1.2,0.8)))</x:f>
      </x:c>
      <x:c r="DA12" s="35" t="n">
        <x:f>IF(DA11=0,0,IF((12*(YEAR(DA$3)-YEAR($B$7))+MONTH(DA$3)-MONTH($B$7)+1)/MAX(1,'Вводные'!$F$88)&lt;=0.2,0.6,IF((12*(YEAR(DA$3)-YEAR($B$7))+MONTH(DA$3)-MONTH($B$7)+1)/MAX(1,'Вводные'!$F$88)&lt;=0.8,1.2,0.8)))</x:f>
      </x:c>
      <x:c r="DB12" s="35" t="n">
        <x:f>IF(DB11=0,0,IF((12*(YEAR(DB$3)-YEAR($B$7))+MONTH(DB$3)-MONTH($B$7)+1)/MAX(1,'Вводные'!$F$88)&lt;=0.2,0.6,IF((12*(YEAR(DB$3)-YEAR($B$7))+MONTH(DB$3)-MONTH($B$7)+1)/MAX(1,'Вводные'!$F$88)&lt;=0.8,1.2,0.8)))</x:f>
      </x:c>
      <x:c r="DC12" s="35" t="n">
        <x:f>IF(DC11=0,0,IF((12*(YEAR(DC$3)-YEAR($B$7))+MONTH(DC$3)-MONTH($B$7)+1)/MAX(1,'Вводные'!$F$88)&lt;=0.2,0.6,IF((12*(YEAR(DC$3)-YEAR($B$7))+MONTH(DC$3)-MONTH($B$7)+1)/MAX(1,'Вводные'!$F$88)&lt;=0.8,1.2,0.8)))</x:f>
      </x:c>
      <x:c r="DD12" s="35" t="n">
        <x:f>IF(DD11=0,0,IF((12*(YEAR(DD$3)-YEAR($B$7))+MONTH(DD$3)-MONTH($B$7)+1)/MAX(1,'Вводные'!$F$88)&lt;=0.2,0.6,IF((12*(YEAR(DD$3)-YEAR($B$7))+MONTH(DD$3)-MONTH($B$7)+1)/MAX(1,'Вводные'!$F$88)&lt;=0.8,1.2,0.8)))</x:f>
      </x:c>
      <x:c r="DE12" s="35" t="n">
        <x:f>IF(DE11=0,0,IF((12*(YEAR(DE$3)-YEAR($B$7))+MONTH(DE$3)-MONTH($B$7)+1)/MAX(1,'Вводные'!$F$88)&lt;=0.2,0.6,IF((12*(YEAR(DE$3)-YEAR($B$7))+MONTH(DE$3)-MONTH($B$7)+1)/MAX(1,'Вводные'!$F$88)&lt;=0.8,1.2,0.8)))</x:f>
      </x:c>
      <x:c r="DF12" s="35" t="n">
        <x:f>IF(DF11=0,0,IF((12*(YEAR(DF$3)-YEAR($B$7))+MONTH(DF$3)-MONTH($B$7)+1)/MAX(1,'Вводные'!$F$88)&lt;=0.2,0.6,IF((12*(YEAR(DF$3)-YEAR($B$7))+MONTH(DF$3)-MONTH($B$7)+1)/MAX(1,'Вводные'!$F$88)&lt;=0.8,1.2,0.8)))</x:f>
      </x:c>
      <x:c r="DG12" s="35" t="n">
        <x:f>IF(DG11=0,0,IF((12*(YEAR(DG$3)-YEAR($B$7))+MONTH(DG$3)-MONTH($B$7)+1)/MAX(1,'Вводные'!$F$88)&lt;=0.2,0.6,IF((12*(YEAR(DG$3)-YEAR($B$7))+MONTH(DG$3)-MONTH($B$7)+1)/MAX(1,'Вводные'!$F$88)&lt;=0.8,1.2,0.8)))</x:f>
      </x:c>
      <x:c r="DH12" s="35" t="n">
        <x:f>IF(DH11=0,0,IF((12*(YEAR(DH$3)-YEAR($B$7))+MONTH(DH$3)-MONTH($B$7)+1)/MAX(1,'Вводные'!$F$88)&lt;=0.2,0.6,IF((12*(YEAR(DH$3)-YEAR($B$7))+MONTH(DH$3)-MONTH($B$7)+1)/MAX(1,'Вводные'!$F$88)&lt;=0.8,1.2,0.8)))</x:f>
      </x:c>
      <x:c r="DI12" s="35" t="n">
        <x:f>IF(DI11=0,0,IF((12*(YEAR(DI$3)-YEAR($B$7))+MONTH(DI$3)-MONTH($B$7)+1)/MAX(1,'Вводные'!$F$88)&lt;=0.2,0.6,IF((12*(YEAR(DI$3)-YEAR($B$7))+MONTH(DI$3)-MONTH($B$7)+1)/MAX(1,'Вводные'!$F$88)&lt;=0.8,1.2,0.8)))</x:f>
      </x:c>
      <x:c r="DJ12" s="35" t="n">
        <x:f>IF(DJ11=0,0,IF((12*(YEAR(DJ$3)-YEAR($B$7))+MONTH(DJ$3)-MONTH($B$7)+1)/MAX(1,'Вводные'!$F$88)&lt;=0.2,0.6,IF((12*(YEAR(DJ$3)-YEAR($B$7))+MONTH(DJ$3)-MONTH($B$7)+1)/MAX(1,'Вводные'!$F$88)&lt;=0.8,1.2,0.8)))</x:f>
      </x:c>
      <x:c r="DK12" s="35" t="n">
        <x:f>IF(DK11=0,0,IF((12*(YEAR(DK$3)-YEAR($B$7))+MONTH(DK$3)-MONTH($B$7)+1)/MAX(1,'Вводные'!$F$88)&lt;=0.2,0.6,IF((12*(YEAR(DK$3)-YEAR($B$7))+MONTH(DK$3)-MONTH($B$7)+1)/MAX(1,'Вводные'!$F$88)&lt;=0.8,1.2,0.8)))</x:f>
      </x:c>
      <x:c r="DL12" s="35" t="n">
        <x:f>IF(DL11=0,0,IF((12*(YEAR(DL$3)-YEAR($B$7))+MONTH(DL$3)-MONTH($B$7)+1)/MAX(1,'Вводные'!$F$88)&lt;=0.2,0.6,IF((12*(YEAR(DL$3)-YEAR($B$7))+MONTH(DL$3)-MONTH($B$7)+1)/MAX(1,'Вводные'!$F$88)&lt;=0.8,1.2,0.8)))</x:f>
      </x:c>
      <x:c r="DM12" s="35" t="n">
        <x:f>IF(DM11=0,0,IF((12*(YEAR(DM$3)-YEAR($B$7))+MONTH(DM$3)-MONTH($B$7)+1)/MAX(1,'Вводные'!$F$88)&lt;=0.2,0.6,IF((12*(YEAR(DM$3)-YEAR($B$7))+MONTH(DM$3)-MONTH($B$7)+1)/MAX(1,'Вводные'!$F$88)&lt;=0.8,1.2,0.8)))</x:f>
      </x:c>
      <x:c r="DN12" s="35" t="n">
        <x:f>IF(DN11=0,0,IF((12*(YEAR(DN$3)-YEAR($B$7))+MONTH(DN$3)-MONTH($B$7)+1)/MAX(1,'Вводные'!$F$88)&lt;=0.2,0.6,IF((12*(YEAR(DN$3)-YEAR($B$7))+MONTH(DN$3)-MONTH($B$7)+1)/MAX(1,'Вводные'!$F$88)&lt;=0.8,1.2,0.8)))</x:f>
      </x:c>
      <x:c r="DO12" s="35" t="n">
        <x:f>IF(DO11=0,0,IF((12*(YEAR(DO$3)-YEAR($B$7))+MONTH(DO$3)-MONTH($B$7)+1)/MAX(1,'Вводные'!$F$88)&lt;=0.2,0.6,IF((12*(YEAR(DO$3)-YEAR($B$7))+MONTH(DO$3)-MONTH($B$7)+1)/MAX(1,'Вводные'!$F$88)&lt;=0.8,1.2,0.8)))</x:f>
      </x:c>
      <x:c r="DP12" s="35" t="n">
        <x:f>IF(DP11=0,0,IF((12*(YEAR(DP$3)-YEAR($B$7))+MONTH(DP$3)-MONTH($B$7)+1)/MAX(1,'Вводные'!$F$88)&lt;=0.2,0.6,IF((12*(YEAR(DP$3)-YEAR($B$7))+MONTH(DP$3)-MONTH($B$7)+1)/MAX(1,'Вводные'!$F$88)&lt;=0.8,1.2,0.8)))</x:f>
      </x:c>
      <x:c r="DQ12" s="35" t="n">
        <x:f>IF(DQ11=0,0,IF((12*(YEAR(DQ$3)-YEAR($B$7))+MONTH(DQ$3)-MONTH($B$7)+1)/MAX(1,'Вводные'!$F$88)&lt;=0.2,0.6,IF((12*(YEAR(DQ$3)-YEAR($B$7))+MONTH(DQ$3)-MONTH($B$7)+1)/MAX(1,'Вводные'!$F$88)&lt;=0.8,1.2,0.8)))</x:f>
      </x:c>
      <x:c r="DR12" s="35" t="n">
        <x:f>IF(DR11=0,0,IF((12*(YEAR(DR$3)-YEAR($B$7))+MONTH(DR$3)-MONTH($B$7)+1)/MAX(1,'Вводные'!$F$88)&lt;=0.2,0.6,IF((12*(YEAR(DR$3)-YEAR($B$7))+MONTH(DR$3)-MONTH($B$7)+1)/MAX(1,'Вводные'!$F$88)&lt;=0.8,1.2,0.8)))</x:f>
      </x:c>
      <x:c r="DS12" s="35" t="n">
        <x:f>IF(DS11=0,0,IF((12*(YEAR(DS$3)-YEAR($B$7))+MONTH(DS$3)-MONTH($B$7)+1)/MAX(1,'Вводные'!$F$88)&lt;=0.2,0.6,IF((12*(YEAR(DS$3)-YEAR($B$7))+MONTH(DS$3)-MONTH($B$7)+1)/MAX(1,'Вводные'!$F$88)&lt;=0.8,1.2,0.8)))</x:f>
      </x:c>
      <x:c r="DT12" s="35" t="n">
        <x:f>IF(DT11=0,0,IF((12*(YEAR(DT$3)-YEAR($B$7))+MONTH(DT$3)-MONTH($B$7)+1)/MAX(1,'Вводные'!$F$88)&lt;=0.2,0.6,IF((12*(YEAR(DT$3)-YEAR($B$7))+MONTH(DT$3)-MONTH($B$7)+1)/MAX(1,'Вводные'!$F$88)&lt;=0.8,1.2,0.8)))</x:f>
      </x:c>
      <x:c r="DU12" s="35" t="n">
        <x:f>IF(DU11=0,0,IF((12*(YEAR(DU$3)-YEAR($B$7))+MONTH(DU$3)-MONTH($B$7)+1)/MAX(1,'Вводные'!$F$88)&lt;=0.2,0.6,IF((12*(YEAR(DU$3)-YEAR($B$7))+MONTH(DU$3)-MONTH($B$7)+1)/MAX(1,'Вводные'!$F$88)&lt;=0.8,1.2,0.8)))</x:f>
      </x:c>
      <x:c r="DV12" s="35" t="n">
        <x:f>IF(DV11=0,0,IF((12*(YEAR(DV$3)-YEAR($B$7))+MONTH(DV$3)-MONTH($B$7)+1)/MAX(1,'Вводные'!$F$88)&lt;=0.2,0.6,IF((12*(YEAR(DV$3)-YEAR($B$7))+MONTH(DV$3)-MONTH($B$7)+1)/MAX(1,'Вводные'!$F$88)&lt;=0.8,1.2,0.8)))</x:f>
      </x:c>
      <x:c r="DW12" s="35" t="n">
        <x:f>IF(DW11=0,0,IF((12*(YEAR(DW$3)-YEAR($B$7))+MONTH(DW$3)-MONTH($B$7)+1)/MAX(1,'Вводные'!$F$88)&lt;=0.2,0.6,IF((12*(YEAR(DW$3)-YEAR($B$7))+MONTH(DW$3)-MONTH($B$7)+1)/MAX(1,'Вводные'!$F$88)&lt;=0.8,1.2,0.8)))</x:f>
      </x:c>
      <x:c r="DX12" s="35" t="n">
        <x:f>IF(DX11=0,0,IF((12*(YEAR(DX$3)-YEAR($B$7))+MONTH(DX$3)-MONTH($B$7)+1)/MAX(1,'Вводные'!$F$88)&lt;=0.2,0.6,IF((12*(YEAR(DX$3)-YEAR($B$7))+MONTH(DX$3)-MONTH($B$7)+1)/MAX(1,'Вводные'!$F$88)&lt;=0.8,1.2,0.8)))</x:f>
      </x:c>
      <x:c r="DY12" s="35" t="n">
        <x:f>IF(DY11=0,0,IF((12*(YEAR(DY$3)-YEAR($B$7))+MONTH(DY$3)-MONTH($B$7)+1)/MAX(1,'Вводные'!$F$88)&lt;=0.2,0.6,IF((12*(YEAR(DY$3)-YEAR($B$7))+MONTH(DY$3)-MONTH($B$7)+1)/MAX(1,'Вводные'!$F$88)&lt;=0.8,1.2,0.8)))</x:f>
      </x:c>
      <x:c r="DZ12" s="35" t="n">
        <x:f>IF(DZ11=0,0,IF((12*(YEAR(DZ$3)-YEAR($B$7))+MONTH(DZ$3)-MONTH($B$7)+1)/MAX(1,'Вводные'!$F$88)&lt;=0.2,0.6,IF((12*(YEAR(DZ$3)-YEAR($B$7))+MONTH(DZ$3)-MONTH($B$7)+1)/MAX(1,'Вводные'!$F$88)&lt;=0.8,1.2,0.8)))</x:f>
      </x:c>
      <x:c r="EA12" s="35" t="n">
        <x:f>IF(EA11=0,0,IF((12*(YEAR(EA$3)-YEAR($B$7))+MONTH(EA$3)-MONTH($B$7)+1)/MAX(1,'Вводные'!$F$88)&lt;=0.2,0.6,IF((12*(YEAR(EA$3)-YEAR($B$7))+MONTH(EA$3)-MONTH($B$7)+1)/MAX(1,'Вводные'!$F$88)&lt;=0.8,1.2,0.8)))</x:f>
      </x:c>
      <x:c r="EB12" s="35" t="n">
        <x:f>IF(EB11=0,0,IF((12*(YEAR(EB$3)-YEAR($B$7))+MONTH(EB$3)-MONTH($B$7)+1)/MAX(1,'Вводные'!$F$88)&lt;=0.2,0.6,IF((12*(YEAR(EB$3)-YEAR($B$7))+MONTH(EB$3)-MONTH($B$7)+1)/MAX(1,'Вводные'!$F$88)&lt;=0.8,1.2,0.8)))</x:f>
      </x:c>
      <x:c r="EC12" s="35" t="n">
        <x:f>IF(EC11=0,0,IF((12*(YEAR(EC$3)-YEAR($B$7))+MONTH(EC$3)-MONTH($B$7)+1)/MAX(1,'Вводные'!$F$88)&lt;=0.2,0.6,IF((12*(YEAR(EC$3)-YEAR($B$7))+MONTH(EC$3)-MONTH($B$7)+1)/MAX(1,'Вводные'!$F$88)&lt;=0.8,1.2,0.8)))</x:f>
      </x:c>
      <x:c r="ED12" s="35" t="n">
        <x:f>IF(ED11=0,0,IF((12*(YEAR(ED$3)-YEAR($B$7))+MONTH(ED$3)-MONTH($B$7)+1)/MAX(1,'Вводные'!$F$88)&lt;=0.2,0.6,IF((12*(YEAR(ED$3)-YEAR($B$7))+MONTH(ED$3)-MONTH($B$7)+1)/MAX(1,'Вводные'!$F$88)&lt;=0.8,1.2,0.8)))</x:f>
      </x:c>
      <x:c r="EE12" s="35" t="n">
        <x:f>IF(EE11=0,0,IF((12*(YEAR(EE$3)-YEAR($B$7))+MONTH(EE$3)-MONTH($B$7)+1)/MAX(1,'Вводные'!$F$88)&lt;=0.2,0.6,IF((12*(YEAR(EE$3)-YEAR($B$7))+MONTH(EE$3)-MONTH($B$7)+1)/MAX(1,'Вводные'!$F$88)&lt;=0.8,1.2,0.8)))</x:f>
      </x:c>
      <x:c r="EF12" s="35" t="n">
        <x:f>IF(EF11=0,0,IF((12*(YEAR(EF$3)-YEAR($B$7))+MONTH(EF$3)-MONTH($B$7)+1)/MAX(1,'Вводные'!$F$88)&lt;=0.2,0.6,IF((12*(YEAR(EF$3)-YEAR($B$7))+MONTH(EF$3)-MONTH($B$7)+1)/MAX(1,'Вводные'!$F$88)&lt;=0.8,1.2,0.8)))</x:f>
      </x:c>
      <x:c r="EG12" s="35" t="n">
        <x:f>IF(EG11=0,0,IF((12*(YEAR(EG$3)-YEAR($B$7))+MONTH(EG$3)-MONTH($B$7)+1)/MAX(1,'Вводные'!$F$88)&lt;=0.2,0.6,IF((12*(YEAR(EG$3)-YEAR($B$7))+MONTH(EG$3)-MONTH($B$7)+1)/MAX(1,'Вводные'!$F$88)&lt;=0.8,1.2,0.8)))</x:f>
      </x:c>
      <x:c r="EH12" s="35" t="n">
        <x:f>IF(EH11=0,0,IF((12*(YEAR(EH$3)-YEAR($B$7))+MONTH(EH$3)-MONTH($B$7)+1)/MAX(1,'Вводные'!$F$88)&lt;=0.2,0.6,IF((12*(YEAR(EH$3)-YEAR($B$7))+MONTH(EH$3)-MONTH($B$7)+1)/MAX(1,'Вводные'!$F$88)&lt;=0.8,1.2,0.8)))</x:f>
      </x:c>
      <x:c r="EI12" s="35" t="n">
        <x:f>IF(EI11=0,0,IF((12*(YEAR(EI$3)-YEAR($B$7))+MONTH(EI$3)-MONTH($B$7)+1)/MAX(1,'Вводные'!$F$88)&lt;=0.2,0.6,IF((12*(YEAR(EI$3)-YEAR($B$7))+MONTH(EI$3)-MONTH($B$7)+1)/MAX(1,'Вводные'!$F$88)&lt;=0.8,1.2,0.8)))</x:f>
      </x:c>
      <x:c r="EJ12" s="35" t="n">
        <x:f>IF(EJ11=0,0,IF((12*(YEAR(EJ$3)-YEAR($B$7))+MONTH(EJ$3)-MONTH($B$7)+1)/MAX(1,'Вводные'!$F$88)&lt;=0.2,0.6,IF((12*(YEAR(EJ$3)-YEAR($B$7))+MONTH(EJ$3)-MONTH($B$7)+1)/MAX(1,'Вводные'!$F$88)&lt;=0.8,1.2,0.8)))</x:f>
      </x:c>
      <x:c r="EK12" s="35" t="n">
        <x:f>IF(EK11=0,0,IF((12*(YEAR(EK$3)-YEAR($B$7))+MONTH(EK$3)-MONTH($B$7)+1)/MAX(1,'Вводные'!$F$88)&lt;=0.2,0.6,IF((12*(YEAR(EK$3)-YEAR($B$7))+MONTH(EK$3)-MONTH($B$7)+1)/MAX(1,'Вводные'!$F$88)&lt;=0.8,1.2,0.8)))</x:f>
      </x:c>
      <x:c r="EL12" s="35" t="n">
        <x:f>IF(EL11=0,0,IF((12*(YEAR(EL$3)-YEAR($B$7))+MONTH(EL$3)-MONTH($B$7)+1)/MAX(1,'Вводные'!$F$88)&lt;=0.2,0.6,IF((12*(YEAR(EL$3)-YEAR($B$7))+MONTH(EL$3)-MONTH($B$7)+1)/MAX(1,'Вводные'!$F$88)&lt;=0.8,1.2,0.8)))</x:f>
      </x:c>
      <x:c r="EM12" s="35" t="n">
        <x:f>IF(EM11=0,0,IF((12*(YEAR(EM$3)-YEAR($B$7))+MONTH(EM$3)-MONTH($B$7)+1)/MAX(1,'Вводные'!$F$88)&lt;=0.2,0.6,IF((12*(YEAR(EM$3)-YEAR($B$7))+MONTH(EM$3)-MONTH($B$7)+1)/MAX(1,'Вводные'!$F$88)&lt;=0.8,1.2,0.8)))</x:f>
      </x:c>
      <x:c r="EN12" s="35" t="n">
        <x:f>IF(EN11=0,0,IF((12*(YEAR(EN$3)-YEAR($B$7))+MONTH(EN$3)-MONTH($B$7)+1)/MAX(1,'Вводные'!$F$88)&lt;=0.2,0.6,IF((12*(YEAR(EN$3)-YEAR($B$7))+MONTH(EN$3)-MONTH($B$7)+1)/MAX(1,'Вводные'!$F$88)&lt;=0.8,1.2,0.8)))</x:f>
      </x:c>
      <x:c r="EO12" s="35" t="n">
        <x:f>IF(EO11=0,0,IF((12*(YEAR(EO$3)-YEAR($B$7))+MONTH(EO$3)-MONTH($B$7)+1)/MAX(1,'Вводные'!$F$88)&lt;=0.2,0.6,IF((12*(YEAR(EO$3)-YEAR($B$7))+MONTH(EO$3)-MONTH($B$7)+1)/MAX(1,'Вводные'!$F$88)&lt;=0.8,1.2,0.8)))</x:f>
      </x:c>
      <x:c r="EP12" s="35" t="n">
        <x:f>IF(EP11=0,0,IF((12*(YEAR(EP$3)-YEAR($B$7))+MONTH(EP$3)-MONTH($B$7)+1)/MAX(1,'Вводные'!$F$88)&lt;=0.2,0.6,IF((12*(YEAR(EP$3)-YEAR($B$7))+MONTH(EP$3)-MONTH($B$7)+1)/MAX(1,'Вводные'!$F$88)&lt;=0.8,1.2,0.8)))</x:f>
      </x:c>
      <x:c r="EQ12" s="35" t="n">
        <x:f>IF(EQ11=0,0,IF((12*(YEAR(EQ$3)-YEAR($B$7))+MONTH(EQ$3)-MONTH($B$7)+1)/MAX(1,'Вводные'!$F$88)&lt;=0.2,0.6,IF((12*(YEAR(EQ$3)-YEAR($B$7))+MONTH(EQ$3)-MONTH($B$7)+1)/MAX(1,'Вводные'!$F$88)&lt;=0.8,1.2,0.8)))</x:f>
      </x:c>
      <x:c r="ER12" s="35" t="n">
        <x:f>IF(ER11=0,0,IF((12*(YEAR(ER$3)-YEAR($B$7))+MONTH(ER$3)-MONTH($B$7)+1)/MAX(1,'Вводные'!$F$88)&lt;=0.2,0.6,IF((12*(YEAR(ER$3)-YEAR($B$7))+MONTH(ER$3)-MONTH($B$7)+1)/MAX(1,'Вводные'!$F$88)&lt;=0.8,1.2,0.8)))</x:f>
      </x:c>
      <x:c r="ES12" s="35" t="n">
        <x:f>IF(ES11=0,0,IF((12*(YEAR(ES$3)-YEAR($B$7))+MONTH(ES$3)-MONTH($B$7)+1)/MAX(1,'Вводные'!$F$88)&lt;=0.2,0.6,IF((12*(YEAR(ES$3)-YEAR($B$7))+MONTH(ES$3)-MONTH($B$7)+1)/MAX(1,'Вводные'!$F$88)&lt;=0.8,1.2,0.8)))</x:f>
      </x:c>
      <x:c r="ET12" s="35" t="n">
        <x:f>IF(ET11=0,0,IF((12*(YEAR(ET$3)-YEAR($B$7))+MONTH(ET$3)-MONTH($B$7)+1)/MAX(1,'Вводные'!$F$88)&lt;=0.2,0.6,IF((12*(YEAR(ET$3)-YEAR($B$7))+MONTH(ET$3)-MONTH($B$7)+1)/MAX(1,'Вводные'!$F$88)&lt;=0.8,1.2,0.8)))</x:f>
      </x:c>
      <x:c r="EU12" s="35" t="n">
        <x:f>IF(EU11=0,0,IF((12*(YEAR(EU$3)-YEAR($B$7))+MONTH(EU$3)-MONTH($B$7)+1)/MAX(1,'Вводные'!$F$88)&lt;=0.2,0.6,IF((12*(YEAR(EU$3)-YEAR($B$7))+MONTH(EU$3)-MONTH($B$7)+1)/MAX(1,'Вводные'!$F$88)&lt;=0.8,1.2,0.8)))</x:f>
      </x:c>
      <x:c r="EV12" s="35" t="n">
        <x:f>IF(EV11=0,0,IF((12*(YEAR(EV$3)-YEAR($B$7))+MONTH(EV$3)-MONTH($B$7)+1)/MAX(1,'Вводные'!$F$88)&lt;=0.2,0.6,IF((12*(YEAR(EV$3)-YEAR($B$7))+MONTH(EV$3)-MONTH($B$7)+1)/MAX(1,'Вводные'!$F$88)&lt;=0.8,1.2,0.8)))</x:f>
      </x:c>
      <x:c r="EW12" s="35" t="n">
        <x:f>IF(EW11=0,0,IF((12*(YEAR(EW$3)-YEAR($B$7))+MONTH(EW$3)-MONTH($B$7)+1)/MAX(1,'Вводные'!$F$88)&lt;=0.2,0.6,IF((12*(YEAR(EW$3)-YEAR($B$7))+MONTH(EW$3)-MONTH($B$7)+1)/MAX(1,'Вводные'!$F$88)&lt;=0.8,1.2,0.8)))</x:f>
      </x:c>
      <x:c r="EX12" s="35" t="n">
        <x:f>IF(EX11=0,0,IF((12*(YEAR(EX$3)-YEAR($B$7))+MONTH(EX$3)-MONTH($B$7)+1)/MAX(1,'Вводные'!$F$88)&lt;=0.2,0.6,IF((12*(YEAR(EX$3)-YEAR($B$7))+MONTH(EX$3)-MONTH($B$7)+1)/MAX(1,'Вводные'!$F$88)&lt;=0.8,1.2,0.8)))</x:f>
      </x:c>
      <x:c r="EY12" s="35" t="n">
        <x:f>IF(EY11=0,0,IF((12*(YEAR(EY$3)-YEAR($B$7))+MONTH(EY$3)-MONTH($B$7)+1)/MAX(1,'Вводные'!$F$88)&lt;=0.2,0.6,IF((12*(YEAR(EY$3)-YEAR($B$7))+MONTH(EY$3)-MONTH($B$7)+1)/MAX(1,'Вводные'!$F$88)&lt;=0.8,1.2,0.8)))</x:f>
      </x:c>
      <x:c r="EZ12" s="35" t="n">
        <x:f>IF(EZ11=0,0,IF((12*(YEAR(EZ$3)-YEAR($B$7))+MONTH(EZ$3)-MONTH($B$7)+1)/MAX(1,'Вводные'!$F$88)&lt;=0.2,0.6,IF((12*(YEAR(EZ$3)-YEAR($B$7))+MONTH(EZ$3)-MONTH($B$7)+1)/MAX(1,'Вводные'!$F$88)&lt;=0.8,1.2,0.8)))</x:f>
      </x:c>
      <x:c r="FA12" s="35" t="n">
        <x:f>IF(FA11=0,0,IF((12*(YEAR(FA$3)-YEAR($B$7))+MONTH(FA$3)-MONTH($B$7)+1)/MAX(1,'Вводные'!$F$88)&lt;=0.2,0.6,IF((12*(YEAR(FA$3)-YEAR($B$7))+MONTH(FA$3)-MONTH($B$7)+1)/MAX(1,'Вводные'!$F$88)&lt;=0.8,1.2,0.8)))</x:f>
      </x:c>
      <x:c r="FB12" s="35" t="n">
        <x:f>IF(FB11=0,0,IF((12*(YEAR(FB$3)-YEAR($B$7))+MONTH(FB$3)-MONTH($B$7)+1)/MAX(1,'Вводные'!$F$88)&lt;=0.2,0.6,IF((12*(YEAR(FB$3)-YEAR($B$7))+MONTH(FB$3)-MONTH($B$7)+1)/MAX(1,'Вводные'!$F$88)&lt;=0.8,1.2,0.8)))</x:f>
      </x:c>
      <x:c r="FC12" s="35" t="n">
        <x:f>IF(FC11=0,0,IF((12*(YEAR(FC$3)-YEAR($B$7))+MONTH(FC$3)-MONTH($B$7)+1)/MAX(1,'Вводные'!$F$88)&lt;=0.2,0.6,IF((12*(YEAR(FC$3)-YEAR($B$7))+MONTH(FC$3)-MONTH($B$7)+1)/MAX(1,'Вводные'!$F$88)&lt;=0.8,1.2,0.8)))</x:f>
      </x:c>
      <x:c r="FD12" s="35" t="n">
        <x:f>IF(FD11=0,0,IF((12*(YEAR(FD$3)-YEAR($B$7))+MONTH(FD$3)-MONTH($B$7)+1)/MAX(1,'Вводные'!$F$88)&lt;=0.2,0.6,IF((12*(YEAR(FD$3)-YEAR($B$7))+MONTH(FD$3)-MONTH($B$7)+1)/MAX(1,'Вводные'!$F$88)&lt;=0.8,1.2,0.8)))</x:f>
      </x:c>
      <x:c r="FE12" s="35" t="n">
        <x:f>IF(FE11=0,0,IF((12*(YEAR(FE$3)-YEAR($B$7))+MONTH(FE$3)-MONTH($B$7)+1)/MAX(1,'Вводные'!$F$88)&lt;=0.2,0.6,IF((12*(YEAR(FE$3)-YEAR($B$7))+MONTH(FE$3)-MONTH($B$7)+1)/MAX(1,'Вводные'!$F$88)&lt;=0.8,1.2,0.8)))</x:f>
      </x:c>
      <x:c r="FF12" s="35" t="n">
        <x:f>IF(FF11=0,0,IF((12*(YEAR(FF$3)-YEAR($B$7))+MONTH(FF$3)-MONTH($B$7)+1)/MAX(1,'Вводные'!$F$88)&lt;=0.2,0.6,IF((12*(YEAR(FF$3)-YEAR($B$7))+MONTH(FF$3)-MONTH($B$7)+1)/MAX(1,'Вводные'!$F$88)&lt;=0.8,1.2,0.8)))</x:f>
      </x:c>
      <x:c r="FG12" s="35" t="n">
        <x:f>IF(FG11=0,0,IF((12*(YEAR(FG$3)-YEAR($B$7))+MONTH(FG$3)-MONTH($B$7)+1)/MAX(1,'Вводные'!$F$88)&lt;=0.2,0.6,IF((12*(YEAR(FG$3)-YEAR($B$7))+MONTH(FG$3)-MONTH($B$7)+1)/MAX(1,'Вводные'!$F$88)&lt;=0.8,1.2,0.8)))</x:f>
      </x:c>
      <x:c r="FH12" s="35" t="n">
        <x:f>IF(FH11=0,0,IF((12*(YEAR(FH$3)-YEAR($B$7))+MONTH(FH$3)-MONTH($B$7)+1)/MAX(1,'Вводные'!$F$88)&lt;=0.2,0.6,IF((12*(YEAR(FH$3)-YEAR($B$7))+MONTH(FH$3)-MONTH($B$7)+1)/MAX(1,'Вводные'!$F$88)&lt;=0.8,1.2,0.8)))</x:f>
      </x:c>
      <x:c r="FI12" s="35" t="n">
        <x:f>IF(FI11=0,0,IF((12*(YEAR(FI$3)-YEAR($B$7))+MONTH(FI$3)-MONTH($B$7)+1)/MAX(1,'Вводные'!$F$88)&lt;=0.2,0.6,IF((12*(YEAR(FI$3)-YEAR($B$7))+MONTH(FI$3)-MONTH($B$7)+1)/MAX(1,'Вводные'!$F$88)&lt;=0.8,1.2,0.8)))</x:f>
      </x:c>
      <x:c r="FJ12" s="35" t="n">
        <x:f>IF(FJ11=0,0,IF((12*(YEAR(FJ$3)-YEAR($B$7))+MONTH(FJ$3)-MONTH($B$7)+1)/MAX(1,'Вводные'!$F$88)&lt;=0.2,0.6,IF((12*(YEAR(FJ$3)-YEAR($B$7))+MONTH(FJ$3)-MONTH($B$7)+1)/MAX(1,'Вводные'!$F$88)&lt;=0.8,1.2,0.8)))</x:f>
      </x:c>
      <x:c r="FK12" s="35" t="n">
        <x:f>IF(FK11=0,0,IF((12*(YEAR(FK$3)-YEAR($B$7))+MONTH(FK$3)-MONTH($B$7)+1)/MAX(1,'Вводные'!$F$88)&lt;=0.2,0.6,IF((12*(YEAR(FK$3)-YEAR($B$7))+MONTH(FK$3)-MONTH($B$7)+1)/MAX(1,'Вводные'!$F$88)&lt;=0.8,1.2,0.8)))</x:f>
      </x:c>
      <x:c r="FL12" s="35" t="n">
        <x:f>IF(FL11=0,0,IF((12*(YEAR(FL$3)-YEAR($B$7))+MONTH(FL$3)-MONTH($B$7)+1)/MAX(1,'Вводные'!$F$88)&lt;=0.2,0.6,IF((12*(YEAR(FL$3)-YEAR($B$7))+MONTH(FL$3)-MONTH($B$7)+1)/MAX(1,'Вводные'!$F$88)&lt;=0.8,1.2,0.8)))</x:f>
      </x:c>
      <x:c r="FM12" s="35" t="n">
        <x:f>IF(FM11=0,0,IF((12*(YEAR(FM$3)-YEAR($B$7))+MONTH(FM$3)-MONTH($B$7)+1)/MAX(1,'Вводные'!$F$88)&lt;=0.2,0.6,IF((12*(YEAR(FM$3)-YEAR($B$7))+MONTH(FM$3)-MONTH($B$7)+1)/MAX(1,'Вводные'!$F$88)&lt;=0.8,1.2,0.8)))</x:f>
      </x:c>
      <x:c r="FN12" s="35" t="n">
        <x:f>IF(FN11=0,0,IF((12*(YEAR(FN$3)-YEAR($B$7))+MONTH(FN$3)-MONTH($B$7)+1)/MAX(1,'Вводные'!$F$88)&lt;=0.2,0.6,IF((12*(YEAR(FN$3)-YEAR($B$7))+MONTH(FN$3)-MONTH($B$7)+1)/MAX(1,'Вводные'!$F$88)&lt;=0.8,1.2,0.8)))</x:f>
      </x:c>
      <x:c r="FO12" s="35" t="n">
        <x:f>IF(FO11=0,0,IF((12*(YEAR(FO$3)-YEAR($B$7))+MONTH(FO$3)-MONTH($B$7)+1)/MAX(1,'Вводные'!$F$88)&lt;=0.2,0.6,IF((12*(YEAR(FO$3)-YEAR($B$7))+MONTH(FO$3)-MONTH($B$7)+1)/MAX(1,'Вводные'!$F$88)&lt;=0.8,1.2,0.8)))</x:f>
      </x:c>
      <x:c r="FP12" s="35" t="n">
        <x:f>IF(FP11=0,0,IF((12*(YEAR(FP$3)-YEAR($B$7))+MONTH(FP$3)-MONTH($B$7)+1)/MAX(1,'Вводные'!$F$88)&lt;=0.2,0.6,IF((12*(YEAR(FP$3)-YEAR($B$7))+MONTH(FP$3)-MONTH($B$7)+1)/MAX(1,'Вводные'!$F$88)&lt;=0.8,1.2,0.8)))</x:f>
      </x:c>
      <x:c r="FQ12" s="35" t="n">
        <x:f>IF(FQ11=0,0,IF((12*(YEAR(FQ$3)-YEAR($B$7))+MONTH(FQ$3)-MONTH($B$7)+1)/MAX(1,'Вводные'!$F$88)&lt;=0.2,0.6,IF((12*(YEAR(FQ$3)-YEAR($B$7))+MONTH(FQ$3)-MONTH($B$7)+1)/MAX(1,'Вводные'!$F$88)&lt;=0.8,1.2,0.8)))</x:f>
      </x:c>
      <x:c r="FR12" s="35" t="n">
        <x:f>IF(FR11=0,0,IF((12*(YEAR(FR$3)-YEAR($B$7))+MONTH(FR$3)-MONTH($B$7)+1)/MAX(1,'Вводные'!$F$88)&lt;=0.2,0.6,IF((12*(YEAR(FR$3)-YEAR($B$7))+MONTH(FR$3)-MONTH($B$7)+1)/MAX(1,'Вводные'!$F$88)&lt;=0.8,1.2,0.8)))</x:f>
      </x:c>
      <x:c r="FS12" s="35" t="n">
        <x:f>IF(FS11=0,0,IF((12*(YEAR(FS$3)-YEAR($B$7))+MONTH(FS$3)-MONTH($B$7)+1)/MAX(1,'Вводные'!$F$88)&lt;=0.2,0.6,IF((12*(YEAR(FS$3)-YEAR($B$7))+MONTH(FS$3)-MONTH($B$7)+1)/MAX(1,'Вводные'!$F$88)&lt;=0.8,1.2,0.8)))</x:f>
      </x:c>
      <x:c r="FT12" s="35" t="n">
        <x:f>IF(FT11=0,0,IF((12*(YEAR(FT$3)-YEAR($B$7))+MONTH(FT$3)-MONTH($B$7)+1)/MAX(1,'Вводные'!$F$88)&lt;=0.2,0.6,IF((12*(YEAR(FT$3)-YEAR($B$7))+MONTH(FT$3)-MONTH($B$7)+1)/MAX(1,'Вводные'!$F$88)&lt;=0.8,1.2,0.8)))</x:f>
      </x:c>
      <x:c r="FU12" s="35" t="n">
        <x:f>IF(FU11=0,0,IF((12*(YEAR(FU$3)-YEAR($B$7))+MONTH(FU$3)-MONTH($B$7)+1)/MAX(1,'Вводные'!$F$88)&lt;=0.2,0.6,IF((12*(YEAR(FU$3)-YEAR($B$7))+MONTH(FU$3)-MONTH($B$7)+1)/MAX(1,'Вводные'!$F$88)&lt;=0.8,1.2,0.8)))</x:f>
      </x:c>
      <x:c r="FV12" s="35" t="n">
        <x:f>IF(FV11=0,0,IF((12*(YEAR(FV$3)-YEAR($B$7))+MONTH(FV$3)-MONTH($B$7)+1)/MAX(1,'Вводные'!$F$88)&lt;=0.2,0.6,IF((12*(YEAR(FV$3)-YEAR($B$7))+MONTH(FV$3)-MONTH($B$7)+1)/MAX(1,'Вводные'!$F$88)&lt;=0.8,1.2,0.8)))</x:f>
      </x:c>
      <x:c r="FW12" s="35" t="n">
        <x:f>IF(FW11=0,0,IF((12*(YEAR(FW$3)-YEAR($B$7))+MONTH(FW$3)-MONTH($B$7)+1)/MAX(1,'Вводные'!$F$88)&lt;=0.2,0.6,IF((12*(YEAR(FW$3)-YEAR($B$7))+MONTH(FW$3)-MONTH($B$7)+1)/MAX(1,'Вводные'!$F$88)&lt;=0.8,1.2,0.8)))</x:f>
      </x:c>
      <x:c r="FX12" s="35" t="n">
        <x:f>IF(FX11=0,0,IF((12*(YEAR(FX$3)-YEAR($B$7))+MONTH(FX$3)-MONTH($B$7)+1)/MAX(1,'Вводные'!$F$88)&lt;=0.2,0.6,IF((12*(YEAR(FX$3)-YEAR($B$7))+MONTH(FX$3)-MONTH($B$7)+1)/MAX(1,'Вводные'!$F$88)&lt;=0.8,1.2,0.8)))</x:f>
      </x:c>
      <x:c r="FY12" s="35" t="n">
        <x:f>IF(FY11=0,0,IF((12*(YEAR(FY$3)-YEAR($B$7))+MONTH(FY$3)-MONTH($B$7)+1)/MAX(1,'Вводные'!$F$88)&lt;=0.2,0.6,IF((12*(YEAR(FY$3)-YEAR($B$7))+MONTH(FY$3)-MONTH($B$7)+1)/MAX(1,'Вводные'!$F$88)&lt;=0.8,1.2,0.8)))</x:f>
      </x:c>
      <x:c r="FZ12" s="35" t="n">
        <x:f>IF(FZ11=0,0,IF((12*(YEAR(FZ$3)-YEAR($B$7))+MONTH(FZ$3)-MONTH($B$7)+1)/MAX(1,'Вводные'!$F$88)&lt;=0.2,0.6,IF((12*(YEAR(FZ$3)-YEAR($B$7))+MONTH(FZ$3)-MONTH($B$7)+1)/MAX(1,'Вводные'!$F$88)&lt;=0.8,1.2,0.8)))</x:f>
      </x:c>
      <x:c r="GA12" s="35" t="n">
        <x:f>IF(GA11=0,0,IF((12*(YEAR(GA$3)-YEAR($B$7))+MONTH(GA$3)-MONTH($B$7)+1)/MAX(1,'Вводные'!$F$88)&lt;=0.2,0.6,IF((12*(YEAR(GA$3)-YEAR($B$7))+MONTH(GA$3)-MONTH($B$7)+1)/MAX(1,'Вводные'!$F$88)&lt;=0.8,1.2,0.8)))</x:f>
      </x:c>
    </x:row>
    <x:row r="13">
      <x:c r="A13" t="str">
        <x:v>Нормированный вес строительства</x:v>
      </x:c>
      <x:c r="B13"/>
      <x:c r="C13" t="str">
        <x:v>%</x:v>
      </x:c>
      <x:c r="D13" s="35" t="n">
        <x:f>IFERROR(D12/SUM($D12:$GA12),0)</x:f>
      </x:c>
      <x:c r="E13" s="35" t="n">
        <x:f>IFERROR(E12/SUM($D12:$GA12),0)</x:f>
      </x:c>
      <x:c r="F13" s="35" t="n">
        <x:f>IFERROR(F12/SUM($D12:$GA12),0)</x:f>
      </x:c>
      <x:c r="G13" s="35" t="n">
        <x:f>IFERROR(G12/SUM($D12:$GA12),0)</x:f>
      </x:c>
      <x:c r="H13" s="35" t="n">
        <x:f>IFERROR(H12/SUM($D12:$GA12),0)</x:f>
      </x:c>
      <x:c r="I13" s="35" t="n">
        <x:f>IFERROR(I12/SUM($D12:$GA12),0)</x:f>
      </x:c>
      <x:c r="J13" s="35" t="n">
        <x:f>IFERROR(J12/SUM($D12:$GA12),0)</x:f>
      </x:c>
      <x:c r="K13" s="35" t="n">
        <x:f>IFERROR(K12/SUM($D12:$GA12),0)</x:f>
      </x:c>
      <x:c r="L13" s="35" t="n">
        <x:f>IFERROR(L12/SUM($D12:$GA12),0)</x:f>
      </x:c>
      <x:c r="M13" s="35" t="n">
        <x:f>IFERROR(M12/SUM($D12:$GA12),0)</x:f>
      </x:c>
      <x:c r="N13" s="35" t="n">
        <x:f>IFERROR(N12/SUM($D12:$GA12),0)</x:f>
      </x:c>
      <x:c r="O13" s="35" t="n">
        <x:f>IFERROR(O12/SUM($D12:$GA12),0)</x:f>
      </x:c>
      <x:c r="P13" s="35" t="n">
        <x:f>IFERROR(P12/SUM($D12:$GA12),0)</x:f>
      </x:c>
      <x:c r="Q13" s="35" t="n">
        <x:f>IFERROR(Q12/SUM($D12:$GA12),0)</x:f>
      </x:c>
      <x:c r="R13" s="35" t="n">
        <x:f>IFERROR(R12/SUM($D12:$GA12),0)</x:f>
      </x:c>
      <x:c r="S13" s="35" t="n">
        <x:f>IFERROR(S12/SUM($D12:$GA12),0)</x:f>
      </x:c>
      <x:c r="T13" s="35" t="n">
        <x:f>IFERROR(T12/SUM($D12:$GA12),0)</x:f>
      </x:c>
      <x:c r="U13" s="35" t="n">
        <x:f>IFERROR(U12/SUM($D12:$GA12),0)</x:f>
      </x:c>
      <x:c r="V13" s="35" t="n">
        <x:f>IFERROR(V12/SUM($D12:$GA12),0)</x:f>
      </x:c>
      <x:c r="W13" s="35" t="n">
        <x:f>IFERROR(W12/SUM($D12:$GA12),0)</x:f>
      </x:c>
      <x:c r="X13" s="35" t="n">
        <x:f>IFERROR(X12/SUM($D12:$GA12),0)</x:f>
      </x:c>
      <x:c r="Y13" s="35" t="n">
        <x:f>IFERROR(Y12/SUM($D12:$GA12),0)</x:f>
      </x:c>
      <x:c r="Z13" s="35" t="n">
        <x:f>IFERROR(Z12/SUM($D12:$GA12),0)</x:f>
      </x:c>
      <x:c r="AA13" s="35" t="n">
        <x:f>IFERROR(AA12/SUM($D12:$GA12),0)</x:f>
      </x:c>
      <x:c r="AB13" s="35" t="n">
        <x:f>IFERROR(AB12/SUM($D12:$GA12),0)</x:f>
      </x:c>
      <x:c r="AC13" s="35" t="n">
        <x:f>IFERROR(AC12/SUM($D12:$GA12),0)</x:f>
      </x:c>
      <x:c r="AD13" s="35" t="n">
        <x:f>IFERROR(AD12/SUM($D12:$GA12),0)</x:f>
      </x:c>
      <x:c r="AE13" s="35" t="n">
        <x:f>IFERROR(AE12/SUM($D12:$GA12),0)</x:f>
      </x:c>
      <x:c r="AF13" s="35" t="n">
        <x:f>IFERROR(AF12/SUM($D12:$GA12),0)</x:f>
      </x:c>
      <x:c r="AG13" s="35" t="n">
        <x:f>IFERROR(AG12/SUM($D12:$GA12),0)</x:f>
      </x:c>
      <x:c r="AH13" s="35" t="n">
        <x:f>IFERROR(AH12/SUM($D12:$GA12),0)</x:f>
      </x:c>
      <x:c r="AI13" s="35" t="n">
        <x:f>IFERROR(AI12/SUM($D12:$GA12),0)</x:f>
      </x:c>
      <x:c r="AJ13" s="35" t="n">
        <x:f>IFERROR(AJ12/SUM($D12:$GA12),0)</x:f>
      </x:c>
      <x:c r="AK13" s="35" t="n">
        <x:f>IFERROR(AK12/SUM($D12:$GA12),0)</x:f>
      </x:c>
      <x:c r="AL13" s="35" t="n">
        <x:f>IFERROR(AL12/SUM($D12:$GA12),0)</x:f>
      </x:c>
      <x:c r="AM13" s="35" t="n">
        <x:f>IFERROR(AM12/SUM($D12:$GA12),0)</x:f>
      </x:c>
      <x:c r="AN13" s="35" t="n">
        <x:f>IFERROR(AN12/SUM($D12:$GA12),0)</x:f>
      </x:c>
      <x:c r="AO13" s="35" t="n">
        <x:f>IFERROR(AO12/SUM($D12:$GA12),0)</x:f>
      </x:c>
      <x:c r="AP13" s="35" t="n">
        <x:f>IFERROR(AP12/SUM($D12:$GA12),0)</x:f>
      </x:c>
      <x:c r="AQ13" s="35" t="n">
        <x:f>IFERROR(AQ12/SUM($D12:$GA12),0)</x:f>
      </x:c>
      <x:c r="AR13" s="35" t="n">
        <x:f>IFERROR(AR12/SUM($D12:$GA12),0)</x:f>
      </x:c>
      <x:c r="AS13" s="35" t="n">
        <x:f>IFERROR(AS12/SUM($D12:$GA12),0)</x:f>
      </x:c>
      <x:c r="AT13" s="35" t="n">
        <x:f>IFERROR(AT12/SUM($D12:$GA12),0)</x:f>
      </x:c>
      <x:c r="AU13" s="35" t="n">
        <x:f>IFERROR(AU12/SUM($D12:$GA12),0)</x:f>
      </x:c>
      <x:c r="AV13" s="35" t="n">
        <x:f>IFERROR(AV12/SUM($D12:$GA12),0)</x:f>
      </x:c>
      <x:c r="AW13" s="35" t="n">
        <x:f>IFERROR(AW12/SUM($D12:$GA12),0)</x:f>
      </x:c>
      <x:c r="AX13" s="35" t="n">
        <x:f>IFERROR(AX12/SUM($D12:$GA12),0)</x:f>
      </x:c>
      <x:c r="AY13" s="35" t="n">
        <x:f>IFERROR(AY12/SUM($D12:$GA12),0)</x:f>
      </x:c>
      <x:c r="AZ13" s="35" t="n">
        <x:f>IFERROR(AZ12/SUM($D12:$GA12),0)</x:f>
      </x:c>
      <x:c r="BA13" s="35" t="n">
        <x:f>IFERROR(BA12/SUM($D12:$GA12),0)</x:f>
      </x:c>
      <x:c r="BB13" s="35" t="n">
        <x:f>IFERROR(BB12/SUM($D12:$GA12),0)</x:f>
      </x:c>
      <x:c r="BC13" s="35" t="n">
        <x:f>IFERROR(BC12/SUM($D12:$GA12),0)</x:f>
      </x:c>
      <x:c r="BD13" s="35" t="n">
        <x:f>IFERROR(BD12/SUM($D12:$GA12),0)</x:f>
      </x:c>
      <x:c r="BE13" s="35" t="n">
        <x:f>IFERROR(BE12/SUM($D12:$GA12),0)</x:f>
      </x:c>
      <x:c r="BF13" s="35" t="n">
        <x:f>IFERROR(BF12/SUM($D12:$GA12),0)</x:f>
      </x:c>
      <x:c r="BG13" s="35" t="n">
        <x:f>IFERROR(BG12/SUM($D12:$GA12),0)</x:f>
      </x:c>
      <x:c r="BH13" s="35" t="n">
        <x:f>IFERROR(BH12/SUM($D12:$GA12),0)</x:f>
      </x:c>
      <x:c r="BI13" s="35" t="n">
        <x:f>IFERROR(BI12/SUM($D12:$GA12),0)</x:f>
      </x:c>
      <x:c r="BJ13" s="35" t="n">
        <x:f>IFERROR(BJ12/SUM($D12:$GA12),0)</x:f>
      </x:c>
      <x:c r="BK13" s="35" t="n">
        <x:f>IFERROR(BK12/SUM($D12:$GA12),0)</x:f>
      </x:c>
      <x:c r="BL13" s="35" t="n">
        <x:f>IFERROR(BL12/SUM($D12:$GA12),0)</x:f>
      </x:c>
      <x:c r="BM13" s="35" t="n">
        <x:f>IFERROR(BM12/SUM($D12:$GA12),0)</x:f>
      </x:c>
      <x:c r="BN13" s="35" t="n">
        <x:f>IFERROR(BN12/SUM($D12:$GA12),0)</x:f>
      </x:c>
      <x:c r="BO13" s="35" t="n">
        <x:f>IFERROR(BO12/SUM($D12:$GA12),0)</x:f>
      </x:c>
      <x:c r="BP13" s="35" t="n">
        <x:f>IFERROR(BP12/SUM($D12:$GA12),0)</x:f>
      </x:c>
      <x:c r="BQ13" s="35" t="n">
        <x:f>IFERROR(BQ12/SUM($D12:$GA12),0)</x:f>
      </x:c>
      <x:c r="BR13" s="35" t="n">
        <x:f>IFERROR(BR12/SUM($D12:$GA12),0)</x:f>
      </x:c>
      <x:c r="BS13" s="35" t="n">
        <x:f>IFERROR(BS12/SUM($D12:$GA12),0)</x:f>
      </x:c>
      <x:c r="BT13" s="35" t="n">
        <x:f>IFERROR(BT12/SUM($D12:$GA12),0)</x:f>
      </x:c>
      <x:c r="BU13" s="35" t="n">
        <x:f>IFERROR(BU12/SUM($D12:$GA12),0)</x:f>
      </x:c>
      <x:c r="BV13" s="35" t="n">
        <x:f>IFERROR(BV12/SUM($D12:$GA12),0)</x:f>
      </x:c>
      <x:c r="BW13" s="35" t="n">
        <x:f>IFERROR(BW12/SUM($D12:$GA12),0)</x:f>
      </x:c>
      <x:c r="BX13" s="35" t="n">
        <x:f>IFERROR(BX12/SUM($D12:$GA12),0)</x:f>
      </x:c>
      <x:c r="BY13" s="35" t="n">
        <x:f>IFERROR(BY12/SUM($D12:$GA12),0)</x:f>
      </x:c>
      <x:c r="BZ13" s="35" t="n">
        <x:f>IFERROR(BZ12/SUM($D12:$GA12),0)</x:f>
      </x:c>
      <x:c r="CA13" s="35" t="n">
        <x:f>IFERROR(CA12/SUM($D12:$GA12),0)</x:f>
      </x:c>
      <x:c r="CB13" s="35" t="n">
        <x:f>IFERROR(CB12/SUM($D12:$GA12),0)</x:f>
      </x:c>
      <x:c r="CC13" s="35" t="n">
        <x:f>IFERROR(CC12/SUM($D12:$GA12),0)</x:f>
      </x:c>
      <x:c r="CD13" s="35" t="n">
        <x:f>IFERROR(CD12/SUM($D12:$GA12),0)</x:f>
      </x:c>
      <x:c r="CE13" s="35" t="n">
        <x:f>IFERROR(CE12/SUM($D12:$GA12),0)</x:f>
      </x:c>
      <x:c r="CF13" s="35" t="n">
        <x:f>IFERROR(CF12/SUM($D12:$GA12),0)</x:f>
      </x:c>
      <x:c r="CG13" s="35" t="n">
        <x:f>IFERROR(CG12/SUM($D12:$GA12),0)</x:f>
      </x:c>
      <x:c r="CH13" s="35" t="n">
        <x:f>IFERROR(CH12/SUM($D12:$GA12),0)</x:f>
      </x:c>
      <x:c r="CI13" s="35" t="n">
        <x:f>IFERROR(CI12/SUM($D12:$GA12),0)</x:f>
      </x:c>
      <x:c r="CJ13" s="35" t="n">
        <x:f>IFERROR(CJ12/SUM($D12:$GA12),0)</x:f>
      </x:c>
      <x:c r="CK13" s="35" t="n">
        <x:f>IFERROR(CK12/SUM($D12:$GA12),0)</x:f>
      </x:c>
      <x:c r="CL13" s="35" t="n">
        <x:f>IFERROR(CL12/SUM($D12:$GA12),0)</x:f>
      </x:c>
      <x:c r="CM13" s="35" t="n">
        <x:f>IFERROR(CM12/SUM($D12:$GA12),0)</x:f>
      </x:c>
      <x:c r="CN13" s="35" t="n">
        <x:f>IFERROR(CN12/SUM($D12:$GA12),0)</x:f>
      </x:c>
      <x:c r="CO13" s="35" t="n">
        <x:f>IFERROR(CO12/SUM($D12:$GA12),0)</x:f>
      </x:c>
      <x:c r="CP13" s="35" t="n">
        <x:f>IFERROR(CP12/SUM($D12:$GA12),0)</x:f>
      </x:c>
      <x:c r="CQ13" s="35" t="n">
        <x:f>IFERROR(CQ12/SUM($D12:$GA12),0)</x:f>
      </x:c>
      <x:c r="CR13" s="35" t="n">
        <x:f>IFERROR(CR12/SUM($D12:$GA12),0)</x:f>
      </x:c>
      <x:c r="CS13" s="35" t="n">
        <x:f>IFERROR(CS12/SUM($D12:$GA12),0)</x:f>
      </x:c>
      <x:c r="CT13" s="35" t="n">
        <x:f>IFERROR(CT12/SUM($D12:$GA12),0)</x:f>
      </x:c>
      <x:c r="CU13" s="35" t="n">
        <x:f>IFERROR(CU12/SUM($D12:$GA12),0)</x:f>
      </x:c>
      <x:c r="CV13" s="35" t="n">
        <x:f>IFERROR(CV12/SUM($D12:$GA12),0)</x:f>
      </x:c>
      <x:c r="CW13" s="35" t="n">
        <x:f>IFERROR(CW12/SUM($D12:$GA12),0)</x:f>
      </x:c>
      <x:c r="CX13" s="35" t="n">
        <x:f>IFERROR(CX12/SUM($D12:$GA12),0)</x:f>
      </x:c>
      <x:c r="CY13" s="35" t="n">
        <x:f>IFERROR(CY12/SUM($D12:$GA12),0)</x:f>
      </x:c>
      <x:c r="CZ13" s="35" t="n">
        <x:f>IFERROR(CZ12/SUM($D12:$GA12),0)</x:f>
      </x:c>
      <x:c r="DA13" s="35" t="n">
        <x:f>IFERROR(DA12/SUM($D12:$GA12),0)</x:f>
      </x:c>
      <x:c r="DB13" s="35" t="n">
        <x:f>IFERROR(DB12/SUM($D12:$GA12),0)</x:f>
      </x:c>
      <x:c r="DC13" s="35" t="n">
        <x:f>IFERROR(DC12/SUM($D12:$GA12),0)</x:f>
      </x:c>
      <x:c r="DD13" s="35" t="n">
        <x:f>IFERROR(DD12/SUM($D12:$GA12),0)</x:f>
      </x:c>
      <x:c r="DE13" s="35" t="n">
        <x:f>IFERROR(DE12/SUM($D12:$GA12),0)</x:f>
      </x:c>
      <x:c r="DF13" s="35" t="n">
        <x:f>IFERROR(DF12/SUM($D12:$GA12),0)</x:f>
      </x:c>
      <x:c r="DG13" s="35" t="n">
        <x:f>IFERROR(DG12/SUM($D12:$GA12),0)</x:f>
      </x:c>
      <x:c r="DH13" s="35" t="n">
        <x:f>IFERROR(DH12/SUM($D12:$GA12),0)</x:f>
      </x:c>
      <x:c r="DI13" s="35" t="n">
        <x:f>IFERROR(DI12/SUM($D12:$GA12),0)</x:f>
      </x:c>
      <x:c r="DJ13" s="35" t="n">
        <x:f>IFERROR(DJ12/SUM($D12:$GA12),0)</x:f>
      </x:c>
      <x:c r="DK13" s="35" t="n">
        <x:f>IFERROR(DK12/SUM($D12:$GA12),0)</x:f>
      </x:c>
      <x:c r="DL13" s="35" t="n">
        <x:f>IFERROR(DL12/SUM($D12:$GA12),0)</x:f>
      </x:c>
      <x:c r="DM13" s="35" t="n">
        <x:f>IFERROR(DM12/SUM($D12:$GA12),0)</x:f>
      </x:c>
      <x:c r="DN13" s="35" t="n">
        <x:f>IFERROR(DN12/SUM($D12:$GA12),0)</x:f>
      </x:c>
      <x:c r="DO13" s="35" t="n">
        <x:f>IFERROR(DO12/SUM($D12:$GA12),0)</x:f>
      </x:c>
      <x:c r="DP13" s="35" t="n">
        <x:f>IFERROR(DP12/SUM($D12:$GA12),0)</x:f>
      </x:c>
      <x:c r="DQ13" s="35" t="n">
        <x:f>IFERROR(DQ12/SUM($D12:$GA12),0)</x:f>
      </x:c>
      <x:c r="DR13" s="35" t="n">
        <x:f>IFERROR(DR12/SUM($D12:$GA12),0)</x:f>
      </x:c>
      <x:c r="DS13" s="35" t="n">
        <x:f>IFERROR(DS12/SUM($D12:$GA12),0)</x:f>
      </x:c>
      <x:c r="DT13" s="35" t="n">
        <x:f>IFERROR(DT12/SUM($D12:$GA12),0)</x:f>
      </x:c>
      <x:c r="DU13" s="35" t="n">
        <x:f>IFERROR(DU12/SUM($D12:$GA12),0)</x:f>
      </x:c>
      <x:c r="DV13" s="35" t="n">
        <x:f>IFERROR(DV12/SUM($D12:$GA12),0)</x:f>
      </x:c>
      <x:c r="DW13" s="35" t="n">
        <x:f>IFERROR(DW12/SUM($D12:$GA12),0)</x:f>
      </x:c>
      <x:c r="DX13" s="35" t="n">
        <x:f>IFERROR(DX12/SUM($D12:$GA12),0)</x:f>
      </x:c>
      <x:c r="DY13" s="35" t="n">
        <x:f>IFERROR(DY12/SUM($D12:$GA12),0)</x:f>
      </x:c>
      <x:c r="DZ13" s="35" t="n">
        <x:f>IFERROR(DZ12/SUM($D12:$GA12),0)</x:f>
      </x:c>
      <x:c r="EA13" s="35" t="n">
        <x:f>IFERROR(EA12/SUM($D12:$GA12),0)</x:f>
      </x:c>
      <x:c r="EB13" s="35" t="n">
        <x:f>IFERROR(EB12/SUM($D12:$GA12),0)</x:f>
      </x:c>
      <x:c r="EC13" s="35" t="n">
        <x:f>IFERROR(EC12/SUM($D12:$GA12),0)</x:f>
      </x:c>
      <x:c r="ED13" s="35" t="n">
        <x:f>IFERROR(ED12/SUM($D12:$GA12),0)</x:f>
      </x:c>
      <x:c r="EE13" s="35" t="n">
        <x:f>IFERROR(EE12/SUM($D12:$GA12),0)</x:f>
      </x:c>
      <x:c r="EF13" s="35" t="n">
        <x:f>IFERROR(EF12/SUM($D12:$GA12),0)</x:f>
      </x:c>
      <x:c r="EG13" s="35" t="n">
        <x:f>IFERROR(EG12/SUM($D12:$GA12),0)</x:f>
      </x:c>
      <x:c r="EH13" s="35" t="n">
        <x:f>IFERROR(EH12/SUM($D12:$GA12),0)</x:f>
      </x:c>
      <x:c r="EI13" s="35" t="n">
        <x:f>IFERROR(EI12/SUM($D12:$GA12),0)</x:f>
      </x:c>
      <x:c r="EJ13" s="35" t="n">
        <x:f>IFERROR(EJ12/SUM($D12:$GA12),0)</x:f>
      </x:c>
      <x:c r="EK13" s="35" t="n">
        <x:f>IFERROR(EK12/SUM($D12:$GA12),0)</x:f>
      </x:c>
      <x:c r="EL13" s="35" t="n">
        <x:f>IFERROR(EL12/SUM($D12:$GA12),0)</x:f>
      </x:c>
      <x:c r="EM13" s="35" t="n">
        <x:f>IFERROR(EM12/SUM($D12:$GA12),0)</x:f>
      </x:c>
      <x:c r="EN13" s="35" t="n">
        <x:f>IFERROR(EN12/SUM($D12:$GA12),0)</x:f>
      </x:c>
      <x:c r="EO13" s="35" t="n">
        <x:f>IFERROR(EO12/SUM($D12:$GA12),0)</x:f>
      </x:c>
      <x:c r="EP13" s="35" t="n">
        <x:f>IFERROR(EP12/SUM($D12:$GA12),0)</x:f>
      </x:c>
      <x:c r="EQ13" s="35" t="n">
        <x:f>IFERROR(EQ12/SUM($D12:$GA12),0)</x:f>
      </x:c>
      <x:c r="ER13" s="35" t="n">
        <x:f>IFERROR(ER12/SUM($D12:$GA12),0)</x:f>
      </x:c>
      <x:c r="ES13" s="35" t="n">
        <x:f>IFERROR(ES12/SUM($D12:$GA12),0)</x:f>
      </x:c>
      <x:c r="ET13" s="35" t="n">
        <x:f>IFERROR(ET12/SUM($D12:$GA12),0)</x:f>
      </x:c>
      <x:c r="EU13" s="35" t="n">
        <x:f>IFERROR(EU12/SUM($D12:$GA12),0)</x:f>
      </x:c>
      <x:c r="EV13" s="35" t="n">
        <x:f>IFERROR(EV12/SUM($D12:$GA12),0)</x:f>
      </x:c>
      <x:c r="EW13" s="35" t="n">
        <x:f>IFERROR(EW12/SUM($D12:$GA12),0)</x:f>
      </x:c>
      <x:c r="EX13" s="35" t="n">
        <x:f>IFERROR(EX12/SUM($D12:$GA12),0)</x:f>
      </x:c>
      <x:c r="EY13" s="35" t="n">
        <x:f>IFERROR(EY12/SUM($D12:$GA12),0)</x:f>
      </x:c>
      <x:c r="EZ13" s="35" t="n">
        <x:f>IFERROR(EZ12/SUM($D12:$GA12),0)</x:f>
      </x:c>
      <x:c r="FA13" s="35" t="n">
        <x:f>IFERROR(FA12/SUM($D12:$GA12),0)</x:f>
      </x:c>
      <x:c r="FB13" s="35" t="n">
        <x:f>IFERROR(FB12/SUM($D12:$GA12),0)</x:f>
      </x:c>
      <x:c r="FC13" s="35" t="n">
        <x:f>IFERROR(FC12/SUM($D12:$GA12),0)</x:f>
      </x:c>
      <x:c r="FD13" s="35" t="n">
        <x:f>IFERROR(FD12/SUM($D12:$GA12),0)</x:f>
      </x:c>
      <x:c r="FE13" s="35" t="n">
        <x:f>IFERROR(FE12/SUM($D12:$GA12),0)</x:f>
      </x:c>
      <x:c r="FF13" s="35" t="n">
        <x:f>IFERROR(FF12/SUM($D12:$GA12),0)</x:f>
      </x:c>
      <x:c r="FG13" s="35" t="n">
        <x:f>IFERROR(FG12/SUM($D12:$GA12),0)</x:f>
      </x:c>
      <x:c r="FH13" s="35" t="n">
        <x:f>IFERROR(FH12/SUM($D12:$GA12),0)</x:f>
      </x:c>
      <x:c r="FI13" s="35" t="n">
        <x:f>IFERROR(FI12/SUM($D12:$GA12),0)</x:f>
      </x:c>
      <x:c r="FJ13" s="35" t="n">
        <x:f>IFERROR(FJ12/SUM($D12:$GA12),0)</x:f>
      </x:c>
      <x:c r="FK13" s="35" t="n">
        <x:f>IFERROR(FK12/SUM($D12:$GA12),0)</x:f>
      </x:c>
      <x:c r="FL13" s="35" t="n">
        <x:f>IFERROR(FL12/SUM($D12:$GA12),0)</x:f>
      </x:c>
      <x:c r="FM13" s="35" t="n">
        <x:f>IFERROR(FM12/SUM($D12:$GA12),0)</x:f>
      </x:c>
      <x:c r="FN13" s="35" t="n">
        <x:f>IFERROR(FN12/SUM($D12:$GA12),0)</x:f>
      </x:c>
      <x:c r="FO13" s="35" t="n">
        <x:f>IFERROR(FO12/SUM($D12:$GA12),0)</x:f>
      </x:c>
      <x:c r="FP13" s="35" t="n">
        <x:f>IFERROR(FP12/SUM($D12:$GA12),0)</x:f>
      </x:c>
      <x:c r="FQ13" s="35" t="n">
        <x:f>IFERROR(FQ12/SUM($D12:$GA12),0)</x:f>
      </x:c>
      <x:c r="FR13" s="35" t="n">
        <x:f>IFERROR(FR12/SUM($D12:$GA12),0)</x:f>
      </x:c>
      <x:c r="FS13" s="35" t="n">
        <x:f>IFERROR(FS12/SUM($D12:$GA12),0)</x:f>
      </x:c>
      <x:c r="FT13" s="35" t="n">
        <x:f>IFERROR(FT12/SUM($D12:$GA12),0)</x:f>
      </x:c>
      <x:c r="FU13" s="35" t="n">
        <x:f>IFERROR(FU12/SUM($D12:$GA12),0)</x:f>
      </x:c>
      <x:c r="FV13" s="35" t="n">
        <x:f>IFERROR(FV12/SUM($D12:$GA12),0)</x:f>
      </x:c>
      <x:c r="FW13" s="35" t="n">
        <x:f>IFERROR(FW12/SUM($D12:$GA12),0)</x:f>
      </x:c>
      <x:c r="FX13" s="35" t="n">
        <x:f>IFERROR(FX12/SUM($D12:$GA12),0)</x:f>
      </x:c>
      <x:c r="FY13" s="35" t="n">
        <x:f>IFERROR(FY12/SUM($D12:$GA12),0)</x:f>
      </x:c>
      <x:c r="FZ13" s="35" t="n">
        <x:f>IFERROR(FZ12/SUM($D12:$GA12),0)</x:f>
      </x:c>
      <x:c r="GA13" s="35" t="n">
        <x:f>IFERROR(GA12/SUM($D12:$GA12),0)</x:f>
      </x:c>
    </x:row>
    <x:row r="14">
      <x:c r="A14" t="str">
        <x:v>Покупка / цена входа</x:v>
      </x:c>
      <x:c r="B14" s="107" t="n">
        <x:f>'Вводные'!$B$15*'Вводные'!$P$88*--('Вводные'!$B$88="Да")</x:f>
      </x:c>
      <x:c r="C14" t="str">
        <x:v>млн ₽</x:v>
      </x:c>
      <x:c r="D14" s="117" t="n">
        <x:f>IF(AND(YEAR(D$3)=YEAR(EDATE('Вводные'!$D$88,'Вводные'!$H$9)),MONTH(D$3)=MONTH(EDATE('Вводные'!$D$88,'Вводные'!$H$9))),$B$14,0)</x:f>
      </x:c>
      <x:c r="E14" s="117" t="n">
        <x:f>IF(AND(YEAR(E$3)=YEAR(EDATE('Вводные'!$D$88,'Вводные'!$H$9)),MONTH(E$3)=MONTH(EDATE('Вводные'!$D$88,'Вводные'!$H$9))),$B$14,0)</x:f>
      </x:c>
      <x:c r="F14" s="117" t="n">
        <x:f>IF(AND(YEAR(F$3)=YEAR(EDATE('Вводные'!$D$88,'Вводные'!$H$9)),MONTH(F$3)=MONTH(EDATE('Вводные'!$D$88,'Вводные'!$H$9))),$B$14,0)</x:f>
      </x:c>
      <x:c r="G14" s="117" t="n">
        <x:f>IF(AND(YEAR(G$3)=YEAR(EDATE('Вводные'!$D$88,'Вводные'!$H$9)),MONTH(G$3)=MONTH(EDATE('Вводные'!$D$88,'Вводные'!$H$9))),$B$14,0)</x:f>
      </x:c>
      <x:c r="H14" s="117" t="n">
        <x:f>IF(AND(YEAR(H$3)=YEAR(EDATE('Вводные'!$D$88,'Вводные'!$H$9)),MONTH(H$3)=MONTH(EDATE('Вводные'!$D$88,'Вводные'!$H$9))),$B$14,0)</x:f>
      </x:c>
      <x:c r="I14" s="117" t="n">
        <x:f>IF(AND(YEAR(I$3)=YEAR(EDATE('Вводные'!$D$88,'Вводные'!$H$9)),MONTH(I$3)=MONTH(EDATE('Вводные'!$D$88,'Вводные'!$H$9))),$B$14,0)</x:f>
      </x:c>
      <x:c r="J14" s="117" t="n">
        <x:f>IF(AND(YEAR(J$3)=YEAR(EDATE('Вводные'!$D$88,'Вводные'!$H$9)),MONTH(J$3)=MONTH(EDATE('Вводные'!$D$88,'Вводные'!$H$9))),$B$14,0)</x:f>
      </x:c>
      <x:c r="K14" s="117" t="n">
        <x:f>IF(AND(YEAR(K$3)=YEAR(EDATE('Вводные'!$D$88,'Вводные'!$H$9)),MONTH(K$3)=MONTH(EDATE('Вводные'!$D$88,'Вводные'!$H$9))),$B$14,0)</x:f>
      </x:c>
      <x:c r="L14" s="117" t="n">
        <x:f>IF(AND(YEAR(L$3)=YEAR(EDATE('Вводные'!$D$88,'Вводные'!$H$9)),MONTH(L$3)=MONTH(EDATE('Вводные'!$D$88,'Вводные'!$H$9))),$B$14,0)</x:f>
      </x:c>
      <x:c r="M14" s="117" t="n">
        <x:f>IF(AND(YEAR(M$3)=YEAR(EDATE('Вводные'!$D$88,'Вводные'!$H$9)),MONTH(M$3)=MONTH(EDATE('Вводные'!$D$88,'Вводные'!$H$9))),$B$14,0)</x:f>
      </x:c>
      <x:c r="N14" s="117" t="n">
        <x:f>IF(AND(YEAR(N$3)=YEAR(EDATE('Вводные'!$D$88,'Вводные'!$H$9)),MONTH(N$3)=MONTH(EDATE('Вводные'!$D$88,'Вводные'!$H$9))),$B$14,0)</x:f>
      </x:c>
      <x:c r="O14" s="117" t="n">
        <x:f>IF(AND(YEAR(O$3)=YEAR(EDATE('Вводные'!$D$88,'Вводные'!$H$9)),MONTH(O$3)=MONTH(EDATE('Вводные'!$D$88,'Вводные'!$H$9))),$B$14,0)</x:f>
      </x:c>
      <x:c r="P14" s="117" t="n">
        <x:f>IF(AND(YEAR(P$3)=YEAR(EDATE('Вводные'!$D$88,'Вводные'!$H$9)),MONTH(P$3)=MONTH(EDATE('Вводные'!$D$88,'Вводные'!$H$9))),$B$14,0)</x:f>
      </x:c>
      <x:c r="Q14" s="117" t="n">
        <x:f>IF(AND(YEAR(Q$3)=YEAR(EDATE('Вводные'!$D$88,'Вводные'!$H$9)),MONTH(Q$3)=MONTH(EDATE('Вводные'!$D$88,'Вводные'!$H$9))),$B$14,0)</x:f>
      </x:c>
      <x:c r="R14" s="117" t="n">
        <x:f>IF(AND(YEAR(R$3)=YEAR(EDATE('Вводные'!$D$88,'Вводные'!$H$9)),MONTH(R$3)=MONTH(EDATE('Вводные'!$D$88,'Вводные'!$H$9))),$B$14,0)</x:f>
      </x:c>
      <x:c r="S14" s="117" t="n">
        <x:f>IF(AND(YEAR(S$3)=YEAR(EDATE('Вводные'!$D$88,'Вводные'!$H$9)),MONTH(S$3)=MONTH(EDATE('Вводные'!$D$88,'Вводные'!$H$9))),$B$14,0)</x:f>
      </x:c>
      <x:c r="T14" s="117" t="n">
        <x:f>IF(AND(YEAR(T$3)=YEAR(EDATE('Вводные'!$D$88,'Вводные'!$H$9)),MONTH(T$3)=MONTH(EDATE('Вводные'!$D$88,'Вводные'!$H$9))),$B$14,0)</x:f>
      </x:c>
      <x:c r="U14" s="117" t="n">
        <x:f>IF(AND(YEAR(U$3)=YEAR(EDATE('Вводные'!$D$88,'Вводные'!$H$9)),MONTH(U$3)=MONTH(EDATE('Вводные'!$D$88,'Вводные'!$H$9))),$B$14,0)</x:f>
      </x:c>
      <x:c r="V14" s="117" t="n">
        <x:f>IF(AND(YEAR(V$3)=YEAR(EDATE('Вводные'!$D$88,'Вводные'!$H$9)),MONTH(V$3)=MONTH(EDATE('Вводные'!$D$88,'Вводные'!$H$9))),$B$14,0)</x:f>
      </x:c>
      <x:c r="W14" s="117" t="n">
        <x:f>IF(AND(YEAR(W$3)=YEAR(EDATE('Вводные'!$D$88,'Вводные'!$H$9)),MONTH(W$3)=MONTH(EDATE('Вводные'!$D$88,'Вводные'!$H$9))),$B$14,0)</x:f>
      </x:c>
      <x:c r="X14" s="117" t="n">
        <x:f>IF(AND(YEAR(X$3)=YEAR(EDATE('Вводные'!$D$88,'Вводные'!$H$9)),MONTH(X$3)=MONTH(EDATE('Вводные'!$D$88,'Вводные'!$H$9))),$B$14,0)</x:f>
      </x:c>
      <x:c r="Y14" s="117" t="n">
        <x:f>IF(AND(YEAR(Y$3)=YEAR(EDATE('Вводные'!$D$88,'Вводные'!$H$9)),MONTH(Y$3)=MONTH(EDATE('Вводные'!$D$88,'Вводные'!$H$9))),$B$14,0)</x:f>
      </x:c>
      <x:c r="Z14" s="117" t="n">
        <x:f>IF(AND(YEAR(Z$3)=YEAR(EDATE('Вводные'!$D$88,'Вводные'!$H$9)),MONTH(Z$3)=MONTH(EDATE('Вводные'!$D$88,'Вводные'!$H$9))),$B$14,0)</x:f>
      </x:c>
      <x:c r="AA14" s="117" t="n">
        <x:f>IF(AND(YEAR(AA$3)=YEAR(EDATE('Вводные'!$D$88,'Вводные'!$H$9)),MONTH(AA$3)=MONTH(EDATE('Вводные'!$D$88,'Вводные'!$H$9))),$B$14,0)</x:f>
      </x:c>
      <x:c r="AB14" s="117" t="n">
        <x:f>IF(AND(YEAR(AB$3)=YEAR(EDATE('Вводные'!$D$88,'Вводные'!$H$9)),MONTH(AB$3)=MONTH(EDATE('Вводные'!$D$88,'Вводные'!$H$9))),$B$14,0)</x:f>
      </x:c>
      <x:c r="AC14" s="117" t="n">
        <x:f>IF(AND(YEAR(AC$3)=YEAR(EDATE('Вводные'!$D$88,'Вводные'!$H$9)),MONTH(AC$3)=MONTH(EDATE('Вводные'!$D$88,'Вводные'!$H$9))),$B$14,0)</x:f>
      </x:c>
      <x:c r="AD14" s="117" t="n">
        <x:f>IF(AND(YEAR(AD$3)=YEAR(EDATE('Вводные'!$D$88,'Вводные'!$H$9)),MONTH(AD$3)=MONTH(EDATE('Вводные'!$D$88,'Вводные'!$H$9))),$B$14,0)</x:f>
      </x:c>
      <x:c r="AE14" s="117" t="n">
        <x:f>IF(AND(YEAR(AE$3)=YEAR(EDATE('Вводные'!$D$88,'Вводные'!$H$9)),MONTH(AE$3)=MONTH(EDATE('Вводные'!$D$88,'Вводные'!$H$9))),$B$14,0)</x:f>
      </x:c>
      <x:c r="AF14" s="117" t="n">
        <x:f>IF(AND(YEAR(AF$3)=YEAR(EDATE('Вводные'!$D$88,'Вводные'!$H$9)),MONTH(AF$3)=MONTH(EDATE('Вводные'!$D$88,'Вводные'!$H$9))),$B$14,0)</x:f>
      </x:c>
      <x:c r="AG14" s="117" t="n">
        <x:f>IF(AND(YEAR(AG$3)=YEAR(EDATE('Вводные'!$D$88,'Вводные'!$H$9)),MONTH(AG$3)=MONTH(EDATE('Вводные'!$D$88,'Вводные'!$H$9))),$B$14,0)</x:f>
      </x:c>
      <x:c r="AH14" s="117" t="n">
        <x:f>IF(AND(YEAR(AH$3)=YEAR(EDATE('Вводные'!$D$88,'Вводные'!$H$9)),MONTH(AH$3)=MONTH(EDATE('Вводные'!$D$88,'Вводные'!$H$9))),$B$14,0)</x:f>
      </x:c>
      <x:c r="AI14" s="117" t="n">
        <x:f>IF(AND(YEAR(AI$3)=YEAR(EDATE('Вводные'!$D$88,'Вводные'!$H$9)),MONTH(AI$3)=MONTH(EDATE('Вводные'!$D$88,'Вводные'!$H$9))),$B$14,0)</x:f>
      </x:c>
      <x:c r="AJ14" s="117" t="n">
        <x:f>IF(AND(YEAR(AJ$3)=YEAR(EDATE('Вводные'!$D$88,'Вводные'!$H$9)),MONTH(AJ$3)=MONTH(EDATE('Вводные'!$D$88,'Вводные'!$H$9))),$B$14,0)</x:f>
      </x:c>
      <x:c r="AK14" s="117" t="n">
        <x:f>IF(AND(YEAR(AK$3)=YEAR(EDATE('Вводные'!$D$88,'Вводные'!$H$9)),MONTH(AK$3)=MONTH(EDATE('Вводные'!$D$88,'Вводные'!$H$9))),$B$14,0)</x:f>
      </x:c>
      <x:c r="AL14" s="117" t="n">
        <x:f>IF(AND(YEAR(AL$3)=YEAR(EDATE('Вводные'!$D$88,'Вводные'!$H$9)),MONTH(AL$3)=MONTH(EDATE('Вводные'!$D$88,'Вводные'!$H$9))),$B$14,0)</x:f>
      </x:c>
      <x:c r="AM14" s="117" t="n">
        <x:f>IF(AND(YEAR(AM$3)=YEAR(EDATE('Вводные'!$D$88,'Вводные'!$H$9)),MONTH(AM$3)=MONTH(EDATE('Вводные'!$D$88,'Вводные'!$H$9))),$B$14,0)</x:f>
      </x:c>
      <x:c r="AN14" s="117" t="n">
        <x:f>IF(AND(YEAR(AN$3)=YEAR(EDATE('Вводные'!$D$88,'Вводные'!$H$9)),MONTH(AN$3)=MONTH(EDATE('Вводные'!$D$88,'Вводные'!$H$9))),$B$14,0)</x:f>
      </x:c>
      <x:c r="AO14" s="117" t="n">
        <x:f>IF(AND(YEAR(AO$3)=YEAR(EDATE('Вводные'!$D$88,'Вводные'!$H$9)),MONTH(AO$3)=MONTH(EDATE('Вводные'!$D$88,'Вводные'!$H$9))),$B$14,0)</x:f>
      </x:c>
      <x:c r="AP14" s="117" t="n">
        <x:f>IF(AND(YEAR(AP$3)=YEAR(EDATE('Вводные'!$D$88,'Вводные'!$H$9)),MONTH(AP$3)=MONTH(EDATE('Вводные'!$D$88,'Вводные'!$H$9))),$B$14,0)</x:f>
      </x:c>
      <x:c r="AQ14" s="117" t="n">
        <x:f>IF(AND(YEAR(AQ$3)=YEAR(EDATE('Вводные'!$D$88,'Вводные'!$H$9)),MONTH(AQ$3)=MONTH(EDATE('Вводные'!$D$88,'Вводные'!$H$9))),$B$14,0)</x:f>
      </x:c>
      <x:c r="AR14" s="117" t="n">
        <x:f>IF(AND(YEAR(AR$3)=YEAR(EDATE('Вводные'!$D$88,'Вводные'!$H$9)),MONTH(AR$3)=MONTH(EDATE('Вводные'!$D$88,'Вводные'!$H$9))),$B$14,0)</x:f>
      </x:c>
      <x:c r="AS14" s="117" t="n">
        <x:f>IF(AND(YEAR(AS$3)=YEAR(EDATE('Вводные'!$D$88,'Вводные'!$H$9)),MONTH(AS$3)=MONTH(EDATE('Вводные'!$D$88,'Вводные'!$H$9))),$B$14,0)</x:f>
      </x:c>
      <x:c r="AT14" s="117" t="n">
        <x:f>IF(AND(YEAR(AT$3)=YEAR(EDATE('Вводные'!$D$88,'Вводные'!$H$9)),MONTH(AT$3)=MONTH(EDATE('Вводные'!$D$88,'Вводные'!$H$9))),$B$14,0)</x:f>
      </x:c>
      <x:c r="AU14" s="117" t="n">
        <x:f>IF(AND(YEAR(AU$3)=YEAR(EDATE('Вводные'!$D$88,'Вводные'!$H$9)),MONTH(AU$3)=MONTH(EDATE('Вводные'!$D$88,'Вводные'!$H$9))),$B$14,0)</x:f>
      </x:c>
      <x:c r="AV14" s="117" t="n">
        <x:f>IF(AND(YEAR(AV$3)=YEAR(EDATE('Вводные'!$D$88,'Вводные'!$H$9)),MONTH(AV$3)=MONTH(EDATE('Вводные'!$D$88,'Вводные'!$H$9))),$B$14,0)</x:f>
      </x:c>
      <x:c r="AW14" s="117" t="n">
        <x:f>IF(AND(YEAR(AW$3)=YEAR(EDATE('Вводные'!$D$88,'Вводные'!$H$9)),MONTH(AW$3)=MONTH(EDATE('Вводные'!$D$88,'Вводные'!$H$9))),$B$14,0)</x:f>
      </x:c>
      <x:c r="AX14" s="117" t="n">
        <x:f>IF(AND(YEAR(AX$3)=YEAR(EDATE('Вводные'!$D$88,'Вводные'!$H$9)),MONTH(AX$3)=MONTH(EDATE('Вводные'!$D$88,'Вводные'!$H$9))),$B$14,0)</x:f>
      </x:c>
      <x:c r="AY14" s="117" t="n">
        <x:f>IF(AND(YEAR(AY$3)=YEAR(EDATE('Вводные'!$D$88,'Вводные'!$H$9)),MONTH(AY$3)=MONTH(EDATE('Вводные'!$D$88,'Вводные'!$H$9))),$B$14,0)</x:f>
      </x:c>
      <x:c r="AZ14" s="117" t="n">
        <x:f>IF(AND(YEAR(AZ$3)=YEAR(EDATE('Вводные'!$D$88,'Вводные'!$H$9)),MONTH(AZ$3)=MONTH(EDATE('Вводные'!$D$88,'Вводные'!$H$9))),$B$14,0)</x:f>
      </x:c>
      <x:c r="BA14" s="117" t="n">
        <x:f>IF(AND(YEAR(BA$3)=YEAR(EDATE('Вводные'!$D$88,'Вводные'!$H$9)),MONTH(BA$3)=MONTH(EDATE('Вводные'!$D$88,'Вводные'!$H$9))),$B$14,0)</x:f>
      </x:c>
      <x:c r="BB14" s="117" t="n">
        <x:f>IF(AND(YEAR(BB$3)=YEAR(EDATE('Вводные'!$D$88,'Вводные'!$H$9)),MONTH(BB$3)=MONTH(EDATE('Вводные'!$D$88,'Вводные'!$H$9))),$B$14,0)</x:f>
      </x:c>
      <x:c r="BC14" s="117" t="n">
        <x:f>IF(AND(YEAR(BC$3)=YEAR(EDATE('Вводные'!$D$88,'Вводные'!$H$9)),MONTH(BC$3)=MONTH(EDATE('Вводные'!$D$88,'Вводные'!$H$9))),$B$14,0)</x:f>
      </x:c>
      <x:c r="BD14" s="117" t="n">
        <x:f>IF(AND(YEAR(BD$3)=YEAR(EDATE('Вводные'!$D$88,'Вводные'!$H$9)),MONTH(BD$3)=MONTH(EDATE('Вводные'!$D$88,'Вводные'!$H$9))),$B$14,0)</x:f>
      </x:c>
      <x:c r="BE14" s="117" t="n">
        <x:f>IF(AND(YEAR(BE$3)=YEAR(EDATE('Вводные'!$D$88,'Вводные'!$H$9)),MONTH(BE$3)=MONTH(EDATE('Вводные'!$D$88,'Вводные'!$H$9))),$B$14,0)</x:f>
      </x:c>
      <x:c r="BF14" s="117" t="n">
        <x:f>IF(AND(YEAR(BF$3)=YEAR(EDATE('Вводные'!$D$88,'Вводные'!$H$9)),MONTH(BF$3)=MONTH(EDATE('Вводные'!$D$88,'Вводные'!$H$9))),$B$14,0)</x:f>
      </x:c>
      <x:c r="BG14" s="117" t="n">
        <x:f>IF(AND(YEAR(BG$3)=YEAR(EDATE('Вводные'!$D$88,'Вводные'!$H$9)),MONTH(BG$3)=MONTH(EDATE('Вводные'!$D$88,'Вводные'!$H$9))),$B$14,0)</x:f>
      </x:c>
      <x:c r="BH14" s="117" t="n">
        <x:f>IF(AND(YEAR(BH$3)=YEAR(EDATE('Вводные'!$D$88,'Вводные'!$H$9)),MONTH(BH$3)=MONTH(EDATE('Вводные'!$D$88,'Вводные'!$H$9))),$B$14,0)</x:f>
      </x:c>
      <x:c r="BI14" s="117" t="n">
        <x:f>IF(AND(YEAR(BI$3)=YEAR(EDATE('Вводные'!$D$88,'Вводные'!$H$9)),MONTH(BI$3)=MONTH(EDATE('Вводные'!$D$88,'Вводные'!$H$9))),$B$14,0)</x:f>
      </x:c>
      <x:c r="BJ14" s="117" t="n">
        <x:f>IF(AND(YEAR(BJ$3)=YEAR(EDATE('Вводные'!$D$88,'Вводные'!$H$9)),MONTH(BJ$3)=MONTH(EDATE('Вводные'!$D$88,'Вводные'!$H$9))),$B$14,0)</x:f>
      </x:c>
      <x:c r="BK14" s="117" t="n">
        <x:f>IF(AND(YEAR(BK$3)=YEAR(EDATE('Вводные'!$D$88,'Вводные'!$H$9)),MONTH(BK$3)=MONTH(EDATE('Вводные'!$D$88,'Вводные'!$H$9))),$B$14,0)</x:f>
      </x:c>
      <x:c r="BL14" s="117" t="n">
        <x:f>IF(AND(YEAR(BL$3)=YEAR(EDATE('Вводные'!$D$88,'Вводные'!$H$9)),MONTH(BL$3)=MONTH(EDATE('Вводные'!$D$88,'Вводные'!$H$9))),$B$14,0)</x:f>
      </x:c>
      <x:c r="BM14" s="117" t="n">
        <x:f>IF(AND(YEAR(BM$3)=YEAR(EDATE('Вводные'!$D$88,'Вводные'!$H$9)),MONTH(BM$3)=MONTH(EDATE('Вводные'!$D$88,'Вводные'!$H$9))),$B$14,0)</x:f>
      </x:c>
      <x:c r="BN14" s="117" t="n">
        <x:f>IF(AND(YEAR(BN$3)=YEAR(EDATE('Вводные'!$D$88,'Вводные'!$H$9)),MONTH(BN$3)=MONTH(EDATE('Вводные'!$D$88,'Вводные'!$H$9))),$B$14,0)</x:f>
      </x:c>
      <x:c r="BO14" s="117" t="n">
        <x:f>IF(AND(YEAR(BO$3)=YEAR(EDATE('Вводные'!$D$88,'Вводные'!$H$9)),MONTH(BO$3)=MONTH(EDATE('Вводные'!$D$88,'Вводные'!$H$9))),$B$14,0)</x:f>
      </x:c>
      <x:c r="BP14" s="117" t="n">
        <x:f>IF(AND(YEAR(BP$3)=YEAR(EDATE('Вводные'!$D$88,'Вводные'!$H$9)),MONTH(BP$3)=MONTH(EDATE('Вводные'!$D$88,'Вводные'!$H$9))),$B$14,0)</x:f>
      </x:c>
      <x:c r="BQ14" s="117" t="n">
        <x:f>IF(AND(YEAR(BQ$3)=YEAR(EDATE('Вводные'!$D$88,'Вводные'!$H$9)),MONTH(BQ$3)=MONTH(EDATE('Вводные'!$D$88,'Вводные'!$H$9))),$B$14,0)</x:f>
      </x:c>
      <x:c r="BR14" s="117" t="n">
        <x:f>IF(AND(YEAR(BR$3)=YEAR(EDATE('Вводные'!$D$88,'Вводные'!$H$9)),MONTH(BR$3)=MONTH(EDATE('Вводные'!$D$88,'Вводные'!$H$9))),$B$14,0)</x:f>
      </x:c>
      <x:c r="BS14" s="117" t="n">
        <x:f>IF(AND(YEAR(BS$3)=YEAR(EDATE('Вводные'!$D$88,'Вводные'!$H$9)),MONTH(BS$3)=MONTH(EDATE('Вводные'!$D$88,'Вводные'!$H$9))),$B$14,0)</x:f>
      </x:c>
      <x:c r="BT14" s="117" t="n">
        <x:f>IF(AND(YEAR(BT$3)=YEAR(EDATE('Вводные'!$D$88,'Вводные'!$H$9)),MONTH(BT$3)=MONTH(EDATE('Вводные'!$D$88,'Вводные'!$H$9))),$B$14,0)</x:f>
      </x:c>
      <x:c r="BU14" s="117" t="n">
        <x:f>IF(AND(YEAR(BU$3)=YEAR(EDATE('Вводные'!$D$88,'Вводные'!$H$9)),MONTH(BU$3)=MONTH(EDATE('Вводные'!$D$88,'Вводные'!$H$9))),$B$14,0)</x:f>
      </x:c>
      <x:c r="BV14" s="117" t="n">
        <x:f>IF(AND(YEAR(BV$3)=YEAR(EDATE('Вводные'!$D$88,'Вводные'!$H$9)),MONTH(BV$3)=MONTH(EDATE('Вводные'!$D$88,'Вводные'!$H$9))),$B$14,0)</x:f>
      </x:c>
      <x:c r="BW14" s="117" t="n">
        <x:f>IF(AND(YEAR(BW$3)=YEAR(EDATE('Вводные'!$D$88,'Вводные'!$H$9)),MONTH(BW$3)=MONTH(EDATE('Вводные'!$D$88,'Вводные'!$H$9))),$B$14,0)</x:f>
      </x:c>
      <x:c r="BX14" s="117" t="n">
        <x:f>IF(AND(YEAR(BX$3)=YEAR(EDATE('Вводные'!$D$88,'Вводные'!$H$9)),MONTH(BX$3)=MONTH(EDATE('Вводные'!$D$88,'Вводные'!$H$9))),$B$14,0)</x:f>
      </x:c>
      <x:c r="BY14" s="117" t="n">
        <x:f>IF(AND(YEAR(BY$3)=YEAR(EDATE('Вводные'!$D$88,'Вводные'!$H$9)),MONTH(BY$3)=MONTH(EDATE('Вводные'!$D$88,'Вводные'!$H$9))),$B$14,0)</x:f>
      </x:c>
      <x:c r="BZ14" s="117" t="n">
        <x:f>IF(AND(YEAR(BZ$3)=YEAR(EDATE('Вводные'!$D$88,'Вводные'!$H$9)),MONTH(BZ$3)=MONTH(EDATE('Вводные'!$D$88,'Вводные'!$H$9))),$B$14,0)</x:f>
      </x:c>
      <x:c r="CA14" s="117" t="n">
        <x:f>IF(AND(YEAR(CA$3)=YEAR(EDATE('Вводные'!$D$88,'Вводные'!$H$9)),MONTH(CA$3)=MONTH(EDATE('Вводные'!$D$88,'Вводные'!$H$9))),$B$14,0)</x:f>
      </x:c>
      <x:c r="CB14" s="117" t="n">
        <x:f>IF(AND(YEAR(CB$3)=YEAR(EDATE('Вводные'!$D$88,'Вводные'!$H$9)),MONTH(CB$3)=MONTH(EDATE('Вводные'!$D$88,'Вводные'!$H$9))),$B$14,0)</x:f>
      </x:c>
      <x:c r="CC14" s="117" t="n">
        <x:f>IF(AND(YEAR(CC$3)=YEAR(EDATE('Вводные'!$D$88,'Вводные'!$H$9)),MONTH(CC$3)=MONTH(EDATE('Вводные'!$D$88,'Вводные'!$H$9))),$B$14,0)</x:f>
      </x:c>
      <x:c r="CD14" s="117" t="n">
        <x:f>IF(AND(YEAR(CD$3)=YEAR(EDATE('Вводные'!$D$88,'Вводные'!$H$9)),MONTH(CD$3)=MONTH(EDATE('Вводные'!$D$88,'Вводные'!$H$9))),$B$14,0)</x:f>
      </x:c>
      <x:c r="CE14" s="117" t="n">
        <x:f>IF(AND(YEAR(CE$3)=YEAR(EDATE('Вводные'!$D$88,'Вводные'!$H$9)),MONTH(CE$3)=MONTH(EDATE('Вводные'!$D$88,'Вводные'!$H$9))),$B$14,0)</x:f>
      </x:c>
      <x:c r="CF14" s="117" t="n">
        <x:f>IF(AND(YEAR(CF$3)=YEAR(EDATE('Вводные'!$D$88,'Вводные'!$H$9)),MONTH(CF$3)=MONTH(EDATE('Вводные'!$D$88,'Вводные'!$H$9))),$B$14,0)</x:f>
      </x:c>
      <x:c r="CG14" s="117" t="n">
        <x:f>IF(AND(YEAR(CG$3)=YEAR(EDATE('Вводные'!$D$88,'Вводные'!$H$9)),MONTH(CG$3)=MONTH(EDATE('Вводные'!$D$88,'Вводные'!$H$9))),$B$14,0)</x:f>
      </x:c>
      <x:c r="CH14" s="117" t="n">
        <x:f>IF(AND(YEAR(CH$3)=YEAR(EDATE('Вводные'!$D$88,'Вводные'!$H$9)),MONTH(CH$3)=MONTH(EDATE('Вводные'!$D$88,'Вводные'!$H$9))),$B$14,0)</x:f>
      </x:c>
      <x:c r="CI14" s="117" t="n">
        <x:f>IF(AND(YEAR(CI$3)=YEAR(EDATE('Вводные'!$D$88,'Вводные'!$H$9)),MONTH(CI$3)=MONTH(EDATE('Вводные'!$D$88,'Вводные'!$H$9))),$B$14,0)</x:f>
      </x:c>
      <x:c r="CJ14" s="117" t="n">
        <x:f>IF(AND(YEAR(CJ$3)=YEAR(EDATE('Вводные'!$D$88,'Вводные'!$H$9)),MONTH(CJ$3)=MONTH(EDATE('Вводные'!$D$88,'Вводные'!$H$9))),$B$14,0)</x:f>
      </x:c>
      <x:c r="CK14" s="117" t="n">
        <x:f>IF(AND(YEAR(CK$3)=YEAR(EDATE('Вводные'!$D$88,'Вводные'!$H$9)),MONTH(CK$3)=MONTH(EDATE('Вводные'!$D$88,'Вводные'!$H$9))),$B$14,0)</x:f>
      </x:c>
      <x:c r="CL14" s="117" t="n">
        <x:f>IF(AND(YEAR(CL$3)=YEAR(EDATE('Вводные'!$D$88,'Вводные'!$H$9)),MONTH(CL$3)=MONTH(EDATE('Вводные'!$D$88,'Вводные'!$H$9))),$B$14,0)</x:f>
      </x:c>
      <x:c r="CM14" s="117" t="n">
        <x:f>IF(AND(YEAR(CM$3)=YEAR(EDATE('Вводные'!$D$88,'Вводные'!$H$9)),MONTH(CM$3)=MONTH(EDATE('Вводные'!$D$88,'Вводные'!$H$9))),$B$14,0)</x:f>
      </x:c>
      <x:c r="CN14" s="117" t="n">
        <x:f>IF(AND(YEAR(CN$3)=YEAR(EDATE('Вводные'!$D$88,'Вводные'!$H$9)),MONTH(CN$3)=MONTH(EDATE('Вводные'!$D$88,'Вводные'!$H$9))),$B$14,0)</x:f>
      </x:c>
      <x:c r="CO14" s="117" t="n">
        <x:f>IF(AND(YEAR(CO$3)=YEAR(EDATE('Вводные'!$D$88,'Вводные'!$H$9)),MONTH(CO$3)=MONTH(EDATE('Вводные'!$D$88,'Вводные'!$H$9))),$B$14,0)</x:f>
      </x:c>
      <x:c r="CP14" s="117" t="n">
        <x:f>IF(AND(YEAR(CP$3)=YEAR(EDATE('Вводные'!$D$88,'Вводные'!$H$9)),MONTH(CP$3)=MONTH(EDATE('Вводные'!$D$88,'Вводные'!$H$9))),$B$14,0)</x:f>
      </x:c>
      <x:c r="CQ14" s="117" t="n">
        <x:f>IF(AND(YEAR(CQ$3)=YEAR(EDATE('Вводные'!$D$88,'Вводные'!$H$9)),MONTH(CQ$3)=MONTH(EDATE('Вводные'!$D$88,'Вводные'!$H$9))),$B$14,0)</x:f>
      </x:c>
      <x:c r="CR14" s="117" t="n">
        <x:f>IF(AND(YEAR(CR$3)=YEAR(EDATE('Вводные'!$D$88,'Вводные'!$H$9)),MONTH(CR$3)=MONTH(EDATE('Вводные'!$D$88,'Вводные'!$H$9))),$B$14,0)</x:f>
      </x:c>
      <x:c r="CS14" s="117" t="n">
        <x:f>IF(AND(YEAR(CS$3)=YEAR(EDATE('Вводные'!$D$88,'Вводные'!$H$9)),MONTH(CS$3)=MONTH(EDATE('Вводные'!$D$88,'Вводные'!$H$9))),$B$14,0)</x:f>
      </x:c>
      <x:c r="CT14" s="117" t="n">
        <x:f>IF(AND(YEAR(CT$3)=YEAR(EDATE('Вводные'!$D$88,'Вводные'!$H$9)),MONTH(CT$3)=MONTH(EDATE('Вводные'!$D$88,'Вводные'!$H$9))),$B$14,0)</x:f>
      </x:c>
      <x:c r="CU14" s="117" t="n">
        <x:f>IF(AND(YEAR(CU$3)=YEAR(EDATE('Вводные'!$D$88,'Вводные'!$H$9)),MONTH(CU$3)=MONTH(EDATE('Вводные'!$D$88,'Вводные'!$H$9))),$B$14,0)</x:f>
      </x:c>
      <x:c r="CV14" s="117" t="n">
        <x:f>IF(AND(YEAR(CV$3)=YEAR(EDATE('Вводные'!$D$88,'Вводные'!$H$9)),MONTH(CV$3)=MONTH(EDATE('Вводные'!$D$88,'Вводные'!$H$9))),$B$14,0)</x:f>
      </x:c>
      <x:c r="CW14" s="117" t="n">
        <x:f>IF(AND(YEAR(CW$3)=YEAR(EDATE('Вводные'!$D$88,'Вводные'!$H$9)),MONTH(CW$3)=MONTH(EDATE('Вводные'!$D$88,'Вводные'!$H$9))),$B$14,0)</x:f>
      </x:c>
      <x:c r="CX14" s="117" t="n">
        <x:f>IF(AND(YEAR(CX$3)=YEAR(EDATE('Вводные'!$D$88,'Вводные'!$H$9)),MONTH(CX$3)=MONTH(EDATE('Вводные'!$D$88,'Вводные'!$H$9))),$B$14,0)</x:f>
      </x:c>
      <x:c r="CY14" s="117" t="n">
        <x:f>IF(AND(YEAR(CY$3)=YEAR(EDATE('Вводные'!$D$88,'Вводные'!$H$9)),MONTH(CY$3)=MONTH(EDATE('Вводные'!$D$88,'Вводные'!$H$9))),$B$14,0)</x:f>
      </x:c>
      <x:c r="CZ14" s="117" t="n">
        <x:f>IF(AND(YEAR(CZ$3)=YEAR(EDATE('Вводные'!$D$88,'Вводные'!$H$9)),MONTH(CZ$3)=MONTH(EDATE('Вводные'!$D$88,'Вводные'!$H$9))),$B$14,0)</x:f>
      </x:c>
      <x:c r="DA14" s="117" t="n">
        <x:f>IF(AND(YEAR(DA$3)=YEAR(EDATE('Вводные'!$D$88,'Вводные'!$H$9)),MONTH(DA$3)=MONTH(EDATE('Вводные'!$D$88,'Вводные'!$H$9))),$B$14,0)</x:f>
      </x:c>
      <x:c r="DB14" s="117" t="n">
        <x:f>IF(AND(YEAR(DB$3)=YEAR(EDATE('Вводные'!$D$88,'Вводные'!$H$9)),MONTH(DB$3)=MONTH(EDATE('Вводные'!$D$88,'Вводные'!$H$9))),$B$14,0)</x:f>
      </x:c>
      <x:c r="DC14" s="117" t="n">
        <x:f>IF(AND(YEAR(DC$3)=YEAR(EDATE('Вводные'!$D$88,'Вводные'!$H$9)),MONTH(DC$3)=MONTH(EDATE('Вводные'!$D$88,'Вводные'!$H$9))),$B$14,0)</x:f>
      </x:c>
      <x:c r="DD14" s="117" t="n">
        <x:f>IF(AND(YEAR(DD$3)=YEAR(EDATE('Вводные'!$D$88,'Вводные'!$H$9)),MONTH(DD$3)=MONTH(EDATE('Вводные'!$D$88,'Вводные'!$H$9))),$B$14,0)</x:f>
      </x:c>
      <x:c r="DE14" s="117" t="n">
        <x:f>IF(AND(YEAR(DE$3)=YEAR(EDATE('Вводные'!$D$88,'Вводные'!$H$9)),MONTH(DE$3)=MONTH(EDATE('Вводные'!$D$88,'Вводные'!$H$9))),$B$14,0)</x:f>
      </x:c>
      <x:c r="DF14" s="117" t="n">
        <x:f>IF(AND(YEAR(DF$3)=YEAR(EDATE('Вводные'!$D$88,'Вводные'!$H$9)),MONTH(DF$3)=MONTH(EDATE('Вводные'!$D$88,'Вводные'!$H$9))),$B$14,0)</x:f>
      </x:c>
      <x:c r="DG14" s="117" t="n">
        <x:f>IF(AND(YEAR(DG$3)=YEAR(EDATE('Вводные'!$D$88,'Вводные'!$H$9)),MONTH(DG$3)=MONTH(EDATE('Вводные'!$D$88,'Вводные'!$H$9))),$B$14,0)</x:f>
      </x:c>
      <x:c r="DH14" s="117" t="n">
        <x:f>IF(AND(YEAR(DH$3)=YEAR(EDATE('Вводные'!$D$88,'Вводные'!$H$9)),MONTH(DH$3)=MONTH(EDATE('Вводные'!$D$88,'Вводные'!$H$9))),$B$14,0)</x:f>
      </x:c>
      <x:c r="DI14" s="117" t="n">
        <x:f>IF(AND(YEAR(DI$3)=YEAR(EDATE('Вводные'!$D$88,'Вводные'!$H$9)),MONTH(DI$3)=MONTH(EDATE('Вводные'!$D$88,'Вводные'!$H$9))),$B$14,0)</x:f>
      </x:c>
      <x:c r="DJ14" s="117" t="n">
        <x:f>IF(AND(YEAR(DJ$3)=YEAR(EDATE('Вводные'!$D$88,'Вводные'!$H$9)),MONTH(DJ$3)=MONTH(EDATE('Вводные'!$D$88,'Вводные'!$H$9))),$B$14,0)</x:f>
      </x:c>
      <x:c r="DK14" s="117" t="n">
        <x:f>IF(AND(YEAR(DK$3)=YEAR(EDATE('Вводные'!$D$88,'Вводные'!$H$9)),MONTH(DK$3)=MONTH(EDATE('Вводные'!$D$88,'Вводные'!$H$9))),$B$14,0)</x:f>
      </x:c>
      <x:c r="DL14" s="117" t="n">
        <x:f>IF(AND(YEAR(DL$3)=YEAR(EDATE('Вводные'!$D$88,'Вводные'!$H$9)),MONTH(DL$3)=MONTH(EDATE('Вводные'!$D$88,'Вводные'!$H$9))),$B$14,0)</x:f>
      </x:c>
      <x:c r="DM14" s="117" t="n">
        <x:f>IF(AND(YEAR(DM$3)=YEAR(EDATE('Вводные'!$D$88,'Вводные'!$H$9)),MONTH(DM$3)=MONTH(EDATE('Вводные'!$D$88,'Вводные'!$H$9))),$B$14,0)</x:f>
      </x:c>
      <x:c r="DN14" s="117" t="n">
        <x:f>IF(AND(YEAR(DN$3)=YEAR(EDATE('Вводные'!$D$88,'Вводные'!$H$9)),MONTH(DN$3)=MONTH(EDATE('Вводные'!$D$88,'Вводные'!$H$9))),$B$14,0)</x:f>
      </x:c>
      <x:c r="DO14" s="117" t="n">
        <x:f>IF(AND(YEAR(DO$3)=YEAR(EDATE('Вводные'!$D$88,'Вводные'!$H$9)),MONTH(DO$3)=MONTH(EDATE('Вводные'!$D$88,'Вводные'!$H$9))),$B$14,0)</x:f>
      </x:c>
      <x:c r="DP14" s="117" t="n">
        <x:f>IF(AND(YEAR(DP$3)=YEAR(EDATE('Вводные'!$D$88,'Вводные'!$H$9)),MONTH(DP$3)=MONTH(EDATE('Вводные'!$D$88,'Вводные'!$H$9))),$B$14,0)</x:f>
      </x:c>
      <x:c r="DQ14" s="117" t="n">
        <x:f>IF(AND(YEAR(DQ$3)=YEAR(EDATE('Вводные'!$D$88,'Вводные'!$H$9)),MONTH(DQ$3)=MONTH(EDATE('Вводные'!$D$88,'Вводные'!$H$9))),$B$14,0)</x:f>
      </x:c>
      <x:c r="DR14" s="117" t="n">
        <x:f>IF(AND(YEAR(DR$3)=YEAR(EDATE('Вводные'!$D$88,'Вводные'!$H$9)),MONTH(DR$3)=MONTH(EDATE('Вводные'!$D$88,'Вводные'!$H$9))),$B$14,0)</x:f>
      </x:c>
      <x:c r="DS14" s="117" t="n">
        <x:f>IF(AND(YEAR(DS$3)=YEAR(EDATE('Вводные'!$D$88,'Вводные'!$H$9)),MONTH(DS$3)=MONTH(EDATE('Вводные'!$D$88,'Вводные'!$H$9))),$B$14,0)</x:f>
      </x:c>
      <x:c r="DT14" s="117" t="n">
        <x:f>IF(AND(YEAR(DT$3)=YEAR(EDATE('Вводные'!$D$88,'Вводные'!$H$9)),MONTH(DT$3)=MONTH(EDATE('Вводные'!$D$88,'Вводные'!$H$9))),$B$14,0)</x:f>
      </x:c>
      <x:c r="DU14" s="117" t="n">
        <x:f>IF(AND(YEAR(DU$3)=YEAR(EDATE('Вводные'!$D$88,'Вводные'!$H$9)),MONTH(DU$3)=MONTH(EDATE('Вводные'!$D$88,'Вводные'!$H$9))),$B$14,0)</x:f>
      </x:c>
      <x:c r="DV14" s="117" t="n">
        <x:f>IF(AND(YEAR(DV$3)=YEAR(EDATE('Вводные'!$D$88,'Вводные'!$H$9)),MONTH(DV$3)=MONTH(EDATE('Вводные'!$D$88,'Вводные'!$H$9))),$B$14,0)</x:f>
      </x:c>
      <x:c r="DW14" s="117" t="n">
        <x:f>IF(AND(YEAR(DW$3)=YEAR(EDATE('Вводные'!$D$88,'Вводные'!$H$9)),MONTH(DW$3)=MONTH(EDATE('Вводные'!$D$88,'Вводные'!$H$9))),$B$14,0)</x:f>
      </x:c>
      <x:c r="DX14" s="117" t="n">
        <x:f>IF(AND(YEAR(DX$3)=YEAR(EDATE('Вводные'!$D$88,'Вводные'!$H$9)),MONTH(DX$3)=MONTH(EDATE('Вводные'!$D$88,'Вводные'!$H$9))),$B$14,0)</x:f>
      </x:c>
      <x:c r="DY14" s="117" t="n">
        <x:f>IF(AND(YEAR(DY$3)=YEAR(EDATE('Вводные'!$D$88,'Вводные'!$H$9)),MONTH(DY$3)=MONTH(EDATE('Вводные'!$D$88,'Вводные'!$H$9))),$B$14,0)</x:f>
      </x:c>
      <x:c r="DZ14" s="117" t="n">
        <x:f>IF(AND(YEAR(DZ$3)=YEAR(EDATE('Вводные'!$D$88,'Вводные'!$H$9)),MONTH(DZ$3)=MONTH(EDATE('Вводные'!$D$88,'Вводные'!$H$9))),$B$14,0)</x:f>
      </x:c>
      <x:c r="EA14" s="117" t="n">
        <x:f>IF(AND(YEAR(EA$3)=YEAR(EDATE('Вводные'!$D$88,'Вводные'!$H$9)),MONTH(EA$3)=MONTH(EDATE('Вводные'!$D$88,'Вводные'!$H$9))),$B$14,0)</x:f>
      </x:c>
      <x:c r="EB14" s="117" t="n">
        <x:f>IF(AND(YEAR(EB$3)=YEAR(EDATE('Вводные'!$D$88,'Вводные'!$H$9)),MONTH(EB$3)=MONTH(EDATE('Вводные'!$D$88,'Вводные'!$H$9))),$B$14,0)</x:f>
      </x:c>
      <x:c r="EC14" s="117" t="n">
        <x:f>IF(AND(YEAR(EC$3)=YEAR(EDATE('Вводные'!$D$88,'Вводные'!$H$9)),MONTH(EC$3)=MONTH(EDATE('Вводные'!$D$88,'Вводные'!$H$9))),$B$14,0)</x:f>
      </x:c>
      <x:c r="ED14" s="117" t="n">
        <x:f>IF(AND(YEAR(ED$3)=YEAR(EDATE('Вводные'!$D$88,'Вводные'!$H$9)),MONTH(ED$3)=MONTH(EDATE('Вводные'!$D$88,'Вводные'!$H$9))),$B$14,0)</x:f>
      </x:c>
      <x:c r="EE14" s="117" t="n">
        <x:f>IF(AND(YEAR(EE$3)=YEAR(EDATE('Вводные'!$D$88,'Вводные'!$H$9)),MONTH(EE$3)=MONTH(EDATE('Вводные'!$D$88,'Вводные'!$H$9))),$B$14,0)</x:f>
      </x:c>
      <x:c r="EF14" s="117" t="n">
        <x:f>IF(AND(YEAR(EF$3)=YEAR(EDATE('Вводные'!$D$88,'Вводные'!$H$9)),MONTH(EF$3)=MONTH(EDATE('Вводные'!$D$88,'Вводные'!$H$9))),$B$14,0)</x:f>
      </x:c>
      <x:c r="EG14" s="117" t="n">
        <x:f>IF(AND(YEAR(EG$3)=YEAR(EDATE('Вводные'!$D$88,'Вводные'!$H$9)),MONTH(EG$3)=MONTH(EDATE('Вводные'!$D$88,'Вводные'!$H$9))),$B$14,0)</x:f>
      </x:c>
      <x:c r="EH14" s="117" t="n">
        <x:f>IF(AND(YEAR(EH$3)=YEAR(EDATE('Вводные'!$D$88,'Вводные'!$H$9)),MONTH(EH$3)=MONTH(EDATE('Вводные'!$D$88,'Вводные'!$H$9))),$B$14,0)</x:f>
      </x:c>
      <x:c r="EI14" s="117" t="n">
        <x:f>IF(AND(YEAR(EI$3)=YEAR(EDATE('Вводные'!$D$88,'Вводные'!$H$9)),MONTH(EI$3)=MONTH(EDATE('Вводные'!$D$88,'Вводные'!$H$9))),$B$14,0)</x:f>
      </x:c>
      <x:c r="EJ14" s="117" t="n">
        <x:f>IF(AND(YEAR(EJ$3)=YEAR(EDATE('Вводные'!$D$88,'Вводные'!$H$9)),MONTH(EJ$3)=MONTH(EDATE('Вводные'!$D$88,'Вводные'!$H$9))),$B$14,0)</x:f>
      </x:c>
      <x:c r="EK14" s="117" t="n">
        <x:f>IF(AND(YEAR(EK$3)=YEAR(EDATE('Вводные'!$D$88,'Вводные'!$H$9)),MONTH(EK$3)=MONTH(EDATE('Вводные'!$D$88,'Вводные'!$H$9))),$B$14,0)</x:f>
      </x:c>
      <x:c r="EL14" s="117" t="n">
        <x:f>IF(AND(YEAR(EL$3)=YEAR(EDATE('Вводные'!$D$88,'Вводные'!$H$9)),MONTH(EL$3)=MONTH(EDATE('Вводные'!$D$88,'Вводные'!$H$9))),$B$14,0)</x:f>
      </x:c>
      <x:c r="EM14" s="117" t="n">
        <x:f>IF(AND(YEAR(EM$3)=YEAR(EDATE('Вводные'!$D$88,'Вводные'!$H$9)),MONTH(EM$3)=MONTH(EDATE('Вводные'!$D$88,'Вводные'!$H$9))),$B$14,0)</x:f>
      </x:c>
      <x:c r="EN14" s="117" t="n">
        <x:f>IF(AND(YEAR(EN$3)=YEAR(EDATE('Вводные'!$D$88,'Вводные'!$H$9)),MONTH(EN$3)=MONTH(EDATE('Вводные'!$D$88,'Вводные'!$H$9))),$B$14,0)</x:f>
      </x:c>
      <x:c r="EO14" s="117" t="n">
        <x:f>IF(AND(YEAR(EO$3)=YEAR(EDATE('Вводные'!$D$88,'Вводные'!$H$9)),MONTH(EO$3)=MONTH(EDATE('Вводные'!$D$88,'Вводные'!$H$9))),$B$14,0)</x:f>
      </x:c>
      <x:c r="EP14" s="117" t="n">
        <x:f>IF(AND(YEAR(EP$3)=YEAR(EDATE('Вводные'!$D$88,'Вводные'!$H$9)),MONTH(EP$3)=MONTH(EDATE('Вводные'!$D$88,'Вводные'!$H$9))),$B$14,0)</x:f>
      </x:c>
      <x:c r="EQ14" s="117" t="n">
        <x:f>IF(AND(YEAR(EQ$3)=YEAR(EDATE('Вводные'!$D$88,'Вводные'!$H$9)),MONTH(EQ$3)=MONTH(EDATE('Вводные'!$D$88,'Вводные'!$H$9))),$B$14,0)</x:f>
      </x:c>
      <x:c r="ER14" s="117" t="n">
        <x:f>IF(AND(YEAR(ER$3)=YEAR(EDATE('Вводные'!$D$88,'Вводные'!$H$9)),MONTH(ER$3)=MONTH(EDATE('Вводные'!$D$88,'Вводные'!$H$9))),$B$14,0)</x:f>
      </x:c>
      <x:c r="ES14" s="117" t="n">
        <x:f>IF(AND(YEAR(ES$3)=YEAR(EDATE('Вводные'!$D$88,'Вводные'!$H$9)),MONTH(ES$3)=MONTH(EDATE('Вводные'!$D$88,'Вводные'!$H$9))),$B$14,0)</x:f>
      </x:c>
      <x:c r="ET14" s="117" t="n">
        <x:f>IF(AND(YEAR(ET$3)=YEAR(EDATE('Вводные'!$D$88,'Вводные'!$H$9)),MONTH(ET$3)=MONTH(EDATE('Вводные'!$D$88,'Вводные'!$H$9))),$B$14,0)</x:f>
      </x:c>
      <x:c r="EU14" s="117" t="n">
        <x:f>IF(AND(YEAR(EU$3)=YEAR(EDATE('Вводные'!$D$88,'Вводные'!$H$9)),MONTH(EU$3)=MONTH(EDATE('Вводные'!$D$88,'Вводные'!$H$9))),$B$14,0)</x:f>
      </x:c>
      <x:c r="EV14" s="117" t="n">
        <x:f>IF(AND(YEAR(EV$3)=YEAR(EDATE('Вводные'!$D$88,'Вводные'!$H$9)),MONTH(EV$3)=MONTH(EDATE('Вводные'!$D$88,'Вводные'!$H$9))),$B$14,0)</x:f>
      </x:c>
      <x:c r="EW14" s="117" t="n">
        <x:f>IF(AND(YEAR(EW$3)=YEAR(EDATE('Вводные'!$D$88,'Вводные'!$H$9)),MONTH(EW$3)=MONTH(EDATE('Вводные'!$D$88,'Вводные'!$H$9))),$B$14,0)</x:f>
      </x:c>
      <x:c r="EX14" s="117" t="n">
        <x:f>IF(AND(YEAR(EX$3)=YEAR(EDATE('Вводные'!$D$88,'Вводные'!$H$9)),MONTH(EX$3)=MONTH(EDATE('Вводные'!$D$88,'Вводные'!$H$9))),$B$14,0)</x:f>
      </x:c>
      <x:c r="EY14" s="117" t="n">
        <x:f>IF(AND(YEAR(EY$3)=YEAR(EDATE('Вводные'!$D$88,'Вводные'!$H$9)),MONTH(EY$3)=MONTH(EDATE('Вводные'!$D$88,'Вводные'!$H$9))),$B$14,0)</x:f>
      </x:c>
      <x:c r="EZ14" s="117" t="n">
        <x:f>IF(AND(YEAR(EZ$3)=YEAR(EDATE('Вводные'!$D$88,'Вводные'!$H$9)),MONTH(EZ$3)=MONTH(EDATE('Вводные'!$D$88,'Вводные'!$H$9))),$B$14,0)</x:f>
      </x:c>
      <x:c r="FA14" s="117" t="n">
        <x:f>IF(AND(YEAR(FA$3)=YEAR(EDATE('Вводные'!$D$88,'Вводные'!$H$9)),MONTH(FA$3)=MONTH(EDATE('Вводные'!$D$88,'Вводные'!$H$9))),$B$14,0)</x:f>
      </x:c>
      <x:c r="FB14" s="117" t="n">
        <x:f>IF(AND(YEAR(FB$3)=YEAR(EDATE('Вводные'!$D$88,'Вводные'!$H$9)),MONTH(FB$3)=MONTH(EDATE('Вводные'!$D$88,'Вводные'!$H$9))),$B$14,0)</x:f>
      </x:c>
      <x:c r="FC14" s="117" t="n">
        <x:f>IF(AND(YEAR(FC$3)=YEAR(EDATE('Вводные'!$D$88,'Вводные'!$H$9)),MONTH(FC$3)=MONTH(EDATE('Вводные'!$D$88,'Вводные'!$H$9))),$B$14,0)</x:f>
      </x:c>
      <x:c r="FD14" s="117" t="n">
        <x:f>IF(AND(YEAR(FD$3)=YEAR(EDATE('Вводные'!$D$88,'Вводные'!$H$9)),MONTH(FD$3)=MONTH(EDATE('Вводные'!$D$88,'Вводные'!$H$9))),$B$14,0)</x:f>
      </x:c>
      <x:c r="FE14" s="117" t="n">
        <x:f>IF(AND(YEAR(FE$3)=YEAR(EDATE('Вводные'!$D$88,'Вводные'!$H$9)),MONTH(FE$3)=MONTH(EDATE('Вводные'!$D$88,'Вводные'!$H$9))),$B$14,0)</x:f>
      </x:c>
      <x:c r="FF14" s="117" t="n">
        <x:f>IF(AND(YEAR(FF$3)=YEAR(EDATE('Вводные'!$D$88,'Вводные'!$H$9)),MONTH(FF$3)=MONTH(EDATE('Вводные'!$D$88,'Вводные'!$H$9))),$B$14,0)</x:f>
      </x:c>
      <x:c r="FG14" s="117" t="n">
        <x:f>IF(AND(YEAR(FG$3)=YEAR(EDATE('Вводные'!$D$88,'Вводные'!$H$9)),MONTH(FG$3)=MONTH(EDATE('Вводные'!$D$88,'Вводные'!$H$9))),$B$14,0)</x:f>
      </x:c>
      <x:c r="FH14" s="117" t="n">
        <x:f>IF(AND(YEAR(FH$3)=YEAR(EDATE('Вводные'!$D$88,'Вводные'!$H$9)),MONTH(FH$3)=MONTH(EDATE('Вводные'!$D$88,'Вводные'!$H$9))),$B$14,0)</x:f>
      </x:c>
      <x:c r="FI14" s="117" t="n">
        <x:f>IF(AND(YEAR(FI$3)=YEAR(EDATE('Вводные'!$D$88,'Вводные'!$H$9)),MONTH(FI$3)=MONTH(EDATE('Вводные'!$D$88,'Вводные'!$H$9))),$B$14,0)</x:f>
      </x:c>
      <x:c r="FJ14" s="117" t="n">
        <x:f>IF(AND(YEAR(FJ$3)=YEAR(EDATE('Вводные'!$D$88,'Вводные'!$H$9)),MONTH(FJ$3)=MONTH(EDATE('Вводные'!$D$88,'Вводные'!$H$9))),$B$14,0)</x:f>
      </x:c>
      <x:c r="FK14" s="117" t="n">
        <x:f>IF(AND(YEAR(FK$3)=YEAR(EDATE('Вводные'!$D$88,'Вводные'!$H$9)),MONTH(FK$3)=MONTH(EDATE('Вводные'!$D$88,'Вводные'!$H$9))),$B$14,0)</x:f>
      </x:c>
      <x:c r="FL14" s="117" t="n">
        <x:f>IF(AND(YEAR(FL$3)=YEAR(EDATE('Вводные'!$D$88,'Вводные'!$H$9)),MONTH(FL$3)=MONTH(EDATE('Вводные'!$D$88,'Вводные'!$H$9))),$B$14,0)</x:f>
      </x:c>
      <x:c r="FM14" s="117" t="n">
        <x:f>IF(AND(YEAR(FM$3)=YEAR(EDATE('Вводные'!$D$88,'Вводные'!$H$9)),MONTH(FM$3)=MONTH(EDATE('Вводные'!$D$88,'Вводные'!$H$9))),$B$14,0)</x:f>
      </x:c>
      <x:c r="FN14" s="117" t="n">
        <x:f>IF(AND(YEAR(FN$3)=YEAR(EDATE('Вводные'!$D$88,'Вводные'!$H$9)),MONTH(FN$3)=MONTH(EDATE('Вводные'!$D$88,'Вводные'!$H$9))),$B$14,0)</x:f>
      </x:c>
      <x:c r="FO14" s="117" t="n">
        <x:f>IF(AND(YEAR(FO$3)=YEAR(EDATE('Вводные'!$D$88,'Вводные'!$H$9)),MONTH(FO$3)=MONTH(EDATE('Вводные'!$D$88,'Вводные'!$H$9))),$B$14,0)</x:f>
      </x:c>
      <x:c r="FP14" s="117" t="n">
        <x:f>IF(AND(YEAR(FP$3)=YEAR(EDATE('Вводные'!$D$88,'Вводные'!$H$9)),MONTH(FP$3)=MONTH(EDATE('Вводные'!$D$88,'Вводные'!$H$9))),$B$14,0)</x:f>
      </x:c>
      <x:c r="FQ14" s="117" t="n">
        <x:f>IF(AND(YEAR(FQ$3)=YEAR(EDATE('Вводные'!$D$88,'Вводные'!$H$9)),MONTH(FQ$3)=MONTH(EDATE('Вводные'!$D$88,'Вводные'!$H$9))),$B$14,0)</x:f>
      </x:c>
      <x:c r="FR14" s="117" t="n">
        <x:f>IF(AND(YEAR(FR$3)=YEAR(EDATE('Вводные'!$D$88,'Вводные'!$H$9)),MONTH(FR$3)=MONTH(EDATE('Вводные'!$D$88,'Вводные'!$H$9))),$B$14,0)</x:f>
      </x:c>
      <x:c r="FS14" s="117" t="n">
        <x:f>IF(AND(YEAR(FS$3)=YEAR(EDATE('Вводные'!$D$88,'Вводные'!$H$9)),MONTH(FS$3)=MONTH(EDATE('Вводные'!$D$88,'Вводные'!$H$9))),$B$14,0)</x:f>
      </x:c>
      <x:c r="FT14" s="117" t="n">
        <x:f>IF(AND(YEAR(FT$3)=YEAR(EDATE('Вводные'!$D$88,'Вводные'!$H$9)),MONTH(FT$3)=MONTH(EDATE('Вводные'!$D$88,'Вводные'!$H$9))),$B$14,0)</x:f>
      </x:c>
      <x:c r="FU14" s="117" t="n">
        <x:f>IF(AND(YEAR(FU$3)=YEAR(EDATE('Вводные'!$D$88,'Вводные'!$H$9)),MONTH(FU$3)=MONTH(EDATE('Вводные'!$D$88,'Вводные'!$H$9))),$B$14,0)</x:f>
      </x:c>
      <x:c r="FV14" s="117" t="n">
        <x:f>IF(AND(YEAR(FV$3)=YEAR(EDATE('Вводные'!$D$88,'Вводные'!$H$9)),MONTH(FV$3)=MONTH(EDATE('Вводные'!$D$88,'Вводные'!$H$9))),$B$14,0)</x:f>
      </x:c>
      <x:c r="FW14" s="117" t="n">
        <x:f>IF(AND(YEAR(FW$3)=YEAR(EDATE('Вводные'!$D$88,'Вводные'!$H$9)),MONTH(FW$3)=MONTH(EDATE('Вводные'!$D$88,'Вводные'!$H$9))),$B$14,0)</x:f>
      </x:c>
      <x:c r="FX14" s="117" t="n">
        <x:f>IF(AND(YEAR(FX$3)=YEAR(EDATE('Вводные'!$D$88,'Вводные'!$H$9)),MONTH(FX$3)=MONTH(EDATE('Вводные'!$D$88,'Вводные'!$H$9))),$B$14,0)</x:f>
      </x:c>
      <x:c r="FY14" s="117" t="n">
        <x:f>IF(AND(YEAR(FY$3)=YEAR(EDATE('Вводные'!$D$88,'Вводные'!$H$9)),MONTH(FY$3)=MONTH(EDATE('Вводные'!$D$88,'Вводные'!$H$9))),$B$14,0)</x:f>
      </x:c>
      <x:c r="FZ14" s="117" t="n">
        <x:f>IF(AND(YEAR(FZ$3)=YEAR(EDATE('Вводные'!$D$88,'Вводные'!$H$9)),MONTH(FZ$3)=MONTH(EDATE('Вводные'!$D$88,'Вводные'!$H$9))),$B$14,0)</x:f>
      </x:c>
      <x:c r="GA14" s="117" t="n">
        <x:f>IF(AND(YEAR(GA$3)=YEAR(EDATE('Вводные'!$D$88,'Вводные'!$H$9)),MONTH(GA$3)=MONTH(EDATE('Вводные'!$D$88,'Вводные'!$H$9))),$B$14,0)</x:f>
      </x:c>
    </x:row>
    <x:row r="15">
      <x:c r="A15" t="str">
        <x:v>Плата за ВРИ</x:v>
      </x:c>
      <x:c r="B15" s="107" t="n">
        <x:f>SUM('ВРИ'!D15:GA15)</x:f>
      </x:c>
      <x:c r="C15" t="str">
        <x:v>млн ₽</x:v>
      </x:c>
      <x:c r="D15" s="117" t="n">
        <x:f>'ВРИ'!D15</x:f>
      </x:c>
      <x:c r="E15" s="117" t="n">
        <x:f>'ВРИ'!E15</x:f>
      </x:c>
      <x:c r="F15" s="117" t="n">
        <x:f>'ВРИ'!F15</x:f>
      </x:c>
      <x:c r="G15" s="117" t="n">
        <x:f>'ВРИ'!G15</x:f>
      </x:c>
      <x:c r="H15" s="117" t="n">
        <x:f>'ВРИ'!H15</x:f>
      </x:c>
      <x:c r="I15" s="117" t="n">
        <x:f>'ВРИ'!I15</x:f>
      </x:c>
      <x:c r="J15" s="117" t="n">
        <x:f>'ВРИ'!J15</x:f>
      </x:c>
      <x:c r="K15" s="117" t="n">
        <x:f>'ВРИ'!K15</x:f>
      </x:c>
      <x:c r="L15" s="117" t="n">
        <x:f>'ВРИ'!L15</x:f>
      </x:c>
      <x:c r="M15" s="117" t="n">
        <x:f>'ВРИ'!M15</x:f>
      </x:c>
      <x:c r="N15" s="117" t="n">
        <x:f>'ВРИ'!N15</x:f>
      </x:c>
      <x:c r="O15" s="117" t="n">
        <x:f>'ВРИ'!O15</x:f>
      </x:c>
      <x:c r="P15" s="117" t="n">
        <x:f>'ВРИ'!P15</x:f>
      </x:c>
      <x:c r="Q15" s="117" t="n">
        <x:f>'ВРИ'!Q15</x:f>
      </x:c>
      <x:c r="R15" s="117" t="n">
        <x:f>'ВРИ'!R15</x:f>
      </x:c>
      <x:c r="S15" s="117" t="n">
        <x:f>'ВРИ'!S15</x:f>
      </x:c>
      <x:c r="T15" s="117" t="n">
        <x:f>'ВРИ'!T15</x:f>
      </x:c>
      <x:c r="U15" s="117" t="n">
        <x:f>'ВРИ'!U15</x:f>
      </x:c>
      <x:c r="V15" s="117" t="n">
        <x:f>'ВРИ'!V15</x:f>
      </x:c>
      <x:c r="W15" s="117" t="n">
        <x:f>'ВРИ'!W15</x:f>
      </x:c>
      <x:c r="X15" s="117" t="n">
        <x:f>'ВРИ'!X15</x:f>
      </x:c>
      <x:c r="Y15" s="117" t="n">
        <x:f>'ВРИ'!Y15</x:f>
      </x:c>
      <x:c r="Z15" s="117" t="n">
        <x:f>'ВРИ'!Z15</x:f>
      </x:c>
      <x:c r="AA15" s="117" t="n">
        <x:f>'ВРИ'!AA15</x:f>
      </x:c>
      <x:c r="AB15" s="117" t="n">
        <x:f>'ВРИ'!AB15</x:f>
      </x:c>
      <x:c r="AC15" s="117" t="n">
        <x:f>'ВРИ'!AC15</x:f>
      </x:c>
      <x:c r="AD15" s="117" t="n">
        <x:f>'ВРИ'!AD15</x:f>
      </x:c>
      <x:c r="AE15" s="117" t="n">
        <x:f>'ВРИ'!AE15</x:f>
      </x:c>
      <x:c r="AF15" s="117" t="n">
        <x:f>'ВРИ'!AF15</x:f>
      </x:c>
      <x:c r="AG15" s="117" t="n">
        <x:f>'ВРИ'!AG15</x:f>
      </x:c>
      <x:c r="AH15" s="117" t="n">
        <x:f>'ВРИ'!AH15</x:f>
      </x:c>
      <x:c r="AI15" s="117" t="n">
        <x:f>'ВРИ'!AI15</x:f>
      </x:c>
      <x:c r="AJ15" s="117" t="n">
        <x:f>'ВРИ'!AJ15</x:f>
      </x:c>
      <x:c r="AK15" s="117" t="n">
        <x:f>'ВРИ'!AK15</x:f>
      </x:c>
      <x:c r="AL15" s="117" t="n">
        <x:f>'ВРИ'!AL15</x:f>
      </x:c>
      <x:c r="AM15" s="117" t="n">
        <x:f>'ВРИ'!AM15</x:f>
      </x:c>
      <x:c r="AN15" s="117" t="n">
        <x:f>'ВРИ'!AN15</x:f>
      </x:c>
      <x:c r="AO15" s="117" t="n">
        <x:f>'ВРИ'!AO15</x:f>
      </x:c>
      <x:c r="AP15" s="117" t="n">
        <x:f>'ВРИ'!AP15</x:f>
      </x:c>
      <x:c r="AQ15" s="117" t="n">
        <x:f>'ВРИ'!AQ15</x:f>
      </x:c>
      <x:c r="AR15" s="117" t="n">
        <x:f>'ВРИ'!AR15</x:f>
      </x:c>
      <x:c r="AS15" s="117" t="n">
        <x:f>'ВРИ'!AS15</x:f>
      </x:c>
      <x:c r="AT15" s="117" t="n">
        <x:f>'ВРИ'!AT15</x:f>
      </x:c>
      <x:c r="AU15" s="117" t="n">
        <x:f>'ВРИ'!AU15</x:f>
      </x:c>
      <x:c r="AV15" s="117" t="n">
        <x:f>'ВРИ'!AV15</x:f>
      </x:c>
      <x:c r="AW15" s="117" t="n">
        <x:f>'ВРИ'!AW15</x:f>
      </x:c>
      <x:c r="AX15" s="117" t="n">
        <x:f>'ВРИ'!AX15</x:f>
      </x:c>
      <x:c r="AY15" s="117" t="n">
        <x:f>'ВРИ'!AY15</x:f>
      </x:c>
      <x:c r="AZ15" s="117" t="n">
        <x:f>'ВРИ'!AZ15</x:f>
      </x:c>
      <x:c r="BA15" s="117" t="n">
        <x:f>'ВРИ'!BA15</x:f>
      </x:c>
      <x:c r="BB15" s="117" t="n">
        <x:f>'ВРИ'!BB15</x:f>
      </x:c>
      <x:c r="BC15" s="117" t="n">
        <x:f>'ВРИ'!BC15</x:f>
      </x:c>
      <x:c r="BD15" s="117" t="n">
        <x:f>'ВРИ'!BD15</x:f>
      </x:c>
      <x:c r="BE15" s="117" t="n">
        <x:f>'ВРИ'!BE15</x:f>
      </x:c>
      <x:c r="BF15" s="117" t="n">
        <x:f>'ВРИ'!BF15</x:f>
      </x:c>
      <x:c r="BG15" s="117" t="n">
        <x:f>'ВРИ'!BG15</x:f>
      </x:c>
      <x:c r="BH15" s="117" t="n">
        <x:f>'ВРИ'!BH15</x:f>
      </x:c>
      <x:c r="BI15" s="117" t="n">
        <x:f>'ВРИ'!BI15</x:f>
      </x:c>
      <x:c r="BJ15" s="117" t="n">
        <x:f>'ВРИ'!BJ15</x:f>
      </x:c>
      <x:c r="BK15" s="117" t="n">
        <x:f>'ВРИ'!BK15</x:f>
      </x:c>
      <x:c r="BL15" s="117" t="n">
        <x:f>'ВРИ'!BL15</x:f>
      </x:c>
      <x:c r="BM15" s="117" t="n">
        <x:f>'ВРИ'!BM15</x:f>
      </x:c>
      <x:c r="BN15" s="117" t="n">
        <x:f>'ВРИ'!BN15</x:f>
      </x:c>
      <x:c r="BO15" s="117" t="n">
        <x:f>'ВРИ'!BO15</x:f>
      </x:c>
      <x:c r="BP15" s="117" t="n">
        <x:f>'ВРИ'!BP15</x:f>
      </x:c>
      <x:c r="BQ15" s="117" t="n">
        <x:f>'ВРИ'!BQ15</x:f>
      </x:c>
      <x:c r="BR15" s="117" t="n">
        <x:f>'ВРИ'!BR15</x:f>
      </x:c>
      <x:c r="BS15" s="117" t="n">
        <x:f>'ВРИ'!BS15</x:f>
      </x:c>
      <x:c r="BT15" s="117" t="n">
        <x:f>'ВРИ'!BT15</x:f>
      </x:c>
      <x:c r="BU15" s="117" t="n">
        <x:f>'ВРИ'!BU15</x:f>
      </x:c>
      <x:c r="BV15" s="117" t="n">
        <x:f>'ВРИ'!BV15</x:f>
      </x:c>
      <x:c r="BW15" s="117" t="n">
        <x:f>'ВРИ'!BW15</x:f>
      </x:c>
      <x:c r="BX15" s="117" t="n">
        <x:f>'ВРИ'!BX15</x:f>
      </x:c>
      <x:c r="BY15" s="117" t="n">
        <x:f>'ВРИ'!BY15</x:f>
      </x:c>
      <x:c r="BZ15" s="117" t="n">
        <x:f>'ВРИ'!BZ15</x:f>
      </x:c>
      <x:c r="CA15" s="117" t="n">
        <x:f>'ВРИ'!CA15</x:f>
      </x:c>
      <x:c r="CB15" s="117" t="n">
        <x:f>'ВРИ'!CB15</x:f>
      </x:c>
      <x:c r="CC15" s="117" t="n">
        <x:f>'ВРИ'!CC15</x:f>
      </x:c>
      <x:c r="CD15" s="117" t="n">
        <x:f>'ВРИ'!CD15</x:f>
      </x:c>
      <x:c r="CE15" s="117" t="n">
        <x:f>'ВРИ'!CE15</x:f>
      </x:c>
      <x:c r="CF15" s="117" t="n">
        <x:f>'ВРИ'!CF15</x:f>
      </x:c>
      <x:c r="CG15" s="117" t="n">
        <x:f>'ВРИ'!CG15</x:f>
      </x:c>
      <x:c r="CH15" s="117" t="n">
        <x:f>'ВРИ'!CH15</x:f>
      </x:c>
      <x:c r="CI15" s="117" t="n">
        <x:f>'ВРИ'!CI15</x:f>
      </x:c>
      <x:c r="CJ15" s="117" t="n">
        <x:f>'ВРИ'!CJ15</x:f>
      </x:c>
      <x:c r="CK15" s="117" t="n">
        <x:f>'ВРИ'!CK15</x:f>
      </x:c>
      <x:c r="CL15" s="117" t="n">
        <x:f>'ВРИ'!CL15</x:f>
      </x:c>
      <x:c r="CM15" s="117" t="n">
        <x:f>'ВРИ'!CM15</x:f>
      </x:c>
      <x:c r="CN15" s="117" t="n">
        <x:f>'ВРИ'!CN15</x:f>
      </x:c>
      <x:c r="CO15" s="117" t="n">
        <x:f>'ВРИ'!CO15</x:f>
      </x:c>
      <x:c r="CP15" s="117" t="n">
        <x:f>'ВРИ'!CP15</x:f>
      </x:c>
      <x:c r="CQ15" s="117" t="n">
        <x:f>'ВРИ'!CQ15</x:f>
      </x:c>
      <x:c r="CR15" s="117" t="n">
        <x:f>'ВРИ'!CR15</x:f>
      </x:c>
      <x:c r="CS15" s="117" t="n">
        <x:f>'ВРИ'!CS15</x:f>
      </x:c>
      <x:c r="CT15" s="117" t="n">
        <x:f>'ВРИ'!CT15</x:f>
      </x:c>
      <x:c r="CU15" s="117" t="n">
        <x:f>'ВРИ'!CU15</x:f>
      </x:c>
      <x:c r="CV15" s="117" t="n">
        <x:f>'ВРИ'!CV15</x:f>
      </x:c>
      <x:c r="CW15" s="117" t="n">
        <x:f>'ВРИ'!CW15</x:f>
      </x:c>
      <x:c r="CX15" s="117" t="n">
        <x:f>'ВРИ'!CX15</x:f>
      </x:c>
      <x:c r="CY15" s="117" t="n">
        <x:f>'ВРИ'!CY15</x:f>
      </x:c>
      <x:c r="CZ15" s="117" t="n">
        <x:f>'ВРИ'!CZ15</x:f>
      </x:c>
      <x:c r="DA15" s="117" t="n">
        <x:f>'ВРИ'!DA15</x:f>
      </x:c>
      <x:c r="DB15" s="117" t="n">
        <x:f>'ВРИ'!DB15</x:f>
      </x:c>
      <x:c r="DC15" s="117" t="n">
        <x:f>'ВРИ'!DC15</x:f>
      </x:c>
      <x:c r="DD15" s="117" t="n">
        <x:f>'ВРИ'!DD15</x:f>
      </x:c>
      <x:c r="DE15" s="117" t="n">
        <x:f>'ВРИ'!DE15</x:f>
      </x:c>
      <x:c r="DF15" s="117" t="n">
        <x:f>'ВРИ'!DF15</x:f>
      </x:c>
      <x:c r="DG15" s="117" t="n">
        <x:f>'ВРИ'!DG15</x:f>
      </x:c>
      <x:c r="DH15" s="117" t="n">
        <x:f>'ВРИ'!DH15</x:f>
      </x:c>
      <x:c r="DI15" s="117" t="n">
        <x:f>'ВРИ'!DI15</x:f>
      </x:c>
      <x:c r="DJ15" s="117" t="n">
        <x:f>'ВРИ'!DJ15</x:f>
      </x:c>
      <x:c r="DK15" s="117" t="n">
        <x:f>'ВРИ'!DK15</x:f>
      </x:c>
      <x:c r="DL15" s="117" t="n">
        <x:f>'ВРИ'!DL15</x:f>
      </x:c>
      <x:c r="DM15" s="117" t="n">
        <x:f>'ВРИ'!DM15</x:f>
      </x:c>
      <x:c r="DN15" s="117" t="n">
        <x:f>'ВРИ'!DN15</x:f>
      </x:c>
      <x:c r="DO15" s="117" t="n">
        <x:f>'ВРИ'!DO15</x:f>
      </x:c>
      <x:c r="DP15" s="117" t="n">
        <x:f>'ВРИ'!DP15</x:f>
      </x:c>
      <x:c r="DQ15" s="117" t="n">
        <x:f>'ВРИ'!DQ15</x:f>
      </x:c>
      <x:c r="DR15" s="117" t="n">
        <x:f>'ВРИ'!DR15</x:f>
      </x:c>
      <x:c r="DS15" s="117" t="n">
        <x:f>'ВРИ'!DS15</x:f>
      </x:c>
      <x:c r="DT15" s="117" t="n">
        <x:f>'ВРИ'!DT15</x:f>
      </x:c>
      <x:c r="DU15" s="117" t="n">
        <x:f>'ВРИ'!DU15</x:f>
      </x:c>
      <x:c r="DV15" s="117" t="n">
        <x:f>'ВРИ'!DV15</x:f>
      </x:c>
      <x:c r="DW15" s="117" t="n">
        <x:f>'ВРИ'!DW15</x:f>
      </x:c>
      <x:c r="DX15" s="117" t="n">
        <x:f>'ВРИ'!DX15</x:f>
      </x:c>
      <x:c r="DY15" s="117" t="n">
        <x:f>'ВРИ'!DY15</x:f>
      </x:c>
      <x:c r="DZ15" s="117" t="n">
        <x:f>'ВРИ'!DZ15</x:f>
      </x:c>
      <x:c r="EA15" s="117" t="n">
        <x:f>'ВРИ'!EA15</x:f>
      </x:c>
      <x:c r="EB15" s="117" t="n">
        <x:f>'ВРИ'!EB15</x:f>
      </x:c>
      <x:c r="EC15" s="117" t="n">
        <x:f>'ВРИ'!EC15</x:f>
      </x:c>
      <x:c r="ED15" s="117" t="n">
        <x:f>'ВРИ'!ED15</x:f>
      </x:c>
      <x:c r="EE15" s="117" t="n">
        <x:f>'ВРИ'!EE15</x:f>
      </x:c>
      <x:c r="EF15" s="117" t="n">
        <x:f>'ВРИ'!EF15</x:f>
      </x:c>
      <x:c r="EG15" s="117" t="n">
        <x:f>'ВРИ'!EG15</x:f>
      </x:c>
      <x:c r="EH15" s="117" t="n">
        <x:f>'ВРИ'!EH15</x:f>
      </x:c>
      <x:c r="EI15" s="117" t="n">
        <x:f>'ВРИ'!EI15</x:f>
      </x:c>
      <x:c r="EJ15" s="117" t="n">
        <x:f>'ВРИ'!EJ15</x:f>
      </x:c>
      <x:c r="EK15" s="117" t="n">
        <x:f>'ВРИ'!EK15</x:f>
      </x:c>
      <x:c r="EL15" s="117" t="n">
        <x:f>'ВРИ'!EL15</x:f>
      </x:c>
      <x:c r="EM15" s="117" t="n">
        <x:f>'ВРИ'!EM15</x:f>
      </x:c>
      <x:c r="EN15" s="117" t="n">
        <x:f>'ВРИ'!EN15</x:f>
      </x:c>
      <x:c r="EO15" s="117" t="n">
        <x:f>'ВРИ'!EO15</x:f>
      </x:c>
      <x:c r="EP15" s="117" t="n">
        <x:f>'ВРИ'!EP15</x:f>
      </x:c>
      <x:c r="EQ15" s="117" t="n">
        <x:f>'ВРИ'!EQ15</x:f>
      </x:c>
      <x:c r="ER15" s="117" t="n">
        <x:f>'ВРИ'!ER15</x:f>
      </x:c>
      <x:c r="ES15" s="117" t="n">
        <x:f>'ВРИ'!ES15</x:f>
      </x:c>
      <x:c r="ET15" s="117" t="n">
        <x:f>'ВРИ'!ET15</x:f>
      </x:c>
      <x:c r="EU15" s="117" t="n">
        <x:f>'ВРИ'!EU15</x:f>
      </x:c>
      <x:c r="EV15" s="117" t="n">
        <x:f>'ВРИ'!EV15</x:f>
      </x:c>
      <x:c r="EW15" s="117" t="n">
        <x:f>'ВРИ'!EW15</x:f>
      </x:c>
      <x:c r="EX15" s="117" t="n">
        <x:f>'ВРИ'!EX15</x:f>
      </x:c>
      <x:c r="EY15" s="117" t="n">
        <x:f>'ВРИ'!EY15</x:f>
      </x:c>
      <x:c r="EZ15" s="117" t="n">
        <x:f>'ВРИ'!EZ15</x:f>
      </x:c>
      <x:c r="FA15" s="117" t="n">
        <x:f>'ВРИ'!FA15</x:f>
      </x:c>
      <x:c r="FB15" s="117" t="n">
        <x:f>'ВРИ'!FB15</x:f>
      </x:c>
      <x:c r="FC15" s="117" t="n">
        <x:f>'ВРИ'!FC15</x:f>
      </x:c>
      <x:c r="FD15" s="117" t="n">
        <x:f>'ВРИ'!FD15</x:f>
      </x:c>
      <x:c r="FE15" s="117" t="n">
        <x:f>'ВРИ'!FE15</x:f>
      </x:c>
      <x:c r="FF15" s="117" t="n">
        <x:f>'ВРИ'!FF15</x:f>
      </x:c>
      <x:c r="FG15" s="117" t="n">
        <x:f>'ВРИ'!FG15</x:f>
      </x:c>
      <x:c r="FH15" s="117" t="n">
        <x:f>'ВРИ'!FH15</x:f>
      </x:c>
      <x:c r="FI15" s="117" t="n">
        <x:f>'ВРИ'!FI15</x:f>
      </x:c>
      <x:c r="FJ15" s="117" t="n">
        <x:f>'ВРИ'!FJ15</x:f>
      </x:c>
      <x:c r="FK15" s="117" t="n">
        <x:f>'ВРИ'!FK15</x:f>
      </x:c>
      <x:c r="FL15" s="117" t="n">
        <x:f>'ВРИ'!FL15</x:f>
      </x:c>
      <x:c r="FM15" s="117" t="n">
        <x:f>'ВРИ'!FM15</x:f>
      </x:c>
      <x:c r="FN15" s="117" t="n">
        <x:f>'ВРИ'!FN15</x:f>
      </x:c>
      <x:c r="FO15" s="117" t="n">
        <x:f>'ВРИ'!FO15</x:f>
      </x:c>
      <x:c r="FP15" s="117" t="n">
        <x:f>'ВРИ'!FP15</x:f>
      </x:c>
      <x:c r="FQ15" s="117" t="n">
        <x:f>'ВРИ'!FQ15</x:f>
      </x:c>
      <x:c r="FR15" s="117" t="n">
        <x:f>'ВРИ'!FR15</x:f>
      </x:c>
      <x:c r="FS15" s="117" t="n">
        <x:f>'ВРИ'!FS15</x:f>
      </x:c>
      <x:c r="FT15" s="117" t="n">
        <x:f>'ВРИ'!FT15</x:f>
      </x:c>
      <x:c r="FU15" s="117" t="n">
        <x:f>'ВРИ'!FU15</x:f>
      </x:c>
      <x:c r="FV15" s="117" t="n">
        <x:f>'ВРИ'!FV15</x:f>
      </x:c>
      <x:c r="FW15" s="117" t="n">
        <x:f>'ВРИ'!FW15</x:f>
      </x:c>
      <x:c r="FX15" s="117" t="n">
        <x:f>'ВРИ'!FX15</x:f>
      </x:c>
      <x:c r="FY15" s="117" t="n">
        <x:f>'ВРИ'!FY15</x:f>
      </x:c>
      <x:c r="FZ15" s="117" t="n">
        <x:f>'ВРИ'!FZ15</x:f>
      </x:c>
      <x:c r="GA15" s="117" t="n">
        <x:f>'ВРИ'!GA15</x:f>
      </x:c>
    </x:row>
    <x:row r="16">
      <x:c r="A16" t="str">
        <x:v>ИРД и согласования</x:v>
      </x:c>
      <x:c r="B16" s="107" t="n">
        <x:f>(('Вводные'!$I$88+'Вводные'!$J$88+'Вводные'!$K$88)*'Вводные'!$B$40/1000*'Вводные'!$H$6*'Вводные'!$T$88*--('Вводные'!$B$88="Да"))*'Вводные'!$AH$88</x:f>
      </x:c>
      <x:c r="C16" t="str">
        <x:v>млн ₽</x:v>
      </x:c>
      <x:c r="D16" s="117" t="n">
        <x:f>IF(AND(D$3&gt;=EDATE($B$7,-'Вводные'!$E$88),D$3&lt;$B$7),$B$16/MAX(1,'Вводные'!$E$88),0)</x:f>
      </x:c>
      <x:c r="E16" s="117" t="n">
        <x:f>IF(AND(E$3&gt;=EDATE($B$7,-'Вводные'!$E$88),E$3&lt;$B$7),$B$16/MAX(1,'Вводные'!$E$88),0)</x:f>
      </x:c>
      <x:c r="F16" s="117" t="n">
        <x:f>IF(AND(F$3&gt;=EDATE($B$7,-'Вводные'!$E$88),F$3&lt;$B$7),$B$16/MAX(1,'Вводные'!$E$88),0)</x:f>
      </x:c>
      <x:c r="G16" s="117" t="n">
        <x:f>IF(AND(G$3&gt;=EDATE($B$7,-'Вводные'!$E$88),G$3&lt;$B$7),$B$16/MAX(1,'Вводные'!$E$88),0)</x:f>
      </x:c>
      <x:c r="H16" s="117" t="n">
        <x:f>IF(AND(H$3&gt;=EDATE($B$7,-'Вводные'!$E$88),H$3&lt;$B$7),$B$16/MAX(1,'Вводные'!$E$88),0)</x:f>
      </x:c>
      <x:c r="I16" s="117" t="n">
        <x:f>IF(AND(I$3&gt;=EDATE($B$7,-'Вводные'!$E$88),I$3&lt;$B$7),$B$16/MAX(1,'Вводные'!$E$88),0)</x:f>
      </x:c>
      <x:c r="J16" s="117" t="n">
        <x:f>IF(AND(J$3&gt;=EDATE($B$7,-'Вводные'!$E$88),J$3&lt;$B$7),$B$16/MAX(1,'Вводные'!$E$88),0)</x:f>
      </x:c>
      <x:c r="K16" s="117" t="n">
        <x:f>IF(AND(K$3&gt;=EDATE($B$7,-'Вводные'!$E$88),K$3&lt;$B$7),$B$16/MAX(1,'Вводные'!$E$88),0)</x:f>
      </x:c>
      <x:c r="L16" s="117" t="n">
        <x:f>IF(AND(L$3&gt;=EDATE($B$7,-'Вводные'!$E$88),L$3&lt;$B$7),$B$16/MAX(1,'Вводные'!$E$88),0)</x:f>
      </x:c>
      <x:c r="M16" s="117" t="n">
        <x:f>IF(AND(M$3&gt;=EDATE($B$7,-'Вводные'!$E$88),M$3&lt;$B$7),$B$16/MAX(1,'Вводные'!$E$88),0)</x:f>
      </x:c>
      <x:c r="N16" s="117" t="n">
        <x:f>IF(AND(N$3&gt;=EDATE($B$7,-'Вводные'!$E$88),N$3&lt;$B$7),$B$16/MAX(1,'Вводные'!$E$88),0)</x:f>
      </x:c>
      <x:c r="O16" s="117" t="n">
        <x:f>IF(AND(O$3&gt;=EDATE($B$7,-'Вводные'!$E$88),O$3&lt;$B$7),$B$16/MAX(1,'Вводные'!$E$88),0)</x:f>
      </x:c>
      <x:c r="P16" s="117" t="n">
        <x:f>IF(AND(P$3&gt;=EDATE($B$7,-'Вводные'!$E$88),P$3&lt;$B$7),$B$16/MAX(1,'Вводные'!$E$88),0)</x:f>
      </x:c>
      <x:c r="Q16" s="117" t="n">
        <x:f>IF(AND(Q$3&gt;=EDATE($B$7,-'Вводные'!$E$88),Q$3&lt;$B$7),$B$16/MAX(1,'Вводные'!$E$88),0)</x:f>
      </x:c>
      <x:c r="R16" s="117" t="n">
        <x:f>IF(AND(R$3&gt;=EDATE($B$7,-'Вводные'!$E$88),R$3&lt;$B$7),$B$16/MAX(1,'Вводные'!$E$88),0)</x:f>
      </x:c>
      <x:c r="S16" s="117" t="n">
        <x:f>IF(AND(S$3&gt;=EDATE($B$7,-'Вводные'!$E$88),S$3&lt;$B$7),$B$16/MAX(1,'Вводные'!$E$88),0)</x:f>
      </x:c>
      <x:c r="T16" s="117" t="n">
        <x:f>IF(AND(T$3&gt;=EDATE($B$7,-'Вводные'!$E$88),T$3&lt;$B$7),$B$16/MAX(1,'Вводные'!$E$88),0)</x:f>
      </x:c>
      <x:c r="U16" s="117" t="n">
        <x:f>IF(AND(U$3&gt;=EDATE($B$7,-'Вводные'!$E$88),U$3&lt;$B$7),$B$16/MAX(1,'Вводные'!$E$88),0)</x:f>
      </x:c>
      <x:c r="V16" s="117" t="n">
        <x:f>IF(AND(V$3&gt;=EDATE($B$7,-'Вводные'!$E$88),V$3&lt;$B$7),$B$16/MAX(1,'Вводные'!$E$88),0)</x:f>
      </x:c>
      <x:c r="W16" s="117" t="n">
        <x:f>IF(AND(W$3&gt;=EDATE($B$7,-'Вводные'!$E$88),W$3&lt;$B$7),$B$16/MAX(1,'Вводные'!$E$88),0)</x:f>
      </x:c>
      <x:c r="X16" s="117" t="n">
        <x:f>IF(AND(X$3&gt;=EDATE($B$7,-'Вводные'!$E$88),X$3&lt;$B$7),$B$16/MAX(1,'Вводные'!$E$88),0)</x:f>
      </x:c>
      <x:c r="Y16" s="117" t="n">
        <x:f>IF(AND(Y$3&gt;=EDATE($B$7,-'Вводные'!$E$88),Y$3&lt;$B$7),$B$16/MAX(1,'Вводные'!$E$88),0)</x:f>
      </x:c>
      <x:c r="Z16" s="117" t="n">
        <x:f>IF(AND(Z$3&gt;=EDATE($B$7,-'Вводные'!$E$88),Z$3&lt;$B$7),$B$16/MAX(1,'Вводные'!$E$88),0)</x:f>
      </x:c>
      <x:c r="AA16" s="117" t="n">
        <x:f>IF(AND(AA$3&gt;=EDATE($B$7,-'Вводные'!$E$88),AA$3&lt;$B$7),$B$16/MAX(1,'Вводные'!$E$88),0)</x:f>
      </x:c>
      <x:c r="AB16" s="117" t="n">
        <x:f>IF(AND(AB$3&gt;=EDATE($B$7,-'Вводные'!$E$88),AB$3&lt;$B$7),$B$16/MAX(1,'Вводные'!$E$88),0)</x:f>
      </x:c>
      <x:c r="AC16" s="117" t="n">
        <x:f>IF(AND(AC$3&gt;=EDATE($B$7,-'Вводные'!$E$88),AC$3&lt;$B$7),$B$16/MAX(1,'Вводные'!$E$88),0)</x:f>
      </x:c>
      <x:c r="AD16" s="117" t="n">
        <x:f>IF(AND(AD$3&gt;=EDATE($B$7,-'Вводные'!$E$88),AD$3&lt;$B$7),$B$16/MAX(1,'Вводные'!$E$88),0)</x:f>
      </x:c>
      <x:c r="AE16" s="117" t="n">
        <x:f>IF(AND(AE$3&gt;=EDATE($B$7,-'Вводные'!$E$88),AE$3&lt;$B$7),$B$16/MAX(1,'Вводные'!$E$88),0)</x:f>
      </x:c>
      <x:c r="AF16" s="117" t="n">
        <x:f>IF(AND(AF$3&gt;=EDATE($B$7,-'Вводные'!$E$88),AF$3&lt;$B$7),$B$16/MAX(1,'Вводные'!$E$88),0)</x:f>
      </x:c>
      <x:c r="AG16" s="117" t="n">
        <x:f>IF(AND(AG$3&gt;=EDATE($B$7,-'Вводные'!$E$88),AG$3&lt;$B$7),$B$16/MAX(1,'Вводные'!$E$88),0)</x:f>
      </x:c>
      <x:c r="AH16" s="117" t="n">
        <x:f>IF(AND(AH$3&gt;=EDATE($B$7,-'Вводные'!$E$88),AH$3&lt;$B$7),$B$16/MAX(1,'Вводные'!$E$88),0)</x:f>
      </x:c>
      <x:c r="AI16" s="117" t="n">
        <x:f>IF(AND(AI$3&gt;=EDATE($B$7,-'Вводные'!$E$88),AI$3&lt;$B$7),$B$16/MAX(1,'Вводные'!$E$88),0)</x:f>
      </x:c>
      <x:c r="AJ16" s="117" t="n">
        <x:f>IF(AND(AJ$3&gt;=EDATE($B$7,-'Вводные'!$E$88),AJ$3&lt;$B$7),$B$16/MAX(1,'Вводные'!$E$88),0)</x:f>
      </x:c>
      <x:c r="AK16" s="117" t="n">
        <x:f>IF(AND(AK$3&gt;=EDATE($B$7,-'Вводные'!$E$88),AK$3&lt;$B$7),$B$16/MAX(1,'Вводные'!$E$88),0)</x:f>
      </x:c>
      <x:c r="AL16" s="117" t="n">
        <x:f>IF(AND(AL$3&gt;=EDATE($B$7,-'Вводные'!$E$88),AL$3&lt;$B$7),$B$16/MAX(1,'Вводные'!$E$88),0)</x:f>
      </x:c>
      <x:c r="AM16" s="117" t="n">
        <x:f>IF(AND(AM$3&gt;=EDATE($B$7,-'Вводные'!$E$88),AM$3&lt;$B$7),$B$16/MAX(1,'Вводные'!$E$88),0)</x:f>
      </x:c>
      <x:c r="AN16" s="117" t="n">
        <x:f>IF(AND(AN$3&gt;=EDATE($B$7,-'Вводные'!$E$88),AN$3&lt;$B$7),$B$16/MAX(1,'Вводные'!$E$88),0)</x:f>
      </x:c>
      <x:c r="AO16" s="117" t="n">
        <x:f>IF(AND(AO$3&gt;=EDATE($B$7,-'Вводные'!$E$88),AO$3&lt;$B$7),$B$16/MAX(1,'Вводные'!$E$88),0)</x:f>
      </x:c>
      <x:c r="AP16" s="117" t="n">
        <x:f>IF(AND(AP$3&gt;=EDATE($B$7,-'Вводные'!$E$88),AP$3&lt;$B$7),$B$16/MAX(1,'Вводные'!$E$88),0)</x:f>
      </x:c>
      <x:c r="AQ16" s="117" t="n">
        <x:f>IF(AND(AQ$3&gt;=EDATE($B$7,-'Вводные'!$E$88),AQ$3&lt;$B$7),$B$16/MAX(1,'Вводные'!$E$88),0)</x:f>
      </x:c>
      <x:c r="AR16" s="117" t="n">
        <x:f>IF(AND(AR$3&gt;=EDATE($B$7,-'Вводные'!$E$88),AR$3&lt;$B$7),$B$16/MAX(1,'Вводные'!$E$88),0)</x:f>
      </x:c>
      <x:c r="AS16" s="117" t="n">
        <x:f>IF(AND(AS$3&gt;=EDATE($B$7,-'Вводные'!$E$88),AS$3&lt;$B$7),$B$16/MAX(1,'Вводные'!$E$88),0)</x:f>
      </x:c>
      <x:c r="AT16" s="117" t="n">
        <x:f>IF(AND(AT$3&gt;=EDATE($B$7,-'Вводные'!$E$88),AT$3&lt;$B$7),$B$16/MAX(1,'Вводные'!$E$88),0)</x:f>
      </x:c>
      <x:c r="AU16" s="117" t="n">
        <x:f>IF(AND(AU$3&gt;=EDATE($B$7,-'Вводные'!$E$88),AU$3&lt;$B$7),$B$16/MAX(1,'Вводные'!$E$88),0)</x:f>
      </x:c>
      <x:c r="AV16" s="117" t="n">
        <x:f>IF(AND(AV$3&gt;=EDATE($B$7,-'Вводные'!$E$88),AV$3&lt;$B$7),$B$16/MAX(1,'Вводные'!$E$88),0)</x:f>
      </x:c>
      <x:c r="AW16" s="117" t="n">
        <x:f>IF(AND(AW$3&gt;=EDATE($B$7,-'Вводные'!$E$88),AW$3&lt;$B$7),$B$16/MAX(1,'Вводные'!$E$88),0)</x:f>
      </x:c>
      <x:c r="AX16" s="117" t="n">
        <x:f>IF(AND(AX$3&gt;=EDATE($B$7,-'Вводные'!$E$88),AX$3&lt;$B$7),$B$16/MAX(1,'Вводные'!$E$88),0)</x:f>
      </x:c>
      <x:c r="AY16" s="117" t="n">
        <x:f>IF(AND(AY$3&gt;=EDATE($B$7,-'Вводные'!$E$88),AY$3&lt;$B$7),$B$16/MAX(1,'Вводные'!$E$88),0)</x:f>
      </x:c>
      <x:c r="AZ16" s="117" t="n">
        <x:f>IF(AND(AZ$3&gt;=EDATE($B$7,-'Вводные'!$E$88),AZ$3&lt;$B$7),$B$16/MAX(1,'Вводные'!$E$88),0)</x:f>
      </x:c>
      <x:c r="BA16" s="117" t="n">
        <x:f>IF(AND(BA$3&gt;=EDATE($B$7,-'Вводные'!$E$88),BA$3&lt;$B$7),$B$16/MAX(1,'Вводные'!$E$88),0)</x:f>
      </x:c>
      <x:c r="BB16" s="117" t="n">
        <x:f>IF(AND(BB$3&gt;=EDATE($B$7,-'Вводные'!$E$88),BB$3&lt;$B$7),$B$16/MAX(1,'Вводные'!$E$88),0)</x:f>
      </x:c>
      <x:c r="BC16" s="117" t="n">
        <x:f>IF(AND(BC$3&gt;=EDATE($B$7,-'Вводные'!$E$88),BC$3&lt;$B$7),$B$16/MAX(1,'Вводные'!$E$88),0)</x:f>
      </x:c>
      <x:c r="BD16" s="117" t="n">
        <x:f>IF(AND(BD$3&gt;=EDATE($B$7,-'Вводные'!$E$88),BD$3&lt;$B$7),$B$16/MAX(1,'Вводные'!$E$88),0)</x:f>
      </x:c>
      <x:c r="BE16" s="117" t="n">
        <x:f>IF(AND(BE$3&gt;=EDATE($B$7,-'Вводные'!$E$88),BE$3&lt;$B$7),$B$16/MAX(1,'Вводные'!$E$88),0)</x:f>
      </x:c>
      <x:c r="BF16" s="117" t="n">
        <x:f>IF(AND(BF$3&gt;=EDATE($B$7,-'Вводные'!$E$88),BF$3&lt;$B$7),$B$16/MAX(1,'Вводные'!$E$88),0)</x:f>
      </x:c>
      <x:c r="BG16" s="117" t="n">
        <x:f>IF(AND(BG$3&gt;=EDATE($B$7,-'Вводные'!$E$88),BG$3&lt;$B$7),$B$16/MAX(1,'Вводные'!$E$88),0)</x:f>
      </x:c>
      <x:c r="BH16" s="117" t="n">
        <x:f>IF(AND(BH$3&gt;=EDATE($B$7,-'Вводные'!$E$88),BH$3&lt;$B$7),$B$16/MAX(1,'Вводные'!$E$88),0)</x:f>
      </x:c>
      <x:c r="BI16" s="117" t="n">
        <x:f>IF(AND(BI$3&gt;=EDATE($B$7,-'Вводные'!$E$88),BI$3&lt;$B$7),$B$16/MAX(1,'Вводные'!$E$88),0)</x:f>
      </x:c>
      <x:c r="BJ16" s="117" t="n">
        <x:f>IF(AND(BJ$3&gt;=EDATE($B$7,-'Вводные'!$E$88),BJ$3&lt;$B$7),$B$16/MAX(1,'Вводные'!$E$88),0)</x:f>
      </x:c>
      <x:c r="BK16" s="117" t="n">
        <x:f>IF(AND(BK$3&gt;=EDATE($B$7,-'Вводные'!$E$88),BK$3&lt;$B$7),$B$16/MAX(1,'Вводные'!$E$88),0)</x:f>
      </x:c>
      <x:c r="BL16" s="117" t="n">
        <x:f>IF(AND(BL$3&gt;=EDATE($B$7,-'Вводные'!$E$88),BL$3&lt;$B$7),$B$16/MAX(1,'Вводные'!$E$88),0)</x:f>
      </x:c>
      <x:c r="BM16" s="117" t="n">
        <x:f>IF(AND(BM$3&gt;=EDATE($B$7,-'Вводные'!$E$88),BM$3&lt;$B$7),$B$16/MAX(1,'Вводные'!$E$88),0)</x:f>
      </x:c>
      <x:c r="BN16" s="117" t="n">
        <x:f>IF(AND(BN$3&gt;=EDATE($B$7,-'Вводные'!$E$88),BN$3&lt;$B$7),$B$16/MAX(1,'Вводные'!$E$88),0)</x:f>
      </x:c>
      <x:c r="BO16" s="117" t="n">
        <x:f>IF(AND(BO$3&gt;=EDATE($B$7,-'Вводные'!$E$88),BO$3&lt;$B$7),$B$16/MAX(1,'Вводные'!$E$88),0)</x:f>
      </x:c>
      <x:c r="BP16" s="117" t="n">
        <x:f>IF(AND(BP$3&gt;=EDATE($B$7,-'Вводные'!$E$88),BP$3&lt;$B$7),$B$16/MAX(1,'Вводные'!$E$88),0)</x:f>
      </x:c>
      <x:c r="BQ16" s="117" t="n">
        <x:f>IF(AND(BQ$3&gt;=EDATE($B$7,-'Вводные'!$E$88),BQ$3&lt;$B$7),$B$16/MAX(1,'Вводные'!$E$88),0)</x:f>
      </x:c>
      <x:c r="BR16" s="117" t="n">
        <x:f>IF(AND(BR$3&gt;=EDATE($B$7,-'Вводные'!$E$88),BR$3&lt;$B$7),$B$16/MAX(1,'Вводные'!$E$88),0)</x:f>
      </x:c>
      <x:c r="BS16" s="117" t="n">
        <x:f>IF(AND(BS$3&gt;=EDATE($B$7,-'Вводные'!$E$88),BS$3&lt;$B$7),$B$16/MAX(1,'Вводные'!$E$88),0)</x:f>
      </x:c>
      <x:c r="BT16" s="117" t="n">
        <x:f>IF(AND(BT$3&gt;=EDATE($B$7,-'Вводные'!$E$88),BT$3&lt;$B$7),$B$16/MAX(1,'Вводные'!$E$88),0)</x:f>
      </x:c>
      <x:c r="BU16" s="117" t="n">
        <x:f>IF(AND(BU$3&gt;=EDATE($B$7,-'Вводные'!$E$88),BU$3&lt;$B$7),$B$16/MAX(1,'Вводные'!$E$88),0)</x:f>
      </x:c>
      <x:c r="BV16" s="117" t="n">
        <x:f>IF(AND(BV$3&gt;=EDATE($B$7,-'Вводные'!$E$88),BV$3&lt;$B$7),$B$16/MAX(1,'Вводные'!$E$88),0)</x:f>
      </x:c>
      <x:c r="BW16" s="117" t="n">
        <x:f>IF(AND(BW$3&gt;=EDATE($B$7,-'Вводные'!$E$88),BW$3&lt;$B$7),$B$16/MAX(1,'Вводные'!$E$88),0)</x:f>
      </x:c>
      <x:c r="BX16" s="117" t="n">
        <x:f>IF(AND(BX$3&gt;=EDATE($B$7,-'Вводные'!$E$88),BX$3&lt;$B$7),$B$16/MAX(1,'Вводные'!$E$88),0)</x:f>
      </x:c>
      <x:c r="BY16" s="117" t="n">
        <x:f>IF(AND(BY$3&gt;=EDATE($B$7,-'Вводные'!$E$88),BY$3&lt;$B$7),$B$16/MAX(1,'Вводные'!$E$88),0)</x:f>
      </x:c>
      <x:c r="BZ16" s="117" t="n">
        <x:f>IF(AND(BZ$3&gt;=EDATE($B$7,-'Вводные'!$E$88),BZ$3&lt;$B$7),$B$16/MAX(1,'Вводные'!$E$88),0)</x:f>
      </x:c>
      <x:c r="CA16" s="117" t="n">
        <x:f>IF(AND(CA$3&gt;=EDATE($B$7,-'Вводные'!$E$88),CA$3&lt;$B$7),$B$16/MAX(1,'Вводные'!$E$88),0)</x:f>
      </x:c>
      <x:c r="CB16" s="117" t="n">
        <x:f>IF(AND(CB$3&gt;=EDATE($B$7,-'Вводные'!$E$88),CB$3&lt;$B$7),$B$16/MAX(1,'Вводные'!$E$88),0)</x:f>
      </x:c>
      <x:c r="CC16" s="117" t="n">
        <x:f>IF(AND(CC$3&gt;=EDATE($B$7,-'Вводные'!$E$88),CC$3&lt;$B$7),$B$16/MAX(1,'Вводные'!$E$88),0)</x:f>
      </x:c>
      <x:c r="CD16" s="117" t="n">
        <x:f>IF(AND(CD$3&gt;=EDATE($B$7,-'Вводные'!$E$88),CD$3&lt;$B$7),$B$16/MAX(1,'Вводные'!$E$88),0)</x:f>
      </x:c>
      <x:c r="CE16" s="117" t="n">
        <x:f>IF(AND(CE$3&gt;=EDATE($B$7,-'Вводные'!$E$88),CE$3&lt;$B$7),$B$16/MAX(1,'Вводные'!$E$88),0)</x:f>
      </x:c>
      <x:c r="CF16" s="117" t="n">
        <x:f>IF(AND(CF$3&gt;=EDATE($B$7,-'Вводные'!$E$88),CF$3&lt;$B$7),$B$16/MAX(1,'Вводные'!$E$88),0)</x:f>
      </x:c>
      <x:c r="CG16" s="117" t="n">
        <x:f>IF(AND(CG$3&gt;=EDATE($B$7,-'Вводные'!$E$88),CG$3&lt;$B$7),$B$16/MAX(1,'Вводные'!$E$88),0)</x:f>
      </x:c>
      <x:c r="CH16" s="117" t="n">
        <x:f>IF(AND(CH$3&gt;=EDATE($B$7,-'Вводные'!$E$88),CH$3&lt;$B$7),$B$16/MAX(1,'Вводные'!$E$88),0)</x:f>
      </x:c>
      <x:c r="CI16" s="117" t="n">
        <x:f>IF(AND(CI$3&gt;=EDATE($B$7,-'Вводные'!$E$88),CI$3&lt;$B$7),$B$16/MAX(1,'Вводные'!$E$88),0)</x:f>
      </x:c>
      <x:c r="CJ16" s="117" t="n">
        <x:f>IF(AND(CJ$3&gt;=EDATE($B$7,-'Вводные'!$E$88),CJ$3&lt;$B$7),$B$16/MAX(1,'Вводные'!$E$88),0)</x:f>
      </x:c>
      <x:c r="CK16" s="117" t="n">
        <x:f>IF(AND(CK$3&gt;=EDATE($B$7,-'Вводные'!$E$88),CK$3&lt;$B$7),$B$16/MAX(1,'Вводные'!$E$88),0)</x:f>
      </x:c>
      <x:c r="CL16" s="117" t="n">
        <x:f>IF(AND(CL$3&gt;=EDATE($B$7,-'Вводные'!$E$88),CL$3&lt;$B$7),$B$16/MAX(1,'Вводные'!$E$88),0)</x:f>
      </x:c>
      <x:c r="CM16" s="117" t="n">
        <x:f>IF(AND(CM$3&gt;=EDATE($B$7,-'Вводные'!$E$88),CM$3&lt;$B$7),$B$16/MAX(1,'Вводные'!$E$88),0)</x:f>
      </x:c>
      <x:c r="CN16" s="117" t="n">
        <x:f>IF(AND(CN$3&gt;=EDATE($B$7,-'Вводные'!$E$88),CN$3&lt;$B$7),$B$16/MAX(1,'Вводные'!$E$88),0)</x:f>
      </x:c>
      <x:c r="CO16" s="117" t="n">
        <x:f>IF(AND(CO$3&gt;=EDATE($B$7,-'Вводные'!$E$88),CO$3&lt;$B$7),$B$16/MAX(1,'Вводные'!$E$88),0)</x:f>
      </x:c>
      <x:c r="CP16" s="117" t="n">
        <x:f>IF(AND(CP$3&gt;=EDATE($B$7,-'Вводные'!$E$88),CP$3&lt;$B$7),$B$16/MAX(1,'Вводные'!$E$88),0)</x:f>
      </x:c>
      <x:c r="CQ16" s="117" t="n">
        <x:f>IF(AND(CQ$3&gt;=EDATE($B$7,-'Вводные'!$E$88),CQ$3&lt;$B$7),$B$16/MAX(1,'Вводные'!$E$88),0)</x:f>
      </x:c>
      <x:c r="CR16" s="117" t="n">
        <x:f>IF(AND(CR$3&gt;=EDATE($B$7,-'Вводные'!$E$88),CR$3&lt;$B$7),$B$16/MAX(1,'Вводные'!$E$88),0)</x:f>
      </x:c>
      <x:c r="CS16" s="117" t="n">
        <x:f>IF(AND(CS$3&gt;=EDATE($B$7,-'Вводные'!$E$88),CS$3&lt;$B$7),$B$16/MAX(1,'Вводные'!$E$88),0)</x:f>
      </x:c>
      <x:c r="CT16" s="117" t="n">
        <x:f>IF(AND(CT$3&gt;=EDATE($B$7,-'Вводные'!$E$88),CT$3&lt;$B$7),$B$16/MAX(1,'Вводные'!$E$88),0)</x:f>
      </x:c>
      <x:c r="CU16" s="117" t="n">
        <x:f>IF(AND(CU$3&gt;=EDATE($B$7,-'Вводные'!$E$88),CU$3&lt;$B$7),$B$16/MAX(1,'Вводные'!$E$88),0)</x:f>
      </x:c>
      <x:c r="CV16" s="117" t="n">
        <x:f>IF(AND(CV$3&gt;=EDATE($B$7,-'Вводные'!$E$88),CV$3&lt;$B$7),$B$16/MAX(1,'Вводные'!$E$88),0)</x:f>
      </x:c>
      <x:c r="CW16" s="117" t="n">
        <x:f>IF(AND(CW$3&gt;=EDATE($B$7,-'Вводные'!$E$88),CW$3&lt;$B$7),$B$16/MAX(1,'Вводные'!$E$88),0)</x:f>
      </x:c>
      <x:c r="CX16" s="117" t="n">
        <x:f>IF(AND(CX$3&gt;=EDATE($B$7,-'Вводные'!$E$88),CX$3&lt;$B$7),$B$16/MAX(1,'Вводные'!$E$88),0)</x:f>
      </x:c>
      <x:c r="CY16" s="117" t="n">
        <x:f>IF(AND(CY$3&gt;=EDATE($B$7,-'Вводные'!$E$88),CY$3&lt;$B$7),$B$16/MAX(1,'Вводные'!$E$88),0)</x:f>
      </x:c>
      <x:c r="CZ16" s="117" t="n">
        <x:f>IF(AND(CZ$3&gt;=EDATE($B$7,-'Вводные'!$E$88),CZ$3&lt;$B$7),$B$16/MAX(1,'Вводные'!$E$88),0)</x:f>
      </x:c>
      <x:c r="DA16" s="117" t="n">
        <x:f>IF(AND(DA$3&gt;=EDATE($B$7,-'Вводные'!$E$88),DA$3&lt;$B$7),$B$16/MAX(1,'Вводные'!$E$88),0)</x:f>
      </x:c>
      <x:c r="DB16" s="117" t="n">
        <x:f>IF(AND(DB$3&gt;=EDATE($B$7,-'Вводные'!$E$88),DB$3&lt;$B$7),$B$16/MAX(1,'Вводные'!$E$88),0)</x:f>
      </x:c>
      <x:c r="DC16" s="117" t="n">
        <x:f>IF(AND(DC$3&gt;=EDATE($B$7,-'Вводные'!$E$88),DC$3&lt;$B$7),$B$16/MAX(1,'Вводные'!$E$88),0)</x:f>
      </x:c>
      <x:c r="DD16" s="117" t="n">
        <x:f>IF(AND(DD$3&gt;=EDATE($B$7,-'Вводные'!$E$88),DD$3&lt;$B$7),$B$16/MAX(1,'Вводные'!$E$88),0)</x:f>
      </x:c>
      <x:c r="DE16" s="117" t="n">
        <x:f>IF(AND(DE$3&gt;=EDATE($B$7,-'Вводные'!$E$88),DE$3&lt;$B$7),$B$16/MAX(1,'Вводные'!$E$88),0)</x:f>
      </x:c>
      <x:c r="DF16" s="117" t="n">
        <x:f>IF(AND(DF$3&gt;=EDATE($B$7,-'Вводные'!$E$88),DF$3&lt;$B$7),$B$16/MAX(1,'Вводные'!$E$88),0)</x:f>
      </x:c>
      <x:c r="DG16" s="117" t="n">
        <x:f>IF(AND(DG$3&gt;=EDATE($B$7,-'Вводные'!$E$88),DG$3&lt;$B$7),$B$16/MAX(1,'Вводные'!$E$88),0)</x:f>
      </x:c>
      <x:c r="DH16" s="117" t="n">
        <x:f>IF(AND(DH$3&gt;=EDATE($B$7,-'Вводные'!$E$88),DH$3&lt;$B$7),$B$16/MAX(1,'Вводные'!$E$88),0)</x:f>
      </x:c>
      <x:c r="DI16" s="117" t="n">
        <x:f>IF(AND(DI$3&gt;=EDATE($B$7,-'Вводные'!$E$88),DI$3&lt;$B$7),$B$16/MAX(1,'Вводные'!$E$88),0)</x:f>
      </x:c>
      <x:c r="DJ16" s="117" t="n">
        <x:f>IF(AND(DJ$3&gt;=EDATE($B$7,-'Вводные'!$E$88),DJ$3&lt;$B$7),$B$16/MAX(1,'Вводные'!$E$88),0)</x:f>
      </x:c>
      <x:c r="DK16" s="117" t="n">
        <x:f>IF(AND(DK$3&gt;=EDATE($B$7,-'Вводные'!$E$88),DK$3&lt;$B$7),$B$16/MAX(1,'Вводные'!$E$88),0)</x:f>
      </x:c>
      <x:c r="DL16" s="117" t="n">
        <x:f>IF(AND(DL$3&gt;=EDATE($B$7,-'Вводные'!$E$88),DL$3&lt;$B$7),$B$16/MAX(1,'Вводные'!$E$88),0)</x:f>
      </x:c>
      <x:c r="DM16" s="117" t="n">
        <x:f>IF(AND(DM$3&gt;=EDATE($B$7,-'Вводные'!$E$88),DM$3&lt;$B$7),$B$16/MAX(1,'Вводные'!$E$88),0)</x:f>
      </x:c>
      <x:c r="DN16" s="117" t="n">
        <x:f>IF(AND(DN$3&gt;=EDATE($B$7,-'Вводные'!$E$88),DN$3&lt;$B$7),$B$16/MAX(1,'Вводные'!$E$88),0)</x:f>
      </x:c>
      <x:c r="DO16" s="117" t="n">
        <x:f>IF(AND(DO$3&gt;=EDATE($B$7,-'Вводные'!$E$88),DO$3&lt;$B$7),$B$16/MAX(1,'Вводные'!$E$88),0)</x:f>
      </x:c>
      <x:c r="DP16" s="117" t="n">
        <x:f>IF(AND(DP$3&gt;=EDATE($B$7,-'Вводные'!$E$88),DP$3&lt;$B$7),$B$16/MAX(1,'Вводные'!$E$88),0)</x:f>
      </x:c>
      <x:c r="DQ16" s="117" t="n">
        <x:f>IF(AND(DQ$3&gt;=EDATE($B$7,-'Вводные'!$E$88),DQ$3&lt;$B$7),$B$16/MAX(1,'Вводные'!$E$88),0)</x:f>
      </x:c>
      <x:c r="DR16" s="117" t="n">
        <x:f>IF(AND(DR$3&gt;=EDATE($B$7,-'Вводные'!$E$88),DR$3&lt;$B$7),$B$16/MAX(1,'Вводные'!$E$88),0)</x:f>
      </x:c>
      <x:c r="DS16" s="117" t="n">
        <x:f>IF(AND(DS$3&gt;=EDATE($B$7,-'Вводные'!$E$88),DS$3&lt;$B$7),$B$16/MAX(1,'Вводные'!$E$88),0)</x:f>
      </x:c>
      <x:c r="DT16" s="117" t="n">
        <x:f>IF(AND(DT$3&gt;=EDATE($B$7,-'Вводные'!$E$88),DT$3&lt;$B$7),$B$16/MAX(1,'Вводные'!$E$88),0)</x:f>
      </x:c>
      <x:c r="DU16" s="117" t="n">
        <x:f>IF(AND(DU$3&gt;=EDATE($B$7,-'Вводные'!$E$88),DU$3&lt;$B$7),$B$16/MAX(1,'Вводные'!$E$88),0)</x:f>
      </x:c>
      <x:c r="DV16" s="117" t="n">
        <x:f>IF(AND(DV$3&gt;=EDATE($B$7,-'Вводные'!$E$88),DV$3&lt;$B$7),$B$16/MAX(1,'Вводные'!$E$88),0)</x:f>
      </x:c>
      <x:c r="DW16" s="117" t="n">
        <x:f>IF(AND(DW$3&gt;=EDATE($B$7,-'Вводные'!$E$88),DW$3&lt;$B$7),$B$16/MAX(1,'Вводные'!$E$88),0)</x:f>
      </x:c>
      <x:c r="DX16" s="117" t="n">
        <x:f>IF(AND(DX$3&gt;=EDATE($B$7,-'Вводные'!$E$88),DX$3&lt;$B$7),$B$16/MAX(1,'Вводные'!$E$88),0)</x:f>
      </x:c>
      <x:c r="DY16" s="117" t="n">
        <x:f>IF(AND(DY$3&gt;=EDATE($B$7,-'Вводные'!$E$88),DY$3&lt;$B$7),$B$16/MAX(1,'Вводные'!$E$88),0)</x:f>
      </x:c>
      <x:c r="DZ16" s="117" t="n">
        <x:f>IF(AND(DZ$3&gt;=EDATE($B$7,-'Вводные'!$E$88),DZ$3&lt;$B$7),$B$16/MAX(1,'Вводные'!$E$88),0)</x:f>
      </x:c>
      <x:c r="EA16" s="117" t="n">
        <x:f>IF(AND(EA$3&gt;=EDATE($B$7,-'Вводные'!$E$88),EA$3&lt;$B$7),$B$16/MAX(1,'Вводные'!$E$88),0)</x:f>
      </x:c>
      <x:c r="EB16" s="117" t="n">
        <x:f>IF(AND(EB$3&gt;=EDATE($B$7,-'Вводные'!$E$88),EB$3&lt;$B$7),$B$16/MAX(1,'Вводные'!$E$88),0)</x:f>
      </x:c>
      <x:c r="EC16" s="117" t="n">
        <x:f>IF(AND(EC$3&gt;=EDATE($B$7,-'Вводные'!$E$88),EC$3&lt;$B$7),$B$16/MAX(1,'Вводные'!$E$88),0)</x:f>
      </x:c>
      <x:c r="ED16" s="117" t="n">
        <x:f>IF(AND(ED$3&gt;=EDATE($B$7,-'Вводные'!$E$88),ED$3&lt;$B$7),$B$16/MAX(1,'Вводные'!$E$88),0)</x:f>
      </x:c>
      <x:c r="EE16" s="117" t="n">
        <x:f>IF(AND(EE$3&gt;=EDATE($B$7,-'Вводные'!$E$88),EE$3&lt;$B$7),$B$16/MAX(1,'Вводные'!$E$88),0)</x:f>
      </x:c>
      <x:c r="EF16" s="117" t="n">
        <x:f>IF(AND(EF$3&gt;=EDATE($B$7,-'Вводные'!$E$88),EF$3&lt;$B$7),$B$16/MAX(1,'Вводные'!$E$88),0)</x:f>
      </x:c>
      <x:c r="EG16" s="117" t="n">
        <x:f>IF(AND(EG$3&gt;=EDATE($B$7,-'Вводные'!$E$88),EG$3&lt;$B$7),$B$16/MAX(1,'Вводные'!$E$88),0)</x:f>
      </x:c>
      <x:c r="EH16" s="117" t="n">
        <x:f>IF(AND(EH$3&gt;=EDATE($B$7,-'Вводные'!$E$88),EH$3&lt;$B$7),$B$16/MAX(1,'Вводные'!$E$88),0)</x:f>
      </x:c>
      <x:c r="EI16" s="117" t="n">
        <x:f>IF(AND(EI$3&gt;=EDATE($B$7,-'Вводные'!$E$88),EI$3&lt;$B$7),$B$16/MAX(1,'Вводные'!$E$88),0)</x:f>
      </x:c>
      <x:c r="EJ16" s="117" t="n">
        <x:f>IF(AND(EJ$3&gt;=EDATE($B$7,-'Вводные'!$E$88),EJ$3&lt;$B$7),$B$16/MAX(1,'Вводные'!$E$88),0)</x:f>
      </x:c>
      <x:c r="EK16" s="117" t="n">
        <x:f>IF(AND(EK$3&gt;=EDATE($B$7,-'Вводные'!$E$88),EK$3&lt;$B$7),$B$16/MAX(1,'Вводные'!$E$88),0)</x:f>
      </x:c>
      <x:c r="EL16" s="117" t="n">
        <x:f>IF(AND(EL$3&gt;=EDATE($B$7,-'Вводные'!$E$88),EL$3&lt;$B$7),$B$16/MAX(1,'Вводные'!$E$88),0)</x:f>
      </x:c>
      <x:c r="EM16" s="117" t="n">
        <x:f>IF(AND(EM$3&gt;=EDATE($B$7,-'Вводные'!$E$88),EM$3&lt;$B$7),$B$16/MAX(1,'Вводные'!$E$88),0)</x:f>
      </x:c>
      <x:c r="EN16" s="117" t="n">
        <x:f>IF(AND(EN$3&gt;=EDATE($B$7,-'Вводные'!$E$88),EN$3&lt;$B$7),$B$16/MAX(1,'Вводные'!$E$88),0)</x:f>
      </x:c>
      <x:c r="EO16" s="117" t="n">
        <x:f>IF(AND(EO$3&gt;=EDATE($B$7,-'Вводные'!$E$88),EO$3&lt;$B$7),$B$16/MAX(1,'Вводные'!$E$88),0)</x:f>
      </x:c>
      <x:c r="EP16" s="117" t="n">
        <x:f>IF(AND(EP$3&gt;=EDATE($B$7,-'Вводные'!$E$88),EP$3&lt;$B$7),$B$16/MAX(1,'Вводные'!$E$88),0)</x:f>
      </x:c>
      <x:c r="EQ16" s="117" t="n">
        <x:f>IF(AND(EQ$3&gt;=EDATE($B$7,-'Вводные'!$E$88),EQ$3&lt;$B$7),$B$16/MAX(1,'Вводные'!$E$88),0)</x:f>
      </x:c>
      <x:c r="ER16" s="117" t="n">
        <x:f>IF(AND(ER$3&gt;=EDATE($B$7,-'Вводные'!$E$88),ER$3&lt;$B$7),$B$16/MAX(1,'Вводные'!$E$88),0)</x:f>
      </x:c>
      <x:c r="ES16" s="117" t="n">
        <x:f>IF(AND(ES$3&gt;=EDATE($B$7,-'Вводные'!$E$88),ES$3&lt;$B$7),$B$16/MAX(1,'Вводные'!$E$88),0)</x:f>
      </x:c>
      <x:c r="ET16" s="117" t="n">
        <x:f>IF(AND(ET$3&gt;=EDATE($B$7,-'Вводные'!$E$88),ET$3&lt;$B$7),$B$16/MAX(1,'Вводные'!$E$88),0)</x:f>
      </x:c>
      <x:c r="EU16" s="117" t="n">
        <x:f>IF(AND(EU$3&gt;=EDATE($B$7,-'Вводные'!$E$88),EU$3&lt;$B$7),$B$16/MAX(1,'Вводные'!$E$88),0)</x:f>
      </x:c>
      <x:c r="EV16" s="117" t="n">
        <x:f>IF(AND(EV$3&gt;=EDATE($B$7,-'Вводные'!$E$88),EV$3&lt;$B$7),$B$16/MAX(1,'Вводные'!$E$88),0)</x:f>
      </x:c>
      <x:c r="EW16" s="117" t="n">
        <x:f>IF(AND(EW$3&gt;=EDATE($B$7,-'Вводные'!$E$88),EW$3&lt;$B$7),$B$16/MAX(1,'Вводные'!$E$88),0)</x:f>
      </x:c>
      <x:c r="EX16" s="117" t="n">
        <x:f>IF(AND(EX$3&gt;=EDATE($B$7,-'Вводные'!$E$88),EX$3&lt;$B$7),$B$16/MAX(1,'Вводные'!$E$88),0)</x:f>
      </x:c>
      <x:c r="EY16" s="117" t="n">
        <x:f>IF(AND(EY$3&gt;=EDATE($B$7,-'Вводные'!$E$88),EY$3&lt;$B$7),$B$16/MAX(1,'Вводные'!$E$88),0)</x:f>
      </x:c>
      <x:c r="EZ16" s="117" t="n">
        <x:f>IF(AND(EZ$3&gt;=EDATE($B$7,-'Вводные'!$E$88),EZ$3&lt;$B$7),$B$16/MAX(1,'Вводные'!$E$88),0)</x:f>
      </x:c>
      <x:c r="FA16" s="117" t="n">
        <x:f>IF(AND(FA$3&gt;=EDATE($B$7,-'Вводные'!$E$88),FA$3&lt;$B$7),$B$16/MAX(1,'Вводные'!$E$88),0)</x:f>
      </x:c>
      <x:c r="FB16" s="117" t="n">
        <x:f>IF(AND(FB$3&gt;=EDATE($B$7,-'Вводные'!$E$88),FB$3&lt;$B$7),$B$16/MAX(1,'Вводные'!$E$88),0)</x:f>
      </x:c>
      <x:c r="FC16" s="117" t="n">
        <x:f>IF(AND(FC$3&gt;=EDATE($B$7,-'Вводные'!$E$88),FC$3&lt;$B$7),$B$16/MAX(1,'Вводные'!$E$88),0)</x:f>
      </x:c>
      <x:c r="FD16" s="117" t="n">
        <x:f>IF(AND(FD$3&gt;=EDATE($B$7,-'Вводные'!$E$88),FD$3&lt;$B$7),$B$16/MAX(1,'Вводные'!$E$88),0)</x:f>
      </x:c>
      <x:c r="FE16" s="117" t="n">
        <x:f>IF(AND(FE$3&gt;=EDATE($B$7,-'Вводные'!$E$88),FE$3&lt;$B$7),$B$16/MAX(1,'Вводные'!$E$88),0)</x:f>
      </x:c>
      <x:c r="FF16" s="117" t="n">
        <x:f>IF(AND(FF$3&gt;=EDATE($B$7,-'Вводные'!$E$88),FF$3&lt;$B$7),$B$16/MAX(1,'Вводные'!$E$88),0)</x:f>
      </x:c>
      <x:c r="FG16" s="117" t="n">
        <x:f>IF(AND(FG$3&gt;=EDATE($B$7,-'Вводные'!$E$88),FG$3&lt;$B$7),$B$16/MAX(1,'Вводные'!$E$88),0)</x:f>
      </x:c>
      <x:c r="FH16" s="117" t="n">
        <x:f>IF(AND(FH$3&gt;=EDATE($B$7,-'Вводные'!$E$88),FH$3&lt;$B$7),$B$16/MAX(1,'Вводные'!$E$88),0)</x:f>
      </x:c>
      <x:c r="FI16" s="117" t="n">
        <x:f>IF(AND(FI$3&gt;=EDATE($B$7,-'Вводные'!$E$88),FI$3&lt;$B$7),$B$16/MAX(1,'Вводные'!$E$88),0)</x:f>
      </x:c>
      <x:c r="FJ16" s="117" t="n">
        <x:f>IF(AND(FJ$3&gt;=EDATE($B$7,-'Вводные'!$E$88),FJ$3&lt;$B$7),$B$16/MAX(1,'Вводные'!$E$88),0)</x:f>
      </x:c>
      <x:c r="FK16" s="117" t="n">
        <x:f>IF(AND(FK$3&gt;=EDATE($B$7,-'Вводные'!$E$88),FK$3&lt;$B$7),$B$16/MAX(1,'Вводные'!$E$88),0)</x:f>
      </x:c>
      <x:c r="FL16" s="117" t="n">
        <x:f>IF(AND(FL$3&gt;=EDATE($B$7,-'Вводные'!$E$88),FL$3&lt;$B$7),$B$16/MAX(1,'Вводные'!$E$88),0)</x:f>
      </x:c>
      <x:c r="FM16" s="117" t="n">
        <x:f>IF(AND(FM$3&gt;=EDATE($B$7,-'Вводные'!$E$88),FM$3&lt;$B$7),$B$16/MAX(1,'Вводные'!$E$88),0)</x:f>
      </x:c>
      <x:c r="FN16" s="117" t="n">
        <x:f>IF(AND(FN$3&gt;=EDATE($B$7,-'Вводные'!$E$88),FN$3&lt;$B$7),$B$16/MAX(1,'Вводные'!$E$88),0)</x:f>
      </x:c>
      <x:c r="FO16" s="117" t="n">
        <x:f>IF(AND(FO$3&gt;=EDATE($B$7,-'Вводные'!$E$88),FO$3&lt;$B$7),$B$16/MAX(1,'Вводные'!$E$88),0)</x:f>
      </x:c>
      <x:c r="FP16" s="117" t="n">
        <x:f>IF(AND(FP$3&gt;=EDATE($B$7,-'Вводные'!$E$88),FP$3&lt;$B$7),$B$16/MAX(1,'Вводные'!$E$88),0)</x:f>
      </x:c>
      <x:c r="FQ16" s="117" t="n">
        <x:f>IF(AND(FQ$3&gt;=EDATE($B$7,-'Вводные'!$E$88),FQ$3&lt;$B$7),$B$16/MAX(1,'Вводные'!$E$88),0)</x:f>
      </x:c>
      <x:c r="FR16" s="117" t="n">
        <x:f>IF(AND(FR$3&gt;=EDATE($B$7,-'Вводные'!$E$88),FR$3&lt;$B$7),$B$16/MAX(1,'Вводные'!$E$88),0)</x:f>
      </x:c>
      <x:c r="FS16" s="117" t="n">
        <x:f>IF(AND(FS$3&gt;=EDATE($B$7,-'Вводные'!$E$88),FS$3&lt;$B$7),$B$16/MAX(1,'Вводные'!$E$88),0)</x:f>
      </x:c>
      <x:c r="FT16" s="117" t="n">
        <x:f>IF(AND(FT$3&gt;=EDATE($B$7,-'Вводные'!$E$88),FT$3&lt;$B$7),$B$16/MAX(1,'Вводные'!$E$88),0)</x:f>
      </x:c>
      <x:c r="FU16" s="117" t="n">
        <x:f>IF(AND(FU$3&gt;=EDATE($B$7,-'Вводные'!$E$88),FU$3&lt;$B$7),$B$16/MAX(1,'Вводные'!$E$88),0)</x:f>
      </x:c>
      <x:c r="FV16" s="117" t="n">
        <x:f>IF(AND(FV$3&gt;=EDATE($B$7,-'Вводные'!$E$88),FV$3&lt;$B$7),$B$16/MAX(1,'Вводные'!$E$88),0)</x:f>
      </x:c>
      <x:c r="FW16" s="117" t="n">
        <x:f>IF(AND(FW$3&gt;=EDATE($B$7,-'Вводные'!$E$88),FW$3&lt;$B$7),$B$16/MAX(1,'Вводные'!$E$88),0)</x:f>
      </x:c>
      <x:c r="FX16" s="117" t="n">
        <x:f>IF(AND(FX$3&gt;=EDATE($B$7,-'Вводные'!$E$88),FX$3&lt;$B$7),$B$16/MAX(1,'Вводные'!$E$88),0)</x:f>
      </x:c>
      <x:c r="FY16" s="117" t="n">
        <x:f>IF(AND(FY$3&gt;=EDATE($B$7,-'Вводные'!$E$88),FY$3&lt;$B$7),$B$16/MAX(1,'Вводные'!$E$88),0)</x:f>
      </x:c>
      <x:c r="FZ16" s="117" t="n">
        <x:f>IF(AND(FZ$3&gt;=EDATE($B$7,-'Вводные'!$E$88),FZ$3&lt;$B$7),$B$16/MAX(1,'Вводные'!$E$88),0)</x:f>
      </x:c>
      <x:c r="GA16" s="117" t="n">
        <x:f>IF(AND(GA$3&gt;=EDATE($B$7,-'Вводные'!$E$88),GA$3&lt;$B$7),$B$16/MAX(1,'Вводные'!$E$88),0)</x:f>
      </x:c>
    </x:row>
    <x:row r="17">
      <x:c r="A17" t="str">
        <x:v>Проектирование, стадия П</x:v>
      </x:c>
      <x:c r="B17" s="107" t="n">
        <x:f>(('Вводные'!$I$88+'Вводные'!$J$88+'Вводные'!$K$88)*'Вводные'!$B$41/1000*'Вводные'!$H$6*'Вводные'!$T$88*--('Вводные'!$B$88="Да"))*'Вводные'!$AH$88</x:f>
      </x:c>
      <x:c r="C17" t="str">
        <x:v>млн ₽</x:v>
      </x:c>
      <x:c r="D17" s="117" t="n">
        <x:f>IF(AND(D$3&gt;=EDATE($B$7,-MIN(6,'Вводные'!$E$88)),D$3&lt;$B$7),$B$17/MAX(1,MIN(6,'Вводные'!$E$88)),0)</x:f>
      </x:c>
      <x:c r="E17" s="117" t="n">
        <x:f>IF(AND(E$3&gt;=EDATE($B$7,-MIN(6,'Вводные'!$E$88)),E$3&lt;$B$7),$B$17/MAX(1,MIN(6,'Вводные'!$E$88)),0)</x:f>
      </x:c>
      <x:c r="F17" s="117" t="n">
        <x:f>IF(AND(F$3&gt;=EDATE($B$7,-MIN(6,'Вводные'!$E$88)),F$3&lt;$B$7),$B$17/MAX(1,MIN(6,'Вводные'!$E$88)),0)</x:f>
      </x:c>
      <x:c r="G17" s="117" t="n">
        <x:f>IF(AND(G$3&gt;=EDATE($B$7,-MIN(6,'Вводные'!$E$88)),G$3&lt;$B$7),$B$17/MAX(1,MIN(6,'Вводные'!$E$88)),0)</x:f>
      </x:c>
      <x:c r="H17" s="117" t="n">
        <x:f>IF(AND(H$3&gt;=EDATE($B$7,-MIN(6,'Вводные'!$E$88)),H$3&lt;$B$7),$B$17/MAX(1,MIN(6,'Вводные'!$E$88)),0)</x:f>
      </x:c>
      <x:c r="I17" s="117" t="n">
        <x:f>IF(AND(I$3&gt;=EDATE($B$7,-MIN(6,'Вводные'!$E$88)),I$3&lt;$B$7),$B$17/MAX(1,MIN(6,'Вводные'!$E$88)),0)</x:f>
      </x:c>
      <x:c r="J17" s="117" t="n">
        <x:f>IF(AND(J$3&gt;=EDATE($B$7,-MIN(6,'Вводные'!$E$88)),J$3&lt;$B$7),$B$17/MAX(1,MIN(6,'Вводные'!$E$88)),0)</x:f>
      </x:c>
      <x:c r="K17" s="117" t="n">
        <x:f>IF(AND(K$3&gt;=EDATE($B$7,-MIN(6,'Вводные'!$E$88)),K$3&lt;$B$7),$B$17/MAX(1,MIN(6,'Вводные'!$E$88)),0)</x:f>
      </x:c>
      <x:c r="L17" s="117" t="n">
        <x:f>IF(AND(L$3&gt;=EDATE($B$7,-MIN(6,'Вводные'!$E$88)),L$3&lt;$B$7),$B$17/MAX(1,MIN(6,'Вводные'!$E$88)),0)</x:f>
      </x:c>
      <x:c r="M17" s="117" t="n">
        <x:f>IF(AND(M$3&gt;=EDATE($B$7,-MIN(6,'Вводные'!$E$88)),M$3&lt;$B$7),$B$17/MAX(1,MIN(6,'Вводные'!$E$88)),0)</x:f>
      </x:c>
      <x:c r="N17" s="117" t="n">
        <x:f>IF(AND(N$3&gt;=EDATE($B$7,-MIN(6,'Вводные'!$E$88)),N$3&lt;$B$7),$B$17/MAX(1,MIN(6,'Вводные'!$E$88)),0)</x:f>
      </x:c>
      <x:c r="O17" s="117" t="n">
        <x:f>IF(AND(O$3&gt;=EDATE($B$7,-MIN(6,'Вводные'!$E$88)),O$3&lt;$B$7),$B$17/MAX(1,MIN(6,'Вводные'!$E$88)),0)</x:f>
      </x:c>
      <x:c r="P17" s="117" t="n">
        <x:f>IF(AND(P$3&gt;=EDATE($B$7,-MIN(6,'Вводные'!$E$88)),P$3&lt;$B$7),$B$17/MAX(1,MIN(6,'Вводные'!$E$88)),0)</x:f>
      </x:c>
      <x:c r="Q17" s="117" t="n">
        <x:f>IF(AND(Q$3&gt;=EDATE($B$7,-MIN(6,'Вводные'!$E$88)),Q$3&lt;$B$7),$B$17/MAX(1,MIN(6,'Вводные'!$E$88)),0)</x:f>
      </x:c>
      <x:c r="R17" s="117" t="n">
        <x:f>IF(AND(R$3&gt;=EDATE($B$7,-MIN(6,'Вводные'!$E$88)),R$3&lt;$B$7),$B$17/MAX(1,MIN(6,'Вводные'!$E$88)),0)</x:f>
      </x:c>
      <x:c r="S17" s="117" t="n">
        <x:f>IF(AND(S$3&gt;=EDATE($B$7,-MIN(6,'Вводные'!$E$88)),S$3&lt;$B$7),$B$17/MAX(1,MIN(6,'Вводные'!$E$88)),0)</x:f>
      </x:c>
      <x:c r="T17" s="117" t="n">
        <x:f>IF(AND(T$3&gt;=EDATE($B$7,-MIN(6,'Вводные'!$E$88)),T$3&lt;$B$7),$B$17/MAX(1,MIN(6,'Вводные'!$E$88)),0)</x:f>
      </x:c>
      <x:c r="U17" s="117" t="n">
        <x:f>IF(AND(U$3&gt;=EDATE($B$7,-MIN(6,'Вводные'!$E$88)),U$3&lt;$B$7),$B$17/MAX(1,MIN(6,'Вводные'!$E$88)),0)</x:f>
      </x:c>
      <x:c r="V17" s="117" t="n">
        <x:f>IF(AND(V$3&gt;=EDATE($B$7,-MIN(6,'Вводные'!$E$88)),V$3&lt;$B$7),$B$17/MAX(1,MIN(6,'Вводные'!$E$88)),0)</x:f>
      </x:c>
      <x:c r="W17" s="117" t="n">
        <x:f>IF(AND(W$3&gt;=EDATE($B$7,-MIN(6,'Вводные'!$E$88)),W$3&lt;$B$7),$B$17/MAX(1,MIN(6,'Вводные'!$E$88)),0)</x:f>
      </x:c>
      <x:c r="X17" s="117" t="n">
        <x:f>IF(AND(X$3&gt;=EDATE($B$7,-MIN(6,'Вводные'!$E$88)),X$3&lt;$B$7),$B$17/MAX(1,MIN(6,'Вводные'!$E$88)),0)</x:f>
      </x:c>
      <x:c r="Y17" s="117" t="n">
        <x:f>IF(AND(Y$3&gt;=EDATE($B$7,-MIN(6,'Вводные'!$E$88)),Y$3&lt;$B$7),$B$17/MAX(1,MIN(6,'Вводные'!$E$88)),0)</x:f>
      </x:c>
      <x:c r="Z17" s="117" t="n">
        <x:f>IF(AND(Z$3&gt;=EDATE($B$7,-MIN(6,'Вводные'!$E$88)),Z$3&lt;$B$7),$B$17/MAX(1,MIN(6,'Вводные'!$E$88)),0)</x:f>
      </x:c>
      <x:c r="AA17" s="117" t="n">
        <x:f>IF(AND(AA$3&gt;=EDATE($B$7,-MIN(6,'Вводные'!$E$88)),AA$3&lt;$B$7),$B$17/MAX(1,MIN(6,'Вводные'!$E$88)),0)</x:f>
      </x:c>
      <x:c r="AB17" s="117" t="n">
        <x:f>IF(AND(AB$3&gt;=EDATE($B$7,-MIN(6,'Вводные'!$E$88)),AB$3&lt;$B$7),$B$17/MAX(1,MIN(6,'Вводные'!$E$88)),0)</x:f>
      </x:c>
      <x:c r="AC17" s="117" t="n">
        <x:f>IF(AND(AC$3&gt;=EDATE($B$7,-MIN(6,'Вводные'!$E$88)),AC$3&lt;$B$7),$B$17/MAX(1,MIN(6,'Вводные'!$E$88)),0)</x:f>
      </x:c>
      <x:c r="AD17" s="117" t="n">
        <x:f>IF(AND(AD$3&gt;=EDATE($B$7,-MIN(6,'Вводные'!$E$88)),AD$3&lt;$B$7),$B$17/MAX(1,MIN(6,'Вводные'!$E$88)),0)</x:f>
      </x:c>
      <x:c r="AE17" s="117" t="n">
        <x:f>IF(AND(AE$3&gt;=EDATE($B$7,-MIN(6,'Вводные'!$E$88)),AE$3&lt;$B$7),$B$17/MAX(1,MIN(6,'Вводные'!$E$88)),0)</x:f>
      </x:c>
      <x:c r="AF17" s="117" t="n">
        <x:f>IF(AND(AF$3&gt;=EDATE($B$7,-MIN(6,'Вводные'!$E$88)),AF$3&lt;$B$7),$B$17/MAX(1,MIN(6,'Вводные'!$E$88)),0)</x:f>
      </x:c>
      <x:c r="AG17" s="117" t="n">
        <x:f>IF(AND(AG$3&gt;=EDATE($B$7,-MIN(6,'Вводные'!$E$88)),AG$3&lt;$B$7),$B$17/MAX(1,MIN(6,'Вводные'!$E$88)),0)</x:f>
      </x:c>
      <x:c r="AH17" s="117" t="n">
        <x:f>IF(AND(AH$3&gt;=EDATE($B$7,-MIN(6,'Вводные'!$E$88)),AH$3&lt;$B$7),$B$17/MAX(1,MIN(6,'Вводные'!$E$88)),0)</x:f>
      </x:c>
      <x:c r="AI17" s="117" t="n">
        <x:f>IF(AND(AI$3&gt;=EDATE($B$7,-MIN(6,'Вводные'!$E$88)),AI$3&lt;$B$7),$B$17/MAX(1,MIN(6,'Вводные'!$E$88)),0)</x:f>
      </x:c>
      <x:c r="AJ17" s="117" t="n">
        <x:f>IF(AND(AJ$3&gt;=EDATE($B$7,-MIN(6,'Вводные'!$E$88)),AJ$3&lt;$B$7),$B$17/MAX(1,MIN(6,'Вводные'!$E$88)),0)</x:f>
      </x:c>
      <x:c r="AK17" s="117" t="n">
        <x:f>IF(AND(AK$3&gt;=EDATE($B$7,-MIN(6,'Вводные'!$E$88)),AK$3&lt;$B$7),$B$17/MAX(1,MIN(6,'Вводные'!$E$88)),0)</x:f>
      </x:c>
      <x:c r="AL17" s="117" t="n">
        <x:f>IF(AND(AL$3&gt;=EDATE($B$7,-MIN(6,'Вводные'!$E$88)),AL$3&lt;$B$7),$B$17/MAX(1,MIN(6,'Вводные'!$E$88)),0)</x:f>
      </x:c>
      <x:c r="AM17" s="117" t="n">
        <x:f>IF(AND(AM$3&gt;=EDATE($B$7,-MIN(6,'Вводные'!$E$88)),AM$3&lt;$B$7),$B$17/MAX(1,MIN(6,'Вводные'!$E$88)),0)</x:f>
      </x:c>
      <x:c r="AN17" s="117" t="n">
        <x:f>IF(AND(AN$3&gt;=EDATE($B$7,-MIN(6,'Вводные'!$E$88)),AN$3&lt;$B$7),$B$17/MAX(1,MIN(6,'Вводные'!$E$88)),0)</x:f>
      </x:c>
      <x:c r="AO17" s="117" t="n">
        <x:f>IF(AND(AO$3&gt;=EDATE($B$7,-MIN(6,'Вводные'!$E$88)),AO$3&lt;$B$7),$B$17/MAX(1,MIN(6,'Вводные'!$E$88)),0)</x:f>
      </x:c>
      <x:c r="AP17" s="117" t="n">
        <x:f>IF(AND(AP$3&gt;=EDATE($B$7,-MIN(6,'Вводные'!$E$88)),AP$3&lt;$B$7),$B$17/MAX(1,MIN(6,'Вводные'!$E$88)),0)</x:f>
      </x:c>
      <x:c r="AQ17" s="117" t="n">
        <x:f>IF(AND(AQ$3&gt;=EDATE($B$7,-MIN(6,'Вводные'!$E$88)),AQ$3&lt;$B$7),$B$17/MAX(1,MIN(6,'Вводные'!$E$88)),0)</x:f>
      </x:c>
      <x:c r="AR17" s="117" t="n">
        <x:f>IF(AND(AR$3&gt;=EDATE($B$7,-MIN(6,'Вводные'!$E$88)),AR$3&lt;$B$7),$B$17/MAX(1,MIN(6,'Вводные'!$E$88)),0)</x:f>
      </x:c>
      <x:c r="AS17" s="117" t="n">
        <x:f>IF(AND(AS$3&gt;=EDATE($B$7,-MIN(6,'Вводные'!$E$88)),AS$3&lt;$B$7),$B$17/MAX(1,MIN(6,'Вводные'!$E$88)),0)</x:f>
      </x:c>
      <x:c r="AT17" s="117" t="n">
        <x:f>IF(AND(AT$3&gt;=EDATE($B$7,-MIN(6,'Вводные'!$E$88)),AT$3&lt;$B$7),$B$17/MAX(1,MIN(6,'Вводные'!$E$88)),0)</x:f>
      </x:c>
      <x:c r="AU17" s="117" t="n">
        <x:f>IF(AND(AU$3&gt;=EDATE($B$7,-MIN(6,'Вводные'!$E$88)),AU$3&lt;$B$7),$B$17/MAX(1,MIN(6,'Вводные'!$E$88)),0)</x:f>
      </x:c>
      <x:c r="AV17" s="117" t="n">
        <x:f>IF(AND(AV$3&gt;=EDATE($B$7,-MIN(6,'Вводные'!$E$88)),AV$3&lt;$B$7),$B$17/MAX(1,MIN(6,'Вводные'!$E$88)),0)</x:f>
      </x:c>
      <x:c r="AW17" s="117" t="n">
        <x:f>IF(AND(AW$3&gt;=EDATE($B$7,-MIN(6,'Вводные'!$E$88)),AW$3&lt;$B$7),$B$17/MAX(1,MIN(6,'Вводные'!$E$88)),0)</x:f>
      </x:c>
      <x:c r="AX17" s="117" t="n">
        <x:f>IF(AND(AX$3&gt;=EDATE($B$7,-MIN(6,'Вводные'!$E$88)),AX$3&lt;$B$7),$B$17/MAX(1,MIN(6,'Вводные'!$E$88)),0)</x:f>
      </x:c>
      <x:c r="AY17" s="117" t="n">
        <x:f>IF(AND(AY$3&gt;=EDATE($B$7,-MIN(6,'Вводные'!$E$88)),AY$3&lt;$B$7),$B$17/MAX(1,MIN(6,'Вводные'!$E$88)),0)</x:f>
      </x:c>
      <x:c r="AZ17" s="117" t="n">
        <x:f>IF(AND(AZ$3&gt;=EDATE($B$7,-MIN(6,'Вводные'!$E$88)),AZ$3&lt;$B$7),$B$17/MAX(1,MIN(6,'Вводные'!$E$88)),0)</x:f>
      </x:c>
      <x:c r="BA17" s="117" t="n">
        <x:f>IF(AND(BA$3&gt;=EDATE($B$7,-MIN(6,'Вводные'!$E$88)),BA$3&lt;$B$7),$B$17/MAX(1,MIN(6,'Вводные'!$E$88)),0)</x:f>
      </x:c>
      <x:c r="BB17" s="117" t="n">
        <x:f>IF(AND(BB$3&gt;=EDATE($B$7,-MIN(6,'Вводные'!$E$88)),BB$3&lt;$B$7),$B$17/MAX(1,MIN(6,'Вводные'!$E$88)),0)</x:f>
      </x:c>
      <x:c r="BC17" s="117" t="n">
        <x:f>IF(AND(BC$3&gt;=EDATE($B$7,-MIN(6,'Вводные'!$E$88)),BC$3&lt;$B$7),$B$17/MAX(1,MIN(6,'Вводные'!$E$88)),0)</x:f>
      </x:c>
      <x:c r="BD17" s="117" t="n">
        <x:f>IF(AND(BD$3&gt;=EDATE($B$7,-MIN(6,'Вводные'!$E$88)),BD$3&lt;$B$7),$B$17/MAX(1,MIN(6,'Вводные'!$E$88)),0)</x:f>
      </x:c>
      <x:c r="BE17" s="117" t="n">
        <x:f>IF(AND(BE$3&gt;=EDATE($B$7,-MIN(6,'Вводные'!$E$88)),BE$3&lt;$B$7),$B$17/MAX(1,MIN(6,'Вводные'!$E$88)),0)</x:f>
      </x:c>
      <x:c r="BF17" s="117" t="n">
        <x:f>IF(AND(BF$3&gt;=EDATE($B$7,-MIN(6,'Вводные'!$E$88)),BF$3&lt;$B$7),$B$17/MAX(1,MIN(6,'Вводные'!$E$88)),0)</x:f>
      </x:c>
      <x:c r="BG17" s="117" t="n">
        <x:f>IF(AND(BG$3&gt;=EDATE($B$7,-MIN(6,'Вводные'!$E$88)),BG$3&lt;$B$7),$B$17/MAX(1,MIN(6,'Вводные'!$E$88)),0)</x:f>
      </x:c>
      <x:c r="BH17" s="117" t="n">
        <x:f>IF(AND(BH$3&gt;=EDATE($B$7,-MIN(6,'Вводные'!$E$88)),BH$3&lt;$B$7),$B$17/MAX(1,MIN(6,'Вводные'!$E$88)),0)</x:f>
      </x:c>
      <x:c r="BI17" s="117" t="n">
        <x:f>IF(AND(BI$3&gt;=EDATE($B$7,-MIN(6,'Вводные'!$E$88)),BI$3&lt;$B$7),$B$17/MAX(1,MIN(6,'Вводные'!$E$88)),0)</x:f>
      </x:c>
      <x:c r="BJ17" s="117" t="n">
        <x:f>IF(AND(BJ$3&gt;=EDATE($B$7,-MIN(6,'Вводные'!$E$88)),BJ$3&lt;$B$7),$B$17/MAX(1,MIN(6,'Вводные'!$E$88)),0)</x:f>
      </x:c>
      <x:c r="BK17" s="117" t="n">
        <x:f>IF(AND(BK$3&gt;=EDATE($B$7,-MIN(6,'Вводные'!$E$88)),BK$3&lt;$B$7),$B$17/MAX(1,MIN(6,'Вводные'!$E$88)),0)</x:f>
      </x:c>
      <x:c r="BL17" s="117" t="n">
        <x:f>IF(AND(BL$3&gt;=EDATE($B$7,-MIN(6,'Вводные'!$E$88)),BL$3&lt;$B$7),$B$17/MAX(1,MIN(6,'Вводные'!$E$88)),0)</x:f>
      </x:c>
      <x:c r="BM17" s="117" t="n">
        <x:f>IF(AND(BM$3&gt;=EDATE($B$7,-MIN(6,'Вводные'!$E$88)),BM$3&lt;$B$7),$B$17/MAX(1,MIN(6,'Вводные'!$E$88)),0)</x:f>
      </x:c>
      <x:c r="BN17" s="117" t="n">
        <x:f>IF(AND(BN$3&gt;=EDATE($B$7,-MIN(6,'Вводные'!$E$88)),BN$3&lt;$B$7),$B$17/MAX(1,MIN(6,'Вводные'!$E$88)),0)</x:f>
      </x:c>
      <x:c r="BO17" s="117" t="n">
        <x:f>IF(AND(BO$3&gt;=EDATE($B$7,-MIN(6,'Вводные'!$E$88)),BO$3&lt;$B$7),$B$17/MAX(1,MIN(6,'Вводные'!$E$88)),0)</x:f>
      </x:c>
      <x:c r="BP17" s="117" t="n">
        <x:f>IF(AND(BP$3&gt;=EDATE($B$7,-MIN(6,'Вводные'!$E$88)),BP$3&lt;$B$7),$B$17/MAX(1,MIN(6,'Вводные'!$E$88)),0)</x:f>
      </x:c>
      <x:c r="BQ17" s="117" t="n">
        <x:f>IF(AND(BQ$3&gt;=EDATE($B$7,-MIN(6,'Вводные'!$E$88)),BQ$3&lt;$B$7),$B$17/MAX(1,MIN(6,'Вводные'!$E$88)),0)</x:f>
      </x:c>
      <x:c r="BR17" s="117" t="n">
        <x:f>IF(AND(BR$3&gt;=EDATE($B$7,-MIN(6,'Вводные'!$E$88)),BR$3&lt;$B$7),$B$17/MAX(1,MIN(6,'Вводные'!$E$88)),0)</x:f>
      </x:c>
      <x:c r="BS17" s="117" t="n">
        <x:f>IF(AND(BS$3&gt;=EDATE($B$7,-MIN(6,'Вводные'!$E$88)),BS$3&lt;$B$7),$B$17/MAX(1,MIN(6,'Вводные'!$E$88)),0)</x:f>
      </x:c>
      <x:c r="BT17" s="117" t="n">
        <x:f>IF(AND(BT$3&gt;=EDATE($B$7,-MIN(6,'Вводные'!$E$88)),BT$3&lt;$B$7),$B$17/MAX(1,MIN(6,'Вводные'!$E$88)),0)</x:f>
      </x:c>
      <x:c r="BU17" s="117" t="n">
        <x:f>IF(AND(BU$3&gt;=EDATE($B$7,-MIN(6,'Вводные'!$E$88)),BU$3&lt;$B$7),$B$17/MAX(1,MIN(6,'Вводные'!$E$88)),0)</x:f>
      </x:c>
      <x:c r="BV17" s="117" t="n">
        <x:f>IF(AND(BV$3&gt;=EDATE($B$7,-MIN(6,'Вводные'!$E$88)),BV$3&lt;$B$7),$B$17/MAX(1,MIN(6,'Вводные'!$E$88)),0)</x:f>
      </x:c>
      <x:c r="BW17" s="117" t="n">
        <x:f>IF(AND(BW$3&gt;=EDATE($B$7,-MIN(6,'Вводные'!$E$88)),BW$3&lt;$B$7),$B$17/MAX(1,MIN(6,'Вводные'!$E$88)),0)</x:f>
      </x:c>
      <x:c r="BX17" s="117" t="n">
        <x:f>IF(AND(BX$3&gt;=EDATE($B$7,-MIN(6,'Вводные'!$E$88)),BX$3&lt;$B$7),$B$17/MAX(1,MIN(6,'Вводные'!$E$88)),0)</x:f>
      </x:c>
      <x:c r="BY17" s="117" t="n">
        <x:f>IF(AND(BY$3&gt;=EDATE($B$7,-MIN(6,'Вводные'!$E$88)),BY$3&lt;$B$7),$B$17/MAX(1,MIN(6,'Вводные'!$E$88)),0)</x:f>
      </x:c>
      <x:c r="BZ17" s="117" t="n">
        <x:f>IF(AND(BZ$3&gt;=EDATE($B$7,-MIN(6,'Вводные'!$E$88)),BZ$3&lt;$B$7),$B$17/MAX(1,MIN(6,'Вводные'!$E$88)),0)</x:f>
      </x:c>
      <x:c r="CA17" s="117" t="n">
        <x:f>IF(AND(CA$3&gt;=EDATE($B$7,-MIN(6,'Вводные'!$E$88)),CA$3&lt;$B$7),$B$17/MAX(1,MIN(6,'Вводные'!$E$88)),0)</x:f>
      </x:c>
      <x:c r="CB17" s="117" t="n">
        <x:f>IF(AND(CB$3&gt;=EDATE($B$7,-MIN(6,'Вводные'!$E$88)),CB$3&lt;$B$7),$B$17/MAX(1,MIN(6,'Вводные'!$E$88)),0)</x:f>
      </x:c>
      <x:c r="CC17" s="117" t="n">
        <x:f>IF(AND(CC$3&gt;=EDATE($B$7,-MIN(6,'Вводные'!$E$88)),CC$3&lt;$B$7),$B$17/MAX(1,MIN(6,'Вводные'!$E$88)),0)</x:f>
      </x:c>
      <x:c r="CD17" s="117" t="n">
        <x:f>IF(AND(CD$3&gt;=EDATE($B$7,-MIN(6,'Вводные'!$E$88)),CD$3&lt;$B$7),$B$17/MAX(1,MIN(6,'Вводные'!$E$88)),0)</x:f>
      </x:c>
      <x:c r="CE17" s="117" t="n">
        <x:f>IF(AND(CE$3&gt;=EDATE($B$7,-MIN(6,'Вводные'!$E$88)),CE$3&lt;$B$7),$B$17/MAX(1,MIN(6,'Вводные'!$E$88)),0)</x:f>
      </x:c>
      <x:c r="CF17" s="117" t="n">
        <x:f>IF(AND(CF$3&gt;=EDATE($B$7,-MIN(6,'Вводные'!$E$88)),CF$3&lt;$B$7),$B$17/MAX(1,MIN(6,'Вводные'!$E$88)),0)</x:f>
      </x:c>
      <x:c r="CG17" s="117" t="n">
        <x:f>IF(AND(CG$3&gt;=EDATE($B$7,-MIN(6,'Вводные'!$E$88)),CG$3&lt;$B$7),$B$17/MAX(1,MIN(6,'Вводные'!$E$88)),0)</x:f>
      </x:c>
      <x:c r="CH17" s="117" t="n">
        <x:f>IF(AND(CH$3&gt;=EDATE($B$7,-MIN(6,'Вводные'!$E$88)),CH$3&lt;$B$7),$B$17/MAX(1,MIN(6,'Вводные'!$E$88)),0)</x:f>
      </x:c>
      <x:c r="CI17" s="117" t="n">
        <x:f>IF(AND(CI$3&gt;=EDATE($B$7,-MIN(6,'Вводные'!$E$88)),CI$3&lt;$B$7),$B$17/MAX(1,MIN(6,'Вводные'!$E$88)),0)</x:f>
      </x:c>
      <x:c r="CJ17" s="117" t="n">
        <x:f>IF(AND(CJ$3&gt;=EDATE($B$7,-MIN(6,'Вводные'!$E$88)),CJ$3&lt;$B$7),$B$17/MAX(1,MIN(6,'Вводные'!$E$88)),0)</x:f>
      </x:c>
      <x:c r="CK17" s="117" t="n">
        <x:f>IF(AND(CK$3&gt;=EDATE($B$7,-MIN(6,'Вводные'!$E$88)),CK$3&lt;$B$7),$B$17/MAX(1,MIN(6,'Вводные'!$E$88)),0)</x:f>
      </x:c>
      <x:c r="CL17" s="117" t="n">
        <x:f>IF(AND(CL$3&gt;=EDATE($B$7,-MIN(6,'Вводные'!$E$88)),CL$3&lt;$B$7),$B$17/MAX(1,MIN(6,'Вводные'!$E$88)),0)</x:f>
      </x:c>
      <x:c r="CM17" s="117" t="n">
        <x:f>IF(AND(CM$3&gt;=EDATE($B$7,-MIN(6,'Вводные'!$E$88)),CM$3&lt;$B$7),$B$17/MAX(1,MIN(6,'Вводные'!$E$88)),0)</x:f>
      </x:c>
      <x:c r="CN17" s="117" t="n">
        <x:f>IF(AND(CN$3&gt;=EDATE($B$7,-MIN(6,'Вводные'!$E$88)),CN$3&lt;$B$7),$B$17/MAX(1,MIN(6,'Вводные'!$E$88)),0)</x:f>
      </x:c>
      <x:c r="CO17" s="117" t="n">
        <x:f>IF(AND(CO$3&gt;=EDATE($B$7,-MIN(6,'Вводные'!$E$88)),CO$3&lt;$B$7),$B$17/MAX(1,MIN(6,'Вводные'!$E$88)),0)</x:f>
      </x:c>
      <x:c r="CP17" s="117" t="n">
        <x:f>IF(AND(CP$3&gt;=EDATE($B$7,-MIN(6,'Вводные'!$E$88)),CP$3&lt;$B$7),$B$17/MAX(1,MIN(6,'Вводные'!$E$88)),0)</x:f>
      </x:c>
      <x:c r="CQ17" s="117" t="n">
        <x:f>IF(AND(CQ$3&gt;=EDATE($B$7,-MIN(6,'Вводные'!$E$88)),CQ$3&lt;$B$7),$B$17/MAX(1,MIN(6,'Вводные'!$E$88)),0)</x:f>
      </x:c>
      <x:c r="CR17" s="117" t="n">
        <x:f>IF(AND(CR$3&gt;=EDATE($B$7,-MIN(6,'Вводные'!$E$88)),CR$3&lt;$B$7),$B$17/MAX(1,MIN(6,'Вводные'!$E$88)),0)</x:f>
      </x:c>
      <x:c r="CS17" s="117" t="n">
        <x:f>IF(AND(CS$3&gt;=EDATE($B$7,-MIN(6,'Вводные'!$E$88)),CS$3&lt;$B$7),$B$17/MAX(1,MIN(6,'Вводные'!$E$88)),0)</x:f>
      </x:c>
      <x:c r="CT17" s="117" t="n">
        <x:f>IF(AND(CT$3&gt;=EDATE($B$7,-MIN(6,'Вводные'!$E$88)),CT$3&lt;$B$7),$B$17/MAX(1,MIN(6,'Вводные'!$E$88)),0)</x:f>
      </x:c>
      <x:c r="CU17" s="117" t="n">
        <x:f>IF(AND(CU$3&gt;=EDATE($B$7,-MIN(6,'Вводные'!$E$88)),CU$3&lt;$B$7),$B$17/MAX(1,MIN(6,'Вводные'!$E$88)),0)</x:f>
      </x:c>
      <x:c r="CV17" s="117" t="n">
        <x:f>IF(AND(CV$3&gt;=EDATE($B$7,-MIN(6,'Вводные'!$E$88)),CV$3&lt;$B$7),$B$17/MAX(1,MIN(6,'Вводные'!$E$88)),0)</x:f>
      </x:c>
      <x:c r="CW17" s="117" t="n">
        <x:f>IF(AND(CW$3&gt;=EDATE($B$7,-MIN(6,'Вводные'!$E$88)),CW$3&lt;$B$7),$B$17/MAX(1,MIN(6,'Вводные'!$E$88)),0)</x:f>
      </x:c>
      <x:c r="CX17" s="117" t="n">
        <x:f>IF(AND(CX$3&gt;=EDATE($B$7,-MIN(6,'Вводные'!$E$88)),CX$3&lt;$B$7),$B$17/MAX(1,MIN(6,'Вводные'!$E$88)),0)</x:f>
      </x:c>
      <x:c r="CY17" s="117" t="n">
        <x:f>IF(AND(CY$3&gt;=EDATE($B$7,-MIN(6,'Вводные'!$E$88)),CY$3&lt;$B$7),$B$17/MAX(1,MIN(6,'Вводные'!$E$88)),0)</x:f>
      </x:c>
      <x:c r="CZ17" s="117" t="n">
        <x:f>IF(AND(CZ$3&gt;=EDATE($B$7,-MIN(6,'Вводные'!$E$88)),CZ$3&lt;$B$7),$B$17/MAX(1,MIN(6,'Вводные'!$E$88)),0)</x:f>
      </x:c>
      <x:c r="DA17" s="117" t="n">
        <x:f>IF(AND(DA$3&gt;=EDATE($B$7,-MIN(6,'Вводные'!$E$88)),DA$3&lt;$B$7),$B$17/MAX(1,MIN(6,'Вводные'!$E$88)),0)</x:f>
      </x:c>
      <x:c r="DB17" s="117" t="n">
        <x:f>IF(AND(DB$3&gt;=EDATE($B$7,-MIN(6,'Вводные'!$E$88)),DB$3&lt;$B$7),$B$17/MAX(1,MIN(6,'Вводные'!$E$88)),0)</x:f>
      </x:c>
      <x:c r="DC17" s="117" t="n">
        <x:f>IF(AND(DC$3&gt;=EDATE($B$7,-MIN(6,'Вводные'!$E$88)),DC$3&lt;$B$7),$B$17/MAX(1,MIN(6,'Вводные'!$E$88)),0)</x:f>
      </x:c>
      <x:c r="DD17" s="117" t="n">
        <x:f>IF(AND(DD$3&gt;=EDATE($B$7,-MIN(6,'Вводные'!$E$88)),DD$3&lt;$B$7),$B$17/MAX(1,MIN(6,'Вводные'!$E$88)),0)</x:f>
      </x:c>
      <x:c r="DE17" s="117" t="n">
        <x:f>IF(AND(DE$3&gt;=EDATE($B$7,-MIN(6,'Вводные'!$E$88)),DE$3&lt;$B$7),$B$17/MAX(1,MIN(6,'Вводные'!$E$88)),0)</x:f>
      </x:c>
      <x:c r="DF17" s="117" t="n">
        <x:f>IF(AND(DF$3&gt;=EDATE($B$7,-MIN(6,'Вводные'!$E$88)),DF$3&lt;$B$7),$B$17/MAX(1,MIN(6,'Вводные'!$E$88)),0)</x:f>
      </x:c>
      <x:c r="DG17" s="117" t="n">
        <x:f>IF(AND(DG$3&gt;=EDATE($B$7,-MIN(6,'Вводные'!$E$88)),DG$3&lt;$B$7),$B$17/MAX(1,MIN(6,'Вводные'!$E$88)),0)</x:f>
      </x:c>
      <x:c r="DH17" s="117" t="n">
        <x:f>IF(AND(DH$3&gt;=EDATE($B$7,-MIN(6,'Вводные'!$E$88)),DH$3&lt;$B$7),$B$17/MAX(1,MIN(6,'Вводные'!$E$88)),0)</x:f>
      </x:c>
      <x:c r="DI17" s="117" t="n">
        <x:f>IF(AND(DI$3&gt;=EDATE($B$7,-MIN(6,'Вводные'!$E$88)),DI$3&lt;$B$7),$B$17/MAX(1,MIN(6,'Вводные'!$E$88)),0)</x:f>
      </x:c>
      <x:c r="DJ17" s="117" t="n">
        <x:f>IF(AND(DJ$3&gt;=EDATE($B$7,-MIN(6,'Вводные'!$E$88)),DJ$3&lt;$B$7),$B$17/MAX(1,MIN(6,'Вводные'!$E$88)),0)</x:f>
      </x:c>
      <x:c r="DK17" s="117" t="n">
        <x:f>IF(AND(DK$3&gt;=EDATE($B$7,-MIN(6,'Вводные'!$E$88)),DK$3&lt;$B$7),$B$17/MAX(1,MIN(6,'Вводные'!$E$88)),0)</x:f>
      </x:c>
      <x:c r="DL17" s="117" t="n">
        <x:f>IF(AND(DL$3&gt;=EDATE($B$7,-MIN(6,'Вводные'!$E$88)),DL$3&lt;$B$7),$B$17/MAX(1,MIN(6,'Вводные'!$E$88)),0)</x:f>
      </x:c>
      <x:c r="DM17" s="117" t="n">
        <x:f>IF(AND(DM$3&gt;=EDATE($B$7,-MIN(6,'Вводные'!$E$88)),DM$3&lt;$B$7),$B$17/MAX(1,MIN(6,'Вводные'!$E$88)),0)</x:f>
      </x:c>
      <x:c r="DN17" s="117" t="n">
        <x:f>IF(AND(DN$3&gt;=EDATE($B$7,-MIN(6,'Вводные'!$E$88)),DN$3&lt;$B$7),$B$17/MAX(1,MIN(6,'Вводные'!$E$88)),0)</x:f>
      </x:c>
      <x:c r="DO17" s="117" t="n">
        <x:f>IF(AND(DO$3&gt;=EDATE($B$7,-MIN(6,'Вводные'!$E$88)),DO$3&lt;$B$7),$B$17/MAX(1,MIN(6,'Вводные'!$E$88)),0)</x:f>
      </x:c>
      <x:c r="DP17" s="117" t="n">
        <x:f>IF(AND(DP$3&gt;=EDATE($B$7,-MIN(6,'Вводные'!$E$88)),DP$3&lt;$B$7),$B$17/MAX(1,MIN(6,'Вводные'!$E$88)),0)</x:f>
      </x:c>
      <x:c r="DQ17" s="117" t="n">
        <x:f>IF(AND(DQ$3&gt;=EDATE($B$7,-MIN(6,'Вводные'!$E$88)),DQ$3&lt;$B$7),$B$17/MAX(1,MIN(6,'Вводные'!$E$88)),0)</x:f>
      </x:c>
      <x:c r="DR17" s="117" t="n">
        <x:f>IF(AND(DR$3&gt;=EDATE($B$7,-MIN(6,'Вводные'!$E$88)),DR$3&lt;$B$7),$B$17/MAX(1,MIN(6,'Вводные'!$E$88)),0)</x:f>
      </x:c>
      <x:c r="DS17" s="117" t="n">
        <x:f>IF(AND(DS$3&gt;=EDATE($B$7,-MIN(6,'Вводные'!$E$88)),DS$3&lt;$B$7),$B$17/MAX(1,MIN(6,'Вводные'!$E$88)),0)</x:f>
      </x:c>
      <x:c r="DT17" s="117" t="n">
        <x:f>IF(AND(DT$3&gt;=EDATE($B$7,-MIN(6,'Вводные'!$E$88)),DT$3&lt;$B$7),$B$17/MAX(1,MIN(6,'Вводные'!$E$88)),0)</x:f>
      </x:c>
      <x:c r="DU17" s="117" t="n">
        <x:f>IF(AND(DU$3&gt;=EDATE($B$7,-MIN(6,'Вводные'!$E$88)),DU$3&lt;$B$7),$B$17/MAX(1,MIN(6,'Вводные'!$E$88)),0)</x:f>
      </x:c>
      <x:c r="DV17" s="117" t="n">
        <x:f>IF(AND(DV$3&gt;=EDATE($B$7,-MIN(6,'Вводные'!$E$88)),DV$3&lt;$B$7),$B$17/MAX(1,MIN(6,'Вводные'!$E$88)),0)</x:f>
      </x:c>
      <x:c r="DW17" s="117" t="n">
        <x:f>IF(AND(DW$3&gt;=EDATE($B$7,-MIN(6,'Вводные'!$E$88)),DW$3&lt;$B$7),$B$17/MAX(1,MIN(6,'Вводные'!$E$88)),0)</x:f>
      </x:c>
      <x:c r="DX17" s="117" t="n">
        <x:f>IF(AND(DX$3&gt;=EDATE($B$7,-MIN(6,'Вводные'!$E$88)),DX$3&lt;$B$7),$B$17/MAX(1,MIN(6,'Вводные'!$E$88)),0)</x:f>
      </x:c>
      <x:c r="DY17" s="117" t="n">
        <x:f>IF(AND(DY$3&gt;=EDATE($B$7,-MIN(6,'Вводные'!$E$88)),DY$3&lt;$B$7),$B$17/MAX(1,MIN(6,'Вводные'!$E$88)),0)</x:f>
      </x:c>
      <x:c r="DZ17" s="117" t="n">
        <x:f>IF(AND(DZ$3&gt;=EDATE($B$7,-MIN(6,'Вводные'!$E$88)),DZ$3&lt;$B$7),$B$17/MAX(1,MIN(6,'Вводные'!$E$88)),0)</x:f>
      </x:c>
      <x:c r="EA17" s="117" t="n">
        <x:f>IF(AND(EA$3&gt;=EDATE($B$7,-MIN(6,'Вводные'!$E$88)),EA$3&lt;$B$7),$B$17/MAX(1,MIN(6,'Вводные'!$E$88)),0)</x:f>
      </x:c>
      <x:c r="EB17" s="117" t="n">
        <x:f>IF(AND(EB$3&gt;=EDATE($B$7,-MIN(6,'Вводные'!$E$88)),EB$3&lt;$B$7),$B$17/MAX(1,MIN(6,'Вводные'!$E$88)),0)</x:f>
      </x:c>
      <x:c r="EC17" s="117" t="n">
        <x:f>IF(AND(EC$3&gt;=EDATE($B$7,-MIN(6,'Вводные'!$E$88)),EC$3&lt;$B$7),$B$17/MAX(1,MIN(6,'Вводные'!$E$88)),0)</x:f>
      </x:c>
      <x:c r="ED17" s="117" t="n">
        <x:f>IF(AND(ED$3&gt;=EDATE($B$7,-MIN(6,'Вводные'!$E$88)),ED$3&lt;$B$7),$B$17/MAX(1,MIN(6,'Вводные'!$E$88)),0)</x:f>
      </x:c>
      <x:c r="EE17" s="117" t="n">
        <x:f>IF(AND(EE$3&gt;=EDATE($B$7,-MIN(6,'Вводные'!$E$88)),EE$3&lt;$B$7),$B$17/MAX(1,MIN(6,'Вводные'!$E$88)),0)</x:f>
      </x:c>
      <x:c r="EF17" s="117" t="n">
        <x:f>IF(AND(EF$3&gt;=EDATE($B$7,-MIN(6,'Вводные'!$E$88)),EF$3&lt;$B$7),$B$17/MAX(1,MIN(6,'Вводные'!$E$88)),0)</x:f>
      </x:c>
      <x:c r="EG17" s="117" t="n">
        <x:f>IF(AND(EG$3&gt;=EDATE($B$7,-MIN(6,'Вводные'!$E$88)),EG$3&lt;$B$7),$B$17/MAX(1,MIN(6,'Вводные'!$E$88)),0)</x:f>
      </x:c>
      <x:c r="EH17" s="117" t="n">
        <x:f>IF(AND(EH$3&gt;=EDATE($B$7,-MIN(6,'Вводные'!$E$88)),EH$3&lt;$B$7),$B$17/MAX(1,MIN(6,'Вводные'!$E$88)),0)</x:f>
      </x:c>
      <x:c r="EI17" s="117" t="n">
        <x:f>IF(AND(EI$3&gt;=EDATE($B$7,-MIN(6,'Вводные'!$E$88)),EI$3&lt;$B$7),$B$17/MAX(1,MIN(6,'Вводные'!$E$88)),0)</x:f>
      </x:c>
      <x:c r="EJ17" s="117" t="n">
        <x:f>IF(AND(EJ$3&gt;=EDATE($B$7,-MIN(6,'Вводные'!$E$88)),EJ$3&lt;$B$7),$B$17/MAX(1,MIN(6,'Вводные'!$E$88)),0)</x:f>
      </x:c>
      <x:c r="EK17" s="117" t="n">
        <x:f>IF(AND(EK$3&gt;=EDATE($B$7,-MIN(6,'Вводные'!$E$88)),EK$3&lt;$B$7),$B$17/MAX(1,MIN(6,'Вводные'!$E$88)),0)</x:f>
      </x:c>
      <x:c r="EL17" s="117" t="n">
        <x:f>IF(AND(EL$3&gt;=EDATE($B$7,-MIN(6,'Вводные'!$E$88)),EL$3&lt;$B$7),$B$17/MAX(1,MIN(6,'Вводные'!$E$88)),0)</x:f>
      </x:c>
      <x:c r="EM17" s="117" t="n">
        <x:f>IF(AND(EM$3&gt;=EDATE($B$7,-MIN(6,'Вводные'!$E$88)),EM$3&lt;$B$7),$B$17/MAX(1,MIN(6,'Вводные'!$E$88)),0)</x:f>
      </x:c>
      <x:c r="EN17" s="117" t="n">
        <x:f>IF(AND(EN$3&gt;=EDATE($B$7,-MIN(6,'Вводные'!$E$88)),EN$3&lt;$B$7),$B$17/MAX(1,MIN(6,'Вводные'!$E$88)),0)</x:f>
      </x:c>
      <x:c r="EO17" s="117" t="n">
        <x:f>IF(AND(EO$3&gt;=EDATE($B$7,-MIN(6,'Вводные'!$E$88)),EO$3&lt;$B$7),$B$17/MAX(1,MIN(6,'Вводные'!$E$88)),0)</x:f>
      </x:c>
      <x:c r="EP17" s="117" t="n">
        <x:f>IF(AND(EP$3&gt;=EDATE($B$7,-MIN(6,'Вводные'!$E$88)),EP$3&lt;$B$7),$B$17/MAX(1,MIN(6,'Вводные'!$E$88)),0)</x:f>
      </x:c>
      <x:c r="EQ17" s="117" t="n">
        <x:f>IF(AND(EQ$3&gt;=EDATE($B$7,-MIN(6,'Вводные'!$E$88)),EQ$3&lt;$B$7),$B$17/MAX(1,MIN(6,'Вводные'!$E$88)),0)</x:f>
      </x:c>
      <x:c r="ER17" s="117" t="n">
        <x:f>IF(AND(ER$3&gt;=EDATE($B$7,-MIN(6,'Вводные'!$E$88)),ER$3&lt;$B$7),$B$17/MAX(1,MIN(6,'Вводные'!$E$88)),0)</x:f>
      </x:c>
      <x:c r="ES17" s="117" t="n">
        <x:f>IF(AND(ES$3&gt;=EDATE($B$7,-MIN(6,'Вводные'!$E$88)),ES$3&lt;$B$7),$B$17/MAX(1,MIN(6,'Вводные'!$E$88)),0)</x:f>
      </x:c>
      <x:c r="ET17" s="117" t="n">
        <x:f>IF(AND(ET$3&gt;=EDATE($B$7,-MIN(6,'Вводные'!$E$88)),ET$3&lt;$B$7),$B$17/MAX(1,MIN(6,'Вводные'!$E$88)),0)</x:f>
      </x:c>
      <x:c r="EU17" s="117" t="n">
        <x:f>IF(AND(EU$3&gt;=EDATE($B$7,-MIN(6,'Вводные'!$E$88)),EU$3&lt;$B$7),$B$17/MAX(1,MIN(6,'Вводные'!$E$88)),0)</x:f>
      </x:c>
      <x:c r="EV17" s="117" t="n">
        <x:f>IF(AND(EV$3&gt;=EDATE($B$7,-MIN(6,'Вводные'!$E$88)),EV$3&lt;$B$7),$B$17/MAX(1,MIN(6,'Вводные'!$E$88)),0)</x:f>
      </x:c>
      <x:c r="EW17" s="117" t="n">
        <x:f>IF(AND(EW$3&gt;=EDATE($B$7,-MIN(6,'Вводные'!$E$88)),EW$3&lt;$B$7),$B$17/MAX(1,MIN(6,'Вводные'!$E$88)),0)</x:f>
      </x:c>
      <x:c r="EX17" s="117" t="n">
        <x:f>IF(AND(EX$3&gt;=EDATE($B$7,-MIN(6,'Вводные'!$E$88)),EX$3&lt;$B$7),$B$17/MAX(1,MIN(6,'Вводные'!$E$88)),0)</x:f>
      </x:c>
      <x:c r="EY17" s="117" t="n">
        <x:f>IF(AND(EY$3&gt;=EDATE($B$7,-MIN(6,'Вводные'!$E$88)),EY$3&lt;$B$7),$B$17/MAX(1,MIN(6,'Вводные'!$E$88)),0)</x:f>
      </x:c>
      <x:c r="EZ17" s="117" t="n">
        <x:f>IF(AND(EZ$3&gt;=EDATE($B$7,-MIN(6,'Вводные'!$E$88)),EZ$3&lt;$B$7),$B$17/MAX(1,MIN(6,'Вводные'!$E$88)),0)</x:f>
      </x:c>
      <x:c r="FA17" s="117" t="n">
        <x:f>IF(AND(FA$3&gt;=EDATE($B$7,-MIN(6,'Вводные'!$E$88)),FA$3&lt;$B$7),$B$17/MAX(1,MIN(6,'Вводные'!$E$88)),0)</x:f>
      </x:c>
      <x:c r="FB17" s="117" t="n">
        <x:f>IF(AND(FB$3&gt;=EDATE($B$7,-MIN(6,'Вводные'!$E$88)),FB$3&lt;$B$7),$B$17/MAX(1,MIN(6,'Вводные'!$E$88)),0)</x:f>
      </x:c>
      <x:c r="FC17" s="117" t="n">
        <x:f>IF(AND(FC$3&gt;=EDATE($B$7,-MIN(6,'Вводные'!$E$88)),FC$3&lt;$B$7),$B$17/MAX(1,MIN(6,'Вводные'!$E$88)),0)</x:f>
      </x:c>
      <x:c r="FD17" s="117" t="n">
        <x:f>IF(AND(FD$3&gt;=EDATE($B$7,-MIN(6,'Вводные'!$E$88)),FD$3&lt;$B$7),$B$17/MAX(1,MIN(6,'Вводные'!$E$88)),0)</x:f>
      </x:c>
      <x:c r="FE17" s="117" t="n">
        <x:f>IF(AND(FE$3&gt;=EDATE($B$7,-MIN(6,'Вводные'!$E$88)),FE$3&lt;$B$7),$B$17/MAX(1,MIN(6,'Вводные'!$E$88)),0)</x:f>
      </x:c>
      <x:c r="FF17" s="117" t="n">
        <x:f>IF(AND(FF$3&gt;=EDATE($B$7,-MIN(6,'Вводные'!$E$88)),FF$3&lt;$B$7),$B$17/MAX(1,MIN(6,'Вводные'!$E$88)),0)</x:f>
      </x:c>
      <x:c r="FG17" s="117" t="n">
        <x:f>IF(AND(FG$3&gt;=EDATE($B$7,-MIN(6,'Вводные'!$E$88)),FG$3&lt;$B$7),$B$17/MAX(1,MIN(6,'Вводные'!$E$88)),0)</x:f>
      </x:c>
      <x:c r="FH17" s="117" t="n">
        <x:f>IF(AND(FH$3&gt;=EDATE($B$7,-MIN(6,'Вводные'!$E$88)),FH$3&lt;$B$7),$B$17/MAX(1,MIN(6,'Вводные'!$E$88)),0)</x:f>
      </x:c>
      <x:c r="FI17" s="117" t="n">
        <x:f>IF(AND(FI$3&gt;=EDATE($B$7,-MIN(6,'Вводные'!$E$88)),FI$3&lt;$B$7),$B$17/MAX(1,MIN(6,'Вводные'!$E$88)),0)</x:f>
      </x:c>
      <x:c r="FJ17" s="117" t="n">
        <x:f>IF(AND(FJ$3&gt;=EDATE($B$7,-MIN(6,'Вводные'!$E$88)),FJ$3&lt;$B$7),$B$17/MAX(1,MIN(6,'Вводные'!$E$88)),0)</x:f>
      </x:c>
      <x:c r="FK17" s="117" t="n">
        <x:f>IF(AND(FK$3&gt;=EDATE($B$7,-MIN(6,'Вводные'!$E$88)),FK$3&lt;$B$7),$B$17/MAX(1,MIN(6,'Вводные'!$E$88)),0)</x:f>
      </x:c>
      <x:c r="FL17" s="117" t="n">
        <x:f>IF(AND(FL$3&gt;=EDATE($B$7,-MIN(6,'Вводные'!$E$88)),FL$3&lt;$B$7),$B$17/MAX(1,MIN(6,'Вводные'!$E$88)),0)</x:f>
      </x:c>
      <x:c r="FM17" s="117" t="n">
        <x:f>IF(AND(FM$3&gt;=EDATE($B$7,-MIN(6,'Вводные'!$E$88)),FM$3&lt;$B$7),$B$17/MAX(1,MIN(6,'Вводные'!$E$88)),0)</x:f>
      </x:c>
      <x:c r="FN17" s="117" t="n">
        <x:f>IF(AND(FN$3&gt;=EDATE($B$7,-MIN(6,'Вводные'!$E$88)),FN$3&lt;$B$7),$B$17/MAX(1,MIN(6,'Вводные'!$E$88)),0)</x:f>
      </x:c>
      <x:c r="FO17" s="117" t="n">
        <x:f>IF(AND(FO$3&gt;=EDATE($B$7,-MIN(6,'Вводные'!$E$88)),FO$3&lt;$B$7),$B$17/MAX(1,MIN(6,'Вводные'!$E$88)),0)</x:f>
      </x:c>
      <x:c r="FP17" s="117" t="n">
        <x:f>IF(AND(FP$3&gt;=EDATE($B$7,-MIN(6,'Вводные'!$E$88)),FP$3&lt;$B$7),$B$17/MAX(1,MIN(6,'Вводные'!$E$88)),0)</x:f>
      </x:c>
      <x:c r="FQ17" s="117" t="n">
        <x:f>IF(AND(FQ$3&gt;=EDATE($B$7,-MIN(6,'Вводные'!$E$88)),FQ$3&lt;$B$7),$B$17/MAX(1,MIN(6,'Вводные'!$E$88)),0)</x:f>
      </x:c>
      <x:c r="FR17" s="117" t="n">
        <x:f>IF(AND(FR$3&gt;=EDATE($B$7,-MIN(6,'Вводные'!$E$88)),FR$3&lt;$B$7),$B$17/MAX(1,MIN(6,'Вводные'!$E$88)),0)</x:f>
      </x:c>
      <x:c r="FS17" s="117" t="n">
        <x:f>IF(AND(FS$3&gt;=EDATE($B$7,-MIN(6,'Вводные'!$E$88)),FS$3&lt;$B$7),$B$17/MAX(1,MIN(6,'Вводные'!$E$88)),0)</x:f>
      </x:c>
      <x:c r="FT17" s="117" t="n">
        <x:f>IF(AND(FT$3&gt;=EDATE($B$7,-MIN(6,'Вводные'!$E$88)),FT$3&lt;$B$7),$B$17/MAX(1,MIN(6,'Вводные'!$E$88)),0)</x:f>
      </x:c>
      <x:c r="FU17" s="117" t="n">
        <x:f>IF(AND(FU$3&gt;=EDATE($B$7,-MIN(6,'Вводные'!$E$88)),FU$3&lt;$B$7),$B$17/MAX(1,MIN(6,'Вводные'!$E$88)),0)</x:f>
      </x:c>
      <x:c r="FV17" s="117" t="n">
        <x:f>IF(AND(FV$3&gt;=EDATE($B$7,-MIN(6,'Вводные'!$E$88)),FV$3&lt;$B$7),$B$17/MAX(1,MIN(6,'Вводные'!$E$88)),0)</x:f>
      </x:c>
      <x:c r="FW17" s="117" t="n">
        <x:f>IF(AND(FW$3&gt;=EDATE($B$7,-MIN(6,'Вводные'!$E$88)),FW$3&lt;$B$7),$B$17/MAX(1,MIN(6,'Вводные'!$E$88)),0)</x:f>
      </x:c>
      <x:c r="FX17" s="117" t="n">
        <x:f>IF(AND(FX$3&gt;=EDATE($B$7,-MIN(6,'Вводные'!$E$88)),FX$3&lt;$B$7),$B$17/MAX(1,MIN(6,'Вводные'!$E$88)),0)</x:f>
      </x:c>
      <x:c r="FY17" s="117" t="n">
        <x:f>IF(AND(FY$3&gt;=EDATE($B$7,-MIN(6,'Вводные'!$E$88)),FY$3&lt;$B$7),$B$17/MAX(1,MIN(6,'Вводные'!$E$88)),0)</x:f>
      </x:c>
      <x:c r="FZ17" s="117" t="n">
        <x:f>IF(AND(FZ$3&gt;=EDATE($B$7,-MIN(6,'Вводные'!$E$88)),FZ$3&lt;$B$7),$B$17/MAX(1,MIN(6,'Вводные'!$E$88)),0)</x:f>
      </x:c>
      <x:c r="GA17" s="117" t="n">
        <x:f>IF(AND(GA$3&gt;=EDATE($B$7,-MIN(6,'Вводные'!$E$88)),GA$3&lt;$B$7),$B$17/MAX(1,MIN(6,'Вводные'!$E$88)),0)</x:f>
      </x:c>
    </x:row>
    <x:row r="18">
      <x:c r="A18" t="str">
        <x:v>Проектирование, стадия РД</x:v>
      </x:c>
      <x:c r="B18" s="107" t="n">
        <x:f>(('Вводные'!$I$88+'Вводные'!$J$88+'Вводные'!$K$88)*'Вводные'!$B$42/1000*'Вводные'!$H$6*'Вводные'!$T$88*--('Вводные'!$B$88="Да"))*'Вводные'!$AH$88</x:f>
      </x:c>
      <x:c r="C18" t="str">
        <x:v>млн ₽</x:v>
      </x:c>
      <x:c r="D18" s="117" t="n">
        <x:f>IF(AND(D$3&gt;=EDATE($B$7,-MIN(6,'Вводные'!$E$88)),D$3&lt;$B$7),$B$18/MAX(1,MIN(6,'Вводные'!$E$88)),0)</x:f>
      </x:c>
      <x:c r="E18" s="117" t="n">
        <x:f>IF(AND(E$3&gt;=EDATE($B$7,-MIN(6,'Вводные'!$E$88)),E$3&lt;$B$7),$B$18/MAX(1,MIN(6,'Вводные'!$E$88)),0)</x:f>
      </x:c>
      <x:c r="F18" s="117" t="n">
        <x:f>IF(AND(F$3&gt;=EDATE($B$7,-MIN(6,'Вводные'!$E$88)),F$3&lt;$B$7),$B$18/MAX(1,MIN(6,'Вводные'!$E$88)),0)</x:f>
      </x:c>
      <x:c r="G18" s="117" t="n">
        <x:f>IF(AND(G$3&gt;=EDATE($B$7,-MIN(6,'Вводные'!$E$88)),G$3&lt;$B$7),$B$18/MAX(1,MIN(6,'Вводные'!$E$88)),0)</x:f>
      </x:c>
      <x:c r="H18" s="117" t="n">
        <x:f>IF(AND(H$3&gt;=EDATE($B$7,-MIN(6,'Вводные'!$E$88)),H$3&lt;$B$7),$B$18/MAX(1,MIN(6,'Вводные'!$E$88)),0)</x:f>
      </x:c>
      <x:c r="I18" s="117" t="n">
        <x:f>IF(AND(I$3&gt;=EDATE($B$7,-MIN(6,'Вводные'!$E$88)),I$3&lt;$B$7),$B$18/MAX(1,MIN(6,'Вводные'!$E$88)),0)</x:f>
      </x:c>
      <x:c r="J18" s="117" t="n">
        <x:f>IF(AND(J$3&gt;=EDATE($B$7,-MIN(6,'Вводные'!$E$88)),J$3&lt;$B$7),$B$18/MAX(1,MIN(6,'Вводные'!$E$88)),0)</x:f>
      </x:c>
      <x:c r="K18" s="117" t="n">
        <x:f>IF(AND(K$3&gt;=EDATE($B$7,-MIN(6,'Вводные'!$E$88)),K$3&lt;$B$7),$B$18/MAX(1,MIN(6,'Вводные'!$E$88)),0)</x:f>
      </x:c>
      <x:c r="L18" s="117" t="n">
        <x:f>IF(AND(L$3&gt;=EDATE($B$7,-MIN(6,'Вводные'!$E$88)),L$3&lt;$B$7),$B$18/MAX(1,MIN(6,'Вводные'!$E$88)),0)</x:f>
      </x:c>
      <x:c r="M18" s="117" t="n">
        <x:f>IF(AND(M$3&gt;=EDATE($B$7,-MIN(6,'Вводные'!$E$88)),M$3&lt;$B$7),$B$18/MAX(1,MIN(6,'Вводные'!$E$88)),0)</x:f>
      </x:c>
      <x:c r="N18" s="117" t="n">
        <x:f>IF(AND(N$3&gt;=EDATE($B$7,-MIN(6,'Вводные'!$E$88)),N$3&lt;$B$7),$B$18/MAX(1,MIN(6,'Вводные'!$E$88)),0)</x:f>
      </x:c>
      <x:c r="O18" s="117" t="n">
        <x:f>IF(AND(O$3&gt;=EDATE($B$7,-MIN(6,'Вводные'!$E$88)),O$3&lt;$B$7),$B$18/MAX(1,MIN(6,'Вводные'!$E$88)),0)</x:f>
      </x:c>
      <x:c r="P18" s="117" t="n">
        <x:f>IF(AND(P$3&gt;=EDATE($B$7,-MIN(6,'Вводные'!$E$88)),P$3&lt;$B$7),$B$18/MAX(1,MIN(6,'Вводные'!$E$88)),0)</x:f>
      </x:c>
      <x:c r="Q18" s="117" t="n">
        <x:f>IF(AND(Q$3&gt;=EDATE($B$7,-MIN(6,'Вводные'!$E$88)),Q$3&lt;$B$7),$B$18/MAX(1,MIN(6,'Вводные'!$E$88)),0)</x:f>
      </x:c>
      <x:c r="R18" s="117" t="n">
        <x:f>IF(AND(R$3&gt;=EDATE($B$7,-MIN(6,'Вводные'!$E$88)),R$3&lt;$B$7),$B$18/MAX(1,MIN(6,'Вводные'!$E$88)),0)</x:f>
      </x:c>
      <x:c r="S18" s="117" t="n">
        <x:f>IF(AND(S$3&gt;=EDATE($B$7,-MIN(6,'Вводные'!$E$88)),S$3&lt;$B$7),$B$18/MAX(1,MIN(6,'Вводные'!$E$88)),0)</x:f>
      </x:c>
      <x:c r="T18" s="117" t="n">
        <x:f>IF(AND(T$3&gt;=EDATE($B$7,-MIN(6,'Вводные'!$E$88)),T$3&lt;$B$7),$B$18/MAX(1,MIN(6,'Вводные'!$E$88)),0)</x:f>
      </x:c>
      <x:c r="U18" s="117" t="n">
        <x:f>IF(AND(U$3&gt;=EDATE($B$7,-MIN(6,'Вводные'!$E$88)),U$3&lt;$B$7),$B$18/MAX(1,MIN(6,'Вводные'!$E$88)),0)</x:f>
      </x:c>
      <x:c r="V18" s="117" t="n">
        <x:f>IF(AND(V$3&gt;=EDATE($B$7,-MIN(6,'Вводные'!$E$88)),V$3&lt;$B$7),$B$18/MAX(1,MIN(6,'Вводные'!$E$88)),0)</x:f>
      </x:c>
      <x:c r="W18" s="117" t="n">
        <x:f>IF(AND(W$3&gt;=EDATE($B$7,-MIN(6,'Вводные'!$E$88)),W$3&lt;$B$7),$B$18/MAX(1,MIN(6,'Вводные'!$E$88)),0)</x:f>
      </x:c>
      <x:c r="X18" s="117" t="n">
        <x:f>IF(AND(X$3&gt;=EDATE($B$7,-MIN(6,'Вводные'!$E$88)),X$3&lt;$B$7),$B$18/MAX(1,MIN(6,'Вводные'!$E$88)),0)</x:f>
      </x:c>
      <x:c r="Y18" s="117" t="n">
        <x:f>IF(AND(Y$3&gt;=EDATE($B$7,-MIN(6,'Вводные'!$E$88)),Y$3&lt;$B$7),$B$18/MAX(1,MIN(6,'Вводные'!$E$88)),0)</x:f>
      </x:c>
      <x:c r="Z18" s="117" t="n">
        <x:f>IF(AND(Z$3&gt;=EDATE($B$7,-MIN(6,'Вводные'!$E$88)),Z$3&lt;$B$7),$B$18/MAX(1,MIN(6,'Вводные'!$E$88)),0)</x:f>
      </x:c>
      <x:c r="AA18" s="117" t="n">
        <x:f>IF(AND(AA$3&gt;=EDATE($B$7,-MIN(6,'Вводные'!$E$88)),AA$3&lt;$B$7),$B$18/MAX(1,MIN(6,'Вводные'!$E$88)),0)</x:f>
      </x:c>
      <x:c r="AB18" s="117" t="n">
        <x:f>IF(AND(AB$3&gt;=EDATE($B$7,-MIN(6,'Вводные'!$E$88)),AB$3&lt;$B$7),$B$18/MAX(1,MIN(6,'Вводные'!$E$88)),0)</x:f>
      </x:c>
      <x:c r="AC18" s="117" t="n">
        <x:f>IF(AND(AC$3&gt;=EDATE($B$7,-MIN(6,'Вводные'!$E$88)),AC$3&lt;$B$7),$B$18/MAX(1,MIN(6,'Вводные'!$E$88)),0)</x:f>
      </x:c>
      <x:c r="AD18" s="117" t="n">
        <x:f>IF(AND(AD$3&gt;=EDATE($B$7,-MIN(6,'Вводные'!$E$88)),AD$3&lt;$B$7),$B$18/MAX(1,MIN(6,'Вводные'!$E$88)),0)</x:f>
      </x:c>
      <x:c r="AE18" s="117" t="n">
        <x:f>IF(AND(AE$3&gt;=EDATE($B$7,-MIN(6,'Вводные'!$E$88)),AE$3&lt;$B$7),$B$18/MAX(1,MIN(6,'Вводные'!$E$88)),0)</x:f>
      </x:c>
      <x:c r="AF18" s="117" t="n">
        <x:f>IF(AND(AF$3&gt;=EDATE($B$7,-MIN(6,'Вводные'!$E$88)),AF$3&lt;$B$7),$B$18/MAX(1,MIN(6,'Вводные'!$E$88)),0)</x:f>
      </x:c>
      <x:c r="AG18" s="117" t="n">
        <x:f>IF(AND(AG$3&gt;=EDATE($B$7,-MIN(6,'Вводные'!$E$88)),AG$3&lt;$B$7),$B$18/MAX(1,MIN(6,'Вводные'!$E$88)),0)</x:f>
      </x:c>
      <x:c r="AH18" s="117" t="n">
        <x:f>IF(AND(AH$3&gt;=EDATE($B$7,-MIN(6,'Вводные'!$E$88)),AH$3&lt;$B$7),$B$18/MAX(1,MIN(6,'Вводные'!$E$88)),0)</x:f>
      </x:c>
      <x:c r="AI18" s="117" t="n">
        <x:f>IF(AND(AI$3&gt;=EDATE($B$7,-MIN(6,'Вводные'!$E$88)),AI$3&lt;$B$7),$B$18/MAX(1,MIN(6,'Вводные'!$E$88)),0)</x:f>
      </x:c>
      <x:c r="AJ18" s="117" t="n">
        <x:f>IF(AND(AJ$3&gt;=EDATE($B$7,-MIN(6,'Вводные'!$E$88)),AJ$3&lt;$B$7),$B$18/MAX(1,MIN(6,'Вводные'!$E$88)),0)</x:f>
      </x:c>
      <x:c r="AK18" s="117" t="n">
        <x:f>IF(AND(AK$3&gt;=EDATE($B$7,-MIN(6,'Вводные'!$E$88)),AK$3&lt;$B$7),$B$18/MAX(1,MIN(6,'Вводные'!$E$88)),0)</x:f>
      </x:c>
      <x:c r="AL18" s="117" t="n">
        <x:f>IF(AND(AL$3&gt;=EDATE($B$7,-MIN(6,'Вводные'!$E$88)),AL$3&lt;$B$7),$B$18/MAX(1,MIN(6,'Вводные'!$E$88)),0)</x:f>
      </x:c>
      <x:c r="AM18" s="117" t="n">
        <x:f>IF(AND(AM$3&gt;=EDATE($B$7,-MIN(6,'Вводные'!$E$88)),AM$3&lt;$B$7),$B$18/MAX(1,MIN(6,'Вводные'!$E$88)),0)</x:f>
      </x:c>
      <x:c r="AN18" s="117" t="n">
        <x:f>IF(AND(AN$3&gt;=EDATE($B$7,-MIN(6,'Вводные'!$E$88)),AN$3&lt;$B$7),$B$18/MAX(1,MIN(6,'Вводные'!$E$88)),0)</x:f>
      </x:c>
      <x:c r="AO18" s="117" t="n">
        <x:f>IF(AND(AO$3&gt;=EDATE($B$7,-MIN(6,'Вводные'!$E$88)),AO$3&lt;$B$7),$B$18/MAX(1,MIN(6,'Вводные'!$E$88)),0)</x:f>
      </x:c>
      <x:c r="AP18" s="117" t="n">
        <x:f>IF(AND(AP$3&gt;=EDATE($B$7,-MIN(6,'Вводные'!$E$88)),AP$3&lt;$B$7),$B$18/MAX(1,MIN(6,'Вводные'!$E$88)),0)</x:f>
      </x:c>
      <x:c r="AQ18" s="117" t="n">
        <x:f>IF(AND(AQ$3&gt;=EDATE($B$7,-MIN(6,'Вводные'!$E$88)),AQ$3&lt;$B$7),$B$18/MAX(1,MIN(6,'Вводные'!$E$88)),0)</x:f>
      </x:c>
      <x:c r="AR18" s="117" t="n">
        <x:f>IF(AND(AR$3&gt;=EDATE($B$7,-MIN(6,'Вводные'!$E$88)),AR$3&lt;$B$7),$B$18/MAX(1,MIN(6,'Вводные'!$E$88)),0)</x:f>
      </x:c>
      <x:c r="AS18" s="117" t="n">
        <x:f>IF(AND(AS$3&gt;=EDATE($B$7,-MIN(6,'Вводные'!$E$88)),AS$3&lt;$B$7),$B$18/MAX(1,MIN(6,'Вводные'!$E$88)),0)</x:f>
      </x:c>
      <x:c r="AT18" s="117" t="n">
        <x:f>IF(AND(AT$3&gt;=EDATE($B$7,-MIN(6,'Вводные'!$E$88)),AT$3&lt;$B$7),$B$18/MAX(1,MIN(6,'Вводные'!$E$88)),0)</x:f>
      </x:c>
      <x:c r="AU18" s="117" t="n">
        <x:f>IF(AND(AU$3&gt;=EDATE($B$7,-MIN(6,'Вводные'!$E$88)),AU$3&lt;$B$7),$B$18/MAX(1,MIN(6,'Вводные'!$E$88)),0)</x:f>
      </x:c>
      <x:c r="AV18" s="117" t="n">
        <x:f>IF(AND(AV$3&gt;=EDATE($B$7,-MIN(6,'Вводные'!$E$88)),AV$3&lt;$B$7),$B$18/MAX(1,MIN(6,'Вводные'!$E$88)),0)</x:f>
      </x:c>
      <x:c r="AW18" s="117" t="n">
        <x:f>IF(AND(AW$3&gt;=EDATE($B$7,-MIN(6,'Вводные'!$E$88)),AW$3&lt;$B$7),$B$18/MAX(1,MIN(6,'Вводные'!$E$88)),0)</x:f>
      </x:c>
      <x:c r="AX18" s="117" t="n">
        <x:f>IF(AND(AX$3&gt;=EDATE($B$7,-MIN(6,'Вводные'!$E$88)),AX$3&lt;$B$7),$B$18/MAX(1,MIN(6,'Вводные'!$E$88)),0)</x:f>
      </x:c>
      <x:c r="AY18" s="117" t="n">
        <x:f>IF(AND(AY$3&gt;=EDATE($B$7,-MIN(6,'Вводные'!$E$88)),AY$3&lt;$B$7),$B$18/MAX(1,MIN(6,'Вводные'!$E$88)),0)</x:f>
      </x:c>
      <x:c r="AZ18" s="117" t="n">
        <x:f>IF(AND(AZ$3&gt;=EDATE($B$7,-MIN(6,'Вводные'!$E$88)),AZ$3&lt;$B$7),$B$18/MAX(1,MIN(6,'Вводные'!$E$88)),0)</x:f>
      </x:c>
      <x:c r="BA18" s="117" t="n">
        <x:f>IF(AND(BA$3&gt;=EDATE($B$7,-MIN(6,'Вводные'!$E$88)),BA$3&lt;$B$7),$B$18/MAX(1,MIN(6,'Вводные'!$E$88)),0)</x:f>
      </x:c>
      <x:c r="BB18" s="117" t="n">
        <x:f>IF(AND(BB$3&gt;=EDATE($B$7,-MIN(6,'Вводные'!$E$88)),BB$3&lt;$B$7),$B$18/MAX(1,MIN(6,'Вводные'!$E$88)),0)</x:f>
      </x:c>
      <x:c r="BC18" s="117" t="n">
        <x:f>IF(AND(BC$3&gt;=EDATE($B$7,-MIN(6,'Вводные'!$E$88)),BC$3&lt;$B$7),$B$18/MAX(1,MIN(6,'Вводные'!$E$88)),0)</x:f>
      </x:c>
      <x:c r="BD18" s="117" t="n">
        <x:f>IF(AND(BD$3&gt;=EDATE($B$7,-MIN(6,'Вводные'!$E$88)),BD$3&lt;$B$7),$B$18/MAX(1,MIN(6,'Вводные'!$E$88)),0)</x:f>
      </x:c>
      <x:c r="BE18" s="117" t="n">
        <x:f>IF(AND(BE$3&gt;=EDATE($B$7,-MIN(6,'Вводные'!$E$88)),BE$3&lt;$B$7),$B$18/MAX(1,MIN(6,'Вводные'!$E$88)),0)</x:f>
      </x:c>
      <x:c r="BF18" s="117" t="n">
        <x:f>IF(AND(BF$3&gt;=EDATE($B$7,-MIN(6,'Вводные'!$E$88)),BF$3&lt;$B$7),$B$18/MAX(1,MIN(6,'Вводные'!$E$88)),0)</x:f>
      </x:c>
      <x:c r="BG18" s="117" t="n">
        <x:f>IF(AND(BG$3&gt;=EDATE($B$7,-MIN(6,'Вводные'!$E$88)),BG$3&lt;$B$7),$B$18/MAX(1,MIN(6,'Вводные'!$E$88)),0)</x:f>
      </x:c>
      <x:c r="BH18" s="117" t="n">
        <x:f>IF(AND(BH$3&gt;=EDATE($B$7,-MIN(6,'Вводные'!$E$88)),BH$3&lt;$B$7),$B$18/MAX(1,MIN(6,'Вводные'!$E$88)),0)</x:f>
      </x:c>
      <x:c r="BI18" s="117" t="n">
        <x:f>IF(AND(BI$3&gt;=EDATE($B$7,-MIN(6,'Вводные'!$E$88)),BI$3&lt;$B$7),$B$18/MAX(1,MIN(6,'Вводные'!$E$88)),0)</x:f>
      </x:c>
      <x:c r="BJ18" s="117" t="n">
        <x:f>IF(AND(BJ$3&gt;=EDATE($B$7,-MIN(6,'Вводные'!$E$88)),BJ$3&lt;$B$7),$B$18/MAX(1,MIN(6,'Вводные'!$E$88)),0)</x:f>
      </x:c>
      <x:c r="BK18" s="117" t="n">
        <x:f>IF(AND(BK$3&gt;=EDATE($B$7,-MIN(6,'Вводные'!$E$88)),BK$3&lt;$B$7),$B$18/MAX(1,MIN(6,'Вводные'!$E$88)),0)</x:f>
      </x:c>
      <x:c r="BL18" s="117" t="n">
        <x:f>IF(AND(BL$3&gt;=EDATE($B$7,-MIN(6,'Вводные'!$E$88)),BL$3&lt;$B$7),$B$18/MAX(1,MIN(6,'Вводные'!$E$88)),0)</x:f>
      </x:c>
      <x:c r="BM18" s="117" t="n">
        <x:f>IF(AND(BM$3&gt;=EDATE($B$7,-MIN(6,'Вводные'!$E$88)),BM$3&lt;$B$7),$B$18/MAX(1,MIN(6,'Вводные'!$E$88)),0)</x:f>
      </x:c>
      <x:c r="BN18" s="117" t="n">
        <x:f>IF(AND(BN$3&gt;=EDATE($B$7,-MIN(6,'Вводные'!$E$88)),BN$3&lt;$B$7),$B$18/MAX(1,MIN(6,'Вводные'!$E$88)),0)</x:f>
      </x:c>
      <x:c r="BO18" s="117" t="n">
        <x:f>IF(AND(BO$3&gt;=EDATE($B$7,-MIN(6,'Вводные'!$E$88)),BO$3&lt;$B$7),$B$18/MAX(1,MIN(6,'Вводные'!$E$88)),0)</x:f>
      </x:c>
      <x:c r="BP18" s="117" t="n">
        <x:f>IF(AND(BP$3&gt;=EDATE($B$7,-MIN(6,'Вводные'!$E$88)),BP$3&lt;$B$7),$B$18/MAX(1,MIN(6,'Вводные'!$E$88)),0)</x:f>
      </x:c>
      <x:c r="BQ18" s="117" t="n">
        <x:f>IF(AND(BQ$3&gt;=EDATE($B$7,-MIN(6,'Вводные'!$E$88)),BQ$3&lt;$B$7),$B$18/MAX(1,MIN(6,'Вводные'!$E$88)),0)</x:f>
      </x:c>
      <x:c r="BR18" s="117" t="n">
        <x:f>IF(AND(BR$3&gt;=EDATE($B$7,-MIN(6,'Вводные'!$E$88)),BR$3&lt;$B$7),$B$18/MAX(1,MIN(6,'Вводные'!$E$88)),0)</x:f>
      </x:c>
      <x:c r="BS18" s="117" t="n">
        <x:f>IF(AND(BS$3&gt;=EDATE($B$7,-MIN(6,'Вводные'!$E$88)),BS$3&lt;$B$7),$B$18/MAX(1,MIN(6,'Вводные'!$E$88)),0)</x:f>
      </x:c>
      <x:c r="BT18" s="117" t="n">
        <x:f>IF(AND(BT$3&gt;=EDATE($B$7,-MIN(6,'Вводные'!$E$88)),BT$3&lt;$B$7),$B$18/MAX(1,MIN(6,'Вводные'!$E$88)),0)</x:f>
      </x:c>
      <x:c r="BU18" s="117" t="n">
        <x:f>IF(AND(BU$3&gt;=EDATE($B$7,-MIN(6,'Вводные'!$E$88)),BU$3&lt;$B$7),$B$18/MAX(1,MIN(6,'Вводные'!$E$88)),0)</x:f>
      </x:c>
      <x:c r="BV18" s="117" t="n">
        <x:f>IF(AND(BV$3&gt;=EDATE($B$7,-MIN(6,'Вводные'!$E$88)),BV$3&lt;$B$7),$B$18/MAX(1,MIN(6,'Вводные'!$E$88)),0)</x:f>
      </x:c>
      <x:c r="BW18" s="117" t="n">
        <x:f>IF(AND(BW$3&gt;=EDATE($B$7,-MIN(6,'Вводные'!$E$88)),BW$3&lt;$B$7),$B$18/MAX(1,MIN(6,'Вводные'!$E$88)),0)</x:f>
      </x:c>
      <x:c r="BX18" s="117" t="n">
        <x:f>IF(AND(BX$3&gt;=EDATE($B$7,-MIN(6,'Вводные'!$E$88)),BX$3&lt;$B$7),$B$18/MAX(1,MIN(6,'Вводные'!$E$88)),0)</x:f>
      </x:c>
      <x:c r="BY18" s="117" t="n">
        <x:f>IF(AND(BY$3&gt;=EDATE($B$7,-MIN(6,'Вводные'!$E$88)),BY$3&lt;$B$7),$B$18/MAX(1,MIN(6,'Вводные'!$E$88)),0)</x:f>
      </x:c>
      <x:c r="BZ18" s="117" t="n">
        <x:f>IF(AND(BZ$3&gt;=EDATE($B$7,-MIN(6,'Вводные'!$E$88)),BZ$3&lt;$B$7),$B$18/MAX(1,MIN(6,'Вводные'!$E$88)),0)</x:f>
      </x:c>
      <x:c r="CA18" s="117" t="n">
        <x:f>IF(AND(CA$3&gt;=EDATE($B$7,-MIN(6,'Вводные'!$E$88)),CA$3&lt;$B$7),$B$18/MAX(1,MIN(6,'Вводные'!$E$88)),0)</x:f>
      </x:c>
      <x:c r="CB18" s="117" t="n">
        <x:f>IF(AND(CB$3&gt;=EDATE($B$7,-MIN(6,'Вводные'!$E$88)),CB$3&lt;$B$7),$B$18/MAX(1,MIN(6,'Вводные'!$E$88)),0)</x:f>
      </x:c>
      <x:c r="CC18" s="117" t="n">
        <x:f>IF(AND(CC$3&gt;=EDATE($B$7,-MIN(6,'Вводные'!$E$88)),CC$3&lt;$B$7),$B$18/MAX(1,MIN(6,'Вводные'!$E$88)),0)</x:f>
      </x:c>
      <x:c r="CD18" s="117" t="n">
        <x:f>IF(AND(CD$3&gt;=EDATE($B$7,-MIN(6,'Вводные'!$E$88)),CD$3&lt;$B$7),$B$18/MAX(1,MIN(6,'Вводные'!$E$88)),0)</x:f>
      </x:c>
      <x:c r="CE18" s="117" t="n">
        <x:f>IF(AND(CE$3&gt;=EDATE($B$7,-MIN(6,'Вводные'!$E$88)),CE$3&lt;$B$7),$B$18/MAX(1,MIN(6,'Вводные'!$E$88)),0)</x:f>
      </x:c>
      <x:c r="CF18" s="117" t="n">
        <x:f>IF(AND(CF$3&gt;=EDATE($B$7,-MIN(6,'Вводные'!$E$88)),CF$3&lt;$B$7),$B$18/MAX(1,MIN(6,'Вводные'!$E$88)),0)</x:f>
      </x:c>
      <x:c r="CG18" s="117" t="n">
        <x:f>IF(AND(CG$3&gt;=EDATE($B$7,-MIN(6,'Вводные'!$E$88)),CG$3&lt;$B$7),$B$18/MAX(1,MIN(6,'Вводные'!$E$88)),0)</x:f>
      </x:c>
      <x:c r="CH18" s="117" t="n">
        <x:f>IF(AND(CH$3&gt;=EDATE($B$7,-MIN(6,'Вводные'!$E$88)),CH$3&lt;$B$7),$B$18/MAX(1,MIN(6,'Вводные'!$E$88)),0)</x:f>
      </x:c>
      <x:c r="CI18" s="117" t="n">
        <x:f>IF(AND(CI$3&gt;=EDATE($B$7,-MIN(6,'Вводные'!$E$88)),CI$3&lt;$B$7),$B$18/MAX(1,MIN(6,'Вводные'!$E$88)),0)</x:f>
      </x:c>
      <x:c r="CJ18" s="117" t="n">
        <x:f>IF(AND(CJ$3&gt;=EDATE($B$7,-MIN(6,'Вводные'!$E$88)),CJ$3&lt;$B$7),$B$18/MAX(1,MIN(6,'Вводные'!$E$88)),0)</x:f>
      </x:c>
      <x:c r="CK18" s="117" t="n">
        <x:f>IF(AND(CK$3&gt;=EDATE($B$7,-MIN(6,'Вводные'!$E$88)),CK$3&lt;$B$7),$B$18/MAX(1,MIN(6,'Вводные'!$E$88)),0)</x:f>
      </x:c>
      <x:c r="CL18" s="117" t="n">
        <x:f>IF(AND(CL$3&gt;=EDATE($B$7,-MIN(6,'Вводные'!$E$88)),CL$3&lt;$B$7),$B$18/MAX(1,MIN(6,'Вводные'!$E$88)),0)</x:f>
      </x:c>
      <x:c r="CM18" s="117" t="n">
        <x:f>IF(AND(CM$3&gt;=EDATE($B$7,-MIN(6,'Вводные'!$E$88)),CM$3&lt;$B$7),$B$18/MAX(1,MIN(6,'Вводные'!$E$88)),0)</x:f>
      </x:c>
      <x:c r="CN18" s="117" t="n">
        <x:f>IF(AND(CN$3&gt;=EDATE($B$7,-MIN(6,'Вводные'!$E$88)),CN$3&lt;$B$7),$B$18/MAX(1,MIN(6,'Вводные'!$E$88)),0)</x:f>
      </x:c>
      <x:c r="CO18" s="117" t="n">
        <x:f>IF(AND(CO$3&gt;=EDATE($B$7,-MIN(6,'Вводные'!$E$88)),CO$3&lt;$B$7),$B$18/MAX(1,MIN(6,'Вводные'!$E$88)),0)</x:f>
      </x:c>
      <x:c r="CP18" s="117" t="n">
        <x:f>IF(AND(CP$3&gt;=EDATE($B$7,-MIN(6,'Вводные'!$E$88)),CP$3&lt;$B$7),$B$18/MAX(1,MIN(6,'Вводные'!$E$88)),0)</x:f>
      </x:c>
      <x:c r="CQ18" s="117" t="n">
        <x:f>IF(AND(CQ$3&gt;=EDATE($B$7,-MIN(6,'Вводные'!$E$88)),CQ$3&lt;$B$7),$B$18/MAX(1,MIN(6,'Вводные'!$E$88)),0)</x:f>
      </x:c>
      <x:c r="CR18" s="117" t="n">
        <x:f>IF(AND(CR$3&gt;=EDATE($B$7,-MIN(6,'Вводные'!$E$88)),CR$3&lt;$B$7),$B$18/MAX(1,MIN(6,'Вводные'!$E$88)),0)</x:f>
      </x:c>
      <x:c r="CS18" s="117" t="n">
        <x:f>IF(AND(CS$3&gt;=EDATE($B$7,-MIN(6,'Вводные'!$E$88)),CS$3&lt;$B$7),$B$18/MAX(1,MIN(6,'Вводные'!$E$88)),0)</x:f>
      </x:c>
      <x:c r="CT18" s="117" t="n">
        <x:f>IF(AND(CT$3&gt;=EDATE($B$7,-MIN(6,'Вводные'!$E$88)),CT$3&lt;$B$7),$B$18/MAX(1,MIN(6,'Вводные'!$E$88)),0)</x:f>
      </x:c>
      <x:c r="CU18" s="117" t="n">
        <x:f>IF(AND(CU$3&gt;=EDATE($B$7,-MIN(6,'Вводные'!$E$88)),CU$3&lt;$B$7),$B$18/MAX(1,MIN(6,'Вводные'!$E$88)),0)</x:f>
      </x:c>
      <x:c r="CV18" s="117" t="n">
        <x:f>IF(AND(CV$3&gt;=EDATE($B$7,-MIN(6,'Вводные'!$E$88)),CV$3&lt;$B$7),$B$18/MAX(1,MIN(6,'Вводные'!$E$88)),0)</x:f>
      </x:c>
      <x:c r="CW18" s="117" t="n">
        <x:f>IF(AND(CW$3&gt;=EDATE($B$7,-MIN(6,'Вводные'!$E$88)),CW$3&lt;$B$7),$B$18/MAX(1,MIN(6,'Вводные'!$E$88)),0)</x:f>
      </x:c>
      <x:c r="CX18" s="117" t="n">
        <x:f>IF(AND(CX$3&gt;=EDATE($B$7,-MIN(6,'Вводные'!$E$88)),CX$3&lt;$B$7),$B$18/MAX(1,MIN(6,'Вводные'!$E$88)),0)</x:f>
      </x:c>
      <x:c r="CY18" s="117" t="n">
        <x:f>IF(AND(CY$3&gt;=EDATE($B$7,-MIN(6,'Вводные'!$E$88)),CY$3&lt;$B$7),$B$18/MAX(1,MIN(6,'Вводные'!$E$88)),0)</x:f>
      </x:c>
      <x:c r="CZ18" s="117" t="n">
        <x:f>IF(AND(CZ$3&gt;=EDATE($B$7,-MIN(6,'Вводные'!$E$88)),CZ$3&lt;$B$7),$B$18/MAX(1,MIN(6,'Вводные'!$E$88)),0)</x:f>
      </x:c>
      <x:c r="DA18" s="117" t="n">
        <x:f>IF(AND(DA$3&gt;=EDATE($B$7,-MIN(6,'Вводные'!$E$88)),DA$3&lt;$B$7),$B$18/MAX(1,MIN(6,'Вводные'!$E$88)),0)</x:f>
      </x:c>
      <x:c r="DB18" s="117" t="n">
        <x:f>IF(AND(DB$3&gt;=EDATE($B$7,-MIN(6,'Вводные'!$E$88)),DB$3&lt;$B$7),$B$18/MAX(1,MIN(6,'Вводные'!$E$88)),0)</x:f>
      </x:c>
      <x:c r="DC18" s="117" t="n">
        <x:f>IF(AND(DC$3&gt;=EDATE($B$7,-MIN(6,'Вводные'!$E$88)),DC$3&lt;$B$7),$B$18/MAX(1,MIN(6,'Вводные'!$E$88)),0)</x:f>
      </x:c>
      <x:c r="DD18" s="117" t="n">
        <x:f>IF(AND(DD$3&gt;=EDATE($B$7,-MIN(6,'Вводные'!$E$88)),DD$3&lt;$B$7),$B$18/MAX(1,MIN(6,'Вводные'!$E$88)),0)</x:f>
      </x:c>
      <x:c r="DE18" s="117" t="n">
        <x:f>IF(AND(DE$3&gt;=EDATE($B$7,-MIN(6,'Вводные'!$E$88)),DE$3&lt;$B$7),$B$18/MAX(1,MIN(6,'Вводные'!$E$88)),0)</x:f>
      </x:c>
      <x:c r="DF18" s="117" t="n">
        <x:f>IF(AND(DF$3&gt;=EDATE($B$7,-MIN(6,'Вводные'!$E$88)),DF$3&lt;$B$7),$B$18/MAX(1,MIN(6,'Вводные'!$E$88)),0)</x:f>
      </x:c>
      <x:c r="DG18" s="117" t="n">
        <x:f>IF(AND(DG$3&gt;=EDATE($B$7,-MIN(6,'Вводные'!$E$88)),DG$3&lt;$B$7),$B$18/MAX(1,MIN(6,'Вводные'!$E$88)),0)</x:f>
      </x:c>
      <x:c r="DH18" s="117" t="n">
        <x:f>IF(AND(DH$3&gt;=EDATE($B$7,-MIN(6,'Вводные'!$E$88)),DH$3&lt;$B$7),$B$18/MAX(1,MIN(6,'Вводные'!$E$88)),0)</x:f>
      </x:c>
      <x:c r="DI18" s="117" t="n">
        <x:f>IF(AND(DI$3&gt;=EDATE($B$7,-MIN(6,'Вводные'!$E$88)),DI$3&lt;$B$7),$B$18/MAX(1,MIN(6,'Вводные'!$E$88)),0)</x:f>
      </x:c>
      <x:c r="DJ18" s="117" t="n">
        <x:f>IF(AND(DJ$3&gt;=EDATE($B$7,-MIN(6,'Вводные'!$E$88)),DJ$3&lt;$B$7),$B$18/MAX(1,MIN(6,'Вводные'!$E$88)),0)</x:f>
      </x:c>
      <x:c r="DK18" s="117" t="n">
        <x:f>IF(AND(DK$3&gt;=EDATE($B$7,-MIN(6,'Вводные'!$E$88)),DK$3&lt;$B$7),$B$18/MAX(1,MIN(6,'Вводные'!$E$88)),0)</x:f>
      </x:c>
      <x:c r="DL18" s="117" t="n">
        <x:f>IF(AND(DL$3&gt;=EDATE($B$7,-MIN(6,'Вводные'!$E$88)),DL$3&lt;$B$7),$B$18/MAX(1,MIN(6,'Вводные'!$E$88)),0)</x:f>
      </x:c>
      <x:c r="DM18" s="117" t="n">
        <x:f>IF(AND(DM$3&gt;=EDATE($B$7,-MIN(6,'Вводные'!$E$88)),DM$3&lt;$B$7),$B$18/MAX(1,MIN(6,'Вводные'!$E$88)),0)</x:f>
      </x:c>
      <x:c r="DN18" s="117" t="n">
        <x:f>IF(AND(DN$3&gt;=EDATE($B$7,-MIN(6,'Вводные'!$E$88)),DN$3&lt;$B$7),$B$18/MAX(1,MIN(6,'Вводные'!$E$88)),0)</x:f>
      </x:c>
      <x:c r="DO18" s="117" t="n">
        <x:f>IF(AND(DO$3&gt;=EDATE($B$7,-MIN(6,'Вводные'!$E$88)),DO$3&lt;$B$7),$B$18/MAX(1,MIN(6,'Вводные'!$E$88)),0)</x:f>
      </x:c>
      <x:c r="DP18" s="117" t="n">
        <x:f>IF(AND(DP$3&gt;=EDATE($B$7,-MIN(6,'Вводные'!$E$88)),DP$3&lt;$B$7),$B$18/MAX(1,MIN(6,'Вводные'!$E$88)),0)</x:f>
      </x:c>
      <x:c r="DQ18" s="117" t="n">
        <x:f>IF(AND(DQ$3&gt;=EDATE($B$7,-MIN(6,'Вводные'!$E$88)),DQ$3&lt;$B$7),$B$18/MAX(1,MIN(6,'Вводные'!$E$88)),0)</x:f>
      </x:c>
      <x:c r="DR18" s="117" t="n">
        <x:f>IF(AND(DR$3&gt;=EDATE($B$7,-MIN(6,'Вводные'!$E$88)),DR$3&lt;$B$7),$B$18/MAX(1,MIN(6,'Вводные'!$E$88)),0)</x:f>
      </x:c>
      <x:c r="DS18" s="117" t="n">
        <x:f>IF(AND(DS$3&gt;=EDATE($B$7,-MIN(6,'Вводные'!$E$88)),DS$3&lt;$B$7),$B$18/MAX(1,MIN(6,'Вводные'!$E$88)),0)</x:f>
      </x:c>
      <x:c r="DT18" s="117" t="n">
        <x:f>IF(AND(DT$3&gt;=EDATE($B$7,-MIN(6,'Вводные'!$E$88)),DT$3&lt;$B$7),$B$18/MAX(1,MIN(6,'Вводные'!$E$88)),0)</x:f>
      </x:c>
      <x:c r="DU18" s="117" t="n">
        <x:f>IF(AND(DU$3&gt;=EDATE($B$7,-MIN(6,'Вводные'!$E$88)),DU$3&lt;$B$7),$B$18/MAX(1,MIN(6,'Вводные'!$E$88)),0)</x:f>
      </x:c>
      <x:c r="DV18" s="117" t="n">
        <x:f>IF(AND(DV$3&gt;=EDATE($B$7,-MIN(6,'Вводные'!$E$88)),DV$3&lt;$B$7),$B$18/MAX(1,MIN(6,'Вводные'!$E$88)),0)</x:f>
      </x:c>
      <x:c r="DW18" s="117" t="n">
        <x:f>IF(AND(DW$3&gt;=EDATE($B$7,-MIN(6,'Вводные'!$E$88)),DW$3&lt;$B$7),$B$18/MAX(1,MIN(6,'Вводные'!$E$88)),0)</x:f>
      </x:c>
      <x:c r="DX18" s="117" t="n">
        <x:f>IF(AND(DX$3&gt;=EDATE($B$7,-MIN(6,'Вводные'!$E$88)),DX$3&lt;$B$7),$B$18/MAX(1,MIN(6,'Вводные'!$E$88)),0)</x:f>
      </x:c>
      <x:c r="DY18" s="117" t="n">
        <x:f>IF(AND(DY$3&gt;=EDATE($B$7,-MIN(6,'Вводные'!$E$88)),DY$3&lt;$B$7),$B$18/MAX(1,MIN(6,'Вводные'!$E$88)),0)</x:f>
      </x:c>
      <x:c r="DZ18" s="117" t="n">
        <x:f>IF(AND(DZ$3&gt;=EDATE($B$7,-MIN(6,'Вводные'!$E$88)),DZ$3&lt;$B$7),$B$18/MAX(1,MIN(6,'Вводные'!$E$88)),0)</x:f>
      </x:c>
      <x:c r="EA18" s="117" t="n">
        <x:f>IF(AND(EA$3&gt;=EDATE($B$7,-MIN(6,'Вводные'!$E$88)),EA$3&lt;$B$7),$B$18/MAX(1,MIN(6,'Вводные'!$E$88)),0)</x:f>
      </x:c>
      <x:c r="EB18" s="117" t="n">
        <x:f>IF(AND(EB$3&gt;=EDATE($B$7,-MIN(6,'Вводные'!$E$88)),EB$3&lt;$B$7),$B$18/MAX(1,MIN(6,'Вводные'!$E$88)),0)</x:f>
      </x:c>
      <x:c r="EC18" s="117" t="n">
        <x:f>IF(AND(EC$3&gt;=EDATE($B$7,-MIN(6,'Вводные'!$E$88)),EC$3&lt;$B$7),$B$18/MAX(1,MIN(6,'Вводные'!$E$88)),0)</x:f>
      </x:c>
      <x:c r="ED18" s="117" t="n">
        <x:f>IF(AND(ED$3&gt;=EDATE($B$7,-MIN(6,'Вводные'!$E$88)),ED$3&lt;$B$7),$B$18/MAX(1,MIN(6,'Вводные'!$E$88)),0)</x:f>
      </x:c>
      <x:c r="EE18" s="117" t="n">
        <x:f>IF(AND(EE$3&gt;=EDATE($B$7,-MIN(6,'Вводные'!$E$88)),EE$3&lt;$B$7),$B$18/MAX(1,MIN(6,'Вводные'!$E$88)),0)</x:f>
      </x:c>
      <x:c r="EF18" s="117" t="n">
        <x:f>IF(AND(EF$3&gt;=EDATE($B$7,-MIN(6,'Вводные'!$E$88)),EF$3&lt;$B$7),$B$18/MAX(1,MIN(6,'Вводные'!$E$88)),0)</x:f>
      </x:c>
      <x:c r="EG18" s="117" t="n">
        <x:f>IF(AND(EG$3&gt;=EDATE($B$7,-MIN(6,'Вводные'!$E$88)),EG$3&lt;$B$7),$B$18/MAX(1,MIN(6,'Вводные'!$E$88)),0)</x:f>
      </x:c>
      <x:c r="EH18" s="117" t="n">
        <x:f>IF(AND(EH$3&gt;=EDATE($B$7,-MIN(6,'Вводные'!$E$88)),EH$3&lt;$B$7),$B$18/MAX(1,MIN(6,'Вводные'!$E$88)),0)</x:f>
      </x:c>
      <x:c r="EI18" s="117" t="n">
        <x:f>IF(AND(EI$3&gt;=EDATE($B$7,-MIN(6,'Вводные'!$E$88)),EI$3&lt;$B$7),$B$18/MAX(1,MIN(6,'Вводные'!$E$88)),0)</x:f>
      </x:c>
      <x:c r="EJ18" s="117" t="n">
        <x:f>IF(AND(EJ$3&gt;=EDATE($B$7,-MIN(6,'Вводные'!$E$88)),EJ$3&lt;$B$7),$B$18/MAX(1,MIN(6,'Вводные'!$E$88)),0)</x:f>
      </x:c>
      <x:c r="EK18" s="117" t="n">
        <x:f>IF(AND(EK$3&gt;=EDATE($B$7,-MIN(6,'Вводные'!$E$88)),EK$3&lt;$B$7),$B$18/MAX(1,MIN(6,'Вводные'!$E$88)),0)</x:f>
      </x:c>
      <x:c r="EL18" s="117" t="n">
        <x:f>IF(AND(EL$3&gt;=EDATE($B$7,-MIN(6,'Вводные'!$E$88)),EL$3&lt;$B$7),$B$18/MAX(1,MIN(6,'Вводные'!$E$88)),0)</x:f>
      </x:c>
      <x:c r="EM18" s="117" t="n">
        <x:f>IF(AND(EM$3&gt;=EDATE($B$7,-MIN(6,'Вводные'!$E$88)),EM$3&lt;$B$7),$B$18/MAX(1,MIN(6,'Вводные'!$E$88)),0)</x:f>
      </x:c>
      <x:c r="EN18" s="117" t="n">
        <x:f>IF(AND(EN$3&gt;=EDATE($B$7,-MIN(6,'Вводные'!$E$88)),EN$3&lt;$B$7),$B$18/MAX(1,MIN(6,'Вводные'!$E$88)),0)</x:f>
      </x:c>
      <x:c r="EO18" s="117" t="n">
        <x:f>IF(AND(EO$3&gt;=EDATE($B$7,-MIN(6,'Вводные'!$E$88)),EO$3&lt;$B$7),$B$18/MAX(1,MIN(6,'Вводные'!$E$88)),0)</x:f>
      </x:c>
      <x:c r="EP18" s="117" t="n">
        <x:f>IF(AND(EP$3&gt;=EDATE($B$7,-MIN(6,'Вводные'!$E$88)),EP$3&lt;$B$7),$B$18/MAX(1,MIN(6,'Вводные'!$E$88)),0)</x:f>
      </x:c>
      <x:c r="EQ18" s="117" t="n">
        <x:f>IF(AND(EQ$3&gt;=EDATE($B$7,-MIN(6,'Вводные'!$E$88)),EQ$3&lt;$B$7),$B$18/MAX(1,MIN(6,'Вводные'!$E$88)),0)</x:f>
      </x:c>
      <x:c r="ER18" s="117" t="n">
        <x:f>IF(AND(ER$3&gt;=EDATE($B$7,-MIN(6,'Вводные'!$E$88)),ER$3&lt;$B$7),$B$18/MAX(1,MIN(6,'Вводные'!$E$88)),0)</x:f>
      </x:c>
      <x:c r="ES18" s="117" t="n">
        <x:f>IF(AND(ES$3&gt;=EDATE($B$7,-MIN(6,'Вводные'!$E$88)),ES$3&lt;$B$7),$B$18/MAX(1,MIN(6,'Вводные'!$E$88)),0)</x:f>
      </x:c>
      <x:c r="ET18" s="117" t="n">
        <x:f>IF(AND(ET$3&gt;=EDATE($B$7,-MIN(6,'Вводные'!$E$88)),ET$3&lt;$B$7),$B$18/MAX(1,MIN(6,'Вводные'!$E$88)),0)</x:f>
      </x:c>
      <x:c r="EU18" s="117" t="n">
        <x:f>IF(AND(EU$3&gt;=EDATE($B$7,-MIN(6,'Вводные'!$E$88)),EU$3&lt;$B$7),$B$18/MAX(1,MIN(6,'Вводные'!$E$88)),0)</x:f>
      </x:c>
      <x:c r="EV18" s="117" t="n">
        <x:f>IF(AND(EV$3&gt;=EDATE($B$7,-MIN(6,'Вводные'!$E$88)),EV$3&lt;$B$7),$B$18/MAX(1,MIN(6,'Вводные'!$E$88)),0)</x:f>
      </x:c>
      <x:c r="EW18" s="117" t="n">
        <x:f>IF(AND(EW$3&gt;=EDATE($B$7,-MIN(6,'Вводные'!$E$88)),EW$3&lt;$B$7),$B$18/MAX(1,MIN(6,'Вводные'!$E$88)),0)</x:f>
      </x:c>
      <x:c r="EX18" s="117" t="n">
        <x:f>IF(AND(EX$3&gt;=EDATE($B$7,-MIN(6,'Вводные'!$E$88)),EX$3&lt;$B$7),$B$18/MAX(1,MIN(6,'Вводные'!$E$88)),0)</x:f>
      </x:c>
      <x:c r="EY18" s="117" t="n">
        <x:f>IF(AND(EY$3&gt;=EDATE($B$7,-MIN(6,'Вводные'!$E$88)),EY$3&lt;$B$7),$B$18/MAX(1,MIN(6,'Вводные'!$E$88)),0)</x:f>
      </x:c>
      <x:c r="EZ18" s="117" t="n">
        <x:f>IF(AND(EZ$3&gt;=EDATE($B$7,-MIN(6,'Вводные'!$E$88)),EZ$3&lt;$B$7),$B$18/MAX(1,MIN(6,'Вводные'!$E$88)),0)</x:f>
      </x:c>
      <x:c r="FA18" s="117" t="n">
        <x:f>IF(AND(FA$3&gt;=EDATE($B$7,-MIN(6,'Вводные'!$E$88)),FA$3&lt;$B$7),$B$18/MAX(1,MIN(6,'Вводные'!$E$88)),0)</x:f>
      </x:c>
      <x:c r="FB18" s="117" t="n">
        <x:f>IF(AND(FB$3&gt;=EDATE($B$7,-MIN(6,'Вводные'!$E$88)),FB$3&lt;$B$7),$B$18/MAX(1,MIN(6,'Вводные'!$E$88)),0)</x:f>
      </x:c>
      <x:c r="FC18" s="117" t="n">
        <x:f>IF(AND(FC$3&gt;=EDATE($B$7,-MIN(6,'Вводные'!$E$88)),FC$3&lt;$B$7),$B$18/MAX(1,MIN(6,'Вводные'!$E$88)),0)</x:f>
      </x:c>
      <x:c r="FD18" s="117" t="n">
        <x:f>IF(AND(FD$3&gt;=EDATE($B$7,-MIN(6,'Вводные'!$E$88)),FD$3&lt;$B$7),$B$18/MAX(1,MIN(6,'Вводные'!$E$88)),0)</x:f>
      </x:c>
      <x:c r="FE18" s="117" t="n">
        <x:f>IF(AND(FE$3&gt;=EDATE($B$7,-MIN(6,'Вводные'!$E$88)),FE$3&lt;$B$7),$B$18/MAX(1,MIN(6,'Вводные'!$E$88)),0)</x:f>
      </x:c>
      <x:c r="FF18" s="117" t="n">
        <x:f>IF(AND(FF$3&gt;=EDATE($B$7,-MIN(6,'Вводные'!$E$88)),FF$3&lt;$B$7),$B$18/MAX(1,MIN(6,'Вводные'!$E$88)),0)</x:f>
      </x:c>
      <x:c r="FG18" s="117" t="n">
        <x:f>IF(AND(FG$3&gt;=EDATE($B$7,-MIN(6,'Вводные'!$E$88)),FG$3&lt;$B$7),$B$18/MAX(1,MIN(6,'Вводные'!$E$88)),0)</x:f>
      </x:c>
      <x:c r="FH18" s="117" t="n">
        <x:f>IF(AND(FH$3&gt;=EDATE($B$7,-MIN(6,'Вводные'!$E$88)),FH$3&lt;$B$7),$B$18/MAX(1,MIN(6,'Вводные'!$E$88)),0)</x:f>
      </x:c>
      <x:c r="FI18" s="117" t="n">
        <x:f>IF(AND(FI$3&gt;=EDATE($B$7,-MIN(6,'Вводные'!$E$88)),FI$3&lt;$B$7),$B$18/MAX(1,MIN(6,'Вводные'!$E$88)),0)</x:f>
      </x:c>
      <x:c r="FJ18" s="117" t="n">
        <x:f>IF(AND(FJ$3&gt;=EDATE($B$7,-MIN(6,'Вводные'!$E$88)),FJ$3&lt;$B$7),$B$18/MAX(1,MIN(6,'Вводные'!$E$88)),0)</x:f>
      </x:c>
      <x:c r="FK18" s="117" t="n">
        <x:f>IF(AND(FK$3&gt;=EDATE($B$7,-MIN(6,'Вводные'!$E$88)),FK$3&lt;$B$7),$B$18/MAX(1,MIN(6,'Вводные'!$E$88)),0)</x:f>
      </x:c>
      <x:c r="FL18" s="117" t="n">
        <x:f>IF(AND(FL$3&gt;=EDATE($B$7,-MIN(6,'Вводные'!$E$88)),FL$3&lt;$B$7),$B$18/MAX(1,MIN(6,'Вводные'!$E$88)),0)</x:f>
      </x:c>
      <x:c r="FM18" s="117" t="n">
        <x:f>IF(AND(FM$3&gt;=EDATE($B$7,-MIN(6,'Вводные'!$E$88)),FM$3&lt;$B$7),$B$18/MAX(1,MIN(6,'Вводные'!$E$88)),0)</x:f>
      </x:c>
      <x:c r="FN18" s="117" t="n">
        <x:f>IF(AND(FN$3&gt;=EDATE($B$7,-MIN(6,'Вводные'!$E$88)),FN$3&lt;$B$7),$B$18/MAX(1,MIN(6,'Вводные'!$E$88)),0)</x:f>
      </x:c>
      <x:c r="FO18" s="117" t="n">
        <x:f>IF(AND(FO$3&gt;=EDATE($B$7,-MIN(6,'Вводные'!$E$88)),FO$3&lt;$B$7),$B$18/MAX(1,MIN(6,'Вводные'!$E$88)),0)</x:f>
      </x:c>
      <x:c r="FP18" s="117" t="n">
        <x:f>IF(AND(FP$3&gt;=EDATE($B$7,-MIN(6,'Вводные'!$E$88)),FP$3&lt;$B$7),$B$18/MAX(1,MIN(6,'Вводные'!$E$88)),0)</x:f>
      </x:c>
      <x:c r="FQ18" s="117" t="n">
        <x:f>IF(AND(FQ$3&gt;=EDATE($B$7,-MIN(6,'Вводные'!$E$88)),FQ$3&lt;$B$7),$B$18/MAX(1,MIN(6,'Вводные'!$E$88)),0)</x:f>
      </x:c>
      <x:c r="FR18" s="117" t="n">
        <x:f>IF(AND(FR$3&gt;=EDATE($B$7,-MIN(6,'Вводные'!$E$88)),FR$3&lt;$B$7),$B$18/MAX(1,MIN(6,'Вводные'!$E$88)),0)</x:f>
      </x:c>
      <x:c r="FS18" s="117" t="n">
        <x:f>IF(AND(FS$3&gt;=EDATE($B$7,-MIN(6,'Вводные'!$E$88)),FS$3&lt;$B$7),$B$18/MAX(1,MIN(6,'Вводные'!$E$88)),0)</x:f>
      </x:c>
      <x:c r="FT18" s="117" t="n">
        <x:f>IF(AND(FT$3&gt;=EDATE($B$7,-MIN(6,'Вводные'!$E$88)),FT$3&lt;$B$7),$B$18/MAX(1,MIN(6,'Вводные'!$E$88)),0)</x:f>
      </x:c>
      <x:c r="FU18" s="117" t="n">
        <x:f>IF(AND(FU$3&gt;=EDATE($B$7,-MIN(6,'Вводные'!$E$88)),FU$3&lt;$B$7),$B$18/MAX(1,MIN(6,'Вводные'!$E$88)),0)</x:f>
      </x:c>
      <x:c r="FV18" s="117" t="n">
        <x:f>IF(AND(FV$3&gt;=EDATE($B$7,-MIN(6,'Вводные'!$E$88)),FV$3&lt;$B$7),$B$18/MAX(1,MIN(6,'Вводные'!$E$88)),0)</x:f>
      </x:c>
      <x:c r="FW18" s="117" t="n">
        <x:f>IF(AND(FW$3&gt;=EDATE($B$7,-MIN(6,'Вводные'!$E$88)),FW$3&lt;$B$7),$B$18/MAX(1,MIN(6,'Вводные'!$E$88)),0)</x:f>
      </x:c>
      <x:c r="FX18" s="117" t="n">
        <x:f>IF(AND(FX$3&gt;=EDATE($B$7,-MIN(6,'Вводные'!$E$88)),FX$3&lt;$B$7),$B$18/MAX(1,MIN(6,'Вводные'!$E$88)),0)</x:f>
      </x:c>
      <x:c r="FY18" s="117" t="n">
        <x:f>IF(AND(FY$3&gt;=EDATE($B$7,-MIN(6,'Вводные'!$E$88)),FY$3&lt;$B$7),$B$18/MAX(1,MIN(6,'Вводные'!$E$88)),0)</x:f>
      </x:c>
      <x:c r="FZ18" s="117" t="n">
        <x:f>IF(AND(FZ$3&gt;=EDATE($B$7,-MIN(6,'Вводные'!$E$88)),FZ$3&lt;$B$7),$B$18/MAX(1,MIN(6,'Вводные'!$E$88)),0)</x:f>
      </x:c>
      <x:c r="GA18" s="117" t="n">
        <x:f>IF(AND(GA$3&gt;=EDATE($B$7,-MIN(6,'Вводные'!$E$88)),GA$3&lt;$B$7),$B$18/MAX(1,MIN(6,'Вводные'!$E$88)),0)</x:f>
      </x:c>
    </x:row>
    <x:row r="19">
      <x:c r="A19" t="str">
        <x:v>Авторский надзор</x:v>
      </x:c>
      <x:c r="B19" s="107" t="n">
        <x:f>SUM(B17:B18)*'Вводные'!$B$51</x:f>
      </x:c>
      <x:c r="C19" t="str">
        <x:v>млн ₽</x:v>
      </x:c>
      <x:c r="D19" s="117" t="n">
        <x:f>$B$19*D13</x:f>
      </x:c>
      <x:c r="E19" s="117" t="n">
        <x:f>$B$19*E13</x:f>
      </x:c>
      <x:c r="F19" s="117" t="n">
        <x:f>$B$19*F13</x:f>
      </x:c>
      <x:c r="G19" s="117" t="n">
        <x:f>$B$19*G13</x:f>
      </x:c>
      <x:c r="H19" s="117" t="n">
        <x:f>$B$19*H13</x:f>
      </x:c>
      <x:c r="I19" s="117" t="n">
        <x:f>$B$19*I13</x:f>
      </x:c>
      <x:c r="J19" s="117" t="n">
        <x:f>$B$19*J13</x:f>
      </x:c>
      <x:c r="K19" s="117" t="n">
        <x:f>$B$19*K13</x:f>
      </x:c>
      <x:c r="L19" s="117" t="n">
        <x:f>$B$19*L13</x:f>
      </x:c>
      <x:c r="M19" s="117" t="n">
        <x:f>$B$19*M13</x:f>
      </x:c>
      <x:c r="N19" s="117" t="n">
        <x:f>$B$19*N13</x:f>
      </x:c>
      <x:c r="O19" s="117" t="n">
        <x:f>$B$19*O13</x:f>
      </x:c>
      <x:c r="P19" s="117" t="n">
        <x:f>$B$19*P13</x:f>
      </x:c>
      <x:c r="Q19" s="117" t="n">
        <x:f>$B$19*Q13</x:f>
      </x:c>
      <x:c r="R19" s="117" t="n">
        <x:f>$B$19*R13</x:f>
      </x:c>
      <x:c r="S19" s="117" t="n">
        <x:f>$B$19*S13</x:f>
      </x:c>
      <x:c r="T19" s="117" t="n">
        <x:f>$B$19*T13</x:f>
      </x:c>
      <x:c r="U19" s="117" t="n">
        <x:f>$B$19*U13</x:f>
      </x:c>
      <x:c r="V19" s="117" t="n">
        <x:f>$B$19*V13</x:f>
      </x:c>
      <x:c r="W19" s="117" t="n">
        <x:f>$B$19*W13</x:f>
      </x:c>
      <x:c r="X19" s="117" t="n">
        <x:f>$B$19*X13</x:f>
      </x:c>
      <x:c r="Y19" s="117" t="n">
        <x:f>$B$19*Y13</x:f>
      </x:c>
      <x:c r="Z19" s="117" t="n">
        <x:f>$B$19*Z13</x:f>
      </x:c>
      <x:c r="AA19" s="117" t="n">
        <x:f>$B$19*AA13</x:f>
      </x:c>
      <x:c r="AB19" s="117" t="n">
        <x:f>$B$19*AB13</x:f>
      </x:c>
      <x:c r="AC19" s="117" t="n">
        <x:f>$B$19*AC13</x:f>
      </x:c>
      <x:c r="AD19" s="117" t="n">
        <x:f>$B$19*AD13</x:f>
      </x:c>
      <x:c r="AE19" s="117" t="n">
        <x:f>$B$19*AE13</x:f>
      </x:c>
      <x:c r="AF19" s="117" t="n">
        <x:f>$B$19*AF13</x:f>
      </x:c>
      <x:c r="AG19" s="117" t="n">
        <x:f>$B$19*AG13</x:f>
      </x:c>
      <x:c r="AH19" s="117" t="n">
        <x:f>$B$19*AH13</x:f>
      </x:c>
      <x:c r="AI19" s="117" t="n">
        <x:f>$B$19*AI13</x:f>
      </x:c>
      <x:c r="AJ19" s="117" t="n">
        <x:f>$B$19*AJ13</x:f>
      </x:c>
      <x:c r="AK19" s="117" t="n">
        <x:f>$B$19*AK13</x:f>
      </x:c>
      <x:c r="AL19" s="117" t="n">
        <x:f>$B$19*AL13</x:f>
      </x:c>
      <x:c r="AM19" s="117" t="n">
        <x:f>$B$19*AM13</x:f>
      </x:c>
      <x:c r="AN19" s="117" t="n">
        <x:f>$B$19*AN13</x:f>
      </x:c>
      <x:c r="AO19" s="117" t="n">
        <x:f>$B$19*AO13</x:f>
      </x:c>
      <x:c r="AP19" s="117" t="n">
        <x:f>$B$19*AP13</x:f>
      </x:c>
      <x:c r="AQ19" s="117" t="n">
        <x:f>$B$19*AQ13</x:f>
      </x:c>
      <x:c r="AR19" s="117" t="n">
        <x:f>$B$19*AR13</x:f>
      </x:c>
      <x:c r="AS19" s="117" t="n">
        <x:f>$B$19*AS13</x:f>
      </x:c>
      <x:c r="AT19" s="117" t="n">
        <x:f>$B$19*AT13</x:f>
      </x:c>
      <x:c r="AU19" s="117" t="n">
        <x:f>$B$19*AU13</x:f>
      </x:c>
      <x:c r="AV19" s="117" t="n">
        <x:f>$B$19*AV13</x:f>
      </x:c>
      <x:c r="AW19" s="117" t="n">
        <x:f>$B$19*AW13</x:f>
      </x:c>
      <x:c r="AX19" s="117" t="n">
        <x:f>$B$19*AX13</x:f>
      </x:c>
      <x:c r="AY19" s="117" t="n">
        <x:f>$B$19*AY13</x:f>
      </x:c>
      <x:c r="AZ19" s="117" t="n">
        <x:f>$B$19*AZ13</x:f>
      </x:c>
      <x:c r="BA19" s="117" t="n">
        <x:f>$B$19*BA13</x:f>
      </x:c>
      <x:c r="BB19" s="117" t="n">
        <x:f>$B$19*BB13</x:f>
      </x:c>
      <x:c r="BC19" s="117" t="n">
        <x:f>$B$19*BC13</x:f>
      </x:c>
      <x:c r="BD19" s="117" t="n">
        <x:f>$B$19*BD13</x:f>
      </x:c>
      <x:c r="BE19" s="117" t="n">
        <x:f>$B$19*BE13</x:f>
      </x:c>
      <x:c r="BF19" s="117" t="n">
        <x:f>$B$19*BF13</x:f>
      </x:c>
      <x:c r="BG19" s="117" t="n">
        <x:f>$B$19*BG13</x:f>
      </x:c>
      <x:c r="BH19" s="117" t="n">
        <x:f>$B$19*BH13</x:f>
      </x:c>
      <x:c r="BI19" s="117" t="n">
        <x:f>$B$19*BI13</x:f>
      </x:c>
      <x:c r="BJ19" s="117" t="n">
        <x:f>$B$19*BJ13</x:f>
      </x:c>
      <x:c r="BK19" s="117" t="n">
        <x:f>$B$19*BK13</x:f>
      </x:c>
      <x:c r="BL19" s="117" t="n">
        <x:f>$B$19*BL13</x:f>
      </x:c>
      <x:c r="BM19" s="117" t="n">
        <x:f>$B$19*BM13</x:f>
      </x:c>
      <x:c r="BN19" s="117" t="n">
        <x:f>$B$19*BN13</x:f>
      </x:c>
      <x:c r="BO19" s="117" t="n">
        <x:f>$B$19*BO13</x:f>
      </x:c>
      <x:c r="BP19" s="117" t="n">
        <x:f>$B$19*BP13</x:f>
      </x:c>
      <x:c r="BQ19" s="117" t="n">
        <x:f>$B$19*BQ13</x:f>
      </x:c>
      <x:c r="BR19" s="117" t="n">
        <x:f>$B$19*BR13</x:f>
      </x:c>
      <x:c r="BS19" s="117" t="n">
        <x:f>$B$19*BS13</x:f>
      </x:c>
      <x:c r="BT19" s="117" t="n">
        <x:f>$B$19*BT13</x:f>
      </x:c>
      <x:c r="BU19" s="117" t="n">
        <x:f>$B$19*BU13</x:f>
      </x:c>
      <x:c r="BV19" s="117" t="n">
        <x:f>$B$19*BV13</x:f>
      </x:c>
      <x:c r="BW19" s="117" t="n">
        <x:f>$B$19*BW13</x:f>
      </x:c>
      <x:c r="BX19" s="117" t="n">
        <x:f>$B$19*BX13</x:f>
      </x:c>
      <x:c r="BY19" s="117" t="n">
        <x:f>$B$19*BY13</x:f>
      </x:c>
      <x:c r="BZ19" s="117" t="n">
        <x:f>$B$19*BZ13</x:f>
      </x:c>
      <x:c r="CA19" s="117" t="n">
        <x:f>$B$19*CA13</x:f>
      </x:c>
      <x:c r="CB19" s="117" t="n">
        <x:f>$B$19*CB13</x:f>
      </x:c>
      <x:c r="CC19" s="117" t="n">
        <x:f>$B$19*CC13</x:f>
      </x:c>
      <x:c r="CD19" s="117" t="n">
        <x:f>$B$19*CD13</x:f>
      </x:c>
      <x:c r="CE19" s="117" t="n">
        <x:f>$B$19*CE13</x:f>
      </x:c>
      <x:c r="CF19" s="117" t="n">
        <x:f>$B$19*CF13</x:f>
      </x:c>
      <x:c r="CG19" s="117" t="n">
        <x:f>$B$19*CG13</x:f>
      </x:c>
      <x:c r="CH19" s="117" t="n">
        <x:f>$B$19*CH13</x:f>
      </x:c>
      <x:c r="CI19" s="117" t="n">
        <x:f>$B$19*CI13</x:f>
      </x:c>
      <x:c r="CJ19" s="117" t="n">
        <x:f>$B$19*CJ13</x:f>
      </x:c>
      <x:c r="CK19" s="117" t="n">
        <x:f>$B$19*CK13</x:f>
      </x:c>
      <x:c r="CL19" s="117" t="n">
        <x:f>$B$19*CL13</x:f>
      </x:c>
      <x:c r="CM19" s="117" t="n">
        <x:f>$B$19*CM13</x:f>
      </x:c>
      <x:c r="CN19" s="117" t="n">
        <x:f>$B$19*CN13</x:f>
      </x:c>
      <x:c r="CO19" s="117" t="n">
        <x:f>$B$19*CO13</x:f>
      </x:c>
      <x:c r="CP19" s="117" t="n">
        <x:f>$B$19*CP13</x:f>
      </x:c>
      <x:c r="CQ19" s="117" t="n">
        <x:f>$B$19*CQ13</x:f>
      </x:c>
      <x:c r="CR19" s="117" t="n">
        <x:f>$B$19*CR13</x:f>
      </x:c>
      <x:c r="CS19" s="117" t="n">
        <x:f>$B$19*CS13</x:f>
      </x:c>
      <x:c r="CT19" s="117" t="n">
        <x:f>$B$19*CT13</x:f>
      </x:c>
      <x:c r="CU19" s="117" t="n">
        <x:f>$B$19*CU13</x:f>
      </x:c>
      <x:c r="CV19" s="117" t="n">
        <x:f>$B$19*CV13</x:f>
      </x:c>
      <x:c r="CW19" s="117" t="n">
        <x:f>$B$19*CW13</x:f>
      </x:c>
      <x:c r="CX19" s="117" t="n">
        <x:f>$B$19*CX13</x:f>
      </x:c>
      <x:c r="CY19" s="117" t="n">
        <x:f>$B$19*CY13</x:f>
      </x:c>
      <x:c r="CZ19" s="117" t="n">
        <x:f>$B$19*CZ13</x:f>
      </x:c>
      <x:c r="DA19" s="117" t="n">
        <x:f>$B$19*DA13</x:f>
      </x:c>
      <x:c r="DB19" s="117" t="n">
        <x:f>$B$19*DB13</x:f>
      </x:c>
      <x:c r="DC19" s="117" t="n">
        <x:f>$B$19*DC13</x:f>
      </x:c>
      <x:c r="DD19" s="117" t="n">
        <x:f>$B$19*DD13</x:f>
      </x:c>
      <x:c r="DE19" s="117" t="n">
        <x:f>$B$19*DE13</x:f>
      </x:c>
      <x:c r="DF19" s="117" t="n">
        <x:f>$B$19*DF13</x:f>
      </x:c>
      <x:c r="DG19" s="117" t="n">
        <x:f>$B$19*DG13</x:f>
      </x:c>
      <x:c r="DH19" s="117" t="n">
        <x:f>$B$19*DH13</x:f>
      </x:c>
      <x:c r="DI19" s="117" t="n">
        <x:f>$B$19*DI13</x:f>
      </x:c>
      <x:c r="DJ19" s="117" t="n">
        <x:f>$B$19*DJ13</x:f>
      </x:c>
      <x:c r="DK19" s="117" t="n">
        <x:f>$B$19*DK13</x:f>
      </x:c>
      <x:c r="DL19" s="117" t="n">
        <x:f>$B$19*DL13</x:f>
      </x:c>
      <x:c r="DM19" s="117" t="n">
        <x:f>$B$19*DM13</x:f>
      </x:c>
      <x:c r="DN19" s="117" t="n">
        <x:f>$B$19*DN13</x:f>
      </x:c>
      <x:c r="DO19" s="117" t="n">
        <x:f>$B$19*DO13</x:f>
      </x:c>
      <x:c r="DP19" s="117" t="n">
        <x:f>$B$19*DP13</x:f>
      </x:c>
      <x:c r="DQ19" s="117" t="n">
        <x:f>$B$19*DQ13</x:f>
      </x:c>
      <x:c r="DR19" s="117" t="n">
        <x:f>$B$19*DR13</x:f>
      </x:c>
      <x:c r="DS19" s="117" t="n">
        <x:f>$B$19*DS13</x:f>
      </x:c>
      <x:c r="DT19" s="117" t="n">
        <x:f>$B$19*DT13</x:f>
      </x:c>
      <x:c r="DU19" s="117" t="n">
        <x:f>$B$19*DU13</x:f>
      </x:c>
      <x:c r="DV19" s="117" t="n">
        <x:f>$B$19*DV13</x:f>
      </x:c>
      <x:c r="DW19" s="117" t="n">
        <x:f>$B$19*DW13</x:f>
      </x:c>
      <x:c r="DX19" s="117" t="n">
        <x:f>$B$19*DX13</x:f>
      </x:c>
      <x:c r="DY19" s="117" t="n">
        <x:f>$B$19*DY13</x:f>
      </x:c>
      <x:c r="DZ19" s="117" t="n">
        <x:f>$B$19*DZ13</x:f>
      </x:c>
      <x:c r="EA19" s="117" t="n">
        <x:f>$B$19*EA13</x:f>
      </x:c>
      <x:c r="EB19" s="117" t="n">
        <x:f>$B$19*EB13</x:f>
      </x:c>
      <x:c r="EC19" s="117" t="n">
        <x:f>$B$19*EC13</x:f>
      </x:c>
      <x:c r="ED19" s="117" t="n">
        <x:f>$B$19*ED13</x:f>
      </x:c>
      <x:c r="EE19" s="117" t="n">
        <x:f>$B$19*EE13</x:f>
      </x:c>
      <x:c r="EF19" s="117" t="n">
        <x:f>$B$19*EF13</x:f>
      </x:c>
      <x:c r="EG19" s="117" t="n">
        <x:f>$B$19*EG13</x:f>
      </x:c>
      <x:c r="EH19" s="117" t="n">
        <x:f>$B$19*EH13</x:f>
      </x:c>
      <x:c r="EI19" s="117" t="n">
        <x:f>$B$19*EI13</x:f>
      </x:c>
      <x:c r="EJ19" s="117" t="n">
        <x:f>$B$19*EJ13</x:f>
      </x:c>
      <x:c r="EK19" s="117" t="n">
        <x:f>$B$19*EK13</x:f>
      </x:c>
      <x:c r="EL19" s="117" t="n">
        <x:f>$B$19*EL13</x:f>
      </x:c>
      <x:c r="EM19" s="117" t="n">
        <x:f>$B$19*EM13</x:f>
      </x:c>
      <x:c r="EN19" s="117" t="n">
        <x:f>$B$19*EN13</x:f>
      </x:c>
      <x:c r="EO19" s="117" t="n">
        <x:f>$B$19*EO13</x:f>
      </x:c>
      <x:c r="EP19" s="117" t="n">
        <x:f>$B$19*EP13</x:f>
      </x:c>
      <x:c r="EQ19" s="117" t="n">
        <x:f>$B$19*EQ13</x:f>
      </x:c>
      <x:c r="ER19" s="117" t="n">
        <x:f>$B$19*ER13</x:f>
      </x:c>
      <x:c r="ES19" s="117" t="n">
        <x:f>$B$19*ES13</x:f>
      </x:c>
      <x:c r="ET19" s="117" t="n">
        <x:f>$B$19*ET13</x:f>
      </x:c>
      <x:c r="EU19" s="117" t="n">
        <x:f>$B$19*EU13</x:f>
      </x:c>
      <x:c r="EV19" s="117" t="n">
        <x:f>$B$19*EV13</x:f>
      </x:c>
      <x:c r="EW19" s="117" t="n">
        <x:f>$B$19*EW13</x:f>
      </x:c>
      <x:c r="EX19" s="117" t="n">
        <x:f>$B$19*EX13</x:f>
      </x:c>
      <x:c r="EY19" s="117" t="n">
        <x:f>$B$19*EY13</x:f>
      </x:c>
      <x:c r="EZ19" s="117" t="n">
        <x:f>$B$19*EZ13</x:f>
      </x:c>
      <x:c r="FA19" s="117" t="n">
        <x:f>$B$19*FA13</x:f>
      </x:c>
      <x:c r="FB19" s="117" t="n">
        <x:f>$B$19*FB13</x:f>
      </x:c>
      <x:c r="FC19" s="117" t="n">
        <x:f>$B$19*FC13</x:f>
      </x:c>
      <x:c r="FD19" s="117" t="n">
        <x:f>$B$19*FD13</x:f>
      </x:c>
      <x:c r="FE19" s="117" t="n">
        <x:f>$B$19*FE13</x:f>
      </x:c>
      <x:c r="FF19" s="117" t="n">
        <x:f>$B$19*FF13</x:f>
      </x:c>
      <x:c r="FG19" s="117" t="n">
        <x:f>$B$19*FG13</x:f>
      </x:c>
      <x:c r="FH19" s="117" t="n">
        <x:f>$B$19*FH13</x:f>
      </x:c>
      <x:c r="FI19" s="117" t="n">
        <x:f>$B$19*FI13</x:f>
      </x:c>
      <x:c r="FJ19" s="117" t="n">
        <x:f>$B$19*FJ13</x:f>
      </x:c>
      <x:c r="FK19" s="117" t="n">
        <x:f>$B$19*FK13</x:f>
      </x:c>
      <x:c r="FL19" s="117" t="n">
        <x:f>$B$19*FL13</x:f>
      </x:c>
      <x:c r="FM19" s="117" t="n">
        <x:f>$B$19*FM13</x:f>
      </x:c>
      <x:c r="FN19" s="117" t="n">
        <x:f>$B$19*FN13</x:f>
      </x:c>
      <x:c r="FO19" s="117" t="n">
        <x:f>$B$19*FO13</x:f>
      </x:c>
      <x:c r="FP19" s="117" t="n">
        <x:f>$B$19*FP13</x:f>
      </x:c>
      <x:c r="FQ19" s="117" t="n">
        <x:f>$B$19*FQ13</x:f>
      </x:c>
      <x:c r="FR19" s="117" t="n">
        <x:f>$B$19*FR13</x:f>
      </x:c>
      <x:c r="FS19" s="117" t="n">
        <x:f>$B$19*FS13</x:f>
      </x:c>
      <x:c r="FT19" s="117" t="n">
        <x:f>$B$19*FT13</x:f>
      </x:c>
      <x:c r="FU19" s="117" t="n">
        <x:f>$B$19*FU13</x:f>
      </x:c>
      <x:c r="FV19" s="117" t="n">
        <x:f>$B$19*FV13</x:f>
      </x:c>
      <x:c r="FW19" s="117" t="n">
        <x:f>$B$19*FW13</x:f>
      </x:c>
      <x:c r="FX19" s="117" t="n">
        <x:f>$B$19*FX13</x:f>
      </x:c>
      <x:c r="FY19" s="117" t="n">
        <x:f>$B$19*FY13</x:f>
      </x:c>
      <x:c r="FZ19" s="117" t="n">
        <x:f>$B$19*FZ13</x:f>
      </x:c>
      <x:c r="GA19" s="117" t="n">
        <x:f>$B$19*GA13</x:f>
      </x:c>
    </x:row>
    <x:row r="20">
      <x:c r="A20" t="str">
        <x:v>Подготовительные работы</x:v>
      </x:c>
      <x:c r="B20" s="107" t="n">
        <x:f>(('Вводные'!$I$88+'Вводные'!$J$88+'Вводные'!$K$88)*'Вводные'!$B$43/1000*'Вводные'!$H$6*'Вводные'!$T$88*--('Вводные'!$B$88="Да"))*'Вводные'!$AH$88</x:f>
      </x:c>
      <x:c r="C20" t="str">
        <x:v>млн ₽</x:v>
      </x:c>
      <x:c r="D20" s="117" t="n">
        <x:f>IF(AND(D$3&gt;=EDATE($B$7,-MIN(6,'Вводные'!$E$88)),D$3&lt;$B$7),$B$20/MAX(1,MIN(6,'Вводные'!$E$88)),0)</x:f>
      </x:c>
      <x:c r="E20" s="117" t="n">
        <x:f>IF(AND(E$3&gt;=EDATE($B$7,-MIN(6,'Вводные'!$E$88)),E$3&lt;$B$7),$B$20/MAX(1,MIN(6,'Вводные'!$E$88)),0)</x:f>
      </x:c>
      <x:c r="F20" s="117" t="n">
        <x:f>IF(AND(F$3&gt;=EDATE($B$7,-MIN(6,'Вводные'!$E$88)),F$3&lt;$B$7),$B$20/MAX(1,MIN(6,'Вводные'!$E$88)),0)</x:f>
      </x:c>
      <x:c r="G20" s="117" t="n">
        <x:f>IF(AND(G$3&gt;=EDATE($B$7,-MIN(6,'Вводные'!$E$88)),G$3&lt;$B$7),$B$20/MAX(1,MIN(6,'Вводные'!$E$88)),0)</x:f>
      </x:c>
      <x:c r="H20" s="117" t="n">
        <x:f>IF(AND(H$3&gt;=EDATE($B$7,-MIN(6,'Вводные'!$E$88)),H$3&lt;$B$7),$B$20/MAX(1,MIN(6,'Вводные'!$E$88)),0)</x:f>
      </x:c>
      <x:c r="I20" s="117" t="n">
        <x:f>IF(AND(I$3&gt;=EDATE($B$7,-MIN(6,'Вводные'!$E$88)),I$3&lt;$B$7),$B$20/MAX(1,MIN(6,'Вводные'!$E$88)),0)</x:f>
      </x:c>
      <x:c r="J20" s="117" t="n">
        <x:f>IF(AND(J$3&gt;=EDATE($B$7,-MIN(6,'Вводные'!$E$88)),J$3&lt;$B$7),$B$20/MAX(1,MIN(6,'Вводные'!$E$88)),0)</x:f>
      </x:c>
      <x:c r="K20" s="117" t="n">
        <x:f>IF(AND(K$3&gt;=EDATE($B$7,-MIN(6,'Вводные'!$E$88)),K$3&lt;$B$7),$B$20/MAX(1,MIN(6,'Вводные'!$E$88)),0)</x:f>
      </x:c>
      <x:c r="L20" s="117" t="n">
        <x:f>IF(AND(L$3&gt;=EDATE($B$7,-MIN(6,'Вводные'!$E$88)),L$3&lt;$B$7),$B$20/MAX(1,MIN(6,'Вводные'!$E$88)),0)</x:f>
      </x:c>
      <x:c r="M20" s="117" t="n">
        <x:f>IF(AND(M$3&gt;=EDATE($B$7,-MIN(6,'Вводные'!$E$88)),M$3&lt;$B$7),$B$20/MAX(1,MIN(6,'Вводные'!$E$88)),0)</x:f>
      </x:c>
      <x:c r="N20" s="117" t="n">
        <x:f>IF(AND(N$3&gt;=EDATE($B$7,-MIN(6,'Вводные'!$E$88)),N$3&lt;$B$7),$B$20/MAX(1,MIN(6,'Вводные'!$E$88)),0)</x:f>
      </x:c>
      <x:c r="O20" s="117" t="n">
        <x:f>IF(AND(O$3&gt;=EDATE($B$7,-MIN(6,'Вводные'!$E$88)),O$3&lt;$B$7),$B$20/MAX(1,MIN(6,'Вводные'!$E$88)),0)</x:f>
      </x:c>
      <x:c r="P20" s="117" t="n">
        <x:f>IF(AND(P$3&gt;=EDATE($B$7,-MIN(6,'Вводные'!$E$88)),P$3&lt;$B$7),$B$20/MAX(1,MIN(6,'Вводные'!$E$88)),0)</x:f>
      </x:c>
      <x:c r="Q20" s="117" t="n">
        <x:f>IF(AND(Q$3&gt;=EDATE($B$7,-MIN(6,'Вводные'!$E$88)),Q$3&lt;$B$7),$B$20/MAX(1,MIN(6,'Вводные'!$E$88)),0)</x:f>
      </x:c>
      <x:c r="R20" s="117" t="n">
        <x:f>IF(AND(R$3&gt;=EDATE($B$7,-MIN(6,'Вводные'!$E$88)),R$3&lt;$B$7),$B$20/MAX(1,MIN(6,'Вводные'!$E$88)),0)</x:f>
      </x:c>
      <x:c r="S20" s="117" t="n">
        <x:f>IF(AND(S$3&gt;=EDATE($B$7,-MIN(6,'Вводные'!$E$88)),S$3&lt;$B$7),$B$20/MAX(1,MIN(6,'Вводные'!$E$88)),0)</x:f>
      </x:c>
      <x:c r="T20" s="117" t="n">
        <x:f>IF(AND(T$3&gt;=EDATE($B$7,-MIN(6,'Вводные'!$E$88)),T$3&lt;$B$7),$B$20/MAX(1,MIN(6,'Вводные'!$E$88)),0)</x:f>
      </x:c>
      <x:c r="U20" s="117" t="n">
        <x:f>IF(AND(U$3&gt;=EDATE($B$7,-MIN(6,'Вводные'!$E$88)),U$3&lt;$B$7),$B$20/MAX(1,MIN(6,'Вводные'!$E$88)),0)</x:f>
      </x:c>
      <x:c r="V20" s="117" t="n">
        <x:f>IF(AND(V$3&gt;=EDATE($B$7,-MIN(6,'Вводные'!$E$88)),V$3&lt;$B$7),$B$20/MAX(1,MIN(6,'Вводные'!$E$88)),0)</x:f>
      </x:c>
      <x:c r="W20" s="117" t="n">
        <x:f>IF(AND(W$3&gt;=EDATE($B$7,-MIN(6,'Вводные'!$E$88)),W$3&lt;$B$7),$B$20/MAX(1,MIN(6,'Вводные'!$E$88)),0)</x:f>
      </x:c>
      <x:c r="X20" s="117" t="n">
        <x:f>IF(AND(X$3&gt;=EDATE($B$7,-MIN(6,'Вводные'!$E$88)),X$3&lt;$B$7),$B$20/MAX(1,MIN(6,'Вводные'!$E$88)),0)</x:f>
      </x:c>
      <x:c r="Y20" s="117" t="n">
        <x:f>IF(AND(Y$3&gt;=EDATE($B$7,-MIN(6,'Вводные'!$E$88)),Y$3&lt;$B$7),$B$20/MAX(1,MIN(6,'Вводные'!$E$88)),0)</x:f>
      </x:c>
      <x:c r="Z20" s="117" t="n">
        <x:f>IF(AND(Z$3&gt;=EDATE($B$7,-MIN(6,'Вводные'!$E$88)),Z$3&lt;$B$7),$B$20/MAX(1,MIN(6,'Вводные'!$E$88)),0)</x:f>
      </x:c>
      <x:c r="AA20" s="117" t="n">
        <x:f>IF(AND(AA$3&gt;=EDATE($B$7,-MIN(6,'Вводные'!$E$88)),AA$3&lt;$B$7),$B$20/MAX(1,MIN(6,'Вводные'!$E$88)),0)</x:f>
      </x:c>
      <x:c r="AB20" s="117" t="n">
        <x:f>IF(AND(AB$3&gt;=EDATE($B$7,-MIN(6,'Вводные'!$E$88)),AB$3&lt;$B$7),$B$20/MAX(1,MIN(6,'Вводные'!$E$88)),0)</x:f>
      </x:c>
      <x:c r="AC20" s="117" t="n">
        <x:f>IF(AND(AC$3&gt;=EDATE($B$7,-MIN(6,'Вводные'!$E$88)),AC$3&lt;$B$7),$B$20/MAX(1,MIN(6,'Вводные'!$E$88)),0)</x:f>
      </x:c>
      <x:c r="AD20" s="117" t="n">
        <x:f>IF(AND(AD$3&gt;=EDATE($B$7,-MIN(6,'Вводные'!$E$88)),AD$3&lt;$B$7),$B$20/MAX(1,MIN(6,'Вводные'!$E$88)),0)</x:f>
      </x:c>
      <x:c r="AE20" s="117" t="n">
        <x:f>IF(AND(AE$3&gt;=EDATE($B$7,-MIN(6,'Вводные'!$E$88)),AE$3&lt;$B$7),$B$20/MAX(1,MIN(6,'Вводные'!$E$88)),0)</x:f>
      </x:c>
      <x:c r="AF20" s="117" t="n">
        <x:f>IF(AND(AF$3&gt;=EDATE($B$7,-MIN(6,'Вводные'!$E$88)),AF$3&lt;$B$7),$B$20/MAX(1,MIN(6,'Вводные'!$E$88)),0)</x:f>
      </x:c>
      <x:c r="AG20" s="117" t="n">
        <x:f>IF(AND(AG$3&gt;=EDATE($B$7,-MIN(6,'Вводные'!$E$88)),AG$3&lt;$B$7),$B$20/MAX(1,MIN(6,'Вводные'!$E$88)),0)</x:f>
      </x:c>
      <x:c r="AH20" s="117" t="n">
        <x:f>IF(AND(AH$3&gt;=EDATE($B$7,-MIN(6,'Вводные'!$E$88)),AH$3&lt;$B$7),$B$20/MAX(1,MIN(6,'Вводные'!$E$88)),0)</x:f>
      </x:c>
      <x:c r="AI20" s="117" t="n">
        <x:f>IF(AND(AI$3&gt;=EDATE($B$7,-MIN(6,'Вводные'!$E$88)),AI$3&lt;$B$7),$B$20/MAX(1,MIN(6,'Вводные'!$E$88)),0)</x:f>
      </x:c>
      <x:c r="AJ20" s="117" t="n">
        <x:f>IF(AND(AJ$3&gt;=EDATE($B$7,-MIN(6,'Вводные'!$E$88)),AJ$3&lt;$B$7),$B$20/MAX(1,MIN(6,'Вводные'!$E$88)),0)</x:f>
      </x:c>
      <x:c r="AK20" s="117" t="n">
        <x:f>IF(AND(AK$3&gt;=EDATE($B$7,-MIN(6,'Вводные'!$E$88)),AK$3&lt;$B$7),$B$20/MAX(1,MIN(6,'Вводные'!$E$88)),0)</x:f>
      </x:c>
      <x:c r="AL20" s="117" t="n">
        <x:f>IF(AND(AL$3&gt;=EDATE($B$7,-MIN(6,'Вводные'!$E$88)),AL$3&lt;$B$7),$B$20/MAX(1,MIN(6,'Вводные'!$E$88)),0)</x:f>
      </x:c>
      <x:c r="AM20" s="117" t="n">
        <x:f>IF(AND(AM$3&gt;=EDATE($B$7,-MIN(6,'Вводные'!$E$88)),AM$3&lt;$B$7),$B$20/MAX(1,MIN(6,'Вводные'!$E$88)),0)</x:f>
      </x:c>
      <x:c r="AN20" s="117" t="n">
        <x:f>IF(AND(AN$3&gt;=EDATE($B$7,-MIN(6,'Вводные'!$E$88)),AN$3&lt;$B$7),$B$20/MAX(1,MIN(6,'Вводные'!$E$88)),0)</x:f>
      </x:c>
      <x:c r="AO20" s="117" t="n">
        <x:f>IF(AND(AO$3&gt;=EDATE($B$7,-MIN(6,'Вводные'!$E$88)),AO$3&lt;$B$7),$B$20/MAX(1,MIN(6,'Вводные'!$E$88)),0)</x:f>
      </x:c>
      <x:c r="AP20" s="117" t="n">
        <x:f>IF(AND(AP$3&gt;=EDATE($B$7,-MIN(6,'Вводные'!$E$88)),AP$3&lt;$B$7),$B$20/MAX(1,MIN(6,'Вводные'!$E$88)),0)</x:f>
      </x:c>
      <x:c r="AQ20" s="117" t="n">
        <x:f>IF(AND(AQ$3&gt;=EDATE($B$7,-MIN(6,'Вводные'!$E$88)),AQ$3&lt;$B$7),$B$20/MAX(1,MIN(6,'Вводные'!$E$88)),0)</x:f>
      </x:c>
      <x:c r="AR20" s="117" t="n">
        <x:f>IF(AND(AR$3&gt;=EDATE($B$7,-MIN(6,'Вводные'!$E$88)),AR$3&lt;$B$7),$B$20/MAX(1,MIN(6,'Вводные'!$E$88)),0)</x:f>
      </x:c>
      <x:c r="AS20" s="117" t="n">
        <x:f>IF(AND(AS$3&gt;=EDATE($B$7,-MIN(6,'Вводные'!$E$88)),AS$3&lt;$B$7),$B$20/MAX(1,MIN(6,'Вводные'!$E$88)),0)</x:f>
      </x:c>
      <x:c r="AT20" s="117" t="n">
        <x:f>IF(AND(AT$3&gt;=EDATE($B$7,-MIN(6,'Вводные'!$E$88)),AT$3&lt;$B$7),$B$20/MAX(1,MIN(6,'Вводные'!$E$88)),0)</x:f>
      </x:c>
      <x:c r="AU20" s="117" t="n">
        <x:f>IF(AND(AU$3&gt;=EDATE($B$7,-MIN(6,'Вводные'!$E$88)),AU$3&lt;$B$7),$B$20/MAX(1,MIN(6,'Вводные'!$E$88)),0)</x:f>
      </x:c>
      <x:c r="AV20" s="117" t="n">
        <x:f>IF(AND(AV$3&gt;=EDATE($B$7,-MIN(6,'Вводные'!$E$88)),AV$3&lt;$B$7),$B$20/MAX(1,MIN(6,'Вводные'!$E$88)),0)</x:f>
      </x:c>
      <x:c r="AW20" s="117" t="n">
        <x:f>IF(AND(AW$3&gt;=EDATE($B$7,-MIN(6,'Вводные'!$E$88)),AW$3&lt;$B$7),$B$20/MAX(1,MIN(6,'Вводные'!$E$88)),0)</x:f>
      </x:c>
      <x:c r="AX20" s="117" t="n">
        <x:f>IF(AND(AX$3&gt;=EDATE($B$7,-MIN(6,'Вводные'!$E$88)),AX$3&lt;$B$7),$B$20/MAX(1,MIN(6,'Вводные'!$E$88)),0)</x:f>
      </x:c>
      <x:c r="AY20" s="117" t="n">
        <x:f>IF(AND(AY$3&gt;=EDATE($B$7,-MIN(6,'Вводные'!$E$88)),AY$3&lt;$B$7),$B$20/MAX(1,MIN(6,'Вводные'!$E$88)),0)</x:f>
      </x:c>
      <x:c r="AZ20" s="117" t="n">
        <x:f>IF(AND(AZ$3&gt;=EDATE($B$7,-MIN(6,'Вводные'!$E$88)),AZ$3&lt;$B$7),$B$20/MAX(1,MIN(6,'Вводные'!$E$88)),0)</x:f>
      </x:c>
      <x:c r="BA20" s="117" t="n">
        <x:f>IF(AND(BA$3&gt;=EDATE($B$7,-MIN(6,'Вводные'!$E$88)),BA$3&lt;$B$7),$B$20/MAX(1,MIN(6,'Вводные'!$E$88)),0)</x:f>
      </x:c>
      <x:c r="BB20" s="117" t="n">
        <x:f>IF(AND(BB$3&gt;=EDATE($B$7,-MIN(6,'Вводные'!$E$88)),BB$3&lt;$B$7),$B$20/MAX(1,MIN(6,'Вводные'!$E$88)),0)</x:f>
      </x:c>
      <x:c r="BC20" s="117" t="n">
        <x:f>IF(AND(BC$3&gt;=EDATE($B$7,-MIN(6,'Вводные'!$E$88)),BC$3&lt;$B$7),$B$20/MAX(1,MIN(6,'Вводные'!$E$88)),0)</x:f>
      </x:c>
      <x:c r="BD20" s="117" t="n">
        <x:f>IF(AND(BD$3&gt;=EDATE($B$7,-MIN(6,'Вводные'!$E$88)),BD$3&lt;$B$7),$B$20/MAX(1,MIN(6,'Вводные'!$E$88)),0)</x:f>
      </x:c>
      <x:c r="BE20" s="117" t="n">
        <x:f>IF(AND(BE$3&gt;=EDATE($B$7,-MIN(6,'Вводные'!$E$88)),BE$3&lt;$B$7),$B$20/MAX(1,MIN(6,'Вводные'!$E$88)),0)</x:f>
      </x:c>
      <x:c r="BF20" s="117" t="n">
        <x:f>IF(AND(BF$3&gt;=EDATE($B$7,-MIN(6,'Вводные'!$E$88)),BF$3&lt;$B$7),$B$20/MAX(1,MIN(6,'Вводные'!$E$88)),0)</x:f>
      </x:c>
      <x:c r="BG20" s="117" t="n">
        <x:f>IF(AND(BG$3&gt;=EDATE($B$7,-MIN(6,'Вводные'!$E$88)),BG$3&lt;$B$7),$B$20/MAX(1,MIN(6,'Вводные'!$E$88)),0)</x:f>
      </x:c>
      <x:c r="BH20" s="117" t="n">
        <x:f>IF(AND(BH$3&gt;=EDATE($B$7,-MIN(6,'Вводные'!$E$88)),BH$3&lt;$B$7),$B$20/MAX(1,MIN(6,'Вводные'!$E$88)),0)</x:f>
      </x:c>
      <x:c r="BI20" s="117" t="n">
        <x:f>IF(AND(BI$3&gt;=EDATE($B$7,-MIN(6,'Вводные'!$E$88)),BI$3&lt;$B$7),$B$20/MAX(1,MIN(6,'Вводные'!$E$88)),0)</x:f>
      </x:c>
      <x:c r="BJ20" s="117" t="n">
        <x:f>IF(AND(BJ$3&gt;=EDATE($B$7,-MIN(6,'Вводные'!$E$88)),BJ$3&lt;$B$7),$B$20/MAX(1,MIN(6,'Вводные'!$E$88)),0)</x:f>
      </x:c>
      <x:c r="BK20" s="117" t="n">
        <x:f>IF(AND(BK$3&gt;=EDATE($B$7,-MIN(6,'Вводные'!$E$88)),BK$3&lt;$B$7),$B$20/MAX(1,MIN(6,'Вводные'!$E$88)),0)</x:f>
      </x:c>
      <x:c r="BL20" s="117" t="n">
        <x:f>IF(AND(BL$3&gt;=EDATE($B$7,-MIN(6,'Вводные'!$E$88)),BL$3&lt;$B$7),$B$20/MAX(1,MIN(6,'Вводные'!$E$88)),0)</x:f>
      </x:c>
      <x:c r="BM20" s="117" t="n">
        <x:f>IF(AND(BM$3&gt;=EDATE($B$7,-MIN(6,'Вводные'!$E$88)),BM$3&lt;$B$7),$B$20/MAX(1,MIN(6,'Вводные'!$E$88)),0)</x:f>
      </x:c>
      <x:c r="BN20" s="117" t="n">
        <x:f>IF(AND(BN$3&gt;=EDATE($B$7,-MIN(6,'Вводные'!$E$88)),BN$3&lt;$B$7),$B$20/MAX(1,MIN(6,'Вводные'!$E$88)),0)</x:f>
      </x:c>
      <x:c r="BO20" s="117" t="n">
        <x:f>IF(AND(BO$3&gt;=EDATE($B$7,-MIN(6,'Вводные'!$E$88)),BO$3&lt;$B$7),$B$20/MAX(1,MIN(6,'Вводные'!$E$88)),0)</x:f>
      </x:c>
      <x:c r="BP20" s="117" t="n">
        <x:f>IF(AND(BP$3&gt;=EDATE($B$7,-MIN(6,'Вводные'!$E$88)),BP$3&lt;$B$7),$B$20/MAX(1,MIN(6,'Вводные'!$E$88)),0)</x:f>
      </x:c>
      <x:c r="BQ20" s="117" t="n">
        <x:f>IF(AND(BQ$3&gt;=EDATE($B$7,-MIN(6,'Вводные'!$E$88)),BQ$3&lt;$B$7),$B$20/MAX(1,MIN(6,'Вводные'!$E$88)),0)</x:f>
      </x:c>
      <x:c r="BR20" s="117" t="n">
        <x:f>IF(AND(BR$3&gt;=EDATE($B$7,-MIN(6,'Вводные'!$E$88)),BR$3&lt;$B$7),$B$20/MAX(1,MIN(6,'Вводные'!$E$88)),0)</x:f>
      </x:c>
      <x:c r="BS20" s="117" t="n">
        <x:f>IF(AND(BS$3&gt;=EDATE($B$7,-MIN(6,'Вводные'!$E$88)),BS$3&lt;$B$7),$B$20/MAX(1,MIN(6,'Вводные'!$E$88)),0)</x:f>
      </x:c>
      <x:c r="BT20" s="117" t="n">
        <x:f>IF(AND(BT$3&gt;=EDATE($B$7,-MIN(6,'Вводные'!$E$88)),BT$3&lt;$B$7),$B$20/MAX(1,MIN(6,'Вводные'!$E$88)),0)</x:f>
      </x:c>
      <x:c r="BU20" s="117" t="n">
        <x:f>IF(AND(BU$3&gt;=EDATE($B$7,-MIN(6,'Вводные'!$E$88)),BU$3&lt;$B$7),$B$20/MAX(1,MIN(6,'Вводные'!$E$88)),0)</x:f>
      </x:c>
      <x:c r="BV20" s="117" t="n">
        <x:f>IF(AND(BV$3&gt;=EDATE($B$7,-MIN(6,'Вводные'!$E$88)),BV$3&lt;$B$7),$B$20/MAX(1,MIN(6,'Вводные'!$E$88)),0)</x:f>
      </x:c>
      <x:c r="BW20" s="117" t="n">
        <x:f>IF(AND(BW$3&gt;=EDATE($B$7,-MIN(6,'Вводные'!$E$88)),BW$3&lt;$B$7),$B$20/MAX(1,MIN(6,'Вводные'!$E$88)),0)</x:f>
      </x:c>
      <x:c r="BX20" s="117" t="n">
        <x:f>IF(AND(BX$3&gt;=EDATE($B$7,-MIN(6,'Вводные'!$E$88)),BX$3&lt;$B$7),$B$20/MAX(1,MIN(6,'Вводные'!$E$88)),0)</x:f>
      </x:c>
      <x:c r="BY20" s="117" t="n">
        <x:f>IF(AND(BY$3&gt;=EDATE($B$7,-MIN(6,'Вводные'!$E$88)),BY$3&lt;$B$7),$B$20/MAX(1,MIN(6,'Вводные'!$E$88)),0)</x:f>
      </x:c>
      <x:c r="BZ20" s="117" t="n">
        <x:f>IF(AND(BZ$3&gt;=EDATE($B$7,-MIN(6,'Вводные'!$E$88)),BZ$3&lt;$B$7),$B$20/MAX(1,MIN(6,'Вводные'!$E$88)),0)</x:f>
      </x:c>
      <x:c r="CA20" s="117" t="n">
        <x:f>IF(AND(CA$3&gt;=EDATE($B$7,-MIN(6,'Вводные'!$E$88)),CA$3&lt;$B$7),$B$20/MAX(1,MIN(6,'Вводные'!$E$88)),0)</x:f>
      </x:c>
      <x:c r="CB20" s="117" t="n">
        <x:f>IF(AND(CB$3&gt;=EDATE($B$7,-MIN(6,'Вводные'!$E$88)),CB$3&lt;$B$7),$B$20/MAX(1,MIN(6,'Вводные'!$E$88)),0)</x:f>
      </x:c>
      <x:c r="CC20" s="117" t="n">
        <x:f>IF(AND(CC$3&gt;=EDATE($B$7,-MIN(6,'Вводные'!$E$88)),CC$3&lt;$B$7),$B$20/MAX(1,MIN(6,'Вводные'!$E$88)),0)</x:f>
      </x:c>
      <x:c r="CD20" s="117" t="n">
        <x:f>IF(AND(CD$3&gt;=EDATE($B$7,-MIN(6,'Вводные'!$E$88)),CD$3&lt;$B$7),$B$20/MAX(1,MIN(6,'Вводные'!$E$88)),0)</x:f>
      </x:c>
      <x:c r="CE20" s="117" t="n">
        <x:f>IF(AND(CE$3&gt;=EDATE($B$7,-MIN(6,'Вводные'!$E$88)),CE$3&lt;$B$7),$B$20/MAX(1,MIN(6,'Вводные'!$E$88)),0)</x:f>
      </x:c>
      <x:c r="CF20" s="117" t="n">
        <x:f>IF(AND(CF$3&gt;=EDATE($B$7,-MIN(6,'Вводные'!$E$88)),CF$3&lt;$B$7),$B$20/MAX(1,MIN(6,'Вводные'!$E$88)),0)</x:f>
      </x:c>
      <x:c r="CG20" s="117" t="n">
        <x:f>IF(AND(CG$3&gt;=EDATE($B$7,-MIN(6,'Вводные'!$E$88)),CG$3&lt;$B$7),$B$20/MAX(1,MIN(6,'Вводные'!$E$88)),0)</x:f>
      </x:c>
      <x:c r="CH20" s="117" t="n">
        <x:f>IF(AND(CH$3&gt;=EDATE($B$7,-MIN(6,'Вводные'!$E$88)),CH$3&lt;$B$7),$B$20/MAX(1,MIN(6,'Вводные'!$E$88)),0)</x:f>
      </x:c>
      <x:c r="CI20" s="117" t="n">
        <x:f>IF(AND(CI$3&gt;=EDATE($B$7,-MIN(6,'Вводные'!$E$88)),CI$3&lt;$B$7),$B$20/MAX(1,MIN(6,'Вводные'!$E$88)),0)</x:f>
      </x:c>
      <x:c r="CJ20" s="117" t="n">
        <x:f>IF(AND(CJ$3&gt;=EDATE($B$7,-MIN(6,'Вводные'!$E$88)),CJ$3&lt;$B$7),$B$20/MAX(1,MIN(6,'Вводные'!$E$88)),0)</x:f>
      </x:c>
      <x:c r="CK20" s="117" t="n">
        <x:f>IF(AND(CK$3&gt;=EDATE($B$7,-MIN(6,'Вводные'!$E$88)),CK$3&lt;$B$7),$B$20/MAX(1,MIN(6,'Вводные'!$E$88)),0)</x:f>
      </x:c>
      <x:c r="CL20" s="117" t="n">
        <x:f>IF(AND(CL$3&gt;=EDATE($B$7,-MIN(6,'Вводные'!$E$88)),CL$3&lt;$B$7),$B$20/MAX(1,MIN(6,'Вводные'!$E$88)),0)</x:f>
      </x:c>
      <x:c r="CM20" s="117" t="n">
        <x:f>IF(AND(CM$3&gt;=EDATE($B$7,-MIN(6,'Вводные'!$E$88)),CM$3&lt;$B$7),$B$20/MAX(1,MIN(6,'Вводные'!$E$88)),0)</x:f>
      </x:c>
      <x:c r="CN20" s="117" t="n">
        <x:f>IF(AND(CN$3&gt;=EDATE($B$7,-MIN(6,'Вводные'!$E$88)),CN$3&lt;$B$7),$B$20/MAX(1,MIN(6,'Вводные'!$E$88)),0)</x:f>
      </x:c>
      <x:c r="CO20" s="117" t="n">
        <x:f>IF(AND(CO$3&gt;=EDATE($B$7,-MIN(6,'Вводные'!$E$88)),CO$3&lt;$B$7),$B$20/MAX(1,MIN(6,'Вводные'!$E$88)),0)</x:f>
      </x:c>
      <x:c r="CP20" s="117" t="n">
        <x:f>IF(AND(CP$3&gt;=EDATE($B$7,-MIN(6,'Вводные'!$E$88)),CP$3&lt;$B$7),$B$20/MAX(1,MIN(6,'Вводные'!$E$88)),0)</x:f>
      </x:c>
      <x:c r="CQ20" s="117" t="n">
        <x:f>IF(AND(CQ$3&gt;=EDATE($B$7,-MIN(6,'Вводные'!$E$88)),CQ$3&lt;$B$7),$B$20/MAX(1,MIN(6,'Вводные'!$E$88)),0)</x:f>
      </x:c>
      <x:c r="CR20" s="117" t="n">
        <x:f>IF(AND(CR$3&gt;=EDATE($B$7,-MIN(6,'Вводные'!$E$88)),CR$3&lt;$B$7),$B$20/MAX(1,MIN(6,'Вводные'!$E$88)),0)</x:f>
      </x:c>
      <x:c r="CS20" s="117" t="n">
        <x:f>IF(AND(CS$3&gt;=EDATE($B$7,-MIN(6,'Вводные'!$E$88)),CS$3&lt;$B$7),$B$20/MAX(1,MIN(6,'Вводные'!$E$88)),0)</x:f>
      </x:c>
      <x:c r="CT20" s="117" t="n">
        <x:f>IF(AND(CT$3&gt;=EDATE($B$7,-MIN(6,'Вводные'!$E$88)),CT$3&lt;$B$7),$B$20/MAX(1,MIN(6,'Вводные'!$E$88)),0)</x:f>
      </x:c>
      <x:c r="CU20" s="117" t="n">
        <x:f>IF(AND(CU$3&gt;=EDATE($B$7,-MIN(6,'Вводные'!$E$88)),CU$3&lt;$B$7),$B$20/MAX(1,MIN(6,'Вводные'!$E$88)),0)</x:f>
      </x:c>
      <x:c r="CV20" s="117" t="n">
        <x:f>IF(AND(CV$3&gt;=EDATE($B$7,-MIN(6,'Вводные'!$E$88)),CV$3&lt;$B$7),$B$20/MAX(1,MIN(6,'Вводные'!$E$88)),0)</x:f>
      </x:c>
      <x:c r="CW20" s="117" t="n">
        <x:f>IF(AND(CW$3&gt;=EDATE($B$7,-MIN(6,'Вводные'!$E$88)),CW$3&lt;$B$7),$B$20/MAX(1,MIN(6,'Вводные'!$E$88)),0)</x:f>
      </x:c>
      <x:c r="CX20" s="117" t="n">
        <x:f>IF(AND(CX$3&gt;=EDATE($B$7,-MIN(6,'Вводные'!$E$88)),CX$3&lt;$B$7),$B$20/MAX(1,MIN(6,'Вводные'!$E$88)),0)</x:f>
      </x:c>
      <x:c r="CY20" s="117" t="n">
        <x:f>IF(AND(CY$3&gt;=EDATE($B$7,-MIN(6,'Вводные'!$E$88)),CY$3&lt;$B$7),$B$20/MAX(1,MIN(6,'Вводные'!$E$88)),0)</x:f>
      </x:c>
      <x:c r="CZ20" s="117" t="n">
        <x:f>IF(AND(CZ$3&gt;=EDATE($B$7,-MIN(6,'Вводные'!$E$88)),CZ$3&lt;$B$7),$B$20/MAX(1,MIN(6,'Вводные'!$E$88)),0)</x:f>
      </x:c>
      <x:c r="DA20" s="117" t="n">
        <x:f>IF(AND(DA$3&gt;=EDATE($B$7,-MIN(6,'Вводные'!$E$88)),DA$3&lt;$B$7),$B$20/MAX(1,MIN(6,'Вводные'!$E$88)),0)</x:f>
      </x:c>
      <x:c r="DB20" s="117" t="n">
        <x:f>IF(AND(DB$3&gt;=EDATE($B$7,-MIN(6,'Вводные'!$E$88)),DB$3&lt;$B$7),$B$20/MAX(1,MIN(6,'Вводные'!$E$88)),0)</x:f>
      </x:c>
      <x:c r="DC20" s="117" t="n">
        <x:f>IF(AND(DC$3&gt;=EDATE($B$7,-MIN(6,'Вводные'!$E$88)),DC$3&lt;$B$7),$B$20/MAX(1,MIN(6,'Вводные'!$E$88)),0)</x:f>
      </x:c>
      <x:c r="DD20" s="117" t="n">
        <x:f>IF(AND(DD$3&gt;=EDATE($B$7,-MIN(6,'Вводные'!$E$88)),DD$3&lt;$B$7),$B$20/MAX(1,MIN(6,'Вводные'!$E$88)),0)</x:f>
      </x:c>
      <x:c r="DE20" s="117" t="n">
        <x:f>IF(AND(DE$3&gt;=EDATE($B$7,-MIN(6,'Вводные'!$E$88)),DE$3&lt;$B$7),$B$20/MAX(1,MIN(6,'Вводные'!$E$88)),0)</x:f>
      </x:c>
      <x:c r="DF20" s="117" t="n">
        <x:f>IF(AND(DF$3&gt;=EDATE($B$7,-MIN(6,'Вводные'!$E$88)),DF$3&lt;$B$7),$B$20/MAX(1,MIN(6,'Вводные'!$E$88)),0)</x:f>
      </x:c>
      <x:c r="DG20" s="117" t="n">
        <x:f>IF(AND(DG$3&gt;=EDATE($B$7,-MIN(6,'Вводные'!$E$88)),DG$3&lt;$B$7),$B$20/MAX(1,MIN(6,'Вводные'!$E$88)),0)</x:f>
      </x:c>
      <x:c r="DH20" s="117" t="n">
        <x:f>IF(AND(DH$3&gt;=EDATE($B$7,-MIN(6,'Вводные'!$E$88)),DH$3&lt;$B$7),$B$20/MAX(1,MIN(6,'Вводные'!$E$88)),0)</x:f>
      </x:c>
      <x:c r="DI20" s="117" t="n">
        <x:f>IF(AND(DI$3&gt;=EDATE($B$7,-MIN(6,'Вводные'!$E$88)),DI$3&lt;$B$7),$B$20/MAX(1,MIN(6,'Вводные'!$E$88)),0)</x:f>
      </x:c>
      <x:c r="DJ20" s="117" t="n">
        <x:f>IF(AND(DJ$3&gt;=EDATE($B$7,-MIN(6,'Вводные'!$E$88)),DJ$3&lt;$B$7),$B$20/MAX(1,MIN(6,'Вводные'!$E$88)),0)</x:f>
      </x:c>
      <x:c r="DK20" s="117" t="n">
        <x:f>IF(AND(DK$3&gt;=EDATE($B$7,-MIN(6,'Вводные'!$E$88)),DK$3&lt;$B$7),$B$20/MAX(1,MIN(6,'Вводные'!$E$88)),0)</x:f>
      </x:c>
      <x:c r="DL20" s="117" t="n">
        <x:f>IF(AND(DL$3&gt;=EDATE($B$7,-MIN(6,'Вводные'!$E$88)),DL$3&lt;$B$7),$B$20/MAX(1,MIN(6,'Вводные'!$E$88)),0)</x:f>
      </x:c>
      <x:c r="DM20" s="117" t="n">
        <x:f>IF(AND(DM$3&gt;=EDATE($B$7,-MIN(6,'Вводные'!$E$88)),DM$3&lt;$B$7),$B$20/MAX(1,MIN(6,'Вводные'!$E$88)),0)</x:f>
      </x:c>
      <x:c r="DN20" s="117" t="n">
        <x:f>IF(AND(DN$3&gt;=EDATE($B$7,-MIN(6,'Вводные'!$E$88)),DN$3&lt;$B$7),$B$20/MAX(1,MIN(6,'Вводные'!$E$88)),0)</x:f>
      </x:c>
      <x:c r="DO20" s="117" t="n">
        <x:f>IF(AND(DO$3&gt;=EDATE($B$7,-MIN(6,'Вводные'!$E$88)),DO$3&lt;$B$7),$B$20/MAX(1,MIN(6,'Вводные'!$E$88)),0)</x:f>
      </x:c>
      <x:c r="DP20" s="117" t="n">
        <x:f>IF(AND(DP$3&gt;=EDATE($B$7,-MIN(6,'Вводные'!$E$88)),DP$3&lt;$B$7),$B$20/MAX(1,MIN(6,'Вводные'!$E$88)),0)</x:f>
      </x:c>
      <x:c r="DQ20" s="117" t="n">
        <x:f>IF(AND(DQ$3&gt;=EDATE($B$7,-MIN(6,'Вводные'!$E$88)),DQ$3&lt;$B$7),$B$20/MAX(1,MIN(6,'Вводные'!$E$88)),0)</x:f>
      </x:c>
      <x:c r="DR20" s="117" t="n">
        <x:f>IF(AND(DR$3&gt;=EDATE($B$7,-MIN(6,'Вводные'!$E$88)),DR$3&lt;$B$7),$B$20/MAX(1,MIN(6,'Вводные'!$E$88)),0)</x:f>
      </x:c>
      <x:c r="DS20" s="117" t="n">
        <x:f>IF(AND(DS$3&gt;=EDATE($B$7,-MIN(6,'Вводные'!$E$88)),DS$3&lt;$B$7),$B$20/MAX(1,MIN(6,'Вводные'!$E$88)),0)</x:f>
      </x:c>
      <x:c r="DT20" s="117" t="n">
        <x:f>IF(AND(DT$3&gt;=EDATE($B$7,-MIN(6,'Вводные'!$E$88)),DT$3&lt;$B$7),$B$20/MAX(1,MIN(6,'Вводные'!$E$88)),0)</x:f>
      </x:c>
      <x:c r="DU20" s="117" t="n">
        <x:f>IF(AND(DU$3&gt;=EDATE($B$7,-MIN(6,'Вводные'!$E$88)),DU$3&lt;$B$7),$B$20/MAX(1,MIN(6,'Вводные'!$E$88)),0)</x:f>
      </x:c>
      <x:c r="DV20" s="117" t="n">
        <x:f>IF(AND(DV$3&gt;=EDATE($B$7,-MIN(6,'Вводные'!$E$88)),DV$3&lt;$B$7),$B$20/MAX(1,MIN(6,'Вводные'!$E$88)),0)</x:f>
      </x:c>
      <x:c r="DW20" s="117" t="n">
        <x:f>IF(AND(DW$3&gt;=EDATE($B$7,-MIN(6,'Вводные'!$E$88)),DW$3&lt;$B$7),$B$20/MAX(1,MIN(6,'Вводные'!$E$88)),0)</x:f>
      </x:c>
      <x:c r="DX20" s="117" t="n">
        <x:f>IF(AND(DX$3&gt;=EDATE($B$7,-MIN(6,'Вводные'!$E$88)),DX$3&lt;$B$7),$B$20/MAX(1,MIN(6,'Вводные'!$E$88)),0)</x:f>
      </x:c>
      <x:c r="DY20" s="117" t="n">
        <x:f>IF(AND(DY$3&gt;=EDATE($B$7,-MIN(6,'Вводные'!$E$88)),DY$3&lt;$B$7),$B$20/MAX(1,MIN(6,'Вводные'!$E$88)),0)</x:f>
      </x:c>
      <x:c r="DZ20" s="117" t="n">
        <x:f>IF(AND(DZ$3&gt;=EDATE($B$7,-MIN(6,'Вводные'!$E$88)),DZ$3&lt;$B$7),$B$20/MAX(1,MIN(6,'Вводные'!$E$88)),0)</x:f>
      </x:c>
      <x:c r="EA20" s="117" t="n">
        <x:f>IF(AND(EA$3&gt;=EDATE($B$7,-MIN(6,'Вводные'!$E$88)),EA$3&lt;$B$7),$B$20/MAX(1,MIN(6,'Вводные'!$E$88)),0)</x:f>
      </x:c>
      <x:c r="EB20" s="117" t="n">
        <x:f>IF(AND(EB$3&gt;=EDATE($B$7,-MIN(6,'Вводные'!$E$88)),EB$3&lt;$B$7),$B$20/MAX(1,MIN(6,'Вводные'!$E$88)),0)</x:f>
      </x:c>
      <x:c r="EC20" s="117" t="n">
        <x:f>IF(AND(EC$3&gt;=EDATE($B$7,-MIN(6,'Вводные'!$E$88)),EC$3&lt;$B$7),$B$20/MAX(1,MIN(6,'Вводные'!$E$88)),0)</x:f>
      </x:c>
      <x:c r="ED20" s="117" t="n">
        <x:f>IF(AND(ED$3&gt;=EDATE($B$7,-MIN(6,'Вводные'!$E$88)),ED$3&lt;$B$7),$B$20/MAX(1,MIN(6,'Вводные'!$E$88)),0)</x:f>
      </x:c>
      <x:c r="EE20" s="117" t="n">
        <x:f>IF(AND(EE$3&gt;=EDATE($B$7,-MIN(6,'Вводные'!$E$88)),EE$3&lt;$B$7),$B$20/MAX(1,MIN(6,'Вводные'!$E$88)),0)</x:f>
      </x:c>
      <x:c r="EF20" s="117" t="n">
        <x:f>IF(AND(EF$3&gt;=EDATE($B$7,-MIN(6,'Вводные'!$E$88)),EF$3&lt;$B$7),$B$20/MAX(1,MIN(6,'Вводные'!$E$88)),0)</x:f>
      </x:c>
      <x:c r="EG20" s="117" t="n">
        <x:f>IF(AND(EG$3&gt;=EDATE($B$7,-MIN(6,'Вводные'!$E$88)),EG$3&lt;$B$7),$B$20/MAX(1,MIN(6,'Вводные'!$E$88)),0)</x:f>
      </x:c>
      <x:c r="EH20" s="117" t="n">
        <x:f>IF(AND(EH$3&gt;=EDATE($B$7,-MIN(6,'Вводные'!$E$88)),EH$3&lt;$B$7),$B$20/MAX(1,MIN(6,'Вводные'!$E$88)),0)</x:f>
      </x:c>
      <x:c r="EI20" s="117" t="n">
        <x:f>IF(AND(EI$3&gt;=EDATE($B$7,-MIN(6,'Вводные'!$E$88)),EI$3&lt;$B$7),$B$20/MAX(1,MIN(6,'Вводные'!$E$88)),0)</x:f>
      </x:c>
      <x:c r="EJ20" s="117" t="n">
        <x:f>IF(AND(EJ$3&gt;=EDATE($B$7,-MIN(6,'Вводные'!$E$88)),EJ$3&lt;$B$7),$B$20/MAX(1,MIN(6,'Вводные'!$E$88)),0)</x:f>
      </x:c>
      <x:c r="EK20" s="117" t="n">
        <x:f>IF(AND(EK$3&gt;=EDATE($B$7,-MIN(6,'Вводные'!$E$88)),EK$3&lt;$B$7),$B$20/MAX(1,MIN(6,'Вводные'!$E$88)),0)</x:f>
      </x:c>
      <x:c r="EL20" s="117" t="n">
        <x:f>IF(AND(EL$3&gt;=EDATE($B$7,-MIN(6,'Вводные'!$E$88)),EL$3&lt;$B$7),$B$20/MAX(1,MIN(6,'Вводные'!$E$88)),0)</x:f>
      </x:c>
      <x:c r="EM20" s="117" t="n">
        <x:f>IF(AND(EM$3&gt;=EDATE($B$7,-MIN(6,'Вводные'!$E$88)),EM$3&lt;$B$7),$B$20/MAX(1,MIN(6,'Вводные'!$E$88)),0)</x:f>
      </x:c>
      <x:c r="EN20" s="117" t="n">
        <x:f>IF(AND(EN$3&gt;=EDATE($B$7,-MIN(6,'Вводные'!$E$88)),EN$3&lt;$B$7),$B$20/MAX(1,MIN(6,'Вводные'!$E$88)),0)</x:f>
      </x:c>
      <x:c r="EO20" s="117" t="n">
        <x:f>IF(AND(EO$3&gt;=EDATE($B$7,-MIN(6,'Вводные'!$E$88)),EO$3&lt;$B$7),$B$20/MAX(1,MIN(6,'Вводные'!$E$88)),0)</x:f>
      </x:c>
      <x:c r="EP20" s="117" t="n">
        <x:f>IF(AND(EP$3&gt;=EDATE($B$7,-MIN(6,'Вводные'!$E$88)),EP$3&lt;$B$7),$B$20/MAX(1,MIN(6,'Вводные'!$E$88)),0)</x:f>
      </x:c>
      <x:c r="EQ20" s="117" t="n">
        <x:f>IF(AND(EQ$3&gt;=EDATE($B$7,-MIN(6,'Вводные'!$E$88)),EQ$3&lt;$B$7),$B$20/MAX(1,MIN(6,'Вводные'!$E$88)),0)</x:f>
      </x:c>
      <x:c r="ER20" s="117" t="n">
        <x:f>IF(AND(ER$3&gt;=EDATE($B$7,-MIN(6,'Вводные'!$E$88)),ER$3&lt;$B$7),$B$20/MAX(1,MIN(6,'Вводные'!$E$88)),0)</x:f>
      </x:c>
      <x:c r="ES20" s="117" t="n">
        <x:f>IF(AND(ES$3&gt;=EDATE($B$7,-MIN(6,'Вводные'!$E$88)),ES$3&lt;$B$7),$B$20/MAX(1,MIN(6,'Вводные'!$E$88)),0)</x:f>
      </x:c>
      <x:c r="ET20" s="117" t="n">
        <x:f>IF(AND(ET$3&gt;=EDATE($B$7,-MIN(6,'Вводные'!$E$88)),ET$3&lt;$B$7),$B$20/MAX(1,MIN(6,'Вводные'!$E$88)),0)</x:f>
      </x:c>
      <x:c r="EU20" s="117" t="n">
        <x:f>IF(AND(EU$3&gt;=EDATE($B$7,-MIN(6,'Вводные'!$E$88)),EU$3&lt;$B$7),$B$20/MAX(1,MIN(6,'Вводные'!$E$88)),0)</x:f>
      </x:c>
      <x:c r="EV20" s="117" t="n">
        <x:f>IF(AND(EV$3&gt;=EDATE($B$7,-MIN(6,'Вводные'!$E$88)),EV$3&lt;$B$7),$B$20/MAX(1,MIN(6,'Вводные'!$E$88)),0)</x:f>
      </x:c>
      <x:c r="EW20" s="117" t="n">
        <x:f>IF(AND(EW$3&gt;=EDATE($B$7,-MIN(6,'Вводные'!$E$88)),EW$3&lt;$B$7),$B$20/MAX(1,MIN(6,'Вводные'!$E$88)),0)</x:f>
      </x:c>
      <x:c r="EX20" s="117" t="n">
        <x:f>IF(AND(EX$3&gt;=EDATE($B$7,-MIN(6,'Вводные'!$E$88)),EX$3&lt;$B$7),$B$20/MAX(1,MIN(6,'Вводные'!$E$88)),0)</x:f>
      </x:c>
      <x:c r="EY20" s="117" t="n">
        <x:f>IF(AND(EY$3&gt;=EDATE($B$7,-MIN(6,'Вводные'!$E$88)),EY$3&lt;$B$7),$B$20/MAX(1,MIN(6,'Вводные'!$E$88)),0)</x:f>
      </x:c>
      <x:c r="EZ20" s="117" t="n">
        <x:f>IF(AND(EZ$3&gt;=EDATE($B$7,-MIN(6,'Вводные'!$E$88)),EZ$3&lt;$B$7),$B$20/MAX(1,MIN(6,'Вводные'!$E$88)),0)</x:f>
      </x:c>
      <x:c r="FA20" s="117" t="n">
        <x:f>IF(AND(FA$3&gt;=EDATE($B$7,-MIN(6,'Вводные'!$E$88)),FA$3&lt;$B$7),$B$20/MAX(1,MIN(6,'Вводные'!$E$88)),0)</x:f>
      </x:c>
      <x:c r="FB20" s="117" t="n">
        <x:f>IF(AND(FB$3&gt;=EDATE($B$7,-MIN(6,'Вводные'!$E$88)),FB$3&lt;$B$7),$B$20/MAX(1,MIN(6,'Вводные'!$E$88)),0)</x:f>
      </x:c>
      <x:c r="FC20" s="117" t="n">
        <x:f>IF(AND(FC$3&gt;=EDATE($B$7,-MIN(6,'Вводные'!$E$88)),FC$3&lt;$B$7),$B$20/MAX(1,MIN(6,'Вводные'!$E$88)),0)</x:f>
      </x:c>
      <x:c r="FD20" s="117" t="n">
        <x:f>IF(AND(FD$3&gt;=EDATE($B$7,-MIN(6,'Вводные'!$E$88)),FD$3&lt;$B$7),$B$20/MAX(1,MIN(6,'Вводные'!$E$88)),0)</x:f>
      </x:c>
      <x:c r="FE20" s="117" t="n">
        <x:f>IF(AND(FE$3&gt;=EDATE($B$7,-MIN(6,'Вводные'!$E$88)),FE$3&lt;$B$7),$B$20/MAX(1,MIN(6,'Вводные'!$E$88)),0)</x:f>
      </x:c>
      <x:c r="FF20" s="117" t="n">
        <x:f>IF(AND(FF$3&gt;=EDATE($B$7,-MIN(6,'Вводные'!$E$88)),FF$3&lt;$B$7),$B$20/MAX(1,MIN(6,'Вводные'!$E$88)),0)</x:f>
      </x:c>
      <x:c r="FG20" s="117" t="n">
        <x:f>IF(AND(FG$3&gt;=EDATE($B$7,-MIN(6,'Вводные'!$E$88)),FG$3&lt;$B$7),$B$20/MAX(1,MIN(6,'Вводные'!$E$88)),0)</x:f>
      </x:c>
      <x:c r="FH20" s="117" t="n">
        <x:f>IF(AND(FH$3&gt;=EDATE($B$7,-MIN(6,'Вводные'!$E$88)),FH$3&lt;$B$7),$B$20/MAX(1,MIN(6,'Вводные'!$E$88)),0)</x:f>
      </x:c>
      <x:c r="FI20" s="117" t="n">
        <x:f>IF(AND(FI$3&gt;=EDATE($B$7,-MIN(6,'Вводные'!$E$88)),FI$3&lt;$B$7),$B$20/MAX(1,MIN(6,'Вводные'!$E$88)),0)</x:f>
      </x:c>
      <x:c r="FJ20" s="117" t="n">
        <x:f>IF(AND(FJ$3&gt;=EDATE($B$7,-MIN(6,'Вводные'!$E$88)),FJ$3&lt;$B$7),$B$20/MAX(1,MIN(6,'Вводные'!$E$88)),0)</x:f>
      </x:c>
      <x:c r="FK20" s="117" t="n">
        <x:f>IF(AND(FK$3&gt;=EDATE($B$7,-MIN(6,'Вводные'!$E$88)),FK$3&lt;$B$7),$B$20/MAX(1,MIN(6,'Вводные'!$E$88)),0)</x:f>
      </x:c>
      <x:c r="FL20" s="117" t="n">
        <x:f>IF(AND(FL$3&gt;=EDATE($B$7,-MIN(6,'Вводные'!$E$88)),FL$3&lt;$B$7),$B$20/MAX(1,MIN(6,'Вводные'!$E$88)),0)</x:f>
      </x:c>
      <x:c r="FM20" s="117" t="n">
        <x:f>IF(AND(FM$3&gt;=EDATE($B$7,-MIN(6,'Вводные'!$E$88)),FM$3&lt;$B$7),$B$20/MAX(1,MIN(6,'Вводные'!$E$88)),0)</x:f>
      </x:c>
      <x:c r="FN20" s="117" t="n">
        <x:f>IF(AND(FN$3&gt;=EDATE($B$7,-MIN(6,'Вводные'!$E$88)),FN$3&lt;$B$7),$B$20/MAX(1,MIN(6,'Вводные'!$E$88)),0)</x:f>
      </x:c>
      <x:c r="FO20" s="117" t="n">
        <x:f>IF(AND(FO$3&gt;=EDATE($B$7,-MIN(6,'Вводные'!$E$88)),FO$3&lt;$B$7),$B$20/MAX(1,MIN(6,'Вводные'!$E$88)),0)</x:f>
      </x:c>
      <x:c r="FP20" s="117" t="n">
        <x:f>IF(AND(FP$3&gt;=EDATE($B$7,-MIN(6,'Вводные'!$E$88)),FP$3&lt;$B$7),$B$20/MAX(1,MIN(6,'Вводные'!$E$88)),0)</x:f>
      </x:c>
      <x:c r="FQ20" s="117" t="n">
        <x:f>IF(AND(FQ$3&gt;=EDATE($B$7,-MIN(6,'Вводные'!$E$88)),FQ$3&lt;$B$7),$B$20/MAX(1,MIN(6,'Вводные'!$E$88)),0)</x:f>
      </x:c>
      <x:c r="FR20" s="117" t="n">
        <x:f>IF(AND(FR$3&gt;=EDATE($B$7,-MIN(6,'Вводные'!$E$88)),FR$3&lt;$B$7),$B$20/MAX(1,MIN(6,'Вводные'!$E$88)),0)</x:f>
      </x:c>
      <x:c r="FS20" s="117" t="n">
        <x:f>IF(AND(FS$3&gt;=EDATE($B$7,-MIN(6,'Вводные'!$E$88)),FS$3&lt;$B$7),$B$20/MAX(1,MIN(6,'Вводные'!$E$88)),0)</x:f>
      </x:c>
      <x:c r="FT20" s="117" t="n">
        <x:f>IF(AND(FT$3&gt;=EDATE($B$7,-MIN(6,'Вводные'!$E$88)),FT$3&lt;$B$7),$B$20/MAX(1,MIN(6,'Вводные'!$E$88)),0)</x:f>
      </x:c>
      <x:c r="FU20" s="117" t="n">
        <x:f>IF(AND(FU$3&gt;=EDATE($B$7,-MIN(6,'Вводные'!$E$88)),FU$3&lt;$B$7),$B$20/MAX(1,MIN(6,'Вводные'!$E$88)),0)</x:f>
      </x:c>
      <x:c r="FV20" s="117" t="n">
        <x:f>IF(AND(FV$3&gt;=EDATE($B$7,-MIN(6,'Вводные'!$E$88)),FV$3&lt;$B$7),$B$20/MAX(1,MIN(6,'Вводные'!$E$88)),0)</x:f>
      </x:c>
      <x:c r="FW20" s="117" t="n">
        <x:f>IF(AND(FW$3&gt;=EDATE($B$7,-MIN(6,'Вводные'!$E$88)),FW$3&lt;$B$7),$B$20/MAX(1,MIN(6,'Вводные'!$E$88)),0)</x:f>
      </x:c>
      <x:c r="FX20" s="117" t="n">
        <x:f>IF(AND(FX$3&gt;=EDATE($B$7,-MIN(6,'Вводные'!$E$88)),FX$3&lt;$B$7),$B$20/MAX(1,MIN(6,'Вводные'!$E$88)),0)</x:f>
      </x:c>
      <x:c r="FY20" s="117" t="n">
        <x:f>IF(AND(FY$3&gt;=EDATE($B$7,-MIN(6,'Вводные'!$E$88)),FY$3&lt;$B$7),$B$20/MAX(1,MIN(6,'Вводные'!$E$88)),0)</x:f>
      </x:c>
      <x:c r="FZ20" s="117" t="n">
        <x:f>IF(AND(FZ$3&gt;=EDATE($B$7,-MIN(6,'Вводные'!$E$88)),FZ$3&lt;$B$7),$B$20/MAX(1,MIN(6,'Вводные'!$E$88)),0)</x:f>
      </x:c>
      <x:c r="GA20" s="117" t="n">
        <x:f>IF(AND(GA$3&gt;=EDATE($B$7,-MIN(6,'Вводные'!$E$88)),GA$3&lt;$B$7),$B$20/MAX(1,MIN(6,'Вводные'!$E$88)),0)</x:f>
      </x:c>
    </x:row>
    <x:row r="21">
      <x:c r="A21" t="str">
        <x:v>Основное строительство — наземная часть</x:v>
      </x:c>
      <x:c r="B21" s="107" t="n">
        <x:f>(('Вводные'!$I$88+'Вводные'!$J$88)*'Вводные'!$B$44/1000*'Вводные'!$H$6*'Вводные'!$T$88*--('Вводные'!$B$88="Да"))*'Вводные'!$AH$88</x:f>
      </x:c>
      <x:c r="C21" t="str">
        <x:v>млн ₽</x:v>
      </x:c>
      <x:c r="D21" s="117" t="n">
        <x:f>$B$21*D13</x:f>
      </x:c>
      <x:c r="E21" s="117" t="n">
        <x:f>$B$21*E13</x:f>
      </x:c>
      <x:c r="F21" s="117" t="n">
        <x:f>$B$21*F13</x:f>
      </x:c>
      <x:c r="G21" s="117" t="n">
        <x:f>$B$21*G13</x:f>
      </x:c>
      <x:c r="H21" s="117" t="n">
        <x:f>$B$21*H13</x:f>
      </x:c>
      <x:c r="I21" s="117" t="n">
        <x:f>$B$21*I13</x:f>
      </x:c>
      <x:c r="J21" s="117" t="n">
        <x:f>$B$21*J13</x:f>
      </x:c>
      <x:c r="K21" s="117" t="n">
        <x:f>$B$21*K13</x:f>
      </x:c>
      <x:c r="L21" s="117" t="n">
        <x:f>$B$21*L13</x:f>
      </x:c>
      <x:c r="M21" s="117" t="n">
        <x:f>$B$21*M13</x:f>
      </x:c>
      <x:c r="N21" s="117" t="n">
        <x:f>$B$21*N13</x:f>
      </x:c>
      <x:c r="O21" s="117" t="n">
        <x:f>$B$21*O13</x:f>
      </x:c>
      <x:c r="P21" s="117" t="n">
        <x:f>$B$21*P13</x:f>
      </x:c>
      <x:c r="Q21" s="117" t="n">
        <x:f>$B$21*Q13</x:f>
      </x:c>
      <x:c r="R21" s="117" t="n">
        <x:f>$B$21*R13</x:f>
      </x:c>
      <x:c r="S21" s="117" t="n">
        <x:f>$B$21*S13</x:f>
      </x:c>
      <x:c r="T21" s="117" t="n">
        <x:f>$B$21*T13</x:f>
      </x:c>
      <x:c r="U21" s="117" t="n">
        <x:f>$B$21*U13</x:f>
      </x:c>
      <x:c r="V21" s="117" t="n">
        <x:f>$B$21*V13</x:f>
      </x:c>
      <x:c r="W21" s="117" t="n">
        <x:f>$B$21*W13</x:f>
      </x:c>
      <x:c r="X21" s="117" t="n">
        <x:f>$B$21*X13</x:f>
      </x:c>
      <x:c r="Y21" s="117" t="n">
        <x:f>$B$21*Y13</x:f>
      </x:c>
      <x:c r="Z21" s="117" t="n">
        <x:f>$B$21*Z13</x:f>
      </x:c>
      <x:c r="AA21" s="117" t="n">
        <x:f>$B$21*AA13</x:f>
      </x:c>
      <x:c r="AB21" s="117" t="n">
        <x:f>$B$21*AB13</x:f>
      </x:c>
      <x:c r="AC21" s="117" t="n">
        <x:f>$B$21*AC13</x:f>
      </x:c>
      <x:c r="AD21" s="117" t="n">
        <x:f>$B$21*AD13</x:f>
      </x:c>
      <x:c r="AE21" s="117" t="n">
        <x:f>$B$21*AE13</x:f>
      </x:c>
      <x:c r="AF21" s="117" t="n">
        <x:f>$B$21*AF13</x:f>
      </x:c>
      <x:c r="AG21" s="117" t="n">
        <x:f>$B$21*AG13</x:f>
      </x:c>
      <x:c r="AH21" s="117" t="n">
        <x:f>$B$21*AH13</x:f>
      </x:c>
      <x:c r="AI21" s="117" t="n">
        <x:f>$B$21*AI13</x:f>
      </x:c>
      <x:c r="AJ21" s="117" t="n">
        <x:f>$B$21*AJ13</x:f>
      </x:c>
      <x:c r="AK21" s="117" t="n">
        <x:f>$B$21*AK13</x:f>
      </x:c>
      <x:c r="AL21" s="117" t="n">
        <x:f>$B$21*AL13</x:f>
      </x:c>
      <x:c r="AM21" s="117" t="n">
        <x:f>$B$21*AM13</x:f>
      </x:c>
      <x:c r="AN21" s="117" t="n">
        <x:f>$B$21*AN13</x:f>
      </x:c>
      <x:c r="AO21" s="117" t="n">
        <x:f>$B$21*AO13</x:f>
      </x:c>
      <x:c r="AP21" s="117" t="n">
        <x:f>$B$21*AP13</x:f>
      </x:c>
      <x:c r="AQ21" s="117" t="n">
        <x:f>$B$21*AQ13</x:f>
      </x:c>
      <x:c r="AR21" s="117" t="n">
        <x:f>$B$21*AR13</x:f>
      </x:c>
      <x:c r="AS21" s="117" t="n">
        <x:f>$B$21*AS13</x:f>
      </x:c>
      <x:c r="AT21" s="117" t="n">
        <x:f>$B$21*AT13</x:f>
      </x:c>
      <x:c r="AU21" s="117" t="n">
        <x:f>$B$21*AU13</x:f>
      </x:c>
      <x:c r="AV21" s="117" t="n">
        <x:f>$B$21*AV13</x:f>
      </x:c>
      <x:c r="AW21" s="117" t="n">
        <x:f>$B$21*AW13</x:f>
      </x:c>
      <x:c r="AX21" s="117" t="n">
        <x:f>$B$21*AX13</x:f>
      </x:c>
      <x:c r="AY21" s="117" t="n">
        <x:f>$B$21*AY13</x:f>
      </x:c>
      <x:c r="AZ21" s="117" t="n">
        <x:f>$B$21*AZ13</x:f>
      </x:c>
      <x:c r="BA21" s="117" t="n">
        <x:f>$B$21*BA13</x:f>
      </x:c>
      <x:c r="BB21" s="117" t="n">
        <x:f>$B$21*BB13</x:f>
      </x:c>
      <x:c r="BC21" s="117" t="n">
        <x:f>$B$21*BC13</x:f>
      </x:c>
      <x:c r="BD21" s="117" t="n">
        <x:f>$B$21*BD13</x:f>
      </x:c>
      <x:c r="BE21" s="117" t="n">
        <x:f>$B$21*BE13</x:f>
      </x:c>
      <x:c r="BF21" s="117" t="n">
        <x:f>$B$21*BF13</x:f>
      </x:c>
      <x:c r="BG21" s="117" t="n">
        <x:f>$B$21*BG13</x:f>
      </x:c>
      <x:c r="BH21" s="117" t="n">
        <x:f>$B$21*BH13</x:f>
      </x:c>
      <x:c r="BI21" s="117" t="n">
        <x:f>$B$21*BI13</x:f>
      </x:c>
      <x:c r="BJ21" s="117" t="n">
        <x:f>$B$21*BJ13</x:f>
      </x:c>
      <x:c r="BK21" s="117" t="n">
        <x:f>$B$21*BK13</x:f>
      </x:c>
      <x:c r="BL21" s="117" t="n">
        <x:f>$B$21*BL13</x:f>
      </x:c>
      <x:c r="BM21" s="117" t="n">
        <x:f>$B$21*BM13</x:f>
      </x:c>
      <x:c r="BN21" s="117" t="n">
        <x:f>$B$21*BN13</x:f>
      </x:c>
      <x:c r="BO21" s="117" t="n">
        <x:f>$B$21*BO13</x:f>
      </x:c>
      <x:c r="BP21" s="117" t="n">
        <x:f>$B$21*BP13</x:f>
      </x:c>
      <x:c r="BQ21" s="117" t="n">
        <x:f>$B$21*BQ13</x:f>
      </x:c>
      <x:c r="BR21" s="117" t="n">
        <x:f>$B$21*BR13</x:f>
      </x:c>
      <x:c r="BS21" s="117" t="n">
        <x:f>$B$21*BS13</x:f>
      </x:c>
      <x:c r="BT21" s="117" t="n">
        <x:f>$B$21*BT13</x:f>
      </x:c>
      <x:c r="BU21" s="117" t="n">
        <x:f>$B$21*BU13</x:f>
      </x:c>
      <x:c r="BV21" s="117" t="n">
        <x:f>$B$21*BV13</x:f>
      </x:c>
      <x:c r="BW21" s="117" t="n">
        <x:f>$B$21*BW13</x:f>
      </x:c>
      <x:c r="BX21" s="117" t="n">
        <x:f>$B$21*BX13</x:f>
      </x:c>
      <x:c r="BY21" s="117" t="n">
        <x:f>$B$21*BY13</x:f>
      </x:c>
      <x:c r="BZ21" s="117" t="n">
        <x:f>$B$21*BZ13</x:f>
      </x:c>
      <x:c r="CA21" s="117" t="n">
        <x:f>$B$21*CA13</x:f>
      </x:c>
      <x:c r="CB21" s="117" t="n">
        <x:f>$B$21*CB13</x:f>
      </x:c>
      <x:c r="CC21" s="117" t="n">
        <x:f>$B$21*CC13</x:f>
      </x:c>
      <x:c r="CD21" s="117" t="n">
        <x:f>$B$21*CD13</x:f>
      </x:c>
      <x:c r="CE21" s="117" t="n">
        <x:f>$B$21*CE13</x:f>
      </x:c>
      <x:c r="CF21" s="117" t="n">
        <x:f>$B$21*CF13</x:f>
      </x:c>
      <x:c r="CG21" s="117" t="n">
        <x:f>$B$21*CG13</x:f>
      </x:c>
      <x:c r="CH21" s="117" t="n">
        <x:f>$B$21*CH13</x:f>
      </x:c>
      <x:c r="CI21" s="117" t="n">
        <x:f>$B$21*CI13</x:f>
      </x:c>
      <x:c r="CJ21" s="117" t="n">
        <x:f>$B$21*CJ13</x:f>
      </x:c>
      <x:c r="CK21" s="117" t="n">
        <x:f>$B$21*CK13</x:f>
      </x:c>
      <x:c r="CL21" s="117" t="n">
        <x:f>$B$21*CL13</x:f>
      </x:c>
      <x:c r="CM21" s="117" t="n">
        <x:f>$B$21*CM13</x:f>
      </x:c>
      <x:c r="CN21" s="117" t="n">
        <x:f>$B$21*CN13</x:f>
      </x:c>
      <x:c r="CO21" s="117" t="n">
        <x:f>$B$21*CO13</x:f>
      </x:c>
      <x:c r="CP21" s="117" t="n">
        <x:f>$B$21*CP13</x:f>
      </x:c>
      <x:c r="CQ21" s="117" t="n">
        <x:f>$B$21*CQ13</x:f>
      </x:c>
      <x:c r="CR21" s="117" t="n">
        <x:f>$B$21*CR13</x:f>
      </x:c>
      <x:c r="CS21" s="117" t="n">
        <x:f>$B$21*CS13</x:f>
      </x:c>
      <x:c r="CT21" s="117" t="n">
        <x:f>$B$21*CT13</x:f>
      </x:c>
      <x:c r="CU21" s="117" t="n">
        <x:f>$B$21*CU13</x:f>
      </x:c>
      <x:c r="CV21" s="117" t="n">
        <x:f>$B$21*CV13</x:f>
      </x:c>
      <x:c r="CW21" s="117" t="n">
        <x:f>$B$21*CW13</x:f>
      </x:c>
      <x:c r="CX21" s="117" t="n">
        <x:f>$B$21*CX13</x:f>
      </x:c>
      <x:c r="CY21" s="117" t="n">
        <x:f>$B$21*CY13</x:f>
      </x:c>
      <x:c r="CZ21" s="117" t="n">
        <x:f>$B$21*CZ13</x:f>
      </x:c>
      <x:c r="DA21" s="117" t="n">
        <x:f>$B$21*DA13</x:f>
      </x:c>
      <x:c r="DB21" s="117" t="n">
        <x:f>$B$21*DB13</x:f>
      </x:c>
      <x:c r="DC21" s="117" t="n">
        <x:f>$B$21*DC13</x:f>
      </x:c>
      <x:c r="DD21" s="117" t="n">
        <x:f>$B$21*DD13</x:f>
      </x:c>
      <x:c r="DE21" s="117" t="n">
        <x:f>$B$21*DE13</x:f>
      </x:c>
      <x:c r="DF21" s="117" t="n">
        <x:f>$B$21*DF13</x:f>
      </x:c>
      <x:c r="DG21" s="117" t="n">
        <x:f>$B$21*DG13</x:f>
      </x:c>
      <x:c r="DH21" s="117" t="n">
        <x:f>$B$21*DH13</x:f>
      </x:c>
      <x:c r="DI21" s="117" t="n">
        <x:f>$B$21*DI13</x:f>
      </x:c>
      <x:c r="DJ21" s="117" t="n">
        <x:f>$B$21*DJ13</x:f>
      </x:c>
      <x:c r="DK21" s="117" t="n">
        <x:f>$B$21*DK13</x:f>
      </x:c>
      <x:c r="DL21" s="117" t="n">
        <x:f>$B$21*DL13</x:f>
      </x:c>
      <x:c r="DM21" s="117" t="n">
        <x:f>$B$21*DM13</x:f>
      </x:c>
      <x:c r="DN21" s="117" t="n">
        <x:f>$B$21*DN13</x:f>
      </x:c>
      <x:c r="DO21" s="117" t="n">
        <x:f>$B$21*DO13</x:f>
      </x:c>
      <x:c r="DP21" s="117" t="n">
        <x:f>$B$21*DP13</x:f>
      </x:c>
      <x:c r="DQ21" s="117" t="n">
        <x:f>$B$21*DQ13</x:f>
      </x:c>
      <x:c r="DR21" s="117" t="n">
        <x:f>$B$21*DR13</x:f>
      </x:c>
      <x:c r="DS21" s="117" t="n">
        <x:f>$B$21*DS13</x:f>
      </x:c>
      <x:c r="DT21" s="117" t="n">
        <x:f>$B$21*DT13</x:f>
      </x:c>
      <x:c r="DU21" s="117" t="n">
        <x:f>$B$21*DU13</x:f>
      </x:c>
      <x:c r="DV21" s="117" t="n">
        <x:f>$B$21*DV13</x:f>
      </x:c>
      <x:c r="DW21" s="117" t="n">
        <x:f>$B$21*DW13</x:f>
      </x:c>
      <x:c r="DX21" s="117" t="n">
        <x:f>$B$21*DX13</x:f>
      </x:c>
      <x:c r="DY21" s="117" t="n">
        <x:f>$B$21*DY13</x:f>
      </x:c>
      <x:c r="DZ21" s="117" t="n">
        <x:f>$B$21*DZ13</x:f>
      </x:c>
      <x:c r="EA21" s="117" t="n">
        <x:f>$B$21*EA13</x:f>
      </x:c>
      <x:c r="EB21" s="117" t="n">
        <x:f>$B$21*EB13</x:f>
      </x:c>
      <x:c r="EC21" s="117" t="n">
        <x:f>$B$21*EC13</x:f>
      </x:c>
      <x:c r="ED21" s="117" t="n">
        <x:f>$B$21*ED13</x:f>
      </x:c>
      <x:c r="EE21" s="117" t="n">
        <x:f>$B$21*EE13</x:f>
      </x:c>
      <x:c r="EF21" s="117" t="n">
        <x:f>$B$21*EF13</x:f>
      </x:c>
      <x:c r="EG21" s="117" t="n">
        <x:f>$B$21*EG13</x:f>
      </x:c>
      <x:c r="EH21" s="117" t="n">
        <x:f>$B$21*EH13</x:f>
      </x:c>
      <x:c r="EI21" s="117" t="n">
        <x:f>$B$21*EI13</x:f>
      </x:c>
      <x:c r="EJ21" s="117" t="n">
        <x:f>$B$21*EJ13</x:f>
      </x:c>
      <x:c r="EK21" s="117" t="n">
        <x:f>$B$21*EK13</x:f>
      </x:c>
      <x:c r="EL21" s="117" t="n">
        <x:f>$B$21*EL13</x:f>
      </x:c>
      <x:c r="EM21" s="117" t="n">
        <x:f>$B$21*EM13</x:f>
      </x:c>
      <x:c r="EN21" s="117" t="n">
        <x:f>$B$21*EN13</x:f>
      </x:c>
      <x:c r="EO21" s="117" t="n">
        <x:f>$B$21*EO13</x:f>
      </x:c>
      <x:c r="EP21" s="117" t="n">
        <x:f>$B$21*EP13</x:f>
      </x:c>
      <x:c r="EQ21" s="117" t="n">
        <x:f>$B$21*EQ13</x:f>
      </x:c>
      <x:c r="ER21" s="117" t="n">
        <x:f>$B$21*ER13</x:f>
      </x:c>
      <x:c r="ES21" s="117" t="n">
        <x:f>$B$21*ES13</x:f>
      </x:c>
      <x:c r="ET21" s="117" t="n">
        <x:f>$B$21*ET13</x:f>
      </x:c>
      <x:c r="EU21" s="117" t="n">
        <x:f>$B$21*EU13</x:f>
      </x:c>
      <x:c r="EV21" s="117" t="n">
        <x:f>$B$21*EV13</x:f>
      </x:c>
      <x:c r="EW21" s="117" t="n">
        <x:f>$B$21*EW13</x:f>
      </x:c>
      <x:c r="EX21" s="117" t="n">
        <x:f>$B$21*EX13</x:f>
      </x:c>
      <x:c r="EY21" s="117" t="n">
        <x:f>$B$21*EY13</x:f>
      </x:c>
      <x:c r="EZ21" s="117" t="n">
        <x:f>$B$21*EZ13</x:f>
      </x:c>
      <x:c r="FA21" s="117" t="n">
        <x:f>$B$21*FA13</x:f>
      </x:c>
      <x:c r="FB21" s="117" t="n">
        <x:f>$B$21*FB13</x:f>
      </x:c>
      <x:c r="FC21" s="117" t="n">
        <x:f>$B$21*FC13</x:f>
      </x:c>
      <x:c r="FD21" s="117" t="n">
        <x:f>$B$21*FD13</x:f>
      </x:c>
      <x:c r="FE21" s="117" t="n">
        <x:f>$B$21*FE13</x:f>
      </x:c>
      <x:c r="FF21" s="117" t="n">
        <x:f>$B$21*FF13</x:f>
      </x:c>
      <x:c r="FG21" s="117" t="n">
        <x:f>$B$21*FG13</x:f>
      </x:c>
      <x:c r="FH21" s="117" t="n">
        <x:f>$B$21*FH13</x:f>
      </x:c>
      <x:c r="FI21" s="117" t="n">
        <x:f>$B$21*FI13</x:f>
      </x:c>
      <x:c r="FJ21" s="117" t="n">
        <x:f>$B$21*FJ13</x:f>
      </x:c>
      <x:c r="FK21" s="117" t="n">
        <x:f>$B$21*FK13</x:f>
      </x:c>
      <x:c r="FL21" s="117" t="n">
        <x:f>$B$21*FL13</x:f>
      </x:c>
      <x:c r="FM21" s="117" t="n">
        <x:f>$B$21*FM13</x:f>
      </x:c>
      <x:c r="FN21" s="117" t="n">
        <x:f>$B$21*FN13</x:f>
      </x:c>
      <x:c r="FO21" s="117" t="n">
        <x:f>$B$21*FO13</x:f>
      </x:c>
      <x:c r="FP21" s="117" t="n">
        <x:f>$B$21*FP13</x:f>
      </x:c>
      <x:c r="FQ21" s="117" t="n">
        <x:f>$B$21*FQ13</x:f>
      </x:c>
      <x:c r="FR21" s="117" t="n">
        <x:f>$B$21*FR13</x:f>
      </x:c>
      <x:c r="FS21" s="117" t="n">
        <x:f>$B$21*FS13</x:f>
      </x:c>
      <x:c r="FT21" s="117" t="n">
        <x:f>$B$21*FT13</x:f>
      </x:c>
      <x:c r="FU21" s="117" t="n">
        <x:f>$B$21*FU13</x:f>
      </x:c>
      <x:c r="FV21" s="117" t="n">
        <x:f>$B$21*FV13</x:f>
      </x:c>
      <x:c r="FW21" s="117" t="n">
        <x:f>$B$21*FW13</x:f>
      </x:c>
      <x:c r="FX21" s="117" t="n">
        <x:f>$B$21*FX13</x:f>
      </x:c>
      <x:c r="FY21" s="117" t="n">
        <x:f>$B$21*FY13</x:f>
      </x:c>
      <x:c r="FZ21" s="117" t="n">
        <x:f>$B$21*FZ13</x:f>
      </x:c>
      <x:c r="GA21" s="117" t="n">
        <x:f>$B$21*GA13</x:f>
      </x:c>
    </x:row>
    <x:row r="22">
      <x:c r="A22" t="str">
        <x:v>Основное строительство — подземная часть</x:v>
      </x:c>
      <x:c r="B22" s="107" t="n">
        <x:f>('Вводные'!$K$88*'Вводные'!$B$45/1000*'Вводные'!$H$6*'Вводные'!$T$88*--('Вводные'!$B$88="Да"))*'Вводные'!$AH$88</x:f>
      </x:c>
      <x:c r="C22" t="str">
        <x:v>млн ₽</x:v>
      </x:c>
      <x:c r="D22" s="117" t="n">
        <x:f>$B$22*D13</x:f>
      </x:c>
      <x:c r="E22" s="117" t="n">
        <x:f>$B$22*E13</x:f>
      </x:c>
      <x:c r="F22" s="117" t="n">
        <x:f>$B$22*F13</x:f>
      </x:c>
      <x:c r="G22" s="117" t="n">
        <x:f>$B$22*G13</x:f>
      </x:c>
      <x:c r="H22" s="117" t="n">
        <x:f>$B$22*H13</x:f>
      </x:c>
      <x:c r="I22" s="117" t="n">
        <x:f>$B$22*I13</x:f>
      </x:c>
      <x:c r="J22" s="117" t="n">
        <x:f>$B$22*J13</x:f>
      </x:c>
      <x:c r="K22" s="117" t="n">
        <x:f>$B$22*K13</x:f>
      </x:c>
      <x:c r="L22" s="117" t="n">
        <x:f>$B$22*L13</x:f>
      </x:c>
      <x:c r="M22" s="117" t="n">
        <x:f>$B$22*M13</x:f>
      </x:c>
      <x:c r="N22" s="117" t="n">
        <x:f>$B$22*N13</x:f>
      </x:c>
      <x:c r="O22" s="117" t="n">
        <x:f>$B$22*O13</x:f>
      </x:c>
      <x:c r="P22" s="117" t="n">
        <x:f>$B$22*P13</x:f>
      </x:c>
      <x:c r="Q22" s="117" t="n">
        <x:f>$B$22*Q13</x:f>
      </x:c>
      <x:c r="R22" s="117" t="n">
        <x:f>$B$22*R13</x:f>
      </x:c>
      <x:c r="S22" s="117" t="n">
        <x:f>$B$22*S13</x:f>
      </x:c>
      <x:c r="T22" s="117" t="n">
        <x:f>$B$22*T13</x:f>
      </x:c>
      <x:c r="U22" s="117" t="n">
        <x:f>$B$22*U13</x:f>
      </x:c>
      <x:c r="V22" s="117" t="n">
        <x:f>$B$22*V13</x:f>
      </x:c>
      <x:c r="W22" s="117" t="n">
        <x:f>$B$22*W13</x:f>
      </x:c>
      <x:c r="X22" s="117" t="n">
        <x:f>$B$22*X13</x:f>
      </x:c>
      <x:c r="Y22" s="117" t="n">
        <x:f>$B$22*Y13</x:f>
      </x:c>
      <x:c r="Z22" s="117" t="n">
        <x:f>$B$22*Z13</x:f>
      </x:c>
      <x:c r="AA22" s="117" t="n">
        <x:f>$B$22*AA13</x:f>
      </x:c>
      <x:c r="AB22" s="117" t="n">
        <x:f>$B$22*AB13</x:f>
      </x:c>
      <x:c r="AC22" s="117" t="n">
        <x:f>$B$22*AC13</x:f>
      </x:c>
      <x:c r="AD22" s="117" t="n">
        <x:f>$B$22*AD13</x:f>
      </x:c>
      <x:c r="AE22" s="117" t="n">
        <x:f>$B$22*AE13</x:f>
      </x:c>
      <x:c r="AF22" s="117" t="n">
        <x:f>$B$22*AF13</x:f>
      </x:c>
      <x:c r="AG22" s="117" t="n">
        <x:f>$B$22*AG13</x:f>
      </x:c>
      <x:c r="AH22" s="117" t="n">
        <x:f>$B$22*AH13</x:f>
      </x:c>
      <x:c r="AI22" s="117" t="n">
        <x:f>$B$22*AI13</x:f>
      </x:c>
      <x:c r="AJ22" s="117" t="n">
        <x:f>$B$22*AJ13</x:f>
      </x:c>
      <x:c r="AK22" s="117" t="n">
        <x:f>$B$22*AK13</x:f>
      </x:c>
      <x:c r="AL22" s="117" t="n">
        <x:f>$B$22*AL13</x:f>
      </x:c>
      <x:c r="AM22" s="117" t="n">
        <x:f>$B$22*AM13</x:f>
      </x:c>
      <x:c r="AN22" s="117" t="n">
        <x:f>$B$22*AN13</x:f>
      </x:c>
      <x:c r="AO22" s="117" t="n">
        <x:f>$B$22*AO13</x:f>
      </x:c>
      <x:c r="AP22" s="117" t="n">
        <x:f>$B$22*AP13</x:f>
      </x:c>
      <x:c r="AQ22" s="117" t="n">
        <x:f>$B$22*AQ13</x:f>
      </x:c>
      <x:c r="AR22" s="117" t="n">
        <x:f>$B$22*AR13</x:f>
      </x:c>
      <x:c r="AS22" s="117" t="n">
        <x:f>$B$22*AS13</x:f>
      </x:c>
      <x:c r="AT22" s="117" t="n">
        <x:f>$B$22*AT13</x:f>
      </x:c>
      <x:c r="AU22" s="117" t="n">
        <x:f>$B$22*AU13</x:f>
      </x:c>
      <x:c r="AV22" s="117" t="n">
        <x:f>$B$22*AV13</x:f>
      </x:c>
      <x:c r="AW22" s="117" t="n">
        <x:f>$B$22*AW13</x:f>
      </x:c>
      <x:c r="AX22" s="117" t="n">
        <x:f>$B$22*AX13</x:f>
      </x:c>
      <x:c r="AY22" s="117" t="n">
        <x:f>$B$22*AY13</x:f>
      </x:c>
      <x:c r="AZ22" s="117" t="n">
        <x:f>$B$22*AZ13</x:f>
      </x:c>
      <x:c r="BA22" s="117" t="n">
        <x:f>$B$22*BA13</x:f>
      </x:c>
      <x:c r="BB22" s="117" t="n">
        <x:f>$B$22*BB13</x:f>
      </x:c>
      <x:c r="BC22" s="117" t="n">
        <x:f>$B$22*BC13</x:f>
      </x:c>
      <x:c r="BD22" s="117" t="n">
        <x:f>$B$22*BD13</x:f>
      </x:c>
      <x:c r="BE22" s="117" t="n">
        <x:f>$B$22*BE13</x:f>
      </x:c>
      <x:c r="BF22" s="117" t="n">
        <x:f>$B$22*BF13</x:f>
      </x:c>
      <x:c r="BG22" s="117" t="n">
        <x:f>$B$22*BG13</x:f>
      </x:c>
      <x:c r="BH22" s="117" t="n">
        <x:f>$B$22*BH13</x:f>
      </x:c>
      <x:c r="BI22" s="117" t="n">
        <x:f>$B$22*BI13</x:f>
      </x:c>
      <x:c r="BJ22" s="117" t="n">
        <x:f>$B$22*BJ13</x:f>
      </x:c>
      <x:c r="BK22" s="117" t="n">
        <x:f>$B$22*BK13</x:f>
      </x:c>
      <x:c r="BL22" s="117" t="n">
        <x:f>$B$22*BL13</x:f>
      </x:c>
      <x:c r="BM22" s="117" t="n">
        <x:f>$B$22*BM13</x:f>
      </x:c>
      <x:c r="BN22" s="117" t="n">
        <x:f>$B$22*BN13</x:f>
      </x:c>
      <x:c r="BO22" s="117" t="n">
        <x:f>$B$22*BO13</x:f>
      </x:c>
      <x:c r="BP22" s="117" t="n">
        <x:f>$B$22*BP13</x:f>
      </x:c>
      <x:c r="BQ22" s="117" t="n">
        <x:f>$B$22*BQ13</x:f>
      </x:c>
      <x:c r="BR22" s="117" t="n">
        <x:f>$B$22*BR13</x:f>
      </x:c>
      <x:c r="BS22" s="117" t="n">
        <x:f>$B$22*BS13</x:f>
      </x:c>
      <x:c r="BT22" s="117" t="n">
        <x:f>$B$22*BT13</x:f>
      </x:c>
      <x:c r="BU22" s="117" t="n">
        <x:f>$B$22*BU13</x:f>
      </x:c>
      <x:c r="BV22" s="117" t="n">
        <x:f>$B$22*BV13</x:f>
      </x:c>
      <x:c r="BW22" s="117" t="n">
        <x:f>$B$22*BW13</x:f>
      </x:c>
      <x:c r="BX22" s="117" t="n">
        <x:f>$B$22*BX13</x:f>
      </x:c>
      <x:c r="BY22" s="117" t="n">
        <x:f>$B$22*BY13</x:f>
      </x:c>
      <x:c r="BZ22" s="117" t="n">
        <x:f>$B$22*BZ13</x:f>
      </x:c>
      <x:c r="CA22" s="117" t="n">
        <x:f>$B$22*CA13</x:f>
      </x:c>
      <x:c r="CB22" s="117" t="n">
        <x:f>$B$22*CB13</x:f>
      </x:c>
      <x:c r="CC22" s="117" t="n">
        <x:f>$B$22*CC13</x:f>
      </x:c>
      <x:c r="CD22" s="117" t="n">
        <x:f>$B$22*CD13</x:f>
      </x:c>
      <x:c r="CE22" s="117" t="n">
        <x:f>$B$22*CE13</x:f>
      </x:c>
      <x:c r="CF22" s="117" t="n">
        <x:f>$B$22*CF13</x:f>
      </x:c>
      <x:c r="CG22" s="117" t="n">
        <x:f>$B$22*CG13</x:f>
      </x:c>
      <x:c r="CH22" s="117" t="n">
        <x:f>$B$22*CH13</x:f>
      </x:c>
      <x:c r="CI22" s="117" t="n">
        <x:f>$B$22*CI13</x:f>
      </x:c>
      <x:c r="CJ22" s="117" t="n">
        <x:f>$B$22*CJ13</x:f>
      </x:c>
      <x:c r="CK22" s="117" t="n">
        <x:f>$B$22*CK13</x:f>
      </x:c>
      <x:c r="CL22" s="117" t="n">
        <x:f>$B$22*CL13</x:f>
      </x:c>
      <x:c r="CM22" s="117" t="n">
        <x:f>$B$22*CM13</x:f>
      </x:c>
      <x:c r="CN22" s="117" t="n">
        <x:f>$B$22*CN13</x:f>
      </x:c>
      <x:c r="CO22" s="117" t="n">
        <x:f>$B$22*CO13</x:f>
      </x:c>
      <x:c r="CP22" s="117" t="n">
        <x:f>$B$22*CP13</x:f>
      </x:c>
      <x:c r="CQ22" s="117" t="n">
        <x:f>$B$22*CQ13</x:f>
      </x:c>
      <x:c r="CR22" s="117" t="n">
        <x:f>$B$22*CR13</x:f>
      </x:c>
      <x:c r="CS22" s="117" t="n">
        <x:f>$B$22*CS13</x:f>
      </x:c>
      <x:c r="CT22" s="117" t="n">
        <x:f>$B$22*CT13</x:f>
      </x:c>
      <x:c r="CU22" s="117" t="n">
        <x:f>$B$22*CU13</x:f>
      </x:c>
      <x:c r="CV22" s="117" t="n">
        <x:f>$B$22*CV13</x:f>
      </x:c>
      <x:c r="CW22" s="117" t="n">
        <x:f>$B$22*CW13</x:f>
      </x:c>
      <x:c r="CX22" s="117" t="n">
        <x:f>$B$22*CX13</x:f>
      </x:c>
      <x:c r="CY22" s="117" t="n">
        <x:f>$B$22*CY13</x:f>
      </x:c>
      <x:c r="CZ22" s="117" t="n">
        <x:f>$B$22*CZ13</x:f>
      </x:c>
      <x:c r="DA22" s="117" t="n">
        <x:f>$B$22*DA13</x:f>
      </x:c>
      <x:c r="DB22" s="117" t="n">
        <x:f>$B$22*DB13</x:f>
      </x:c>
      <x:c r="DC22" s="117" t="n">
        <x:f>$B$22*DC13</x:f>
      </x:c>
      <x:c r="DD22" s="117" t="n">
        <x:f>$B$22*DD13</x:f>
      </x:c>
      <x:c r="DE22" s="117" t="n">
        <x:f>$B$22*DE13</x:f>
      </x:c>
      <x:c r="DF22" s="117" t="n">
        <x:f>$B$22*DF13</x:f>
      </x:c>
      <x:c r="DG22" s="117" t="n">
        <x:f>$B$22*DG13</x:f>
      </x:c>
      <x:c r="DH22" s="117" t="n">
        <x:f>$B$22*DH13</x:f>
      </x:c>
      <x:c r="DI22" s="117" t="n">
        <x:f>$B$22*DI13</x:f>
      </x:c>
      <x:c r="DJ22" s="117" t="n">
        <x:f>$B$22*DJ13</x:f>
      </x:c>
      <x:c r="DK22" s="117" t="n">
        <x:f>$B$22*DK13</x:f>
      </x:c>
      <x:c r="DL22" s="117" t="n">
        <x:f>$B$22*DL13</x:f>
      </x:c>
      <x:c r="DM22" s="117" t="n">
        <x:f>$B$22*DM13</x:f>
      </x:c>
      <x:c r="DN22" s="117" t="n">
        <x:f>$B$22*DN13</x:f>
      </x:c>
      <x:c r="DO22" s="117" t="n">
        <x:f>$B$22*DO13</x:f>
      </x:c>
      <x:c r="DP22" s="117" t="n">
        <x:f>$B$22*DP13</x:f>
      </x:c>
      <x:c r="DQ22" s="117" t="n">
        <x:f>$B$22*DQ13</x:f>
      </x:c>
      <x:c r="DR22" s="117" t="n">
        <x:f>$B$22*DR13</x:f>
      </x:c>
      <x:c r="DS22" s="117" t="n">
        <x:f>$B$22*DS13</x:f>
      </x:c>
      <x:c r="DT22" s="117" t="n">
        <x:f>$B$22*DT13</x:f>
      </x:c>
      <x:c r="DU22" s="117" t="n">
        <x:f>$B$22*DU13</x:f>
      </x:c>
      <x:c r="DV22" s="117" t="n">
        <x:f>$B$22*DV13</x:f>
      </x:c>
      <x:c r="DW22" s="117" t="n">
        <x:f>$B$22*DW13</x:f>
      </x:c>
      <x:c r="DX22" s="117" t="n">
        <x:f>$B$22*DX13</x:f>
      </x:c>
      <x:c r="DY22" s="117" t="n">
        <x:f>$B$22*DY13</x:f>
      </x:c>
      <x:c r="DZ22" s="117" t="n">
        <x:f>$B$22*DZ13</x:f>
      </x:c>
      <x:c r="EA22" s="117" t="n">
        <x:f>$B$22*EA13</x:f>
      </x:c>
      <x:c r="EB22" s="117" t="n">
        <x:f>$B$22*EB13</x:f>
      </x:c>
      <x:c r="EC22" s="117" t="n">
        <x:f>$B$22*EC13</x:f>
      </x:c>
      <x:c r="ED22" s="117" t="n">
        <x:f>$B$22*ED13</x:f>
      </x:c>
      <x:c r="EE22" s="117" t="n">
        <x:f>$B$22*EE13</x:f>
      </x:c>
      <x:c r="EF22" s="117" t="n">
        <x:f>$B$22*EF13</x:f>
      </x:c>
      <x:c r="EG22" s="117" t="n">
        <x:f>$B$22*EG13</x:f>
      </x:c>
      <x:c r="EH22" s="117" t="n">
        <x:f>$B$22*EH13</x:f>
      </x:c>
      <x:c r="EI22" s="117" t="n">
        <x:f>$B$22*EI13</x:f>
      </x:c>
      <x:c r="EJ22" s="117" t="n">
        <x:f>$B$22*EJ13</x:f>
      </x:c>
      <x:c r="EK22" s="117" t="n">
        <x:f>$B$22*EK13</x:f>
      </x:c>
      <x:c r="EL22" s="117" t="n">
        <x:f>$B$22*EL13</x:f>
      </x:c>
      <x:c r="EM22" s="117" t="n">
        <x:f>$B$22*EM13</x:f>
      </x:c>
      <x:c r="EN22" s="117" t="n">
        <x:f>$B$22*EN13</x:f>
      </x:c>
      <x:c r="EO22" s="117" t="n">
        <x:f>$B$22*EO13</x:f>
      </x:c>
      <x:c r="EP22" s="117" t="n">
        <x:f>$B$22*EP13</x:f>
      </x:c>
      <x:c r="EQ22" s="117" t="n">
        <x:f>$B$22*EQ13</x:f>
      </x:c>
      <x:c r="ER22" s="117" t="n">
        <x:f>$B$22*ER13</x:f>
      </x:c>
      <x:c r="ES22" s="117" t="n">
        <x:f>$B$22*ES13</x:f>
      </x:c>
      <x:c r="ET22" s="117" t="n">
        <x:f>$B$22*ET13</x:f>
      </x:c>
      <x:c r="EU22" s="117" t="n">
        <x:f>$B$22*EU13</x:f>
      </x:c>
      <x:c r="EV22" s="117" t="n">
        <x:f>$B$22*EV13</x:f>
      </x:c>
      <x:c r="EW22" s="117" t="n">
        <x:f>$B$22*EW13</x:f>
      </x:c>
      <x:c r="EX22" s="117" t="n">
        <x:f>$B$22*EX13</x:f>
      </x:c>
      <x:c r="EY22" s="117" t="n">
        <x:f>$B$22*EY13</x:f>
      </x:c>
      <x:c r="EZ22" s="117" t="n">
        <x:f>$B$22*EZ13</x:f>
      </x:c>
      <x:c r="FA22" s="117" t="n">
        <x:f>$B$22*FA13</x:f>
      </x:c>
      <x:c r="FB22" s="117" t="n">
        <x:f>$B$22*FB13</x:f>
      </x:c>
      <x:c r="FC22" s="117" t="n">
        <x:f>$B$22*FC13</x:f>
      </x:c>
      <x:c r="FD22" s="117" t="n">
        <x:f>$B$22*FD13</x:f>
      </x:c>
      <x:c r="FE22" s="117" t="n">
        <x:f>$B$22*FE13</x:f>
      </x:c>
      <x:c r="FF22" s="117" t="n">
        <x:f>$B$22*FF13</x:f>
      </x:c>
      <x:c r="FG22" s="117" t="n">
        <x:f>$B$22*FG13</x:f>
      </x:c>
      <x:c r="FH22" s="117" t="n">
        <x:f>$B$22*FH13</x:f>
      </x:c>
      <x:c r="FI22" s="117" t="n">
        <x:f>$B$22*FI13</x:f>
      </x:c>
      <x:c r="FJ22" s="117" t="n">
        <x:f>$B$22*FJ13</x:f>
      </x:c>
      <x:c r="FK22" s="117" t="n">
        <x:f>$B$22*FK13</x:f>
      </x:c>
      <x:c r="FL22" s="117" t="n">
        <x:f>$B$22*FL13</x:f>
      </x:c>
      <x:c r="FM22" s="117" t="n">
        <x:f>$B$22*FM13</x:f>
      </x:c>
      <x:c r="FN22" s="117" t="n">
        <x:f>$B$22*FN13</x:f>
      </x:c>
      <x:c r="FO22" s="117" t="n">
        <x:f>$B$22*FO13</x:f>
      </x:c>
      <x:c r="FP22" s="117" t="n">
        <x:f>$B$22*FP13</x:f>
      </x:c>
      <x:c r="FQ22" s="117" t="n">
        <x:f>$B$22*FQ13</x:f>
      </x:c>
      <x:c r="FR22" s="117" t="n">
        <x:f>$B$22*FR13</x:f>
      </x:c>
      <x:c r="FS22" s="117" t="n">
        <x:f>$B$22*FS13</x:f>
      </x:c>
      <x:c r="FT22" s="117" t="n">
        <x:f>$B$22*FT13</x:f>
      </x:c>
      <x:c r="FU22" s="117" t="n">
        <x:f>$B$22*FU13</x:f>
      </x:c>
      <x:c r="FV22" s="117" t="n">
        <x:f>$B$22*FV13</x:f>
      </x:c>
      <x:c r="FW22" s="117" t="n">
        <x:f>$B$22*FW13</x:f>
      </x:c>
      <x:c r="FX22" s="117" t="n">
        <x:f>$B$22*FX13</x:f>
      </x:c>
      <x:c r="FY22" s="117" t="n">
        <x:f>$B$22*FY13</x:f>
      </x:c>
      <x:c r="FZ22" s="117" t="n">
        <x:f>$B$22*FZ13</x:f>
      </x:c>
      <x:c r="GA22" s="117" t="n">
        <x:f>$B$22*GA13</x:f>
      </x:c>
    </x:row>
    <x:row r="23">
      <x:c r="A23" t="str">
        <x:v>Наружные инженерные сети</x:v>
      </x:c>
      <x:c r="B23" s="107" t="n">
        <x:f>(('Вводные'!$I$88+'Вводные'!$J$88+'Вводные'!$K$88)*'Вводные'!$B$46/1000*'Вводные'!$H$6*'Вводные'!$T$88*--('Вводные'!$B$88="Да"))*'Вводные'!$AH$88</x:f>
      </x:c>
      <x:c r="C23" t="str">
        <x:v>млн ₽</x:v>
      </x:c>
      <x:c r="D23" s="117" t="n">
        <x:f>$B$23*D13</x:f>
      </x:c>
      <x:c r="E23" s="117" t="n">
        <x:f>$B$23*E13</x:f>
      </x:c>
      <x:c r="F23" s="117" t="n">
        <x:f>$B$23*F13</x:f>
      </x:c>
      <x:c r="G23" s="117" t="n">
        <x:f>$B$23*G13</x:f>
      </x:c>
      <x:c r="H23" s="117" t="n">
        <x:f>$B$23*H13</x:f>
      </x:c>
      <x:c r="I23" s="117" t="n">
        <x:f>$B$23*I13</x:f>
      </x:c>
      <x:c r="J23" s="117" t="n">
        <x:f>$B$23*J13</x:f>
      </x:c>
      <x:c r="K23" s="117" t="n">
        <x:f>$B$23*K13</x:f>
      </x:c>
      <x:c r="L23" s="117" t="n">
        <x:f>$B$23*L13</x:f>
      </x:c>
      <x:c r="M23" s="117" t="n">
        <x:f>$B$23*M13</x:f>
      </x:c>
      <x:c r="N23" s="117" t="n">
        <x:f>$B$23*N13</x:f>
      </x:c>
      <x:c r="O23" s="117" t="n">
        <x:f>$B$23*O13</x:f>
      </x:c>
      <x:c r="P23" s="117" t="n">
        <x:f>$B$23*P13</x:f>
      </x:c>
      <x:c r="Q23" s="117" t="n">
        <x:f>$B$23*Q13</x:f>
      </x:c>
      <x:c r="R23" s="117" t="n">
        <x:f>$B$23*R13</x:f>
      </x:c>
      <x:c r="S23" s="117" t="n">
        <x:f>$B$23*S13</x:f>
      </x:c>
      <x:c r="T23" s="117" t="n">
        <x:f>$B$23*T13</x:f>
      </x:c>
      <x:c r="U23" s="117" t="n">
        <x:f>$B$23*U13</x:f>
      </x:c>
      <x:c r="V23" s="117" t="n">
        <x:f>$B$23*V13</x:f>
      </x:c>
      <x:c r="W23" s="117" t="n">
        <x:f>$B$23*W13</x:f>
      </x:c>
      <x:c r="X23" s="117" t="n">
        <x:f>$B$23*X13</x:f>
      </x:c>
      <x:c r="Y23" s="117" t="n">
        <x:f>$B$23*Y13</x:f>
      </x:c>
      <x:c r="Z23" s="117" t="n">
        <x:f>$B$23*Z13</x:f>
      </x:c>
      <x:c r="AA23" s="117" t="n">
        <x:f>$B$23*AA13</x:f>
      </x:c>
      <x:c r="AB23" s="117" t="n">
        <x:f>$B$23*AB13</x:f>
      </x:c>
      <x:c r="AC23" s="117" t="n">
        <x:f>$B$23*AC13</x:f>
      </x:c>
      <x:c r="AD23" s="117" t="n">
        <x:f>$B$23*AD13</x:f>
      </x:c>
      <x:c r="AE23" s="117" t="n">
        <x:f>$B$23*AE13</x:f>
      </x:c>
      <x:c r="AF23" s="117" t="n">
        <x:f>$B$23*AF13</x:f>
      </x:c>
      <x:c r="AG23" s="117" t="n">
        <x:f>$B$23*AG13</x:f>
      </x:c>
      <x:c r="AH23" s="117" t="n">
        <x:f>$B$23*AH13</x:f>
      </x:c>
      <x:c r="AI23" s="117" t="n">
        <x:f>$B$23*AI13</x:f>
      </x:c>
      <x:c r="AJ23" s="117" t="n">
        <x:f>$B$23*AJ13</x:f>
      </x:c>
      <x:c r="AK23" s="117" t="n">
        <x:f>$B$23*AK13</x:f>
      </x:c>
      <x:c r="AL23" s="117" t="n">
        <x:f>$B$23*AL13</x:f>
      </x:c>
      <x:c r="AM23" s="117" t="n">
        <x:f>$B$23*AM13</x:f>
      </x:c>
      <x:c r="AN23" s="117" t="n">
        <x:f>$B$23*AN13</x:f>
      </x:c>
      <x:c r="AO23" s="117" t="n">
        <x:f>$B$23*AO13</x:f>
      </x:c>
      <x:c r="AP23" s="117" t="n">
        <x:f>$B$23*AP13</x:f>
      </x:c>
      <x:c r="AQ23" s="117" t="n">
        <x:f>$B$23*AQ13</x:f>
      </x:c>
      <x:c r="AR23" s="117" t="n">
        <x:f>$B$23*AR13</x:f>
      </x:c>
      <x:c r="AS23" s="117" t="n">
        <x:f>$B$23*AS13</x:f>
      </x:c>
      <x:c r="AT23" s="117" t="n">
        <x:f>$B$23*AT13</x:f>
      </x:c>
      <x:c r="AU23" s="117" t="n">
        <x:f>$B$23*AU13</x:f>
      </x:c>
      <x:c r="AV23" s="117" t="n">
        <x:f>$B$23*AV13</x:f>
      </x:c>
      <x:c r="AW23" s="117" t="n">
        <x:f>$B$23*AW13</x:f>
      </x:c>
      <x:c r="AX23" s="117" t="n">
        <x:f>$B$23*AX13</x:f>
      </x:c>
      <x:c r="AY23" s="117" t="n">
        <x:f>$B$23*AY13</x:f>
      </x:c>
      <x:c r="AZ23" s="117" t="n">
        <x:f>$B$23*AZ13</x:f>
      </x:c>
      <x:c r="BA23" s="117" t="n">
        <x:f>$B$23*BA13</x:f>
      </x:c>
      <x:c r="BB23" s="117" t="n">
        <x:f>$B$23*BB13</x:f>
      </x:c>
      <x:c r="BC23" s="117" t="n">
        <x:f>$B$23*BC13</x:f>
      </x:c>
      <x:c r="BD23" s="117" t="n">
        <x:f>$B$23*BD13</x:f>
      </x:c>
      <x:c r="BE23" s="117" t="n">
        <x:f>$B$23*BE13</x:f>
      </x:c>
      <x:c r="BF23" s="117" t="n">
        <x:f>$B$23*BF13</x:f>
      </x:c>
      <x:c r="BG23" s="117" t="n">
        <x:f>$B$23*BG13</x:f>
      </x:c>
      <x:c r="BH23" s="117" t="n">
        <x:f>$B$23*BH13</x:f>
      </x:c>
      <x:c r="BI23" s="117" t="n">
        <x:f>$B$23*BI13</x:f>
      </x:c>
      <x:c r="BJ23" s="117" t="n">
        <x:f>$B$23*BJ13</x:f>
      </x:c>
      <x:c r="BK23" s="117" t="n">
        <x:f>$B$23*BK13</x:f>
      </x:c>
      <x:c r="BL23" s="117" t="n">
        <x:f>$B$23*BL13</x:f>
      </x:c>
      <x:c r="BM23" s="117" t="n">
        <x:f>$B$23*BM13</x:f>
      </x:c>
      <x:c r="BN23" s="117" t="n">
        <x:f>$B$23*BN13</x:f>
      </x:c>
      <x:c r="BO23" s="117" t="n">
        <x:f>$B$23*BO13</x:f>
      </x:c>
      <x:c r="BP23" s="117" t="n">
        <x:f>$B$23*BP13</x:f>
      </x:c>
      <x:c r="BQ23" s="117" t="n">
        <x:f>$B$23*BQ13</x:f>
      </x:c>
      <x:c r="BR23" s="117" t="n">
        <x:f>$B$23*BR13</x:f>
      </x:c>
      <x:c r="BS23" s="117" t="n">
        <x:f>$B$23*BS13</x:f>
      </x:c>
      <x:c r="BT23" s="117" t="n">
        <x:f>$B$23*BT13</x:f>
      </x:c>
      <x:c r="BU23" s="117" t="n">
        <x:f>$B$23*BU13</x:f>
      </x:c>
      <x:c r="BV23" s="117" t="n">
        <x:f>$B$23*BV13</x:f>
      </x:c>
      <x:c r="BW23" s="117" t="n">
        <x:f>$B$23*BW13</x:f>
      </x:c>
      <x:c r="BX23" s="117" t="n">
        <x:f>$B$23*BX13</x:f>
      </x:c>
      <x:c r="BY23" s="117" t="n">
        <x:f>$B$23*BY13</x:f>
      </x:c>
      <x:c r="BZ23" s="117" t="n">
        <x:f>$B$23*BZ13</x:f>
      </x:c>
      <x:c r="CA23" s="117" t="n">
        <x:f>$B$23*CA13</x:f>
      </x:c>
      <x:c r="CB23" s="117" t="n">
        <x:f>$B$23*CB13</x:f>
      </x:c>
      <x:c r="CC23" s="117" t="n">
        <x:f>$B$23*CC13</x:f>
      </x:c>
      <x:c r="CD23" s="117" t="n">
        <x:f>$B$23*CD13</x:f>
      </x:c>
      <x:c r="CE23" s="117" t="n">
        <x:f>$B$23*CE13</x:f>
      </x:c>
      <x:c r="CF23" s="117" t="n">
        <x:f>$B$23*CF13</x:f>
      </x:c>
      <x:c r="CG23" s="117" t="n">
        <x:f>$B$23*CG13</x:f>
      </x:c>
      <x:c r="CH23" s="117" t="n">
        <x:f>$B$23*CH13</x:f>
      </x:c>
      <x:c r="CI23" s="117" t="n">
        <x:f>$B$23*CI13</x:f>
      </x:c>
      <x:c r="CJ23" s="117" t="n">
        <x:f>$B$23*CJ13</x:f>
      </x:c>
      <x:c r="CK23" s="117" t="n">
        <x:f>$B$23*CK13</x:f>
      </x:c>
      <x:c r="CL23" s="117" t="n">
        <x:f>$B$23*CL13</x:f>
      </x:c>
      <x:c r="CM23" s="117" t="n">
        <x:f>$B$23*CM13</x:f>
      </x:c>
      <x:c r="CN23" s="117" t="n">
        <x:f>$B$23*CN13</x:f>
      </x:c>
      <x:c r="CO23" s="117" t="n">
        <x:f>$B$23*CO13</x:f>
      </x:c>
      <x:c r="CP23" s="117" t="n">
        <x:f>$B$23*CP13</x:f>
      </x:c>
      <x:c r="CQ23" s="117" t="n">
        <x:f>$B$23*CQ13</x:f>
      </x:c>
      <x:c r="CR23" s="117" t="n">
        <x:f>$B$23*CR13</x:f>
      </x:c>
      <x:c r="CS23" s="117" t="n">
        <x:f>$B$23*CS13</x:f>
      </x:c>
      <x:c r="CT23" s="117" t="n">
        <x:f>$B$23*CT13</x:f>
      </x:c>
      <x:c r="CU23" s="117" t="n">
        <x:f>$B$23*CU13</x:f>
      </x:c>
      <x:c r="CV23" s="117" t="n">
        <x:f>$B$23*CV13</x:f>
      </x:c>
      <x:c r="CW23" s="117" t="n">
        <x:f>$B$23*CW13</x:f>
      </x:c>
      <x:c r="CX23" s="117" t="n">
        <x:f>$B$23*CX13</x:f>
      </x:c>
      <x:c r="CY23" s="117" t="n">
        <x:f>$B$23*CY13</x:f>
      </x:c>
      <x:c r="CZ23" s="117" t="n">
        <x:f>$B$23*CZ13</x:f>
      </x:c>
      <x:c r="DA23" s="117" t="n">
        <x:f>$B$23*DA13</x:f>
      </x:c>
      <x:c r="DB23" s="117" t="n">
        <x:f>$B$23*DB13</x:f>
      </x:c>
      <x:c r="DC23" s="117" t="n">
        <x:f>$B$23*DC13</x:f>
      </x:c>
      <x:c r="DD23" s="117" t="n">
        <x:f>$B$23*DD13</x:f>
      </x:c>
      <x:c r="DE23" s="117" t="n">
        <x:f>$B$23*DE13</x:f>
      </x:c>
      <x:c r="DF23" s="117" t="n">
        <x:f>$B$23*DF13</x:f>
      </x:c>
      <x:c r="DG23" s="117" t="n">
        <x:f>$B$23*DG13</x:f>
      </x:c>
      <x:c r="DH23" s="117" t="n">
        <x:f>$B$23*DH13</x:f>
      </x:c>
      <x:c r="DI23" s="117" t="n">
        <x:f>$B$23*DI13</x:f>
      </x:c>
      <x:c r="DJ23" s="117" t="n">
        <x:f>$B$23*DJ13</x:f>
      </x:c>
      <x:c r="DK23" s="117" t="n">
        <x:f>$B$23*DK13</x:f>
      </x:c>
      <x:c r="DL23" s="117" t="n">
        <x:f>$B$23*DL13</x:f>
      </x:c>
      <x:c r="DM23" s="117" t="n">
        <x:f>$B$23*DM13</x:f>
      </x:c>
      <x:c r="DN23" s="117" t="n">
        <x:f>$B$23*DN13</x:f>
      </x:c>
      <x:c r="DO23" s="117" t="n">
        <x:f>$B$23*DO13</x:f>
      </x:c>
      <x:c r="DP23" s="117" t="n">
        <x:f>$B$23*DP13</x:f>
      </x:c>
      <x:c r="DQ23" s="117" t="n">
        <x:f>$B$23*DQ13</x:f>
      </x:c>
      <x:c r="DR23" s="117" t="n">
        <x:f>$B$23*DR13</x:f>
      </x:c>
      <x:c r="DS23" s="117" t="n">
        <x:f>$B$23*DS13</x:f>
      </x:c>
      <x:c r="DT23" s="117" t="n">
        <x:f>$B$23*DT13</x:f>
      </x:c>
      <x:c r="DU23" s="117" t="n">
        <x:f>$B$23*DU13</x:f>
      </x:c>
      <x:c r="DV23" s="117" t="n">
        <x:f>$B$23*DV13</x:f>
      </x:c>
      <x:c r="DW23" s="117" t="n">
        <x:f>$B$23*DW13</x:f>
      </x:c>
      <x:c r="DX23" s="117" t="n">
        <x:f>$B$23*DX13</x:f>
      </x:c>
      <x:c r="DY23" s="117" t="n">
        <x:f>$B$23*DY13</x:f>
      </x:c>
      <x:c r="DZ23" s="117" t="n">
        <x:f>$B$23*DZ13</x:f>
      </x:c>
      <x:c r="EA23" s="117" t="n">
        <x:f>$B$23*EA13</x:f>
      </x:c>
      <x:c r="EB23" s="117" t="n">
        <x:f>$B$23*EB13</x:f>
      </x:c>
      <x:c r="EC23" s="117" t="n">
        <x:f>$B$23*EC13</x:f>
      </x:c>
      <x:c r="ED23" s="117" t="n">
        <x:f>$B$23*ED13</x:f>
      </x:c>
      <x:c r="EE23" s="117" t="n">
        <x:f>$B$23*EE13</x:f>
      </x:c>
      <x:c r="EF23" s="117" t="n">
        <x:f>$B$23*EF13</x:f>
      </x:c>
      <x:c r="EG23" s="117" t="n">
        <x:f>$B$23*EG13</x:f>
      </x:c>
      <x:c r="EH23" s="117" t="n">
        <x:f>$B$23*EH13</x:f>
      </x:c>
      <x:c r="EI23" s="117" t="n">
        <x:f>$B$23*EI13</x:f>
      </x:c>
      <x:c r="EJ23" s="117" t="n">
        <x:f>$B$23*EJ13</x:f>
      </x:c>
      <x:c r="EK23" s="117" t="n">
        <x:f>$B$23*EK13</x:f>
      </x:c>
      <x:c r="EL23" s="117" t="n">
        <x:f>$B$23*EL13</x:f>
      </x:c>
      <x:c r="EM23" s="117" t="n">
        <x:f>$B$23*EM13</x:f>
      </x:c>
      <x:c r="EN23" s="117" t="n">
        <x:f>$B$23*EN13</x:f>
      </x:c>
      <x:c r="EO23" s="117" t="n">
        <x:f>$B$23*EO13</x:f>
      </x:c>
      <x:c r="EP23" s="117" t="n">
        <x:f>$B$23*EP13</x:f>
      </x:c>
      <x:c r="EQ23" s="117" t="n">
        <x:f>$B$23*EQ13</x:f>
      </x:c>
      <x:c r="ER23" s="117" t="n">
        <x:f>$B$23*ER13</x:f>
      </x:c>
      <x:c r="ES23" s="117" t="n">
        <x:f>$B$23*ES13</x:f>
      </x:c>
      <x:c r="ET23" s="117" t="n">
        <x:f>$B$23*ET13</x:f>
      </x:c>
      <x:c r="EU23" s="117" t="n">
        <x:f>$B$23*EU13</x:f>
      </x:c>
      <x:c r="EV23" s="117" t="n">
        <x:f>$B$23*EV13</x:f>
      </x:c>
      <x:c r="EW23" s="117" t="n">
        <x:f>$B$23*EW13</x:f>
      </x:c>
      <x:c r="EX23" s="117" t="n">
        <x:f>$B$23*EX13</x:f>
      </x:c>
      <x:c r="EY23" s="117" t="n">
        <x:f>$B$23*EY13</x:f>
      </x:c>
      <x:c r="EZ23" s="117" t="n">
        <x:f>$B$23*EZ13</x:f>
      </x:c>
      <x:c r="FA23" s="117" t="n">
        <x:f>$B$23*FA13</x:f>
      </x:c>
      <x:c r="FB23" s="117" t="n">
        <x:f>$B$23*FB13</x:f>
      </x:c>
      <x:c r="FC23" s="117" t="n">
        <x:f>$B$23*FC13</x:f>
      </x:c>
      <x:c r="FD23" s="117" t="n">
        <x:f>$B$23*FD13</x:f>
      </x:c>
      <x:c r="FE23" s="117" t="n">
        <x:f>$B$23*FE13</x:f>
      </x:c>
      <x:c r="FF23" s="117" t="n">
        <x:f>$B$23*FF13</x:f>
      </x:c>
      <x:c r="FG23" s="117" t="n">
        <x:f>$B$23*FG13</x:f>
      </x:c>
      <x:c r="FH23" s="117" t="n">
        <x:f>$B$23*FH13</x:f>
      </x:c>
      <x:c r="FI23" s="117" t="n">
        <x:f>$B$23*FI13</x:f>
      </x:c>
      <x:c r="FJ23" s="117" t="n">
        <x:f>$B$23*FJ13</x:f>
      </x:c>
      <x:c r="FK23" s="117" t="n">
        <x:f>$B$23*FK13</x:f>
      </x:c>
      <x:c r="FL23" s="117" t="n">
        <x:f>$B$23*FL13</x:f>
      </x:c>
      <x:c r="FM23" s="117" t="n">
        <x:f>$B$23*FM13</x:f>
      </x:c>
      <x:c r="FN23" s="117" t="n">
        <x:f>$B$23*FN13</x:f>
      </x:c>
      <x:c r="FO23" s="117" t="n">
        <x:f>$B$23*FO13</x:f>
      </x:c>
      <x:c r="FP23" s="117" t="n">
        <x:f>$B$23*FP13</x:f>
      </x:c>
      <x:c r="FQ23" s="117" t="n">
        <x:f>$B$23*FQ13</x:f>
      </x:c>
      <x:c r="FR23" s="117" t="n">
        <x:f>$B$23*FR13</x:f>
      </x:c>
      <x:c r="FS23" s="117" t="n">
        <x:f>$B$23*FS13</x:f>
      </x:c>
      <x:c r="FT23" s="117" t="n">
        <x:f>$B$23*FT13</x:f>
      </x:c>
      <x:c r="FU23" s="117" t="n">
        <x:f>$B$23*FU13</x:f>
      </x:c>
      <x:c r="FV23" s="117" t="n">
        <x:f>$B$23*FV13</x:f>
      </x:c>
      <x:c r="FW23" s="117" t="n">
        <x:f>$B$23*FW13</x:f>
      </x:c>
      <x:c r="FX23" s="117" t="n">
        <x:f>$B$23*FX13</x:f>
      </x:c>
      <x:c r="FY23" s="117" t="n">
        <x:f>$B$23*FY13</x:f>
      </x:c>
      <x:c r="FZ23" s="117" t="n">
        <x:f>$B$23*FZ13</x:f>
      </x:c>
      <x:c r="GA23" s="117" t="n">
        <x:f>$B$23*GA13</x:f>
      </x:c>
    </x:row>
    <x:row r="24">
      <x:c r="A24" t="str">
        <x:v>Благоустройство</x:v>
      </x:c>
      <x:c r="B24" s="107" t="n">
        <x:f>(('Вводные'!$I$88+'Вводные'!$J$88+'Вводные'!$K$88)*'Вводные'!$B$47/1000*'Вводные'!$H$6*'Вводные'!$T$88*--('Вводные'!$B$88="Да"))*'Вводные'!$AH$88</x:f>
      </x:c>
      <x:c r="C24" t="str">
        <x:v>млн ₽</x:v>
      </x:c>
      <x:c r="D24" s="117" t="n">
        <x:f>IF(AND(D$3&gt;=EDATE($B$8,-3),D$3&lt;$B$8),$B$24/3,0)</x:f>
      </x:c>
      <x:c r="E24" s="117" t="n">
        <x:f>IF(AND(E$3&gt;=EDATE($B$8,-3),E$3&lt;$B$8),$B$24/3,0)</x:f>
      </x:c>
      <x:c r="F24" s="117" t="n">
        <x:f>IF(AND(F$3&gt;=EDATE($B$8,-3),F$3&lt;$B$8),$B$24/3,0)</x:f>
      </x:c>
      <x:c r="G24" s="117" t="n">
        <x:f>IF(AND(G$3&gt;=EDATE($B$8,-3),G$3&lt;$B$8),$B$24/3,0)</x:f>
      </x:c>
      <x:c r="H24" s="117" t="n">
        <x:f>IF(AND(H$3&gt;=EDATE($B$8,-3),H$3&lt;$B$8),$B$24/3,0)</x:f>
      </x:c>
      <x:c r="I24" s="117" t="n">
        <x:f>IF(AND(I$3&gt;=EDATE($B$8,-3),I$3&lt;$B$8),$B$24/3,0)</x:f>
      </x:c>
      <x:c r="J24" s="117" t="n">
        <x:f>IF(AND(J$3&gt;=EDATE($B$8,-3),J$3&lt;$B$8),$B$24/3,0)</x:f>
      </x:c>
      <x:c r="K24" s="117" t="n">
        <x:f>IF(AND(K$3&gt;=EDATE($B$8,-3),K$3&lt;$B$8),$B$24/3,0)</x:f>
      </x:c>
      <x:c r="L24" s="117" t="n">
        <x:f>IF(AND(L$3&gt;=EDATE($B$8,-3),L$3&lt;$B$8),$B$24/3,0)</x:f>
      </x:c>
      <x:c r="M24" s="117" t="n">
        <x:f>IF(AND(M$3&gt;=EDATE($B$8,-3),M$3&lt;$B$8),$B$24/3,0)</x:f>
      </x:c>
      <x:c r="N24" s="117" t="n">
        <x:f>IF(AND(N$3&gt;=EDATE($B$8,-3),N$3&lt;$B$8),$B$24/3,0)</x:f>
      </x:c>
      <x:c r="O24" s="117" t="n">
        <x:f>IF(AND(O$3&gt;=EDATE($B$8,-3),O$3&lt;$B$8),$B$24/3,0)</x:f>
      </x:c>
      <x:c r="P24" s="117" t="n">
        <x:f>IF(AND(P$3&gt;=EDATE($B$8,-3),P$3&lt;$B$8),$B$24/3,0)</x:f>
      </x:c>
      <x:c r="Q24" s="117" t="n">
        <x:f>IF(AND(Q$3&gt;=EDATE($B$8,-3),Q$3&lt;$B$8),$B$24/3,0)</x:f>
      </x:c>
      <x:c r="R24" s="117" t="n">
        <x:f>IF(AND(R$3&gt;=EDATE($B$8,-3),R$3&lt;$B$8),$B$24/3,0)</x:f>
      </x:c>
      <x:c r="S24" s="117" t="n">
        <x:f>IF(AND(S$3&gt;=EDATE($B$8,-3),S$3&lt;$B$8),$B$24/3,0)</x:f>
      </x:c>
      <x:c r="T24" s="117" t="n">
        <x:f>IF(AND(T$3&gt;=EDATE($B$8,-3),T$3&lt;$B$8),$B$24/3,0)</x:f>
      </x:c>
      <x:c r="U24" s="117" t="n">
        <x:f>IF(AND(U$3&gt;=EDATE($B$8,-3),U$3&lt;$B$8),$B$24/3,0)</x:f>
      </x:c>
      <x:c r="V24" s="117" t="n">
        <x:f>IF(AND(V$3&gt;=EDATE($B$8,-3),V$3&lt;$B$8),$B$24/3,0)</x:f>
      </x:c>
      <x:c r="W24" s="117" t="n">
        <x:f>IF(AND(W$3&gt;=EDATE($B$8,-3),W$3&lt;$B$8),$B$24/3,0)</x:f>
      </x:c>
      <x:c r="X24" s="117" t="n">
        <x:f>IF(AND(X$3&gt;=EDATE($B$8,-3),X$3&lt;$B$8),$B$24/3,0)</x:f>
      </x:c>
      <x:c r="Y24" s="117" t="n">
        <x:f>IF(AND(Y$3&gt;=EDATE($B$8,-3),Y$3&lt;$B$8),$B$24/3,0)</x:f>
      </x:c>
      <x:c r="Z24" s="117" t="n">
        <x:f>IF(AND(Z$3&gt;=EDATE($B$8,-3),Z$3&lt;$B$8),$B$24/3,0)</x:f>
      </x:c>
      <x:c r="AA24" s="117" t="n">
        <x:f>IF(AND(AA$3&gt;=EDATE($B$8,-3),AA$3&lt;$B$8),$B$24/3,0)</x:f>
      </x:c>
      <x:c r="AB24" s="117" t="n">
        <x:f>IF(AND(AB$3&gt;=EDATE($B$8,-3),AB$3&lt;$B$8),$B$24/3,0)</x:f>
      </x:c>
      <x:c r="AC24" s="117" t="n">
        <x:f>IF(AND(AC$3&gt;=EDATE($B$8,-3),AC$3&lt;$B$8),$B$24/3,0)</x:f>
      </x:c>
      <x:c r="AD24" s="117" t="n">
        <x:f>IF(AND(AD$3&gt;=EDATE($B$8,-3),AD$3&lt;$B$8),$B$24/3,0)</x:f>
      </x:c>
      <x:c r="AE24" s="117" t="n">
        <x:f>IF(AND(AE$3&gt;=EDATE($B$8,-3),AE$3&lt;$B$8),$B$24/3,0)</x:f>
      </x:c>
      <x:c r="AF24" s="117" t="n">
        <x:f>IF(AND(AF$3&gt;=EDATE($B$8,-3),AF$3&lt;$B$8),$B$24/3,0)</x:f>
      </x:c>
      <x:c r="AG24" s="117" t="n">
        <x:f>IF(AND(AG$3&gt;=EDATE($B$8,-3),AG$3&lt;$B$8),$B$24/3,0)</x:f>
      </x:c>
      <x:c r="AH24" s="117" t="n">
        <x:f>IF(AND(AH$3&gt;=EDATE($B$8,-3),AH$3&lt;$B$8),$B$24/3,0)</x:f>
      </x:c>
      <x:c r="AI24" s="117" t="n">
        <x:f>IF(AND(AI$3&gt;=EDATE($B$8,-3),AI$3&lt;$B$8),$B$24/3,0)</x:f>
      </x:c>
      <x:c r="AJ24" s="117" t="n">
        <x:f>IF(AND(AJ$3&gt;=EDATE($B$8,-3),AJ$3&lt;$B$8),$B$24/3,0)</x:f>
      </x:c>
      <x:c r="AK24" s="117" t="n">
        <x:f>IF(AND(AK$3&gt;=EDATE($B$8,-3),AK$3&lt;$B$8),$B$24/3,0)</x:f>
      </x:c>
      <x:c r="AL24" s="117" t="n">
        <x:f>IF(AND(AL$3&gt;=EDATE($B$8,-3),AL$3&lt;$B$8),$B$24/3,0)</x:f>
      </x:c>
      <x:c r="AM24" s="117" t="n">
        <x:f>IF(AND(AM$3&gt;=EDATE($B$8,-3),AM$3&lt;$B$8),$B$24/3,0)</x:f>
      </x:c>
      <x:c r="AN24" s="117" t="n">
        <x:f>IF(AND(AN$3&gt;=EDATE($B$8,-3),AN$3&lt;$B$8),$B$24/3,0)</x:f>
      </x:c>
      <x:c r="AO24" s="117" t="n">
        <x:f>IF(AND(AO$3&gt;=EDATE($B$8,-3),AO$3&lt;$B$8),$B$24/3,0)</x:f>
      </x:c>
      <x:c r="AP24" s="117" t="n">
        <x:f>IF(AND(AP$3&gt;=EDATE($B$8,-3),AP$3&lt;$B$8),$B$24/3,0)</x:f>
      </x:c>
      <x:c r="AQ24" s="117" t="n">
        <x:f>IF(AND(AQ$3&gt;=EDATE($B$8,-3),AQ$3&lt;$B$8),$B$24/3,0)</x:f>
      </x:c>
      <x:c r="AR24" s="117" t="n">
        <x:f>IF(AND(AR$3&gt;=EDATE($B$8,-3),AR$3&lt;$B$8),$B$24/3,0)</x:f>
      </x:c>
      <x:c r="AS24" s="117" t="n">
        <x:f>IF(AND(AS$3&gt;=EDATE($B$8,-3),AS$3&lt;$B$8),$B$24/3,0)</x:f>
      </x:c>
      <x:c r="AT24" s="117" t="n">
        <x:f>IF(AND(AT$3&gt;=EDATE($B$8,-3),AT$3&lt;$B$8),$B$24/3,0)</x:f>
      </x:c>
      <x:c r="AU24" s="117" t="n">
        <x:f>IF(AND(AU$3&gt;=EDATE($B$8,-3),AU$3&lt;$B$8),$B$24/3,0)</x:f>
      </x:c>
      <x:c r="AV24" s="117" t="n">
        <x:f>IF(AND(AV$3&gt;=EDATE($B$8,-3),AV$3&lt;$B$8),$B$24/3,0)</x:f>
      </x:c>
      <x:c r="AW24" s="117" t="n">
        <x:f>IF(AND(AW$3&gt;=EDATE($B$8,-3),AW$3&lt;$B$8),$B$24/3,0)</x:f>
      </x:c>
      <x:c r="AX24" s="117" t="n">
        <x:f>IF(AND(AX$3&gt;=EDATE($B$8,-3),AX$3&lt;$B$8),$B$24/3,0)</x:f>
      </x:c>
      <x:c r="AY24" s="117" t="n">
        <x:f>IF(AND(AY$3&gt;=EDATE($B$8,-3),AY$3&lt;$B$8),$B$24/3,0)</x:f>
      </x:c>
      <x:c r="AZ24" s="117" t="n">
        <x:f>IF(AND(AZ$3&gt;=EDATE($B$8,-3),AZ$3&lt;$B$8),$B$24/3,0)</x:f>
      </x:c>
      <x:c r="BA24" s="117" t="n">
        <x:f>IF(AND(BA$3&gt;=EDATE($B$8,-3),BA$3&lt;$B$8),$B$24/3,0)</x:f>
      </x:c>
      <x:c r="BB24" s="117" t="n">
        <x:f>IF(AND(BB$3&gt;=EDATE($B$8,-3),BB$3&lt;$B$8),$B$24/3,0)</x:f>
      </x:c>
      <x:c r="BC24" s="117" t="n">
        <x:f>IF(AND(BC$3&gt;=EDATE($B$8,-3),BC$3&lt;$B$8),$B$24/3,0)</x:f>
      </x:c>
      <x:c r="BD24" s="117" t="n">
        <x:f>IF(AND(BD$3&gt;=EDATE($B$8,-3),BD$3&lt;$B$8),$B$24/3,0)</x:f>
      </x:c>
      <x:c r="BE24" s="117" t="n">
        <x:f>IF(AND(BE$3&gt;=EDATE($B$8,-3),BE$3&lt;$B$8),$B$24/3,0)</x:f>
      </x:c>
      <x:c r="BF24" s="117" t="n">
        <x:f>IF(AND(BF$3&gt;=EDATE($B$8,-3),BF$3&lt;$B$8),$B$24/3,0)</x:f>
      </x:c>
      <x:c r="BG24" s="117" t="n">
        <x:f>IF(AND(BG$3&gt;=EDATE($B$8,-3),BG$3&lt;$B$8),$B$24/3,0)</x:f>
      </x:c>
      <x:c r="BH24" s="117" t="n">
        <x:f>IF(AND(BH$3&gt;=EDATE($B$8,-3),BH$3&lt;$B$8),$B$24/3,0)</x:f>
      </x:c>
      <x:c r="BI24" s="117" t="n">
        <x:f>IF(AND(BI$3&gt;=EDATE($B$8,-3),BI$3&lt;$B$8),$B$24/3,0)</x:f>
      </x:c>
      <x:c r="BJ24" s="117" t="n">
        <x:f>IF(AND(BJ$3&gt;=EDATE($B$8,-3),BJ$3&lt;$B$8),$B$24/3,0)</x:f>
      </x:c>
      <x:c r="BK24" s="117" t="n">
        <x:f>IF(AND(BK$3&gt;=EDATE($B$8,-3),BK$3&lt;$B$8),$B$24/3,0)</x:f>
      </x:c>
      <x:c r="BL24" s="117" t="n">
        <x:f>IF(AND(BL$3&gt;=EDATE($B$8,-3),BL$3&lt;$B$8),$B$24/3,0)</x:f>
      </x:c>
      <x:c r="BM24" s="117" t="n">
        <x:f>IF(AND(BM$3&gt;=EDATE($B$8,-3),BM$3&lt;$B$8),$B$24/3,0)</x:f>
      </x:c>
      <x:c r="BN24" s="117" t="n">
        <x:f>IF(AND(BN$3&gt;=EDATE($B$8,-3),BN$3&lt;$B$8),$B$24/3,0)</x:f>
      </x:c>
      <x:c r="BO24" s="117" t="n">
        <x:f>IF(AND(BO$3&gt;=EDATE($B$8,-3),BO$3&lt;$B$8),$B$24/3,0)</x:f>
      </x:c>
      <x:c r="BP24" s="117" t="n">
        <x:f>IF(AND(BP$3&gt;=EDATE($B$8,-3),BP$3&lt;$B$8),$B$24/3,0)</x:f>
      </x:c>
      <x:c r="BQ24" s="117" t="n">
        <x:f>IF(AND(BQ$3&gt;=EDATE($B$8,-3),BQ$3&lt;$B$8),$B$24/3,0)</x:f>
      </x:c>
      <x:c r="BR24" s="117" t="n">
        <x:f>IF(AND(BR$3&gt;=EDATE($B$8,-3),BR$3&lt;$B$8),$B$24/3,0)</x:f>
      </x:c>
      <x:c r="BS24" s="117" t="n">
        <x:f>IF(AND(BS$3&gt;=EDATE($B$8,-3),BS$3&lt;$B$8),$B$24/3,0)</x:f>
      </x:c>
      <x:c r="BT24" s="117" t="n">
        <x:f>IF(AND(BT$3&gt;=EDATE($B$8,-3),BT$3&lt;$B$8),$B$24/3,0)</x:f>
      </x:c>
      <x:c r="BU24" s="117" t="n">
        <x:f>IF(AND(BU$3&gt;=EDATE($B$8,-3),BU$3&lt;$B$8),$B$24/3,0)</x:f>
      </x:c>
      <x:c r="BV24" s="117" t="n">
        <x:f>IF(AND(BV$3&gt;=EDATE($B$8,-3),BV$3&lt;$B$8),$B$24/3,0)</x:f>
      </x:c>
      <x:c r="BW24" s="117" t="n">
        <x:f>IF(AND(BW$3&gt;=EDATE($B$8,-3),BW$3&lt;$B$8),$B$24/3,0)</x:f>
      </x:c>
      <x:c r="BX24" s="117" t="n">
        <x:f>IF(AND(BX$3&gt;=EDATE($B$8,-3),BX$3&lt;$B$8),$B$24/3,0)</x:f>
      </x:c>
      <x:c r="BY24" s="117" t="n">
        <x:f>IF(AND(BY$3&gt;=EDATE($B$8,-3),BY$3&lt;$B$8),$B$24/3,0)</x:f>
      </x:c>
      <x:c r="BZ24" s="117" t="n">
        <x:f>IF(AND(BZ$3&gt;=EDATE($B$8,-3),BZ$3&lt;$B$8),$B$24/3,0)</x:f>
      </x:c>
      <x:c r="CA24" s="117" t="n">
        <x:f>IF(AND(CA$3&gt;=EDATE($B$8,-3),CA$3&lt;$B$8),$B$24/3,0)</x:f>
      </x:c>
      <x:c r="CB24" s="117" t="n">
        <x:f>IF(AND(CB$3&gt;=EDATE($B$8,-3),CB$3&lt;$B$8),$B$24/3,0)</x:f>
      </x:c>
      <x:c r="CC24" s="117" t="n">
        <x:f>IF(AND(CC$3&gt;=EDATE($B$8,-3),CC$3&lt;$B$8),$B$24/3,0)</x:f>
      </x:c>
      <x:c r="CD24" s="117" t="n">
        <x:f>IF(AND(CD$3&gt;=EDATE($B$8,-3),CD$3&lt;$B$8),$B$24/3,0)</x:f>
      </x:c>
      <x:c r="CE24" s="117" t="n">
        <x:f>IF(AND(CE$3&gt;=EDATE($B$8,-3),CE$3&lt;$B$8),$B$24/3,0)</x:f>
      </x:c>
      <x:c r="CF24" s="117" t="n">
        <x:f>IF(AND(CF$3&gt;=EDATE($B$8,-3),CF$3&lt;$B$8),$B$24/3,0)</x:f>
      </x:c>
      <x:c r="CG24" s="117" t="n">
        <x:f>IF(AND(CG$3&gt;=EDATE($B$8,-3),CG$3&lt;$B$8),$B$24/3,0)</x:f>
      </x:c>
      <x:c r="CH24" s="117" t="n">
        <x:f>IF(AND(CH$3&gt;=EDATE($B$8,-3),CH$3&lt;$B$8),$B$24/3,0)</x:f>
      </x:c>
      <x:c r="CI24" s="117" t="n">
        <x:f>IF(AND(CI$3&gt;=EDATE($B$8,-3),CI$3&lt;$B$8),$B$24/3,0)</x:f>
      </x:c>
      <x:c r="CJ24" s="117" t="n">
        <x:f>IF(AND(CJ$3&gt;=EDATE($B$8,-3),CJ$3&lt;$B$8),$B$24/3,0)</x:f>
      </x:c>
      <x:c r="CK24" s="117" t="n">
        <x:f>IF(AND(CK$3&gt;=EDATE($B$8,-3),CK$3&lt;$B$8),$B$24/3,0)</x:f>
      </x:c>
      <x:c r="CL24" s="117" t="n">
        <x:f>IF(AND(CL$3&gt;=EDATE($B$8,-3),CL$3&lt;$B$8),$B$24/3,0)</x:f>
      </x:c>
      <x:c r="CM24" s="117" t="n">
        <x:f>IF(AND(CM$3&gt;=EDATE($B$8,-3),CM$3&lt;$B$8),$B$24/3,0)</x:f>
      </x:c>
      <x:c r="CN24" s="117" t="n">
        <x:f>IF(AND(CN$3&gt;=EDATE($B$8,-3),CN$3&lt;$B$8),$B$24/3,0)</x:f>
      </x:c>
      <x:c r="CO24" s="117" t="n">
        <x:f>IF(AND(CO$3&gt;=EDATE($B$8,-3),CO$3&lt;$B$8),$B$24/3,0)</x:f>
      </x:c>
      <x:c r="CP24" s="117" t="n">
        <x:f>IF(AND(CP$3&gt;=EDATE($B$8,-3),CP$3&lt;$B$8),$B$24/3,0)</x:f>
      </x:c>
      <x:c r="CQ24" s="117" t="n">
        <x:f>IF(AND(CQ$3&gt;=EDATE($B$8,-3),CQ$3&lt;$B$8),$B$24/3,0)</x:f>
      </x:c>
      <x:c r="CR24" s="117" t="n">
        <x:f>IF(AND(CR$3&gt;=EDATE($B$8,-3),CR$3&lt;$B$8),$B$24/3,0)</x:f>
      </x:c>
      <x:c r="CS24" s="117" t="n">
        <x:f>IF(AND(CS$3&gt;=EDATE($B$8,-3),CS$3&lt;$B$8),$B$24/3,0)</x:f>
      </x:c>
      <x:c r="CT24" s="117" t="n">
        <x:f>IF(AND(CT$3&gt;=EDATE($B$8,-3),CT$3&lt;$B$8),$B$24/3,0)</x:f>
      </x:c>
      <x:c r="CU24" s="117" t="n">
        <x:f>IF(AND(CU$3&gt;=EDATE($B$8,-3),CU$3&lt;$B$8),$B$24/3,0)</x:f>
      </x:c>
      <x:c r="CV24" s="117" t="n">
        <x:f>IF(AND(CV$3&gt;=EDATE($B$8,-3),CV$3&lt;$B$8),$B$24/3,0)</x:f>
      </x:c>
      <x:c r="CW24" s="117" t="n">
        <x:f>IF(AND(CW$3&gt;=EDATE($B$8,-3),CW$3&lt;$B$8),$B$24/3,0)</x:f>
      </x:c>
      <x:c r="CX24" s="117" t="n">
        <x:f>IF(AND(CX$3&gt;=EDATE($B$8,-3),CX$3&lt;$B$8),$B$24/3,0)</x:f>
      </x:c>
      <x:c r="CY24" s="117" t="n">
        <x:f>IF(AND(CY$3&gt;=EDATE($B$8,-3),CY$3&lt;$B$8),$B$24/3,0)</x:f>
      </x:c>
      <x:c r="CZ24" s="117" t="n">
        <x:f>IF(AND(CZ$3&gt;=EDATE($B$8,-3),CZ$3&lt;$B$8),$B$24/3,0)</x:f>
      </x:c>
      <x:c r="DA24" s="117" t="n">
        <x:f>IF(AND(DA$3&gt;=EDATE($B$8,-3),DA$3&lt;$B$8),$B$24/3,0)</x:f>
      </x:c>
      <x:c r="DB24" s="117" t="n">
        <x:f>IF(AND(DB$3&gt;=EDATE($B$8,-3),DB$3&lt;$B$8),$B$24/3,0)</x:f>
      </x:c>
      <x:c r="DC24" s="117" t="n">
        <x:f>IF(AND(DC$3&gt;=EDATE($B$8,-3),DC$3&lt;$B$8),$B$24/3,0)</x:f>
      </x:c>
      <x:c r="DD24" s="117" t="n">
        <x:f>IF(AND(DD$3&gt;=EDATE($B$8,-3),DD$3&lt;$B$8),$B$24/3,0)</x:f>
      </x:c>
      <x:c r="DE24" s="117" t="n">
        <x:f>IF(AND(DE$3&gt;=EDATE($B$8,-3),DE$3&lt;$B$8),$B$24/3,0)</x:f>
      </x:c>
      <x:c r="DF24" s="117" t="n">
        <x:f>IF(AND(DF$3&gt;=EDATE($B$8,-3),DF$3&lt;$B$8),$B$24/3,0)</x:f>
      </x:c>
      <x:c r="DG24" s="117" t="n">
        <x:f>IF(AND(DG$3&gt;=EDATE($B$8,-3),DG$3&lt;$B$8),$B$24/3,0)</x:f>
      </x:c>
      <x:c r="DH24" s="117" t="n">
        <x:f>IF(AND(DH$3&gt;=EDATE($B$8,-3),DH$3&lt;$B$8),$B$24/3,0)</x:f>
      </x:c>
      <x:c r="DI24" s="117" t="n">
        <x:f>IF(AND(DI$3&gt;=EDATE($B$8,-3),DI$3&lt;$B$8),$B$24/3,0)</x:f>
      </x:c>
      <x:c r="DJ24" s="117" t="n">
        <x:f>IF(AND(DJ$3&gt;=EDATE($B$8,-3),DJ$3&lt;$B$8),$B$24/3,0)</x:f>
      </x:c>
      <x:c r="DK24" s="117" t="n">
        <x:f>IF(AND(DK$3&gt;=EDATE($B$8,-3),DK$3&lt;$B$8),$B$24/3,0)</x:f>
      </x:c>
      <x:c r="DL24" s="117" t="n">
        <x:f>IF(AND(DL$3&gt;=EDATE($B$8,-3),DL$3&lt;$B$8),$B$24/3,0)</x:f>
      </x:c>
      <x:c r="DM24" s="117" t="n">
        <x:f>IF(AND(DM$3&gt;=EDATE($B$8,-3),DM$3&lt;$B$8),$B$24/3,0)</x:f>
      </x:c>
      <x:c r="DN24" s="117" t="n">
        <x:f>IF(AND(DN$3&gt;=EDATE($B$8,-3),DN$3&lt;$B$8),$B$24/3,0)</x:f>
      </x:c>
      <x:c r="DO24" s="117" t="n">
        <x:f>IF(AND(DO$3&gt;=EDATE($B$8,-3),DO$3&lt;$B$8),$B$24/3,0)</x:f>
      </x:c>
      <x:c r="DP24" s="117" t="n">
        <x:f>IF(AND(DP$3&gt;=EDATE($B$8,-3),DP$3&lt;$B$8),$B$24/3,0)</x:f>
      </x:c>
      <x:c r="DQ24" s="117" t="n">
        <x:f>IF(AND(DQ$3&gt;=EDATE($B$8,-3),DQ$3&lt;$B$8),$B$24/3,0)</x:f>
      </x:c>
      <x:c r="DR24" s="117" t="n">
        <x:f>IF(AND(DR$3&gt;=EDATE($B$8,-3),DR$3&lt;$B$8),$B$24/3,0)</x:f>
      </x:c>
      <x:c r="DS24" s="117" t="n">
        <x:f>IF(AND(DS$3&gt;=EDATE($B$8,-3),DS$3&lt;$B$8),$B$24/3,0)</x:f>
      </x:c>
      <x:c r="DT24" s="117" t="n">
        <x:f>IF(AND(DT$3&gt;=EDATE($B$8,-3),DT$3&lt;$B$8),$B$24/3,0)</x:f>
      </x:c>
      <x:c r="DU24" s="117" t="n">
        <x:f>IF(AND(DU$3&gt;=EDATE($B$8,-3),DU$3&lt;$B$8),$B$24/3,0)</x:f>
      </x:c>
      <x:c r="DV24" s="117" t="n">
        <x:f>IF(AND(DV$3&gt;=EDATE($B$8,-3),DV$3&lt;$B$8),$B$24/3,0)</x:f>
      </x:c>
      <x:c r="DW24" s="117" t="n">
        <x:f>IF(AND(DW$3&gt;=EDATE($B$8,-3),DW$3&lt;$B$8),$B$24/3,0)</x:f>
      </x:c>
      <x:c r="DX24" s="117" t="n">
        <x:f>IF(AND(DX$3&gt;=EDATE($B$8,-3),DX$3&lt;$B$8),$B$24/3,0)</x:f>
      </x:c>
      <x:c r="DY24" s="117" t="n">
        <x:f>IF(AND(DY$3&gt;=EDATE($B$8,-3),DY$3&lt;$B$8),$B$24/3,0)</x:f>
      </x:c>
      <x:c r="DZ24" s="117" t="n">
        <x:f>IF(AND(DZ$3&gt;=EDATE($B$8,-3),DZ$3&lt;$B$8),$B$24/3,0)</x:f>
      </x:c>
      <x:c r="EA24" s="117" t="n">
        <x:f>IF(AND(EA$3&gt;=EDATE($B$8,-3),EA$3&lt;$B$8),$B$24/3,0)</x:f>
      </x:c>
      <x:c r="EB24" s="117" t="n">
        <x:f>IF(AND(EB$3&gt;=EDATE($B$8,-3),EB$3&lt;$B$8),$B$24/3,0)</x:f>
      </x:c>
      <x:c r="EC24" s="117" t="n">
        <x:f>IF(AND(EC$3&gt;=EDATE($B$8,-3),EC$3&lt;$B$8),$B$24/3,0)</x:f>
      </x:c>
      <x:c r="ED24" s="117" t="n">
        <x:f>IF(AND(ED$3&gt;=EDATE($B$8,-3),ED$3&lt;$B$8),$B$24/3,0)</x:f>
      </x:c>
      <x:c r="EE24" s="117" t="n">
        <x:f>IF(AND(EE$3&gt;=EDATE($B$8,-3),EE$3&lt;$B$8),$B$24/3,0)</x:f>
      </x:c>
      <x:c r="EF24" s="117" t="n">
        <x:f>IF(AND(EF$3&gt;=EDATE($B$8,-3),EF$3&lt;$B$8),$B$24/3,0)</x:f>
      </x:c>
      <x:c r="EG24" s="117" t="n">
        <x:f>IF(AND(EG$3&gt;=EDATE($B$8,-3),EG$3&lt;$B$8),$B$24/3,0)</x:f>
      </x:c>
      <x:c r="EH24" s="117" t="n">
        <x:f>IF(AND(EH$3&gt;=EDATE($B$8,-3),EH$3&lt;$B$8),$B$24/3,0)</x:f>
      </x:c>
      <x:c r="EI24" s="117" t="n">
        <x:f>IF(AND(EI$3&gt;=EDATE($B$8,-3),EI$3&lt;$B$8),$B$24/3,0)</x:f>
      </x:c>
      <x:c r="EJ24" s="117" t="n">
        <x:f>IF(AND(EJ$3&gt;=EDATE($B$8,-3),EJ$3&lt;$B$8),$B$24/3,0)</x:f>
      </x:c>
      <x:c r="EK24" s="117" t="n">
        <x:f>IF(AND(EK$3&gt;=EDATE($B$8,-3),EK$3&lt;$B$8),$B$24/3,0)</x:f>
      </x:c>
      <x:c r="EL24" s="117" t="n">
        <x:f>IF(AND(EL$3&gt;=EDATE($B$8,-3),EL$3&lt;$B$8),$B$24/3,0)</x:f>
      </x:c>
      <x:c r="EM24" s="117" t="n">
        <x:f>IF(AND(EM$3&gt;=EDATE($B$8,-3),EM$3&lt;$B$8),$B$24/3,0)</x:f>
      </x:c>
      <x:c r="EN24" s="117" t="n">
        <x:f>IF(AND(EN$3&gt;=EDATE($B$8,-3),EN$3&lt;$B$8),$B$24/3,0)</x:f>
      </x:c>
      <x:c r="EO24" s="117" t="n">
        <x:f>IF(AND(EO$3&gt;=EDATE($B$8,-3),EO$3&lt;$B$8),$B$24/3,0)</x:f>
      </x:c>
      <x:c r="EP24" s="117" t="n">
        <x:f>IF(AND(EP$3&gt;=EDATE($B$8,-3),EP$3&lt;$B$8),$B$24/3,0)</x:f>
      </x:c>
      <x:c r="EQ24" s="117" t="n">
        <x:f>IF(AND(EQ$3&gt;=EDATE($B$8,-3),EQ$3&lt;$B$8),$B$24/3,0)</x:f>
      </x:c>
      <x:c r="ER24" s="117" t="n">
        <x:f>IF(AND(ER$3&gt;=EDATE($B$8,-3),ER$3&lt;$B$8),$B$24/3,0)</x:f>
      </x:c>
      <x:c r="ES24" s="117" t="n">
        <x:f>IF(AND(ES$3&gt;=EDATE($B$8,-3),ES$3&lt;$B$8),$B$24/3,0)</x:f>
      </x:c>
      <x:c r="ET24" s="117" t="n">
        <x:f>IF(AND(ET$3&gt;=EDATE($B$8,-3),ET$3&lt;$B$8),$B$24/3,0)</x:f>
      </x:c>
      <x:c r="EU24" s="117" t="n">
        <x:f>IF(AND(EU$3&gt;=EDATE($B$8,-3),EU$3&lt;$B$8),$B$24/3,0)</x:f>
      </x:c>
      <x:c r="EV24" s="117" t="n">
        <x:f>IF(AND(EV$3&gt;=EDATE($B$8,-3),EV$3&lt;$B$8),$B$24/3,0)</x:f>
      </x:c>
      <x:c r="EW24" s="117" t="n">
        <x:f>IF(AND(EW$3&gt;=EDATE($B$8,-3),EW$3&lt;$B$8),$B$24/3,0)</x:f>
      </x:c>
      <x:c r="EX24" s="117" t="n">
        <x:f>IF(AND(EX$3&gt;=EDATE($B$8,-3),EX$3&lt;$B$8),$B$24/3,0)</x:f>
      </x:c>
      <x:c r="EY24" s="117" t="n">
        <x:f>IF(AND(EY$3&gt;=EDATE($B$8,-3),EY$3&lt;$B$8),$B$24/3,0)</x:f>
      </x:c>
      <x:c r="EZ24" s="117" t="n">
        <x:f>IF(AND(EZ$3&gt;=EDATE($B$8,-3),EZ$3&lt;$B$8),$B$24/3,0)</x:f>
      </x:c>
      <x:c r="FA24" s="117" t="n">
        <x:f>IF(AND(FA$3&gt;=EDATE($B$8,-3),FA$3&lt;$B$8),$B$24/3,0)</x:f>
      </x:c>
      <x:c r="FB24" s="117" t="n">
        <x:f>IF(AND(FB$3&gt;=EDATE($B$8,-3),FB$3&lt;$B$8),$B$24/3,0)</x:f>
      </x:c>
      <x:c r="FC24" s="117" t="n">
        <x:f>IF(AND(FC$3&gt;=EDATE($B$8,-3),FC$3&lt;$B$8),$B$24/3,0)</x:f>
      </x:c>
      <x:c r="FD24" s="117" t="n">
        <x:f>IF(AND(FD$3&gt;=EDATE($B$8,-3),FD$3&lt;$B$8),$B$24/3,0)</x:f>
      </x:c>
      <x:c r="FE24" s="117" t="n">
        <x:f>IF(AND(FE$3&gt;=EDATE($B$8,-3),FE$3&lt;$B$8),$B$24/3,0)</x:f>
      </x:c>
      <x:c r="FF24" s="117" t="n">
        <x:f>IF(AND(FF$3&gt;=EDATE($B$8,-3),FF$3&lt;$B$8),$B$24/3,0)</x:f>
      </x:c>
      <x:c r="FG24" s="117" t="n">
        <x:f>IF(AND(FG$3&gt;=EDATE($B$8,-3),FG$3&lt;$B$8),$B$24/3,0)</x:f>
      </x:c>
      <x:c r="FH24" s="117" t="n">
        <x:f>IF(AND(FH$3&gt;=EDATE($B$8,-3),FH$3&lt;$B$8),$B$24/3,0)</x:f>
      </x:c>
      <x:c r="FI24" s="117" t="n">
        <x:f>IF(AND(FI$3&gt;=EDATE($B$8,-3),FI$3&lt;$B$8),$B$24/3,0)</x:f>
      </x:c>
      <x:c r="FJ24" s="117" t="n">
        <x:f>IF(AND(FJ$3&gt;=EDATE($B$8,-3),FJ$3&lt;$B$8),$B$24/3,0)</x:f>
      </x:c>
      <x:c r="FK24" s="117" t="n">
        <x:f>IF(AND(FK$3&gt;=EDATE($B$8,-3),FK$3&lt;$B$8),$B$24/3,0)</x:f>
      </x:c>
      <x:c r="FL24" s="117" t="n">
        <x:f>IF(AND(FL$3&gt;=EDATE($B$8,-3),FL$3&lt;$B$8),$B$24/3,0)</x:f>
      </x:c>
      <x:c r="FM24" s="117" t="n">
        <x:f>IF(AND(FM$3&gt;=EDATE($B$8,-3),FM$3&lt;$B$8),$B$24/3,0)</x:f>
      </x:c>
      <x:c r="FN24" s="117" t="n">
        <x:f>IF(AND(FN$3&gt;=EDATE($B$8,-3),FN$3&lt;$B$8),$B$24/3,0)</x:f>
      </x:c>
      <x:c r="FO24" s="117" t="n">
        <x:f>IF(AND(FO$3&gt;=EDATE($B$8,-3),FO$3&lt;$B$8),$B$24/3,0)</x:f>
      </x:c>
      <x:c r="FP24" s="117" t="n">
        <x:f>IF(AND(FP$3&gt;=EDATE($B$8,-3),FP$3&lt;$B$8),$B$24/3,0)</x:f>
      </x:c>
      <x:c r="FQ24" s="117" t="n">
        <x:f>IF(AND(FQ$3&gt;=EDATE($B$8,-3),FQ$3&lt;$B$8),$B$24/3,0)</x:f>
      </x:c>
      <x:c r="FR24" s="117" t="n">
        <x:f>IF(AND(FR$3&gt;=EDATE($B$8,-3),FR$3&lt;$B$8),$B$24/3,0)</x:f>
      </x:c>
      <x:c r="FS24" s="117" t="n">
        <x:f>IF(AND(FS$3&gt;=EDATE($B$8,-3),FS$3&lt;$B$8),$B$24/3,0)</x:f>
      </x:c>
      <x:c r="FT24" s="117" t="n">
        <x:f>IF(AND(FT$3&gt;=EDATE($B$8,-3),FT$3&lt;$B$8),$B$24/3,0)</x:f>
      </x:c>
      <x:c r="FU24" s="117" t="n">
        <x:f>IF(AND(FU$3&gt;=EDATE($B$8,-3),FU$3&lt;$B$8),$B$24/3,0)</x:f>
      </x:c>
      <x:c r="FV24" s="117" t="n">
        <x:f>IF(AND(FV$3&gt;=EDATE($B$8,-3),FV$3&lt;$B$8),$B$24/3,0)</x:f>
      </x:c>
      <x:c r="FW24" s="117" t="n">
        <x:f>IF(AND(FW$3&gt;=EDATE($B$8,-3),FW$3&lt;$B$8),$B$24/3,0)</x:f>
      </x:c>
      <x:c r="FX24" s="117" t="n">
        <x:f>IF(AND(FX$3&gt;=EDATE($B$8,-3),FX$3&lt;$B$8),$B$24/3,0)</x:f>
      </x:c>
      <x:c r="FY24" s="117" t="n">
        <x:f>IF(AND(FY$3&gt;=EDATE($B$8,-3),FY$3&lt;$B$8),$B$24/3,0)</x:f>
      </x:c>
      <x:c r="FZ24" s="117" t="n">
        <x:f>IF(AND(FZ$3&gt;=EDATE($B$8,-3),FZ$3&lt;$B$8),$B$24/3,0)</x:f>
      </x:c>
      <x:c r="GA24" s="117" t="n">
        <x:f>IF(AND(GA$3&gt;=EDATE($B$8,-3),GA$3&lt;$B$8),$B$24/3,0)</x:f>
      </x:c>
    </x:row>
    <x:row r="25">
      <x:c r="A25" t="str">
        <x:v>Сдача и ввод</x:v>
      </x:c>
      <x:c r="B25" s="107" t="n">
        <x:f>(('Вводные'!$I$88+'Вводные'!$J$88+'Вводные'!$K$88)*'Вводные'!$B$48/1000*'Вводные'!$H$6*'Вводные'!$T$88*--('Вводные'!$B$88="Да"))*'Вводные'!$AH$88</x:f>
      </x:c>
      <x:c r="C25" t="str">
        <x:v>млн ₽</x:v>
      </x:c>
      <x:c r="D25" s="117" t="n">
        <x:f>IF(AND(D$3&gt;=EDATE($B$8,-3),D$3&lt;$B$8),$B$25/3,0)</x:f>
      </x:c>
      <x:c r="E25" s="117" t="n">
        <x:f>IF(AND(E$3&gt;=EDATE($B$8,-3),E$3&lt;$B$8),$B$25/3,0)</x:f>
      </x:c>
      <x:c r="F25" s="117" t="n">
        <x:f>IF(AND(F$3&gt;=EDATE($B$8,-3),F$3&lt;$B$8),$B$25/3,0)</x:f>
      </x:c>
      <x:c r="G25" s="117" t="n">
        <x:f>IF(AND(G$3&gt;=EDATE($B$8,-3),G$3&lt;$B$8),$B$25/3,0)</x:f>
      </x:c>
      <x:c r="H25" s="117" t="n">
        <x:f>IF(AND(H$3&gt;=EDATE($B$8,-3),H$3&lt;$B$8),$B$25/3,0)</x:f>
      </x:c>
      <x:c r="I25" s="117" t="n">
        <x:f>IF(AND(I$3&gt;=EDATE($B$8,-3),I$3&lt;$B$8),$B$25/3,0)</x:f>
      </x:c>
      <x:c r="J25" s="117" t="n">
        <x:f>IF(AND(J$3&gt;=EDATE($B$8,-3),J$3&lt;$B$8),$B$25/3,0)</x:f>
      </x:c>
      <x:c r="K25" s="117" t="n">
        <x:f>IF(AND(K$3&gt;=EDATE($B$8,-3),K$3&lt;$B$8),$B$25/3,0)</x:f>
      </x:c>
      <x:c r="L25" s="117" t="n">
        <x:f>IF(AND(L$3&gt;=EDATE($B$8,-3),L$3&lt;$B$8),$B$25/3,0)</x:f>
      </x:c>
      <x:c r="M25" s="117" t="n">
        <x:f>IF(AND(M$3&gt;=EDATE($B$8,-3),M$3&lt;$B$8),$B$25/3,0)</x:f>
      </x:c>
      <x:c r="N25" s="117" t="n">
        <x:f>IF(AND(N$3&gt;=EDATE($B$8,-3),N$3&lt;$B$8),$B$25/3,0)</x:f>
      </x:c>
      <x:c r="O25" s="117" t="n">
        <x:f>IF(AND(O$3&gt;=EDATE($B$8,-3),O$3&lt;$B$8),$B$25/3,0)</x:f>
      </x:c>
      <x:c r="P25" s="117" t="n">
        <x:f>IF(AND(P$3&gt;=EDATE($B$8,-3),P$3&lt;$B$8),$B$25/3,0)</x:f>
      </x:c>
      <x:c r="Q25" s="117" t="n">
        <x:f>IF(AND(Q$3&gt;=EDATE($B$8,-3),Q$3&lt;$B$8),$B$25/3,0)</x:f>
      </x:c>
      <x:c r="R25" s="117" t="n">
        <x:f>IF(AND(R$3&gt;=EDATE($B$8,-3),R$3&lt;$B$8),$B$25/3,0)</x:f>
      </x:c>
      <x:c r="S25" s="117" t="n">
        <x:f>IF(AND(S$3&gt;=EDATE($B$8,-3),S$3&lt;$B$8),$B$25/3,0)</x:f>
      </x:c>
      <x:c r="T25" s="117" t="n">
        <x:f>IF(AND(T$3&gt;=EDATE($B$8,-3),T$3&lt;$B$8),$B$25/3,0)</x:f>
      </x:c>
      <x:c r="U25" s="117" t="n">
        <x:f>IF(AND(U$3&gt;=EDATE($B$8,-3),U$3&lt;$B$8),$B$25/3,0)</x:f>
      </x:c>
      <x:c r="V25" s="117" t="n">
        <x:f>IF(AND(V$3&gt;=EDATE($B$8,-3),V$3&lt;$B$8),$B$25/3,0)</x:f>
      </x:c>
      <x:c r="W25" s="117" t="n">
        <x:f>IF(AND(W$3&gt;=EDATE($B$8,-3),W$3&lt;$B$8),$B$25/3,0)</x:f>
      </x:c>
      <x:c r="X25" s="117" t="n">
        <x:f>IF(AND(X$3&gt;=EDATE($B$8,-3),X$3&lt;$B$8),$B$25/3,0)</x:f>
      </x:c>
      <x:c r="Y25" s="117" t="n">
        <x:f>IF(AND(Y$3&gt;=EDATE($B$8,-3),Y$3&lt;$B$8),$B$25/3,0)</x:f>
      </x:c>
      <x:c r="Z25" s="117" t="n">
        <x:f>IF(AND(Z$3&gt;=EDATE($B$8,-3),Z$3&lt;$B$8),$B$25/3,0)</x:f>
      </x:c>
      <x:c r="AA25" s="117" t="n">
        <x:f>IF(AND(AA$3&gt;=EDATE($B$8,-3),AA$3&lt;$B$8),$B$25/3,0)</x:f>
      </x:c>
      <x:c r="AB25" s="117" t="n">
        <x:f>IF(AND(AB$3&gt;=EDATE($B$8,-3),AB$3&lt;$B$8),$B$25/3,0)</x:f>
      </x:c>
      <x:c r="AC25" s="117" t="n">
        <x:f>IF(AND(AC$3&gt;=EDATE($B$8,-3),AC$3&lt;$B$8),$B$25/3,0)</x:f>
      </x:c>
      <x:c r="AD25" s="117" t="n">
        <x:f>IF(AND(AD$3&gt;=EDATE($B$8,-3),AD$3&lt;$B$8),$B$25/3,0)</x:f>
      </x:c>
      <x:c r="AE25" s="117" t="n">
        <x:f>IF(AND(AE$3&gt;=EDATE($B$8,-3),AE$3&lt;$B$8),$B$25/3,0)</x:f>
      </x:c>
      <x:c r="AF25" s="117" t="n">
        <x:f>IF(AND(AF$3&gt;=EDATE($B$8,-3),AF$3&lt;$B$8),$B$25/3,0)</x:f>
      </x:c>
      <x:c r="AG25" s="117" t="n">
        <x:f>IF(AND(AG$3&gt;=EDATE($B$8,-3),AG$3&lt;$B$8),$B$25/3,0)</x:f>
      </x:c>
      <x:c r="AH25" s="117" t="n">
        <x:f>IF(AND(AH$3&gt;=EDATE($B$8,-3),AH$3&lt;$B$8),$B$25/3,0)</x:f>
      </x:c>
      <x:c r="AI25" s="117" t="n">
        <x:f>IF(AND(AI$3&gt;=EDATE($B$8,-3),AI$3&lt;$B$8),$B$25/3,0)</x:f>
      </x:c>
      <x:c r="AJ25" s="117" t="n">
        <x:f>IF(AND(AJ$3&gt;=EDATE($B$8,-3),AJ$3&lt;$B$8),$B$25/3,0)</x:f>
      </x:c>
      <x:c r="AK25" s="117" t="n">
        <x:f>IF(AND(AK$3&gt;=EDATE($B$8,-3),AK$3&lt;$B$8),$B$25/3,0)</x:f>
      </x:c>
      <x:c r="AL25" s="117" t="n">
        <x:f>IF(AND(AL$3&gt;=EDATE($B$8,-3),AL$3&lt;$B$8),$B$25/3,0)</x:f>
      </x:c>
      <x:c r="AM25" s="117" t="n">
        <x:f>IF(AND(AM$3&gt;=EDATE($B$8,-3),AM$3&lt;$B$8),$B$25/3,0)</x:f>
      </x:c>
      <x:c r="AN25" s="117" t="n">
        <x:f>IF(AND(AN$3&gt;=EDATE($B$8,-3),AN$3&lt;$B$8),$B$25/3,0)</x:f>
      </x:c>
      <x:c r="AO25" s="117" t="n">
        <x:f>IF(AND(AO$3&gt;=EDATE($B$8,-3),AO$3&lt;$B$8),$B$25/3,0)</x:f>
      </x:c>
      <x:c r="AP25" s="117" t="n">
        <x:f>IF(AND(AP$3&gt;=EDATE($B$8,-3),AP$3&lt;$B$8),$B$25/3,0)</x:f>
      </x:c>
      <x:c r="AQ25" s="117" t="n">
        <x:f>IF(AND(AQ$3&gt;=EDATE($B$8,-3),AQ$3&lt;$B$8),$B$25/3,0)</x:f>
      </x:c>
      <x:c r="AR25" s="117" t="n">
        <x:f>IF(AND(AR$3&gt;=EDATE($B$8,-3),AR$3&lt;$B$8),$B$25/3,0)</x:f>
      </x:c>
      <x:c r="AS25" s="117" t="n">
        <x:f>IF(AND(AS$3&gt;=EDATE($B$8,-3),AS$3&lt;$B$8),$B$25/3,0)</x:f>
      </x:c>
      <x:c r="AT25" s="117" t="n">
        <x:f>IF(AND(AT$3&gt;=EDATE($B$8,-3),AT$3&lt;$B$8),$B$25/3,0)</x:f>
      </x:c>
      <x:c r="AU25" s="117" t="n">
        <x:f>IF(AND(AU$3&gt;=EDATE($B$8,-3),AU$3&lt;$B$8),$B$25/3,0)</x:f>
      </x:c>
      <x:c r="AV25" s="117" t="n">
        <x:f>IF(AND(AV$3&gt;=EDATE($B$8,-3),AV$3&lt;$B$8),$B$25/3,0)</x:f>
      </x:c>
      <x:c r="AW25" s="117" t="n">
        <x:f>IF(AND(AW$3&gt;=EDATE($B$8,-3),AW$3&lt;$B$8),$B$25/3,0)</x:f>
      </x:c>
      <x:c r="AX25" s="117" t="n">
        <x:f>IF(AND(AX$3&gt;=EDATE($B$8,-3),AX$3&lt;$B$8),$B$25/3,0)</x:f>
      </x:c>
      <x:c r="AY25" s="117" t="n">
        <x:f>IF(AND(AY$3&gt;=EDATE($B$8,-3),AY$3&lt;$B$8),$B$25/3,0)</x:f>
      </x:c>
      <x:c r="AZ25" s="117" t="n">
        <x:f>IF(AND(AZ$3&gt;=EDATE($B$8,-3),AZ$3&lt;$B$8),$B$25/3,0)</x:f>
      </x:c>
      <x:c r="BA25" s="117" t="n">
        <x:f>IF(AND(BA$3&gt;=EDATE($B$8,-3),BA$3&lt;$B$8),$B$25/3,0)</x:f>
      </x:c>
      <x:c r="BB25" s="117" t="n">
        <x:f>IF(AND(BB$3&gt;=EDATE($B$8,-3),BB$3&lt;$B$8),$B$25/3,0)</x:f>
      </x:c>
      <x:c r="BC25" s="117" t="n">
        <x:f>IF(AND(BC$3&gt;=EDATE($B$8,-3),BC$3&lt;$B$8),$B$25/3,0)</x:f>
      </x:c>
      <x:c r="BD25" s="117" t="n">
        <x:f>IF(AND(BD$3&gt;=EDATE($B$8,-3),BD$3&lt;$B$8),$B$25/3,0)</x:f>
      </x:c>
      <x:c r="BE25" s="117" t="n">
        <x:f>IF(AND(BE$3&gt;=EDATE($B$8,-3),BE$3&lt;$B$8),$B$25/3,0)</x:f>
      </x:c>
      <x:c r="BF25" s="117" t="n">
        <x:f>IF(AND(BF$3&gt;=EDATE($B$8,-3),BF$3&lt;$B$8),$B$25/3,0)</x:f>
      </x:c>
      <x:c r="BG25" s="117" t="n">
        <x:f>IF(AND(BG$3&gt;=EDATE($B$8,-3),BG$3&lt;$B$8),$B$25/3,0)</x:f>
      </x:c>
      <x:c r="BH25" s="117" t="n">
        <x:f>IF(AND(BH$3&gt;=EDATE($B$8,-3),BH$3&lt;$B$8),$B$25/3,0)</x:f>
      </x:c>
      <x:c r="BI25" s="117" t="n">
        <x:f>IF(AND(BI$3&gt;=EDATE($B$8,-3),BI$3&lt;$B$8),$B$25/3,0)</x:f>
      </x:c>
      <x:c r="BJ25" s="117" t="n">
        <x:f>IF(AND(BJ$3&gt;=EDATE($B$8,-3),BJ$3&lt;$B$8),$B$25/3,0)</x:f>
      </x:c>
      <x:c r="BK25" s="117" t="n">
        <x:f>IF(AND(BK$3&gt;=EDATE($B$8,-3),BK$3&lt;$B$8),$B$25/3,0)</x:f>
      </x:c>
      <x:c r="BL25" s="117" t="n">
        <x:f>IF(AND(BL$3&gt;=EDATE($B$8,-3),BL$3&lt;$B$8),$B$25/3,0)</x:f>
      </x:c>
      <x:c r="BM25" s="117" t="n">
        <x:f>IF(AND(BM$3&gt;=EDATE($B$8,-3),BM$3&lt;$B$8),$B$25/3,0)</x:f>
      </x:c>
      <x:c r="BN25" s="117" t="n">
        <x:f>IF(AND(BN$3&gt;=EDATE($B$8,-3),BN$3&lt;$B$8),$B$25/3,0)</x:f>
      </x:c>
      <x:c r="BO25" s="117" t="n">
        <x:f>IF(AND(BO$3&gt;=EDATE($B$8,-3),BO$3&lt;$B$8),$B$25/3,0)</x:f>
      </x:c>
      <x:c r="BP25" s="117" t="n">
        <x:f>IF(AND(BP$3&gt;=EDATE($B$8,-3),BP$3&lt;$B$8),$B$25/3,0)</x:f>
      </x:c>
      <x:c r="BQ25" s="117" t="n">
        <x:f>IF(AND(BQ$3&gt;=EDATE($B$8,-3),BQ$3&lt;$B$8),$B$25/3,0)</x:f>
      </x:c>
      <x:c r="BR25" s="117" t="n">
        <x:f>IF(AND(BR$3&gt;=EDATE($B$8,-3),BR$3&lt;$B$8),$B$25/3,0)</x:f>
      </x:c>
      <x:c r="BS25" s="117" t="n">
        <x:f>IF(AND(BS$3&gt;=EDATE($B$8,-3),BS$3&lt;$B$8),$B$25/3,0)</x:f>
      </x:c>
      <x:c r="BT25" s="117" t="n">
        <x:f>IF(AND(BT$3&gt;=EDATE($B$8,-3),BT$3&lt;$B$8),$B$25/3,0)</x:f>
      </x:c>
      <x:c r="BU25" s="117" t="n">
        <x:f>IF(AND(BU$3&gt;=EDATE($B$8,-3),BU$3&lt;$B$8),$B$25/3,0)</x:f>
      </x:c>
      <x:c r="BV25" s="117" t="n">
        <x:f>IF(AND(BV$3&gt;=EDATE($B$8,-3),BV$3&lt;$B$8),$B$25/3,0)</x:f>
      </x:c>
      <x:c r="BW25" s="117" t="n">
        <x:f>IF(AND(BW$3&gt;=EDATE($B$8,-3),BW$3&lt;$B$8),$B$25/3,0)</x:f>
      </x:c>
      <x:c r="BX25" s="117" t="n">
        <x:f>IF(AND(BX$3&gt;=EDATE($B$8,-3),BX$3&lt;$B$8),$B$25/3,0)</x:f>
      </x:c>
      <x:c r="BY25" s="117" t="n">
        <x:f>IF(AND(BY$3&gt;=EDATE($B$8,-3),BY$3&lt;$B$8),$B$25/3,0)</x:f>
      </x:c>
      <x:c r="BZ25" s="117" t="n">
        <x:f>IF(AND(BZ$3&gt;=EDATE($B$8,-3),BZ$3&lt;$B$8),$B$25/3,0)</x:f>
      </x:c>
      <x:c r="CA25" s="117" t="n">
        <x:f>IF(AND(CA$3&gt;=EDATE($B$8,-3),CA$3&lt;$B$8),$B$25/3,0)</x:f>
      </x:c>
      <x:c r="CB25" s="117" t="n">
        <x:f>IF(AND(CB$3&gt;=EDATE($B$8,-3),CB$3&lt;$B$8),$B$25/3,0)</x:f>
      </x:c>
      <x:c r="CC25" s="117" t="n">
        <x:f>IF(AND(CC$3&gt;=EDATE($B$8,-3),CC$3&lt;$B$8),$B$25/3,0)</x:f>
      </x:c>
      <x:c r="CD25" s="117" t="n">
        <x:f>IF(AND(CD$3&gt;=EDATE($B$8,-3),CD$3&lt;$B$8),$B$25/3,0)</x:f>
      </x:c>
      <x:c r="CE25" s="117" t="n">
        <x:f>IF(AND(CE$3&gt;=EDATE($B$8,-3),CE$3&lt;$B$8),$B$25/3,0)</x:f>
      </x:c>
      <x:c r="CF25" s="117" t="n">
        <x:f>IF(AND(CF$3&gt;=EDATE($B$8,-3),CF$3&lt;$B$8),$B$25/3,0)</x:f>
      </x:c>
      <x:c r="CG25" s="117" t="n">
        <x:f>IF(AND(CG$3&gt;=EDATE($B$8,-3),CG$3&lt;$B$8),$B$25/3,0)</x:f>
      </x:c>
      <x:c r="CH25" s="117" t="n">
        <x:f>IF(AND(CH$3&gt;=EDATE($B$8,-3),CH$3&lt;$B$8),$B$25/3,0)</x:f>
      </x:c>
      <x:c r="CI25" s="117" t="n">
        <x:f>IF(AND(CI$3&gt;=EDATE($B$8,-3),CI$3&lt;$B$8),$B$25/3,0)</x:f>
      </x:c>
      <x:c r="CJ25" s="117" t="n">
        <x:f>IF(AND(CJ$3&gt;=EDATE($B$8,-3),CJ$3&lt;$B$8),$B$25/3,0)</x:f>
      </x:c>
      <x:c r="CK25" s="117" t="n">
        <x:f>IF(AND(CK$3&gt;=EDATE($B$8,-3),CK$3&lt;$B$8),$B$25/3,0)</x:f>
      </x:c>
      <x:c r="CL25" s="117" t="n">
        <x:f>IF(AND(CL$3&gt;=EDATE($B$8,-3),CL$3&lt;$B$8),$B$25/3,0)</x:f>
      </x:c>
      <x:c r="CM25" s="117" t="n">
        <x:f>IF(AND(CM$3&gt;=EDATE($B$8,-3),CM$3&lt;$B$8),$B$25/3,0)</x:f>
      </x:c>
      <x:c r="CN25" s="117" t="n">
        <x:f>IF(AND(CN$3&gt;=EDATE($B$8,-3),CN$3&lt;$B$8),$B$25/3,0)</x:f>
      </x:c>
      <x:c r="CO25" s="117" t="n">
        <x:f>IF(AND(CO$3&gt;=EDATE($B$8,-3),CO$3&lt;$B$8),$B$25/3,0)</x:f>
      </x:c>
      <x:c r="CP25" s="117" t="n">
        <x:f>IF(AND(CP$3&gt;=EDATE($B$8,-3),CP$3&lt;$B$8),$B$25/3,0)</x:f>
      </x:c>
      <x:c r="CQ25" s="117" t="n">
        <x:f>IF(AND(CQ$3&gt;=EDATE($B$8,-3),CQ$3&lt;$B$8),$B$25/3,0)</x:f>
      </x:c>
      <x:c r="CR25" s="117" t="n">
        <x:f>IF(AND(CR$3&gt;=EDATE($B$8,-3),CR$3&lt;$B$8),$B$25/3,0)</x:f>
      </x:c>
      <x:c r="CS25" s="117" t="n">
        <x:f>IF(AND(CS$3&gt;=EDATE($B$8,-3),CS$3&lt;$B$8),$B$25/3,0)</x:f>
      </x:c>
      <x:c r="CT25" s="117" t="n">
        <x:f>IF(AND(CT$3&gt;=EDATE($B$8,-3),CT$3&lt;$B$8),$B$25/3,0)</x:f>
      </x:c>
      <x:c r="CU25" s="117" t="n">
        <x:f>IF(AND(CU$3&gt;=EDATE($B$8,-3),CU$3&lt;$B$8),$B$25/3,0)</x:f>
      </x:c>
      <x:c r="CV25" s="117" t="n">
        <x:f>IF(AND(CV$3&gt;=EDATE($B$8,-3),CV$3&lt;$B$8),$B$25/3,0)</x:f>
      </x:c>
      <x:c r="CW25" s="117" t="n">
        <x:f>IF(AND(CW$3&gt;=EDATE($B$8,-3),CW$3&lt;$B$8),$B$25/3,0)</x:f>
      </x:c>
      <x:c r="CX25" s="117" t="n">
        <x:f>IF(AND(CX$3&gt;=EDATE($B$8,-3),CX$3&lt;$B$8),$B$25/3,0)</x:f>
      </x:c>
      <x:c r="CY25" s="117" t="n">
        <x:f>IF(AND(CY$3&gt;=EDATE($B$8,-3),CY$3&lt;$B$8),$B$25/3,0)</x:f>
      </x:c>
      <x:c r="CZ25" s="117" t="n">
        <x:f>IF(AND(CZ$3&gt;=EDATE($B$8,-3),CZ$3&lt;$B$8),$B$25/3,0)</x:f>
      </x:c>
      <x:c r="DA25" s="117" t="n">
        <x:f>IF(AND(DA$3&gt;=EDATE($B$8,-3),DA$3&lt;$B$8),$B$25/3,0)</x:f>
      </x:c>
      <x:c r="DB25" s="117" t="n">
        <x:f>IF(AND(DB$3&gt;=EDATE($B$8,-3),DB$3&lt;$B$8),$B$25/3,0)</x:f>
      </x:c>
      <x:c r="DC25" s="117" t="n">
        <x:f>IF(AND(DC$3&gt;=EDATE($B$8,-3),DC$3&lt;$B$8),$B$25/3,0)</x:f>
      </x:c>
      <x:c r="DD25" s="117" t="n">
        <x:f>IF(AND(DD$3&gt;=EDATE($B$8,-3),DD$3&lt;$B$8),$B$25/3,0)</x:f>
      </x:c>
      <x:c r="DE25" s="117" t="n">
        <x:f>IF(AND(DE$3&gt;=EDATE($B$8,-3),DE$3&lt;$B$8),$B$25/3,0)</x:f>
      </x:c>
      <x:c r="DF25" s="117" t="n">
        <x:f>IF(AND(DF$3&gt;=EDATE($B$8,-3),DF$3&lt;$B$8),$B$25/3,0)</x:f>
      </x:c>
      <x:c r="DG25" s="117" t="n">
        <x:f>IF(AND(DG$3&gt;=EDATE($B$8,-3),DG$3&lt;$B$8),$B$25/3,0)</x:f>
      </x:c>
      <x:c r="DH25" s="117" t="n">
        <x:f>IF(AND(DH$3&gt;=EDATE($B$8,-3),DH$3&lt;$B$8),$B$25/3,0)</x:f>
      </x:c>
      <x:c r="DI25" s="117" t="n">
        <x:f>IF(AND(DI$3&gt;=EDATE($B$8,-3),DI$3&lt;$B$8),$B$25/3,0)</x:f>
      </x:c>
      <x:c r="DJ25" s="117" t="n">
        <x:f>IF(AND(DJ$3&gt;=EDATE($B$8,-3),DJ$3&lt;$B$8),$B$25/3,0)</x:f>
      </x:c>
      <x:c r="DK25" s="117" t="n">
        <x:f>IF(AND(DK$3&gt;=EDATE($B$8,-3),DK$3&lt;$B$8),$B$25/3,0)</x:f>
      </x:c>
      <x:c r="DL25" s="117" t="n">
        <x:f>IF(AND(DL$3&gt;=EDATE($B$8,-3),DL$3&lt;$B$8),$B$25/3,0)</x:f>
      </x:c>
      <x:c r="DM25" s="117" t="n">
        <x:f>IF(AND(DM$3&gt;=EDATE($B$8,-3),DM$3&lt;$B$8),$B$25/3,0)</x:f>
      </x:c>
      <x:c r="DN25" s="117" t="n">
        <x:f>IF(AND(DN$3&gt;=EDATE($B$8,-3),DN$3&lt;$B$8),$B$25/3,0)</x:f>
      </x:c>
      <x:c r="DO25" s="117" t="n">
        <x:f>IF(AND(DO$3&gt;=EDATE($B$8,-3),DO$3&lt;$B$8),$B$25/3,0)</x:f>
      </x:c>
      <x:c r="DP25" s="117" t="n">
        <x:f>IF(AND(DP$3&gt;=EDATE($B$8,-3),DP$3&lt;$B$8),$B$25/3,0)</x:f>
      </x:c>
      <x:c r="DQ25" s="117" t="n">
        <x:f>IF(AND(DQ$3&gt;=EDATE($B$8,-3),DQ$3&lt;$B$8),$B$25/3,0)</x:f>
      </x:c>
      <x:c r="DR25" s="117" t="n">
        <x:f>IF(AND(DR$3&gt;=EDATE($B$8,-3),DR$3&lt;$B$8),$B$25/3,0)</x:f>
      </x:c>
      <x:c r="DS25" s="117" t="n">
        <x:f>IF(AND(DS$3&gt;=EDATE($B$8,-3),DS$3&lt;$B$8),$B$25/3,0)</x:f>
      </x:c>
      <x:c r="DT25" s="117" t="n">
        <x:f>IF(AND(DT$3&gt;=EDATE($B$8,-3),DT$3&lt;$B$8),$B$25/3,0)</x:f>
      </x:c>
      <x:c r="DU25" s="117" t="n">
        <x:f>IF(AND(DU$3&gt;=EDATE($B$8,-3),DU$3&lt;$B$8),$B$25/3,0)</x:f>
      </x:c>
      <x:c r="DV25" s="117" t="n">
        <x:f>IF(AND(DV$3&gt;=EDATE($B$8,-3),DV$3&lt;$B$8),$B$25/3,0)</x:f>
      </x:c>
      <x:c r="DW25" s="117" t="n">
        <x:f>IF(AND(DW$3&gt;=EDATE($B$8,-3),DW$3&lt;$B$8),$B$25/3,0)</x:f>
      </x:c>
      <x:c r="DX25" s="117" t="n">
        <x:f>IF(AND(DX$3&gt;=EDATE($B$8,-3),DX$3&lt;$B$8),$B$25/3,0)</x:f>
      </x:c>
      <x:c r="DY25" s="117" t="n">
        <x:f>IF(AND(DY$3&gt;=EDATE($B$8,-3),DY$3&lt;$B$8),$B$25/3,0)</x:f>
      </x:c>
      <x:c r="DZ25" s="117" t="n">
        <x:f>IF(AND(DZ$3&gt;=EDATE($B$8,-3),DZ$3&lt;$B$8),$B$25/3,0)</x:f>
      </x:c>
      <x:c r="EA25" s="117" t="n">
        <x:f>IF(AND(EA$3&gt;=EDATE($B$8,-3),EA$3&lt;$B$8),$B$25/3,0)</x:f>
      </x:c>
      <x:c r="EB25" s="117" t="n">
        <x:f>IF(AND(EB$3&gt;=EDATE($B$8,-3),EB$3&lt;$B$8),$B$25/3,0)</x:f>
      </x:c>
      <x:c r="EC25" s="117" t="n">
        <x:f>IF(AND(EC$3&gt;=EDATE($B$8,-3),EC$3&lt;$B$8),$B$25/3,0)</x:f>
      </x:c>
      <x:c r="ED25" s="117" t="n">
        <x:f>IF(AND(ED$3&gt;=EDATE($B$8,-3),ED$3&lt;$B$8),$B$25/3,0)</x:f>
      </x:c>
      <x:c r="EE25" s="117" t="n">
        <x:f>IF(AND(EE$3&gt;=EDATE($B$8,-3),EE$3&lt;$B$8),$B$25/3,0)</x:f>
      </x:c>
      <x:c r="EF25" s="117" t="n">
        <x:f>IF(AND(EF$3&gt;=EDATE($B$8,-3),EF$3&lt;$B$8),$B$25/3,0)</x:f>
      </x:c>
      <x:c r="EG25" s="117" t="n">
        <x:f>IF(AND(EG$3&gt;=EDATE($B$8,-3),EG$3&lt;$B$8),$B$25/3,0)</x:f>
      </x:c>
      <x:c r="EH25" s="117" t="n">
        <x:f>IF(AND(EH$3&gt;=EDATE($B$8,-3),EH$3&lt;$B$8),$B$25/3,0)</x:f>
      </x:c>
      <x:c r="EI25" s="117" t="n">
        <x:f>IF(AND(EI$3&gt;=EDATE($B$8,-3),EI$3&lt;$B$8),$B$25/3,0)</x:f>
      </x:c>
      <x:c r="EJ25" s="117" t="n">
        <x:f>IF(AND(EJ$3&gt;=EDATE($B$8,-3),EJ$3&lt;$B$8),$B$25/3,0)</x:f>
      </x:c>
      <x:c r="EK25" s="117" t="n">
        <x:f>IF(AND(EK$3&gt;=EDATE($B$8,-3),EK$3&lt;$B$8),$B$25/3,0)</x:f>
      </x:c>
      <x:c r="EL25" s="117" t="n">
        <x:f>IF(AND(EL$3&gt;=EDATE($B$8,-3),EL$3&lt;$B$8),$B$25/3,0)</x:f>
      </x:c>
      <x:c r="EM25" s="117" t="n">
        <x:f>IF(AND(EM$3&gt;=EDATE($B$8,-3),EM$3&lt;$B$8),$B$25/3,0)</x:f>
      </x:c>
      <x:c r="EN25" s="117" t="n">
        <x:f>IF(AND(EN$3&gt;=EDATE($B$8,-3),EN$3&lt;$B$8),$B$25/3,0)</x:f>
      </x:c>
      <x:c r="EO25" s="117" t="n">
        <x:f>IF(AND(EO$3&gt;=EDATE($B$8,-3),EO$3&lt;$B$8),$B$25/3,0)</x:f>
      </x:c>
      <x:c r="EP25" s="117" t="n">
        <x:f>IF(AND(EP$3&gt;=EDATE($B$8,-3),EP$3&lt;$B$8),$B$25/3,0)</x:f>
      </x:c>
      <x:c r="EQ25" s="117" t="n">
        <x:f>IF(AND(EQ$3&gt;=EDATE($B$8,-3),EQ$3&lt;$B$8),$B$25/3,0)</x:f>
      </x:c>
      <x:c r="ER25" s="117" t="n">
        <x:f>IF(AND(ER$3&gt;=EDATE($B$8,-3),ER$3&lt;$B$8),$B$25/3,0)</x:f>
      </x:c>
      <x:c r="ES25" s="117" t="n">
        <x:f>IF(AND(ES$3&gt;=EDATE($B$8,-3),ES$3&lt;$B$8),$B$25/3,0)</x:f>
      </x:c>
      <x:c r="ET25" s="117" t="n">
        <x:f>IF(AND(ET$3&gt;=EDATE($B$8,-3),ET$3&lt;$B$8),$B$25/3,0)</x:f>
      </x:c>
      <x:c r="EU25" s="117" t="n">
        <x:f>IF(AND(EU$3&gt;=EDATE($B$8,-3),EU$3&lt;$B$8),$B$25/3,0)</x:f>
      </x:c>
      <x:c r="EV25" s="117" t="n">
        <x:f>IF(AND(EV$3&gt;=EDATE($B$8,-3),EV$3&lt;$B$8),$B$25/3,0)</x:f>
      </x:c>
      <x:c r="EW25" s="117" t="n">
        <x:f>IF(AND(EW$3&gt;=EDATE($B$8,-3),EW$3&lt;$B$8),$B$25/3,0)</x:f>
      </x:c>
      <x:c r="EX25" s="117" t="n">
        <x:f>IF(AND(EX$3&gt;=EDATE($B$8,-3),EX$3&lt;$B$8),$B$25/3,0)</x:f>
      </x:c>
      <x:c r="EY25" s="117" t="n">
        <x:f>IF(AND(EY$3&gt;=EDATE($B$8,-3),EY$3&lt;$B$8),$B$25/3,0)</x:f>
      </x:c>
      <x:c r="EZ25" s="117" t="n">
        <x:f>IF(AND(EZ$3&gt;=EDATE($B$8,-3),EZ$3&lt;$B$8),$B$25/3,0)</x:f>
      </x:c>
      <x:c r="FA25" s="117" t="n">
        <x:f>IF(AND(FA$3&gt;=EDATE($B$8,-3),FA$3&lt;$B$8),$B$25/3,0)</x:f>
      </x:c>
      <x:c r="FB25" s="117" t="n">
        <x:f>IF(AND(FB$3&gt;=EDATE($B$8,-3),FB$3&lt;$B$8),$B$25/3,0)</x:f>
      </x:c>
      <x:c r="FC25" s="117" t="n">
        <x:f>IF(AND(FC$3&gt;=EDATE($B$8,-3),FC$3&lt;$B$8),$B$25/3,0)</x:f>
      </x:c>
      <x:c r="FD25" s="117" t="n">
        <x:f>IF(AND(FD$3&gt;=EDATE($B$8,-3),FD$3&lt;$B$8),$B$25/3,0)</x:f>
      </x:c>
      <x:c r="FE25" s="117" t="n">
        <x:f>IF(AND(FE$3&gt;=EDATE($B$8,-3),FE$3&lt;$B$8),$B$25/3,0)</x:f>
      </x:c>
      <x:c r="FF25" s="117" t="n">
        <x:f>IF(AND(FF$3&gt;=EDATE($B$8,-3),FF$3&lt;$B$8),$B$25/3,0)</x:f>
      </x:c>
      <x:c r="FG25" s="117" t="n">
        <x:f>IF(AND(FG$3&gt;=EDATE($B$8,-3),FG$3&lt;$B$8),$B$25/3,0)</x:f>
      </x:c>
      <x:c r="FH25" s="117" t="n">
        <x:f>IF(AND(FH$3&gt;=EDATE($B$8,-3),FH$3&lt;$B$8),$B$25/3,0)</x:f>
      </x:c>
      <x:c r="FI25" s="117" t="n">
        <x:f>IF(AND(FI$3&gt;=EDATE($B$8,-3),FI$3&lt;$B$8),$B$25/3,0)</x:f>
      </x:c>
      <x:c r="FJ25" s="117" t="n">
        <x:f>IF(AND(FJ$3&gt;=EDATE($B$8,-3),FJ$3&lt;$B$8),$B$25/3,0)</x:f>
      </x:c>
      <x:c r="FK25" s="117" t="n">
        <x:f>IF(AND(FK$3&gt;=EDATE($B$8,-3),FK$3&lt;$B$8),$B$25/3,0)</x:f>
      </x:c>
      <x:c r="FL25" s="117" t="n">
        <x:f>IF(AND(FL$3&gt;=EDATE($B$8,-3),FL$3&lt;$B$8),$B$25/3,0)</x:f>
      </x:c>
      <x:c r="FM25" s="117" t="n">
        <x:f>IF(AND(FM$3&gt;=EDATE($B$8,-3),FM$3&lt;$B$8),$B$25/3,0)</x:f>
      </x:c>
      <x:c r="FN25" s="117" t="n">
        <x:f>IF(AND(FN$3&gt;=EDATE($B$8,-3),FN$3&lt;$B$8),$B$25/3,0)</x:f>
      </x:c>
      <x:c r="FO25" s="117" t="n">
        <x:f>IF(AND(FO$3&gt;=EDATE($B$8,-3),FO$3&lt;$B$8),$B$25/3,0)</x:f>
      </x:c>
      <x:c r="FP25" s="117" t="n">
        <x:f>IF(AND(FP$3&gt;=EDATE($B$8,-3),FP$3&lt;$B$8),$B$25/3,0)</x:f>
      </x:c>
      <x:c r="FQ25" s="117" t="n">
        <x:f>IF(AND(FQ$3&gt;=EDATE($B$8,-3),FQ$3&lt;$B$8),$B$25/3,0)</x:f>
      </x:c>
      <x:c r="FR25" s="117" t="n">
        <x:f>IF(AND(FR$3&gt;=EDATE($B$8,-3),FR$3&lt;$B$8),$B$25/3,0)</x:f>
      </x:c>
      <x:c r="FS25" s="117" t="n">
        <x:f>IF(AND(FS$3&gt;=EDATE($B$8,-3),FS$3&lt;$B$8),$B$25/3,0)</x:f>
      </x:c>
      <x:c r="FT25" s="117" t="n">
        <x:f>IF(AND(FT$3&gt;=EDATE($B$8,-3),FT$3&lt;$B$8),$B$25/3,0)</x:f>
      </x:c>
      <x:c r="FU25" s="117" t="n">
        <x:f>IF(AND(FU$3&gt;=EDATE($B$8,-3),FU$3&lt;$B$8),$B$25/3,0)</x:f>
      </x:c>
      <x:c r="FV25" s="117" t="n">
        <x:f>IF(AND(FV$3&gt;=EDATE($B$8,-3),FV$3&lt;$B$8),$B$25/3,0)</x:f>
      </x:c>
      <x:c r="FW25" s="117" t="n">
        <x:f>IF(AND(FW$3&gt;=EDATE($B$8,-3),FW$3&lt;$B$8),$B$25/3,0)</x:f>
      </x:c>
      <x:c r="FX25" s="117" t="n">
        <x:f>IF(AND(FX$3&gt;=EDATE($B$8,-3),FX$3&lt;$B$8),$B$25/3,0)</x:f>
      </x:c>
      <x:c r="FY25" s="117" t="n">
        <x:f>IF(AND(FY$3&gt;=EDATE($B$8,-3),FY$3&lt;$B$8),$B$25/3,0)</x:f>
      </x:c>
      <x:c r="FZ25" s="117" t="n">
        <x:f>IF(AND(FZ$3&gt;=EDATE($B$8,-3),FZ$3&lt;$B$8),$B$25/3,0)</x:f>
      </x:c>
      <x:c r="GA25" s="117" t="n">
        <x:f>IF(AND(GA$3&gt;=EDATE($B$8,-3),GA$3&lt;$B$8),$B$25/3,0)</x:f>
      </x:c>
    </x:row>
    <x:row r="26">
      <x:c r="A26" t="str">
        <x:v>Содержание стройплощадки</x:v>
      </x:c>
      <x:c r="B26" s="107" t="n">
        <x:f>(('Вводные'!$I$88+'Вводные'!$J$88+'Вводные'!$K$88)*'Вводные'!$B$49/1000*'Вводные'!$H$6*'Вводные'!$T$88*--('Вводные'!$B$88="Да"))*'Вводные'!$AH$88</x:f>
      </x:c>
      <x:c r="C26" t="str">
        <x:v>млн ₽</x:v>
      </x:c>
      <x:c r="D26" s="117" t="n">
        <x:f>$B$26*D13</x:f>
      </x:c>
      <x:c r="E26" s="117" t="n">
        <x:f>$B$26*E13</x:f>
      </x:c>
      <x:c r="F26" s="117" t="n">
        <x:f>$B$26*F13</x:f>
      </x:c>
      <x:c r="G26" s="117" t="n">
        <x:f>$B$26*G13</x:f>
      </x:c>
      <x:c r="H26" s="117" t="n">
        <x:f>$B$26*H13</x:f>
      </x:c>
      <x:c r="I26" s="117" t="n">
        <x:f>$B$26*I13</x:f>
      </x:c>
      <x:c r="J26" s="117" t="n">
        <x:f>$B$26*J13</x:f>
      </x:c>
      <x:c r="K26" s="117" t="n">
        <x:f>$B$26*K13</x:f>
      </x:c>
      <x:c r="L26" s="117" t="n">
        <x:f>$B$26*L13</x:f>
      </x:c>
      <x:c r="M26" s="117" t="n">
        <x:f>$B$26*M13</x:f>
      </x:c>
      <x:c r="N26" s="117" t="n">
        <x:f>$B$26*N13</x:f>
      </x:c>
      <x:c r="O26" s="117" t="n">
        <x:f>$B$26*O13</x:f>
      </x:c>
      <x:c r="P26" s="117" t="n">
        <x:f>$B$26*P13</x:f>
      </x:c>
      <x:c r="Q26" s="117" t="n">
        <x:f>$B$26*Q13</x:f>
      </x:c>
      <x:c r="R26" s="117" t="n">
        <x:f>$B$26*R13</x:f>
      </x:c>
      <x:c r="S26" s="117" t="n">
        <x:f>$B$26*S13</x:f>
      </x:c>
      <x:c r="T26" s="117" t="n">
        <x:f>$B$26*T13</x:f>
      </x:c>
      <x:c r="U26" s="117" t="n">
        <x:f>$B$26*U13</x:f>
      </x:c>
      <x:c r="V26" s="117" t="n">
        <x:f>$B$26*V13</x:f>
      </x:c>
      <x:c r="W26" s="117" t="n">
        <x:f>$B$26*W13</x:f>
      </x:c>
      <x:c r="X26" s="117" t="n">
        <x:f>$B$26*X13</x:f>
      </x:c>
      <x:c r="Y26" s="117" t="n">
        <x:f>$B$26*Y13</x:f>
      </x:c>
      <x:c r="Z26" s="117" t="n">
        <x:f>$B$26*Z13</x:f>
      </x:c>
      <x:c r="AA26" s="117" t="n">
        <x:f>$B$26*AA13</x:f>
      </x:c>
      <x:c r="AB26" s="117" t="n">
        <x:f>$B$26*AB13</x:f>
      </x:c>
      <x:c r="AC26" s="117" t="n">
        <x:f>$B$26*AC13</x:f>
      </x:c>
      <x:c r="AD26" s="117" t="n">
        <x:f>$B$26*AD13</x:f>
      </x:c>
      <x:c r="AE26" s="117" t="n">
        <x:f>$B$26*AE13</x:f>
      </x:c>
      <x:c r="AF26" s="117" t="n">
        <x:f>$B$26*AF13</x:f>
      </x:c>
      <x:c r="AG26" s="117" t="n">
        <x:f>$B$26*AG13</x:f>
      </x:c>
      <x:c r="AH26" s="117" t="n">
        <x:f>$B$26*AH13</x:f>
      </x:c>
      <x:c r="AI26" s="117" t="n">
        <x:f>$B$26*AI13</x:f>
      </x:c>
      <x:c r="AJ26" s="117" t="n">
        <x:f>$B$26*AJ13</x:f>
      </x:c>
      <x:c r="AK26" s="117" t="n">
        <x:f>$B$26*AK13</x:f>
      </x:c>
      <x:c r="AL26" s="117" t="n">
        <x:f>$B$26*AL13</x:f>
      </x:c>
      <x:c r="AM26" s="117" t="n">
        <x:f>$B$26*AM13</x:f>
      </x:c>
      <x:c r="AN26" s="117" t="n">
        <x:f>$B$26*AN13</x:f>
      </x:c>
      <x:c r="AO26" s="117" t="n">
        <x:f>$B$26*AO13</x:f>
      </x:c>
      <x:c r="AP26" s="117" t="n">
        <x:f>$B$26*AP13</x:f>
      </x:c>
      <x:c r="AQ26" s="117" t="n">
        <x:f>$B$26*AQ13</x:f>
      </x:c>
      <x:c r="AR26" s="117" t="n">
        <x:f>$B$26*AR13</x:f>
      </x:c>
      <x:c r="AS26" s="117" t="n">
        <x:f>$B$26*AS13</x:f>
      </x:c>
      <x:c r="AT26" s="117" t="n">
        <x:f>$B$26*AT13</x:f>
      </x:c>
      <x:c r="AU26" s="117" t="n">
        <x:f>$B$26*AU13</x:f>
      </x:c>
      <x:c r="AV26" s="117" t="n">
        <x:f>$B$26*AV13</x:f>
      </x:c>
      <x:c r="AW26" s="117" t="n">
        <x:f>$B$26*AW13</x:f>
      </x:c>
      <x:c r="AX26" s="117" t="n">
        <x:f>$B$26*AX13</x:f>
      </x:c>
      <x:c r="AY26" s="117" t="n">
        <x:f>$B$26*AY13</x:f>
      </x:c>
      <x:c r="AZ26" s="117" t="n">
        <x:f>$B$26*AZ13</x:f>
      </x:c>
      <x:c r="BA26" s="117" t="n">
        <x:f>$B$26*BA13</x:f>
      </x:c>
      <x:c r="BB26" s="117" t="n">
        <x:f>$B$26*BB13</x:f>
      </x:c>
      <x:c r="BC26" s="117" t="n">
        <x:f>$B$26*BC13</x:f>
      </x:c>
      <x:c r="BD26" s="117" t="n">
        <x:f>$B$26*BD13</x:f>
      </x:c>
      <x:c r="BE26" s="117" t="n">
        <x:f>$B$26*BE13</x:f>
      </x:c>
      <x:c r="BF26" s="117" t="n">
        <x:f>$B$26*BF13</x:f>
      </x:c>
      <x:c r="BG26" s="117" t="n">
        <x:f>$B$26*BG13</x:f>
      </x:c>
      <x:c r="BH26" s="117" t="n">
        <x:f>$B$26*BH13</x:f>
      </x:c>
      <x:c r="BI26" s="117" t="n">
        <x:f>$B$26*BI13</x:f>
      </x:c>
      <x:c r="BJ26" s="117" t="n">
        <x:f>$B$26*BJ13</x:f>
      </x:c>
      <x:c r="BK26" s="117" t="n">
        <x:f>$B$26*BK13</x:f>
      </x:c>
      <x:c r="BL26" s="117" t="n">
        <x:f>$B$26*BL13</x:f>
      </x:c>
      <x:c r="BM26" s="117" t="n">
        <x:f>$B$26*BM13</x:f>
      </x:c>
      <x:c r="BN26" s="117" t="n">
        <x:f>$B$26*BN13</x:f>
      </x:c>
      <x:c r="BO26" s="117" t="n">
        <x:f>$B$26*BO13</x:f>
      </x:c>
      <x:c r="BP26" s="117" t="n">
        <x:f>$B$26*BP13</x:f>
      </x:c>
      <x:c r="BQ26" s="117" t="n">
        <x:f>$B$26*BQ13</x:f>
      </x:c>
      <x:c r="BR26" s="117" t="n">
        <x:f>$B$26*BR13</x:f>
      </x:c>
      <x:c r="BS26" s="117" t="n">
        <x:f>$B$26*BS13</x:f>
      </x:c>
      <x:c r="BT26" s="117" t="n">
        <x:f>$B$26*BT13</x:f>
      </x:c>
      <x:c r="BU26" s="117" t="n">
        <x:f>$B$26*BU13</x:f>
      </x:c>
      <x:c r="BV26" s="117" t="n">
        <x:f>$B$26*BV13</x:f>
      </x:c>
      <x:c r="BW26" s="117" t="n">
        <x:f>$B$26*BW13</x:f>
      </x:c>
      <x:c r="BX26" s="117" t="n">
        <x:f>$B$26*BX13</x:f>
      </x:c>
      <x:c r="BY26" s="117" t="n">
        <x:f>$B$26*BY13</x:f>
      </x:c>
      <x:c r="BZ26" s="117" t="n">
        <x:f>$B$26*BZ13</x:f>
      </x:c>
      <x:c r="CA26" s="117" t="n">
        <x:f>$B$26*CA13</x:f>
      </x:c>
      <x:c r="CB26" s="117" t="n">
        <x:f>$B$26*CB13</x:f>
      </x:c>
      <x:c r="CC26" s="117" t="n">
        <x:f>$B$26*CC13</x:f>
      </x:c>
      <x:c r="CD26" s="117" t="n">
        <x:f>$B$26*CD13</x:f>
      </x:c>
      <x:c r="CE26" s="117" t="n">
        <x:f>$B$26*CE13</x:f>
      </x:c>
      <x:c r="CF26" s="117" t="n">
        <x:f>$B$26*CF13</x:f>
      </x:c>
      <x:c r="CG26" s="117" t="n">
        <x:f>$B$26*CG13</x:f>
      </x:c>
      <x:c r="CH26" s="117" t="n">
        <x:f>$B$26*CH13</x:f>
      </x:c>
      <x:c r="CI26" s="117" t="n">
        <x:f>$B$26*CI13</x:f>
      </x:c>
      <x:c r="CJ26" s="117" t="n">
        <x:f>$B$26*CJ13</x:f>
      </x:c>
      <x:c r="CK26" s="117" t="n">
        <x:f>$B$26*CK13</x:f>
      </x:c>
      <x:c r="CL26" s="117" t="n">
        <x:f>$B$26*CL13</x:f>
      </x:c>
      <x:c r="CM26" s="117" t="n">
        <x:f>$B$26*CM13</x:f>
      </x:c>
      <x:c r="CN26" s="117" t="n">
        <x:f>$B$26*CN13</x:f>
      </x:c>
      <x:c r="CO26" s="117" t="n">
        <x:f>$B$26*CO13</x:f>
      </x:c>
      <x:c r="CP26" s="117" t="n">
        <x:f>$B$26*CP13</x:f>
      </x:c>
      <x:c r="CQ26" s="117" t="n">
        <x:f>$B$26*CQ13</x:f>
      </x:c>
      <x:c r="CR26" s="117" t="n">
        <x:f>$B$26*CR13</x:f>
      </x:c>
      <x:c r="CS26" s="117" t="n">
        <x:f>$B$26*CS13</x:f>
      </x:c>
      <x:c r="CT26" s="117" t="n">
        <x:f>$B$26*CT13</x:f>
      </x:c>
      <x:c r="CU26" s="117" t="n">
        <x:f>$B$26*CU13</x:f>
      </x:c>
      <x:c r="CV26" s="117" t="n">
        <x:f>$B$26*CV13</x:f>
      </x:c>
      <x:c r="CW26" s="117" t="n">
        <x:f>$B$26*CW13</x:f>
      </x:c>
      <x:c r="CX26" s="117" t="n">
        <x:f>$B$26*CX13</x:f>
      </x:c>
      <x:c r="CY26" s="117" t="n">
        <x:f>$B$26*CY13</x:f>
      </x:c>
      <x:c r="CZ26" s="117" t="n">
        <x:f>$B$26*CZ13</x:f>
      </x:c>
      <x:c r="DA26" s="117" t="n">
        <x:f>$B$26*DA13</x:f>
      </x:c>
      <x:c r="DB26" s="117" t="n">
        <x:f>$B$26*DB13</x:f>
      </x:c>
      <x:c r="DC26" s="117" t="n">
        <x:f>$B$26*DC13</x:f>
      </x:c>
      <x:c r="DD26" s="117" t="n">
        <x:f>$B$26*DD13</x:f>
      </x:c>
      <x:c r="DE26" s="117" t="n">
        <x:f>$B$26*DE13</x:f>
      </x:c>
      <x:c r="DF26" s="117" t="n">
        <x:f>$B$26*DF13</x:f>
      </x:c>
      <x:c r="DG26" s="117" t="n">
        <x:f>$B$26*DG13</x:f>
      </x:c>
      <x:c r="DH26" s="117" t="n">
        <x:f>$B$26*DH13</x:f>
      </x:c>
      <x:c r="DI26" s="117" t="n">
        <x:f>$B$26*DI13</x:f>
      </x:c>
      <x:c r="DJ26" s="117" t="n">
        <x:f>$B$26*DJ13</x:f>
      </x:c>
      <x:c r="DK26" s="117" t="n">
        <x:f>$B$26*DK13</x:f>
      </x:c>
      <x:c r="DL26" s="117" t="n">
        <x:f>$B$26*DL13</x:f>
      </x:c>
      <x:c r="DM26" s="117" t="n">
        <x:f>$B$26*DM13</x:f>
      </x:c>
      <x:c r="DN26" s="117" t="n">
        <x:f>$B$26*DN13</x:f>
      </x:c>
      <x:c r="DO26" s="117" t="n">
        <x:f>$B$26*DO13</x:f>
      </x:c>
      <x:c r="DP26" s="117" t="n">
        <x:f>$B$26*DP13</x:f>
      </x:c>
      <x:c r="DQ26" s="117" t="n">
        <x:f>$B$26*DQ13</x:f>
      </x:c>
      <x:c r="DR26" s="117" t="n">
        <x:f>$B$26*DR13</x:f>
      </x:c>
      <x:c r="DS26" s="117" t="n">
        <x:f>$B$26*DS13</x:f>
      </x:c>
      <x:c r="DT26" s="117" t="n">
        <x:f>$B$26*DT13</x:f>
      </x:c>
      <x:c r="DU26" s="117" t="n">
        <x:f>$B$26*DU13</x:f>
      </x:c>
      <x:c r="DV26" s="117" t="n">
        <x:f>$B$26*DV13</x:f>
      </x:c>
      <x:c r="DW26" s="117" t="n">
        <x:f>$B$26*DW13</x:f>
      </x:c>
      <x:c r="DX26" s="117" t="n">
        <x:f>$B$26*DX13</x:f>
      </x:c>
      <x:c r="DY26" s="117" t="n">
        <x:f>$B$26*DY13</x:f>
      </x:c>
      <x:c r="DZ26" s="117" t="n">
        <x:f>$B$26*DZ13</x:f>
      </x:c>
      <x:c r="EA26" s="117" t="n">
        <x:f>$B$26*EA13</x:f>
      </x:c>
      <x:c r="EB26" s="117" t="n">
        <x:f>$B$26*EB13</x:f>
      </x:c>
      <x:c r="EC26" s="117" t="n">
        <x:f>$B$26*EC13</x:f>
      </x:c>
      <x:c r="ED26" s="117" t="n">
        <x:f>$B$26*ED13</x:f>
      </x:c>
      <x:c r="EE26" s="117" t="n">
        <x:f>$B$26*EE13</x:f>
      </x:c>
      <x:c r="EF26" s="117" t="n">
        <x:f>$B$26*EF13</x:f>
      </x:c>
      <x:c r="EG26" s="117" t="n">
        <x:f>$B$26*EG13</x:f>
      </x:c>
      <x:c r="EH26" s="117" t="n">
        <x:f>$B$26*EH13</x:f>
      </x:c>
      <x:c r="EI26" s="117" t="n">
        <x:f>$B$26*EI13</x:f>
      </x:c>
      <x:c r="EJ26" s="117" t="n">
        <x:f>$B$26*EJ13</x:f>
      </x:c>
      <x:c r="EK26" s="117" t="n">
        <x:f>$B$26*EK13</x:f>
      </x:c>
      <x:c r="EL26" s="117" t="n">
        <x:f>$B$26*EL13</x:f>
      </x:c>
      <x:c r="EM26" s="117" t="n">
        <x:f>$B$26*EM13</x:f>
      </x:c>
      <x:c r="EN26" s="117" t="n">
        <x:f>$B$26*EN13</x:f>
      </x:c>
      <x:c r="EO26" s="117" t="n">
        <x:f>$B$26*EO13</x:f>
      </x:c>
      <x:c r="EP26" s="117" t="n">
        <x:f>$B$26*EP13</x:f>
      </x:c>
      <x:c r="EQ26" s="117" t="n">
        <x:f>$B$26*EQ13</x:f>
      </x:c>
      <x:c r="ER26" s="117" t="n">
        <x:f>$B$26*ER13</x:f>
      </x:c>
      <x:c r="ES26" s="117" t="n">
        <x:f>$B$26*ES13</x:f>
      </x:c>
      <x:c r="ET26" s="117" t="n">
        <x:f>$B$26*ET13</x:f>
      </x:c>
      <x:c r="EU26" s="117" t="n">
        <x:f>$B$26*EU13</x:f>
      </x:c>
      <x:c r="EV26" s="117" t="n">
        <x:f>$B$26*EV13</x:f>
      </x:c>
      <x:c r="EW26" s="117" t="n">
        <x:f>$B$26*EW13</x:f>
      </x:c>
      <x:c r="EX26" s="117" t="n">
        <x:f>$B$26*EX13</x:f>
      </x:c>
      <x:c r="EY26" s="117" t="n">
        <x:f>$B$26*EY13</x:f>
      </x:c>
      <x:c r="EZ26" s="117" t="n">
        <x:f>$B$26*EZ13</x:f>
      </x:c>
      <x:c r="FA26" s="117" t="n">
        <x:f>$B$26*FA13</x:f>
      </x:c>
      <x:c r="FB26" s="117" t="n">
        <x:f>$B$26*FB13</x:f>
      </x:c>
      <x:c r="FC26" s="117" t="n">
        <x:f>$B$26*FC13</x:f>
      </x:c>
      <x:c r="FD26" s="117" t="n">
        <x:f>$B$26*FD13</x:f>
      </x:c>
      <x:c r="FE26" s="117" t="n">
        <x:f>$B$26*FE13</x:f>
      </x:c>
      <x:c r="FF26" s="117" t="n">
        <x:f>$B$26*FF13</x:f>
      </x:c>
      <x:c r="FG26" s="117" t="n">
        <x:f>$B$26*FG13</x:f>
      </x:c>
      <x:c r="FH26" s="117" t="n">
        <x:f>$B$26*FH13</x:f>
      </x:c>
      <x:c r="FI26" s="117" t="n">
        <x:f>$B$26*FI13</x:f>
      </x:c>
      <x:c r="FJ26" s="117" t="n">
        <x:f>$B$26*FJ13</x:f>
      </x:c>
      <x:c r="FK26" s="117" t="n">
        <x:f>$B$26*FK13</x:f>
      </x:c>
      <x:c r="FL26" s="117" t="n">
        <x:f>$B$26*FL13</x:f>
      </x:c>
      <x:c r="FM26" s="117" t="n">
        <x:f>$B$26*FM13</x:f>
      </x:c>
      <x:c r="FN26" s="117" t="n">
        <x:f>$B$26*FN13</x:f>
      </x:c>
      <x:c r="FO26" s="117" t="n">
        <x:f>$B$26*FO13</x:f>
      </x:c>
      <x:c r="FP26" s="117" t="n">
        <x:f>$B$26*FP13</x:f>
      </x:c>
      <x:c r="FQ26" s="117" t="n">
        <x:f>$B$26*FQ13</x:f>
      </x:c>
      <x:c r="FR26" s="117" t="n">
        <x:f>$B$26*FR13</x:f>
      </x:c>
      <x:c r="FS26" s="117" t="n">
        <x:f>$B$26*FS13</x:f>
      </x:c>
      <x:c r="FT26" s="117" t="n">
        <x:f>$B$26*FT13</x:f>
      </x:c>
      <x:c r="FU26" s="117" t="n">
        <x:f>$B$26*FU13</x:f>
      </x:c>
      <x:c r="FV26" s="117" t="n">
        <x:f>$B$26*FV13</x:f>
      </x:c>
      <x:c r="FW26" s="117" t="n">
        <x:f>$B$26*FW13</x:f>
      </x:c>
      <x:c r="FX26" s="117" t="n">
        <x:f>$B$26*FX13</x:f>
      </x:c>
      <x:c r="FY26" s="117" t="n">
        <x:f>$B$26*FY13</x:f>
      </x:c>
      <x:c r="FZ26" s="117" t="n">
        <x:f>$B$26*FZ13</x:f>
      </x:c>
      <x:c r="GA26" s="117" t="n">
        <x:f>$B$26*GA13</x:f>
      </x:c>
    </x:row>
    <x:row r="27">
      <x:c r="A27" t="str">
        <x:v>Техзаказчик / стройконтроль</x:v>
      </x:c>
      <x:c r="B27" s="107" t="n">
        <x:f>(B21+B22+B31+'ОБЪЕКТЫ'!$B$96)*'Вводные'!$B$53</x:f>
      </x:c>
      <x:c r="C27" t="str">
        <x:v>млн ₽</x:v>
      </x:c>
      <x:c r="D27" s="117" t="n">
        <x:f>$B$27*D13</x:f>
      </x:c>
      <x:c r="E27" s="117" t="n">
        <x:f>$B$27*E13</x:f>
      </x:c>
      <x:c r="F27" s="117" t="n">
        <x:f>$B$27*F13</x:f>
      </x:c>
      <x:c r="G27" s="117" t="n">
        <x:f>$B$27*G13</x:f>
      </x:c>
      <x:c r="H27" s="117" t="n">
        <x:f>$B$27*H13</x:f>
      </x:c>
      <x:c r="I27" s="117" t="n">
        <x:f>$B$27*I13</x:f>
      </x:c>
      <x:c r="J27" s="117" t="n">
        <x:f>$B$27*J13</x:f>
      </x:c>
      <x:c r="K27" s="117" t="n">
        <x:f>$B$27*K13</x:f>
      </x:c>
      <x:c r="L27" s="117" t="n">
        <x:f>$B$27*L13</x:f>
      </x:c>
      <x:c r="M27" s="117" t="n">
        <x:f>$B$27*M13</x:f>
      </x:c>
      <x:c r="N27" s="117" t="n">
        <x:f>$B$27*N13</x:f>
      </x:c>
      <x:c r="O27" s="117" t="n">
        <x:f>$B$27*O13</x:f>
      </x:c>
      <x:c r="P27" s="117" t="n">
        <x:f>$B$27*P13</x:f>
      </x:c>
      <x:c r="Q27" s="117" t="n">
        <x:f>$B$27*Q13</x:f>
      </x:c>
      <x:c r="R27" s="117" t="n">
        <x:f>$B$27*R13</x:f>
      </x:c>
      <x:c r="S27" s="117" t="n">
        <x:f>$B$27*S13</x:f>
      </x:c>
      <x:c r="T27" s="117" t="n">
        <x:f>$B$27*T13</x:f>
      </x:c>
      <x:c r="U27" s="117" t="n">
        <x:f>$B$27*U13</x:f>
      </x:c>
      <x:c r="V27" s="117" t="n">
        <x:f>$B$27*V13</x:f>
      </x:c>
      <x:c r="W27" s="117" t="n">
        <x:f>$B$27*W13</x:f>
      </x:c>
      <x:c r="X27" s="117" t="n">
        <x:f>$B$27*X13</x:f>
      </x:c>
      <x:c r="Y27" s="117" t="n">
        <x:f>$B$27*Y13</x:f>
      </x:c>
      <x:c r="Z27" s="117" t="n">
        <x:f>$B$27*Z13</x:f>
      </x:c>
      <x:c r="AA27" s="117" t="n">
        <x:f>$B$27*AA13</x:f>
      </x:c>
      <x:c r="AB27" s="117" t="n">
        <x:f>$B$27*AB13</x:f>
      </x:c>
      <x:c r="AC27" s="117" t="n">
        <x:f>$B$27*AC13</x:f>
      </x:c>
      <x:c r="AD27" s="117" t="n">
        <x:f>$B$27*AD13</x:f>
      </x:c>
      <x:c r="AE27" s="117" t="n">
        <x:f>$B$27*AE13</x:f>
      </x:c>
      <x:c r="AF27" s="117" t="n">
        <x:f>$B$27*AF13</x:f>
      </x:c>
      <x:c r="AG27" s="117" t="n">
        <x:f>$B$27*AG13</x:f>
      </x:c>
      <x:c r="AH27" s="117" t="n">
        <x:f>$B$27*AH13</x:f>
      </x:c>
      <x:c r="AI27" s="117" t="n">
        <x:f>$B$27*AI13</x:f>
      </x:c>
      <x:c r="AJ27" s="117" t="n">
        <x:f>$B$27*AJ13</x:f>
      </x:c>
      <x:c r="AK27" s="117" t="n">
        <x:f>$B$27*AK13</x:f>
      </x:c>
      <x:c r="AL27" s="117" t="n">
        <x:f>$B$27*AL13</x:f>
      </x:c>
      <x:c r="AM27" s="117" t="n">
        <x:f>$B$27*AM13</x:f>
      </x:c>
      <x:c r="AN27" s="117" t="n">
        <x:f>$B$27*AN13</x:f>
      </x:c>
      <x:c r="AO27" s="117" t="n">
        <x:f>$B$27*AO13</x:f>
      </x:c>
      <x:c r="AP27" s="117" t="n">
        <x:f>$B$27*AP13</x:f>
      </x:c>
      <x:c r="AQ27" s="117" t="n">
        <x:f>$B$27*AQ13</x:f>
      </x:c>
      <x:c r="AR27" s="117" t="n">
        <x:f>$B$27*AR13</x:f>
      </x:c>
      <x:c r="AS27" s="117" t="n">
        <x:f>$B$27*AS13</x:f>
      </x:c>
      <x:c r="AT27" s="117" t="n">
        <x:f>$B$27*AT13</x:f>
      </x:c>
      <x:c r="AU27" s="117" t="n">
        <x:f>$B$27*AU13</x:f>
      </x:c>
      <x:c r="AV27" s="117" t="n">
        <x:f>$B$27*AV13</x:f>
      </x:c>
      <x:c r="AW27" s="117" t="n">
        <x:f>$B$27*AW13</x:f>
      </x:c>
      <x:c r="AX27" s="117" t="n">
        <x:f>$B$27*AX13</x:f>
      </x:c>
      <x:c r="AY27" s="117" t="n">
        <x:f>$B$27*AY13</x:f>
      </x:c>
      <x:c r="AZ27" s="117" t="n">
        <x:f>$B$27*AZ13</x:f>
      </x:c>
      <x:c r="BA27" s="117" t="n">
        <x:f>$B$27*BA13</x:f>
      </x:c>
      <x:c r="BB27" s="117" t="n">
        <x:f>$B$27*BB13</x:f>
      </x:c>
      <x:c r="BC27" s="117" t="n">
        <x:f>$B$27*BC13</x:f>
      </x:c>
      <x:c r="BD27" s="117" t="n">
        <x:f>$B$27*BD13</x:f>
      </x:c>
      <x:c r="BE27" s="117" t="n">
        <x:f>$B$27*BE13</x:f>
      </x:c>
      <x:c r="BF27" s="117" t="n">
        <x:f>$B$27*BF13</x:f>
      </x:c>
      <x:c r="BG27" s="117" t="n">
        <x:f>$B$27*BG13</x:f>
      </x:c>
      <x:c r="BH27" s="117" t="n">
        <x:f>$B$27*BH13</x:f>
      </x:c>
      <x:c r="BI27" s="117" t="n">
        <x:f>$B$27*BI13</x:f>
      </x:c>
      <x:c r="BJ27" s="117" t="n">
        <x:f>$B$27*BJ13</x:f>
      </x:c>
      <x:c r="BK27" s="117" t="n">
        <x:f>$B$27*BK13</x:f>
      </x:c>
      <x:c r="BL27" s="117" t="n">
        <x:f>$B$27*BL13</x:f>
      </x:c>
      <x:c r="BM27" s="117" t="n">
        <x:f>$B$27*BM13</x:f>
      </x:c>
      <x:c r="BN27" s="117" t="n">
        <x:f>$B$27*BN13</x:f>
      </x:c>
      <x:c r="BO27" s="117" t="n">
        <x:f>$B$27*BO13</x:f>
      </x:c>
      <x:c r="BP27" s="117" t="n">
        <x:f>$B$27*BP13</x:f>
      </x:c>
      <x:c r="BQ27" s="117" t="n">
        <x:f>$B$27*BQ13</x:f>
      </x:c>
      <x:c r="BR27" s="117" t="n">
        <x:f>$B$27*BR13</x:f>
      </x:c>
      <x:c r="BS27" s="117" t="n">
        <x:f>$B$27*BS13</x:f>
      </x:c>
      <x:c r="BT27" s="117" t="n">
        <x:f>$B$27*BT13</x:f>
      </x:c>
      <x:c r="BU27" s="117" t="n">
        <x:f>$B$27*BU13</x:f>
      </x:c>
      <x:c r="BV27" s="117" t="n">
        <x:f>$B$27*BV13</x:f>
      </x:c>
      <x:c r="BW27" s="117" t="n">
        <x:f>$B$27*BW13</x:f>
      </x:c>
      <x:c r="BX27" s="117" t="n">
        <x:f>$B$27*BX13</x:f>
      </x:c>
      <x:c r="BY27" s="117" t="n">
        <x:f>$B$27*BY13</x:f>
      </x:c>
      <x:c r="BZ27" s="117" t="n">
        <x:f>$B$27*BZ13</x:f>
      </x:c>
      <x:c r="CA27" s="117" t="n">
        <x:f>$B$27*CA13</x:f>
      </x:c>
      <x:c r="CB27" s="117" t="n">
        <x:f>$B$27*CB13</x:f>
      </x:c>
      <x:c r="CC27" s="117" t="n">
        <x:f>$B$27*CC13</x:f>
      </x:c>
      <x:c r="CD27" s="117" t="n">
        <x:f>$B$27*CD13</x:f>
      </x:c>
      <x:c r="CE27" s="117" t="n">
        <x:f>$B$27*CE13</x:f>
      </x:c>
      <x:c r="CF27" s="117" t="n">
        <x:f>$B$27*CF13</x:f>
      </x:c>
      <x:c r="CG27" s="117" t="n">
        <x:f>$B$27*CG13</x:f>
      </x:c>
      <x:c r="CH27" s="117" t="n">
        <x:f>$B$27*CH13</x:f>
      </x:c>
      <x:c r="CI27" s="117" t="n">
        <x:f>$B$27*CI13</x:f>
      </x:c>
      <x:c r="CJ27" s="117" t="n">
        <x:f>$B$27*CJ13</x:f>
      </x:c>
      <x:c r="CK27" s="117" t="n">
        <x:f>$B$27*CK13</x:f>
      </x:c>
      <x:c r="CL27" s="117" t="n">
        <x:f>$B$27*CL13</x:f>
      </x:c>
      <x:c r="CM27" s="117" t="n">
        <x:f>$B$27*CM13</x:f>
      </x:c>
      <x:c r="CN27" s="117" t="n">
        <x:f>$B$27*CN13</x:f>
      </x:c>
      <x:c r="CO27" s="117" t="n">
        <x:f>$B$27*CO13</x:f>
      </x:c>
      <x:c r="CP27" s="117" t="n">
        <x:f>$B$27*CP13</x:f>
      </x:c>
      <x:c r="CQ27" s="117" t="n">
        <x:f>$B$27*CQ13</x:f>
      </x:c>
      <x:c r="CR27" s="117" t="n">
        <x:f>$B$27*CR13</x:f>
      </x:c>
      <x:c r="CS27" s="117" t="n">
        <x:f>$B$27*CS13</x:f>
      </x:c>
      <x:c r="CT27" s="117" t="n">
        <x:f>$B$27*CT13</x:f>
      </x:c>
      <x:c r="CU27" s="117" t="n">
        <x:f>$B$27*CU13</x:f>
      </x:c>
      <x:c r="CV27" s="117" t="n">
        <x:f>$B$27*CV13</x:f>
      </x:c>
      <x:c r="CW27" s="117" t="n">
        <x:f>$B$27*CW13</x:f>
      </x:c>
      <x:c r="CX27" s="117" t="n">
        <x:f>$B$27*CX13</x:f>
      </x:c>
      <x:c r="CY27" s="117" t="n">
        <x:f>$B$27*CY13</x:f>
      </x:c>
      <x:c r="CZ27" s="117" t="n">
        <x:f>$B$27*CZ13</x:f>
      </x:c>
      <x:c r="DA27" s="117" t="n">
        <x:f>$B$27*DA13</x:f>
      </x:c>
      <x:c r="DB27" s="117" t="n">
        <x:f>$B$27*DB13</x:f>
      </x:c>
      <x:c r="DC27" s="117" t="n">
        <x:f>$B$27*DC13</x:f>
      </x:c>
      <x:c r="DD27" s="117" t="n">
        <x:f>$B$27*DD13</x:f>
      </x:c>
      <x:c r="DE27" s="117" t="n">
        <x:f>$B$27*DE13</x:f>
      </x:c>
      <x:c r="DF27" s="117" t="n">
        <x:f>$B$27*DF13</x:f>
      </x:c>
      <x:c r="DG27" s="117" t="n">
        <x:f>$B$27*DG13</x:f>
      </x:c>
      <x:c r="DH27" s="117" t="n">
        <x:f>$B$27*DH13</x:f>
      </x:c>
      <x:c r="DI27" s="117" t="n">
        <x:f>$B$27*DI13</x:f>
      </x:c>
      <x:c r="DJ27" s="117" t="n">
        <x:f>$B$27*DJ13</x:f>
      </x:c>
      <x:c r="DK27" s="117" t="n">
        <x:f>$B$27*DK13</x:f>
      </x:c>
      <x:c r="DL27" s="117" t="n">
        <x:f>$B$27*DL13</x:f>
      </x:c>
      <x:c r="DM27" s="117" t="n">
        <x:f>$B$27*DM13</x:f>
      </x:c>
      <x:c r="DN27" s="117" t="n">
        <x:f>$B$27*DN13</x:f>
      </x:c>
      <x:c r="DO27" s="117" t="n">
        <x:f>$B$27*DO13</x:f>
      </x:c>
      <x:c r="DP27" s="117" t="n">
        <x:f>$B$27*DP13</x:f>
      </x:c>
      <x:c r="DQ27" s="117" t="n">
        <x:f>$B$27*DQ13</x:f>
      </x:c>
      <x:c r="DR27" s="117" t="n">
        <x:f>$B$27*DR13</x:f>
      </x:c>
      <x:c r="DS27" s="117" t="n">
        <x:f>$B$27*DS13</x:f>
      </x:c>
      <x:c r="DT27" s="117" t="n">
        <x:f>$B$27*DT13</x:f>
      </x:c>
      <x:c r="DU27" s="117" t="n">
        <x:f>$B$27*DU13</x:f>
      </x:c>
      <x:c r="DV27" s="117" t="n">
        <x:f>$B$27*DV13</x:f>
      </x:c>
      <x:c r="DW27" s="117" t="n">
        <x:f>$B$27*DW13</x:f>
      </x:c>
      <x:c r="DX27" s="117" t="n">
        <x:f>$B$27*DX13</x:f>
      </x:c>
      <x:c r="DY27" s="117" t="n">
        <x:f>$B$27*DY13</x:f>
      </x:c>
      <x:c r="DZ27" s="117" t="n">
        <x:f>$B$27*DZ13</x:f>
      </x:c>
      <x:c r="EA27" s="117" t="n">
        <x:f>$B$27*EA13</x:f>
      </x:c>
      <x:c r="EB27" s="117" t="n">
        <x:f>$B$27*EB13</x:f>
      </x:c>
      <x:c r="EC27" s="117" t="n">
        <x:f>$B$27*EC13</x:f>
      </x:c>
      <x:c r="ED27" s="117" t="n">
        <x:f>$B$27*ED13</x:f>
      </x:c>
      <x:c r="EE27" s="117" t="n">
        <x:f>$B$27*EE13</x:f>
      </x:c>
      <x:c r="EF27" s="117" t="n">
        <x:f>$B$27*EF13</x:f>
      </x:c>
      <x:c r="EG27" s="117" t="n">
        <x:f>$B$27*EG13</x:f>
      </x:c>
      <x:c r="EH27" s="117" t="n">
        <x:f>$B$27*EH13</x:f>
      </x:c>
      <x:c r="EI27" s="117" t="n">
        <x:f>$B$27*EI13</x:f>
      </x:c>
      <x:c r="EJ27" s="117" t="n">
        <x:f>$B$27*EJ13</x:f>
      </x:c>
      <x:c r="EK27" s="117" t="n">
        <x:f>$B$27*EK13</x:f>
      </x:c>
      <x:c r="EL27" s="117" t="n">
        <x:f>$B$27*EL13</x:f>
      </x:c>
      <x:c r="EM27" s="117" t="n">
        <x:f>$B$27*EM13</x:f>
      </x:c>
      <x:c r="EN27" s="117" t="n">
        <x:f>$B$27*EN13</x:f>
      </x:c>
      <x:c r="EO27" s="117" t="n">
        <x:f>$B$27*EO13</x:f>
      </x:c>
      <x:c r="EP27" s="117" t="n">
        <x:f>$B$27*EP13</x:f>
      </x:c>
      <x:c r="EQ27" s="117" t="n">
        <x:f>$B$27*EQ13</x:f>
      </x:c>
      <x:c r="ER27" s="117" t="n">
        <x:f>$B$27*ER13</x:f>
      </x:c>
      <x:c r="ES27" s="117" t="n">
        <x:f>$B$27*ES13</x:f>
      </x:c>
      <x:c r="ET27" s="117" t="n">
        <x:f>$B$27*ET13</x:f>
      </x:c>
      <x:c r="EU27" s="117" t="n">
        <x:f>$B$27*EU13</x:f>
      </x:c>
      <x:c r="EV27" s="117" t="n">
        <x:f>$B$27*EV13</x:f>
      </x:c>
      <x:c r="EW27" s="117" t="n">
        <x:f>$B$27*EW13</x:f>
      </x:c>
      <x:c r="EX27" s="117" t="n">
        <x:f>$B$27*EX13</x:f>
      </x:c>
      <x:c r="EY27" s="117" t="n">
        <x:f>$B$27*EY13</x:f>
      </x:c>
      <x:c r="EZ27" s="117" t="n">
        <x:f>$B$27*EZ13</x:f>
      </x:c>
      <x:c r="FA27" s="117" t="n">
        <x:f>$B$27*FA13</x:f>
      </x:c>
      <x:c r="FB27" s="117" t="n">
        <x:f>$B$27*FB13</x:f>
      </x:c>
      <x:c r="FC27" s="117" t="n">
        <x:f>$B$27*FC13</x:f>
      </x:c>
      <x:c r="FD27" s="117" t="n">
        <x:f>$B$27*FD13</x:f>
      </x:c>
      <x:c r="FE27" s="117" t="n">
        <x:f>$B$27*FE13</x:f>
      </x:c>
      <x:c r="FF27" s="117" t="n">
        <x:f>$B$27*FF13</x:f>
      </x:c>
      <x:c r="FG27" s="117" t="n">
        <x:f>$B$27*FG13</x:f>
      </x:c>
      <x:c r="FH27" s="117" t="n">
        <x:f>$B$27*FH13</x:f>
      </x:c>
      <x:c r="FI27" s="117" t="n">
        <x:f>$B$27*FI13</x:f>
      </x:c>
      <x:c r="FJ27" s="117" t="n">
        <x:f>$B$27*FJ13</x:f>
      </x:c>
      <x:c r="FK27" s="117" t="n">
        <x:f>$B$27*FK13</x:f>
      </x:c>
      <x:c r="FL27" s="117" t="n">
        <x:f>$B$27*FL13</x:f>
      </x:c>
      <x:c r="FM27" s="117" t="n">
        <x:f>$B$27*FM13</x:f>
      </x:c>
      <x:c r="FN27" s="117" t="n">
        <x:f>$B$27*FN13</x:f>
      </x:c>
      <x:c r="FO27" s="117" t="n">
        <x:f>$B$27*FO13</x:f>
      </x:c>
      <x:c r="FP27" s="117" t="n">
        <x:f>$B$27*FP13</x:f>
      </x:c>
      <x:c r="FQ27" s="117" t="n">
        <x:f>$B$27*FQ13</x:f>
      </x:c>
      <x:c r="FR27" s="117" t="n">
        <x:f>$B$27*FR13</x:f>
      </x:c>
      <x:c r="FS27" s="117" t="n">
        <x:f>$B$27*FS13</x:f>
      </x:c>
      <x:c r="FT27" s="117" t="n">
        <x:f>$B$27*FT13</x:f>
      </x:c>
      <x:c r="FU27" s="117" t="n">
        <x:f>$B$27*FU13</x:f>
      </x:c>
      <x:c r="FV27" s="117" t="n">
        <x:f>$B$27*FV13</x:f>
      </x:c>
      <x:c r="FW27" s="117" t="n">
        <x:f>$B$27*FW13</x:f>
      </x:c>
      <x:c r="FX27" s="117" t="n">
        <x:f>$B$27*FX13</x:f>
      </x:c>
      <x:c r="FY27" s="117" t="n">
        <x:f>$B$27*FY13</x:f>
      </x:c>
      <x:c r="FZ27" s="117" t="n">
        <x:f>$B$27*FZ13</x:f>
      </x:c>
      <x:c r="GA27" s="117" t="n">
        <x:f>$B$27*GA13</x:f>
      </x:c>
    </x:row>
    <x:row r="28">
      <x:c r="A28" t="str">
        <x:v>Управление проектом</x:v>
      </x:c>
      <x:c r="B28" s="107" t="n">
        <x:f>(SUM(B16:B24)+B26)*'Вводные'!$B$52</x:f>
      </x:c>
      <x:c r="C28" t="str">
        <x:v>млн ₽</x:v>
      </x:c>
      <x:c r="D28" s="117" t="n">
        <x:f>$B$28*IFERROR(SUM(D16:D26)/SUM($D$16:$GA$26),0)</x:f>
      </x:c>
      <x:c r="E28" s="117" t="n">
        <x:f>$B$28*IFERROR(SUM(E16:E26)/SUM($D$16:$GA$26),0)</x:f>
      </x:c>
      <x:c r="F28" s="117" t="n">
        <x:f>$B$28*IFERROR(SUM(F16:F26)/SUM($D$16:$GA$26),0)</x:f>
      </x:c>
      <x:c r="G28" s="117" t="n">
        <x:f>$B$28*IFERROR(SUM(G16:G26)/SUM($D$16:$GA$26),0)</x:f>
      </x:c>
      <x:c r="H28" s="117" t="n">
        <x:f>$B$28*IFERROR(SUM(H16:H26)/SUM($D$16:$GA$26),0)</x:f>
      </x:c>
      <x:c r="I28" s="117" t="n">
        <x:f>$B$28*IFERROR(SUM(I16:I26)/SUM($D$16:$GA$26),0)</x:f>
      </x:c>
      <x:c r="J28" s="117" t="n">
        <x:f>$B$28*IFERROR(SUM(J16:J26)/SUM($D$16:$GA$26),0)</x:f>
      </x:c>
      <x:c r="K28" s="117" t="n">
        <x:f>$B$28*IFERROR(SUM(K16:K26)/SUM($D$16:$GA$26),0)</x:f>
      </x:c>
      <x:c r="L28" s="117" t="n">
        <x:f>$B$28*IFERROR(SUM(L16:L26)/SUM($D$16:$GA$26),0)</x:f>
      </x:c>
      <x:c r="M28" s="117" t="n">
        <x:f>$B$28*IFERROR(SUM(M16:M26)/SUM($D$16:$GA$26),0)</x:f>
      </x:c>
      <x:c r="N28" s="117" t="n">
        <x:f>$B$28*IFERROR(SUM(N16:N26)/SUM($D$16:$GA$26),0)</x:f>
      </x:c>
      <x:c r="O28" s="117" t="n">
        <x:f>$B$28*IFERROR(SUM(O16:O26)/SUM($D$16:$GA$26),0)</x:f>
      </x:c>
      <x:c r="P28" s="117" t="n">
        <x:f>$B$28*IFERROR(SUM(P16:P26)/SUM($D$16:$GA$26),0)</x:f>
      </x:c>
      <x:c r="Q28" s="117" t="n">
        <x:f>$B$28*IFERROR(SUM(Q16:Q26)/SUM($D$16:$GA$26),0)</x:f>
      </x:c>
      <x:c r="R28" s="117" t="n">
        <x:f>$B$28*IFERROR(SUM(R16:R26)/SUM($D$16:$GA$26),0)</x:f>
      </x:c>
      <x:c r="S28" s="117" t="n">
        <x:f>$B$28*IFERROR(SUM(S16:S26)/SUM($D$16:$GA$26),0)</x:f>
      </x:c>
      <x:c r="T28" s="117" t="n">
        <x:f>$B$28*IFERROR(SUM(T16:T26)/SUM($D$16:$GA$26),0)</x:f>
      </x:c>
      <x:c r="U28" s="117" t="n">
        <x:f>$B$28*IFERROR(SUM(U16:U26)/SUM($D$16:$GA$26),0)</x:f>
      </x:c>
      <x:c r="V28" s="117" t="n">
        <x:f>$B$28*IFERROR(SUM(V16:V26)/SUM($D$16:$GA$26),0)</x:f>
      </x:c>
      <x:c r="W28" s="117" t="n">
        <x:f>$B$28*IFERROR(SUM(W16:W26)/SUM($D$16:$GA$26),0)</x:f>
      </x:c>
      <x:c r="X28" s="117" t="n">
        <x:f>$B$28*IFERROR(SUM(X16:X26)/SUM($D$16:$GA$26),0)</x:f>
      </x:c>
      <x:c r="Y28" s="117" t="n">
        <x:f>$B$28*IFERROR(SUM(Y16:Y26)/SUM($D$16:$GA$26),0)</x:f>
      </x:c>
      <x:c r="Z28" s="117" t="n">
        <x:f>$B$28*IFERROR(SUM(Z16:Z26)/SUM($D$16:$GA$26),0)</x:f>
      </x:c>
      <x:c r="AA28" s="117" t="n">
        <x:f>$B$28*IFERROR(SUM(AA16:AA26)/SUM($D$16:$GA$26),0)</x:f>
      </x:c>
      <x:c r="AB28" s="117" t="n">
        <x:f>$B$28*IFERROR(SUM(AB16:AB26)/SUM($D$16:$GA$26),0)</x:f>
      </x:c>
      <x:c r="AC28" s="117" t="n">
        <x:f>$B$28*IFERROR(SUM(AC16:AC26)/SUM($D$16:$GA$26),0)</x:f>
      </x:c>
      <x:c r="AD28" s="117" t="n">
        <x:f>$B$28*IFERROR(SUM(AD16:AD26)/SUM($D$16:$GA$26),0)</x:f>
      </x:c>
      <x:c r="AE28" s="117" t="n">
        <x:f>$B$28*IFERROR(SUM(AE16:AE26)/SUM($D$16:$GA$26),0)</x:f>
      </x:c>
      <x:c r="AF28" s="117" t="n">
        <x:f>$B$28*IFERROR(SUM(AF16:AF26)/SUM($D$16:$GA$26),0)</x:f>
      </x:c>
      <x:c r="AG28" s="117" t="n">
        <x:f>$B$28*IFERROR(SUM(AG16:AG26)/SUM($D$16:$GA$26),0)</x:f>
      </x:c>
      <x:c r="AH28" s="117" t="n">
        <x:f>$B$28*IFERROR(SUM(AH16:AH26)/SUM($D$16:$GA$26),0)</x:f>
      </x:c>
      <x:c r="AI28" s="117" t="n">
        <x:f>$B$28*IFERROR(SUM(AI16:AI26)/SUM($D$16:$GA$26),0)</x:f>
      </x:c>
      <x:c r="AJ28" s="117" t="n">
        <x:f>$B$28*IFERROR(SUM(AJ16:AJ26)/SUM($D$16:$GA$26),0)</x:f>
      </x:c>
      <x:c r="AK28" s="117" t="n">
        <x:f>$B$28*IFERROR(SUM(AK16:AK26)/SUM($D$16:$GA$26),0)</x:f>
      </x:c>
      <x:c r="AL28" s="117" t="n">
        <x:f>$B$28*IFERROR(SUM(AL16:AL26)/SUM($D$16:$GA$26),0)</x:f>
      </x:c>
      <x:c r="AM28" s="117" t="n">
        <x:f>$B$28*IFERROR(SUM(AM16:AM26)/SUM($D$16:$GA$26),0)</x:f>
      </x:c>
      <x:c r="AN28" s="117" t="n">
        <x:f>$B$28*IFERROR(SUM(AN16:AN26)/SUM($D$16:$GA$26),0)</x:f>
      </x:c>
      <x:c r="AO28" s="117" t="n">
        <x:f>$B$28*IFERROR(SUM(AO16:AO26)/SUM($D$16:$GA$26),0)</x:f>
      </x:c>
      <x:c r="AP28" s="117" t="n">
        <x:f>$B$28*IFERROR(SUM(AP16:AP26)/SUM($D$16:$GA$26),0)</x:f>
      </x:c>
      <x:c r="AQ28" s="117" t="n">
        <x:f>$B$28*IFERROR(SUM(AQ16:AQ26)/SUM($D$16:$GA$26),0)</x:f>
      </x:c>
      <x:c r="AR28" s="117" t="n">
        <x:f>$B$28*IFERROR(SUM(AR16:AR26)/SUM($D$16:$GA$26),0)</x:f>
      </x:c>
      <x:c r="AS28" s="117" t="n">
        <x:f>$B$28*IFERROR(SUM(AS16:AS26)/SUM($D$16:$GA$26),0)</x:f>
      </x:c>
      <x:c r="AT28" s="117" t="n">
        <x:f>$B$28*IFERROR(SUM(AT16:AT26)/SUM($D$16:$GA$26),0)</x:f>
      </x:c>
      <x:c r="AU28" s="117" t="n">
        <x:f>$B$28*IFERROR(SUM(AU16:AU26)/SUM($D$16:$GA$26),0)</x:f>
      </x:c>
      <x:c r="AV28" s="117" t="n">
        <x:f>$B$28*IFERROR(SUM(AV16:AV26)/SUM($D$16:$GA$26),0)</x:f>
      </x:c>
      <x:c r="AW28" s="117" t="n">
        <x:f>$B$28*IFERROR(SUM(AW16:AW26)/SUM($D$16:$GA$26),0)</x:f>
      </x:c>
      <x:c r="AX28" s="117" t="n">
        <x:f>$B$28*IFERROR(SUM(AX16:AX26)/SUM($D$16:$GA$26),0)</x:f>
      </x:c>
      <x:c r="AY28" s="117" t="n">
        <x:f>$B$28*IFERROR(SUM(AY16:AY26)/SUM($D$16:$GA$26),0)</x:f>
      </x:c>
      <x:c r="AZ28" s="117" t="n">
        <x:f>$B$28*IFERROR(SUM(AZ16:AZ26)/SUM($D$16:$GA$26),0)</x:f>
      </x:c>
      <x:c r="BA28" s="117" t="n">
        <x:f>$B$28*IFERROR(SUM(BA16:BA26)/SUM($D$16:$GA$26),0)</x:f>
      </x:c>
      <x:c r="BB28" s="117" t="n">
        <x:f>$B$28*IFERROR(SUM(BB16:BB26)/SUM($D$16:$GA$26),0)</x:f>
      </x:c>
      <x:c r="BC28" s="117" t="n">
        <x:f>$B$28*IFERROR(SUM(BC16:BC26)/SUM($D$16:$GA$26),0)</x:f>
      </x:c>
      <x:c r="BD28" s="117" t="n">
        <x:f>$B$28*IFERROR(SUM(BD16:BD26)/SUM($D$16:$GA$26),0)</x:f>
      </x:c>
      <x:c r="BE28" s="117" t="n">
        <x:f>$B$28*IFERROR(SUM(BE16:BE26)/SUM($D$16:$GA$26),0)</x:f>
      </x:c>
      <x:c r="BF28" s="117" t="n">
        <x:f>$B$28*IFERROR(SUM(BF16:BF26)/SUM($D$16:$GA$26),0)</x:f>
      </x:c>
      <x:c r="BG28" s="117" t="n">
        <x:f>$B$28*IFERROR(SUM(BG16:BG26)/SUM($D$16:$GA$26),0)</x:f>
      </x:c>
      <x:c r="BH28" s="117" t="n">
        <x:f>$B$28*IFERROR(SUM(BH16:BH26)/SUM($D$16:$GA$26),0)</x:f>
      </x:c>
      <x:c r="BI28" s="117" t="n">
        <x:f>$B$28*IFERROR(SUM(BI16:BI26)/SUM($D$16:$GA$26),0)</x:f>
      </x:c>
      <x:c r="BJ28" s="117" t="n">
        <x:f>$B$28*IFERROR(SUM(BJ16:BJ26)/SUM($D$16:$GA$26),0)</x:f>
      </x:c>
      <x:c r="BK28" s="117" t="n">
        <x:f>$B$28*IFERROR(SUM(BK16:BK26)/SUM($D$16:$GA$26),0)</x:f>
      </x:c>
      <x:c r="BL28" s="117" t="n">
        <x:f>$B$28*IFERROR(SUM(BL16:BL26)/SUM($D$16:$GA$26),0)</x:f>
      </x:c>
      <x:c r="BM28" s="117" t="n">
        <x:f>$B$28*IFERROR(SUM(BM16:BM26)/SUM($D$16:$GA$26),0)</x:f>
      </x:c>
      <x:c r="BN28" s="117" t="n">
        <x:f>$B$28*IFERROR(SUM(BN16:BN26)/SUM($D$16:$GA$26),0)</x:f>
      </x:c>
      <x:c r="BO28" s="117" t="n">
        <x:f>$B$28*IFERROR(SUM(BO16:BO26)/SUM($D$16:$GA$26),0)</x:f>
      </x:c>
      <x:c r="BP28" s="117" t="n">
        <x:f>$B$28*IFERROR(SUM(BP16:BP26)/SUM($D$16:$GA$26),0)</x:f>
      </x:c>
      <x:c r="BQ28" s="117" t="n">
        <x:f>$B$28*IFERROR(SUM(BQ16:BQ26)/SUM($D$16:$GA$26),0)</x:f>
      </x:c>
      <x:c r="BR28" s="117" t="n">
        <x:f>$B$28*IFERROR(SUM(BR16:BR26)/SUM($D$16:$GA$26),0)</x:f>
      </x:c>
      <x:c r="BS28" s="117" t="n">
        <x:f>$B$28*IFERROR(SUM(BS16:BS26)/SUM($D$16:$GA$26),0)</x:f>
      </x:c>
      <x:c r="BT28" s="117" t="n">
        <x:f>$B$28*IFERROR(SUM(BT16:BT26)/SUM($D$16:$GA$26),0)</x:f>
      </x:c>
      <x:c r="BU28" s="117" t="n">
        <x:f>$B$28*IFERROR(SUM(BU16:BU26)/SUM($D$16:$GA$26),0)</x:f>
      </x:c>
      <x:c r="BV28" s="117" t="n">
        <x:f>$B$28*IFERROR(SUM(BV16:BV26)/SUM($D$16:$GA$26),0)</x:f>
      </x:c>
      <x:c r="BW28" s="117" t="n">
        <x:f>$B$28*IFERROR(SUM(BW16:BW26)/SUM($D$16:$GA$26),0)</x:f>
      </x:c>
      <x:c r="BX28" s="117" t="n">
        <x:f>$B$28*IFERROR(SUM(BX16:BX26)/SUM($D$16:$GA$26),0)</x:f>
      </x:c>
      <x:c r="BY28" s="117" t="n">
        <x:f>$B$28*IFERROR(SUM(BY16:BY26)/SUM($D$16:$GA$26),0)</x:f>
      </x:c>
      <x:c r="BZ28" s="117" t="n">
        <x:f>$B$28*IFERROR(SUM(BZ16:BZ26)/SUM($D$16:$GA$26),0)</x:f>
      </x:c>
      <x:c r="CA28" s="117" t="n">
        <x:f>$B$28*IFERROR(SUM(CA16:CA26)/SUM($D$16:$GA$26),0)</x:f>
      </x:c>
      <x:c r="CB28" s="117" t="n">
        <x:f>$B$28*IFERROR(SUM(CB16:CB26)/SUM($D$16:$GA$26),0)</x:f>
      </x:c>
      <x:c r="CC28" s="117" t="n">
        <x:f>$B$28*IFERROR(SUM(CC16:CC26)/SUM($D$16:$GA$26),0)</x:f>
      </x:c>
      <x:c r="CD28" s="117" t="n">
        <x:f>$B$28*IFERROR(SUM(CD16:CD26)/SUM($D$16:$GA$26),0)</x:f>
      </x:c>
      <x:c r="CE28" s="117" t="n">
        <x:f>$B$28*IFERROR(SUM(CE16:CE26)/SUM($D$16:$GA$26),0)</x:f>
      </x:c>
      <x:c r="CF28" s="117" t="n">
        <x:f>$B$28*IFERROR(SUM(CF16:CF26)/SUM($D$16:$GA$26),0)</x:f>
      </x:c>
      <x:c r="CG28" s="117" t="n">
        <x:f>$B$28*IFERROR(SUM(CG16:CG26)/SUM($D$16:$GA$26),0)</x:f>
      </x:c>
      <x:c r="CH28" s="117" t="n">
        <x:f>$B$28*IFERROR(SUM(CH16:CH26)/SUM($D$16:$GA$26),0)</x:f>
      </x:c>
      <x:c r="CI28" s="117" t="n">
        <x:f>$B$28*IFERROR(SUM(CI16:CI26)/SUM($D$16:$GA$26),0)</x:f>
      </x:c>
      <x:c r="CJ28" s="117" t="n">
        <x:f>$B$28*IFERROR(SUM(CJ16:CJ26)/SUM($D$16:$GA$26),0)</x:f>
      </x:c>
      <x:c r="CK28" s="117" t="n">
        <x:f>$B$28*IFERROR(SUM(CK16:CK26)/SUM($D$16:$GA$26),0)</x:f>
      </x:c>
      <x:c r="CL28" s="117" t="n">
        <x:f>$B$28*IFERROR(SUM(CL16:CL26)/SUM($D$16:$GA$26),0)</x:f>
      </x:c>
      <x:c r="CM28" s="117" t="n">
        <x:f>$B$28*IFERROR(SUM(CM16:CM26)/SUM($D$16:$GA$26),0)</x:f>
      </x:c>
      <x:c r="CN28" s="117" t="n">
        <x:f>$B$28*IFERROR(SUM(CN16:CN26)/SUM($D$16:$GA$26),0)</x:f>
      </x:c>
      <x:c r="CO28" s="117" t="n">
        <x:f>$B$28*IFERROR(SUM(CO16:CO26)/SUM($D$16:$GA$26),0)</x:f>
      </x:c>
      <x:c r="CP28" s="117" t="n">
        <x:f>$B$28*IFERROR(SUM(CP16:CP26)/SUM($D$16:$GA$26),0)</x:f>
      </x:c>
      <x:c r="CQ28" s="117" t="n">
        <x:f>$B$28*IFERROR(SUM(CQ16:CQ26)/SUM($D$16:$GA$26),0)</x:f>
      </x:c>
      <x:c r="CR28" s="117" t="n">
        <x:f>$B$28*IFERROR(SUM(CR16:CR26)/SUM($D$16:$GA$26),0)</x:f>
      </x:c>
      <x:c r="CS28" s="117" t="n">
        <x:f>$B$28*IFERROR(SUM(CS16:CS26)/SUM($D$16:$GA$26),0)</x:f>
      </x:c>
      <x:c r="CT28" s="117" t="n">
        <x:f>$B$28*IFERROR(SUM(CT16:CT26)/SUM($D$16:$GA$26),0)</x:f>
      </x:c>
      <x:c r="CU28" s="117" t="n">
        <x:f>$B$28*IFERROR(SUM(CU16:CU26)/SUM($D$16:$GA$26),0)</x:f>
      </x:c>
      <x:c r="CV28" s="117" t="n">
        <x:f>$B$28*IFERROR(SUM(CV16:CV26)/SUM($D$16:$GA$26),0)</x:f>
      </x:c>
      <x:c r="CW28" s="117" t="n">
        <x:f>$B$28*IFERROR(SUM(CW16:CW26)/SUM($D$16:$GA$26),0)</x:f>
      </x:c>
      <x:c r="CX28" s="117" t="n">
        <x:f>$B$28*IFERROR(SUM(CX16:CX26)/SUM($D$16:$GA$26),0)</x:f>
      </x:c>
      <x:c r="CY28" s="117" t="n">
        <x:f>$B$28*IFERROR(SUM(CY16:CY26)/SUM($D$16:$GA$26),0)</x:f>
      </x:c>
      <x:c r="CZ28" s="117" t="n">
        <x:f>$B$28*IFERROR(SUM(CZ16:CZ26)/SUM($D$16:$GA$26),0)</x:f>
      </x:c>
      <x:c r="DA28" s="117" t="n">
        <x:f>$B$28*IFERROR(SUM(DA16:DA26)/SUM($D$16:$GA$26),0)</x:f>
      </x:c>
      <x:c r="DB28" s="117" t="n">
        <x:f>$B$28*IFERROR(SUM(DB16:DB26)/SUM($D$16:$GA$26),0)</x:f>
      </x:c>
      <x:c r="DC28" s="117" t="n">
        <x:f>$B$28*IFERROR(SUM(DC16:DC26)/SUM($D$16:$GA$26),0)</x:f>
      </x:c>
      <x:c r="DD28" s="117" t="n">
        <x:f>$B$28*IFERROR(SUM(DD16:DD26)/SUM($D$16:$GA$26),0)</x:f>
      </x:c>
      <x:c r="DE28" s="117" t="n">
        <x:f>$B$28*IFERROR(SUM(DE16:DE26)/SUM($D$16:$GA$26),0)</x:f>
      </x:c>
      <x:c r="DF28" s="117" t="n">
        <x:f>$B$28*IFERROR(SUM(DF16:DF26)/SUM($D$16:$GA$26),0)</x:f>
      </x:c>
      <x:c r="DG28" s="117" t="n">
        <x:f>$B$28*IFERROR(SUM(DG16:DG26)/SUM($D$16:$GA$26),0)</x:f>
      </x:c>
      <x:c r="DH28" s="117" t="n">
        <x:f>$B$28*IFERROR(SUM(DH16:DH26)/SUM($D$16:$GA$26),0)</x:f>
      </x:c>
      <x:c r="DI28" s="117" t="n">
        <x:f>$B$28*IFERROR(SUM(DI16:DI26)/SUM($D$16:$GA$26),0)</x:f>
      </x:c>
      <x:c r="DJ28" s="117" t="n">
        <x:f>$B$28*IFERROR(SUM(DJ16:DJ26)/SUM($D$16:$GA$26),0)</x:f>
      </x:c>
      <x:c r="DK28" s="117" t="n">
        <x:f>$B$28*IFERROR(SUM(DK16:DK26)/SUM($D$16:$GA$26),0)</x:f>
      </x:c>
      <x:c r="DL28" s="117" t="n">
        <x:f>$B$28*IFERROR(SUM(DL16:DL26)/SUM($D$16:$GA$26),0)</x:f>
      </x:c>
      <x:c r="DM28" s="117" t="n">
        <x:f>$B$28*IFERROR(SUM(DM16:DM26)/SUM($D$16:$GA$26),0)</x:f>
      </x:c>
      <x:c r="DN28" s="117" t="n">
        <x:f>$B$28*IFERROR(SUM(DN16:DN26)/SUM($D$16:$GA$26),0)</x:f>
      </x:c>
      <x:c r="DO28" s="117" t="n">
        <x:f>$B$28*IFERROR(SUM(DO16:DO26)/SUM($D$16:$GA$26),0)</x:f>
      </x:c>
      <x:c r="DP28" s="117" t="n">
        <x:f>$B$28*IFERROR(SUM(DP16:DP26)/SUM($D$16:$GA$26),0)</x:f>
      </x:c>
      <x:c r="DQ28" s="117" t="n">
        <x:f>$B$28*IFERROR(SUM(DQ16:DQ26)/SUM($D$16:$GA$26),0)</x:f>
      </x:c>
      <x:c r="DR28" s="117" t="n">
        <x:f>$B$28*IFERROR(SUM(DR16:DR26)/SUM($D$16:$GA$26),0)</x:f>
      </x:c>
      <x:c r="DS28" s="117" t="n">
        <x:f>$B$28*IFERROR(SUM(DS16:DS26)/SUM($D$16:$GA$26),0)</x:f>
      </x:c>
      <x:c r="DT28" s="117" t="n">
        <x:f>$B$28*IFERROR(SUM(DT16:DT26)/SUM($D$16:$GA$26),0)</x:f>
      </x:c>
      <x:c r="DU28" s="117" t="n">
        <x:f>$B$28*IFERROR(SUM(DU16:DU26)/SUM($D$16:$GA$26),0)</x:f>
      </x:c>
      <x:c r="DV28" s="117" t="n">
        <x:f>$B$28*IFERROR(SUM(DV16:DV26)/SUM($D$16:$GA$26),0)</x:f>
      </x:c>
      <x:c r="DW28" s="117" t="n">
        <x:f>$B$28*IFERROR(SUM(DW16:DW26)/SUM($D$16:$GA$26),0)</x:f>
      </x:c>
      <x:c r="DX28" s="117" t="n">
        <x:f>$B$28*IFERROR(SUM(DX16:DX26)/SUM($D$16:$GA$26),0)</x:f>
      </x:c>
      <x:c r="DY28" s="117" t="n">
        <x:f>$B$28*IFERROR(SUM(DY16:DY26)/SUM($D$16:$GA$26),0)</x:f>
      </x:c>
      <x:c r="DZ28" s="117" t="n">
        <x:f>$B$28*IFERROR(SUM(DZ16:DZ26)/SUM($D$16:$GA$26),0)</x:f>
      </x:c>
      <x:c r="EA28" s="117" t="n">
        <x:f>$B$28*IFERROR(SUM(EA16:EA26)/SUM($D$16:$GA$26),0)</x:f>
      </x:c>
      <x:c r="EB28" s="117" t="n">
        <x:f>$B$28*IFERROR(SUM(EB16:EB26)/SUM($D$16:$GA$26),0)</x:f>
      </x:c>
      <x:c r="EC28" s="117" t="n">
        <x:f>$B$28*IFERROR(SUM(EC16:EC26)/SUM($D$16:$GA$26),0)</x:f>
      </x:c>
      <x:c r="ED28" s="117" t="n">
        <x:f>$B$28*IFERROR(SUM(ED16:ED26)/SUM($D$16:$GA$26),0)</x:f>
      </x:c>
      <x:c r="EE28" s="117" t="n">
        <x:f>$B$28*IFERROR(SUM(EE16:EE26)/SUM($D$16:$GA$26),0)</x:f>
      </x:c>
      <x:c r="EF28" s="117" t="n">
        <x:f>$B$28*IFERROR(SUM(EF16:EF26)/SUM($D$16:$GA$26),0)</x:f>
      </x:c>
      <x:c r="EG28" s="117" t="n">
        <x:f>$B$28*IFERROR(SUM(EG16:EG26)/SUM($D$16:$GA$26),0)</x:f>
      </x:c>
      <x:c r="EH28" s="117" t="n">
        <x:f>$B$28*IFERROR(SUM(EH16:EH26)/SUM($D$16:$GA$26),0)</x:f>
      </x:c>
      <x:c r="EI28" s="117" t="n">
        <x:f>$B$28*IFERROR(SUM(EI16:EI26)/SUM($D$16:$GA$26),0)</x:f>
      </x:c>
      <x:c r="EJ28" s="117" t="n">
        <x:f>$B$28*IFERROR(SUM(EJ16:EJ26)/SUM($D$16:$GA$26),0)</x:f>
      </x:c>
      <x:c r="EK28" s="117" t="n">
        <x:f>$B$28*IFERROR(SUM(EK16:EK26)/SUM($D$16:$GA$26),0)</x:f>
      </x:c>
      <x:c r="EL28" s="117" t="n">
        <x:f>$B$28*IFERROR(SUM(EL16:EL26)/SUM($D$16:$GA$26),0)</x:f>
      </x:c>
      <x:c r="EM28" s="117" t="n">
        <x:f>$B$28*IFERROR(SUM(EM16:EM26)/SUM($D$16:$GA$26),0)</x:f>
      </x:c>
      <x:c r="EN28" s="117" t="n">
        <x:f>$B$28*IFERROR(SUM(EN16:EN26)/SUM($D$16:$GA$26),0)</x:f>
      </x:c>
      <x:c r="EO28" s="117" t="n">
        <x:f>$B$28*IFERROR(SUM(EO16:EO26)/SUM($D$16:$GA$26),0)</x:f>
      </x:c>
      <x:c r="EP28" s="117" t="n">
        <x:f>$B$28*IFERROR(SUM(EP16:EP26)/SUM($D$16:$GA$26),0)</x:f>
      </x:c>
      <x:c r="EQ28" s="117" t="n">
        <x:f>$B$28*IFERROR(SUM(EQ16:EQ26)/SUM($D$16:$GA$26),0)</x:f>
      </x:c>
      <x:c r="ER28" s="117" t="n">
        <x:f>$B$28*IFERROR(SUM(ER16:ER26)/SUM($D$16:$GA$26),0)</x:f>
      </x:c>
      <x:c r="ES28" s="117" t="n">
        <x:f>$B$28*IFERROR(SUM(ES16:ES26)/SUM($D$16:$GA$26),0)</x:f>
      </x:c>
      <x:c r="ET28" s="117" t="n">
        <x:f>$B$28*IFERROR(SUM(ET16:ET26)/SUM($D$16:$GA$26),0)</x:f>
      </x:c>
      <x:c r="EU28" s="117" t="n">
        <x:f>$B$28*IFERROR(SUM(EU16:EU26)/SUM($D$16:$GA$26),0)</x:f>
      </x:c>
      <x:c r="EV28" s="117" t="n">
        <x:f>$B$28*IFERROR(SUM(EV16:EV26)/SUM($D$16:$GA$26),0)</x:f>
      </x:c>
      <x:c r="EW28" s="117" t="n">
        <x:f>$B$28*IFERROR(SUM(EW16:EW26)/SUM($D$16:$GA$26),0)</x:f>
      </x:c>
      <x:c r="EX28" s="117" t="n">
        <x:f>$B$28*IFERROR(SUM(EX16:EX26)/SUM($D$16:$GA$26),0)</x:f>
      </x:c>
      <x:c r="EY28" s="117" t="n">
        <x:f>$B$28*IFERROR(SUM(EY16:EY26)/SUM($D$16:$GA$26),0)</x:f>
      </x:c>
      <x:c r="EZ28" s="117" t="n">
        <x:f>$B$28*IFERROR(SUM(EZ16:EZ26)/SUM($D$16:$GA$26),0)</x:f>
      </x:c>
      <x:c r="FA28" s="117" t="n">
        <x:f>$B$28*IFERROR(SUM(FA16:FA26)/SUM($D$16:$GA$26),0)</x:f>
      </x:c>
      <x:c r="FB28" s="117" t="n">
        <x:f>$B$28*IFERROR(SUM(FB16:FB26)/SUM($D$16:$GA$26),0)</x:f>
      </x:c>
      <x:c r="FC28" s="117" t="n">
        <x:f>$B$28*IFERROR(SUM(FC16:FC26)/SUM($D$16:$GA$26),0)</x:f>
      </x:c>
      <x:c r="FD28" s="117" t="n">
        <x:f>$B$28*IFERROR(SUM(FD16:FD26)/SUM($D$16:$GA$26),0)</x:f>
      </x:c>
      <x:c r="FE28" s="117" t="n">
        <x:f>$B$28*IFERROR(SUM(FE16:FE26)/SUM($D$16:$GA$26),0)</x:f>
      </x:c>
      <x:c r="FF28" s="117" t="n">
        <x:f>$B$28*IFERROR(SUM(FF16:FF26)/SUM($D$16:$GA$26),0)</x:f>
      </x:c>
      <x:c r="FG28" s="117" t="n">
        <x:f>$B$28*IFERROR(SUM(FG16:FG26)/SUM($D$16:$GA$26),0)</x:f>
      </x:c>
      <x:c r="FH28" s="117" t="n">
        <x:f>$B$28*IFERROR(SUM(FH16:FH26)/SUM($D$16:$GA$26),0)</x:f>
      </x:c>
      <x:c r="FI28" s="117" t="n">
        <x:f>$B$28*IFERROR(SUM(FI16:FI26)/SUM($D$16:$GA$26),0)</x:f>
      </x:c>
      <x:c r="FJ28" s="117" t="n">
        <x:f>$B$28*IFERROR(SUM(FJ16:FJ26)/SUM($D$16:$GA$26),0)</x:f>
      </x:c>
      <x:c r="FK28" s="117" t="n">
        <x:f>$B$28*IFERROR(SUM(FK16:FK26)/SUM($D$16:$GA$26),0)</x:f>
      </x:c>
      <x:c r="FL28" s="117" t="n">
        <x:f>$B$28*IFERROR(SUM(FL16:FL26)/SUM($D$16:$GA$26),0)</x:f>
      </x:c>
      <x:c r="FM28" s="117" t="n">
        <x:f>$B$28*IFERROR(SUM(FM16:FM26)/SUM($D$16:$GA$26),0)</x:f>
      </x:c>
      <x:c r="FN28" s="117" t="n">
        <x:f>$B$28*IFERROR(SUM(FN16:FN26)/SUM($D$16:$GA$26),0)</x:f>
      </x:c>
      <x:c r="FO28" s="117" t="n">
        <x:f>$B$28*IFERROR(SUM(FO16:FO26)/SUM($D$16:$GA$26),0)</x:f>
      </x:c>
      <x:c r="FP28" s="117" t="n">
        <x:f>$B$28*IFERROR(SUM(FP16:FP26)/SUM($D$16:$GA$26),0)</x:f>
      </x:c>
      <x:c r="FQ28" s="117" t="n">
        <x:f>$B$28*IFERROR(SUM(FQ16:FQ26)/SUM($D$16:$GA$26),0)</x:f>
      </x:c>
      <x:c r="FR28" s="117" t="n">
        <x:f>$B$28*IFERROR(SUM(FR16:FR26)/SUM($D$16:$GA$26),0)</x:f>
      </x:c>
      <x:c r="FS28" s="117" t="n">
        <x:f>$B$28*IFERROR(SUM(FS16:FS26)/SUM($D$16:$GA$26),0)</x:f>
      </x:c>
      <x:c r="FT28" s="117" t="n">
        <x:f>$B$28*IFERROR(SUM(FT16:FT26)/SUM($D$16:$GA$26),0)</x:f>
      </x:c>
      <x:c r="FU28" s="117" t="n">
        <x:f>$B$28*IFERROR(SUM(FU16:FU26)/SUM($D$16:$GA$26),0)</x:f>
      </x:c>
      <x:c r="FV28" s="117" t="n">
        <x:f>$B$28*IFERROR(SUM(FV16:FV26)/SUM($D$16:$GA$26),0)</x:f>
      </x:c>
      <x:c r="FW28" s="117" t="n">
        <x:f>$B$28*IFERROR(SUM(FW16:FW26)/SUM($D$16:$GA$26),0)</x:f>
      </x:c>
      <x:c r="FX28" s="117" t="n">
        <x:f>$B$28*IFERROR(SUM(FX16:FX26)/SUM($D$16:$GA$26),0)</x:f>
      </x:c>
      <x:c r="FY28" s="117" t="n">
        <x:f>$B$28*IFERROR(SUM(FY16:FY26)/SUM($D$16:$GA$26),0)</x:f>
      </x:c>
      <x:c r="FZ28" s="117" t="n">
        <x:f>$B$28*IFERROR(SUM(FZ16:FZ26)/SUM($D$16:$GA$26),0)</x:f>
      </x:c>
      <x:c r="GA28" s="117" t="n">
        <x:f>$B$28*IFERROR(SUM(GA16:GA26)/SUM($D$16:$GA$26),0)</x:f>
      </x:c>
    </x:row>
    <x:row r="29">
      <x:c r="A29" t="str">
        <x:v>Вознаграждение генподрядчика</x:v>
      </x:c>
      <x:c r="B29" s="107" t="n">
        <x:f>(B21+B22+B31+'ОБЪЕКТЫ'!$B$96)*'Вводные'!$B$50</x:f>
      </x:c>
      <x:c r="C29" t="str">
        <x:v>млн ₽</x:v>
      </x:c>
      <x:c r="D29" s="117" t="n">
        <x:f>$B$29*D13</x:f>
      </x:c>
      <x:c r="E29" s="117" t="n">
        <x:f>$B$29*E13</x:f>
      </x:c>
      <x:c r="F29" s="117" t="n">
        <x:f>$B$29*F13</x:f>
      </x:c>
      <x:c r="G29" s="117" t="n">
        <x:f>$B$29*G13</x:f>
      </x:c>
      <x:c r="H29" s="117" t="n">
        <x:f>$B$29*H13</x:f>
      </x:c>
      <x:c r="I29" s="117" t="n">
        <x:f>$B$29*I13</x:f>
      </x:c>
      <x:c r="J29" s="117" t="n">
        <x:f>$B$29*J13</x:f>
      </x:c>
      <x:c r="K29" s="117" t="n">
        <x:f>$B$29*K13</x:f>
      </x:c>
      <x:c r="L29" s="117" t="n">
        <x:f>$B$29*L13</x:f>
      </x:c>
      <x:c r="M29" s="117" t="n">
        <x:f>$B$29*M13</x:f>
      </x:c>
      <x:c r="N29" s="117" t="n">
        <x:f>$B$29*N13</x:f>
      </x:c>
      <x:c r="O29" s="117" t="n">
        <x:f>$B$29*O13</x:f>
      </x:c>
      <x:c r="P29" s="117" t="n">
        <x:f>$B$29*P13</x:f>
      </x:c>
      <x:c r="Q29" s="117" t="n">
        <x:f>$B$29*Q13</x:f>
      </x:c>
      <x:c r="R29" s="117" t="n">
        <x:f>$B$29*R13</x:f>
      </x:c>
      <x:c r="S29" s="117" t="n">
        <x:f>$B$29*S13</x:f>
      </x:c>
      <x:c r="T29" s="117" t="n">
        <x:f>$B$29*T13</x:f>
      </x:c>
      <x:c r="U29" s="117" t="n">
        <x:f>$B$29*U13</x:f>
      </x:c>
      <x:c r="V29" s="117" t="n">
        <x:f>$B$29*V13</x:f>
      </x:c>
      <x:c r="W29" s="117" t="n">
        <x:f>$B$29*W13</x:f>
      </x:c>
      <x:c r="X29" s="117" t="n">
        <x:f>$B$29*X13</x:f>
      </x:c>
      <x:c r="Y29" s="117" t="n">
        <x:f>$B$29*Y13</x:f>
      </x:c>
      <x:c r="Z29" s="117" t="n">
        <x:f>$B$29*Z13</x:f>
      </x:c>
      <x:c r="AA29" s="117" t="n">
        <x:f>$B$29*AA13</x:f>
      </x:c>
      <x:c r="AB29" s="117" t="n">
        <x:f>$B$29*AB13</x:f>
      </x:c>
      <x:c r="AC29" s="117" t="n">
        <x:f>$B$29*AC13</x:f>
      </x:c>
      <x:c r="AD29" s="117" t="n">
        <x:f>$B$29*AD13</x:f>
      </x:c>
      <x:c r="AE29" s="117" t="n">
        <x:f>$B$29*AE13</x:f>
      </x:c>
      <x:c r="AF29" s="117" t="n">
        <x:f>$B$29*AF13</x:f>
      </x:c>
      <x:c r="AG29" s="117" t="n">
        <x:f>$B$29*AG13</x:f>
      </x:c>
      <x:c r="AH29" s="117" t="n">
        <x:f>$B$29*AH13</x:f>
      </x:c>
      <x:c r="AI29" s="117" t="n">
        <x:f>$B$29*AI13</x:f>
      </x:c>
      <x:c r="AJ29" s="117" t="n">
        <x:f>$B$29*AJ13</x:f>
      </x:c>
      <x:c r="AK29" s="117" t="n">
        <x:f>$B$29*AK13</x:f>
      </x:c>
      <x:c r="AL29" s="117" t="n">
        <x:f>$B$29*AL13</x:f>
      </x:c>
      <x:c r="AM29" s="117" t="n">
        <x:f>$B$29*AM13</x:f>
      </x:c>
      <x:c r="AN29" s="117" t="n">
        <x:f>$B$29*AN13</x:f>
      </x:c>
      <x:c r="AO29" s="117" t="n">
        <x:f>$B$29*AO13</x:f>
      </x:c>
      <x:c r="AP29" s="117" t="n">
        <x:f>$B$29*AP13</x:f>
      </x:c>
      <x:c r="AQ29" s="117" t="n">
        <x:f>$B$29*AQ13</x:f>
      </x:c>
      <x:c r="AR29" s="117" t="n">
        <x:f>$B$29*AR13</x:f>
      </x:c>
      <x:c r="AS29" s="117" t="n">
        <x:f>$B$29*AS13</x:f>
      </x:c>
      <x:c r="AT29" s="117" t="n">
        <x:f>$B$29*AT13</x:f>
      </x:c>
      <x:c r="AU29" s="117" t="n">
        <x:f>$B$29*AU13</x:f>
      </x:c>
      <x:c r="AV29" s="117" t="n">
        <x:f>$B$29*AV13</x:f>
      </x:c>
      <x:c r="AW29" s="117" t="n">
        <x:f>$B$29*AW13</x:f>
      </x:c>
      <x:c r="AX29" s="117" t="n">
        <x:f>$B$29*AX13</x:f>
      </x:c>
      <x:c r="AY29" s="117" t="n">
        <x:f>$B$29*AY13</x:f>
      </x:c>
      <x:c r="AZ29" s="117" t="n">
        <x:f>$B$29*AZ13</x:f>
      </x:c>
      <x:c r="BA29" s="117" t="n">
        <x:f>$B$29*BA13</x:f>
      </x:c>
      <x:c r="BB29" s="117" t="n">
        <x:f>$B$29*BB13</x:f>
      </x:c>
      <x:c r="BC29" s="117" t="n">
        <x:f>$B$29*BC13</x:f>
      </x:c>
      <x:c r="BD29" s="117" t="n">
        <x:f>$B$29*BD13</x:f>
      </x:c>
      <x:c r="BE29" s="117" t="n">
        <x:f>$B$29*BE13</x:f>
      </x:c>
      <x:c r="BF29" s="117" t="n">
        <x:f>$B$29*BF13</x:f>
      </x:c>
      <x:c r="BG29" s="117" t="n">
        <x:f>$B$29*BG13</x:f>
      </x:c>
      <x:c r="BH29" s="117" t="n">
        <x:f>$B$29*BH13</x:f>
      </x:c>
      <x:c r="BI29" s="117" t="n">
        <x:f>$B$29*BI13</x:f>
      </x:c>
      <x:c r="BJ29" s="117" t="n">
        <x:f>$B$29*BJ13</x:f>
      </x:c>
      <x:c r="BK29" s="117" t="n">
        <x:f>$B$29*BK13</x:f>
      </x:c>
      <x:c r="BL29" s="117" t="n">
        <x:f>$B$29*BL13</x:f>
      </x:c>
      <x:c r="BM29" s="117" t="n">
        <x:f>$B$29*BM13</x:f>
      </x:c>
      <x:c r="BN29" s="117" t="n">
        <x:f>$B$29*BN13</x:f>
      </x:c>
      <x:c r="BO29" s="117" t="n">
        <x:f>$B$29*BO13</x:f>
      </x:c>
      <x:c r="BP29" s="117" t="n">
        <x:f>$B$29*BP13</x:f>
      </x:c>
      <x:c r="BQ29" s="117" t="n">
        <x:f>$B$29*BQ13</x:f>
      </x:c>
      <x:c r="BR29" s="117" t="n">
        <x:f>$B$29*BR13</x:f>
      </x:c>
      <x:c r="BS29" s="117" t="n">
        <x:f>$B$29*BS13</x:f>
      </x:c>
      <x:c r="BT29" s="117" t="n">
        <x:f>$B$29*BT13</x:f>
      </x:c>
      <x:c r="BU29" s="117" t="n">
        <x:f>$B$29*BU13</x:f>
      </x:c>
      <x:c r="BV29" s="117" t="n">
        <x:f>$B$29*BV13</x:f>
      </x:c>
      <x:c r="BW29" s="117" t="n">
        <x:f>$B$29*BW13</x:f>
      </x:c>
      <x:c r="BX29" s="117" t="n">
        <x:f>$B$29*BX13</x:f>
      </x:c>
      <x:c r="BY29" s="117" t="n">
        <x:f>$B$29*BY13</x:f>
      </x:c>
      <x:c r="BZ29" s="117" t="n">
        <x:f>$B$29*BZ13</x:f>
      </x:c>
      <x:c r="CA29" s="117" t="n">
        <x:f>$B$29*CA13</x:f>
      </x:c>
      <x:c r="CB29" s="117" t="n">
        <x:f>$B$29*CB13</x:f>
      </x:c>
      <x:c r="CC29" s="117" t="n">
        <x:f>$B$29*CC13</x:f>
      </x:c>
      <x:c r="CD29" s="117" t="n">
        <x:f>$B$29*CD13</x:f>
      </x:c>
      <x:c r="CE29" s="117" t="n">
        <x:f>$B$29*CE13</x:f>
      </x:c>
      <x:c r="CF29" s="117" t="n">
        <x:f>$B$29*CF13</x:f>
      </x:c>
      <x:c r="CG29" s="117" t="n">
        <x:f>$B$29*CG13</x:f>
      </x:c>
      <x:c r="CH29" s="117" t="n">
        <x:f>$B$29*CH13</x:f>
      </x:c>
      <x:c r="CI29" s="117" t="n">
        <x:f>$B$29*CI13</x:f>
      </x:c>
      <x:c r="CJ29" s="117" t="n">
        <x:f>$B$29*CJ13</x:f>
      </x:c>
      <x:c r="CK29" s="117" t="n">
        <x:f>$B$29*CK13</x:f>
      </x:c>
      <x:c r="CL29" s="117" t="n">
        <x:f>$B$29*CL13</x:f>
      </x:c>
      <x:c r="CM29" s="117" t="n">
        <x:f>$B$29*CM13</x:f>
      </x:c>
      <x:c r="CN29" s="117" t="n">
        <x:f>$B$29*CN13</x:f>
      </x:c>
      <x:c r="CO29" s="117" t="n">
        <x:f>$B$29*CO13</x:f>
      </x:c>
      <x:c r="CP29" s="117" t="n">
        <x:f>$B$29*CP13</x:f>
      </x:c>
      <x:c r="CQ29" s="117" t="n">
        <x:f>$B$29*CQ13</x:f>
      </x:c>
      <x:c r="CR29" s="117" t="n">
        <x:f>$B$29*CR13</x:f>
      </x:c>
      <x:c r="CS29" s="117" t="n">
        <x:f>$B$29*CS13</x:f>
      </x:c>
      <x:c r="CT29" s="117" t="n">
        <x:f>$B$29*CT13</x:f>
      </x:c>
      <x:c r="CU29" s="117" t="n">
        <x:f>$B$29*CU13</x:f>
      </x:c>
      <x:c r="CV29" s="117" t="n">
        <x:f>$B$29*CV13</x:f>
      </x:c>
      <x:c r="CW29" s="117" t="n">
        <x:f>$B$29*CW13</x:f>
      </x:c>
      <x:c r="CX29" s="117" t="n">
        <x:f>$B$29*CX13</x:f>
      </x:c>
      <x:c r="CY29" s="117" t="n">
        <x:f>$B$29*CY13</x:f>
      </x:c>
      <x:c r="CZ29" s="117" t="n">
        <x:f>$B$29*CZ13</x:f>
      </x:c>
      <x:c r="DA29" s="117" t="n">
        <x:f>$B$29*DA13</x:f>
      </x:c>
      <x:c r="DB29" s="117" t="n">
        <x:f>$B$29*DB13</x:f>
      </x:c>
      <x:c r="DC29" s="117" t="n">
        <x:f>$B$29*DC13</x:f>
      </x:c>
      <x:c r="DD29" s="117" t="n">
        <x:f>$B$29*DD13</x:f>
      </x:c>
      <x:c r="DE29" s="117" t="n">
        <x:f>$B$29*DE13</x:f>
      </x:c>
      <x:c r="DF29" s="117" t="n">
        <x:f>$B$29*DF13</x:f>
      </x:c>
      <x:c r="DG29" s="117" t="n">
        <x:f>$B$29*DG13</x:f>
      </x:c>
      <x:c r="DH29" s="117" t="n">
        <x:f>$B$29*DH13</x:f>
      </x:c>
      <x:c r="DI29" s="117" t="n">
        <x:f>$B$29*DI13</x:f>
      </x:c>
      <x:c r="DJ29" s="117" t="n">
        <x:f>$B$29*DJ13</x:f>
      </x:c>
      <x:c r="DK29" s="117" t="n">
        <x:f>$B$29*DK13</x:f>
      </x:c>
      <x:c r="DL29" s="117" t="n">
        <x:f>$B$29*DL13</x:f>
      </x:c>
      <x:c r="DM29" s="117" t="n">
        <x:f>$B$29*DM13</x:f>
      </x:c>
      <x:c r="DN29" s="117" t="n">
        <x:f>$B$29*DN13</x:f>
      </x:c>
      <x:c r="DO29" s="117" t="n">
        <x:f>$B$29*DO13</x:f>
      </x:c>
      <x:c r="DP29" s="117" t="n">
        <x:f>$B$29*DP13</x:f>
      </x:c>
      <x:c r="DQ29" s="117" t="n">
        <x:f>$B$29*DQ13</x:f>
      </x:c>
      <x:c r="DR29" s="117" t="n">
        <x:f>$B$29*DR13</x:f>
      </x:c>
      <x:c r="DS29" s="117" t="n">
        <x:f>$B$29*DS13</x:f>
      </x:c>
      <x:c r="DT29" s="117" t="n">
        <x:f>$B$29*DT13</x:f>
      </x:c>
      <x:c r="DU29" s="117" t="n">
        <x:f>$B$29*DU13</x:f>
      </x:c>
      <x:c r="DV29" s="117" t="n">
        <x:f>$B$29*DV13</x:f>
      </x:c>
      <x:c r="DW29" s="117" t="n">
        <x:f>$B$29*DW13</x:f>
      </x:c>
      <x:c r="DX29" s="117" t="n">
        <x:f>$B$29*DX13</x:f>
      </x:c>
      <x:c r="DY29" s="117" t="n">
        <x:f>$B$29*DY13</x:f>
      </x:c>
      <x:c r="DZ29" s="117" t="n">
        <x:f>$B$29*DZ13</x:f>
      </x:c>
      <x:c r="EA29" s="117" t="n">
        <x:f>$B$29*EA13</x:f>
      </x:c>
      <x:c r="EB29" s="117" t="n">
        <x:f>$B$29*EB13</x:f>
      </x:c>
      <x:c r="EC29" s="117" t="n">
        <x:f>$B$29*EC13</x:f>
      </x:c>
      <x:c r="ED29" s="117" t="n">
        <x:f>$B$29*ED13</x:f>
      </x:c>
      <x:c r="EE29" s="117" t="n">
        <x:f>$B$29*EE13</x:f>
      </x:c>
      <x:c r="EF29" s="117" t="n">
        <x:f>$B$29*EF13</x:f>
      </x:c>
      <x:c r="EG29" s="117" t="n">
        <x:f>$B$29*EG13</x:f>
      </x:c>
      <x:c r="EH29" s="117" t="n">
        <x:f>$B$29*EH13</x:f>
      </x:c>
      <x:c r="EI29" s="117" t="n">
        <x:f>$B$29*EI13</x:f>
      </x:c>
      <x:c r="EJ29" s="117" t="n">
        <x:f>$B$29*EJ13</x:f>
      </x:c>
      <x:c r="EK29" s="117" t="n">
        <x:f>$B$29*EK13</x:f>
      </x:c>
      <x:c r="EL29" s="117" t="n">
        <x:f>$B$29*EL13</x:f>
      </x:c>
      <x:c r="EM29" s="117" t="n">
        <x:f>$B$29*EM13</x:f>
      </x:c>
      <x:c r="EN29" s="117" t="n">
        <x:f>$B$29*EN13</x:f>
      </x:c>
      <x:c r="EO29" s="117" t="n">
        <x:f>$B$29*EO13</x:f>
      </x:c>
      <x:c r="EP29" s="117" t="n">
        <x:f>$B$29*EP13</x:f>
      </x:c>
      <x:c r="EQ29" s="117" t="n">
        <x:f>$B$29*EQ13</x:f>
      </x:c>
      <x:c r="ER29" s="117" t="n">
        <x:f>$B$29*ER13</x:f>
      </x:c>
      <x:c r="ES29" s="117" t="n">
        <x:f>$B$29*ES13</x:f>
      </x:c>
      <x:c r="ET29" s="117" t="n">
        <x:f>$B$29*ET13</x:f>
      </x:c>
      <x:c r="EU29" s="117" t="n">
        <x:f>$B$29*EU13</x:f>
      </x:c>
      <x:c r="EV29" s="117" t="n">
        <x:f>$B$29*EV13</x:f>
      </x:c>
      <x:c r="EW29" s="117" t="n">
        <x:f>$B$29*EW13</x:f>
      </x:c>
      <x:c r="EX29" s="117" t="n">
        <x:f>$B$29*EX13</x:f>
      </x:c>
      <x:c r="EY29" s="117" t="n">
        <x:f>$B$29*EY13</x:f>
      </x:c>
      <x:c r="EZ29" s="117" t="n">
        <x:f>$B$29*EZ13</x:f>
      </x:c>
      <x:c r="FA29" s="117" t="n">
        <x:f>$B$29*FA13</x:f>
      </x:c>
      <x:c r="FB29" s="117" t="n">
        <x:f>$B$29*FB13</x:f>
      </x:c>
      <x:c r="FC29" s="117" t="n">
        <x:f>$B$29*FC13</x:f>
      </x:c>
      <x:c r="FD29" s="117" t="n">
        <x:f>$B$29*FD13</x:f>
      </x:c>
      <x:c r="FE29" s="117" t="n">
        <x:f>$B$29*FE13</x:f>
      </x:c>
      <x:c r="FF29" s="117" t="n">
        <x:f>$B$29*FF13</x:f>
      </x:c>
      <x:c r="FG29" s="117" t="n">
        <x:f>$B$29*FG13</x:f>
      </x:c>
      <x:c r="FH29" s="117" t="n">
        <x:f>$B$29*FH13</x:f>
      </x:c>
      <x:c r="FI29" s="117" t="n">
        <x:f>$B$29*FI13</x:f>
      </x:c>
      <x:c r="FJ29" s="117" t="n">
        <x:f>$B$29*FJ13</x:f>
      </x:c>
      <x:c r="FK29" s="117" t="n">
        <x:f>$B$29*FK13</x:f>
      </x:c>
      <x:c r="FL29" s="117" t="n">
        <x:f>$B$29*FL13</x:f>
      </x:c>
      <x:c r="FM29" s="117" t="n">
        <x:f>$B$29*FM13</x:f>
      </x:c>
      <x:c r="FN29" s="117" t="n">
        <x:f>$B$29*FN13</x:f>
      </x:c>
      <x:c r="FO29" s="117" t="n">
        <x:f>$B$29*FO13</x:f>
      </x:c>
      <x:c r="FP29" s="117" t="n">
        <x:f>$B$29*FP13</x:f>
      </x:c>
      <x:c r="FQ29" s="117" t="n">
        <x:f>$B$29*FQ13</x:f>
      </x:c>
      <x:c r="FR29" s="117" t="n">
        <x:f>$B$29*FR13</x:f>
      </x:c>
      <x:c r="FS29" s="117" t="n">
        <x:f>$B$29*FS13</x:f>
      </x:c>
      <x:c r="FT29" s="117" t="n">
        <x:f>$B$29*FT13</x:f>
      </x:c>
      <x:c r="FU29" s="117" t="n">
        <x:f>$B$29*FU13</x:f>
      </x:c>
      <x:c r="FV29" s="117" t="n">
        <x:f>$B$29*FV13</x:f>
      </x:c>
      <x:c r="FW29" s="117" t="n">
        <x:f>$B$29*FW13</x:f>
      </x:c>
      <x:c r="FX29" s="117" t="n">
        <x:f>$B$29*FX13</x:f>
      </x:c>
      <x:c r="FY29" s="117" t="n">
        <x:f>$B$29*FY13</x:f>
      </x:c>
      <x:c r="FZ29" s="117" t="n">
        <x:f>$B$29*FZ13</x:f>
      </x:c>
      <x:c r="GA29" s="117" t="n">
        <x:f>$B$29*GA13</x:f>
      </x:c>
    </x:row>
    <x:row r="30">
      <x:c r="A30" t="str">
        <x:v>Резерв</x:v>
      </x:c>
      <x:c r="B30" s="107" t="n">
        <x:f>(SUM(B15:B29)+B31+'ОБЪЕКТЫ'!$B$96)*'Вводные'!$B$54</x:f>
      </x:c>
      <x:c r="C30" t="str">
        <x:v>млн ₽</x:v>
      </x:c>
      <x:c r="D30" s="117" t="n">
        <x:f>$B$30*D13</x:f>
      </x:c>
      <x:c r="E30" s="117" t="n">
        <x:f>$B$30*E13</x:f>
      </x:c>
      <x:c r="F30" s="117" t="n">
        <x:f>$B$30*F13</x:f>
      </x:c>
      <x:c r="G30" s="117" t="n">
        <x:f>$B$30*G13</x:f>
      </x:c>
      <x:c r="H30" s="117" t="n">
        <x:f>$B$30*H13</x:f>
      </x:c>
      <x:c r="I30" s="117" t="n">
        <x:f>$B$30*I13</x:f>
      </x:c>
      <x:c r="J30" s="117" t="n">
        <x:f>$B$30*J13</x:f>
      </x:c>
      <x:c r="K30" s="117" t="n">
        <x:f>$B$30*K13</x:f>
      </x:c>
      <x:c r="L30" s="117" t="n">
        <x:f>$B$30*L13</x:f>
      </x:c>
      <x:c r="M30" s="117" t="n">
        <x:f>$B$30*M13</x:f>
      </x:c>
      <x:c r="N30" s="117" t="n">
        <x:f>$B$30*N13</x:f>
      </x:c>
      <x:c r="O30" s="117" t="n">
        <x:f>$B$30*O13</x:f>
      </x:c>
      <x:c r="P30" s="117" t="n">
        <x:f>$B$30*P13</x:f>
      </x:c>
      <x:c r="Q30" s="117" t="n">
        <x:f>$B$30*Q13</x:f>
      </x:c>
      <x:c r="R30" s="117" t="n">
        <x:f>$B$30*R13</x:f>
      </x:c>
      <x:c r="S30" s="117" t="n">
        <x:f>$B$30*S13</x:f>
      </x:c>
      <x:c r="T30" s="117" t="n">
        <x:f>$B$30*T13</x:f>
      </x:c>
      <x:c r="U30" s="117" t="n">
        <x:f>$B$30*U13</x:f>
      </x:c>
      <x:c r="V30" s="117" t="n">
        <x:f>$B$30*V13</x:f>
      </x:c>
      <x:c r="W30" s="117" t="n">
        <x:f>$B$30*W13</x:f>
      </x:c>
      <x:c r="X30" s="117" t="n">
        <x:f>$B$30*X13</x:f>
      </x:c>
      <x:c r="Y30" s="117" t="n">
        <x:f>$B$30*Y13</x:f>
      </x:c>
      <x:c r="Z30" s="117" t="n">
        <x:f>$B$30*Z13</x:f>
      </x:c>
      <x:c r="AA30" s="117" t="n">
        <x:f>$B$30*AA13</x:f>
      </x:c>
      <x:c r="AB30" s="117" t="n">
        <x:f>$B$30*AB13</x:f>
      </x:c>
      <x:c r="AC30" s="117" t="n">
        <x:f>$B$30*AC13</x:f>
      </x:c>
      <x:c r="AD30" s="117" t="n">
        <x:f>$B$30*AD13</x:f>
      </x:c>
      <x:c r="AE30" s="117" t="n">
        <x:f>$B$30*AE13</x:f>
      </x:c>
      <x:c r="AF30" s="117" t="n">
        <x:f>$B$30*AF13</x:f>
      </x:c>
      <x:c r="AG30" s="117" t="n">
        <x:f>$B$30*AG13</x:f>
      </x:c>
      <x:c r="AH30" s="117" t="n">
        <x:f>$B$30*AH13</x:f>
      </x:c>
      <x:c r="AI30" s="117" t="n">
        <x:f>$B$30*AI13</x:f>
      </x:c>
      <x:c r="AJ30" s="117" t="n">
        <x:f>$B$30*AJ13</x:f>
      </x:c>
      <x:c r="AK30" s="117" t="n">
        <x:f>$B$30*AK13</x:f>
      </x:c>
      <x:c r="AL30" s="117" t="n">
        <x:f>$B$30*AL13</x:f>
      </x:c>
      <x:c r="AM30" s="117" t="n">
        <x:f>$B$30*AM13</x:f>
      </x:c>
      <x:c r="AN30" s="117" t="n">
        <x:f>$B$30*AN13</x:f>
      </x:c>
      <x:c r="AO30" s="117" t="n">
        <x:f>$B$30*AO13</x:f>
      </x:c>
      <x:c r="AP30" s="117" t="n">
        <x:f>$B$30*AP13</x:f>
      </x:c>
      <x:c r="AQ30" s="117" t="n">
        <x:f>$B$30*AQ13</x:f>
      </x:c>
      <x:c r="AR30" s="117" t="n">
        <x:f>$B$30*AR13</x:f>
      </x:c>
      <x:c r="AS30" s="117" t="n">
        <x:f>$B$30*AS13</x:f>
      </x:c>
      <x:c r="AT30" s="117" t="n">
        <x:f>$B$30*AT13</x:f>
      </x:c>
      <x:c r="AU30" s="117" t="n">
        <x:f>$B$30*AU13</x:f>
      </x:c>
      <x:c r="AV30" s="117" t="n">
        <x:f>$B$30*AV13</x:f>
      </x:c>
      <x:c r="AW30" s="117" t="n">
        <x:f>$B$30*AW13</x:f>
      </x:c>
      <x:c r="AX30" s="117" t="n">
        <x:f>$B$30*AX13</x:f>
      </x:c>
      <x:c r="AY30" s="117" t="n">
        <x:f>$B$30*AY13</x:f>
      </x:c>
      <x:c r="AZ30" s="117" t="n">
        <x:f>$B$30*AZ13</x:f>
      </x:c>
      <x:c r="BA30" s="117" t="n">
        <x:f>$B$30*BA13</x:f>
      </x:c>
      <x:c r="BB30" s="117" t="n">
        <x:f>$B$30*BB13</x:f>
      </x:c>
      <x:c r="BC30" s="117" t="n">
        <x:f>$B$30*BC13</x:f>
      </x:c>
      <x:c r="BD30" s="117" t="n">
        <x:f>$B$30*BD13</x:f>
      </x:c>
      <x:c r="BE30" s="117" t="n">
        <x:f>$B$30*BE13</x:f>
      </x:c>
      <x:c r="BF30" s="117" t="n">
        <x:f>$B$30*BF13</x:f>
      </x:c>
      <x:c r="BG30" s="117" t="n">
        <x:f>$B$30*BG13</x:f>
      </x:c>
      <x:c r="BH30" s="117" t="n">
        <x:f>$B$30*BH13</x:f>
      </x:c>
      <x:c r="BI30" s="117" t="n">
        <x:f>$B$30*BI13</x:f>
      </x:c>
      <x:c r="BJ30" s="117" t="n">
        <x:f>$B$30*BJ13</x:f>
      </x:c>
      <x:c r="BK30" s="117" t="n">
        <x:f>$B$30*BK13</x:f>
      </x:c>
      <x:c r="BL30" s="117" t="n">
        <x:f>$B$30*BL13</x:f>
      </x:c>
      <x:c r="BM30" s="117" t="n">
        <x:f>$B$30*BM13</x:f>
      </x:c>
      <x:c r="BN30" s="117" t="n">
        <x:f>$B$30*BN13</x:f>
      </x:c>
      <x:c r="BO30" s="117" t="n">
        <x:f>$B$30*BO13</x:f>
      </x:c>
      <x:c r="BP30" s="117" t="n">
        <x:f>$B$30*BP13</x:f>
      </x:c>
      <x:c r="BQ30" s="117" t="n">
        <x:f>$B$30*BQ13</x:f>
      </x:c>
      <x:c r="BR30" s="117" t="n">
        <x:f>$B$30*BR13</x:f>
      </x:c>
      <x:c r="BS30" s="117" t="n">
        <x:f>$B$30*BS13</x:f>
      </x:c>
      <x:c r="BT30" s="117" t="n">
        <x:f>$B$30*BT13</x:f>
      </x:c>
      <x:c r="BU30" s="117" t="n">
        <x:f>$B$30*BU13</x:f>
      </x:c>
      <x:c r="BV30" s="117" t="n">
        <x:f>$B$30*BV13</x:f>
      </x:c>
      <x:c r="BW30" s="117" t="n">
        <x:f>$B$30*BW13</x:f>
      </x:c>
      <x:c r="BX30" s="117" t="n">
        <x:f>$B$30*BX13</x:f>
      </x:c>
      <x:c r="BY30" s="117" t="n">
        <x:f>$B$30*BY13</x:f>
      </x:c>
      <x:c r="BZ30" s="117" t="n">
        <x:f>$B$30*BZ13</x:f>
      </x:c>
      <x:c r="CA30" s="117" t="n">
        <x:f>$B$30*CA13</x:f>
      </x:c>
      <x:c r="CB30" s="117" t="n">
        <x:f>$B$30*CB13</x:f>
      </x:c>
      <x:c r="CC30" s="117" t="n">
        <x:f>$B$30*CC13</x:f>
      </x:c>
      <x:c r="CD30" s="117" t="n">
        <x:f>$B$30*CD13</x:f>
      </x:c>
      <x:c r="CE30" s="117" t="n">
        <x:f>$B$30*CE13</x:f>
      </x:c>
      <x:c r="CF30" s="117" t="n">
        <x:f>$B$30*CF13</x:f>
      </x:c>
      <x:c r="CG30" s="117" t="n">
        <x:f>$B$30*CG13</x:f>
      </x:c>
      <x:c r="CH30" s="117" t="n">
        <x:f>$B$30*CH13</x:f>
      </x:c>
      <x:c r="CI30" s="117" t="n">
        <x:f>$B$30*CI13</x:f>
      </x:c>
      <x:c r="CJ30" s="117" t="n">
        <x:f>$B$30*CJ13</x:f>
      </x:c>
      <x:c r="CK30" s="117" t="n">
        <x:f>$B$30*CK13</x:f>
      </x:c>
      <x:c r="CL30" s="117" t="n">
        <x:f>$B$30*CL13</x:f>
      </x:c>
      <x:c r="CM30" s="117" t="n">
        <x:f>$B$30*CM13</x:f>
      </x:c>
      <x:c r="CN30" s="117" t="n">
        <x:f>$B$30*CN13</x:f>
      </x:c>
      <x:c r="CO30" s="117" t="n">
        <x:f>$B$30*CO13</x:f>
      </x:c>
      <x:c r="CP30" s="117" t="n">
        <x:f>$B$30*CP13</x:f>
      </x:c>
      <x:c r="CQ30" s="117" t="n">
        <x:f>$B$30*CQ13</x:f>
      </x:c>
      <x:c r="CR30" s="117" t="n">
        <x:f>$B$30*CR13</x:f>
      </x:c>
      <x:c r="CS30" s="117" t="n">
        <x:f>$B$30*CS13</x:f>
      </x:c>
      <x:c r="CT30" s="117" t="n">
        <x:f>$B$30*CT13</x:f>
      </x:c>
      <x:c r="CU30" s="117" t="n">
        <x:f>$B$30*CU13</x:f>
      </x:c>
      <x:c r="CV30" s="117" t="n">
        <x:f>$B$30*CV13</x:f>
      </x:c>
      <x:c r="CW30" s="117" t="n">
        <x:f>$B$30*CW13</x:f>
      </x:c>
      <x:c r="CX30" s="117" t="n">
        <x:f>$B$30*CX13</x:f>
      </x:c>
      <x:c r="CY30" s="117" t="n">
        <x:f>$B$30*CY13</x:f>
      </x:c>
      <x:c r="CZ30" s="117" t="n">
        <x:f>$B$30*CZ13</x:f>
      </x:c>
      <x:c r="DA30" s="117" t="n">
        <x:f>$B$30*DA13</x:f>
      </x:c>
      <x:c r="DB30" s="117" t="n">
        <x:f>$B$30*DB13</x:f>
      </x:c>
      <x:c r="DC30" s="117" t="n">
        <x:f>$B$30*DC13</x:f>
      </x:c>
      <x:c r="DD30" s="117" t="n">
        <x:f>$B$30*DD13</x:f>
      </x:c>
      <x:c r="DE30" s="117" t="n">
        <x:f>$B$30*DE13</x:f>
      </x:c>
      <x:c r="DF30" s="117" t="n">
        <x:f>$B$30*DF13</x:f>
      </x:c>
      <x:c r="DG30" s="117" t="n">
        <x:f>$B$30*DG13</x:f>
      </x:c>
      <x:c r="DH30" s="117" t="n">
        <x:f>$B$30*DH13</x:f>
      </x:c>
      <x:c r="DI30" s="117" t="n">
        <x:f>$B$30*DI13</x:f>
      </x:c>
      <x:c r="DJ30" s="117" t="n">
        <x:f>$B$30*DJ13</x:f>
      </x:c>
      <x:c r="DK30" s="117" t="n">
        <x:f>$B$30*DK13</x:f>
      </x:c>
      <x:c r="DL30" s="117" t="n">
        <x:f>$B$30*DL13</x:f>
      </x:c>
      <x:c r="DM30" s="117" t="n">
        <x:f>$B$30*DM13</x:f>
      </x:c>
      <x:c r="DN30" s="117" t="n">
        <x:f>$B$30*DN13</x:f>
      </x:c>
      <x:c r="DO30" s="117" t="n">
        <x:f>$B$30*DO13</x:f>
      </x:c>
      <x:c r="DP30" s="117" t="n">
        <x:f>$B$30*DP13</x:f>
      </x:c>
      <x:c r="DQ30" s="117" t="n">
        <x:f>$B$30*DQ13</x:f>
      </x:c>
      <x:c r="DR30" s="117" t="n">
        <x:f>$B$30*DR13</x:f>
      </x:c>
      <x:c r="DS30" s="117" t="n">
        <x:f>$B$30*DS13</x:f>
      </x:c>
      <x:c r="DT30" s="117" t="n">
        <x:f>$B$30*DT13</x:f>
      </x:c>
      <x:c r="DU30" s="117" t="n">
        <x:f>$B$30*DU13</x:f>
      </x:c>
      <x:c r="DV30" s="117" t="n">
        <x:f>$B$30*DV13</x:f>
      </x:c>
      <x:c r="DW30" s="117" t="n">
        <x:f>$B$30*DW13</x:f>
      </x:c>
      <x:c r="DX30" s="117" t="n">
        <x:f>$B$30*DX13</x:f>
      </x:c>
      <x:c r="DY30" s="117" t="n">
        <x:f>$B$30*DY13</x:f>
      </x:c>
      <x:c r="DZ30" s="117" t="n">
        <x:f>$B$30*DZ13</x:f>
      </x:c>
      <x:c r="EA30" s="117" t="n">
        <x:f>$B$30*EA13</x:f>
      </x:c>
      <x:c r="EB30" s="117" t="n">
        <x:f>$B$30*EB13</x:f>
      </x:c>
      <x:c r="EC30" s="117" t="n">
        <x:f>$B$30*EC13</x:f>
      </x:c>
      <x:c r="ED30" s="117" t="n">
        <x:f>$B$30*ED13</x:f>
      </x:c>
      <x:c r="EE30" s="117" t="n">
        <x:f>$B$30*EE13</x:f>
      </x:c>
      <x:c r="EF30" s="117" t="n">
        <x:f>$B$30*EF13</x:f>
      </x:c>
      <x:c r="EG30" s="117" t="n">
        <x:f>$B$30*EG13</x:f>
      </x:c>
      <x:c r="EH30" s="117" t="n">
        <x:f>$B$30*EH13</x:f>
      </x:c>
      <x:c r="EI30" s="117" t="n">
        <x:f>$B$30*EI13</x:f>
      </x:c>
      <x:c r="EJ30" s="117" t="n">
        <x:f>$B$30*EJ13</x:f>
      </x:c>
      <x:c r="EK30" s="117" t="n">
        <x:f>$B$30*EK13</x:f>
      </x:c>
      <x:c r="EL30" s="117" t="n">
        <x:f>$B$30*EL13</x:f>
      </x:c>
      <x:c r="EM30" s="117" t="n">
        <x:f>$B$30*EM13</x:f>
      </x:c>
      <x:c r="EN30" s="117" t="n">
        <x:f>$B$30*EN13</x:f>
      </x:c>
      <x:c r="EO30" s="117" t="n">
        <x:f>$B$30*EO13</x:f>
      </x:c>
      <x:c r="EP30" s="117" t="n">
        <x:f>$B$30*EP13</x:f>
      </x:c>
      <x:c r="EQ30" s="117" t="n">
        <x:f>$B$30*EQ13</x:f>
      </x:c>
      <x:c r="ER30" s="117" t="n">
        <x:f>$B$30*ER13</x:f>
      </x:c>
      <x:c r="ES30" s="117" t="n">
        <x:f>$B$30*ES13</x:f>
      </x:c>
      <x:c r="ET30" s="117" t="n">
        <x:f>$B$30*ET13</x:f>
      </x:c>
      <x:c r="EU30" s="117" t="n">
        <x:f>$B$30*EU13</x:f>
      </x:c>
      <x:c r="EV30" s="117" t="n">
        <x:f>$B$30*EV13</x:f>
      </x:c>
      <x:c r="EW30" s="117" t="n">
        <x:f>$B$30*EW13</x:f>
      </x:c>
      <x:c r="EX30" s="117" t="n">
        <x:f>$B$30*EX13</x:f>
      </x:c>
      <x:c r="EY30" s="117" t="n">
        <x:f>$B$30*EY13</x:f>
      </x:c>
      <x:c r="EZ30" s="117" t="n">
        <x:f>$B$30*EZ13</x:f>
      </x:c>
      <x:c r="FA30" s="117" t="n">
        <x:f>$B$30*FA13</x:f>
      </x:c>
      <x:c r="FB30" s="117" t="n">
        <x:f>$B$30*FB13</x:f>
      </x:c>
      <x:c r="FC30" s="117" t="n">
        <x:f>$B$30*FC13</x:f>
      </x:c>
      <x:c r="FD30" s="117" t="n">
        <x:f>$B$30*FD13</x:f>
      </x:c>
      <x:c r="FE30" s="117" t="n">
        <x:f>$B$30*FE13</x:f>
      </x:c>
      <x:c r="FF30" s="117" t="n">
        <x:f>$B$30*FF13</x:f>
      </x:c>
      <x:c r="FG30" s="117" t="n">
        <x:f>$B$30*FG13</x:f>
      </x:c>
      <x:c r="FH30" s="117" t="n">
        <x:f>$B$30*FH13</x:f>
      </x:c>
      <x:c r="FI30" s="117" t="n">
        <x:f>$B$30*FI13</x:f>
      </x:c>
      <x:c r="FJ30" s="117" t="n">
        <x:f>$B$30*FJ13</x:f>
      </x:c>
      <x:c r="FK30" s="117" t="n">
        <x:f>$B$30*FK13</x:f>
      </x:c>
      <x:c r="FL30" s="117" t="n">
        <x:f>$B$30*FL13</x:f>
      </x:c>
      <x:c r="FM30" s="117" t="n">
        <x:f>$B$30*FM13</x:f>
      </x:c>
      <x:c r="FN30" s="117" t="n">
        <x:f>$B$30*FN13</x:f>
      </x:c>
      <x:c r="FO30" s="117" t="n">
        <x:f>$B$30*FO13</x:f>
      </x:c>
      <x:c r="FP30" s="117" t="n">
        <x:f>$B$30*FP13</x:f>
      </x:c>
      <x:c r="FQ30" s="117" t="n">
        <x:f>$B$30*FQ13</x:f>
      </x:c>
      <x:c r="FR30" s="117" t="n">
        <x:f>$B$30*FR13</x:f>
      </x:c>
      <x:c r="FS30" s="117" t="n">
        <x:f>$B$30*FS13</x:f>
      </x:c>
      <x:c r="FT30" s="117" t="n">
        <x:f>$B$30*FT13</x:f>
      </x:c>
      <x:c r="FU30" s="117" t="n">
        <x:f>$B$30*FU13</x:f>
      </x:c>
      <x:c r="FV30" s="117" t="n">
        <x:f>$B$30*FV13</x:f>
      </x:c>
      <x:c r="FW30" s="117" t="n">
        <x:f>$B$30*FW13</x:f>
      </x:c>
      <x:c r="FX30" s="117" t="n">
        <x:f>$B$30*FX13</x:f>
      </x:c>
      <x:c r="FY30" s="117" t="n">
        <x:f>$B$30*FY13</x:f>
      </x:c>
      <x:c r="FZ30" s="117" t="n">
        <x:f>$B$30*FZ13</x:f>
      </x:c>
      <x:c r="GA30" s="117" t="n">
        <x:f>$B$30*GA13</x:f>
      </x:c>
    </x:row>
    <x:row r="31">
      <x:c r="A31" t="str">
        <x:v>Социальная нагрузка</x:v>
      </x:c>
      <x:c r="B31" s="107" t="n">
        <x:f>'Вводные'!$B$17*'Вводные'!$R$88*'Вводные'!$H$6*--('Вводные'!$B$88="Да")</x:f>
      </x:c>
      <x:c r="C31" t="str">
        <x:v>млн ₽</x:v>
      </x:c>
      <x:c r="D31" s="117" t="n">
        <x:f>IF(AND(D$3&gt;='Вводные'!$B$18,D$3&lt;EDATE('Вводные'!$B$18,MAX(1,'Вводные'!$E$18))),$B$31/MAX(1,'Вводные'!$E$18),0)</x:f>
      </x:c>
      <x:c r="E31" s="117" t="n">
        <x:f>IF(AND(E$3&gt;='Вводные'!$B$18,E$3&lt;EDATE('Вводные'!$B$18,MAX(1,'Вводные'!$E$18))),$B$31/MAX(1,'Вводные'!$E$18),0)</x:f>
      </x:c>
      <x:c r="F31" s="117" t="n">
        <x:f>IF(AND(F$3&gt;='Вводные'!$B$18,F$3&lt;EDATE('Вводные'!$B$18,MAX(1,'Вводные'!$E$18))),$B$31/MAX(1,'Вводные'!$E$18),0)</x:f>
      </x:c>
      <x:c r="G31" s="117" t="n">
        <x:f>IF(AND(G$3&gt;='Вводные'!$B$18,G$3&lt;EDATE('Вводные'!$B$18,MAX(1,'Вводные'!$E$18))),$B$31/MAX(1,'Вводные'!$E$18),0)</x:f>
      </x:c>
      <x:c r="H31" s="117" t="n">
        <x:f>IF(AND(H$3&gt;='Вводные'!$B$18,H$3&lt;EDATE('Вводные'!$B$18,MAX(1,'Вводные'!$E$18))),$B$31/MAX(1,'Вводные'!$E$18),0)</x:f>
      </x:c>
      <x:c r="I31" s="117" t="n">
        <x:f>IF(AND(I$3&gt;='Вводные'!$B$18,I$3&lt;EDATE('Вводные'!$B$18,MAX(1,'Вводные'!$E$18))),$B$31/MAX(1,'Вводные'!$E$18),0)</x:f>
      </x:c>
      <x:c r="J31" s="117" t="n">
        <x:f>IF(AND(J$3&gt;='Вводные'!$B$18,J$3&lt;EDATE('Вводные'!$B$18,MAX(1,'Вводные'!$E$18))),$B$31/MAX(1,'Вводные'!$E$18),0)</x:f>
      </x:c>
      <x:c r="K31" s="117" t="n">
        <x:f>IF(AND(K$3&gt;='Вводные'!$B$18,K$3&lt;EDATE('Вводные'!$B$18,MAX(1,'Вводные'!$E$18))),$B$31/MAX(1,'Вводные'!$E$18),0)</x:f>
      </x:c>
      <x:c r="L31" s="117" t="n">
        <x:f>IF(AND(L$3&gt;='Вводные'!$B$18,L$3&lt;EDATE('Вводные'!$B$18,MAX(1,'Вводные'!$E$18))),$B$31/MAX(1,'Вводные'!$E$18),0)</x:f>
      </x:c>
      <x:c r="M31" s="117" t="n">
        <x:f>IF(AND(M$3&gt;='Вводные'!$B$18,M$3&lt;EDATE('Вводные'!$B$18,MAX(1,'Вводные'!$E$18))),$B$31/MAX(1,'Вводные'!$E$18),0)</x:f>
      </x:c>
      <x:c r="N31" s="117" t="n">
        <x:f>IF(AND(N$3&gt;='Вводные'!$B$18,N$3&lt;EDATE('Вводные'!$B$18,MAX(1,'Вводные'!$E$18))),$B$31/MAX(1,'Вводные'!$E$18),0)</x:f>
      </x:c>
      <x:c r="O31" s="117" t="n">
        <x:f>IF(AND(O$3&gt;='Вводные'!$B$18,O$3&lt;EDATE('Вводные'!$B$18,MAX(1,'Вводные'!$E$18))),$B$31/MAX(1,'Вводные'!$E$18),0)</x:f>
      </x:c>
      <x:c r="P31" s="117" t="n">
        <x:f>IF(AND(P$3&gt;='Вводные'!$B$18,P$3&lt;EDATE('Вводные'!$B$18,MAX(1,'Вводные'!$E$18))),$B$31/MAX(1,'Вводные'!$E$18),0)</x:f>
      </x:c>
      <x:c r="Q31" s="117" t="n">
        <x:f>IF(AND(Q$3&gt;='Вводные'!$B$18,Q$3&lt;EDATE('Вводные'!$B$18,MAX(1,'Вводные'!$E$18))),$B$31/MAX(1,'Вводные'!$E$18),0)</x:f>
      </x:c>
      <x:c r="R31" s="117" t="n">
        <x:f>IF(AND(R$3&gt;='Вводные'!$B$18,R$3&lt;EDATE('Вводные'!$B$18,MAX(1,'Вводные'!$E$18))),$B$31/MAX(1,'Вводные'!$E$18),0)</x:f>
      </x:c>
      <x:c r="S31" s="117" t="n">
        <x:f>IF(AND(S$3&gt;='Вводные'!$B$18,S$3&lt;EDATE('Вводные'!$B$18,MAX(1,'Вводные'!$E$18))),$B$31/MAX(1,'Вводные'!$E$18),0)</x:f>
      </x:c>
      <x:c r="T31" s="117" t="n">
        <x:f>IF(AND(T$3&gt;='Вводные'!$B$18,T$3&lt;EDATE('Вводные'!$B$18,MAX(1,'Вводные'!$E$18))),$B$31/MAX(1,'Вводные'!$E$18),0)</x:f>
      </x:c>
      <x:c r="U31" s="117" t="n">
        <x:f>IF(AND(U$3&gt;='Вводные'!$B$18,U$3&lt;EDATE('Вводные'!$B$18,MAX(1,'Вводные'!$E$18))),$B$31/MAX(1,'Вводные'!$E$18),0)</x:f>
      </x:c>
      <x:c r="V31" s="117" t="n">
        <x:f>IF(AND(V$3&gt;='Вводные'!$B$18,V$3&lt;EDATE('Вводные'!$B$18,MAX(1,'Вводные'!$E$18))),$B$31/MAX(1,'Вводные'!$E$18),0)</x:f>
      </x:c>
      <x:c r="W31" s="117" t="n">
        <x:f>IF(AND(W$3&gt;='Вводные'!$B$18,W$3&lt;EDATE('Вводные'!$B$18,MAX(1,'Вводные'!$E$18))),$B$31/MAX(1,'Вводные'!$E$18),0)</x:f>
      </x:c>
      <x:c r="X31" s="117" t="n">
        <x:f>IF(AND(X$3&gt;='Вводные'!$B$18,X$3&lt;EDATE('Вводные'!$B$18,MAX(1,'Вводные'!$E$18))),$B$31/MAX(1,'Вводные'!$E$18),0)</x:f>
      </x:c>
      <x:c r="Y31" s="117" t="n">
        <x:f>IF(AND(Y$3&gt;='Вводные'!$B$18,Y$3&lt;EDATE('Вводные'!$B$18,MAX(1,'Вводные'!$E$18))),$B$31/MAX(1,'Вводные'!$E$18),0)</x:f>
      </x:c>
      <x:c r="Z31" s="117" t="n">
        <x:f>IF(AND(Z$3&gt;='Вводные'!$B$18,Z$3&lt;EDATE('Вводные'!$B$18,MAX(1,'Вводные'!$E$18))),$B$31/MAX(1,'Вводные'!$E$18),0)</x:f>
      </x:c>
      <x:c r="AA31" s="117" t="n">
        <x:f>IF(AND(AA$3&gt;='Вводные'!$B$18,AA$3&lt;EDATE('Вводные'!$B$18,MAX(1,'Вводные'!$E$18))),$B$31/MAX(1,'Вводные'!$E$18),0)</x:f>
      </x:c>
      <x:c r="AB31" s="117" t="n">
        <x:f>IF(AND(AB$3&gt;='Вводные'!$B$18,AB$3&lt;EDATE('Вводные'!$B$18,MAX(1,'Вводные'!$E$18))),$B$31/MAX(1,'Вводные'!$E$18),0)</x:f>
      </x:c>
      <x:c r="AC31" s="117" t="n">
        <x:f>IF(AND(AC$3&gt;='Вводные'!$B$18,AC$3&lt;EDATE('Вводные'!$B$18,MAX(1,'Вводные'!$E$18))),$B$31/MAX(1,'Вводные'!$E$18),0)</x:f>
      </x:c>
      <x:c r="AD31" s="117" t="n">
        <x:f>IF(AND(AD$3&gt;='Вводные'!$B$18,AD$3&lt;EDATE('Вводные'!$B$18,MAX(1,'Вводные'!$E$18))),$B$31/MAX(1,'Вводные'!$E$18),0)</x:f>
      </x:c>
      <x:c r="AE31" s="117" t="n">
        <x:f>IF(AND(AE$3&gt;='Вводные'!$B$18,AE$3&lt;EDATE('Вводные'!$B$18,MAX(1,'Вводные'!$E$18))),$B$31/MAX(1,'Вводные'!$E$18),0)</x:f>
      </x:c>
      <x:c r="AF31" s="117" t="n">
        <x:f>IF(AND(AF$3&gt;='Вводные'!$B$18,AF$3&lt;EDATE('Вводные'!$B$18,MAX(1,'Вводные'!$E$18))),$B$31/MAX(1,'Вводные'!$E$18),0)</x:f>
      </x:c>
      <x:c r="AG31" s="117" t="n">
        <x:f>IF(AND(AG$3&gt;='Вводные'!$B$18,AG$3&lt;EDATE('Вводные'!$B$18,MAX(1,'Вводные'!$E$18))),$B$31/MAX(1,'Вводные'!$E$18),0)</x:f>
      </x:c>
      <x:c r="AH31" s="117" t="n">
        <x:f>IF(AND(AH$3&gt;='Вводные'!$B$18,AH$3&lt;EDATE('Вводные'!$B$18,MAX(1,'Вводные'!$E$18))),$B$31/MAX(1,'Вводные'!$E$18),0)</x:f>
      </x:c>
      <x:c r="AI31" s="117" t="n">
        <x:f>IF(AND(AI$3&gt;='Вводные'!$B$18,AI$3&lt;EDATE('Вводные'!$B$18,MAX(1,'Вводные'!$E$18))),$B$31/MAX(1,'Вводные'!$E$18),0)</x:f>
      </x:c>
      <x:c r="AJ31" s="117" t="n">
        <x:f>IF(AND(AJ$3&gt;='Вводные'!$B$18,AJ$3&lt;EDATE('Вводные'!$B$18,MAX(1,'Вводные'!$E$18))),$B$31/MAX(1,'Вводные'!$E$18),0)</x:f>
      </x:c>
      <x:c r="AK31" s="117" t="n">
        <x:f>IF(AND(AK$3&gt;='Вводные'!$B$18,AK$3&lt;EDATE('Вводные'!$B$18,MAX(1,'Вводные'!$E$18))),$B$31/MAX(1,'Вводные'!$E$18),0)</x:f>
      </x:c>
      <x:c r="AL31" s="117" t="n">
        <x:f>IF(AND(AL$3&gt;='Вводные'!$B$18,AL$3&lt;EDATE('Вводные'!$B$18,MAX(1,'Вводные'!$E$18))),$B$31/MAX(1,'Вводные'!$E$18),0)</x:f>
      </x:c>
      <x:c r="AM31" s="117" t="n">
        <x:f>IF(AND(AM$3&gt;='Вводные'!$B$18,AM$3&lt;EDATE('Вводные'!$B$18,MAX(1,'Вводные'!$E$18))),$B$31/MAX(1,'Вводные'!$E$18),0)</x:f>
      </x:c>
      <x:c r="AN31" s="117" t="n">
        <x:f>IF(AND(AN$3&gt;='Вводные'!$B$18,AN$3&lt;EDATE('Вводные'!$B$18,MAX(1,'Вводные'!$E$18))),$B$31/MAX(1,'Вводные'!$E$18),0)</x:f>
      </x:c>
      <x:c r="AO31" s="117" t="n">
        <x:f>IF(AND(AO$3&gt;='Вводные'!$B$18,AO$3&lt;EDATE('Вводные'!$B$18,MAX(1,'Вводные'!$E$18))),$B$31/MAX(1,'Вводные'!$E$18),0)</x:f>
      </x:c>
      <x:c r="AP31" s="117" t="n">
        <x:f>IF(AND(AP$3&gt;='Вводные'!$B$18,AP$3&lt;EDATE('Вводные'!$B$18,MAX(1,'Вводные'!$E$18))),$B$31/MAX(1,'Вводные'!$E$18),0)</x:f>
      </x:c>
      <x:c r="AQ31" s="117" t="n">
        <x:f>IF(AND(AQ$3&gt;='Вводные'!$B$18,AQ$3&lt;EDATE('Вводные'!$B$18,MAX(1,'Вводные'!$E$18))),$B$31/MAX(1,'Вводные'!$E$18),0)</x:f>
      </x:c>
      <x:c r="AR31" s="117" t="n">
        <x:f>IF(AND(AR$3&gt;='Вводные'!$B$18,AR$3&lt;EDATE('Вводные'!$B$18,MAX(1,'Вводные'!$E$18))),$B$31/MAX(1,'Вводные'!$E$18),0)</x:f>
      </x:c>
      <x:c r="AS31" s="117" t="n">
        <x:f>IF(AND(AS$3&gt;='Вводные'!$B$18,AS$3&lt;EDATE('Вводные'!$B$18,MAX(1,'Вводные'!$E$18))),$B$31/MAX(1,'Вводные'!$E$18),0)</x:f>
      </x:c>
      <x:c r="AT31" s="117" t="n">
        <x:f>IF(AND(AT$3&gt;='Вводные'!$B$18,AT$3&lt;EDATE('Вводные'!$B$18,MAX(1,'Вводные'!$E$18))),$B$31/MAX(1,'Вводные'!$E$18),0)</x:f>
      </x:c>
      <x:c r="AU31" s="117" t="n">
        <x:f>IF(AND(AU$3&gt;='Вводные'!$B$18,AU$3&lt;EDATE('Вводные'!$B$18,MAX(1,'Вводные'!$E$18))),$B$31/MAX(1,'Вводные'!$E$18),0)</x:f>
      </x:c>
      <x:c r="AV31" s="117" t="n">
        <x:f>IF(AND(AV$3&gt;='Вводные'!$B$18,AV$3&lt;EDATE('Вводные'!$B$18,MAX(1,'Вводные'!$E$18))),$B$31/MAX(1,'Вводные'!$E$18),0)</x:f>
      </x:c>
      <x:c r="AW31" s="117" t="n">
        <x:f>IF(AND(AW$3&gt;='Вводные'!$B$18,AW$3&lt;EDATE('Вводные'!$B$18,MAX(1,'Вводные'!$E$18))),$B$31/MAX(1,'Вводные'!$E$18),0)</x:f>
      </x:c>
      <x:c r="AX31" s="117" t="n">
        <x:f>IF(AND(AX$3&gt;='Вводные'!$B$18,AX$3&lt;EDATE('Вводные'!$B$18,MAX(1,'Вводные'!$E$18))),$B$31/MAX(1,'Вводные'!$E$18),0)</x:f>
      </x:c>
      <x:c r="AY31" s="117" t="n">
        <x:f>IF(AND(AY$3&gt;='Вводные'!$B$18,AY$3&lt;EDATE('Вводные'!$B$18,MAX(1,'Вводные'!$E$18))),$B$31/MAX(1,'Вводные'!$E$18),0)</x:f>
      </x:c>
      <x:c r="AZ31" s="117" t="n">
        <x:f>IF(AND(AZ$3&gt;='Вводные'!$B$18,AZ$3&lt;EDATE('Вводные'!$B$18,MAX(1,'Вводные'!$E$18))),$B$31/MAX(1,'Вводные'!$E$18),0)</x:f>
      </x:c>
      <x:c r="BA31" s="117" t="n">
        <x:f>IF(AND(BA$3&gt;='Вводные'!$B$18,BA$3&lt;EDATE('Вводные'!$B$18,MAX(1,'Вводные'!$E$18))),$B$31/MAX(1,'Вводные'!$E$18),0)</x:f>
      </x:c>
      <x:c r="BB31" s="117" t="n">
        <x:f>IF(AND(BB$3&gt;='Вводные'!$B$18,BB$3&lt;EDATE('Вводные'!$B$18,MAX(1,'Вводные'!$E$18))),$B$31/MAX(1,'Вводные'!$E$18),0)</x:f>
      </x:c>
      <x:c r="BC31" s="117" t="n">
        <x:f>IF(AND(BC$3&gt;='Вводные'!$B$18,BC$3&lt;EDATE('Вводные'!$B$18,MAX(1,'Вводные'!$E$18))),$B$31/MAX(1,'Вводные'!$E$18),0)</x:f>
      </x:c>
      <x:c r="BD31" s="117" t="n">
        <x:f>IF(AND(BD$3&gt;='Вводные'!$B$18,BD$3&lt;EDATE('Вводные'!$B$18,MAX(1,'Вводные'!$E$18))),$B$31/MAX(1,'Вводные'!$E$18),0)</x:f>
      </x:c>
      <x:c r="BE31" s="117" t="n">
        <x:f>IF(AND(BE$3&gt;='Вводные'!$B$18,BE$3&lt;EDATE('Вводные'!$B$18,MAX(1,'Вводные'!$E$18))),$B$31/MAX(1,'Вводные'!$E$18),0)</x:f>
      </x:c>
      <x:c r="BF31" s="117" t="n">
        <x:f>IF(AND(BF$3&gt;='Вводные'!$B$18,BF$3&lt;EDATE('Вводные'!$B$18,MAX(1,'Вводные'!$E$18))),$B$31/MAX(1,'Вводные'!$E$18),0)</x:f>
      </x:c>
      <x:c r="BG31" s="117" t="n">
        <x:f>IF(AND(BG$3&gt;='Вводные'!$B$18,BG$3&lt;EDATE('Вводные'!$B$18,MAX(1,'Вводные'!$E$18))),$B$31/MAX(1,'Вводные'!$E$18),0)</x:f>
      </x:c>
      <x:c r="BH31" s="117" t="n">
        <x:f>IF(AND(BH$3&gt;='Вводные'!$B$18,BH$3&lt;EDATE('Вводные'!$B$18,MAX(1,'Вводные'!$E$18))),$B$31/MAX(1,'Вводные'!$E$18),0)</x:f>
      </x:c>
      <x:c r="BI31" s="117" t="n">
        <x:f>IF(AND(BI$3&gt;='Вводные'!$B$18,BI$3&lt;EDATE('Вводные'!$B$18,MAX(1,'Вводные'!$E$18))),$B$31/MAX(1,'Вводные'!$E$18),0)</x:f>
      </x:c>
      <x:c r="BJ31" s="117" t="n">
        <x:f>IF(AND(BJ$3&gt;='Вводные'!$B$18,BJ$3&lt;EDATE('Вводные'!$B$18,MAX(1,'Вводные'!$E$18))),$B$31/MAX(1,'Вводные'!$E$18),0)</x:f>
      </x:c>
      <x:c r="BK31" s="117" t="n">
        <x:f>IF(AND(BK$3&gt;='Вводные'!$B$18,BK$3&lt;EDATE('Вводные'!$B$18,MAX(1,'Вводные'!$E$18))),$B$31/MAX(1,'Вводные'!$E$18),0)</x:f>
      </x:c>
      <x:c r="BL31" s="117" t="n">
        <x:f>IF(AND(BL$3&gt;='Вводные'!$B$18,BL$3&lt;EDATE('Вводные'!$B$18,MAX(1,'Вводные'!$E$18))),$B$31/MAX(1,'Вводные'!$E$18),0)</x:f>
      </x:c>
      <x:c r="BM31" s="117" t="n">
        <x:f>IF(AND(BM$3&gt;='Вводные'!$B$18,BM$3&lt;EDATE('Вводные'!$B$18,MAX(1,'Вводные'!$E$18))),$B$31/MAX(1,'Вводные'!$E$18),0)</x:f>
      </x:c>
      <x:c r="BN31" s="117" t="n">
        <x:f>IF(AND(BN$3&gt;='Вводные'!$B$18,BN$3&lt;EDATE('Вводные'!$B$18,MAX(1,'Вводные'!$E$18))),$B$31/MAX(1,'Вводные'!$E$18),0)</x:f>
      </x:c>
      <x:c r="BO31" s="117" t="n">
        <x:f>IF(AND(BO$3&gt;='Вводные'!$B$18,BO$3&lt;EDATE('Вводные'!$B$18,MAX(1,'Вводные'!$E$18))),$B$31/MAX(1,'Вводные'!$E$18),0)</x:f>
      </x:c>
      <x:c r="BP31" s="117" t="n">
        <x:f>IF(AND(BP$3&gt;='Вводные'!$B$18,BP$3&lt;EDATE('Вводные'!$B$18,MAX(1,'Вводные'!$E$18))),$B$31/MAX(1,'Вводные'!$E$18),0)</x:f>
      </x:c>
      <x:c r="BQ31" s="117" t="n">
        <x:f>IF(AND(BQ$3&gt;='Вводные'!$B$18,BQ$3&lt;EDATE('Вводные'!$B$18,MAX(1,'Вводные'!$E$18))),$B$31/MAX(1,'Вводные'!$E$18),0)</x:f>
      </x:c>
      <x:c r="BR31" s="117" t="n">
        <x:f>IF(AND(BR$3&gt;='Вводные'!$B$18,BR$3&lt;EDATE('Вводные'!$B$18,MAX(1,'Вводные'!$E$18))),$B$31/MAX(1,'Вводные'!$E$18),0)</x:f>
      </x:c>
      <x:c r="BS31" s="117" t="n">
        <x:f>IF(AND(BS$3&gt;='Вводные'!$B$18,BS$3&lt;EDATE('Вводные'!$B$18,MAX(1,'Вводные'!$E$18))),$B$31/MAX(1,'Вводные'!$E$18),0)</x:f>
      </x:c>
      <x:c r="BT31" s="117" t="n">
        <x:f>IF(AND(BT$3&gt;='Вводные'!$B$18,BT$3&lt;EDATE('Вводные'!$B$18,MAX(1,'Вводные'!$E$18))),$B$31/MAX(1,'Вводные'!$E$18),0)</x:f>
      </x:c>
      <x:c r="BU31" s="117" t="n">
        <x:f>IF(AND(BU$3&gt;='Вводные'!$B$18,BU$3&lt;EDATE('Вводные'!$B$18,MAX(1,'Вводные'!$E$18))),$B$31/MAX(1,'Вводные'!$E$18),0)</x:f>
      </x:c>
      <x:c r="BV31" s="117" t="n">
        <x:f>IF(AND(BV$3&gt;='Вводные'!$B$18,BV$3&lt;EDATE('Вводные'!$B$18,MAX(1,'Вводные'!$E$18))),$B$31/MAX(1,'Вводные'!$E$18),0)</x:f>
      </x:c>
      <x:c r="BW31" s="117" t="n">
        <x:f>IF(AND(BW$3&gt;='Вводные'!$B$18,BW$3&lt;EDATE('Вводные'!$B$18,MAX(1,'Вводные'!$E$18))),$B$31/MAX(1,'Вводные'!$E$18),0)</x:f>
      </x:c>
      <x:c r="BX31" s="117" t="n">
        <x:f>IF(AND(BX$3&gt;='Вводные'!$B$18,BX$3&lt;EDATE('Вводные'!$B$18,MAX(1,'Вводные'!$E$18))),$B$31/MAX(1,'Вводные'!$E$18),0)</x:f>
      </x:c>
      <x:c r="BY31" s="117" t="n">
        <x:f>IF(AND(BY$3&gt;='Вводные'!$B$18,BY$3&lt;EDATE('Вводные'!$B$18,MAX(1,'Вводные'!$E$18))),$B$31/MAX(1,'Вводные'!$E$18),0)</x:f>
      </x:c>
      <x:c r="BZ31" s="117" t="n">
        <x:f>IF(AND(BZ$3&gt;='Вводные'!$B$18,BZ$3&lt;EDATE('Вводные'!$B$18,MAX(1,'Вводные'!$E$18))),$B$31/MAX(1,'Вводные'!$E$18),0)</x:f>
      </x:c>
      <x:c r="CA31" s="117" t="n">
        <x:f>IF(AND(CA$3&gt;='Вводные'!$B$18,CA$3&lt;EDATE('Вводные'!$B$18,MAX(1,'Вводные'!$E$18))),$B$31/MAX(1,'Вводные'!$E$18),0)</x:f>
      </x:c>
      <x:c r="CB31" s="117" t="n">
        <x:f>IF(AND(CB$3&gt;='Вводные'!$B$18,CB$3&lt;EDATE('Вводные'!$B$18,MAX(1,'Вводные'!$E$18))),$B$31/MAX(1,'Вводные'!$E$18),0)</x:f>
      </x:c>
      <x:c r="CC31" s="117" t="n">
        <x:f>IF(AND(CC$3&gt;='Вводные'!$B$18,CC$3&lt;EDATE('Вводные'!$B$18,MAX(1,'Вводные'!$E$18))),$B$31/MAX(1,'Вводные'!$E$18),0)</x:f>
      </x:c>
      <x:c r="CD31" s="117" t="n">
        <x:f>IF(AND(CD$3&gt;='Вводные'!$B$18,CD$3&lt;EDATE('Вводные'!$B$18,MAX(1,'Вводные'!$E$18))),$B$31/MAX(1,'Вводные'!$E$18),0)</x:f>
      </x:c>
      <x:c r="CE31" s="117" t="n">
        <x:f>IF(AND(CE$3&gt;='Вводные'!$B$18,CE$3&lt;EDATE('Вводные'!$B$18,MAX(1,'Вводные'!$E$18))),$B$31/MAX(1,'Вводные'!$E$18),0)</x:f>
      </x:c>
      <x:c r="CF31" s="117" t="n">
        <x:f>IF(AND(CF$3&gt;='Вводные'!$B$18,CF$3&lt;EDATE('Вводные'!$B$18,MAX(1,'Вводные'!$E$18))),$B$31/MAX(1,'Вводные'!$E$18),0)</x:f>
      </x:c>
      <x:c r="CG31" s="117" t="n">
        <x:f>IF(AND(CG$3&gt;='Вводные'!$B$18,CG$3&lt;EDATE('Вводные'!$B$18,MAX(1,'Вводные'!$E$18))),$B$31/MAX(1,'Вводные'!$E$18),0)</x:f>
      </x:c>
      <x:c r="CH31" s="117" t="n">
        <x:f>IF(AND(CH$3&gt;='Вводные'!$B$18,CH$3&lt;EDATE('Вводные'!$B$18,MAX(1,'Вводные'!$E$18))),$B$31/MAX(1,'Вводные'!$E$18),0)</x:f>
      </x:c>
      <x:c r="CI31" s="117" t="n">
        <x:f>IF(AND(CI$3&gt;='Вводные'!$B$18,CI$3&lt;EDATE('Вводные'!$B$18,MAX(1,'Вводные'!$E$18))),$B$31/MAX(1,'Вводные'!$E$18),0)</x:f>
      </x:c>
      <x:c r="CJ31" s="117" t="n">
        <x:f>IF(AND(CJ$3&gt;='Вводные'!$B$18,CJ$3&lt;EDATE('Вводные'!$B$18,MAX(1,'Вводные'!$E$18))),$B$31/MAX(1,'Вводные'!$E$18),0)</x:f>
      </x:c>
      <x:c r="CK31" s="117" t="n">
        <x:f>IF(AND(CK$3&gt;='Вводные'!$B$18,CK$3&lt;EDATE('Вводные'!$B$18,MAX(1,'Вводные'!$E$18))),$B$31/MAX(1,'Вводные'!$E$18),0)</x:f>
      </x:c>
      <x:c r="CL31" s="117" t="n">
        <x:f>IF(AND(CL$3&gt;='Вводные'!$B$18,CL$3&lt;EDATE('Вводные'!$B$18,MAX(1,'Вводные'!$E$18))),$B$31/MAX(1,'Вводные'!$E$18),0)</x:f>
      </x:c>
      <x:c r="CM31" s="117" t="n">
        <x:f>IF(AND(CM$3&gt;='Вводные'!$B$18,CM$3&lt;EDATE('Вводные'!$B$18,MAX(1,'Вводные'!$E$18))),$B$31/MAX(1,'Вводные'!$E$18),0)</x:f>
      </x:c>
      <x:c r="CN31" s="117" t="n">
        <x:f>IF(AND(CN$3&gt;='Вводные'!$B$18,CN$3&lt;EDATE('Вводные'!$B$18,MAX(1,'Вводные'!$E$18))),$B$31/MAX(1,'Вводные'!$E$18),0)</x:f>
      </x:c>
      <x:c r="CO31" s="117" t="n">
        <x:f>IF(AND(CO$3&gt;='Вводные'!$B$18,CO$3&lt;EDATE('Вводные'!$B$18,MAX(1,'Вводные'!$E$18))),$B$31/MAX(1,'Вводные'!$E$18),0)</x:f>
      </x:c>
      <x:c r="CP31" s="117" t="n">
        <x:f>IF(AND(CP$3&gt;='Вводные'!$B$18,CP$3&lt;EDATE('Вводные'!$B$18,MAX(1,'Вводные'!$E$18))),$B$31/MAX(1,'Вводные'!$E$18),0)</x:f>
      </x:c>
      <x:c r="CQ31" s="117" t="n">
        <x:f>IF(AND(CQ$3&gt;='Вводные'!$B$18,CQ$3&lt;EDATE('Вводные'!$B$18,MAX(1,'Вводные'!$E$18))),$B$31/MAX(1,'Вводные'!$E$18),0)</x:f>
      </x:c>
      <x:c r="CR31" s="117" t="n">
        <x:f>IF(AND(CR$3&gt;='Вводные'!$B$18,CR$3&lt;EDATE('Вводные'!$B$18,MAX(1,'Вводные'!$E$18))),$B$31/MAX(1,'Вводные'!$E$18),0)</x:f>
      </x:c>
      <x:c r="CS31" s="117" t="n">
        <x:f>IF(AND(CS$3&gt;='Вводные'!$B$18,CS$3&lt;EDATE('Вводные'!$B$18,MAX(1,'Вводные'!$E$18))),$B$31/MAX(1,'Вводные'!$E$18),0)</x:f>
      </x:c>
      <x:c r="CT31" s="117" t="n">
        <x:f>IF(AND(CT$3&gt;='Вводные'!$B$18,CT$3&lt;EDATE('Вводные'!$B$18,MAX(1,'Вводные'!$E$18))),$B$31/MAX(1,'Вводные'!$E$18),0)</x:f>
      </x:c>
      <x:c r="CU31" s="117" t="n">
        <x:f>IF(AND(CU$3&gt;='Вводные'!$B$18,CU$3&lt;EDATE('Вводные'!$B$18,MAX(1,'Вводные'!$E$18))),$B$31/MAX(1,'Вводные'!$E$18),0)</x:f>
      </x:c>
      <x:c r="CV31" s="117" t="n">
        <x:f>IF(AND(CV$3&gt;='Вводные'!$B$18,CV$3&lt;EDATE('Вводные'!$B$18,MAX(1,'Вводные'!$E$18))),$B$31/MAX(1,'Вводные'!$E$18),0)</x:f>
      </x:c>
      <x:c r="CW31" s="117" t="n">
        <x:f>IF(AND(CW$3&gt;='Вводные'!$B$18,CW$3&lt;EDATE('Вводные'!$B$18,MAX(1,'Вводные'!$E$18))),$B$31/MAX(1,'Вводные'!$E$18),0)</x:f>
      </x:c>
      <x:c r="CX31" s="117" t="n">
        <x:f>IF(AND(CX$3&gt;='Вводные'!$B$18,CX$3&lt;EDATE('Вводные'!$B$18,MAX(1,'Вводные'!$E$18))),$B$31/MAX(1,'Вводные'!$E$18),0)</x:f>
      </x:c>
      <x:c r="CY31" s="117" t="n">
        <x:f>IF(AND(CY$3&gt;='Вводные'!$B$18,CY$3&lt;EDATE('Вводные'!$B$18,MAX(1,'Вводные'!$E$18))),$B$31/MAX(1,'Вводные'!$E$18),0)</x:f>
      </x:c>
      <x:c r="CZ31" s="117" t="n">
        <x:f>IF(AND(CZ$3&gt;='Вводные'!$B$18,CZ$3&lt;EDATE('Вводные'!$B$18,MAX(1,'Вводные'!$E$18))),$B$31/MAX(1,'Вводные'!$E$18),0)</x:f>
      </x:c>
      <x:c r="DA31" s="117" t="n">
        <x:f>IF(AND(DA$3&gt;='Вводные'!$B$18,DA$3&lt;EDATE('Вводные'!$B$18,MAX(1,'Вводные'!$E$18))),$B$31/MAX(1,'Вводные'!$E$18),0)</x:f>
      </x:c>
      <x:c r="DB31" s="117" t="n">
        <x:f>IF(AND(DB$3&gt;='Вводные'!$B$18,DB$3&lt;EDATE('Вводные'!$B$18,MAX(1,'Вводные'!$E$18))),$B$31/MAX(1,'Вводные'!$E$18),0)</x:f>
      </x:c>
      <x:c r="DC31" s="117" t="n">
        <x:f>IF(AND(DC$3&gt;='Вводные'!$B$18,DC$3&lt;EDATE('Вводные'!$B$18,MAX(1,'Вводные'!$E$18))),$B$31/MAX(1,'Вводные'!$E$18),0)</x:f>
      </x:c>
      <x:c r="DD31" s="117" t="n">
        <x:f>IF(AND(DD$3&gt;='Вводные'!$B$18,DD$3&lt;EDATE('Вводные'!$B$18,MAX(1,'Вводные'!$E$18))),$B$31/MAX(1,'Вводные'!$E$18),0)</x:f>
      </x:c>
      <x:c r="DE31" s="117" t="n">
        <x:f>IF(AND(DE$3&gt;='Вводные'!$B$18,DE$3&lt;EDATE('Вводные'!$B$18,MAX(1,'Вводные'!$E$18))),$B$31/MAX(1,'Вводные'!$E$18),0)</x:f>
      </x:c>
      <x:c r="DF31" s="117" t="n">
        <x:f>IF(AND(DF$3&gt;='Вводные'!$B$18,DF$3&lt;EDATE('Вводные'!$B$18,MAX(1,'Вводные'!$E$18))),$B$31/MAX(1,'Вводные'!$E$18),0)</x:f>
      </x:c>
      <x:c r="DG31" s="117" t="n">
        <x:f>IF(AND(DG$3&gt;='Вводные'!$B$18,DG$3&lt;EDATE('Вводные'!$B$18,MAX(1,'Вводные'!$E$18))),$B$31/MAX(1,'Вводные'!$E$18),0)</x:f>
      </x:c>
      <x:c r="DH31" s="117" t="n">
        <x:f>IF(AND(DH$3&gt;='Вводные'!$B$18,DH$3&lt;EDATE('Вводные'!$B$18,MAX(1,'Вводные'!$E$18))),$B$31/MAX(1,'Вводные'!$E$18),0)</x:f>
      </x:c>
      <x:c r="DI31" s="117" t="n">
        <x:f>IF(AND(DI$3&gt;='Вводные'!$B$18,DI$3&lt;EDATE('Вводные'!$B$18,MAX(1,'Вводные'!$E$18))),$B$31/MAX(1,'Вводные'!$E$18),0)</x:f>
      </x:c>
      <x:c r="DJ31" s="117" t="n">
        <x:f>IF(AND(DJ$3&gt;='Вводные'!$B$18,DJ$3&lt;EDATE('Вводные'!$B$18,MAX(1,'Вводные'!$E$18))),$B$31/MAX(1,'Вводные'!$E$18),0)</x:f>
      </x:c>
      <x:c r="DK31" s="117" t="n">
        <x:f>IF(AND(DK$3&gt;='Вводные'!$B$18,DK$3&lt;EDATE('Вводные'!$B$18,MAX(1,'Вводные'!$E$18))),$B$31/MAX(1,'Вводные'!$E$18),0)</x:f>
      </x:c>
      <x:c r="DL31" s="117" t="n">
        <x:f>IF(AND(DL$3&gt;='Вводные'!$B$18,DL$3&lt;EDATE('Вводные'!$B$18,MAX(1,'Вводные'!$E$18))),$B$31/MAX(1,'Вводные'!$E$18),0)</x:f>
      </x:c>
      <x:c r="DM31" s="117" t="n">
        <x:f>IF(AND(DM$3&gt;='Вводные'!$B$18,DM$3&lt;EDATE('Вводные'!$B$18,MAX(1,'Вводные'!$E$18))),$B$31/MAX(1,'Вводные'!$E$18),0)</x:f>
      </x:c>
      <x:c r="DN31" s="117" t="n">
        <x:f>IF(AND(DN$3&gt;='Вводные'!$B$18,DN$3&lt;EDATE('Вводные'!$B$18,MAX(1,'Вводные'!$E$18))),$B$31/MAX(1,'Вводные'!$E$18),0)</x:f>
      </x:c>
      <x:c r="DO31" s="117" t="n">
        <x:f>IF(AND(DO$3&gt;='Вводные'!$B$18,DO$3&lt;EDATE('Вводные'!$B$18,MAX(1,'Вводные'!$E$18))),$B$31/MAX(1,'Вводные'!$E$18),0)</x:f>
      </x:c>
      <x:c r="DP31" s="117" t="n">
        <x:f>IF(AND(DP$3&gt;='Вводные'!$B$18,DP$3&lt;EDATE('Вводные'!$B$18,MAX(1,'Вводные'!$E$18))),$B$31/MAX(1,'Вводные'!$E$18),0)</x:f>
      </x:c>
      <x:c r="DQ31" s="117" t="n">
        <x:f>IF(AND(DQ$3&gt;='Вводные'!$B$18,DQ$3&lt;EDATE('Вводные'!$B$18,MAX(1,'Вводные'!$E$18))),$B$31/MAX(1,'Вводные'!$E$18),0)</x:f>
      </x:c>
      <x:c r="DR31" s="117" t="n">
        <x:f>IF(AND(DR$3&gt;='Вводные'!$B$18,DR$3&lt;EDATE('Вводные'!$B$18,MAX(1,'Вводные'!$E$18))),$B$31/MAX(1,'Вводные'!$E$18),0)</x:f>
      </x:c>
      <x:c r="DS31" s="117" t="n">
        <x:f>IF(AND(DS$3&gt;='Вводные'!$B$18,DS$3&lt;EDATE('Вводные'!$B$18,MAX(1,'Вводные'!$E$18))),$B$31/MAX(1,'Вводные'!$E$18),0)</x:f>
      </x:c>
      <x:c r="DT31" s="117" t="n">
        <x:f>IF(AND(DT$3&gt;='Вводные'!$B$18,DT$3&lt;EDATE('Вводные'!$B$18,MAX(1,'Вводные'!$E$18))),$B$31/MAX(1,'Вводные'!$E$18),0)</x:f>
      </x:c>
      <x:c r="DU31" s="117" t="n">
        <x:f>IF(AND(DU$3&gt;='Вводные'!$B$18,DU$3&lt;EDATE('Вводные'!$B$18,MAX(1,'Вводные'!$E$18))),$B$31/MAX(1,'Вводные'!$E$18),0)</x:f>
      </x:c>
      <x:c r="DV31" s="117" t="n">
        <x:f>IF(AND(DV$3&gt;='Вводные'!$B$18,DV$3&lt;EDATE('Вводные'!$B$18,MAX(1,'Вводные'!$E$18))),$B$31/MAX(1,'Вводные'!$E$18),0)</x:f>
      </x:c>
      <x:c r="DW31" s="117" t="n">
        <x:f>IF(AND(DW$3&gt;='Вводные'!$B$18,DW$3&lt;EDATE('Вводные'!$B$18,MAX(1,'Вводные'!$E$18))),$B$31/MAX(1,'Вводные'!$E$18),0)</x:f>
      </x:c>
      <x:c r="DX31" s="117" t="n">
        <x:f>IF(AND(DX$3&gt;='Вводные'!$B$18,DX$3&lt;EDATE('Вводные'!$B$18,MAX(1,'Вводные'!$E$18))),$B$31/MAX(1,'Вводные'!$E$18),0)</x:f>
      </x:c>
      <x:c r="DY31" s="117" t="n">
        <x:f>IF(AND(DY$3&gt;='Вводные'!$B$18,DY$3&lt;EDATE('Вводные'!$B$18,MAX(1,'Вводные'!$E$18))),$B$31/MAX(1,'Вводные'!$E$18),0)</x:f>
      </x:c>
      <x:c r="DZ31" s="117" t="n">
        <x:f>IF(AND(DZ$3&gt;='Вводные'!$B$18,DZ$3&lt;EDATE('Вводные'!$B$18,MAX(1,'Вводные'!$E$18))),$B$31/MAX(1,'Вводные'!$E$18),0)</x:f>
      </x:c>
      <x:c r="EA31" s="117" t="n">
        <x:f>IF(AND(EA$3&gt;='Вводные'!$B$18,EA$3&lt;EDATE('Вводные'!$B$18,MAX(1,'Вводные'!$E$18))),$B$31/MAX(1,'Вводные'!$E$18),0)</x:f>
      </x:c>
      <x:c r="EB31" s="117" t="n">
        <x:f>IF(AND(EB$3&gt;='Вводные'!$B$18,EB$3&lt;EDATE('Вводные'!$B$18,MAX(1,'Вводные'!$E$18))),$B$31/MAX(1,'Вводные'!$E$18),0)</x:f>
      </x:c>
      <x:c r="EC31" s="117" t="n">
        <x:f>IF(AND(EC$3&gt;='Вводные'!$B$18,EC$3&lt;EDATE('Вводные'!$B$18,MAX(1,'Вводные'!$E$18))),$B$31/MAX(1,'Вводные'!$E$18),0)</x:f>
      </x:c>
      <x:c r="ED31" s="117" t="n">
        <x:f>IF(AND(ED$3&gt;='Вводные'!$B$18,ED$3&lt;EDATE('Вводные'!$B$18,MAX(1,'Вводные'!$E$18))),$B$31/MAX(1,'Вводные'!$E$18),0)</x:f>
      </x:c>
      <x:c r="EE31" s="117" t="n">
        <x:f>IF(AND(EE$3&gt;='Вводные'!$B$18,EE$3&lt;EDATE('Вводные'!$B$18,MAX(1,'Вводные'!$E$18))),$B$31/MAX(1,'Вводные'!$E$18),0)</x:f>
      </x:c>
      <x:c r="EF31" s="117" t="n">
        <x:f>IF(AND(EF$3&gt;='Вводные'!$B$18,EF$3&lt;EDATE('Вводные'!$B$18,MAX(1,'Вводные'!$E$18))),$B$31/MAX(1,'Вводные'!$E$18),0)</x:f>
      </x:c>
      <x:c r="EG31" s="117" t="n">
        <x:f>IF(AND(EG$3&gt;='Вводные'!$B$18,EG$3&lt;EDATE('Вводные'!$B$18,MAX(1,'Вводные'!$E$18))),$B$31/MAX(1,'Вводные'!$E$18),0)</x:f>
      </x:c>
      <x:c r="EH31" s="117" t="n">
        <x:f>IF(AND(EH$3&gt;='Вводные'!$B$18,EH$3&lt;EDATE('Вводные'!$B$18,MAX(1,'Вводные'!$E$18))),$B$31/MAX(1,'Вводные'!$E$18),0)</x:f>
      </x:c>
      <x:c r="EI31" s="117" t="n">
        <x:f>IF(AND(EI$3&gt;='Вводные'!$B$18,EI$3&lt;EDATE('Вводные'!$B$18,MAX(1,'Вводные'!$E$18))),$B$31/MAX(1,'Вводные'!$E$18),0)</x:f>
      </x:c>
      <x:c r="EJ31" s="117" t="n">
        <x:f>IF(AND(EJ$3&gt;='Вводные'!$B$18,EJ$3&lt;EDATE('Вводные'!$B$18,MAX(1,'Вводные'!$E$18))),$B$31/MAX(1,'Вводные'!$E$18),0)</x:f>
      </x:c>
      <x:c r="EK31" s="117" t="n">
        <x:f>IF(AND(EK$3&gt;='Вводные'!$B$18,EK$3&lt;EDATE('Вводные'!$B$18,MAX(1,'Вводные'!$E$18))),$B$31/MAX(1,'Вводные'!$E$18),0)</x:f>
      </x:c>
      <x:c r="EL31" s="117" t="n">
        <x:f>IF(AND(EL$3&gt;='Вводные'!$B$18,EL$3&lt;EDATE('Вводные'!$B$18,MAX(1,'Вводные'!$E$18))),$B$31/MAX(1,'Вводные'!$E$18),0)</x:f>
      </x:c>
      <x:c r="EM31" s="117" t="n">
        <x:f>IF(AND(EM$3&gt;='Вводные'!$B$18,EM$3&lt;EDATE('Вводные'!$B$18,MAX(1,'Вводные'!$E$18))),$B$31/MAX(1,'Вводные'!$E$18),0)</x:f>
      </x:c>
      <x:c r="EN31" s="117" t="n">
        <x:f>IF(AND(EN$3&gt;='Вводные'!$B$18,EN$3&lt;EDATE('Вводные'!$B$18,MAX(1,'Вводные'!$E$18))),$B$31/MAX(1,'Вводные'!$E$18),0)</x:f>
      </x:c>
      <x:c r="EO31" s="117" t="n">
        <x:f>IF(AND(EO$3&gt;='Вводные'!$B$18,EO$3&lt;EDATE('Вводные'!$B$18,MAX(1,'Вводные'!$E$18))),$B$31/MAX(1,'Вводные'!$E$18),0)</x:f>
      </x:c>
      <x:c r="EP31" s="117" t="n">
        <x:f>IF(AND(EP$3&gt;='Вводные'!$B$18,EP$3&lt;EDATE('Вводные'!$B$18,MAX(1,'Вводные'!$E$18))),$B$31/MAX(1,'Вводные'!$E$18),0)</x:f>
      </x:c>
      <x:c r="EQ31" s="117" t="n">
        <x:f>IF(AND(EQ$3&gt;='Вводные'!$B$18,EQ$3&lt;EDATE('Вводные'!$B$18,MAX(1,'Вводные'!$E$18))),$B$31/MAX(1,'Вводные'!$E$18),0)</x:f>
      </x:c>
      <x:c r="ER31" s="117" t="n">
        <x:f>IF(AND(ER$3&gt;='Вводные'!$B$18,ER$3&lt;EDATE('Вводные'!$B$18,MAX(1,'Вводные'!$E$18))),$B$31/MAX(1,'Вводные'!$E$18),0)</x:f>
      </x:c>
      <x:c r="ES31" s="117" t="n">
        <x:f>IF(AND(ES$3&gt;='Вводные'!$B$18,ES$3&lt;EDATE('Вводные'!$B$18,MAX(1,'Вводные'!$E$18))),$B$31/MAX(1,'Вводные'!$E$18),0)</x:f>
      </x:c>
      <x:c r="ET31" s="117" t="n">
        <x:f>IF(AND(ET$3&gt;='Вводные'!$B$18,ET$3&lt;EDATE('Вводные'!$B$18,MAX(1,'Вводные'!$E$18))),$B$31/MAX(1,'Вводные'!$E$18),0)</x:f>
      </x:c>
      <x:c r="EU31" s="117" t="n">
        <x:f>IF(AND(EU$3&gt;='Вводные'!$B$18,EU$3&lt;EDATE('Вводные'!$B$18,MAX(1,'Вводные'!$E$18))),$B$31/MAX(1,'Вводные'!$E$18),0)</x:f>
      </x:c>
      <x:c r="EV31" s="117" t="n">
        <x:f>IF(AND(EV$3&gt;='Вводные'!$B$18,EV$3&lt;EDATE('Вводные'!$B$18,MAX(1,'Вводные'!$E$18))),$B$31/MAX(1,'Вводные'!$E$18),0)</x:f>
      </x:c>
      <x:c r="EW31" s="117" t="n">
        <x:f>IF(AND(EW$3&gt;='Вводные'!$B$18,EW$3&lt;EDATE('Вводные'!$B$18,MAX(1,'Вводные'!$E$18))),$B$31/MAX(1,'Вводные'!$E$18),0)</x:f>
      </x:c>
      <x:c r="EX31" s="117" t="n">
        <x:f>IF(AND(EX$3&gt;='Вводные'!$B$18,EX$3&lt;EDATE('Вводные'!$B$18,MAX(1,'Вводные'!$E$18))),$B$31/MAX(1,'Вводные'!$E$18),0)</x:f>
      </x:c>
      <x:c r="EY31" s="117" t="n">
        <x:f>IF(AND(EY$3&gt;='Вводные'!$B$18,EY$3&lt;EDATE('Вводные'!$B$18,MAX(1,'Вводные'!$E$18))),$B$31/MAX(1,'Вводные'!$E$18),0)</x:f>
      </x:c>
      <x:c r="EZ31" s="117" t="n">
        <x:f>IF(AND(EZ$3&gt;='Вводные'!$B$18,EZ$3&lt;EDATE('Вводные'!$B$18,MAX(1,'Вводные'!$E$18))),$B$31/MAX(1,'Вводные'!$E$18),0)</x:f>
      </x:c>
      <x:c r="FA31" s="117" t="n">
        <x:f>IF(AND(FA$3&gt;='Вводные'!$B$18,FA$3&lt;EDATE('Вводные'!$B$18,MAX(1,'Вводные'!$E$18))),$B$31/MAX(1,'Вводные'!$E$18),0)</x:f>
      </x:c>
      <x:c r="FB31" s="117" t="n">
        <x:f>IF(AND(FB$3&gt;='Вводные'!$B$18,FB$3&lt;EDATE('Вводные'!$B$18,MAX(1,'Вводные'!$E$18))),$B$31/MAX(1,'Вводные'!$E$18),0)</x:f>
      </x:c>
      <x:c r="FC31" s="117" t="n">
        <x:f>IF(AND(FC$3&gt;='Вводные'!$B$18,FC$3&lt;EDATE('Вводные'!$B$18,MAX(1,'Вводные'!$E$18))),$B$31/MAX(1,'Вводные'!$E$18),0)</x:f>
      </x:c>
      <x:c r="FD31" s="117" t="n">
        <x:f>IF(AND(FD$3&gt;='Вводные'!$B$18,FD$3&lt;EDATE('Вводные'!$B$18,MAX(1,'Вводные'!$E$18))),$B$31/MAX(1,'Вводные'!$E$18),0)</x:f>
      </x:c>
      <x:c r="FE31" s="117" t="n">
        <x:f>IF(AND(FE$3&gt;='Вводные'!$B$18,FE$3&lt;EDATE('Вводные'!$B$18,MAX(1,'Вводные'!$E$18))),$B$31/MAX(1,'Вводные'!$E$18),0)</x:f>
      </x:c>
      <x:c r="FF31" s="117" t="n">
        <x:f>IF(AND(FF$3&gt;='Вводные'!$B$18,FF$3&lt;EDATE('Вводные'!$B$18,MAX(1,'Вводные'!$E$18))),$B$31/MAX(1,'Вводные'!$E$18),0)</x:f>
      </x:c>
      <x:c r="FG31" s="117" t="n">
        <x:f>IF(AND(FG$3&gt;='Вводные'!$B$18,FG$3&lt;EDATE('Вводные'!$B$18,MAX(1,'Вводные'!$E$18))),$B$31/MAX(1,'Вводные'!$E$18),0)</x:f>
      </x:c>
      <x:c r="FH31" s="117" t="n">
        <x:f>IF(AND(FH$3&gt;='Вводные'!$B$18,FH$3&lt;EDATE('Вводные'!$B$18,MAX(1,'Вводные'!$E$18))),$B$31/MAX(1,'Вводные'!$E$18),0)</x:f>
      </x:c>
      <x:c r="FI31" s="117" t="n">
        <x:f>IF(AND(FI$3&gt;='Вводные'!$B$18,FI$3&lt;EDATE('Вводные'!$B$18,MAX(1,'Вводные'!$E$18))),$B$31/MAX(1,'Вводные'!$E$18),0)</x:f>
      </x:c>
      <x:c r="FJ31" s="117" t="n">
        <x:f>IF(AND(FJ$3&gt;='Вводные'!$B$18,FJ$3&lt;EDATE('Вводные'!$B$18,MAX(1,'Вводные'!$E$18))),$B$31/MAX(1,'Вводные'!$E$18),0)</x:f>
      </x:c>
      <x:c r="FK31" s="117" t="n">
        <x:f>IF(AND(FK$3&gt;='Вводные'!$B$18,FK$3&lt;EDATE('Вводные'!$B$18,MAX(1,'Вводные'!$E$18))),$B$31/MAX(1,'Вводные'!$E$18),0)</x:f>
      </x:c>
      <x:c r="FL31" s="117" t="n">
        <x:f>IF(AND(FL$3&gt;='Вводные'!$B$18,FL$3&lt;EDATE('Вводные'!$B$18,MAX(1,'Вводные'!$E$18))),$B$31/MAX(1,'Вводные'!$E$18),0)</x:f>
      </x:c>
      <x:c r="FM31" s="117" t="n">
        <x:f>IF(AND(FM$3&gt;='Вводные'!$B$18,FM$3&lt;EDATE('Вводные'!$B$18,MAX(1,'Вводные'!$E$18))),$B$31/MAX(1,'Вводные'!$E$18),0)</x:f>
      </x:c>
      <x:c r="FN31" s="117" t="n">
        <x:f>IF(AND(FN$3&gt;='Вводные'!$B$18,FN$3&lt;EDATE('Вводные'!$B$18,MAX(1,'Вводные'!$E$18))),$B$31/MAX(1,'Вводные'!$E$18),0)</x:f>
      </x:c>
      <x:c r="FO31" s="117" t="n">
        <x:f>IF(AND(FO$3&gt;='Вводные'!$B$18,FO$3&lt;EDATE('Вводные'!$B$18,MAX(1,'Вводные'!$E$18))),$B$31/MAX(1,'Вводные'!$E$18),0)</x:f>
      </x:c>
      <x:c r="FP31" s="117" t="n">
        <x:f>IF(AND(FP$3&gt;='Вводные'!$B$18,FP$3&lt;EDATE('Вводные'!$B$18,MAX(1,'Вводные'!$E$18))),$B$31/MAX(1,'Вводные'!$E$18),0)</x:f>
      </x:c>
      <x:c r="FQ31" s="117" t="n">
        <x:f>IF(AND(FQ$3&gt;='Вводные'!$B$18,FQ$3&lt;EDATE('Вводные'!$B$18,MAX(1,'Вводные'!$E$18))),$B$31/MAX(1,'Вводные'!$E$18),0)</x:f>
      </x:c>
      <x:c r="FR31" s="117" t="n">
        <x:f>IF(AND(FR$3&gt;='Вводные'!$B$18,FR$3&lt;EDATE('Вводные'!$B$18,MAX(1,'Вводные'!$E$18))),$B$31/MAX(1,'Вводные'!$E$18),0)</x:f>
      </x:c>
      <x:c r="FS31" s="117" t="n">
        <x:f>IF(AND(FS$3&gt;='Вводные'!$B$18,FS$3&lt;EDATE('Вводные'!$B$18,MAX(1,'Вводные'!$E$18))),$B$31/MAX(1,'Вводные'!$E$18),0)</x:f>
      </x:c>
      <x:c r="FT31" s="117" t="n">
        <x:f>IF(AND(FT$3&gt;='Вводные'!$B$18,FT$3&lt;EDATE('Вводные'!$B$18,MAX(1,'Вводные'!$E$18))),$B$31/MAX(1,'Вводные'!$E$18),0)</x:f>
      </x:c>
      <x:c r="FU31" s="117" t="n">
        <x:f>IF(AND(FU$3&gt;='Вводные'!$B$18,FU$3&lt;EDATE('Вводные'!$B$18,MAX(1,'Вводные'!$E$18))),$B$31/MAX(1,'Вводные'!$E$18),0)</x:f>
      </x:c>
      <x:c r="FV31" s="117" t="n">
        <x:f>IF(AND(FV$3&gt;='Вводные'!$B$18,FV$3&lt;EDATE('Вводные'!$B$18,MAX(1,'Вводные'!$E$18))),$B$31/MAX(1,'Вводные'!$E$18),0)</x:f>
      </x:c>
      <x:c r="FW31" s="117" t="n">
        <x:f>IF(AND(FW$3&gt;='Вводные'!$B$18,FW$3&lt;EDATE('Вводные'!$B$18,MAX(1,'Вводные'!$E$18))),$B$31/MAX(1,'Вводные'!$E$18),0)</x:f>
      </x:c>
      <x:c r="FX31" s="117" t="n">
        <x:f>IF(AND(FX$3&gt;='Вводные'!$B$18,FX$3&lt;EDATE('Вводные'!$B$18,MAX(1,'Вводные'!$E$18))),$B$31/MAX(1,'Вводные'!$E$18),0)</x:f>
      </x:c>
      <x:c r="FY31" s="117" t="n">
        <x:f>IF(AND(FY$3&gt;='Вводные'!$B$18,FY$3&lt;EDATE('Вводные'!$B$18,MAX(1,'Вводные'!$E$18))),$B$31/MAX(1,'Вводные'!$E$18),0)</x:f>
      </x:c>
      <x:c r="FZ31" s="117" t="n">
        <x:f>IF(AND(FZ$3&gt;='Вводные'!$B$18,FZ$3&lt;EDATE('Вводные'!$B$18,MAX(1,'Вводные'!$E$18))),$B$31/MAX(1,'Вводные'!$E$18),0)</x:f>
      </x:c>
      <x:c r="GA31" s="117" t="n">
        <x:f>IF(AND(GA$3&gt;='Вводные'!$B$18,GA$3&lt;EDATE('Вводные'!$B$18,MAX(1,'Вводные'!$E$18))),$B$31/MAX(1,'Вводные'!$E$18),0)</x:f>
      </x:c>
    </x:row>
    <x:row r="32">
      <x:c r="A32" s="113" t="str">
        <x:v>CAPEX ВСЕГО</x:v>
      </x:c>
      <x:c r="B32" s="113" t="n">
        <x:f>SUM(D32:GA32)</x:f>
      </x:c>
      <x:c r="C32" s="113" t="str">
        <x:v>млн ₽</x:v>
      </x:c>
      <x:c r="D32" s="120" t="n">
        <x:f>SUM(D14:D31)+'ОБЪЕКТЫ'!D96</x:f>
      </x:c>
      <x:c r="E32" s="120" t="n">
        <x:f>SUM(E14:E31)+'ОБЪЕКТЫ'!E96</x:f>
      </x:c>
      <x:c r="F32" s="120" t="n">
        <x:f>SUM(F14:F31)+'ОБЪЕКТЫ'!F96</x:f>
      </x:c>
      <x:c r="G32" s="120" t="n">
        <x:f>SUM(G14:G31)+'ОБЪЕКТЫ'!G96</x:f>
      </x:c>
      <x:c r="H32" s="120" t="n">
        <x:f>SUM(H14:H31)+'ОБЪЕКТЫ'!H96</x:f>
      </x:c>
      <x:c r="I32" s="120" t="n">
        <x:f>SUM(I14:I31)+'ОБЪЕКТЫ'!I96</x:f>
      </x:c>
      <x:c r="J32" s="120" t="n">
        <x:f>SUM(J14:J31)+'ОБЪЕКТЫ'!J96</x:f>
      </x:c>
      <x:c r="K32" s="120" t="n">
        <x:f>SUM(K14:K31)+'ОБЪЕКТЫ'!K96</x:f>
      </x:c>
      <x:c r="L32" s="120" t="n">
        <x:f>SUM(L14:L31)+'ОБЪЕКТЫ'!L96</x:f>
      </x:c>
      <x:c r="M32" s="120" t="n">
        <x:f>SUM(M14:M31)+'ОБЪЕКТЫ'!M96</x:f>
      </x:c>
      <x:c r="N32" s="120" t="n">
        <x:f>SUM(N14:N31)+'ОБЪЕКТЫ'!N96</x:f>
      </x:c>
      <x:c r="O32" s="120" t="n">
        <x:f>SUM(O14:O31)+'ОБЪЕКТЫ'!O96</x:f>
      </x:c>
      <x:c r="P32" s="120" t="n">
        <x:f>SUM(P14:P31)+'ОБЪЕКТЫ'!P96</x:f>
      </x:c>
      <x:c r="Q32" s="120" t="n">
        <x:f>SUM(Q14:Q31)+'ОБЪЕКТЫ'!Q96</x:f>
      </x:c>
      <x:c r="R32" s="120" t="n">
        <x:f>SUM(R14:R31)+'ОБЪЕКТЫ'!R96</x:f>
      </x:c>
      <x:c r="S32" s="120" t="n">
        <x:f>SUM(S14:S31)+'ОБЪЕКТЫ'!S96</x:f>
      </x:c>
      <x:c r="T32" s="120" t="n">
        <x:f>SUM(T14:T31)+'ОБЪЕКТЫ'!T96</x:f>
      </x:c>
      <x:c r="U32" s="120" t="n">
        <x:f>SUM(U14:U31)+'ОБЪЕКТЫ'!U96</x:f>
      </x:c>
      <x:c r="V32" s="120" t="n">
        <x:f>SUM(V14:V31)+'ОБЪЕКТЫ'!V96</x:f>
      </x:c>
      <x:c r="W32" s="120" t="n">
        <x:f>SUM(W14:W31)+'ОБЪЕКТЫ'!W96</x:f>
      </x:c>
      <x:c r="X32" s="120" t="n">
        <x:f>SUM(X14:X31)+'ОБЪЕКТЫ'!X96</x:f>
      </x:c>
      <x:c r="Y32" s="120" t="n">
        <x:f>SUM(Y14:Y31)+'ОБЪЕКТЫ'!Y96</x:f>
      </x:c>
      <x:c r="Z32" s="120" t="n">
        <x:f>SUM(Z14:Z31)+'ОБЪЕКТЫ'!Z96</x:f>
      </x:c>
      <x:c r="AA32" s="120" t="n">
        <x:f>SUM(AA14:AA31)+'ОБЪЕКТЫ'!AA96</x:f>
      </x:c>
      <x:c r="AB32" s="120" t="n">
        <x:f>SUM(AB14:AB31)+'ОБЪЕКТЫ'!AB96</x:f>
      </x:c>
      <x:c r="AC32" s="120" t="n">
        <x:f>SUM(AC14:AC31)+'ОБЪЕКТЫ'!AC96</x:f>
      </x:c>
      <x:c r="AD32" s="120" t="n">
        <x:f>SUM(AD14:AD31)+'ОБЪЕКТЫ'!AD96</x:f>
      </x:c>
      <x:c r="AE32" s="120" t="n">
        <x:f>SUM(AE14:AE31)+'ОБЪЕКТЫ'!AE96</x:f>
      </x:c>
      <x:c r="AF32" s="120" t="n">
        <x:f>SUM(AF14:AF31)+'ОБЪЕКТЫ'!AF96</x:f>
      </x:c>
      <x:c r="AG32" s="120" t="n">
        <x:f>SUM(AG14:AG31)+'ОБЪЕКТЫ'!AG96</x:f>
      </x:c>
      <x:c r="AH32" s="120" t="n">
        <x:f>SUM(AH14:AH31)+'ОБЪЕКТЫ'!AH96</x:f>
      </x:c>
      <x:c r="AI32" s="120" t="n">
        <x:f>SUM(AI14:AI31)+'ОБЪЕКТЫ'!AI96</x:f>
      </x:c>
      <x:c r="AJ32" s="120" t="n">
        <x:f>SUM(AJ14:AJ31)+'ОБЪЕКТЫ'!AJ96</x:f>
      </x:c>
      <x:c r="AK32" s="120" t="n">
        <x:f>SUM(AK14:AK31)+'ОБЪЕКТЫ'!AK96</x:f>
      </x:c>
      <x:c r="AL32" s="120" t="n">
        <x:f>SUM(AL14:AL31)+'ОБЪЕКТЫ'!AL96</x:f>
      </x:c>
      <x:c r="AM32" s="120" t="n">
        <x:f>SUM(AM14:AM31)+'ОБЪЕКТЫ'!AM96</x:f>
      </x:c>
      <x:c r="AN32" s="120" t="n">
        <x:f>SUM(AN14:AN31)+'ОБЪЕКТЫ'!AN96</x:f>
      </x:c>
      <x:c r="AO32" s="120" t="n">
        <x:f>SUM(AO14:AO31)+'ОБЪЕКТЫ'!AO96</x:f>
      </x:c>
      <x:c r="AP32" s="120" t="n">
        <x:f>SUM(AP14:AP31)+'ОБЪЕКТЫ'!AP96</x:f>
      </x:c>
      <x:c r="AQ32" s="120" t="n">
        <x:f>SUM(AQ14:AQ31)+'ОБЪЕКТЫ'!AQ96</x:f>
      </x:c>
      <x:c r="AR32" s="120" t="n">
        <x:f>SUM(AR14:AR31)+'ОБЪЕКТЫ'!AR96</x:f>
      </x:c>
      <x:c r="AS32" s="120" t="n">
        <x:f>SUM(AS14:AS31)+'ОБЪЕКТЫ'!AS96</x:f>
      </x:c>
      <x:c r="AT32" s="120" t="n">
        <x:f>SUM(AT14:AT31)+'ОБЪЕКТЫ'!AT96</x:f>
      </x:c>
      <x:c r="AU32" s="120" t="n">
        <x:f>SUM(AU14:AU31)+'ОБЪЕКТЫ'!AU96</x:f>
      </x:c>
      <x:c r="AV32" s="120" t="n">
        <x:f>SUM(AV14:AV31)+'ОБЪЕКТЫ'!AV96</x:f>
      </x:c>
      <x:c r="AW32" s="120" t="n">
        <x:f>SUM(AW14:AW31)+'ОБЪЕКТЫ'!AW96</x:f>
      </x:c>
      <x:c r="AX32" s="120" t="n">
        <x:f>SUM(AX14:AX31)+'ОБЪЕКТЫ'!AX96</x:f>
      </x:c>
      <x:c r="AY32" s="120" t="n">
        <x:f>SUM(AY14:AY31)+'ОБЪЕКТЫ'!AY96</x:f>
      </x:c>
      <x:c r="AZ32" s="120" t="n">
        <x:f>SUM(AZ14:AZ31)+'ОБЪЕКТЫ'!AZ96</x:f>
      </x:c>
      <x:c r="BA32" s="120" t="n">
        <x:f>SUM(BA14:BA31)+'ОБЪЕКТЫ'!BA96</x:f>
      </x:c>
      <x:c r="BB32" s="120" t="n">
        <x:f>SUM(BB14:BB31)+'ОБЪЕКТЫ'!BB96</x:f>
      </x:c>
      <x:c r="BC32" s="120" t="n">
        <x:f>SUM(BC14:BC31)+'ОБЪЕКТЫ'!BC96</x:f>
      </x:c>
      <x:c r="BD32" s="120" t="n">
        <x:f>SUM(BD14:BD31)+'ОБЪЕКТЫ'!BD96</x:f>
      </x:c>
      <x:c r="BE32" s="120" t="n">
        <x:f>SUM(BE14:BE31)+'ОБЪЕКТЫ'!BE96</x:f>
      </x:c>
      <x:c r="BF32" s="120" t="n">
        <x:f>SUM(BF14:BF31)+'ОБЪЕКТЫ'!BF96</x:f>
      </x:c>
      <x:c r="BG32" s="120" t="n">
        <x:f>SUM(BG14:BG31)+'ОБЪЕКТЫ'!BG96</x:f>
      </x:c>
      <x:c r="BH32" s="120" t="n">
        <x:f>SUM(BH14:BH31)+'ОБЪЕКТЫ'!BH96</x:f>
      </x:c>
      <x:c r="BI32" s="120" t="n">
        <x:f>SUM(BI14:BI31)+'ОБЪЕКТЫ'!BI96</x:f>
      </x:c>
      <x:c r="BJ32" s="120" t="n">
        <x:f>SUM(BJ14:BJ31)+'ОБЪЕКТЫ'!BJ96</x:f>
      </x:c>
      <x:c r="BK32" s="120" t="n">
        <x:f>SUM(BK14:BK31)+'ОБЪЕКТЫ'!BK96</x:f>
      </x:c>
      <x:c r="BL32" s="120" t="n">
        <x:f>SUM(BL14:BL31)+'ОБЪЕКТЫ'!BL96</x:f>
      </x:c>
      <x:c r="BM32" s="120" t="n">
        <x:f>SUM(BM14:BM31)+'ОБЪЕКТЫ'!BM96</x:f>
      </x:c>
      <x:c r="BN32" s="120" t="n">
        <x:f>SUM(BN14:BN31)+'ОБЪЕКТЫ'!BN96</x:f>
      </x:c>
      <x:c r="BO32" s="120" t="n">
        <x:f>SUM(BO14:BO31)+'ОБЪЕКТЫ'!BO96</x:f>
      </x:c>
      <x:c r="BP32" s="120" t="n">
        <x:f>SUM(BP14:BP31)+'ОБЪЕКТЫ'!BP96</x:f>
      </x:c>
      <x:c r="BQ32" s="120" t="n">
        <x:f>SUM(BQ14:BQ31)+'ОБЪЕКТЫ'!BQ96</x:f>
      </x:c>
      <x:c r="BR32" s="120" t="n">
        <x:f>SUM(BR14:BR31)+'ОБЪЕКТЫ'!BR96</x:f>
      </x:c>
      <x:c r="BS32" s="120" t="n">
        <x:f>SUM(BS14:BS31)+'ОБЪЕКТЫ'!BS96</x:f>
      </x:c>
      <x:c r="BT32" s="120" t="n">
        <x:f>SUM(BT14:BT31)+'ОБЪЕКТЫ'!BT96</x:f>
      </x:c>
      <x:c r="BU32" s="120" t="n">
        <x:f>SUM(BU14:BU31)+'ОБЪЕКТЫ'!BU96</x:f>
      </x:c>
      <x:c r="BV32" s="120" t="n">
        <x:f>SUM(BV14:BV31)+'ОБЪЕКТЫ'!BV96</x:f>
      </x:c>
      <x:c r="BW32" s="120" t="n">
        <x:f>SUM(BW14:BW31)+'ОБЪЕКТЫ'!BW96</x:f>
      </x:c>
      <x:c r="BX32" s="120" t="n">
        <x:f>SUM(BX14:BX31)+'ОБЪЕКТЫ'!BX96</x:f>
      </x:c>
      <x:c r="BY32" s="120" t="n">
        <x:f>SUM(BY14:BY31)+'ОБЪЕКТЫ'!BY96</x:f>
      </x:c>
      <x:c r="BZ32" s="120" t="n">
        <x:f>SUM(BZ14:BZ31)+'ОБЪЕКТЫ'!BZ96</x:f>
      </x:c>
      <x:c r="CA32" s="120" t="n">
        <x:f>SUM(CA14:CA31)+'ОБЪЕКТЫ'!CA96</x:f>
      </x:c>
      <x:c r="CB32" s="120" t="n">
        <x:f>SUM(CB14:CB31)+'ОБЪЕКТЫ'!CB96</x:f>
      </x:c>
      <x:c r="CC32" s="120" t="n">
        <x:f>SUM(CC14:CC31)+'ОБЪЕКТЫ'!CC96</x:f>
      </x:c>
      <x:c r="CD32" s="120" t="n">
        <x:f>SUM(CD14:CD31)+'ОБЪЕКТЫ'!CD96</x:f>
      </x:c>
      <x:c r="CE32" s="120" t="n">
        <x:f>SUM(CE14:CE31)+'ОБЪЕКТЫ'!CE96</x:f>
      </x:c>
      <x:c r="CF32" s="120" t="n">
        <x:f>SUM(CF14:CF31)+'ОБЪЕКТЫ'!CF96</x:f>
      </x:c>
      <x:c r="CG32" s="120" t="n">
        <x:f>SUM(CG14:CG31)+'ОБЪЕКТЫ'!CG96</x:f>
      </x:c>
      <x:c r="CH32" s="120" t="n">
        <x:f>SUM(CH14:CH31)+'ОБЪЕКТЫ'!CH96</x:f>
      </x:c>
      <x:c r="CI32" s="120" t="n">
        <x:f>SUM(CI14:CI31)+'ОБЪЕКТЫ'!CI96</x:f>
      </x:c>
      <x:c r="CJ32" s="120" t="n">
        <x:f>SUM(CJ14:CJ31)+'ОБЪЕКТЫ'!CJ96</x:f>
      </x:c>
      <x:c r="CK32" s="120" t="n">
        <x:f>SUM(CK14:CK31)+'ОБЪЕКТЫ'!CK96</x:f>
      </x:c>
      <x:c r="CL32" s="120" t="n">
        <x:f>SUM(CL14:CL31)+'ОБЪЕКТЫ'!CL96</x:f>
      </x:c>
      <x:c r="CM32" s="120" t="n">
        <x:f>SUM(CM14:CM31)+'ОБЪЕКТЫ'!CM96</x:f>
      </x:c>
      <x:c r="CN32" s="120" t="n">
        <x:f>SUM(CN14:CN31)+'ОБЪЕКТЫ'!CN96</x:f>
      </x:c>
      <x:c r="CO32" s="120" t="n">
        <x:f>SUM(CO14:CO31)+'ОБЪЕКТЫ'!CO96</x:f>
      </x:c>
      <x:c r="CP32" s="120" t="n">
        <x:f>SUM(CP14:CP31)+'ОБЪЕКТЫ'!CP96</x:f>
      </x:c>
      <x:c r="CQ32" s="120" t="n">
        <x:f>SUM(CQ14:CQ31)+'ОБЪЕКТЫ'!CQ96</x:f>
      </x:c>
      <x:c r="CR32" s="120" t="n">
        <x:f>SUM(CR14:CR31)+'ОБЪЕКТЫ'!CR96</x:f>
      </x:c>
      <x:c r="CS32" s="120" t="n">
        <x:f>SUM(CS14:CS31)+'ОБЪЕКТЫ'!CS96</x:f>
      </x:c>
      <x:c r="CT32" s="120" t="n">
        <x:f>SUM(CT14:CT31)+'ОБЪЕКТЫ'!CT96</x:f>
      </x:c>
      <x:c r="CU32" s="120" t="n">
        <x:f>SUM(CU14:CU31)+'ОБЪЕКТЫ'!CU96</x:f>
      </x:c>
      <x:c r="CV32" s="120" t="n">
        <x:f>SUM(CV14:CV31)+'ОБЪЕКТЫ'!CV96</x:f>
      </x:c>
      <x:c r="CW32" s="120" t="n">
        <x:f>SUM(CW14:CW31)+'ОБЪЕКТЫ'!CW96</x:f>
      </x:c>
      <x:c r="CX32" s="120" t="n">
        <x:f>SUM(CX14:CX31)+'ОБЪЕКТЫ'!CX96</x:f>
      </x:c>
      <x:c r="CY32" s="120" t="n">
        <x:f>SUM(CY14:CY31)+'ОБЪЕКТЫ'!CY96</x:f>
      </x:c>
      <x:c r="CZ32" s="120" t="n">
        <x:f>SUM(CZ14:CZ31)+'ОБЪЕКТЫ'!CZ96</x:f>
      </x:c>
      <x:c r="DA32" s="120" t="n">
        <x:f>SUM(DA14:DA31)+'ОБЪЕКТЫ'!DA96</x:f>
      </x:c>
      <x:c r="DB32" s="120" t="n">
        <x:f>SUM(DB14:DB31)+'ОБЪЕКТЫ'!DB96</x:f>
      </x:c>
      <x:c r="DC32" s="120" t="n">
        <x:f>SUM(DC14:DC31)+'ОБЪЕКТЫ'!DC96</x:f>
      </x:c>
      <x:c r="DD32" s="120" t="n">
        <x:f>SUM(DD14:DD31)+'ОБЪЕКТЫ'!DD96</x:f>
      </x:c>
      <x:c r="DE32" s="120" t="n">
        <x:f>SUM(DE14:DE31)+'ОБЪЕКТЫ'!DE96</x:f>
      </x:c>
      <x:c r="DF32" s="120" t="n">
        <x:f>SUM(DF14:DF31)+'ОБЪЕКТЫ'!DF96</x:f>
      </x:c>
      <x:c r="DG32" s="120" t="n">
        <x:f>SUM(DG14:DG31)+'ОБЪЕКТЫ'!DG96</x:f>
      </x:c>
      <x:c r="DH32" s="120" t="n">
        <x:f>SUM(DH14:DH31)+'ОБЪЕКТЫ'!DH96</x:f>
      </x:c>
      <x:c r="DI32" s="120" t="n">
        <x:f>SUM(DI14:DI31)+'ОБЪЕКТЫ'!DI96</x:f>
      </x:c>
      <x:c r="DJ32" s="120" t="n">
        <x:f>SUM(DJ14:DJ31)+'ОБЪЕКТЫ'!DJ96</x:f>
      </x:c>
      <x:c r="DK32" s="120" t="n">
        <x:f>SUM(DK14:DK31)+'ОБЪЕКТЫ'!DK96</x:f>
      </x:c>
      <x:c r="DL32" s="120" t="n">
        <x:f>SUM(DL14:DL31)+'ОБЪЕКТЫ'!DL96</x:f>
      </x:c>
      <x:c r="DM32" s="120" t="n">
        <x:f>SUM(DM14:DM31)+'ОБЪЕКТЫ'!DM96</x:f>
      </x:c>
      <x:c r="DN32" s="120" t="n">
        <x:f>SUM(DN14:DN31)+'ОБЪЕКТЫ'!DN96</x:f>
      </x:c>
      <x:c r="DO32" s="120" t="n">
        <x:f>SUM(DO14:DO31)+'ОБЪЕКТЫ'!DO96</x:f>
      </x:c>
      <x:c r="DP32" s="120" t="n">
        <x:f>SUM(DP14:DP31)+'ОБЪЕКТЫ'!DP96</x:f>
      </x:c>
      <x:c r="DQ32" s="120" t="n">
        <x:f>SUM(DQ14:DQ31)+'ОБЪЕКТЫ'!DQ96</x:f>
      </x:c>
      <x:c r="DR32" s="120" t="n">
        <x:f>SUM(DR14:DR31)+'ОБЪЕКТЫ'!DR96</x:f>
      </x:c>
      <x:c r="DS32" s="120" t="n">
        <x:f>SUM(DS14:DS31)+'ОБЪЕКТЫ'!DS96</x:f>
      </x:c>
      <x:c r="DT32" s="120" t="n">
        <x:f>SUM(DT14:DT31)+'ОБЪЕКТЫ'!DT96</x:f>
      </x:c>
      <x:c r="DU32" s="120" t="n">
        <x:f>SUM(DU14:DU31)+'ОБЪЕКТЫ'!DU96</x:f>
      </x:c>
      <x:c r="DV32" s="120" t="n">
        <x:f>SUM(DV14:DV31)+'ОБЪЕКТЫ'!DV96</x:f>
      </x:c>
      <x:c r="DW32" s="120" t="n">
        <x:f>SUM(DW14:DW31)+'ОБЪЕКТЫ'!DW96</x:f>
      </x:c>
      <x:c r="DX32" s="120" t="n">
        <x:f>SUM(DX14:DX31)+'ОБЪЕКТЫ'!DX96</x:f>
      </x:c>
      <x:c r="DY32" s="120" t="n">
        <x:f>SUM(DY14:DY31)+'ОБЪЕКТЫ'!DY96</x:f>
      </x:c>
      <x:c r="DZ32" s="120" t="n">
        <x:f>SUM(DZ14:DZ31)+'ОБЪЕКТЫ'!DZ96</x:f>
      </x:c>
      <x:c r="EA32" s="120" t="n">
        <x:f>SUM(EA14:EA31)+'ОБЪЕКТЫ'!EA96</x:f>
      </x:c>
      <x:c r="EB32" s="120" t="n">
        <x:f>SUM(EB14:EB31)+'ОБЪЕКТЫ'!EB96</x:f>
      </x:c>
      <x:c r="EC32" s="120" t="n">
        <x:f>SUM(EC14:EC31)+'ОБЪЕКТЫ'!EC96</x:f>
      </x:c>
      <x:c r="ED32" s="120" t="n">
        <x:f>SUM(ED14:ED31)+'ОБЪЕКТЫ'!ED96</x:f>
      </x:c>
      <x:c r="EE32" s="120" t="n">
        <x:f>SUM(EE14:EE31)+'ОБЪЕКТЫ'!EE96</x:f>
      </x:c>
      <x:c r="EF32" s="120" t="n">
        <x:f>SUM(EF14:EF31)+'ОБЪЕКТЫ'!EF96</x:f>
      </x:c>
      <x:c r="EG32" s="120" t="n">
        <x:f>SUM(EG14:EG31)+'ОБЪЕКТЫ'!EG96</x:f>
      </x:c>
      <x:c r="EH32" s="120" t="n">
        <x:f>SUM(EH14:EH31)+'ОБЪЕКТЫ'!EH96</x:f>
      </x:c>
      <x:c r="EI32" s="120" t="n">
        <x:f>SUM(EI14:EI31)+'ОБЪЕКТЫ'!EI96</x:f>
      </x:c>
      <x:c r="EJ32" s="120" t="n">
        <x:f>SUM(EJ14:EJ31)+'ОБЪЕКТЫ'!EJ96</x:f>
      </x:c>
      <x:c r="EK32" s="120" t="n">
        <x:f>SUM(EK14:EK31)+'ОБЪЕКТЫ'!EK96</x:f>
      </x:c>
      <x:c r="EL32" s="120" t="n">
        <x:f>SUM(EL14:EL31)+'ОБЪЕКТЫ'!EL96</x:f>
      </x:c>
      <x:c r="EM32" s="120" t="n">
        <x:f>SUM(EM14:EM31)+'ОБЪЕКТЫ'!EM96</x:f>
      </x:c>
      <x:c r="EN32" s="120" t="n">
        <x:f>SUM(EN14:EN31)+'ОБЪЕКТЫ'!EN96</x:f>
      </x:c>
      <x:c r="EO32" s="120" t="n">
        <x:f>SUM(EO14:EO31)+'ОБЪЕКТЫ'!EO96</x:f>
      </x:c>
      <x:c r="EP32" s="120" t="n">
        <x:f>SUM(EP14:EP31)+'ОБЪЕКТЫ'!EP96</x:f>
      </x:c>
      <x:c r="EQ32" s="120" t="n">
        <x:f>SUM(EQ14:EQ31)+'ОБЪЕКТЫ'!EQ96</x:f>
      </x:c>
      <x:c r="ER32" s="120" t="n">
        <x:f>SUM(ER14:ER31)+'ОБЪЕКТЫ'!ER96</x:f>
      </x:c>
      <x:c r="ES32" s="120" t="n">
        <x:f>SUM(ES14:ES31)+'ОБЪЕКТЫ'!ES96</x:f>
      </x:c>
      <x:c r="ET32" s="120" t="n">
        <x:f>SUM(ET14:ET31)+'ОБЪЕКТЫ'!ET96</x:f>
      </x:c>
      <x:c r="EU32" s="120" t="n">
        <x:f>SUM(EU14:EU31)+'ОБЪЕКТЫ'!EU96</x:f>
      </x:c>
      <x:c r="EV32" s="120" t="n">
        <x:f>SUM(EV14:EV31)+'ОБЪЕКТЫ'!EV96</x:f>
      </x:c>
      <x:c r="EW32" s="120" t="n">
        <x:f>SUM(EW14:EW31)+'ОБЪЕКТЫ'!EW96</x:f>
      </x:c>
      <x:c r="EX32" s="120" t="n">
        <x:f>SUM(EX14:EX31)+'ОБЪЕКТЫ'!EX96</x:f>
      </x:c>
      <x:c r="EY32" s="120" t="n">
        <x:f>SUM(EY14:EY31)+'ОБЪЕКТЫ'!EY96</x:f>
      </x:c>
      <x:c r="EZ32" s="120" t="n">
        <x:f>SUM(EZ14:EZ31)+'ОБЪЕКТЫ'!EZ96</x:f>
      </x:c>
      <x:c r="FA32" s="120" t="n">
        <x:f>SUM(FA14:FA31)+'ОБЪЕКТЫ'!FA96</x:f>
      </x:c>
      <x:c r="FB32" s="120" t="n">
        <x:f>SUM(FB14:FB31)+'ОБЪЕКТЫ'!FB96</x:f>
      </x:c>
      <x:c r="FC32" s="120" t="n">
        <x:f>SUM(FC14:FC31)+'ОБЪЕКТЫ'!FC96</x:f>
      </x:c>
      <x:c r="FD32" s="120" t="n">
        <x:f>SUM(FD14:FD31)+'ОБЪЕКТЫ'!FD96</x:f>
      </x:c>
      <x:c r="FE32" s="120" t="n">
        <x:f>SUM(FE14:FE31)+'ОБЪЕКТЫ'!FE96</x:f>
      </x:c>
      <x:c r="FF32" s="120" t="n">
        <x:f>SUM(FF14:FF31)+'ОБЪЕКТЫ'!FF96</x:f>
      </x:c>
      <x:c r="FG32" s="120" t="n">
        <x:f>SUM(FG14:FG31)+'ОБЪЕКТЫ'!FG96</x:f>
      </x:c>
      <x:c r="FH32" s="120" t="n">
        <x:f>SUM(FH14:FH31)+'ОБЪЕКТЫ'!FH96</x:f>
      </x:c>
      <x:c r="FI32" s="120" t="n">
        <x:f>SUM(FI14:FI31)+'ОБЪЕКТЫ'!FI96</x:f>
      </x:c>
      <x:c r="FJ32" s="120" t="n">
        <x:f>SUM(FJ14:FJ31)+'ОБЪЕКТЫ'!FJ96</x:f>
      </x:c>
      <x:c r="FK32" s="120" t="n">
        <x:f>SUM(FK14:FK31)+'ОБЪЕКТЫ'!FK96</x:f>
      </x:c>
      <x:c r="FL32" s="120" t="n">
        <x:f>SUM(FL14:FL31)+'ОБЪЕКТЫ'!FL96</x:f>
      </x:c>
      <x:c r="FM32" s="120" t="n">
        <x:f>SUM(FM14:FM31)+'ОБЪЕКТЫ'!FM96</x:f>
      </x:c>
      <x:c r="FN32" s="120" t="n">
        <x:f>SUM(FN14:FN31)+'ОБЪЕКТЫ'!FN96</x:f>
      </x:c>
      <x:c r="FO32" s="120" t="n">
        <x:f>SUM(FO14:FO31)+'ОБЪЕКТЫ'!FO96</x:f>
      </x:c>
      <x:c r="FP32" s="120" t="n">
        <x:f>SUM(FP14:FP31)+'ОБЪЕКТЫ'!FP96</x:f>
      </x:c>
      <x:c r="FQ32" s="120" t="n">
        <x:f>SUM(FQ14:FQ31)+'ОБЪЕКТЫ'!FQ96</x:f>
      </x:c>
      <x:c r="FR32" s="120" t="n">
        <x:f>SUM(FR14:FR31)+'ОБЪЕКТЫ'!FR96</x:f>
      </x:c>
      <x:c r="FS32" s="120" t="n">
        <x:f>SUM(FS14:FS31)+'ОБЪЕКТЫ'!FS96</x:f>
      </x:c>
      <x:c r="FT32" s="120" t="n">
        <x:f>SUM(FT14:FT31)+'ОБЪЕКТЫ'!FT96</x:f>
      </x:c>
      <x:c r="FU32" s="120" t="n">
        <x:f>SUM(FU14:FU31)+'ОБЪЕКТЫ'!FU96</x:f>
      </x:c>
      <x:c r="FV32" s="120" t="n">
        <x:f>SUM(FV14:FV31)+'ОБЪЕКТЫ'!FV96</x:f>
      </x:c>
      <x:c r="FW32" s="120" t="n">
        <x:f>SUM(FW14:FW31)+'ОБЪЕКТЫ'!FW96</x:f>
      </x:c>
      <x:c r="FX32" s="120" t="n">
        <x:f>SUM(FX14:FX31)+'ОБЪЕКТЫ'!FX96</x:f>
      </x:c>
      <x:c r="FY32" s="120" t="n">
        <x:f>SUM(FY14:FY31)+'ОБЪЕКТЫ'!FY96</x:f>
      </x:c>
      <x:c r="FZ32" s="120" t="n">
        <x:f>SUM(FZ14:FZ31)+'ОБЪЕКТЫ'!FZ96</x:f>
      </x:c>
      <x:c r="GA32" s="120" t="n">
        <x:f>SUM(GA14:GA31)+'ОБЪЕКТЫ'!GA96</x:f>
      </x:c>
    </x:row>
    <x:row r="33">
      <x:c r="A33" t="str">
        <x:v>Маркетинг</x:v>
      </x:c>
      <x:c r="B33" s="107" t="n">
        <x:f>SUM(D33:GA33)</x:f>
      </x:c>
      <x:c r="C33" t="str">
        <x:v>млн ₽</x:v>
      </x:c>
      <x:c r="D33" s="117" t="n">
        <x:f>'Продажи'!D26*'Вводные'!$B$19+'ОБЪЕКТЫ'!D97</x:f>
      </x:c>
      <x:c r="E33" s="117" t="n">
        <x:f>'Продажи'!E26*'Вводные'!$B$19+'ОБЪЕКТЫ'!E97</x:f>
      </x:c>
      <x:c r="F33" s="117" t="n">
        <x:f>'Продажи'!F26*'Вводные'!$B$19+'ОБЪЕКТЫ'!F97</x:f>
      </x:c>
      <x:c r="G33" s="117" t="n">
        <x:f>'Продажи'!G26*'Вводные'!$B$19+'ОБЪЕКТЫ'!G97</x:f>
      </x:c>
      <x:c r="H33" s="117" t="n">
        <x:f>'Продажи'!H26*'Вводные'!$B$19+'ОБЪЕКТЫ'!H97</x:f>
      </x:c>
      <x:c r="I33" s="117" t="n">
        <x:f>'Продажи'!I26*'Вводные'!$B$19+'ОБЪЕКТЫ'!I97</x:f>
      </x:c>
      <x:c r="J33" s="117" t="n">
        <x:f>'Продажи'!J26*'Вводные'!$B$19+'ОБЪЕКТЫ'!J97</x:f>
      </x:c>
      <x:c r="K33" s="117" t="n">
        <x:f>'Продажи'!K26*'Вводные'!$B$19+'ОБЪЕКТЫ'!K97</x:f>
      </x:c>
      <x:c r="L33" s="117" t="n">
        <x:f>'Продажи'!L26*'Вводные'!$B$19+'ОБЪЕКТЫ'!L97</x:f>
      </x:c>
      <x:c r="M33" s="117" t="n">
        <x:f>'Продажи'!M26*'Вводные'!$B$19+'ОБЪЕКТЫ'!M97</x:f>
      </x:c>
      <x:c r="N33" s="117" t="n">
        <x:f>'Продажи'!N26*'Вводные'!$B$19+'ОБЪЕКТЫ'!N97</x:f>
      </x:c>
      <x:c r="O33" s="117" t="n">
        <x:f>'Продажи'!O26*'Вводные'!$B$19+'ОБЪЕКТЫ'!O97</x:f>
      </x:c>
      <x:c r="P33" s="117" t="n">
        <x:f>'Продажи'!P26*'Вводные'!$B$19+'ОБЪЕКТЫ'!P97</x:f>
      </x:c>
      <x:c r="Q33" s="117" t="n">
        <x:f>'Продажи'!Q26*'Вводные'!$B$19+'ОБЪЕКТЫ'!Q97</x:f>
      </x:c>
      <x:c r="R33" s="117" t="n">
        <x:f>'Продажи'!R26*'Вводные'!$B$19+'ОБЪЕКТЫ'!R97</x:f>
      </x:c>
      <x:c r="S33" s="117" t="n">
        <x:f>'Продажи'!S26*'Вводные'!$B$19+'ОБЪЕКТЫ'!S97</x:f>
      </x:c>
      <x:c r="T33" s="117" t="n">
        <x:f>'Продажи'!T26*'Вводные'!$B$19+'ОБЪЕКТЫ'!T97</x:f>
      </x:c>
      <x:c r="U33" s="117" t="n">
        <x:f>'Продажи'!U26*'Вводные'!$B$19+'ОБЪЕКТЫ'!U97</x:f>
      </x:c>
      <x:c r="V33" s="117" t="n">
        <x:f>'Продажи'!V26*'Вводные'!$B$19+'ОБЪЕКТЫ'!V97</x:f>
      </x:c>
      <x:c r="W33" s="117" t="n">
        <x:f>'Продажи'!W26*'Вводные'!$B$19+'ОБЪЕКТЫ'!W97</x:f>
      </x:c>
      <x:c r="X33" s="117" t="n">
        <x:f>'Продажи'!X26*'Вводные'!$B$19+'ОБЪЕКТЫ'!X97</x:f>
      </x:c>
      <x:c r="Y33" s="117" t="n">
        <x:f>'Продажи'!Y26*'Вводные'!$B$19+'ОБЪЕКТЫ'!Y97</x:f>
      </x:c>
      <x:c r="Z33" s="117" t="n">
        <x:f>'Продажи'!Z26*'Вводные'!$B$19+'ОБЪЕКТЫ'!Z97</x:f>
      </x:c>
      <x:c r="AA33" s="117" t="n">
        <x:f>'Продажи'!AA26*'Вводные'!$B$19+'ОБЪЕКТЫ'!AA97</x:f>
      </x:c>
      <x:c r="AB33" s="117" t="n">
        <x:f>'Продажи'!AB26*'Вводные'!$B$19+'ОБЪЕКТЫ'!AB97</x:f>
      </x:c>
      <x:c r="AC33" s="117" t="n">
        <x:f>'Продажи'!AC26*'Вводные'!$B$19+'ОБЪЕКТЫ'!AC97</x:f>
      </x:c>
      <x:c r="AD33" s="117" t="n">
        <x:f>'Продажи'!AD26*'Вводные'!$B$19+'ОБЪЕКТЫ'!AD97</x:f>
      </x:c>
      <x:c r="AE33" s="117" t="n">
        <x:f>'Продажи'!AE26*'Вводные'!$B$19+'ОБЪЕКТЫ'!AE97</x:f>
      </x:c>
      <x:c r="AF33" s="117" t="n">
        <x:f>'Продажи'!AF26*'Вводные'!$B$19+'ОБЪЕКТЫ'!AF97</x:f>
      </x:c>
      <x:c r="AG33" s="117" t="n">
        <x:f>'Продажи'!AG26*'Вводные'!$B$19+'ОБЪЕКТЫ'!AG97</x:f>
      </x:c>
      <x:c r="AH33" s="117" t="n">
        <x:f>'Продажи'!AH26*'Вводные'!$B$19+'ОБЪЕКТЫ'!AH97</x:f>
      </x:c>
      <x:c r="AI33" s="117" t="n">
        <x:f>'Продажи'!AI26*'Вводные'!$B$19+'ОБЪЕКТЫ'!AI97</x:f>
      </x:c>
      <x:c r="AJ33" s="117" t="n">
        <x:f>'Продажи'!AJ26*'Вводные'!$B$19+'ОБЪЕКТЫ'!AJ97</x:f>
      </x:c>
      <x:c r="AK33" s="117" t="n">
        <x:f>'Продажи'!AK26*'Вводные'!$B$19+'ОБЪЕКТЫ'!AK97</x:f>
      </x:c>
      <x:c r="AL33" s="117" t="n">
        <x:f>'Продажи'!AL26*'Вводные'!$B$19+'ОБЪЕКТЫ'!AL97</x:f>
      </x:c>
      <x:c r="AM33" s="117" t="n">
        <x:f>'Продажи'!AM26*'Вводные'!$B$19+'ОБЪЕКТЫ'!AM97</x:f>
      </x:c>
      <x:c r="AN33" s="117" t="n">
        <x:f>'Продажи'!AN26*'Вводные'!$B$19+'ОБЪЕКТЫ'!AN97</x:f>
      </x:c>
      <x:c r="AO33" s="117" t="n">
        <x:f>'Продажи'!AO26*'Вводные'!$B$19+'ОБЪЕКТЫ'!AO97</x:f>
      </x:c>
      <x:c r="AP33" s="117" t="n">
        <x:f>'Продажи'!AP26*'Вводные'!$B$19+'ОБЪЕКТЫ'!AP97</x:f>
      </x:c>
      <x:c r="AQ33" s="117" t="n">
        <x:f>'Продажи'!AQ26*'Вводные'!$B$19+'ОБЪЕКТЫ'!AQ97</x:f>
      </x:c>
      <x:c r="AR33" s="117" t="n">
        <x:f>'Продажи'!AR26*'Вводные'!$B$19+'ОБЪЕКТЫ'!AR97</x:f>
      </x:c>
      <x:c r="AS33" s="117" t="n">
        <x:f>'Продажи'!AS26*'Вводные'!$B$19+'ОБЪЕКТЫ'!AS97</x:f>
      </x:c>
      <x:c r="AT33" s="117" t="n">
        <x:f>'Продажи'!AT26*'Вводные'!$B$19+'ОБЪЕКТЫ'!AT97</x:f>
      </x:c>
      <x:c r="AU33" s="117" t="n">
        <x:f>'Продажи'!AU26*'Вводные'!$B$19+'ОБЪЕКТЫ'!AU97</x:f>
      </x:c>
      <x:c r="AV33" s="117" t="n">
        <x:f>'Продажи'!AV26*'Вводные'!$B$19+'ОБЪЕКТЫ'!AV97</x:f>
      </x:c>
      <x:c r="AW33" s="117" t="n">
        <x:f>'Продажи'!AW26*'Вводные'!$B$19+'ОБЪЕКТЫ'!AW97</x:f>
      </x:c>
      <x:c r="AX33" s="117" t="n">
        <x:f>'Продажи'!AX26*'Вводные'!$B$19+'ОБЪЕКТЫ'!AX97</x:f>
      </x:c>
      <x:c r="AY33" s="117" t="n">
        <x:f>'Продажи'!AY26*'Вводные'!$B$19+'ОБЪЕКТЫ'!AY97</x:f>
      </x:c>
      <x:c r="AZ33" s="117" t="n">
        <x:f>'Продажи'!AZ26*'Вводные'!$B$19+'ОБЪЕКТЫ'!AZ97</x:f>
      </x:c>
      <x:c r="BA33" s="117" t="n">
        <x:f>'Продажи'!BA26*'Вводные'!$B$19+'ОБЪЕКТЫ'!BA97</x:f>
      </x:c>
      <x:c r="BB33" s="117" t="n">
        <x:f>'Продажи'!BB26*'Вводные'!$B$19+'ОБЪЕКТЫ'!BB97</x:f>
      </x:c>
      <x:c r="BC33" s="117" t="n">
        <x:f>'Продажи'!BC26*'Вводные'!$B$19+'ОБЪЕКТЫ'!BC97</x:f>
      </x:c>
      <x:c r="BD33" s="117" t="n">
        <x:f>'Продажи'!BD26*'Вводные'!$B$19+'ОБЪЕКТЫ'!BD97</x:f>
      </x:c>
      <x:c r="BE33" s="117" t="n">
        <x:f>'Продажи'!BE26*'Вводные'!$B$19+'ОБЪЕКТЫ'!BE97</x:f>
      </x:c>
      <x:c r="BF33" s="117" t="n">
        <x:f>'Продажи'!BF26*'Вводные'!$B$19+'ОБЪЕКТЫ'!BF97</x:f>
      </x:c>
      <x:c r="BG33" s="117" t="n">
        <x:f>'Продажи'!BG26*'Вводные'!$B$19+'ОБЪЕКТЫ'!BG97</x:f>
      </x:c>
      <x:c r="BH33" s="117" t="n">
        <x:f>'Продажи'!BH26*'Вводные'!$B$19+'ОБЪЕКТЫ'!BH97</x:f>
      </x:c>
      <x:c r="BI33" s="117" t="n">
        <x:f>'Продажи'!BI26*'Вводные'!$B$19+'ОБЪЕКТЫ'!BI97</x:f>
      </x:c>
      <x:c r="BJ33" s="117" t="n">
        <x:f>'Продажи'!BJ26*'Вводные'!$B$19+'ОБЪЕКТЫ'!BJ97</x:f>
      </x:c>
      <x:c r="BK33" s="117" t="n">
        <x:f>'Продажи'!BK26*'Вводные'!$B$19+'ОБЪЕКТЫ'!BK97</x:f>
      </x:c>
      <x:c r="BL33" s="117" t="n">
        <x:f>'Продажи'!BL26*'Вводные'!$B$19+'ОБЪЕКТЫ'!BL97</x:f>
      </x:c>
      <x:c r="BM33" s="117" t="n">
        <x:f>'Продажи'!BM26*'Вводные'!$B$19+'ОБЪЕКТЫ'!BM97</x:f>
      </x:c>
      <x:c r="BN33" s="117" t="n">
        <x:f>'Продажи'!BN26*'Вводные'!$B$19+'ОБЪЕКТЫ'!BN97</x:f>
      </x:c>
      <x:c r="BO33" s="117" t="n">
        <x:f>'Продажи'!BO26*'Вводные'!$B$19+'ОБЪЕКТЫ'!BO97</x:f>
      </x:c>
      <x:c r="BP33" s="117" t="n">
        <x:f>'Продажи'!BP26*'Вводные'!$B$19+'ОБЪЕКТЫ'!BP97</x:f>
      </x:c>
      <x:c r="BQ33" s="117" t="n">
        <x:f>'Продажи'!BQ26*'Вводные'!$B$19+'ОБЪЕКТЫ'!BQ97</x:f>
      </x:c>
      <x:c r="BR33" s="117" t="n">
        <x:f>'Продажи'!BR26*'Вводные'!$B$19+'ОБЪЕКТЫ'!BR97</x:f>
      </x:c>
      <x:c r="BS33" s="117" t="n">
        <x:f>'Продажи'!BS26*'Вводные'!$B$19+'ОБЪЕКТЫ'!BS97</x:f>
      </x:c>
      <x:c r="BT33" s="117" t="n">
        <x:f>'Продажи'!BT26*'Вводные'!$B$19+'ОБЪЕКТЫ'!BT97</x:f>
      </x:c>
      <x:c r="BU33" s="117" t="n">
        <x:f>'Продажи'!BU26*'Вводные'!$B$19+'ОБЪЕКТЫ'!BU97</x:f>
      </x:c>
      <x:c r="BV33" s="117" t="n">
        <x:f>'Продажи'!BV26*'Вводные'!$B$19+'ОБЪЕКТЫ'!BV97</x:f>
      </x:c>
      <x:c r="BW33" s="117" t="n">
        <x:f>'Продажи'!BW26*'Вводные'!$B$19+'ОБЪЕКТЫ'!BW97</x:f>
      </x:c>
      <x:c r="BX33" s="117" t="n">
        <x:f>'Продажи'!BX26*'Вводные'!$B$19+'ОБЪЕКТЫ'!BX97</x:f>
      </x:c>
      <x:c r="BY33" s="117" t="n">
        <x:f>'Продажи'!BY26*'Вводные'!$B$19+'ОБЪЕКТЫ'!BY97</x:f>
      </x:c>
      <x:c r="BZ33" s="117" t="n">
        <x:f>'Продажи'!BZ26*'Вводные'!$B$19+'ОБЪЕКТЫ'!BZ97</x:f>
      </x:c>
      <x:c r="CA33" s="117" t="n">
        <x:f>'Продажи'!CA26*'Вводные'!$B$19+'ОБЪЕКТЫ'!CA97</x:f>
      </x:c>
      <x:c r="CB33" s="117" t="n">
        <x:f>'Продажи'!CB26*'Вводные'!$B$19+'ОБЪЕКТЫ'!CB97</x:f>
      </x:c>
      <x:c r="CC33" s="117" t="n">
        <x:f>'Продажи'!CC26*'Вводные'!$B$19+'ОБЪЕКТЫ'!CC97</x:f>
      </x:c>
      <x:c r="CD33" s="117" t="n">
        <x:f>'Продажи'!CD26*'Вводные'!$B$19+'ОБЪЕКТЫ'!CD97</x:f>
      </x:c>
      <x:c r="CE33" s="117" t="n">
        <x:f>'Продажи'!CE26*'Вводные'!$B$19+'ОБЪЕКТЫ'!CE97</x:f>
      </x:c>
      <x:c r="CF33" s="117" t="n">
        <x:f>'Продажи'!CF26*'Вводные'!$B$19+'ОБЪЕКТЫ'!CF97</x:f>
      </x:c>
      <x:c r="CG33" s="117" t="n">
        <x:f>'Продажи'!CG26*'Вводные'!$B$19+'ОБЪЕКТЫ'!CG97</x:f>
      </x:c>
      <x:c r="CH33" s="117" t="n">
        <x:f>'Продажи'!CH26*'Вводные'!$B$19+'ОБЪЕКТЫ'!CH97</x:f>
      </x:c>
      <x:c r="CI33" s="117" t="n">
        <x:f>'Продажи'!CI26*'Вводные'!$B$19+'ОБЪЕКТЫ'!CI97</x:f>
      </x:c>
      <x:c r="CJ33" s="117" t="n">
        <x:f>'Продажи'!CJ26*'Вводные'!$B$19+'ОБЪЕКТЫ'!CJ97</x:f>
      </x:c>
      <x:c r="CK33" s="117" t="n">
        <x:f>'Продажи'!CK26*'Вводные'!$B$19+'ОБЪЕКТЫ'!CK97</x:f>
      </x:c>
      <x:c r="CL33" s="117" t="n">
        <x:f>'Продажи'!CL26*'Вводные'!$B$19+'ОБЪЕКТЫ'!CL97</x:f>
      </x:c>
      <x:c r="CM33" s="117" t="n">
        <x:f>'Продажи'!CM26*'Вводные'!$B$19+'ОБЪЕКТЫ'!CM97</x:f>
      </x:c>
      <x:c r="CN33" s="117" t="n">
        <x:f>'Продажи'!CN26*'Вводные'!$B$19+'ОБЪЕКТЫ'!CN97</x:f>
      </x:c>
      <x:c r="CO33" s="117" t="n">
        <x:f>'Продажи'!CO26*'Вводные'!$B$19+'ОБЪЕКТЫ'!CO97</x:f>
      </x:c>
      <x:c r="CP33" s="117" t="n">
        <x:f>'Продажи'!CP26*'Вводные'!$B$19+'ОБЪЕКТЫ'!CP97</x:f>
      </x:c>
      <x:c r="CQ33" s="117" t="n">
        <x:f>'Продажи'!CQ26*'Вводные'!$B$19+'ОБЪЕКТЫ'!CQ97</x:f>
      </x:c>
      <x:c r="CR33" s="117" t="n">
        <x:f>'Продажи'!CR26*'Вводные'!$B$19+'ОБЪЕКТЫ'!CR97</x:f>
      </x:c>
      <x:c r="CS33" s="117" t="n">
        <x:f>'Продажи'!CS26*'Вводные'!$B$19+'ОБЪЕКТЫ'!CS97</x:f>
      </x:c>
      <x:c r="CT33" s="117" t="n">
        <x:f>'Продажи'!CT26*'Вводные'!$B$19+'ОБЪЕКТЫ'!CT97</x:f>
      </x:c>
      <x:c r="CU33" s="117" t="n">
        <x:f>'Продажи'!CU26*'Вводные'!$B$19+'ОБЪЕКТЫ'!CU97</x:f>
      </x:c>
      <x:c r="CV33" s="117" t="n">
        <x:f>'Продажи'!CV26*'Вводные'!$B$19+'ОБЪЕКТЫ'!CV97</x:f>
      </x:c>
      <x:c r="CW33" s="117" t="n">
        <x:f>'Продажи'!CW26*'Вводные'!$B$19+'ОБЪЕКТЫ'!CW97</x:f>
      </x:c>
      <x:c r="CX33" s="117" t="n">
        <x:f>'Продажи'!CX26*'Вводные'!$B$19+'ОБЪЕКТЫ'!CX97</x:f>
      </x:c>
      <x:c r="CY33" s="117" t="n">
        <x:f>'Продажи'!CY26*'Вводные'!$B$19+'ОБЪЕКТЫ'!CY97</x:f>
      </x:c>
      <x:c r="CZ33" s="117" t="n">
        <x:f>'Продажи'!CZ26*'Вводные'!$B$19+'ОБЪЕКТЫ'!CZ97</x:f>
      </x:c>
      <x:c r="DA33" s="117" t="n">
        <x:f>'Продажи'!DA26*'Вводные'!$B$19+'ОБЪЕКТЫ'!DA97</x:f>
      </x:c>
      <x:c r="DB33" s="117" t="n">
        <x:f>'Продажи'!DB26*'Вводные'!$B$19+'ОБЪЕКТЫ'!DB97</x:f>
      </x:c>
      <x:c r="DC33" s="117" t="n">
        <x:f>'Продажи'!DC26*'Вводные'!$B$19+'ОБЪЕКТЫ'!DC97</x:f>
      </x:c>
      <x:c r="DD33" s="117" t="n">
        <x:f>'Продажи'!DD26*'Вводные'!$B$19+'ОБЪЕКТЫ'!DD97</x:f>
      </x:c>
      <x:c r="DE33" s="117" t="n">
        <x:f>'Продажи'!DE26*'Вводные'!$B$19+'ОБЪЕКТЫ'!DE97</x:f>
      </x:c>
      <x:c r="DF33" s="117" t="n">
        <x:f>'Продажи'!DF26*'Вводные'!$B$19+'ОБЪЕКТЫ'!DF97</x:f>
      </x:c>
      <x:c r="DG33" s="117" t="n">
        <x:f>'Продажи'!DG26*'Вводные'!$B$19+'ОБЪЕКТЫ'!DG97</x:f>
      </x:c>
      <x:c r="DH33" s="117" t="n">
        <x:f>'Продажи'!DH26*'Вводные'!$B$19+'ОБЪЕКТЫ'!DH97</x:f>
      </x:c>
      <x:c r="DI33" s="117" t="n">
        <x:f>'Продажи'!DI26*'Вводные'!$B$19+'ОБЪЕКТЫ'!DI97</x:f>
      </x:c>
      <x:c r="DJ33" s="117" t="n">
        <x:f>'Продажи'!DJ26*'Вводные'!$B$19+'ОБЪЕКТЫ'!DJ97</x:f>
      </x:c>
      <x:c r="DK33" s="117" t="n">
        <x:f>'Продажи'!DK26*'Вводные'!$B$19+'ОБЪЕКТЫ'!DK97</x:f>
      </x:c>
      <x:c r="DL33" s="117" t="n">
        <x:f>'Продажи'!DL26*'Вводные'!$B$19+'ОБЪЕКТЫ'!DL97</x:f>
      </x:c>
      <x:c r="DM33" s="117" t="n">
        <x:f>'Продажи'!DM26*'Вводные'!$B$19+'ОБЪЕКТЫ'!DM97</x:f>
      </x:c>
      <x:c r="DN33" s="117" t="n">
        <x:f>'Продажи'!DN26*'Вводные'!$B$19+'ОБЪЕКТЫ'!DN97</x:f>
      </x:c>
      <x:c r="DO33" s="117" t="n">
        <x:f>'Продажи'!DO26*'Вводные'!$B$19+'ОБЪЕКТЫ'!DO97</x:f>
      </x:c>
      <x:c r="DP33" s="117" t="n">
        <x:f>'Продажи'!DP26*'Вводные'!$B$19+'ОБЪЕКТЫ'!DP97</x:f>
      </x:c>
      <x:c r="DQ33" s="117" t="n">
        <x:f>'Продажи'!DQ26*'Вводные'!$B$19+'ОБЪЕКТЫ'!DQ97</x:f>
      </x:c>
      <x:c r="DR33" s="117" t="n">
        <x:f>'Продажи'!DR26*'Вводные'!$B$19+'ОБЪЕКТЫ'!DR97</x:f>
      </x:c>
      <x:c r="DS33" s="117" t="n">
        <x:f>'Продажи'!DS26*'Вводные'!$B$19+'ОБЪЕКТЫ'!DS97</x:f>
      </x:c>
      <x:c r="DT33" s="117" t="n">
        <x:f>'Продажи'!DT26*'Вводные'!$B$19+'ОБЪЕКТЫ'!DT97</x:f>
      </x:c>
      <x:c r="DU33" s="117" t="n">
        <x:f>'Продажи'!DU26*'Вводные'!$B$19+'ОБЪЕКТЫ'!DU97</x:f>
      </x:c>
      <x:c r="DV33" s="117" t="n">
        <x:f>'Продажи'!DV26*'Вводные'!$B$19+'ОБЪЕКТЫ'!DV97</x:f>
      </x:c>
      <x:c r="DW33" s="117" t="n">
        <x:f>'Продажи'!DW26*'Вводные'!$B$19+'ОБЪЕКТЫ'!DW97</x:f>
      </x:c>
      <x:c r="DX33" s="117" t="n">
        <x:f>'Продажи'!DX26*'Вводные'!$B$19+'ОБЪЕКТЫ'!DX97</x:f>
      </x:c>
      <x:c r="DY33" s="117" t="n">
        <x:f>'Продажи'!DY26*'Вводные'!$B$19+'ОБЪЕКТЫ'!DY97</x:f>
      </x:c>
      <x:c r="DZ33" s="117" t="n">
        <x:f>'Продажи'!DZ26*'Вводные'!$B$19+'ОБЪЕКТЫ'!DZ97</x:f>
      </x:c>
      <x:c r="EA33" s="117" t="n">
        <x:f>'Продажи'!EA26*'Вводные'!$B$19+'ОБЪЕКТЫ'!EA97</x:f>
      </x:c>
      <x:c r="EB33" s="117" t="n">
        <x:f>'Продажи'!EB26*'Вводные'!$B$19+'ОБЪЕКТЫ'!EB97</x:f>
      </x:c>
      <x:c r="EC33" s="117" t="n">
        <x:f>'Продажи'!EC26*'Вводные'!$B$19+'ОБЪЕКТЫ'!EC97</x:f>
      </x:c>
      <x:c r="ED33" s="117" t="n">
        <x:f>'Продажи'!ED26*'Вводные'!$B$19+'ОБЪЕКТЫ'!ED97</x:f>
      </x:c>
      <x:c r="EE33" s="117" t="n">
        <x:f>'Продажи'!EE26*'Вводные'!$B$19+'ОБЪЕКТЫ'!EE97</x:f>
      </x:c>
      <x:c r="EF33" s="117" t="n">
        <x:f>'Продажи'!EF26*'Вводные'!$B$19+'ОБЪЕКТЫ'!EF97</x:f>
      </x:c>
      <x:c r="EG33" s="117" t="n">
        <x:f>'Продажи'!EG26*'Вводные'!$B$19+'ОБЪЕКТЫ'!EG97</x:f>
      </x:c>
      <x:c r="EH33" s="117" t="n">
        <x:f>'Продажи'!EH26*'Вводные'!$B$19+'ОБЪЕКТЫ'!EH97</x:f>
      </x:c>
      <x:c r="EI33" s="117" t="n">
        <x:f>'Продажи'!EI26*'Вводные'!$B$19+'ОБЪЕКТЫ'!EI97</x:f>
      </x:c>
      <x:c r="EJ33" s="117" t="n">
        <x:f>'Продажи'!EJ26*'Вводные'!$B$19+'ОБЪЕКТЫ'!EJ97</x:f>
      </x:c>
      <x:c r="EK33" s="117" t="n">
        <x:f>'Продажи'!EK26*'Вводные'!$B$19+'ОБЪЕКТЫ'!EK97</x:f>
      </x:c>
      <x:c r="EL33" s="117" t="n">
        <x:f>'Продажи'!EL26*'Вводные'!$B$19+'ОБЪЕКТЫ'!EL97</x:f>
      </x:c>
      <x:c r="EM33" s="117" t="n">
        <x:f>'Продажи'!EM26*'Вводные'!$B$19+'ОБЪЕКТЫ'!EM97</x:f>
      </x:c>
      <x:c r="EN33" s="117" t="n">
        <x:f>'Продажи'!EN26*'Вводные'!$B$19+'ОБЪЕКТЫ'!EN97</x:f>
      </x:c>
      <x:c r="EO33" s="117" t="n">
        <x:f>'Продажи'!EO26*'Вводные'!$B$19+'ОБЪЕКТЫ'!EO97</x:f>
      </x:c>
      <x:c r="EP33" s="117" t="n">
        <x:f>'Продажи'!EP26*'Вводные'!$B$19+'ОБЪЕКТЫ'!EP97</x:f>
      </x:c>
      <x:c r="EQ33" s="117" t="n">
        <x:f>'Продажи'!EQ26*'Вводные'!$B$19+'ОБЪЕКТЫ'!EQ97</x:f>
      </x:c>
      <x:c r="ER33" s="117" t="n">
        <x:f>'Продажи'!ER26*'Вводные'!$B$19+'ОБЪЕКТЫ'!ER97</x:f>
      </x:c>
      <x:c r="ES33" s="117" t="n">
        <x:f>'Продажи'!ES26*'Вводные'!$B$19+'ОБЪЕКТЫ'!ES97</x:f>
      </x:c>
      <x:c r="ET33" s="117" t="n">
        <x:f>'Продажи'!ET26*'Вводные'!$B$19+'ОБЪЕКТЫ'!ET97</x:f>
      </x:c>
      <x:c r="EU33" s="117" t="n">
        <x:f>'Продажи'!EU26*'Вводные'!$B$19+'ОБЪЕКТЫ'!EU97</x:f>
      </x:c>
      <x:c r="EV33" s="117" t="n">
        <x:f>'Продажи'!EV26*'Вводные'!$B$19+'ОБЪЕКТЫ'!EV97</x:f>
      </x:c>
      <x:c r="EW33" s="117" t="n">
        <x:f>'Продажи'!EW26*'Вводные'!$B$19+'ОБЪЕКТЫ'!EW97</x:f>
      </x:c>
      <x:c r="EX33" s="117" t="n">
        <x:f>'Продажи'!EX26*'Вводные'!$B$19+'ОБЪЕКТЫ'!EX97</x:f>
      </x:c>
      <x:c r="EY33" s="117" t="n">
        <x:f>'Продажи'!EY26*'Вводные'!$B$19+'ОБЪЕКТЫ'!EY97</x:f>
      </x:c>
      <x:c r="EZ33" s="117" t="n">
        <x:f>'Продажи'!EZ26*'Вводные'!$B$19+'ОБЪЕКТЫ'!EZ97</x:f>
      </x:c>
      <x:c r="FA33" s="117" t="n">
        <x:f>'Продажи'!FA26*'Вводные'!$B$19+'ОБЪЕКТЫ'!FA97</x:f>
      </x:c>
      <x:c r="FB33" s="117" t="n">
        <x:f>'Продажи'!FB26*'Вводные'!$B$19+'ОБЪЕКТЫ'!FB97</x:f>
      </x:c>
      <x:c r="FC33" s="117" t="n">
        <x:f>'Продажи'!FC26*'Вводные'!$B$19+'ОБЪЕКТЫ'!FC97</x:f>
      </x:c>
      <x:c r="FD33" s="117" t="n">
        <x:f>'Продажи'!FD26*'Вводные'!$B$19+'ОБЪЕКТЫ'!FD97</x:f>
      </x:c>
      <x:c r="FE33" s="117" t="n">
        <x:f>'Продажи'!FE26*'Вводные'!$B$19+'ОБЪЕКТЫ'!FE97</x:f>
      </x:c>
      <x:c r="FF33" s="117" t="n">
        <x:f>'Продажи'!FF26*'Вводные'!$B$19+'ОБЪЕКТЫ'!FF97</x:f>
      </x:c>
      <x:c r="FG33" s="117" t="n">
        <x:f>'Продажи'!FG26*'Вводные'!$B$19+'ОБЪЕКТЫ'!FG97</x:f>
      </x:c>
      <x:c r="FH33" s="117" t="n">
        <x:f>'Продажи'!FH26*'Вводные'!$B$19+'ОБЪЕКТЫ'!FH97</x:f>
      </x:c>
      <x:c r="FI33" s="117" t="n">
        <x:f>'Продажи'!FI26*'Вводные'!$B$19+'ОБЪЕКТЫ'!FI97</x:f>
      </x:c>
      <x:c r="FJ33" s="117" t="n">
        <x:f>'Продажи'!FJ26*'Вводные'!$B$19+'ОБЪЕКТЫ'!FJ97</x:f>
      </x:c>
      <x:c r="FK33" s="117" t="n">
        <x:f>'Продажи'!FK26*'Вводные'!$B$19+'ОБЪЕКТЫ'!FK97</x:f>
      </x:c>
      <x:c r="FL33" s="117" t="n">
        <x:f>'Продажи'!FL26*'Вводные'!$B$19+'ОБЪЕКТЫ'!FL97</x:f>
      </x:c>
      <x:c r="FM33" s="117" t="n">
        <x:f>'Продажи'!FM26*'Вводные'!$B$19+'ОБЪЕКТЫ'!FM97</x:f>
      </x:c>
      <x:c r="FN33" s="117" t="n">
        <x:f>'Продажи'!FN26*'Вводные'!$B$19+'ОБЪЕКТЫ'!FN97</x:f>
      </x:c>
      <x:c r="FO33" s="117" t="n">
        <x:f>'Продажи'!FO26*'Вводные'!$B$19+'ОБЪЕКТЫ'!FO97</x:f>
      </x:c>
      <x:c r="FP33" s="117" t="n">
        <x:f>'Продажи'!FP26*'Вводные'!$B$19+'ОБЪЕКТЫ'!FP97</x:f>
      </x:c>
      <x:c r="FQ33" s="117" t="n">
        <x:f>'Продажи'!FQ26*'Вводные'!$B$19+'ОБЪЕКТЫ'!FQ97</x:f>
      </x:c>
      <x:c r="FR33" s="117" t="n">
        <x:f>'Продажи'!FR26*'Вводные'!$B$19+'ОБЪЕКТЫ'!FR97</x:f>
      </x:c>
      <x:c r="FS33" s="117" t="n">
        <x:f>'Продажи'!FS26*'Вводные'!$B$19+'ОБЪЕКТЫ'!FS97</x:f>
      </x:c>
      <x:c r="FT33" s="117" t="n">
        <x:f>'Продажи'!FT26*'Вводные'!$B$19+'ОБЪЕКТЫ'!FT97</x:f>
      </x:c>
      <x:c r="FU33" s="117" t="n">
        <x:f>'Продажи'!FU26*'Вводные'!$B$19+'ОБЪЕКТЫ'!FU97</x:f>
      </x:c>
      <x:c r="FV33" s="117" t="n">
        <x:f>'Продажи'!FV26*'Вводные'!$B$19+'ОБЪЕКТЫ'!FV97</x:f>
      </x:c>
      <x:c r="FW33" s="117" t="n">
        <x:f>'Продажи'!FW26*'Вводные'!$B$19+'ОБЪЕКТЫ'!FW97</x:f>
      </x:c>
      <x:c r="FX33" s="117" t="n">
        <x:f>'Продажи'!FX26*'Вводные'!$B$19+'ОБЪЕКТЫ'!FX97</x:f>
      </x:c>
      <x:c r="FY33" s="117" t="n">
        <x:f>'Продажи'!FY26*'Вводные'!$B$19+'ОБЪЕКТЫ'!FY97</x:f>
      </x:c>
      <x:c r="FZ33" s="117" t="n">
        <x:f>'Продажи'!FZ26*'Вводные'!$B$19+'ОБЪЕКТЫ'!FZ97</x:f>
      </x:c>
      <x:c r="GA33" s="117" t="n">
        <x:f>'Продажи'!GA26*'Вводные'!$B$19+'ОБЪЕКТЫ'!GA97</x:f>
      </x:c>
    </x:row>
    <x:row r="34">
      <x:c r="A34" t="str">
        <x:v>Расходы на продажи</x:v>
      </x:c>
      <x:c r="B34" s="107" t="n">
        <x:f>SUM(D34:GA34)</x:f>
      </x:c>
      <x:c r="C34" t="str">
        <x:v>млн ₽</x:v>
      </x:c>
      <x:c r="D34" s="117" t="n">
        <x:f>'Продажи'!D26*'Вводные'!$B$20+'ОБЪЕКТЫ'!D98</x:f>
      </x:c>
      <x:c r="E34" s="117" t="n">
        <x:f>'Продажи'!E26*'Вводные'!$B$20+'ОБЪЕКТЫ'!E98</x:f>
      </x:c>
      <x:c r="F34" s="117" t="n">
        <x:f>'Продажи'!F26*'Вводные'!$B$20+'ОБЪЕКТЫ'!F98</x:f>
      </x:c>
      <x:c r="G34" s="117" t="n">
        <x:f>'Продажи'!G26*'Вводные'!$B$20+'ОБЪЕКТЫ'!G98</x:f>
      </x:c>
      <x:c r="H34" s="117" t="n">
        <x:f>'Продажи'!H26*'Вводные'!$B$20+'ОБЪЕКТЫ'!H98</x:f>
      </x:c>
      <x:c r="I34" s="117" t="n">
        <x:f>'Продажи'!I26*'Вводные'!$B$20+'ОБЪЕКТЫ'!I98</x:f>
      </x:c>
      <x:c r="J34" s="117" t="n">
        <x:f>'Продажи'!J26*'Вводные'!$B$20+'ОБЪЕКТЫ'!J98</x:f>
      </x:c>
      <x:c r="K34" s="117" t="n">
        <x:f>'Продажи'!K26*'Вводные'!$B$20+'ОБЪЕКТЫ'!K98</x:f>
      </x:c>
      <x:c r="L34" s="117" t="n">
        <x:f>'Продажи'!L26*'Вводные'!$B$20+'ОБЪЕКТЫ'!L98</x:f>
      </x:c>
      <x:c r="M34" s="117" t="n">
        <x:f>'Продажи'!M26*'Вводные'!$B$20+'ОБЪЕКТЫ'!M98</x:f>
      </x:c>
      <x:c r="N34" s="117" t="n">
        <x:f>'Продажи'!N26*'Вводные'!$B$20+'ОБЪЕКТЫ'!N98</x:f>
      </x:c>
      <x:c r="O34" s="117" t="n">
        <x:f>'Продажи'!O26*'Вводные'!$B$20+'ОБЪЕКТЫ'!O98</x:f>
      </x:c>
      <x:c r="P34" s="117" t="n">
        <x:f>'Продажи'!P26*'Вводные'!$B$20+'ОБЪЕКТЫ'!P98</x:f>
      </x:c>
      <x:c r="Q34" s="117" t="n">
        <x:f>'Продажи'!Q26*'Вводные'!$B$20+'ОБЪЕКТЫ'!Q98</x:f>
      </x:c>
      <x:c r="R34" s="117" t="n">
        <x:f>'Продажи'!R26*'Вводные'!$B$20+'ОБЪЕКТЫ'!R98</x:f>
      </x:c>
      <x:c r="S34" s="117" t="n">
        <x:f>'Продажи'!S26*'Вводные'!$B$20+'ОБЪЕКТЫ'!S98</x:f>
      </x:c>
      <x:c r="T34" s="117" t="n">
        <x:f>'Продажи'!T26*'Вводные'!$B$20+'ОБЪЕКТЫ'!T98</x:f>
      </x:c>
      <x:c r="U34" s="117" t="n">
        <x:f>'Продажи'!U26*'Вводные'!$B$20+'ОБЪЕКТЫ'!U98</x:f>
      </x:c>
      <x:c r="V34" s="117" t="n">
        <x:f>'Продажи'!V26*'Вводные'!$B$20+'ОБЪЕКТЫ'!V98</x:f>
      </x:c>
      <x:c r="W34" s="117" t="n">
        <x:f>'Продажи'!W26*'Вводные'!$B$20+'ОБЪЕКТЫ'!W98</x:f>
      </x:c>
      <x:c r="X34" s="117" t="n">
        <x:f>'Продажи'!X26*'Вводные'!$B$20+'ОБЪЕКТЫ'!X98</x:f>
      </x:c>
      <x:c r="Y34" s="117" t="n">
        <x:f>'Продажи'!Y26*'Вводные'!$B$20+'ОБЪЕКТЫ'!Y98</x:f>
      </x:c>
      <x:c r="Z34" s="117" t="n">
        <x:f>'Продажи'!Z26*'Вводные'!$B$20+'ОБЪЕКТЫ'!Z98</x:f>
      </x:c>
      <x:c r="AA34" s="117" t="n">
        <x:f>'Продажи'!AA26*'Вводные'!$B$20+'ОБЪЕКТЫ'!AA98</x:f>
      </x:c>
      <x:c r="AB34" s="117" t="n">
        <x:f>'Продажи'!AB26*'Вводные'!$B$20+'ОБЪЕКТЫ'!AB98</x:f>
      </x:c>
      <x:c r="AC34" s="117" t="n">
        <x:f>'Продажи'!AC26*'Вводные'!$B$20+'ОБЪЕКТЫ'!AC98</x:f>
      </x:c>
      <x:c r="AD34" s="117" t="n">
        <x:f>'Продажи'!AD26*'Вводные'!$B$20+'ОБЪЕКТЫ'!AD98</x:f>
      </x:c>
      <x:c r="AE34" s="117" t="n">
        <x:f>'Продажи'!AE26*'Вводные'!$B$20+'ОБЪЕКТЫ'!AE98</x:f>
      </x:c>
      <x:c r="AF34" s="117" t="n">
        <x:f>'Продажи'!AF26*'Вводные'!$B$20+'ОБЪЕКТЫ'!AF98</x:f>
      </x:c>
      <x:c r="AG34" s="117" t="n">
        <x:f>'Продажи'!AG26*'Вводные'!$B$20+'ОБЪЕКТЫ'!AG98</x:f>
      </x:c>
      <x:c r="AH34" s="117" t="n">
        <x:f>'Продажи'!AH26*'Вводные'!$B$20+'ОБЪЕКТЫ'!AH98</x:f>
      </x:c>
      <x:c r="AI34" s="117" t="n">
        <x:f>'Продажи'!AI26*'Вводные'!$B$20+'ОБЪЕКТЫ'!AI98</x:f>
      </x:c>
      <x:c r="AJ34" s="117" t="n">
        <x:f>'Продажи'!AJ26*'Вводные'!$B$20+'ОБЪЕКТЫ'!AJ98</x:f>
      </x:c>
      <x:c r="AK34" s="117" t="n">
        <x:f>'Продажи'!AK26*'Вводные'!$B$20+'ОБЪЕКТЫ'!AK98</x:f>
      </x:c>
      <x:c r="AL34" s="117" t="n">
        <x:f>'Продажи'!AL26*'Вводные'!$B$20+'ОБЪЕКТЫ'!AL98</x:f>
      </x:c>
      <x:c r="AM34" s="117" t="n">
        <x:f>'Продажи'!AM26*'Вводные'!$B$20+'ОБЪЕКТЫ'!AM98</x:f>
      </x:c>
      <x:c r="AN34" s="117" t="n">
        <x:f>'Продажи'!AN26*'Вводные'!$B$20+'ОБЪЕКТЫ'!AN98</x:f>
      </x:c>
      <x:c r="AO34" s="117" t="n">
        <x:f>'Продажи'!AO26*'Вводные'!$B$20+'ОБЪЕКТЫ'!AO98</x:f>
      </x:c>
      <x:c r="AP34" s="117" t="n">
        <x:f>'Продажи'!AP26*'Вводные'!$B$20+'ОБЪЕКТЫ'!AP98</x:f>
      </x:c>
      <x:c r="AQ34" s="117" t="n">
        <x:f>'Продажи'!AQ26*'Вводные'!$B$20+'ОБЪЕКТЫ'!AQ98</x:f>
      </x:c>
      <x:c r="AR34" s="117" t="n">
        <x:f>'Продажи'!AR26*'Вводные'!$B$20+'ОБЪЕКТЫ'!AR98</x:f>
      </x:c>
      <x:c r="AS34" s="117" t="n">
        <x:f>'Продажи'!AS26*'Вводные'!$B$20+'ОБЪЕКТЫ'!AS98</x:f>
      </x:c>
      <x:c r="AT34" s="117" t="n">
        <x:f>'Продажи'!AT26*'Вводные'!$B$20+'ОБЪЕКТЫ'!AT98</x:f>
      </x:c>
      <x:c r="AU34" s="117" t="n">
        <x:f>'Продажи'!AU26*'Вводные'!$B$20+'ОБЪЕКТЫ'!AU98</x:f>
      </x:c>
      <x:c r="AV34" s="117" t="n">
        <x:f>'Продажи'!AV26*'Вводные'!$B$20+'ОБЪЕКТЫ'!AV98</x:f>
      </x:c>
      <x:c r="AW34" s="117" t="n">
        <x:f>'Продажи'!AW26*'Вводные'!$B$20+'ОБЪЕКТЫ'!AW98</x:f>
      </x:c>
      <x:c r="AX34" s="117" t="n">
        <x:f>'Продажи'!AX26*'Вводные'!$B$20+'ОБЪЕКТЫ'!AX98</x:f>
      </x:c>
      <x:c r="AY34" s="117" t="n">
        <x:f>'Продажи'!AY26*'Вводные'!$B$20+'ОБЪЕКТЫ'!AY98</x:f>
      </x:c>
      <x:c r="AZ34" s="117" t="n">
        <x:f>'Продажи'!AZ26*'Вводные'!$B$20+'ОБЪЕКТЫ'!AZ98</x:f>
      </x:c>
      <x:c r="BA34" s="117" t="n">
        <x:f>'Продажи'!BA26*'Вводные'!$B$20+'ОБЪЕКТЫ'!BA98</x:f>
      </x:c>
      <x:c r="BB34" s="117" t="n">
        <x:f>'Продажи'!BB26*'Вводные'!$B$20+'ОБЪЕКТЫ'!BB98</x:f>
      </x:c>
      <x:c r="BC34" s="117" t="n">
        <x:f>'Продажи'!BC26*'Вводные'!$B$20+'ОБЪЕКТЫ'!BC98</x:f>
      </x:c>
      <x:c r="BD34" s="117" t="n">
        <x:f>'Продажи'!BD26*'Вводные'!$B$20+'ОБЪЕКТЫ'!BD98</x:f>
      </x:c>
      <x:c r="BE34" s="117" t="n">
        <x:f>'Продажи'!BE26*'Вводные'!$B$20+'ОБЪЕКТЫ'!BE98</x:f>
      </x:c>
      <x:c r="BF34" s="117" t="n">
        <x:f>'Продажи'!BF26*'Вводные'!$B$20+'ОБЪЕКТЫ'!BF98</x:f>
      </x:c>
      <x:c r="BG34" s="117" t="n">
        <x:f>'Продажи'!BG26*'Вводные'!$B$20+'ОБЪЕКТЫ'!BG98</x:f>
      </x:c>
      <x:c r="BH34" s="117" t="n">
        <x:f>'Продажи'!BH26*'Вводные'!$B$20+'ОБЪЕКТЫ'!BH98</x:f>
      </x:c>
      <x:c r="BI34" s="117" t="n">
        <x:f>'Продажи'!BI26*'Вводные'!$B$20+'ОБЪЕКТЫ'!BI98</x:f>
      </x:c>
      <x:c r="BJ34" s="117" t="n">
        <x:f>'Продажи'!BJ26*'Вводные'!$B$20+'ОБЪЕКТЫ'!BJ98</x:f>
      </x:c>
      <x:c r="BK34" s="117" t="n">
        <x:f>'Продажи'!BK26*'Вводные'!$B$20+'ОБЪЕКТЫ'!BK98</x:f>
      </x:c>
      <x:c r="BL34" s="117" t="n">
        <x:f>'Продажи'!BL26*'Вводные'!$B$20+'ОБЪЕКТЫ'!BL98</x:f>
      </x:c>
      <x:c r="BM34" s="117" t="n">
        <x:f>'Продажи'!BM26*'Вводные'!$B$20+'ОБЪЕКТЫ'!BM98</x:f>
      </x:c>
      <x:c r="BN34" s="117" t="n">
        <x:f>'Продажи'!BN26*'Вводные'!$B$20+'ОБЪЕКТЫ'!BN98</x:f>
      </x:c>
      <x:c r="BO34" s="117" t="n">
        <x:f>'Продажи'!BO26*'Вводные'!$B$20+'ОБЪЕКТЫ'!BO98</x:f>
      </x:c>
      <x:c r="BP34" s="117" t="n">
        <x:f>'Продажи'!BP26*'Вводные'!$B$20+'ОБЪЕКТЫ'!BP98</x:f>
      </x:c>
      <x:c r="BQ34" s="117" t="n">
        <x:f>'Продажи'!BQ26*'Вводные'!$B$20+'ОБЪЕКТЫ'!BQ98</x:f>
      </x:c>
      <x:c r="BR34" s="117" t="n">
        <x:f>'Продажи'!BR26*'Вводные'!$B$20+'ОБЪЕКТЫ'!BR98</x:f>
      </x:c>
      <x:c r="BS34" s="117" t="n">
        <x:f>'Продажи'!BS26*'Вводные'!$B$20+'ОБЪЕКТЫ'!BS98</x:f>
      </x:c>
      <x:c r="BT34" s="117" t="n">
        <x:f>'Продажи'!BT26*'Вводные'!$B$20+'ОБЪЕКТЫ'!BT98</x:f>
      </x:c>
      <x:c r="BU34" s="117" t="n">
        <x:f>'Продажи'!BU26*'Вводные'!$B$20+'ОБЪЕКТЫ'!BU98</x:f>
      </x:c>
      <x:c r="BV34" s="117" t="n">
        <x:f>'Продажи'!BV26*'Вводные'!$B$20+'ОБЪЕКТЫ'!BV98</x:f>
      </x:c>
      <x:c r="BW34" s="117" t="n">
        <x:f>'Продажи'!BW26*'Вводные'!$B$20+'ОБЪЕКТЫ'!BW98</x:f>
      </x:c>
      <x:c r="BX34" s="117" t="n">
        <x:f>'Продажи'!BX26*'Вводные'!$B$20+'ОБЪЕКТЫ'!BX98</x:f>
      </x:c>
      <x:c r="BY34" s="117" t="n">
        <x:f>'Продажи'!BY26*'Вводные'!$B$20+'ОБЪЕКТЫ'!BY98</x:f>
      </x:c>
      <x:c r="BZ34" s="117" t="n">
        <x:f>'Продажи'!BZ26*'Вводные'!$B$20+'ОБЪЕКТЫ'!BZ98</x:f>
      </x:c>
      <x:c r="CA34" s="117" t="n">
        <x:f>'Продажи'!CA26*'Вводные'!$B$20+'ОБЪЕКТЫ'!CA98</x:f>
      </x:c>
      <x:c r="CB34" s="117" t="n">
        <x:f>'Продажи'!CB26*'Вводные'!$B$20+'ОБЪЕКТЫ'!CB98</x:f>
      </x:c>
      <x:c r="CC34" s="117" t="n">
        <x:f>'Продажи'!CC26*'Вводные'!$B$20+'ОБЪЕКТЫ'!CC98</x:f>
      </x:c>
      <x:c r="CD34" s="117" t="n">
        <x:f>'Продажи'!CD26*'Вводные'!$B$20+'ОБЪЕКТЫ'!CD98</x:f>
      </x:c>
      <x:c r="CE34" s="117" t="n">
        <x:f>'Продажи'!CE26*'Вводные'!$B$20+'ОБЪЕКТЫ'!CE98</x:f>
      </x:c>
      <x:c r="CF34" s="117" t="n">
        <x:f>'Продажи'!CF26*'Вводные'!$B$20+'ОБЪЕКТЫ'!CF98</x:f>
      </x:c>
      <x:c r="CG34" s="117" t="n">
        <x:f>'Продажи'!CG26*'Вводные'!$B$20+'ОБЪЕКТЫ'!CG98</x:f>
      </x:c>
      <x:c r="CH34" s="117" t="n">
        <x:f>'Продажи'!CH26*'Вводные'!$B$20+'ОБЪЕКТЫ'!CH98</x:f>
      </x:c>
      <x:c r="CI34" s="117" t="n">
        <x:f>'Продажи'!CI26*'Вводные'!$B$20+'ОБЪЕКТЫ'!CI98</x:f>
      </x:c>
      <x:c r="CJ34" s="117" t="n">
        <x:f>'Продажи'!CJ26*'Вводные'!$B$20+'ОБЪЕКТЫ'!CJ98</x:f>
      </x:c>
      <x:c r="CK34" s="117" t="n">
        <x:f>'Продажи'!CK26*'Вводные'!$B$20+'ОБЪЕКТЫ'!CK98</x:f>
      </x:c>
      <x:c r="CL34" s="117" t="n">
        <x:f>'Продажи'!CL26*'Вводные'!$B$20+'ОБЪЕКТЫ'!CL98</x:f>
      </x:c>
      <x:c r="CM34" s="117" t="n">
        <x:f>'Продажи'!CM26*'Вводные'!$B$20+'ОБЪЕКТЫ'!CM98</x:f>
      </x:c>
      <x:c r="CN34" s="117" t="n">
        <x:f>'Продажи'!CN26*'Вводные'!$B$20+'ОБЪЕКТЫ'!CN98</x:f>
      </x:c>
      <x:c r="CO34" s="117" t="n">
        <x:f>'Продажи'!CO26*'Вводные'!$B$20+'ОБЪЕКТЫ'!CO98</x:f>
      </x:c>
      <x:c r="CP34" s="117" t="n">
        <x:f>'Продажи'!CP26*'Вводные'!$B$20+'ОБЪЕКТЫ'!CP98</x:f>
      </x:c>
      <x:c r="CQ34" s="117" t="n">
        <x:f>'Продажи'!CQ26*'Вводные'!$B$20+'ОБЪЕКТЫ'!CQ98</x:f>
      </x:c>
      <x:c r="CR34" s="117" t="n">
        <x:f>'Продажи'!CR26*'Вводные'!$B$20+'ОБЪЕКТЫ'!CR98</x:f>
      </x:c>
      <x:c r="CS34" s="117" t="n">
        <x:f>'Продажи'!CS26*'Вводные'!$B$20+'ОБЪЕКТЫ'!CS98</x:f>
      </x:c>
      <x:c r="CT34" s="117" t="n">
        <x:f>'Продажи'!CT26*'Вводные'!$B$20+'ОБЪЕКТЫ'!CT98</x:f>
      </x:c>
      <x:c r="CU34" s="117" t="n">
        <x:f>'Продажи'!CU26*'Вводные'!$B$20+'ОБЪЕКТЫ'!CU98</x:f>
      </x:c>
      <x:c r="CV34" s="117" t="n">
        <x:f>'Продажи'!CV26*'Вводные'!$B$20+'ОБЪЕКТЫ'!CV98</x:f>
      </x:c>
      <x:c r="CW34" s="117" t="n">
        <x:f>'Продажи'!CW26*'Вводные'!$B$20+'ОБЪЕКТЫ'!CW98</x:f>
      </x:c>
      <x:c r="CX34" s="117" t="n">
        <x:f>'Продажи'!CX26*'Вводные'!$B$20+'ОБЪЕКТЫ'!CX98</x:f>
      </x:c>
      <x:c r="CY34" s="117" t="n">
        <x:f>'Продажи'!CY26*'Вводные'!$B$20+'ОБЪЕКТЫ'!CY98</x:f>
      </x:c>
      <x:c r="CZ34" s="117" t="n">
        <x:f>'Продажи'!CZ26*'Вводные'!$B$20+'ОБЪЕКТЫ'!CZ98</x:f>
      </x:c>
      <x:c r="DA34" s="117" t="n">
        <x:f>'Продажи'!DA26*'Вводные'!$B$20+'ОБЪЕКТЫ'!DA98</x:f>
      </x:c>
      <x:c r="DB34" s="117" t="n">
        <x:f>'Продажи'!DB26*'Вводные'!$B$20+'ОБЪЕКТЫ'!DB98</x:f>
      </x:c>
      <x:c r="DC34" s="117" t="n">
        <x:f>'Продажи'!DC26*'Вводные'!$B$20+'ОБЪЕКТЫ'!DC98</x:f>
      </x:c>
      <x:c r="DD34" s="117" t="n">
        <x:f>'Продажи'!DD26*'Вводные'!$B$20+'ОБЪЕКТЫ'!DD98</x:f>
      </x:c>
      <x:c r="DE34" s="117" t="n">
        <x:f>'Продажи'!DE26*'Вводные'!$B$20+'ОБЪЕКТЫ'!DE98</x:f>
      </x:c>
      <x:c r="DF34" s="117" t="n">
        <x:f>'Продажи'!DF26*'Вводные'!$B$20+'ОБЪЕКТЫ'!DF98</x:f>
      </x:c>
      <x:c r="DG34" s="117" t="n">
        <x:f>'Продажи'!DG26*'Вводные'!$B$20+'ОБЪЕКТЫ'!DG98</x:f>
      </x:c>
      <x:c r="DH34" s="117" t="n">
        <x:f>'Продажи'!DH26*'Вводные'!$B$20+'ОБЪЕКТЫ'!DH98</x:f>
      </x:c>
      <x:c r="DI34" s="117" t="n">
        <x:f>'Продажи'!DI26*'Вводные'!$B$20+'ОБЪЕКТЫ'!DI98</x:f>
      </x:c>
      <x:c r="DJ34" s="117" t="n">
        <x:f>'Продажи'!DJ26*'Вводные'!$B$20+'ОБЪЕКТЫ'!DJ98</x:f>
      </x:c>
      <x:c r="DK34" s="117" t="n">
        <x:f>'Продажи'!DK26*'Вводные'!$B$20+'ОБЪЕКТЫ'!DK98</x:f>
      </x:c>
      <x:c r="DL34" s="117" t="n">
        <x:f>'Продажи'!DL26*'Вводные'!$B$20+'ОБЪЕКТЫ'!DL98</x:f>
      </x:c>
      <x:c r="DM34" s="117" t="n">
        <x:f>'Продажи'!DM26*'Вводные'!$B$20+'ОБЪЕКТЫ'!DM98</x:f>
      </x:c>
      <x:c r="DN34" s="117" t="n">
        <x:f>'Продажи'!DN26*'Вводные'!$B$20+'ОБЪЕКТЫ'!DN98</x:f>
      </x:c>
      <x:c r="DO34" s="117" t="n">
        <x:f>'Продажи'!DO26*'Вводные'!$B$20+'ОБЪЕКТЫ'!DO98</x:f>
      </x:c>
      <x:c r="DP34" s="117" t="n">
        <x:f>'Продажи'!DP26*'Вводные'!$B$20+'ОБЪЕКТЫ'!DP98</x:f>
      </x:c>
      <x:c r="DQ34" s="117" t="n">
        <x:f>'Продажи'!DQ26*'Вводные'!$B$20+'ОБЪЕКТЫ'!DQ98</x:f>
      </x:c>
      <x:c r="DR34" s="117" t="n">
        <x:f>'Продажи'!DR26*'Вводные'!$B$20+'ОБЪЕКТЫ'!DR98</x:f>
      </x:c>
      <x:c r="DS34" s="117" t="n">
        <x:f>'Продажи'!DS26*'Вводные'!$B$20+'ОБЪЕКТЫ'!DS98</x:f>
      </x:c>
      <x:c r="DT34" s="117" t="n">
        <x:f>'Продажи'!DT26*'Вводные'!$B$20+'ОБЪЕКТЫ'!DT98</x:f>
      </x:c>
      <x:c r="DU34" s="117" t="n">
        <x:f>'Продажи'!DU26*'Вводные'!$B$20+'ОБЪЕКТЫ'!DU98</x:f>
      </x:c>
      <x:c r="DV34" s="117" t="n">
        <x:f>'Продажи'!DV26*'Вводные'!$B$20+'ОБЪЕКТЫ'!DV98</x:f>
      </x:c>
      <x:c r="DW34" s="117" t="n">
        <x:f>'Продажи'!DW26*'Вводные'!$B$20+'ОБЪЕКТЫ'!DW98</x:f>
      </x:c>
      <x:c r="DX34" s="117" t="n">
        <x:f>'Продажи'!DX26*'Вводные'!$B$20+'ОБЪЕКТЫ'!DX98</x:f>
      </x:c>
      <x:c r="DY34" s="117" t="n">
        <x:f>'Продажи'!DY26*'Вводные'!$B$20+'ОБЪЕКТЫ'!DY98</x:f>
      </x:c>
      <x:c r="DZ34" s="117" t="n">
        <x:f>'Продажи'!DZ26*'Вводные'!$B$20+'ОБЪЕКТЫ'!DZ98</x:f>
      </x:c>
      <x:c r="EA34" s="117" t="n">
        <x:f>'Продажи'!EA26*'Вводные'!$B$20+'ОБЪЕКТЫ'!EA98</x:f>
      </x:c>
      <x:c r="EB34" s="117" t="n">
        <x:f>'Продажи'!EB26*'Вводные'!$B$20+'ОБЪЕКТЫ'!EB98</x:f>
      </x:c>
      <x:c r="EC34" s="117" t="n">
        <x:f>'Продажи'!EC26*'Вводные'!$B$20+'ОБЪЕКТЫ'!EC98</x:f>
      </x:c>
      <x:c r="ED34" s="117" t="n">
        <x:f>'Продажи'!ED26*'Вводные'!$B$20+'ОБЪЕКТЫ'!ED98</x:f>
      </x:c>
      <x:c r="EE34" s="117" t="n">
        <x:f>'Продажи'!EE26*'Вводные'!$B$20+'ОБЪЕКТЫ'!EE98</x:f>
      </x:c>
      <x:c r="EF34" s="117" t="n">
        <x:f>'Продажи'!EF26*'Вводные'!$B$20+'ОБЪЕКТЫ'!EF98</x:f>
      </x:c>
      <x:c r="EG34" s="117" t="n">
        <x:f>'Продажи'!EG26*'Вводные'!$B$20+'ОБЪЕКТЫ'!EG98</x:f>
      </x:c>
      <x:c r="EH34" s="117" t="n">
        <x:f>'Продажи'!EH26*'Вводные'!$B$20+'ОБЪЕКТЫ'!EH98</x:f>
      </x:c>
      <x:c r="EI34" s="117" t="n">
        <x:f>'Продажи'!EI26*'Вводные'!$B$20+'ОБЪЕКТЫ'!EI98</x:f>
      </x:c>
      <x:c r="EJ34" s="117" t="n">
        <x:f>'Продажи'!EJ26*'Вводные'!$B$20+'ОБЪЕКТЫ'!EJ98</x:f>
      </x:c>
      <x:c r="EK34" s="117" t="n">
        <x:f>'Продажи'!EK26*'Вводные'!$B$20+'ОБЪЕКТЫ'!EK98</x:f>
      </x:c>
      <x:c r="EL34" s="117" t="n">
        <x:f>'Продажи'!EL26*'Вводные'!$B$20+'ОБЪЕКТЫ'!EL98</x:f>
      </x:c>
      <x:c r="EM34" s="117" t="n">
        <x:f>'Продажи'!EM26*'Вводные'!$B$20+'ОБЪЕКТЫ'!EM98</x:f>
      </x:c>
      <x:c r="EN34" s="117" t="n">
        <x:f>'Продажи'!EN26*'Вводные'!$B$20+'ОБЪЕКТЫ'!EN98</x:f>
      </x:c>
      <x:c r="EO34" s="117" t="n">
        <x:f>'Продажи'!EO26*'Вводные'!$B$20+'ОБЪЕКТЫ'!EO98</x:f>
      </x:c>
      <x:c r="EP34" s="117" t="n">
        <x:f>'Продажи'!EP26*'Вводные'!$B$20+'ОБЪЕКТЫ'!EP98</x:f>
      </x:c>
      <x:c r="EQ34" s="117" t="n">
        <x:f>'Продажи'!EQ26*'Вводные'!$B$20+'ОБЪЕКТЫ'!EQ98</x:f>
      </x:c>
      <x:c r="ER34" s="117" t="n">
        <x:f>'Продажи'!ER26*'Вводные'!$B$20+'ОБЪЕКТЫ'!ER98</x:f>
      </x:c>
      <x:c r="ES34" s="117" t="n">
        <x:f>'Продажи'!ES26*'Вводные'!$B$20+'ОБЪЕКТЫ'!ES98</x:f>
      </x:c>
      <x:c r="ET34" s="117" t="n">
        <x:f>'Продажи'!ET26*'Вводные'!$B$20+'ОБЪЕКТЫ'!ET98</x:f>
      </x:c>
      <x:c r="EU34" s="117" t="n">
        <x:f>'Продажи'!EU26*'Вводные'!$B$20+'ОБЪЕКТЫ'!EU98</x:f>
      </x:c>
      <x:c r="EV34" s="117" t="n">
        <x:f>'Продажи'!EV26*'Вводные'!$B$20+'ОБЪЕКТЫ'!EV98</x:f>
      </x:c>
      <x:c r="EW34" s="117" t="n">
        <x:f>'Продажи'!EW26*'Вводные'!$B$20+'ОБЪЕКТЫ'!EW98</x:f>
      </x:c>
      <x:c r="EX34" s="117" t="n">
        <x:f>'Продажи'!EX26*'Вводные'!$B$20+'ОБЪЕКТЫ'!EX98</x:f>
      </x:c>
      <x:c r="EY34" s="117" t="n">
        <x:f>'Продажи'!EY26*'Вводные'!$B$20+'ОБЪЕКТЫ'!EY98</x:f>
      </x:c>
      <x:c r="EZ34" s="117" t="n">
        <x:f>'Продажи'!EZ26*'Вводные'!$B$20+'ОБЪЕКТЫ'!EZ98</x:f>
      </x:c>
      <x:c r="FA34" s="117" t="n">
        <x:f>'Продажи'!FA26*'Вводные'!$B$20+'ОБЪЕКТЫ'!FA98</x:f>
      </x:c>
      <x:c r="FB34" s="117" t="n">
        <x:f>'Продажи'!FB26*'Вводные'!$B$20+'ОБЪЕКТЫ'!FB98</x:f>
      </x:c>
      <x:c r="FC34" s="117" t="n">
        <x:f>'Продажи'!FC26*'Вводные'!$B$20+'ОБЪЕКТЫ'!FC98</x:f>
      </x:c>
      <x:c r="FD34" s="117" t="n">
        <x:f>'Продажи'!FD26*'Вводные'!$B$20+'ОБЪЕКТЫ'!FD98</x:f>
      </x:c>
      <x:c r="FE34" s="117" t="n">
        <x:f>'Продажи'!FE26*'Вводные'!$B$20+'ОБЪЕКТЫ'!FE98</x:f>
      </x:c>
      <x:c r="FF34" s="117" t="n">
        <x:f>'Продажи'!FF26*'Вводные'!$B$20+'ОБЪЕКТЫ'!FF98</x:f>
      </x:c>
      <x:c r="FG34" s="117" t="n">
        <x:f>'Продажи'!FG26*'Вводные'!$B$20+'ОБЪЕКТЫ'!FG98</x:f>
      </x:c>
      <x:c r="FH34" s="117" t="n">
        <x:f>'Продажи'!FH26*'Вводные'!$B$20+'ОБЪЕКТЫ'!FH98</x:f>
      </x:c>
      <x:c r="FI34" s="117" t="n">
        <x:f>'Продажи'!FI26*'Вводные'!$B$20+'ОБЪЕКТЫ'!FI98</x:f>
      </x:c>
      <x:c r="FJ34" s="117" t="n">
        <x:f>'Продажи'!FJ26*'Вводные'!$B$20+'ОБЪЕКТЫ'!FJ98</x:f>
      </x:c>
      <x:c r="FK34" s="117" t="n">
        <x:f>'Продажи'!FK26*'Вводные'!$B$20+'ОБЪЕКТЫ'!FK98</x:f>
      </x:c>
      <x:c r="FL34" s="117" t="n">
        <x:f>'Продажи'!FL26*'Вводные'!$B$20+'ОБЪЕКТЫ'!FL98</x:f>
      </x:c>
      <x:c r="FM34" s="117" t="n">
        <x:f>'Продажи'!FM26*'Вводные'!$B$20+'ОБЪЕКТЫ'!FM98</x:f>
      </x:c>
      <x:c r="FN34" s="117" t="n">
        <x:f>'Продажи'!FN26*'Вводные'!$B$20+'ОБЪЕКТЫ'!FN98</x:f>
      </x:c>
      <x:c r="FO34" s="117" t="n">
        <x:f>'Продажи'!FO26*'Вводные'!$B$20+'ОБЪЕКТЫ'!FO98</x:f>
      </x:c>
      <x:c r="FP34" s="117" t="n">
        <x:f>'Продажи'!FP26*'Вводные'!$B$20+'ОБЪЕКТЫ'!FP98</x:f>
      </x:c>
      <x:c r="FQ34" s="117" t="n">
        <x:f>'Продажи'!FQ26*'Вводные'!$B$20+'ОБЪЕКТЫ'!FQ98</x:f>
      </x:c>
      <x:c r="FR34" s="117" t="n">
        <x:f>'Продажи'!FR26*'Вводные'!$B$20+'ОБЪЕКТЫ'!FR98</x:f>
      </x:c>
      <x:c r="FS34" s="117" t="n">
        <x:f>'Продажи'!FS26*'Вводные'!$B$20+'ОБЪЕКТЫ'!FS98</x:f>
      </x:c>
      <x:c r="FT34" s="117" t="n">
        <x:f>'Продажи'!FT26*'Вводные'!$B$20+'ОБЪЕКТЫ'!FT98</x:f>
      </x:c>
      <x:c r="FU34" s="117" t="n">
        <x:f>'Продажи'!FU26*'Вводные'!$B$20+'ОБЪЕКТЫ'!FU98</x:f>
      </x:c>
      <x:c r="FV34" s="117" t="n">
        <x:f>'Продажи'!FV26*'Вводные'!$B$20+'ОБЪЕКТЫ'!FV98</x:f>
      </x:c>
      <x:c r="FW34" s="117" t="n">
        <x:f>'Продажи'!FW26*'Вводные'!$B$20+'ОБЪЕКТЫ'!FW98</x:f>
      </x:c>
      <x:c r="FX34" s="117" t="n">
        <x:f>'Продажи'!FX26*'Вводные'!$B$20+'ОБЪЕКТЫ'!FX98</x:f>
      </x:c>
      <x:c r="FY34" s="117" t="n">
        <x:f>'Продажи'!FY26*'Вводные'!$B$20+'ОБЪЕКТЫ'!FY98</x:f>
      </x:c>
      <x:c r="FZ34" s="117" t="n">
        <x:f>'Продажи'!FZ26*'Вводные'!$B$20+'ОБЪЕКТЫ'!FZ98</x:f>
      </x:c>
      <x:c r="GA34" s="117" t="n">
        <x:f>'Продажи'!GA26*'Вводные'!$B$20+'ОБЪЕКТЫ'!GA98</x:f>
      </x:c>
    </x:row>
    <x:row r="35">
      <x:c r="A35" s="113" t="str">
        <x:v>РАСХОДЫ ПРОЕКТА ВСЕГО</x:v>
      </x:c>
      <x:c r="B35" s="113" t="n">
        <x:f>SUM(D35:GA35)</x:f>
      </x:c>
      <x:c r="C35" s="113" t="str">
        <x:v>млн ₽</x:v>
      </x:c>
      <x:c r="D35" s="120" t="n">
        <x:f>SUM(D32:D34)</x:f>
      </x:c>
      <x:c r="E35" s="120" t="n">
        <x:f>SUM(E32:E34)</x:f>
      </x:c>
      <x:c r="F35" s="120" t="n">
        <x:f>SUM(F32:F34)</x:f>
      </x:c>
      <x:c r="G35" s="120" t="n">
        <x:f>SUM(G32:G34)</x:f>
      </x:c>
      <x:c r="H35" s="120" t="n">
        <x:f>SUM(H32:H34)</x:f>
      </x:c>
      <x:c r="I35" s="120" t="n">
        <x:f>SUM(I32:I34)</x:f>
      </x:c>
      <x:c r="J35" s="120" t="n">
        <x:f>SUM(J32:J34)</x:f>
      </x:c>
      <x:c r="K35" s="120" t="n">
        <x:f>SUM(K32:K34)</x:f>
      </x:c>
      <x:c r="L35" s="120" t="n">
        <x:f>SUM(L32:L34)</x:f>
      </x:c>
      <x:c r="M35" s="120" t="n">
        <x:f>SUM(M32:M34)</x:f>
      </x:c>
      <x:c r="N35" s="120" t="n">
        <x:f>SUM(N32:N34)</x:f>
      </x:c>
      <x:c r="O35" s="120" t="n">
        <x:f>SUM(O32:O34)</x:f>
      </x:c>
      <x:c r="P35" s="120" t="n">
        <x:f>SUM(P32:P34)</x:f>
      </x:c>
      <x:c r="Q35" s="120" t="n">
        <x:f>SUM(Q32:Q34)</x:f>
      </x:c>
      <x:c r="R35" s="120" t="n">
        <x:f>SUM(R32:R34)</x:f>
      </x:c>
      <x:c r="S35" s="120" t="n">
        <x:f>SUM(S32:S34)</x:f>
      </x:c>
      <x:c r="T35" s="120" t="n">
        <x:f>SUM(T32:T34)</x:f>
      </x:c>
      <x:c r="U35" s="120" t="n">
        <x:f>SUM(U32:U34)</x:f>
      </x:c>
      <x:c r="V35" s="120" t="n">
        <x:f>SUM(V32:V34)</x:f>
      </x:c>
      <x:c r="W35" s="120" t="n">
        <x:f>SUM(W32:W34)</x:f>
      </x:c>
      <x:c r="X35" s="120" t="n">
        <x:f>SUM(X32:X34)</x:f>
      </x:c>
      <x:c r="Y35" s="120" t="n">
        <x:f>SUM(Y32:Y34)</x:f>
      </x:c>
      <x:c r="Z35" s="120" t="n">
        <x:f>SUM(Z32:Z34)</x:f>
      </x:c>
      <x:c r="AA35" s="120" t="n">
        <x:f>SUM(AA32:AA34)</x:f>
      </x:c>
      <x:c r="AB35" s="120" t="n">
        <x:f>SUM(AB32:AB34)</x:f>
      </x:c>
      <x:c r="AC35" s="120" t="n">
        <x:f>SUM(AC32:AC34)</x:f>
      </x:c>
      <x:c r="AD35" s="120" t="n">
        <x:f>SUM(AD32:AD34)</x:f>
      </x:c>
      <x:c r="AE35" s="120" t="n">
        <x:f>SUM(AE32:AE34)</x:f>
      </x:c>
      <x:c r="AF35" s="120" t="n">
        <x:f>SUM(AF32:AF34)</x:f>
      </x:c>
      <x:c r="AG35" s="120" t="n">
        <x:f>SUM(AG32:AG34)</x:f>
      </x:c>
      <x:c r="AH35" s="120" t="n">
        <x:f>SUM(AH32:AH34)</x:f>
      </x:c>
      <x:c r="AI35" s="120" t="n">
        <x:f>SUM(AI32:AI34)</x:f>
      </x:c>
      <x:c r="AJ35" s="120" t="n">
        <x:f>SUM(AJ32:AJ34)</x:f>
      </x:c>
      <x:c r="AK35" s="120" t="n">
        <x:f>SUM(AK32:AK34)</x:f>
      </x:c>
      <x:c r="AL35" s="120" t="n">
        <x:f>SUM(AL32:AL34)</x:f>
      </x:c>
      <x:c r="AM35" s="120" t="n">
        <x:f>SUM(AM32:AM34)</x:f>
      </x:c>
      <x:c r="AN35" s="120" t="n">
        <x:f>SUM(AN32:AN34)</x:f>
      </x:c>
      <x:c r="AO35" s="120" t="n">
        <x:f>SUM(AO32:AO34)</x:f>
      </x:c>
      <x:c r="AP35" s="120" t="n">
        <x:f>SUM(AP32:AP34)</x:f>
      </x:c>
      <x:c r="AQ35" s="120" t="n">
        <x:f>SUM(AQ32:AQ34)</x:f>
      </x:c>
      <x:c r="AR35" s="120" t="n">
        <x:f>SUM(AR32:AR34)</x:f>
      </x:c>
      <x:c r="AS35" s="120" t="n">
        <x:f>SUM(AS32:AS34)</x:f>
      </x:c>
      <x:c r="AT35" s="120" t="n">
        <x:f>SUM(AT32:AT34)</x:f>
      </x:c>
      <x:c r="AU35" s="120" t="n">
        <x:f>SUM(AU32:AU34)</x:f>
      </x:c>
      <x:c r="AV35" s="120" t="n">
        <x:f>SUM(AV32:AV34)</x:f>
      </x:c>
      <x:c r="AW35" s="120" t="n">
        <x:f>SUM(AW32:AW34)</x:f>
      </x:c>
      <x:c r="AX35" s="120" t="n">
        <x:f>SUM(AX32:AX34)</x:f>
      </x:c>
      <x:c r="AY35" s="120" t="n">
        <x:f>SUM(AY32:AY34)</x:f>
      </x:c>
      <x:c r="AZ35" s="120" t="n">
        <x:f>SUM(AZ32:AZ34)</x:f>
      </x:c>
      <x:c r="BA35" s="120" t="n">
        <x:f>SUM(BA32:BA34)</x:f>
      </x:c>
      <x:c r="BB35" s="120" t="n">
        <x:f>SUM(BB32:BB34)</x:f>
      </x:c>
      <x:c r="BC35" s="120" t="n">
        <x:f>SUM(BC32:BC34)</x:f>
      </x:c>
      <x:c r="BD35" s="120" t="n">
        <x:f>SUM(BD32:BD34)</x:f>
      </x:c>
      <x:c r="BE35" s="120" t="n">
        <x:f>SUM(BE32:BE34)</x:f>
      </x:c>
      <x:c r="BF35" s="120" t="n">
        <x:f>SUM(BF32:BF34)</x:f>
      </x:c>
      <x:c r="BG35" s="120" t="n">
        <x:f>SUM(BG32:BG34)</x:f>
      </x:c>
      <x:c r="BH35" s="120" t="n">
        <x:f>SUM(BH32:BH34)</x:f>
      </x:c>
      <x:c r="BI35" s="120" t="n">
        <x:f>SUM(BI32:BI34)</x:f>
      </x:c>
      <x:c r="BJ35" s="120" t="n">
        <x:f>SUM(BJ32:BJ34)</x:f>
      </x:c>
      <x:c r="BK35" s="120" t="n">
        <x:f>SUM(BK32:BK34)</x:f>
      </x:c>
      <x:c r="BL35" s="120" t="n">
        <x:f>SUM(BL32:BL34)</x:f>
      </x:c>
      <x:c r="BM35" s="120" t="n">
        <x:f>SUM(BM32:BM34)</x:f>
      </x:c>
      <x:c r="BN35" s="120" t="n">
        <x:f>SUM(BN32:BN34)</x:f>
      </x:c>
      <x:c r="BO35" s="120" t="n">
        <x:f>SUM(BO32:BO34)</x:f>
      </x:c>
      <x:c r="BP35" s="120" t="n">
        <x:f>SUM(BP32:BP34)</x:f>
      </x:c>
      <x:c r="BQ35" s="120" t="n">
        <x:f>SUM(BQ32:BQ34)</x:f>
      </x:c>
      <x:c r="BR35" s="120" t="n">
        <x:f>SUM(BR32:BR34)</x:f>
      </x:c>
      <x:c r="BS35" s="120" t="n">
        <x:f>SUM(BS32:BS34)</x:f>
      </x:c>
      <x:c r="BT35" s="120" t="n">
        <x:f>SUM(BT32:BT34)</x:f>
      </x:c>
      <x:c r="BU35" s="120" t="n">
        <x:f>SUM(BU32:BU34)</x:f>
      </x:c>
      <x:c r="BV35" s="120" t="n">
        <x:f>SUM(BV32:BV34)</x:f>
      </x:c>
      <x:c r="BW35" s="120" t="n">
        <x:f>SUM(BW32:BW34)</x:f>
      </x:c>
      <x:c r="BX35" s="120" t="n">
        <x:f>SUM(BX32:BX34)</x:f>
      </x:c>
      <x:c r="BY35" s="120" t="n">
        <x:f>SUM(BY32:BY34)</x:f>
      </x:c>
      <x:c r="BZ35" s="120" t="n">
        <x:f>SUM(BZ32:BZ34)</x:f>
      </x:c>
      <x:c r="CA35" s="120" t="n">
        <x:f>SUM(CA32:CA34)</x:f>
      </x:c>
      <x:c r="CB35" s="120" t="n">
        <x:f>SUM(CB32:CB34)</x:f>
      </x:c>
      <x:c r="CC35" s="120" t="n">
        <x:f>SUM(CC32:CC34)</x:f>
      </x:c>
      <x:c r="CD35" s="120" t="n">
        <x:f>SUM(CD32:CD34)</x:f>
      </x:c>
      <x:c r="CE35" s="120" t="n">
        <x:f>SUM(CE32:CE34)</x:f>
      </x:c>
      <x:c r="CF35" s="120" t="n">
        <x:f>SUM(CF32:CF34)</x:f>
      </x:c>
      <x:c r="CG35" s="120" t="n">
        <x:f>SUM(CG32:CG34)</x:f>
      </x:c>
      <x:c r="CH35" s="120" t="n">
        <x:f>SUM(CH32:CH34)</x:f>
      </x:c>
      <x:c r="CI35" s="120" t="n">
        <x:f>SUM(CI32:CI34)</x:f>
      </x:c>
      <x:c r="CJ35" s="120" t="n">
        <x:f>SUM(CJ32:CJ34)</x:f>
      </x:c>
      <x:c r="CK35" s="120" t="n">
        <x:f>SUM(CK32:CK34)</x:f>
      </x:c>
      <x:c r="CL35" s="120" t="n">
        <x:f>SUM(CL32:CL34)</x:f>
      </x:c>
      <x:c r="CM35" s="120" t="n">
        <x:f>SUM(CM32:CM34)</x:f>
      </x:c>
      <x:c r="CN35" s="120" t="n">
        <x:f>SUM(CN32:CN34)</x:f>
      </x:c>
      <x:c r="CO35" s="120" t="n">
        <x:f>SUM(CO32:CO34)</x:f>
      </x:c>
      <x:c r="CP35" s="120" t="n">
        <x:f>SUM(CP32:CP34)</x:f>
      </x:c>
      <x:c r="CQ35" s="120" t="n">
        <x:f>SUM(CQ32:CQ34)</x:f>
      </x:c>
      <x:c r="CR35" s="120" t="n">
        <x:f>SUM(CR32:CR34)</x:f>
      </x:c>
      <x:c r="CS35" s="120" t="n">
        <x:f>SUM(CS32:CS34)</x:f>
      </x:c>
      <x:c r="CT35" s="120" t="n">
        <x:f>SUM(CT32:CT34)</x:f>
      </x:c>
      <x:c r="CU35" s="120" t="n">
        <x:f>SUM(CU32:CU34)</x:f>
      </x:c>
      <x:c r="CV35" s="120" t="n">
        <x:f>SUM(CV32:CV34)</x:f>
      </x:c>
      <x:c r="CW35" s="120" t="n">
        <x:f>SUM(CW32:CW34)</x:f>
      </x:c>
      <x:c r="CX35" s="120" t="n">
        <x:f>SUM(CX32:CX34)</x:f>
      </x:c>
      <x:c r="CY35" s="120" t="n">
        <x:f>SUM(CY32:CY34)</x:f>
      </x:c>
      <x:c r="CZ35" s="120" t="n">
        <x:f>SUM(CZ32:CZ34)</x:f>
      </x:c>
      <x:c r="DA35" s="120" t="n">
        <x:f>SUM(DA32:DA34)</x:f>
      </x:c>
      <x:c r="DB35" s="120" t="n">
        <x:f>SUM(DB32:DB34)</x:f>
      </x:c>
      <x:c r="DC35" s="120" t="n">
        <x:f>SUM(DC32:DC34)</x:f>
      </x:c>
      <x:c r="DD35" s="120" t="n">
        <x:f>SUM(DD32:DD34)</x:f>
      </x:c>
      <x:c r="DE35" s="120" t="n">
        <x:f>SUM(DE32:DE34)</x:f>
      </x:c>
      <x:c r="DF35" s="120" t="n">
        <x:f>SUM(DF32:DF34)</x:f>
      </x:c>
      <x:c r="DG35" s="120" t="n">
        <x:f>SUM(DG32:DG34)</x:f>
      </x:c>
      <x:c r="DH35" s="120" t="n">
        <x:f>SUM(DH32:DH34)</x:f>
      </x:c>
      <x:c r="DI35" s="120" t="n">
        <x:f>SUM(DI32:DI34)</x:f>
      </x:c>
      <x:c r="DJ35" s="120" t="n">
        <x:f>SUM(DJ32:DJ34)</x:f>
      </x:c>
      <x:c r="DK35" s="120" t="n">
        <x:f>SUM(DK32:DK34)</x:f>
      </x:c>
      <x:c r="DL35" s="120" t="n">
        <x:f>SUM(DL32:DL34)</x:f>
      </x:c>
      <x:c r="DM35" s="120" t="n">
        <x:f>SUM(DM32:DM34)</x:f>
      </x:c>
      <x:c r="DN35" s="120" t="n">
        <x:f>SUM(DN32:DN34)</x:f>
      </x:c>
      <x:c r="DO35" s="120" t="n">
        <x:f>SUM(DO32:DO34)</x:f>
      </x:c>
      <x:c r="DP35" s="120" t="n">
        <x:f>SUM(DP32:DP34)</x:f>
      </x:c>
      <x:c r="DQ35" s="120" t="n">
        <x:f>SUM(DQ32:DQ34)</x:f>
      </x:c>
      <x:c r="DR35" s="120" t="n">
        <x:f>SUM(DR32:DR34)</x:f>
      </x:c>
      <x:c r="DS35" s="120" t="n">
        <x:f>SUM(DS32:DS34)</x:f>
      </x:c>
      <x:c r="DT35" s="120" t="n">
        <x:f>SUM(DT32:DT34)</x:f>
      </x:c>
      <x:c r="DU35" s="120" t="n">
        <x:f>SUM(DU32:DU34)</x:f>
      </x:c>
      <x:c r="DV35" s="120" t="n">
        <x:f>SUM(DV32:DV34)</x:f>
      </x:c>
      <x:c r="DW35" s="120" t="n">
        <x:f>SUM(DW32:DW34)</x:f>
      </x:c>
      <x:c r="DX35" s="120" t="n">
        <x:f>SUM(DX32:DX34)</x:f>
      </x:c>
      <x:c r="DY35" s="120" t="n">
        <x:f>SUM(DY32:DY34)</x:f>
      </x:c>
      <x:c r="DZ35" s="120" t="n">
        <x:f>SUM(DZ32:DZ34)</x:f>
      </x:c>
      <x:c r="EA35" s="120" t="n">
        <x:f>SUM(EA32:EA34)</x:f>
      </x:c>
      <x:c r="EB35" s="120" t="n">
        <x:f>SUM(EB32:EB34)</x:f>
      </x:c>
      <x:c r="EC35" s="120" t="n">
        <x:f>SUM(EC32:EC34)</x:f>
      </x:c>
      <x:c r="ED35" s="120" t="n">
        <x:f>SUM(ED32:ED34)</x:f>
      </x:c>
      <x:c r="EE35" s="120" t="n">
        <x:f>SUM(EE32:EE34)</x:f>
      </x:c>
      <x:c r="EF35" s="120" t="n">
        <x:f>SUM(EF32:EF34)</x:f>
      </x:c>
      <x:c r="EG35" s="120" t="n">
        <x:f>SUM(EG32:EG34)</x:f>
      </x:c>
      <x:c r="EH35" s="120" t="n">
        <x:f>SUM(EH32:EH34)</x:f>
      </x:c>
      <x:c r="EI35" s="120" t="n">
        <x:f>SUM(EI32:EI34)</x:f>
      </x:c>
      <x:c r="EJ35" s="120" t="n">
        <x:f>SUM(EJ32:EJ34)</x:f>
      </x:c>
      <x:c r="EK35" s="120" t="n">
        <x:f>SUM(EK32:EK34)</x:f>
      </x:c>
      <x:c r="EL35" s="120" t="n">
        <x:f>SUM(EL32:EL34)</x:f>
      </x:c>
      <x:c r="EM35" s="120" t="n">
        <x:f>SUM(EM32:EM34)</x:f>
      </x:c>
      <x:c r="EN35" s="120" t="n">
        <x:f>SUM(EN32:EN34)</x:f>
      </x:c>
      <x:c r="EO35" s="120" t="n">
        <x:f>SUM(EO32:EO34)</x:f>
      </x:c>
      <x:c r="EP35" s="120" t="n">
        <x:f>SUM(EP32:EP34)</x:f>
      </x:c>
      <x:c r="EQ35" s="120" t="n">
        <x:f>SUM(EQ32:EQ34)</x:f>
      </x:c>
      <x:c r="ER35" s="120" t="n">
        <x:f>SUM(ER32:ER34)</x:f>
      </x:c>
      <x:c r="ES35" s="120" t="n">
        <x:f>SUM(ES32:ES34)</x:f>
      </x:c>
      <x:c r="ET35" s="120" t="n">
        <x:f>SUM(ET32:ET34)</x:f>
      </x:c>
      <x:c r="EU35" s="120" t="n">
        <x:f>SUM(EU32:EU34)</x:f>
      </x:c>
      <x:c r="EV35" s="120" t="n">
        <x:f>SUM(EV32:EV34)</x:f>
      </x:c>
      <x:c r="EW35" s="120" t="n">
        <x:f>SUM(EW32:EW34)</x:f>
      </x:c>
      <x:c r="EX35" s="120" t="n">
        <x:f>SUM(EX32:EX34)</x:f>
      </x:c>
      <x:c r="EY35" s="120" t="n">
        <x:f>SUM(EY32:EY34)</x:f>
      </x:c>
      <x:c r="EZ35" s="120" t="n">
        <x:f>SUM(EZ32:EZ34)</x:f>
      </x:c>
      <x:c r="FA35" s="120" t="n">
        <x:f>SUM(FA32:FA34)</x:f>
      </x:c>
      <x:c r="FB35" s="120" t="n">
        <x:f>SUM(FB32:FB34)</x:f>
      </x:c>
      <x:c r="FC35" s="120" t="n">
        <x:f>SUM(FC32:FC34)</x:f>
      </x:c>
      <x:c r="FD35" s="120" t="n">
        <x:f>SUM(FD32:FD34)</x:f>
      </x:c>
      <x:c r="FE35" s="120" t="n">
        <x:f>SUM(FE32:FE34)</x:f>
      </x:c>
      <x:c r="FF35" s="120" t="n">
        <x:f>SUM(FF32:FF34)</x:f>
      </x:c>
      <x:c r="FG35" s="120" t="n">
        <x:f>SUM(FG32:FG34)</x:f>
      </x:c>
      <x:c r="FH35" s="120" t="n">
        <x:f>SUM(FH32:FH34)</x:f>
      </x:c>
      <x:c r="FI35" s="120" t="n">
        <x:f>SUM(FI32:FI34)</x:f>
      </x:c>
      <x:c r="FJ35" s="120" t="n">
        <x:f>SUM(FJ32:FJ34)</x:f>
      </x:c>
      <x:c r="FK35" s="120" t="n">
        <x:f>SUM(FK32:FK34)</x:f>
      </x:c>
      <x:c r="FL35" s="120" t="n">
        <x:f>SUM(FL32:FL34)</x:f>
      </x:c>
      <x:c r="FM35" s="120" t="n">
        <x:f>SUM(FM32:FM34)</x:f>
      </x:c>
      <x:c r="FN35" s="120" t="n">
        <x:f>SUM(FN32:FN34)</x:f>
      </x:c>
      <x:c r="FO35" s="120" t="n">
        <x:f>SUM(FO32:FO34)</x:f>
      </x:c>
      <x:c r="FP35" s="120" t="n">
        <x:f>SUM(FP32:FP34)</x:f>
      </x:c>
      <x:c r="FQ35" s="120" t="n">
        <x:f>SUM(FQ32:FQ34)</x:f>
      </x:c>
      <x:c r="FR35" s="120" t="n">
        <x:f>SUM(FR32:FR34)</x:f>
      </x:c>
      <x:c r="FS35" s="120" t="n">
        <x:f>SUM(FS32:FS34)</x:f>
      </x:c>
      <x:c r="FT35" s="120" t="n">
        <x:f>SUM(FT32:FT34)</x:f>
      </x:c>
      <x:c r="FU35" s="120" t="n">
        <x:f>SUM(FU32:FU34)</x:f>
      </x:c>
      <x:c r="FV35" s="120" t="n">
        <x:f>SUM(FV32:FV34)</x:f>
      </x:c>
      <x:c r="FW35" s="120" t="n">
        <x:f>SUM(FW32:FW34)</x:f>
      </x:c>
      <x:c r="FX35" s="120" t="n">
        <x:f>SUM(FX32:FX34)</x:f>
      </x:c>
      <x:c r="FY35" s="120" t="n">
        <x:f>SUM(FY32:FY34)</x:f>
      </x:c>
      <x:c r="FZ35" s="120" t="n">
        <x:f>SUM(FZ32:FZ34)</x:f>
      </x:c>
      <x:c r="GA35" s="120" t="n">
        <x:f>SUM(GA32:GA34)</x:f>
      </x:c>
    </x:row>
    <x:row r="40" ht="21" customHeight="1">
      <x:c r="A40" s="52" t="str">
        <x:v>ОЧЕРЕДЬ 2</x:v>
      </x:c>
      <x:c r="B40" s="53" t="str">
        <x:v>ОЧЕРЕДЬ 2</x:v>
      </x:c>
      <x:c r="C40" s="53" t="str">
        <x:v>ОЧЕРЕДЬ 2</x:v>
      </x:c>
      <x:c r="D40" s="53" t="str">
        <x:v>ОЧЕРЕДЬ 2</x:v>
      </x:c>
      <x:c r="E40" s="53" t="str">
        <x:v>ОЧЕРЕДЬ 2</x:v>
      </x:c>
      <x:c r="F40" s="53" t="str">
        <x:v>ОЧЕРЕДЬ 2</x:v>
      </x:c>
      <x:c r="G40" s="53" t="str">
        <x:v>ОЧЕРЕДЬ 2</x:v>
      </x:c>
      <x:c r="H40" s="53" t="str">
        <x:v>ОЧЕРЕДЬ 2</x:v>
      </x:c>
      <x:c r="I40" s="53" t="str">
        <x:v>ОЧЕРЕДЬ 2</x:v>
      </x:c>
      <x:c r="J40" s="53" t="str">
        <x:v>ОЧЕРЕДЬ 2</x:v>
      </x:c>
      <x:c r="K40" s="53" t="str">
        <x:v>ОЧЕРЕДЬ 2</x:v>
      </x:c>
      <x:c r="L40" s="53" t="str">
        <x:v>ОЧЕРЕДЬ 2</x:v>
      </x:c>
      <x:c r="M40" s="53" t="str">
        <x:v>ОЧЕРЕДЬ 2</x:v>
      </x:c>
      <x:c r="N40" s="53" t="str">
        <x:v>ОЧЕРЕДЬ 2</x:v>
      </x:c>
      <x:c r="O40" s="53" t="str">
        <x:v>ОЧЕРЕДЬ 2</x:v>
      </x:c>
      <x:c r="P40" s="53" t="str">
        <x:v>ОЧЕРЕДЬ 2</x:v>
      </x:c>
      <x:c r="Q40" s="53" t="str">
        <x:v>ОЧЕРЕДЬ 2</x:v>
      </x:c>
      <x:c r="R40" s="53" t="str">
        <x:v>ОЧЕРЕДЬ 2</x:v>
      </x:c>
      <x:c r="S40" s="53" t="str">
        <x:v>ОЧЕРЕДЬ 2</x:v>
      </x:c>
      <x:c r="T40" s="53" t="str">
        <x:v>ОЧЕРЕДЬ 2</x:v>
      </x:c>
      <x:c r="U40" s="53" t="str">
        <x:v>ОЧЕРЕДЬ 2</x:v>
      </x:c>
      <x:c r="V40" s="53" t="str">
        <x:v>ОЧЕРЕДЬ 2</x:v>
      </x:c>
      <x:c r="W40" s="53" t="str">
        <x:v>ОЧЕРЕДЬ 2</x:v>
      </x:c>
      <x:c r="X40" s="53" t="str">
        <x:v>ОЧЕРЕДЬ 2</x:v>
      </x:c>
      <x:c r="Y40" s="53" t="str">
        <x:v>ОЧЕРЕДЬ 2</x:v>
      </x:c>
      <x:c r="Z40" s="53" t="str">
        <x:v>ОЧЕРЕДЬ 2</x:v>
      </x:c>
      <x:c r="AA40" s="53" t="str">
        <x:v>ОЧЕРЕДЬ 2</x:v>
      </x:c>
      <x:c r="AB40" s="53" t="str">
        <x:v>ОЧЕРЕДЬ 2</x:v>
      </x:c>
      <x:c r="AC40" s="53" t="str">
        <x:v>ОЧЕРЕДЬ 2</x:v>
      </x:c>
      <x:c r="AD40" s="53" t="str">
        <x:v>ОЧЕРЕДЬ 2</x:v>
      </x:c>
      <x:c r="AE40" s="53" t="str">
        <x:v>ОЧЕРЕДЬ 2</x:v>
      </x:c>
      <x:c r="AF40" s="53" t="str">
        <x:v>ОЧЕРЕДЬ 2</x:v>
      </x:c>
      <x:c r="AG40" s="53" t="str">
        <x:v>ОЧЕРЕДЬ 2</x:v>
      </x:c>
      <x:c r="AH40" s="53" t="str">
        <x:v>ОЧЕРЕДЬ 2</x:v>
      </x:c>
      <x:c r="AI40" s="53" t="str">
        <x:v>ОЧЕРЕДЬ 2</x:v>
      </x:c>
      <x:c r="AJ40" s="53" t="str">
        <x:v>ОЧЕРЕДЬ 2</x:v>
      </x:c>
      <x:c r="AK40" s="53" t="str">
        <x:v>ОЧЕРЕДЬ 2</x:v>
      </x:c>
      <x:c r="AL40" s="53" t="str">
        <x:v>ОЧЕРЕДЬ 2</x:v>
      </x:c>
      <x:c r="AM40" s="53" t="str">
        <x:v>ОЧЕРЕДЬ 2</x:v>
      </x:c>
      <x:c r="AN40" s="53" t="str">
        <x:v>ОЧЕРЕДЬ 2</x:v>
      </x:c>
      <x:c r="AO40" s="53" t="str">
        <x:v>ОЧЕРЕДЬ 2</x:v>
      </x:c>
      <x:c r="AP40" s="53" t="str">
        <x:v>ОЧЕРЕДЬ 2</x:v>
      </x:c>
      <x:c r="AQ40" s="53" t="str">
        <x:v>ОЧЕРЕДЬ 2</x:v>
      </x:c>
      <x:c r="AR40" s="53" t="str">
        <x:v>ОЧЕРЕДЬ 2</x:v>
      </x:c>
      <x:c r="AS40" s="53" t="str">
        <x:v>ОЧЕРЕДЬ 2</x:v>
      </x:c>
      <x:c r="AT40" s="53" t="str">
        <x:v>ОЧЕРЕДЬ 2</x:v>
      </x:c>
      <x:c r="AU40" s="53" t="str">
        <x:v>ОЧЕРЕДЬ 2</x:v>
      </x:c>
      <x:c r="AV40" s="53" t="str">
        <x:v>ОЧЕРЕДЬ 2</x:v>
      </x:c>
      <x:c r="AW40" s="53" t="str">
        <x:v>ОЧЕРЕДЬ 2</x:v>
      </x:c>
      <x:c r="AX40" s="53" t="str">
        <x:v>ОЧЕРЕДЬ 2</x:v>
      </x:c>
      <x:c r="AY40" s="53" t="str">
        <x:v>ОЧЕРЕДЬ 2</x:v>
      </x:c>
      <x:c r="AZ40" s="53" t="str">
        <x:v>ОЧЕРЕДЬ 2</x:v>
      </x:c>
      <x:c r="BA40" s="53" t="str">
        <x:v>ОЧЕРЕДЬ 2</x:v>
      </x:c>
      <x:c r="BB40" s="53" t="str">
        <x:v>ОЧЕРЕДЬ 2</x:v>
      </x:c>
      <x:c r="BC40" s="53" t="str">
        <x:v>ОЧЕРЕДЬ 2</x:v>
      </x:c>
      <x:c r="BD40" s="53" t="str">
        <x:v>ОЧЕРЕДЬ 2</x:v>
      </x:c>
      <x:c r="BE40" s="53" t="str">
        <x:v>ОЧЕРЕДЬ 2</x:v>
      </x:c>
      <x:c r="BF40" s="53" t="str">
        <x:v>ОЧЕРЕДЬ 2</x:v>
      </x:c>
      <x:c r="BG40" s="53" t="str">
        <x:v>ОЧЕРЕДЬ 2</x:v>
      </x:c>
      <x:c r="BH40" s="53" t="str">
        <x:v>ОЧЕРЕДЬ 2</x:v>
      </x:c>
      <x:c r="BI40" s="53" t="str">
        <x:v>ОЧЕРЕДЬ 2</x:v>
      </x:c>
      <x:c r="BJ40" s="53" t="str">
        <x:v>ОЧЕРЕДЬ 2</x:v>
      </x:c>
      <x:c r="BK40" s="53" t="str">
        <x:v>ОЧЕРЕДЬ 2</x:v>
      </x:c>
      <x:c r="BL40" s="53" t="str">
        <x:v>ОЧЕРЕДЬ 2</x:v>
      </x:c>
      <x:c r="BM40" s="53" t="str">
        <x:v>ОЧЕРЕДЬ 2</x:v>
      </x:c>
      <x:c r="BN40" s="53" t="str">
        <x:v>ОЧЕРЕДЬ 2</x:v>
      </x:c>
      <x:c r="BO40" s="53" t="str">
        <x:v>ОЧЕРЕДЬ 2</x:v>
      </x:c>
      <x:c r="BP40" s="53" t="str">
        <x:v>ОЧЕРЕДЬ 2</x:v>
      </x:c>
      <x:c r="BQ40" s="53" t="str">
        <x:v>ОЧЕРЕДЬ 2</x:v>
      </x:c>
      <x:c r="BR40" s="53" t="str">
        <x:v>ОЧЕРЕДЬ 2</x:v>
      </x:c>
      <x:c r="BS40" s="53" t="str">
        <x:v>ОЧЕРЕДЬ 2</x:v>
      </x:c>
      <x:c r="BT40" s="53" t="str">
        <x:v>ОЧЕРЕДЬ 2</x:v>
      </x:c>
      <x:c r="BU40" s="53" t="str">
        <x:v>ОЧЕРЕДЬ 2</x:v>
      </x:c>
      <x:c r="BV40" s="53" t="str">
        <x:v>ОЧЕРЕДЬ 2</x:v>
      </x:c>
      <x:c r="BW40" s="53" t="str">
        <x:v>ОЧЕРЕДЬ 2</x:v>
      </x:c>
      <x:c r="BX40" s="53" t="str">
        <x:v>ОЧЕРЕДЬ 2</x:v>
      </x:c>
      <x:c r="BY40" s="53" t="str">
        <x:v>ОЧЕРЕДЬ 2</x:v>
      </x:c>
      <x:c r="BZ40" s="53" t="str">
        <x:v>ОЧЕРЕДЬ 2</x:v>
      </x:c>
      <x:c r="CA40" s="53" t="str">
        <x:v>ОЧЕРЕДЬ 2</x:v>
      </x:c>
      <x:c r="CB40" s="53" t="str">
        <x:v>ОЧЕРЕДЬ 2</x:v>
      </x:c>
      <x:c r="CC40" s="53" t="str">
        <x:v>ОЧЕРЕДЬ 2</x:v>
      </x:c>
      <x:c r="CD40" s="53" t="str">
        <x:v>ОЧЕРЕДЬ 2</x:v>
      </x:c>
      <x:c r="CE40" s="53" t="str">
        <x:v>ОЧЕРЕДЬ 2</x:v>
      </x:c>
      <x:c r="CF40" s="53" t="str">
        <x:v>ОЧЕРЕДЬ 2</x:v>
      </x:c>
      <x:c r="CG40" s="53" t="str">
        <x:v>ОЧЕРЕДЬ 2</x:v>
      </x:c>
      <x:c r="CH40" s="53" t="str">
        <x:v>ОЧЕРЕДЬ 2</x:v>
      </x:c>
      <x:c r="CI40" s="53" t="str">
        <x:v>ОЧЕРЕДЬ 2</x:v>
      </x:c>
      <x:c r="CJ40" s="53" t="str">
        <x:v>ОЧЕРЕДЬ 2</x:v>
      </x:c>
      <x:c r="CK40" s="53" t="str">
        <x:v>ОЧЕРЕДЬ 2</x:v>
      </x:c>
      <x:c r="CL40" s="53" t="str">
        <x:v>ОЧЕРЕДЬ 2</x:v>
      </x:c>
      <x:c r="CM40" s="53" t="str">
        <x:v>ОЧЕРЕДЬ 2</x:v>
      </x:c>
      <x:c r="CN40" s="53" t="str">
        <x:v>ОЧЕРЕДЬ 2</x:v>
      </x:c>
      <x:c r="CO40" s="53" t="str">
        <x:v>ОЧЕРЕДЬ 2</x:v>
      </x:c>
      <x:c r="CP40" s="53" t="str">
        <x:v>ОЧЕРЕДЬ 2</x:v>
      </x:c>
      <x:c r="CQ40" s="53" t="str">
        <x:v>ОЧЕРЕДЬ 2</x:v>
      </x:c>
      <x:c r="CR40" s="53" t="str">
        <x:v>ОЧЕРЕДЬ 2</x:v>
      </x:c>
      <x:c r="CS40" s="53" t="str">
        <x:v>ОЧЕРЕДЬ 2</x:v>
      </x:c>
      <x:c r="CT40" s="53" t="str">
        <x:v>ОЧЕРЕДЬ 2</x:v>
      </x:c>
      <x:c r="CU40" s="53" t="str">
        <x:v>ОЧЕРЕДЬ 2</x:v>
      </x:c>
      <x:c r="CV40" s="53" t="str">
        <x:v>ОЧЕРЕДЬ 2</x:v>
      </x:c>
      <x:c r="CW40" s="53" t="str">
        <x:v>ОЧЕРЕДЬ 2</x:v>
      </x:c>
      <x:c r="CX40" s="53" t="str">
        <x:v>ОЧЕРЕДЬ 2</x:v>
      </x:c>
      <x:c r="CY40" s="53" t="str">
        <x:v>ОЧЕРЕДЬ 2</x:v>
      </x:c>
      <x:c r="CZ40" s="53" t="str">
        <x:v>ОЧЕРЕДЬ 2</x:v>
      </x:c>
      <x:c r="DA40" s="53" t="str">
        <x:v>ОЧЕРЕДЬ 2</x:v>
      </x:c>
      <x:c r="DB40" s="53" t="str">
        <x:v>ОЧЕРЕДЬ 2</x:v>
      </x:c>
      <x:c r="DC40" s="53" t="str">
        <x:v>ОЧЕРЕДЬ 2</x:v>
      </x:c>
      <x:c r="DD40" s="53" t="str">
        <x:v>ОЧЕРЕДЬ 2</x:v>
      </x:c>
      <x:c r="DE40" s="53" t="str">
        <x:v>ОЧЕРЕДЬ 2</x:v>
      </x:c>
      <x:c r="DF40" s="53" t="str">
        <x:v>ОЧЕРЕДЬ 2</x:v>
      </x:c>
      <x:c r="DG40" s="53" t="str">
        <x:v>ОЧЕРЕДЬ 2</x:v>
      </x:c>
      <x:c r="DH40" s="53" t="str">
        <x:v>ОЧЕРЕДЬ 2</x:v>
      </x:c>
      <x:c r="DI40" s="53" t="str">
        <x:v>ОЧЕРЕДЬ 2</x:v>
      </x:c>
      <x:c r="DJ40" s="53" t="str">
        <x:v>ОЧЕРЕДЬ 2</x:v>
      </x:c>
      <x:c r="DK40" s="53" t="str">
        <x:v>ОЧЕРЕДЬ 2</x:v>
      </x:c>
      <x:c r="DL40" s="53" t="str">
        <x:v>ОЧЕРЕДЬ 2</x:v>
      </x:c>
      <x:c r="DM40" s="53" t="str">
        <x:v>ОЧЕРЕДЬ 2</x:v>
      </x:c>
      <x:c r="DN40" s="53" t="str">
        <x:v>ОЧЕРЕДЬ 2</x:v>
      </x:c>
      <x:c r="DO40" s="53" t="str">
        <x:v>ОЧЕРЕДЬ 2</x:v>
      </x:c>
      <x:c r="DP40" s="53" t="str">
        <x:v>ОЧЕРЕДЬ 2</x:v>
      </x:c>
      <x:c r="DQ40" s="53" t="str">
        <x:v>ОЧЕРЕДЬ 2</x:v>
      </x:c>
      <x:c r="DR40" s="53" t="str">
        <x:v>ОЧЕРЕДЬ 2</x:v>
      </x:c>
      <x:c r="DS40" s="54" t="str">
        <x:v>ОЧЕРЕДЬ 2</x:v>
      </x:c>
      <x:c r="DT40" s="54" t="str"/>
      <x:c r="DU40" s="54" t="str"/>
      <x:c r="DV40" s="54" t="str"/>
      <x:c r="DW40" s="54" t="str"/>
      <x:c r="DX40" s="54" t="str"/>
      <x:c r="DY40" s="54" t="str"/>
      <x:c r="DZ40" s="54" t="str"/>
      <x:c r="EA40" s="54" t="str"/>
      <x:c r="EB40" s="54" t="str"/>
      <x:c r="EC40" s="54" t="str"/>
      <x:c r="ED40" s="54" t="str"/>
      <x:c r="EE40" s="54" t="str"/>
      <x:c r="EF40" s="54" t="str"/>
      <x:c r="EG40" s="54" t="str"/>
      <x:c r="EH40" s="54" t="str"/>
      <x:c r="EI40" s="54" t="str"/>
      <x:c r="EJ40" s="54" t="str"/>
      <x:c r="EK40" s="54" t="str"/>
      <x:c r="EL40" s="54" t="str"/>
      <x:c r="EM40" s="54" t="str"/>
      <x:c r="EN40" s="54" t="str"/>
      <x:c r="EO40" s="54" t="str"/>
      <x:c r="EP40" s="54" t="str"/>
      <x:c r="EQ40" s="54" t="str"/>
      <x:c r="ER40" s="54" t="str"/>
      <x:c r="ES40" s="54" t="str"/>
      <x:c r="ET40" s="54" t="str"/>
      <x:c r="EU40" s="54" t="str"/>
      <x:c r="EV40" s="54" t="str"/>
      <x:c r="EW40" s="54" t="str"/>
      <x:c r="EX40" s="54" t="str"/>
      <x:c r="EY40" s="54" t="str"/>
      <x:c r="EZ40" s="54" t="str"/>
      <x:c r="FA40" s="54" t="str"/>
      <x:c r="FB40" s="54" t="str"/>
      <x:c r="FC40" s="54" t="str"/>
      <x:c r="FD40" s="54" t="str"/>
      <x:c r="FE40" s="54" t="str"/>
      <x:c r="FF40" s="54" t="str"/>
      <x:c r="FG40" s="54" t="str"/>
      <x:c r="FH40" s="54" t="str"/>
      <x:c r="FI40" s="54" t="str"/>
      <x:c r="FJ40" s="54" t="str"/>
      <x:c r="FK40" s="54" t="str"/>
      <x:c r="FL40" s="54" t="str"/>
      <x:c r="FM40" s="54" t="str"/>
      <x:c r="FN40" s="54" t="str"/>
      <x:c r="FO40" s="54" t="str"/>
      <x:c r="FP40" s="54" t="str"/>
      <x:c r="FQ40" s="54" t="str"/>
      <x:c r="FR40" s="54" t="str"/>
      <x:c r="FS40" s="54" t="str"/>
      <x:c r="FT40" s="54" t="str"/>
      <x:c r="FU40" s="54" t="str"/>
      <x:c r="FV40" s="54" t="str"/>
      <x:c r="FW40" s="54" t="str"/>
      <x:c r="FX40" s="54" t="str"/>
      <x:c r="FY40" s="54" t="str"/>
      <x:c r="FZ40" s="54" t="str"/>
      <x:c r="GA40" s="54" t="str"/>
    </x:row>
    <x:row r="41">
      <x:c r="A41" t="str">
        <x:v>РнС / открытие ПФ</x:v>
      </x:c>
      <x:c r="B41" s="106" t="n">
        <x:f>EDATE('Вводные'!$D$89,'Вводные'!$E$89+'Вводные'!$H$9)</x:f>
      </x:c>
      <x:c r="C41" t="str">
        <x:v>дата</x:v>
      </x:c>
    </x:row>
    <x:row r="42">
      <x:c r="A42" t="str">
        <x:v>РВЭ</x:v>
      </x:c>
      <x:c r="B42" s="106" t="n">
        <x:f>EDATE(B41,'Вводные'!$F$89)</x:f>
      </x:c>
      <x:c r="C42" t="str">
        <x:v>дата</x:v>
      </x:c>
    </x:row>
    <x:row r="43">
      <x:c r="A43" t="str">
        <x:v>Флаг проекта</x:v>
      </x:c>
      <x:c r="B43"/>
      <x:c r="C43" t="str">
        <x:v>0/1</x:v>
      </x:c>
      <x:c r="D43" t="n">
        <x:f>--AND(D$3&gt;=EDATE($B$41,-'Вводные'!$E$89),D$3&lt;$B$42,'Вводные'!$B$89="Да")</x:f>
      </x:c>
      <x:c r="E43" t="n">
        <x:f>--AND(E$3&gt;=EDATE($B$41,-'Вводные'!$E$89),E$3&lt;$B$42,'Вводные'!$B$89="Да")</x:f>
      </x:c>
      <x:c r="F43" t="n">
        <x:f>--AND(F$3&gt;=EDATE($B$41,-'Вводные'!$E$89),F$3&lt;$B$42,'Вводные'!$B$89="Да")</x:f>
      </x:c>
      <x:c r="G43" t="n">
        <x:f>--AND(G$3&gt;=EDATE($B$41,-'Вводные'!$E$89),G$3&lt;$B$42,'Вводные'!$B$89="Да")</x:f>
      </x:c>
      <x:c r="H43" t="n">
        <x:f>--AND(H$3&gt;=EDATE($B$41,-'Вводные'!$E$89),H$3&lt;$B$42,'Вводные'!$B$89="Да")</x:f>
      </x:c>
      <x:c r="I43" t="n">
        <x:f>--AND(I$3&gt;=EDATE($B$41,-'Вводные'!$E$89),I$3&lt;$B$42,'Вводные'!$B$89="Да")</x:f>
      </x:c>
      <x:c r="J43" t="n">
        <x:f>--AND(J$3&gt;=EDATE($B$41,-'Вводные'!$E$89),J$3&lt;$B$42,'Вводные'!$B$89="Да")</x:f>
      </x:c>
      <x:c r="K43" t="n">
        <x:f>--AND(K$3&gt;=EDATE($B$41,-'Вводные'!$E$89),K$3&lt;$B$42,'Вводные'!$B$89="Да")</x:f>
      </x:c>
      <x:c r="L43" t="n">
        <x:f>--AND(L$3&gt;=EDATE($B$41,-'Вводные'!$E$89),L$3&lt;$B$42,'Вводные'!$B$89="Да")</x:f>
      </x:c>
      <x:c r="M43" t="n">
        <x:f>--AND(M$3&gt;=EDATE($B$41,-'Вводные'!$E$89),M$3&lt;$B$42,'Вводные'!$B$89="Да")</x:f>
      </x:c>
      <x:c r="N43" t="n">
        <x:f>--AND(N$3&gt;=EDATE($B$41,-'Вводные'!$E$89),N$3&lt;$B$42,'Вводные'!$B$89="Да")</x:f>
      </x:c>
      <x:c r="O43" t="n">
        <x:f>--AND(O$3&gt;=EDATE($B$41,-'Вводные'!$E$89),O$3&lt;$B$42,'Вводные'!$B$89="Да")</x:f>
      </x:c>
      <x:c r="P43" t="n">
        <x:f>--AND(P$3&gt;=EDATE($B$41,-'Вводные'!$E$89),P$3&lt;$B$42,'Вводные'!$B$89="Да")</x:f>
      </x:c>
      <x:c r="Q43" t="n">
        <x:f>--AND(Q$3&gt;=EDATE($B$41,-'Вводные'!$E$89),Q$3&lt;$B$42,'Вводные'!$B$89="Да")</x:f>
      </x:c>
      <x:c r="R43" t="n">
        <x:f>--AND(R$3&gt;=EDATE($B$41,-'Вводные'!$E$89),R$3&lt;$B$42,'Вводные'!$B$89="Да")</x:f>
      </x:c>
      <x:c r="S43" t="n">
        <x:f>--AND(S$3&gt;=EDATE($B$41,-'Вводные'!$E$89),S$3&lt;$B$42,'Вводные'!$B$89="Да")</x:f>
      </x:c>
      <x:c r="T43" t="n">
        <x:f>--AND(T$3&gt;=EDATE($B$41,-'Вводные'!$E$89),T$3&lt;$B$42,'Вводные'!$B$89="Да")</x:f>
      </x:c>
      <x:c r="U43" t="n">
        <x:f>--AND(U$3&gt;=EDATE($B$41,-'Вводные'!$E$89),U$3&lt;$B$42,'Вводные'!$B$89="Да")</x:f>
      </x:c>
      <x:c r="V43" t="n">
        <x:f>--AND(V$3&gt;=EDATE($B$41,-'Вводные'!$E$89),V$3&lt;$B$42,'Вводные'!$B$89="Да")</x:f>
      </x:c>
      <x:c r="W43" t="n">
        <x:f>--AND(W$3&gt;=EDATE($B$41,-'Вводные'!$E$89),W$3&lt;$B$42,'Вводные'!$B$89="Да")</x:f>
      </x:c>
      <x:c r="X43" t="n">
        <x:f>--AND(X$3&gt;=EDATE($B$41,-'Вводные'!$E$89),X$3&lt;$B$42,'Вводные'!$B$89="Да")</x:f>
      </x:c>
      <x:c r="Y43" t="n">
        <x:f>--AND(Y$3&gt;=EDATE($B$41,-'Вводные'!$E$89),Y$3&lt;$B$42,'Вводные'!$B$89="Да")</x:f>
      </x:c>
      <x:c r="Z43" t="n">
        <x:f>--AND(Z$3&gt;=EDATE($B$41,-'Вводные'!$E$89),Z$3&lt;$B$42,'Вводные'!$B$89="Да")</x:f>
      </x:c>
      <x:c r="AA43" t="n">
        <x:f>--AND(AA$3&gt;=EDATE($B$41,-'Вводные'!$E$89),AA$3&lt;$B$42,'Вводные'!$B$89="Да")</x:f>
      </x:c>
      <x:c r="AB43" t="n">
        <x:f>--AND(AB$3&gt;=EDATE($B$41,-'Вводные'!$E$89),AB$3&lt;$B$42,'Вводные'!$B$89="Да")</x:f>
      </x:c>
      <x:c r="AC43" t="n">
        <x:f>--AND(AC$3&gt;=EDATE($B$41,-'Вводные'!$E$89),AC$3&lt;$B$42,'Вводные'!$B$89="Да")</x:f>
      </x:c>
      <x:c r="AD43" t="n">
        <x:f>--AND(AD$3&gt;=EDATE($B$41,-'Вводные'!$E$89),AD$3&lt;$B$42,'Вводные'!$B$89="Да")</x:f>
      </x:c>
      <x:c r="AE43" t="n">
        <x:f>--AND(AE$3&gt;=EDATE($B$41,-'Вводные'!$E$89),AE$3&lt;$B$42,'Вводные'!$B$89="Да")</x:f>
      </x:c>
      <x:c r="AF43" t="n">
        <x:f>--AND(AF$3&gt;=EDATE($B$41,-'Вводные'!$E$89),AF$3&lt;$B$42,'Вводные'!$B$89="Да")</x:f>
      </x:c>
      <x:c r="AG43" t="n">
        <x:f>--AND(AG$3&gt;=EDATE($B$41,-'Вводные'!$E$89),AG$3&lt;$B$42,'Вводные'!$B$89="Да")</x:f>
      </x:c>
      <x:c r="AH43" t="n">
        <x:f>--AND(AH$3&gt;=EDATE($B$41,-'Вводные'!$E$89),AH$3&lt;$B$42,'Вводные'!$B$89="Да")</x:f>
      </x:c>
      <x:c r="AI43" t="n">
        <x:f>--AND(AI$3&gt;=EDATE($B$41,-'Вводные'!$E$89),AI$3&lt;$B$42,'Вводные'!$B$89="Да")</x:f>
      </x:c>
      <x:c r="AJ43" t="n">
        <x:f>--AND(AJ$3&gt;=EDATE($B$41,-'Вводные'!$E$89),AJ$3&lt;$B$42,'Вводные'!$B$89="Да")</x:f>
      </x:c>
      <x:c r="AK43" t="n">
        <x:f>--AND(AK$3&gt;=EDATE($B$41,-'Вводные'!$E$89),AK$3&lt;$B$42,'Вводные'!$B$89="Да")</x:f>
      </x:c>
      <x:c r="AL43" t="n">
        <x:f>--AND(AL$3&gt;=EDATE($B$41,-'Вводные'!$E$89),AL$3&lt;$B$42,'Вводные'!$B$89="Да")</x:f>
      </x:c>
      <x:c r="AM43" t="n">
        <x:f>--AND(AM$3&gt;=EDATE($B$41,-'Вводные'!$E$89),AM$3&lt;$B$42,'Вводные'!$B$89="Да")</x:f>
      </x:c>
      <x:c r="AN43" t="n">
        <x:f>--AND(AN$3&gt;=EDATE($B$41,-'Вводные'!$E$89),AN$3&lt;$B$42,'Вводные'!$B$89="Да")</x:f>
      </x:c>
      <x:c r="AO43" t="n">
        <x:f>--AND(AO$3&gt;=EDATE($B$41,-'Вводные'!$E$89),AO$3&lt;$B$42,'Вводные'!$B$89="Да")</x:f>
      </x:c>
      <x:c r="AP43" t="n">
        <x:f>--AND(AP$3&gt;=EDATE($B$41,-'Вводные'!$E$89),AP$3&lt;$B$42,'Вводные'!$B$89="Да")</x:f>
      </x:c>
      <x:c r="AQ43" t="n">
        <x:f>--AND(AQ$3&gt;=EDATE($B$41,-'Вводные'!$E$89),AQ$3&lt;$B$42,'Вводные'!$B$89="Да")</x:f>
      </x:c>
      <x:c r="AR43" t="n">
        <x:f>--AND(AR$3&gt;=EDATE($B$41,-'Вводные'!$E$89),AR$3&lt;$B$42,'Вводные'!$B$89="Да")</x:f>
      </x:c>
      <x:c r="AS43" t="n">
        <x:f>--AND(AS$3&gt;=EDATE($B$41,-'Вводные'!$E$89),AS$3&lt;$B$42,'Вводные'!$B$89="Да")</x:f>
      </x:c>
      <x:c r="AT43" t="n">
        <x:f>--AND(AT$3&gt;=EDATE($B$41,-'Вводные'!$E$89),AT$3&lt;$B$42,'Вводные'!$B$89="Да")</x:f>
      </x:c>
      <x:c r="AU43" t="n">
        <x:f>--AND(AU$3&gt;=EDATE($B$41,-'Вводные'!$E$89),AU$3&lt;$B$42,'Вводные'!$B$89="Да")</x:f>
      </x:c>
      <x:c r="AV43" t="n">
        <x:f>--AND(AV$3&gt;=EDATE($B$41,-'Вводные'!$E$89),AV$3&lt;$B$42,'Вводные'!$B$89="Да")</x:f>
      </x:c>
      <x:c r="AW43" t="n">
        <x:f>--AND(AW$3&gt;=EDATE($B$41,-'Вводные'!$E$89),AW$3&lt;$B$42,'Вводные'!$B$89="Да")</x:f>
      </x:c>
      <x:c r="AX43" t="n">
        <x:f>--AND(AX$3&gt;=EDATE($B$41,-'Вводные'!$E$89),AX$3&lt;$B$42,'Вводные'!$B$89="Да")</x:f>
      </x:c>
      <x:c r="AY43" t="n">
        <x:f>--AND(AY$3&gt;=EDATE($B$41,-'Вводные'!$E$89),AY$3&lt;$B$42,'Вводные'!$B$89="Да")</x:f>
      </x:c>
      <x:c r="AZ43" t="n">
        <x:f>--AND(AZ$3&gt;=EDATE($B$41,-'Вводные'!$E$89),AZ$3&lt;$B$42,'Вводные'!$B$89="Да")</x:f>
      </x:c>
      <x:c r="BA43" t="n">
        <x:f>--AND(BA$3&gt;=EDATE($B$41,-'Вводные'!$E$89),BA$3&lt;$B$42,'Вводные'!$B$89="Да")</x:f>
      </x:c>
      <x:c r="BB43" t="n">
        <x:f>--AND(BB$3&gt;=EDATE($B$41,-'Вводные'!$E$89),BB$3&lt;$B$42,'Вводные'!$B$89="Да")</x:f>
      </x:c>
      <x:c r="BC43" t="n">
        <x:f>--AND(BC$3&gt;=EDATE($B$41,-'Вводные'!$E$89),BC$3&lt;$B$42,'Вводные'!$B$89="Да")</x:f>
      </x:c>
      <x:c r="BD43" t="n">
        <x:f>--AND(BD$3&gt;=EDATE($B$41,-'Вводные'!$E$89),BD$3&lt;$B$42,'Вводные'!$B$89="Да")</x:f>
      </x:c>
      <x:c r="BE43" t="n">
        <x:f>--AND(BE$3&gt;=EDATE($B$41,-'Вводные'!$E$89),BE$3&lt;$B$42,'Вводные'!$B$89="Да")</x:f>
      </x:c>
      <x:c r="BF43" t="n">
        <x:f>--AND(BF$3&gt;=EDATE($B$41,-'Вводные'!$E$89),BF$3&lt;$B$42,'Вводные'!$B$89="Да")</x:f>
      </x:c>
      <x:c r="BG43" t="n">
        <x:f>--AND(BG$3&gt;=EDATE($B$41,-'Вводные'!$E$89),BG$3&lt;$B$42,'Вводные'!$B$89="Да")</x:f>
      </x:c>
      <x:c r="BH43" t="n">
        <x:f>--AND(BH$3&gt;=EDATE($B$41,-'Вводные'!$E$89),BH$3&lt;$B$42,'Вводные'!$B$89="Да")</x:f>
      </x:c>
      <x:c r="BI43" t="n">
        <x:f>--AND(BI$3&gt;=EDATE($B$41,-'Вводные'!$E$89),BI$3&lt;$B$42,'Вводные'!$B$89="Да")</x:f>
      </x:c>
      <x:c r="BJ43" t="n">
        <x:f>--AND(BJ$3&gt;=EDATE($B$41,-'Вводные'!$E$89),BJ$3&lt;$B$42,'Вводные'!$B$89="Да")</x:f>
      </x:c>
      <x:c r="BK43" t="n">
        <x:f>--AND(BK$3&gt;=EDATE($B$41,-'Вводные'!$E$89),BK$3&lt;$B$42,'Вводные'!$B$89="Да")</x:f>
      </x:c>
      <x:c r="BL43" t="n">
        <x:f>--AND(BL$3&gt;=EDATE($B$41,-'Вводные'!$E$89),BL$3&lt;$B$42,'Вводные'!$B$89="Да")</x:f>
      </x:c>
      <x:c r="BM43" t="n">
        <x:f>--AND(BM$3&gt;=EDATE($B$41,-'Вводные'!$E$89),BM$3&lt;$B$42,'Вводные'!$B$89="Да")</x:f>
      </x:c>
      <x:c r="BN43" t="n">
        <x:f>--AND(BN$3&gt;=EDATE($B$41,-'Вводные'!$E$89),BN$3&lt;$B$42,'Вводные'!$B$89="Да")</x:f>
      </x:c>
      <x:c r="BO43" t="n">
        <x:f>--AND(BO$3&gt;=EDATE($B$41,-'Вводные'!$E$89),BO$3&lt;$B$42,'Вводные'!$B$89="Да")</x:f>
      </x:c>
      <x:c r="BP43" t="n">
        <x:f>--AND(BP$3&gt;=EDATE($B$41,-'Вводные'!$E$89),BP$3&lt;$B$42,'Вводные'!$B$89="Да")</x:f>
      </x:c>
      <x:c r="BQ43" t="n">
        <x:f>--AND(BQ$3&gt;=EDATE($B$41,-'Вводные'!$E$89),BQ$3&lt;$B$42,'Вводные'!$B$89="Да")</x:f>
      </x:c>
      <x:c r="BR43" t="n">
        <x:f>--AND(BR$3&gt;=EDATE($B$41,-'Вводные'!$E$89),BR$3&lt;$B$42,'Вводные'!$B$89="Да")</x:f>
      </x:c>
      <x:c r="BS43" t="n">
        <x:f>--AND(BS$3&gt;=EDATE($B$41,-'Вводные'!$E$89),BS$3&lt;$B$42,'Вводные'!$B$89="Да")</x:f>
      </x:c>
      <x:c r="BT43" t="n">
        <x:f>--AND(BT$3&gt;=EDATE($B$41,-'Вводные'!$E$89),BT$3&lt;$B$42,'Вводные'!$B$89="Да")</x:f>
      </x:c>
      <x:c r="BU43" t="n">
        <x:f>--AND(BU$3&gt;=EDATE($B$41,-'Вводные'!$E$89),BU$3&lt;$B$42,'Вводные'!$B$89="Да")</x:f>
      </x:c>
      <x:c r="BV43" t="n">
        <x:f>--AND(BV$3&gt;=EDATE($B$41,-'Вводные'!$E$89),BV$3&lt;$B$42,'Вводные'!$B$89="Да")</x:f>
      </x:c>
      <x:c r="BW43" t="n">
        <x:f>--AND(BW$3&gt;=EDATE($B$41,-'Вводные'!$E$89),BW$3&lt;$B$42,'Вводные'!$B$89="Да")</x:f>
      </x:c>
      <x:c r="BX43" t="n">
        <x:f>--AND(BX$3&gt;=EDATE($B$41,-'Вводные'!$E$89),BX$3&lt;$B$42,'Вводные'!$B$89="Да")</x:f>
      </x:c>
      <x:c r="BY43" t="n">
        <x:f>--AND(BY$3&gt;=EDATE($B$41,-'Вводные'!$E$89),BY$3&lt;$B$42,'Вводные'!$B$89="Да")</x:f>
      </x:c>
      <x:c r="BZ43" t="n">
        <x:f>--AND(BZ$3&gt;=EDATE($B$41,-'Вводные'!$E$89),BZ$3&lt;$B$42,'Вводные'!$B$89="Да")</x:f>
      </x:c>
      <x:c r="CA43" t="n">
        <x:f>--AND(CA$3&gt;=EDATE($B$41,-'Вводные'!$E$89),CA$3&lt;$B$42,'Вводные'!$B$89="Да")</x:f>
      </x:c>
      <x:c r="CB43" t="n">
        <x:f>--AND(CB$3&gt;=EDATE($B$41,-'Вводные'!$E$89),CB$3&lt;$B$42,'Вводные'!$B$89="Да")</x:f>
      </x:c>
      <x:c r="CC43" t="n">
        <x:f>--AND(CC$3&gt;=EDATE($B$41,-'Вводные'!$E$89),CC$3&lt;$B$42,'Вводные'!$B$89="Да")</x:f>
      </x:c>
      <x:c r="CD43" t="n">
        <x:f>--AND(CD$3&gt;=EDATE($B$41,-'Вводные'!$E$89),CD$3&lt;$B$42,'Вводные'!$B$89="Да")</x:f>
      </x:c>
      <x:c r="CE43" t="n">
        <x:f>--AND(CE$3&gt;=EDATE($B$41,-'Вводные'!$E$89),CE$3&lt;$B$42,'Вводные'!$B$89="Да")</x:f>
      </x:c>
      <x:c r="CF43" t="n">
        <x:f>--AND(CF$3&gt;=EDATE($B$41,-'Вводные'!$E$89),CF$3&lt;$B$42,'Вводные'!$B$89="Да")</x:f>
      </x:c>
      <x:c r="CG43" t="n">
        <x:f>--AND(CG$3&gt;=EDATE($B$41,-'Вводные'!$E$89),CG$3&lt;$B$42,'Вводные'!$B$89="Да")</x:f>
      </x:c>
      <x:c r="CH43" t="n">
        <x:f>--AND(CH$3&gt;=EDATE($B$41,-'Вводные'!$E$89),CH$3&lt;$B$42,'Вводные'!$B$89="Да")</x:f>
      </x:c>
      <x:c r="CI43" t="n">
        <x:f>--AND(CI$3&gt;=EDATE($B$41,-'Вводные'!$E$89),CI$3&lt;$B$42,'Вводные'!$B$89="Да")</x:f>
      </x:c>
      <x:c r="CJ43" t="n">
        <x:f>--AND(CJ$3&gt;=EDATE($B$41,-'Вводные'!$E$89),CJ$3&lt;$B$42,'Вводные'!$B$89="Да")</x:f>
      </x:c>
      <x:c r="CK43" t="n">
        <x:f>--AND(CK$3&gt;=EDATE($B$41,-'Вводные'!$E$89),CK$3&lt;$B$42,'Вводные'!$B$89="Да")</x:f>
      </x:c>
      <x:c r="CL43" t="n">
        <x:f>--AND(CL$3&gt;=EDATE($B$41,-'Вводные'!$E$89),CL$3&lt;$B$42,'Вводные'!$B$89="Да")</x:f>
      </x:c>
      <x:c r="CM43" t="n">
        <x:f>--AND(CM$3&gt;=EDATE($B$41,-'Вводные'!$E$89),CM$3&lt;$B$42,'Вводные'!$B$89="Да")</x:f>
      </x:c>
      <x:c r="CN43" t="n">
        <x:f>--AND(CN$3&gt;=EDATE($B$41,-'Вводные'!$E$89),CN$3&lt;$B$42,'Вводные'!$B$89="Да")</x:f>
      </x:c>
      <x:c r="CO43" t="n">
        <x:f>--AND(CO$3&gt;=EDATE($B$41,-'Вводные'!$E$89),CO$3&lt;$B$42,'Вводные'!$B$89="Да")</x:f>
      </x:c>
      <x:c r="CP43" t="n">
        <x:f>--AND(CP$3&gt;=EDATE($B$41,-'Вводные'!$E$89),CP$3&lt;$B$42,'Вводные'!$B$89="Да")</x:f>
      </x:c>
      <x:c r="CQ43" t="n">
        <x:f>--AND(CQ$3&gt;=EDATE($B$41,-'Вводные'!$E$89),CQ$3&lt;$B$42,'Вводные'!$B$89="Да")</x:f>
      </x:c>
      <x:c r="CR43" t="n">
        <x:f>--AND(CR$3&gt;=EDATE($B$41,-'Вводные'!$E$89),CR$3&lt;$B$42,'Вводные'!$B$89="Да")</x:f>
      </x:c>
      <x:c r="CS43" t="n">
        <x:f>--AND(CS$3&gt;=EDATE($B$41,-'Вводные'!$E$89),CS$3&lt;$B$42,'Вводные'!$B$89="Да")</x:f>
      </x:c>
      <x:c r="CT43" t="n">
        <x:f>--AND(CT$3&gt;=EDATE($B$41,-'Вводные'!$E$89),CT$3&lt;$B$42,'Вводные'!$B$89="Да")</x:f>
      </x:c>
      <x:c r="CU43" t="n">
        <x:f>--AND(CU$3&gt;=EDATE($B$41,-'Вводные'!$E$89),CU$3&lt;$B$42,'Вводные'!$B$89="Да")</x:f>
      </x:c>
      <x:c r="CV43" t="n">
        <x:f>--AND(CV$3&gt;=EDATE($B$41,-'Вводные'!$E$89),CV$3&lt;$B$42,'Вводные'!$B$89="Да")</x:f>
      </x:c>
      <x:c r="CW43" t="n">
        <x:f>--AND(CW$3&gt;=EDATE($B$41,-'Вводные'!$E$89),CW$3&lt;$B$42,'Вводные'!$B$89="Да")</x:f>
      </x:c>
      <x:c r="CX43" t="n">
        <x:f>--AND(CX$3&gt;=EDATE($B$41,-'Вводные'!$E$89),CX$3&lt;$B$42,'Вводные'!$B$89="Да")</x:f>
      </x:c>
      <x:c r="CY43" t="n">
        <x:f>--AND(CY$3&gt;=EDATE($B$41,-'Вводные'!$E$89),CY$3&lt;$B$42,'Вводные'!$B$89="Да")</x:f>
      </x:c>
      <x:c r="CZ43" t="n">
        <x:f>--AND(CZ$3&gt;=EDATE($B$41,-'Вводные'!$E$89),CZ$3&lt;$B$42,'Вводные'!$B$89="Да")</x:f>
      </x:c>
      <x:c r="DA43" t="n">
        <x:f>--AND(DA$3&gt;=EDATE($B$41,-'Вводные'!$E$89),DA$3&lt;$B$42,'Вводные'!$B$89="Да")</x:f>
      </x:c>
      <x:c r="DB43" t="n">
        <x:f>--AND(DB$3&gt;=EDATE($B$41,-'Вводные'!$E$89),DB$3&lt;$B$42,'Вводные'!$B$89="Да")</x:f>
      </x:c>
      <x:c r="DC43" t="n">
        <x:f>--AND(DC$3&gt;=EDATE($B$41,-'Вводные'!$E$89),DC$3&lt;$B$42,'Вводные'!$B$89="Да")</x:f>
      </x:c>
      <x:c r="DD43" t="n">
        <x:f>--AND(DD$3&gt;=EDATE($B$41,-'Вводные'!$E$89),DD$3&lt;$B$42,'Вводные'!$B$89="Да")</x:f>
      </x:c>
      <x:c r="DE43" t="n">
        <x:f>--AND(DE$3&gt;=EDATE($B$41,-'Вводные'!$E$89),DE$3&lt;$B$42,'Вводные'!$B$89="Да")</x:f>
      </x:c>
      <x:c r="DF43" t="n">
        <x:f>--AND(DF$3&gt;=EDATE($B$41,-'Вводные'!$E$89),DF$3&lt;$B$42,'Вводные'!$B$89="Да")</x:f>
      </x:c>
      <x:c r="DG43" t="n">
        <x:f>--AND(DG$3&gt;=EDATE($B$41,-'Вводные'!$E$89),DG$3&lt;$B$42,'Вводные'!$B$89="Да")</x:f>
      </x:c>
      <x:c r="DH43" t="n">
        <x:f>--AND(DH$3&gt;=EDATE($B$41,-'Вводные'!$E$89),DH$3&lt;$B$42,'Вводные'!$B$89="Да")</x:f>
      </x:c>
      <x:c r="DI43" t="n">
        <x:f>--AND(DI$3&gt;=EDATE($B$41,-'Вводные'!$E$89),DI$3&lt;$B$42,'Вводные'!$B$89="Да")</x:f>
      </x:c>
      <x:c r="DJ43" t="n">
        <x:f>--AND(DJ$3&gt;=EDATE($B$41,-'Вводные'!$E$89),DJ$3&lt;$B$42,'Вводные'!$B$89="Да")</x:f>
      </x:c>
      <x:c r="DK43" t="n">
        <x:f>--AND(DK$3&gt;=EDATE($B$41,-'Вводные'!$E$89),DK$3&lt;$B$42,'Вводные'!$B$89="Да")</x:f>
      </x:c>
      <x:c r="DL43" t="n">
        <x:f>--AND(DL$3&gt;=EDATE($B$41,-'Вводные'!$E$89),DL$3&lt;$B$42,'Вводные'!$B$89="Да")</x:f>
      </x:c>
      <x:c r="DM43" t="n">
        <x:f>--AND(DM$3&gt;=EDATE($B$41,-'Вводные'!$E$89),DM$3&lt;$B$42,'Вводные'!$B$89="Да")</x:f>
      </x:c>
      <x:c r="DN43" t="n">
        <x:f>--AND(DN$3&gt;=EDATE($B$41,-'Вводные'!$E$89),DN$3&lt;$B$42,'Вводные'!$B$89="Да")</x:f>
      </x:c>
      <x:c r="DO43" t="n">
        <x:f>--AND(DO$3&gt;=EDATE($B$41,-'Вводные'!$E$89),DO$3&lt;$B$42,'Вводные'!$B$89="Да")</x:f>
      </x:c>
      <x:c r="DP43" t="n">
        <x:f>--AND(DP$3&gt;=EDATE($B$41,-'Вводные'!$E$89),DP$3&lt;$B$42,'Вводные'!$B$89="Да")</x:f>
      </x:c>
      <x:c r="DQ43" t="n">
        <x:f>--AND(DQ$3&gt;=EDATE($B$41,-'Вводные'!$E$89),DQ$3&lt;$B$42,'Вводные'!$B$89="Да")</x:f>
      </x:c>
      <x:c r="DR43" t="n">
        <x:f>--AND(DR$3&gt;=EDATE($B$41,-'Вводные'!$E$89),DR$3&lt;$B$42,'Вводные'!$B$89="Да")</x:f>
      </x:c>
      <x:c r="DS43" t="n">
        <x:f>--AND(DS$3&gt;=EDATE($B$41,-'Вводные'!$E$89),DS$3&lt;$B$42,'Вводные'!$B$89="Да")</x:f>
      </x:c>
      <x:c r="DT43" t="n">
        <x:f>--AND(DT$3&gt;=EDATE($B$41,-'Вводные'!$E$89),DT$3&lt;$B$42,'Вводные'!$B$89="Да")</x:f>
      </x:c>
      <x:c r="DU43" t="n">
        <x:f>--AND(DU$3&gt;=EDATE($B$41,-'Вводные'!$E$89),DU$3&lt;$B$42,'Вводные'!$B$89="Да")</x:f>
      </x:c>
      <x:c r="DV43" t="n">
        <x:f>--AND(DV$3&gt;=EDATE($B$41,-'Вводные'!$E$89),DV$3&lt;$B$42,'Вводные'!$B$89="Да")</x:f>
      </x:c>
      <x:c r="DW43" t="n">
        <x:f>--AND(DW$3&gt;=EDATE($B$41,-'Вводные'!$E$89),DW$3&lt;$B$42,'Вводные'!$B$89="Да")</x:f>
      </x:c>
      <x:c r="DX43" t="n">
        <x:f>--AND(DX$3&gt;=EDATE($B$41,-'Вводные'!$E$89),DX$3&lt;$B$42,'Вводные'!$B$89="Да")</x:f>
      </x:c>
      <x:c r="DY43" t="n">
        <x:f>--AND(DY$3&gt;=EDATE($B$41,-'Вводные'!$E$89),DY$3&lt;$B$42,'Вводные'!$B$89="Да")</x:f>
      </x:c>
      <x:c r="DZ43" t="n">
        <x:f>--AND(DZ$3&gt;=EDATE($B$41,-'Вводные'!$E$89),DZ$3&lt;$B$42,'Вводные'!$B$89="Да")</x:f>
      </x:c>
      <x:c r="EA43" t="n">
        <x:f>--AND(EA$3&gt;=EDATE($B$41,-'Вводные'!$E$89),EA$3&lt;$B$42,'Вводные'!$B$89="Да")</x:f>
      </x:c>
      <x:c r="EB43" t="n">
        <x:f>--AND(EB$3&gt;=EDATE($B$41,-'Вводные'!$E$89),EB$3&lt;$B$42,'Вводные'!$B$89="Да")</x:f>
      </x:c>
      <x:c r="EC43" t="n">
        <x:f>--AND(EC$3&gt;=EDATE($B$41,-'Вводные'!$E$89),EC$3&lt;$B$42,'Вводные'!$B$89="Да")</x:f>
      </x:c>
      <x:c r="ED43" t="n">
        <x:f>--AND(ED$3&gt;=EDATE($B$41,-'Вводные'!$E$89),ED$3&lt;$B$42,'Вводные'!$B$89="Да")</x:f>
      </x:c>
      <x:c r="EE43" t="n">
        <x:f>--AND(EE$3&gt;=EDATE($B$41,-'Вводные'!$E$89),EE$3&lt;$B$42,'Вводные'!$B$89="Да")</x:f>
      </x:c>
      <x:c r="EF43" t="n">
        <x:f>--AND(EF$3&gt;=EDATE($B$41,-'Вводные'!$E$89),EF$3&lt;$B$42,'Вводные'!$B$89="Да")</x:f>
      </x:c>
      <x:c r="EG43" t="n">
        <x:f>--AND(EG$3&gt;=EDATE($B$41,-'Вводные'!$E$89),EG$3&lt;$B$42,'Вводные'!$B$89="Да")</x:f>
      </x:c>
      <x:c r="EH43" t="n">
        <x:f>--AND(EH$3&gt;=EDATE($B$41,-'Вводные'!$E$89),EH$3&lt;$B$42,'Вводные'!$B$89="Да")</x:f>
      </x:c>
      <x:c r="EI43" t="n">
        <x:f>--AND(EI$3&gt;=EDATE($B$41,-'Вводные'!$E$89),EI$3&lt;$B$42,'Вводные'!$B$89="Да")</x:f>
      </x:c>
      <x:c r="EJ43" t="n">
        <x:f>--AND(EJ$3&gt;=EDATE($B$41,-'Вводные'!$E$89),EJ$3&lt;$B$42,'Вводные'!$B$89="Да")</x:f>
      </x:c>
      <x:c r="EK43" t="n">
        <x:f>--AND(EK$3&gt;=EDATE($B$41,-'Вводные'!$E$89),EK$3&lt;$B$42,'Вводные'!$B$89="Да")</x:f>
      </x:c>
      <x:c r="EL43" t="n">
        <x:f>--AND(EL$3&gt;=EDATE($B$41,-'Вводные'!$E$89),EL$3&lt;$B$42,'Вводные'!$B$89="Да")</x:f>
      </x:c>
      <x:c r="EM43" t="n">
        <x:f>--AND(EM$3&gt;=EDATE($B$41,-'Вводные'!$E$89),EM$3&lt;$B$42,'Вводные'!$B$89="Да")</x:f>
      </x:c>
      <x:c r="EN43" t="n">
        <x:f>--AND(EN$3&gt;=EDATE($B$41,-'Вводные'!$E$89),EN$3&lt;$B$42,'Вводные'!$B$89="Да")</x:f>
      </x:c>
      <x:c r="EO43" t="n">
        <x:f>--AND(EO$3&gt;=EDATE($B$41,-'Вводные'!$E$89),EO$3&lt;$B$42,'Вводные'!$B$89="Да")</x:f>
      </x:c>
      <x:c r="EP43" t="n">
        <x:f>--AND(EP$3&gt;=EDATE($B$41,-'Вводные'!$E$89),EP$3&lt;$B$42,'Вводные'!$B$89="Да")</x:f>
      </x:c>
      <x:c r="EQ43" t="n">
        <x:f>--AND(EQ$3&gt;=EDATE($B$41,-'Вводные'!$E$89),EQ$3&lt;$B$42,'Вводные'!$B$89="Да")</x:f>
      </x:c>
      <x:c r="ER43" t="n">
        <x:f>--AND(ER$3&gt;=EDATE($B$41,-'Вводные'!$E$89),ER$3&lt;$B$42,'Вводные'!$B$89="Да")</x:f>
      </x:c>
      <x:c r="ES43" t="n">
        <x:f>--AND(ES$3&gt;=EDATE($B$41,-'Вводные'!$E$89),ES$3&lt;$B$42,'Вводные'!$B$89="Да")</x:f>
      </x:c>
      <x:c r="ET43" t="n">
        <x:f>--AND(ET$3&gt;=EDATE($B$41,-'Вводные'!$E$89),ET$3&lt;$B$42,'Вводные'!$B$89="Да")</x:f>
      </x:c>
      <x:c r="EU43" t="n">
        <x:f>--AND(EU$3&gt;=EDATE($B$41,-'Вводные'!$E$89),EU$3&lt;$B$42,'Вводные'!$B$89="Да")</x:f>
      </x:c>
      <x:c r="EV43" t="n">
        <x:f>--AND(EV$3&gt;=EDATE($B$41,-'Вводные'!$E$89),EV$3&lt;$B$42,'Вводные'!$B$89="Да")</x:f>
      </x:c>
      <x:c r="EW43" t="n">
        <x:f>--AND(EW$3&gt;=EDATE($B$41,-'Вводные'!$E$89),EW$3&lt;$B$42,'Вводные'!$B$89="Да")</x:f>
      </x:c>
      <x:c r="EX43" t="n">
        <x:f>--AND(EX$3&gt;=EDATE($B$41,-'Вводные'!$E$89),EX$3&lt;$B$42,'Вводные'!$B$89="Да")</x:f>
      </x:c>
      <x:c r="EY43" t="n">
        <x:f>--AND(EY$3&gt;=EDATE($B$41,-'Вводные'!$E$89),EY$3&lt;$B$42,'Вводные'!$B$89="Да")</x:f>
      </x:c>
      <x:c r="EZ43" t="n">
        <x:f>--AND(EZ$3&gt;=EDATE($B$41,-'Вводные'!$E$89),EZ$3&lt;$B$42,'Вводные'!$B$89="Да")</x:f>
      </x:c>
      <x:c r="FA43" t="n">
        <x:f>--AND(FA$3&gt;=EDATE($B$41,-'Вводные'!$E$89),FA$3&lt;$B$42,'Вводные'!$B$89="Да")</x:f>
      </x:c>
      <x:c r="FB43" t="n">
        <x:f>--AND(FB$3&gt;=EDATE($B$41,-'Вводные'!$E$89),FB$3&lt;$B$42,'Вводные'!$B$89="Да")</x:f>
      </x:c>
      <x:c r="FC43" t="n">
        <x:f>--AND(FC$3&gt;=EDATE($B$41,-'Вводные'!$E$89),FC$3&lt;$B$42,'Вводные'!$B$89="Да")</x:f>
      </x:c>
      <x:c r="FD43" t="n">
        <x:f>--AND(FD$3&gt;=EDATE($B$41,-'Вводные'!$E$89),FD$3&lt;$B$42,'Вводные'!$B$89="Да")</x:f>
      </x:c>
      <x:c r="FE43" t="n">
        <x:f>--AND(FE$3&gt;=EDATE($B$41,-'Вводные'!$E$89),FE$3&lt;$B$42,'Вводные'!$B$89="Да")</x:f>
      </x:c>
      <x:c r="FF43" t="n">
        <x:f>--AND(FF$3&gt;=EDATE($B$41,-'Вводные'!$E$89),FF$3&lt;$B$42,'Вводные'!$B$89="Да")</x:f>
      </x:c>
      <x:c r="FG43" t="n">
        <x:f>--AND(FG$3&gt;=EDATE($B$41,-'Вводные'!$E$89),FG$3&lt;$B$42,'Вводные'!$B$89="Да")</x:f>
      </x:c>
      <x:c r="FH43" t="n">
        <x:f>--AND(FH$3&gt;=EDATE($B$41,-'Вводные'!$E$89),FH$3&lt;$B$42,'Вводные'!$B$89="Да")</x:f>
      </x:c>
      <x:c r="FI43" t="n">
        <x:f>--AND(FI$3&gt;=EDATE($B$41,-'Вводные'!$E$89),FI$3&lt;$B$42,'Вводные'!$B$89="Да")</x:f>
      </x:c>
      <x:c r="FJ43" t="n">
        <x:f>--AND(FJ$3&gt;=EDATE($B$41,-'Вводные'!$E$89),FJ$3&lt;$B$42,'Вводные'!$B$89="Да")</x:f>
      </x:c>
      <x:c r="FK43" t="n">
        <x:f>--AND(FK$3&gt;=EDATE($B$41,-'Вводные'!$E$89),FK$3&lt;$B$42,'Вводные'!$B$89="Да")</x:f>
      </x:c>
      <x:c r="FL43" t="n">
        <x:f>--AND(FL$3&gt;=EDATE($B$41,-'Вводные'!$E$89),FL$3&lt;$B$42,'Вводные'!$B$89="Да")</x:f>
      </x:c>
      <x:c r="FM43" t="n">
        <x:f>--AND(FM$3&gt;=EDATE($B$41,-'Вводные'!$E$89),FM$3&lt;$B$42,'Вводные'!$B$89="Да")</x:f>
      </x:c>
      <x:c r="FN43" t="n">
        <x:f>--AND(FN$3&gt;=EDATE($B$41,-'Вводные'!$E$89),FN$3&lt;$B$42,'Вводные'!$B$89="Да")</x:f>
      </x:c>
      <x:c r="FO43" t="n">
        <x:f>--AND(FO$3&gt;=EDATE($B$41,-'Вводные'!$E$89),FO$3&lt;$B$42,'Вводные'!$B$89="Да")</x:f>
      </x:c>
      <x:c r="FP43" t="n">
        <x:f>--AND(FP$3&gt;=EDATE($B$41,-'Вводные'!$E$89),FP$3&lt;$B$42,'Вводные'!$B$89="Да")</x:f>
      </x:c>
      <x:c r="FQ43" t="n">
        <x:f>--AND(FQ$3&gt;=EDATE($B$41,-'Вводные'!$E$89),FQ$3&lt;$B$42,'Вводные'!$B$89="Да")</x:f>
      </x:c>
      <x:c r="FR43" t="n">
        <x:f>--AND(FR$3&gt;=EDATE($B$41,-'Вводные'!$E$89),FR$3&lt;$B$42,'Вводные'!$B$89="Да")</x:f>
      </x:c>
      <x:c r="FS43" t="n">
        <x:f>--AND(FS$3&gt;=EDATE($B$41,-'Вводные'!$E$89),FS$3&lt;$B$42,'Вводные'!$B$89="Да")</x:f>
      </x:c>
      <x:c r="FT43" t="n">
        <x:f>--AND(FT$3&gt;=EDATE($B$41,-'Вводные'!$E$89),FT$3&lt;$B$42,'Вводные'!$B$89="Да")</x:f>
      </x:c>
      <x:c r="FU43" t="n">
        <x:f>--AND(FU$3&gt;=EDATE($B$41,-'Вводные'!$E$89),FU$3&lt;$B$42,'Вводные'!$B$89="Да")</x:f>
      </x:c>
      <x:c r="FV43" t="n">
        <x:f>--AND(FV$3&gt;=EDATE($B$41,-'Вводные'!$E$89),FV$3&lt;$B$42,'Вводные'!$B$89="Да")</x:f>
      </x:c>
      <x:c r="FW43" t="n">
        <x:f>--AND(FW$3&gt;=EDATE($B$41,-'Вводные'!$E$89),FW$3&lt;$B$42,'Вводные'!$B$89="Да")</x:f>
      </x:c>
      <x:c r="FX43" t="n">
        <x:f>--AND(FX$3&gt;=EDATE($B$41,-'Вводные'!$E$89),FX$3&lt;$B$42,'Вводные'!$B$89="Да")</x:f>
      </x:c>
      <x:c r="FY43" t="n">
        <x:f>--AND(FY$3&gt;=EDATE($B$41,-'Вводные'!$E$89),FY$3&lt;$B$42,'Вводные'!$B$89="Да")</x:f>
      </x:c>
      <x:c r="FZ43" t="n">
        <x:f>--AND(FZ$3&gt;=EDATE($B$41,-'Вводные'!$E$89),FZ$3&lt;$B$42,'Вводные'!$B$89="Да")</x:f>
      </x:c>
      <x:c r="GA43" t="n">
        <x:f>--AND(GA$3&gt;=EDATE($B$41,-'Вводные'!$E$89),GA$3&lt;$B$42,'Вводные'!$B$89="Да")</x:f>
      </x:c>
    </x:row>
    <x:row r="44">
      <x:c r="A44" t="str">
        <x:v>Нормированный вес проекта</x:v>
      </x:c>
      <x:c r="B44"/>
      <x:c r="C44" t="str">
        <x:v>%</x:v>
      </x:c>
      <x:c r="D44" s="35" t="n">
        <x:f>IFERROR(D43/SUM($D43:$GA43),0)</x:f>
      </x:c>
      <x:c r="E44" s="35" t="n">
        <x:f>IFERROR(E43/SUM($D43:$GA43),0)</x:f>
      </x:c>
      <x:c r="F44" s="35" t="n">
        <x:f>IFERROR(F43/SUM($D43:$GA43),0)</x:f>
      </x:c>
      <x:c r="G44" s="35" t="n">
        <x:f>IFERROR(G43/SUM($D43:$GA43),0)</x:f>
      </x:c>
      <x:c r="H44" s="35" t="n">
        <x:f>IFERROR(H43/SUM($D43:$GA43),0)</x:f>
      </x:c>
      <x:c r="I44" s="35" t="n">
        <x:f>IFERROR(I43/SUM($D43:$GA43),0)</x:f>
      </x:c>
      <x:c r="J44" s="35" t="n">
        <x:f>IFERROR(J43/SUM($D43:$GA43),0)</x:f>
      </x:c>
      <x:c r="K44" s="35" t="n">
        <x:f>IFERROR(K43/SUM($D43:$GA43),0)</x:f>
      </x:c>
      <x:c r="L44" s="35" t="n">
        <x:f>IFERROR(L43/SUM($D43:$GA43),0)</x:f>
      </x:c>
      <x:c r="M44" s="35" t="n">
        <x:f>IFERROR(M43/SUM($D43:$GA43),0)</x:f>
      </x:c>
      <x:c r="N44" s="35" t="n">
        <x:f>IFERROR(N43/SUM($D43:$GA43),0)</x:f>
      </x:c>
      <x:c r="O44" s="35" t="n">
        <x:f>IFERROR(O43/SUM($D43:$GA43),0)</x:f>
      </x:c>
      <x:c r="P44" s="35" t="n">
        <x:f>IFERROR(P43/SUM($D43:$GA43),0)</x:f>
      </x:c>
      <x:c r="Q44" s="35" t="n">
        <x:f>IFERROR(Q43/SUM($D43:$GA43),0)</x:f>
      </x:c>
      <x:c r="R44" s="35" t="n">
        <x:f>IFERROR(R43/SUM($D43:$GA43),0)</x:f>
      </x:c>
      <x:c r="S44" s="35" t="n">
        <x:f>IFERROR(S43/SUM($D43:$GA43),0)</x:f>
      </x:c>
      <x:c r="T44" s="35" t="n">
        <x:f>IFERROR(T43/SUM($D43:$GA43),0)</x:f>
      </x:c>
      <x:c r="U44" s="35" t="n">
        <x:f>IFERROR(U43/SUM($D43:$GA43),0)</x:f>
      </x:c>
      <x:c r="V44" s="35" t="n">
        <x:f>IFERROR(V43/SUM($D43:$GA43),0)</x:f>
      </x:c>
      <x:c r="W44" s="35" t="n">
        <x:f>IFERROR(W43/SUM($D43:$GA43),0)</x:f>
      </x:c>
      <x:c r="X44" s="35" t="n">
        <x:f>IFERROR(X43/SUM($D43:$GA43),0)</x:f>
      </x:c>
      <x:c r="Y44" s="35" t="n">
        <x:f>IFERROR(Y43/SUM($D43:$GA43),0)</x:f>
      </x:c>
      <x:c r="Z44" s="35" t="n">
        <x:f>IFERROR(Z43/SUM($D43:$GA43),0)</x:f>
      </x:c>
      <x:c r="AA44" s="35" t="n">
        <x:f>IFERROR(AA43/SUM($D43:$GA43),0)</x:f>
      </x:c>
      <x:c r="AB44" s="35" t="n">
        <x:f>IFERROR(AB43/SUM($D43:$GA43),0)</x:f>
      </x:c>
      <x:c r="AC44" s="35" t="n">
        <x:f>IFERROR(AC43/SUM($D43:$GA43),0)</x:f>
      </x:c>
      <x:c r="AD44" s="35" t="n">
        <x:f>IFERROR(AD43/SUM($D43:$GA43),0)</x:f>
      </x:c>
      <x:c r="AE44" s="35" t="n">
        <x:f>IFERROR(AE43/SUM($D43:$GA43),0)</x:f>
      </x:c>
      <x:c r="AF44" s="35" t="n">
        <x:f>IFERROR(AF43/SUM($D43:$GA43),0)</x:f>
      </x:c>
      <x:c r="AG44" s="35" t="n">
        <x:f>IFERROR(AG43/SUM($D43:$GA43),0)</x:f>
      </x:c>
      <x:c r="AH44" s="35" t="n">
        <x:f>IFERROR(AH43/SUM($D43:$GA43),0)</x:f>
      </x:c>
      <x:c r="AI44" s="35" t="n">
        <x:f>IFERROR(AI43/SUM($D43:$GA43),0)</x:f>
      </x:c>
      <x:c r="AJ44" s="35" t="n">
        <x:f>IFERROR(AJ43/SUM($D43:$GA43),0)</x:f>
      </x:c>
      <x:c r="AK44" s="35" t="n">
        <x:f>IFERROR(AK43/SUM($D43:$GA43),0)</x:f>
      </x:c>
      <x:c r="AL44" s="35" t="n">
        <x:f>IFERROR(AL43/SUM($D43:$GA43),0)</x:f>
      </x:c>
      <x:c r="AM44" s="35" t="n">
        <x:f>IFERROR(AM43/SUM($D43:$GA43),0)</x:f>
      </x:c>
      <x:c r="AN44" s="35" t="n">
        <x:f>IFERROR(AN43/SUM($D43:$GA43),0)</x:f>
      </x:c>
      <x:c r="AO44" s="35" t="n">
        <x:f>IFERROR(AO43/SUM($D43:$GA43),0)</x:f>
      </x:c>
      <x:c r="AP44" s="35" t="n">
        <x:f>IFERROR(AP43/SUM($D43:$GA43),0)</x:f>
      </x:c>
      <x:c r="AQ44" s="35" t="n">
        <x:f>IFERROR(AQ43/SUM($D43:$GA43),0)</x:f>
      </x:c>
      <x:c r="AR44" s="35" t="n">
        <x:f>IFERROR(AR43/SUM($D43:$GA43),0)</x:f>
      </x:c>
      <x:c r="AS44" s="35" t="n">
        <x:f>IFERROR(AS43/SUM($D43:$GA43),0)</x:f>
      </x:c>
      <x:c r="AT44" s="35" t="n">
        <x:f>IFERROR(AT43/SUM($D43:$GA43),0)</x:f>
      </x:c>
      <x:c r="AU44" s="35" t="n">
        <x:f>IFERROR(AU43/SUM($D43:$GA43),0)</x:f>
      </x:c>
      <x:c r="AV44" s="35" t="n">
        <x:f>IFERROR(AV43/SUM($D43:$GA43),0)</x:f>
      </x:c>
      <x:c r="AW44" s="35" t="n">
        <x:f>IFERROR(AW43/SUM($D43:$GA43),0)</x:f>
      </x:c>
      <x:c r="AX44" s="35" t="n">
        <x:f>IFERROR(AX43/SUM($D43:$GA43),0)</x:f>
      </x:c>
      <x:c r="AY44" s="35" t="n">
        <x:f>IFERROR(AY43/SUM($D43:$GA43),0)</x:f>
      </x:c>
      <x:c r="AZ44" s="35" t="n">
        <x:f>IFERROR(AZ43/SUM($D43:$GA43),0)</x:f>
      </x:c>
      <x:c r="BA44" s="35" t="n">
        <x:f>IFERROR(BA43/SUM($D43:$GA43),0)</x:f>
      </x:c>
      <x:c r="BB44" s="35" t="n">
        <x:f>IFERROR(BB43/SUM($D43:$GA43),0)</x:f>
      </x:c>
      <x:c r="BC44" s="35" t="n">
        <x:f>IFERROR(BC43/SUM($D43:$GA43),0)</x:f>
      </x:c>
      <x:c r="BD44" s="35" t="n">
        <x:f>IFERROR(BD43/SUM($D43:$GA43),0)</x:f>
      </x:c>
      <x:c r="BE44" s="35" t="n">
        <x:f>IFERROR(BE43/SUM($D43:$GA43),0)</x:f>
      </x:c>
      <x:c r="BF44" s="35" t="n">
        <x:f>IFERROR(BF43/SUM($D43:$GA43),0)</x:f>
      </x:c>
      <x:c r="BG44" s="35" t="n">
        <x:f>IFERROR(BG43/SUM($D43:$GA43),0)</x:f>
      </x:c>
      <x:c r="BH44" s="35" t="n">
        <x:f>IFERROR(BH43/SUM($D43:$GA43),0)</x:f>
      </x:c>
      <x:c r="BI44" s="35" t="n">
        <x:f>IFERROR(BI43/SUM($D43:$GA43),0)</x:f>
      </x:c>
      <x:c r="BJ44" s="35" t="n">
        <x:f>IFERROR(BJ43/SUM($D43:$GA43),0)</x:f>
      </x:c>
      <x:c r="BK44" s="35" t="n">
        <x:f>IFERROR(BK43/SUM($D43:$GA43),0)</x:f>
      </x:c>
      <x:c r="BL44" s="35" t="n">
        <x:f>IFERROR(BL43/SUM($D43:$GA43),0)</x:f>
      </x:c>
      <x:c r="BM44" s="35" t="n">
        <x:f>IFERROR(BM43/SUM($D43:$GA43),0)</x:f>
      </x:c>
      <x:c r="BN44" s="35" t="n">
        <x:f>IFERROR(BN43/SUM($D43:$GA43),0)</x:f>
      </x:c>
      <x:c r="BO44" s="35" t="n">
        <x:f>IFERROR(BO43/SUM($D43:$GA43),0)</x:f>
      </x:c>
      <x:c r="BP44" s="35" t="n">
        <x:f>IFERROR(BP43/SUM($D43:$GA43),0)</x:f>
      </x:c>
      <x:c r="BQ44" s="35" t="n">
        <x:f>IFERROR(BQ43/SUM($D43:$GA43),0)</x:f>
      </x:c>
      <x:c r="BR44" s="35" t="n">
        <x:f>IFERROR(BR43/SUM($D43:$GA43),0)</x:f>
      </x:c>
      <x:c r="BS44" s="35" t="n">
        <x:f>IFERROR(BS43/SUM($D43:$GA43),0)</x:f>
      </x:c>
      <x:c r="BT44" s="35" t="n">
        <x:f>IFERROR(BT43/SUM($D43:$GA43),0)</x:f>
      </x:c>
      <x:c r="BU44" s="35" t="n">
        <x:f>IFERROR(BU43/SUM($D43:$GA43),0)</x:f>
      </x:c>
      <x:c r="BV44" s="35" t="n">
        <x:f>IFERROR(BV43/SUM($D43:$GA43),0)</x:f>
      </x:c>
      <x:c r="BW44" s="35" t="n">
        <x:f>IFERROR(BW43/SUM($D43:$GA43),0)</x:f>
      </x:c>
      <x:c r="BX44" s="35" t="n">
        <x:f>IFERROR(BX43/SUM($D43:$GA43),0)</x:f>
      </x:c>
      <x:c r="BY44" s="35" t="n">
        <x:f>IFERROR(BY43/SUM($D43:$GA43),0)</x:f>
      </x:c>
      <x:c r="BZ44" s="35" t="n">
        <x:f>IFERROR(BZ43/SUM($D43:$GA43),0)</x:f>
      </x:c>
      <x:c r="CA44" s="35" t="n">
        <x:f>IFERROR(CA43/SUM($D43:$GA43),0)</x:f>
      </x:c>
      <x:c r="CB44" s="35" t="n">
        <x:f>IFERROR(CB43/SUM($D43:$GA43),0)</x:f>
      </x:c>
      <x:c r="CC44" s="35" t="n">
        <x:f>IFERROR(CC43/SUM($D43:$GA43),0)</x:f>
      </x:c>
      <x:c r="CD44" s="35" t="n">
        <x:f>IFERROR(CD43/SUM($D43:$GA43),0)</x:f>
      </x:c>
      <x:c r="CE44" s="35" t="n">
        <x:f>IFERROR(CE43/SUM($D43:$GA43),0)</x:f>
      </x:c>
      <x:c r="CF44" s="35" t="n">
        <x:f>IFERROR(CF43/SUM($D43:$GA43),0)</x:f>
      </x:c>
      <x:c r="CG44" s="35" t="n">
        <x:f>IFERROR(CG43/SUM($D43:$GA43),0)</x:f>
      </x:c>
      <x:c r="CH44" s="35" t="n">
        <x:f>IFERROR(CH43/SUM($D43:$GA43),0)</x:f>
      </x:c>
      <x:c r="CI44" s="35" t="n">
        <x:f>IFERROR(CI43/SUM($D43:$GA43),0)</x:f>
      </x:c>
      <x:c r="CJ44" s="35" t="n">
        <x:f>IFERROR(CJ43/SUM($D43:$GA43),0)</x:f>
      </x:c>
      <x:c r="CK44" s="35" t="n">
        <x:f>IFERROR(CK43/SUM($D43:$GA43),0)</x:f>
      </x:c>
      <x:c r="CL44" s="35" t="n">
        <x:f>IFERROR(CL43/SUM($D43:$GA43),0)</x:f>
      </x:c>
      <x:c r="CM44" s="35" t="n">
        <x:f>IFERROR(CM43/SUM($D43:$GA43),0)</x:f>
      </x:c>
      <x:c r="CN44" s="35" t="n">
        <x:f>IFERROR(CN43/SUM($D43:$GA43),0)</x:f>
      </x:c>
      <x:c r="CO44" s="35" t="n">
        <x:f>IFERROR(CO43/SUM($D43:$GA43),0)</x:f>
      </x:c>
      <x:c r="CP44" s="35" t="n">
        <x:f>IFERROR(CP43/SUM($D43:$GA43),0)</x:f>
      </x:c>
      <x:c r="CQ44" s="35" t="n">
        <x:f>IFERROR(CQ43/SUM($D43:$GA43),0)</x:f>
      </x:c>
      <x:c r="CR44" s="35" t="n">
        <x:f>IFERROR(CR43/SUM($D43:$GA43),0)</x:f>
      </x:c>
      <x:c r="CS44" s="35" t="n">
        <x:f>IFERROR(CS43/SUM($D43:$GA43),0)</x:f>
      </x:c>
      <x:c r="CT44" s="35" t="n">
        <x:f>IFERROR(CT43/SUM($D43:$GA43),0)</x:f>
      </x:c>
      <x:c r="CU44" s="35" t="n">
        <x:f>IFERROR(CU43/SUM($D43:$GA43),0)</x:f>
      </x:c>
      <x:c r="CV44" s="35" t="n">
        <x:f>IFERROR(CV43/SUM($D43:$GA43),0)</x:f>
      </x:c>
      <x:c r="CW44" s="35" t="n">
        <x:f>IFERROR(CW43/SUM($D43:$GA43),0)</x:f>
      </x:c>
      <x:c r="CX44" s="35" t="n">
        <x:f>IFERROR(CX43/SUM($D43:$GA43),0)</x:f>
      </x:c>
      <x:c r="CY44" s="35" t="n">
        <x:f>IFERROR(CY43/SUM($D43:$GA43),0)</x:f>
      </x:c>
      <x:c r="CZ44" s="35" t="n">
        <x:f>IFERROR(CZ43/SUM($D43:$GA43),0)</x:f>
      </x:c>
      <x:c r="DA44" s="35" t="n">
        <x:f>IFERROR(DA43/SUM($D43:$GA43),0)</x:f>
      </x:c>
      <x:c r="DB44" s="35" t="n">
        <x:f>IFERROR(DB43/SUM($D43:$GA43),0)</x:f>
      </x:c>
      <x:c r="DC44" s="35" t="n">
        <x:f>IFERROR(DC43/SUM($D43:$GA43),0)</x:f>
      </x:c>
      <x:c r="DD44" s="35" t="n">
        <x:f>IFERROR(DD43/SUM($D43:$GA43),0)</x:f>
      </x:c>
      <x:c r="DE44" s="35" t="n">
        <x:f>IFERROR(DE43/SUM($D43:$GA43),0)</x:f>
      </x:c>
      <x:c r="DF44" s="35" t="n">
        <x:f>IFERROR(DF43/SUM($D43:$GA43),0)</x:f>
      </x:c>
      <x:c r="DG44" s="35" t="n">
        <x:f>IFERROR(DG43/SUM($D43:$GA43),0)</x:f>
      </x:c>
      <x:c r="DH44" s="35" t="n">
        <x:f>IFERROR(DH43/SUM($D43:$GA43),0)</x:f>
      </x:c>
      <x:c r="DI44" s="35" t="n">
        <x:f>IFERROR(DI43/SUM($D43:$GA43),0)</x:f>
      </x:c>
      <x:c r="DJ44" s="35" t="n">
        <x:f>IFERROR(DJ43/SUM($D43:$GA43),0)</x:f>
      </x:c>
      <x:c r="DK44" s="35" t="n">
        <x:f>IFERROR(DK43/SUM($D43:$GA43),0)</x:f>
      </x:c>
      <x:c r="DL44" s="35" t="n">
        <x:f>IFERROR(DL43/SUM($D43:$GA43),0)</x:f>
      </x:c>
      <x:c r="DM44" s="35" t="n">
        <x:f>IFERROR(DM43/SUM($D43:$GA43),0)</x:f>
      </x:c>
      <x:c r="DN44" s="35" t="n">
        <x:f>IFERROR(DN43/SUM($D43:$GA43),0)</x:f>
      </x:c>
      <x:c r="DO44" s="35" t="n">
        <x:f>IFERROR(DO43/SUM($D43:$GA43),0)</x:f>
      </x:c>
      <x:c r="DP44" s="35" t="n">
        <x:f>IFERROR(DP43/SUM($D43:$GA43),0)</x:f>
      </x:c>
      <x:c r="DQ44" s="35" t="n">
        <x:f>IFERROR(DQ43/SUM($D43:$GA43),0)</x:f>
      </x:c>
      <x:c r="DR44" s="35" t="n">
        <x:f>IFERROR(DR43/SUM($D43:$GA43),0)</x:f>
      </x:c>
      <x:c r="DS44" s="35" t="n">
        <x:f>IFERROR(DS43/SUM($D43:$GA43),0)</x:f>
      </x:c>
      <x:c r="DT44" s="35" t="n">
        <x:f>IFERROR(DT43/SUM($D43:$GA43),0)</x:f>
      </x:c>
      <x:c r="DU44" s="35" t="n">
        <x:f>IFERROR(DU43/SUM($D43:$GA43),0)</x:f>
      </x:c>
      <x:c r="DV44" s="35" t="n">
        <x:f>IFERROR(DV43/SUM($D43:$GA43),0)</x:f>
      </x:c>
      <x:c r="DW44" s="35" t="n">
        <x:f>IFERROR(DW43/SUM($D43:$GA43),0)</x:f>
      </x:c>
      <x:c r="DX44" s="35" t="n">
        <x:f>IFERROR(DX43/SUM($D43:$GA43),0)</x:f>
      </x:c>
      <x:c r="DY44" s="35" t="n">
        <x:f>IFERROR(DY43/SUM($D43:$GA43),0)</x:f>
      </x:c>
      <x:c r="DZ44" s="35" t="n">
        <x:f>IFERROR(DZ43/SUM($D43:$GA43),0)</x:f>
      </x:c>
      <x:c r="EA44" s="35" t="n">
        <x:f>IFERROR(EA43/SUM($D43:$GA43),0)</x:f>
      </x:c>
      <x:c r="EB44" s="35" t="n">
        <x:f>IFERROR(EB43/SUM($D43:$GA43),0)</x:f>
      </x:c>
      <x:c r="EC44" s="35" t="n">
        <x:f>IFERROR(EC43/SUM($D43:$GA43),0)</x:f>
      </x:c>
      <x:c r="ED44" s="35" t="n">
        <x:f>IFERROR(ED43/SUM($D43:$GA43),0)</x:f>
      </x:c>
      <x:c r="EE44" s="35" t="n">
        <x:f>IFERROR(EE43/SUM($D43:$GA43),0)</x:f>
      </x:c>
      <x:c r="EF44" s="35" t="n">
        <x:f>IFERROR(EF43/SUM($D43:$GA43),0)</x:f>
      </x:c>
      <x:c r="EG44" s="35" t="n">
        <x:f>IFERROR(EG43/SUM($D43:$GA43),0)</x:f>
      </x:c>
      <x:c r="EH44" s="35" t="n">
        <x:f>IFERROR(EH43/SUM($D43:$GA43),0)</x:f>
      </x:c>
      <x:c r="EI44" s="35" t="n">
        <x:f>IFERROR(EI43/SUM($D43:$GA43),0)</x:f>
      </x:c>
      <x:c r="EJ44" s="35" t="n">
        <x:f>IFERROR(EJ43/SUM($D43:$GA43),0)</x:f>
      </x:c>
      <x:c r="EK44" s="35" t="n">
        <x:f>IFERROR(EK43/SUM($D43:$GA43),0)</x:f>
      </x:c>
      <x:c r="EL44" s="35" t="n">
        <x:f>IFERROR(EL43/SUM($D43:$GA43),0)</x:f>
      </x:c>
      <x:c r="EM44" s="35" t="n">
        <x:f>IFERROR(EM43/SUM($D43:$GA43),0)</x:f>
      </x:c>
      <x:c r="EN44" s="35" t="n">
        <x:f>IFERROR(EN43/SUM($D43:$GA43),0)</x:f>
      </x:c>
      <x:c r="EO44" s="35" t="n">
        <x:f>IFERROR(EO43/SUM($D43:$GA43),0)</x:f>
      </x:c>
      <x:c r="EP44" s="35" t="n">
        <x:f>IFERROR(EP43/SUM($D43:$GA43),0)</x:f>
      </x:c>
      <x:c r="EQ44" s="35" t="n">
        <x:f>IFERROR(EQ43/SUM($D43:$GA43),0)</x:f>
      </x:c>
      <x:c r="ER44" s="35" t="n">
        <x:f>IFERROR(ER43/SUM($D43:$GA43),0)</x:f>
      </x:c>
      <x:c r="ES44" s="35" t="n">
        <x:f>IFERROR(ES43/SUM($D43:$GA43),0)</x:f>
      </x:c>
      <x:c r="ET44" s="35" t="n">
        <x:f>IFERROR(ET43/SUM($D43:$GA43),0)</x:f>
      </x:c>
      <x:c r="EU44" s="35" t="n">
        <x:f>IFERROR(EU43/SUM($D43:$GA43),0)</x:f>
      </x:c>
      <x:c r="EV44" s="35" t="n">
        <x:f>IFERROR(EV43/SUM($D43:$GA43),0)</x:f>
      </x:c>
      <x:c r="EW44" s="35" t="n">
        <x:f>IFERROR(EW43/SUM($D43:$GA43),0)</x:f>
      </x:c>
      <x:c r="EX44" s="35" t="n">
        <x:f>IFERROR(EX43/SUM($D43:$GA43),0)</x:f>
      </x:c>
      <x:c r="EY44" s="35" t="n">
        <x:f>IFERROR(EY43/SUM($D43:$GA43),0)</x:f>
      </x:c>
      <x:c r="EZ44" s="35" t="n">
        <x:f>IFERROR(EZ43/SUM($D43:$GA43),0)</x:f>
      </x:c>
      <x:c r="FA44" s="35" t="n">
        <x:f>IFERROR(FA43/SUM($D43:$GA43),0)</x:f>
      </x:c>
      <x:c r="FB44" s="35" t="n">
        <x:f>IFERROR(FB43/SUM($D43:$GA43),0)</x:f>
      </x:c>
      <x:c r="FC44" s="35" t="n">
        <x:f>IFERROR(FC43/SUM($D43:$GA43),0)</x:f>
      </x:c>
      <x:c r="FD44" s="35" t="n">
        <x:f>IFERROR(FD43/SUM($D43:$GA43),0)</x:f>
      </x:c>
      <x:c r="FE44" s="35" t="n">
        <x:f>IFERROR(FE43/SUM($D43:$GA43),0)</x:f>
      </x:c>
      <x:c r="FF44" s="35" t="n">
        <x:f>IFERROR(FF43/SUM($D43:$GA43),0)</x:f>
      </x:c>
      <x:c r="FG44" s="35" t="n">
        <x:f>IFERROR(FG43/SUM($D43:$GA43),0)</x:f>
      </x:c>
      <x:c r="FH44" s="35" t="n">
        <x:f>IFERROR(FH43/SUM($D43:$GA43),0)</x:f>
      </x:c>
      <x:c r="FI44" s="35" t="n">
        <x:f>IFERROR(FI43/SUM($D43:$GA43),0)</x:f>
      </x:c>
      <x:c r="FJ44" s="35" t="n">
        <x:f>IFERROR(FJ43/SUM($D43:$GA43),0)</x:f>
      </x:c>
      <x:c r="FK44" s="35" t="n">
        <x:f>IFERROR(FK43/SUM($D43:$GA43),0)</x:f>
      </x:c>
      <x:c r="FL44" s="35" t="n">
        <x:f>IFERROR(FL43/SUM($D43:$GA43),0)</x:f>
      </x:c>
      <x:c r="FM44" s="35" t="n">
        <x:f>IFERROR(FM43/SUM($D43:$GA43),0)</x:f>
      </x:c>
      <x:c r="FN44" s="35" t="n">
        <x:f>IFERROR(FN43/SUM($D43:$GA43),0)</x:f>
      </x:c>
      <x:c r="FO44" s="35" t="n">
        <x:f>IFERROR(FO43/SUM($D43:$GA43),0)</x:f>
      </x:c>
      <x:c r="FP44" s="35" t="n">
        <x:f>IFERROR(FP43/SUM($D43:$GA43),0)</x:f>
      </x:c>
      <x:c r="FQ44" s="35" t="n">
        <x:f>IFERROR(FQ43/SUM($D43:$GA43),0)</x:f>
      </x:c>
      <x:c r="FR44" s="35" t="n">
        <x:f>IFERROR(FR43/SUM($D43:$GA43),0)</x:f>
      </x:c>
      <x:c r="FS44" s="35" t="n">
        <x:f>IFERROR(FS43/SUM($D43:$GA43),0)</x:f>
      </x:c>
      <x:c r="FT44" s="35" t="n">
        <x:f>IFERROR(FT43/SUM($D43:$GA43),0)</x:f>
      </x:c>
      <x:c r="FU44" s="35" t="n">
        <x:f>IFERROR(FU43/SUM($D43:$GA43),0)</x:f>
      </x:c>
      <x:c r="FV44" s="35" t="n">
        <x:f>IFERROR(FV43/SUM($D43:$GA43),0)</x:f>
      </x:c>
      <x:c r="FW44" s="35" t="n">
        <x:f>IFERROR(FW43/SUM($D43:$GA43),0)</x:f>
      </x:c>
      <x:c r="FX44" s="35" t="n">
        <x:f>IFERROR(FX43/SUM($D43:$GA43),0)</x:f>
      </x:c>
      <x:c r="FY44" s="35" t="n">
        <x:f>IFERROR(FY43/SUM($D43:$GA43),0)</x:f>
      </x:c>
      <x:c r="FZ44" s="35" t="n">
        <x:f>IFERROR(FZ43/SUM($D43:$GA43),0)</x:f>
      </x:c>
      <x:c r="GA44" s="35" t="n">
        <x:f>IFERROR(GA43/SUM($D43:$GA43),0)</x:f>
      </x:c>
    </x:row>
    <x:row r="45">
      <x:c r="A45" t="str">
        <x:v>Флаг строительства</x:v>
      </x:c>
      <x:c r="B45"/>
      <x:c r="C45" t="str">
        <x:v>0/1</x:v>
      </x:c>
      <x:c r="D45" s="35" t="n">
        <x:f>--AND(D$3&gt;=$B$41,D$3&lt;$B$42,'Вводные'!$B$89="Да")</x:f>
      </x:c>
      <x:c r="E45" s="35" t="n">
        <x:f>--AND(E$3&gt;=$B$41,E$3&lt;$B$42,'Вводные'!$B$89="Да")</x:f>
      </x:c>
      <x:c r="F45" s="35" t="n">
        <x:f>--AND(F$3&gt;=$B$41,F$3&lt;$B$42,'Вводные'!$B$89="Да")</x:f>
      </x:c>
      <x:c r="G45" s="35" t="n">
        <x:f>--AND(G$3&gt;=$B$41,G$3&lt;$B$42,'Вводные'!$B$89="Да")</x:f>
      </x:c>
      <x:c r="H45" s="35" t="n">
        <x:f>--AND(H$3&gt;=$B$41,H$3&lt;$B$42,'Вводные'!$B$89="Да")</x:f>
      </x:c>
      <x:c r="I45" s="35" t="n">
        <x:f>--AND(I$3&gt;=$B$41,I$3&lt;$B$42,'Вводные'!$B$89="Да")</x:f>
      </x:c>
      <x:c r="J45" s="35" t="n">
        <x:f>--AND(J$3&gt;=$B$41,J$3&lt;$B$42,'Вводные'!$B$89="Да")</x:f>
      </x:c>
      <x:c r="K45" s="35" t="n">
        <x:f>--AND(K$3&gt;=$B$41,K$3&lt;$B$42,'Вводные'!$B$89="Да")</x:f>
      </x:c>
      <x:c r="L45" s="35" t="n">
        <x:f>--AND(L$3&gt;=$B$41,L$3&lt;$B$42,'Вводные'!$B$89="Да")</x:f>
      </x:c>
      <x:c r="M45" s="35" t="n">
        <x:f>--AND(M$3&gt;=$B$41,M$3&lt;$B$42,'Вводные'!$B$89="Да")</x:f>
      </x:c>
      <x:c r="N45" s="35" t="n">
        <x:f>--AND(N$3&gt;=$B$41,N$3&lt;$B$42,'Вводные'!$B$89="Да")</x:f>
      </x:c>
      <x:c r="O45" s="35" t="n">
        <x:f>--AND(O$3&gt;=$B$41,O$3&lt;$B$42,'Вводные'!$B$89="Да")</x:f>
      </x:c>
      <x:c r="P45" s="35" t="n">
        <x:f>--AND(P$3&gt;=$B$41,P$3&lt;$B$42,'Вводные'!$B$89="Да")</x:f>
      </x:c>
      <x:c r="Q45" s="35" t="n">
        <x:f>--AND(Q$3&gt;=$B$41,Q$3&lt;$B$42,'Вводные'!$B$89="Да")</x:f>
      </x:c>
      <x:c r="R45" s="35" t="n">
        <x:f>--AND(R$3&gt;=$B$41,R$3&lt;$B$42,'Вводные'!$B$89="Да")</x:f>
      </x:c>
      <x:c r="S45" s="35" t="n">
        <x:f>--AND(S$3&gt;=$B$41,S$3&lt;$B$42,'Вводные'!$B$89="Да")</x:f>
      </x:c>
      <x:c r="T45" s="35" t="n">
        <x:f>--AND(T$3&gt;=$B$41,T$3&lt;$B$42,'Вводные'!$B$89="Да")</x:f>
      </x:c>
      <x:c r="U45" s="35" t="n">
        <x:f>--AND(U$3&gt;=$B$41,U$3&lt;$B$42,'Вводные'!$B$89="Да")</x:f>
      </x:c>
      <x:c r="V45" s="35" t="n">
        <x:f>--AND(V$3&gt;=$B$41,V$3&lt;$B$42,'Вводные'!$B$89="Да")</x:f>
      </x:c>
      <x:c r="W45" s="35" t="n">
        <x:f>--AND(W$3&gt;=$B$41,W$3&lt;$B$42,'Вводные'!$B$89="Да")</x:f>
      </x:c>
      <x:c r="X45" s="35" t="n">
        <x:f>--AND(X$3&gt;=$B$41,X$3&lt;$B$42,'Вводные'!$B$89="Да")</x:f>
      </x:c>
      <x:c r="Y45" s="35" t="n">
        <x:f>--AND(Y$3&gt;=$B$41,Y$3&lt;$B$42,'Вводные'!$B$89="Да")</x:f>
      </x:c>
      <x:c r="Z45" s="35" t="n">
        <x:f>--AND(Z$3&gt;=$B$41,Z$3&lt;$B$42,'Вводные'!$B$89="Да")</x:f>
      </x:c>
      <x:c r="AA45" s="35" t="n">
        <x:f>--AND(AA$3&gt;=$B$41,AA$3&lt;$B$42,'Вводные'!$B$89="Да")</x:f>
      </x:c>
      <x:c r="AB45" s="35" t="n">
        <x:f>--AND(AB$3&gt;=$B$41,AB$3&lt;$B$42,'Вводные'!$B$89="Да")</x:f>
      </x:c>
      <x:c r="AC45" s="35" t="n">
        <x:f>--AND(AC$3&gt;=$B$41,AC$3&lt;$B$42,'Вводные'!$B$89="Да")</x:f>
      </x:c>
      <x:c r="AD45" s="35" t="n">
        <x:f>--AND(AD$3&gt;=$B$41,AD$3&lt;$B$42,'Вводные'!$B$89="Да")</x:f>
      </x:c>
      <x:c r="AE45" s="35" t="n">
        <x:f>--AND(AE$3&gt;=$B$41,AE$3&lt;$B$42,'Вводные'!$B$89="Да")</x:f>
      </x:c>
      <x:c r="AF45" s="35" t="n">
        <x:f>--AND(AF$3&gt;=$B$41,AF$3&lt;$B$42,'Вводные'!$B$89="Да")</x:f>
      </x:c>
      <x:c r="AG45" s="35" t="n">
        <x:f>--AND(AG$3&gt;=$B$41,AG$3&lt;$B$42,'Вводные'!$B$89="Да")</x:f>
      </x:c>
      <x:c r="AH45" s="35" t="n">
        <x:f>--AND(AH$3&gt;=$B$41,AH$3&lt;$B$42,'Вводные'!$B$89="Да")</x:f>
      </x:c>
      <x:c r="AI45" s="35" t="n">
        <x:f>--AND(AI$3&gt;=$B$41,AI$3&lt;$B$42,'Вводные'!$B$89="Да")</x:f>
      </x:c>
      <x:c r="AJ45" s="35" t="n">
        <x:f>--AND(AJ$3&gt;=$B$41,AJ$3&lt;$B$42,'Вводные'!$B$89="Да")</x:f>
      </x:c>
      <x:c r="AK45" s="35" t="n">
        <x:f>--AND(AK$3&gt;=$B$41,AK$3&lt;$B$42,'Вводные'!$B$89="Да")</x:f>
      </x:c>
      <x:c r="AL45" s="35" t="n">
        <x:f>--AND(AL$3&gt;=$B$41,AL$3&lt;$B$42,'Вводные'!$B$89="Да")</x:f>
      </x:c>
      <x:c r="AM45" s="35" t="n">
        <x:f>--AND(AM$3&gt;=$B$41,AM$3&lt;$B$42,'Вводные'!$B$89="Да")</x:f>
      </x:c>
      <x:c r="AN45" s="35" t="n">
        <x:f>--AND(AN$3&gt;=$B$41,AN$3&lt;$B$42,'Вводные'!$B$89="Да")</x:f>
      </x:c>
      <x:c r="AO45" s="35" t="n">
        <x:f>--AND(AO$3&gt;=$B$41,AO$3&lt;$B$42,'Вводные'!$B$89="Да")</x:f>
      </x:c>
      <x:c r="AP45" s="35" t="n">
        <x:f>--AND(AP$3&gt;=$B$41,AP$3&lt;$B$42,'Вводные'!$B$89="Да")</x:f>
      </x:c>
      <x:c r="AQ45" s="35" t="n">
        <x:f>--AND(AQ$3&gt;=$B$41,AQ$3&lt;$B$42,'Вводные'!$B$89="Да")</x:f>
      </x:c>
      <x:c r="AR45" s="35" t="n">
        <x:f>--AND(AR$3&gt;=$B$41,AR$3&lt;$B$42,'Вводные'!$B$89="Да")</x:f>
      </x:c>
      <x:c r="AS45" s="35" t="n">
        <x:f>--AND(AS$3&gt;=$B$41,AS$3&lt;$B$42,'Вводные'!$B$89="Да")</x:f>
      </x:c>
      <x:c r="AT45" s="35" t="n">
        <x:f>--AND(AT$3&gt;=$B$41,AT$3&lt;$B$42,'Вводные'!$B$89="Да")</x:f>
      </x:c>
      <x:c r="AU45" s="35" t="n">
        <x:f>--AND(AU$3&gt;=$B$41,AU$3&lt;$B$42,'Вводные'!$B$89="Да")</x:f>
      </x:c>
      <x:c r="AV45" s="35" t="n">
        <x:f>--AND(AV$3&gt;=$B$41,AV$3&lt;$B$42,'Вводные'!$B$89="Да")</x:f>
      </x:c>
      <x:c r="AW45" s="35" t="n">
        <x:f>--AND(AW$3&gt;=$B$41,AW$3&lt;$B$42,'Вводные'!$B$89="Да")</x:f>
      </x:c>
      <x:c r="AX45" s="35" t="n">
        <x:f>--AND(AX$3&gt;=$B$41,AX$3&lt;$B$42,'Вводные'!$B$89="Да")</x:f>
      </x:c>
      <x:c r="AY45" s="35" t="n">
        <x:f>--AND(AY$3&gt;=$B$41,AY$3&lt;$B$42,'Вводные'!$B$89="Да")</x:f>
      </x:c>
      <x:c r="AZ45" s="35" t="n">
        <x:f>--AND(AZ$3&gt;=$B$41,AZ$3&lt;$B$42,'Вводные'!$B$89="Да")</x:f>
      </x:c>
      <x:c r="BA45" s="35" t="n">
        <x:f>--AND(BA$3&gt;=$B$41,BA$3&lt;$B$42,'Вводные'!$B$89="Да")</x:f>
      </x:c>
      <x:c r="BB45" s="35" t="n">
        <x:f>--AND(BB$3&gt;=$B$41,BB$3&lt;$B$42,'Вводные'!$B$89="Да")</x:f>
      </x:c>
      <x:c r="BC45" s="35" t="n">
        <x:f>--AND(BC$3&gt;=$B$41,BC$3&lt;$B$42,'Вводные'!$B$89="Да")</x:f>
      </x:c>
      <x:c r="BD45" s="35" t="n">
        <x:f>--AND(BD$3&gt;=$B$41,BD$3&lt;$B$42,'Вводные'!$B$89="Да")</x:f>
      </x:c>
      <x:c r="BE45" s="35" t="n">
        <x:f>--AND(BE$3&gt;=$B$41,BE$3&lt;$B$42,'Вводные'!$B$89="Да")</x:f>
      </x:c>
      <x:c r="BF45" s="35" t="n">
        <x:f>--AND(BF$3&gt;=$B$41,BF$3&lt;$B$42,'Вводные'!$B$89="Да")</x:f>
      </x:c>
      <x:c r="BG45" s="35" t="n">
        <x:f>--AND(BG$3&gt;=$B$41,BG$3&lt;$B$42,'Вводные'!$B$89="Да")</x:f>
      </x:c>
      <x:c r="BH45" s="35" t="n">
        <x:f>--AND(BH$3&gt;=$B$41,BH$3&lt;$B$42,'Вводные'!$B$89="Да")</x:f>
      </x:c>
      <x:c r="BI45" s="35" t="n">
        <x:f>--AND(BI$3&gt;=$B$41,BI$3&lt;$B$42,'Вводные'!$B$89="Да")</x:f>
      </x:c>
      <x:c r="BJ45" s="35" t="n">
        <x:f>--AND(BJ$3&gt;=$B$41,BJ$3&lt;$B$42,'Вводные'!$B$89="Да")</x:f>
      </x:c>
      <x:c r="BK45" s="35" t="n">
        <x:f>--AND(BK$3&gt;=$B$41,BK$3&lt;$B$42,'Вводные'!$B$89="Да")</x:f>
      </x:c>
      <x:c r="BL45" s="35" t="n">
        <x:f>--AND(BL$3&gt;=$B$41,BL$3&lt;$B$42,'Вводные'!$B$89="Да")</x:f>
      </x:c>
      <x:c r="BM45" s="35" t="n">
        <x:f>--AND(BM$3&gt;=$B$41,BM$3&lt;$B$42,'Вводные'!$B$89="Да")</x:f>
      </x:c>
      <x:c r="BN45" s="35" t="n">
        <x:f>--AND(BN$3&gt;=$B$41,BN$3&lt;$B$42,'Вводные'!$B$89="Да")</x:f>
      </x:c>
      <x:c r="BO45" s="35" t="n">
        <x:f>--AND(BO$3&gt;=$B$41,BO$3&lt;$B$42,'Вводные'!$B$89="Да")</x:f>
      </x:c>
      <x:c r="BP45" s="35" t="n">
        <x:f>--AND(BP$3&gt;=$B$41,BP$3&lt;$B$42,'Вводные'!$B$89="Да")</x:f>
      </x:c>
      <x:c r="BQ45" s="35" t="n">
        <x:f>--AND(BQ$3&gt;=$B$41,BQ$3&lt;$B$42,'Вводные'!$B$89="Да")</x:f>
      </x:c>
      <x:c r="BR45" s="35" t="n">
        <x:f>--AND(BR$3&gt;=$B$41,BR$3&lt;$B$42,'Вводные'!$B$89="Да")</x:f>
      </x:c>
      <x:c r="BS45" s="35" t="n">
        <x:f>--AND(BS$3&gt;=$B$41,BS$3&lt;$B$42,'Вводные'!$B$89="Да")</x:f>
      </x:c>
      <x:c r="BT45" s="35" t="n">
        <x:f>--AND(BT$3&gt;=$B$41,BT$3&lt;$B$42,'Вводные'!$B$89="Да")</x:f>
      </x:c>
      <x:c r="BU45" s="35" t="n">
        <x:f>--AND(BU$3&gt;=$B$41,BU$3&lt;$B$42,'Вводные'!$B$89="Да")</x:f>
      </x:c>
      <x:c r="BV45" s="35" t="n">
        <x:f>--AND(BV$3&gt;=$B$41,BV$3&lt;$B$42,'Вводные'!$B$89="Да")</x:f>
      </x:c>
      <x:c r="BW45" s="35" t="n">
        <x:f>--AND(BW$3&gt;=$B$41,BW$3&lt;$B$42,'Вводные'!$B$89="Да")</x:f>
      </x:c>
      <x:c r="BX45" s="35" t="n">
        <x:f>--AND(BX$3&gt;=$B$41,BX$3&lt;$B$42,'Вводные'!$B$89="Да")</x:f>
      </x:c>
      <x:c r="BY45" s="35" t="n">
        <x:f>--AND(BY$3&gt;=$B$41,BY$3&lt;$B$42,'Вводные'!$B$89="Да")</x:f>
      </x:c>
      <x:c r="BZ45" s="35" t="n">
        <x:f>--AND(BZ$3&gt;=$B$41,BZ$3&lt;$B$42,'Вводные'!$B$89="Да")</x:f>
      </x:c>
      <x:c r="CA45" s="35" t="n">
        <x:f>--AND(CA$3&gt;=$B$41,CA$3&lt;$B$42,'Вводные'!$B$89="Да")</x:f>
      </x:c>
      <x:c r="CB45" s="35" t="n">
        <x:f>--AND(CB$3&gt;=$B$41,CB$3&lt;$B$42,'Вводные'!$B$89="Да")</x:f>
      </x:c>
      <x:c r="CC45" s="35" t="n">
        <x:f>--AND(CC$3&gt;=$B$41,CC$3&lt;$B$42,'Вводные'!$B$89="Да")</x:f>
      </x:c>
      <x:c r="CD45" s="35" t="n">
        <x:f>--AND(CD$3&gt;=$B$41,CD$3&lt;$B$42,'Вводные'!$B$89="Да")</x:f>
      </x:c>
      <x:c r="CE45" s="35" t="n">
        <x:f>--AND(CE$3&gt;=$B$41,CE$3&lt;$B$42,'Вводные'!$B$89="Да")</x:f>
      </x:c>
      <x:c r="CF45" s="35" t="n">
        <x:f>--AND(CF$3&gt;=$B$41,CF$3&lt;$B$42,'Вводные'!$B$89="Да")</x:f>
      </x:c>
      <x:c r="CG45" s="35" t="n">
        <x:f>--AND(CG$3&gt;=$B$41,CG$3&lt;$B$42,'Вводные'!$B$89="Да")</x:f>
      </x:c>
      <x:c r="CH45" s="35" t="n">
        <x:f>--AND(CH$3&gt;=$B$41,CH$3&lt;$B$42,'Вводные'!$B$89="Да")</x:f>
      </x:c>
      <x:c r="CI45" s="35" t="n">
        <x:f>--AND(CI$3&gt;=$B$41,CI$3&lt;$B$42,'Вводные'!$B$89="Да")</x:f>
      </x:c>
      <x:c r="CJ45" s="35" t="n">
        <x:f>--AND(CJ$3&gt;=$B$41,CJ$3&lt;$B$42,'Вводные'!$B$89="Да")</x:f>
      </x:c>
      <x:c r="CK45" s="35" t="n">
        <x:f>--AND(CK$3&gt;=$B$41,CK$3&lt;$B$42,'Вводные'!$B$89="Да")</x:f>
      </x:c>
      <x:c r="CL45" s="35" t="n">
        <x:f>--AND(CL$3&gt;=$B$41,CL$3&lt;$B$42,'Вводные'!$B$89="Да")</x:f>
      </x:c>
      <x:c r="CM45" s="35" t="n">
        <x:f>--AND(CM$3&gt;=$B$41,CM$3&lt;$B$42,'Вводные'!$B$89="Да")</x:f>
      </x:c>
      <x:c r="CN45" s="35" t="n">
        <x:f>--AND(CN$3&gt;=$B$41,CN$3&lt;$B$42,'Вводные'!$B$89="Да")</x:f>
      </x:c>
      <x:c r="CO45" s="35" t="n">
        <x:f>--AND(CO$3&gt;=$B$41,CO$3&lt;$B$42,'Вводные'!$B$89="Да")</x:f>
      </x:c>
      <x:c r="CP45" s="35" t="n">
        <x:f>--AND(CP$3&gt;=$B$41,CP$3&lt;$B$42,'Вводные'!$B$89="Да")</x:f>
      </x:c>
      <x:c r="CQ45" s="35" t="n">
        <x:f>--AND(CQ$3&gt;=$B$41,CQ$3&lt;$B$42,'Вводные'!$B$89="Да")</x:f>
      </x:c>
      <x:c r="CR45" s="35" t="n">
        <x:f>--AND(CR$3&gt;=$B$41,CR$3&lt;$B$42,'Вводные'!$B$89="Да")</x:f>
      </x:c>
      <x:c r="CS45" s="35" t="n">
        <x:f>--AND(CS$3&gt;=$B$41,CS$3&lt;$B$42,'Вводные'!$B$89="Да")</x:f>
      </x:c>
      <x:c r="CT45" s="35" t="n">
        <x:f>--AND(CT$3&gt;=$B$41,CT$3&lt;$B$42,'Вводные'!$B$89="Да")</x:f>
      </x:c>
      <x:c r="CU45" s="35" t="n">
        <x:f>--AND(CU$3&gt;=$B$41,CU$3&lt;$B$42,'Вводные'!$B$89="Да")</x:f>
      </x:c>
      <x:c r="CV45" s="35" t="n">
        <x:f>--AND(CV$3&gt;=$B$41,CV$3&lt;$B$42,'Вводные'!$B$89="Да")</x:f>
      </x:c>
      <x:c r="CW45" s="35" t="n">
        <x:f>--AND(CW$3&gt;=$B$41,CW$3&lt;$B$42,'Вводные'!$B$89="Да")</x:f>
      </x:c>
      <x:c r="CX45" s="35" t="n">
        <x:f>--AND(CX$3&gt;=$B$41,CX$3&lt;$B$42,'Вводные'!$B$89="Да")</x:f>
      </x:c>
      <x:c r="CY45" s="35" t="n">
        <x:f>--AND(CY$3&gt;=$B$41,CY$3&lt;$B$42,'Вводные'!$B$89="Да")</x:f>
      </x:c>
      <x:c r="CZ45" s="35" t="n">
        <x:f>--AND(CZ$3&gt;=$B$41,CZ$3&lt;$B$42,'Вводные'!$B$89="Да")</x:f>
      </x:c>
      <x:c r="DA45" s="35" t="n">
        <x:f>--AND(DA$3&gt;=$B$41,DA$3&lt;$B$42,'Вводные'!$B$89="Да")</x:f>
      </x:c>
      <x:c r="DB45" s="35" t="n">
        <x:f>--AND(DB$3&gt;=$B$41,DB$3&lt;$B$42,'Вводные'!$B$89="Да")</x:f>
      </x:c>
      <x:c r="DC45" s="35" t="n">
        <x:f>--AND(DC$3&gt;=$B$41,DC$3&lt;$B$42,'Вводные'!$B$89="Да")</x:f>
      </x:c>
      <x:c r="DD45" s="35" t="n">
        <x:f>--AND(DD$3&gt;=$B$41,DD$3&lt;$B$42,'Вводные'!$B$89="Да")</x:f>
      </x:c>
      <x:c r="DE45" s="35" t="n">
        <x:f>--AND(DE$3&gt;=$B$41,DE$3&lt;$B$42,'Вводные'!$B$89="Да")</x:f>
      </x:c>
      <x:c r="DF45" s="35" t="n">
        <x:f>--AND(DF$3&gt;=$B$41,DF$3&lt;$B$42,'Вводные'!$B$89="Да")</x:f>
      </x:c>
      <x:c r="DG45" s="35" t="n">
        <x:f>--AND(DG$3&gt;=$B$41,DG$3&lt;$B$42,'Вводные'!$B$89="Да")</x:f>
      </x:c>
      <x:c r="DH45" s="35" t="n">
        <x:f>--AND(DH$3&gt;=$B$41,DH$3&lt;$B$42,'Вводные'!$B$89="Да")</x:f>
      </x:c>
      <x:c r="DI45" s="35" t="n">
        <x:f>--AND(DI$3&gt;=$B$41,DI$3&lt;$B$42,'Вводные'!$B$89="Да")</x:f>
      </x:c>
      <x:c r="DJ45" s="35" t="n">
        <x:f>--AND(DJ$3&gt;=$B$41,DJ$3&lt;$B$42,'Вводные'!$B$89="Да")</x:f>
      </x:c>
      <x:c r="DK45" s="35" t="n">
        <x:f>--AND(DK$3&gt;=$B$41,DK$3&lt;$B$42,'Вводные'!$B$89="Да")</x:f>
      </x:c>
      <x:c r="DL45" s="35" t="n">
        <x:f>--AND(DL$3&gt;=$B$41,DL$3&lt;$B$42,'Вводные'!$B$89="Да")</x:f>
      </x:c>
      <x:c r="DM45" s="35" t="n">
        <x:f>--AND(DM$3&gt;=$B$41,DM$3&lt;$B$42,'Вводные'!$B$89="Да")</x:f>
      </x:c>
      <x:c r="DN45" s="35" t="n">
        <x:f>--AND(DN$3&gt;=$B$41,DN$3&lt;$B$42,'Вводные'!$B$89="Да")</x:f>
      </x:c>
      <x:c r="DO45" s="35" t="n">
        <x:f>--AND(DO$3&gt;=$B$41,DO$3&lt;$B$42,'Вводные'!$B$89="Да")</x:f>
      </x:c>
      <x:c r="DP45" s="35" t="n">
        <x:f>--AND(DP$3&gt;=$B$41,DP$3&lt;$B$42,'Вводные'!$B$89="Да")</x:f>
      </x:c>
      <x:c r="DQ45" s="35" t="n">
        <x:f>--AND(DQ$3&gt;=$B$41,DQ$3&lt;$B$42,'Вводные'!$B$89="Да")</x:f>
      </x:c>
      <x:c r="DR45" s="35" t="n">
        <x:f>--AND(DR$3&gt;=$B$41,DR$3&lt;$B$42,'Вводные'!$B$89="Да")</x:f>
      </x:c>
      <x:c r="DS45" s="35" t="n">
        <x:f>--AND(DS$3&gt;=$B$41,DS$3&lt;$B$42,'Вводные'!$B$89="Да")</x:f>
      </x:c>
      <x:c r="DT45" s="35" t="n">
        <x:f>--AND(DT$3&gt;=$B$41,DT$3&lt;$B$42,'Вводные'!$B$89="Да")</x:f>
      </x:c>
      <x:c r="DU45" s="35" t="n">
        <x:f>--AND(DU$3&gt;=$B$41,DU$3&lt;$B$42,'Вводные'!$B$89="Да")</x:f>
      </x:c>
      <x:c r="DV45" s="35" t="n">
        <x:f>--AND(DV$3&gt;=$B$41,DV$3&lt;$B$42,'Вводные'!$B$89="Да")</x:f>
      </x:c>
      <x:c r="DW45" s="35" t="n">
        <x:f>--AND(DW$3&gt;=$B$41,DW$3&lt;$B$42,'Вводные'!$B$89="Да")</x:f>
      </x:c>
      <x:c r="DX45" s="35" t="n">
        <x:f>--AND(DX$3&gt;=$B$41,DX$3&lt;$B$42,'Вводные'!$B$89="Да")</x:f>
      </x:c>
      <x:c r="DY45" s="35" t="n">
        <x:f>--AND(DY$3&gt;=$B$41,DY$3&lt;$B$42,'Вводные'!$B$89="Да")</x:f>
      </x:c>
      <x:c r="DZ45" s="35" t="n">
        <x:f>--AND(DZ$3&gt;=$B$41,DZ$3&lt;$B$42,'Вводные'!$B$89="Да")</x:f>
      </x:c>
      <x:c r="EA45" s="35" t="n">
        <x:f>--AND(EA$3&gt;=$B$41,EA$3&lt;$B$42,'Вводные'!$B$89="Да")</x:f>
      </x:c>
      <x:c r="EB45" s="35" t="n">
        <x:f>--AND(EB$3&gt;=$B$41,EB$3&lt;$B$42,'Вводные'!$B$89="Да")</x:f>
      </x:c>
      <x:c r="EC45" s="35" t="n">
        <x:f>--AND(EC$3&gt;=$B$41,EC$3&lt;$B$42,'Вводные'!$B$89="Да")</x:f>
      </x:c>
      <x:c r="ED45" s="35" t="n">
        <x:f>--AND(ED$3&gt;=$B$41,ED$3&lt;$B$42,'Вводные'!$B$89="Да")</x:f>
      </x:c>
      <x:c r="EE45" s="35" t="n">
        <x:f>--AND(EE$3&gt;=$B$41,EE$3&lt;$B$42,'Вводные'!$B$89="Да")</x:f>
      </x:c>
      <x:c r="EF45" s="35" t="n">
        <x:f>--AND(EF$3&gt;=$B$41,EF$3&lt;$B$42,'Вводные'!$B$89="Да")</x:f>
      </x:c>
      <x:c r="EG45" s="35" t="n">
        <x:f>--AND(EG$3&gt;=$B$41,EG$3&lt;$B$42,'Вводные'!$B$89="Да")</x:f>
      </x:c>
      <x:c r="EH45" s="35" t="n">
        <x:f>--AND(EH$3&gt;=$B$41,EH$3&lt;$B$42,'Вводные'!$B$89="Да")</x:f>
      </x:c>
      <x:c r="EI45" s="35" t="n">
        <x:f>--AND(EI$3&gt;=$B$41,EI$3&lt;$B$42,'Вводные'!$B$89="Да")</x:f>
      </x:c>
      <x:c r="EJ45" s="35" t="n">
        <x:f>--AND(EJ$3&gt;=$B$41,EJ$3&lt;$B$42,'Вводные'!$B$89="Да")</x:f>
      </x:c>
      <x:c r="EK45" s="35" t="n">
        <x:f>--AND(EK$3&gt;=$B$41,EK$3&lt;$B$42,'Вводные'!$B$89="Да")</x:f>
      </x:c>
      <x:c r="EL45" s="35" t="n">
        <x:f>--AND(EL$3&gt;=$B$41,EL$3&lt;$B$42,'Вводные'!$B$89="Да")</x:f>
      </x:c>
      <x:c r="EM45" s="35" t="n">
        <x:f>--AND(EM$3&gt;=$B$41,EM$3&lt;$B$42,'Вводные'!$B$89="Да")</x:f>
      </x:c>
      <x:c r="EN45" s="35" t="n">
        <x:f>--AND(EN$3&gt;=$B$41,EN$3&lt;$B$42,'Вводные'!$B$89="Да")</x:f>
      </x:c>
      <x:c r="EO45" s="35" t="n">
        <x:f>--AND(EO$3&gt;=$B$41,EO$3&lt;$B$42,'Вводные'!$B$89="Да")</x:f>
      </x:c>
      <x:c r="EP45" s="35" t="n">
        <x:f>--AND(EP$3&gt;=$B$41,EP$3&lt;$B$42,'Вводные'!$B$89="Да")</x:f>
      </x:c>
      <x:c r="EQ45" s="35" t="n">
        <x:f>--AND(EQ$3&gt;=$B$41,EQ$3&lt;$B$42,'Вводные'!$B$89="Да")</x:f>
      </x:c>
      <x:c r="ER45" s="35" t="n">
        <x:f>--AND(ER$3&gt;=$B$41,ER$3&lt;$B$42,'Вводные'!$B$89="Да")</x:f>
      </x:c>
      <x:c r="ES45" s="35" t="n">
        <x:f>--AND(ES$3&gt;=$B$41,ES$3&lt;$B$42,'Вводные'!$B$89="Да")</x:f>
      </x:c>
      <x:c r="ET45" s="35" t="n">
        <x:f>--AND(ET$3&gt;=$B$41,ET$3&lt;$B$42,'Вводные'!$B$89="Да")</x:f>
      </x:c>
      <x:c r="EU45" s="35" t="n">
        <x:f>--AND(EU$3&gt;=$B$41,EU$3&lt;$B$42,'Вводные'!$B$89="Да")</x:f>
      </x:c>
      <x:c r="EV45" s="35" t="n">
        <x:f>--AND(EV$3&gt;=$B$41,EV$3&lt;$B$42,'Вводные'!$B$89="Да")</x:f>
      </x:c>
      <x:c r="EW45" s="35" t="n">
        <x:f>--AND(EW$3&gt;=$B$41,EW$3&lt;$B$42,'Вводные'!$B$89="Да")</x:f>
      </x:c>
      <x:c r="EX45" s="35" t="n">
        <x:f>--AND(EX$3&gt;=$B$41,EX$3&lt;$B$42,'Вводные'!$B$89="Да")</x:f>
      </x:c>
      <x:c r="EY45" s="35" t="n">
        <x:f>--AND(EY$3&gt;=$B$41,EY$3&lt;$B$42,'Вводные'!$B$89="Да")</x:f>
      </x:c>
      <x:c r="EZ45" s="35" t="n">
        <x:f>--AND(EZ$3&gt;=$B$41,EZ$3&lt;$B$42,'Вводные'!$B$89="Да")</x:f>
      </x:c>
      <x:c r="FA45" s="35" t="n">
        <x:f>--AND(FA$3&gt;=$B$41,FA$3&lt;$B$42,'Вводные'!$B$89="Да")</x:f>
      </x:c>
      <x:c r="FB45" s="35" t="n">
        <x:f>--AND(FB$3&gt;=$B$41,FB$3&lt;$B$42,'Вводные'!$B$89="Да")</x:f>
      </x:c>
      <x:c r="FC45" s="35" t="n">
        <x:f>--AND(FC$3&gt;=$B$41,FC$3&lt;$B$42,'Вводные'!$B$89="Да")</x:f>
      </x:c>
      <x:c r="FD45" s="35" t="n">
        <x:f>--AND(FD$3&gt;=$B$41,FD$3&lt;$B$42,'Вводные'!$B$89="Да")</x:f>
      </x:c>
      <x:c r="FE45" s="35" t="n">
        <x:f>--AND(FE$3&gt;=$B$41,FE$3&lt;$B$42,'Вводные'!$B$89="Да")</x:f>
      </x:c>
      <x:c r="FF45" s="35" t="n">
        <x:f>--AND(FF$3&gt;=$B$41,FF$3&lt;$B$42,'Вводные'!$B$89="Да")</x:f>
      </x:c>
      <x:c r="FG45" s="35" t="n">
        <x:f>--AND(FG$3&gt;=$B$41,FG$3&lt;$B$42,'Вводные'!$B$89="Да")</x:f>
      </x:c>
      <x:c r="FH45" s="35" t="n">
        <x:f>--AND(FH$3&gt;=$B$41,FH$3&lt;$B$42,'Вводные'!$B$89="Да")</x:f>
      </x:c>
      <x:c r="FI45" s="35" t="n">
        <x:f>--AND(FI$3&gt;=$B$41,FI$3&lt;$B$42,'Вводные'!$B$89="Да")</x:f>
      </x:c>
      <x:c r="FJ45" s="35" t="n">
        <x:f>--AND(FJ$3&gt;=$B$41,FJ$3&lt;$B$42,'Вводные'!$B$89="Да")</x:f>
      </x:c>
      <x:c r="FK45" s="35" t="n">
        <x:f>--AND(FK$3&gt;=$B$41,FK$3&lt;$B$42,'Вводные'!$B$89="Да")</x:f>
      </x:c>
      <x:c r="FL45" s="35" t="n">
        <x:f>--AND(FL$3&gt;=$B$41,FL$3&lt;$B$42,'Вводные'!$B$89="Да")</x:f>
      </x:c>
      <x:c r="FM45" s="35" t="n">
        <x:f>--AND(FM$3&gt;=$B$41,FM$3&lt;$B$42,'Вводные'!$B$89="Да")</x:f>
      </x:c>
      <x:c r="FN45" s="35" t="n">
        <x:f>--AND(FN$3&gt;=$B$41,FN$3&lt;$B$42,'Вводные'!$B$89="Да")</x:f>
      </x:c>
      <x:c r="FO45" s="35" t="n">
        <x:f>--AND(FO$3&gt;=$B$41,FO$3&lt;$B$42,'Вводные'!$B$89="Да")</x:f>
      </x:c>
      <x:c r="FP45" s="35" t="n">
        <x:f>--AND(FP$3&gt;=$B$41,FP$3&lt;$B$42,'Вводные'!$B$89="Да")</x:f>
      </x:c>
      <x:c r="FQ45" s="35" t="n">
        <x:f>--AND(FQ$3&gt;=$B$41,FQ$3&lt;$B$42,'Вводные'!$B$89="Да")</x:f>
      </x:c>
      <x:c r="FR45" s="35" t="n">
        <x:f>--AND(FR$3&gt;=$B$41,FR$3&lt;$B$42,'Вводные'!$B$89="Да")</x:f>
      </x:c>
      <x:c r="FS45" s="35" t="n">
        <x:f>--AND(FS$3&gt;=$B$41,FS$3&lt;$B$42,'Вводные'!$B$89="Да")</x:f>
      </x:c>
      <x:c r="FT45" s="35" t="n">
        <x:f>--AND(FT$3&gt;=$B$41,FT$3&lt;$B$42,'Вводные'!$B$89="Да")</x:f>
      </x:c>
      <x:c r="FU45" s="35" t="n">
        <x:f>--AND(FU$3&gt;=$B$41,FU$3&lt;$B$42,'Вводные'!$B$89="Да")</x:f>
      </x:c>
      <x:c r="FV45" s="35" t="n">
        <x:f>--AND(FV$3&gt;=$B$41,FV$3&lt;$B$42,'Вводные'!$B$89="Да")</x:f>
      </x:c>
      <x:c r="FW45" s="35" t="n">
        <x:f>--AND(FW$3&gt;=$B$41,FW$3&lt;$B$42,'Вводные'!$B$89="Да")</x:f>
      </x:c>
      <x:c r="FX45" s="35" t="n">
        <x:f>--AND(FX$3&gt;=$B$41,FX$3&lt;$B$42,'Вводные'!$B$89="Да")</x:f>
      </x:c>
      <x:c r="FY45" s="35" t="n">
        <x:f>--AND(FY$3&gt;=$B$41,FY$3&lt;$B$42,'Вводные'!$B$89="Да")</x:f>
      </x:c>
      <x:c r="FZ45" s="35" t="n">
        <x:f>--AND(FZ$3&gt;=$B$41,FZ$3&lt;$B$42,'Вводные'!$B$89="Да")</x:f>
      </x:c>
      <x:c r="GA45" s="35" t="n">
        <x:f>--AND(GA$3&gt;=$B$41,GA$3&lt;$B$42,'Вводные'!$B$89="Да")</x:f>
      </x:c>
    </x:row>
    <x:row r="46">
      <x:c r="A46" t="str">
        <x:v>Вес S-кривой</x:v>
      </x:c>
      <x:c r="B46"/>
      <x:c r="C46" t="str">
        <x:v>вес</x:v>
      </x:c>
      <x:c r="D46" s="35" t="n">
        <x:f>IF(D45=0,0,IF((12*(YEAR(D$3)-YEAR($B$41))+MONTH(D$3)-MONTH($B$41)+1)/MAX(1,'Вводные'!$F$89)&lt;=0.2,0.6,IF((12*(YEAR(D$3)-YEAR($B$41))+MONTH(D$3)-MONTH($B$41)+1)/MAX(1,'Вводные'!$F$89)&lt;=0.8,1.2,0.8)))</x:f>
      </x:c>
      <x:c r="E46" s="35" t="n">
        <x:f>IF(E45=0,0,IF((12*(YEAR(E$3)-YEAR($B$41))+MONTH(E$3)-MONTH($B$41)+1)/MAX(1,'Вводные'!$F$89)&lt;=0.2,0.6,IF((12*(YEAR(E$3)-YEAR($B$41))+MONTH(E$3)-MONTH($B$41)+1)/MAX(1,'Вводные'!$F$89)&lt;=0.8,1.2,0.8)))</x:f>
      </x:c>
      <x:c r="F46" s="35" t="n">
        <x:f>IF(F45=0,0,IF((12*(YEAR(F$3)-YEAR($B$41))+MONTH(F$3)-MONTH($B$41)+1)/MAX(1,'Вводные'!$F$89)&lt;=0.2,0.6,IF((12*(YEAR(F$3)-YEAR($B$41))+MONTH(F$3)-MONTH($B$41)+1)/MAX(1,'Вводные'!$F$89)&lt;=0.8,1.2,0.8)))</x:f>
      </x:c>
      <x:c r="G46" s="35" t="n">
        <x:f>IF(G45=0,0,IF((12*(YEAR(G$3)-YEAR($B$41))+MONTH(G$3)-MONTH($B$41)+1)/MAX(1,'Вводные'!$F$89)&lt;=0.2,0.6,IF((12*(YEAR(G$3)-YEAR($B$41))+MONTH(G$3)-MONTH($B$41)+1)/MAX(1,'Вводные'!$F$89)&lt;=0.8,1.2,0.8)))</x:f>
      </x:c>
      <x:c r="H46" s="35" t="n">
        <x:f>IF(H45=0,0,IF((12*(YEAR(H$3)-YEAR($B$41))+MONTH(H$3)-MONTH($B$41)+1)/MAX(1,'Вводные'!$F$89)&lt;=0.2,0.6,IF((12*(YEAR(H$3)-YEAR($B$41))+MONTH(H$3)-MONTH($B$41)+1)/MAX(1,'Вводные'!$F$89)&lt;=0.8,1.2,0.8)))</x:f>
      </x:c>
      <x:c r="I46" s="35" t="n">
        <x:f>IF(I45=0,0,IF((12*(YEAR(I$3)-YEAR($B$41))+MONTH(I$3)-MONTH($B$41)+1)/MAX(1,'Вводные'!$F$89)&lt;=0.2,0.6,IF((12*(YEAR(I$3)-YEAR($B$41))+MONTH(I$3)-MONTH($B$41)+1)/MAX(1,'Вводные'!$F$89)&lt;=0.8,1.2,0.8)))</x:f>
      </x:c>
      <x:c r="J46" s="35" t="n">
        <x:f>IF(J45=0,0,IF((12*(YEAR(J$3)-YEAR($B$41))+MONTH(J$3)-MONTH($B$41)+1)/MAX(1,'Вводные'!$F$89)&lt;=0.2,0.6,IF((12*(YEAR(J$3)-YEAR($B$41))+MONTH(J$3)-MONTH($B$41)+1)/MAX(1,'Вводные'!$F$89)&lt;=0.8,1.2,0.8)))</x:f>
      </x:c>
      <x:c r="K46" s="35" t="n">
        <x:f>IF(K45=0,0,IF((12*(YEAR(K$3)-YEAR($B$41))+MONTH(K$3)-MONTH($B$41)+1)/MAX(1,'Вводные'!$F$89)&lt;=0.2,0.6,IF((12*(YEAR(K$3)-YEAR($B$41))+MONTH(K$3)-MONTH($B$41)+1)/MAX(1,'Вводные'!$F$89)&lt;=0.8,1.2,0.8)))</x:f>
      </x:c>
      <x:c r="L46" s="35" t="n">
        <x:f>IF(L45=0,0,IF((12*(YEAR(L$3)-YEAR($B$41))+MONTH(L$3)-MONTH($B$41)+1)/MAX(1,'Вводные'!$F$89)&lt;=0.2,0.6,IF((12*(YEAR(L$3)-YEAR($B$41))+MONTH(L$3)-MONTH($B$41)+1)/MAX(1,'Вводные'!$F$89)&lt;=0.8,1.2,0.8)))</x:f>
      </x:c>
      <x:c r="M46" s="35" t="n">
        <x:f>IF(M45=0,0,IF((12*(YEAR(M$3)-YEAR($B$41))+MONTH(M$3)-MONTH($B$41)+1)/MAX(1,'Вводные'!$F$89)&lt;=0.2,0.6,IF((12*(YEAR(M$3)-YEAR($B$41))+MONTH(M$3)-MONTH($B$41)+1)/MAX(1,'Вводные'!$F$89)&lt;=0.8,1.2,0.8)))</x:f>
      </x:c>
      <x:c r="N46" s="35" t="n">
        <x:f>IF(N45=0,0,IF((12*(YEAR(N$3)-YEAR($B$41))+MONTH(N$3)-MONTH($B$41)+1)/MAX(1,'Вводные'!$F$89)&lt;=0.2,0.6,IF((12*(YEAR(N$3)-YEAR($B$41))+MONTH(N$3)-MONTH($B$41)+1)/MAX(1,'Вводные'!$F$89)&lt;=0.8,1.2,0.8)))</x:f>
      </x:c>
      <x:c r="O46" s="35" t="n">
        <x:f>IF(O45=0,0,IF((12*(YEAR(O$3)-YEAR($B$41))+MONTH(O$3)-MONTH($B$41)+1)/MAX(1,'Вводные'!$F$89)&lt;=0.2,0.6,IF((12*(YEAR(O$3)-YEAR($B$41))+MONTH(O$3)-MONTH($B$41)+1)/MAX(1,'Вводные'!$F$89)&lt;=0.8,1.2,0.8)))</x:f>
      </x:c>
      <x:c r="P46" s="35" t="n">
        <x:f>IF(P45=0,0,IF((12*(YEAR(P$3)-YEAR($B$41))+MONTH(P$3)-MONTH($B$41)+1)/MAX(1,'Вводные'!$F$89)&lt;=0.2,0.6,IF((12*(YEAR(P$3)-YEAR($B$41))+MONTH(P$3)-MONTH($B$41)+1)/MAX(1,'Вводные'!$F$89)&lt;=0.8,1.2,0.8)))</x:f>
      </x:c>
      <x:c r="Q46" s="35" t="n">
        <x:f>IF(Q45=0,0,IF((12*(YEAR(Q$3)-YEAR($B$41))+MONTH(Q$3)-MONTH($B$41)+1)/MAX(1,'Вводные'!$F$89)&lt;=0.2,0.6,IF((12*(YEAR(Q$3)-YEAR($B$41))+MONTH(Q$3)-MONTH($B$41)+1)/MAX(1,'Вводные'!$F$89)&lt;=0.8,1.2,0.8)))</x:f>
      </x:c>
      <x:c r="R46" s="35" t="n">
        <x:f>IF(R45=0,0,IF((12*(YEAR(R$3)-YEAR($B$41))+MONTH(R$3)-MONTH($B$41)+1)/MAX(1,'Вводные'!$F$89)&lt;=0.2,0.6,IF((12*(YEAR(R$3)-YEAR($B$41))+MONTH(R$3)-MONTH($B$41)+1)/MAX(1,'Вводные'!$F$89)&lt;=0.8,1.2,0.8)))</x:f>
      </x:c>
      <x:c r="S46" s="35" t="n">
        <x:f>IF(S45=0,0,IF((12*(YEAR(S$3)-YEAR($B$41))+MONTH(S$3)-MONTH($B$41)+1)/MAX(1,'Вводные'!$F$89)&lt;=0.2,0.6,IF((12*(YEAR(S$3)-YEAR($B$41))+MONTH(S$3)-MONTH($B$41)+1)/MAX(1,'Вводные'!$F$89)&lt;=0.8,1.2,0.8)))</x:f>
      </x:c>
      <x:c r="T46" s="35" t="n">
        <x:f>IF(T45=0,0,IF((12*(YEAR(T$3)-YEAR($B$41))+MONTH(T$3)-MONTH($B$41)+1)/MAX(1,'Вводные'!$F$89)&lt;=0.2,0.6,IF((12*(YEAR(T$3)-YEAR($B$41))+MONTH(T$3)-MONTH($B$41)+1)/MAX(1,'Вводные'!$F$89)&lt;=0.8,1.2,0.8)))</x:f>
      </x:c>
      <x:c r="U46" s="35" t="n">
        <x:f>IF(U45=0,0,IF((12*(YEAR(U$3)-YEAR($B$41))+MONTH(U$3)-MONTH($B$41)+1)/MAX(1,'Вводные'!$F$89)&lt;=0.2,0.6,IF((12*(YEAR(U$3)-YEAR($B$41))+MONTH(U$3)-MONTH($B$41)+1)/MAX(1,'Вводные'!$F$89)&lt;=0.8,1.2,0.8)))</x:f>
      </x:c>
      <x:c r="V46" s="35" t="n">
        <x:f>IF(V45=0,0,IF((12*(YEAR(V$3)-YEAR($B$41))+MONTH(V$3)-MONTH($B$41)+1)/MAX(1,'Вводные'!$F$89)&lt;=0.2,0.6,IF((12*(YEAR(V$3)-YEAR($B$41))+MONTH(V$3)-MONTH($B$41)+1)/MAX(1,'Вводные'!$F$89)&lt;=0.8,1.2,0.8)))</x:f>
      </x:c>
      <x:c r="W46" s="35" t="n">
        <x:f>IF(W45=0,0,IF((12*(YEAR(W$3)-YEAR($B$41))+MONTH(W$3)-MONTH($B$41)+1)/MAX(1,'Вводные'!$F$89)&lt;=0.2,0.6,IF((12*(YEAR(W$3)-YEAR($B$41))+MONTH(W$3)-MONTH($B$41)+1)/MAX(1,'Вводные'!$F$89)&lt;=0.8,1.2,0.8)))</x:f>
      </x:c>
      <x:c r="X46" s="35" t="n">
        <x:f>IF(X45=0,0,IF((12*(YEAR(X$3)-YEAR($B$41))+MONTH(X$3)-MONTH($B$41)+1)/MAX(1,'Вводные'!$F$89)&lt;=0.2,0.6,IF((12*(YEAR(X$3)-YEAR($B$41))+MONTH(X$3)-MONTH($B$41)+1)/MAX(1,'Вводные'!$F$89)&lt;=0.8,1.2,0.8)))</x:f>
      </x:c>
      <x:c r="Y46" s="35" t="n">
        <x:f>IF(Y45=0,0,IF((12*(YEAR(Y$3)-YEAR($B$41))+MONTH(Y$3)-MONTH($B$41)+1)/MAX(1,'Вводные'!$F$89)&lt;=0.2,0.6,IF((12*(YEAR(Y$3)-YEAR($B$41))+MONTH(Y$3)-MONTH($B$41)+1)/MAX(1,'Вводные'!$F$89)&lt;=0.8,1.2,0.8)))</x:f>
      </x:c>
      <x:c r="Z46" s="35" t="n">
        <x:f>IF(Z45=0,0,IF((12*(YEAR(Z$3)-YEAR($B$41))+MONTH(Z$3)-MONTH($B$41)+1)/MAX(1,'Вводные'!$F$89)&lt;=0.2,0.6,IF((12*(YEAR(Z$3)-YEAR($B$41))+MONTH(Z$3)-MONTH($B$41)+1)/MAX(1,'Вводные'!$F$89)&lt;=0.8,1.2,0.8)))</x:f>
      </x:c>
      <x:c r="AA46" s="35" t="n">
        <x:f>IF(AA45=0,0,IF((12*(YEAR(AA$3)-YEAR($B$41))+MONTH(AA$3)-MONTH($B$41)+1)/MAX(1,'Вводные'!$F$89)&lt;=0.2,0.6,IF((12*(YEAR(AA$3)-YEAR($B$41))+MONTH(AA$3)-MONTH($B$41)+1)/MAX(1,'Вводные'!$F$89)&lt;=0.8,1.2,0.8)))</x:f>
      </x:c>
      <x:c r="AB46" s="35" t="n">
        <x:f>IF(AB45=0,0,IF((12*(YEAR(AB$3)-YEAR($B$41))+MONTH(AB$3)-MONTH($B$41)+1)/MAX(1,'Вводные'!$F$89)&lt;=0.2,0.6,IF((12*(YEAR(AB$3)-YEAR($B$41))+MONTH(AB$3)-MONTH($B$41)+1)/MAX(1,'Вводные'!$F$89)&lt;=0.8,1.2,0.8)))</x:f>
      </x:c>
      <x:c r="AC46" s="35" t="n">
        <x:f>IF(AC45=0,0,IF((12*(YEAR(AC$3)-YEAR($B$41))+MONTH(AC$3)-MONTH($B$41)+1)/MAX(1,'Вводные'!$F$89)&lt;=0.2,0.6,IF((12*(YEAR(AC$3)-YEAR($B$41))+MONTH(AC$3)-MONTH($B$41)+1)/MAX(1,'Вводные'!$F$89)&lt;=0.8,1.2,0.8)))</x:f>
      </x:c>
      <x:c r="AD46" s="35" t="n">
        <x:f>IF(AD45=0,0,IF((12*(YEAR(AD$3)-YEAR($B$41))+MONTH(AD$3)-MONTH($B$41)+1)/MAX(1,'Вводные'!$F$89)&lt;=0.2,0.6,IF((12*(YEAR(AD$3)-YEAR($B$41))+MONTH(AD$3)-MONTH($B$41)+1)/MAX(1,'Вводные'!$F$89)&lt;=0.8,1.2,0.8)))</x:f>
      </x:c>
      <x:c r="AE46" s="35" t="n">
        <x:f>IF(AE45=0,0,IF((12*(YEAR(AE$3)-YEAR($B$41))+MONTH(AE$3)-MONTH($B$41)+1)/MAX(1,'Вводные'!$F$89)&lt;=0.2,0.6,IF((12*(YEAR(AE$3)-YEAR($B$41))+MONTH(AE$3)-MONTH($B$41)+1)/MAX(1,'Вводные'!$F$89)&lt;=0.8,1.2,0.8)))</x:f>
      </x:c>
      <x:c r="AF46" s="35" t="n">
        <x:f>IF(AF45=0,0,IF((12*(YEAR(AF$3)-YEAR($B$41))+MONTH(AF$3)-MONTH($B$41)+1)/MAX(1,'Вводные'!$F$89)&lt;=0.2,0.6,IF((12*(YEAR(AF$3)-YEAR($B$41))+MONTH(AF$3)-MONTH($B$41)+1)/MAX(1,'Вводные'!$F$89)&lt;=0.8,1.2,0.8)))</x:f>
      </x:c>
      <x:c r="AG46" s="35" t="n">
        <x:f>IF(AG45=0,0,IF((12*(YEAR(AG$3)-YEAR($B$41))+MONTH(AG$3)-MONTH($B$41)+1)/MAX(1,'Вводные'!$F$89)&lt;=0.2,0.6,IF((12*(YEAR(AG$3)-YEAR($B$41))+MONTH(AG$3)-MONTH($B$41)+1)/MAX(1,'Вводные'!$F$89)&lt;=0.8,1.2,0.8)))</x:f>
      </x:c>
      <x:c r="AH46" s="35" t="n">
        <x:f>IF(AH45=0,0,IF((12*(YEAR(AH$3)-YEAR($B$41))+MONTH(AH$3)-MONTH($B$41)+1)/MAX(1,'Вводные'!$F$89)&lt;=0.2,0.6,IF((12*(YEAR(AH$3)-YEAR($B$41))+MONTH(AH$3)-MONTH($B$41)+1)/MAX(1,'Вводные'!$F$89)&lt;=0.8,1.2,0.8)))</x:f>
      </x:c>
      <x:c r="AI46" s="35" t="n">
        <x:f>IF(AI45=0,0,IF((12*(YEAR(AI$3)-YEAR($B$41))+MONTH(AI$3)-MONTH($B$41)+1)/MAX(1,'Вводные'!$F$89)&lt;=0.2,0.6,IF((12*(YEAR(AI$3)-YEAR($B$41))+MONTH(AI$3)-MONTH($B$41)+1)/MAX(1,'Вводные'!$F$89)&lt;=0.8,1.2,0.8)))</x:f>
      </x:c>
      <x:c r="AJ46" s="35" t="n">
        <x:f>IF(AJ45=0,0,IF((12*(YEAR(AJ$3)-YEAR($B$41))+MONTH(AJ$3)-MONTH($B$41)+1)/MAX(1,'Вводные'!$F$89)&lt;=0.2,0.6,IF((12*(YEAR(AJ$3)-YEAR($B$41))+MONTH(AJ$3)-MONTH($B$41)+1)/MAX(1,'Вводные'!$F$89)&lt;=0.8,1.2,0.8)))</x:f>
      </x:c>
      <x:c r="AK46" s="35" t="n">
        <x:f>IF(AK45=0,0,IF((12*(YEAR(AK$3)-YEAR($B$41))+MONTH(AK$3)-MONTH($B$41)+1)/MAX(1,'Вводные'!$F$89)&lt;=0.2,0.6,IF((12*(YEAR(AK$3)-YEAR($B$41))+MONTH(AK$3)-MONTH($B$41)+1)/MAX(1,'Вводные'!$F$89)&lt;=0.8,1.2,0.8)))</x:f>
      </x:c>
      <x:c r="AL46" s="35" t="n">
        <x:f>IF(AL45=0,0,IF((12*(YEAR(AL$3)-YEAR($B$41))+MONTH(AL$3)-MONTH($B$41)+1)/MAX(1,'Вводные'!$F$89)&lt;=0.2,0.6,IF((12*(YEAR(AL$3)-YEAR($B$41))+MONTH(AL$3)-MONTH($B$41)+1)/MAX(1,'Вводные'!$F$89)&lt;=0.8,1.2,0.8)))</x:f>
      </x:c>
      <x:c r="AM46" s="35" t="n">
        <x:f>IF(AM45=0,0,IF((12*(YEAR(AM$3)-YEAR($B$41))+MONTH(AM$3)-MONTH($B$41)+1)/MAX(1,'Вводные'!$F$89)&lt;=0.2,0.6,IF((12*(YEAR(AM$3)-YEAR($B$41))+MONTH(AM$3)-MONTH($B$41)+1)/MAX(1,'Вводные'!$F$89)&lt;=0.8,1.2,0.8)))</x:f>
      </x:c>
      <x:c r="AN46" s="35" t="n">
        <x:f>IF(AN45=0,0,IF((12*(YEAR(AN$3)-YEAR($B$41))+MONTH(AN$3)-MONTH($B$41)+1)/MAX(1,'Вводные'!$F$89)&lt;=0.2,0.6,IF((12*(YEAR(AN$3)-YEAR($B$41))+MONTH(AN$3)-MONTH($B$41)+1)/MAX(1,'Вводные'!$F$89)&lt;=0.8,1.2,0.8)))</x:f>
      </x:c>
      <x:c r="AO46" s="35" t="n">
        <x:f>IF(AO45=0,0,IF((12*(YEAR(AO$3)-YEAR($B$41))+MONTH(AO$3)-MONTH($B$41)+1)/MAX(1,'Вводные'!$F$89)&lt;=0.2,0.6,IF((12*(YEAR(AO$3)-YEAR($B$41))+MONTH(AO$3)-MONTH($B$41)+1)/MAX(1,'Вводные'!$F$89)&lt;=0.8,1.2,0.8)))</x:f>
      </x:c>
      <x:c r="AP46" s="35" t="n">
        <x:f>IF(AP45=0,0,IF((12*(YEAR(AP$3)-YEAR($B$41))+MONTH(AP$3)-MONTH($B$41)+1)/MAX(1,'Вводные'!$F$89)&lt;=0.2,0.6,IF((12*(YEAR(AP$3)-YEAR($B$41))+MONTH(AP$3)-MONTH($B$41)+1)/MAX(1,'Вводные'!$F$89)&lt;=0.8,1.2,0.8)))</x:f>
      </x:c>
      <x:c r="AQ46" s="35" t="n">
        <x:f>IF(AQ45=0,0,IF((12*(YEAR(AQ$3)-YEAR($B$41))+MONTH(AQ$3)-MONTH($B$41)+1)/MAX(1,'Вводные'!$F$89)&lt;=0.2,0.6,IF((12*(YEAR(AQ$3)-YEAR($B$41))+MONTH(AQ$3)-MONTH($B$41)+1)/MAX(1,'Вводные'!$F$89)&lt;=0.8,1.2,0.8)))</x:f>
      </x:c>
      <x:c r="AR46" s="35" t="n">
        <x:f>IF(AR45=0,0,IF((12*(YEAR(AR$3)-YEAR($B$41))+MONTH(AR$3)-MONTH($B$41)+1)/MAX(1,'Вводные'!$F$89)&lt;=0.2,0.6,IF((12*(YEAR(AR$3)-YEAR($B$41))+MONTH(AR$3)-MONTH($B$41)+1)/MAX(1,'Вводные'!$F$89)&lt;=0.8,1.2,0.8)))</x:f>
      </x:c>
      <x:c r="AS46" s="35" t="n">
        <x:f>IF(AS45=0,0,IF((12*(YEAR(AS$3)-YEAR($B$41))+MONTH(AS$3)-MONTH($B$41)+1)/MAX(1,'Вводные'!$F$89)&lt;=0.2,0.6,IF((12*(YEAR(AS$3)-YEAR($B$41))+MONTH(AS$3)-MONTH($B$41)+1)/MAX(1,'Вводные'!$F$89)&lt;=0.8,1.2,0.8)))</x:f>
      </x:c>
      <x:c r="AT46" s="35" t="n">
        <x:f>IF(AT45=0,0,IF((12*(YEAR(AT$3)-YEAR($B$41))+MONTH(AT$3)-MONTH($B$41)+1)/MAX(1,'Вводные'!$F$89)&lt;=0.2,0.6,IF((12*(YEAR(AT$3)-YEAR($B$41))+MONTH(AT$3)-MONTH($B$41)+1)/MAX(1,'Вводные'!$F$89)&lt;=0.8,1.2,0.8)))</x:f>
      </x:c>
      <x:c r="AU46" s="35" t="n">
        <x:f>IF(AU45=0,0,IF((12*(YEAR(AU$3)-YEAR($B$41))+MONTH(AU$3)-MONTH($B$41)+1)/MAX(1,'Вводные'!$F$89)&lt;=0.2,0.6,IF((12*(YEAR(AU$3)-YEAR($B$41))+MONTH(AU$3)-MONTH($B$41)+1)/MAX(1,'Вводные'!$F$89)&lt;=0.8,1.2,0.8)))</x:f>
      </x:c>
      <x:c r="AV46" s="35" t="n">
        <x:f>IF(AV45=0,0,IF((12*(YEAR(AV$3)-YEAR($B$41))+MONTH(AV$3)-MONTH($B$41)+1)/MAX(1,'Вводные'!$F$89)&lt;=0.2,0.6,IF((12*(YEAR(AV$3)-YEAR($B$41))+MONTH(AV$3)-MONTH($B$41)+1)/MAX(1,'Вводные'!$F$89)&lt;=0.8,1.2,0.8)))</x:f>
      </x:c>
      <x:c r="AW46" s="35" t="n">
        <x:f>IF(AW45=0,0,IF((12*(YEAR(AW$3)-YEAR($B$41))+MONTH(AW$3)-MONTH($B$41)+1)/MAX(1,'Вводные'!$F$89)&lt;=0.2,0.6,IF((12*(YEAR(AW$3)-YEAR($B$41))+MONTH(AW$3)-MONTH($B$41)+1)/MAX(1,'Вводные'!$F$89)&lt;=0.8,1.2,0.8)))</x:f>
      </x:c>
      <x:c r="AX46" s="35" t="n">
        <x:f>IF(AX45=0,0,IF((12*(YEAR(AX$3)-YEAR($B$41))+MONTH(AX$3)-MONTH($B$41)+1)/MAX(1,'Вводные'!$F$89)&lt;=0.2,0.6,IF((12*(YEAR(AX$3)-YEAR($B$41))+MONTH(AX$3)-MONTH($B$41)+1)/MAX(1,'Вводные'!$F$89)&lt;=0.8,1.2,0.8)))</x:f>
      </x:c>
      <x:c r="AY46" s="35" t="n">
        <x:f>IF(AY45=0,0,IF((12*(YEAR(AY$3)-YEAR($B$41))+MONTH(AY$3)-MONTH($B$41)+1)/MAX(1,'Вводные'!$F$89)&lt;=0.2,0.6,IF((12*(YEAR(AY$3)-YEAR($B$41))+MONTH(AY$3)-MONTH($B$41)+1)/MAX(1,'Вводные'!$F$89)&lt;=0.8,1.2,0.8)))</x:f>
      </x:c>
      <x:c r="AZ46" s="35" t="n">
        <x:f>IF(AZ45=0,0,IF((12*(YEAR(AZ$3)-YEAR($B$41))+MONTH(AZ$3)-MONTH($B$41)+1)/MAX(1,'Вводные'!$F$89)&lt;=0.2,0.6,IF((12*(YEAR(AZ$3)-YEAR($B$41))+MONTH(AZ$3)-MONTH($B$41)+1)/MAX(1,'Вводные'!$F$89)&lt;=0.8,1.2,0.8)))</x:f>
      </x:c>
      <x:c r="BA46" s="35" t="n">
        <x:f>IF(BA45=0,0,IF((12*(YEAR(BA$3)-YEAR($B$41))+MONTH(BA$3)-MONTH($B$41)+1)/MAX(1,'Вводные'!$F$89)&lt;=0.2,0.6,IF((12*(YEAR(BA$3)-YEAR($B$41))+MONTH(BA$3)-MONTH($B$41)+1)/MAX(1,'Вводные'!$F$89)&lt;=0.8,1.2,0.8)))</x:f>
      </x:c>
      <x:c r="BB46" s="35" t="n">
        <x:f>IF(BB45=0,0,IF((12*(YEAR(BB$3)-YEAR($B$41))+MONTH(BB$3)-MONTH($B$41)+1)/MAX(1,'Вводные'!$F$89)&lt;=0.2,0.6,IF((12*(YEAR(BB$3)-YEAR($B$41))+MONTH(BB$3)-MONTH($B$41)+1)/MAX(1,'Вводные'!$F$89)&lt;=0.8,1.2,0.8)))</x:f>
      </x:c>
      <x:c r="BC46" s="35" t="n">
        <x:f>IF(BC45=0,0,IF((12*(YEAR(BC$3)-YEAR($B$41))+MONTH(BC$3)-MONTH($B$41)+1)/MAX(1,'Вводные'!$F$89)&lt;=0.2,0.6,IF((12*(YEAR(BC$3)-YEAR($B$41))+MONTH(BC$3)-MONTH($B$41)+1)/MAX(1,'Вводные'!$F$89)&lt;=0.8,1.2,0.8)))</x:f>
      </x:c>
      <x:c r="BD46" s="35" t="n">
        <x:f>IF(BD45=0,0,IF((12*(YEAR(BD$3)-YEAR($B$41))+MONTH(BD$3)-MONTH($B$41)+1)/MAX(1,'Вводные'!$F$89)&lt;=0.2,0.6,IF((12*(YEAR(BD$3)-YEAR($B$41))+MONTH(BD$3)-MONTH($B$41)+1)/MAX(1,'Вводные'!$F$89)&lt;=0.8,1.2,0.8)))</x:f>
      </x:c>
      <x:c r="BE46" s="35" t="n">
        <x:f>IF(BE45=0,0,IF((12*(YEAR(BE$3)-YEAR($B$41))+MONTH(BE$3)-MONTH($B$41)+1)/MAX(1,'Вводные'!$F$89)&lt;=0.2,0.6,IF((12*(YEAR(BE$3)-YEAR($B$41))+MONTH(BE$3)-MONTH($B$41)+1)/MAX(1,'Вводные'!$F$89)&lt;=0.8,1.2,0.8)))</x:f>
      </x:c>
      <x:c r="BF46" s="35" t="n">
        <x:f>IF(BF45=0,0,IF((12*(YEAR(BF$3)-YEAR($B$41))+MONTH(BF$3)-MONTH($B$41)+1)/MAX(1,'Вводные'!$F$89)&lt;=0.2,0.6,IF((12*(YEAR(BF$3)-YEAR($B$41))+MONTH(BF$3)-MONTH($B$41)+1)/MAX(1,'Вводные'!$F$89)&lt;=0.8,1.2,0.8)))</x:f>
      </x:c>
      <x:c r="BG46" s="35" t="n">
        <x:f>IF(BG45=0,0,IF((12*(YEAR(BG$3)-YEAR($B$41))+MONTH(BG$3)-MONTH($B$41)+1)/MAX(1,'Вводные'!$F$89)&lt;=0.2,0.6,IF((12*(YEAR(BG$3)-YEAR($B$41))+MONTH(BG$3)-MONTH($B$41)+1)/MAX(1,'Вводные'!$F$89)&lt;=0.8,1.2,0.8)))</x:f>
      </x:c>
      <x:c r="BH46" s="35" t="n">
        <x:f>IF(BH45=0,0,IF((12*(YEAR(BH$3)-YEAR($B$41))+MONTH(BH$3)-MONTH($B$41)+1)/MAX(1,'Вводные'!$F$89)&lt;=0.2,0.6,IF((12*(YEAR(BH$3)-YEAR($B$41))+MONTH(BH$3)-MONTH($B$41)+1)/MAX(1,'Вводные'!$F$89)&lt;=0.8,1.2,0.8)))</x:f>
      </x:c>
      <x:c r="BI46" s="35" t="n">
        <x:f>IF(BI45=0,0,IF((12*(YEAR(BI$3)-YEAR($B$41))+MONTH(BI$3)-MONTH($B$41)+1)/MAX(1,'Вводные'!$F$89)&lt;=0.2,0.6,IF((12*(YEAR(BI$3)-YEAR($B$41))+MONTH(BI$3)-MONTH($B$41)+1)/MAX(1,'Вводные'!$F$89)&lt;=0.8,1.2,0.8)))</x:f>
      </x:c>
      <x:c r="BJ46" s="35" t="n">
        <x:f>IF(BJ45=0,0,IF((12*(YEAR(BJ$3)-YEAR($B$41))+MONTH(BJ$3)-MONTH($B$41)+1)/MAX(1,'Вводные'!$F$89)&lt;=0.2,0.6,IF((12*(YEAR(BJ$3)-YEAR($B$41))+MONTH(BJ$3)-MONTH($B$41)+1)/MAX(1,'Вводные'!$F$89)&lt;=0.8,1.2,0.8)))</x:f>
      </x:c>
      <x:c r="BK46" s="35" t="n">
        <x:f>IF(BK45=0,0,IF((12*(YEAR(BK$3)-YEAR($B$41))+MONTH(BK$3)-MONTH($B$41)+1)/MAX(1,'Вводные'!$F$89)&lt;=0.2,0.6,IF((12*(YEAR(BK$3)-YEAR($B$41))+MONTH(BK$3)-MONTH($B$41)+1)/MAX(1,'Вводные'!$F$89)&lt;=0.8,1.2,0.8)))</x:f>
      </x:c>
      <x:c r="BL46" s="35" t="n">
        <x:f>IF(BL45=0,0,IF((12*(YEAR(BL$3)-YEAR($B$41))+MONTH(BL$3)-MONTH($B$41)+1)/MAX(1,'Вводные'!$F$89)&lt;=0.2,0.6,IF((12*(YEAR(BL$3)-YEAR($B$41))+MONTH(BL$3)-MONTH($B$41)+1)/MAX(1,'Вводные'!$F$89)&lt;=0.8,1.2,0.8)))</x:f>
      </x:c>
      <x:c r="BM46" s="35" t="n">
        <x:f>IF(BM45=0,0,IF((12*(YEAR(BM$3)-YEAR($B$41))+MONTH(BM$3)-MONTH($B$41)+1)/MAX(1,'Вводные'!$F$89)&lt;=0.2,0.6,IF((12*(YEAR(BM$3)-YEAR($B$41))+MONTH(BM$3)-MONTH($B$41)+1)/MAX(1,'Вводные'!$F$89)&lt;=0.8,1.2,0.8)))</x:f>
      </x:c>
      <x:c r="BN46" s="35" t="n">
        <x:f>IF(BN45=0,0,IF((12*(YEAR(BN$3)-YEAR($B$41))+MONTH(BN$3)-MONTH($B$41)+1)/MAX(1,'Вводные'!$F$89)&lt;=0.2,0.6,IF((12*(YEAR(BN$3)-YEAR($B$41))+MONTH(BN$3)-MONTH($B$41)+1)/MAX(1,'Вводные'!$F$89)&lt;=0.8,1.2,0.8)))</x:f>
      </x:c>
      <x:c r="BO46" s="35" t="n">
        <x:f>IF(BO45=0,0,IF((12*(YEAR(BO$3)-YEAR($B$41))+MONTH(BO$3)-MONTH($B$41)+1)/MAX(1,'Вводные'!$F$89)&lt;=0.2,0.6,IF((12*(YEAR(BO$3)-YEAR($B$41))+MONTH(BO$3)-MONTH($B$41)+1)/MAX(1,'Вводные'!$F$89)&lt;=0.8,1.2,0.8)))</x:f>
      </x:c>
      <x:c r="BP46" s="35" t="n">
        <x:f>IF(BP45=0,0,IF((12*(YEAR(BP$3)-YEAR($B$41))+MONTH(BP$3)-MONTH($B$41)+1)/MAX(1,'Вводные'!$F$89)&lt;=0.2,0.6,IF((12*(YEAR(BP$3)-YEAR($B$41))+MONTH(BP$3)-MONTH($B$41)+1)/MAX(1,'Вводные'!$F$89)&lt;=0.8,1.2,0.8)))</x:f>
      </x:c>
      <x:c r="BQ46" s="35" t="n">
        <x:f>IF(BQ45=0,0,IF((12*(YEAR(BQ$3)-YEAR($B$41))+MONTH(BQ$3)-MONTH($B$41)+1)/MAX(1,'Вводные'!$F$89)&lt;=0.2,0.6,IF((12*(YEAR(BQ$3)-YEAR($B$41))+MONTH(BQ$3)-MONTH($B$41)+1)/MAX(1,'Вводные'!$F$89)&lt;=0.8,1.2,0.8)))</x:f>
      </x:c>
      <x:c r="BR46" s="35" t="n">
        <x:f>IF(BR45=0,0,IF((12*(YEAR(BR$3)-YEAR($B$41))+MONTH(BR$3)-MONTH($B$41)+1)/MAX(1,'Вводные'!$F$89)&lt;=0.2,0.6,IF((12*(YEAR(BR$3)-YEAR($B$41))+MONTH(BR$3)-MONTH($B$41)+1)/MAX(1,'Вводные'!$F$89)&lt;=0.8,1.2,0.8)))</x:f>
      </x:c>
      <x:c r="BS46" s="35" t="n">
        <x:f>IF(BS45=0,0,IF((12*(YEAR(BS$3)-YEAR($B$41))+MONTH(BS$3)-MONTH($B$41)+1)/MAX(1,'Вводные'!$F$89)&lt;=0.2,0.6,IF((12*(YEAR(BS$3)-YEAR($B$41))+MONTH(BS$3)-MONTH($B$41)+1)/MAX(1,'Вводные'!$F$89)&lt;=0.8,1.2,0.8)))</x:f>
      </x:c>
      <x:c r="BT46" s="35" t="n">
        <x:f>IF(BT45=0,0,IF((12*(YEAR(BT$3)-YEAR($B$41))+MONTH(BT$3)-MONTH($B$41)+1)/MAX(1,'Вводные'!$F$89)&lt;=0.2,0.6,IF((12*(YEAR(BT$3)-YEAR($B$41))+MONTH(BT$3)-MONTH($B$41)+1)/MAX(1,'Вводные'!$F$89)&lt;=0.8,1.2,0.8)))</x:f>
      </x:c>
      <x:c r="BU46" s="35" t="n">
        <x:f>IF(BU45=0,0,IF((12*(YEAR(BU$3)-YEAR($B$41))+MONTH(BU$3)-MONTH($B$41)+1)/MAX(1,'Вводные'!$F$89)&lt;=0.2,0.6,IF((12*(YEAR(BU$3)-YEAR($B$41))+MONTH(BU$3)-MONTH($B$41)+1)/MAX(1,'Вводные'!$F$89)&lt;=0.8,1.2,0.8)))</x:f>
      </x:c>
      <x:c r="BV46" s="35" t="n">
        <x:f>IF(BV45=0,0,IF((12*(YEAR(BV$3)-YEAR($B$41))+MONTH(BV$3)-MONTH($B$41)+1)/MAX(1,'Вводные'!$F$89)&lt;=0.2,0.6,IF((12*(YEAR(BV$3)-YEAR($B$41))+MONTH(BV$3)-MONTH($B$41)+1)/MAX(1,'Вводные'!$F$89)&lt;=0.8,1.2,0.8)))</x:f>
      </x:c>
      <x:c r="BW46" s="35" t="n">
        <x:f>IF(BW45=0,0,IF((12*(YEAR(BW$3)-YEAR($B$41))+MONTH(BW$3)-MONTH($B$41)+1)/MAX(1,'Вводные'!$F$89)&lt;=0.2,0.6,IF((12*(YEAR(BW$3)-YEAR($B$41))+MONTH(BW$3)-MONTH($B$41)+1)/MAX(1,'Вводные'!$F$89)&lt;=0.8,1.2,0.8)))</x:f>
      </x:c>
      <x:c r="BX46" s="35" t="n">
        <x:f>IF(BX45=0,0,IF((12*(YEAR(BX$3)-YEAR($B$41))+MONTH(BX$3)-MONTH($B$41)+1)/MAX(1,'Вводные'!$F$89)&lt;=0.2,0.6,IF((12*(YEAR(BX$3)-YEAR($B$41))+MONTH(BX$3)-MONTH($B$41)+1)/MAX(1,'Вводные'!$F$89)&lt;=0.8,1.2,0.8)))</x:f>
      </x:c>
      <x:c r="BY46" s="35" t="n">
        <x:f>IF(BY45=0,0,IF((12*(YEAR(BY$3)-YEAR($B$41))+MONTH(BY$3)-MONTH($B$41)+1)/MAX(1,'Вводные'!$F$89)&lt;=0.2,0.6,IF((12*(YEAR(BY$3)-YEAR($B$41))+MONTH(BY$3)-MONTH($B$41)+1)/MAX(1,'Вводные'!$F$89)&lt;=0.8,1.2,0.8)))</x:f>
      </x:c>
      <x:c r="BZ46" s="35" t="n">
        <x:f>IF(BZ45=0,0,IF((12*(YEAR(BZ$3)-YEAR($B$41))+MONTH(BZ$3)-MONTH($B$41)+1)/MAX(1,'Вводные'!$F$89)&lt;=0.2,0.6,IF((12*(YEAR(BZ$3)-YEAR($B$41))+MONTH(BZ$3)-MONTH($B$41)+1)/MAX(1,'Вводные'!$F$89)&lt;=0.8,1.2,0.8)))</x:f>
      </x:c>
      <x:c r="CA46" s="35" t="n">
        <x:f>IF(CA45=0,0,IF((12*(YEAR(CA$3)-YEAR($B$41))+MONTH(CA$3)-MONTH($B$41)+1)/MAX(1,'Вводные'!$F$89)&lt;=0.2,0.6,IF((12*(YEAR(CA$3)-YEAR($B$41))+MONTH(CA$3)-MONTH($B$41)+1)/MAX(1,'Вводные'!$F$89)&lt;=0.8,1.2,0.8)))</x:f>
      </x:c>
      <x:c r="CB46" s="35" t="n">
        <x:f>IF(CB45=0,0,IF((12*(YEAR(CB$3)-YEAR($B$41))+MONTH(CB$3)-MONTH($B$41)+1)/MAX(1,'Вводные'!$F$89)&lt;=0.2,0.6,IF((12*(YEAR(CB$3)-YEAR($B$41))+MONTH(CB$3)-MONTH($B$41)+1)/MAX(1,'Вводные'!$F$89)&lt;=0.8,1.2,0.8)))</x:f>
      </x:c>
      <x:c r="CC46" s="35" t="n">
        <x:f>IF(CC45=0,0,IF((12*(YEAR(CC$3)-YEAR($B$41))+MONTH(CC$3)-MONTH($B$41)+1)/MAX(1,'Вводные'!$F$89)&lt;=0.2,0.6,IF((12*(YEAR(CC$3)-YEAR($B$41))+MONTH(CC$3)-MONTH($B$41)+1)/MAX(1,'Вводные'!$F$89)&lt;=0.8,1.2,0.8)))</x:f>
      </x:c>
      <x:c r="CD46" s="35" t="n">
        <x:f>IF(CD45=0,0,IF((12*(YEAR(CD$3)-YEAR($B$41))+MONTH(CD$3)-MONTH($B$41)+1)/MAX(1,'Вводные'!$F$89)&lt;=0.2,0.6,IF((12*(YEAR(CD$3)-YEAR($B$41))+MONTH(CD$3)-MONTH($B$41)+1)/MAX(1,'Вводные'!$F$89)&lt;=0.8,1.2,0.8)))</x:f>
      </x:c>
      <x:c r="CE46" s="35" t="n">
        <x:f>IF(CE45=0,0,IF((12*(YEAR(CE$3)-YEAR($B$41))+MONTH(CE$3)-MONTH($B$41)+1)/MAX(1,'Вводные'!$F$89)&lt;=0.2,0.6,IF((12*(YEAR(CE$3)-YEAR($B$41))+MONTH(CE$3)-MONTH($B$41)+1)/MAX(1,'Вводные'!$F$89)&lt;=0.8,1.2,0.8)))</x:f>
      </x:c>
      <x:c r="CF46" s="35" t="n">
        <x:f>IF(CF45=0,0,IF((12*(YEAR(CF$3)-YEAR($B$41))+MONTH(CF$3)-MONTH($B$41)+1)/MAX(1,'Вводные'!$F$89)&lt;=0.2,0.6,IF((12*(YEAR(CF$3)-YEAR($B$41))+MONTH(CF$3)-MONTH($B$41)+1)/MAX(1,'Вводные'!$F$89)&lt;=0.8,1.2,0.8)))</x:f>
      </x:c>
      <x:c r="CG46" s="35" t="n">
        <x:f>IF(CG45=0,0,IF((12*(YEAR(CG$3)-YEAR($B$41))+MONTH(CG$3)-MONTH($B$41)+1)/MAX(1,'Вводные'!$F$89)&lt;=0.2,0.6,IF((12*(YEAR(CG$3)-YEAR($B$41))+MONTH(CG$3)-MONTH($B$41)+1)/MAX(1,'Вводные'!$F$89)&lt;=0.8,1.2,0.8)))</x:f>
      </x:c>
      <x:c r="CH46" s="35" t="n">
        <x:f>IF(CH45=0,0,IF((12*(YEAR(CH$3)-YEAR($B$41))+MONTH(CH$3)-MONTH($B$41)+1)/MAX(1,'Вводные'!$F$89)&lt;=0.2,0.6,IF((12*(YEAR(CH$3)-YEAR($B$41))+MONTH(CH$3)-MONTH($B$41)+1)/MAX(1,'Вводные'!$F$89)&lt;=0.8,1.2,0.8)))</x:f>
      </x:c>
      <x:c r="CI46" s="35" t="n">
        <x:f>IF(CI45=0,0,IF((12*(YEAR(CI$3)-YEAR($B$41))+MONTH(CI$3)-MONTH($B$41)+1)/MAX(1,'Вводные'!$F$89)&lt;=0.2,0.6,IF((12*(YEAR(CI$3)-YEAR($B$41))+MONTH(CI$3)-MONTH($B$41)+1)/MAX(1,'Вводные'!$F$89)&lt;=0.8,1.2,0.8)))</x:f>
      </x:c>
      <x:c r="CJ46" s="35" t="n">
        <x:f>IF(CJ45=0,0,IF((12*(YEAR(CJ$3)-YEAR($B$41))+MONTH(CJ$3)-MONTH($B$41)+1)/MAX(1,'Вводные'!$F$89)&lt;=0.2,0.6,IF((12*(YEAR(CJ$3)-YEAR($B$41))+MONTH(CJ$3)-MONTH($B$41)+1)/MAX(1,'Вводные'!$F$89)&lt;=0.8,1.2,0.8)))</x:f>
      </x:c>
      <x:c r="CK46" s="35" t="n">
        <x:f>IF(CK45=0,0,IF((12*(YEAR(CK$3)-YEAR($B$41))+MONTH(CK$3)-MONTH($B$41)+1)/MAX(1,'Вводные'!$F$89)&lt;=0.2,0.6,IF((12*(YEAR(CK$3)-YEAR($B$41))+MONTH(CK$3)-MONTH($B$41)+1)/MAX(1,'Вводные'!$F$89)&lt;=0.8,1.2,0.8)))</x:f>
      </x:c>
      <x:c r="CL46" s="35" t="n">
        <x:f>IF(CL45=0,0,IF((12*(YEAR(CL$3)-YEAR($B$41))+MONTH(CL$3)-MONTH($B$41)+1)/MAX(1,'Вводные'!$F$89)&lt;=0.2,0.6,IF((12*(YEAR(CL$3)-YEAR($B$41))+MONTH(CL$3)-MONTH($B$41)+1)/MAX(1,'Вводные'!$F$89)&lt;=0.8,1.2,0.8)))</x:f>
      </x:c>
      <x:c r="CM46" s="35" t="n">
        <x:f>IF(CM45=0,0,IF((12*(YEAR(CM$3)-YEAR($B$41))+MONTH(CM$3)-MONTH($B$41)+1)/MAX(1,'Вводные'!$F$89)&lt;=0.2,0.6,IF((12*(YEAR(CM$3)-YEAR($B$41))+MONTH(CM$3)-MONTH($B$41)+1)/MAX(1,'Вводные'!$F$89)&lt;=0.8,1.2,0.8)))</x:f>
      </x:c>
      <x:c r="CN46" s="35" t="n">
        <x:f>IF(CN45=0,0,IF((12*(YEAR(CN$3)-YEAR($B$41))+MONTH(CN$3)-MONTH($B$41)+1)/MAX(1,'Вводные'!$F$89)&lt;=0.2,0.6,IF((12*(YEAR(CN$3)-YEAR($B$41))+MONTH(CN$3)-MONTH($B$41)+1)/MAX(1,'Вводные'!$F$89)&lt;=0.8,1.2,0.8)))</x:f>
      </x:c>
      <x:c r="CO46" s="35" t="n">
        <x:f>IF(CO45=0,0,IF((12*(YEAR(CO$3)-YEAR($B$41))+MONTH(CO$3)-MONTH($B$41)+1)/MAX(1,'Вводные'!$F$89)&lt;=0.2,0.6,IF((12*(YEAR(CO$3)-YEAR($B$41))+MONTH(CO$3)-MONTH($B$41)+1)/MAX(1,'Вводные'!$F$89)&lt;=0.8,1.2,0.8)))</x:f>
      </x:c>
      <x:c r="CP46" s="35" t="n">
        <x:f>IF(CP45=0,0,IF((12*(YEAR(CP$3)-YEAR($B$41))+MONTH(CP$3)-MONTH($B$41)+1)/MAX(1,'Вводные'!$F$89)&lt;=0.2,0.6,IF((12*(YEAR(CP$3)-YEAR($B$41))+MONTH(CP$3)-MONTH($B$41)+1)/MAX(1,'Вводные'!$F$89)&lt;=0.8,1.2,0.8)))</x:f>
      </x:c>
      <x:c r="CQ46" s="35" t="n">
        <x:f>IF(CQ45=0,0,IF((12*(YEAR(CQ$3)-YEAR($B$41))+MONTH(CQ$3)-MONTH($B$41)+1)/MAX(1,'Вводные'!$F$89)&lt;=0.2,0.6,IF((12*(YEAR(CQ$3)-YEAR($B$41))+MONTH(CQ$3)-MONTH($B$41)+1)/MAX(1,'Вводные'!$F$89)&lt;=0.8,1.2,0.8)))</x:f>
      </x:c>
      <x:c r="CR46" s="35" t="n">
        <x:f>IF(CR45=0,0,IF((12*(YEAR(CR$3)-YEAR($B$41))+MONTH(CR$3)-MONTH($B$41)+1)/MAX(1,'Вводные'!$F$89)&lt;=0.2,0.6,IF((12*(YEAR(CR$3)-YEAR($B$41))+MONTH(CR$3)-MONTH($B$41)+1)/MAX(1,'Вводные'!$F$89)&lt;=0.8,1.2,0.8)))</x:f>
      </x:c>
      <x:c r="CS46" s="35" t="n">
        <x:f>IF(CS45=0,0,IF((12*(YEAR(CS$3)-YEAR($B$41))+MONTH(CS$3)-MONTH($B$41)+1)/MAX(1,'Вводные'!$F$89)&lt;=0.2,0.6,IF((12*(YEAR(CS$3)-YEAR($B$41))+MONTH(CS$3)-MONTH($B$41)+1)/MAX(1,'Вводные'!$F$89)&lt;=0.8,1.2,0.8)))</x:f>
      </x:c>
      <x:c r="CT46" s="35" t="n">
        <x:f>IF(CT45=0,0,IF((12*(YEAR(CT$3)-YEAR($B$41))+MONTH(CT$3)-MONTH($B$41)+1)/MAX(1,'Вводные'!$F$89)&lt;=0.2,0.6,IF((12*(YEAR(CT$3)-YEAR($B$41))+MONTH(CT$3)-MONTH($B$41)+1)/MAX(1,'Вводные'!$F$89)&lt;=0.8,1.2,0.8)))</x:f>
      </x:c>
      <x:c r="CU46" s="35" t="n">
        <x:f>IF(CU45=0,0,IF((12*(YEAR(CU$3)-YEAR($B$41))+MONTH(CU$3)-MONTH($B$41)+1)/MAX(1,'Вводные'!$F$89)&lt;=0.2,0.6,IF((12*(YEAR(CU$3)-YEAR($B$41))+MONTH(CU$3)-MONTH($B$41)+1)/MAX(1,'Вводные'!$F$89)&lt;=0.8,1.2,0.8)))</x:f>
      </x:c>
      <x:c r="CV46" s="35" t="n">
        <x:f>IF(CV45=0,0,IF((12*(YEAR(CV$3)-YEAR($B$41))+MONTH(CV$3)-MONTH($B$41)+1)/MAX(1,'Вводные'!$F$89)&lt;=0.2,0.6,IF((12*(YEAR(CV$3)-YEAR($B$41))+MONTH(CV$3)-MONTH($B$41)+1)/MAX(1,'Вводные'!$F$89)&lt;=0.8,1.2,0.8)))</x:f>
      </x:c>
      <x:c r="CW46" s="35" t="n">
        <x:f>IF(CW45=0,0,IF((12*(YEAR(CW$3)-YEAR($B$41))+MONTH(CW$3)-MONTH($B$41)+1)/MAX(1,'Вводные'!$F$89)&lt;=0.2,0.6,IF((12*(YEAR(CW$3)-YEAR($B$41))+MONTH(CW$3)-MONTH($B$41)+1)/MAX(1,'Вводные'!$F$89)&lt;=0.8,1.2,0.8)))</x:f>
      </x:c>
      <x:c r="CX46" s="35" t="n">
        <x:f>IF(CX45=0,0,IF((12*(YEAR(CX$3)-YEAR($B$41))+MONTH(CX$3)-MONTH($B$41)+1)/MAX(1,'Вводные'!$F$89)&lt;=0.2,0.6,IF((12*(YEAR(CX$3)-YEAR($B$41))+MONTH(CX$3)-MONTH($B$41)+1)/MAX(1,'Вводные'!$F$89)&lt;=0.8,1.2,0.8)))</x:f>
      </x:c>
      <x:c r="CY46" s="35" t="n">
        <x:f>IF(CY45=0,0,IF((12*(YEAR(CY$3)-YEAR($B$41))+MONTH(CY$3)-MONTH($B$41)+1)/MAX(1,'Вводные'!$F$89)&lt;=0.2,0.6,IF((12*(YEAR(CY$3)-YEAR($B$41))+MONTH(CY$3)-MONTH($B$41)+1)/MAX(1,'Вводные'!$F$89)&lt;=0.8,1.2,0.8)))</x:f>
      </x:c>
      <x:c r="CZ46" s="35" t="n">
        <x:f>IF(CZ45=0,0,IF((12*(YEAR(CZ$3)-YEAR($B$41))+MONTH(CZ$3)-MONTH($B$41)+1)/MAX(1,'Вводные'!$F$89)&lt;=0.2,0.6,IF((12*(YEAR(CZ$3)-YEAR($B$41))+MONTH(CZ$3)-MONTH($B$41)+1)/MAX(1,'Вводные'!$F$89)&lt;=0.8,1.2,0.8)))</x:f>
      </x:c>
      <x:c r="DA46" s="35" t="n">
        <x:f>IF(DA45=0,0,IF((12*(YEAR(DA$3)-YEAR($B$41))+MONTH(DA$3)-MONTH($B$41)+1)/MAX(1,'Вводные'!$F$89)&lt;=0.2,0.6,IF((12*(YEAR(DA$3)-YEAR($B$41))+MONTH(DA$3)-MONTH($B$41)+1)/MAX(1,'Вводные'!$F$89)&lt;=0.8,1.2,0.8)))</x:f>
      </x:c>
      <x:c r="DB46" s="35" t="n">
        <x:f>IF(DB45=0,0,IF((12*(YEAR(DB$3)-YEAR($B$41))+MONTH(DB$3)-MONTH($B$41)+1)/MAX(1,'Вводные'!$F$89)&lt;=0.2,0.6,IF((12*(YEAR(DB$3)-YEAR($B$41))+MONTH(DB$3)-MONTH($B$41)+1)/MAX(1,'Вводные'!$F$89)&lt;=0.8,1.2,0.8)))</x:f>
      </x:c>
      <x:c r="DC46" s="35" t="n">
        <x:f>IF(DC45=0,0,IF((12*(YEAR(DC$3)-YEAR($B$41))+MONTH(DC$3)-MONTH($B$41)+1)/MAX(1,'Вводные'!$F$89)&lt;=0.2,0.6,IF((12*(YEAR(DC$3)-YEAR($B$41))+MONTH(DC$3)-MONTH($B$41)+1)/MAX(1,'Вводные'!$F$89)&lt;=0.8,1.2,0.8)))</x:f>
      </x:c>
      <x:c r="DD46" s="35" t="n">
        <x:f>IF(DD45=0,0,IF((12*(YEAR(DD$3)-YEAR($B$41))+MONTH(DD$3)-MONTH($B$41)+1)/MAX(1,'Вводные'!$F$89)&lt;=0.2,0.6,IF((12*(YEAR(DD$3)-YEAR($B$41))+MONTH(DD$3)-MONTH($B$41)+1)/MAX(1,'Вводные'!$F$89)&lt;=0.8,1.2,0.8)))</x:f>
      </x:c>
      <x:c r="DE46" s="35" t="n">
        <x:f>IF(DE45=0,0,IF((12*(YEAR(DE$3)-YEAR($B$41))+MONTH(DE$3)-MONTH($B$41)+1)/MAX(1,'Вводные'!$F$89)&lt;=0.2,0.6,IF((12*(YEAR(DE$3)-YEAR($B$41))+MONTH(DE$3)-MONTH($B$41)+1)/MAX(1,'Вводные'!$F$89)&lt;=0.8,1.2,0.8)))</x:f>
      </x:c>
      <x:c r="DF46" s="35" t="n">
        <x:f>IF(DF45=0,0,IF((12*(YEAR(DF$3)-YEAR($B$41))+MONTH(DF$3)-MONTH($B$41)+1)/MAX(1,'Вводные'!$F$89)&lt;=0.2,0.6,IF((12*(YEAR(DF$3)-YEAR($B$41))+MONTH(DF$3)-MONTH($B$41)+1)/MAX(1,'Вводные'!$F$89)&lt;=0.8,1.2,0.8)))</x:f>
      </x:c>
      <x:c r="DG46" s="35" t="n">
        <x:f>IF(DG45=0,0,IF((12*(YEAR(DG$3)-YEAR($B$41))+MONTH(DG$3)-MONTH($B$41)+1)/MAX(1,'Вводные'!$F$89)&lt;=0.2,0.6,IF((12*(YEAR(DG$3)-YEAR($B$41))+MONTH(DG$3)-MONTH($B$41)+1)/MAX(1,'Вводные'!$F$89)&lt;=0.8,1.2,0.8)))</x:f>
      </x:c>
      <x:c r="DH46" s="35" t="n">
        <x:f>IF(DH45=0,0,IF((12*(YEAR(DH$3)-YEAR($B$41))+MONTH(DH$3)-MONTH($B$41)+1)/MAX(1,'Вводные'!$F$89)&lt;=0.2,0.6,IF((12*(YEAR(DH$3)-YEAR($B$41))+MONTH(DH$3)-MONTH($B$41)+1)/MAX(1,'Вводные'!$F$89)&lt;=0.8,1.2,0.8)))</x:f>
      </x:c>
      <x:c r="DI46" s="35" t="n">
        <x:f>IF(DI45=0,0,IF((12*(YEAR(DI$3)-YEAR($B$41))+MONTH(DI$3)-MONTH($B$41)+1)/MAX(1,'Вводные'!$F$89)&lt;=0.2,0.6,IF((12*(YEAR(DI$3)-YEAR($B$41))+MONTH(DI$3)-MONTH($B$41)+1)/MAX(1,'Вводные'!$F$89)&lt;=0.8,1.2,0.8)))</x:f>
      </x:c>
      <x:c r="DJ46" s="35" t="n">
        <x:f>IF(DJ45=0,0,IF((12*(YEAR(DJ$3)-YEAR($B$41))+MONTH(DJ$3)-MONTH($B$41)+1)/MAX(1,'Вводные'!$F$89)&lt;=0.2,0.6,IF((12*(YEAR(DJ$3)-YEAR($B$41))+MONTH(DJ$3)-MONTH($B$41)+1)/MAX(1,'Вводные'!$F$89)&lt;=0.8,1.2,0.8)))</x:f>
      </x:c>
      <x:c r="DK46" s="35" t="n">
        <x:f>IF(DK45=0,0,IF((12*(YEAR(DK$3)-YEAR($B$41))+MONTH(DK$3)-MONTH($B$41)+1)/MAX(1,'Вводные'!$F$89)&lt;=0.2,0.6,IF((12*(YEAR(DK$3)-YEAR($B$41))+MONTH(DK$3)-MONTH($B$41)+1)/MAX(1,'Вводные'!$F$89)&lt;=0.8,1.2,0.8)))</x:f>
      </x:c>
      <x:c r="DL46" s="35" t="n">
        <x:f>IF(DL45=0,0,IF((12*(YEAR(DL$3)-YEAR($B$41))+MONTH(DL$3)-MONTH($B$41)+1)/MAX(1,'Вводные'!$F$89)&lt;=0.2,0.6,IF((12*(YEAR(DL$3)-YEAR($B$41))+MONTH(DL$3)-MONTH($B$41)+1)/MAX(1,'Вводные'!$F$89)&lt;=0.8,1.2,0.8)))</x:f>
      </x:c>
      <x:c r="DM46" s="35" t="n">
        <x:f>IF(DM45=0,0,IF((12*(YEAR(DM$3)-YEAR($B$41))+MONTH(DM$3)-MONTH($B$41)+1)/MAX(1,'Вводные'!$F$89)&lt;=0.2,0.6,IF((12*(YEAR(DM$3)-YEAR($B$41))+MONTH(DM$3)-MONTH($B$41)+1)/MAX(1,'Вводные'!$F$89)&lt;=0.8,1.2,0.8)))</x:f>
      </x:c>
      <x:c r="DN46" s="35" t="n">
        <x:f>IF(DN45=0,0,IF((12*(YEAR(DN$3)-YEAR($B$41))+MONTH(DN$3)-MONTH($B$41)+1)/MAX(1,'Вводные'!$F$89)&lt;=0.2,0.6,IF((12*(YEAR(DN$3)-YEAR($B$41))+MONTH(DN$3)-MONTH($B$41)+1)/MAX(1,'Вводные'!$F$89)&lt;=0.8,1.2,0.8)))</x:f>
      </x:c>
      <x:c r="DO46" s="35" t="n">
        <x:f>IF(DO45=0,0,IF((12*(YEAR(DO$3)-YEAR($B$41))+MONTH(DO$3)-MONTH($B$41)+1)/MAX(1,'Вводные'!$F$89)&lt;=0.2,0.6,IF((12*(YEAR(DO$3)-YEAR($B$41))+MONTH(DO$3)-MONTH($B$41)+1)/MAX(1,'Вводные'!$F$89)&lt;=0.8,1.2,0.8)))</x:f>
      </x:c>
      <x:c r="DP46" s="35" t="n">
        <x:f>IF(DP45=0,0,IF((12*(YEAR(DP$3)-YEAR($B$41))+MONTH(DP$3)-MONTH($B$41)+1)/MAX(1,'Вводные'!$F$89)&lt;=0.2,0.6,IF((12*(YEAR(DP$3)-YEAR($B$41))+MONTH(DP$3)-MONTH($B$41)+1)/MAX(1,'Вводные'!$F$89)&lt;=0.8,1.2,0.8)))</x:f>
      </x:c>
      <x:c r="DQ46" s="35" t="n">
        <x:f>IF(DQ45=0,0,IF((12*(YEAR(DQ$3)-YEAR($B$41))+MONTH(DQ$3)-MONTH($B$41)+1)/MAX(1,'Вводные'!$F$89)&lt;=0.2,0.6,IF((12*(YEAR(DQ$3)-YEAR($B$41))+MONTH(DQ$3)-MONTH($B$41)+1)/MAX(1,'Вводные'!$F$89)&lt;=0.8,1.2,0.8)))</x:f>
      </x:c>
      <x:c r="DR46" s="35" t="n">
        <x:f>IF(DR45=0,0,IF((12*(YEAR(DR$3)-YEAR($B$41))+MONTH(DR$3)-MONTH($B$41)+1)/MAX(1,'Вводные'!$F$89)&lt;=0.2,0.6,IF((12*(YEAR(DR$3)-YEAR($B$41))+MONTH(DR$3)-MONTH($B$41)+1)/MAX(1,'Вводные'!$F$89)&lt;=0.8,1.2,0.8)))</x:f>
      </x:c>
      <x:c r="DS46" s="35" t="n">
        <x:f>IF(DS45=0,0,IF((12*(YEAR(DS$3)-YEAR($B$41))+MONTH(DS$3)-MONTH($B$41)+1)/MAX(1,'Вводные'!$F$89)&lt;=0.2,0.6,IF((12*(YEAR(DS$3)-YEAR($B$41))+MONTH(DS$3)-MONTH($B$41)+1)/MAX(1,'Вводные'!$F$89)&lt;=0.8,1.2,0.8)))</x:f>
      </x:c>
      <x:c r="DT46" s="35" t="n">
        <x:f>IF(DT45=0,0,IF((12*(YEAR(DT$3)-YEAR($B$41))+MONTH(DT$3)-MONTH($B$41)+1)/MAX(1,'Вводные'!$F$89)&lt;=0.2,0.6,IF((12*(YEAR(DT$3)-YEAR($B$41))+MONTH(DT$3)-MONTH($B$41)+1)/MAX(1,'Вводные'!$F$89)&lt;=0.8,1.2,0.8)))</x:f>
      </x:c>
      <x:c r="DU46" s="35" t="n">
        <x:f>IF(DU45=0,0,IF((12*(YEAR(DU$3)-YEAR($B$41))+MONTH(DU$3)-MONTH($B$41)+1)/MAX(1,'Вводные'!$F$89)&lt;=0.2,0.6,IF((12*(YEAR(DU$3)-YEAR($B$41))+MONTH(DU$3)-MONTH($B$41)+1)/MAX(1,'Вводные'!$F$89)&lt;=0.8,1.2,0.8)))</x:f>
      </x:c>
      <x:c r="DV46" s="35" t="n">
        <x:f>IF(DV45=0,0,IF((12*(YEAR(DV$3)-YEAR($B$41))+MONTH(DV$3)-MONTH($B$41)+1)/MAX(1,'Вводные'!$F$89)&lt;=0.2,0.6,IF((12*(YEAR(DV$3)-YEAR($B$41))+MONTH(DV$3)-MONTH($B$41)+1)/MAX(1,'Вводные'!$F$89)&lt;=0.8,1.2,0.8)))</x:f>
      </x:c>
      <x:c r="DW46" s="35" t="n">
        <x:f>IF(DW45=0,0,IF((12*(YEAR(DW$3)-YEAR($B$41))+MONTH(DW$3)-MONTH($B$41)+1)/MAX(1,'Вводные'!$F$89)&lt;=0.2,0.6,IF((12*(YEAR(DW$3)-YEAR($B$41))+MONTH(DW$3)-MONTH($B$41)+1)/MAX(1,'Вводные'!$F$89)&lt;=0.8,1.2,0.8)))</x:f>
      </x:c>
      <x:c r="DX46" s="35" t="n">
        <x:f>IF(DX45=0,0,IF((12*(YEAR(DX$3)-YEAR($B$41))+MONTH(DX$3)-MONTH($B$41)+1)/MAX(1,'Вводные'!$F$89)&lt;=0.2,0.6,IF((12*(YEAR(DX$3)-YEAR($B$41))+MONTH(DX$3)-MONTH($B$41)+1)/MAX(1,'Вводные'!$F$89)&lt;=0.8,1.2,0.8)))</x:f>
      </x:c>
      <x:c r="DY46" s="35" t="n">
        <x:f>IF(DY45=0,0,IF((12*(YEAR(DY$3)-YEAR($B$41))+MONTH(DY$3)-MONTH($B$41)+1)/MAX(1,'Вводные'!$F$89)&lt;=0.2,0.6,IF((12*(YEAR(DY$3)-YEAR($B$41))+MONTH(DY$3)-MONTH($B$41)+1)/MAX(1,'Вводные'!$F$89)&lt;=0.8,1.2,0.8)))</x:f>
      </x:c>
      <x:c r="DZ46" s="35" t="n">
        <x:f>IF(DZ45=0,0,IF((12*(YEAR(DZ$3)-YEAR($B$41))+MONTH(DZ$3)-MONTH($B$41)+1)/MAX(1,'Вводные'!$F$89)&lt;=0.2,0.6,IF((12*(YEAR(DZ$3)-YEAR($B$41))+MONTH(DZ$3)-MONTH($B$41)+1)/MAX(1,'Вводные'!$F$89)&lt;=0.8,1.2,0.8)))</x:f>
      </x:c>
      <x:c r="EA46" s="35" t="n">
        <x:f>IF(EA45=0,0,IF((12*(YEAR(EA$3)-YEAR($B$41))+MONTH(EA$3)-MONTH($B$41)+1)/MAX(1,'Вводные'!$F$89)&lt;=0.2,0.6,IF((12*(YEAR(EA$3)-YEAR($B$41))+MONTH(EA$3)-MONTH($B$41)+1)/MAX(1,'Вводные'!$F$89)&lt;=0.8,1.2,0.8)))</x:f>
      </x:c>
      <x:c r="EB46" s="35" t="n">
        <x:f>IF(EB45=0,0,IF((12*(YEAR(EB$3)-YEAR($B$41))+MONTH(EB$3)-MONTH($B$41)+1)/MAX(1,'Вводные'!$F$89)&lt;=0.2,0.6,IF((12*(YEAR(EB$3)-YEAR($B$41))+MONTH(EB$3)-MONTH($B$41)+1)/MAX(1,'Вводные'!$F$89)&lt;=0.8,1.2,0.8)))</x:f>
      </x:c>
      <x:c r="EC46" s="35" t="n">
        <x:f>IF(EC45=0,0,IF((12*(YEAR(EC$3)-YEAR($B$41))+MONTH(EC$3)-MONTH($B$41)+1)/MAX(1,'Вводные'!$F$89)&lt;=0.2,0.6,IF((12*(YEAR(EC$3)-YEAR($B$41))+MONTH(EC$3)-MONTH($B$41)+1)/MAX(1,'Вводные'!$F$89)&lt;=0.8,1.2,0.8)))</x:f>
      </x:c>
      <x:c r="ED46" s="35" t="n">
        <x:f>IF(ED45=0,0,IF((12*(YEAR(ED$3)-YEAR($B$41))+MONTH(ED$3)-MONTH($B$41)+1)/MAX(1,'Вводные'!$F$89)&lt;=0.2,0.6,IF((12*(YEAR(ED$3)-YEAR($B$41))+MONTH(ED$3)-MONTH($B$41)+1)/MAX(1,'Вводные'!$F$89)&lt;=0.8,1.2,0.8)))</x:f>
      </x:c>
      <x:c r="EE46" s="35" t="n">
        <x:f>IF(EE45=0,0,IF((12*(YEAR(EE$3)-YEAR($B$41))+MONTH(EE$3)-MONTH($B$41)+1)/MAX(1,'Вводные'!$F$89)&lt;=0.2,0.6,IF((12*(YEAR(EE$3)-YEAR($B$41))+MONTH(EE$3)-MONTH($B$41)+1)/MAX(1,'Вводные'!$F$89)&lt;=0.8,1.2,0.8)))</x:f>
      </x:c>
      <x:c r="EF46" s="35" t="n">
        <x:f>IF(EF45=0,0,IF((12*(YEAR(EF$3)-YEAR($B$41))+MONTH(EF$3)-MONTH($B$41)+1)/MAX(1,'Вводные'!$F$89)&lt;=0.2,0.6,IF((12*(YEAR(EF$3)-YEAR($B$41))+MONTH(EF$3)-MONTH($B$41)+1)/MAX(1,'Вводные'!$F$89)&lt;=0.8,1.2,0.8)))</x:f>
      </x:c>
      <x:c r="EG46" s="35" t="n">
        <x:f>IF(EG45=0,0,IF((12*(YEAR(EG$3)-YEAR($B$41))+MONTH(EG$3)-MONTH($B$41)+1)/MAX(1,'Вводные'!$F$89)&lt;=0.2,0.6,IF((12*(YEAR(EG$3)-YEAR($B$41))+MONTH(EG$3)-MONTH($B$41)+1)/MAX(1,'Вводные'!$F$89)&lt;=0.8,1.2,0.8)))</x:f>
      </x:c>
      <x:c r="EH46" s="35" t="n">
        <x:f>IF(EH45=0,0,IF((12*(YEAR(EH$3)-YEAR($B$41))+MONTH(EH$3)-MONTH($B$41)+1)/MAX(1,'Вводные'!$F$89)&lt;=0.2,0.6,IF((12*(YEAR(EH$3)-YEAR($B$41))+MONTH(EH$3)-MONTH($B$41)+1)/MAX(1,'Вводные'!$F$89)&lt;=0.8,1.2,0.8)))</x:f>
      </x:c>
      <x:c r="EI46" s="35" t="n">
        <x:f>IF(EI45=0,0,IF((12*(YEAR(EI$3)-YEAR($B$41))+MONTH(EI$3)-MONTH($B$41)+1)/MAX(1,'Вводные'!$F$89)&lt;=0.2,0.6,IF((12*(YEAR(EI$3)-YEAR($B$41))+MONTH(EI$3)-MONTH($B$41)+1)/MAX(1,'Вводные'!$F$89)&lt;=0.8,1.2,0.8)))</x:f>
      </x:c>
      <x:c r="EJ46" s="35" t="n">
        <x:f>IF(EJ45=0,0,IF((12*(YEAR(EJ$3)-YEAR($B$41))+MONTH(EJ$3)-MONTH($B$41)+1)/MAX(1,'Вводные'!$F$89)&lt;=0.2,0.6,IF((12*(YEAR(EJ$3)-YEAR($B$41))+MONTH(EJ$3)-MONTH($B$41)+1)/MAX(1,'Вводные'!$F$89)&lt;=0.8,1.2,0.8)))</x:f>
      </x:c>
      <x:c r="EK46" s="35" t="n">
        <x:f>IF(EK45=0,0,IF((12*(YEAR(EK$3)-YEAR($B$41))+MONTH(EK$3)-MONTH($B$41)+1)/MAX(1,'Вводные'!$F$89)&lt;=0.2,0.6,IF((12*(YEAR(EK$3)-YEAR($B$41))+MONTH(EK$3)-MONTH($B$41)+1)/MAX(1,'Вводные'!$F$89)&lt;=0.8,1.2,0.8)))</x:f>
      </x:c>
      <x:c r="EL46" s="35" t="n">
        <x:f>IF(EL45=0,0,IF((12*(YEAR(EL$3)-YEAR($B$41))+MONTH(EL$3)-MONTH($B$41)+1)/MAX(1,'Вводные'!$F$89)&lt;=0.2,0.6,IF((12*(YEAR(EL$3)-YEAR($B$41))+MONTH(EL$3)-MONTH($B$41)+1)/MAX(1,'Вводные'!$F$89)&lt;=0.8,1.2,0.8)))</x:f>
      </x:c>
      <x:c r="EM46" s="35" t="n">
        <x:f>IF(EM45=0,0,IF((12*(YEAR(EM$3)-YEAR($B$41))+MONTH(EM$3)-MONTH($B$41)+1)/MAX(1,'Вводные'!$F$89)&lt;=0.2,0.6,IF((12*(YEAR(EM$3)-YEAR($B$41))+MONTH(EM$3)-MONTH($B$41)+1)/MAX(1,'Вводные'!$F$89)&lt;=0.8,1.2,0.8)))</x:f>
      </x:c>
      <x:c r="EN46" s="35" t="n">
        <x:f>IF(EN45=0,0,IF((12*(YEAR(EN$3)-YEAR($B$41))+MONTH(EN$3)-MONTH($B$41)+1)/MAX(1,'Вводные'!$F$89)&lt;=0.2,0.6,IF((12*(YEAR(EN$3)-YEAR($B$41))+MONTH(EN$3)-MONTH($B$41)+1)/MAX(1,'Вводные'!$F$89)&lt;=0.8,1.2,0.8)))</x:f>
      </x:c>
      <x:c r="EO46" s="35" t="n">
        <x:f>IF(EO45=0,0,IF((12*(YEAR(EO$3)-YEAR($B$41))+MONTH(EO$3)-MONTH($B$41)+1)/MAX(1,'Вводные'!$F$89)&lt;=0.2,0.6,IF((12*(YEAR(EO$3)-YEAR($B$41))+MONTH(EO$3)-MONTH($B$41)+1)/MAX(1,'Вводные'!$F$89)&lt;=0.8,1.2,0.8)))</x:f>
      </x:c>
      <x:c r="EP46" s="35" t="n">
        <x:f>IF(EP45=0,0,IF((12*(YEAR(EP$3)-YEAR($B$41))+MONTH(EP$3)-MONTH($B$41)+1)/MAX(1,'Вводные'!$F$89)&lt;=0.2,0.6,IF((12*(YEAR(EP$3)-YEAR($B$41))+MONTH(EP$3)-MONTH($B$41)+1)/MAX(1,'Вводные'!$F$89)&lt;=0.8,1.2,0.8)))</x:f>
      </x:c>
      <x:c r="EQ46" s="35" t="n">
        <x:f>IF(EQ45=0,0,IF((12*(YEAR(EQ$3)-YEAR($B$41))+MONTH(EQ$3)-MONTH($B$41)+1)/MAX(1,'Вводные'!$F$89)&lt;=0.2,0.6,IF((12*(YEAR(EQ$3)-YEAR($B$41))+MONTH(EQ$3)-MONTH($B$41)+1)/MAX(1,'Вводные'!$F$89)&lt;=0.8,1.2,0.8)))</x:f>
      </x:c>
      <x:c r="ER46" s="35" t="n">
        <x:f>IF(ER45=0,0,IF((12*(YEAR(ER$3)-YEAR($B$41))+MONTH(ER$3)-MONTH($B$41)+1)/MAX(1,'Вводные'!$F$89)&lt;=0.2,0.6,IF((12*(YEAR(ER$3)-YEAR($B$41))+MONTH(ER$3)-MONTH($B$41)+1)/MAX(1,'Вводные'!$F$89)&lt;=0.8,1.2,0.8)))</x:f>
      </x:c>
      <x:c r="ES46" s="35" t="n">
        <x:f>IF(ES45=0,0,IF((12*(YEAR(ES$3)-YEAR($B$41))+MONTH(ES$3)-MONTH($B$41)+1)/MAX(1,'Вводные'!$F$89)&lt;=0.2,0.6,IF((12*(YEAR(ES$3)-YEAR($B$41))+MONTH(ES$3)-MONTH($B$41)+1)/MAX(1,'Вводные'!$F$89)&lt;=0.8,1.2,0.8)))</x:f>
      </x:c>
      <x:c r="ET46" s="35" t="n">
        <x:f>IF(ET45=0,0,IF((12*(YEAR(ET$3)-YEAR($B$41))+MONTH(ET$3)-MONTH($B$41)+1)/MAX(1,'Вводные'!$F$89)&lt;=0.2,0.6,IF((12*(YEAR(ET$3)-YEAR($B$41))+MONTH(ET$3)-MONTH($B$41)+1)/MAX(1,'Вводные'!$F$89)&lt;=0.8,1.2,0.8)))</x:f>
      </x:c>
      <x:c r="EU46" s="35" t="n">
        <x:f>IF(EU45=0,0,IF((12*(YEAR(EU$3)-YEAR($B$41))+MONTH(EU$3)-MONTH($B$41)+1)/MAX(1,'Вводные'!$F$89)&lt;=0.2,0.6,IF((12*(YEAR(EU$3)-YEAR($B$41))+MONTH(EU$3)-MONTH($B$41)+1)/MAX(1,'Вводные'!$F$89)&lt;=0.8,1.2,0.8)))</x:f>
      </x:c>
      <x:c r="EV46" s="35" t="n">
        <x:f>IF(EV45=0,0,IF((12*(YEAR(EV$3)-YEAR($B$41))+MONTH(EV$3)-MONTH($B$41)+1)/MAX(1,'Вводные'!$F$89)&lt;=0.2,0.6,IF((12*(YEAR(EV$3)-YEAR($B$41))+MONTH(EV$3)-MONTH($B$41)+1)/MAX(1,'Вводные'!$F$89)&lt;=0.8,1.2,0.8)))</x:f>
      </x:c>
      <x:c r="EW46" s="35" t="n">
        <x:f>IF(EW45=0,0,IF((12*(YEAR(EW$3)-YEAR($B$41))+MONTH(EW$3)-MONTH($B$41)+1)/MAX(1,'Вводные'!$F$89)&lt;=0.2,0.6,IF((12*(YEAR(EW$3)-YEAR($B$41))+MONTH(EW$3)-MONTH($B$41)+1)/MAX(1,'Вводные'!$F$89)&lt;=0.8,1.2,0.8)))</x:f>
      </x:c>
      <x:c r="EX46" s="35" t="n">
        <x:f>IF(EX45=0,0,IF((12*(YEAR(EX$3)-YEAR($B$41))+MONTH(EX$3)-MONTH($B$41)+1)/MAX(1,'Вводные'!$F$89)&lt;=0.2,0.6,IF((12*(YEAR(EX$3)-YEAR($B$41))+MONTH(EX$3)-MONTH($B$41)+1)/MAX(1,'Вводные'!$F$89)&lt;=0.8,1.2,0.8)))</x:f>
      </x:c>
      <x:c r="EY46" s="35" t="n">
        <x:f>IF(EY45=0,0,IF((12*(YEAR(EY$3)-YEAR($B$41))+MONTH(EY$3)-MONTH($B$41)+1)/MAX(1,'Вводные'!$F$89)&lt;=0.2,0.6,IF((12*(YEAR(EY$3)-YEAR($B$41))+MONTH(EY$3)-MONTH($B$41)+1)/MAX(1,'Вводные'!$F$89)&lt;=0.8,1.2,0.8)))</x:f>
      </x:c>
      <x:c r="EZ46" s="35" t="n">
        <x:f>IF(EZ45=0,0,IF((12*(YEAR(EZ$3)-YEAR($B$41))+MONTH(EZ$3)-MONTH($B$41)+1)/MAX(1,'Вводные'!$F$89)&lt;=0.2,0.6,IF((12*(YEAR(EZ$3)-YEAR($B$41))+MONTH(EZ$3)-MONTH($B$41)+1)/MAX(1,'Вводные'!$F$89)&lt;=0.8,1.2,0.8)))</x:f>
      </x:c>
      <x:c r="FA46" s="35" t="n">
        <x:f>IF(FA45=0,0,IF((12*(YEAR(FA$3)-YEAR($B$41))+MONTH(FA$3)-MONTH($B$41)+1)/MAX(1,'Вводные'!$F$89)&lt;=0.2,0.6,IF((12*(YEAR(FA$3)-YEAR($B$41))+MONTH(FA$3)-MONTH($B$41)+1)/MAX(1,'Вводные'!$F$89)&lt;=0.8,1.2,0.8)))</x:f>
      </x:c>
      <x:c r="FB46" s="35" t="n">
        <x:f>IF(FB45=0,0,IF((12*(YEAR(FB$3)-YEAR($B$41))+MONTH(FB$3)-MONTH($B$41)+1)/MAX(1,'Вводные'!$F$89)&lt;=0.2,0.6,IF((12*(YEAR(FB$3)-YEAR($B$41))+MONTH(FB$3)-MONTH($B$41)+1)/MAX(1,'Вводные'!$F$89)&lt;=0.8,1.2,0.8)))</x:f>
      </x:c>
      <x:c r="FC46" s="35" t="n">
        <x:f>IF(FC45=0,0,IF((12*(YEAR(FC$3)-YEAR($B$41))+MONTH(FC$3)-MONTH($B$41)+1)/MAX(1,'Вводные'!$F$89)&lt;=0.2,0.6,IF((12*(YEAR(FC$3)-YEAR($B$41))+MONTH(FC$3)-MONTH($B$41)+1)/MAX(1,'Вводные'!$F$89)&lt;=0.8,1.2,0.8)))</x:f>
      </x:c>
      <x:c r="FD46" s="35" t="n">
        <x:f>IF(FD45=0,0,IF((12*(YEAR(FD$3)-YEAR($B$41))+MONTH(FD$3)-MONTH($B$41)+1)/MAX(1,'Вводные'!$F$89)&lt;=0.2,0.6,IF((12*(YEAR(FD$3)-YEAR($B$41))+MONTH(FD$3)-MONTH($B$41)+1)/MAX(1,'Вводные'!$F$89)&lt;=0.8,1.2,0.8)))</x:f>
      </x:c>
      <x:c r="FE46" s="35" t="n">
        <x:f>IF(FE45=0,0,IF((12*(YEAR(FE$3)-YEAR($B$41))+MONTH(FE$3)-MONTH($B$41)+1)/MAX(1,'Вводные'!$F$89)&lt;=0.2,0.6,IF((12*(YEAR(FE$3)-YEAR($B$41))+MONTH(FE$3)-MONTH($B$41)+1)/MAX(1,'Вводные'!$F$89)&lt;=0.8,1.2,0.8)))</x:f>
      </x:c>
      <x:c r="FF46" s="35" t="n">
        <x:f>IF(FF45=0,0,IF((12*(YEAR(FF$3)-YEAR($B$41))+MONTH(FF$3)-MONTH($B$41)+1)/MAX(1,'Вводные'!$F$89)&lt;=0.2,0.6,IF((12*(YEAR(FF$3)-YEAR($B$41))+MONTH(FF$3)-MONTH($B$41)+1)/MAX(1,'Вводные'!$F$89)&lt;=0.8,1.2,0.8)))</x:f>
      </x:c>
      <x:c r="FG46" s="35" t="n">
        <x:f>IF(FG45=0,0,IF((12*(YEAR(FG$3)-YEAR($B$41))+MONTH(FG$3)-MONTH($B$41)+1)/MAX(1,'Вводные'!$F$89)&lt;=0.2,0.6,IF((12*(YEAR(FG$3)-YEAR($B$41))+MONTH(FG$3)-MONTH($B$41)+1)/MAX(1,'Вводные'!$F$89)&lt;=0.8,1.2,0.8)))</x:f>
      </x:c>
      <x:c r="FH46" s="35" t="n">
        <x:f>IF(FH45=0,0,IF((12*(YEAR(FH$3)-YEAR($B$41))+MONTH(FH$3)-MONTH($B$41)+1)/MAX(1,'Вводные'!$F$89)&lt;=0.2,0.6,IF((12*(YEAR(FH$3)-YEAR($B$41))+MONTH(FH$3)-MONTH($B$41)+1)/MAX(1,'Вводные'!$F$89)&lt;=0.8,1.2,0.8)))</x:f>
      </x:c>
      <x:c r="FI46" s="35" t="n">
        <x:f>IF(FI45=0,0,IF((12*(YEAR(FI$3)-YEAR($B$41))+MONTH(FI$3)-MONTH($B$41)+1)/MAX(1,'Вводные'!$F$89)&lt;=0.2,0.6,IF((12*(YEAR(FI$3)-YEAR($B$41))+MONTH(FI$3)-MONTH($B$41)+1)/MAX(1,'Вводные'!$F$89)&lt;=0.8,1.2,0.8)))</x:f>
      </x:c>
      <x:c r="FJ46" s="35" t="n">
        <x:f>IF(FJ45=0,0,IF((12*(YEAR(FJ$3)-YEAR($B$41))+MONTH(FJ$3)-MONTH($B$41)+1)/MAX(1,'Вводные'!$F$89)&lt;=0.2,0.6,IF((12*(YEAR(FJ$3)-YEAR($B$41))+MONTH(FJ$3)-MONTH($B$41)+1)/MAX(1,'Вводные'!$F$89)&lt;=0.8,1.2,0.8)))</x:f>
      </x:c>
      <x:c r="FK46" s="35" t="n">
        <x:f>IF(FK45=0,0,IF((12*(YEAR(FK$3)-YEAR($B$41))+MONTH(FK$3)-MONTH($B$41)+1)/MAX(1,'Вводные'!$F$89)&lt;=0.2,0.6,IF((12*(YEAR(FK$3)-YEAR($B$41))+MONTH(FK$3)-MONTH($B$41)+1)/MAX(1,'Вводные'!$F$89)&lt;=0.8,1.2,0.8)))</x:f>
      </x:c>
      <x:c r="FL46" s="35" t="n">
        <x:f>IF(FL45=0,0,IF((12*(YEAR(FL$3)-YEAR($B$41))+MONTH(FL$3)-MONTH($B$41)+1)/MAX(1,'Вводные'!$F$89)&lt;=0.2,0.6,IF((12*(YEAR(FL$3)-YEAR($B$41))+MONTH(FL$3)-MONTH($B$41)+1)/MAX(1,'Вводные'!$F$89)&lt;=0.8,1.2,0.8)))</x:f>
      </x:c>
      <x:c r="FM46" s="35" t="n">
        <x:f>IF(FM45=0,0,IF((12*(YEAR(FM$3)-YEAR($B$41))+MONTH(FM$3)-MONTH($B$41)+1)/MAX(1,'Вводные'!$F$89)&lt;=0.2,0.6,IF((12*(YEAR(FM$3)-YEAR($B$41))+MONTH(FM$3)-MONTH($B$41)+1)/MAX(1,'Вводные'!$F$89)&lt;=0.8,1.2,0.8)))</x:f>
      </x:c>
      <x:c r="FN46" s="35" t="n">
        <x:f>IF(FN45=0,0,IF((12*(YEAR(FN$3)-YEAR($B$41))+MONTH(FN$3)-MONTH($B$41)+1)/MAX(1,'Вводные'!$F$89)&lt;=0.2,0.6,IF((12*(YEAR(FN$3)-YEAR($B$41))+MONTH(FN$3)-MONTH($B$41)+1)/MAX(1,'Вводные'!$F$89)&lt;=0.8,1.2,0.8)))</x:f>
      </x:c>
      <x:c r="FO46" s="35" t="n">
        <x:f>IF(FO45=0,0,IF((12*(YEAR(FO$3)-YEAR($B$41))+MONTH(FO$3)-MONTH($B$41)+1)/MAX(1,'Вводные'!$F$89)&lt;=0.2,0.6,IF((12*(YEAR(FO$3)-YEAR($B$41))+MONTH(FO$3)-MONTH($B$41)+1)/MAX(1,'Вводные'!$F$89)&lt;=0.8,1.2,0.8)))</x:f>
      </x:c>
      <x:c r="FP46" s="35" t="n">
        <x:f>IF(FP45=0,0,IF((12*(YEAR(FP$3)-YEAR($B$41))+MONTH(FP$3)-MONTH($B$41)+1)/MAX(1,'Вводные'!$F$89)&lt;=0.2,0.6,IF((12*(YEAR(FP$3)-YEAR($B$41))+MONTH(FP$3)-MONTH($B$41)+1)/MAX(1,'Вводные'!$F$89)&lt;=0.8,1.2,0.8)))</x:f>
      </x:c>
      <x:c r="FQ46" s="35" t="n">
        <x:f>IF(FQ45=0,0,IF((12*(YEAR(FQ$3)-YEAR($B$41))+MONTH(FQ$3)-MONTH($B$41)+1)/MAX(1,'Вводные'!$F$89)&lt;=0.2,0.6,IF((12*(YEAR(FQ$3)-YEAR($B$41))+MONTH(FQ$3)-MONTH($B$41)+1)/MAX(1,'Вводные'!$F$89)&lt;=0.8,1.2,0.8)))</x:f>
      </x:c>
      <x:c r="FR46" s="35" t="n">
        <x:f>IF(FR45=0,0,IF((12*(YEAR(FR$3)-YEAR($B$41))+MONTH(FR$3)-MONTH($B$41)+1)/MAX(1,'Вводные'!$F$89)&lt;=0.2,0.6,IF((12*(YEAR(FR$3)-YEAR($B$41))+MONTH(FR$3)-MONTH($B$41)+1)/MAX(1,'Вводные'!$F$89)&lt;=0.8,1.2,0.8)))</x:f>
      </x:c>
      <x:c r="FS46" s="35" t="n">
        <x:f>IF(FS45=0,0,IF((12*(YEAR(FS$3)-YEAR($B$41))+MONTH(FS$3)-MONTH($B$41)+1)/MAX(1,'Вводные'!$F$89)&lt;=0.2,0.6,IF((12*(YEAR(FS$3)-YEAR($B$41))+MONTH(FS$3)-MONTH($B$41)+1)/MAX(1,'Вводные'!$F$89)&lt;=0.8,1.2,0.8)))</x:f>
      </x:c>
      <x:c r="FT46" s="35" t="n">
        <x:f>IF(FT45=0,0,IF((12*(YEAR(FT$3)-YEAR($B$41))+MONTH(FT$3)-MONTH($B$41)+1)/MAX(1,'Вводные'!$F$89)&lt;=0.2,0.6,IF((12*(YEAR(FT$3)-YEAR($B$41))+MONTH(FT$3)-MONTH($B$41)+1)/MAX(1,'Вводные'!$F$89)&lt;=0.8,1.2,0.8)))</x:f>
      </x:c>
      <x:c r="FU46" s="35" t="n">
        <x:f>IF(FU45=0,0,IF((12*(YEAR(FU$3)-YEAR($B$41))+MONTH(FU$3)-MONTH($B$41)+1)/MAX(1,'Вводные'!$F$89)&lt;=0.2,0.6,IF((12*(YEAR(FU$3)-YEAR($B$41))+MONTH(FU$3)-MONTH($B$41)+1)/MAX(1,'Вводные'!$F$89)&lt;=0.8,1.2,0.8)))</x:f>
      </x:c>
      <x:c r="FV46" s="35" t="n">
        <x:f>IF(FV45=0,0,IF((12*(YEAR(FV$3)-YEAR($B$41))+MONTH(FV$3)-MONTH($B$41)+1)/MAX(1,'Вводные'!$F$89)&lt;=0.2,0.6,IF((12*(YEAR(FV$3)-YEAR($B$41))+MONTH(FV$3)-MONTH($B$41)+1)/MAX(1,'Вводные'!$F$89)&lt;=0.8,1.2,0.8)))</x:f>
      </x:c>
      <x:c r="FW46" s="35" t="n">
        <x:f>IF(FW45=0,0,IF((12*(YEAR(FW$3)-YEAR($B$41))+MONTH(FW$3)-MONTH($B$41)+1)/MAX(1,'Вводные'!$F$89)&lt;=0.2,0.6,IF((12*(YEAR(FW$3)-YEAR($B$41))+MONTH(FW$3)-MONTH($B$41)+1)/MAX(1,'Вводные'!$F$89)&lt;=0.8,1.2,0.8)))</x:f>
      </x:c>
      <x:c r="FX46" s="35" t="n">
        <x:f>IF(FX45=0,0,IF((12*(YEAR(FX$3)-YEAR($B$41))+MONTH(FX$3)-MONTH($B$41)+1)/MAX(1,'Вводные'!$F$89)&lt;=0.2,0.6,IF((12*(YEAR(FX$3)-YEAR($B$41))+MONTH(FX$3)-MONTH($B$41)+1)/MAX(1,'Вводные'!$F$89)&lt;=0.8,1.2,0.8)))</x:f>
      </x:c>
      <x:c r="FY46" s="35" t="n">
        <x:f>IF(FY45=0,0,IF((12*(YEAR(FY$3)-YEAR($B$41))+MONTH(FY$3)-MONTH($B$41)+1)/MAX(1,'Вводные'!$F$89)&lt;=0.2,0.6,IF((12*(YEAR(FY$3)-YEAR($B$41))+MONTH(FY$3)-MONTH($B$41)+1)/MAX(1,'Вводные'!$F$89)&lt;=0.8,1.2,0.8)))</x:f>
      </x:c>
      <x:c r="FZ46" s="35" t="n">
        <x:f>IF(FZ45=0,0,IF((12*(YEAR(FZ$3)-YEAR($B$41))+MONTH(FZ$3)-MONTH($B$41)+1)/MAX(1,'Вводные'!$F$89)&lt;=0.2,0.6,IF((12*(YEAR(FZ$3)-YEAR($B$41))+MONTH(FZ$3)-MONTH($B$41)+1)/MAX(1,'Вводные'!$F$89)&lt;=0.8,1.2,0.8)))</x:f>
      </x:c>
      <x:c r="GA46" s="35" t="n">
        <x:f>IF(GA45=0,0,IF((12*(YEAR(GA$3)-YEAR($B$41))+MONTH(GA$3)-MONTH($B$41)+1)/MAX(1,'Вводные'!$F$89)&lt;=0.2,0.6,IF((12*(YEAR(GA$3)-YEAR($B$41))+MONTH(GA$3)-MONTH($B$41)+1)/MAX(1,'Вводные'!$F$89)&lt;=0.8,1.2,0.8)))</x:f>
      </x:c>
    </x:row>
    <x:row r="47">
      <x:c r="A47" t="str">
        <x:v>Нормированный вес строительства</x:v>
      </x:c>
      <x:c r="B47"/>
      <x:c r="C47" t="str">
        <x:v>%</x:v>
      </x:c>
      <x:c r="D47" s="35" t="n">
        <x:f>IFERROR(D46/SUM($D46:$GA46),0)</x:f>
      </x:c>
      <x:c r="E47" s="35" t="n">
        <x:f>IFERROR(E46/SUM($D46:$GA46),0)</x:f>
      </x:c>
      <x:c r="F47" s="35" t="n">
        <x:f>IFERROR(F46/SUM($D46:$GA46),0)</x:f>
      </x:c>
      <x:c r="G47" s="35" t="n">
        <x:f>IFERROR(G46/SUM($D46:$GA46),0)</x:f>
      </x:c>
      <x:c r="H47" s="35" t="n">
        <x:f>IFERROR(H46/SUM($D46:$GA46),0)</x:f>
      </x:c>
      <x:c r="I47" s="35" t="n">
        <x:f>IFERROR(I46/SUM($D46:$GA46),0)</x:f>
      </x:c>
      <x:c r="J47" s="35" t="n">
        <x:f>IFERROR(J46/SUM($D46:$GA46),0)</x:f>
      </x:c>
      <x:c r="K47" s="35" t="n">
        <x:f>IFERROR(K46/SUM($D46:$GA46),0)</x:f>
      </x:c>
      <x:c r="L47" s="35" t="n">
        <x:f>IFERROR(L46/SUM($D46:$GA46),0)</x:f>
      </x:c>
      <x:c r="M47" s="35" t="n">
        <x:f>IFERROR(M46/SUM($D46:$GA46),0)</x:f>
      </x:c>
      <x:c r="N47" s="35" t="n">
        <x:f>IFERROR(N46/SUM($D46:$GA46),0)</x:f>
      </x:c>
      <x:c r="O47" s="35" t="n">
        <x:f>IFERROR(O46/SUM($D46:$GA46),0)</x:f>
      </x:c>
      <x:c r="P47" s="35" t="n">
        <x:f>IFERROR(P46/SUM($D46:$GA46),0)</x:f>
      </x:c>
      <x:c r="Q47" s="35" t="n">
        <x:f>IFERROR(Q46/SUM($D46:$GA46),0)</x:f>
      </x:c>
      <x:c r="R47" s="35" t="n">
        <x:f>IFERROR(R46/SUM($D46:$GA46),0)</x:f>
      </x:c>
      <x:c r="S47" s="35" t="n">
        <x:f>IFERROR(S46/SUM($D46:$GA46),0)</x:f>
      </x:c>
      <x:c r="T47" s="35" t="n">
        <x:f>IFERROR(T46/SUM($D46:$GA46),0)</x:f>
      </x:c>
      <x:c r="U47" s="35" t="n">
        <x:f>IFERROR(U46/SUM($D46:$GA46),0)</x:f>
      </x:c>
      <x:c r="V47" s="35" t="n">
        <x:f>IFERROR(V46/SUM($D46:$GA46),0)</x:f>
      </x:c>
      <x:c r="W47" s="35" t="n">
        <x:f>IFERROR(W46/SUM($D46:$GA46),0)</x:f>
      </x:c>
      <x:c r="X47" s="35" t="n">
        <x:f>IFERROR(X46/SUM($D46:$GA46),0)</x:f>
      </x:c>
      <x:c r="Y47" s="35" t="n">
        <x:f>IFERROR(Y46/SUM($D46:$GA46),0)</x:f>
      </x:c>
      <x:c r="Z47" s="35" t="n">
        <x:f>IFERROR(Z46/SUM($D46:$GA46),0)</x:f>
      </x:c>
      <x:c r="AA47" s="35" t="n">
        <x:f>IFERROR(AA46/SUM($D46:$GA46),0)</x:f>
      </x:c>
      <x:c r="AB47" s="35" t="n">
        <x:f>IFERROR(AB46/SUM($D46:$GA46),0)</x:f>
      </x:c>
      <x:c r="AC47" s="35" t="n">
        <x:f>IFERROR(AC46/SUM($D46:$GA46),0)</x:f>
      </x:c>
      <x:c r="AD47" s="35" t="n">
        <x:f>IFERROR(AD46/SUM($D46:$GA46),0)</x:f>
      </x:c>
      <x:c r="AE47" s="35" t="n">
        <x:f>IFERROR(AE46/SUM($D46:$GA46),0)</x:f>
      </x:c>
      <x:c r="AF47" s="35" t="n">
        <x:f>IFERROR(AF46/SUM($D46:$GA46),0)</x:f>
      </x:c>
      <x:c r="AG47" s="35" t="n">
        <x:f>IFERROR(AG46/SUM($D46:$GA46),0)</x:f>
      </x:c>
      <x:c r="AH47" s="35" t="n">
        <x:f>IFERROR(AH46/SUM($D46:$GA46),0)</x:f>
      </x:c>
      <x:c r="AI47" s="35" t="n">
        <x:f>IFERROR(AI46/SUM($D46:$GA46),0)</x:f>
      </x:c>
      <x:c r="AJ47" s="35" t="n">
        <x:f>IFERROR(AJ46/SUM($D46:$GA46),0)</x:f>
      </x:c>
      <x:c r="AK47" s="35" t="n">
        <x:f>IFERROR(AK46/SUM($D46:$GA46),0)</x:f>
      </x:c>
      <x:c r="AL47" s="35" t="n">
        <x:f>IFERROR(AL46/SUM($D46:$GA46),0)</x:f>
      </x:c>
      <x:c r="AM47" s="35" t="n">
        <x:f>IFERROR(AM46/SUM($D46:$GA46),0)</x:f>
      </x:c>
      <x:c r="AN47" s="35" t="n">
        <x:f>IFERROR(AN46/SUM($D46:$GA46),0)</x:f>
      </x:c>
      <x:c r="AO47" s="35" t="n">
        <x:f>IFERROR(AO46/SUM($D46:$GA46),0)</x:f>
      </x:c>
      <x:c r="AP47" s="35" t="n">
        <x:f>IFERROR(AP46/SUM($D46:$GA46),0)</x:f>
      </x:c>
      <x:c r="AQ47" s="35" t="n">
        <x:f>IFERROR(AQ46/SUM($D46:$GA46),0)</x:f>
      </x:c>
      <x:c r="AR47" s="35" t="n">
        <x:f>IFERROR(AR46/SUM($D46:$GA46),0)</x:f>
      </x:c>
      <x:c r="AS47" s="35" t="n">
        <x:f>IFERROR(AS46/SUM($D46:$GA46),0)</x:f>
      </x:c>
      <x:c r="AT47" s="35" t="n">
        <x:f>IFERROR(AT46/SUM($D46:$GA46),0)</x:f>
      </x:c>
      <x:c r="AU47" s="35" t="n">
        <x:f>IFERROR(AU46/SUM($D46:$GA46),0)</x:f>
      </x:c>
      <x:c r="AV47" s="35" t="n">
        <x:f>IFERROR(AV46/SUM($D46:$GA46),0)</x:f>
      </x:c>
      <x:c r="AW47" s="35" t="n">
        <x:f>IFERROR(AW46/SUM($D46:$GA46),0)</x:f>
      </x:c>
      <x:c r="AX47" s="35" t="n">
        <x:f>IFERROR(AX46/SUM($D46:$GA46),0)</x:f>
      </x:c>
      <x:c r="AY47" s="35" t="n">
        <x:f>IFERROR(AY46/SUM($D46:$GA46),0)</x:f>
      </x:c>
      <x:c r="AZ47" s="35" t="n">
        <x:f>IFERROR(AZ46/SUM($D46:$GA46),0)</x:f>
      </x:c>
      <x:c r="BA47" s="35" t="n">
        <x:f>IFERROR(BA46/SUM($D46:$GA46),0)</x:f>
      </x:c>
      <x:c r="BB47" s="35" t="n">
        <x:f>IFERROR(BB46/SUM($D46:$GA46),0)</x:f>
      </x:c>
      <x:c r="BC47" s="35" t="n">
        <x:f>IFERROR(BC46/SUM($D46:$GA46),0)</x:f>
      </x:c>
      <x:c r="BD47" s="35" t="n">
        <x:f>IFERROR(BD46/SUM($D46:$GA46),0)</x:f>
      </x:c>
      <x:c r="BE47" s="35" t="n">
        <x:f>IFERROR(BE46/SUM($D46:$GA46),0)</x:f>
      </x:c>
      <x:c r="BF47" s="35" t="n">
        <x:f>IFERROR(BF46/SUM($D46:$GA46),0)</x:f>
      </x:c>
      <x:c r="BG47" s="35" t="n">
        <x:f>IFERROR(BG46/SUM($D46:$GA46),0)</x:f>
      </x:c>
      <x:c r="BH47" s="35" t="n">
        <x:f>IFERROR(BH46/SUM($D46:$GA46),0)</x:f>
      </x:c>
      <x:c r="BI47" s="35" t="n">
        <x:f>IFERROR(BI46/SUM($D46:$GA46),0)</x:f>
      </x:c>
      <x:c r="BJ47" s="35" t="n">
        <x:f>IFERROR(BJ46/SUM($D46:$GA46),0)</x:f>
      </x:c>
      <x:c r="BK47" s="35" t="n">
        <x:f>IFERROR(BK46/SUM($D46:$GA46),0)</x:f>
      </x:c>
      <x:c r="BL47" s="35" t="n">
        <x:f>IFERROR(BL46/SUM($D46:$GA46),0)</x:f>
      </x:c>
      <x:c r="BM47" s="35" t="n">
        <x:f>IFERROR(BM46/SUM($D46:$GA46),0)</x:f>
      </x:c>
      <x:c r="BN47" s="35" t="n">
        <x:f>IFERROR(BN46/SUM($D46:$GA46),0)</x:f>
      </x:c>
      <x:c r="BO47" s="35" t="n">
        <x:f>IFERROR(BO46/SUM($D46:$GA46),0)</x:f>
      </x:c>
      <x:c r="BP47" s="35" t="n">
        <x:f>IFERROR(BP46/SUM($D46:$GA46),0)</x:f>
      </x:c>
      <x:c r="BQ47" s="35" t="n">
        <x:f>IFERROR(BQ46/SUM($D46:$GA46),0)</x:f>
      </x:c>
      <x:c r="BR47" s="35" t="n">
        <x:f>IFERROR(BR46/SUM($D46:$GA46),0)</x:f>
      </x:c>
      <x:c r="BS47" s="35" t="n">
        <x:f>IFERROR(BS46/SUM($D46:$GA46),0)</x:f>
      </x:c>
      <x:c r="BT47" s="35" t="n">
        <x:f>IFERROR(BT46/SUM($D46:$GA46),0)</x:f>
      </x:c>
      <x:c r="BU47" s="35" t="n">
        <x:f>IFERROR(BU46/SUM($D46:$GA46),0)</x:f>
      </x:c>
      <x:c r="BV47" s="35" t="n">
        <x:f>IFERROR(BV46/SUM($D46:$GA46),0)</x:f>
      </x:c>
      <x:c r="BW47" s="35" t="n">
        <x:f>IFERROR(BW46/SUM($D46:$GA46),0)</x:f>
      </x:c>
      <x:c r="BX47" s="35" t="n">
        <x:f>IFERROR(BX46/SUM($D46:$GA46),0)</x:f>
      </x:c>
      <x:c r="BY47" s="35" t="n">
        <x:f>IFERROR(BY46/SUM($D46:$GA46),0)</x:f>
      </x:c>
      <x:c r="BZ47" s="35" t="n">
        <x:f>IFERROR(BZ46/SUM($D46:$GA46),0)</x:f>
      </x:c>
      <x:c r="CA47" s="35" t="n">
        <x:f>IFERROR(CA46/SUM($D46:$GA46),0)</x:f>
      </x:c>
      <x:c r="CB47" s="35" t="n">
        <x:f>IFERROR(CB46/SUM($D46:$GA46),0)</x:f>
      </x:c>
      <x:c r="CC47" s="35" t="n">
        <x:f>IFERROR(CC46/SUM($D46:$GA46),0)</x:f>
      </x:c>
      <x:c r="CD47" s="35" t="n">
        <x:f>IFERROR(CD46/SUM($D46:$GA46),0)</x:f>
      </x:c>
      <x:c r="CE47" s="35" t="n">
        <x:f>IFERROR(CE46/SUM($D46:$GA46),0)</x:f>
      </x:c>
      <x:c r="CF47" s="35" t="n">
        <x:f>IFERROR(CF46/SUM($D46:$GA46),0)</x:f>
      </x:c>
      <x:c r="CG47" s="35" t="n">
        <x:f>IFERROR(CG46/SUM($D46:$GA46),0)</x:f>
      </x:c>
      <x:c r="CH47" s="35" t="n">
        <x:f>IFERROR(CH46/SUM($D46:$GA46),0)</x:f>
      </x:c>
      <x:c r="CI47" s="35" t="n">
        <x:f>IFERROR(CI46/SUM($D46:$GA46),0)</x:f>
      </x:c>
      <x:c r="CJ47" s="35" t="n">
        <x:f>IFERROR(CJ46/SUM($D46:$GA46),0)</x:f>
      </x:c>
      <x:c r="CK47" s="35" t="n">
        <x:f>IFERROR(CK46/SUM($D46:$GA46),0)</x:f>
      </x:c>
      <x:c r="CL47" s="35" t="n">
        <x:f>IFERROR(CL46/SUM($D46:$GA46),0)</x:f>
      </x:c>
      <x:c r="CM47" s="35" t="n">
        <x:f>IFERROR(CM46/SUM($D46:$GA46),0)</x:f>
      </x:c>
      <x:c r="CN47" s="35" t="n">
        <x:f>IFERROR(CN46/SUM($D46:$GA46),0)</x:f>
      </x:c>
      <x:c r="CO47" s="35" t="n">
        <x:f>IFERROR(CO46/SUM($D46:$GA46),0)</x:f>
      </x:c>
      <x:c r="CP47" s="35" t="n">
        <x:f>IFERROR(CP46/SUM($D46:$GA46),0)</x:f>
      </x:c>
      <x:c r="CQ47" s="35" t="n">
        <x:f>IFERROR(CQ46/SUM($D46:$GA46),0)</x:f>
      </x:c>
      <x:c r="CR47" s="35" t="n">
        <x:f>IFERROR(CR46/SUM($D46:$GA46),0)</x:f>
      </x:c>
      <x:c r="CS47" s="35" t="n">
        <x:f>IFERROR(CS46/SUM($D46:$GA46),0)</x:f>
      </x:c>
      <x:c r="CT47" s="35" t="n">
        <x:f>IFERROR(CT46/SUM($D46:$GA46),0)</x:f>
      </x:c>
      <x:c r="CU47" s="35" t="n">
        <x:f>IFERROR(CU46/SUM($D46:$GA46),0)</x:f>
      </x:c>
      <x:c r="CV47" s="35" t="n">
        <x:f>IFERROR(CV46/SUM($D46:$GA46),0)</x:f>
      </x:c>
      <x:c r="CW47" s="35" t="n">
        <x:f>IFERROR(CW46/SUM($D46:$GA46),0)</x:f>
      </x:c>
      <x:c r="CX47" s="35" t="n">
        <x:f>IFERROR(CX46/SUM($D46:$GA46),0)</x:f>
      </x:c>
      <x:c r="CY47" s="35" t="n">
        <x:f>IFERROR(CY46/SUM($D46:$GA46),0)</x:f>
      </x:c>
      <x:c r="CZ47" s="35" t="n">
        <x:f>IFERROR(CZ46/SUM($D46:$GA46),0)</x:f>
      </x:c>
      <x:c r="DA47" s="35" t="n">
        <x:f>IFERROR(DA46/SUM($D46:$GA46),0)</x:f>
      </x:c>
      <x:c r="DB47" s="35" t="n">
        <x:f>IFERROR(DB46/SUM($D46:$GA46),0)</x:f>
      </x:c>
      <x:c r="DC47" s="35" t="n">
        <x:f>IFERROR(DC46/SUM($D46:$GA46),0)</x:f>
      </x:c>
      <x:c r="DD47" s="35" t="n">
        <x:f>IFERROR(DD46/SUM($D46:$GA46),0)</x:f>
      </x:c>
      <x:c r="DE47" s="35" t="n">
        <x:f>IFERROR(DE46/SUM($D46:$GA46),0)</x:f>
      </x:c>
      <x:c r="DF47" s="35" t="n">
        <x:f>IFERROR(DF46/SUM($D46:$GA46),0)</x:f>
      </x:c>
      <x:c r="DG47" s="35" t="n">
        <x:f>IFERROR(DG46/SUM($D46:$GA46),0)</x:f>
      </x:c>
      <x:c r="DH47" s="35" t="n">
        <x:f>IFERROR(DH46/SUM($D46:$GA46),0)</x:f>
      </x:c>
      <x:c r="DI47" s="35" t="n">
        <x:f>IFERROR(DI46/SUM($D46:$GA46),0)</x:f>
      </x:c>
      <x:c r="DJ47" s="35" t="n">
        <x:f>IFERROR(DJ46/SUM($D46:$GA46),0)</x:f>
      </x:c>
      <x:c r="DK47" s="35" t="n">
        <x:f>IFERROR(DK46/SUM($D46:$GA46),0)</x:f>
      </x:c>
      <x:c r="DL47" s="35" t="n">
        <x:f>IFERROR(DL46/SUM($D46:$GA46),0)</x:f>
      </x:c>
      <x:c r="DM47" s="35" t="n">
        <x:f>IFERROR(DM46/SUM($D46:$GA46),0)</x:f>
      </x:c>
      <x:c r="DN47" s="35" t="n">
        <x:f>IFERROR(DN46/SUM($D46:$GA46),0)</x:f>
      </x:c>
      <x:c r="DO47" s="35" t="n">
        <x:f>IFERROR(DO46/SUM($D46:$GA46),0)</x:f>
      </x:c>
      <x:c r="DP47" s="35" t="n">
        <x:f>IFERROR(DP46/SUM($D46:$GA46),0)</x:f>
      </x:c>
      <x:c r="DQ47" s="35" t="n">
        <x:f>IFERROR(DQ46/SUM($D46:$GA46),0)</x:f>
      </x:c>
      <x:c r="DR47" s="35" t="n">
        <x:f>IFERROR(DR46/SUM($D46:$GA46),0)</x:f>
      </x:c>
      <x:c r="DS47" s="35" t="n">
        <x:f>IFERROR(DS46/SUM($D46:$GA46),0)</x:f>
      </x:c>
      <x:c r="DT47" s="35" t="n">
        <x:f>IFERROR(DT46/SUM($D46:$GA46),0)</x:f>
      </x:c>
      <x:c r="DU47" s="35" t="n">
        <x:f>IFERROR(DU46/SUM($D46:$GA46),0)</x:f>
      </x:c>
      <x:c r="DV47" s="35" t="n">
        <x:f>IFERROR(DV46/SUM($D46:$GA46),0)</x:f>
      </x:c>
      <x:c r="DW47" s="35" t="n">
        <x:f>IFERROR(DW46/SUM($D46:$GA46),0)</x:f>
      </x:c>
      <x:c r="DX47" s="35" t="n">
        <x:f>IFERROR(DX46/SUM($D46:$GA46),0)</x:f>
      </x:c>
      <x:c r="DY47" s="35" t="n">
        <x:f>IFERROR(DY46/SUM($D46:$GA46),0)</x:f>
      </x:c>
      <x:c r="DZ47" s="35" t="n">
        <x:f>IFERROR(DZ46/SUM($D46:$GA46),0)</x:f>
      </x:c>
      <x:c r="EA47" s="35" t="n">
        <x:f>IFERROR(EA46/SUM($D46:$GA46),0)</x:f>
      </x:c>
      <x:c r="EB47" s="35" t="n">
        <x:f>IFERROR(EB46/SUM($D46:$GA46),0)</x:f>
      </x:c>
      <x:c r="EC47" s="35" t="n">
        <x:f>IFERROR(EC46/SUM($D46:$GA46),0)</x:f>
      </x:c>
      <x:c r="ED47" s="35" t="n">
        <x:f>IFERROR(ED46/SUM($D46:$GA46),0)</x:f>
      </x:c>
      <x:c r="EE47" s="35" t="n">
        <x:f>IFERROR(EE46/SUM($D46:$GA46),0)</x:f>
      </x:c>
      <x:c r="EF47" s="35" t="n">
        <x:f>IFERROR(EF46/SUM($D46:$GA46),0)</x:f>
      </x:c>
      <x:c r="EG47" s="35" t="n">
        <x:f>IFERROR(EG46/SUM($D46:$GA46),0)</x:f>
      </x:c>
      <x:c r="EH47" s="35" t="n">
        <x:f>IFERROR(EH46/SUM($D46:$GA46),0)</x:f>
      </x:c>
      <x:c r="EI47" s="35" t="n">
        <x:f>IFERROR(EI46/SUM($D46:$GA46),0)</x:f>
      </x:c>
      <x:c r="EJ47" s="35" t="n">
        <x:f>IFERROR(EJ46/SUM($D46:$GA46),0)</x:f>
      </x:c>
      <x:c r="EK47" s="35" t="n">
        <x:f>IFERROR(EK46/SUM($D46:$GA46),0)</x:f>
      </x:c>
      <x:c r="EL47" s="35" t="n">
        <x:f>IFERROR(EL46/SUM($D46:$GA46),0)</x:f>
      </x:c>
      <x:c r="EM47" s="35" t="n">
        <x:f>IFERROR(EM46/SUM($D46:$GA46),0)</x:f>
      </x:c>
      <x:c r="EN47" s="35" t="n">
        <x:f>IFERROR(EN46/SUM($D46:$GA46),0)</x:f>
      </x:c>
      <x:c r="EO47" s="35" t="n">
        <x:f>IFERROR(EO46/SUM($D46:$GA46),0)</x:f>
      </x:c>
      <x:c r="EP47" s="35" t="n">
        <x:f>IFERROR(EP46/SUM($D46:$GA46),0)</x:f>
      </x:c>
      <x:c r="EQ47" s="35" t="n">
        <x:f>IFERROR(EQ46/SUM($D46:$GA46),0)</x:f>
      </x:c>
      <x:c r="ER47" s="35" t="n">
        <x:f>IFERROR(ER46/SUM($D46:$GA46),0)</x:f>
      </x:c>
      <x:c r="ES47" s="35" t="n">
        <x:f>IFERROR(ES46/SUM($D46:$GA46),0)</x:f>
      </x:c>
      <x:c r="ET47" s="35" t="n">
        <x:f>IFERROR(ET46/SUM($D46:$GA46),0)</x:f>
      </x:c>
      <x:c r="EU47" s="35" t="n">
        <x:f>IFERROR(EU46/SUM($D46:$GA46),0)</x:f>
      </x:c>
      <x:c r="EV47" s="35" t="n">
        <x:f>IFERROR(EV46/SUM($D46:$GA46),0)</x:f>
      </x:c>
      <x:c r="EW47" s="35" t="n">
        <x:f>IFERROR(EW46/SUM($D46:$GA46),0)</x:f>
      </x:c>
      <x:c r="EX47" s="35" t="n">
        <x:f>IFERROR(EX46/SUM($D46:$GA46),0)</x:f>
      </x:c>
      <x:c r="EY47" s="35" t="n">
        <x:f>IFERROR(EY46/SUM($D46:$GA46),0)</x:f>
      </x:c>
      <x:c r="EZ47" s="35" t="n">
        <x:f>IFERROR(EZ46/SUM($D46:$GA46),0)</x:f>
      </x:c>
      <x:c r="FA47" s="35" t="n">
        <x:f>IFERROR(FA46/SUM($D46:$GA46),0)</x:f>
      </x:c>
      <x:c r="FB47" s="35" t="n">
        <x:f>IFERROR(FB46/SUM($D46:$GA46),0)</x:f>
      </x:c>
      <x:c r="FC47" s="35" t="n">
        <x:f>IFERROR(FC46/SUM($D46:$GA46),0)</x:f>
      </x:c>
      <x:c r="FD47" s="35" t="n">
        <x:f>IFERROR(FD46/SUM($D46:$GA46),0)</x:f>
      </x:c>
      <x:c r="FE47" s="35" t="n">
        <x:f>IFERROR(FE46/SUM($D46:$GA46),0)</x:f>
      </x:c>
      <x:c r="FF47" s="35" t="n">
        <x:f>IFERROR(FF46/SUM($D46:$GA46),0)</x:f>
      </x:c>
      <x:c r="FG47" s="35" t="n">
        <x:f>IFERROR(FG46/SUM($D46:$GA46),0)</x:f>
      </x:c>
      <x:c r="FH47" s="35" t="n">
        <x:f>IFERROR(FH46/SUM($D46:$GA46),0)</x:f>
      </x:c>
      <x:c r="FI47" s="35" t="n">
        <x:f>IFERROR(FI46/SUM($D46:$GA46),0)</x:f>
      </x:c>
      <x:c r="FJ47" s="35" t="n">
        <x:f>IFERROR(FJ46/SUM($D46:$GA46),0)</x:f>
      </x:c>
      <x:c r="FK47" s="35" t="n">
        <x:f>IFERROR(FK46/SUM($D46:$GA46),0)</x:f>
      </x:c>
      <x:c r="FL47" s="35" t="n">
        <x:f>IFERROR(FL46/SUM($D46:$GA46),0)</x:f>
      </x:c>
      <x:c r="FM47" s="35" t="n">
        <x:f>IFERROR(FM46/SUM($D46:$GA46),0)</x:f>
      </x:c>
      <x:c r="FN47" s="35" t="n">
        <x:f>IFERROR(FN46/SUM($D46:$GA46),0)</x:f>
      </x:c>
      <x:c r="FO47" s="35" t="n">
        <x:f>IFERROR(FO46/SUM($D46:$GA46),0)</x:f>
      </x:c>
      <x:c r="FP47" s="35" t="n">
        <x:f>IFERROR(FP46/SUM($D46:$GA46),0)</x:f>
      </x:c>
      <x:c r="FQ47" s="35" t="n">
        <x:f>IFERROR(FQ46/SUM($D46:$GA46),0)</x:f>
      </x:c>
      <x:c r="FR47" s="35" t="n">
        <x:f>IFERROR(FR46/SUM($D46:$GA46),0)</x:f>
      </x:c>
      <x:c r="FS47" s="35" t="n">
        <x:f>IFERROR(FS46/SUM($D46:$GA46),0)</x:f>
      </x:c>
      <x:c r="FT47" s="35" t="n">
        <x:f>IFERROR(FT46/SUM($D46:$GA46),0)</x:f>
      </x:c>
      <x:c r="FU47" s="35" t="n">
        <x:f>IFERROR(FU46/SUM($D46:$GA46),0)</x:f>
      </x:c>
      <x:c r="FV47" s="35" t="n">
        <x:f>IFERROR(FV46/SUM($D46:$GA46),0)</x:f>
      </x:c>
      <x:c r="FW47" s="35" t="n">
        <x:f>IFERROR(FW46/SUM($D46:$GA46),0)</x:f>
      </x:c>
      <x:c r="FX47" s="35" t="n">
        <x:f>IFERROR(FX46/SUM($D46:$GA46),0)</x:f>
      </x:c>
      <x:c r="FY47" s="35" t="n">
        <x:f>IFERROR(FY46/SUM($D46:$GA46),0)</x:f>
      </x:c>
      <x:c r="FZ47" s="35" t="n">
        <x:f>IFERROR(FZ46/SUM($D46:$GA46),0)</x:f>
      </x:c>
      <x:c r="GA47" s="35" t="n">
        <x:f>IFERROR(GA46/SUM($D46:$GA46),0)</x:f>
      </x:c>
    </x:row>
    <x:row r="48">
      <x:c r="A48" t="str">
        <x:v>Покупка / цена входа</x:v>
      </x:c>
      <x:c r="B48" s="107" t="n">
        <x:f>'Вводные'!$B$15*'Вводные'!$P$89*--('Вводные'!$B$89="Да")</x:f>
      </x:c>
      <x:c r="C48" t="str">
        <x:v>млн ₽</x:v>
      </x:c>
      <x:c r="D48" s="117" t="n">
        <x:f>IF(AND(YEAR(D$3)=YEAR(EDATE('Вводные'!$D$89,'Вводные'!$H$9)),MONTH(D$3)=MONTH(EDATE('Вводные'!$D$89,'Вводные'!$H$9))),$B$48,0)</x:f>
      </x:c>
      <x:c r="E48" s="117" t="n">
        <x:f>IF(AND(YEAR(E$3)=YEAR(EDATE('Вводные'!$D$89,'Вводные'!$H$9)),MONTH(E$3)=MONTH(EDATE('Вводные'!$D$89,'Вводные'!$H$9))),$B$48,0)</x:f>
      </x:c>
      <x:c r="F48" s="117" t="n">
        <x:f>IF(AND(YEAR(F$3)=YEAR(EDATE('Вводные'!$D$89,'Вводные'!$H$9)),MONTH(F$3)=MONTH(EDATE('Вводные'!$D$89,'Вводные'!$H$9))),$B$48,0)</x:f>
      </x:c>
      <x:c r="G48" s="117" t="n">
        <x:f>IF(AND(YEAR(G$3)=YEAR(EDATE('Вводные'!$D$89,'Вводные'!$H$9)),MONTH(G$3)=MONTH(EDATE('Вводные'!$D$89,'Вводные'!$H$9))),$B$48,0)</x:f>
      </x:c>
      <x:c r="H48" s="117" t="n">
        <x:f>IF(AND(YEAR(H$3)=YEAR(EDATE('Вводные'!$D$89,'Вводные'!$H$9)),MONTH(H$3)=MONTH(EDATE('Вводные'!$D$89,'Вводные'!$H$9))),$B$48,0)</x:f>
      </x:c>
      <x:c r="I48" s="117" t="n">
        <x:f>IF(AND(YEAR(I$3)=YEAR(EDATE('Вводные'!$D$89,'Вводные'!$H$9)),MONTH(I$3)=MONTH(EDATE('Вводные'!$D$89,'Вводные'!$H$9))),$B$48,0)</x:f>
      </x:c>
      <x:c r="J48" s="117" t="n">
        <x:f>IF(AND(YEAR(J$3)=YEAR(EDATE('Вводные'!$D$89,'Вводные'!$H$9)),MONTH(J$3)=MONTH(EDATE('Вводные'!$D$89,'Вводные'!$H$9))),$B$48,0)</x:f>
      </x:c>
      <x:c r="K48" s="117" t="n">
        <x:f>IF(AND(YEAR(K$3)=YEAR(EDATE('Вводные'!$D$89,'Вводные'!$H$9)),MONTH(K$3)=MONTH(EDATE('Вводные'!$D$89,'Вводные'!$H$9))),$B$48,0)</x:f>
      </x:c>
      <x:c r="L48" s="117" t="n">
        <x:f>IF(AND(YEAR(L$3)=YEAR(EDATE('Вводные'!$D$89,'Вводные'!$H$9)),MONTH(L$3)=MONTH(EDATE('Вводные'!$D$89,'Вводные'!$H$9))),$B$48,0)</x:f>
      </x:c>
      <x:c r="M48" s="117" t="n">
        <x:f>IF(AND(YEAR(M$3)=YEAR(EDATE('Вводные'!$D$89,'Вводные'!$H$9)),MONTH(M$3)=MONTH(EDATE('Вводные'!$D$89,'Вводные'!$H$9))),$B$48,0)</x:f>
      </x:c>
      <x:c r="N48" s="117" t="n">
        <x:f>IF(AND(YEAR(N$3)=YEAR(EDATE('Вводные'!$D$89,'Вводные'!$H$9)),MONTH(N$3)=MONTH(EDATE('Вводные'!$D$89,'Вводные'!$H$9))),$B$48,0)</x:f>
      </x:c>
      <x:c r="O48" s="117" t="n">
        <x:f>IF(AND(YEAR(O$3)=YEAR(EDATE('Вводные'!$D$89,'Вводные'!$H$9)),MONTH(O$3)=MONTH(EDATE('Вводные'!$D$89,'Вводные'!$H$9))),$B$48,0)</x:f>
      </x:c>
      <x:c r="P48" s="117" t="n">
        <x:f>IF(AND(YEAR(P$3)=YEAR(EDATE('Вводные'!$D$89,'Вводные'!$H$9)),MONTH(P$3)=MONTH(EDATE('Вводные'!$D$89,'Вводные'!$H$9))),$B$48,0)</x:f>
      </x:c>
      <x:c r="Q48" s="117" t="n">
        <x:f>IF(AND(YEAR(Q$3)=YEAR(EDATE('Вводные'!$D$89,'Вводные'!$H$9)),MONTH(Q$3)=MONTH(EDATE('Вводные'!$D$89,'Вводные'!$H$9))),$B$48,0)</x:f>
      </x:c>
      <x:c r="R48" s="117" t="n">
        <x:f>IF(AND(YEAR(R$3)=YEAR(EDATE('Вводные'!$D$89,'Вводные'!$H$9)),MONTH(R$3)=MONTH(EDATE('Вводные'!$D$89,'Вводные'!$H$9))),$B$48,0)</x:f>
      </x:c>
      <x:c r="S48" s="117" t="n">
        <x:f>IF(AND(YEAR(S$3)=YEAR(EDATE('Вводные'!$D$89,'Вводные'!$H$9)),MONTH(S$3)=MONTH(EDATE('Вводные'!$D$89,'Вводные'!$H$9))),$B$48,0)</x:f>
      </x:c>
      <x:c r="T48" s="117" t="n">
        <x:f>IF(AND(YEAR(T$3)=YEAR(EDATE('Вводные'!$D$89,'Вводные'!$H$9)),MONTH(T$3)=MONTH(EDATE('Вводные'!$D$89,'Вводные'!$H$9))),$B$48,0)</x:f>
      </x:c>
      <x:c r="U48" s="117" t="n">
        <x:f>IF(AND(YEAR(U$3)=YEAR(EDATE('Вводные'!$D$89,'Вводные'!$H$9)),MONTH(U$3)=MONTH(EDATE('Вводные'!$D$89,'Вводные'!$H$9))),$B$48,0)</x:f>
      </x:c>
      <x:c r="V48" s="117" t="n">
        <x:f>IF(AND(YEAR(V$3)=YEAR(EDATE('Вводные'!$D$89,'Вводные'!$H$9)),MONTH(V$3)=MONTH(EDATE('Вводные'!$D$89,'Вводные'!$H$9))),$B$48,0)</x:f>
      </x:c>
      <x:c r="W48" s="117" t="n">
        <x:f>IF(AND(YEAR(W$3)=YEAR(EDATE('Вводные'!$D$89,'Вводные'!$H$9)),MONTH(W$3)=MONTH(EDATE('Вводные'!$D$89,'Вводные'!$H$9))),$B$48,0)</x:f>
      </x:c>
      <x:c r="X48" s="117" t="n">
        <x:f>IF(AND(YEAR(X$3)=YEAR(EDATE('Вводные'!$D$89,'Вводные'!$H$9)),MONTH(X$3)=MONTH(EDATE('Вводные'!$D$89,'Вводные'!$H$9))),$B$48,0)</x:f>
      </x:c>
      <x:c r="Y48" s="117" t="n">
        <x:f>IF(AND(YEAR(Y$3)=YEAR(EDATE('Вводные'!$D$89,'Вводные'!$H$9)),MONTH(Y$3)=MONTH(EDATE('Вводные'!$D$89,'Вводные'!$H$9))),$B$48,0)</x:f>
      </x:c>
      <x:c r="Z48" s="117" t="n">
        <x:f>IF(AND(YEAR(Z$3)=YEAR(EDATE('Вводные'!$D$89,'Вводные'!$H$9)),MONTH(Z$3)=MONTH(EDATE('Вводные'!$D$89,'Вводные'!$H$9))),$B$48,0)</x:f>
      </x:c>
      <x:c r="AA48" s="117" t="n">
        <x:f>IF(AND(YEAR(AA$3)=YEAR(EDATE('Вводные'!$D$89,'Вводные'!$H$9)),MONTH(AA$3)=MONTH(EDATE('Вводные'!$D$89,'Вводные'!$H$9))),$B$48,0)</x:f>
      </x:c>
      <x:c r="AB48" s="117" t="n">
        <x:f>IF(AND(YEAR(AB$3)=YEAR(EDATE('Вводные'!$D$89,'Вводные'!$H$9)),MONTH(AB$3)=MONTH(EDATE('Вводные'!$D$89,'Вводные'!$H$9))),$B$48,0)</x:f>
      </x:c>
      <x:c r="AC48" s="117" t="n">
        <x:f>IF(AND(YEAR(AC$3)=YEAR(EDATE('Вводные'!$D$89,'Вводные'!$H$9)),MONTH(AC$3)=MONTH(EDATE('Вводные'!$D$89,'Вводные'!$H$9))),$B$48,0)</x:f>
      </x:c>
      <x:c r="AD48" s="117" t="n">
        <x:f>IF(AND(YEAR(AD$3)=YEAR(EDATE('Вводные'!$D$89,'Вводные'!$H$9)),MONTH(AD$3)=MONTH(EDATE('Вводные'!$D$89,'Вводные'!$H$9))),$B$48,0)</x:f>
      </x:c>
      <x:c r="AE48" s="117" t="n">
        <x:f>IF(AND(YEAR(AE$3)=YEAR(EDATE('Вводные'!$D$89,'Вводные'!$H$9)),MONTH(AE$3)=MONTH(EDATE('Вводные'!$D$89,'Вводные'!$H$9))),$B$48,0)</x:f>
      </x:c>
      <x:c r="AF48" s="117" t="n">
        <x:f>IF(AND(YEAR(AF$3)=YEAR(EDATE('Вводные'!$D$89,'Вводные'!$H$9)),MONTH(AF$3)=MONTH(EDATE('Вводные'!$D$89,'Вводные'!$H$9))),$B$48,0)</x:f>
      </x:c>
      <x:c r="AG48" s="117" t="n">
        <x:f>IF(AND(YEAR(AG$3)=YEAR(EDATE('Вводные'!$D$89,'Вводные'!$H$9)),MONTH(AG$3)=MONTH(EDATE('Вводные'!$D$89,'Вводные'!$H$9))),$B$48,0)</x:f>
      </x:c>
      <x:c r="AH48" s="117" t="n">
        <x:f>IF(AND(YEAR(AH$3)=YEAR(EDATE('Вводные'!$D$89,'Вводные'!$H$9)),MONTH(AH$3)=MONTH(EDATE('Вводные'!$D$89,'Вводные'!$H$9))),$B$48,0)</x:f>
      </x:c>
      <x:c r="AI48" s="117" t="n">
        <x:f>IF(AND(YEAR(AI$3)=YEAR(EDATE('Вводные'!$D$89,'Вводные'!$H$9)),MONTH(AI$3)=MONTH(EDATE('Вводные'!$D$89,'Вводные'!$H$9))),$B$48,0)</x:f>
      </x:c>
      <x:c r="AJ48" s="117" t="n">
        <x:f>IF(AND(YEAR(AJ$3)=YEAR(EDATE('Вводные'!$D$89,'Вводные'!$H$9)),MONTH(AJ$3)=MONTH(EDATE('Вводные'!$D$89,'Вводные'!$H$9))),$B$48,0)</x:f>
      </x:c>
      <x:c r="AK48" s="117" t="n">
        <x:f>IF(AND(YEAR(AK$3)=YEAR(EDATE('Вводные'!$D$89,'Вводные'!$H$9)),MONTH(AK$3)=MONTH(EDATE('Вводные'!$D$89,'Вводные'!$H$9))),$B$48,0)</x:f>
      </x:c>
      <x:c r="AL48" s="117" t="n">
        <x:f>IF(AND(YEAR(AL$3)=YEAR(EDATE('Вводные'!$D$89,'Вводные'!$H$9)),MONTH(AL$3)=MONTH(EDATE('Вводные'!$D$89,'Вводные'!$H$9))),$B$48,0)</x:f>
      </x:c>
      <x:c r="AM48" s="117" t="n">
        <x:f>IF(AND(YEAR(AM$3)=YEAR(EDATE('Вводные'!$D$89,'Вводные'!$H$9)),MONTH(AM$3)=MONTH(EDATE('Вводные'!$D$89,'Вводные'!$H$9))),$B$48,0)</x:f>
      </x:c>
      <x:c r="AN48" s="117" t="n">
        <x:f>IF(AND(YEAR(AN$3)=YEAR(EDATE('Вводные'!$D$89,'Вводные'!$H$9)),MONTH(AN$3)=MONTH(EDATE('Вводные'!$D$89,'Вводные'!$H$9))),$B$48,0)</x:f>
      </x:c>
      <x:c r="AO48" s="117" t="n">
        <x:f>IF(AND(YEAR(AO$3)=YEAR(EDATE('Вводные'!$D$89,'Вводные'!$H$9)),MONTH(AO$3)=MONTH(EDATE('Вводные'!$D$89,'Вводные'!$H$9))),$B$48,0)</x:f>
      </x:c>
      <x:c r="AP48" s="117" t="n">
        <x:f>IF(AND(YEAR(AP$3)=YEAR(EDATE('Вводные'!$D$89,'Вводные'!$H$9)),MONTH(AP$3)=MONTH(EDATE('Вводные'!$D$89,'Вводные'!$H$9))),$B$48,0)</x:f>
      </x:c>
      <x:c r="AQ48" s="117" t="n">
        <x:f>IF(AND(YEAR(AQ$3)=YEAR(EDATE('Вводные'!$D$89,'Вводные'!$H$9)),MONTH(AQ$3)=MONTH(EDATE('Вводные'!$D$89,'Вводные'!$H$9))),$B$48,0)</x:f>
      </x:c>
      <x:c r="AR48" s="117" t="n">
        <x:f>IF(AND(YEAR(AR$3)=YEAR(EDATE('Вводные'!$D$89,'Вводные'!$H$9)),MONTH(AR$3)=MONTH(EDATE('Вводные'!$D$89,'Вводные'!$H$9))),$B$48,0)</x:f>
      </x:c>
      <x:c r="AS48" s="117" t="n">
        <x:f>IF(AND(YEAR(AS$3)=YEAR(EDATE('Вводные'!$D$89,'Вводные'!$H$9)),MONTH(AS$3)=MONTH(EDATE('Вводные'!$D$89,'Вводные'!$H$9))),$B$48,0)</x:f>
      </x:c>
      <x:c r="AT48" s="117" t="n">
        <x:f>IF(AND(YEAR(AT$3)=YEAR(EDATE('Вводные'!$D$89,'Вводные'!$H$9)),MONTH(AT$3)=MONTH(EDATE('Вводные'!$D$89,'Вводные'!$H$9))),$B$48,0)</x:f>
      </x:c>
      <x:c r="AU48" s="117" t="n">
        <x:f>IF(AND(YEAR(AU$3)=YEAR(EDATE('Вводные'!$D$89,'Вводные'!$H$9)),MONTH(AU$3)=MONTH(EDATE('Вводные'!$D$89,'Вводные'!$H$9))),$B$48,0)</x:f>
      </x:c>
      <x:c r="AV48" s="117" t="n">
        <x:f>IF(AND(YEAR(AV$3)=YEAR(EDATE('Вводные'!$D$89,'Вводные'!$H$9)),MONTH(AV$3)=MONTH(EDATE('Вводные'!$D$89,'Вводные'!$H$9))),$B$48,0)</x:f>
      </x:c>
      <x:c r="AW48" s="117" t="n">
        <x:f>IF(AND(YEAR(AW$3)=YEAR(EDATE('Вводные'!$D$89,'Вводные'!$H$9)),MONTH(AW$3)=MONTH(EDATE('Вводные'!$D$89,'Вводные'!$H$9))),$B$48,0)</x:f>
      </x:c>
      <x:c r="AX48" s="117" t="n">
        <x:f>IF(AND(YEAR(AX$3)=YEAR(EDATE('Вводные'!$D$89,'Вводные'!$H$9)),MONTH(AX$3)=MONTH(EDATE('Вводные'!$D$89,'Вводные'!$H$9))),$B$48,0)</x:f>
      </x:c>
      <x:c r="AY48" s="117" t="n">
        <x:f>IF(AND(YEAR(AY$3)=YEAR(EDATE('Вводные'!$D$89,'Вводные'!$H$9)),MONTH(AY$3)=MONTH(EDATE('Вводные'!$D$89,'Вводные'!$H$9))),$B$48,0)</x:f>
      </x:c>
      <x:c r="AZ48" s="117" t="n">
        <x:f>IF(AND(YEAR(AZ$3)=YEAR(EDATE('Вводные'!$D$89,'Вводные'!$H$9)),MONTH(AZ$3)=MONTH(EDATE('Вводные'!$D$89,'Вводные'!$H$9))),$B$48,0)</x:f>
      </x:c>
      <x:c r="BA48" s="117" t="n">
        <x:f>IF(AND(YEAR(BA$3)=YEAR(EDATE('Вводные'!$D$89,'Вводные'!$H$9)),MONTH(BA$3)=MONTH(EDATE('Вводные'!$D$89,'Вводные'!$H$9))),$B$48,0)</x:f>
      </x:c>
      <x:c r="BB48" s="117" t="n">
        <x:f>IF(AND(YEAR(BB$3)=YEAR(EDATE('Вводные'!$D$89,'Вводные'!$H$9)),MONTH(BB$3)=MONTH(EDATE('Вводные'!$D$89,'Вводные'!$H$9))),$B$48,0)</x:f>
      </x:c>
      <x:c r="BC48" s="117" t="n">
        <x:f>IF(AND(YEAR(BC$3)=YEAR(EDATE('Вводные'!$D$89,'Вводные'!$H$9)),MONTH(BC$3)=MONTH(EDATE('Вводные'!$D$89,'Вводные'!$H$9))),$B$48,0)</x:f>
      </x:c>
      <x:c r="BD48" s="117" t="n">
        <x:f>IF(AND(YEAR(BD$3)=YEAR(EDATE('Вводные'!$D$89,'Вводные'!$H$9)),MONTH(BD$3)=MONTH(EDATE('Вводные'!$D$89,'Вводные'!$H$9))),$B$48,0)</x:f>
      </x:c>
      <x:c r="BE48" s="117" t="n">
        <x:f>IF(AND(YEAR(BE$3)=YEAR(EDATE('Вводные'!$D$89,'Вводные'!$H$9)),MONTH(BE$3)=MONTH(EDATE('Вводные'!$D$89,'Вводные'!$H$9))),$B$48,0)</x:f>
      </x:c>
      <x:c r="BF48" s="117" t="n">
        <x:f>IF(AND(YEAR(BF$3)=YEAR(EDATE('Вводные'!$D$89,'Вводные'!$H$9)),MONTH(BF$3)=MONTH(EDATE('Вводные'!$D$89,'Вводные'!$H$9))),$B$48,0)</x:f>
      </x:c>
      <x:c r="BG48" s="117" t="n">
        <x:f>IF(AND(YEAR(BG$3)=YEAR(EDATE('Вводные'!$D$89,'Вводные'!$H$9)),MONTH(BG$3)=MONTH(EDATE('Вводные'!$D$89,'Вводные'!$H$9))),$B$48,0)</x:f>
      </x:c>
      <x:c r="BH48" s="117" t="n">
        <x:f>IF(AND(YEAR(BH$3)=YEAR(EDATE('Вводные'!$D$89,'Вводные'!$H$9)),MONTH(BH$3)=MONTH(EDATE('Вводные'!$D$89,'Вводные'!$H$9))),$B$48,0)</x:f>
      </x:c>
      <x:c r="BI48" s="117" t="n">
        <x:f>IF(AND(YEAR(BI$3)=YEAR(EDATE('Вводные'!$D$89,'Вводные'!$H$9)),MONTH(BI$3)=MONTH(EDATE('Вводные'!$D$89,'Вводные'!$H$9))),$B$48,0)</x:f>
      </x:c>
      <x:c r="BJ48" s="117" t="n">
        <x:f>IF(AND(YEAR(BJ$3)=YEAR(EDATE('Вводные'!$D$89,'Вводные'!$H$9)),MONTH(BJ$3)=MONTH(EDATE('Вводные'!$D$89,'Вводные'!$H$9))),$B$48,0)</x:f>
      </x:c>
      <x:c r="BK48" s="117" t="n">
        <x:f>IF(AND(YEAR(BK$3)=YEAR(EDATE('Вводные'!$D$89,'Вводные'!$H$9)),MONTH(BK$3)=MONTH(EDATE('Вводные'!$D$89,'Вводные'!$H$9))),$B$48,0)</x:f>
      </x:c>
      <x:c r="BL48" s="117" t="n">
        <x:f>IF(AND(YEAR(BL$3)=YEAR(EDATE('Вводные'!$D$89,'Вводные'!$H$9)),MONTH(BL$3)=MONTH(EDATE('Вводные'!$D$89,'Вводные'!$H$9))),$B$48,0)</x:f>
      </x:c>
      <x:c r="BM48" s="117" t="n">
        <x:f>IF(AND(YEAR(BM$3)=YEAR(EDATE('Вводные'!$D$89,'Вводные'!$H$9)),MONTH(BM$3)=MONTH(EDATE('Вводные'!$D$89,'Вводные'!$H$9))),$B$48,0)</x:f>
      </x:c>
      <x:c r="BN48" s="117" t="n">
        <x:f>IF(AND(YEAR(BN$3)=YEAR(EDATE('Вводные'!$D$89,'Вводные'!$H$9)),MONTH(BN$3)=MONTH(EDATE('Вводные'!$D$89,'Вводные'!$H$9))),$B$48,0)</x:f>
      </x:c>
      <x:c r="BO48" s="117" t="n">
        <x:f>IF(AND(YEAR(BO$3)=YEAR(EDATE('Вводные'!$D$89,'Вводные'!$H$9)),MONTH(BO$3)=MONTH(EDATE('Вводные'!$D$89,'Вводные'!$H$9))),$B$48,0)</x:f>
      </x:c>
      <x:c r="BP48" s="117" t="n">
        <x:f>IF(AND(YEAR(BP$3)=YEAR(EDATE('Вводные'!$D$89,'Вводные'!$H$9)),MONTH(BP$3)=MONTH(EDATE('Вводные'!$D$89,'Вводные'!$H$9))),$B$48,0)</x:f>
      </x:c>
      <x:c r="BQ48" s="117" t="n">
        <x:f>IF(AND(YEAR(BQ$3)=YEAR(EDATE('Вводные'!$D$89,'Вводные'!$H$9)),MONTH(BQ$3)=MONTH(EDATE('Вводные'!$D$89,'Вводные'!$H$9))),$B$48,0)</x:f>
      </x:c>
      <x:c r="BR48" s="117" t="n">
        <x:f>IF(AND(YEAR(BR$3)=YEAR(EDATE('Вводные'!$D$89,'Вводные'!$H$9)),MONTH(BR$3)=MONTH(EDATE('Вводные'!$D$89,'Вводные'!$H$9))),$B$48,0)</x:f>
      </x:c>
      <x:c r="BS48" s="117" t="n">
        <x:f>IF(AND(YEAR(BS$3)=YEAR(EDATE('Вводные'!$D$89,'Вводные'!$H$9)),MONTH(BS$3)=MONTH(EDATE('Вводные'!$D$89,'Вводные'!$H$9))),$B$48,0)</x:f>
      </x:c>
      <x:c r="BT48" s="117" t="n">
        <x:f>IF(AND(YEAR(BT$3)=YEAR(EDATE('Вводные'!$D$89,'Вводные'!$H$9)),MONTH(BT$3)=MONTH(EDATE('Вводные'!$D$89,'Вводные'!$H$9))),$B$48,0)</x:f>
      </x:c>
      <x:c r="BU48" s="117" t="n">
        <x:f>IF(AND(YEAR(BU$3)=YEAR(EDATE('Вводные'!$D$89,'Вводные'!$H$9)),MONTH(BU$3)=MONTH(EDATE('Вводные'!$D$89,'Вводные'!$H$9))),$B$48,0)</x:f>
      </x:c>
      <x:c r="BV48" s="117" t="n">
        <x:f>IF(AND(YEAR(BV$3)=YEAR(EDATE('Вводные'!$D$89,'Вводные'!$H$9)),MONTH(BV$3)=MONTH(EDATE('Вводные'!$D$89,'Вводные'!$H$9))),$B$48,0)</x:f>
      </x:c>
      <x:c r="BW48" s="117" t="n">
        <x:f>IF(AND(YEAR(BW$3)=YEAR(EDATE('Вводные'!$D$89,'Вводные'!$H$9)),MONTH(BW$3)=MONTH(EDATE('Вводные'!$D$89,'Вводные'!$H$9))),$B$48,0)</x:f>
      </x:c>
      <x:c r="BX48" s="117" t="n">
        <x:f>IF(AND(YEAR(BX$3)=YEAR(EDATE('Вводные'!$D$89,'Вводные'!$H$9)),MONTH(BX$3)=MONTH(EDATE('Вводные'!$D$89,'Вводные'!$H$9))),$B$48,0)</x:f>
      </x:c>
      <x:c r="BY48" s="117" t="n">
        <x:f>IF(AND(YEAR(BY$3)=YEAR(EDATE('Вводные'!$D$89,'Вводные'!$H$9)),MONTH(BY$3)=MONTH(EDATE('Вводные'!$D$89,'Вводные'!$H$9))),$B$48,0)</x:f>
      </x:c>
      <x:c r="BZ48" s="117" t="n">
        <x:f>IF(AND(YEAR(BZ$3)=YEAR(EDATE('Вводные'!$D$89,'Вводные'!$H$9)),MONTH(BZ$3)=MONTH(EDATE('Вводные'!$D$89,'Вводные'!$H$9))),$B$48,0)</x:f>
      </x:c>
      <x:c r="CA48" s="117" t="n">
        <x:f>IF(AND(YEAR(CA$3)=YEAR(EDATE('Вводные'!$D$89,'Вводные'!$H$9)),MONTH(CA$3)=MONTH(EDATE('Вводные'!$D$89,'Вводные'!$H$9))),$B$48,0)</x:f>
      </x:c>
      <x:c r="CB48" s="117" t="n">
        <x:f>IF(AND(YEAR(CB$3)=YEAR(EDATE('Вводные'!$D$89,'Вводные'!$H$9)),MONTH(CB$3)=MONTH(EDATE('Вводные'!$D$89,'Вводные'!$H$9))),$B$48,0)</x:f>
      </x:c>
      <x:c r="CC48" s="117" t="n">
        <x:f>IF(AND(YEAR(CC$3)=YEAR(EDATE('Вводные'!$D$89,'Вводные'!$H$9)),MONTH(CC$3)=MONTH(EDATE('Вводные'!$D$89,'Вводные'!$H$9))),$B$48,0)</x:f>
      </x:c>
      <x:c r="CD48" s="117" t="n">
        <x:f>IF(AND(YEAR(CD$3)=YEAR(EDATE('Вводные'!$D$89,'Вводные'!$H$9)),MONTH(CD$3)=MONTH(EDATE('Вводные'!$D$89,'Вводные'!$H$9))),$B$48,0)</x:f>
      </x:c>
      <x:c r="CE48" s="117" t="n">
        <x:f>IF(AND(YEAR(CE$3)=YEAR(EDATE('Вводные'!$D$89,'Вводные'!$H$9)),MONTH(CE$3)=MONTH(EDATE('Вводные'!$D$89,'Вводные'!$H$9))),$B$48,0)</x:f>
      </x:c>
      <x:c r="CF48" s="117" t="n">
        <x:f>IF(AND(YEAR(CF$3)=YEAR(EDATE('Вводные'!$D$89,'Вводные'!$H$9)),MONTH(CF$3)=MONTH(EDATE('Вводные'!$D$89,'Вводные'!$H$9))),$B$48,0)</x:f>
      </x:c>
      <x:c r="CG48" s="117" t="n">
        <x:f>IF(AND(YEAR(CG$3)=YEAR(EDATE('Вводные'!$D$89,'Вводные'!$H$9)),MONTH(CG$3)=MONTH(EDATE('Вводные'!$D$89,'Вводные'!$H$9))),$B$48,0)</x:f>
      </x:c>
      <x:c r="CH48" s="117" t="n">
        <x:f>IF(AND(YEAR(CH$3)=YEAR(EDATE('Вводные'!$D$89,'Вводные'!$H$9)),MONTH(CH$3)=MONTH(EDATE('Вводные'!$D$89,'Вводные'!$H$9))),$B$48,0)</x:f>
      </x:c>
      <x:c r="CI48" s="117" t="n">
        <x:f>IF(AND(YEAR(CI$3)=YEAR(EDATE('Вводные'!$D$89,'Вводные'!$H$9)),MONTH(CI$3)=MONTH(EDATE('Вводные'!$D$89,'Вводные'!$H$9))),$B$48,0)</x:f>
      </x:c>
      <x:c r="CJ48" s="117" t="n">
        <x:f>IF(AND(YEAR(CJ$3)=YEAR(EDATE('Вводные'!$D$89,'Вводные'!$H$9)),MONTH(CJ$3)=MONTH(EDATE('Вводные'!$D$89,'Вводные'!$H$9))),$B$48,0)</x:f>
      </x:c>
      <x:c r="CK48" s="117" t="n">
        <x:f>IF(AND(YEAR(CK$3)=YEAR(EDATE('Вводные'!$D$89,'Вводные'!$H$9)),MONTH(CK$3)=MONTH(EDATE('Вводные'!$D$89,'Вводные'!$H$9))),$B$48,0)</x:f>
      </x:c>
      <x:c r="CL48" s="117" t="n">
        <x:f>IF(AND(YEAR(CL$3)=YEAR(EDATE('Вводные'!$D$89,'Вводные'!$H$9)),MONTH(CL$3)=MONTH(EDATE('Вводные'!$D$89,'Вводные'!$H$9))),$B$48,0)</x:f>
      </x:c>
      <x:c r="CM48" s="117" t="n">
        <x:f>IF(AND(YEAR(CM$3)=YEAR(EDATE('Вводные'!$D$89,'Вводные'!$H$9)),MONTH(CM$3)=MONTH(EDATE('Вводные'!$D$89,'Вводные'!$H$9))),$B$48,0)</x:f>
      </x:c>
      <x:c r="CN48" s="117" t="n">
        <x:f>IF(AND(YEAR(CN$3)=YEAR(EDATE('Вводные'!$D$89,'Вводные'!$H$9)),MONTH(CN$3)=MONTH(EDATE('Вводные'!$D$89,'Вводные'!$H$9))),$B$48,0)</x:f>
      </x:c>
      <x:c r="CO48" s="117" t="n">
        <x:f>IF(AND(YEAR(CO$3)=YEAR(EDATE('Вводные'!$D$89,'Вводные'!$H$9)),MONTH(CO$3)=MONTH(EDATE('Вводные'!$D$89,'Вводные'!$H$9))),$B$48,0)</x:f>
      </x:c>
      <x:c r="CP48" s="117" t="n">
        <x:f>IF(AND(YEAR(CP$3)=YEAR(EDATE('Вводные'!$D$89,'Вводные'!$H$9)),MONTH(CP$3)=MONTH(EDATE('Вводные'!$D$89,'Вводные'!$H$9))),$B$48,0)</x:f>
      </x:c>
      <x:c r="CQ48" s="117" t="n">
        <x:f>IF(AND(YEAR(CQ$3)=YEAR(EDATE('Вводные'!$D$89,'Вводные'!$H$9)),MONTH(CQ$3)=MONTH(EDATE('Вводные'!$D$89,'Вводные'!$H$9))),$B$48,0)</x:f>
      </x:c>
      <x:c r="CR48" s="117" t="n">
        <x:f>IF(AND(YEAR(CR$3)=YEAR(EDATE('Вводные'!$D$89,'Вводные'!$H$9)),MONTH(CR$3)=MONTH(EDATE('Вводные'!$D$89,'Вводные'!$H$9))),$B$48,0)</x:f>
      </x:c>
      <x:c r="CS48" s="117" t="n">
        <x:f>IF(AND(YEAR(CS$3)=YEAR(EDATE('Вводные'!$D$89,'Вводные'!$H$9)),MONTH(CS$3)=MONTH(EDATE('Вводные'!$D$89,'Вводные'!$H$9))),$B$48,0)</x:f>
      </x:c>
      <x:c r="CT48" s="117" t="n">
        <x:f>IF(AND(YEAR(CT$3)=YEAR(EDATE('Вводные'!$D$89,'Вводные'!$H$9)),MONTH(CT$3)=MONTH(EDATE('Вводные'!$D$89,'Вводные'!$H$9))),$B$48,0)</x:f>
      </x:c>
      <x:c r="CU48" s="117" t="n">
        <x:f>IF(AND(YEAR(CU$3)=YEAR(EDATE('Вводные'!$D$89,'Вводные'!$H$9)),MONTH(CU$3)=MONTH(EDATE('Вводные'!$D$89,'Вводные'!$H$9))),$B$48,0)</x:f>
      </x:c>
      <x:c r="CV48" s="117" t="n">
        <x:f>IF(AND(YEAR(CV$3)=YEAR(EDATE('Вводные'!$D$89,'Вводные'!$H$9)),MONTH(CV$3)=MONTH(EDATE('Вводные'!$D$89,'Вводные'!$H$9))),$B$48,0)</x:f>
      </x:c>
      <x:c r="CW48" s="117" t="n">
        <x:f>IF(AND(YEAR(CW$3)=YEAR(EDATE('Вводные'!$D$89,'Вводные'!$H$9)),MONTH(CW$3)=MONTH(EDATE('Вводные'!$D$89,'Вводные'!$H$9))),$B$48,0)</x:f>
      </x:c>
      <x:c r="CX48" s="117" t="n">
        <x:f>IF(AND(YEAR(CX$3)=YEAR(EDATE('Вводные'!$D$89,'Вводные'!$H$9)),MONTH(CX$3)=MONTH(EDATE('Вводные'!$D$89,'Вводные'!$H$9))),$B$48,0)</x:f>
      </x:c>
      <x:c r="CY48" s="117" t="n">
        <x:f>IF(AND(YEAR(CY$3)=YEAR(EDATE('Вводные'!$D$89,'Вводные'!$H$9)),MONTH(CY$3)=MONTH(EDATE('Вводные'!$D$89,'Вводные'!$H$9))),$B$48,0)</x:f>
      </x:c>
      <x:c r="CZ48" s="117" t="n">
        <x:f>IF(AND(YEAR(CZ$3)=YEAR(EDATE('Вводные'!$D$89,'Вводные'!$H$9)),MONTH(CZ$3)=MONTH(EDATE('Вводные'!$D$89,'Вводные'!$H$9))),$B$48,0)</x:f>
      </x:c>
      <x:c r="DA48" s="117" t="n">
        <x:f>IF(AND(YEAR(DA$3)=YEAR(EDATE('Вводные'!$D$89,'Вводные'!$H$9)),MONTH(DA$3)=MONTH(EDATE('Вводные'!$D$89,'Вводные'!$H$9))),$B$48,0)</x:f>
      </x:c>
      <x:c r="DB48" s="117" t="n">
        <x:f>IF(AND(YEAR(DB$3)=YEAR(EDATE('Вводные'!$D$89,'Вводные'!$H$9)),MONTH(DB$3)=MONTH(EDATE('Вводные'!$D$89,'Вводные'!$H$9))),$B$48,0)</x:f>
      </x:c>
      <x:c r="DC48" s="117" t="n">
        <x:f>IF(AND(YEAR(DC$3)=YEAR(EDATE('Вводные'!$D$89,'Вводные'!$H$9)),MONTH(DC$3)=MONTH(EDATE('Вводные'!$D$89,'Вводные'!$H$9))),$B$48,0)</x:f>
      </x:c>
      <x:c r="DD48" s="117" t="n">
        <x:f>IF(AND(YEAR(DD$3)=YEAR(EDATE('Вводные'!$D$89,'Вводные'!$H$9)),MONTH(DD$3)=MONTH(EDATE('Вводные'!$D$89,'Вводные'!$H$9))),$B$48,0)</x:f>
      </x:c>
      <x:c r="DE48" s="117" t="n">
        <x:f>IF(AND(YEAR(DE$3)=YEAR(EDATE('Вводные'!$D$89,'Вводные'!$H$9)),MONTH(DE$3)=MONTH(EDATE('Вводные'!$D$89,'Вводные'!$H$9))),$B$48,0)</x:f>
      </x:c>
      <x:c r="DF48" s="117" t="n">
        <x:f>IF(AND(YEAR(DF$3)=YEAR(EDATE('Вводные'!$D$89,'Вводные'!$H$9)),MONTH(DF$3)=MONTH(EDATE('Вводные'!$D$89,'Вводные'!$H$9))),$B$48,0)</x:f>
      </x:c>
      <x:c r="DG48" s="117" t="n">
        <x:f>IF(AND(YEAR(DG$3)=YEAR(EDATE('Вводные'!$D$89,'Вводные'!$H$9)),MONTH(DG$3)=MONTH(EDATE('Вводные'!$D$89,'Вводные'!$H$9))),$B$48,0)</x:f>
      </x:c>
      <x:c r="DH48" s="117" t="n">
        <x:f>IF(AND(YEAR(DH$3)=YEAR(EDATE('Вводные'!$D$89,'Вводные'!$H$9)),MONTH(DH$3)=MONTH(EDATE('Вводные'!$D$89,'Вводные'!$H$9))),$B$48,0)</x:f>
      </x:c>
      <x:c r="DI48" s="117" t="n">
        <x:f>IF(AND(YEAR(DI$3)=YEAR(EDATE('Вводные'!$D$89,'Вводные'!$H$9)),MONTH(DI$3)=MONTH(EDATE('Вводные'!$D$89,'Вводные'!$H$9))),$B$48,0)</x:f>
      </x:c>
      <x:c r="DJ48" s="117" t="n">
        <x:f>IF(AND(YEAR(DJ$3)=YEAR(EDATE('Вводные'!$D$89,'Вводные'!$H$9)),MONTH(DJ$3)=MONTH(EDATE('Вводные'!$D$89,'Вводные'!$H$9))),$B$48,0)</x:f>
      </x:c>
      <x:c r="DK48" s="117" t="n">
        <x:f>IF(AND(YEAR(DK$3)=YEAR(EDATE('Вводные'!$D$89,'Вводные'!$H$9)),MONTH(DK$3)=MONTH(EDATE('Вводные'!$D$89,'Вводные'!$H$9))),$B$48,0)</x:f>
      </x:c>
      <x:c r="DL48" s="117" t="n">
        <x:f>IF(AND(YEAR(DL$3)=YEAR(EDATE('Вводные'!$D$89,'Вводные'!$H$9)),MONTH(DL$3)=MONTH(EDATE('Вводные'!$D$89,'Вводные'!$H$9))),$B$48,0)</x:f>
      </x:c>
      <x:c r="DM48" s="117" t="n">
        <x:f>IF(AND(YEAR(DM$3)=YEAR(EDATE('Вводные'!$D$89,'Вводные'!$H$9)),MONTH(DM$3)=MONTH(EDATE('Вводные'!$D$89,'Вводные'!$H$9))),$B$48,0)</x:f>
      </x:c>
      <x:c r="DN48" s="117" t="n">
        <x:f>IF(AND(YEAR(DN$3)=YEAR(EDATE('Вводные'!$D$89,'Вводные'!$H$9)),MONTH(DN$3)=MONTH(EDATE('Вводные'!$D$89,'Вводные'!$H$9))),$B$48,0)</x:f>
      </x:c>
      <x:c r="DO48" s="117" t="n">
        <x:f>IF(AND(YEAR(DO$3)=YEAR(EDATE('Вводные'!$D$89,'Вводные'!$H$9)),MONTH(DO$3)=MONTH(EDATE('Вводные'!$D$89,'Вводные'!$H$9))),$B$48,0)</x:f>
      </x:c>
      <x:c r="DP48" s="117" t="n">
        <x:f>IF(AND(YEAR(DP$3)=YEAR(EDATE('Вводные'!$D$89,'Вводные'!$H$9)),MONTH(DP$3)=MONTH(EDATE('Вводные'!$D$89,'Вводные'!$H$9))),$B$48,0)</x:f>
      </x:c>
      <x:c r="DQ48" s="117" t="n">
        <x:f>IF(AND(YEAR(DQ$3)=YEAR(EDATE('Вводные'!$D$89,'Вводные'!$H$9)),MONTH(DQ$3)=MONTH(EDATE('Вводные'!$D$89,'Вводные'!$H$9))),$B$48,0)</x:f>
      </x:c>
      <x:c r="DR48" s="117" t="n">
        <x:f>IF(AND(YEAR(DR$3)=YEAR(EDATE('Вводные'!$D$89,'Вводные'!$H$9)),MONTH(DR$3)=MONTH(EDATE('Вводные'!$D$89,'Вводные'!$H$9))),$B$48,0)</x:f>
      </x:c>
      <x:c r="DS48" s="117" t="n">
        <x:f>IF(AND(YEAR(DS$3)=YEAR(EDATE('Вводные'!$D$89,'Вводные'!$H$9)),MONTH(DS$3)=MONTH(EDATE('Вводные'!$D$89,'Вводные'!$H$9))),$B$48,0)</x:f>
      </x:c>
      <x:c r="DT48" s="117" t="n">
        <x:f>IF(AND(YEAR(DT$3)=YEAR(EDATE('Вводные'!$D$89,'Вводные'!$H$9)),MONTH(DT$3)=MONTH(EDATE('Вводные'!$D$89,'Вводные'!$H$9))),$B$48,0)</x:f>
      </x:c>
      <x:c r="DU48" s="117" t="n">
        <x:f>IF(AND(YEAR(DU$3)=YEAR(EDATE('Вводные'!$D$89,'Вводные'!$H$9)),MONTH(DU$3)=MONTH(EDATE('Вводные'!$D$89,'Вводные'!$H$9))),$B$48,0)</x:f>
      </x:c>
      <x:c r="DV48" s="117" t="n">
        <x:f>IF(AND(YEAR(DV$3)=YEAR(EDATE('Вводные'!$D$89,'Вводные'!$H$9)),MONTH(DV$3)=MONTH(EDATE('Вводные'!$D$89,'Вводные'!$H$9))),$B$48,0)</x:f>
      </x:c>
      <x:c r="DW48" s="117" t="n">
        <x:f>IF(AND(YEAR(DW$3)=YEAR(EDATE('Вводные'!$D$89,'Вводные'!$H$9)),MONTH(DW$3)=MONTH(EDATE('Вводные'!$D$89,'Вводные'!$H$9))),$B$48,0)</x:f>
      </x:c>
      <x:c r="DX48" s="117" t="n">
        <x:f>IF(AND(YEAR(DX$3)=YEAR(EDATE('Вводные'!$D$89,'Вводные'!$H$9)),MONTH(DX$3)=MONTH(EDATE('Вводные'!$D$89,'Вводные'!$H$9))),$B$48,0)</x:f>
      </x:c>
      <x:c r="DY48" s="117" t="n">
        <x:f>IF(AND(YEAR(DY$3)=YEAR(EDATE('Вводные'!$D$89,'Вводные'!$H$9)),MONTH(DY$3)=MONTH(EDATE('Вводные'!$D$89,'Вводные'!$H$9))),$B$48,0)</x:f>
      </x:c>
      <x:c r="DZ48" s="117" t="n">
        <x:f>IF(AND(YEAR(DZ$3)=YEAR(EDATE('Вводные'!$D$89,'Вводные'!$H$9)),MONTH(DZ$3)=MONTH(EDATE('Вводные'!$D$89,'Вводные'!$H$9))),$B$48,0)</x:f>
      </x:c>
      <x:c r="EA48" s="117" t="n">
        <x:f>IF(AND(YEAR(EA$3)=YEAR(EDATE('Вводные'!$D$89,'Вводные'!$H$9)),MONTH(EA$3)=MONTH(EDATE('Вводные'!$D$89,'Вводные'!$H$9))),$B$48,0)</x:f>
      </x:c>
      <x:c r="EB48" s="117" t="n">
        <x:f>IF(AND(YEAR(EB$3)=YEAR(EDATE('Вводные'!$D$89,'Вводные'!$H$9)),MONTH(EB$3)=MONTH(EDATE('Вводные'!$D$89,'Вводные'!$H$9))),$B$48,0)</x:f>
      </x:c>
      <x:c r="EC48" s="117" t="n">
        <x:f>IF(AND(YEAR(EC$3)=YEAR(EDATE('Вводные'!$D$89,'Вводные'!$H$9)),MONTH(EC$3)=MONTH(EDATE('Вводные'!$D$89,'Вводные'!$H$9))),$B$48,0)</x:f>
      </x:c>
      <x:c r="ED48" s="117" t="n">
        <x:f>IF(AND(YEAR(ED$3)=YEAR(EDATE('Вводные'!$D$89,'Вводные'!$H$9)),MONTH(ED$3)=MONTH(EDATE('Вводные'!$D$89,'Вводные'!$H$9))),$B$48,0)</x:f>
      </x:c>
      <x:c r="EE48" s="117" t="n">
        <x:f>IF(AND(YEAR(EE$3)=YEAR(EDATE('Вводные'!$D$89,'Вводные'!$H$9)),MONTH(EE$3)=MONTH(EDATE('Вводные'!$D$89,'Вводные'!$H$9))),$B$48,0)</x:f>
      </x:c>
      <x:c r="EF48" s="117" t="n">
        <x:f>IF(AND(YEAR(EF$3)=YEAR(EDATE('Вводные'!$D$89,'Вводные'!$H$9)),MONTH(EF$3)=MONTH(EDATE('Вводные'!$D$89,'Вводные'!$H$9))),$B$48,0)</x:f>
      </x:c>
      <x:c r="EG48" s="117" t="n">
        <x:f>IF(AND(YEAR(EG$3)=YEAR(EDATE('Вводные'!$D$89,'Вводные'!$H$9)),MONTH(EG$3)=MONTH(EDATE('Вводные'!$D$89,'Вводные'!$H$9))),$B$48,0)</x:f>
      </x:c>
      <x:c r="EH48" s="117" t="n">
        <x:f>IF(AND(YEAR(EH$3)=YEAR(EDATE('Вводные'!$D$89,'Вводные'!$H$9)),MONTH(EH$3)=MONTH(EDATE('Вводные'!$D$89,'Вводные'!$H$9))),$B$48,0)</x:f>
      </x:c>
      <x:c r="EI48" s="117" t="n">
        <x:f>IF(AND(YEAR(EI$3)=YEAR(EDATE('Вводные'!$D$89,'Вводные'!$H$9)),MONTH(EI$3)=MONTH(EDATE('Вводные'!$D$89,'Вводные'!$H$9))),$B$48,0)</x:f>
      </x:c>
      <x:c r="EJ48" s="117" t="n">
        <x:f>IF(AND(YEAR(EJ$3)=YEAR(EDATE('Вводные'!$D$89,'Вводные'!$H$9)),MONTH(EJ$3)=MONTH(EDATE('Вводные'!$D$89,'Вводные'!$H$9))),$B$48,0)</x:f>
      </x:c>
      <x:c r="EK48" s="117" t="n">
        <x:f>IF(AND(YEAR(EK$3)=YEAR(EDATE('Вводные'!$D$89,'Вводные'!$H$9)),MONTH(EK$3)=MONTH(EDATE('Вводные'!$D$89,'Вводные'!$H$9))),$B$48,0)</x:f>
      </x:c>
      <x:c r="EL48" s="117" t="n">
        <x:f>IF(AND(YEAR(EL$3)=YEAR(EDATE('Вводные'!$D$89,'Вводные'!$H$9)),MONTH(EL$3)=MONTH(EDATE('Вводные'!$D$89,'Вводные'!$H$9))),$B$48,0)</x:f>
      </x:c>
      <x:c r="EM48" s="117" t="n">
        <x:f>IF(AND(YEAR(EM$3)=YEAR(EDATE('Вводные'!$D$89,'Вводные'!$H$9)),MONTH(EM$3)=MONTH(EDATE('Вводные'!$D$89,'Вводные'!$H$9))),$B$48,0)</x:f>
      </x:c>
      <x:c r="EN48" s="117" t="n">
        <x:f>IF(AND(YEAR(EN$3)=YEAR(EDATE('Вводные'!$D$89,'Вводные'!$H$9)),MONTH(EN$3)=MONTH(EDATE('Вводные'!$D$89,'Вводные'!$H$9))),$B$48,0)</x:f>
      </x:c>
      <x:c r="EO48" s="117" t="n">
        <x:f>IF(AND(YEAR(EO$3)=YEAR(EDATE('Вводные'!$D$89,'Вводные'!$H$9)),MONTH(EO$3)=MONTH(EDATE('Вводные'!$D$89,'Вводные'!$H$9))),$B$48,0)</x:f>
      </x:c>
      <x:c r="EP48" s="117" t="n">
        <x:f>IF(AND(YEAR(EP$3)=YEAR(EDATE('Вводные'!$D$89,'Вводные'!$H$9)),MONTH(EP$3)=MONTH(EDATE('Вводные'!$D$89,'Вводные'!$H$9))),$B$48,0)</x:f>
      </x:c>
      <x:c r="EQ48" s="117" t="n">
        <x:f>IF(AND(YEAR(EQ$3)=YEAR(EDATE('Вводные'!$D$89,'Вводные'!$H$9)),MONTH(EQ$3)=MONTH(EDATE('Вводные'!$D$89,'Вводные'!$H$9))),$B$48,0)</x:f>
      </x:c>
      <x:c r="ER48" s="117" t="n">
        <x:f>IF(AND(YEAR(ER$3)=YEAR(EDATE('Вводные'!$D$89,'Вводные'!$H$9)),MONTH(ER$3)=MONTH(EDATE('Вводные'!$D$89,'Вводные'!$H$9))),$B$48,0)</x:f>
      </x:c>
      <x:c r="ES48" s="117" t="n">
        <x:f>IF(AND(YEAR(ES$3)=YEAR(EDATE('Вводные'!$D$89,'Вводные'!$H$9)),MONTH(ES$3)=MONTH(EDATE('Вводные'!$D$89,'Вводные'!$H$9))),$B$48,0)</x:f>
      </x:c>
      <x:c r="ET48" s="117" t="n">
        <x:f>IF(AND(YEAR(ET$3)=YEAR(EDATE('Вводные'!$D$89,'Вводные'!$H$9)),MONTH(ET$3)=MONTH(EDATE('Вводные'!$D$89,'Вводные'!$H$9))),$B$48,0)</x:f>
      </x:c>
      <x:c r="EU48" s="117" t="n">
        <x:f>IF(AND(YEAR(EU$3)=YEAR(EDATE('Вводные'!$D$89,'Вводные'!$H$9)),MONTH(EU$3)=MONTH(EDATE('Вводные'!$D$89,'Вводные'!$H$9))),$B$48,0)</x:f>
      </x:c>
      <x:c r="EV48" s="117" t="n">
        <x:f>IF(AND(YEAR(EV$3)=YEAR(EDATE('Вводные'!$D$89,'Вводные'!$H$9)),MONTH(EV$3)=MONTH(EDATE('Вводные'!$D$89,'Вводные'!$H$9))),$B$48,0)</x:f>
      </x:c>
      <x:c r="EW48" s="117" t="n">
        <x:f>IF(AND(YEAR(EW$3)=YEAR(EDATE('Вводные'!$D$89,'Вводные'!$H$9)),MONTH(EW$3)=MONTH(EDATE('Вводные'!$D$89,'Вводные'!$H$9))),$B$48,0)</x:f>
      </x:c>
      <x:c r="EX48" s="117" t="n">
        <x:f>IF(AND(YEAR(EX$3)=YEAR(EDATE('Вводные'!$D$89,'Вводные'!$H$9)),MONTH(EX$3)=MONTH(EDATE('Вводные'!$D$89,'Вводные'!$H$9))),$B$48,0)</x:f>
      </x:c>
      <x:c r="EY48" s="117" t="n">
        <x:f>IF(AND(YEAR(EY$3)=YEAR(EDATE('Вводные'!$D$89,'Вводные'!$H$9)),MONTH(EY$3)=MONTH(EDATE('Вводные'!$D$89,'Вводные'!$H$9))),$B$48,0)</x:f>
      </x:c>
      <x:c r="EZ48" s="117" t="n">
        <x:f>IF(AND(YEAR(EZ$3)=YEAR(EDATE('Вводные'!$D$89,'Вводные'!$H$9)),MONTH(EZ$3)=MONTH(EDATE('Вводные'!$D$89,'Вводные'!$H$9))),$B$48,0)</x:f>
      </x:c>
      <x:c r="FA48" s="117" t="n">
        <x:f>IF(AND(YEAR(FA$3)=YEAR(EDATE('Вводные'!$D$89,'Вводные'!$H$9)),MONTH(FA$3)=MONTH(EDATE('Вводные'!$D$89,'Вводные'!$H$9))),$B$48,0)</x:f>
      </x:c>
      <x:c r="FB48" s="117" t="n">
        <x:f>IF(AND(YEAR(FB$3)=YEAR(EDATE('Вводные'!$D$89,'Вводные'!$H$9)),MONTH(FB$3)=MONTH(EDATE('Вводные'!$D$89,'Вводные'!$H$9))),$B$48,0)</x:f>
      </x:c>
      <x:c r="FC48" s="117" t="n">
        <x:f>IF(AND(YEAR(FC$3)=YEAR(EDATE('Вводные'!$D$89,'Вводные'!$H$9)),MONTH(FC$3)=MONTH(EDATE('Вводные'!$D$89,'Вводные'!$H$9))),$B$48,0)</x:f>
      </x:c>
      <x:c r="FD48" s="117" t="n">
        <x:f>IF(AND(YEAR(FD$3)=YEAR(EDATE('Вводные'!$D$89,'Вводные'!$H$9)),MONTH(FD$3)=MONTH(EDATE('Вводные'!$D$89,'Вводные'!$H$9))),$B$48,0)</x:f>
      </x:c>
      <x:c r="FE48" s="117" t="n">
        <x:f>IF(AND(YEAR(FE$3)=YEAR(EDATE('Вводные'!$D$89,'Вводные'!$H$9)),MONTH(FE$3)=MONTH(EDATE('Вводные'!$D$89,'Вводные'!$H$9))),$B$48,0)</x:f>
      </x:c>
      <x:c r="FF48" s="117" t="n">
        <x:f>IF(AND(YEAR(FF$3)=YEAR(EDATE('Вводные'!$D$89,'Вводные'!$H$9)),MONTH(FF$3)=MONTH(EDATE('Вводные'!$D$89,'Вводные'!$H$9))),$B$48,0)</x:f>
      </x:c>
      <x:c r="FG48" s="117" t="n">
        <x:f>IF(AND(YEAR(FG$3)=YEAR(EDATE('Вводные'!$D$89,'Вводные'!$H$9)),MONTH(FG$3)=MONTH(EDATE('Вводные'!$D$89,'Вводные'!$H$9))),$B$48,0)</x:f>
      </x:c>
      <x:c r="FH48" s="117" t="n">
        <x:f>IF(AND(YEAR(FH$3)=YEAR(EDATE('Вводные'!$D$89,'Вводные'!$H$9)),MONTH(FH$3)=MONTH(EDATE('Вводные'!$D$89,'Вводные'!$H$9))),$B$48,0)</x:f>
      </x:c>
      <x:c r="FI48" s="117" t="n">
        <x:f>IF(AND(YEAR(FI$3)=YEAR(EDATE('Вводные'!$D$89,'Вводные'!$H$9)),MONTH(FI$3)=MONTH(EDATE('Вводные'!$D$89,'Вводные'!$H$9))),$B$48,0)</x:f>
      </x:c>
      <x:c r="FJ48" s="117" t="n">
        <x:f>IF(AND(YEAR(FJ$3)=YEAR(EDATE('Вводные'!$D$89,'Вводные'!$H$9)),MONTH(FJ$3)=MONTH(EDATE('Вводные'!$D$89,'Вводные'!$H$9))),$B$48,0)</x:f>
      </x:c>
      <x:c r="FK48" s="117" t="n">
        <x:f>IF(AND(YEAR(FK$3)=YEAR(EDATE('Вводные'!$D$89,'Вводные'!$H$9)),MONTH(FK$3)=MONTH(EDATE('Вводные'!$D$89,'Вводные'!$H$9))),$B$48,0)</x:f>
      </x:c>
      <x:c r="FL48" s="117" t="n">
        <x:f>IF(AND(YEAR(FL$3)=YEAR(EDATE('Вводные'!$D$89,'Вводные'!$H$9)),MONTH(FL$3)=MONTH(EDATE('Вводные'!$D$89,'Вводные'!$H$9))),$B$48,0)</x:f>
      </x:c>
      <x:c r="FM48" s="117" t="n">
        <x:f>IF(AND(YEAR(FM$3)=YEAR(EDATE('Вводные'!$D$89,'Вводные'!$H$9)),MONTH(FM$3)=MONTH(EDATE('Вводные'!$D$89,'Вводные'!$H$9))),$B$48,0)</x:f>
      </x:c>
      <x:c r="FN48" s="117" t="n">
        <x:f>IF(AND(YEAR(FN$3)=YEAR(EDATE('Вводные'!$D$89,'Вводные'!$H$9)),MONTH(FN$3)=MONTH(EDATE('Вводные'!$D$89,'Вводные'!$H$9))),$B$48,0)</x:f>
      </x:c>
      <x:c r="FO48" s="117" t="n">
        <x:f>IF(AND(YEAR(FO$3)=YEAR(EDATE('Вводные'!$D$89,'Вводные'!$H$9)),MONTH(FO$3)=MONTH(EDATE('Вводные'!$D$89,'Вводные'!$H$9))),$B$48,0)</x:f>
      </x:c>
      <x:c r="FP48" s="117" t="n">
        <x:f>IF(AND(YEAR(FP$3)=YEAR(EDATE('Вводные'!$D$89,'Вводные'!$H$9)),MONTH(FP$3)=MONTH(EDATE('Вводные'!$D$89,'Вводные'!$H$9))),$B$48,0)</x:f>
      </x:c>
      <x:c r="FQ48" s="117" t="n">
        <x:f>IF(AND(YEAR(FQ$3)=YEAR(EDATE('Вводные'!$D$89,'Вводные'!$H$9)),MONTH(FQ$3)=MONTH(EDATE('Вводные'!$D$89,'Вводные'!$H$9))),$B$48,0)</x:f>
      </x:c>
      <x:c r="FR48" s="117" t="n">
        <x:f>IF(AND(YEAR(FR$3)=YEAR(EDATE('Вводные'!$D$89,'Вводные'!$H$9)),MONTH(FR$3)=MONTH(EDATE('Вводные'!$D$89,'Вводные'!$H$9))),$B$48,0)</x:f>
      </x:c>
      <x:c r="FS48" s="117" t="n">
        <x:f>IF(AND(YEAR(FS$3)=YEAR(EDATE('Вводные'!$D$89,'Вводные'!$H$9)),MONTH(FS$3)=MONTH(EDATE('Вводные'!$D$89,'Вводные'!$H$9))),$B$48,0)</x:f>
      </x:c>
      <x:c r="FT48" s="117" t="n">
        <x:f>IF(AND(YEAR(FT$3)=YEAR(EDATE('Вводные'!$D$89,'Вводные'!$H$9)),MONTH(FT$3)=MONTH(EDATE('Вводные'!$D$89,'Вводные'!$H$9))),$B$48,0)</x:f>
      </x:c>
      <x:c r="FU48" s="117" t="n">
        <x:f>IF(AND(YEAR(FU$3)=YEAR(EDATE('Вводные'!$D$89,'Вводные'!$H$9)),MONTH(FU$3)=MONTH(EDATE('Вводные'!$D$89,'Вводные'!$H$9))),$B$48,0)</x:f>
      </x:c>
      <x:c r="FV48" s="117" t="n">
        <x:f>IF(AND(YEAR(FV$3)=YEAR(EDATE('Вводные'!$D$89,'Вводные'!$H$9)),MONTH(FV$3)=MONTH(EDATE('Вводные'!$D$89,'Вводные'!$H$9))),$B$48,0)</x:f>
      </x:c>
      <x:c r="FW48" s="117" t="n">
        <x:f>IF(AND(YEAR(FW$3)=YEAR(EDATE('Вводные'!$D$89,'Вводные'!$H$9)),MONTH(FW$3)=MONTH(EDATE('Вводные'!$D$89,'Вводные'!$H$9))),$B$48,0)</x:f>
      </x:c>
      <x:c r="FX48" s="117" t="n">
        <x:f>IF(AND(YEAR(FX$3)=YEAR(EDATE('Вводные'!$D$89,'Вводные'!$H$9)),MONTH(FX$3)=MONTH(EDATE('Вводные'!$D$89,'Вводные'!$H$9))),$B$48,0)</x:f>
      </x:c>
      <x:c r="FY48" s="117" t="n">
        <x:f>IF(AND(YEAR(FY$3)=YEAR(EDATE('Вводные'!$D$89,'Вводные'!$H$9)),MONTH(FY$3)=MONTH(EDATE('Вводные'!$D$89,'Вводные'!$H$9))),$B$48,0)</x:f>
      </x:c>
      <x:c r="FZ48" s="117" t="n">
        <x:f>IF(AND(YEAR(FZ$3)=YEAR(EDATE('Вводные'!$D$89,'Вводные'!$H$9)),MONTH(FZ$3)=MONTH(EDATE('Вводные'!$D$89,'Вводные'!$H$9))),$B$48,0)</x:f>
      </x:c>
      <x:c r="GA48" s="117" t="n">
        <x:f>IF(AND(YEAR(GA$3)=YEAR(EDATE('Вводные'!$D$89,'Вводные'!$H$9)),MONTH(GA$3)=MONTH(EDATE('Вводные'!$D$89,'Вводные'!$H$9))),$B$48,0)</x:f>
      </x:c>
    </x:row>
    <x:row r="49">
      <x:c r="A49" t="str">
        <x:v>Плата за ВРИ</x:v>
      </x:c>
      <x:c r="B49" s="107" t="n">
        <x:f>SUM('ВРИ'!D28:GA28)</x:f>
      </x:c>
      <x:c r="C49" t="str">
        <x:v>млн ₽</x:v>
      </x:c>
      <x:c r="D49" s="117" t="n">
        <x:f>'ВРИ'!D28</x:f>
      </x:c>
      <x:c r="E49" s="117" t="n">
        <x:f>'ВРИ'!E28</x:f>
      </x:c>
      <x:c r="F49" s="117" t="n">
        <x:f>'ВРИ'!F28</x:f>
      </x:c>
      <x:c r="G49" s="117" t="n">
        <x:f>'ВРИ'!G28</x:f>
      </x:c>
      <x:c r="H49" s="117" t="n">
        <x:f>'ВРИ'!H28</x:f>
      </x:c>
      <x:c r="I49" s="117" t="n">
        <x:f>'ВРИ'!I28</x:f>
      </x:c>
      <x:c r="J49" s="117" t="n">
        <x:f>'ВРИ'!J28</x:f>
      </x:c>
      <x:c r="K49" s="117" t="n">
        <x:f>'ВРИ'!K28</x:f>
      </x:c>
      <x:c r="L49" s="117" t="n">
        <x:f>'ВРИ'!L28</x:f>
      </x:c>
      <x:c r="M49" s="117" t="n">
        <x:f>'ВРИ'!M28</x:f>
      </x:c>
      <x:c r="N49" s="117" t="n">
        <x:f>'ВРИ'!N28</x:f>
      </x:c>
      <x:c r="O49" s="117" t="n">
        <x:f>'ВРИ'!O28</x:f>
      </x:c>
      <x:c r="P49" s="117" t="n">
        <x:f>'ВРИ'!P28</x:f>
      </x:c>
      <x:c r="Q49" s="117" t="n">
        <x:f>'ВРИ'!Q28</x:f>
      </x:c>
      <x:c r="R49" s="117" t="n">
        <x:f>'ВРИ'!R28</x:f>
      </x:c>
      <x:c r="S49" s="117" t="n">
        <x:f>'ВРИ'!S28</x:f>
      </x:c>
      <x:c r="T49" s="117" t="n">
        <x:f>'ВРИ'!T28</x:f>
      </x:c>
      <x:c r="U49" s="117" t="n">
        <x:f>'ВРИ'!U28</x:f>
      </x:c>
      <x:c r="V49" s="117" t="n">
        <x:f>'ВРИ'!V28</x:f>
      </x:c>
      <x:c r="W49" s="117" t="n">
        <x:f>'ВРИ'!W28</x:f>
      </x:c>
      <x:c r="X49" s="117" t="n">
        <x:f>'ВРИ'!X28</x:f>
      </x:c>
      <x:c r="Y49" s="117" t="n">
        <x:f>'ВРИ'!Y28</x:f>
      </x:c>
      <x:c r="Z49" s="117" t="n">
        <x:f>'ВРИ'!Z28</x:f>
      </x:c>
      <x:c r="AA49" s="117" t="n">
        <x:f>'ВРИ'!AA28</x:f>
      </x:c>
      <x:c r="AB49" s="117" t="n">
        <x:f>'ВРИ'!AB28</x:f>
      </x:c>
      <x:c r="AC49" s="117" t="n">
        <x:f>'ВРИ'!AC28</x:f>
      </x:c>
      <x:c r="AD49" s="117" t="n">
        <x:f>'ВРИ'!AD28</x:f>
      </x:c>
      <x:c r="AE49" s="117" t="n">
        <x:f>'ВРИ'!AE28</x:f>
      </x:c>
      <x:c r="AF49" s="117" t="n">
        <x:f>'ВРИ'!AF28</x:f>
      </x:c>
      <x:c r="AG49" s="117" t="n">
        <x:f>'ВРИ'!AG28</x:f>
      </x:c>
      <x:c r="AH49" s="117" t="n">
        <x:f>'ВРИ'!AH28</x:f>
      </x:c>
      <x:c r="AI49" s="117" t="n">
        <x:f>'ВРИ'!AI28</x:f>
      </x:c>
      <x:c r="AJ49" s="117" t="n">
        <x:f>'ВРИ'!AJ28</x:f>
      </x:c>
      <x:c r="AK49" s="117" t="n">
        <x:f>'ВРИ'!AK28</x:f>
      </x:c>
      <x:c r="AL49" s="117" t="n">
        <x:f>'ВРИ'!AL28</x:f>
      </x:c>
      <x:c r="AM49" s="117" t="n">
        <x:f>'ВРИ'!AM28</x:f>
      </x:c>
      <x:c r="AN49" s="117" t="n">
        <x:f>'ВРИ'!AN28</x:f>
      </x:c>
      <x:c r="AO49" s="117" t="n">
        <x:f>'ВРИ'!AO28</x:f>
      </x:c>
      <x:c r="AP49" s="117" t="n">
        <x:f>'ВРИ'!AP28</x:f>
      </x:c>
      <x:c r="AQ49" s="117" t="n">
        <x:f>'ВРИ'!AQ28</x:f>
      </x:c>
      <x:c r="AR49" s="117" t="n">
        <x:f>'ВРИ'!AR28</x:f>
      </x:c>
      <x:c r="AS49" s="117" t="n">
        <x:f>'ВРИ'!AS28</x:f>
      </x:c>
      <x:c r="AT49" s="117" t="n">
        <x:f>'ВРИ'!AT28</x:f>
      </x:c>
      <x:c r="AU49" s="117" t="n">
        <x:f>'ВРИ'!AU28</x:f>
      </x:c>
      <x:c r="AV49" s="117" t="n">
        <x:f>'ВРИ'!AV28</x:f>
      </x:c>
      <x:c r="AW49" s="117" t="n">
        <x:f>'ВРИ'!AW28</x:f>
      </x:c>
      <x:c r="AX49" s="117" t="n">
        <x:f>'ВРИ'!AX28</x:f>
      </x:c>
      <x:c r="AY49" s="117" t="n">
        <x:f>'ВРИ'!AY28</x:f>
      </x:c>
      <x:c r="AZ49" s="117" t="n">
        <x:f>'ВРИ'!AZ28</x:f>
      </x:c>
      <x:c r="BA49" s="117" t="n">
        <x:f>'ВРИ'!BA28</x:f>
      </x:c>
      <x:c r="BB49" s="117" t="n">
        <x:f>'ВРИ'!BB28</x:f>
      </x:c>
      <x:c r="BC49" s="117" t="n">
        <x:f>'ВРИ'!BC28</x:f>
      </x:c>
      <x:c r="BD49" s="117" t="n">
        <x:f>'ВРИ'!BD28</x:f>
      </x:c>
      <x:c r="BE49" s="117" t="n">
        <x:f>'ВРИ'!BE28</x:f>
      </x:c>
      <x:c r="BF49" s="117" t="n">
        <x:f>'ВРИ'!BF28</x:f>
      </x:c>
      <x:c r="BG49" s="117" t="n">
        <x:f>'ВРИ'!BG28</x:f>
      </x:c>
      <x:c r="BH49" s="117" t="n">
        <x:f>'ВРИ'!BH28</x:f>
      </x:c>
      <x:c r="BI49" s="117" t="n">
        <x:f>'ВРИ'!BI28</x:f>
      </x:c>
      <x:c r="BJ49" s="117" t="n">
        <x:f>'ВРИ'!BJ28</x:f>
      </x:c>
      <x:c r="BK49" s="117" t="n">
        <x:f>'ВРИ'!BK28</x:f>
      </x:c>
      <x:c r="BL49" s="117" t="n">
        <x:f>'ВРИ'!BL28</x:f>
      </x:c>
      <x:c r="BM49" s="117" t="n">
        <x:f>'ВРИ'!BM28</x:f>
      </x:c>
      <x:c r="BN49" s="117" t="n">
        <x:f>'ВРИ'!BN28</x:f>
      </x:c>
      <x:c r="BO49" s="117" t="n">
        <x:f>'ВРИ'!BO28</x:f>
      </x:c>
      <x:c r="BP49" s="117" t="n">
        <x:f>'ВРИ'!BP28</x:f>
      </x:c>
      <x:c r="BQ49" s="117" t="n">
        <x:f>'ВРИ'!BQ28</x:f>
      </x:c>
      <x:c r="BR49" s="117" t="n">
        <x:f>'ВРИ'!BR28</x:f>
      </x:c>
      <x:c r="BS49" s="117" t="n">
        <x:f>'ВРИ'!BS28</x:f>
      </x:c>
      <x:c r="BT49" s="117" t="n">
        <x:f>'ВРИ'!BT28</x:f>
      </x:c>
      <x:c r="BU49" s="117" t="n">
        <x:f>'ВРИ'!BU28</x:f>
      </x:c>
      <x:c r="BV49" s="117" t="n">
        <x:f>'ВРИ'!BV28</x:f>
      </x:c>
      <x:c r="BW49" s="117" t="n">
        <x:f>'ВРИ'!BW28</x:f>
      </x:c>
      <x:c r="BX49" s="117" t="n">
        <x:f>'ВРИ'!BX28</x:f>
      </x:c>
      <x:c r="BY49" s="117" t="n">
        <x:f>'ВРИ'!BY28</x:f>
      </x:c>
      <x:c r="BZ49" s="117" t="n">
        <x:f>'ВРИ'!BZ28</x:f>
      </x:c>
      <x:c r="CA49" s="117" t="n">
        <x:f>'ВРИ'!CA28</x:f>
      </x:c>
      <x:c r="CB49" s="117" t="n">
        <x:f>'ВРИ'!CB28</x:f>
      </x:c>
      <x:c r="CC49" s="117" t="n">
        <x:f>'ВРИ'!CC28</x:f>
      </x:c>
      <x:c r="CD49" s="117" t="n">
        <x:f>'ВРИ'!CD28</x:f>
      </x:c>
      <x:c r="CE49" s="117" t="n">
        <x:f>'ВРИ'!CE28</x:f>
      </x:c>
      <x:c r="CF49" s="117" t="n">
        <x:f>'ВРИ'!CF28</x:f>
      </x:c>
      <x:c r="CG49" s="117" t="n">
        <x:f>'ВРИ'!CG28</x:f>
      </x:c>
      <x:c r="CH49" s="117" t="n">
        <x:f>'ВРИ'!CH28</x:f>
      </x:c>
      <x:c r="CI49" s="117" t="n">
        <x:f>'ВРИ'!CI28</x:f>
      </x:c>
      <x:c r="CJ49" s="117" t="n">
        <x:f>'ВРИ'!CJ28</x:f>
      </x:c>
      <x:c r="CK49" s="117" t="n">
        <x:f>'ВРИ'!CK28</x:f>
      </x:c>
      <x:c r="CL49" s="117" t="n">
        <x:f>'ВРИ'!CL28</x:f>
      </x:c>
      <x:c r="CM49" s="117" t="n">
        <x:f>'ВРИ'!CM28</x:f>
      </x:c>
      <x:c r="CN49" s="117" t="n">
        <x:f>'ВРИ'!CN28</x:f>
      </x:c>
      <x:c r="CO49" s="117" t="n">
        <x:f>'ВРИ'!CO28</x:f>
      </x:c>
      <x:c r="CP49" s="117" t="n">
        <x:f>'ВРИ'!CP28</x:f>
      </x:c>
      <x:c r="CQ49" s="117" t="n">
        <x:f>'ВРИ'!CQ28</x:f>
      </x:c>
      <x:c r="CR49" s="117" t="n">
        <x:f>'ВРИ'!CR28</x:f>
      </x:c>
      <x:c r="CS49" s="117" t="n">
        <x:f>'ВРИ'!CS28</x:f>
      </x:c>
      <x:c r="CT49" s="117" t="n">
        <x:f>'ВРИ'!CT28</x:f>
      </x:c>
      <x:c r="CU49" s="117" t="n">
        <x:f>'ВРИ'!CU28</x:f>
      </x:c>
      <x:c r="CV49" s="117" t="n">
        <x:f>'ВРИ'!CV28</x:f>
      </x:c>
      <x:c r="CW49" s="117" t="n">
        <x:f>'ВРИ'!CW28</x:f>
      </x:c>
      <x:c r="CX49" s="117" t="n">
        <x:f>'ВРИ'!CX28</x:f>
      </x:c>
      <x:c r="CY49" s="117" t="n">
        <x:f>'ВРИ'!CY28</x:f>
      </x:c>
      <x:c r="CZ49" s="117" t="n">
        <x:f>'ВРИ'!CZ28</x:f>
      </x:c>
      <x:c r="DA49" s="117" t="n">
        <x:f>'ВРИ'!DA28</x:f>
      </x:c>
      <x:c r="DB49" s="117" t="n">
        <x:f>'ВРИ'!DB28</x:f>
      </x:c>
      <x:c r="DC49" s="117" t="n">
        <x:f>'ВРИ'!DC28</x:f>
      </x:c>
      <x:c r="DD49" s="117" t="n">
        <x:f>'ВРИ'!DD28</x:f>
      </x:c>
      <x:c r="DE49" s="117" t="n">
        <x:f>'ВРИ'!DE28</x:f>
      </x:c>
      <x:c r="DF49" s="117" t="n">
        <x:f>'ВРИ'!DF28</x:f>
      </x:c>
      <x:c r="DG49" s="117" t="n">
        <x:f>'ВРИ'!DG28</x:f>
      </x:c>
      <x:c r="DH49" s="117" t="n">
        <x:f>'ВРИ'!DH28</x:f>
      </x:c>
      <x:c r="DI49" s="117" t="n">
        <x:f>'ВРИ'!DI28</x:f>
      </x:c>
      <x:c r="DJ49" s="117" t="n">
        <x:f>'ВРИ'!DJ28</x:f>
      </x:c>
      <x:c r="DK49" s="117" t="n">
        <x:f>'ВРИ'!DK28</x:f>
      </x:c>
      <x:c r="DL49" s="117" t="n">
        <x:f>'ВРИ'!DL28</x:f>
      </x:c>
      <x:c r="DM49" s="117" t="n">
        <x:f>'ВРИ'!DM28</x:f>
      </x:c>
      <x:c r="DN49" s="117" t="n">
        <x:f>'ВРИ'!DN28</x:f>
      </x:c>
      <x:c r="DO49" s="117" t="n">
        <x:f>'ВРИ'!DO28</x:f>
      </x:c>
      <x:c r="DP49" s="117" t="n">
        <x:f>'ВРИ'!DP28</x:f>
      </x:c>
      <x:c r="DQ49" s="117" t="n">
        <x:f>'ВРИ'!DQ28</x:f>
      </x:c>
      <x:c r="DR49" s="117" t="n">
        <x:f>'ВРИ'!DR28</x:f>
      </x:c>
      <x:c r="DS49" s="117" t="n">
        <x:f>'ВРИ'!DS28</x:f>
      </x:c>
      <x:c r="DT49" s="117" t="n">
        <x:f>'ВРИ'!DT28</x:f>
      </x:c>
      <x:c r="DU49" s="117" t="n">
        <x:f>'ВРИ'!DU28</x:f>
      </x:c>
      <x:c r="DV49" s="117" t="n">
        <x:f>'ВРИ'!DV28</x:f>
      </x:c>
      <x:c r="DW49" s="117" t="n">
        <x:f>'ВРИ'!DW28</x:f>
      </x:c>
      <x:c r="DX49" s="117" t="n">
        <x:f>'ВРИ'!DX28</x:f>
      </x:c>
      <x:c r="DY49" s="117" t="n">
        <x:f>'ВРИ'!DY28</x:f>
      </x:c>
      <x:c r="DZ49" s="117" t="n">
        <x:f>'ВРИ'!DZ28</x:f>
      </x:c>
      <x:c r="EA49" s="117" t="n">
        <x:f>'ВРИ'!EA28</x:f>
      </x:c>
      <x:c r="EB49" s="117" t="n">
        <x:f>'ВРИ'!EB28</x:f>
      </x:c>
      <x:c r="EC49" s="117" t="n">
        <x:f>'ВРИ'!EC28</x:f>
      </x:c>
      <x:c r="ED49" s="117" t="n">
        <x:f>'ВРИ'!ED28</x:f>
      </x:c>
      <x:c r="EE49" s="117" t="n">
        <x:f>'ВРИ'!EE28</x:f>
      </x:c>
      <x:c r="EF49" s="117" t="n">
        <x:f>'ВРИ'!EF28</x:f>
      </x:c>
      <x:c r="EG49" s="117" t="n">
        <x:f>'ВРИ'!EG28</x:f>
      </x:c>
      <x:c r="EH49" s="117" t="n">
        <x:f>'ВРИ'!EH28</x:f>
      </x:c>
      <x:c r="EI49" s="117" t="n">
        <x:f>'ВРИ'!EI28</x:f>
      </x:c>
      <x:c r="EJ49" s="117" t="n">
        <x:f>'ВРИ'!EJ28</x:f>
      </x:c>
      <x:c r="EK49" s="117" t="n">
        <x:f>'ВРИ'!EK28</x:f>
      </x:c>
      <x:c r="EL49" s="117" t="n">
        <x:f>'ВРИ'!EL28</x:f>
      </x:c>
      <x:c r="EM49" s="117" t="n">
        <x:f>'ВРИ'!EM28</x:f>
      </x:c>
      <x:c r="EN49" s="117" t="n">
        <x:f>'ВРИ'!EN28</x:f>
      </x:c>
      <x:c r="EO49" s="117" t="n">
        <x:f>'ВРИ'!EO28</x:f>
      </x:c>
      <x:c r="EP49" s="117" t="n">
        <x:f>'ВРИ'!EP28</x:f>
      </x:c>
      <x:c r="EQ49" s="117" t="n">
        <x:f>'ВРИ'!EQ28</x:f>
      </x:c>
      <x:c r="ER49" s="117" t="n">
        <x:f>'ВРИ'!ER28</x:f>
      </x:c>
      <x:c r="ES49" s="117" t="n">
        <x:f>'ВРИ'!ES28</x:f>
      </x:c>
      <x:c r="ET49" s="117" t="n">
        <x:f>'ВРИ'!ET28</x:f>
      </x:c>
      <x:c r="EU49" s="117" t="n">
        <x:f>'ВРИ'!EU28</x:f>
      </x:c>
      <x:c r="EV49" s="117" t="n">
        <x:f>'ВРИ'!EV28</x:f>
      </x:c>
      <x:c r="EW49" s="117" t="n">
        <x:f>'ВРИ'!EW28</x:f>
      </x:c>
      <x:c r="EX49" s="117" t="n">
        <x:f>'ВРИ'!EX28</x:f>
      </x:c>
      <x:c r="EY49" s="117" t="n">
        <x:f>'ВРИ'!EY28</x:f>
      </x:c>
      <x:c r="EZ49" s="117" t="n">
        <x:f>'ВРИ'!EZ28</x:f>
      </x:c>
      <x:c r="FA49" s="117" t="n">
        <x:f>'ВРИ'!FA28</x:f>
      </x:c>
      <x:c r="FB49" s="117" t="n">
        <x:f>'ВРИ'!FB28</x:f>
      </x:c>
      <x:c r="FC49" s="117" t="n">
        <x:f>'ВРИ'!FC28</x:f>
      </x:c>
      <x:c r="FD49" s="117" t="n">
        <x:f>'ВРИ'!FD28</x:f>
      </x:c>
      <x:c r="FE49" s="117" t="n">
        <x:f>'ВРИ'!FE28</x:f>
      </x:c>
      <x:c r="FF49" s="117" t="n">
        <x:f>'ВРИ'!FF28</x:f>
      </x:c>
      <x:c r="FG49" s="117" t="n">
        <x:f>'ВРИ'!FG28</x:f>
      </x:c>
      <x:c r="FH49" s="117" t="n">
        <x:f>'ВРИ'!FH28</x:f>
      </x:c>
      <x:c r="FI49" s="117" t="n">
        <x:f>'ВРИ'!FI28</x:f>
      </x:c>
      <x:c r="FJ49" s="117" t="n">
        <x:f>'ВРИ'!FJ28</x:f>
      </x:c>
      <x:c r="FK49" s="117" t="n">
        <x:f>'ВРИ'!FK28</x:f>
      </x:c>
      <x:c r="FL49" s="117" t="n">
        <x:f>'ВРИ'!FL28</x:f>
      </x:c>
      <x:c r="FM49" s="117" t="n">
        <x:f>'ВРИ'!FM28</x:f>
      </x:c>
      <x:c r="FN49" s="117" t="n">
        <x:f>'ВРИ'!FN28</x:f>
      </x:c>
      <x:c r="FO49" s="117" t="n">
        <x:f>'ВРИ'!FO28</x:f>
      </x:c>
      <x:c r="FP49" s="117" t="n">
        <x:f>'ВРИ'!FP28</x:f>
      </x:c>
      <x:c r="FQ49" s="117" t="n">
        <x:f>'ВРИ'!FQ28</x:f>
      </x:c>
      <x:c r="FR49" s="117" t="n">
        <x:f>'ВРИ'!FR28</x:f>
      </x:c>
      <x:c r="FS49" s="117" t="n">
        <x:f>'ВРИ'!FS28</x:f>
      </x:c>
      <x:c r="FT49" s="117" t="n">
        <x:f>'ВРИ'!FT28</x:f>
      </x:c>
      <x:c r="FU49" s="117" t="n">
        <x:f>'ВРИ'!FU28</x:f>
      </x:c>
      <x:c r="FV49" s="117" t="n">
        <x:f>'ВРИ'!FV28</x:f>
      </x:c>
      <x:c r="FW49" s="117" t="n">
        <x:f>'ВРИ'!FW28</x:f>
      </x:c>
      <x:c r="FX49" s="117" t="n">
        <x:f>'ВРИ'!FX28</x:f>
      </x:c>
      <x:c r="FY49" s="117" t="n">
        <x:f>'ВРИ'!FY28</x:f>
      </x:c>
      <x:c r="FZ49" s="117" t="n">
        <x:f>'ВРИ'!FZ28</x:f>
      </x:c>
      <x:c r="GA49" s="117" t="n">
        <x:f>'ВРИ'!GA28</x:f>
      </x:c>
    </x:row>
    <x:row r="50">
      <x:c r="A50" t="str">
        <x:v>ИРД и согласования</x:v>
      </x:c>
      <x:c r="B50" s="107" t="n">
        <x:f>(('Вводные'!$I$89+'Вводные'!$J$89+'Вводные'!$K$89)*'Вводные'!$B$40/1000*'Вводные'!$H$6*'Вводные'!$T$89*--('Вводные'!$B$89="Да"))*'Вводные'!$AH$89</x:f>
      </x:c>
      <x:c r="C50" t="str">
        <x:v>млн ₽</x:v>
      </x:c>
      <x:c r="D50" s="117" t="n">
        <x:f>IF(AND(D$3&gt;=EDATE($B$41,-'Вводные'!$E$89),D$3&lt;$B$41),$B$50/MAX(1,'Вводные'!$E$89),0)</x:f>
      </x:c>
      <x:c r="E50" s="117" t="n">
        <x:f>IF(AND(E$3&gt;=EDATE($B$41,-'Вводные'!$E$89),E$3&lt;$B$41),$B$50/MAX(1,'Вводные'!$E$89),0)</x:f>
      </x:c>
      <x:c r="F50" s="117" t="n">
        <x:f>IF(AND(F$3&gt;=EDATE($B$41,-'Вводные'!$E$89),F$3&lt;$B$41),$B$50/MAX(1,'Вводные'!$E$89),0)</x:f>
      </x:c>
      <x:c r="G50" s="117" t="n">
        <x:f>IF(AND(G$3&gt;=EDATE($B$41,-'Вводные'!$E$89),G$3&lt;$B$41),$B$50/MAX(1,'Вводные'!$E$89),0)</x:f>
      </x:c>
      <x:c r="H50" s="117" t="n">
        <x:f>IF(AND(H$3&gt;=EDATE($B$41,-'Вводные'!$E$89),H$3&lt;$B$41),$B$50/MAX(1,'Вводные'!$E$89),0)</x:f>
      </x:c>
      <x:c r="I50" s="117" t="n">
        <x:f>IF(AND(I$3&gt;=EDATE($B$41,-'Вводные'!$E$89),I$3&lt;$B$41),$B$50/MAX(1,'Вводные'!$E$89),0)</x:f>
      </x:c>
      <x:c r="J50" s="117" t="n">
        <x:f>IF(AND(J$3&gt;=EDATE($B$41,-'Вводные'!$E$89),J$3&lt;$B$41),$B$50/MAX(1,'Вводные'!$E$89),0)</x:f>
      </x:c>
      <x:c r="K50" s="117" t="n">
        <x:f>IF(AND(K$3&gt;=EDATE($B$41,-'Вводные'!$E$89),K$3&lt;$B$41),$B$50/MAX(1,'Вводные'!$E$89),0)</x:f>
      </x:c>
      <x:c r="L50" s="117" t="n">
        <x:f>IF(AND(L$3&gt;=EDATE($B$41,-'Вводные'!$E$89),L$3&lt;$B$41),$B$50/MAX(1,'Вводные'!$E$89),0)</x:f>
      </x:c>
      <x:c r="M50" s="117" t="n">
        <x:f>IF(AND(M$3&gt;=EDATE($B$41,-'Вводные'!$E$89),M$3&lt;$B$41),$B$50/MAX(1,'Вводные'!$E$89),0)</x:f>
      </x:c>
      <x:c r="N50" s="117" t="n">
        <x:f>IF(AND(N$3&gt;=EDATE($B$41,-'Вводные'!$E$89),N$3&lt;$B$41),$B$50/MAX(1,'Вводные'!$E$89),0)</x:f>
      </x:c>
      <x:c r="O50" s="117" t="n">
        <x:f>IF(AND(O$3&gt;=EDATE($B$41,-'Вводные'!$E$89),O$3&lt;$B$41),$B$50/MAX(1,'Вводные'!$E$89),0)</x:f>
      </x:c>
      <x:c r="P50" s="117" t="n">
        <x:f>IF(AND(P$3&gt;=EDATE($B$41,-'Вводные'!$E$89),P$3&lt;$B$41),$B$50/MAX(1,'Вводные'!$E$89),0)</x:f>
      </x:c>
      <x:c r="Q50" s="117" t="n">
        <x:f>IF(AND(Q$3&gt;=EDATE($B$41,-'Вводные'!$E$89),Q$3&lt;$B$41),$B$50/MAX(1,'Вводные'!$E$89),0)</x:f>
      </x:c>
      <x:c r="R50" s="117" t="n">
        <x:f>IF(AND(R$3&gt;=EDATE($B$41,-'Вводные'!$E$89),R$3&lt;$B$41),$B$50/MAX(1,'Вводные'!$E$89),0)</x:f>
      </x:c>
      <x:c r="S50" s="117" t="n">
        <x:f>IF(AND(S$3&gt;=EDATE($B$41,-'Вводные'!$E$89),S$3&lt;$B$41),$B$50/MAX(1,'Вводные'!$E$89),0)</x:f>
      </x:c>
      <x:c r="T50" s="117" t="n">
        <x:f>IF(AND(T$3&gt;=EDATE($B$41,-'Вводные'!$E$89),T$3&lt;$B$41),$B$50/MAX(1,'Вводные'!$E$89),0)</x:f>
      </x:c>
      <x:c r="U50" s="117" t="n">
        <x:f>IF(AND(U$3&gt;=EDATE($B$41,-'Вводные'!$E$89),U$3&lt;$B$41),$B$50/MAX(1,'Вводные'!$E$89),0)</x:f>
      </x:c>
      <x:c r="V50" s="117" t="n">
        <x:f>IF(AND(V$3&gt;=EDATE($B$41,-'Вводные'!$E$89),V$3&lt;$B$41),$B$50/MAX(1,'Вводные'!$E$89),0)</x:f>
      </x:c>
      <x:c r="W50" s="117" t="n">
        <x:f>IF(AND(W$3&gt;=EDATE($B$41,-'Вводные'!$E$89),W$3&lt;$B$41),$B$50/MAX(1,'Вводные'!$E$89),0)</x:f>
      </x:c>
      <x:c r="X50" s="117" t="n">
        <x:f>IF(AND(X$3&gt;=EDATE($B$41,-'Вводные'!$E$89),X$3&lt;$B$41),$B$50/MAX(1,'Вводные'!$E$89),0)</x:f>
      </x:c>
      <x:c r="Y50" s="117" t="n">
        <x:f>IF(AND(Y$3&gt;=EDATE($B$41,-'Вводные'!$E$89),Y$3&lt;$B$41),$B$50/MAX(1,'Вводные'!$E$89),0)</x:f>
      </x:c>
      <x:c r="Z50" s="117" t="n">
        <x:f>IF(AND(Z$3&gt;=EDATE($B$41,-'Вводные'!$E$89),Z$3&lt;$B$41),$B$50/MAX(1,'Вводные'!$E$89),0)</x:f>
      </x:c>
      <x:c r="AA50" s="117" t="n">
        <x:f>IF(AND(AA$3&gt;=EDATE($B$41,-'Вводные'!$E$89),AA$3&lt;$B$41),$B$50/MAX(1,'Вводные'!$E$89),0)</x:f>
      </x:c>
      <x:c r="AB50" s="117" t="n">
        <x:f>IF(AND(AB$3&gt;=EDATE($B$41,-'Вводные'!$E$89),AB$3&lt;$B$41),$B$50/MAX(1,'Вводные'!$E$89),0)</x:f>
      </x:c>
      <x:c r="AC50" s="117" t="n">
        <x:f>IF(AND(AC$3&gt;=EDATE($B$41,-'Вводные'!$E$89),AC$3&lt;$B$41),$B$50/MAX(1,'Вводные'!$E$89),0)</x:f>
      </x:c>
      <x:c r="AD50" s="117" t="n">
        <x:f>IF(AND(AD$3&gt;=EDATE($B$41,-'Вводные'!$E$89),AD$3&lt;$B$41),$B$50/MAX(1,'Вводные'!$E$89),0)</x:f>
      </x:c>
      <x:c r="AE50" s="117" t="n">
        <x:f>IF(AND(AE$3&gt;=EDATE($B$41,-'Вводные'!$E$89),AE$3&lt;$B$41),$B$50/MAX(1,'Вводные'!$E$89),0)</x:f>
      </x:c>
      <x:c r="AF50" s="117" t="n">
        <x:f>IF(AND(AF$3&gt;=EDATE($B$41,-'Вводные'!$E$89),AF$3&lt;$B$41),$B$50/MAX(1,'Вводные'!$E$89),0)</x:f>
      </x:c>
      <x:c r="AG50" s="117" t="n">
        <x:f>IF(AND(AG$3&gt;=EDATE($B$41,-'Вводные'!$E$89),AG$3&lt;$B$41),$B$50/MAX(1,'Вводные'!$E$89),0)</x:f>
      </x:c>
      <x:c r="AH50" s="117" t="n">
        <x:f>IF(AND(AH$3&gt;=EDATE($B$41,-'Вводные'!$E$89),AH$3&lt;$B$41),$B$50/MAX(1,'Вводные'!$E$89),0)</x:f>
      </x:c>
      <x:c r="AI50" s="117" t="n">
        <x:f>IF(AND(AI$3&gt;=EDATE($B$41,-'Вводные'!$E$89),AI$3&lt;$B$41),$B$50/MAX(1,'Вводные'!$E$89),0)</x:f>
      </x:c>
      <x:c r="AJ50" s="117" t="n">
        <x:f>IF(AND(AJ$3&gt;=EDATE($B$41,-'Вводные'!$E$89),AJ$3&lt;$B$41),$B$50/MAX(1,'Вводные'!$E$89),0)</x:f>
      </x:c>
      <x:c r="AK50" s="117" t="n">
        <x:f>IF(AND(AK$3&gt;=EDATE($B$41,-'Вводные'!$E$89),AK$3&lt;$B$41),$B$50/MAX(1,'Вводные'!$E$89),0)</x:f>
      </x:c>
      <x:c r="AL50" s="117" t="n">
        <x:f>IF(AND(AL$3&gt;=EDATE($B$41,-'Вводные'!$E$89),AL$3&lt;$B$41),$B$50/MAX(1,'Вводные'!$E$89),0)</x:f>
      </x:c>
      <x:c r="AM50" s="117" t="n">
        <x:f>IF(AND(AM$3&gt;=EDATE($B$41,-'Вводные'!$E$89),AM$3&lt;$B$41),$B$50/MAX(1,'Вводные'!$E$89),0)</x:f>
      </x:c>
      <x:c r="AN50" s="117" t="n">
        <x:f>IF(AND(AN$3&gt;=EDATE($B$41,-'Вводные'!$E$89),AN$3&lt;$B$41),$B$50/MAX(1,'Вводные'!$E$89),0)</x:f>
      </x:c>
      <x:c r="AO50" s="117" t="n">
        <x:f>IF(AND(AO$3&gt;=EDATE($B$41,-'Вводные'!$E$89),AO$3&lt;$B$41),$B$50/MAX(1,'Вводные'!$E$89),0)</x:f>
      </x:c>
      <x:c r="AP50" s="117" t="n">
        <x:f>IF(AND(AP$3&gt;=EDATE($B$41,-'Вводные'!$E$89),AP$3&lt;$B$41),$B$50/MAX(1,'Вводные'!$E$89),0)</x:f>
      </x:c>
      <x:c r="AQ50" s="117" t="n">
        <x:f>IF(AND(AQ$3&gt;=EDATE($B$41,-'Вводные'!$E$89),AQ$3&lt;$B$41),$B$50/MAX(1,'Вводные'!$E$89),0)</x:f>
      </x:c>
      <x:c r="AR50" s="117" t="n">
        <x:f>IF(AND(AR$3&gt;=EDATE($B$41,-'Вводные'!$E$89),AR$3&lt;$B$41),$B$50/MAX(1,'Вводные'!$E$89),0)</x:f>
      </x:c>
      <x:c r="AS50" s="117" t="n">
        <x:f>IF(AND(AS$3&gt;=EDATE($B$41,-'Вводные'!$E$89),AS$3&lt;$B$41),$B$50/MAX(1,'Вводные'!$E$89),0)</x:f>
      </x:c>
      <x:c r="AT50" s="117" t="n">
        <x:f>IF(AND(AT$3&gt;=EDATE($B$41,-'Вводные'!$E$89),AT$3&lt;$B$41),$B$50/MAX(1,'Вводные'!$E$89),0)</x:f>
      </x:c>
      <x:c r="AU50" s="117" t="n">
        <x:f>IF(AND(AU$3&gt;=EDATE($B$41,-'Вводные'!$E$89),AU$3&lt;$B$41),$B$50/MAX(1,'Вводные'!$E$89),0)</x:f>
      </x:c>
      <x:c r="AV50" s="117" t="n">
        <x:f>IF(AND(AV$3&gt;=EDATE($B$41,-'Вводные'!$E$89),AV$3&lt;$B$41),$B$50/MAX(1,'Вводные'!$E$89),0)</x:f>
      </x:c>
      <x:c r="AW50" s="117" t="n">
        <x:f>IF(AND(AW$3&gt;=EDATE($B$41,-'Вводные'!$E$89),AW$3&lt;$B$41),$B$50/MAX(1,'Вводные'!$E$89),0)</x:f>
      </x:c>
      <x:c r="AX50" s="117" t="n">
        <x:f>IF(AND(AX$3&gt;=EDATE($B$41,-'Вводные'!$E$89),AX$3&lt;$B$41),$B$50/MAX(1,'Вводные'!$E$89),0)</x:f>
      </x:c>
      <x:c r="AY50" s="117" t="n">
        <x:f>IF(AND(AY$3&gt;=EDATE($B$41,-'Вводные'!$E$89),AY$3&lt;$B$41),$B$50/MAX(1,'Вводные'!$E$89),0)</x:f>
      </x:c>
      <x:c r="AZ50" s="117" t="n">
        <x:f>IF(AND(AZ$3&gt;=EDATE($B$41,-'Вводные'!$E$89),AZ$3&lt;$B$41),$B$50/MAX(1,'Вводные'!$E$89),0)</x:f>
      </x:c>
      <x:c r="BA50" s="117" t="n">
        <x:f>IF(AND(BA$3&gt;=EDATE($B$41,-'Вводные'!$E$89),BA$3&lt;$B$41),$B$50/MAX(1,'Вводные'!$E$89),0)</x:f>
      </x:c>
      <x:c r="BB50" s="117" t="n">
        <x:f>IF(AND(BB$3&gt;=EDATE($B$41,-'Вводные'!$E$89),BB$3&lt;$B$41),$B$50/MAX(1,'Вводные'!$E$89),0)</x:f>
      </x:c>
      <x:c r="BC50" s="117" t="n">
        <x:f>IF(AND(BC$3&gt;=EDATE($B$41,-'Вводные'!$E$89),BC$3&lt;$B$41),$B$50/MAX(1,'Вводные'!$E$89),0)</x:f>
      </x:c>
      <x:c r="BD50" s="117" t="n">
        <x:f>IF(AND(BD$3&gt;=EDATE($B$41,-'Вводные'!$E$89),BD$3&lt;$B$41),$B$50/MAX(1,'Вводные'!$E$89),0)</x:f>
      </x:c>
      <x:c r="BE50" s="117" t="n">
        <x:f>IF(AND(BE$3&gt;=EDATE($B$41,-'Вводные'!$E$89),BE$3&lt;$B$41),$B$50/MAX(1,'Вводные'!$E$89),0)</x:f>
      </x:c>
      <x:c r="BF50" s="117" t="n">
        <x:f>IF(AND(BF$3&gt;=EDATE($B$41,-'Вводные'!$E$89),BF$3&lt;$B$41),$B$50/MAX(1,'Вводные'!$E$89),0)</x:f>
      </x:c>
      <x:c r="BG50" s="117" t="n">
        <x:f>IF(AND(BG$3&gt;=EDATE($B$41,-'Вводные'!$E$89),BG$3&lt;$B$41),$B$50/MAX(1,'Вводные'!$E$89),0)</x:f>
      </x:c>
      <x:c r="BH50" s="117" t="n">
        <x:f>IF(AND(BH$3&gt;=EDATE($B$41,-'Вводные'!$E$89),BH$3&lt;$B$41),$B$50/MAX(1,'Вводные'!$E$89),0)</x:f>
      </x:c>
      <x:c r="BI50" s="117" t="n">
        <x:f>IF(AND(BI$3&gt;=EDATE($B$41,-'Вводные'!$E$89),BI$3&lt;$B$41),$B$50/MAX(1,'Вводные'!$E$89),0)</x:f>
      </x:c>
      <x:c r="BJ50" s="117" t="n">
        <x:f>IF(AND(BJ$3&gt;=EDATE($B$41,-'Вводные'!$E$89),BJ$3&lt;$B$41),$B$50/MAX(1,'Вводные'!$E$89),0)</x:f>
      </x:c>
      <x:c r="BK50" s="117" t="n">
        <x:f>IF(AND(BK$3&gt;=EDATE($B$41,-'Вводные'!$E$89),BK$3&lt;$B$41),$B$50/MAX(1,'Вводные'!$E$89),0)</x:f>
      </x:c>
      <x:c r="BL50" s="117" t="n">
        <x:f>IF(AND(BL$3&gt;=EDATE($B$41,-'Вводные'!$E$89),BL$3&lt;$B$41),$B$50/MAX(1,'Вводные'!$E$89),0)</x:f>
      </x:c>
      <x:c r="BM50" s="117" t="n">
        <x:f>IF(AND(BM$3&gt;=EDATE($B$41,-'Вводные'!$E$89),BM$3&lt;$B$41),$B$50/MAX(1,'Вводные'!$E$89),0)</x:f>
      </x:c>
      <x:c r="BN50" s="117" t="n">
        <x:f>IF(AND(BN$3&gt;=EDATE($B$41,-'Вводные'!$E$89),BN$3&lt;$B$41),$B$50/MAX(1,'Вводные'!$E$89),0)</x:f>
      </x:c>
      <x:c r="BO50" s="117" t="n">
        <x:f>IF(AND(BO$3&gt;=EDATE($B$41,-'Вводные'!$E$89),BO$3&lt;$B$41),$B$50/MAX(1,'Вводные'!$E$89),0)</x:f>
      </x:c>
      <x:c r="BP50" s="117" t="n">
        <x:f>IF(AND(BP$3&gt;=EDATE($B$41,-'Вводные'!$E$89),BP$3&lt;$B$41),$B$50/MAX(1,'Вводные'!$E$89),0)</x:f>
      </x:c>
      <x:c r="BQ50" s="117" t="n">
        <x:f>IF(AND(BQ$3&gt;=EDATE($B$41,-'Вводные'!$E$89),BQ$3&lt;$B$41),$B$50/MAX(1,'Вводные'!$E$89),0)</x:f>
      </x:c>
      <x:c r="BR50" s="117" t="n">
        <x:f>IF(AND(BR$3&gt;=EDATE($B$41,-'Вводные'!$E$89),BR$3&lt;$B$41),$B$50/MAX(1,'Вводные'!$E$89),0)</x:f>
      </x:c>
      <x:c r="BS50" s="117" t="n">
        <x:f>IF(AND(BS$3&gt;=EDATE($B$41,-'Вводные'!$E$89),BS$3&lt;$B$41),$B$50/MAX(1,'Вводные'!$E$89),0)</x:f>
      </x:c>
      <x:c r="BT50" s="117" t="n">
        <x:f>IF(AND(BT$3&gt;=EDATE($B$41,-'Вводные'!$E$89),BT$3&lt;$B$41),$B$50/MAX(1,'Вводные'!$E$89),0)</x:f>
      </x:c>
      <x:c r="BU50" s="117" t="n">
        <x:f>IF(AND(BU$3&gt;=EDATE($B$41,-'Вводные'!$E$89),BU$3&lt;$B$41),$B$50/MAX(1,'Вводные'!$E$89),0)</x:f>
      </x:c>
      <x:c r="BV50" s="117" t="n">
        <x:f>IF(AND(BV$3&gt;=EDATE($B$41,-'Вводные'!$E$89),BV$3&lt;$B$41),$B$50/MAX(1,'Вводные'!$E$89),0)</x:f>
      </x:c>
      <x:c r="BW50" s="117" t="n">
        <x:f>IF(AND(BW$3&gt;=EDATE($B$41,-'Вводные'!$E$89),BW$3&lt;$B$41),$B$50/MAX(1,'Вводные'!$E$89),0)</x:f>
      </x:c>
      <x:c r="BX50" s="117" t="n">
        <x:f>IF(AND(BX$3&gt;=EDATE($B$41,-'Вводные'!$E$89),BX$3&lt;$B$41),$B$50/MAX(1,'Вводные'!$E$89),0)</x:f>
      </x:c>
      <x:c r="BY50" s="117" t="n">
        <x:f>IF(AND(BY$3&gt;=EDATE($B$41,-'Вводные'!$E$89),BY$3&lt;$B$41),$B$50/MAX(1,'Вводные'!$E$89),0)</x:f>
      </x:c>
      <x:c r="BZ50" s="117" t="n">
        <x:f>IF(AND(BZ$3&gt;=EDATE($B$41,-'Вводные'!$E$89),BZ$3&lt;$B$41),$B$50/MAX(1,'Вводные'!$E$89),0)</x:f>
      </x:c>
      <x:c r="CA50" s="117" t="n">
        <x:f>IF(AND(CA$3&gt;=EDATE($B$41,-'Вводные'!$E$89),CA$3&lt;$B$41),$B$50/MAX(1,'Вводные'!$E$89),0)</x:f>
      </x:c>
      <x:c r="CB50" s="117" t="n">
        <x:f>IF(AND(CB$3&gt;=EDATE($B$41,-'Вводные'!$E$89),CB$3&lt;$B$41),$B$50/MAX(1,'Вводные'!$E$89),0)</x:f>
      </x:c>
      <x:c r="CC50" s="117" t="n">
        <x:f>IF(AND(CC$3&gt;=EDATE($B$41,-'Вводные'!$E$89),CC$3&lt;$B$41),$B$50/MAX(1,'Вводные'!$E$89),0)</x:f>
      </x:c>
      <x:c r="CD50" s="117" t="n">
        <x:f>IF(AND(CD$3&gt;=EDATE($B$41,-'Вводные'!$E$89),CD$3&lt;$B$41),$B$50/MAX(1,'Вводные'!$E$89),0)</x:f>
      </x:c>
      <x:c r="CE50" s="117" t="n">
        <x:f>IF(AND(CE$3&gt;=EDATE($B$41,-'Вводные'!$E$89),CE$3&lt;$B$41),$B$50/MAX(1,'Вводные'!$E$89),0)</x:f>
      </x:c>
      <x:c r="CF50" s="117" t="n">
        <x:f>IF(AND(CF$3&gt;=EDATE($B$41,-'Вводные'!$E$89),CF$3&lt;$B$41),$B$50/MAX(1,'Вводные'!$E$89),0)</x:f>
      </x:c>
      <x:c r="CG50" s="117" t="n">
        <x:f>IF(AND(CG$3&gt;=EDATE($B$41,-'Вводные'!$E$89),CG$3&lt;$B$41),$B$50/MAX(1,'Вводные'!$E$89),0)</x:f>
      </x:c>
      <x:c r="CH50" s="117" t="n">
        <x:f>IF(AND(CH$3&gt;=EDATE($B$41,-'Вводные'!$E$89),CH$3&lt;$B$41),$B$50/MAX(1,'Вводные'!$E$89),0)</x:f>
      </x:c>
      <x:c r="CI50" s="117" t="n">
        <x:f>IF(AND(CI$3&gt;=EDATE($B$41,-'Вводные'!$E$89),CI$3&lt;$B$41),$B$50/MAX(1,'Вводные'!$E$89),0)</x:f>
      </x:c>
      <x:c r="CJ50" s="117" t="n">
        <x:f>IF(AND(CJ$3&gt;=EDATE($B$41,-'Вводные'!$E$89),CJ$3&lt;$B$41),$B$50/MAX(1,'Вводные'!$E$89),0)</x:f>
      </x:c>
      <x:c r="CK50" s="117" t="n">
        <x:f>IF(AND(CK$3&gt;=EDATE($B$41,-'Вводные'!$E$89),CK$3&lt;$B$41),$B$50/MAX(1,'Вводные'!$E$89),0)</x:f>
      </x:c>
      <x:c r="CL50" s="117" t="n">
        <x:f>IF(AND(CL$3&gt;=EDATE($B$41,-'Вводные'!$E$89),CL$3&lt;$B$41),$B$50/MAX(1,'Вводные'!$E$89),0)</x:f>
      </x:c>
      <x:c r="CM50" s="117" t="n">
        <x:f>IF(AND(CM$3&gt;=EDATE($B$41,-'Вводные'!$E$89),CM$3&lt;$B$41),$B$50/MAX(1,'Вводные'!$E$89),0)</x:f>
      </x:c>
      <x:c r="CN50" s="117" t="n">
        <x:f>IF(AND(CN$3&gt;=EDATE($B$41,-'Вводные'!$E$89),CN$3&lt;$B$41),$B$50/MAX(1,'Вводные'!$E$89),0)</x:f>
      </x:c>
      <x:c r="CO50" s="117" t="n">
        <x:f>IF(AND(CO$3&gt;=EDATE($B$41,-'Вводные'!$E$89),CO$3&lt;$B$41),$B$50/MAX(1,'Вводные'!$E$89),0)</x:f>
      </x:c>
      <x:c r="CP50" s="117" t="n">
        <x:f>IF(AND(CP$3&gt;=EDATE($B$41,-'Вводные'!$E$89),CP$3&lt;$B$41),$B$50/MAX(1,'Вводные'!$E$89),0)</x:f>
      </x:c>
      <x:c r="CQ50" s="117" t="n">
        <x:f>IF(AND(CQ$3&gt;=EDATE($B$41,-'Вводные'!$E$89),CQ$3&lt;$B$41),$B$50/MAX(1,'Вводные'!$E$89),0)</x:f>
      </x:c>
      <x:c r="CR50" s="117" t="n">
        <x:f>IF(AND(CR$3&gt;=EDATE($B$41,-'Вводные'!$E$89),CR$3&lt;$B$41),$B$50/MAX(1,'Вводные'!$E$89),0)</x:f>
      </x:c>
      <x:c r="CS50" s="117" t="n">
        <x:f>IF(AND(CS$3&gt;=EDATE($B$41,-'Вводные'!$E$89),CS$3&lt;$B$41),$B$50/MAX(1,'Вводные'!$E$89),0)</x:f>
      </x:c>
      <x:c r="CT50" s="117" t="n">
        <x:f>IF(AND(CT$3&gt;=EDATE($B$41,-'Вводные'!$E$89),CT$3&lt;$B$41),$B$50/MAX(1,'Вводные'!$E$89),0)</x:f>
      </x:c>
      <x:c r="CU50" s="117" t="n">
        <x:f>IF(AND(CU$3&gt;=EDATE($B$41,-'Вводные'!$E$89),CU$3&lt;$B$41),$B$50/MAX(1,'Вводные'!$E$89),0)</x:f>
      </x:c>
      <x:c r="CV50" s="117" t="n">
        <x:f>IF(AND(CV$3&gt;=EDATE($B$41,-'Вводные'!$E$89),CV$3&lt;$B$41),$B$50/MAX(1,'Вводные'!$E$89),0)</x:f>
      </x:c>
      <x:c r="CW50" s="117" t="n">
        <x:f>IF(AND(CW$3&gt;=EDATE($B$41,-'Вводные'!$E$89),CW$3&lt;$B$41),$B$50/MAX(1,'Вводные'!$E$89),0)</x:f>
      </x:c>
      <x:c r="CX50" s="117" t="n">
        <x:f>IF(AND(CX$3&gt;=EDATE($B$41,-'Вводные'!$E$89),CX$3&lt;$B$41),$B$50/MAX(1,'Вводные'!$E$89),0)</x:f>
      </x:c>
      <x:c r="CY50" s="117" t="n">
        <x:f>IF(AND(CY$3&gt;=EDATE($B$41,-'Вводные'!$E$89),CY$3&lt;$B$41),$B$50/MAX(1,'Вводные'!$E$89),0)</x:f>
      </x:c>
      <x:c r="CZ50" s="117" t="n">
        <x:f>IF(AND(CZ$3&gt;=EDATE($B$41,-'Вводные'!$E$89),CZ$3&lt;$B$41),$B$50/MAX(1,'Вводные'!$E$89),0)</x:f>
      </x:c>
      <x:c r="DA50" s="117" t="n">
        <x:f>IF(AND(DA$3&gt;=EDATE($B$41,-'Вводные'!$E$89),DA$3&lt;$B$41),$B$50/MAX(1,'Вводные'!$E$89),0)</x:f>
      </x:c>
      <x:c r="DB50" s="117" t="n">
        <x:f>IF(AND(DB$3&gt;=EDATE($B$41,-'Вводные'!$E$89),DB$3&lt;$B$41),$B$50/MAX(1,'Вводные'!$E$89),0)</x:f>
      </x:c>
      <x:c r="DC50" s="117" t="n">
        <x:f>IF(AND(DC$3&gt;=EDATE($B$41,-'Вводные'!$E$89),DC$3&lt;$B$41),$B$50/MAX(1,'Вводные'!$E$89),0)</x:f>
      </x:c>
      <x:c r="DD50" s="117" t="n">
        <x:f>IF(AND(DD$3&gt;=EDATE($B$41,-'Вводные'!$E$89),DD$3&lt;$B$41),$B$50/MAX(1,'Вводные'!$E$89),0)</x:f>
      </x:c>
      <x:c r="DE50" s="117" t="n">
        <x:f>IF(AND(DE$3&gt;=EDATE($B$41,-'Вводные'!$E$89),DE$3&lt;$B$41),$B$50/MAX(1,'Вводные'!$E$89),0)</x:f>
      </x:c>
      <x:c r="DF50" s="117" t="n">
        <x:f>IF(AND(DF$3&gt;=EDATE($B$41,-'Вводные'!$E$89),DF$3&lt;$B$41),$B$50/MAX(1,'Вводные'!$E$89),0)</x:f>
      </x:c>
      <x:c r="DG50" s="117" t="n">
        <x:f>IF(AND(DG$3&gt;=EDATE($B$41,-'Вводные'!$E$89),DG$3&lt;$B$41),$B$50/MAX(1,'Вводные'!$E$89),0)</x:f>
      </x:c>
      <x:c r="DH50" s="117" t="n">
        <x:f>IF(AND(DH$3&gt;=EDATE($B$41,-'Вводные'!$E$89),DH$3&lt;$B$41),$B$50/MAX(1,'Вводные'!$E$89),0)</x:f>
      </x:c>
      <x:c r="DI50" s="117" t="n">
        <x:f>IF(AND(DI$3&gt;=EDATE($B$41,-'Вводные'!$E$89),DI$3&lt;$B$41),$B$50/MAX(1,'Вводные'!$E$89),0)</x:f>
      </x:c>
      <x:c r="DJ50" s="117" t="n">
        <x:f>IF(AND(DJ$3&gt;=EDATE($B$41,-'Вводные'!$E$89),DJ$3&lt;$B$41),$B$50/MAX(1,'Вводные'!$E$89),0)</x:f>
      </x:c>
      <x:c r="DK50" s="117" t="n">
        <x:f>IF(AND(DK$3&gt;=EDATE($B$41,-'Вводные'!$E$89),DK$3&lt;$B$41),$B$50/MAX(1,'Вводные'!$E$89),0)</x:f>
      </x:c>
      <x:c r="DL50" s="117" t="n">
        <x:f>IF(AND(DL$3&gt;=EDATE($B$41,-'Вводные'!$E$89),DL$3&lt;$B$41),$B$50/MAX(1,'Вводные'!$E$89),0)</x:f>
      </x:c>
      <x:c r="DM50" s="117" t="n">
        <x:f>IF(AND(DM$3&gt;=EDATE($B$41,-'Вводные'!$E$89),DM$3&lt;$B$41),$B$50/MAX(1,'Вводные'!$E$89),0)</x:f>
      </x:c>
      <x:c r="DN50" s="117" t="n">
        <x:f>IF(AND(DN$3&gt;=EDATE($B$41,-'Вводные'!$E$89),DN$3&lt;$B$41),$B$50/MAX(1,'Вводные'!$E$89),0)</x:f>
      </x:c>
      <x:c r="DO50" s="117" t="n">
        <x:f>IF(AND(DO$3&gt;=EDATE($B$41,-'Вводные'!$E$89),DO$3&lt;$B$41),$B$50/MAX(1,'Вводные'!$E$89),0)</x:f>
      </x:c>
      <x:c r="DP50" s="117" t="n">
        <x:f>IF(AND(DP$3&gt;=EDATE($B$41,-'Вводные'!$E$89),DP$3&lt;$B$41),$B$50/MAX(1,'Вводные'!$E$89),0)</x:f>
      </x:c>
      <x:c r="DQ50" s="117" t="n">
        <x:f>IF(AND(DQ$3&gt;=EDATE($B$41,-'Вводные'!$E$89),DQ$3&lt;$B$41),$B$50/MAX(1,'Вводные'!$E$89),0)</x:f>
      </x:c>
      <x:c r="DR50" s="117" t="n">
        <x:f>IF(AND(DR$3&gt;=EDATE($B$41,-'Вводные'!$E$89),DR$3&lt;$B$41),$B$50/MAX(1,'Вводные'!$E$89),0)</x:f>
      </x:c>
      <x:c r="DS50" s="117" t="n">
        <x:f>IF(AND(DS$3&gt;=EDATE($B$41,-'Вводные'!$E$89),DS$3&lt;$B$41),$B$50/MAX(1,'Вводные'!$E$89),0)</x:f>
      </x:c>
      <x:c r="DT50" s="117" t="n">
        <x:f>IF(AND(DT$3&gt;=EDATE($B$41,-'Вводные'!$E$89),DT$3&lt;$B$41),$B$50/MAX(1,'Вводные'!$E$89),0)</x:f>
      </x:c>
      <x:c r="DU50" s="117" t="n">
        <x:f>IF(AND(DU$3&gt;=EDATE($B$41,-'Вводные'!$E$89),DU$3&lt;$B$41),$B$50/MAX(1,'Вводные'!$E$89),0)</x:f>
      </x:c>
      <x:c r="DV50" s="117" t="n">
        <x:f>IF(AND(DV$3&gt;=EDATE($B$41,-'Вводные'!$E$89),DV$3&lt;$B$41),$B$50/MAX(1,'Вводные'!$E$89),0)</x:f>
      </x:c>
      <x:c r="DW50" s="117" t="n">
        <x:f>IF(AND(DW$3&gt;=EDATE($B$41,-'Вводные'!$E$89),DW$3&lt;$B$41),$B$50/MAX(1,'Вводные'!$E$89),0)</x:f>
      </x:c>
      <x:c r="DX50" s="117" t="n">
        <x:f>IF(AND(DX$3&gt;=EDATE($B$41,-'Вводные'!$E$89),DX$3&lt;$B$41),$B$50/MAX(1,'Вводные'!$E$89),0)</x:f>
      </x:c>
      <x:c r="DY50" s="117" t="n">
        <x:f>IF(AND(DY$3&gt;=EDATE($B$41,-'Вводные'!$E$89),DY$3&lt;$B$41),$B$50/MAX(1,'Вводные'!$E$89),0)</x:f>
      </x:c>
      <x:c r="DZ50" s="117" t="n">
        <x:f>IF(AND(DZ$3&gt;=EDATE($B$41,-'Вводные'!$E$89),DZ$3&lt;$B$41),$B$50/MAX(1,'Вводные'!$E$89),0)</x:f>
      </x:c>
      <x:c r="EA50" s="117" t="n">
        <x:f>IF(AND(EA$3&gt;=EDATE($B$41,-'Вводные'!$E$89),EA$3&lt;$B$41),$B$50/MAX(1,'Вводные'!$E$89),0)</x:f>
      </x:c>
      <x:c r="EB50" s="117" t="n">
        <x:f>IF(AND(EB$3&gt;=EDATE($B$41,-'Вводные'!$E$89),EB$3&lt;$B$41),$B$50/MAX(1,'Вводные'!$E$89),0)</x:f>
      </x:c>
      <x:c r="EC50" s="117" t="n">
        <x:f>IF(AND(EC$3&gt;=EDATE($B$41,-'Вводные'!$E$89),EC$3&lt;$B$41),$B$50/MAX(1,'Вводные'!$E$89),0)</x:f>
      </x:c>
      <x:c r="ED50" s="117" t="n">
        <x:f>IF(AND(ED$3&gt;=EDATE($B$41,-'Вводные'!$E$89),ED$3&lt;$B$41),$B$50/MAX(1,'Вводные'!$E$89),0)</x:f>
      </x:c>
      <x:c r="EE50" s="117" t="n">
        <x:f>IF(AND(EE$3&gt;=EDATE($B$41,-'Вводные'!$E$89),EE$3&lt;$B$41),$B$50/MAX(1,'Вводные'!$E$89),0)</x:f>
      </x:c>
      <x:c r="EF50" s="117" t="n">
        <x:f>IF(AND(EF$3&gt;=EDATE($B$41,-'Вводные'!$E$89),EF$3&lt;$B$41),$B$50/MAX(1,'Вводные'!$E$89),0)</x:f>
      </x:c>
      <x:c r="EG50" s="117" t="n">
        <x:f>IF(AND(EG$3&gt;=EDATE($B$41,-'Вводные'!$E$89),EG$3&lt;$B$41),$B$50/MAX(1,'Вводные'!$E$89),0)</x:f>
      </x:c>
      <x:c r="EH50" s="117" t="n">
        <x:f>IF(AND(EH$3&gt;=EDATE($B$41,-'Вводные'!$E$89),EH$3&lt;$B$41),$B$50/MAX(1,'Вводные'!$E$89),0)</x:f>
      </x:c>
      <x:c r="EI50" s="117" t="n">
        <x:f>IF(AND(EI$3&gt;=EDATE($B$41,-'Вводные'!$E$89),EI$3&lt;$B$41),$B$50/MAX(1,'Вводные'!$E$89),0)</x:f>
      </x:c>
      <x:c r="EJ50" s="117" t="n">
        <x:f>IF(AND(EJ$3&gt;=EDATE($B$41,-'Вводные'!$E$89),EJ$3&lt;$B$41),$B$50/MAX(1,'Вводные'!$E$89),0)</x:f>
      </x:c>
      <x:c r="EK50" s="117" t="n">
        <x:f>IF(AND(EK$3&gt;=EDATE($B$41,-'Вводные'!$E$89),EK$3&lt;$B$41),$B$50/MAX(1,'Вводные'!$E$89),0)</x:f>
      </x:c>
      <x:c r="EL50" s="117" t="n">
        <x:f>IF(AND(EL$3&gt;=EDATE($B$41,-'Вводные'!$E$89),EL$3&lt;$B$41),$B$50/MAX(1,'Вводные'!$E$89),0)</x:f>
      </x:c>
      <x:c r="EM50" s="117" t="n">
        <x:f>IF(AND(EM$3&gt;=EDATE($B$41,-'Вводные'!$E$89),EM$3&lt;$B$41),$B$50/MAX(1,'Вводные'!$E$89),0)</x:f>
      </x:c>
      <x:c r="EN50" s="117" t="n">
        <x:f>IF(AND(EN$3&gt;=EDATE($B$41,-'Вводные'!$E$89),EN$3&lt;$B$41),$B$50/MAX(1,'Вводные'!$E$89),0)</x:f>
      </x:c>
      <x:c r="EO50" s="117" t="n">
        <x:f>IF(AND(EO$3&gt;=EDATE($B$41,-'Вводные'!$E$89),EO$3&lt;$B$41),$B$50/MAX(1,'Вводные'!$E$89),0)</x:f>
      </x:c>
      <x:c r="EP50" s="117" t="n">
        <x:f>IF(AND(EP$3&gt;=EDATE($B$41,-'Вводные'!$E$89),EP$3&lt;$B$41),$B$50/MAX(1,'Вводные'!$E$89),0)</x:f>
      </x:c>
      <x:c r="EQ50" s="117" t="n">
        <x:f>IF(AND(EQ$3&gt;=EDATE($B$41,-'Вводные'!$E$89),EQ$3&lt;$B$41),$B$50/MAX(1,'Вводные'!$E$89),0)</x:f>
      </x:c>
      <x:c r="ER50" s="117" t="n">
        <x:f>IF(AND(ER$3&gt;=EDATE($B$41,-'Вводные'!$E$89),ER$3&lt;$B$41),$B$50/MAX(1,'Вводные'!$E$89),0)</x:f>
      </x:c>
      <x:c r="ES50" s="117" t="n">
        <x:f>IF(AND(ES$3&gt;=EDATE($B$41,-'Вводные'!$E$89),ES$3&lt;$B$41),$B$50/MAX(1,'Вводные'!$E$89),0)</x:f>
      </x:c>
      <x:c r="ET50" s="117" t="n">
        <x:f>IF(AND(ET$3&gt;=EDATE($B$41,-'Вводные'!$E$89),ET$3&lt;$B$41),$B$50/MAX(1,'Вводные'!$E$89),0)</x:f>
      </x:c>
      <x:c r="EU50" s="117" t="n">
        <x:f>IF(AND(EU$3&gt;=EDATE($B$41,-'Вводные'!$E$89),EU$3&lt;$B$41),$B$50/MAX(1,'Вводные'!$E$89),0)</x:f>
      </x:c>
      <x:c r="EV50" s="117" t="n">
        <x:f>IF(AND(EV$3&gt;=EDATE($B$41,-'Вводные'!$E$89),EV$3&lt;$B$41),$B$50/MAX(1,'Вводные'!$E$89),0)</x:f>
      </x:c>
      <x:c r="EW50" s="117" t="n">
        <x:f>IF(AND(EW$3&gt;=EDATE($B$41,-'Вводные'!$E$89),EW$3&lt;$B$41),$B$50/MAX(1,'Вводные'!$E$89),0)</x:f>
      </x:c>
      <x:c r="EX50" s="117" t="n">
        <x:f>IF(AND(EX$3&gt;=EDATE($B$41,-'Вводные'!$E$89),EX$3&lt;$B$41),$B$50/MAX(1,'Вводные'!$E$89),0)</x:f>
      </x:c>
      <x:c r="EY50" s="117" t="n">
        <x:f>IF(AND(EY$3&gt;=EDATE($B$41,-'Вводные'!$E$89),EY$3&lt;$B$41),$B$50/MAX(1,'Вводные'!$E$89),0)</x:f>
      </x:c>
      <x:c r="EZ50" s="117" t="n">
        <x:f>IF(AND(EZ$3&gt;=EDATE($B$41,-'Вводные'!$E$89),EZ$3&lt;$B$41),$B$50/MAX(1,'Вводные'!$E$89),0)</x:f>
      </x:c>
      <x:c r="FA50" s="117" t="n">
        <x:f>IF(AND(FA$3&gt;=EDATE($B$41,-'Вводные'!$E$89),FA$3&lt;$B$41),$B$50/MAX(1,'Вводные'!$E$89),0)</x:f>
      </x:c>
      <x:c r="FB50" s="117" t="n">
        <x:f>IF(AND(FB$3&gt;=EDATE($B$41,-'Вводные'!$E$89),FB$3&lt;$B$41),$B$50/MAX(1,'Вводные'!$E$89),0)</x:f>
      </x:c>
      <x:c r="FC50" s="117" t="n">
        <x:f>IF(AND(FC$3&gt;=EDATE($B$41,-'Вводные'!$E$89),FC$3&lt;$B$41),$B$50/MAX(1,'Вводные'!$E$89),0)</x:f>
      </x:c>
      <x:c r="FD50" s="117" t="n">
        <x:f>IF(AND(FD$3&gt;=EDATE($B$41,-'Вводные'!$E$89),FD$3&lt;$B$41),$B$50/MAX(1,'Вводные'!$E$89),0)</x:f>
      </x:c>
      <x:c r="FE50" s="117" t="n">
        <x:f>IF(AND(FE$3&gt;=EDATE($B$41,-'Вводные'!$E$89),FE$3&lt;$B$41),$B$50/MAX(1,'Вводные'!$E$89),0)</x:f>
      </x:c>
      <x:c r="FF50" s="117" t="n">
        <x:f>IF(AND(FF$3&gt;=EDATE($B$41,-'Вводные'!$E$89),FF$3&lt;$B$41),$B$50/MAX(1,'Вводные'!$E$89),0)</x:f>
      </x:c>
      <x:c r="FG50" s="117" t="n">
        <x:f>IF(AND(FG$3&gt;=EDATE($B$41,-'Вводные'!$E$89),FG$3&lt;$B$41),$B$50/MAX(1,'Вводные'!$E$89),0)</x:f>
      </x:c>
      <x:c r="FH50" s="117" t="n">
        <x:f>IF(AND(FH$3&gt;=EDATE($B$41,-'Вводные'!$E$89),FH$3&lt;$B$41),$B$50/MAX(1,'Вводные'!$E$89),0)</x:f>
      </x:c>
      <x:c r="FI50" s="117" t="n">
        <x:f>IF(AND(FI$3&gt;=EDATE($B$41,-'Вводные'!$E$89),FI$3&lt;$B$41),$B$50/MAX(1,'Вводные'!$E$89),0)</x:f>
      </x:c>
      <x:c r="FJ50" s="117" t="n">
        <x:f>IF(AND(FJ$3&gt;=EDATE($B$41,-'Вводные'!$E$89),FJ$3&lt;$B$41),$B$50/MAX(1,'Вводные'!$E$89),0)</x:f>
      </x:c>
      <x:c r="FK50" s="117" t="n">
        <x:f>IF(AND(FK$3&gt;=EDATE($B$41,-'Вводные'!$E$89),FK$3&lt;$B$41),$B$50/MAX(1,'Вводные'!$E$89),0)</x:f>
      </x:c>
      <x:c r="FL50" s="117" t="n">
        <x:f>IF(AND(FL$3&gt;=EDATE($B$41,-'Вводные'!$E$89),FL$3&lt;$B$41),$B$50/MAX(1,'Вводные'!$E$89),0)</x:f>
      </x:c>
      <x:c r="FM50" s="117" t="n">
        <x:f>IF(AND(FM$3&gt;=EDATE($B$41,-'Вводные'!$E$89),FM$3&lt;$B$41),$B$50/MAX(1,'Вводные'!$E$89),0)</x:f>
      </x:c>
      <x:c r="FN50" s="117" t="n">
        <x:f>IF(AND(FN$3&gt;=EDATE($B$41,-'Вводные'!$E$89),FN$3&lt;$B$41),$B$50/MAX(1,'Вводные'!$E$89),0)</x:f>
      </x:c>
      <x:c r="FO50" s="117" t="n">
        <x:f>IF(AND(FO$3&gt;=EDATE($B$41,-'Вводные'!$E$89),FO$3&lt;$B$41),$B$50/MAX(1,'Вводные'!$E$89),0)</x:f>
      </x:c>
      <x:c r="FP50" s="117" t="n">
        <x:f>IF(AND(FP$3&gt;=EDATE($B$41,-'Вводные'!$E$89),FP$3&lt;$B$41),$B$50/MAX(1,'Вводные'!$E$89),0)</x:f>
      </x:c>
      <x:c r="FQ50" s="117" t="n">
        <x:f>IF(AND(FQ$3&gt;=EDATE($B$41,-'Вводные'!$E$89),FQ$3&lt;$B$41),$B$50/MAX(1,'Вводные'!$E$89),0)</x:f>
      </x:c>
      <x:c r="FR50" s="117" t="n">
        <x:f>IF(AND(FR$3&gt;=EDATE($B$41,-'Вводные'!$E$89),FR$3&lt;$B$41),$B$50/MAX(1,'Вводные'!$E$89),0)</x:f>
      </x:c>
      <x:c r="FS50" s="117" t="n">
        <x:f>IF(AND(FS$3&gt;=EDATE($B$41,-'Вводные'!$E$89),FS$3&lt;$B$41),$B$50/MAX(1,'Вводные'!$E$89),0)</x:f>
      </x:c>
      <x:c r="FT50" s="117" t="n">
        <x:f>IF(AND(FT$3&gt;=EDATE($B$41,-'Вводные'!$E$89),FT$3&lt;$B$41),$B$50/MAX(1,'Вводные'!$E$89),0)</x:f>
      </x:c>
      <x:c r="FU50" s="117" t="n">
        <x:f>IF(AND(FU$3&gt;=EDATE($B$41,-'Вводные'!$E$89),FU$3&lt;$B$41),$B$50/MAX(1,'Вводные'!$E$89),0)</x:f>
      </x:c>
      <x:c r="FV50" s="117" t="n">
        <x:f>IF(AND(FV$3&gt;=EDATE($B$41,-'Вводные'!$E$89),FV$3&lt;$B$41),$B$50/MAX(1,'Вводные'!$E$89),0)</x:f>
      </x:c>
      <x:c r="FW50" s="117" t="n">
        <x:f>IF(AND(FW$3&gt;=EDATE($B$41,-'Вводные'!$E$89),FW$3&lt;$B$41),$B$50/MAX(1,'Вводные'!$E$89),0)</x:f>
      </x:c>
      <x:c r="FX50" s="117" t="n">
        <x:f>IF(AND(FX$3&gt;=EDATE($B$41,-'Вводные'!$E$89),FX$3&lt;$B$41),$B$50/MAX(1,'Вводные'!$E$89),0)</x:f>
      </x:c>
      <x:c r="FY50" s="117" t="n">
        <x:f>IF(AND(FY$3&gt;=EDATE($B$41,-'Вводные'!$E$89),FY$3&lt;$B$41),$B$50/MAX(1,'Вводные'!$E$89),0)</x:f>
      </x:c>
      <x:c r="FZ50" s="117" t="n">
        <x:f>IF(AND(FZ$3&gt;=EDATE($B$41,-'Вводные'!$E$89),FZ$3&lt;$B$41),$B$50/MAX(1,'Вводные'!$E$89),0)</x:f>
      </x:c>
      <x:c r="GA50" s="117" t="n">
        <x:f>IF(AND(GA$3&gt;=EDATE($B$41,-'Вводные'!$E$89),GA$3&lt;$B$41),$B$50/MAX(1,'Вводные'!$E$89),0)</x:f>
      </x:c>
    </x:row>
    <x:row r="51">
      <x:c r="A51" t="str">
        <x:v>Проектирование, стадия П</x:v>
      </x:c>
      <x:c r="B51" s="107" t="n">
        <x:f>(('Вводные'!$I$89+'Вводные'!$J$89+'Вводные'!$K$89)*'Вводные'!$B$41/1000*'Вводные'!$H$6*'Вводные'!$T$89*--('Вводные'!$B$89="Да"))*'Вводные'!$AH$89</x:f>
      </x:c>
      <x:c r="C51" t="str">
        <x:v>млн ₽</x:v>
      </x:c>
      <x:c r="D51" s="117" t="n">
        <x:f>IF(AND(D$3&gt;=EDATE($B$41,-MIN(6,'Вводные'!$E$89)),D$3&lt;$B$41),$B$51/MAX(1,MIN(6,'Вводные'!$E$89)),0)</x:f>
      </x:c>
      <x:c r="E51" s="117" t="n">
        <x:f>IF(AND(E$3&gt;=EDATE($B$41,-MIN(6,'Вводные'!$E$89)),E$3&lt;$B$41),$B$51/MAX(1,MIN(6,'Вводные'!$E$89)),0)</x:f>
      </x:c>
      <x:c r="F51" s="117" t="n">
        <x:f>IF(AND(F$3&gt;=EDATE($B$41,-MIN(6,'Вводные'!$E$89)),F$3&lt;$B$41),$B$51/MAX(1,MIN(6,'Вводные'!$E$89)),0)</x:f>
      </x:c>
      <x:c r="G51" s="117" t="n">
        <x:f>IF(AND(G$3&gt;=EDATE($B$41,-MIN(6,'Вводные'!$E$89)),G$3&lt;$B$41),$B$51/MAX(1,MIN(6,'Вводные'!$E$89)),0)</x:f>
      </x:c>
      <x:c r="H51" s="117" t="n">
        <x:f>IF(AND(H$3&gt;=EDATE($B$41,-MIN(6,'Вводные'!$E$89)),H$3&lt;$B$41),$B$51/MAX(1,MIN(6,'Вводные'!$E$89)),0)</x:f>
      </x:c>
      <x:c r="I51" s="117" t="n">
        <x:f>IF(AND(I$3&gt;=EDATE($B$41,-MIN(6,'Вводные'!$E$89)),I$3&lt;$B$41),$B$51/MAX(1,MIN(6,'Вводные'!$E$89)),0)</x:f>
      </x:c>
      <x:c r="J51" s="117" t="n">
        <x:f>IF(AND(J$3&gt;=EDATE($B$41,-MIN(6,'Вводные'!$E$89)),J$3&lt;$B$41),$B$51/MAX(1,MIN(6,'Вводные'!$E$89)),0)</x:f>
      </x:c>
      <x:c r="K51" s="117" t="n">
        <x:f>IF(AND(K$3&gt;=EDATE($B$41,-MIN(6,'Вводные'!$E$89)),K$3&lt;$B$41),$B$51/MAX(1,MIN(6,'Вводные'!$E$89)),0)</x:f>
      </x:c>
      <x:c r="L51" s="117" t="n">
        <x:f>IF(AND(L$3&gt;=EDATE($B$41,-MIN(6,'Вводные'!$E$89)),L$3&lt;$B$41),$B$51/MAX(1,MIN(6,'Вводные'!$E$89)),0)</x:f>
      </x:c>
      <x:c r="M51" s="117" t="n">
        <x:f>IF(AND(M$3&gt;=EDATE($B$41,-MIN(6,'Вводные'!$E$89)),M$3&lt;$B$41),$B$51/MAX(1,MIN(6,'Вводные'!$E$89)),0)</x:f>
      </x:c>
      <x:c r="N51" s="117" t="n">
        <x:f>IF(AND(N$3&gt;=EDATE($B$41,-MIN(6,'Вводные'!$E$89)),N$3&lt;$B$41),$B$51/MAX(1,MIN(6,'Вводные'!$E$89)),0)</x:f>
      </x:c>
      <x:c r="O51" s="117" t="n">
        <x:f>IF(AND(O$3&gt;=EDATE($B$41,-MIN(6,'Вводные'!$E$89)),O$3&lt;$B$41),$B$51/MAX(1,MIN(6,'Вводные'!$E$89)),0)</x:f>
      </x:c>
      <x:c r="P51" s="117" t="n">
        <x:f>IF(AND(P$3&gt;=EDATE($B$41,-MIN(6,'Вводные'!$E$89)),P$3&lt;$B$41),$B$51/MAX(1,MIN(6,'Вводные'!$E$89)),0)</x:f>
      </x:c>
      <x:c r="Q51" s="117" t="n">
        <x:f>IF(AND(Q$3&gt;=EDATE($B$41,-MIN(6,'Вводные'!$E$89)),Q$3&lt;$B$41),$B$51/MAX(1,MIN(6,'Вводные'!$E$89)),0)</x:f>
      </x:c>
      <x:c r="R51" s="117" t="n">
        <x:f>IF(AND(R$3&gt;=EDATE($B$41,-MIN(6,'Вводные'!$E$89)),R$3&lt;$B$41),$B$51/MAX(1,MIN(6,'Вводные'!$E$89)),0)</x:f>
      </x:c>
      <x:c r="S51" s="117" t="n">
        <x:f>IF(AND(S$3&gt;=EDATE($B$41,-MIN(6,'Вводные'!$E$89)),S$3&lt;$B$41),$B$51/MAX(1,MIN(6,'Вводные'!$E$89)),0)</x:f>
      </x:c>
      <x:c r="T51" s="117" t="n">
        <x:f>IF(AND(T$3&gt;=EDATE($B$41,-MIN(6,'Вводные'!$E$89)),T$3&lt;$B$41),$B$51/MAX(1,MIN(6,'Вводные'!$E$89)),0)</x:f>
      </x:c>
      <x:c r="U51" s="117" t="n">
        <x:f>IF(AND(U$3&gt;=EDATE($B$41,-MIN(6,'Вводные'!$E$89)),U$3&lt;$B$41),$B$51/MAX(1,MIN(6,'Вводные'!$E$89)),0)</x:f>
      </x:c>
      <x:c r="V51" s="117" t="n">
        <x:f>IF(AND(V$3&gt;=EDATE($B$41,-MIN(6,'Вводные'!$E$89)),V$3&lt;$B$41),$B$51/MAX(1,MIN(6,'Вводные'!$E$89)),0)</x:f>
      </x:c>
      <x:c r="W51" s="117" t="n">
        <x:f>IF(AND(W$3&gt;=EDATE($B$41,-MIN(6,'Вводные'!$E$89)),W$3&lt;$B$41),$B$51/MAX(1,MIN(6,'Вводные'!$E$89)),0)</x:f>
      </x:c>
      <x:c r="X51" s="117" t="n">
        <x:f>IF(AND(X$3&gt;=EDATE($B$41,-MIN(6,'Вводные'!$E$89)),X$3&lt;$B$41),$B$51/MAX(1,MIN(6,'Вводные'!$E$89)),0)</x:f>
      </x:c>
      <x:c r="Y51" s="117" t="n">
        <x:f>IF(AND(Y$3&gt;=EDATE($B$41,-MIN(6,'Вводные'!$E$89)),Y$3&lt;$B$41),$B$51/MAX(1,MIN(6,'Вводные'!$E$89)),0)</x:f>
      </x:c>
      <x:c r="Z51" s="117" t="n">
        <x:f>IF(AND(Z$3&gt;=EDATE($B$41,-MIN(6,'Вводные'!$E$89)),Z$3&lt;$B$41),$B$51/MAX(1,MIN(6,'Вводные'!$E$89)),0)</x:f>
      </x:c>
      <x:c r="AA51" s="117" t="n">
        <x:f>IF(AND(AA$3&gt;=EDATE($B$41,-MIN(6,'Вводные'!$E$89)),AA$3&lt;$B$41),$B$51/MAX(1,MIN(6,'Вводные'!$E$89)),0)</x:f>
      </x:c>
      <x:c r="AB51" s="117" t="n">
        <x:f>IF(AND(AB$3&gt;=EDATE($B$41,-MIN(6,'Вводные'!$E$89)),AB$3&lt;$B$41),$B$51/MAX(1,MIN(6,'Вводные'!$E$89)),0)</x:f>
      </x:c>
      <x:c r="AC51" s="117" t="n">
        <x:f>IF(AND(AC$3&gt;=EDATE($B$41,-MIN(6,'Вводные'!$E$89)),AC$3&lt;$B$41),$B$51/MAX(1,MIN(6,'Вводные'!$E$89)),0)</x:f>
      </x:c>
      <x:c r="AD51" s="117" t="n">
        <x:f>IF(AND(AD$3&gt;=EDATE($B$41,-MIN(6,'Вводные'!$E$89)),AD$3&lt;$B$41),$B$51/MAX(1,MIN(6,'Вводные'!$E$89)),0)</x:f>
      </x:c>
      <x:c r="AE51" s="117" t="n">
        <x:f>IF(AND(AE$3&gt;=EDATE($B$41,-MIN(6,'Вводные'!$E$89)),AE$3&lt;$B$41),$B$51/MAX(1,MIN(6,'Вводные'!$E$89)),0)</x:f>
      </x:c>
      <x:c r="AF51" s="117" t="n">
        <x:f>IF(AND(AF$3&gt;=EDATE($B$41,-MIN(6,'Вводные'!$E$89)),AF$3&lt;$B$41),$B$51/MAX(1,MIN(6,'Вводные'!$E$89)),0)</x:f>
      </x:c>
      <x:c r="AG51" s="117" t="n">
        <x:f>IF(AND(AG$3&gt;=EDATE($B$41,-MIN(6,'Вводные'!$E$89)),AG$3&lt;$B$41),$B$51/MAX(1,MIN(6,'Вводные'!$E$89)),0)</x:f>
      </x:c>
      <x:c r="AH51" s="117" t="n">
        <x:f>IF(AND(AH$3&gt;=EDATE($B$41,-MIN(6,'Вводные'!$E$89)),AH$3&lt;$B$41),$B$51/MAX(1,MIN(6,'Вводные'!$E$89)),0)</x:f>
      </x:c>
      <x:c r="AI51" s="117" t="n">
        <x:f>IF(AND(AI$3&gt;=EDATE($B$41,-MIN(6,'Вводные'!$E$89)),AI$3&lt;$B$41),$B$51/MAX(1,MIN(6,'Вводные'!$E$89)),0)</x:f>
      </x:c>
      <x:c r="AJ51" s="117" t="n">
        <x:f>IF(AND(AJ$3&gt;=EDATE($B$41,-MIN(6,'Вводные'!$E$89)),AJ$3&lt;$B$41),$B$51/MAX(1,MIN(6,'Вводные'!$E$89)),0)</x:f>
      </x:c>
      <x:c r="AK51" s="117" t="n">
        <x:f>IF(AND(AK$3&gt;=EDATE($B$41,-MIN(6,'Вводные'!$E$89)),AK$3&lt;$B$41),$B$51/MAX(1,MIN(6,'Вводные'!$E$89)),0)</x:f>
      </x:c>
      <x:c r="AL51" s="117" t="n">
        <x:f>IF(AND(AL$3&gt;=EDATE($B$41,-MIN(6,'Вводные'!$E$89)),AL$3&lt;$B$41),$B$51/MAX(1,MIN(6,'Вводные'!$E$89)),0)</x:f>
      </x:c>
      <x:c r="AM51" s="117" t="n">
        <x:f>IF(AND(AM$3&gt;=EDATE($B$41,-MIN(6,'Вводные'!$E$89)),AM$3&lt;$B$41),$B$51/MAX(1,MIN(6,'Вводные'!$E$89)),0)</x:f>
      </x:c>
      <x:c r="AN51" s="117" t="n">
        <x:f>IF(AND(AN$3&gt;=EDATE($B$41,-MIN(6,'Вводные'!$E$89)),AN$3&lt;$B$41),$B$51/MAX(1,MIN(6,'Вводные'!$E$89)),0)</x:f>
      </x:c>
      <x:c r="AO51" s="117" t="n">
        <x:f>IF(AND(AO$3&gt;=EDATE($B$41,-MIN(6,'Вводные'!$E$89)),AO$3&lt;$B$41),$B$51/MAX(1,MIN(6,'Вводные'!$E$89)),0)</x:f>
      </x:c>
      <x:c r="AP51" s="117" t="n">
        <x:f>IF(AND(AP$3&gt;=EDATE($B$41,-MIN(6,'Вводные'!$E$89)),AP$3&lt;$B$41),$B$51/MAX(1,MIN(6,'Вводные'!$E$89)),0)</x:f>
      </x:c>
      <x:c r="AQ51" s="117" t="n">
        <x:f>IF(AND(AQ$3&gt;=EDATE($B$41,-MIN(6,'Вводные'!$E$89)),AQ$3&lt;$B$41),$B$51/MAX(1,MIN(6,'Вводные'!$E$89)),0)</x:f>
      </x:c>
      <x:c r="AR51" s="117" t="n">
        <x:f>IF(AND(AR$3&gt;=EDATE($B$41,-MIN(6,'Вводные'!$E$89)),AR$3&lt;$B$41),$B$51/MAX(1,MIN(6,'Вводные'!$E$89)),0)</x:f>
      </x:c>
      <x:c r="AS51" s="117" t="n">
        <x:f>IF(AND(AS$3&gt;=EDATE($B$41,-MIN(6,'Вводные'!$E$89)),AS$3&lt;$B$41),$B$51/MAX(1,MIN(6,'Вводные'!$E$89)),0)</x:f>
      </x:c>
      <x:c r="AT51" s="117" t="n">
        <x:f>IF(AND(AT$3&gt;=EDATE($B$41,-MIN(6,'Вводные'!$E$89)),AT$3&lt;$B$41),$B$51/MAX(1,MIN(6,'Вводные'!$E$89)),0)</x:f>
      </x:c>
      <x:c r="AU51" s="117" t="n">
        <x:f>IF(AND(AU$3&gt;=EDATE($B$41,-MIN(6,'Вводные'!$E$89)),AU$3&lt;$B$41),$B$51/MAX(1,MIN(6,'Вводные'!$E$89)),0)</x:f>
      </x:c>
      <x:c r="AV51" s="117" t="n">
        <x:f>IF(AND(AV$3&gt;=EDATE($B$41,-MIN(6,'Вводные'!$E$89)),AV$3&lt;$B$41),$B$51/MAX(1,MIN(6,'Вводные'!$E$89)),0)</x:f>
      </x:c>
      <x:c r="AW51" s="117" t="n">
        <x:f>IF(AND(AW$3&gt;=EDATE($B$41,-MIN(6,'Вводные'!$E$89)),AW$3&lt;$B$41),$B$51/MAX(1,MIN(6,'Вводные'!$E$89)),0)</x:f>
      </x:c>
      <x:c r="AX51" s="117" t="n">
        <x:f>IF(AND(AX$3&gt;=EDATE($B$41,-MIN(6,'Вводные'!$E$89)),AX$3&lt;$B$41),$B$51/MAX(1,MIN(6,'Вводные'!$E$89)),0)</x:f>
      </x:c>
      <x:c r="AY51" s="117" t="n">
        <x:f>IF(AND(AY$3&gt;=EDATE($B$41,-MIN(6,'Вводные'!$E$89)),AY$3&lt;$B$41),$B$51/MAX(1,MIN(6,'Вводные'!$E$89)),0)</x:f>
      </x:c>
      <x:c r="AZ51" s="117" t="n">
        <x:f>IF(AND(AZ$3&gt;=EDATE($B$41,-MIN(6,'Вводные'!$E$89)),AZ$3&lt;$B$41),$B$51/MAX(1,MIN(6,'Вводные'!$E$89)),0)</x:f>
      </x:c>
      <x:c r="BA51" s="117" t="n">
        <x:f>IF(AND(BA$3&gt;=EDATE($B$41,-MIN(6,'Вводные'!$E$89)),BA$3&lt;$B$41),$B$51/MAX(1,MIN(6,'Вводные'!$E$89)),0)</x:f>
      </x:c>
      <x:c r="BB51" s="117" t="n">
        <x:f>IF(AND(BB$3&gt;=EDATE($B$41,-MIN(6,'Вводные'!$E$89)),BB$3&lt;$B$41),$B$51/MAX(1,MIN(6,'Вводные'!$E$89)),0)</x:f>
      </x:c>
      <x:c r="BC51" s="117" t="n">
        <x:f>IF(AND(BC$3&gt;=EDATE($B$41,-MIN(6,'Вводные'!$E$89)),BC$3&lt;$B$41),$B$51/MAX(1,MIN(6,'Вводные'!$E$89)),0)</x:f>
      </x:c>
      <x:c r="BD51" s="117" t="n">
        <x:f>IF(AND(BD$3&gt;=EDATE($B$41,-MIN(6,'Вводные'!$E$89)),BD$3&lt;$B$41),$B$51/MAX(1,MIN(6,'Вводные'!$E$89)),0)</x:f>
      </x:c>
      <x:c r="BE51" s="117" t="n">
        <x:f>IF(AND(BE$3&gt;=EDATE($B$41,-MIN(6,'Вводные'!$E$89)),BE$3&lt;$B$41),$B$51/MAX(1,MIN(6,'Вводные'!$E$89)),0)</x:f>
      </x:c>
      <x:c r="BF51" s="117" t="n">
        <x:f>IF(AND(BF$3&gt;=EDATE($B$41,-MIN(6,'Вводные'!$E$89)),BF$3&lt;$B$41),$B$51/MAX(1,MIN(6,'Вводные'!$E$89)),0)</x:f>
      </x:c>
      <x:c r="BG51" s="117" t="n">
        <x:f>IF(AND(BG$3&gt;=EDATE($B$41,-MIN(6,'Вводные'!$E$89)),BG$3&lt;$B$41),$B$51/MAX(1,MIN(6,'Вводные'!$E$89)),0)</x:f>
      </x:c>
      <x:c r="BH51" s="117" t="n">
        <x:f>IF(AND(BH$3&gt;=EDATE($B$41,-MIN(6,'Вводные'!$E$89)),BH$3&lt;$B$41),$B$51/MAX(1,MIN(6,'Вводные'!$E$89)),0)</x:f>
      </x:c>
      <x:c r="BI51" s="117" t="n">
        <x:f>IF(AND(BI$3&gt;=EDATE($B$41,-MIN(6,'Вводные'!$E$89)),BI$3&lt;$B$41),$B$51/MAX(1,MIN(6,'Вводные'!$E$89)),0)</x:f>
      </x:c>
      <x:c r="BJ51" s="117" t="n">
        <x:f>IF(AND(BJ$3&gt;=EDATE($B$41,-MIN(6,'Вводные'!$E$89)),BJ$3&lt;$B$41),$B$51/MAX(1,MIN(6,'Вводные'!$E$89)),0)</x:f>
      </x:c>
      <x:c r="BK51" s="117" t="n">
        <x:f>IF(AND(BK$3&gt;=EDATE($B$41,-MIN(6,'Вводные'!$E$89)),BK$3&lt;$B$41),$B$51/MAX(1,MIN(6,'Вводные'!$E$89)),0)</x:f>
      </x:c>
      <x:c r="BL51" s="117" t="n">
        <x:f>IF(AND(BL$3&gt;=EDATE($B$41,-MIN(6,'Вводные'!$E$89)),BL$3&lt;$B$41),$B$51/MAX(1,MIN(6,'Вводные'!$E$89)),0)</x:f>
      </x:c>
      <x:c r="BM51" s="117" t="n">
        <x:f>IF(AND(BM$3&gt;=EDATE($B$41,-MIN(6,'Вводные'!$E$89)),BM$3&lt;$B$41),$B$51/MAX(1,MIN(6,'Вводные'!$E$89)),0)</x:f>
      </x:c>
      <x:c r="BN51" s="117" t="n">
        <x:f>IF(AND(BN$3&gt;=EDATE($B$41,-MIN(6,'Вводные'!$E$89)),BN$3&lt;$B$41),$B$51/MAX(1,MIN(6,'Вводные'!$E$89)),0)</x:f>
      </x:c>
      <x:c r="BO51" s="117" t="n">
        <x:f>IF(AND(BO$3&gt;=EDATE($B$41,-MIN(6,'Вводные'!$E$89)),BO$3&lt;$B$41),$B$51/MAX(1,MIN(6,'Вводные'!$E$89)),0)</x:f>
      </x:c>
      <x:c r="BP51" s="117" t="n">
        <x:f>IF(AND(BP$3&gt;=EDATE($B$41,-MIN(6,'Вводные'!$E$89)),BP$3&lt;$B$41),$B$51/MAX(1,MIN(6,'Вводные'!$E$89)),0)</x:f>
      </x:c>
      <x:c r="BQ51" s="117" t="n">
        <x:f>IF(AND(BQ$3&gt;=EDATE($B$41,-MIN(6,'Вводные'!$E$89)),BQ$3&lt;$B$41),$B$51/MAX(1,MIN(6,'Вводные'!$E$89)),0)</x:f>
      </x:c>
      <x:c r="BR51" s="117" t="n">
        <x:f>IF(AND(BR$3&gt;=EDATE($B$41,-MIN(6,'Вводные'!$E$89)),BR$3&lt;$B$41),$B$51/MAX(1,MIN(6,'Вводные'!$E$89)),0)</x:f>
      </x:c>
      <x:c r="BS51" s="117" t="n">
        <x:f>IF(AND(BS$3&gt;=EDATE($B$41,-MIN(6,'Вводные'!$E$89)),BS$3&lt;$B$41),$B$51/MAX(1,MIN(6,'Вводные'!$E$89)),0)</x:f>
      </x:c>
      <x:c r="BT51" s="117" t="n">
        <x:f>IF(AND(BT$3&gt;=EDATE($B$41,-MIN(6,'Вводные'!$E$89)),BT$3&lt;$B$41),$B$51/MAX(1,MIN(6,'Вводные'!$E$89)),0)</x:f>
      </x:c>
      <x:c r="BU51" s="117" t="n">
        <x:f>IF(AND(BU$3&gt;=EDATE($B$41,-MIN(6,'Вводные'!$E$89)),BU$3&lt;$B$41),$B$51/MAX(1,MIN(6,'Вводные'!$E$89)),0)</x:f>
      </x:c>
      <x:c r="BV51" s="117" t="n">
        <x:f>IF(AND(BV$3&gt;=EDATE($B$41,-MIN(6,'Вводные'!$E$89)),BV$3&lt;$B$41),$B$51/MAX(1,MIN(6,'Вводные'!$E$89)),0)</x:f>
      </x:c>
      <x:c r="BW51" s="117" t="n">
        <x:f>IF(AND(BW$3&gt;=EDATE($B$41,-MIN(6,'Вводные'!$E$89)),BW$3&lt;$B$41),$B$51/MAX(1,MIN(6,'Вводные'!$E$89)),0)</x:f>
      </x:c>
      <x:c r="BX51" s="117" t="n">
        <x:f>IF(AND(BX$3&gt;=EDATE($B$41,-MIN(6,'Вводные'!$E$89)),BX$3&lt;$B$41),$B$51/MAX(1,MIN(6,'Вводные'!$E$89)),0)</x:f>
      </x:c>
      <x:c r="BY51" s="117" t="n">
        <x:f>IF(AND(BY$3&gt;=EDATE($B$41,-MIN(6,'Вводные'!$E$89)),BY$3&lt;$B$41),$B$51/MAX(1,MIN(6,'Вводные'!$E$89)),0)</x:f>
      </x:c>
      <x:c r="BZ51" s="117" t="n">
        <x:f>IF(AND(BZ$3&gt;=EDATE($B$41,-MIN(6,'Вводные'!$E$89)),BZ$3&lt;$B$41),$B$51/MAX(1,MIN(6,'Вводные'!$E$89)),0)</x:f>
      </x:c>
      <x:c r="CA51" s="117" t="n">
        <x:f>IF(AND(CA$3&gt;=EDATE($B$41,-MIN(6,'Вводные'!$E$89)),CA$3&lt;$B$41),$B$51/MAX(1,MIN(6,'Вводные'!$E$89)),0)</x:f>
      </x:c>
      <x:c r="CB51" s="117" t="n">
        <x:f>IF(AND(CB$3&gt;=EDATE($B$41,-MIN(6,'Вводные'!$E$89)),CB$3&lt;$B$41),$B$51/MAX(1,MIN(6,'Вводные'!$E$89)),0)</x:f>
      </x:c>
      <x:c r="CC51" s="117" t="n">
        <x:f>IF(AND(CC$3&gt;=EDATE($B$41,-MIN(6,'Вводные'!$E$89)),CC$3&lt;$B$41),$B$51/MAX(1,MIN(6,'Вводные'!$E$89)),0)</x:f>
      </x:c>
      <x:c r="CD51" s="117" t="n">
        <x:f>IF(AND(CD$3&gt;=EDATE($B$41,-MIN(6,'Вводные'!$E$89)),CD$3&lt;$B$41),$B$51/MAX(1,MIN(6,'Вводные'!$E$89)),0)</x:f>
      </x:c>
      <x:c r="CE51" s="117" t="n">
        <x:f>IF(AND(CE$3&gt;=EDATE($B$41,-MIN(6,'Вводные'!$E$89)),CE$3&lt;$B$41),$B$51/MAX(1,MIN(6,'Вводные'!$E$89)),0)</x:f>
      </x:c>
      <x:c r="CF51" s="117" t="n">
        <x:f>IF(AND(CF$3&gt;=EDATE($B$41,-MIN(6,'Вводные'!$E$89)),CF$3&lt;$B$41),$B$51/MAX(1,MIN(6,'Вводные'!$E$89)),0)</x:f>
      </x:c>
      <x:c r="CG51" s="117" t="n">
        <x:f>IF(AND(CG$3&gt;=EDATE($B$41,-MIN(6,'Вводные'!$E$89)),CG$3&lt;$B$41),$B$51/MAX(1,MIN(6,'Вводные'!$E$89)),0)</x:f>
      </x:c>
      <x:c r="CH51" s="117" t="n">
        <x:f>IF(AND(CH$3&gt;=EDATE($B$41,-MIN(6,'Вводные'!$E$89)),CH$3&lt;$B$41),$B$51/MAX(1,MIN(6,'Вводные'!$E$89)),0)</x:f>
      </x:c>
      <x:c r="CI51" s="117" t="n">
        <x:f>IF(AND(CI$3&gt;=EDATE($B$41,-MIN(6,'Вводные'!$E$89)),CI$3&lt;$B$41),$B$51/MAX(1,MIN(6,'Вводные'!$E$89)),0)</x:f>
      </x:c>
      <x:c r="CJ51" s="117" t="n">
        <x:f>IF(AND(CJ$3&gt;=EDATE($B$41,-MIN(6,'Вводные'!$E$89)),CJ$3&lt;$B$41),$B$51/MAX(1,MIN(6,'Вводные'!$E$89)),0)</x:f>
      </x:c>
      <x:c r="CK51" s="117" t="n">
        <x:f>IF(AND(CK$3&gt;=EDATE($B$41,-MIN(6,'Вводные'!$E$89)),CK$3&lt;$B$41),$B$51/MAX(1,MIN(6,'Вводные'!$E$89)),0)</x:f>
      </x:c>
      <x:c r="CL51" s="117" t="n">
        <x:f>IF(AND(CL$3&gt;=EDATE($B$41,-MIN(6,'Вводные'!$E$89)),CL$3&lt;$B$41),$B$51/MAX(1,MIN(6,'Вводные'!$E$89)),0)</x:f>
      </x:c>
      <x:c r="CM51" s="117" t="n">
        <x:f>IF(AND(CM$3&gt;=EDATE($B$41,-MIN(6,'Вводные'!$E$89)),CM$3&lt;$B$41),$B$51/MAX(1,MIN(6,'Вводные'!$E$89)),0)</x:f>
      </x:c>
      <x:c r="CN51" s="117" t="n">
        <x:f>IF(AND(CN$3&gt;=EDATE($B$41,-MIN(6,'Вводные'!$E$89)),CN$3&lt;$B$41),$B$51/MAX(1,MIN(6,'Вводные'!$E$89)),0)</x:f>
      </x:c>
      <x:c r="CO51" s="117" t="n">
        <x:f>IF(AND(CO$3&gt;=EDATE($B$41,-MIN(6,'Вводные'!$E$89)),CO$3&lt;$B$41),$B$51/MAX(1,MIN(6,'Вводные'!$E$89)),0)</x:f>
      </x:c>
      <x:c r="CP51" s="117" t="n">
        <x:f>IF(AND(CP$3&gt;=EDATE($B$41,-MIN(6,'Вводные'!$E$89)),CP$3&lt;$B$41),$B$51/MAX(1,MIN(6,'Вводные'!$E$89)),0)</x:f>
      </x:c>
      <x:c r="CQ51" s="117" t="n">
        <x:f>IF(AND(CQ$3&gt;=EDATE($B$41,-MIN(6,'Вводные'!$E$89)),CQ$3&lt;$B$41),$B$51/MAX(1,MIN(6,'Вводные'!$E$89)),0)</x:f>
      </x:c>
      <x:c r="CR51" s="117" t="n">
        <x:f>IF(AND(CR$3&gt;=EDATE($B$41,-MIN(6,'Вводные'!$E$89)),CR$3&lt;$B$41),$B$51/MAX(1,MIN(6,'Вводные'!$E$89)),0)</x:f>
      </x:c>
      <x:c r="CS51" s="117" t="n">
        <x:f>IF(AND(CS$3&gt;=EDATE($B$41,-MIN(6,'Вводные'!$E$89)),CS$3&lt;$B$41),$B$51/MAX(1,MIN(6,'Вводные'!$E$89)),0)</x:f>
      </x:c>
      <x:c r="CT51" s="117" t="n">
        <x:f>IF(AND(CT$3&gt;=EDATE($B$41,-MIN(6,'Вводные'!$E$89)),CT$3&lt;$B$41),$B$51/MAX(1,MIN(6,'Вводные'!$E$89)),0)</x:f>
      </x:c>
      <x:c r="CU51" s="117" t="n">
        <x:f>IF(AND(CU$3&gt;=EDATE($B$41,-MIN(6,'Вводные'!$E$89)),CU$3&lt;$B$41),$B$51/MAX(1,MIN(6,'Вводные'!$E$89)),0)</x:f>
      </x:c>
      <x:c r="CV51" s="117" t="n">
        <x:f>IF(AND(CV$3&gt;=EDATE($B$41,-MIN(6,'Вводные'!$E$89)),CV$3&lt;$B$41),$B$51/MAX(1,MIN(6,'Вводные'!$E$89)),0)</x:f>
      </x:c>
      <x:c r="CW51" s="117" t="n">
        <x:f>IF(AND(CW$3&gt;=EDATE($B$41,-MIN(6,'Вводные'!$E$89)),CW$3&lt;$B$41),$B$51/MAX(1,MIN(6,'Вводные'!$E$89)),0)</x:f>
      </x:c>
      <x:c r="CX51" s="117" t="n">
        <x:f>IF(AND(CX$3&gt;=EDATE($B$41,-MIN(6,'Вводные'!$E$89)),CX$3&lt;$B$41),$B$51/MAX(1,MIN(6,'Вводные'!$E$89)),0)</x:f>
      </x:c>
      <x:c r="CY51" s="117" t="n">
        <x:f>IF(AND(CY$3&gt;=EDATE($B$41,-MIN(6,'Вводные'!$E$89)),CY$3&lt;$B$41),$B$51/MAX(1,MIN(6,'Вводные'!$E$89)),0)</x:f>
      </x:c>
      <x:c r="CZ51" s="117" t="n">
        <x:f>IF(AND(CZ$3&gt;=EDATE($B$41,-MIN(6,'Вводные'!$E$89)),CZ$3&lt;$B$41),$B$51/MAX(1,MIN(6,'Вводные'!$E$89)),0)</x:f>
      </x:c>
      <x:c r="DA51" s="117" t="n">
        <x:f>IF(AND(DA$3&gt;=EDATE($B$41,-MIN(6,'Вводные'!$E$89)),DA$3&lt;$B$41),$B$51/MAX(1,MIN(6,'Вводные'!$E$89)),0)</x:f>
      </x:c>
      <x:c r="DB51" s="117" t="n">
        <x:f>IF(AND(DB$3&gt;=EDATE($B$41,-MIN(6,'Вводные'!$E$89)),DB$3&lt;$B$41),$B$51/MAX(1,MIN(6,'Вводные'!$E$89)),0)</x:f>
      </x:c>
      <x:c r="DC51" s="117" t="n">
        <x:f>IF(AND(DC$3&gt;=EDATE($B$41,-MIN(6,'Вводные'!$E$89)),DC$3&lt;$B$41),$B$51/MAX(1,MIN(6,'Вводные'!$E$89)),0)</x:f>
      </x:c>
      <x:c r="DD51" s="117" t="n">
        <x:f>IF(AND(DD$3&gt;=EDATE($B$41,-MIN(6,'Вводные'!$E$89)),DD$3&lt;$B$41),$B$51/MAX(1,MIN(6,'Вводные'!$E$89)),0)</x:f>
      </x:c>
      <x:c r="DE51" s="117" t="n">
        <x:f>IF(AND(DE$3&gt;=EDATE($B$41,-MIN(6,'Вводные'!$E$89)),DE$3&lt;$B$41),$B$51/MAX(1,MIN(6,'Вводные'!$E$89)),0)</x:f>
      </x:c>
      <x:c r="DF51" s="117" t="n">
        <x:f>IF(AND(DF$3&gt;=EDATE($B$41,-MIN(6,'Вводные'!$E$89)),DF$3&lt;$B$41),$B$51/MAX(1,MIN(6,'Вводные'!$E$89)),0)</x:f>
      </x:c>
      <x:c r="DG51" s="117" t="n">
        <x:f>IF(AND(DG$3&gt;=EDATE($B$41,-MIN(6,'Вводные'!$E$89)),DG$3&lt;$B$41),$B$51/MAX(1,MIN(6,'Вводные'!$E$89)),0)</x:f>
      </x:c>
      <x:c r="DH51" s="117" t="n">
        <x:f>IF(AND(DH$3&gt;=EDATE($B$41,-MIN(6,'Вводные'!$E$89)),DH$3&lt;$B$41),$B$51/MAX(1,MIN(6,'Вводные'!$E$89)),0)</x:f>
      </x:c>
      <x:c r="DI51" s="117" t="n">
        <x:f>IF(AND(DI$3&gt;=EDATE($B$41,-MIN(6,'Вводные'!$E$89)),DI$3&lt;$B$41),$B$51/MAX(1,MIN(6,'Вводные'!$E$89)),0)</x:f>
      </x:c>
      <x:c r="DJ51" s="117" t="n">
        <x:f>IF(AND(DJ$3&gt;=EDATE($B$41,-MIN(6,'Вводные'!$E$89)),DJ$3&lt;$B$41),$B$51/MAX(1,MIN(6,'Вводные'!$E$89)),0)</x:f>
      </x:c>
      <x:c r="DK51" s="117" t="n">
        <x:f>IF(AND(DK$3&gt;=EDATE($B$41,-MIN(6,'Вводные'!$E$89)),DK$3&lt;$B$41),$B$51/MAX(1,MIN(6,'Вводные'!$E$89)),0)</x:f>
      </x:c>
      <x:c r="DL51" s="117" t="n">
        <x:f>IF(AND(DL$3&gt;=EDATE($B$41,-MIN(6,'Вводные'!$E$89)),DL$3&lt;$B$41),$B$51/MAX(1,MIN(6,'Вводные'!$E$89)),0)</x:f>
      </x:c>
      <x:c r="DM51" s="117" t="n">
        <x:f>IF(AND(DM$3&gt;=EDATE($B$41,-MIN(6,'Вводные'!$E$89)),DM$3&lt;$B$41),$B$51/MAX(1,MIN(6,'Вводные'!$E$89)),0)</x:f>
      </x:c>
      <x:c r="DN51" s="117" t="n">
        <x:f>IF(AND(DN$3&gt;=EDATE($B$41,-MIN(6,'Вводные'!$E$89)),DN$3&lt;$B$41),$B$51/MAX(1,MIN(6,'Вводные'!$E$89)),0)</x:f>
      </x:c>
      <x:c r="DO51" s="117" t="n">
        <x:f>IF(AND(DO$3&gt;=EDATE($B$41,-MIN(6,'Вводные'!$E$89)),DO$3&lt;$B$41),$B$51/MAX(1,MIN(6,'Вводные'!$E$89)),0)</x:f>
      </x:c>
      <x:c r="DP51" s="117" t="n">
        <x:f>IF(AND(DP$3&gt;=EDATE($B$41,-MIN(6,'Вводные'!$E$89)),DP$3&lt;$B$41),$B$51/MAX(1,MIN(6,'Вводные'!$E$89)),0)</x:f>
      </x:c>
      <x:c r="DQ51" s="117" t="n">
        <x:f>IF(AND(DQ$3&gt;=EDATE($B$41,-MIN(6,'Вводные'!$E$89)),DQ$3&lt;$B$41),$B$51/MAX(1,MIN(6,'Вводные'!$E$89)),0)</x:f>
      </x:c>
      <x:c r="DR51" s="117" t="n">
        <x:f>IF(AND(DR$3&gt;=EDATE($B$41,-MIN(6,'Вводные'!$E$89)),DR$3&lt;$B$41),$B$51/MAX(1,MIN(6,'Вводные'!$E$89)),0)</x:f>
      </x:c>
      <x:c r="DS51" s="117" t="n">
        <x:f>IF(AND(DS$3&gt;=EDATE($B$41,-MIN(6,'Вводные'!$E$89)),DS$3&lt;$B$41),$B$51/MAX(1,MIN(6,'Вводные'!$E$89)),0)</x:f>
      </x:c>
      <x:c r="DT51" s="117" t="n">
        <x:f>IF(AND(DT$3&gt;=EDATE($B$41,-MIN(6,'Вводные'!$E$89)),DT$3&lt;$B$41),$B$51/MAX(1,MIN(6,'Вводные'!$E$89)),0)</x:f>
      </x:c>
      <x:c r="DU51" s="117" t="n">
        <x:f>IF(AND(DU$3&gt;=EDATE($B$41,-MIN(6,'Вводные'!$E$89)),DU$3&lt;$B$41),$B$51/MAX(1,MIN(6,'Вводные'!$E$89)),0)</x:f>
      </x:c>
      <x:c r="DV51" s="117" t="n">
        <x:f>IF(AND(DV$3&gt;=EDATE($B$41,-MIN(6,'Вводные'!$E$89)),DV$3&lt;$B$41),$B$51/MAX(1,MIN(6,'Вводные'!$E$89)),0)</x:f>
      </x:c>
      <x:c r="DW51" s="117" t="n">
        <x:f>IF(AND(DW$3&gt;=EDATE($B$41,-MIN(6,'Вводные'!$E$89)),DW$3&lt;$B$41),$B$51/MAX(1,MIN(6,'Вводные'!$E$89)),0)</x:f>
      </x:c>
      <x:c r="DX51" s="117" t="n">
        <x:f>IF(AND(DX$3&gt;=EDATE($B$41,-MIN(6,'Вводные'!$E$89)),DX$3&lt;$B$41),$B$51/MAX(1,MIN(6,'Вводные'!$E$89)),0)</x:f>
      </x:c>
      <x:c r="DY51" s="117" t="n">
        <x:f>IF(AND(DY$3&gt;=EDATE($B$41,-MIN(6,'Вводные'!$E$89)),DY$3&lt;$B$41),$B$51/MAX(1,MIN(6,'Вводные'!$E$89)),0)</x:f>
      </x:c>
      <x:c r="DZ51" s="117" t="n">
        <x:f>IF(AND(DZ$3&gt;=EDATE($B$41,-MIN(6,'Вводные'!$E$89)),DZ$3&lt;$B$41),$B$51/MAX(1,MIN(6,'Вводные'!$E$89)),0)</x:f>
      </x:c>
      <x:c r="EA51" s="117" t="n">
        <x:f>IF(AND(EA$3&gt;=EDATE($B$41,-MIN(6,'Вводные'!$E$89)),EA$3&lt;$B$41),$B$51/MAX(1,MIN(6,'Вводные'!$E$89)),0)</x:f>
      </x:c>
      <x:c r="EB51" s="117" t="n">
        <x:f>IF(AND(EB$3&gt;=EDATE($B$41,-MIN(6,'Вводные'!$E$89)),EB$3&lt;$B$41),$B$51/MAX(1,MIN(6,'Вводные'!$E$89)),0)</x:f>
      </x:c>
      <x:c r="EC51" s="117" t="n">
        <x:f>IF(AND(EC$3&gt;=EDATE($B$41,-MIN(6,'Вводные'!$E$89)),EC$3&lt;$B$41),$B$51/MAX(1,MIN(6,'Вводные'!$E$89)),0)</x:f>
      </x:c>
      <x:c r="ED51" s="117" t="n">
        <x:f>IF(AND(ED$3&gt;=EDATE($B$41,-MIN(6,'Вводные'!$E$89)),ED$3&lt;$B$41),$B$51/MAX(1,MIN(6,'Вводные'!$E$89)),0)</x:f>
      </x:c>
      <x:c r="EE51" s="117" t="n">
        <x:f>IF(AND(EE$3&gt;=EDATE($B$41,-MIN(6,'Вводные'!$E$89)),EE$3&lt;$B$41),$B$51/MAX(1,MIN(6,'Вводные'!$E$89)),0)</x:f>
      </x:c>
      <x:c r="EF51" s="117" t="n">
        <x:f>IF(AND(EF$3&gt;=EDATE($B$41,-MIN(6,'Вводные'!$E$89)),EF$3&lt;$B$41),$B$51/MAX(1,MIN(6,'Вводные'!$E$89)),0)</x:f>
      </x:c>
      <x:c r="EG51" s="117" t="n">
        <x:f>IF(AND(EG$3&gt;=EDATE($B$41,-MIN(6,'Вводные'!$E$89)),EG$3&lt;$B$41),$B$51/MAX(1,MIN(6,'Вводные'!$E$89)),0)</x:f>
      </x:c>
      <x:c r="EH51" s="117" t="n">
        <x:f>IF(AND(EH$3&gt;=EDATE($B$41,-MIN(6,'Вводные'!$E$89)),EH$3&lt;$B$41),$B$51/MAX(1,MIN(6,'Вводные'!$E$89)),0)</x:f>
      </x:c>
      <x:c r="EI51" s="117" t="n">
        <x:f>IF(AND(EI$3&gt;=EDATE($B$41,-MIN(6,'Вводные'!$E$89)),EI$3&lt;$B$41),$B$51/MAX(1,MIN(6,'Вводные'!$E$89)),0)</x:f>
      </x:c>
      <x:c r="EJ51" s="117" t="n">
        <x:f>IF(AND(EJ$3&gt;=EDATE($B$41,-MIN(6,'Вводные'!$E$89)),EJ$3&lt;$B$41),$B$51/MAX(1,MIN(6,'Вводные'!$E$89)),0)</x:f>
      </x:c>
      <x:c r="EK51" s="117" t="n">
        <x:f>IF(AND(EK$3&gt;=EDATE($B$41,-MIN(6,'Вводные'!$E$89)),EK$3&lt;$B$41),$B$51/MAX(1,MIN(6,'Вводные'!$E$89)),0)</x:f>
      </x:c>
      <x:c r="EL51" s="117" t="n">
        <x:f>IF(AND(EL$3&gt;=EDATE($B$41,-MIN(6,'Вводные'!$E$89)),EL$3&lt;$B$41),$B$51/MAX(1,MIN(6,'Вводные'!$E$89)),0)</x:f>
      </x:c>
      <x:c r="EM51" s="117" t="n">
        <x:f>IF(AND(EM$3&gt;=EDATE($B$41,-MIN(6,'Вводные'!$E$89)),EM$3&lt;$B$41),$B$51/MAX(1,MIN(6,'Вводные'!$E$89)),0)</x:f>
      </x:c>
      <x:c r="EN51" s="117" t="n">
        <x:f>IF(AND(EN$3&gt;=EDATE($B$41,-MIN(6,'Вводные'!$E$89)),EN$3&lt;$B$41),$B$51/MAX(1,MIN(6,'Вводные'!$E$89)),0)</x:f>
      </x:c>
      <x:c r="EO51" s="117" t="n">
        <x:f>IF(AND(EO$3&gt;=EDATE($B$41,-MIN(6,'Вводные'!$E$89)),EO$3&lt;$B$41),$B$51/MAX(1,MIN(6,'Вводные'!$E$89)),0)</x:f>
      </x:c>
      <x:c r="EP51" s="117" t="n">
        <x:f>IF(AND(EP$3&gt;=EDATE($B$41,-MIN(6,'Вводные'!$E$89)),EP$3&lt;$B$41),$B$51/MAX(1,MIN(6,'Вводные'!$E$89)),0)</x:f>
      </x:c>
      <x:c r="EQ51" s="117" t="n">
        <x:f>IF(AND(EQ$3&gt;=EDATE($B$41,-MIN(6,'Вводные'!$E$89)),EQ$3&lt;$B$41),$B$51/MAX(1,MIN(6,'Вводные'!$E$89)),0)</x:f>
      </x:c>
      <x:c r="ER51" s="117" t="n">
        <x:f>IF(AND(ER$3&gt;=EDATE($B$41,-MIN(6,'Вводные'!$E$89)),ER$3&lt;$B$41),$B$51/MAX(1,MIN(6,'Вводные'!$E$89)),0)</x:f>
      </x:c>
      <x:c r="ES51" s="117" t="n">
        <x:f>IF(AND(ES$3&gt;=EDATE($B$41,-MIN(6,'Вводные'!$E$89)),ES$3&lt;$B$41),$B$51/MAX(1,MIN(6,'Вводные'!$E$89)),0)</x:f>
      </x:c>
      <x:c r="ET51" s="117" t="n">
        <x:f>IF(AND(ET$3&gt;=EDATE($B$41,-MIN(6,'Вводные'!$E$89)),ET$3&lt;$B$41),$B$51/MAX(1,MIN(6,'Вводные'!$E$89)),0)</x:f>
      </x:c>
      <x:c r="EU51" s="117" t="n">
        <x:f>IF(AND(EU$3&gt;=EDATE($B$41,-MIN(6,'Вводные'!$E$89)),EU$3&lt;$B$41),$B$51/MAX(1,MIN(6,'Вводные'!$E$89)),0)</x:f>
      </x:c>
      <x:c r="EV51" s="117" t="n">
        <x:f>IF(AND(EV$3&gt;=EDATE($B$41,-MIN(6,'Вводные'!$E$89)),EV$3&lt;$B$41),$B$51/MAX(1,MIN(6,'Вводные'!$E$89)),0)</x:f>
      </x:c>
      <x:c r="EW51" s="117" t="n">
        <x:f>IF(AND(EW$3&gt;=EDATE($B$41,-MIN(6,'Вводные'!$E$89)),EW$3&lt;$B$41),$B$51/MAX(1,MIN(6,'Вводные'!$E$89)),0)</x:f>
      </x:c>
      <x:c r="EX51" s="117" t="n">
        <x:f>IF(AND(EX$3&gt;=EDATE($B$41,-MIN(6,'Вводные'!$E$89)),EX$3&lt;$B$41),$B$51/MAX(1,MIN(6,'Вводные'!$E$89)),0)</x:f>
      </x:c>
      <x:c r="EY51" s="117" t="n">
        <x:f>IF(AND(EY$3&gt;=EDATE($B$41,-MIN(6,'Вводные'!$E$89)),EY$3&lt;$B$41),$B$51/MAX(1,MIN(6,'Вводные'!$E$89)),0)</x:f>
      </x:c>
      <x:c r="EZ51" s="117" t="n">
        <x:f>IF(AND(EZ$3&gt;=EDATE($B$41,-MIN(6,'Вводные'!$E$89)),EZ$3&lt;$B$41),$B$51/MAX(1,MIN(6,'Вводные'!$E$89)),0)</x:f>
      </x:c>
      <x:c r="FA51" s="117" t="n">
        <x:f>IF(AND(FA$3&gt;=EDATE($B$41,-MIN(6,'Вводные'!$E$89)),FA$3&lt;$B$41),$B$51/MAX(1,MIN(6,'Вводные'!$E$89)),0)</x:f>
      </x:c>
      <x:c r="FB51" s="117" t="n">
        <x:f>IF(AND(FB$3&gt;=EDATE($B$41,-MIN(6,'Вводные'!$E$89)),FB$3&lt;$B$41),$B$51/MAX(1,MIN(6,'Вводные'!$E$89)),0)</x:f>
      </x:c>
      <x:c r="FC51" s="117" t="n">
        <x:f>IF(AND(FC$3&gt;=EDATE($B$41,-MIN(6,'Вводные'!$E$89)),FC$3&lt;$B$41),$B$51/MAX(1,MIN(6,'Вводные'!$E$89)),0)</x:f>
      </x:c>
      <x:c r="FD51" s="117" t="n">
        <x:f>IF(AND(FD$3&gt;=EDATE($B$41,-MIN(6,'Вводные'!$E$89)),FD$3&lt;$B$41),$B$51/MAX(1,MIN(6,'Вводные'!$E$89)),0)</x:f>
      </x:c>
      <x:c r="FE51" s="117" t="n">
        <x:f>IF(AND(FE$3&gt;=EDATE($B$41,-MIN(6,'Вводные'!$E$89)),FE$3&lt;$B$41),$B$51/MAX(1,MIN(6,'Вводные'!$E$89)),0)</x:f>
      </x:c>
      <x:c r="FF51" s="117" t="n">
        <x:f>IF(AND(FF$3&gt;=EDATE($B$41,-MIN(6,'Вводные'!$E$89)),FF$3&lt;$B$41),$B$51/MAX(1,MIN(6,'Вводные'!$E$89)),0)</x:f>
      </x:c>
      <x:c r="FG51" s="117" t="n">
        <x:f>IF(AND(FG$3&gt;=EDATE($B$41,-MIN(6,'Вводные'!$E$89)),FG$3&lt;$B$41),$B$51/MAX(1,MIN(6,'Вводные'!$E$89)),0)</x:f>
      </x:c>
      <x:c r="FH51" s="117" t="n">
        <x:f>IF(AND(FH$3&gt;=EDATE($B$41,-MIN(6,'Вводные'!$E$89)),FH$3&lt;$B$41),$B$51/MAX(1,MIN(6,'Вводные'!$E$89)),0)</x:f>
      </x:c>
      <x:c r="FI51" s="117" t="n">
        <x:f>IF(AND(FI$3&gt;=EDATE($B$41,-MIN(6,'Вводные'!$E$89)),FI$3&lt;$B$41),$B$51/MAX(1,MIN(6,'Вводные'!$E$89)),0)</x:f>
      </x:c>
      <x:c r="FJ51" s="117" t="n">
        <x:f>IF(AND(FJ$3&gt;=EDATE($B$41,-MIN(6,'Вводные'!$E$89)),FJ$3&lt;$B$41),$B$51/MAX(1,MIN(6,'Вводные'!$E$89)),0)</x:f>
      </x:c>
      <x:c r="FK51" s="117" t="n">
        <x:f>IF(AND(FK$3&gt;=EDATE($B$41,-MIN(6,'Вводные'!$E$89)),FK$3&lt;$B$41),$B$51/MAX(1,MIN(6,'Вводные'!$E$89)),0)</x:f>
      </x:c>
      <x:c r="FL51" s="117" t="n">
        <x:f>IF(AND(FL$3&gt;=EDATE($B$41,-MIN(6,'Вводные'!$E$89)),FL$3&lt;$B$41),$B$51/MAX(1,MIN(6,'Вводные'!$E$89)),0)</x:f>
      </x:c>
      <x:c r="FM51" s="117" t="n">
        <x:f>IF(AND(FM$3&gt;=EDATE($B$41,-MIN(6,'Вводные'!$E$89)),FM$3&lt;$B$41),$B$51/MAX(1,MIN(6,'Вводные'!$E$89)),0)</x:f>
      </x:c>
      <x:c r="FN51" s="117" t="n">
        <x:f>IF(AND(FN$3&gt;=EDATE($B$41,-MIN(6,'Вводные'!$E$89)),FN$3&lt;$B$41),$B$51/MAX(1,MIN(6,'Вводные'!$E$89)),0)</x:f>
      </x:c>
      <x:c r="FO51" s="117" t="n">
        <x:f>IF(AND(FO$3&gt;=EDATE($B$41,-MIN(6,'Вводные'!$E$89)),FO$3&lt;$B$41),$B$51/MAX(1,MIN(6,'Вводные'!$E$89)),0)</x:f>
      </x:c>
      <x:c r="FP51" s="117" t="n">
        <x:f>IF(AND(FP$3&gt;=EDATE($B$41,-MIN(6,'Вводные'!$E$89)),FP$3&lt;$B$41),$B$51/MAX(1,MIN(6,'Вводные'!$E$89)),0)</x:f>
      </x:c>
      <x:c r="FQ51" s="117" t="n">
        <x:f>IF(AND(FQ$3&gt;=EDATE($B$41,-MIN(6,'Вводные'!$E$89)),FQ$3&lt;$B$41),$B$51/MAX(1,MIN(6,'Вводные'!$E$89)),0)</x:f>
      </x:c>
      <x:c r="FR51" s="117" t="n">
        <x:f>IF(AND(FR$3&gt;=EDATE($B$41,-MIN(6,'Вводные'!$E$89)),FR$3&lt;$B$41),$B$51/MAX(1,MIN(6,'Вводные'!$E$89)),0)</x:f>
      </x:c>
      <x:c r="FS51" s="117" t="n">
        <x:f>IF(AND(FS$3&gt;=EDATE($B$41,-MIN(6,'Вводные'!$E$89)),FS$3&lt;$B$41),$B$51/MAX(1,MIN(6,'Вводные'!$E$89)),0)</x:f>
      </x:c>
      <x:c r="FT51" s="117" t="n">
        <x:f>IF(AND(FT$3&gt;=EDATE($B$41,-MIN(6,'Вводные'!$E$89)),FT$3&lt;$B$41),$B$51/MAX(1,MIN(6,'Вводные'!$E$89)),0)</x:f>
      </x:c>
      <x:c r="FU51" s="117" t="n">
        <x:f>IF(AND(FU$3&gt;=EDATE($B$41,-MIN(6,'Вводные'!$E$89)),FU$3&lt;$B$41),$B$51/MAX(1,MIN(6,'Вводные'!$E$89)),0)</x:f>
      </x:c>
      <x:c r="FV51" s="117" t="n">
        <x:f>IF(AND(FV$3&gt;=EDATE($B$41,-MIN(6,'Вводные'!$E$89)),FV$3&lt;$B$41),$B$51/MAX(1,MIN(6,'Вводные'!$E$89)),0)</x:f>
      </x:c>
      <x:c r="FW51" s="117" t="n">
        <x:f>IF(AND(FW$3&gt;=EDATE($B$41,-MIN(6,'Вводные'!$E$89)),FW$3&lt;$B$41),$B$51/MAX(1,MIN(6,'Вводные'!$E$89)),0)</x:f>
      </x:c>
      <x:c r="FX51" s="117" t="n">
        <x:f>IF(AND(FX$3&gt;=EDATE($B$41,-MIN(6,'Вводные'!$E$89)),FX$3&lt;$B$41),$B$51/MAX(1,MIN(6,'Вводные'!$E$89)),0)</x:f>
      </x:c>
      <x:c r="FY51" s="117" t="n">
        <x:f>IF(AND(FY$3&gt;=EDATE($B$41,-MIN(6,'Вводные'!$E$89)),FY$3&lt;$B$41),$B$51/MAX(1,MIN(6,'Вводные'!$E$89)),0)</x:f>
      </x:c>
      <x:c r="FZ51" s="117" t="n">
        <x:f>IF(AND(FZ$3&gt;=EDATE($B$41,-MIN(6,'Вводные'!$E$89)),FZ$3&lt;$B$41),$B$51/MAX(1,MIN(6,'Вводные'!$E$89)),0)</x:f>
      </x:c>
      <x:c r="GA51" s="117" t="n">
        <x:f>IF(AND(GA$3&gt;=EDATE($B$41,-MIN(6,'Вводные'!$E$89)),GA$3&lt;$B$41),$B$51/MAX(1,MIN(6,'Вводные'!$E$89)),0)</x:f>
      </x:c>
    </x:row>
    <x:row r="52">
      <x:c r="A52" t="str">
        <x:v>Проектирование, стадия РД</x:v>
      </x:c>
      <x:c r="B52" s="107" t="n">
        <x:f>(('Вводные'!$I$89+'Вводные'!$J$89+'Вводные'!$K$89)*'Вводные'!$B$42/1000*'Вводные'!$H$6*'Вводные'!$T$89*--('Вводные'!$B$89="Да"))*'Вводные'!$AH$89</x:f>
      </x:c>
      <x:c r="C52" t="str">
        <x:v>млн ₽</x:v>
      </x:c>
      <x:c r="D52" s="117" t="n">
        <x:f>IF(AND(D$3&gt;=EDATE($B$41,-MIN(6,'Вводные'!$E$89)),D$3&lt;$B$41),$B$52/MAX(1,MIN(6,'Вводные'!$E$89)),0)</x:f>
      </x:c>
      <x:c r="E52" s="117" t="n">
        <x:f>IF(AND(E$3&gt;=EDATE($B$41,-MIN(6,'Вводные'!$E$89)),E$3&lt;$B$41),$B$52/MAX(1,MIN(6,'Вводные'!$E$89)),0)</x:f>
      </x:c>
      <x:c r="F52" s="117" t="n">
        <x:f>IF(AND(F$3&gt;=EDATE($B$41,-MIN(6,'Вводные'!$E$89)),F$3&lt;$B$41),$B$52/MAX(1,MIN(6,'Вводные'!$E$89)),0)</x:f>
      </x:c>
      <x:c r="G52" s="117" t="n">
        <x:f>IF(AND(G$3&gt;=EDATE($B$41,-MIN(6,'Вводные'!$E$89)),G$3&lt;$B$41),$B$52/MAX(1,MIN(6,'Вводные'!$E$89)),0)</x:f>
      </x:c>
      <x:c r="H52" s="117" t="n">
        <x:f>IF(AND(H$3&gt;=EDATE($B$41,-MIN(6,'Вводные'!$E$89)),H$3&lt;$B$41),$B$52/MAX(1,MIN(6,'Вводные'!$E$89)),0)</x:f>
      </x:c>
      <x:c r="I52" s="117" t="n">
        <x:f>IF(AND(I$3&gt;=EDATE($B$41,-MIN(6,'Вводные'!$E$89)),I$3&lt;$B$41),$B$52/MAX(1,MIN(6,'Вводные'!$E$89)),0)</x:f>
      </x:c>
      <x:c r="J52" s="117" t="n">
        <x:f>IF(AND(J$3&gt;=EDATE($B$41,-MIN(6,'Вводные'!$E$89)),J$3&lt;$B$41),$B$52/MAX(1,MIN(6,'Вводные'!$E$89)),0)</x:f>
      </x:c>
      <x:c r="K52" s="117" t="n">
        <x:f>IF(AND(K$3&gt;=EDATE($B$41,-MIN(6,'Вводные'!$E$89)),K$3&lt;$B$41),$B$52/MAX(1,MIN(6,'Вводные'!$E$89)),0)</x:f>
      </x:c>
      <x:c r="L52" s="117" t="n">
        <x:f>IF(AND(L$3&gt;=EDATE($B$41,-MIN(6,'Вводные'!$E$89)),L$3&lt;$B$41),$B$52/MAX(1,MIN(6,'Вводные'!$E$89)),0)</x:f>
      </x:c>
      <x:c r="M52" s="117" t="n">
        <x:f>IF(AND(M$3&gt;=EDATE($B$41,-MIN(6,'Вводные'!$E$89)),M$3&lt;$B$41),$B$52/MAX(1,MIN(6,'Вводные'!$E$89)),0)</x:f>
      </x:c>
      <x:c r="N52" s="117" t="n">
        <x:f>IF(AND(N$3&gt;=EDATE($B$41,-MIN(6,'Вводные'!$E$89)),N$3&lt;$B$41),$B$52/MAX(1,MIN(6,'Вводные'!$E$89)),0)</x:f>
      </x:c>
      <x:c r="O52" s="117" t="n">
        <x:f>IF(AND(O$3&gt;=EDATE($B$41,-MIN(6,'Вводные'!$E$89)),O$3&lt;$B$41),$B$52/MAX(1,MIN(6,'Вводные'!$E$89)),0)</x:f>
      </x:c>
      <x:c r="P52" s="117" t="n">
        <x:f>IF(AND(P$3&gt;=EDATE($B$41,-MIN(6,'Вводные'!$E$89)),P$3&lt;$B$41),$B$52/MAX(1,MIN(6,'Вводные'!$E$89)),0)</x:f>
      </x:c>
      <x:c r="Q52" s="117" t="n">
        <x:f>IF(AND(Q$3&gt;=EDATE($B$41,-MIN(6,'Вводные'!$E$89)),Q$3&lt;$B$41),$B$52/MAX(1,MIN(6,'Вводные'!$E$89)),0)</x:f>
      </x:c>
      <x:c r="R52" s="117" t="n">
        <x:f>IF(AND(R$3&gt;=EDATE($B$41,-MIN(6,'Вводные'!$E$89)),R$3&lt;$B$41),$B$52/MAX(1,MIN(6,'Вводные'!$E$89)),0)</x:f>
      </x:c>
      <x:c r="S52" s="117" t="n">
        <x:f>IF(AND(S$3&gt;=EDATE($B$41,-MIN(6,'Вводные'!$E$89)),S$3&lt;$B$41),$B$52/MAX(1,MIN(6,'Вводные'!$E$89)),0)</x:f>
      </x:c>
      <x:c r="T52" s="117" t="n">
        <x:f>IF(AND(T$3&gt;=EDATE($B$41,-MIN(6,'Вводные'!$E$89)),T$3&lt;$B$41),$B$52/MAX(1,MIN(6,'Вводные'!$E$89)),0)</x:f>
      </x:c>
      <x:c r="U52" s="117" t="n">
        <x:f>IF(AND(U$3&gt;=EDATE($B$41,-MIN(6,'Вводные'!$E$89)),U$3&lt;$B$41),$B$52/MAX(1,MIN(6,'Вводные'!$E$89)),0)</x:f>
      </x:c>
      <x:c r="V52" s="117" t="n">
        <x:f>IF(AND(V$3&gt;=EDATE($B$41,-MIN(6,'Вводные'!$E$89)),V$3&lt;$B$41),$B$52/MAX(1,MIN(6,'Вводные'!$E$89)),0)</x:f>
      </x:c>
      <x:c r="W52" s="117" t="n">
        <x:f>IF(AND(W$3&gt;=EDATE($B$41,-MIN(6,'Вводные'!$E$89)),W$3&lt;$B$41),$B$52/MAX(1,MIN(6,'Вводные'!$E$89)),0)</x:f>
      </x:c>
      <x:c r="X52" s="117" t="n">
        <x:f>IF(AND(X$3&gt;=EDATE($B$41,-MIN(6,'Вводные'!$E$89)),X$3&lt;$B$41),$B$52/MAX(1,MIN(6,'Вводные'!$E$89)),0)</x:f>
      </x:c>
      <x:c r="Y52" s="117" t="n">
        <x:f>IF(AND(Y$3&gt;=EDATE($B$41,-MIN(6,'Вводные'!$E$89)),Y$3&lt;$B$41),$B$52/MAX(1,MIN(6,'Вводные'!$E$89)),0)</x:f>
      </x:c>
      <x:c r="Z52" s="117" t="n">
        <x:f>IF(AND(Z$3&gt;=EDATE($B$41,-MIN(6,'Вводные'!$E$89)),Z$3&lt;$B$41),$B$52/MAX(1,MIN(6,'Вводные'!$E$89)),0)</x:f>
      </x:c>
      <x:c r="AA52" s="117" t="n">
        <x:f>IF(AND(AA$3&gt;=EDATE($B$41,-MIN(6,'Вводные'!$E$89)),AA$3&lt;$B$41),$B$52/MAX(1,MIN(6,'Вводные'!$E$89)),0)</x:f>
      </x:c>
      <x:c r="AB52" s="117" t="n">
        <x:f>IF(AND(AB$3&gt;=EDATE($B$41,-MIN(6,'Вводные'!$E$89)),AB$3&lt;$B$41),$B$52/MAX(1,MIN(6,'Вводные'!$E$89)),0)</x:f>
      </x:c>
      <x:c r="AC52" s="117" t="n">
        <x:f>IF(AND(AC$3&gt;=EDATE($B$41,-MIN(6,'Вводные'!$E$89)),AC$3&lt;$B$41),$B$52/MAX(1,MIN(6,'Вводные'!$E$89)),0)</x:f>
      </x:c>
      <x:c r="AD52" s="117" t="n">
        <x:f>IF(AND(AD$3&gt;=EDATE($B$41,-MIN(6,'Вводные'!$E$89)),AD$3&lt;$B$41),$B$52/MAX(1,MIN(6,'Вводные'!$E$89)),0)</x:f>
      </x:c>
      <x:c r="AE52" s="117" t="n">
        <x:f>IF(AND(AE$3&gt;=EDATE($B$41,-MIN(6,'Вводные'!$E$89)),AE$3&lt;$B$41),$B$52/MAX(1,MIN(6,'Вводные'!$E$89)),0)</x:f>
      </x:c>
      <x:c r="AF52" s="117" t="n">
        <x:f>IF(AND(AF$3&gt;=EDATE($B$41,-MIN(6,'Вводные'!$E$89)),AF$3&lt;$B$41),$B$52/MAX(1,MIN(6,'Вводные'!$E$89)),0)</x:f>
      </x:c>
      <x:c r="AG52" s="117" t="n">
        <x:f>IF(AND(AG$3&gt;=EDATE($B$41,-MIN(6,'Вводные'!$E$89)),AG$3&lt;$B$41),$B$52/MAX(1,MIN(6,'Вводные'!$E$89)),0)</x:f>
      </x:c>
      <x:c r="AH52" s="117" t="n">
        <x:f>IF(AND(AH$3&gt;=EDATE($B$41,-MIN(6,'Вводные'!$E$89)),AH$3&lt;$B$41),$B$52/MAX(1,MIN(6,'Вводные'!$E$89)),0)</x:f>
      </x:c>
      <x:c r="AI52" s="117" t="n">
        <x:f>IF(AND(AI$3&gt;=EDATE($B$41,-MIN(6,'Вводные'!$E$89)),AI$3&lt;$B$41),$B$52/MAX(1,MIN(6,'Вводные'!$E$89)),0)</x:f>
      </x:c>
      <x:c r="AJ52" s="117" t="n">
        <x:f>IF(AND(AJ$3&gt;=EDATE($B$41,-MIN(6,'Вводные'!$E$89)),AJ$3&lt;$B$41),$B$52/MAX(1,MIN(6,'Вводные'!$E$89)),0)</x:f>
      </x:c>
      <x:c r="AK52" s="117" t="n">
        <x:f>IF(AND(AK$3&gt;=EDATE($B$41,-MIN(6,'Вводные'!$E$89)),AK$3&lt;$B$41),$B$52/MAX(1,MIN(6,'Вводные'!$E$89)),0)</x:f>
      </x:c>
      <x:c r="AL52" s="117" t="n">
        <x:f>IF(AND(AL$3&gt;=EDATE($B$41,-MIN(6,'Вводные'!$E$89)),AL$3&lt;$B$41),$B$52/MAX(1,MIN(6,'Вводные'!$E$89)),0)</x:f>
      </x:c>
      <x:c r="AM52" s="117" t="n">
        <x:f>IF(AND(AM$3&gt;=EDATE($B$41,-MIN(6,'Вводные'!$E$89)),AM$3&lt;$B$41),$B$52/MAX(1,MIN(6,'Вводные'!$E$89)),0)</x:f>
      </x:c>
      <x:c r="AN52" s="117" t="n">
        <x:f>IF(AND(AN$3&gt;=EDATE($B$41,-MIN(6,'Вводные'!$E$89)),AN$3&lt;$B$41),$B$52/MAX(1,MIN(6,'Вводные'!$E$89)),0)</x:f>
      </x:c>
      <x:c r="AO52" s="117" t="n">
        <x:f>IF(AND(AO$3&gt;=EDATE($B$41,-MIN(6,'Вводные'!$E$89)),AO$3&lt;$B$41),$B$52/MAX(1,MIN(6,'Вводные'!$E$89)),0)</x:f>
      </x:c>
      <x:c r="AP52" s="117" t="n">
        <x:f>IF(AND(AP$3&gt;=EDATE($B$41,-MIN(6,'Вводные'!$E$89)),AP$3&lt;$B$41),$B$52/MAX(1,MIN(6,'Вводные'!$E$89)),0)</x:f>
      </x:c>
      <x:c r="AQ52" s="117" t="n">
        <x:f>IF(AND(AQ$3&gt;=EDATE($B$41,-MIN(6,'Вводные'!$E$89)),AQ$3&lt;$B$41),$B$52/MAX(1,MIN(6,'Вводные'!$E$89)),0)</x:f>
      </x:c>
      <x:c r="AR52" s="117" t="n">
        <x:f>IF(AND(AR$3&gt;=EDATE($B$41,-MIN(6,'Вводные'!$E$89)),AR$3&lt;$B$41),$B$52/MAX(1,MIN(6,'Вводные'!$E$89)),0)</x:f>
      </x:c>
      <x:c r="AS52" s="117" t="n">
        <x:f>IF(AND(AS$3&gt;=EDATE($B$41,-MIN(6,'Вводные'!$E$89)),AS$3&lt;$B$41),$B$52/MAX(1,MIN(6,'Вводные'!$E$89)),0)</x:f>
      </x:c>
      <x:c r="AT52" s="117" t="n">
        <x:f>IF(AND(AT$3&gt;=EDATE($B$41,-MIN(6,'Вводные'!$E$89)),AT$3&lt;$B$41),$B$52/MAX(1,MIN(6,'Вводные'!$E$89)),0)</x:f>
      </x:c>
      <x:c r="AU52" s="117" t="n">
        <x:f>IF(AND(AU$3&gt;=EDATE($B$41,-MIN(6,'Вводные'!$E$89)),AU$3&lt;$B$41),$B$52/MAX(1,MIN(6,'Вводные'!$E$89)),0)</x:f>
      </x:c>
      <x:c r="AV52" s="117" t="n">
        <x:f>IF(AND(AV$3&gt;=EDATE($B$41,-MIN(6,'Вводные'!$E$89)),AV$3&lt;$B$41),$B$52/MAX(1,MIN(6,'Вводные'!$E$89)),0)</x:f>
      </x:c>
      <x:c r="AW52" s="117" t="n">
        <x:f>IF(AND(AW$3&gt;=EDATE($B$41,-MIN(6,'Вводные'!$E$89)),AW$3&lt;$B$41),$B$52/MAX(1,MIN(6,'Вводные'!$E$89)),0)</x:f>
      </x:c>
      <x:c r="AX52" s="117" t="n">
        <x:f>IF(AND(AX$3&gt;=EDATE($B$41,-MIN(6,'Вводные'!$E$89)),AX$3&lt;$B$41),$B$52/MAX(1,MIN(6,'Вводные'!$E$89)),0)</x:f>
      </x:c>
      <x:c r="AY52" s="117" t="n">
        <x:f>IF(AND(AY$3&gt;=EDATE($B$41,-MIN(6,'Вводные'!$E$89)),AY$3&lt;$B$41),$B$52/MAX(1,MIN(6,'Вводные'!$E$89)),0)</x:f>
      </x:c>
      <x:c r="AZ52" s="117" t="n">
        <x:f>IF(AND(AZ$3&gt;=EDATE($B$41,-MIN(6,'Вводные'!$E$89)),AZ$3&lt;$B$41),$B$52/MAX(1,MIN(6,'Вводные'!$E$89)),0)</x:f>
      </x:c>
      <x:c r="BA52" s="117" t="n">
        <x:f>IF(AND(BA$3&gt;=EDATE($B$41,-MIN(6,'Вводные'!$E$89)),BA$3&lt;$B$41),$B$52/MAX(1,MIN(6,'Вводные'!$E$89)),0)</x:f>
      </x:c>
      <x:c r="BB52" s="117" t="n">
        <x:f>IF(AND(BB$3&gt;=EDATE($B$41,-MIN(6,'Вводные'!$E$89)),BB$3&lt;$B$41),$B$52/MAX(1,MIN(6,'Вводные'!$E$89)),0)</x:f>
      </x:c>
      <x:c r="BC52" s="117" t="n">
        <x:f>IF(AND(BC$3&gt;=EDATE($B$41,-MIN(6,'Вводные'!$E$89)),BC$3&lt;$B$41),$B$52/MAX(1,MIN(6,'Вводные'!$E$89)),0)</x:f>
      </x:c>
      <x:c r="BD52" s="117" t="n">
        <x:f>IF(AND(BD$3&gt;=EDATE($B$41,-MIN(6,'Вводные'!$E$89)),BD$3&lt;$B$41),$B$52/MAX(1,MIN(6,'Вводные'!$E$89)),0)</x:f>
      </x:c>
      <x:c r="BE52" s="117" t="n">
        <x:f>IF(AND(BE$3&gt;=EDATE($B$41,-MIN(6,'Вводные'!$E$89)),BE$3&lt;$B$41),$B$52/MAX(1,MIN(6,'Вводные'!$E$89)),0)</x:f>
      </x:c>
      <x:c r="BF52" s="117" t="n">
        <x:f>IF(AND(BF$3&gt;=EDATE($B$41,-MIN(6,'Вводные'!$E$89)),BF$3&lt;$B$41),$B$52/MAX(1,MIN(6,'Вводные'!$E$89)),0)</x:f>
      </x:c>
      <x:c r="BG52" s="117" t="n">
        <x:f>IF(AND(BG$3&gt;=EDATE($B$41,-MIN(6,'Вводные'!$E$89)),BG$3&lt;$B$41),$B$52/MAX(1,MIN(6,'Вводные'!$E$89)),0)</x:f>
      </x:c>
      <x:c r="BH52" s="117" t="n">
        <x:f>IF(AND(BH$3&gt;=EDATE($B$41,-MIN(6,'Вводные'!$E$89)),BH$3&lt;$B$41),$B$52/MAX(1,MIN(6,'Вводные'!$E$89)),0)</x:f>
      </x:c>
      <x:c r="BI52" s="117" t="n">
        <x:f>IF(AND(BI$3&gt;=EDATE($B$41,-MIN(6,'Вводные'!$E$89)),BI$3&lt;$B$41),$B$52/MAX(1,MIN(6,'Вводные'!$E$89)),0)</x:f>
      </x:c>
      <x:c r="BJ52" s="117" t="n">
        <x:f>IF(AND(BJ$3&gt;=EDATE($B$41,-MIN(6,'Вводные'!$E$89)),BJ$3&lt;$B$41),$B$52/MAX(1,MIN(6,'Вводные'!$E$89)),0)</x:f>
      </x:c>
      <x:c r="BK52" s="117" t="n">
        <x:f>IF(AND(BK$3&gt;=EDATE($B$41,-MIN(6,'Вводные'!$E$89)),BK$3&lt;$B$41),$B$52/MAX(1,MIN(6,'Вводные'!$E$89)),0)</x:f>
      </x:c>
      <x:c r="BL52" s="117" t="n">
        <x:f>IF(AND(BL$3&gt;=EDATE($B$41,-MIN(6,'Вводные'!$E$89)),BL$3&lt;$B$41),$B$52/MAX(1,MIN(6,'Вводные'!$E$89)),0)</x:f>
      </x:c>
      <x:c r="BM52" s="117" t="n">
        <x:f>IF(AND(BM$3&gt;=EDATE($B$41,-MIN(6,'Вводные'!$E$89)),BM$3&lt;$B$41),$B$52/MAX(1,MIN(6,'Вводные'!$E$89)),0)</x:f>
      </x:c>
      <x:c r="BN52" s="117" t="n">
        <x:f>IF(AND(BN$3&gt;=EDATE($B$41,-MIN(6,'Вводные'!$E$89)),BN$3&lt;$B$41),$B$52/MAX(1,MIN(6,'Вводные'!$E$89)),0)</x:f>
      </x:c>
      <x:c r="BO52" s="117" t="n">
        <x:f>IF(AND(BO$3&gt;=EDATE($B$41,-MIN(6,'Вводные'!$E$89)),BO$3&lt;$B$41),$B$52/MAX(1,MIN(6,'Вводные'!$E$89)),0)</x:f>
      </x:c>
      <x:c r="BP52" s="117" t="n">
        <x:f>IF(AND(BP$3&gt;=EDATE($B$41,-MIN(6,'Вводные'!$E$89)),BP$3&lt;$B$41),$B$52/MAX(1,MIN(6,'Вводные'!$E$89)),0)</x:f>
      </x:c>
      <x:c r="BQ52" s="117" t="n">
        <x:f>IF(AND(BQ$3&gt;=EDATE($B$41,-MIN(6,'Вводные'!$E$89)),BQ$3&lt;$B$41),$B$52/MAX(1,MIN(6,'Вводные'!$E$89)),0)</x:f>
      </x:c>
      <x:c r="BR52" s="117" t="n">
        <x:f>IF(AND(BR$3&gt;=EDATE($B$41,-MIN(6,'Вводные'!$E$89)),BR$3&lt;$B$41),$B$52/MAX(1,MIN(6,'Вводные'!$E$89)),0)</x:f>
      </x:c>
      <x:c r="BS52" s="117" t="n">
        <x:f>IF(AND(BS$3&gt;=EDATE($B$41,-MIN(6,'Вводные'!$E$89)),BS$3&lt;$B$41),$B$52/MAX(1,MIN(6,'Вводные'!$E$89)),0)</x:f>
      </x:c>
      <x:c r="BT52" s="117" t="n">
        <x:f>IF(AND(BT$3&gt;=EDATE($B$41,-MIN(6,'Вводные'!$E$89)),BT$3&lt;$B$41),$B$52/MAX(1,MIN(6,'Вводные'!$E$89)),0)</x:f>
      </x:c>
      <x:c r="BU52" s="117" t="n">
        <x:f>IF(AND(BU$3&gt;=EDATE($B$41,-MIN(6,'Вводные'!$E$89)),BU$3&lt;$B$41),$B$52/MAX(1,MIN(6,'Вводные'!$E$89)),0)</x:f>
      </x:c>
      <x:c r="BV52" s="117" t="n">
        <x:f>IF(AND(BV$3&gt;=EDATE($B$41,-MIN(6,'Вводные'!$E$89)),BV$3&lt;$B$41),$B$52/MAX(1,MIN(6,'Вводные'!$E$89)),0)</x:f>
      </x:c>
      <x:c r="BW52" s="117" t="n">
        <x:f>IF(AND(BW$3&gt;=EDATE($B$41,-MIN(6,'Вводные'!$E$89)),BW$3&lt;$B$41),$B$52/MAX(1,MIN(6,'Вводные'!$E$89)),0)</x:f>
      </x:c>
      <x:c r="BX52" s="117" t="n">
        <x:f>IF(AND(BX$3&gt;=EDATE($B$41,-MIN(6,'Вводные'!$E$89)),BX$3&lt;$B$41),$B$52/MAX(1,MIN(6,'Вводные'!$E$89)),0)</x:f>
      </x:c>
      <x:c r="BY52" s="117" t="n">
        <x:f>IF(AND(BY$3&gt;=EDATE($B$41,-MIN(6,'Вводные'!$E$89)),BY$3&lt;$B$41),$B$52/MAX(1,MIN(6,'Вводные'!$E$89)),0)</x:f>
      </x:c>
      <x:c r="BZ52" s="117" t="n">
        <x:f>IF(AND(BZ$3&gt;=EDATE($B$41,-MIN(6,'Вводные'!$E$89)),BZ$3&lt;$B$41),$B$52/MAX(1,MIN(6,'Вводные'!$E$89)),0)</x:f>
      </x:c>
      <x:c r="CA52" s="117" t="n">
        <x:f>IF(AND(CA$3&gt;=EDATE($B$41,-MIN(6,'Вводные'!$E$89)),CA$3&lt;$B$41),$B$52/MAX(1,MIN(6,'Вводные'!$E$89)),0)</x:f>
      </x:c>
      <x:c r="CB52" s="117" t="n">
        <x:f>IF(AND(CB$3&gt;=EDATE($B$41,-MIN(6,'Вводные'!$E$89)),CB$3&lt;$B$41),$B$52/MAX(1,MIN(6,'Вводные'!$E$89)),0)</x:f>
      </x:c>
      <x:c r="CC52" s="117" t="n">
        <x:f>IF(AND(CC$3&gt;=EDATE($B$41,-MIN(6,'Вводные'!$E$89)),CC$3&lt;$B$41),$B$52/MAX(1,MIN(6,'Вводные'!$E$89)),0)</x:f>
      </x:c>
      <x:c r="CD52" s="117" t="n">
        <x:f>IF(AND(CD$3&gt;=EDATE($B$41,-MIN(6,'Вводные'!$E$89)),CD$3&lt;$B$41),$B$52/MAX(1,MIN(6,'Вводные'!$E$89)),0)</x:f>
      </x:c>
      <x:c r="CE52" s="117" t="n">
        <x:f>IF(AND(CE$3&gt;=EDATE($B$41,-MIN(6,'Вводные'!$E$89)),CE$3&lt;$B$41),$B$52/MAX(1,MIN(6,'Вводные'!$E$89)),0)</x:f>
      </x:c>
      <x:c r="CF52" s="117" t="n">
        <x:f>IF(AND(CF$3&gt;=EDATE($B$41,-MIN(6,'Вводные'!$E$89)),CF$3&lt;$B$41),$B$52/MAX(1,MIN(6,'Вводные'!$E$89)),0)</x:f>
      </x:c>
      <x:c r="CG52" s="117" t="n">
        <x:f>IF(AND(CG$3&gt;=EDATE($B$41,-MIN(6,'Вводные'!$E$89)),CG$3&lt;$B$41),$B$52/MAX(1,MIN(6,'Вводные'!$E$89)),0)</x:f>
      </x:c>
      <x:c r="CH52" s="117" t="n">
        <x:f>IF(AND(CH$3&gt;=EDATE($B$41,-MIN(6,'Вводные'!$E$89)),CH$3&lt;$B$41),$B$52/MAX(1,MIN(6,'Вводные'!$E$89)),0)</x:f>
      </x:c>
      <x:c r="CI52" s="117" t="n">
        <x:f>IF(AND(CI$3&gt;=EDATE($B$41,-MIN(6,'Вводные'!$E$89)),CI$3&lt;$B$41),$B$52/MAX(1,MIN(6,'Вводные'!$E$89)),0)</x:f>
      </x:c>
      <x:c r="CJ52" s="117" t="n">
        <x:f>IF(AND(CJ$3&gt;=EDATE($B$41,-MIN(6,'Вводные'!$E$89)),CJ$3&lt;$B$41),$B$52/MAX(1,MIN(6,'Вводные'!$E$89)),0)</x:f>
      </x:c>
      <x:c r="CK52" s="117" t="n">
        <x:f>IF(AND(CK$3&gt;=EDATE($B$41,-MIN(6,'Вводные'!$E$89)),CK$3&lt;$B$41),$B$52/MAX(1,MIN(6,'Вводные'!$E$89)),0)</x:f>
      </x:c>
      <x:c r="CL52" s="117" t="n">
        <x:f>IF(AND(CL$3&gt;=EDATE($B$41,-MIN(6,'Вводные'!$E$89)),CL$3&lt;$B$41),$B$52/MAX(1,MIN(6,'Вводные'!$E$89)),0)</x:f>
      </x:c>
      <x:c r="CM52" s="117" t="n">
        <x:f>IF(AND(CM$3&gt;=EDATE($B$41,-MIN(6,'Вводные'!$E$89)),CM$3&lt;$B$41),$B$52/MAX(1,MIN(6,'Вводные'!$E$89)),0)</x:f>
      </x:c>
      <x:c r="CN52" s="117" t="n">
        <x:f>IF(AND(CN$3&gt;=EDATE($B$41,-MIN(6,'Вводные'!$E$89)),CN$3&lt;$B$41),$B$52/MAX(1,MIN(6,'Вводные'!$E$89)),0)</x:f>
      </x:c>
      <x:c r="CO52" s="117" t="n">
        <x:f>IF(AND(CO$3&gt;=EDATE($B$41,-MIN(6,'Вводные'!$E$89)),CO$3&lt;$B$41),$B$52/MAX(1,MIN(6,'Вводные'!$E$89)),0)</x:f>
      </x:c>
      <x:c r="CP52" s="117" t="n">
        <x:f>IF(AND(CP$3&gt;=EDATE($B$41,-MIN(6,'Вводные'!$E$89)),CP$3&lt;$B$41),$B$52/MAX(1,MIN(6,'Вводные'!$E$89)),0)</x:f>
      </x:c>
      <x:c r="CQ52" s="117" t="n">
        <x:f>IF(AND(CQ$3&gt;=EDATE($B$41,-MIN(6,'Вводные'!$E$89)),CQ$3&lt;$B$41),$B$52/MAX(1,MIN(6,'Вводные'!$E$89)),0)</x:f>
      </x:c>
      <x:c r="CR52" s="117" t="n">
        <x:f>IF(AND(CR$3&gt;=EDATE($B$41,-MIN(6,'Вводные'!$E$89)),CR$3&lt;$B$41),$B$52/MAX(1,MIN(6,'Вводные'!$E$89)),0)</x:f>
      </x:c>
      <x:c r="CS52" s="117" t="n">
        <x:f>IF(AND(CS$3&gt;=EDATE($B$41,-MIN(6,'Вводные'!$E$89)),CS$3&lt;$B$41),$B$52/MAX(1,MIN(6,'Вводные'!$E$89)),0)</x:f>
      </x:c>
      <x:c r="CT52" s="117" t="n">
        <x:f>IF(AND(CT$3&gt;=EDATE($B$41,-MIN(6,'Вводные'!$E$89)),CT$3&lt;$B$41),$B$52/MAX(1,MIN(6,'Вводные'!$E$89)),0)</x:f>
      </x:c>
      <x:c r="CU52" s="117" t="n">
        <x:f>IF(AND(CU$3&gt;=EDATE($B$41,-MIN(6,'Вводные'!$E$89)),CU$3&lt;$B$41),$B$52/MAX(1,MIN(6,'Вводные'!$E$89)),0)</x:f>
      </x:c>
      <x:c r="CV52" s="117" t="n">
        <x:f>IF(AND(CV$3&gt;=EDATE($B$41,-MIN(6,'Вводные'!$E$89)),CV$3&lt;$B$41),$B$52/MAX(1,MIN(6,'Вводные'!$E$89)),0)</x:f>
      </x:c>
      <x:c r="CW52" s="117" t="n">
        <x:f>IF(AND(CW$3&gt;=EDATE($B$41,-MIN(6,'Вводные'!$E$89)),CW$3&lt;$B$41),$B$52/MAX(1,MIN(6,'Вводные'!$E$89)),0)</x:f>
      </x:c>
      <x:c r="CX52" s="117" t="n">
        <x:f>IF(AND(CX$3&gt;=EDATE($B$41,-MIN(6,'Вводные'!$E$89)),CX$3&lt;$B$41),$B$52/MAX(1,MIN(6,'Вводные'!$E$89)),0)</x:f>
      </x:c>
      <x:c r="CY52" s="117" t="n">
        <x:f>IF(AND(CY$3&gt;=EDATE($B$41,-MIN(6,'Вводные'!$E$89)),CY$3&lt;$B$41),$B$52/MAX(1,MIN(6,'Вводные'!$E$89)),0)</x:f>
      </x:c>
      <x:c r="CZ52" s="117" t="n">
        <x:f>IF(AND(CZ$3&gt;=EDATE($B$41,-MIN(6,'Вводные'!$E$89)),CZ$3&lt;$B$41),$B$52/MAX(1,MIN(6,'Вводные'!$E$89)),0)</x:f>
      </x:c>
      <x:c r="DA52" s="117" t="n">
        <x:f>IF(AND(DA$3&gt;=EDATE($B$41,-MIN(6,'Вводные'!$E$89)),DA$3&lt;$B$41),$B$52/MAX(1,MIN(6,'Вводные'!$E$89)),0)</x:f>
      </x:c>
      <x:c r="DB52" s="117" t="n">
        <x:f>IF(AND(DB$3&gt;=EDATE($B$41,-MIN(6,'Вводные'!$E$89)),DB$3&lt;$B$41),$B$52/MAX(1,MIN(6,'Вводные'!$E$89)),0)</x:f>
      </x:c>
      <x:c r="DC52" s="117" t="n">
        <x:f>IF(AND(DC$3&gt;=EDATE($B$41,-MIN(6,'Вводные'!$E$89)),DC$3&lt;$B$41),$B$52/MAX(1,MIN(6,'Вводные'!$E$89)),0)</x:f>
      </x:c>
      <x:c r="DD52" s="117" t="n">
        <x:f>IF(AND(DD$3&gt;=EDATE($B$41,-MIN(6,'Вводные'!$E$89)),DD$3&lt;$B$41),$B$52/MAX(1,MIN(6,'Вводные'!$E$89)),0)</x:f>
      </x:c>
      <x:c r="DE52" s="117" t="n">
        <x:f>IF(AND(DE$3&gt;=EDATE($B$41,-MIN(6,'Вводные'!$E$89)),DE$3&lt;$B$41),$B$52/MAX(1,MIN(6,'Вводные'!$E$89)),0)</x:f>
      </x:c>
      <x:c r="DF52" s="117" t="n">
        <x:f>IF(AND(DF$3&gt;=EDATE($B$41,-MIN(6,'Вводные'!$E$89)),DF$3&lt;$B$41),$B$52/MAX(1,MIN(6,'Вводные'!$E$89)),0)</x:f>
      </x:c>
      <x:c r="DG52" s="117" t="n">
        <x:f>IF(AND(DG$3&gt;=EDATE($B$41,-MIN(6,'Вводные'!$E$89)),DG$3&lt;$B$41),$B$52/MAX(1,MIN(6,'Вводные'!$E$89)),0)</x:f>
      </x:c>
      <x:c r="DH52" s="117" t="n">
        <x:f>IF(AND(DH$3&gt;=EDATE($B$41,-MIN(6,'Вводные'!$E$89)),DH$3&lt;$B$41),$B$52/MAX(1,MIN(6,'Вводные'!$E$89)),0)</x:f>
      </x:c>
      <x:c r="DI52" s="117" t="n">
        <x:f>IF(AND(DI$3&gt;=EDATE($B$41,-MIN(6,'Вводные'!$E$89)),DI$3&lt;$B$41),$B$52/MAX(1,MIN(6,'Вводные'!$E$89)),0)</x:f>
      </x:c>
      <x:c r="DJ52" s="117" t="n">
        <x:f>IF(AND(DJ$3&gt;=EDATE($B$41,-MIN(6,'Вводные'!$E$89)),DJ$3&lt;$B$41),$B$52/MAX(1,MIN(6,'Вводные'!$E$89)),0)</x:f>
      </x:c>
      <x:c r="DK52" s="117" t="n">
        <x:f>IF(AND(DK$3&gt;=EDATE($B$41,-MIN(6,'Вводные'!$E$89)),DK$3&lt;$B$41),$B$52/MAX(1,MIN(6,'Вводные'!$E$89)),0)</x:f>
      </x:c>
      <x:c r="DL52" s="117" t="n">
        <x:f>IF(AND(DL$3&gt;=EDATE($B$41,-MIN(6,'Вводные'!$E$89)),DL$3&lt;$B$41),$B$52/MAX(1,MIN(6,'Вводные'!$E$89)),0)</x:f>
      </x:c>
      <x:c r="DM52" s="117" t="n">
        <x:f>IF(AND(DM$3&gt;=EDATE($B$41,-MIN(6,'Вводные'!$E$89)),DM$3&lt;$B$41),$B$52/MAX(1,MIN(6,'Вводные'!$E$89)),0)</x:f>
      </x:c>
      <x:c r="DN52" s="117" t="n">
        <x:f>IF(AND(DN$3&gt;=EDATE($B$41,-MIN(6,'Вводные'!$E$89)),DN$3&lt;$B$41),$B$52/MAX(1,MIN(6,'Вводные'!$E$89)),0)</x:f>
      </x:c>
      <x:c r="DO52" s="117" t="n">
        <x:f>IF(AND(DO$3&gt;=EDATE($B$41,-MIN(6,'Вводные'!$E$89)),DO$3&lt;$B$41),$B$52/MAX(1,MIN(6,'Вводные'!$E$89)),0)</x:f>
      </x:c>
      <x:c r="DP52" s="117" t="n">
        <x:f>IF(AND(DP$3&gt;=EDATE($B$41,-MIN(6,'Вводные'!$E$89)),DP$3&lt;$B$41),$B$52/MAX(1,MIN(6,'Вводные'!$E$89)),0)</x:f>
      </x:c>
      <x:c r="DQ52" s="117" t="n">
        <x:f>IF(AND(DQ$3&gt;=EDATE($B$41,-MIN(6,'Вводные'!$E$89)),DQ$3&lt;$B$41),$B$52/MAX(1,MIN(6,'Вводные'!$E$89)),0)</x:f>
      </x:c>
      <x:c r="DR52" s="117" t="n">
        <x:f>IF(AND(DR$3&gt;=EDATE($B$41,-MIN(6,'Вводные'!$E$89)),DR$3&lt;$B$41),$B$52/MAX(1,MIN(6,'Вводные'!$E$89)),0)</x:f>
      </x:c>
      <x:c r="DS52" s="117" t="n">
        <x:f>IF(AND(DS$3&gt;=EDATE($B$41,-MIN(6,'Вводные'!$E$89)),DS$3&lt;$B$41),$B$52/MAX(1,MIN(6,'Вводные'!$E$89)),0)</x:f>
      </x:c>
      <x:c r="DT52" s="117" t="n">
        <x:f>IF(AND(DT$3&gt;=EDATE($B$41,-MIN(6,'Вводные'!$E$89)),DT$3&lt;$B$41),$B$52/MAX(1,MIN(6,'Вводные'!$E$89)),0)</x:f>
      </x:c>
      <x:c r="DU52" s="117" t="n">
        <x:f>IF(AND(DU$3&gt;=EDATE($B$41,-MIN(6,'Вводные'!$E$89)),DU$3&lt;$B$41),$B$52/MAX(1,MIN(6,'Вводные'!$E$89)),0)</x:f>
      </x:c>
      <x:c r="DV52" s="117" t="n">
        <x:f>IF(AND(DV$3&gt;=EDATE($B$41,-MIN(6,'Вводные'!$E$89)),DV$3&lt;$B$41),$B$52/MAX(1,MIN(6,'Вводные'!$E$89)),0)</x:f>
      </x:c>
      <x:c r="DW52" s="117" t="n">
        <x:f>IF(AND(DW$3&gt;=EDATE($B$41,-MIN(6,'Вводные'!$E$89)),DW$3&lt;$B$41),$B$52/MAX(1,MIN(6,'Вводные'!$E$89)),0)</x:f>
      </x:c>
      <x:c r="DX52" s="117" t="n">
        <x:f>IF(AND(DX$3&gt;=EDATE($B$41,-MIN(6,'Вводные'!$E$89)),DX$3&lt;$B$41),$B$52/MAX(1,MIN(6,'Вводные'!$E$89)),0)</x:f>
      </x:c>
      <x:c r="DY52" s="117" t="n">
        <x:f>IF(AND(DY$3&gt;=EDATE($B$41,-MIN(6,'Вводные'!$E$89)),DY$3&lt;$B$41),$B$52/MAX(1,MIN(6,'Вводные'!$E$89)),0)</x:f>
      </x:c>
      <x:c r="DZ52" s="117" t="n">
        <x:f>IF(AND(DZ$3&gt;=EDATE($B$41,-MIN(6,'Вводные'!$E$89)),DZ$3&lt;$B$41),$B$52/MAX(1,MIN(6,'Вводные'!$E$89)),0)</x:f>
      </x:c>
      <x:c r="EA52" s="117" t="n">
        <x:f>IF(AND(EA$3&gt;=EDATE($B$41,-MIN(6,'Вводные'!$E$89)),EA$3&lt;$B$41),$B$52/MAX(1,MIN(6,'Вводные'!$E$89)),0)</x:f>
      </x:c>
      <x:c r="EB52" s="117" t="n">
        <x:f>IF(AND(EB$3&gt;=EDATE($B$41,-MIN(6,'Вводные'!$E$89)),EB$3&lt;$B$41),$B$52/MAX(1,MIN(6,'Вводные'!$E$89)),0)</x:f>
      </x:c>
      <x:c r="EC52" s="117" t="n">
        <x:f>IF(AND(EC$3&gt;=EDATE($B$41,-MIN(6,'Вводные'!$E$89)),EC$3&lt;$B$41),$B$52/MAX(1,MIN(6,'Вводные'!$E$89)),0)</x:f>
      </x:c>
      <x:c r="ED52" s="117" t="n">
        <x:f>IF(AND(ED$3&gt;=EDATE($B$41,-MIN(6,'Вводные'!$E$89)),ED$3&lt;$B$41),$B$52/MAX(1,MIN(6,'Вводные'!$E$89)),0)</x:f>
      </x:c>
      <x:c r="EE52" s="117" t="n">
        <x:f>IF(AND(EE$3&gt;=EDATE($B$41,-MIN(6,'Вводные'!$E$89)),EE$3&lt;$B$41),$B$52/MAX(1,MIN(6,'Вводные'!$E$89)),0)</x:f>
      </x:c>
      <x:c r="EF52" s="117" t="n">
        <x:f>IF(AND(EF$3&gt;=EDATE($B$41,-MIN(6,'Вводные'!$E$89)),EF$3&lt;$B$41),$B$52/MAX(1,MIN(6,'Вводные'!$E$89)),0)</x:f>
      </x:c>
      <x:c r="EG52" s="117" t="n">
        <x:f>IF(AND(EG$3&gt;=EDATE($B$41,-MIN(6,'Вводные'!$E$89)),EG$3&lt;$B$41),$B$52/MAX(1,MIN(6,'Вводные'!$E$89)),0)</x:f>
      </x:c>
      <x:c r="EH52" s="117" t="n">
        <x:f>IF(AND(EH$3&gt;=EDATE($B$41,-MIN(6,'Вводные'!$E$89)),EH$3&lt;$B$41),$B$52/MAX(1,MIN(6,'Вводные'!$E$89)),0)</x:f>
      </x:c>
      <x:c r="EI52" s="117" t="n">
        <x:f>IF(AND(EI$3&gt;=EDATE($B$41,-MIN(6,'Вводные'!$E$89)),EI$3&lt;$B$41),$B$52/MAX(1,MIN(6,'Вводные'!$E$89)),0)</x:f>
      </x:c>
      <x:c r="EJ52" s="117" t="n">
        <x:f>IF(AND(EJ$3&gt;=EDATE($B$41,-MIN(6,'Вводные'!$E$89)),EJ$3&lt;$B$41),$B$52/MAX(1,MIN(6,'Вводные'!$E$89)),0)</x:f>
      </x:c>
      <x:c r="EK52" s="117" t="n">
        <x:f>IF(AND(EK$3&gt;=EDATE($B$41,-MIN(6,'Вводные'!$E$89)),EK$3&lt;$B$41),$B$52/MAX(1,MIN(6,'Вводные'!$E$89)),0)</x:f>
      </x:c>
      <x:c r="EL52" s="117" t="n">
        <x:f>IF(AND(EL$3&gt;=EDATE($B$41,-MIN(6,'Вводные'!$E$89)),EL$3&lt;$B$41),$B$52/MAX(1,MIN(6,'Вводные'!$E$89)),0)</x:f>
      </x:c>
      <x:c r="EM52" s="117" t="n">
        <x:f>IF(AND(EM$3&gt;=EDATE($B$41,-MIN(6,'Вводные'!$E$89)),EM$3&lt;$B$41),$B$52/MAX(1,MIN(6,'Вводные'!$E$89)),0)</x:f>
      </x:c>
      <x:c r="EN52" s="117" t="n">
        <x:f>IF(AND(EN$3&gt;=EDATE($B$41,-MIN(6,'Вводные'!$E$89)),EN$3&lt;$B$41),$B$52/MAX(1,MIN(6,'Вводные'!$E$89)),0)</x:f>
      </x:c>
      <x:c r="EO52" s="117" t="n">
        <x:f>IF(AND(EO$3&gt;=EDATE($B$41,-MIN(6,'Вводные'!$E$89)),EO$3&lt;$B$41),$B$52/MAX(1,MIN(6,'Вводные'!$E$89)),0)</x:f>
      </x:c>
      <x:c r="EP52" s="117" t="n">
        <x:f>IF(AND(EP$3&gt;=EDATE($B$41,-MIN(6,'Вводные'!$E$89)),EP$3&lt;$B$41),$B$52/MAX(1,MIN(6,'Вводные'!$E$89)),0)</x:f>
      </x:c>
      <x:c r="EQ52" s="117" t="n">
        <x:f>IF(AND(EQ$3&gt;=EDATE($B$41,-MIN(6,'Вводные'!$E$89)),EQ$3&lt;$B$41),$B$52/MAX(1,MIN(6,'Вводные'!$E$89)),0)</x:f>
      </x:c>
      <x:c r="ER52" s="117" t="n">
        <x:f>IF(AND(ER$3&gt;=EDATE($B$41,-MIN(6,'Вводные'!$E$89)),ER$3&lt;$B$41),$B$52/MAX(1,MIN(6,'Вводные'!$E$89)),0)</x:f>
      </x:c>
      <x:c r="ES52" s="117" t="n">
        <x:f>IF(AND(ES$3&gt;=EDATE($B$41,-MIN(6,'Вводные'!$E$89)),ES$3&lt;$B$41),$B$52/MAX(1,MIN(6,'Вводные'!$E$89)),0)</x:f>
      </x:c>
      <x:c r="ET52" s="117" t="n">
        <x:f>IF(AND(ET$3&gt;=EDATE($B$41,-MIN(6,'Вводные'!$E$89)),ET$3&lt;$B$41),$B$52/MAX(1,MIN(6,'Вводные'!$E$89)),0)</x:f>
      </x:c>
      <x:c r="EU52" s="117" t="n">
        <x:f>IF(AND(EU$3&gt;=EDATE($B$41,-MIN(6,'Вводные'!$E$89)),EU$3&lt;$B$41),$B$52/MAX(1,MIN(6,'Вводные'!$E$89)),0)</x:f>
      </x:c>
      <x:c r="EV52" s="117" t="n">
        <x:f>IF(AND(EV$3&gt;=EDATE($B$41,-MIN(6,'Вводные'!$E$89)),EV$3&lt;$B$41),$B$52/MAX(1,MIN(6,'Вводные'!$E$89)),0)</x:f>
      </x:c>
      <x:c r="EW52" s="117" t="n">
        <x:f>IF(AND(EW$3&gt;=EDATE($B$41,-MIN(6,'Вводные'!$E$89)),EW$3&lt;$B$41),$B$52/MAX(1,MIN(6,'Вводные'!$E$89)),0)</x:f>
      </x:c>
      <x:c r="EX52" s="117" t="n">
        <x:f>IF(AND(EX$3&gt;=EDATE($B$41,-MIN(6,'Вводные'!$E$89)),EX$3&lt;$B$41),$B$52/MAX(1,MIN(6,'Вводные'!$E$89)),0)</x:f>
      </x:c>
      <x:c r="EY52" s="117" t="n">
        <x:f>IF(AND(EY$3&gt;=EDATE($B$41,-MIN(6,'Вводные'!$E$89)),EY$3&lt;$B$41),$B$52/MAX(1,MIN(6,'Вводные'!$E$89)),0)</x:f>
      </x:c>
      <x:c r="EZ52" s="117" t="n">
        <x:f>IF(AND(EZ$3&gt;=EDATE($B$41,-MIN(6,'Вводные'!$E$89)),EZ$3&lt;$B$41),$B$52/MAX(1,MIN(6,'Вводные'!$E$89)),0)</x:f>
      </x:c>
      <x:c r="FA52" s="117" t="n">
        <x:f>IF(AND(FA$3&gt;=EDATE($B$41,-MIN(6,'Вводные'!$E$89)),FA$3&lt;$B$41),$B$52/MAX(1,MIN(6,'Вводные'!$E$89)),0)</x:f>
      </x:c>
      <x:c r="FB52" s="117" t="n">
        <x:f>IF(AND(FB$3&gt;=EDATE($B$41,-MIN(6,'Вводные'!$E$89)),FB$3&lt;$B$41),$B$52/MAX(1,MIN(6,'Вводные'!$E$89)),0)</x:f>
      </x:c>
      <x:c r="FC52" s="117" t="n">
        <x:f>IF(AND(FC$3&gt;=EDATE($B$41,-MIN(6,'Вводные'!$E$89)),FC$3&lt;$B$41),$B$52/MAX(1,MIN(6,'Вводные'!$E$89)),0)</x:f>
      </x:c>
      <x:c r="FD52" s="117" t="n">
        <x:f>IF(AND(FD$3&gt;=EDATE($B$41,-MIN(6,'Вводные'!$E$89)),FD$3&lt;$B$41),$B$52/MAX(1,MIN(6,'Вводные'!$E$89)),0)</x:f>
      </x:c>
      <x:c r="FE52" s="117" t="n">
        <x:f>IF(AND(FE$3&gt;=EDATE($B$41,-MIN(6,'Вводные'!$E$89)),FE$3&lt;$B$41),$B$52/MAX(1,MIN(6,'Вводные'!$E$89)),0)</x:f>
      </x:c>
      <x:c r="FF52" s="117" t="n">
        <x:f>IF(AND(FF$3&gt;=EDATE($B$41,-MIN(6,'Вводные'!$E$89)),FF$3&lt;$B$41),$B$52/MAX(1,MIN(6,'Вводные'!$E$89)),0)</x:f>
      </x:c>
      <x:c r="FG52" s="117" t="n">
        <x:f>IF(AND(FG$3&gt;=EDATE($B$41,-MIN(6,'Вводные'!$E$89)),FG$3&lt;$B$41),$B$52/MAX(1,MIN(6,'Вводные'!$E$89)),0)</x:f>
      </x:c>
      <x:c r="FH52" s="117" t="n">
        <x:f>IF(AND(FH$3&gt;=EDATE($B$41,-MIN(6,'Вводные'!$E$89)),FH$3&lt;$B$41),$B$52/MAX(1,MIN(6,'Вводные'!$E$89)),0)</x:f>
      </x:c>
      <x:c r="FI52" s="117" t="n">
        <x:f>IF(AND(FI$3&gt;=EDATE($B$41,-MIN(6,'Вводные'!$E$89)),FI$3&lt;$B$41),$B$52/MAX(1,MIN(6,'Вводные'!$E$89)),0)</x:f>
      </x:c>
      <x:c r="FJ52" s="117" t="n">
        <x:f>IF(AND(FJ$3&gt;=EDATE($B$41,-MIN(6,'Вводные'!$E$89)),FJ$3&lt;$B$41),$B$52/MAX(1,MIN(6,'Вводные'!$E$89)),0)</x:f>
      </x:c>
      <x:c r="FK52" s="117" t="n">
        <x:f>IF(AND(FK$3&gt;=EDATE($B$41,-MIN(6,'Вводные'!$E$89)),FK$3&lt;$B$41),$B$52/MAX(1,MIN(6,'Вводные'!$E$89)),0)</x:f>
      </x:c>
      <x:c r="FL52" s="117" t="n">
        <x:f>IF(AND(FL$3&gt;=EDATE($B$41,-MIN(6,'Вводные'!$E$89)),FL$3&lt;$B$41),$B$52/MAX(1,MIN(6,'Вводные'!$E$89)),0)</x:f>
      </x:c>
      <x:c r="FM52" s="117" t="n">
        <x:f>IF(AND(FM$3&gt;=EDATE($B$41,-MIN(6,'Вводные'!$E$89)),FM$3&lt;$B$41),$B$52/MAX(1,MIN(6,'Вводные'!$E$89)),0)</x:f>
      </x:c>
      <x:c r="FN52" s="117" t="n">
        <x:f>IF(AND(FN$3&gt;=EDATE($B$41,-MIN(6,'Вводные'!$E$89)),FN$3&lt;$B$41),$B$52/MAX(1,MIN(6,'Вводные'!$E$89)),0)</x:f>
      </x:c>
      <x:c r="FO52" s="117" t="n">
        <x:f>IF(AND(FO$3&gt;=EDATE($B$41,-MIN(6,'Вводные'!$E$89)),FO$3&lt;$B$41),$B$52/MAX(1,MIN(6,'Вводные'!$E$89)),0)</x:f>
      </x:c>
      <x:c r="FP52" s="117" t="n">
        <x:f>IF(AND(FP$3&gt;=EDATE($B$41,-MIN(6,'Вводные'!$E$89)),FP$3&lt;$B$41),$B$52/MAX(1,MIN(6,'Вводные'!$E$89)),0)</x:f>
      </x:c>
      <x:c r="FQ52" s="117" t="n">
        <x:f>IF(AND(FQ$3&gt;=EDATE($B$41,-MIN(6,'Вводные'!$E$89)),FQ$3&lt;$B$41),$B$52/MAX(1,MIN(6,'Вводные'!$E$89)),0)</x:f>
      </x:c>
      <x:c r="FR52" s="117" t="n">
        <x:f>IF(AND(FR$3&gt;=EDATE($B$41,-MIN(6,'Вводные'!$E$89)),FR$3&lt;$B$41),$B$52/MAX(1,MIN(6,'Вводные'!$E$89)),0)</x:f>
      </x:c>
      <x:c r="FS52" s="117" t="n">
        <x:f>IF(AND(FS$3&gt;=EDATE($B$41,-MIN(6,'Вводные'!$E$89)),FS$3&lt;$B$41),$B$52/MAX(1,MIN(6,'Вводные'!$E$89)),0)</x:f>
      </x:c>
      <x:c r="FT52" s="117" t="n">
        <x:f>IF(AND(FT$3&gt;=EDATE($B$41,-MIN(6,'Вводные'!$E$89)),FT$3&lt;$B$41),$B$52/MAX(1,MIN(6,'Вводные'!$E$89)),0)</x:f>
      </x:c>
      <x:c r="FU52" s="117" t="n">
        <x:f>IF(AND(FU$3&gt;=EDATE($B$41,-MIN(6,'Вводные'!$E$89)),FU$3&lt;$B$41),$B$52/MAX(1,MIN(6,'Вводные'!$E$89)),0)</x:f>
      </x:c>
      <x:c r="FV52" s="117" t="n">
        <x:f>IF(AND(FV$3&gt;=EDATE($B$41,-MIN(6,'Вводные'!$E$89)),FV$3&lt;$B$41),$B$52/MAX(1,MIN(6,'Вводные'!$E$89)),0)</x:f>
      </x:c>
      <x:c r="FW52" s="117" t="n">
        <x:f>IF(AND(FW$3&gt;=EDATE($B$41,-MIN(6,'Вводные'!$E$89)),FW$3&lt;$B$41),$B$52/MAX(1,MIN(6,'Вводные'!$E$89)),0)</x:f>
      </x:c>
      <x:c r="FX52" s="117" t="n">
        <x:f>IF(AND(FX$3&gt;=EDATE($B$41,-MIN(6,'Вводные'!$E$89)),FX$3&lt;$B$41),$B$52/MAX(1,MIN(6,'Вводные'!$E$89)),0)</x:f>
      </x:c>
      <x:c r="FY52" s="117" t="n">
        <x:f>IF(AND(FY$3&gt;=EDATE($B$41,-MIN(6,'Вводные'!$E$89)),FY$3&lt;$B$41),$B$52/MAX(1,MIN(6,'Вводные'!$E$89)),0)</x:f>
      </x:c>
      <x:c r="FZ52" s="117" t="n">
        <x:f>IF(AND(FZ$3&gt;=EDATE($B$41,-MIN(6,'Вводные'!$E$89)),FZ$3&lt;$B$41),$B$52/MAX(1,MIN(6,'Вводные'!$E$89)),0)</x:f>
      </x:c>
      <x:c r="GA52" s="117" t="n">
        <x:f>IF(AND(GA$3&gt;=EDATE($B$41,-MIN(6,'Вводные'!$E$89)),GA$3&lt;$B$41),$B$52/MAX(1,MIN(6,'Вводные'!$E$89)),0)</x:f>
      </x:c>
    </x:row>
    <x:row r="53">
      <x:c r="A53" t="str">
        <x:v>Авторский надзор</x:v>
      </x:c>
      <x:c r="B53" s="107" t="n">
        <x:f>SUM(B51:B52)*'Вводные'!$B$51</x:f>
      </x:c>
      <x:c r="C53" t="str">
        <x:v>млн ₽</x:v>
      </x:c>
      <x:c r="D53" s="117" t="n">
        <x:f>$B$53*D47</x:f>
      </x:c>
      <x:c r="E53" s="117" t="n">
        <x:f>$B$53*E47</x:f>
      </x:c>
      <x:c r="F53" s="117" t="n">
        <x:f>$B$53*F47</x:f>
      </x:c>
      <x:c r="G53" s="117" t="n">
        <x:f>$B$53*G47</x:f>
      </x:c>
      <x:c r="H53" s="117" t="n">
        <x:f>$B$53*H47</x:f>
      </x:c>
      <x:c r="I53" s="117" t="n">
        <x:f>$B$53*I47</x:f>
      </x:c>
      <x:c r="J53" s="117" t="n">
        <x:f>$B$53*J47</x:f>
      </x:c>
      <x:c r="K53" s="117" t="n">
        <x:f>$B$53*K47</x:f>
      </x:c>
      <x:c r="L53" s="117" t="n">
        <x:f>$B$53*L47</x:f>
      </x:c>
      <x:c r="M53" s="117" t="n">
        <x:f>$B$53*M47</x:f>
      </x:c>
      <x:c r="N53" s="117" t="n">
        <x:f>$B$53*N47</x:f>
      </x:c>
      <x:c r="O53" s="117" t="n">
        <x:f>$B$53*O47</x:f>
      </x:c>
      <x:c r="P53" s="117" t="n">
        <x:f>$B$53*P47</x:f>
      </x:c>
      <x:c r="Q53" s="117" t="n">
        <x:f>$B$53*Q47</x:f>
      </x:c>
      <x:c r="R53" s="117" t="n">
        <x:f>$B$53*R47</x:f>
      </x:c>
      <x:c r="S53" s="117" t="n">
        <x:f>$B$53*S47</x:f>
      </x:c>
      <x:c r="T53" s="117" t="n">
        <x:f>$B$53*T47</x:f>
      </x:c>
      <x:c r="U53" s="117" t="n">
        <x:f>$B$53*U47</x:f>
      </x:c>
      <x:c r="V53" s="117" t="n">
        <x:f>$B$53*V47</x:f>
      </x:c>
      <x:c r="W53" s="117" t="n">
        <x:f>$B$53*W47</x:f>
      </x:c>
      <x:c r="X53" s="117" t="n">
        <x:f>$B$53*X47</x:f>
      </x:c>
      <x:c r="Y53" s="117" t="n">
        <x:f>$B$53*Y47</x:f>
      </x:c>
      <x:c r="Z53" s="117" t="n">
        <x:f>$B$53*Z47</x:f>
      </x:c>
      <x:c r="AA53" s="117" t="n">
        <x:f>$B$53*AA47</x:f>
      </x:c>
      <x:c r="AB53" s="117" t="n">
        <x:f>$B$53*AB47</x:f>
      </x:c>
      <x:c r="AC53" s="117" t="n">
        <x:f>$B$53*AC47</x:f>
      </x:c>
      <x:c r="AD53" s="117" t="n">
        <x:f>$B$53*AD47</x:f>
      </x:c>
      <x:c r="AE53" s="117" t="n">
        <x:f>$B$53*AE47</x:f>
      </x:c>
      <x:c r="AF53" s="117" t="n">
        <x:f>$B$53*AF47</x:f>
      </x:c>
      <x:c r="AG53" s="117" t="n">
        <x:f>$B$53*AG47</x:f>
      </x:c>
      <x:c r="AH53" s="117" t="n">
        <x:f>$B$53*AH47</x:f>
      </x:c>
      <x:c r="AI53" s="117" t="n">
        <x:f>$B$53*AI47</x:f>
      </x:c>
      <x:c r="AJ53" s="117" t="n">
        <x:f>$B$53*AJ47</x:f>
      </x:c>
      <x:c r="AK53" s="117" t="n">
        <x:f>$B$53*AK47</x:f>
      </x:c>
      <x:c r="AL53" s="117" t="n">
        <x:f>$B$53*AL47</x:f>
      </x:c>
      <x:c r="AM53" s="117" t="n">
        <x:f>$B$53*AM47</x:f>
      </x:c>
      <x:c r="AN53" s="117" t="n">
        <x:f>$B$53*AN47</x:f>
      </x:c>
      <x:c r="AO53" s="117" t="n">
        <x:f>$B$53*AO47</x:f>
      </x:c>
      <x:c r="AP53" s="117" t="n">
        <x:f>$B$53*AP47</x:f>
      </x:c>
      <x:c r="AQ53" s="117" t="n">
        <x:f>$B$53*AQ47</x:f>
      </x:c>
      <x:c r="AR53" s="117" t="n">
        <x:f>$B$53*AR47</x:f>
      </x:c>
      <x:c r="AS53" s="117" t="n">
        <x:f>$B$53*AS47</x:f>
      </x:c>
      <x:c r="AT53" s="117" t="n">
        <x:f>$B$53*AT47</x:f>
      </x:c>
      <x:c r="AU53" s="117" t="n">
        <x:f>$B$53*AU47</x:f>
      </x:c>
      <x:c r="AV53" s="117" t="n">
        <x:f>$B$53*AV47</x:f>
      </x:c>
      <x:c r="AW53" s="117" t="n">
        <x:f>$B$53*AW47</x:f>
      </x:c>
      <x:c r="AX53" s="117" t="n">
        <x:f>$B$53*AX47</x:f>
      </x:c>
      <x:c r="AY53" s="117" t="n">
        <x:f>$B$53*AY47</x:f>
      </x:c>
      <x:c r="AZ53" s="117" t="n">
        <x:f>$B$53*AZ47</x:f>
      </x:c>
      <x:c r="BA53" s="117" t="n">
        <x:f>$B$53*BA47</x:f>
      </x:c>
      <x:c r="BB53" s="117" t="n">
        <x:f>$B$53*BB47</x:f>
      </x:c>
      <x:c r="BC53" s="117" t="n">
        <x:f>$B$53*BC47</x:f>
      </x:c>
      <x:c r="BD53" s="117" t="n">
        <x:f>$B$53*BD47</x:f>
      </x:c>
      <x:c r="BE53" s="117" t="n">
        <x:f>$B$53*BE47</x:f>
      </x:c>
      <x:c r="BF53" s="117" t="n">
        <x:f>$B$53*BF47</x:f>
      </x:c>
      <x:c r="BG53" s="117" t="n">
        <x:f>$B$53*BG47</x:f>
      </x:c>
      <x:c r="BH53" s="117" t="n">
        <x:f>$B$53*BH47</x:f>
      </x:c>
      <x:c r="BI53" s="117" t="n">
        <x:f>$B$53*BI47</x:f>
      </x:c>
      <x:c r="BJ53" s="117" t="n">
        <x:f>$B$53*BJ47</x:f>
      </x:c>
      <x:c r="BK53" s="117" t="n">
        <x:f>$B$53*BK47</x:f>
      </x:c>
      <x:c r="BL53" s="117" t="n">
        <x:f>$B$53*BL47</x:f>
      </x:c>
      <x:c r="BM53" s="117" t="n">
        <x:f>$B$53*BM47</x:f>
      </x:c>
      <x:c r="BN53" s="117" t="n">
        <x:f>$B$53*BN47</x:f>
      </x:c>
      <x:c r="BO53" s="117" t="n">
        <x:f>$B$53*BO47</x:f>
      </x:c>
      <x:c r="BP53" s="117" t="n">
        <x:f>$B$53*BP47</x:f>
      </x:c>
      <x:c r="BQ53" s="117" t="n">
        <x:f>$B$53*BQ47</x:f>
      </x:c>
      <x:c r="BR53" s="117" t="n">
        <x:f>$B$53*BR47</x:f>
      </x:c>
      <x:c r="BS53" s="117" t="n">
        <x:f>$B$53*BS47</x:f>
      </x:c>
      <x:c r="BT53" s="117" t="n">
        <x:f>$B$53*BT47</x:f>
      </x:c>
      <x:c r="BU53" s="117" t="n">
        <x:f>$B$53*BU47</x:f>
      </x:c>
      <x:c r="BV53" s="117" t="n">
        <x:f>$B$53*BV47</x:f>
      </x:c>
      <x:c r="BW53" s="117" t="n">
        <x:f>$B$53*BW47</x:f>
      </x:c>
      <x:c r="BX53" s="117" t="n">
        <x:f>$B$53*BX47</x:f>
      </x:c>
      <x:c r="BY53" s="117" t="n">
        <x:f>$B$53*BY47</x:f>
      </x:c>
      <x:c r="BZ53" s="117" t="n">
        <x:f>$B$53*BZ47</x:f>
      </x:c>
      <x:c r="CA53" s="117" t="n">
        <x:f>$B$53*CA47</x:f>
      </x:c>
      <x:c r="CB53" s="117" t="n">
        <x:f>$B$53*CB47</x:f>
      </x:c>
      <x:c r="CC53" s="117" t="n">
        <x:f>$B$53*CC47</x:f>
      </x:c>
      <x:c r="CD53" s="117" t="n">
        <x:f>$B$53*CD47</x:f>
      </x:c>
      <x:c r="CE53" s="117" t="n">
        <x:f>$B$53*CE47</x:f>
      </x:c>
      <x:c r="CF53" s="117" t="n">
        <x:f>$B$53*CF47</x:f>
      </x:c>
      <x:c r="CG53" s="117" t="n">
        <x:f>$B$53*CG47</x:f>
      </x:c>
      <x:c r="CH53" s="117" t="n">
        <x:f>$B$53*CH47</x:f>
      </x:c>
      <x:c r="CI53" s="117" t="n">
        <x:f>$B$53*CI47</x:f>
      </x:c>
      <x:c r="CJ53" s="117" t="n">
        <x:f>$B$53*CJ47</x:f>
      </x:c>
      <x:c r="CK53" s="117" t="n">
        <x:f>$B$53*CK47</x:f>
      </x:c>
      <x:c r="CL53" s="117" t="n">
        <x:f>$B$53*CL47</x:f>
      </x:c>
      <x:c r="CM53" s="117" t="n">
        <x:f>$B$53*CM47</x:f>
      </x:c>
      <x:c r="CN53" s="117" t="n">
        <x:f>$B$53*CN47</x:f>
      </x:c>
      <x:c r="CO53" s="117" t="n">
        <x:f>$B$53*CO47</x:f>
      </x:c>
      <x:c r="CP53" s="117" t="n">
        <x:f>$B$53*CP47</x:f>
      </x:c>
      <x:c r="CQ53" s="117" t="n">
        <x:f>$B$53*CQ47</x:f>
      </x:c>
      <x:c r="CR53" s="117" t="n">
        <x:f>$B$53*CR47</x:f>
      </x:c>
      <x:c r="CS53" s="117" t="n">
        <x:f>$B$53*CS47</x:f>
      </x:c>
      <x:c r="CT53" s="117" t="n">
        <x:f>$B$53*CT47</x:f>
      </x:c>
      <x:c r="CU53" s="117" t="n">
        <x:f>$B$53*CU47</x:f>
      </x:c>
      <x:c r="CV53" s="117" t="n">
        <x:f>$B$53*CV47</x:f>
      </x:c>
      <x:c r="CW53" s="117" t="n">
        <x:f>$B$53*CW47</x:f>
      </x:c>
      <x:c r="CX53" s="117" t="n">
        <x:f>$B$53*CX47</x:f>
      </x:c>
      <x:c r="CY53" s="117" t="n">
        <x:f>$B$53*CY47</x:f>
      </x:c>
      <x:c r="CZ53" s="117" t="n">
        <x:f>$B$53*CZ47</x:f>
      </x:c>
      <x:c r="DA53" s="117" t="n">
        <x:f>$B$53*DA47</x:f>
      </x:c>
      <x:c r="DB53" s="117" t="n">
        <x:f>$B$53*DB47</x:f>
      </x:c>
      <x:c r="DC53" s="117" t="n">
        <x:f>$B$53*DC47</x:f>
      </x:c>
      <x:c r="DD53" s="117" t="n">
        <x:f>$B$53*DD47</x:f>
      </x:c>
      <x:c r="DE53" s="117" t="n">
        <x:f>$B$53*DE47</x:f>
      </x:c>
      <x:c r="DF53" s="117" t="n">
        <x:f>$B$53*DF47</x:f>
      </x:c>
      <x:c r="DG53" s="117" t="n">
        <x:f>$B$53*DG47</x:f>
      </x:c>
      <x:c r="DH53" s="117" t="n">
        <x:f>$B$53*DH47</x:f>
      </x:c>
      <x:c r="DI53" s="117" t="n">
        <x:f>$B$53*DI47</x:f>
      </x:c>
      <x:c r="DJ53" s="117" t="n">
        <x:f>$B$53*DJ47</x:f>
      </x:c>
      <x:c r="DK53" s="117" t="n">
        <x:f>$B$53*DK47</x:f>
      </x:c>
      <x:c r="DL53" s="117" t="n">
        <x:f>$B$53*DL47</x:f>
      </x:c>
      <x:c r="DM53" s="117" t="n">
        <x:f>$B$53*DM47</x:f>
      </x:c>
      <x:c r="DN53" s="117" t="n">
        <x:f>$B$53*DN47</x:f>
      </x:c>
      <x:c r="DO53" s="117" t="n">
        <x:f>$B$53*DO47</x:f>
      </x:c>
      <x:c r="DP53" s="117" t="n">
        <x:f>$B$53*DP47</x:f>
      </x:c>
      <x:c r="DQ53" s="117" t="n">
        <x:f>$B$53*DQ47</x:f>
      </x:c>
      <x:c r="DR53" s="117" t="n">
        <x:f>$B$53*DR47</x:f>
      </x:c>
      <x:c r="DS53" s="117" t="n">
        <x:f>$B$53*DS47</x:f>
      </x:c>
      <x:c r="DT53" s="117" t="n">
        <x:f>$B$53*DT47</x:f>
      </x:c>
      <x:c r="DU53" s="117" t="n">
        <x:f>$B$53*DU47</x:f>
      </x:c>
      <x:c r="DV53" s="117" t="n">
        <x:f>$B$53*DV47</x:f>
      </x:c>
      <x:c r="DW53" s="117" t="n">
        <x:f>$B$53*DW47</x:f>
      </x:c>
      <x:c r="DX53" s="117" t="n">
        <x:f>$B$53*DX47</x:f>
      </x:c>
      <x:c r="DY53" s="117" t="n">
        <x:f>$B$53*DY47</x:f>
      </x:c>
      <x:c r="DZ53" s="117" t="n">
        <x:f>$B$53*DZ47</x:f>
      </x:c>
      <x:c r="EA53" s="117" t="n">
        <x:f>$B$53*EA47</x:f>
      </x:c>
      <x:c r="EB53" s="117" t="n">
        <x:f>$B$53*EB47</x:f>
      </x:c>
      <x:c r="EC53" s="117" t="n">
        <x:f>$B$53*EC47</x:f>
      </x:c>
      <x:c r="ED53" s="117" t="n">
        <x:f>$B$53*ED47</x:f>
      </x:c>
      <x:c r="EE53" s="117" t="n">
        <x:f>$B$53*EE47</x:f>
      </x:c>
      <x:c r="EF53" s="117" t="n">
        <x:f>$B$53*EF47</x:f>
      </x:c>
      <x:c r="EG53" s="117" t="n">
        <x:f>$B$53*EG47</x:f>
      </x:c>
      <x:c r="EH53" s="117" t="n">
        <x:f>$B$53*EH47</x:f>
      </x:c>
      <x:c r="EI53" s="117" t="n">
        <x:f>$B$53*EI47</x:f>
      </x:c>
      <x:c r="EJ53" s="117" t="n">
        <x:f>$B$53*EJ47</x:f>
      </x:c>
      <x:c r="EK53" s="117" t="n">
        <x:f>$B$53*EK47</x:f>
      </x:c>
      <x:c r="EL53" s="117" t="n">
        <x:f>$B$53*EL47</x:f>
      </x:c>
      <x:c r="EM53" s="117" t="n">
        <x:f>$B$53*EM47</x:f>
      </x:c>
      <x:c r="EN53" s="117" t="n">
        <x:f>$B$53*EN47</x:f>
      </x:c>
      <x:c r="EO53" s="117" t="n">
        <x:f>$B$53*EO47</x:f>
      </x:c>
      <x:c r="EP53" s="117" t="n">
        <x:f>$B$53*EP47</x:f>
      </x:c>
      <x:c r="EQ53" s="117" t="n">
        <x:f>$B$53*EQ47</x:f>
      </x:c>
      <x:c r="ER53" s="117" t="n">
        <x:f>$B$53*ER47</x:f>
      </x:c>
      <x:c r="ES53" s="117" t="n">
        <x:f>$B$53*ES47</x:f>
      </x:c>
      <x:c r="ET53" s="117" t="n">
        <x:f>$B$53*ET47</x:f>
      </x:c>
      <x:c r="EU53" s="117" t="n">
        <x:f>$B$53*EU47</x:f>
      </x:c>
      <x:c r="EV53" s="117" t="n">
        <x:f>$B$53*EV47</x:f>
      </x:c>
      <x:c r="EW53" s="117" t="n">
        <x:f>$B$53*EW47</x:f>
      </x:c>
      <x:c r="EX53" s="117" t="n">
        <x:f>$B$53*EX47</x:f>
      </x:c>
      <x:c r="EY53" s="117" t="n">
        <x:f>$B$53*EY47</x:f>
      </x:c>
      <x:c r="EZ53" s="117" t="n">
        <x:f>$B$53*EZ47</x:f>
      </x:c>
      <x:c r="FA53" s="117" t="n">
        <x:f>$B$53*FA47</x:f>
      </x:c>
      <x:c r="FB53" s="117" t="n">
        <x:f>$B$53*FB47</x:f>
      </x:c>
      <x:c r="FC53" s="117" t="n">
        <x:f>$B$53*FC47</x:f>
      </x:c>
      <x:c r="FD53" s="117" t="n">
        <x:f>$B$53*FD47</x:f>
      </x:c>
      <x:c r="FE53" s="117" t="n">
        <x:f>$B$53*FE47</x:f>
      </x:c>
      <x:c r="FF53" s="117" t="n">
        <x:f>$B$53*FF47</x:f>
      </x:c>
      <x:c r="FG53" s="117" t="n">
        <x:f>$B$53*FG47</x:f>
      </x:c>
      <x:c r="FH53" s="117" t="n">
        <x:f>$B$53*FH47</x:f>
      </x:c>
      <x:c r="FI53" s="117" t="n">
        <x:f>$B$53*FI47</x:f>
      </x:c>
      <x:c r="FJ53" s="117" t="n">
        <x:f>$B$53*FJ47</x:f>
      </x:c>
      <x:c r="FK53" s="117" t="n">
        <x:f>$B$53*FK47</x:f>
      </x:c>
      <x:c r="FL53" s="117" t="n">
        <x:f>$B$53*FL47</x:f>
      </x:c>
      <x:c r="FM53" s="117" t="n">
        <x:f>$B$53*FM47</x:f>
      </x:c>
      <x:c r="FN53" s="117" t="n">
        <x:f>$B$53*FN47</x:f>
      </x:c>
      <x:c r="FO53" s="117" t="n">
        <x:f>$B$53*FO47</x:f>
      </x:c>
      <x:c r="FP53" s="117" t="n">
        <x:f>$B$53*FP47</x:f>
      </x:c>
      <x:c r="FQ53" s="117" t="n">
        <x:f>$B$53*FQ47</x:f>
      </x:c>
      <x:c r="FR53" s="117" t="n">
        <x:f>$B$53*FR47</x:f>
      </x:c>
      <x:c r="FS53" s="117" t="n">
        <x:f>$B$53*FS47</x:f>
      </x:c>
      <x:c r="FT53" s="117" t="n">
        <x:f>$B$53*FT47</x:f>
      </x:c>
      <x:c r="FU53" s="117" t="n">
        <x:f>$B$53*FU47</x:f>
      </x:c>
      <x:c r="FV53" s="117" t="n">
        <x:f>$B$53*FV47</x:f>
      </x:c>
      <x:c r="FW53" s="117" t="n">
        <x:f>$B$53*FW47</x:f>
      </x:c>
      <x:c r="FX53" s="117" t="n">
        <x:f>$B$53*FX47</x:f>
      </x:c>
      <x:c r="FY53" s="117" t="n">
        <x:f>$B$53*FY47</x:f>
      </x:c>
      <x:c r="FZ53" s="117" t="n">
        <x:f>$B$53*FZ47</x:f>
      </x:c>
      <x:c r="GA53" s="117" t="n">
        <x:f>$B$53*GA47</x:f>
      </x:c>
    </x:row>
    <x:row r="54">
      <x:c r="A54" t="str">
        <x:v>Подготовительные работы</x:v>
      </x:c>
      <x:c r="B54" s="107" t="n">
        <x:f>(('Вводные'!$I$89+'Вводные'!$J$89+'Вводные'!$K$89)*'Вводные'!$B$43/1000*'Вводные'!$H$6*'Вводные'!$T$89*--('Вводные'!$B$89="Да"))*'Вводные'!$AH$89</x:f>
      </x:c>
      <x:c r="C54" t="str">
        <x:v>млн ₽</x:v>
      </x:c>
      <x:c r="D54" s="117" t="n">
        <x:f>IF(AND(D$3&gt;=EDATE($B$41,-MIN(6,'Вводные'!$E$89)),D$3&lt;$B$41),$B$54/MAX(1,MIN(6,'Вводные'!$E$89)),0)</x:f>
      </x:c>
      <x:c r="E54" s="117" t="n">
        <x:f>IF(AND(E$3&gt;=EDATE($B$41,-MIN(6,'Вводные'!$E$89)),E$3&lt;$B$41),$B$54/MAX(1,MIN(6,'Вводные'!$E$89)),0)</x:f>
      </x:c>
      <x:c r="F54" s="117" t="n">
        <x:f>IF(AND(F$3&gt;=EDATE($B$41,-MIN(6,'Вводные'!$E$89)),F$3&lt;$B$41),$B$54/MAX(1,MIN(6,'Вводные'!$E$89)),0)</x:f>
      </x:c>
      <x:c r="G54" s="117" t="n">
        <x:f>IF(AND(G$3&gt;=EDATE($B$41,-MIN(6,'Вводные'!$E$89)),G$3&lt;$B$41),$B$54/MAX(1,MIN(6,'Вводные'!$E$89)),0)</x:f>
      </x:c>
      <x:c r="H54" s="117" t="n">
        <x:f>IF(AND(H$3&gt;=EDATE($B$41,-MIN(6,'Вводные'!$E$89)),H$3&lt;$B$41),$B$54/MAX(1,MIN(6,'Вводные'!$E$89)),0)</x:f>
      </x:c>
      <x:c r="I54" s="117" t="n">
        <x:f>IF(AND(I$3&gt;=EDATE($B$41,-MIN(6,'Вводные'!$E$89)),I$3&lt;$B$41),$B$54/MAX(1,MIN(6,'Вводные'!$E$89)),0)</x:f>
      </x:c>
      <x:c r="J54" s="117" t="n">
        <x:f>IF(AND(J$3&gt;=EDATE($B$41,-MIN(6,'Вводные'!$E$89)),J$3&lt;$B$41),$B$54/MAX(1,MIN(6,'Вводные'!$E$89)),0)</x:f>
      </x:c>
      <x:c r="K54" s="117" t="n">
        <x:f>IF(AND(K$3&gt;=EDATE($B$41,-MIN(6,'Вводные'!$E$89)),K$3&lt;$B$41),$B$54/MAX(1,MIN(6,'Вводные'!$E$89)),0)</x:f>
      </x:c>
      <x:c r="L54" s="117" t="n">
        <x:f>IF(AND(L$3&gt;=EDATE($B$41,-MIN(6,'Вводные'!$E$89)),L$3&lt;$B$41),$B$54/MAX(1,MIN(6,'Вводные'!$E$89)),0)</x:f>
      </x:c>
      <x:c r="M54" s="117" t="n">
        <x:f>IF(AND(M$3&gt;=EDATE($B$41,-MIN(6,'Вводные'!$E$89)),M$3&lt;$B$41),$B$54/MAX(1,MIN(6,'Вводные'!$E$89)),0)</x:f>
      </x:c>
      <x:c r="N54" s="117" t="n">
        <x:f>IF(AND(N$3&gt;=EDATE($B$41,-MIN(6,'Вводные'!$E$89)),N$3&lt;$B$41),$B$54/MAX(1,MIN(6,'Вводные'!$E$89)),0)</x:f>
      </x:c>
      <x:c r="O54" s="117" t="n">
        <x:f>IF(AND(O$3&gt;=EDATE($B$41,-MIN(6,'Вводные'!$E$89)),O$3&lt;$B$41),$B$54/MAX(1,MIN(6,'Вводные'!$E$89)),0)</x:f>
      </x:c>
      <x:c r="P54" s="117" t="n">
        <x:f>IF(AND(P$3&gt;=EDATE($B$41,-MIN(6,'Вводные'!$E$89)),P$3&lt;$B$41),$B$54/MAX(1,MIN(6,'Вводные'!$E$89)),0)</x:f>
      </x:c>
      <x:c r="Q54" s="117" t="n">
        <x:f>IF(AND(Q$3&gt;=EDATE($B$41,-MIN(6,'Вводные'!$E$89)),Q$3&lt;$B$41),$B$54/MAX(1,MIN(6,'Вводные'!$E$89)),0)</x:f>
      </x:c>
      <x:c r="R54" s="117" t="n">
        <x:f>IF(AND(R$3&gt;=EDATE($B$41,-MIN(6,'Вводные'!$E$89)),R$3&lt;$B$41),$B$54/MAX(1,MIN(6,'Вводные'!$E$89)),0)</x:f>
      </x:c>
      <x:c r="S54" s="117" t="n">
        <x:f>IF(AND(S$3&gt;=EDATE($B$41,-MIN(6,'Вводные'!$E$89)),S$3&lt;$B$41),$B$54/MAX(1,MIN(6,'Вводные'!$E$89)),0)</x:f>
      </x:c>
      <x:c r="T54" s="117" t="n">
        <x:f>IF(AND(T$3&gt;=EDATE($B$41,-MIN(6,'Вводные'!$E$89)),T$3&lt;$B$41),$B$54/MAX(1,MIN(6,'Вводные'!$E$89)),0)</x:f>
      </x:c>
      <x:c r="U54" s="117" t="n">
        <x:f>IF(AND(U$3&gt;=EDATE($B$41,-MIN(6,'Вводные'!$E$89)),U$3&lt;$B$41),$B$54/MAX(1,MIN(6,'Вводные'!$E$89)),0)</x:f>
      </x:c>
      <x:c r="V54" s="117" t="n">
        <x:f>IF(AND(V$3&gt;=EDATE($B$41,-MIN(6,'Вводные'!$E$89)),V$3&lt;$B$41),$B$54/MAX(1,MIN(6,'Вводные'!$E$89)),0)</x:f>
      </x:c>
      <x:c r="W54" s="117" t="n">
        <x:f>IF(AND(W$3&gt;=EDATE($B$41,-MIN(6,'Вводные'!$E$89)),W$3&lt;$B$41),$B$54/MAX(1,MIN(6,'Вводные'!$E$89)),0)</x:f>
      </x:c>
      <x:c r="X54" s="117" t="n">
        <x:f>IF(AND(X$3&gt;=EDATE($B$41,-MIN(6,'Вводные'!$E$89)),X$3&lt;$B$41),$B$54/MAX(1,MIN(6,'Вводные'!$E$89)),0)</x:f>
      </x:c>
      <x:c r="Y54" s="117" t="n">
        <x:f>IF(AND(Y$3&gt;=EDATE($B$41,-MIN(6,'Вводные'!$E$89)),Y$3&lt;$B$41),$B$54/MAX(1,MIN(6,'Вводные'!$E$89)),0)</x:f>
      </x:c>
      <x:c r="Z54" s="117" t="n">
        <x:f>IF(AND(Z$3&gt;=EDATE($B$41,-MIN(6,'Вводные'!$E$89)),Z$3&lt;$B$41),$B$54/MAX(1,MIN(6,'Вводные'!$E$89)),0)</x:f>
      </x:c>
      <x:c r="AA54" s="117" t="n">
        <x:f>IF(AND(AA$3&gt;=EDATE($B$41,-MIN(6,'Вводные'!$E$89)),AA$3&lt;$B$41),$B$54/MAX(1,MIN(6,'Вводные'!$E$89)),0)</x:f>
      </x:c>
      <x:c r="AB54" s="117" t="n">
        <x:f>IF(AND(AB$3&gt;=EDATE($B$41,-MIN(6,'Вводные'!$E$89)),AB$3&lt;$B$41),$B$54/MAX(1,MIN(6,'Вводные'!$E$89)),0)</x:f>
      </x:c>
      <x:c r="AC54" s="117" t="n">
        <x:f>IF(AND(AC$3&gt;=EDATE($B$41,-MIN(6,'Вводные'!$E$89)),AC$3&lt;$B$41),$B$54/MAX(1,MIN(6,'Вводные'!$E$89)),0)</x:f>
      </x:c>
      <x:c r="AD54" s="117" t="n">
        <x:f>IF(AND(AD$3&gt;=EDATE($B$41,-MIN(6,'Вводные'!$E$89)),AD$3&lt;$B$41),$B$54/MAX(1,MIN(6,'Вводные'!$E$89)),0)</x:f>
      </x:c>
      <x:c r="AE54" s="117" t="n">
        <x:f>IF(AND(AE$3&gt;=EDATE($B$41,-MIN(6,'Вводные'!$E$89)),AE$3&lt;$B$41),$B$54/MAX(1,MIN(6,'Вводные'!$E$89)),0)</x:f>
      </x:c>
      <x:c r="AF54" s="117" t="n">
        <x:f>IF(AND(AF$3&gt;=EDATE($B$41,-MIN(6,'Вводные'!$E$89)),AF$3&lt;$B$41),$B$54/MAX(1,MIN(6,'Вводные'!$E$89)),0)</x:f>
      </x:c>
      <x:c r="AG54" s="117" t="n">
        <x:f>IF(AND(AG$3&gt;=EDATE($B$41,-MIN(6,'Вводные'!$E$89)),AG$3&lt;$B$41),$B$54/MAX(1,MIN(6,'Вводные'!$E$89)),0)</x:f>
      </x:c>
      <x:c r="AH54" s="117" t="n">
        <x:f>IF(AND(AH$3&gt;=EDATE($B$41,-MIN(6,'Вводные'!$E$89)),AH$3&lt;$B$41),$B$54/MAX(1,MIN(6,'Вводные'!$E$89)),0)</x:f>
      </x:c>
      <x:c r="AI54" s="117" t="n">
        <x:f>IF(AND(AI$3&gt;=EDATE($B$41,-MIN(6,'Вводные'!$E$89)),AI$3&lt;$B$41),$B$54/MAX(1,MIN(6,'Вводные'!$E$89)),0)</x:f>
      </x:c>
      <x:c r="AJ54" s="117" t="n">
        <x:f>IF(AND(AJ$3&gt;=EDATE($B$41,-MIN(6,'Вводные'!$E$89)),AJ$3&lt;$B$41),$B$54/MAX(1,MIN(6,'Вводные'!$E$89)),0)</x:f>
      </x:c>
      <x:c r="AK54" s="117" t="n">
        <x:f>IF(AND(AK$3&gt;=EDATE($B$41,-MIN(6,'Вводные'!$E$89)),AK$3&lt;$B$41),$B$54/MAX(1,MIN(6,'Вводные'!$E$89)),0)</x:f>
      </x:c>
      <x:c r="AL54" s="117" t="n">
        <x:f>IF(AND(AL$3&gt;=EDATE($B$41,-MIN(6,'Вводные'!$E$89)),AL$3&lt;$B$41),$B$54/MAX(1,MIN(6,'Вводные'!$E$89)),0)</x:f>
      </x:c>
      <x:c r="AM54" s="117" t="n">
        <x:f>IF(AND(AM$3&gt;=EDATE($B$41,-MIN(6,'Вводные'!$E$89)),AM$3&lt;$B$41),$B$54/MAX(1,MIN(6,'Вводные'!$E$89)),0)</x:f>
      </x:c>
      <x:c r="AN54" s="117" t="n">
        <x:f>IF(AND(AN$3&gt;=EDATE($B$41,-MIN(6,'Вводные'!$E$89)),AN$3&lt;$B$41),$B$54/MAX(1,MIN(6,'Вводные'!$E$89)),0)</x:f>
      </x:c>
      <x:c r="AO54" s="117" t="n">
        <x:f>IF(AND(AO$3&gt;=EDATE($B$41,-MIN(6,'Вводные'!$E$89)),AO$3&lt;$B$41),$B$54/MAX(1,MIN(6,'Вводные'!$E$89)),0)</x:f>
      </x:c>
      <x:c r="AP54" s="117" t="n">
        <x:f>IF(AND(AP$3&gt;=EDATE($B$41,-MIN(6,'Вводные'!$E$89)),AP$3&lt;$B$41),$B$54/MAX(1,MIN(6,'Вводные'!$E$89)),0)</x:f>
      </x:c>
      <x:c r="AQ54" s="117" t="n">
        <x:f>IF(AND(AQ$3&gt;=EDATE($B$41,-MIN(6,'Вводные'!$E$89)),AQ$3&lt;$B$41),$B$54/MAX(1,MIN(6,'Вводные'!$E$89)),0)</x:f>
      </x:c>
      <x:c r="AR54" s="117" t="n">
        <x:f>IF(AND(AR$3&gt;=EDATE($B$41,-MIN(6,'Вводные'!$E$89)),AR$3&lt;$B$41),$B$54/MAX(1,MIN(6,'Вводные'!$E$89)),0)</x:f>
      </x:c>
      <x:c r="AS54" s="117" t="n">
        <x:f>IF(AND(AS$3&gt;=EDATE($B$41,-MIN(6,'Вводные'!$E$89)),AS$3&lt;$B$41),$B$54/MAX(1,MIN(6,'Вводные'!$E$89)),0)</x:f>
      </x:c>
      <x:c r="AT54" s="117" t="n">
        <x:f>IF(AND(AT$3&gt;=EDATE($B$41,-MIN(6,'Вводные'!$E$89)),AT$3&lt;$B$41),$B$54/MAX(1,MIN(6,'Вводные'!$E$89)),0)</x:f>
      </x:c>
      <x:c r="AU54" s="117" t="n">
        <x:f>IF(AND(AU$3&gt;=EDATE($B$41,-MIN(6,'Вводные'!$E$89)),AU$3&lt;$B$41),$B$54/MAX(1,MIN(6,'Вводные'!$E$89)),0)</x:f>
      </x:c>
      <x:c r="AV54" s="117" t="n">
        <x:f>IF(AND(AV$3&gt;=EDATE($B$41,-MIN(6,'Вводные'!$E$89)),AV$3&lt;$B$41),$B$54/MAX(1,MIN(6,'Вводные'!$E$89)),0)</x:f>
      </x:c>
      <x:c r="AW54" s="117" t="n">
        <x:f>IF(AND(AW$3&gt;=EDATE($B$41,-MIN(6,'Вводные'!$E$89)),AW$3&lt;$B$41),$B$54/MAX(1,MIN(6,'Вводные'!$E$89)),0)</x:f>
      </x:c>
      <x:c r="AX54" s="117" t="n">
        <x:f>IF(AND(AX$3&gt;=EDATE($B$41,-MIN(6,'Вводные'!$E$89)),AX$3&lt;$B$41),$B$54/MAX(1,MIN(6,'Вводные'!$E$89)),0)</x:f>
      </x:c>
      <x:c r="AY54" s="117" t="n">
        <x:f>IF(AND(AY$3&gt;=EDATE($B$41,-MIN(6,'Вводные'!$E$89)),AY$3&lt;$B$41),$B$54/MAX(1,MIN(6,'Вводные'!$E$89)),0)</x:f>
      </x:c>
      <x:c r="AZ54" s="117" t="n">
        <x:f>IF(AND(AZ$3&gt;=EDATE($B$41,-MIN(6,'Вводные'!$E$89)),AZ$3&lt;$B$41),$B$54/MAX(1,MIN(6,'Вводные'!$E$89)),0)</x:f>
      </x:c>
      <x:c r="BA54" s="117" t="n">
        <x:f>IF(AND(BA$3&gt;=EDATE($B$41,-MIN(6,'Вводные'!$E$89)),BA$3&lt;$B$41),$B$54/MAX(1,MIN(6,'Вводные'!$E$89)),0)</x:f>
      </x:c>
      <x:c r="BB54" s="117" t="n">
        <x:f>IF(AND(BB$3&gt;=EDATE($B$41,-MIN(6,'Вводные'!$E$89)),BB$3&lt;$B$41),$B$54/MAX(1,MIN(6,'Вводные'!$E$89)),0)</x:f>
      </x:c>
      <x:c r="BC54" s="117" t="n">
        <x:f>IF(AND(BC$3&gt;=EDATE($B$41,-MIN(6,'Вводные'!$E$89)),BC$3&lt;$B$41),$B$54/MAX(1,MIN(6,'Вводные'!$E$89)),0)</x:f>
      </x:c>
      <x:c r="BD54" s="117" t="n">
        <x:f>IF(AND(BD$3&gt;=EDATE($B$41,-MIN(6,'Вводные'!$E$89)),BD$3&lt;$B$41),$B$54/MAX(1,MIN(6,'Вводные'!$E$89)),0)</x:f>
      </x:c>
      <x:c r="BE54" s="117" t="n">
        <x:f>IF(AND(BE$3&gt;=EDATE($B$41,-MIN(6,'Вводные'!$E$89)),BE$3&lt;$B$41),$B$54/MAX(1,MIN(6,'Вводные'!$E$89)),0)</x:f>
      </x:c>
      <x:c r="BF54" s="117" t="n">
        <x:f>IF(AND(BF$3&gt;=EDATE($B$41,-MIN(6,'Вводные'!$E$89)),BF$3&lt;$B$41),$B$54/MAX(1,MIN(6,'Вводные'!$E$89)),0)</x:f>
      </x:c>
      <x:c r="BG54" s="117" t="n">
        <x:f>IF(AND(BG$3&gt;=EDATE($B$41,-MIN(6,'Вводные'!$E$89)),BG$3&lt;$B$41),$B$54/MAX(1,MIN(6,'Вводные'!$E$89)),0)</x:f>
      </x:c>
      <x:c r="BH54" s="117" t="n">
        <x:f>IF(AND(BH$3&gt;=EDATE($B$41,-MIN(6,'Вводные'!$E$89)),BH$3&lt;$B$41),$B$54/MAX(1,MIN(6,'Вводные'!$E$89)),0)</x:f>
      </x:c>
      <x:c r="BI54" s="117" t="n">
        <x:f>IF(AND(BI$3&gt;=EDATE($B$41,-MIN(6,'Вводные'!$E$89)),BI$3&lt;$B$41),$B$54/MAX(1,MIN(6,'Вводные'!$E$89)),0)</x:f>
      </x:c>
      <x:c r="BJ54" s="117" t="n">
        <x:f>IF(AND(BJ$3&gt;=EDATE($B$41,-MIN(6,'Вводные'!$E$89)),BJ$3&lt;$B$41),$B$54/MAX(1,MIN(6,'Вводные'!$E$89)),0)</x:f>
      </x:c>
      <x:c r="BK54" s="117" t="n">
        <x:f>IF(AND(BK$3&gt;=EDATE($B$41,-MIN(6,'Вводные'!$E$89)),BK$3&lt;$B$41),$B$54/MAX(1,MIN(6,'Вводные'!$E$89)),0)</x:f>
      </x:c>
      <x:c r="BL54" s="117" t="n">
        <x:f>IF(AND(BL$3&gt;=EDATE($B$41,-MIN(6,'Вводные'!$E$89)),BL$3&lt;$B$41),$B$54/MAX(1,MIN(6,'Вводные'!$E$89)),0)</x:f>
      </x:c>
      <x:c r="BM54" s="117" t="n">
        <x:f>IF(AND(BM$3&gt;=EDATE($B$41,-MIN(6,'Вводные'!$E$89)),BM$3&lt;$B$41),$B$54/MAX(1,MIN(6,'Вводные'!$E$89)),0)</x:f>
      </x:c>
      <x:c r="BN54" s="117" t="n">
        <x:f>IF(AND(BN$3&gt;=EDATE($B$41,-MIN(6,'Вводные'!$E$89)),BN$3&lt;$B$41),$B$54/MAX(1,MIN(6,'Вводные'!$E$89)),0)</x:f>
      </x:c>
      <x:c r="BO54" s="117" t="n">
        <x:f>IF(AND(BO$3&gt;=EDATE($B$41,-MIN(6,'Вводные'!$E$89)),BO$3&lt;$B$41),$B$54/MAX(1,MIN(6,'Вводные'!$E$89)),0)</x:f>
      </x:c>
      <x:c r="BP54" s="117" t="n">
        <x:f>IF(AND(BP$3&gt;=EDATE($B$41,-MIN(6,'Вводные'!$E$89)),BP$3&lt;$B$41),$B$54/MAX(1,MIN(6,'Вводные'!$E$89)),0)</x:f>
      </x:c>
      <x:c r="BQ54" s="117" t="n">
        <x:f>IF(AND(BQ$3&gt;=EDATE($B$41,-MIN(6,'Вводные'!$E$89)),BQ$3&lt;$B$41),$B$54/MAX(1,MIN(6,'Вводные'!$E$89)),0)</x:f>
      </x:c>
      <x:c r="BR54" s="117" t="n">
        <x:f>IF(AND(BR$3&gt;=EDATE($B$41,-MIN(6,'Вводные'!$E$89)),BR$3&lt;$B$41),$B$54/MAX(1,MIN(6,'Вводные'!$E$89)),0)</x:f>
      </x:c>
      <x:c r="BS54" s="117" t="n">
        <x:f>IF(AND(BS$3&gt;=EDATE($B$41,-MIN(6,'Вводные'!$E$89)),BS$3&lt;$B$41),$B$54/MAX(1,MIN(6,'Вводные'!$E$89)),0)</x:f>
      </x:c>
      <x:c r="BT54" s="117" t="n">
        <x:f>IF(AND(BT$3&gt;=EDATE($B$41,-MIN(6,'Вводные'!$E$89)),BT$3&lt;$B$41),$B$54/MAX(1,MIN(6,'Вводные'!$E$89)),0)</x:f>
      </x:c>
      <x:c r="BU54" s="117" t="n">
        <x:f>IF(AND(BU$3&gt;=EDATE($B$41,-MIN(6,'Вводные'!$E$89)),BU$3&lt;$B$41),$B$54/MAX(1,MIN(6,'Вводные'!$E$89)),0)</x:f>
      </x:c>
      <x:c r="BV54" s="117" t="n">
        <x:f>IF(AND(BV$3&gt;=EDATE($B$41,-MIN(6,'Вводные'!$E$89)),BV$3&lt;$B$41),$B$54/MAX(1,MIN(6,'Вводные'!$E$89)),0)</x:f>
      </x:c>
      <x:c r="BW54" s="117" t="n">
        <x:f>IF(AND(BW$3&gt;=EDATE($B$41,-MIN(6,'Вводные'!$E$89)),BW$3&lt;$B$41),$B$54/MAX(1,MIN(6,'Вводные'!$E$89)),0)</x:f>
      </x:c>
      <x:c r="BX54" s="117" t="n">
        <x:f>IF(AND(BX$3&gt;=EDATE($B$41,-MIN(6,'Вводные'!$E$89)),BX$3&lt;$B$41),$B$54/MAX(1,MIN(6,'Вводные'!$E$89)),0)</x:f>
      </x:c>
      <x:c r="BY54" s="117" t="n">
        <x:f>IF(AND(BY$3&gt;=EDATE($B$41,-MIN(6,'Вводные'!$E$89)),BY$3&lt;$B$41),$B$54/MAX(1,MIN(6,'Вводные'!$E$89)),0)</x:f>
      </x:c>
      <x:c r="BZ54" s="117" t="n">
        <x:f>IF(AND(BZ$3&gt;=EDATE($B$41,-MIN(6,'Вводные'!$E$89)),BZ$3&lt;$B$41),$B$54/MAX(1,MIN(6,'Вводные'!$E$89)),0)</x:f>
      </x:c>
      <x:c r="CA54" s="117" t="n">
        <x:f>IF(AND(CA$3&gt;=EDATE($B$41,-MIN(6,'Вводные'!$E$89)),CA$3&lt;$B$41),$B$54/MAX(1,MIN(6,'Вводные'!$E$89)),0)</x:f>
      </x:c>
      <x:c r="CB54" s="117" t="n">
        <x:f>IF(AND(CB$3&gt;=EDATE($B$41,-MIN(6,'Вводные'!$E$89)),CB$3&lt;$B$41),$B$54/MAX(1,MIN(6,'Вводные'!$E$89)),0)</x:f>
      </x:c>
      <x:c r="CC54" s="117" t="n">
        <x:f>IF(AND(CC$3&gt;=EDATE($B$41,-MIN(6,'Вводные'!$E$89)),CC$3&lt;$B$41),$B$54/MAX(1,MIN(6,'Вводные'!$E$89)),0)</x:f>
      </x:c>
      <x:c r="CD54" s="117" t="n">
        <x:f>IF(AND(CD$3&gt;=EDATE($B$41,-MIN(6,'Вводные'!$E$89)),CD$3&lt;$B$41),$B$54/MAX(1,MIN(6,'Вводные'!$E$89)),0)</x:f>
      </x:c>
      <x:c r="CE54" s="117" t="n">
        <x:f>IF(AND(CE$3&gt;=EDATE($B$41,-MIN(6,'Вводные'!$E$89)),CE$3&lt;$B$41),$B$54/MAX(1,MIN(6,'Вводные'!$E$89)),0)</x:f>
      </x:c>
      <x:c r="CF54" s="117" t="n">
        <x:f>IF(AND(CF$3&gt;=EDATE($B$41,-MIN(6,'Вводные'!$E$89)),CF$3&lt;$B$41),$B$54/MAX(1,MIN(6,'Вводные'!$E$89)),0)</x:f>
      </x:c>
      <x:c r="CG54" s="117" t="n">
        <x:f>IF(AND(CG$3&gt;=EDATE($B$41,-MIN(6,'Вводные'!$E$89)),CG$3&lt;$B$41),$B$54/MAX(1,MIN(6,'Вводные'!$E$89)),0)</x:f>
      </x:c>
      <x:c r="CH54" s="117" t="n">
        <x:f>IF(AND(CH$3&gt;=EDATE($B$41,-MIN(6,'Вводные'!$E$89)),CH$3&lt;$B$41),$B$54/MAX(1,MIN(6,'Вводные'!$E$89)),0)</x:f>
      </x:c>
      <x:c r="CI54" s="117" t="n">
        <x:f>IF(AND(CI$3&gt;=EDATE($B$41,-MIN(6,'Вводные'!$E$89)),CI$3&lt;$B$41),$B$54/MAX(1,MIN(6,'Вводные'!$E$89)),0)</x:f>
      </x:c>
      <x:c r="CJ54" s="117" t="n">
        <x:f>IF(AND(CJ$3&gt;=EDATE($B$41,-MIN(6,'Вводные'!$E$89)),CJ$3&lt;$B$41),$B$54/MAX(1,MIN(6,'Вводные'!$E$89)),0)</x:f>
      </x:c>
      <x:c r="CK54" s="117" t="n">
        <x:f>IF(AND(CK$3&gt;=EDATE($B$41,-MIN(6,'Вводные'!$E$89)),CK$3&lt;$B$41),$B$54/MAX(1,MIN(6,'Вводные'!$E$89)),0)</x:f>
      </x:c>
      <x:c r="CL54" s="117" t="n">
        <x:f>IF(AND(CL$3&gt;=EDATE($B$41,-MIN(6,'Вводные'!$E$89)),CL$3&lt;$B$41),$B$54/MAX(1,MIN(6,'Вводные'!$E$89)),0)</x:f>
      </x:c>
      <x:c r="CM54" s="117" t="n">
        <x:f>IF(AND(CM$3&gt;=EDATE($B$41,-MIN(6,'Вводные'!$E$89)),CM$3&lt;$B$41),$B$54/MAX(1,MIN(6,'Вводные'!$E$89)),0)</x:f>
      </x:c>
      <x:c r="CN54" s="117" t="n">
        <x:f>IF(AND(CN$3&gt;=EDATE($B$41,-MIN(6,'Вводные'!$E$89)),CN$3&lt;$B$41),$B$54/MAX(1,MIN(6,'Вводные'!$E$89)),0)</x:f>
      </x:c>
      <x:c r="CO54" s="117" t="n">
        <x:f>IF(AND(CO$3&gt;=EDATE($B$41,-MIN(6,'Вводные'!$E$89)),CO$3&lt;$B$41),$B$54/MAX(1,MIN(6,'Вводные'!$E$89)),0)</x:f>
      </x:c>
      <x:c r="CP54" s="117" t="n">
        <x:f>IF(AND(CP$3&gt;=EDATE($B$41,-MIN(6,'Вводные'!$E$89)),CP$3&lt;$B$41),$B$54/MAX(1,MIN(6,'Вводные'!$E$89)),0)</x:f>
      </x:c>
      <x:c r="CQ54" s="117" t="n">
        <x:f>IF(AND(CQ$3&gt;=EDATE($B$41,-MIN(6,'Вводные'!$E$89)),CQ$3&lt;$B$41),$B$54/MAX(1,MIN(6,'Вводные'!$E$89)),0)</x:f>
      </x:c>
      <x:c r="CR54" s="117" t="n">
        <x:f>IF(AND(CR$3&gt;=EDATE($B$41,-MIN(6,'Вводные'!$E$89)),CR$3&lt;$B$41),$B$54/MAX(1,MIN(6,'Вводные'!$E$89)),0)</x:f>
      </x:c>
      <x:c r="CS54" s="117" t="n">
        <x:f>IF(AND(CS$3&gt;=EDATE($B$41,-MIN(6,'Вводные'!$E$89)),CS$3&lt;$B$41),$B$54/MAX(1,MIN(6,'Вводные'!$E$89)),0)</x:f>
      </x:c>
      <x:c r="CT54" s="117" t="n">
        <x:f>IF(AND(CT$3&gt;=EDATE($B$41,-MIN(6,'Вводные'!$E$89)),CT$3&lt;$B$41),$B$54/MAX(1,MIN(6,'Вводные'!$E$89)),0)</x:f>
      </x:c>
      <x:c r="CU54" s="117" t="n">
        <x:f>IF(AND(CU$3&gt;=EDATE($B$41,-MIN(6,'Вводные'!$E$89)),CU$3&lt;$B$41),$B$54/MAX(1,MIN(6,'Вводные'!$E$89)),0)</x:f>
      </x:c>
      <x:c r="CV54" s="117" t="n">
        <x:f>IF(AND(CV$3&gt;=EDATE($B$41,-MIN(6,'Вводные'!$E$89)),CV$3&lt;$B$41),$B$54/MAX(1,MIN(6,'Вводные'!$E$89)),0)</x:f>
      </x:c>
      <x:c r="CW54" s="117" t="n">
        <x:f>IF(AND(CW$3&gt;=EDATE($B$41,-MIN(6,'Вводные'!$E$89)),CW$3&lt;$B$41),$B$54/MAX(1,MIN(6,'Вводные'!$E$89)),0)</x:f>
      </x:c>
      <x:c r="CX54" s="117" t="n">
        <x:f>IF(AND(CX$3&gt;=EDATE($B$41,-MIN(6,'Вводные'!$E$89)),CX$3&lt;$B$41),$B$54/MAX(1,MIN(6,'Вводные'!$E$89)),0)</x:f>
      </x:c>
      <x:c r="CY54" s="117" t="n">
        <x:f>IF(AND(CY$3&gt;=EDATE($B$41,-MIN(6,'Вводные'!$E$89)),CY$3&lt;$B$41),$B$54/MAX(1,MIN(6,'Вводные'!$E$89)),0)</x:f>
      </x:c>
      <x:c r="CZ54" s="117" t="n">
        <x:f>IF(AND(CZ$3&gt;=EDATE($B$41,-MIN(6,'Вводные'!$E$89)),CZ$3&lt;$B$41),$B$54/MAX(1,MIN(6,'Вводные'!$E$89)),0)</x:f>
      </x:c>
      <x:c r="DA54" s="117" t="n">
        <x:f>IF(AND(DA$3&gt;=EDATE($B$41,-MIN(6,'Вводные'!$E$89)),DA$3&lt;$B$41),$B$54/MAX(1,MIN(6,'Вводные'!$E$89)),0)</x:f>
      </x:c>
      <x:c r="DB54" s="117" t="n">
        <x:f>IF(AND(DB$3&gt;=EDATE($B$41,-MIN(6,'Вводные'!$E$89)),DB$3&lt;$B$41),$B$54/MAX(1,MIN(6,'Вводные'!$E$89)),0)</x:f>
      </x:c>
      <x:c r="DC54" s="117" t="n">
        <x:f>IF(AND(DC$3&gt;=EDATE($B$41,-MIN(6,'Вводные'!$E$89)),DC$3&lt;$B$41),$B$54/MAX(1,MIN(6,'Вводные'!$E$89)),0)</x:f>
      </x:c>
      <x:c r="DD54" s="117" t="n">
        <x:f>IF(AND(DD$3&gt;=EDATE($B$41,-MIN(6,'Вводные'!$E$89)),DD$3&lt;$B$41),$B$54/MAX(1,MIN(6,'Вводные'!$E$89)),0)</x:f>
      </x:c>
      <x:c r="DE54" s="117" t="n">
        <x:f>IF(AND(DE$3&gt;=EDATE($B$41,-MIN(6,'Вводные'!$E$89)),DE$3&lt;$B$41),$B$54/MAX(1,MIN(6,'Вводные'!$E$89)),0)</x:f>
      </x:c>
      <x:c r="DF54" s="117" t="n">
        <x:f>IF(AND(DF$3&gt;=EDATE($B$41,-MIN(6,'Вводные'!$E$89)),DF$3&lt;$B$41),$B$54/MAX(1,MIN(6,'Вводные'!$E$89)),0)</x:f>
      </x:c>
      <x:c r="DG54" s="117" t="n">
        <x:f>IF(AND(DG$3&gt;=EDATE($B$41,-MIN(6,'Вводные'!$E$89)),DG$3&lt;$B$41),$B$54/MAX(1,MIN(6,'Вводные'!$E$89)),0)</x:f>
      </x:c>
      <x:c r="DH54" s="117" t="n">
        <x:f>IF(AND(DH$3&gt;=EDATE($B$41,-MIN(6,'Вводные'!$E$89)),DH$3&lt;$B$41),$B$54/MAX(1,MIN(6,'Вводные'!$E$89)),0)</x:f>
      </x:c>
      <x:c r="DI54" s="117" t="n">
        <x:f>IF(AND(DI$3&gt;=EDATE($B$41,-MIN(6,'Вводные'!$E$89)),DI$3&lt;$B$41),$B$54/MAX(1,MIN(6,'Вводные'!$E$89)),0)</x:f>
      </x:c>
      <x:c r="DJ54" s="117" t="n">
        <x:f>IF(AND(DJ$3&gt;=EDATE($B$41,-MIN(6,'Вводные'!$E$89)),DJ$3&lt;$B$41),$B$54/MAX(1,MIN(6,'Вводные'!$E$89)),0)</x:f>
      </x:c>
      <x:c r="DK54" s="117" t="n">
        <x:f>IF(AND(DK$3&gt;=EDATE($B$41,-MIN(6,'Вводные'!$E$89)),DK$3&lt;$B$41),$B$54/MAX(1,MIN(6,'Вводные'!$E$89)),0)</x:f>
      </x:c>
      <x:c r="DL54" s="117" t="n">
        <x:f>IF(AND(DL$3&gt;=EDATE($B$41,-MIN(6,'Вводные'!$E$89)),DL$3&lt;$B$41),$B$54/MAX(1,MIN(6,'Вводные'!$E$89)),0)</x:f>
      </x:c>
      <x:c r="DM54" s="117" t="n">
        <x:f>IF(AND(DM$3&gt;=EDATE($B$41,-MIN(6,'Вводные'!$E$89)),DM$3&lt;$B$41),$B$54/MAX(1,MIN(6,'Вводные'!$E$89)),0)</x:f>
      </x:c>
      <x:c r="DN54" s="117" t="n">
        <x:f>IF(AND(DN$3&gt;=EDATE($B$41,-MIN(6,'Вводные'!$E$89)),DN$3&lt;$B$41),$B$54/MAX(1,MIN(6,'Вводные'!$E$89)),0)</x:f>
      </x:c>
      <x:c r="DO54" s="117" t="n">
        <x:f>IF(AND(DO$3&gt;=EDATE($B$41,-MIN(6,'Вводные'!$E$89)),DO$3&lt;$B$41),$B$54/MAX(1,MIN(6,'Вводные'!$E$89)),0)</x:f>
      </x:c>
      <x:c r="DP54" s="117" t="n">
        <x:f>IF(AND(DP$3&gt;=EDATE($B$41,-MIN(6,'Вводные'!$E$89)),DP$3&lt;$B$41),$B$54/MAX(1,MIN(6,'Вводные'!$E$89)),0)</x:f>
      </x:c>
      <x:c r="DQ54" s="117" t="n">
        <x:f>IF(AND(DQ$3&gt;=EDATE($B$41,-MIN(6,'Вводные'!$E$89)),DQ$3&lt;$B$41),$B$54/MAX(1,MIN(6,'Вводные'!$E$89)),0)</x:f>
      </x:c>
      <x:c r="DR54" s="117" t="n">
        <x:f>IF(AND(DR$3&gt;=EDATE($B$41,-MIN(6,'Вводные'!$E$89)),DR$3&lt;$B$41),$B$54/MAX(1,MIN(6,'Вводные'!$E$89)),0)</x:f>
      </x:c>
      <x:c r="DS54" s="117" t="n">
        <x:f>IF(AND(DS$3&gt;=EDATE($B$41,-MIN(6,'Вводные'!$E$89)),DS$3&lt;$B$41),$B$54/MAX(1,MIN(6,'Вводные'!$E$89)),0)</x:f>
      </x:c>
      <x:c r="DT54" s="117" t="n">
        <x:f>IF(AND(DT$3&gt;=EDATE($B$41,-MIN(6,'Вводные'!$E$89)),DT$3&lt;$B$41),$B$54/MAX(1,MIN(6,'Вводные'!$E$89)),0)</x:f>
      </x:c>
      <x:c r="DU54" s="117" t="n">
        <x:f>IF(AND(DU$3&gt;=EDATE($B$41,-MIN(6,'Вводные'!$E$89)),DU$3&lt;$B$41),$B$54/MAX(1,MIN(6,'Вводные'!$E$89)),0)</x:f>
      </x:c>
      <x:c r="DV54" s="117" t="n">
        <x:f>IF(AND(DV$3&gt;=EDATE($B$41,-MIN(6,'Вводные'!$E$89)),DV$3&lt;$B$41),$B$54/MAX(1,MIN(6,'Вводные'!$E$89)),0)</x:f>
      </x:c>
      <x:c r="DW54" s="117" t="n">
        <x:f>IF(AND(DW$3&gt;=EDATE($B$41,-MIN(6,'Вводные'!$E$89)),DW$3&lt;$B$41),$B$54/MAX(1,MIN(6,'Вводные'!$E$89)),0)</x:f>
      </x:c>
      <x:c r="DX54" s="117" t="n">
        <x:f>IF(AND(DX$3&gt;=EDATE($B$41,-MIN(6,'Вводные'!$E$89)),DX$3&lt;$B$41),$B$54/MAX(1,MIN(6,'Вводные'!$E$89)),0)</x:f>
      </x:c>
      <x:c r="DY54" s="117" t="n">
        <x:f>IF(AND(DY$3&gt;=EDATE($B$41,-MIN(6,'Вводные'!$E$89)),DY$3&lt;$B$41),$B$54/MAX(1,MIN(6,'Вводные'!$E$89)),0)</x:f>
      </x:c>
      <x:c r="DZ54" s="117" t="n">
        <x:f>IF(AND(DZ$3&gt;=EDATE($B$41,-MIN(6,'Вводные'!$E$89)),DZ$3&lt;$B$41),$B$54/MAX(1,MIN(6,'Вводные'!$E$89)),0)</x:f>
      </x:c>
      <x:c r="EA54" s="117" t="n">
        <x:f>IF(AND(EA$3&gt;=EDATE($B$41,-MIN(6,'Вводные'!$E$89)),EA$3&lt;$B$41),$B$54/MAX(1,MIN(6,'Вводные'!$E$89)),0)</x:f>
      </x:c>
      <x:c r="EB54" s="117" t="n">
        <x:f>IF(AND(EB$3&gt;=EDATE($B$41,-MIN(6,'Вводные'!$E$89)),EB$3&lt;$B$41),$B$54/MAX(1,MIN(6,'Вводные'!$E$89)),0)</x:f>
      </x:c>
      <x:c r="EC54" s="117" t="n">
        <x:f>IF(AND(EC$3&gt;=EDATE($B$41,-MIN(6,'Вводные'!$E$89)),EC$3&lt;$B$41),$B$54/MAX(1,MIN(6,'Вводные'!$E$89)),0)</x:f>
      </x:c>
      <x:c r="ED54" s="117" t="n">
        <x:f>IF(AND(ED$3&gt;=EDATE($B$41,-MIN(6,'Вводные'!$E$89)),ED$3&lt;$B$41),$B$54/MAX(1,MIN(6,'Вводные'!$E$89)),0)</x:f>
      </x:c>
      <x:c r="EE54" s="117" t="n">
        <x:f>IF(AND(EE$3&gt;=EDATE($B$41,-MIN(6,'Вводные'!$E$89)),EE$3&lt;$B$41),$B$54/MAX(1,MIN(6,'Вводные'!$E$89)),0)</x:f>
      </x:c>
      <x:c r="EF54" s="117" t="n">
        <x:f>IF(AND(EF$3&gt;=EDATE($B$41,-MIN(6,'Вводные'!$E$89)),EF$3&lt;$B$41),$B$54/MAX(1,MIN(6,'Вводные'!$E$89)),0)</x:f>
      </x:c>
      <x:c r="EG54" s="117" t="n">
        <x:f>IF(AND(EG$3&gt;=EDATE($B$41,-MIN(6,'Вводные'!$E$89)),EG$3&lt;$B$41),$B$54/MAX(1,MIN(6,'Вводные'!$E$89)),0)</x:f>
      </x:c>
      <x:c r="EH54" s="117" t="n">
        <x:f>IF(AND(EH$3&gt;=EDATE($B$41,-MIN(6,'Вводные'!$E$89)),EH$3&lt;$B$41),$B$54/MAX(1,MIN(6,'Вводные'!$E$89)),0)</x:f>
      </x:c>
      <x:c r="EI54" s="117" t="n">
        <x:f>IF(AND(EI$3&gt;=EDATE($B$41,-MIN(6,'Вводные'!$E$89)),EI$3&lt;$B$41),$B$54/MAX(1,MIN(6,'Вводные'!$E$89)),0)</x:f>
      </x:c>
      <x:c r="EJ54" s="117" t="n">
        <x:f>IF(AND(EJ$3&gt;=EDATE($B$41,-MIN(6,'Вводные'!$E$89)),EJ$3&lt;$B$41),$B$54/MAX(1,MIN(6,'Вводные'!$E$89)),0)</x:f>
      </x:c>
      <x:c r="EK54" s="117" t="n">
        <x:f>IF(AND(EK$3&gt;=EDATE($B$41,-MIN(6,'Вводные'!$E$89)),EK$3&lt;$B$41),$B$54/MAX(1,MIN(6,'Вводные'!$E$89)),0)</x:f>
      </x:c>
      <x:c r="EL54" s="117" t="n">
        <x:f>IF(AND(EL$3&gt;=EDATE($B$41,-MIN(6,'Вводные'!$E$89)),EL$3&lt;$B$41),$B$54/MAX(1,MIN(6,'Вводные'!$E$89)),0)</x:f>
      </x:c>
      <x:c r="EM54" s="117" t="n">
        <x:f>IF(AND(EM$3&gt;=EDATE($B$41,-MIN(6,'Вводные'!$E$89)),EM$3&lt;$B$41),$B$54/MAX(1,MIN(6,'Вводные'!$E$89)),0)</x:f>
      </x:c>
      <x:c r="EN54" s="117" t="n">
        <x:f>IF(AND(EN$3&gt;=EDATE($B$41,-MIN(6,'Вводные'!$E$89)),EN$3&lt;$B$41),$B$54/MAX(1,MIN(6,'Вводные'!$E$89)),0)</x:f>
      </x:c>
      <x:c r="EO54" s="117" t="n">
        <x:f>IF(AND(EO$3&gt;=EDATE($B$41,-MIN(6,'Вводные'!$E$89)),EO$3&lt;$B$41),$B$54/MAX(1,MIN(6,'Вводные'!$E$89)),0)</x:f>
      </x:c>
      <x:c r="EP54" s="117" t="n">
        <x:f>IF(AND(EP$3&gt;=EDATE($B$41,-MIN(6,'Вводные'!$E$89)),EP$3&lt;$B$41),$B$54/MAX(1,MIN(6,'Вводные'!$E$89)),0)</x:f>
      </x:c>
      <x:c r="EQ54" s="117" t="n">
        <x:f>IF(AND(EQ$3&gt;=EDATE($B$41,-MIN(6,'Вводные'!$E$89)),EQ$3&lt;$B$41),$B$54/MAX(1,MIN(6,'Вводные'!$E$89)),0)</x:f>
      </x:c>
      <x:c r="ER54" s="117" t="n">
        <x:f>IF(AND(ER$3&gt;=EDATE($B$41,-MIN(6,'Вводные'!$E$89)),ER$3&lt;$B$41),$B$54/MAX(1,MIN(6,'Вводные'!$E$89)),0)</x:f>
      </x:c>
      <x:c r="ES54" s="117" t="n">
        <x:f>IF(AND(ES$3&gt;=EDATE($B$41,-MIN(6,'Вводные'!$E$89)),ES$3&lt;$B$41),$B$54/MAX(1,MIN(6,'Вводные'!$E$89)),0)</x:f>
      </x:c>
      <x:c r="ET54" s="117" t="n">
        <x:f>IF(AND(ET$3&gt;=EDATE($B$41,-MIN(6,'Вводные'!$E$89)),ET$3&lt;$B$41),$B$54/MAX(1,MIN(6,'Вводные'!$E$89)),0)</x:f>
      </x:c>
      <x:c r="EU54" s="117" t="n">
        <x:f>IF(AND(EU$3&gt;=EDATE($B$41,-MIN(6,'Вводные'!$E$89)),EU$3&lt;$B$41),$B$54/MAX(1,MIN(6,'Вводные'!$E$89)),0)</x:f>
      </x:c>
      <x:c r="EV54" s="117" t="n">
        <x:f>IF(AND(EV$3&gt;=EDATE($B$41,-MIN(6,'Вводные'!$E$89)),EV$3&lt;$B$41),$B$54/MAX(1,MIN(6,'Вводные'!$E$89)),0)</x:f>
      </x:c>
      <x:c r="EW54" s="117" t="n">
        <x:f>IF(AND(EW$3&gt;=EDATE($B$41,-MIN(6,'Вводные'!$E$89)),EW$3&lt;$B$41),$B$54/MAX(1,MIN(6,'Вводные'!$E$89)),0)</x:f>
      </x:c>
      <x:c r="EX54" s="117" t="n">
        <x:f>IF(AND(EX$3&gt;=EDATE($B$41,-MIN(6,'Вводные'!$E$89)),EX$3&lt;$B$41),$B$54/MAX(1,MIN(6,'Вводные'!$E$89)),0)</x:f>
      </x:c>
      <x:c r="EY54" s="117" t="n">
        <x:f>IF(AND(EY$3&gt;=EDATE($B$41,-MIN(6,'Вводные'!$E$89)),EY$3&lt;$B$41),$B$54/MAX(1,MIN(6,'Вводные'!$E$89)),0)</x:f>
      </x:c>
      <x:c r="EZ54" s="117" t="n">
        <x:f>IF(AND(EZ$3&gt;=EDATE($B$41,-MIN(6,'Вводные'!$E$89)),EZ$3&lt;$B$41),$B$54/MAX(1,MIN(6,'Вводные'!$E$89)),0)</x:f>
      </x:c>
      <x:c r="FA54" s="117" t="n">
        <x:f>IF(AND(FA$3&gt;=EDATE($B$41,-MIN(6,'Вводные'!$E$89)),FA$3&lt;$B$41),$B$54/MAX(1,MIN(6,'Вводные'!$E$89)),0)</x:f>
      </x:c>
      <x:c r="FB54" s="117" t="n">
        <x:f>IF(AND(FB$3&gt;=EDATE($B$41,-MIN(6,'Вводные'!$E$89)),FB$3&lt;$B$41),$B$54/MAX(1,MIN(6,'Вводные'!$E$89)),0)</x:f>
      </x:c>
      <x:c r="FC54" s="117" t="n">
        <x:f>IF(AND(FC$3&gt;=EDATE($B$41,-MIN(6,'Вводные'!$E$89)),FC$3&lt;$B$41),$B$54/MAX(1,MIN(6,'Вводные'!$E$89)),0)</x:f>
      </x:c>
      <x:c r="FD54" s="117" t="n">
        <x:f>IF(AND(FD$3&gt;=EDATE($B$41,-MIN(6,'Вводные'!$E$89)),FD$3&lt;$B$41),$B$54/MAX(1,MIN(6,'Вводные'!$E$89)),0)</x:f>
      </x:c>
      <x:c r="FE54" s="117" t="n">
        <x:f>IF(AND(FE$3&gt;=EDATE($B$41,-MIN(6,'Вводные'!$E$89)),FE$3&lt;$B$41),$B$54/MAX(1,MIN(6,'Вводные'!$E$89)),0)</x:f>
      </x:c>
      <x:c r="FF54" s="117" t="n">
        <x:f>IF(AND(FF$3&gt;=EDATE($B$41,-MIN(6,'Вводные'!$E$89)),FF$3&lt;$B$41),$B$54/MAX(1,MIN(6,'Вводные'!$E$89)),0)</x:f>
      </x:c>
      <x:c r="FG54" s="117" t="n">
        <x:f>IF(AND(FG$3&gt;=EDATE($B$41,-MIN(6,'Вводные'!$E$89)),FG$3&lt;$B$41),$B$54/MAX(1,MIN(6,'Вводные'!$E$89)),0)</x:f>
      </x:c>
      <x:c r="FH54" s="117" t="n">
        <x:f>IF(AND(FH$3&gt;=EDATE($B$41,-MIN(6,'Вводные'!$E$89)),FH$3&lt;$B$41),$B$54/MAX(1,MIN(6,'Вводные'!$E$89)),0)</x:f>
      </x:c>
      <x:c r="FI54" s="117" t="n">
        <x:f>IF(AND(FI$3&gt;=EDATE($B$41,-MIN(6,'Вводные'!$E$89)),FI$3&lt;$B$41),$B$54/MAX(1,MIN(6,'Вводные'!$E$89)),0)</x:f>
      </x:c>
      <x:c r="FJ54" s="117" t="n">
        <x:f>IF(AND(FJ$3&gt;=EDATE($B$41,-MIN(6,'Вводные'!$E$89)),FJ$3&lt;$B$41),$B$54/MAX(1,MIN(6,'Вводные'!$E$89)),0)</x:f>
      </x:c>
      <x:c r="FK54" s="117" t="n">
        <x:f>IF(AND(FK$3&gt;=EDATE($B$41,-MIN(6,'Вводные'!$E$89)),FK$3&lt;$B$41),$B$54/MAX(1,MIN(6,'Вводные'!$E$89)),0)</x:f>
      </x:c>
      <x:c r="FL54" s="117" t="n">
        <x:f>IF(AND(FL$3&gt;=EDATE($B$41,-MIN(6,'Вводные'!$E$89)),FL$3&lt;$B$41),$B$54/MAX(1,MIN(6,'Вводные'!$E$89)),0)</x:f>
      </x:c>
      <x:c r="FM54" s="117" t="n">
        <x:f>IF(AND(FM$3&gt;=EDATE($B$41,-MIN(6,'Вводные'!$E$89)),FM$3&lt;$B$41),$B$54/MAX(1,MIN(6,'Вводные'!$E$89)),0)</x:f>
      </x:c>
      <x:c r="FN54" s="117" t="n">
        <x:f>IF(AND(FN$3&gt;=EDATE($B$41,-MIN(6,'Вводные'!$E$89)),FN$3&lt;$B$41),$B$54/MAX(1,MIN(6,'Вводные'!$E$89)),0)</x:f>
      </x:c>
      <x:c r="FO54" s="117" t="n">
        <x:f>IF(AND(FO$3&gt;=EDATE($B$41,-MIN(6,'Вводные'!$E$89)),FO$3&lt;$B$41),$B$54/MAX(1,MIN(6,'Вводные'!$E$89)),0)</x:f>
      </x:c>
      <x:c r="FP54" s="117" t="n">
        <x:f>IF(AND(FP$3&gt;=EDATE($B$41,-MIN(6,'Вводные'!$E$89)),FP$3&lt;$B$41),$B$54/MAX(1,MIN(6,'Вводные'!$E$89)),0)</x:f>
      </x:c>
      <x:c r="FQ54" s="117" t="n">
        <x:f>IF(AND(FQ$3&gt;=EDATE($B$41,-MIN(6,'Вводные'!$E$89)),FQ$3&lt;$B$41),$B$54/MAX(1,MIN(6,'Вводные'!$E$89)),0)</x:f>
      </x:c>
      <x:c r="FR54" s="117" t="n">
        <x:f>IF(AND(FR$3&gt;=EDATE($B$41,-MIN(6,'Вводные'!$E$89)),FR$3&lt;$B$41),$B$54/MAX(1,MIN(6,'Вводные'!$E$89)),0)</x:f>
      </x:c>
      <x:c r="FS54" s="117" t="n">
        <x:f>IF(AND(FS$3&gt;=EDATE($B$41,-MIN(6,'Вводные'!$E$89)),FS$3&lt;$B$41),$B$54/MAX(1,MIN(6,'Вводные'!$E$89)),0)</x:f>
      </x:c>
      <x:c r="FT54" s="117" t="n">
        <x:f>IF(AND(FT$3&gt;=EDATE($B$41,-MIN(6,'Вводные'!$E$89)),FT$3&lt;$B$41),$B$54/MAX(1,MIN(6,'Вводные'!$E$89)),0)</x:f>
      </x:c>
      <x:c r="FU54" s="117" t="n">
        <x:f>IF(AND(FU$3&gt;=EDATE($B$41,-MIN(6,'Вводные'!$E$89)),FU$3&lt;$B$41),$B$54/MAX(1,MIN(6,'Вводные'!$E$89)),0)</x:f>
      </x:c>
      <x:c r="FV54" s="117" t="n">
        <x:f>IF(AND(FV$3&gt;=EDATE($B$41,-MIN(6,'Вводные'!$E$89)),FV$3&lt;$B$41),$B$54/MAX(1,MIN(6,'Вводные'!$E$89)),0)</x:f>
      </x:c>
      <x:c r="FW54" s="117" t="n">
        <x:f>IF(AND(FW$3&gt;=EDATE($B$41,-MIN(6,'Вводные'!$E$89)),FW$3&lt;$B$41),$B$54/MAX(1,MIN(6,'Вводные'!$E$89)),0)</x:f>
      </x:c>
      <x:c r="FX54" s="117" t="n">
        <x:f>IF(AND(FX$3&gt;=EDATE($B$41,-MIN(6,'Вводные'!$E$89)),FX$3&lt;$B$41),$B$54/MAX(1,MIN(6,'Вводные'!$E$89)),0)</x:f>
      </x:c>
      <x:c r="FY54" s="117" t="n">
        <x:f>IF(AND(FY$3&gt;=EDATE($B$41,-MIN(6,'Вводные'!$E$89)),FY$3&lt;$B$41),$B$54/MAX(1,MIN(6,'Вводные'!$E$89)),0)</x:f>
      </x:c>
      <x:c r="FZ54" s="117" t="n">
        <x:f>IF(AND(FZ$3&gt;=EDATE($B$41,-MIN(6,'Вводные'!$E$89)),FZ$3&lt;$B$41),$B$54/MAX(1,MIN(6,'Вводные'!$E$89)),0)</x:f>
      </x:c>
      <x:c r="GA54" s="117" t="n">
        <x:f>IF(AND(GA$3&gt;=EDATE($B$41,-MIN(6,'Вводные'!$E$89)),GA$3&lt;$B$41),$B$54/MAX(1,MIN(6,'Вводные'!$E$89)),0)</x:f>
      </x:c>
    </x:row>
    <x:row r="55">
      <x:c r="A55" t="str">
        <x:v>Основное строительство — наземная часть</x:v>
      </x:c>
      <x:c r="B55" s="107" t="n">
        <x:f>(('Вводные'!$I$89+'Вводные'!$J$89)*'Вводные'!$B$44/1000*'Вводные'!$H$6*'Вводные'!$T$89*--('Вводные'!$B$89="Да"))*'Вводные'!$AH$89</x:f>
      </x:c>
      <x:c r="C55" t="str">
        <x:v>млн ₽</x:v>
      </x:c>
      <x:c r="D55" s="117" t="n">
        <x:f>$B$55*D47</x:f>
      </x:c>
      <x:c r="E55" s="117" t="n">
        <x:f>$B$55*E47</x:f>
      </x:c>
      <x:c r="F55" s="117" t="n">
        <x:f>$B$55*F47</x:f>
      </x:c>
      <x:c r="G55" s="117" t="n">
        <x:f>$B$55*G47</x:f>
      </x:c>
      <x:c r="H55" s="117" t="n">
        <x:f>$B$55*H47</x:f>
      </x:c>
      <x:c r="I55" s="117" t="n">
        <x:f>$B$55*I47</x:f>
      </x:c>
      <x:c r="J55" s="117" t="n">
        <x:f>$B$55*J47</x:f>
      </x:c>
      <x:c r="K55" s="117" t="n">
        <x:f>$B$55*K47</x:f>
      </x:c>
      <x:c r="L55" s="117" t="n">
        <x:f>$B$55*L47</x:f>
      </x:c>
      <x:c r="M55" s="117" t="n">
        <x:f>$B$55*M47</x:f>
      </x:c>
      <x:c r="N55" s="117" t="n">
        <x:f>$B$55*N47</x:f>
      </x:c>
      <x:c r="O55" s="117" t="n">
        <x:f>$B$55*O47</x:f>
      </x:c>
      <x:c r="P55" s="117" t="n">
        <x:f>$B$55*P47</x:f>
      </x:c>
      <x:c r="Q55" s="117" t="n">
        <x:f>$B$55*Q47</x:f>
      </x:c>
      <x:c r="R55" s="117" t="n">
        <x:f>$B$55*R47</x:f>
      </x:c>
      <x:c r="S55" s="117" t="n">
        <x:f>$B$55*S47</x:f>
      </x:c>
      <x:c r="T55" s="117" t="n">
        <x:f>$B$55*T47</x:f>
      </x:c>
      <x:c r="U55" s="117" t="n">
        <x:f>$B$55*U47</x:f>
      </x:c>
      <x:c r="V55" s="117" t="n">
        <x:f>$B$55*V47</x:f>
      </x:c>
      <x:c r="W55" s="117" t="n">
        <x:f>$B$55*W47</x:f>
      </x:c>
      <x:c r="X55" s="117" t="n">
        <x:f>$B$55*X47</x:f>
      </x:c>
      <x:c r="Y55" s="117" t="n">
        <x:f>$B$55*Y47</x:f>
      </x:c>
      <x:c r="Z55" s="117" t="n">
        <x:f>$B$55*Z47</x:f>
      </x:c>
      <x:c r="AA55" s="117" t="n">
        <x:f>$B$55*AA47</x:f>
      </x:c>
      <x:c r="AB55" s="117" t="n">
        <x:f>$B$55*AB47</x:f>
      </x:c>
      <x:c r="AC55" s="117" t="n">
        <x:f>$B$55*AC47</x:f>
      </x:c>
      <x:c r="AD55" s="117" t="n">
        <x:f>$B$55*AD47</x:f>
      </x:c>
      <x:c r="AE55" s="117" t="n">
        <x:f>$B$55*AE47</x:f>
      </x:c>
      <x:c r="AF55" s="117" t="n">
        <x:f>$B$55*AF47</x:f>
      </x:c>
      <x:c r="AG55" s="117" t="n">
        <x:f>$B$55*AG47</x:f>
      </x:c>
      <x:c r="AH55" s="117" t="n">
        <x:f>$B$55*AH47</x:f>
      </x:c>
      <x:c r="AI55" s="117" t="n">
        <x:f>$B$55*AI47</x:f>
      </x:c>
      <x:c r="AJ55" s="117" t="n">
        <x:f>$B$55*AJ47</x:f>
      </x:c>
      <x:c r="AK55" s="117" t="n">
        <x:f>$B$55*AK47</x:f>
      </x:c>
      <x:c r="AL55" s="117" t="n">
        <x:f>$B$55*AL47</x:f>
      </x:c>
      <x:c r="AM55" s="117" t="n">
        <x:f>$B$55*AM47</x:f>
      </x:c>
      <x:c r="AN55" s="117" t="n">
        <x:f>$B$55*AN47</x:f>
      </x:c>
      <x:c r="AO55" s="117" t="n">
        <x:f>$B$55*AO47</x:f>
      </x:c>
      <x:c r="AP55" s="117" t="n">
        <x:f>$B$55*AP47</x:f>
      </x:c>
      <x:c r="AQ55" s="117" t="n">
        <x:f>$B$55*AQ47</x:f>
      </x:c>
      <x:c r="AR55" s="117" t="n">
        <x:f>$B$55*AR47</x:f>
      </x:c>
      <x:c r="AS55" s="117" t="n">
        <x:f>$B$55*AS47</x:f>
      </x:c>
      <x:c r="AT55" s="117" t="n">
        <x:f>$B$55*AT47</x:f>
      </x:c>
      <x:c r="AU55" s="117" t="n">
        <x:f>$B$55*AU47</x:f>
      </x:c>
      <x:c r="AV55" s="117" t="n">
        <x:f>$B$55*AV47</x:f>
      </x:c>
      <x:c r="AW55" s="117" t="n">
        <x:f>$B$55*AW47</x:f>
      </x:c>
      <x:c r="AX55" s="117" t="n">
        <x:f>$B$55*AX47</x:f>
      </x:c>
      <x:c r="AY55" s="117" t="n">
        <x:f>$B$55*AY47</x:f>
      </x:c>
      <x:c r="AZ55" s="117" t="n">
        <x:f>$B$55*AZ47</x:f>
      </x:c>
      <x:c r="BA55" s="117" t="n">
        <x:f>$B$55*BA47</x:f>
      </x:c>
      <x:c r="BB55" s="117" t="n">
        <x:f>$B$55*BB47</x:f>
      </x:c>
      <x:c r="BC55" s="117" t="n">
        <x:f>$B$55*BC47</x:f>
      </x:c>
      <x:c r="BD55" s="117" t="n">
        <x:f>$B$55*BD47</x:f>
      </x:c>
      <x:c r="BE55" s="117" t="n">
        <x:f>$B$55*BE47</x:f>
      </x:c>
      <x:c r="BF55" s="117" t="n">
        <x:f>$B$55*BF47</x:f>
      </x:c>
      <x:c r="BG55" s="117" t="n">
        <x:f>$B$55*BG47</x:f>
      </x:c>
      <x:c r="BH55" s="117" t="n">
        <x:f>$B$55*BH47</x:f>
      </x:c>
      <x:c r="BI55" s="117" t="n">
        <x:f>$B$55*BI47</x:f>
      </x:c>
      <x:c r="BJ55" s="117" t="n">
        <x:f>$B$55*BJ47</x:f>
      </x:c>
      <x:c r="BK55" s="117" t="n">
        <x:f>$B$55*BK47</x:f>
      </x:c>
      <x:c r="BL55" s="117" t="n">
        <x:f>$B$55*BL47</x:f>
      </x:c>
      <x:c r="BM55" s="117" t="n">
        <x:f>$B$55*BM47</x:f>
      </x:c>
      <x:c r="BN55" s="117" t="n">
        <x:f>$B$55*BN47</x:f>
      </x:c>
      <x:c r="BO55" s="117" t="n">
        <x:f>$B$55*BO47</x:f>
      </x:c>
      <x:c r="BP55" s="117" t="n">
        <x:f>$B$55*BP47</x:f>
      </x:c>
      <x:c r="BQ55" s="117" t="n">
        <x:f>$B$55*BQ47</x:f>
      </x:c>
      <x:c r="BR55" s="117" t="n">
        <x:f>$B$55*BR47</x:f>
      </x:c>
      <x:c r="BS55" s="117" t="n">
        <x:f>$B$55*BS47</x:f>
      </x:c>
      <x:c r="BT55" s="117" t="n">
        <x:f>$B$55*BT47</x:f>
      </x:c>
      <x:c r="BU55" s="117" t="n">
        <x:f>$B$55*BU47</x:f>
      </x:c>
      <x:c r="BV55" s="117" t="n">
        <x:f>$B$55*BV47</x:f>
      </x:c>
      <x:c r="BW55" s="117" t="n">
        <x:f>$B$55*BW47</x:f>
      </x:c>
      <x:c r="BX55" s="117" t="n">
        <x:f>$B$55*BX47</x:f>
      </x:c>
      <x:c r="BY55" s="117" t="n">
        <x:f>$B$55*BY47</x:f>
      </x:c>
      <x:c r="BZ55" s="117" t="n">
        <x:f>$B$55*BZ47</x:f>
      </x:c>
      <x:c r="CA55" s="117" t="n">
        <x:f>$B$55*CA47</x:f>
      </x:c>
      <x:c r="CB55" s="117" t="n">
        <x:f>$B$55*CB47</x:f>
      </x:c>
      <x:c r="CC55" s="117" t="n">
        <x:f>$B$55*CC47</x:f>
      </x:c>
      <x:c r="CD55" s="117" t="n">
        <x:f>$B$55*CD47</x:f>
      </x:c>
      <x:c r="CE55" s="117" t="n">
        <x:f>$B$55*CE47</x:f>
      </x:c>
      <x:c r="CF55" s="117" t="n">
        <x:f>$B$55*CF47</x:f>
      </x:c>
      <x:c r="CG55" s="117" t="n">
        <x:f>$B$55*CG47</x:f>
      </x:c>
      <x:c r="CH55" s="117" t="n">
        <x:f>$B$55*CH47</x:f>
      </x:c>
      <x:c r="CI55" s="117" t="n">
        <x:f>$B$55*CI47</x:f>
      </x:c>
      <x:c r="CJ55" s="117" t="n">
        <x:f>$B$55*CJ47</x:f>
      </x:c>
      <x:c r="CK55" s="117" t="n">
        <x:f>$B$55*CK47</x:f>
      </x:c>
      <x:c r="CL55" s="117" t="n">
        <x:f>$B$55*CL47</x:f>
      </x:c>
      <x:c r="CM55" s="117" t="n">
        <x:f>$B$55*CM47</x:f>
      </x:c>
      <x:c r="CN55" s="117" t="n">
        <x:f>$B$55*CN47</x:f>
      </x:c>
      <x:c r="CO55" s="117" t="n">
        <x:f>$B$55*CO47</x:f>
      </x:c>
      <x:c r="CP55" s="117" t="n">
        <x:f>$B$55*CP47</x:f>
      </x:c>
      <x:c r="CQ55" s="117" t="n">
        <x:f>$B$55*CQ47</x:f>
      </x:c>
      <x:c r="CR55" s="117" t="n">
        <x:f>$B$55*CR47</x:f>
      </x:c>
      <x:c r="CS55" s="117" t="n">
        <x:f>$B$55*CS47</x:f>
      </x:c>
      <x:c r="CT55" s="117" t="n">
        <x:f>$B$55*CT47</x:f>
      </x:c>
      <x:c r="CU55" s="117" t="n">
        <x:f>$B$55*CU47</x:f>
      </x:c>
      <x:c r="CV55" s="117" t="n">
        <x:f>$B$55*CV47</x:f>
      </x:c>
      <x:c r="CW55" s="117" t="n">
        <x:f>$B$55*CW47</x:f>
      </x:c>
      <x:c r="CX55" s="117" t="n">
        <x:f>$B$55*CX47</x:f>
      </x:c>
      <x:c r="CY55" s="117" t="n">
        <x:f>$B$55*CY47</x:f>
      </x:c>
      <x:c r="CZ55" s="117" t="n">
        <x:f>$B$55*CZ47</x:f>
      </x:c>
      <x:c r="DA55" s="117" t="n">
        <x:f>$B$55*DA47</x:f>
      </x:c>
      <x:c r="DB55" s="117" t="n">
        <x:f>$B$55*DB47</x:f>
      </x:c>
      <x:c r="DC55" s="117" t="n">
        <x:f>$B$55*DC47</x:f>
      </x:c>
      <x:c r="DD55" s="117" t="n">
        <x:f>$B$55*DD47</x:f>
      </x:c>
      <x:c r="DE55" s="117" t="n">
        <x:f>$B$55*DE47</x:f>
      </x:c>
      <x:c r="DF55" s="117" t="n">
        <x:f>$B$55*DF47</x:f>
      </x:c>
      <x:c r="DG55" s="117" t="n">
        <x:f>$B$55*DG47</x:f>
      </x:c>
      <x:c r="DH55" s="117" t="n">
        <x:f>$B$55*DH47</x:f>
      </x:c>
      <x:c r="DI55" s="117" t="n">
        <x:f>$B$55*DI47</x:f>
      </x:c>
      <x:c r="DJ55" s="117" t="n">
        <x:f>$B$55*DJ47</x:f>
      </x:c>
      <x:c r="DK55" s="117" t="n">
        <x:f>$B$55*DK47</x:f>
      </x:c>
      <x:c r="DL55" s="117" t="n">
        <x:f>$B$55*DL47</x:f>
      </x:c>
      <x:c r="DM55" s="117" t="n">
        <x:f>$B$55*DM47</x:f>
      </x:c>
      <x:c r="DN55" s="117" t="n">
        <x:f>$B$55*DN47</x:f>
      </x:c>
      <x:c r="DO55" s="117" t="n">
        <x:f>$B$55*DO47</x:f>
      </x:c>
      <x:c r="DP55" s="117" t="n">
        <x:f>$B$55*DP47</x:f>
      </x:c>
      <x:c r="DQ55" s="117" t="n">
        <x:f>$B$55*DQ47</x:f>
      </x:c>
      <x:c r="DR55" s="117" t="n">
        <x:f>$B$55*DR47</x:f>
      </x:c>
      <x:c r="DS55" s="117" t="n">
        <x:f>$B$55*DS47</x:f>
      </x:c>
      <x:c r="DT55" s="117" t="n">
        <x:f>$B$55*DT47</x:f>
      </x:c>
      <x:c r="DU55" s="117" t="n">
        <x:f>$B$55*DU47</x:f>
      </x:c>
      <x:c r="DV55" s="117" t="n">
        <x:f>$B$55*DV47</x:f>
      </x:c>
      <x:c r="DW55" s="117" t="n">
        <x:f>$B$55*DW47</x:f>
      </x:c>
      <x:c r="DX55" s="117" t="n">
        <x:f>$B$55*DX47</x:f>
      </x:c>
      <x:c r="DY55" s="117" t="n">
        <x:f>$B$55*DY47</x:f>
      </x:c>
      <x:c r="DZ55" s="117" t="n">
        <x:f>$B$55*DZ47</x:f>
      </x:c>
      <x:c r="EA55" s="117" t="n">
        <x:f>$B$55*EA47</x:f>
      </x:c>
      <x:c r="EB55" s="117" t="n">
        <x:f>$B$55*EB47</x:f>
      </x:c>
      <x:c r="EC55" s="117" t="n">
        <x:f>$B$55*EC47</x:f>
      </x:c>
      <x:c r="ED55" s="117" t="n">
        <x:f>$B$55*ED47</x:f>
      </x:c>
      <x:c r="EE55" s="117" t="n">
        <x:f>$B$55*EE47</x:f>
      </x:c>
      <x:c r="EF55" s="117" t="n">
        <x:f>$B$55*EF47</x:f>
      </x:c>
      <x:c r="EG55" s="117" t="n">
        <x:f>$B$55*EG47</x:f>
      </x:c>
      <x:c r="EH55" s="117" t="n">
        <x:f>$B$55*EH47</x:f>
      </x:c>
      <x:c r="EI55" s="117" t="n">
        <x:f>$B$55*EI47</x:f>
      </x:c>
      <x:c r="EJ55" s="117" t="n">
        <x:f>$B$55*EJ47</x:f>
      </x:c>
      <x:c r="EK55" s="117" t="n">
        <x:f>$B$55*EK47</x:f>
      </x:c>
      <x:c r="EL55" s="117" t="n">
        <x:f>$B$55*EL47</x:f>
      </x:c>
      <x:c r="EM55" s="117" t="n">
        <x:f>$B$55*EM47</x:f>
      </x:c>
      <x:c r="EN55" s="117" t="n">
        <x:f>$B$55*EN47</x:f>
      </x:c>
      <x:c r="EO55" s="117" t="n">
        <x:f>$B$55*EO47</x:f>
      </x:c>
      <x:c r="EP55" s="117" t="n">
        <x:f>$B$55*EP47</x:f>
      </x:c>
      <x:c r="EQ55" s="117" t="n">
        <x:f>$B$55*EQ47</x:f>
      </x:c>
      <x:c r="ER55" s="117" t="n">
        <x:f>$B$55*ER47</x:f>
      </x:c>
      <x:c r="ES55" s="117" t="n">
        <x:f>$B$55*ES47</x:f>
      </x:c>
      <x:c r="ET55" s="117" t="n">
        <x:f>$B$55*ET47</x:f>
      </x:c>
      <x:c r="EU55" s="117" t="n">
        <x:f>$B$55*EU47</x:f>
      </x:c>
      <x:c r="EV55" s="117" t="n">
        <x:f>$B$55*EV47</x:f>
      </x:c>
      <x:c r="EW55" s="117" t="n">
        <x:f>$B$55*EW47</x:f>
      </x:c>
      <x:c r="EX55" s="117" t="n">
        <x:f>$B$55*EX47</x:f>
      </x:c>
      <x:c r="EY55" s="117" t="n">
        <x:f>$B$55*EY47</x:f>
      </x:c>
      <x:c r="EZ55" s="117" t="n">
        <x:f>$B$55*EZ47</x:f>
      </x:c>
      <x:c r="FA55" s="117" t="n">
        <x:f>$B$55*FA47</x:f>
      </x:c>
      <x:c r="FB55" s="117" t="n">
        <x:f>$B$55*FB47</x:f>
      </x:c>
      <x:c r="FC55" s="117" t="n">
        <x:f>$B$55*FC47</x:f>
      </x:c>
      <x:c r="FD55" s="117" t="n">
        <x:f>$B$55*FD47</x:f>
      </x:c>
      <x:c r="FE55" s="117" t="n">
        <x:f>$B$55*FE47</x:f>
      </x:c>
      <x:c r="FF55" s="117" t="n">
        <x:f>$B$55*FF47</x:f>
      </x:c>
      <x:c r="FG55" s="117" t="n">
        <x:f>$B$55*FG47</x:f>
      </x:c>
      <x:c r="FH55" s="117" t="n">
        <x:f>$B$55*FH47</x:f>
      </x:c>
      <x:c r="FI55" s="117" t="n">
        <x:f>$B$55*FI47</x:f>
      </x:c>
      <x:c r="FJ55" s="117" t="n">
        <x:f>$B$55*FJ47</x:f>
      </x:c>
      <x:c r="FK55" s="117" t="n">
        <x:f>$B$55*FK47</x:f>
      </x:c>
      <x:c r="FL55" s="117" t="n">
        <x:f>$B$55*FL47</x:f>
      </x:c>
      <x:c r="FM55" s="117" t="n">
        <x:f>$B$55*FM47</x:f>
      </x:c>
      <x:c r="FN55" s="117" t="n">
        <x:f>$B$55*FN47</x:f>
      </x:c>
      <x:c r="FO55" s="117" t="n">
        <x:f>$B$55*FO47</x:f>
      </x:c>
      <x:c r="FP55" s="117" t="n">
        <x:f>$B$55*FP47</x:f>
      </x:c>
      <x:c r="FQ55" s="117" t="n">
        <x:f>$B$55*FQ47</x:f>
      </x:c>
      <x:c r="FR55" s="117" t="n">
        <x:f>$B$55*FR47</x:f>
      </x:c>
      <x:c r="FS55" s="117" t="n">
        <x:f>$B$55*FS47</x:f>
      </x:c>
      <x:c r="FT55" s="117" t="n">
        <x:f>$B$55*FT47</x:f>
      </x:c>
      <x:c r="FU55" s="117" t="n">
        <x:f>$B$55*FU47</x:f>
      </x:c>
      <x:c r="FV55" s="117" t="n">
        <x:f>$B$55*FV47</x:f>
      </x:c>
      <x:c r="FW55" s="117" t="n">
        <x:f>$B$55*FW47</x:f>
      </x:c>
      <x:c r="FX55" s="117" t="n">
        <x:f>$B$55*FX47</x:f>
      </x:c>
      <x:c r="FY55" s="117" t="n">
        <x:f>$B$55*FY47</x:f>
      </x:c>
      <x:c r="FZ55" s="117" t="n">
        <x:f>$B$55*FZ47</x:f>
      </x:c>
      <x:c r="GA55" s="117" t="n">
        <x:f>$B$55*GA47</x:f>
      </x:c>
    </x:row>
    <x:row r="56">
      <x:c r="A56" t="str">
        <x:v>Основное строительство — подземная часть</x:v>
      </x:c>
      <x:c r="B56" s="107" t="n">
        <x:f>('Вводные'!$K$89*'Вводные'!$B$45/1000*'Вводные'!$H$6*'Вводные'!$T$89*--('Вводные'!$B$89="Да"))*'Вводные'!$AH$89</x:f>
      </x:c>
      <x:c r="C56" t="str">
        <x:v>млн ₽</x:v>
      </x:c>
      <x:c r="D56" s="117" t="n">
        <x:f>$B$56*D47</x:f>
      </x:c>
      <x:c r="E56" s="117" t="n">
        <x:f>$B$56*E47</x:f>
      </x:c>
      <x:c r="F56" s="117" t="n">
        <x:f>$B$56*F47</x:f>
      </x:c>
      <x:c r="G56" s="117" t="n">
        <x:f>$B$56*G47</x:f>
      </x:c>
      <x:c r="H56" s="117" t="n">
        <x:f>$B$56*H47</x:f>
      </x:c>
      <x:c r="I56" s="117" t="n">
        <x:f>$B$56*I47</x:f>
      </x:c>
      <x:c r="J56" s="117" t="n">
        <x:f>$B$56*J47</x:f>
      </x:c>
      <x:c r="K56" s="117" t="n">
        <x:f>$B$56*K47</x:f>
      </x:c>
      <x:c r="L56" s="117" t="n">
        <x:f>$B$56*L47</x:f>
      </x:c>
      <x:c r="M56" s="117" t="n">
        <x:f>$B$56*M47</x:f>
      </x:c>
      <x:c r="N56" s="117" t="n">
        <x:f>$B$56*N47</x:f>
      </x:c>
      <x:c r="O56" s="117" t="n">
        <x:f>$B$56*O47</x:f>
      </x:c>
      <x:c r="P56" s="117" t="n">
        <x:f>$B$56*P47</x:f>
      </x:c>
      <x:c r="Q56" s="117" t="n">
        <x:f>$B$56*Q47</x:f>
      </x:c>
      <x:c r="R56" s="117" t="n">
        <x:f>$B$56*R47</x:f>
      </x:c>
      <x:c r="S56" s="117" t="n">
        <x:f>$B$56*S47</x:f>
      </x:c>
      <x:c r="T56" s="117" t="n">
        <x:f>$B$56*T47</x:f>
      </x:c>
      <x:c r="U56" s="117" t="n">
        <x:f>$B$56*U47</x:f>
      </x:c>
      <x:c r="V56" s="117" t="n">
        <x:f>$B$56*V47</x:f>
      </x:c>
      <x:c r="W56" s="117" t="n">
        <x:f>$B$56*W47</x:f>
      </x:c>
      <x:c r="X56" s="117" t="n">
        <x:f>$B$56*X47</x:f>
      </x:c>
      <x:c r="Y56" s="117" t="n">
        <x:f>$B$56*Y47</x:f>
      </x:c>
      <x:c r="Z56" s="117" t="n">
        <x:f>$B$56*Z47</x:f>
      </x:c>
      <x:c r="AA56" s="117" t="n">
        <x:f>$B$56*AA47</x:f>
      </x:c>
      <x:c r="AB56" s="117" t="n">
        <x:f>$B$56*AB47</x:f>
      </x:c>
      <x:c r="AC56" s="117" t="n">
        <x:f>$B$56*AC47</x:f>
      </x:c>
      <x:c r="AD56" s="117" t="n">
        <x:f>$B$56*AD47</x:f>
      </x:c>
      <x:c r="AE56" s="117" t="n">
        <x:f>$B$56*AE47</x:f>
      </x:c>
      <x:c r="AF56" s="117" t="n">
        <x:f>$B$56*AF47</x:f>
      </x:c>
      <x:c r="AG56" s="117" t="n">
        <x:f>$B$56*AG47</x:f>
      </x:c>
      <x:c r="AH56" s="117" t="n">
        <x:f>$B$56*AH47</x:f>
      </x:c>
      <x:c r="AI56" s="117" t="n">
        <x:f>$B$56*AI47</x:f>
      </x:c>
      <x:c r="AJ56" s="117" t="n">
        <x:f>$B$56*AJ47</x:f>
      </x:c>
      <x:c r="AK56" s="117" t="n">
        <x:f>$B$56*AK47</x:f>
      </x:c>
      <x:c r="AL56" s="117" t="n">
        <x:f>$B$56*AL47</x:f>
      </x:c>
      <x:c r="AM56" s="117" t="n">
        <x:f>$B$56*AM47</x:f>
      </x:c>
      <x:c r="AN56" s="117" t="n">
        <x:f>$B$56*AN47</x:f>
      </x:c>
      <x:c r="AO56" s="117" t="n">
        <x:f>$B$56*AO47</x:f>
      </x:c>
      <x:c r="AP56" s="117" t="n">
        <x:f>$B$56*AP47</x:f>
      </x:c>
      <x:c r="AQ56" s="117" t="n">
        <x:f>$B$56*AQ47</x:f>
      </x:c>
      <x:c r="AR56" s="117" t="n">
        <x:f>$B$56*AR47</x:f>
      </x:c>
      <x:c r="AS56" s="117" t="n">
        <x:f>$B$56*AS47</x:f>
      </x:c>
      <x:c r="AT56" s="117" t="n">
        <x:f>$B$56*AT47</x:f>
      </x:c>
      <x:c r="AU56" s="117" t="n">
        <x:f>$B$56*AU47</x:f>
      </x:c>
      <x:c r="AV56" s="117" t="n">
        <x:f>$B$56*AV47</x:f>
      </x:c>
      <x:c r="AW56" s="117" t="n">
        <x:f>$B$56*AW47</x:f>
      </x:c>
      <x:c r="AX56" s="117" t="n">
        <x:f>$B$56*AX47</x:f>
      </x:c>
      <x:c r="AY56" s="117" t="n">
        <x:f>$B$56*AY47</x:f>
      </x:c>
      <x:c r="AZ56" s="117" t="n">
        <x:f>$B$56*AZ47</x:f>
      </x:c>
      <x:c r="BA56" s="117" t="n">
        <x:f>$B$56*BA47</x:f>
      </x:c>
      <x:c r="BB56" s="117" t="n">
        <x:f>$B$56*BB47</x:f>
      </x:c>
      <x:c r="BC56" s="117" t="n">
        <x:f>$B$56*BC47</x:f>
      </x:c>
      <x:c r="BD56" s="117" t="n">
        <x:f>$B$56*BD47</x:f>
      </x:c>
      <x:c r="BE56" s="117" t="n">
        <x:f>$B$56*BE47</x:f>
      </x:c>
      <x:c r="BF56" s="117" t="n">
        <x:f>$B$56*BF47</x:f>
      </x:c>
      <x:c r="BG56" s="117" t="n">
        <x:f>$B$56*BG47</x:f>
      </x:c>
      <x:c r="BH56" s="117" t="n">
        <x:f>$B$56*BH47</x:f>
      </x:c>
      <x:c r="BI56" s="117" t="n">
        <x:f>$B$56*BI47</x:f>
      </x:c>
      <x:c r="BJ56" s="117" t="n">
        <x:f>$B$56*BJ47</x:f>
      </x:c>
      <x:c r="BK56" s="117" t="n">
        <x:f>$B$56*BK47</x:f>
      </x:c>
      <x:c r="BL56" s="117" t="n">
        <x:f>$B$56*BL47</x:f>
      </x:c>
      <x:c r="BM56" s="117" t="n">
        <x:f>$B$56*BM47</x:f>
      </x:c>
      <x:c r="BN56" s="117" t="n">
        <x:f>$B$56*BN47</x:f>
      </x:c>
      <x:c r="BO56" s="117" t="n">
        <x:f>$B$56*BO47</x:f>
      </x:c>
      <x:c r="BP56" s="117" t="n">
        <x:f>$B$56*BP47</x:f>
      </x:c>
      <x:c r="BQ56" s="117" t="n">
        <x:f>$B$56*BQ47</x:f>
      </x:c>
      <x:c r="BR56" s="117" t="n">
        <x:f>$B$56*BR47</x:f>
      </x:c>
      <x:c r="BS56" s="117" t="n">
        <x:f>$B$56*BS47</x:f>
      </x:c>
      <x:c r="BT56" s="117" t="n">
        <x:f>$B$56*BT47</x:f>
      </x:c>
      <x:c r="BU56" s="117" t="n">
        <x:f>$B$56*BU47</x:f>
      </x:c>
      <x:c r="BV56" s="117" t="n">
        <x:f>$B$56*BV47</x:f>
      </x:c>
      <x:c r="BW56" s="117" t="n">
        <x:f>$B$56*BW47</x:f>
      </x:c>
      <x:c r="BX56" s="117" t="n">
        <x:f>$B$56*BX47</x:f>
      </x:c>
      <x:c r="BY56" s="117" t="n">
        <x:f>$B$56*BY47</x:f>
      </x:c>
      <x:c r="BZ56" s="117" t="n">
        <x:f>$B$56*BZ47</x:f>
      </x:c>
      <x:c r="CA56" s="117" t="n">
        <x:f>$B$56*CA47</x:f>
      </x:c>
      <x:c r="CB56" s="117" t="n">
        <x:f>$B$56*CB47</x:f>
      </x:c>
      <x:c r="CC56" s="117" t="n">
        <x:f>$B$56*CC47</x:f>
      </x:c>
      <x:c r="CD56" s="117" t="n">
        <x:f>$B$56*CD47</x:f>
      </x:c>
      <x:c r="CE56" s="117" t="n">
        <x:f>$B$56*CE47</x:f>
      </x:c>
      <x:c r="CF56" s="117" t="n">
        <x:f>$B$56*CF47</x:f>
      </x:c>
      <x:c r="CG56" s="117" t="n">
        <x:f>$B$56*CG47</x:f>
      </x:c>
      <x:c r="CH56" s="117" t="n">
        <x:f>$B$56*CH47</x:f>
      </x:c>
      <x:c r="CI56" s="117" t="n">
        <x:f>$B$56*CI47</x:f>
      </x:c>
      <x:c r="CJ56" s="117" t="n">
        <x:f>$B$56*CJ47</x:f>
      </x:c>
      <x:c r="CK56" s="117" t="n">
        <x:f>$B$56*CK47</x:f>
      </x:c>
      <x:c r="CL56" s="117" t="n">
        <x:f>$B$56*CL47</x:f>
      </x:c>
      <x:c r="CM56" s="117" t="n">
        <x:f>$B$56*CM47</x:f>
      </x:c>
      <x:c r="CN56" s="117" t="n">
        <x:f>$B$56*CN47</x:f>
      </x:c>
      <x:c r="CO56" s="117" t="n">
        <x:f>$B$56*CO47</x:f>
      </x:c>
      <x:c r="CP56" s="117" t="n">
        <x:f>$B$56*CP47</x:f>
      </x:c>
      <x:c r="CQ56" s="117" t="n">
        <x:f>$B$56*CQ47</x:f>
      </x:c>
      <x:c r="CR56" s="117" t="n">
        <x:f>$B$56*CR47</x:f>
      </x:c>
      <x:c r="CS56" s="117" t="n">
        <x:f>$B$56*CS47</x:f>
      </x:c>
      <x:c r="CT56" s="117" t="n">
        <x:f>$B$56*CT47</x:f>
      </x:c>
      <x:c r="CU56" s="117" t="n">
        <x:f>$B$56*CU47</x:f>
      </x:c>
      <x:c r="CV56" s="117" t="n">
        <x:f>$B$56*CV47</x:f>
      </x:c>
      <x:c r="CW56" s="117" t="n">
        <x:f>$B$56*CW47</x:f>
      </x:c>
      <x:c r="CX56" s="117" t="n">
        <x:f>$B$56*CX47</x:f>
      </x:c>
      <x:c r="CY56" s="117" t="n">
        <x:f>$B$56*CY47</x:f>
      </x:c>
      <x:c r="CZ56" s="117" t="n">
        <x:f>$B$56*CZ47</x:f>
      </x:c>
      <x:c r="DA56" s="117" t="n">
        <x:f>$B$56*DA47</x:f>
      </x:c>
      <x:c r="DB56" s="117" t="n">
        <x:f>$B$56*DB47</x:f>
      </x:c>
      <x:c r="DC56" s="117" t="n">
        <x:f>$B$56*DC47</x:f>
      </x:c>
      <x:c r="DD56" s="117" t="n">
        <x:f>$B$56*DD47</x:f>
      </x:c>
      <x:c r="DE56" s="117" t="n">
        <x:f>$B$56*DE47</x:f>
      </x:c>
      <x:c r="DF56" s="117" t="n">
        <x:f>$B$56*DF47</x:f>
      </x:c>
      <x:c r="DG56" s="117" t="n">
        <x:f>$B$56*DG47</x:f>
      </x:c>
      <x:c r="DH56" s="117" t="n">
        <x:f>$B$56*DH47</x:f>
      </x:c>
      <x:c r="DI56" s="117" t="n">
        <x:f>$B$56*DI47</x:f>
      </x:c>
      <x:c r="DJ56" s="117" t="n">
        <x:f>$B$56*DJ47</x:f>
      </x:c>
      <x:c r="DK56" s="117" t="n">
        <x:f>$B$56*DK47</x:f>
      </x:c>
      <x:c r="DL56" s="117" t="n">
        <x:f>$B$56*DL47</x:f>
      </x:c>
      <x:c r="DM56" s="117" t="n">
        <x:f>$B$56*DM47</x:f>
      </x:c>
      <x:c r="DN56" s="117" t="n">
        <x:f>$B$56*DN47</x:f>
      </x:c>
      <x:c r="DO56" s="117" t="n">
        <x:f>$B$56*DO47</x:f>
      </x:c>
      <x:c r="DP56" s="117" t="n">
        <x:f>$B$56*DP47</x:f>
      </x:c>
      <x:c r="DQ56" s="117" t="n">
        <x:f>$B$56*DQ47</x:f>
      </x:c>
      <x:c r="DR56" s="117" t="n">
        <x:f>$B$56*DR47</x:f>
      </x:c>
      <x:c r="DS56" s="117" t="n">
        <x:f>$B$56*DS47</x:f>
      </x:c>
      <x:c r="DT56" s="117" t="n">
        <x:f>$B$56*DT47</x:f>
      </x:c>
      <x:c r="DU56" s="117" t="n">
        <x:f>$B$56*DU47</x:f>
      </x:c>
      <x:c r="DV56" s="117" t="n">
        <x:f>$B$56*DV47</x:f>
      </x:c>
      <x:c r="DW56" s="117" t="n">
        <x:f>$B$56*DW47</x:f>
      </x:c>
      <x:c r="DX56" s="117" t="n">
        <x:f>$B$56*DX47</x:f>
      </x:c>
      <x:c r="DY56" s="117" t="n">
        <x:f>$B$56*DY47</x:f>
      </x:c>
      <x:c r="DZ56" s="117" t="n">
        <x:f>$B$56*DZ47</x:f>
      </x:c>
      <x:c r="EA56" s="117" t="n">
        <x:f>$B$56*EA47</x:f>
      </x:c>
      <x:c r="EB56" s="117" t="n">
        <x:f>$B$56*EB47</x:f>
      </x:c>
      <x:c r="EC56" s="117" t="n">
        <x:f>$B$56*EC47</x:f>
      </x:c>
      <x:c r="ED56" s="117" t="n">
        <x:f>$B$56*ED47</x:f>
      </x:c>
      <x:c r="EE56" s="117" t="n">
        <x:f>$B$56*EE47</x:f>
      </x:c>
      <x:c r="EF56" s="117" t="n">
        <x:f>$B$56*EF47</x:f>
      </x:c>
      <x:c r="EG56" s="117" t="n">
        <x:f>$B$56*EG47</x:f>
      </x:c>
      <x:c r="EH56" s="117" t="n">
        <x:f>$B$56*EH47</x:f>
      </x:c>
      <x:c r="EI56" s="117" t="n">
        <x:f>$B$56*EI47</x:f>
      </x:c>
      <x:c r="EJ56" s="117" t="n">
        <x:f>$B$56*EJ47</x:f>
      </x:c>
      <x:c r="EK56" s="117" t="n">
        <x:f>$B$56*EK47</x:f>
      </x:c>
      <x:c r="EL56" s="117" t="n">
        <x:f>$B$56*EL47</x:f>
      </x:c>
      <x:c r="EM56" s="117" t="n">
        <x:f>$B$56*EM47</x:f>
      </x:c>
      <x:c r="EN56" s="117" t="n">
        <x:f>$B$56*EN47</x:f>
      </x:c>
      <x:c r="EO56" s="117" t="n">
        <x:f>$B$56*EO47</x:f>
      </x:c>
      <x:c r="EP56" s="117" t="n">
        <x:f>$B$56*EP47</x:f>
      </x:c>
      <x:c r="EQ56" s="117" t="n">
        <x:f>$B$56*EQ47</x:f>
      </x:c>
      <x:c r="ER56" s="117" t="n">
        <x:f>$B$56*ER47</x:f>
      </x:c>
      <x:c r="ES56" s="117" t="n">
        <x:f>$B$56*ES47</x:f>
      </x:c>
      <x:c r="ET56" s="117" t="n">
        <x:f>$B$56*ET47</x:f>
      </x:c>
      <x:c r="EU56" s="117" t="n">
        <x:f>$B$56*EU47</x:f>
      </x:c>
      <x:c r="EV56" s="117" t="n">
        <x:f>$B$56*EV47</x:f>
      </x:c>
      <x:c r="EW56" s="117" t="n">
        <x:f>$B$56*EW47</x:f>
      </x:c>
      <x:c r="EX56" s="117" t="n">
        <x:f>$B$56*EX47</x:f>
      </x:c>
      <x:c r="EY56" s="117" t="n">
        <x:f>$B$56*EY47</x:f>
      </x:c>
      <x:c r="EZ56" s="117" t="n">
        <x:f>$B$56*EZ47</x:f>
      </x:c>
      <x:c r="FA56" s="117" t="n">
        <x:f>$B$56*FA47</x:f>
      </x:c>
      <x:c r="FB56" s="117" t="n">
        <x:f>$B$56*FB47</x:f>
      </x:c>
      <x:c r="FC56" s="117" t="n">
        <x:f>$B$56*FC47</x:f>
      </x:c>
      <x:c r="FD56" s="117" t="n">
        <x:f>$B$56*FD47</x:f>
      </x:c>
      <x:c r="FE56" s="117" t="n">
        <x:f>$B$56*FE47</x:f>
      </x:c>
      <x:c r="FF56" s="117" t="n">
        <x:f>$B$56*FF47</x:f>
      </x:c>
      <x:c r="FG56" s="117" t="n">
        <x:f>$B$56*FG47</x:f>
      </x:c>
      <x:c r="FH56" s="117" t="n">
        <x:f>$B$56*FH47</x:f>
      </x:c>
      <x:c r="FI56" s="117" t="n">
        <x:f>$B$56*FI47</x:f>
      </x:c>
      <x:c r="FJ56" s="117" t="n">
        <x:f>$B$56*FJ47</x:f>
      </x:c>
      <x:c r="FK56" s="117" t="n">
        <x:f>$B$56*FK47</x:f>
      </x:c>
      <x:c r="FL56" s="117" t="n">
        <x:f>$B$56*FL47</x:f>
      </x:c>
      <x:c r="FM56" s="117" t="n">
        <x:f>$B$56*FM47</x:f>
      </x:c>
      <x:c r="FN56" s="117" t="n">
        <x:f>$B$56*FN47</x:f>
      </x:c>
      <x:c r="FO56" s="117" t="n">
        <x:f>$B$56*FO47</x:f>
      </x:c>
      <x:c r="FP56" s="117" t="n">
        <x:f>$B$56*FP47</x:f>
      </x:c>
      <x:c r="FQ56" s="117" t="n">
        <x:f>$B$56*FQ47</x:f>
      </x:c>
      <x:c r="FR56" s="117" t="n">
        <x:f>$B$56*FR47</x:f>
      </x:c>
      <x:c r="FS56" s="117" t="n">
        <x:f>$B$56*FS47</x:f>
      </x:c>
      <x:c r="FT56" s="117" t="n">
        <x:f>$B$56*FT47</x:f>
      </x:c>
      <x:c r="FU56" s="117" t="n">
        <x:f>$B$56*FU47</x:f>
      </x:c>
      <x:c r="FV56" s="117" t="n">
        <x:f>$B$56*FV47</x:f>
      </x:c>
      <x:c r="FW56" s="117" t="n">
        <x:f>$B$56*FW47</x:f>
      </x:c>
      <x:c r="FX56" s="117" t="n">
        <x:f>$B$56*FX47</x:f>
      </x:c>
      <x:c r="FY56" s="117" t="n">
        <x:f>$B$56*FY47</x:f>
      </x:c>
      <x:c r="FZ56" s="117" t="n">
        <x:f>$B$56*FZ47</x:f>
      </x:c>
      <x:c r="GA56" s="117" t="n">
        <x:f>$B$56*GA47</x:f>
      </x:c>
    </x:row>
    <x:row r="57">
      <x:c r="A57" t="str">
        <x:v>Наружные инженерные сети</x:v>
      </x:c>
      <x:c r="B57" s="107" t="n">
        <x:f>(('Вводные'!$I$89+'Вводные'!$J$89+'Вводные'!$K$89)*'Вводные'!$B$46/1000*'Вводные'!$H$6*'Вводные'!$T$89*--('Вводные'!$B$89="Да"))*'Вводные'!$AH$89</x:f>
      </x:c>
      <x:c r="C57" t="str">
        <x:v>млн ₽</x:v>
      </x:c>
      <x:c r="D57" s="117" t="n">
        <x:f>$B$57*D47</x:f>
      </x:c>
      <x:c r="E57" s="117" t="n">
        <x:f>$B$57*E47</x:f>
      </x:c>
      <x:c r="F57" s="117" t="n">
        <x:f>$B$57*F47</x:f>
      </x:c>
      <x:c r="G57" s="117" t="n">
        <x:f>$B$57*G47</x:f>
      </x:c>
      <x:c r="H57" s="117" t="n">
        <x:f>$B$57*H47</x:f>
      </x:c>
      <x:c r="I57" s="117" t="n">
        <x:f>$B$57*I47</x:f>
      </x:c>
      <x:c r="J57" s="117" t="n">
        <x:f>$B$57*J47</x:f>
      </x:c>
      <x:c r="K57" s="117" t="n">
        <x:f>$B$57*K47</x:f>
      </x:c>
      <x:c r="L57" s="117" t="n">
        <x:f>$B$57*L47</x:f>
      </x:c>
      <x:c r="M57" s="117" t="n">
        <x:f>$B$57*M47</x:f>
      </x:c>
      <x:c r="N57" s="117" t="n">
        <x:f>$B$57*N47</x:f>
      </x:c>
      <x:c r="O57" s="117" t="n">
        <x:f>$B$57*O47</x:f>
      </x:c>
      <x:c r="P57" s="117" t="n">
        <x:f>$B$57*P47</x:f>
      </x:c>
      <x:c r="Q57" s="117" t="n">
        <x:f>$B$57*Q47</x:f>
      </x:c>
      <x:c r="R57" s="117" t="n">
        <x:f>$B$57*R47</x:f>
      </x:c>
      <x:c r="S57" s="117" t="n">
        <x:f>$B$57*S47</x:f>
      </x:c>
      <x:c r="T57" s="117" t="n">
        <x:f>$B$57*T47</x:f>
      </x:c>
      <x:c r="U57" s="117" t="n">
        <x:f>$B$57*U47</x:f>
      </x:c>
      <x:c r="V57" s="117" t="n">
        <x:f>$B$57*V47</x:f>
      </x:c>
      <x:c r="W57" s="117" t="n">
        <x:f>$B$57*W47</x:f>
      </x:c>
      <x:c r="X57" s="117" t="n">
        <x:f>$B$57*X47</x:f>
      </x:c>
      <x:c r="Y57" s="117" t="n">
        <x:f>$B$57*Y47</x:f>
      </x:c>
      <x:c r="Z57" s="117" t="n">
        <x:f>$B$57*Z47</x:f>
      </x:c>
      <x:c r="AA57" s="117" t="n">
        <x:f>$B$57*AA47</x:f>
      </x:c>
      <x:c r="AB57" s="117" t="n">
        <x:f>$B$57*AB47</x:f>
      </x:c>
      <x:c r="AC57" s="117" t="n">
        <x:f>$B$57*AC47</x:f>
      </x:c>
      <x:c r="AD57" s="117" t="n">
        <x:f>$B$57*AD47</x:f>
      </x:c>
      <x:c r="AE57" s="117" t="n">
        <x:f>$B$57*AE47</x:f>
      </x:c>
      <x:c r="AF57" s="117" t="n">
        <x:f>$B$57*AF47</x:f>
      </x:c>
      <x:c r="AG57" s="117" t="n">
        <x:f>$B$57*AG47</x:f>
      </x:c>
      <x:c r="AH57" s="117" t="n">
        <x:f>$B$57*AH47</x:f>
      </x:c>
      <x:c r="AI57" s="117" t="n">
        <x:f>$B$57*AI47</x:f>
      </x:c>
      <x:c r="AJ57" s="117" t="n">
        <x:f>$B$57*AJ47</x:f>
      </x:c>
      <x:c r="AK57" s="117" t="n">
        <x:f>$B$57*AK47</x:f>
      </x:c>
      <x:c r="AL57" s="117" t="n">
        <x:f>$B$57*AL47</x:f>
      </x:c>
      <x:c r="AM57" s="117" t="n">
        <x:f>$B$57*AM47</x:f>
      </x:c>
      <x:c r="AN57" s="117" t="n">
        <x:f>$B$57*AN47</x:f>
      </x:c>
      <x:c r="AO57" s="117" t="n">
        <x:f>$B$57*AO47</x:f>
      </x:c>
      <x:c r="AP57" s="117" t="n">
        <x:f>$B$57*AP47</x:f>
      </x:c>
      <x:c r="AQ57" s="117" t="n">
        <x:f>$B$57*AQ47</x:f>
      </x:c>
      <x:c r="AR57" s="117" t="n">
        <x:f>$B$57*AR47</x:f>
      </x:c>
      <x:c r="AS57" s="117" t="n">
        <x:f>$B$57*AS47</x:f>
      </x:c>
      <x:c r="AT57" s="117" t="n">
        <x:f>$B$57*AT47</x:f>
      </x:c>
      <x:c r="AU57" s="117" t="n">
        <x:f>$B$57*AU47</x:f>
      </x:c>
      <x:c r="AV57" s="117" t="n">
        <x:f>$B$57*AV47</x:f>
      </x:c>
      <x:c r="AW57" s="117" t="n">
        <x:f>$B$57*AW47</x:f>
      </x:c>
      <x:c r="AX57" s="117" t="n">
        <x:f>$B$57*AX47</x:f>
      </x:c>
      <x:c r="AY57" s="117" t="n">
        <x:f>$B$57*AY47</x:f>
      </x:c>
      <x:c r="AZ57" s="117" t="n">
        <x:f>$B$57*AZ47</x:f>
      </x:c>
      <x:c r="BA57" s="117" t="n">
        <x:f>$B$57*BA47</x:f>
      </x:c>
      <x:c r="BB57" s="117" t="n">
        <x:f>$B$57*BB47</x:f>
      </x:c>
      <x:c r="BC57" s="117" t="n">
        <x:f>$B$57*BC47</x:f>
      </x:c>
      <x:c r="BD57" s="117" t="n">
        <x:f>$B$57*BD47</x:f>
      </x:c>
      <x:c r="BE57" s="117" t="n">
        <x:f>$B$57*BE47</x:f>
      </x:c>
      <x:c r="BF57" s="117" t="n">
        <x:f>$B$57*BF47</x:f>
      </x:c>
      <x:c r="BG57" s="117" t="n">
        <x:f>$B$57*BG47</x:f>
      </x:c>
      <x:c r="BH57" s="117" t="n">
        <x:f>$B$57*BH47</x:f>
      </x:c>
      <x:c r="BI57" s="117" t="n">
        <x:f>$B$57*BI47</x:f>
      </x:c>
      <x:c r="BJ57" s="117" t="n">
        <x:f>$B$57*BJ47</x:f>
      </x:c>
      <x:c r="BK57" s="117" t="n">
        <x:f>$B$57*BK47</x:f>
      </x:c>
      <x:c r="BL57" s="117" t="n">
        <x:f>$B$57*BL47</x:f>
      </x:c>
      <x:c r="BM57" s="117" t="n">
        <x:f>$B$57*BM47</x:f>
      </x:c>
      <x:c r="BN57" s="117" t="n">
        <x:f>$B$57*BN47</x:f>
      </x:c>
      <x:c r="BO57" s="117" t="n">
        <x:f>$B$57*BO47</x:f>
      </x:c>
      <x:c r="BP57" s="117" t="n">
        <x:f>$B$57*BP47</x:f>
      </x:c>
      <x:c r="BQ57" s="117" t="n">
        <x:f>$B$57*BQ47</x:f>
      </x:c>
      <x:c r="BR57" s="117" t="n">
        <x:f>$B$57*BR47</x:f>
      </x:c>
      <x:c r="BS57" s="117" t="n">
        <x:f>$B$57*BS47</x:f>
      </x:c>
      <x:c r="BT57" s="117" t="n">
        <x:f>$B$57*BT47</x:f>
      </x:c>
      <x:c r="BU57" s="117" t="n">
        <x:f>$B$57*BU47</x:f>
      </x:c>
      <x:c r="BV57" s="117" t="n">
        <x:f>$B$57*BV47</x:f>
      </x:c>
      <x:c r="BW57" s="117" t="n">
        <x:f>$B$57*BW47</x:f>
      </x:c>
      <x:c r="BX57" s="117" t="n">
        <x:f>$B$57*BX47</x:f>
      </x:c>
      <x:c r="BY57" s="117" t="n">
        <x:f>$B$57*BY47</x:f>
      </x:c>
      <x:c r="BZ57" s="117" t="n">
        <x:f>$B$57*BZ47</x:f>
      </x:c>
      <x:c r="CA57" s="117" t="n">
        <x:f>$B$57*CA47</x:f>
      </x:c>
      <x:c r="CB57" s="117" t="n">
        <x:f>$B$57*CB47</x:f>
      </x:c>
      <x:c r="CC57" s="117" t="n">
        <x:f>$B$57*CC47</x:f>
      </x:c>
      <x:c r="CD57" s="117" t="n">
        <x:f>$B$57*CD47</x:f>
      </x:c>
      <x:c r="CE57" s="117" t="n">
        <x:f>$B$57*CE47</x:f>
      </x:c>
      <x:c r="CF57" s="117" t="n">
        <x:f>$B$57*CF47</x:f>
      </x:c>
      <x:c r="CG57" s="117" t="n">
        <x:f>$B$57*CG47</x:f>
      </x:c>
      <x:c r="CH57" s="117" t="n">
        <x:f>$B$57*CH47</x:f>
      </x:c>
      <x:c r="CI57" s="117" t="n">
        <x:f>$B$57*CI47</x:f>
      </x:c>
      <x:c r="CJ57" s="117" t="n">
        <x:f>$B$57*CJ47</x:f>
      </x:c>
      <x:c r="CK57" s="117" t="n">
        <x:f>$B$57*CK47</x:f>
      </x:c>
      <x:c r="CL57" s="117" t="n">
        <x:f>$B$57*CL47</x:f>
      </x:c>
      <x:c r="CM57" s="117" t="n">
        <x:f>$B$57*CM47</x:f>
      </x:c>
      <x:c r="CN57" s="117" t="n">
        <x:f>$B$57*CN47</x:f>
      </x:c>
      <x:c r="CO57" s="117" t="n">
        <x:f>$B$57*CO47</x:f>
      </x:c>
      <x:c r="CP57" s="117" t="n">
        <x:f>$B$57*CP47</x:f>
      </x:c>
      <x:c r="CQ57" s="117" t="n">
        <x:f>$B$57*CQ47</x:f>
      </x:c>
      <x:c r="CR57" s="117" t="n">
        <x:f>$B$57*CR47</x:f>
      </x:c>
      <x:c r="CS57" s="117" t="n">
        <x:f>$B$57*CS47</x:f>
      </x:c>
      <x:c r="CT57" s="117" t="n">
        <x:f>$B$57*CT47</x:f>
      </x:c>
      <x:c r="CU57" s="117" t="n">
        <x:f>$B$57*CU47</x:f>
      </x:c>
      <x:c r="CV57" s="117" t="n">
        <x:f>$B$57*CV47</x:f>
      </x:c>
      <x:c r="CW57" s="117" t="n">
        <x:f>$B$57*CW47</x:f>
      </x:c>
      <x:c r="CX57" s="117" t="n">
        <x:f>$B$57*CX47</x:f>
      </x:c>
      <x:c r="CY57" s="117" t="n">
        <x:f>$B$57*CY47</x:f>
      </x:c>
      <x:c r="CZ57" s="117" t="n">
        <x:f>$B$57*CZ47</x:f>
      </x:c>
      <x:c r="DA57" s="117" t="n">
        <x:f>$B$57*DA47</x:f>
      </x:c>
      <x:c r="DB57" s="117" t="n">
        <x:f>$B$57*DB47</x:f>
      </x:c>
      <x:c r="DC57" s="117" t="n">
        <x:f>$B$57*DC47</x:f>
      </x:c>
      <x:c r="DD57" s="117" t="n">
        <x:f>$B$57*DD47</x:f>
      </x:c>
      <x:c r="DE57" s="117" t="n">
        <x:f>$B$57*DE47</x:f>
      </x:c>
      <x:c r="DF57" s="117" t="n">
        <x:f>$B$57*DF47</x:f>
      </x:c>
      <x:c r="DG57" s="117" t="n">
        <x:f>$B$57*DG47</x:f>
      </x:c>
      <x:c r="DH57" s="117" t="n">
        <x:f>$B$57*DH47</x:f>
      </x:c>
      <x:c r="DI57" s="117" t="n">
        <x:f>$B$57*DI47</x:f>
      </x:c>
      <x:c r="DJ57" s="117" t="n">
        <x:f>$B$57*DJ47</x:f>
      </x:c>
      <x:c r="DK57" s="117" t="n">
        <x:f>$B$57*DK47</x:f>
      </x:c>
      <x:c r="DL57" s="117" t="n">
        <x:f>$B$57*DL47</x:f>
      </x:c>
      <x:c r="DM57" s="117" t="n">
        <x:f>$B$57*DM47</x:f>
      </x:c>
      <x:c r="DN57" s="117" t="n">
        <x:f>$B$57*DN47</x:f>
      </x:c>
      <x:c r="DO57" s="117" t="n">
        <x:f>$B$57*DO47</x:f>
      </x:c>
      <x:c r="DP57" s="117" t="n">
        <x:f>$B$57*DP47</x:f>
      </x:c>
      <x:c r="DQ57" s="117" t="n">
        <x:f>$B$57*DQ47</x:f>
      </x:c>
      <x:c r="DR57" s="117" t="n">
        <x:f>$B$57*DR47</x:f>
      </x:c>
      <x:c r="DS57" s="117" t="n">
        <x:f>$B$57*DS47</x:f>
      </x:c>
      <x:c r="DT57" s="117" t="n">
        <x:f>$B$57*DT47</x:f>
      </x:c>
      <x:c r="DU57" s="117" t="n">
        <x:f>$B$57*DU47</x:f>
      </x:c>
      <x:c r="DV57" s="117" t="n">
        <x:f>$B$57*DV47</x:f>
      </x:c>
      <x:c r="DW57" s="117" t="n">
        <x:f>$B$57*DW47</x:f>
      </x:c>
      <x:c r="DX57" s="117" t="n">
        <x:f>$B$57*DX47</x:f>
      </x:c>
      <x:c r="DY57" s="117" t="n">
        <x:f>$B$57*DY47</x:f>
      </x:c>
      <x:c r="DZ57" s="117" t="n">
        <x:f>$B$57*DZ47</x:f>
      </x:c>
      <x:c r="EA57" s="117" t="n">
        <x:f>$B$57*EA47</x:f>
      </x:c>
      <x:c r="EB57" s="117" t="n">
        <x:f>$B$57*EB47</x:f>
      </x:c>
      <x:c r="EC57" s="117" t="n">
        <x:f>$B$57*EC47</x:f>
      </x:c>
      <x:c r="ED57" s="117" t="n">
        <x:f>$B$57*ED47</x:f>
      </x:c>
      <x:c r="EE57" s="117" t="n">
        <x:f>$B$57*EE47</x:f>
      </x:c>
      <x:c r="EF57" s="117" t="n">
        <x:f>$B$57*EF47</x:f>
      </x:c>
      <x:c r="EG57" s="117" t="n">
        <x:f>$B$57*EG47</x:f>
      </x:c>
      <x:c r="EH57" s="117" t="n">
        <x:f>$B$57*EH47</x:f>
      </x:c>
      <x:c r="EI57" s="117" t="n">
        <x:f>$B$57*EI47</x:f>
      </x:c>
      <x:c r="EJ57" s="117" t="n">
        <x:f>$B$57*EJ47</x:f>
      </x:c>
      <x:c r="EK57" s="117" t="n">
        <x:f>$B$57*EK47</x:f>
      </x:c>
      <x:c r="EL57" s="117" t="n">
        <x:f>$B$57*EL47</x:f>
      </x:c>
      <x:c r="EM57" s="117" t="n">
        <x:f>$B$57*EM47</x:f>
      </x:c>
      <x:c r="EN57" s="117" t="n">
        <x:f>$B$57*EN47</x:f>
      </x:c>
      <x:c r="EO57" s="117" t="n">
        <x:f>$B$57*EO47</x:f>
      </x:c>
      <x:c r="EP57" s="117" t="n">
        <x:f>$B$57*EP47</x:f>
      </x:c>
      <x:c r="EQ57" s="117" t="n">
        <x:f>$B$57*EQ47</x:f>
      </x:c>
      <x:c r="ER57" s="117" t="n">
        <x:f>$B$57*ER47</x:f>
      </x:c>
      <x:c r="ES57" s="117" t="n">
        <x:f>$B$57*ES47</x:f>
      </x:c>
      <x:c r="ET57" s="117" t="n">
        <x:f>$B$57*ET47</x:f>
      </x:c>
      <x:c r="EU57" s="117" t="n">
        <x:f>$B$57*EU47</x:f>
      </x:c>
      <x:c r="EV57" s="117" t="n">
        <x:f>$B$57*EV47</x:f>
      </x:c>
      <x:c r="EW57" s="117" t="n">
        <x:f>$B$57*EW47</x:f>
      </x:c>
      <x:c r="EX57" s="117" t="n">
        <x:f>$B$57*EX47</x:f>
      </x:c>
      <x:c r="EY57" s="117" t="n">
        <x:f>$B$57*EY47</x:f>
      </x:c>
      <x:c r="EZ57" s="117" t="n">
        <x:f>$B$57*EZ47</x:f>
      </x:c>
      <x:c r="FA57" s="117" t="n">
        <x:f>$B$57*FA47</x:f>
      </x:c>
      <x:c r="FB57" s="117" t="n">
        <x:f>$B$57*FB47</x:f>
      </x:c>
      <x:c r="FC57" s="117" t="n">
        <x:f>$B$57*FC47</x:f>
      </x:c>
      <x:c r="FD57" s="117" t="n">
        <x:f>$B$57*FD47</x:f>
      </x:c>
      <x:c r="FE57" s="117" t="n">
        <x:f>$B$57*FE47</x:f>
      </x:c>
      <x:c r="FF57" s="117" t="n">
        <x:f>$B$57*FF47</x:f>
      </x:c>
      <x:c r="FG57" s="117" t="n">
        <x:f>$B$57*FG47</x:f>
      </x:c>
      <x:c r="FH57" s="117" t="n">
        <x:f>$B$57*FH47</x:f>
      </x:c>
      <x:c r="FI57" s="117" t="n">
        <x:f>$B$57*FI47</x:f>
      </x:c>
      <x:c r="FJ57" s="117" t="n">
        <x:f>$B$57*FJ47</x:f>
      </x:c>
      <x:c r="FK57" s="117" t="n">
        <x:f>$B$57*FK47</x:f>
      </x:c>
      <x:c r="FL57" s="117" t="n">
        <x:f>$B$57*FL47</x:f>
      </x:c>
      <x:c r="FM57" s="117" t="n">
        <x:f>$B$57*FM47</x:f>
      </x:c>
      <x:c r="FN57" s="117" t="n">
        <x:f>$B$57*FN47</x:f>
      </x:c>
      <x:c r="FO57" s="117" t="n">
        <x:f>$B$57*FO47</x:f>
      </x:c>
      <x:c r="FP57" s="117" t="n">
        <x:f>$B$57*FP47</x:f>
      </x:c>
      <x:c r="FQ57" s="117" t="n">
        <x:f>$B$57*FQ47</x:f>
      </x:c>
      <x:c r="FR57" s="117" t="n">
        <x:f>$B$57*FR47</x:f>
      </x:c>
      <x:c r="FS57" s="117" t="n">
        <x:f>$B$57*FS47</x:f>
      </x:c>
      <x:c r="FT57" s="117" t="n">
        <x:f>$B$57*FT47</x:f>
      </x:c>
      <x:c r="FU57" s="117" t="n">
        <x:f>$B$57*FU47</x:f>
      </x:c>
      <x:c r="FV57" s="117" t="n">
        <x:f>$B$57*FV47</x:f>
      </x:c>
      <x:c r="FW57" s="117" t="n">
        <x:f>$B$57*FW47</x:f>
      </x:c>
      <x:c r="FX57" s="117" t="n">
        <x:f>$B$57*FX47</x:f>
      </x:c>
      <x:c r="FY57" s="117" t="n">
        <x:f>$B$57*FY47</x:f>
      </x:c>
      <x:c r="FZ57" s="117" t="n">
        <x:f>$B$57*FZ47</x:f>
      </x:c>
      <x:c r="GA57" s="117" t="n">
        <x:f>$B$57*GA47</x:f>
      </x:c>
    </x:row>
    <x:row r="58">
      <x:c r="A58" t="str">
        <x:v>Благоустройство</x:v>
      </x:c>
      <x:c r="B58" s="107" t="n">
        <x:f>(('Вводные'!$I$89+'Вводные'!$J$89+'Вводные'!$K$89)*'Вводные'!$B$47/1000*'Вводные'!$H$6*'Вводные'!$T$89*--('Вводные'!$B$89="Да"))*'Вводные'!$AH$89</x:f>
      </x:c>
      <x:c r="C58" t="str">
        <x:v>млн ₽</x:v>
      </x:c>
      <x:c r="D58" s="117" t="n">
        <x:f>IF(AND(D$3&gt;=EDATE($B$42,-3),D$3&lt;$B$42),$B$58/3,0)</x:f>
      </x:c>
      <x:c r="E58" s="117" t="n">
        <x:f>IF(AND(E$3&gt;=EDATE($B$42,-3),E$3&lt;$B$42),$B$58/3,0)</x:f>
      </x:c>
      <x:c r="F58" s="117" t="n">
        <x:f>IF(AND(F$3&gt;=EDATE($B$42,-3),F$3&lt;$B$42),$B$58/3,0)</x:f>
      </x:c>
      <x:c r="G58" s="117" t="n">
        <x:f>IF(AND(G$3&gt;=EDATE($B$42,-3),G$3&lt;$B$42),$B$58/3,0)</x:f>
      </x:c>
      <x:c r="H58" s="117" t="n">
        <x:f>IF(AND(H$3&gt;=EDATE($B$42,-3),H$3&lt;$B$42),$B$58/3,0)</x:f>
      </x:c>
      <x:c r="I58" s="117" t="n">
        <x:f>IF(AND(I$3&gt;=EDATE($B$42,-3),I$3&lt;$B$42),$B$58/3,0)</x:f>
      </x:c>
      <x:c r="J58" s="117" t="n">
        <x:f>IF(AND(J$3&gt;=EDATE($B$42,-3),J$3&lt;$B$42),$B$58/3,0)</x:f>
      </x:c>
      <x:c r="K58" s="117" t="n">
        <x:f>IF(AND(K$3&gt;=EDATE($B$42,-3),K$3&lt;$B$42),$B$58/3,0)</x:f>
      </x:c>
      <x:c r="L58" s="117" t="n">
        <x:f>IF(AND(L$3&gt;=EDATE($B$42,-3),L$3&lt;$B$42),$B$58/3,0)</x:f>
      </x:c>
      <x:c r="M58" s="117" t="n">
        <x:f>IF(AND(M$3&gt;=EDATE($B$42,-3),M$3&lt;$B$42),$B$58/3,0)</x:f>
      </x:c>
      <x:c r="N58" s="117" t="n">
        <x:f>IF(AND(N$3&gt;=EDATE($B$42,-3),N$3&lt;$B$42),$B$58/3,0)</x:f>
      </x:c>
      <x:c r="O58" s="117" t="n">
        <x:f>IF(AND(O$3&gt;=EDATE($B$42,-3),O$3&lt;$B$42),$B$58/3,0)</x:f>
      </x:c>
      <x:c r="P58" s="117" t="n">
        <x:f>IF(AND(P$3&gt;=EDATE($B$42,-3),P$3&lt;$B$42),$B$58/3,0)</x:f>
      </x:c>
      <x:c r="Q58" s="117" t="n">
        <x:f>IF(AND(Q$3&gt;=EDATE($B$42,-3),Q$3&lt;$B$42),$B$58/3,0)</x:f>
      </x:c>
      <x:c r="R58" s="117" t="n">
        <x:f>IF(AND(R$3&gt;=EDATE($B$42,-3),R$3&lt;$B$42),$B$58/3,0)</x:f>
      </x:c>
      <x:c r="S58" s="117" t="n">
        <x:f>IF(AND(S$3&gt;=EDATE($B$42,-3),S$3&lt;$B$42),$B$58/3,0)</x:f>
      </x:c>
      <x:c r="T58" s="117" t="n">
        <x:f>IF(AND(T$3&gt;=EDATE($B$42,-3),T$3&lt;$B$42),$B$58/3,0)</x:f>
      </x:c>
      <x:c r="U58" s="117" t="n">
        <x:f>IF(AND(U$3&gt;=EDATE($B$42,-3),U$3&lt;$B$42),$B$58/3,0)</x:f>
      </x:c>
      <x:c r="V58" s="117" t="n">
        <x:f>IF(AND(V$3&gt;=EDATE($B$42,-3),V$3&lt;$B$42),$B$58/3,0)</x:f>
      </x:c>
      <x:c r="W58" s="117" t="n">
        <x:f>IF(AND(W$3&gt;=EDATE($B$42,-3),W$3&lt;$B$42),$B$58/3,0)</x:f>
      </x:c>
      <x:c r="X58" s="117" t="n">
        <x:f>IF(AND(X$3&gt;=EDATE($B$42,-3),X$3&lt;$B$42),$B$58/3,0)</x:f>
      </x:c>
      <x:c r="Y58" s="117" t="n">
        <x:f>IF(AND(Y$3&gt;=EDATE($B$42,-3),Y$3&lt;$B$42),$B$58/3,0)</x:f>
      </x:c>
      <x:c r="Z58" s="117" t="n">
        <x:f>IF(AND(Z$3&gt;=EDATE($B$42,-3),Z$3&lt;$B$42),$B$58/3,0)</x:f>
      </x:c>
      <x:c r="AA58" s="117" t="n">
        <x:f>IF(AND(AA$3&gt;=EDATE($B$42,-3),AA$3&lt;$B$42),$B$58/3,0)</x:f>
      </x:c>
      <x:c r="AB58" s="117" t="n">
        <x:f>IF(AND(AB$3&gt;=EDATE($B$42,-3),AB$3&lt;$B$42),$B$58/3,0)</x:f>
      </x:c>
      <x:c r="AC58" s="117" t="n">
        <x:f>IF(AND(AC$3&gt;=EDATE($B$42,-3),AC$3&lt;$B$42),$B$58/3,0)</x:f>
      </x:c>
      <x:c r="AD58" s="117" t="n">
        <x:f>IF(AND(AD$3&gt;=EDATE($B$42,-3),AD$3&lt;$B$42),$B$58/3,0)</x:f>
      </x:c>
      <x:c r="AE58" s="117" t="n">
        <x:f>IF(AND(AE$3&gt;=EDATE($B$42,-3),AE$3&lt;$B$42),$B$58/3,0)</x:f>
      </x:c>
      <x:c r="AF58" s="117" t="n">
        <x:f>IF(AND(AF$3&gt;=EDATE($B$42,-3),AF$3&lt;$B$42),$B$58/3,0)</x:f>
      </x:c>
      <x:c r="AG58" s="117" t="n">
        <x:f>IF(AND(AG$3&gt;=EDATE($B$42,-3),AG$3&lt;$B$42),$B$58/3,0)</x:f>
      </x:c>
      <x:c r="AH58" s="117" t="n">
        <x:f>IF(AND(AH$3&gt;=EDATE($B$42,-3),AH$3&lt;$B$42),$B$58/3,0)</x:f>
      </x:c>
      <x:c r="AI58" s="117" t="n">
        <x:f>IF(AND(AI$3&gt;=EDATE($B$42,-3),AI$3&lt;$B$42),$B$58/3,0)</x:f>
      </x:c>
      <x:c r="AJ58" s="117" t="n">
        <x:f>IF(AND(AJ$3&gt;=EDATE($B$42,-3),AJ$3&lt;$B$42),$B$58/3,0)</x:f>
      </x:c>
      <x:c r="AK58" s="117" t="n">
        <x:f>IF(AND(AK$3&gt;=EDATE($B$42,-3),AK$3&lt;$B$42),$B$58/3,0)</x:f>
      </x:c>
      <x:c r="AL58" s="117" t="n">
        <x:f>IF(AND(AL$3&gt;=EDATE($B$42,-3),AL$3&lt;$B$42),$B$58/3,0)</x:f>
      </x:c>
      <x:c r="AM58" s="117" t="n">
        <x:f>IF(AND(AM$3&gt;=EDATE($B$42,-3),AM$3&lt;$B$42),$B$58/3,0)</x:f>
      </x:c>
      <x:c r="AN58" s="117" t="n">
        <x:f>IF(AND(AN$3&gt;=EDATE($B$42,-3),AN$3&lt;$B$42),$B$58/3,0)</x:f>
      </x:c>
      <x:c r="AO58" s="117" t="n">
        <x:f>IF(AND(AO$3&gt;=EDATE($B$42,-3),AO$3&lt;$B$42),$B$58/3,0)</x:f>
      </x:c>
      <x:c r="AP58" s="117" t="n">
        <x:f>IF(AND(AP$3&gt;=EDATE($B$42,-3),AP$3&lt;$B$42),$B$58/3,0)</x:f>
      </x:c>
      <x:c r="AQ58" s="117" t="n">
        <x:f>IF(AND(AQ$3&gt;=EDATE($B$42,-3),AQ$3&lt;$B$42),$B$58/3,0)</x:f>
      </x:c>
      <x:c r="AR58" s="117" t="n">
        <x:f>IF(AND(AR$3&gt;=EDATE($B$42,-3),AR$3&lt;$B$42),$B$58/3,0)</x:f>
      </x:c>
      <x:c r="AS58" s="117" t="n">
        <x:f>IF(AND(AS$3&gt;=EDATE($B$42,-3),AS$3&lt;$B$42),$B$58/3,0)</x:f>
      </x:c>
      <x:c r="AT58" s="117" t="n">
        <x:f>IF(AND(AT$3&gt;=EDATE($B$42,-3),AT$3&lt;$B$42),$B$58/3,0)</x:f>
      </x:c>
      <x:c r="AU58" s="117" t="n">
        <x:f>IF(AND(AU$3&gt;=EDATE($B$42,-3),AU$3&lt;$B$42),$B$58/3,0)</x:f>
      </x:c>
      <x:c r="AV58" s="117" t="n">
        <x:f>IF(AND(AV$3&gt;=EDATE($B$42,-3),AV$3&lt;$B$42),$B$58/3,0)</x:f>
      </x:c>
      <x:c r="AW58" s="117" t="n">
        <x:f>IF(AND(AW$3&gt;=EDATE($B$42,-3),AW$3&lt;$B$42),$B$58/3,0)</x:f>
      </x:c>
      <x:c r="AX58" s="117" t="n">
        <x:f>IF(AND(AX$3&gt;=EDATE($B$42,-3),AX$3&lt;$B$42),$B$58/3,0)</x:f>
      </x:c>
      <x:c r="AY58" s="117" t="n">
        <x:f>IF(AND(AY$3&gt;=EDATE($B$42,-3),AY$3&lt;$B$42),$B$58/3,0)</x:f>
      </x:c>
      <x:c r="AZ58" s="117" t="n">
        <x:f>IF(AND(AZ$3&gt;=EDATE($B$42,-3),AZ$3&lt;$B$42),$B$58/3,0)</x:f>
      </x:c>
      <x:c r="BA58" s="117" t="n">
        <x:f>IF(AND(BA$3&gt;=EDATE($B$42,-3),BA$3&lt;$B$42),$B$58/3,0)</x:f>
      </x:c>
      <x:c r="BB58" s="117" t="n">
        <x:f>IF(AND(BB$3&gt;=EDATE($B$42,-3),BB$3&lt;$B$42),$B$58/3,0)</x:f>
      </x:c>
      <x:c r="BC58" s="117" t="n">
        <x:f>IF(AND(BC$3&gt;=EDATE($B$42,-3),BC$3&lt;$B$42),$B$58/3,0)</x:f>
      </x:c>
      <x:c r="BD58" s="117" t="n">
        <x:f>IF(AND(BD$3&gt;=EDATE($B$42,-3),BD$3&lt;$B$42),$B$58/3,0)</x:f>
      </x:c>
      <x:c r="BE58" s="117" t="n">
        <x:f>IF(AND(BE$3&gt;=EDATE($B$42,-3),BE$3&lt;$B$42),$B$58/3,0)</x:f>
      </x:c>
      <x:c r="BF58" s="117" t="n">
        <x:f>IF(AND(BF$3&gt;=EDATE($B$42,-3),BF$3&lt;$B$42),$B$58/3,0)</x:f>
      </x:c>
      <x:c r="BG58" s="117" t="n">
        <x:f>IF(AND(BG$3&gt;=EDATE($B$42,-3),BG$3&lt;$B$42),$B$58/3,0)</x:f>
      </x:c>
      <x:c r="BH58" s="117" t="n">
        <x:f>IF(AND(BH$3&gt;=EDATE($B$42,-3),BH$3&lt;$B$42),$B$58/3,0)</x:f>
      </x:c>
      <x:c r="BI58" s="117" t="n">
        <x:f>IF(AND(BI$3&gt;=EDATE($B$42,-3),BI$3&lt;$B$42),$B$58/3,0)</x:f>
      </x:c>
      <x:c r="BJ58" s="117" t="n">
        <x:f>IF(AND(BJ$3&gt;=EDATE($B$42,-3),BJ$3&lt;$B$42),$B$58/3,0)</x:f>
      </x:c>
      <x:c r="BK58" s="117" t="n">
        <x:f>IF(AND(BK$3&gt;=EDATE($B$42,-3),BK$3&lt;$B$42),$B$58/3,0)</x:f>
      </x:c>
      <x:c r="BL58" s="117" t="n">
        <x:f>IF(AND(BL$3&gt;=EDATE($B$42,-3),BL$3&lt;$B$42),$B$58/3,0)</x:f>
      </x:c>
      <x:c r="BM58" s="117" t="n">
        <x:f>IF(AND(BM$3&gt;=EDATE($B$42,-3),BM$3&lt;$B$42),$B$58/3,0)</x:f>
      </x:c>
      <x:c r="BN58" s="117" t="n">
        <x:f>IF(AND(BN$3&gt;=EDATE($B$42,-3),BN$3&lt;$B$42),$B$58/3,0)</x:f>
      </x:c>
      <x:c r="BO58" s="117" t="n">
        <x:f>IF(AND(BO$3&gt;=EDATE($B$42,-3),BO$3&lt;$B$42),$B$58/3,0)</x:f>
      </x:c>
      <x:c r="BP58" s="117" t="n">
        <x:f>IF(AND(BP$3&gt;=EDATE($B$42,-3),BP$3&lt;$B$42),$B$58/3,0)</x:f>
      </x:c>
      <x:c r="BQ58" s="117" t="n">
        <x:f>IF(AND(BQ$3&gt;=EDATE($B$42,-3),BQ$3&lt;$B$42),$B$58/3,0)</x:f>
      </x:c>
      <x:c r="BR58" s="117" t="n">
        <x:f>IF(AND(BR$3&gt;=EDATE($B$42,-3),BR$3&lt;$B$42),$B$58/3,0)</x:f>
      </x:c>
      <x:c r="BS58" s="117" t="n">
        <x:f>IF(AND(BS$3&gt;=EDATE($B$42,-3),BS$3&lt;$B$42),$B$58/3,0)</x:f>
      </x:c>
      <x:c r="BT58" s="117" t="n">
        <x:f>IF(AND(BT$3&gt;=EDATE($B$42,-3),BT$3&lt;$B$42),$B$58/3,0)</x:f>
      </x:c>
      <x:c r="BU58" s="117" t="n">
        <x:f>IF(AND(BU$3&gt;=EDATE($B$42,-3),BU$3&lt;$B$42),$B$58/3,0)</x:f>
      </x:c>
      <x:c r="BV58" s="117" t="n">
        <x:f>IF(AND(BV$3&gt;=EDATE($B$42,-3),BV$3&lt;$B$42),$B$58/3,0)</x:f>
      </x:c>
      <x:c r="BW58" s="117" t="n">
        <x:f>IF(AND(BW$3&gt;=EDATE($B$42,-3),BW$3&lt;$B$42),$B$58/3,0)</x:f>
      </x:c>
      <x:c r="BX58" s="117" t="n">
        <x:f>IF(AND(BX$3&gt;=EDATE($B$42,-3),BX$3&lt;$B$42),$B$58/3,0)</x:f>
      </x:c>
      <x:c r="BY58" s="117" t="n">
        <x:f>IF(AND(BY$3&gt;=EDATE($B$42,-3),BY$3&lt;$B$42),$B$58/3,0)</x:f>
      </x:c>
      <x:c r="BZ58" s="117" t="n">
        <x:f>IF(AND(BZ$3&gt;=EDATE($B$42,-3),BZ$3&lt;$B$42),$B$58/3,0)</x:f>
      </x:c>
      <x:c r="CA58" s="117" t="n">
        <x:f>IF(AND(CA$3&gt;=EDATE($B$42,-3),CA$3&lt;$B$42),$B$58/3,0)</x:f>
      </x:c>
      <x:c r="CB58" s="117" t="n">
        <x:f>IF(AND(CB$3&gt;=EDATE($B$42,-3),CB$3&lt;$B$42),$B$58/3,0)</x:f>
      </x:c>
      <x:c r="CC58" s="117" t="n">
        <x:f>IF(AND(CC$3&gt;=EDATE($B$42,-3),CC$3&lt;$B$42),$B$58/3,0)</x:f>
      </x:c>
      <x:c r="CD58" s="117" t="n">
        <x:f>IF(AND(CD$3&gt;=EDATE($B$42,-3),CD$3&lt;$B$42),$B$58/3,0)</x:f>
      </x:c>
      <x:c r="CE58" s="117" t="n">
        <x:f>IF(AND(CE$3&gt;=EDATE($B$42,-3),CE$3&lt;$B$42),$B$58/3,0)</x:f>
      </x:c>
      <x:c r="CF58" s="117" t="n">
        <x:f>IF(AND(CF$3&gt;=EDATE($B$42,-3),CF$3&lt;$B$42),$B$58/3,0)</x:f>
      </x:c>
      <x:c r="CG58" s="117" t="n">
        <x:f>IF(AND(CG$3&gt;=EDATE($B$42,-3),CG$3&lt;$B$42),$B$58/3,0)</x:f>
      </x:c>
      <x:c r="CH58" s="117" t="n">
        <x:f>IF(AND(CH$3&gt;=EDATE($B$42,-3),CH$3&lt;$B$42),$B$58/3,0)</x:f>
      </x:c>
      <x:c r="CI58" s="117" t="n">
        <x:f>IF(AND(CI$3&gt;=EDATE($B$42,-3),CI$3&lt;$B$42),$B$58/3,0)</x:f>
      </x:c>
      <x:c r="CJ58" s="117" t="n">
        <x:f>IF(AND(CJ$3&gt;=EDATE($B$42,-3),CJ$3&lt;$B$42),$B$58/3,0)</x:f>
      </x:c>
      <x:c r="CK58" s="117" t="n">
        <x:f>IF(AND(CK$3&gt;=EDATE($B$42,-3),CK$3&lt;$B$42),$B$58/3,0)</x:f>
      </x:c>
      <x:c r="CL58" s="117" t="n">
        <x:f>IF(AND(CL$3&gt;=EDATE($B$42,-3),CL$3&lt;$B$42),$B$58/3,0)</x:f>
      </x:c>
      <x:c r="CM58" s="117" t="n">
        <x:f>IF(AND(CM$3&gt;=EDATE($B$42,-3),CM$3&lt;$B$42),$B$58/3,0)</x:f>
      </x:c>
      <x:c r="CN58" s="117" t="n">
        <x:f>IF(AND(CN$3&gt;=EDATE($B$42,-3),CN$3&lt;$B$42),$B$58/3,0)</x:f>
      </x:c>
      <x:c r="CO58" s="117" t="n">
        <x:f>IF(AND(CO$3&gt;=EDATE($B$42,-3),CO$3&lt;$B$42),$B$58/3,0)</x:f>
      </x:c>
      <x:c r="CP58" s="117" t="n">
        <x:f>IF(AND(CP$3&gt;=EDATE($B$42,-3),CP$3&lt;$B$42),$B$58/3,0)</x:f>
      </x:c>
      <x:c r="CQ58" s="117" t="n">
        <x:f>IF(AND(CQ$3&gt;=EDATE($B$42,-3),CQ$3&lt;$B$42),$B$58/3,0)</x:f>
      </x:c>
      <x:c r="CR58" s="117" t="n">
        <x:f>IF(AND(CR$3&gt;=EDATE($B$42,-3),CR$3&lt;$B$42),$B$58/3,0)</x:f>
      </x:c>
      <x:c r="CS58" s="117" t="n">
        <x:f>IF(AND(CS$3&gt;=EDATE($B$42,-3),CS$3&lt;$B$42),$B$58/3,0)</x:f>
      </x:c>
      <x:c r="CT58" s="117" t="n">
        <x:f>IF(AND(CT$3&gt;=EDATE($B$42,-3),CT$3&lt;$B$42),$B$58/3,0)</x:f>
      </x:c>
      <x:c r="CU58" s="117" t="n">
        <x:f>IF(AND(CU$3&gt;=EDATE($B$42,-3),CU$3&lt;$B$42),$B$58/3,0)</x:f>
      </x:c>
      <x:c r="CV58" s="117" t="n">
        <x:f>IF(AND(CV$3&gt;=EDATE($B$42,-3),CV$3&lt;$B$42),$B$58/3,0)</x:f>
      </x:c>
      <x:c r="CW58" s="117" t="n">
        <x:f>IF(AND(CW$3&gt;=EDATE($B$42,-3),CW$3&lt;$B$42),$B$58/3,0)</x:f>
      </x:c>
      <x:c r="CX58" s="117" t="n">
        <x:f>IF(AND(CX$3&gt;=EDATE($B$42,-3),CX$3&lt;$B$42),$B$58/3,0)</x:f>
      </x:c>
      <x:c r="CY58" s="117" t="n">
        <x:f>IF(AND(CY$3&gt;=EDATE($B$42,-3),CY$3&lt;$B$42),$B$58/3,0)</x:f>
      </x:c>
      <x:c r="CZ58" s="117" t="n">
        <x:f>IF(AND(CZ$3&gt;=EDATE($B$42,-3),CZ$3&lt;$B$42),$B$58/3,0)</x:f>
      </x:c>
      <x:c r="DA58" s="117" t="n">
        <x:f>IF(AND(DA$3&gt;=EDATE($B$42,-3),DA$3&lt;$B$42),$B$58/3,0)</x:f>
      </x:c>
      <x:c r="DB58" s="117" t="n">
        <x:f>IF(AND(DB$3&gt;=EDATE($B$42,-3),DB$3&lt;$B$42),$B$58/3,0)</x:f>
      </x:c>
      <x:c r="DC58" s="117" t="n">
        <x:f>IF(AND(DC$3&gt;=EDATE($B$42,-3),DC$3&lt;$B$42),$B$58/3,0)</x:f>
      </x:c>
      <x:c r="DD58" s="117" t="n">
        <x:f>IF(AND(DD$3&gt;=EDATE($B$42,-3),DD$3&lt;$B$42),$B$58/3,0)</x:f>
      </x:c>
      <x:c r="DE58" s="117" t="n">
        <x:f>IF(AND(DE$3&gt;=EDATE($B$42,-3),DE$3&lt;$B$42),$B$58/3,0)</x:f>
      </x:c>
      <x:c r="DF58" s="117" t="n">
        <x:f>IF(AND(DF$3&gt;=EDATE($B$42,-3),DF$3&lt;$B$42),$B$58/3,0)</x:f>
      </x:c>
      <x:c r="DG58" s="117" t="n">
        <x:f>IF(AND(DG$3&gt;=EDATE($B$42,-3),DG$3&lt;$B$42),$B$58/3,0)</x:f>
      </x:c>
      <x:c r="DH58" s="117" t="n">
        <x:f>IF(AND(DH$3&gt;=EDATE($B$42,-3),DH$3&lt;$B$42),$B$58/3,0)</x:f>
      </x:c>
      <x:c r="DI58" s="117" t="n">
        <x:f>IF(AND(DI$3&gt;=EDATE($B$42,-3),DI$3&lt;$B$42),$B$58/3,0)</x:f>
      </x:c>
      <x:c r="DJ58" s="117" t="n">
        <x:f>IF(AND(DJ$3&gt;=EDATE($B$42,-3),DJ$3&lt;$B$42),$B$58/3,0)</x:f>
      </x:c>
      <x:c r="DK58" s="117" t="n">
        <x:f>IF(AND(DK$3&gt;=EDATE($B$42,-3),DK$3&lt;$B$42),$B$58/3,0)</x:f>
      </x:c>
      <x:c r="DL58" s="117" t="n">
        <x:f>IF(AND(DL$3&gt;=EDATE($B$42,-3),DL$3&lt;$B$42),$B$58/3,0)</x:f>
      </x:c>
      <x:c r="DM58" s="117" t="n">
        <x:f>IF(AND(DM$3&gt;=EDATE($B$42,-3),DM$3&lt;$B$42),$B$58/3,0)</x:f>
      </x:c>
      <x:c r="DN58" s="117" t="n">
        <x:f>IF(AND(DN$3&gt;=EDATE($B$42,-3),DN$3&lt;$B$42),$B$58/3,0)</x:f>
      </x:c>
      <x:c r="DO58" s="117" t="n">
        <x:f>IF(AND(DO$3&gt;=EDATE($B$42,-3),DO$3&lt;$B$42),$B$58/3,0)</x:f>
      </x:c>
      <x:c r="DP58" s="117" t="n">
        <x:f>IF(AND(DP$3&gt;=EDATE($B$42,-3),DP$3&lt;$B$42),$B$58/3,0)</x:f>
      </x:c>
      <x:c r="DQ58" s="117" t="n">
        <x:f>IF(AND(DQ$3&gt;=EDATE($B$42,-3),DQ$3&lt;$B$42),$B$58/3,0)</x:f>
      </x:c>
      <x:c r="DR58" s="117" t="n">
        <x:f>IF(AND(DR$3&gt;=EDATE($B$42,-3),DR$3&lt;$B$42),$B$58/3,0)</x:f>
      </x:c>
      <x:c r="DS58" s="117" t="n">
        <x:f>IF(AND(DS$3&gt;=EDATE($B$42,-3),DS$3&lt;$B$42),$B$58/3,0)</x:f>
      </x:c>
      <x:c r="DT58" s="117" t="n">
        <x:f>IF(AND(DT$3&gt;=EDATE($B$42,-3),DT$3&lt;$B$42),$B$58/3,0)</x:f>
      </x:c>
      <x:c r="DU58" s="117" t="n">
        <x:f>IF(AND(DU$3&gt;=EDATE($B$42,-3),DU$3&lt;$B$42),$B$58/3,0)</x:f>
      </x:c>
      <x:c r="DV58" s="117" t="n">
        <x:f>IF(AND(DV$3&gt;=EDATE($B$42,-3),DV$3&lt;$B$42),$B$58/3,0)</x:f>
      </x:c>
      <x:c r="DW58" s="117" t="n">
        <x:f>IF(AND(DW$3&gt;=EDATE($B$42,-3),DW$3&lt;$B$42),$B$58/3,0)</x:f>
      </x:c>
      <x:c r="DX58" s="117" t="n">
        <x:f>IF(AND(DX$3&gt;=EDATE($B$42,-3),DX$3&lt;$B$42),$B$58/3,0)</x:f>
      </x:c>
      <x:c r="DY58" s="117" t="n">
        <x:f>IF(AND(DY$3&gt;=EDATE($B$42,-3),DY$3&lt;$B$42),$B$58/3,0)</x:f>
      </x:c>
      <x:c r="DZ58" s="117" t="n">
        <x:f>IF(AND(DZ$3&gt;=EDATE($B$42,-3),DZ$3&lt;$B$42),$B$58/3,0)</x:f>
      </x:c>
      <x:c r="EA58" s="117" t="n">
        <x:f>IF(AND(EA$3&gt;=EDATE($B$42,-3),EA$3&lt;$B$42),$B$58/3,0)</x:f>
      </x:c>
      <x:c r="EB58" s="117" t="n">
        <x:f>IF(AND(EB$3&gt;=EDATE($B$42,-3),EB$3&lt;$B$42),$B$58/3,0)</x:f>
      </x:c>
      <x:c r="EC58" s="117" t="n">
        <x:f>IF(AND(EC$3&gt;=EDATE($B$42,-3),EC$3&lt;$B$42),$B$58/3,0)</x:f>
      </x:c>
      <x:c r="ED58" s="117" t="n">
        <x:f>IF(AND(ED$3&gt;=EDATE($B$42,-3),ED$3&lt;$B$42),$B$58/3,0)</x:f>
      </x:c>
      <x:c r="EE58" s="117" t="n">
        <x:f>IF(AND(EE$3&gt;=EDATE($B$42,-3),EE$3&lt;$B$42),$B$58/3,0)</x:f>
      </x:c>
      <x:c r="EF58" s="117" t="n">
        <x:f>IF(AND(EF$3&gt;=EDATE($B$42,-3),EF$3&lt;$B$42),$B$58/3,0)</x:f>
      </x:c>
      <x:c r="EG58" s="117" t="n">
        <x:f>IF(AND(EG$3&gt;=EDATE($B$42,-3),EG$3&lt;$B$42),$B$58/3,0)</x:f>
      </x:c>
      <x:c r="EH58" s="117" t="n">
        <x:f>IF(AND(EH$3&gt;=EDATE($B$42,-3),EH$3&lt;$B$42),$B$58/3,0)</x:f>
      </x:c>
      <x:c r="EI58" s="117" t="n">
        <x:f>IF(AND(EI$3&gt;=EDATE($B$42,-3),EI$3&lt;$B$42),$B$58/3,0)</x:f>
      </x:c>
      <x:c r="EJ58" s="117" t="n">
        <x:f>IF(AND(EJ$3&gt;=EDATE($B$42,-3),EJ$3&lt;$B$42),$B$58/3,0)</x:f>
      </x:c>
      <x:c r="EK58" s="117" t="n">
        <x:f>IF(AND(EK$3&gt;=EDATE($B$42,-3),EK$3&lt;$B$42),$B$58/3,0)</x:f>
      </x:c>
      <x:c r="EL58" s="117" t="n">
        <x:f>IF(AND(EL$3&gt;=EDATE($B$42,-3),EL$3&lt;$B$42),$B$58/3,0)</x:f>
      </x:c>
      <x:c r="EM58" s="117" t="n">
        <x:f>IF(AND(EM$3&gt;=EDATE($B$42,-3),EM$3&lt;$B$42),$B$58/3,0)</x:f>
      </x:c>
      <x:c r="EN58" s="117" t="n">
        <x:f>IF(AND(EN$3&gt;=EDATE($B$42,-3),EN$3&lt;$B$42),$B$58/3,0)</x:f>
      </x:c>
      <x:c r="EO58" s="117" t="n">
        <x:f>IF(AND(EO$3&gt;=EDATE($B$42,-3),EO$3&lt;$B$42),$B$58/3,0)</x:f>
      </x:c>
      <x:c r="EP58" s="117" t="n">
        <x:f>IF(AND(EP$3&gt;=EDATE($B$42,-3),EP$3&lt;$B$42),$B$58/3,0)</x:f>
      </x:c>
      <x:c r="EQ58" s="117" t="n">
        <x:f>IF(AND(EQ$3&gt;=EDATE($B$42,-3),EQ$3&lt;$B$42),$B$58/3,0)</x:f>
      </x:c>
      <x:c r="ER58" s="117" t="n">
        <x:f>IF(AND(ER$3&gt;=EDATE($B$42,-3),ER$3&lt;$B$42),$B$58/3,0)</x:f>
      </x:c>
      <x:c r="ES58" s="117" t="n">
        <x:f>IF(AND(ES$3&gt;=EDATE($B$42,-3),ES$3&lt;$B$42),$B$58/3,0)</x:f>
      </x:c>
      <x:c r="ET58" s="117" t="n">
        <x:f>IF(AND(ET$3&gt;=EDATE($B$42,-3),ET$3&lt;$B$42),$B$58/3,0)</x:f>
      </x:c>
      <x:c r="EU58" s="117" t="n">
        <x:f>IF(AND(EU$3&gt;=EDATE($B$42,-3),EU$3&lt;$B$42),$B$58/3,0)</x:f>
      </x:c>
      <x:c r="EV58" s="117" t="n">
        <x:f>IF(AND(EV$3&gt;=EDATE($B$42,-3),EV$3&lt;$B$42),$B$58/3,0)</x:f>
      </x:c>
      <x:c r="EW58" s="117" t="n">
        <x:f>IF(AND(EW$3&gt;=EDATE($B$42,-3),EW$3&lt;$B$42),$B$58/3,0)</x:f>
      </x:c>
      <x:c r="EX58" s="117" t="n">
        <x:f>IF(AND(EX$3&gt;=EDATE($B$42,-3),EX$3&lt;$B$42),$B$58/3,0)</x:f>
      </x:c>
      <x:c r="EY58" s="117" t="n">
        <x:f>IF(AND(EY$3&gt;=EDATE($B$42,-3),EY$3&lt;$B$42),$B$58/3,0)</x:f>
      </x:c>
      <x:c r="EZ58" s="117" t="n">
        <x:f>IF(AND(EZ$3&gt;=EDATE($B$42,-3),EZ$3&lt;$B$42),$B$58/3,0)</x:f>
      </x:c>
      <x:c r="FA58" s="117" t="n">
        <x:f>IF(AND(FA$3&gt;=EDATE($B$42,-3),FA$3&lt;$B$42),$B$58/3,0)</x:f>
      </x:c>
      <x:c r="FB58" s="117" t="n">
        <x:f>IF(AND(FB$3&gt;=EDATE($B$42,-3),FB$3&lt;$B$42),$B$58/3,0)</x:f>
      </x:c>
      <x:c r="FC58" s="117" t="n">
        <x:f>IF(AND(FC$3&gt;=EDATE($B$42,-3),FC$3&lt;$B$42),$B$58/3,0)</x:f>
      </x:c>
      <x:c r="FD58" s="117" t="n">
        <x:f>IF(AND(FD$3&gt;=EDATE($B$42,-3),FD$3&lt;$B$42),$B$58/3,0)</x:f>
      </x:c>
      <x:c r="FE58" s="117" t="n">
        <x:f>IF(AND(FE$3&gt;=EDATE($B$42,-3),FE$3&lt;$B$42),$B$58/3,0)</x:f>
      </x:c>
      <x:c r="FF58" s="117" t="n">
        <x:f>IF(AND(FF$3&gt;=EDATE($B$42,-3),FF$3&lt;$B$42),$B$58/3,0)</x:f>
      </x:c>
      <x:c r="FG58" s="117" t="n">
        <x:f>IF(AND(FG$3&gt;=EDATE($B$42,-3),FG$3&lt;$B$42),$B$58/3,0)</x:f>
      </x:c>
      <x:c r="FH58" s="117" t="n">
        <x:f>IF(AND(FH$3&gt;=EDATE($B$42,-3),FH$3&lt;$B$42),$B$58/3,0)</x:f>
      </x:c>
      <x:c r="FI58" s="117" t="n">
        <x:f>IF(AND(FI$3&gt;=EDATE($B$42,-3),FI$3&lt;$B$42),$B$58/3,0)</x:f>
      </x:c>
      <x:c r="FJ58" s="117" t="n">
        <x:f>IF(AND(FJ$3&gt;=EDATE($B$42,-3),FJ$3&lt;$B$42),$B$58/3,0)</x:f>
      </x:c>
      <x:c r="FK58" s="117" t="n">
        <x:f>IF(AND(FK$3&gt;=EDATE($B$42,-3),FK$3&lt;$B$42),$B$58/3,0)</x:f>
      </x:c>
      <x:c r="FL58" s="117" t="n">
        <x:f>IF(AND(FL$3&gt;=EDATE($B$42,-3),FL$3&lt;$B$42),$B$58/3,0)</x:f>
      </x:c>
      <x:c r="FM58" s="117" t="n">
        <x:f>IF(AND(FM$3&gt;=EDATE($B$42,-3),FM$3&lt;$B$42),$B$58/3,0)</x:f>
      </x:c>
      <x:c r="FN58" s="117" t="n">
        <x:f>IF(AND(FN$3&gt;=EDATE($B$42,-3),FN$3&lt;$B$42),$B$58/3,0)</x:f>
      </x:c>
      <x:c r="FO58" s="117" t="n">
        <x:f>IF(AND(FO$3&gt;=EDATE($B$42,-3),FO$3&lt;$B$42),$B$58/3,0)</x:f>
      </x:c>
      <x:c r="FP58" s="117" t="n">
        <x:f>IF(AND(FP$3&gt;=EDATE($B$42,-3),FP$3&lt;$B$42),$B$58/3,0)</x:f>
      </x:c>
      <x:c r="FQ58" s="117" t="n">
        <x:f>IF(AND(FQ$3&gt;=EDATE($B$42,-3),FQ$3&lt;$B$42),$B$58/3,0)</x:f>
      </x:c>
      <x:c r="FR58" s="117" t="n">
        <x:f>IF(AND(FR$3&gt;=EDATE($B$42,-3),FR$3&lt;$B$42),$B$58/3,0)</x:f>
      </x:c>
      <x:c r="FS58" s="117" t="n">
        <x:f>IF(AND(FS$3&gt;=EDATE($B$42,-3),FS$3&lt;$B$42),$B$58/3,0)</x:f>
      </x:c>
      <x:c r="FT58" s="117" t="n">
        <x:f>IF(AND(FT$3&gt;=EDATE($B$42,-3),FT$3&lt;$B$42),$B$58/3,0)</x:f>
      </x:c>
      <x:c r="FU58" s="117" t="n">
        <x:f>IF(AND(FU$3&gt;=EDATE($B$42,-3),FU$3&lt;$B$42),$B$58/3,0)</x:f>
      </x:c>
      <x:c r="FV58" s="117" t="n">
        <x:f>IF(AND(FV$3&gt;=EDATE($B$42,-3),FV$3&lt;$B$42),$B$58/3,0)</x:f>
      </x:c>
      <x:c r="FW58" s="117" t="n">
        <x:f>IF(AND(FW$3&gt;=EDATE($B$42,-3),FW$3&lt;$B$42),$B$58/3,0)</x:f>
      </x:c>
      <x:c r="FX58" s="117" t="n">
        <x:f>IF(AND(FX$3&gt;=EDATE($B$42,-3),FX$3&lt;$B$42),$B$58/3,0)</x:f>
      </x:c>
      <x:c r="FY58" s="117" t="n">
        <x:f>IF(AND(FY$3&gt;=EDATE($B$42,-3),FY$3&lt;$B$42),$B$58/3,0)</x:f>
      </x:c>
      <x:c r="FZ58" s="117" t="n">
        <x:f>IF(AND(FZ$3&gt;=EDATE($B$42,-3),FZ$3&lt;$B$42),$B$58/3,0)</x:f>
      </x:c>
      <x:c r="GA58" s="117" t="n">
        <x:f>IF(AND(GA$3&gt;=EDATE($B$42,-3),GA$3&lt;$B$42),$B$58/3,0)</x:f>
      </x:c>
    </x:row>
    <x:row r="59">
      <x:c r="A59" t="str">
        <x:v>Сдача и ввод</x:v>
      </x:c>
      <x:c r="B59" s="107" t="n">
        <x:f>(('Вводные'!$I$89+'Вводные'!$J$89+'Вводные'!$K$89)*'Вводные'!$B$48/1000*'Вводные'!$H$6*'Вводные'!$T$89*--('Вводные'!$B$89="Да"))*'Вводные'!$AH$89</x:f>
      </x:c>
      <x:c r="C59" t="str">
        <x:v>млн ₽</x:v>
      </x:c>
      <x:c r="D59" s="117" t="n">
        <x:f>IF(AND(D$3&gt;=EDATE($B$42,-3),D$3&lt;$B$42),$B$59/3,0)</x:f>
      </x:c>
      <x:c r="E59" s="117" t="n">
        <x:f>IF(AND(E$3&gt;=EDATE($B$42,-3),E$3&lt;$B$42),$B$59/3,0)</x:f>
      </x:c>
      <x:c r="F59" s="117" t="n">
        <x:f>IF(AND(F$3&gt;=EDATE($B$42,-3),F$3&lt;$B$42),$B$59/3,0)</x:f>
      </x:c>
      <x:c r="G59" s="117" t="n">
        <x:f>IF(AND(G$3&gt;=EDATE($B$42,-3),G$3&lt;$B$42),$B$59/3,0)</x:f>
      </x:c>
      <x:c r="H59" s="117" t="n">
        <x:f>IF(AND(H$3&gt;=EDATE($B$42,-3),H$3&lt;$B$42),$B$59/3,0)</x:f>
      </x:c>
      <x:c r="I59" s="117" t="n">
        <x:f>IF(AND(I$3&gt;=EDATE($B$42,-3),I$3&lt;$B$42),$B$59/3,0)</x:f>
      </x:c>
      <x:c r="J59" s="117" t="n">
        <x:f>IF(AND(J$3&gt;=EDATE($B$42,-3),J$3&lt;$B$42),$B$59/3,0)</x:f>
      </x:c>
      <x:c r="K59" s="117" t="n">
        <x:f>IF(AND(K$3&gt;=EDATE($B$42,-3),K$3&lt;$B$42),$B$59/3,0)</x:f>
      </x:c>
      <x:c r="L59" s="117" t="n">
        <x:f>IF(AND(L$3&gt;=EDATE($B$42,-3),L$3&lt;$B$42),$B$59/3,0)</x:f>
      </x:c>
      <x:c r="M59" s="117" t="n">
        <x:f>IF(AND(M$3&gt;=EDATE($B$42,-3),M$3&lt;$B$42),$B$59/3,0)</x:f>
      </x:c>
      <x:c r="N59" s="117" t="n">
        <x:f>IF(AND(N$3&gt;=EDATE($B$42,-3),N$3&lt;$B$42),$B$59/3,0)</x:f>
      </x:c>
      <x:c r="O59" s="117" t="n">
        <x:f>IF(AND(O$3&gt;=EDATE($B$42,-3),O$3&lt;$B$42),$B$59/3,0)</x:f>
      </x:c>
      <x:c r="P59" s="117" t="n">
        <x:f>IF(AND(P$3&gt;=EDATE($B$42,-3),P$3&lt;$B$42),$B$59/3,0)</x:f>
      </x:c>
      <x:c r="Q59" s="117" t="n">
        <x:f>IF(AND(Q$3&gt;=EDATE($B$42,-3),Q$3&lt;$B$42),$B$59/3,0)</x:f>
      </x:c>
      <x:c r="R59" s="117" t="n">
        <x:f>IF(AND(R$3&gt;=EDATE($B$42,-3),R$3&lt;$B$42),$B$59/3,0)</x:f>
      </x:c>
      <x:c r="S59" s="117" t="n">
        <x:f>IF(AND(S$3&gt;=EDATE($B$42,-3),S$3&lt;$B$42),$B$59/3,0)</x:f>
      </x:c>
      <x:c r="T59" s="117" t="n">
        <x:f>IF(AND(T$3&gt;=EDATE($B$42,-3),T$3&lt;$B$42),$B$59/3,0)</x:f>
      </x:c>
      <x:c r="U59" s="117" t="n">
        <x:f>IF(AND(U$3&gt;=EDATE($B$42,-3),U$3&lt;$B$42),$B$59/3,0)</x:f>
      </x:c>
      <x:c r="V59" s="117" t="n">
        <x:f>IF(AND(V$3&gt;=EDATE($B$42,-3),V$3&lt;$B$42),$B$59/3,0)</x:f>
      </x:c>
      <x:c r="W59" s="117" t="n">
        <x:f>IF(AND(W$3&gt;=EDATE($B$42,-3),W$3&lt;$B$42),$B$59/3,0)</x:f>
      </x:c>
      <x:c r="X59" s="117" t="n">
        <x:f>IF(AND(X$3&gt;=EDATE($B$42,-3),X$3&lt;$B$42),$B$59/3,0)</x:f>
      </x:c>
      <x:c r="Y59" s="117" t="n">
        <x:f>IF(AND(Y$3&gt;=EDATE($B$42,-3),Y$3&lt;$B$42),$B$59/3,0)</x:f>
      </x:c>
      <x:c r="Z59" s="117" t="n">
        <x:f>IF(AND(Z$3&gt;=EDATE($B$42,-3),Z$3&lt;$B$42),$B$59/3,0)</x:f>
      </x:c>
      <x:c r="AA59" s="117" t="n">
        <x:f>IF(AND(AA$3&gt;=EDATE($B$42,-3),AA$3&lt;$B$42),$B$59/3,0)</x:f>
      </x:c>
      <x:c r="AB59" s="117" t="n">
        <x:f>IF(AND(AB$3&gt;=EDATE($B$42,-3),AB$3&lt;$B$42),$B$59/3,0)</x:f>
      </x:c>
      <x:c r="AC59" s="117" t="n">
        <x:f>IF(AND(AC$3&gt;=EDATE($B$42,-3),AC$3&lt;$B$42),$B$59/3,0)</x:f>
      </x:c>
      <x:c r="AD59" s="117" t="n">
        <x:f>IF(AND(AD$3&gt;=EDATE($B$42,-3),AD$3&lt;$B$42),$B$59/3,0)</x:f>
      </x:c>
      <x:c r="AE59" s="117" t="n">
        <x:f>IF(AND(AE$3&gt;=EDATE($B$42,-3),AE$3&lt;$B$42),$B$59/3,0)</x:f>
      </x:c>
      <x:c r="AF59" s="117" t="n">
        <x:f>IF(AND(AF$3&gt;=EDATE($B$42,-3),AF$3&lt;$B$42),$B$59/3,0)</x:f>
      </x:c>
      <x:c r="AG59" s="117" t="n">
        <x:f>IF(AND(AG$3&gt;=EDATE($B$42,-3),AG$3&lt;$B$42),$B$59/3,0)</x:f>
      </x:c>
      <x:c r="AH59" s="117" t="n">
        <x:f>IF(AND(AH$3&gt;=EDATE($B$42,-3),AH$3&lt;$B$42),$B$59/3,0)</x:f>
      </x:c>
      <x:c r="AI59" s="117" t="n">
        <x:f>IF(AND(AI$3&gt;=EDATE($B$42,-3),AI$3&lt;$B$42),$B$59/3,0)</x:f>
      </x:c>
      <x:c r="AJ59" s="117" t="n">
        <x:f>IF(AND(AJ$3&gt;=EDATE($B$42,-3),AJ$3&lt;$B$42),$B$59/3,0)</x:f>
      </x:c>
      <x:c r="AK59" s="117" t="n">
        <x:f>IF(AND(AK$3&gt;=EDATE($B$42,-3),AK$3&lt;$B$42),$B$59/3,0)</x:f>
      </x:c>
      <x:c r="AL59" s="117" t="n">
        <x:f>IF(AND(AL$3&gt;=EDATE($B$42,-3),AL$3&lt;$B$42),$B$59/3,0)</x:f>
      </x:c>
      <x:c r="AM59" s="117" t="n">
        <x:f>IF(AND(AM$3&gt;=EDATE($B$42,-3),AM$3&lt;$B$42),$B$59/3,0)</x:f>
      </x:c>
      <x:c r="AN59" s="117" t="n">
        <x:f>IF(AND(AN$3&gt;=EDATE($B$42,-3),AN$3&lt;$B$42),$B$59/3,0)</x:f>
      </x:c>
      <x:c r="AO59" s="117" t="n">
        <x:f>IF(AND(AO$3&gt;=EDATE($B$42,-3),AO$3&lt;$B$42),$B$59/3,0)</x:f>
      </x:c>
      <x:c r="AP59" s="117" t="n">
        <x:f>IF(AND(AP$3&gt;=EDATE($B$42,-3),AP$3&lt;$B$42),$B$59/3,0)</x:f>
      </x:c>
      <x:c r="AQ59" s="117" t="n">
        <x:f>IF(AND(AQ$3&gt;=EDATE($B$42,-3),AQ$3&lt;$B$42),$B$59/3,0)</x:f>
      </x:c>
      <x:c r="AR59" s="117" t="n">
        <x:f>IF(AND(AR$3&gt;=EDATE($B$42,-3),AR$3&lt;$B$42),$B$59/3,0)</x:f>
      </x:c>
      <x:c r="AS59" s="117" t="n">
        <x:f>IF(AND(AS$3&gt;=EDATE($B$42,-3),AS$3&lt;$B$42),$B$59/3,0)</x:f>
      </x:c>
      <x:c r="AT59" s="117" t="n">
        <x:f>IF(AND(AT$3&gt;=EDATE($B$42,-3),AT$3&lt;$B$42),$B$59/3,0)</x:f>
      </x:c>
      <x:c r="AU59" s="117" t="n">
        <x:f>IF(AND(AU$3&gt;=EDATE($B$42,-3),AU$3&lt;$B$42),$B$59/3,0)</x:f>
      </x:c>
      <x:c r="AV59" s="117" t="n">
        <x:f>IF(AND(AV$3&gt;=EDATE($B$42,-3),AV$3&lt;$B$42),$B$59/3,0)</x:f>
      </x:c>
      <x:c r="AW59" s="117" t="n">
        <x:f>IF(AND(AW$3&gt;=EDATE($B$42,-3),AW$3&lt;$B$42),$B$59/3,0)</x:f>
      </x:c>
      <x:c r="AX59" s="117" t="n">
        <x:f>IF(AND(AX$3&gt;=EDATE($B$42,-3),AX$3&lt;$B$42),$B$59/3,0)</x:f>
      </x:c>
      <x:c r="AY59" s="117" t="n">
        <x:f>IF(AND(AY$3&gt;=EDATE($B$42,-3),AY$3&lt;$B$42),$B$59/3,0)</x:f>
      </x:c>
      <x:c r="AZ59" s="117" t="n">
        <x:f>IF(AND(AZ$3&gt;=EDATE($B$42,-3),AZ$3&lt;$B$42),$B$59/3,0)</x:f>
      </x:c>
      <x:c r="BA59" s="117" t="n">
        <x:f>IF(AND(BA$3&gt;=EDATE($B$42,-3),BA$3&lt;$B$42),$B$59/3,0)</x:f>
      </x:c>
      <x:c r="BB59" s="117" t="n">
        <x:f>IF(AND(BB$3&gt;=EDATE($B$42,-3),BB$3&lt;$B$42),$B$59/3,0)</x:f>
      </x:c>
      <x:c r="BC59" s="117" t="n">
        <x:f>IF(AND(BC$3&gt;=EDATE($B$42,-3),BC$3&lt;$B$42),$B$59/3,0)</x:f>
      </x:c>
      <x:c r="BD59" s="117" t="n">
        <x:f>IF(AND(BD$3&gt;=EDATE($B$42,-3),BD$3&lt;$B$42),$B$59/3,0)</x:f>
      </x:c>
      <x:c r="BE59" s="117" t="n">
        <x:f>IF(AND(BE$3&gt;=EDATE($B$42,-3),BE$3&lt;$B$42),$B$59/3,0)</x:f>
      </x:c>
      <x:c r="BF59" s="117" t="n">
        <x:f>IF(AND(BF$3&gt;=EDATE($B$42,-3),BF$3&lt;$B$42),$B$59/3,0)</x:f>
      </x:c>
      <x:c r="BG59" s="117" t="n">
        <x:f>IF(AND(BG$3&gt;=EDATE($B$42,-3),BG$3&lt;$B$42),$B$59/3,0)</x:f>
      </x:c>
      <x:c r="BH59" s="117" t="n">
        <x:f>IF(AND(BH$3&gt;=EDATE($B$42,-3),BH$3&lt;$B$42),$B$59/3,0)</x:f>
      </x:c>
      <x:c r="BI59" s="117" t="n">
        <x:f>IF(AND(BI$3&gt;=EDATE($B$42,-3),BI$3&lt;$B$42),$B$59/3,0)</x:f>
      </x:c>
      <x:c r="BJ59" s="117" t="n">
        <x:f>IF(AND(BJ$3&gt;=EDATE($B$42,-3),BJ$3&lt;$B$42),$B$59/3,0)</x:f>
      </x:c>
      <x:c r="BK59" s="117" t="n">
        <x:f>IF(AND(BK$3&gt;=EDATE($B$42,-3),BK$3&lt;$B$42),$B$59/3,0)</x:f>
      </x:c>
      <x:c r="BL59" s="117" t="n">
        <x:f>IF(AND(BL$3&gt;=EDATE($B$42,-3),BL$3&lt;$B$42),$B$59/3,0)</x:f>
      </x:c>
      <x:c r="BM59" s="117" t="n">
        <x:f>IF(AND(BM$3&gt;=EDATE($B$42,-3),BM$3&lt;$B$42),$B$59/3,0)</x:f>
      </x:c>
      <x:c r="BN59" s="117" t="n">
        <x:f>IF(AND(BN$3&gt;=EDATE($B$42,-3),BN$3&lt;$B$42),$B$59/3,0)</x:f>
      </x:c>
      <x:c r="BO59" s="117" t="n">
        <x:f>IF(AND(BO$3&gt;=EDATE($B$42,-3),BO$3&lt;$B$42),$B$59/3,0)</x:f>
      </x:c>
      <x:c r="BP59" s="117" t="n">
        <x:f>IF(AND(BP$3&gt;=EDATE($B$42,-3),BP$3&lt;$B$42),$B$59/3,0)</x:f>
      </x:c>
      <x:c r="BQ59" s="117" t="n">
        <x:f>IF(AND(BQ$3&gt;=EDATE($B$42,-3),BQ$3&lt;$B$42),$B$59/3,0)</x:f>
      </x:c>
      <x:c r="BR59" s="117" t="n">
        <x:f>IF(AND(BR$3&gt;=EDATE($B$42,-3),BR$3&lt;$B$42),$B$59/3,0)</x:f>
      </x:c>
      <x:c r="BS59" s="117" t="n">
        <x:f>IF(AND(BS$3&gt;=EDATE($B$42,-3),BS$3&lt;$B$42),$B$59/3,0)</x:f>
      </x:c>
      <x:c r="BT59" s="117" t="n">
        <x:f>IF(AND(BT$3&gt;=EDATE($B$42,-3),BT$3&lt;$B$42),$B$59/3,0)</x:f>
      </x:c>
      <x:c r="BU59" s="117" t="n">
        <x:f>IF(AND(BU$3&gt;=EDATE($B$42,-3),BU$3&lt;$B$42),$B$59/3,0)</x:f>
      </x:c>
      <x:c r="BV59" s="117" t="n">
        <x:f>IF(AND(BV$3&gt;=EDATE($B$42,-3),BV$3&lt;$B$42),$B$59/3,0)</x:f>
      </x:c>
      <x:c r="BW59" s="117" t="n">
        <x:f>IF(AND(BW$3&gt;=EDATE($B$42,-3),BW$3&lt;$B$42),$B$59/3,0)</x:f>
      </x:c>
      <x:c r="BX59" s="117" t="n">
        <x:f>IF(AND(BX$3&gt;=EDATE($B$42,-3),BX$3&lt;$B$42),$B$59/3,0)</x:f>
      </x:c>
      <x:c r="BY59" s="117" t="n">
        <x:f>IF(AND(BY$3&gt;=EDATE($B$42,-3),BY$3&lt;$B$42),$B$59/3,0)</x:f>
      </x:c>
      <x:c r="BZ59" s="117" t="n">
        <x:f>IF(AND(BZ$3&gt;=EDATE($B$42,-3),BZ$3&lt;$B$42),$B$59/3,0)</x:f>
      </x:c>
      <x:c r="CA59" s="117" t="n">
        <x:f>IF(AND(CA$3&gt;=EDATE($B$42,-3),CA$3&lt;$B$42),$B$59/3,0)</x:f>
      </x:c>
      <x:c r="CB59" s="117" t="n">
        <x:f>IF(AND(CB$3&gt;=EDATE($B$42,-3),CB$3&lt;$B$42),$B$59/3,0)</x:f>
      </x:c>
      <x:c r="CC59" s="117" t="n">
        <x:f>IF(AND(CC$3&gt;=EDATE($B$42,-3),CC$3&lt;$B$42),$B$59/3,0)</x:f>
      </x:c>
      <x:c r="CD59" s="117" t="n">
        <x:f>IF(AND(CD$3&gt;=EDATE($B$42,-3),CD$3&lt;$B$42),$B$59/3,0)</x:f>
      </x:c>
      <x:c r="CE59" s="117" t="n">
        <x:f>IF(AND(CE$3&gt;=EDATE($B$42,-3),CE$3&lt;$B$42),$B$59/3,0)</x:f>
      </x:c>
      <x:c r="CF59" s="117" t="n">
        <x:f>IF(AND(CF$3&gt;=EDATE($B$42,-3),CF$3&lt;$B$42),$B$59/3,0)</x:f>
      </x:c>
      <x:c r="CG59" s="117" t="n">
        <x:f>IF(AND(CG$3&gt;=EDATE($B$42,-3),CG$3&lt;$B$42),$B$59/3,0)</x:f>
      </x:c>
      <x:c r="CH59" s="117" t="n">
        <x:f>IF(AND(CH$3&gt;=EDATE($B$42,-3),CH$3&lt;$B$42),$B$59/3,0)</x:f>
      </x:c>
      <x:c r="CI59" s="117" t="n">
        <x:f>IF(AND(CI$3&gt;=EDATE($B$42,-3),CI$3&lt;$B$42),$B$59/3,0)</x:f>
      </x:c>
      <x:c r="CJ59" s="117" t="n">
        <x:f>IF(AND(CJ$3&gt;=EDATE($B$42,-3),CJ$3&lt;$B$42),$B$59/3,0)</x:f>
      </x:c>
      <x:c r="CK59" s="117" t="n">
        <x:f>IF(AND(CK$3&gt;=EDATE($B$42,-3),CK$3&lt;$B$42),$B$59/3,0)</x:f>
      </x:c>
      <x:c r="CL59" s="117" t="n">
        <x:f>IF(AND(CL$3&gt;=EDATE($B$42,-3),CL$3&lt;$B$42),$B$59/3,0)</x:f>
      </x:c>
      <x:c r="CM59" s="117" t="n">
        <x:f>IF(AND(CM$3&gt;=EDATE($B$42,-3),CM$3&lt;$B$42),$B$59/3,0)</x:f>
      </x:c>
      <x:c r="CN59" s="117" t="n">
        <x:f>IF(AND(CN$3&gt;=EDATE($B$42,-3),CN$3&lt;$B$42),$B$59/3,0)</x:f>
      </x:c>
      <x:c r="CO59" s="117" t="n">
        <x:f>IF(AND(CO$3&gt;=EDATE($B$42,-3),CO$3&lt;$B$42),$B$59/3,0)</x:f>
      </x:c>
      <x:c r="CP59" s="117" t="n">
        <x:f>IF(AND(CP$3&gt;=EDATE($B$42,-3),CP$3&lt;$B$42),$B$59/3,0)</x:f>
      </x:c>
      <x:c r="CQ59" s="117" t="n">
        <x:f>IF(AND(CQ$3&gt;=EDATE($B$42,-3),CQ$3&lt;$B$42),$B$59/3,0)</x:f>
      </x:c>
      <x:c r="CR59" s="117" t="n">
        <x:f>IF(AND(CR$3&gt;=EDATE($B$42,-3),CR$3&lt;$B$42),$B$59/3,0)</x:f>
      </x:c>
      <x:c r="CS59" s="117" t="n">
        <x:f>IF(AND(CS$3&gt;=EDATE($B$42,-3),CS$3&lt;$B$42),$B$59/3,0)</x:f>
      </x:c>
      <x:c r="CT59" s="117" t="n">
        <x:f>IF(AND(CT$3&gt;=EDATE($B$42,-3),CT$3&lt;$B$42),$B$59/3,0)</x:f>
      </x:c>
      <x:c r="CU59" s="117" t="n">
        <x:f>IF(AND(CU$3&gt;=EDATE($B$42,-3),CU$3&lt;$B$42),$B$59/3,0)</x:f>
      </x:c>
      <x:c r="CV59" s="117" t="n">
        <x:f>IF(AND(CV$3&gt;=EDATE($B$42,-3),CV$3&lt;$B$42),$B$59/3,0)</x:f>
      </x:c>
      <x:c r="CW59" s="117" t="n">
        <x:f>IF(AND(CW$3&gt;=EDATE($B$42,-3),CW$3&lt;$B$42),$B$59/3,0)</x:f>
      </x:c>
      <x:c r="CX59" s="117" t="n">
        <x:f>IF(AND(CX$3&gt;=EDATE($B$42,-3),CX$3&lt;$B$42),$B$59/3,0)</x:f>
      </x:c>
      <x:c r="CY59" s="117" t="n">
        <x:f>IF(AND(CY$3&gt;=EDATE($B$42,-3),CY$3&lt;$B$42),$B$59/3,0)</x:f>
      </x:c>
      <x:c r="CZ59" s="117" t="n">
        <x:f>IF(AND(CZ$3&gt;=EDATE($B$42,-3),CZ$3&lt;$B$42),$B$59/3,0)</x:f>
      </x:c>
      <x:c r="DA59" s="117" t="n">
        <x:f>IF(AND(DA$3&gt;=EDATE($B$42,-3),DA$3&lt;$B$42),$B$59/3,0)</x:f>
      </x:c>
      <x:c r="DB59" s="117" t="n">
        <x:f>IF(AND(DB$3&gt;=EDATE($B$42,-3),DB$3&lt;$B$42),$B$59/3,0)</x:f>
      </x:c>
      <x:c r="DC59" s="117" t="n">
        <x:f>IF(AND(DC$3&gt;=EDATE($B$42,-3),DC$3&lt;$B$42),$B$59/3,0)</x:f>
      </x:c>
      <x:c r="DD59" s="117" t="n">
        <x:f>IF(AND(DD$3&gt;=EDATE($B$42,-3),DD$3&lt;$B$42),$B$59/3,0)</x:f>
      </x:c>
      <x:c r="DE59" s="117" t="n">
        <x:f>IF(AND(DE$3&gt;=EDATE($B$42,-3),DE$3&lt;$B$42),$B$59/3,0)</x:f>
      </x:c>
      <x:c r="DF59" s="117" t="n">
        <x:f>IF(AND(DF$3&gt;=EDATE($B$42,-3),DF$3&lt;$B$42),$B$59/3,0)</x:f>
      </x:c>
      <x:c r="DG59" s="117" t="n">
        <x:f>IF(AND(DG$3&gt;=EDATE($B$42,-3),DG$3&lt;$B$42),$B$59/3,0)</x:f>
      </x:c>
      <x:c r="DH59" s="117" t="n">
        <x:f>IF(AND(DH$3&gt;=EDATE($B$42,-3),DH$3&lt;$B$42),$B$59/3,0)</x:f>
      </x:c>
      <x:c r="DI59" s="117" t="n">
        <x:f>IF(AND(DI$3&gt;=EDATE($B$42,-3),DI$3&lt;$B$42),$B$59/3,0)</x:f>
      </x:c>
      <x:c r="DJ59" s="117" t="n">
        <x:f>IF(AND(DJ$3&gt;=EDATE($B$42,-3),DJ$3&lt;$B$42),$B$59/3,0)</x:f>
      </x:c>
      <x:c r="DK59" s="117" t="n">
        <x:f>IF(AND(DK$3&gt;=EDATE($B$42,-3),DK$3&lt;$B$42),$B$59/3,0)</x:f>
      </x:c>
      <x:c r="DL59" s="117" t="n">
        <x:f>IF(AND(DL$3&gt;=EDATE($B$42,-3),DL$3&lt;$B$42),$B$59/3,0)</x:f>
      </x:c>
      <x:c r="DM59" s="117" t="n">
        <x:f>IF(AND(DM$3&gt;=EDATE($B$42,-3),DM$3&lt;$B$42),$B$59/3,0)</x:f>
      </x:c>
      <x:c r="DN59" s="117" t="n">
        <x:f>IF(AND(DN$3&gt;=EDATE($B$42,-3),DN$3&lt;$B$42),$B$59/3,0)</x:f>
      </x:c>
      <x:c r="DO59" s="117" t="n">
        <x:f>IF(AND(DO$3&gt;=EDATE($B$42,-3),DO$3&lt;$B$42),$B$59/3,0)</x:f>
      </x:c>
      <x:c r="DP59" s="117" t="n">
        <x:f>IF(AND(DP$3&gt;=EDATE($B$42,-3),DP$3&lt;$B$42),$B$59/3,0)</x:f>
      </x:c>
      <x:c r="DQ59" s="117" t="n">
        <x:f>IF(AND(DQ$3&gt;=EDATE($B$42,-3),DQ$3&lt;$B$42),$B$59/3,0)</x:f>
      </x:c>
      <x:c r="DR59" s="117" t="n">
        <x:f>IF(AND(DR$3&gt;=EDATE($B$42,-3),DR$3&lt;$B$42),$B$59/3,0)</x:f>
      </x:c>
      <x:c r="DS59" s="117" t="n">
        <x:f>IF(AND(DS$3&gt;=EDATE($B$42,-3),DS$3&lt;$B$42),$B$59/3,0)</x:f>
      </x:c>
      <x:c r="DT59" s="117" t="n">
        <x:f>IF(AND(DT$3&gt;=EDATE($B$42,-3),DT$3&lt;$B$42),$B$59/3,0)</x:f>
      </x:c>
      <x:c r="DU59" s="117" t="n">
        <x:f>IF(AND(DU$3&gt;=EDATE($B$42,-3),DU$3&lt;$B$42),$B$59/3,0)</x:f>
      </x:c>
      <x:c r="DV59" s="117" t="n">
        <x:f>IF(AND(DV$3&gt;=EDATE($B$42,-3),DV$3&lt;$B$42),$B$59/3,0)</x:f>
      </x:c>
      <x:c r="DW59" s="117" t="n">
        <x:f>IF(AND(DW$3&gt;=EDATE($B$42,-3),DW$3&lt;$B$42),$B$59/3,0)</x:f>
      </x:c>
      <x:c r="DX59" s="117" t="n">
        <x:f>IF(AND(DX$3&gt;=EDATE($B$42,-3),DX$3&lt;$B$42),$B$59/3,0)</x:f>
      </x:c>
      <x:c r="DY59" s="117" t="n">
        <x:f>IF(AND(DY$3&gt;=EDATE($B$42,-3),DY$3&lt;$B$42),$B$59/3,0)</x:f>
      </x:c>
      <x:c r="DZ59" s="117" t="n">
        <x:f>IF(AND(DZ$3&gt;=EDATE($B$42,-3),DZ$3&lt;$B$42),$B$59/3,0)</x:f>
      </x:c>
      <x:c r="EA59" s="117" t="n">
        <x:f>IF(AND(EA$3&gt;=EDATE($B$42,-3),EA$3&lt;$B$42),$B$59/3,0)</x:f>
      </x:c>
      <x:c r="EB59" s="117" t="n">
        <x:f>IF(AND(EB$3&gt;=EDATE($B$42,-3),EB$3&lt;$B$42),$B$59/3,0)</x:f>
      </x:c>
      <x:c r="EC59" s="117" t="n">
        <x:f>IF(AND(EC$3&gt;=EDATE($B$42,-3),EC$3&lt;$B$42),$B$59/3,0)</x:f>
      </x:c>
      <x:c r="ED59" s="117" t="n">
        <x:f>IF(AND(ED$3&gt;=EDATE($B$42,-3),ED$3&lt;$B$42),$B$59/3,0)</x:f>
      </x:c>
      <x:c r="EE59" s="117" t="n">
        <x:f>IF(AND(EE$3&gt;=EDATE($B$42,-3),EE$3&lt;$B$42),$B$59/3,0)</x:f>
      </x:c>
      <x:c r="EF59" s="117" t="n">
        <x:f>IF(AND(EF$3&gt;=EDATE($B$42,-3),EF$3&lt;$B$42),$B$59/3,0)</x:f>
      </x:c>
      <x:c r="EG59" s="117" t="n">
        <x:f>IF(AND(EG$3&gt;=EDATE($B$42,-3),EG$3&lt;$B$42),$B$59/3,0)</x:f>
      </x:c>
      <x:c r="EH59" s="117" t="n">
        <x:f>IF(AND(EH$3&gt;=EDATE($B$42,-3),EH$3&lt;$B$42),$B$59/3,0)</x:f>
      </x:c>
      <x:c r="EI59" s="117" t="n">
        <x:f>IF(AND(EI$3&gt;=EDATE($B$42,-3),EI$3&lt;$B$42),$B$59/3,0)</x:f>
      </x:c>
      <x:c r="EJ59" s="117" t="n">
        <x:f>IF(AND(EJ$3&gt;=EDATE($B$42,-3),EJ$3&lt;$B$42),$B$59/3,0)</x:f>
      </x:c>
      <x:c r="EK59" s="117" t="n">
        <x:f>IF(AND(EK$3&gt;=EDATE($B$42,-3),EK$3&lt;$B$42),$B$59/3,0)</x:f>
      </x:c>
      <x:c r="EL59" s="117" t="n">
        <x:f>IF(AND(EL$3&gt;=EDATE($B$42,-3),EL$3&lt;$B$42),$B$59/3,0)</x:f>
      </x:c>
      <x:c r="EM59" s="117" t="n">
        <x:f>IF(AND(EM$3&gt;=EDATE($B$42,-3),EM$3&lt;$B$42),$B$59/3,0)</x:f>
      </x:c>
      <x:c r="EN59" s="117" t="n">
        <x:f>IF(AND(EN$3&gt;=EDATE($B$42,-3),EN$3&lt;$B$42),$B$59/3,0)</x:f>
      </x:c>
      <x:c r="EO59" s="117" t="n">
        <x:f>IF(AND(EO$3&gt;=EDATE($B$42,-3),EO$3&lt;$B$42),$B$59/3,0)</x:f>
      </x:c>
      <x:c r="EP59" s="117" t="n">
        <x:f>IF(AND(EP$3&gt;=EDATE($B$42,-3),EP$3&lt;$B$42),$B$59/3,0)</x:f>
      </x:c>
      <x:c r="EQ59" s="117" t="n">
        <x:f>IF(AND(EQ$3&gt;=EDATE($B$42,-3),EQ$3&lt;$B$42),$B$59/3,0)</x:f>
      </x:c>
      <x:c r="ER59" s="117" t="n">
        <x:f>IF(AND(ER$3&gt;=EDATE($B$42,-3),ER$3&lt;$B$42),$B$59/3,0)</x:f>
      </x:c>
      <x:c r="ES59" s="117" t="n">
        <x:f>IF(AND(ES$3&gt;=EDATE($B$42,-3),ES$3&lt;$B$42),$B$59/3,0)</x:f>
      </x:c>
      <x:c r="ET59" s="117" t="n">
        <x:f>IF(AND(ET$3&gt;=EDATE($B$42,-3),ET$3&lt;$B$42),$B$59/3,0)</x:f>
      </x:c>
      <x:c r="EU59" s="117" t="n">
        <x:f>IF(AND(EU$3&gt;=EDATE($B$42,-3),EU$3&lt;$B$42),$B$59/3,0)</x:f>
      </x:c>
      <x:c r="EV59" s="117" t="n">
        <x:f>IF(AND(EV$3&gt;=EDATE($B$42,-3),EV$3&lt;$B$42),$B$59/3,0)</x:f>
      </x:c>
      <x:c r="EW59" s="117" t="n">
        <x:f>IF(AND(EW$3&gt;=EDATE($B$42,-3),EW$3&lt;$B$42),$B$59/3,0)</x:f>
      </x:c>
      <x:c r="EX59" s="117" t="n">
        <x:f>IF(AND(EX$3&gt;=EDATE($B$42,-3),EX$3&lt;$B$42),$B$59/3,0)</x:f>
      </x:c>
      <x:c r="EY59" s="117" t="n">
        <x:f>IF(AND(EY$3&gt;=EDATE($B$42,-3),EY$3&lt;$B$42),$B$59/3,0)</x:f>
      </x:c>
      <x:c r="EZ59" s="117" t="n">
        <x:f>IF(AND(EZ$3&gt;=EDATE($B$42,-3),EZ$3&lt;$B$42),$B$59/3,0)</x:f>
      </x:c>
      <x:c r="FA59" s="117" t="n">
        <x:f>IF(AND(FA$3&gt;=EDATE($B$42,-3),FA$3&lt;$B$42),$B$59/3,0)</x:f>
      </x:c>
      <x:c r="FB59" s="117" t="n">
        <x:f>IF(AND(FB$3&gt;=EDATE($B$42,-3),FB$3&lt;$B$42),$B$59/3,0)</x:f>
      </x:c>
      <x:c r="FC59" s="117" t="n">
        <x:f>IF(AND(FC$3&gt;=EDATE($B$42,-3),FC$3&lt;$B$42),$B$59/3,0)</x:f>
      </x:c>
      <x:c r="FD59" s="117" t="n">
        <x:f>IF(AND(FD$3&gt;=EDATE($B$42,-3),FD$3&lt;$B$42),$B$59/3,0)</x:f>
      </x:c>
      <x:c r="FE59" s="117" t="n">
        <x:f>IF(AND(FE$3&gt;=EDATE($B$42,-3),FE$3&lt;$B$42),$B$59/3,0)</x:f>
      </x:c>
      <x:c r="FF59" s="117" t="n">
        <x:f>IF(AND(FF$3&gt;=EDATE($B$42,-3),FF$3&lt;$B$42),$B$59/3,0)</x:f>
      </x:c>
      <x:c r="FG59" s="117" t="n">
        <x:f>IF(AND(FG$3&gt;=EDATE($B$42,-3),FG$3&lt;$B$42),$B$59/3,0)</x:f>
      </x:c>
      <x:c r="FH59" s="117" t="n">
        <x:f>IF(AND(FH$3&gt;=EDATE($B$42,-3),FH$3&lt;$B$42),$B$59/3,0)</x:f>
      </x:c>
      <x:c r="FI59" s="117" t="n">
        <x:f>IF(AND(FI$3&gt;=EDATE($B$42,-3),FI$3&lt;$B$42),$B$59/3,0)</x:f>
      </x:c>
      <x:c r="FJ59" s="117" t="n">
        <x:f>IF(AND(FJ$3&gt;=EDATE($B$42,-3),FJ$3&lt;$B$42),$B$59/3,0)</x:f>
      </x:c>
      <x:c r="FK59" s="117" t="n">
        <x:f>IF(AND(FK$3&gt;=EDATE($B$42,-3),FK$3&lt;$B$42),$B$59/3,0)</x:f>
      </x:c>
      <x:c r="FL59" s="117" t="n">
        <x:f>IF(AND(FL$3&gt;=EDATE($B$42,-3),FL$3&lt;$B$42),$B$59/3,0)</x:f>
      </x:c>
      <x:c r="FM59" s="117" t="n">
        <x:f>IF(AND(FM$3&gt;=EDATE($B$42,-3),FM$3&lt;$B$42),$B$59/3,0)</x:f>
      </x:c>
      <x:c r="FN59" s="117" t="n">
        <x:f>IF(AND(FN$3&gt;=EDATE($B$42,-3),FN$3&lt;$B$42),$B$59/3,0)</x:f>
      </x:c>
      <x:c r="FO59" s="117" t="n">
        <x:f>IF(AND(FO$3&gt;=EDATE($B$42,-3),FO$3&lt;$B$42),$B$59/3,0)</x:f>
      </x:c>
      <x:c r="FP59" s="117" t="n">
        <x:f>IF(AND(FP$3&gt;=EDATE($B$42,-3),FP$3&lt;$B$42),$B$59/3,0)</x:f>
      </x:c>
      <x:c r="FQ59" s="117" t="n">
        <x:f>IF(AND(FQ$3&gt;=EDATE($B$42,-3),FQ$3&lt;$B$42),$B$59/3,0)</x:f>
      </x:c>
      <x:c r="FR59" s="117" t="n">
        <x:f>IF(AND(FR$3&gt;=EDATE($B$42,-3),FR$3&lt;$B$42),$B$59/3,0)</x:f>
      </x:c>
      <x:c r="FS59" s="117" t="n">
        <x:f>IF(AND(FS$3&gt;=EDATE($B$42,-3),FS$3&lt;$B$42),$B$59/3,0)</x:f>
      </x:c>
      <x:c r="FT59" s="117" t="n">
        <x:f>IF(AND(FT$3&gt;=EDATE($B$42,-3),FT$3&lt;$B$42),$B$59/3,0)</x:f>
      </x:c>
      <x:c r="FU59" s="117" t="n">
        <x:f>IF(AND(FU$3&gt;=EDATE($B$42,-3),FU$3&lt;$B$42),$B$59/3,0)</x:f>
      </x:c>
      <x:c r="FV59" s="117" t="n">
        <x:f>IF(AND(FV$3&gt;=EDATE($B$42,-3),FV$3&lt;$B$42),$B$59/3,0)</x:f>
      </x:c>
      <x:c r="FW59" s="117" t="n">
        <x:f>IF(AND(FW$3&gt;=EDATE($B$42,-3),FW$3&lt;$B$42),$B$59/3,0)</x:f>
      </x:c>
      <x:c r="FX59" s="117" t="n">
        <x:f>IF(AND(FX$3&gt;=EDATE($B$42,-3),FX$3&lt;$B$42),$B$59/3,0)</x:f>
      </x:c>
      <x:c r="FY59" s="117" t="n">
        <x:f>IF(AND(FY$3&gt;=EDATE($B$42,-3),FY$3&lt;$B$42),$B$59/3,0)</x:f>
      </x:c>
      <x:c r="FZ59" s="117" t="n">
        <x:f>IF(AND(FZ$3&gt;=EDATE($B$42,-3),FZ$3&lt;$B$42),$B$59/3,0)</x:f>
      </x:c>
      <x:c r="GA59" s="117" t="n">
        <x:f>IF(AND(GA$3&gt;=EDATE($B$42,-3),GA$3&lt;$B$42),$B$59/3,0)</x:f>
      </x:c>
    </x:row>
    <x:row r="60">
      <x:c r="A60" t="str">
        <x:v>Содержание стройплощадки</x:v>
      </x:c>
      <x:c r="B60" s="107" t="n">
        <x:f>(('Вводные'!$I$89+'Вводные'!$J$89+'Вводные'!$K$89)*'Вводные'!$B$49/1000*'Вводные'!$H$6*'Вводные'!$T$89*--('Вводные'!$B$89="Да"))*'Вводные'!$AH$89</x:f>
      </x:c>
      <x:c r="C60" t="str">
        <x:v>млн ₽</x:v>
      </x:c>
      <x:c r="D60" s="117" t="n">
        <x:f>$B$60*D47</x:f>
      </x:c>
      <x:c r="E60" s="117" t="n">
        <x:f>$B$60*E47</x:f>
      </x:c>
      <x:c r="F60" s="117" t="n">
        <x:f>$B$60*F47</x:f>
      </x:c>
      <x:c r="G60" s="117" t="n">
        <x:f>$B$60*G47</x:f>
      </x:c>
      <x:c r="H60" s="117" t="n">
        <x:f>$B$60*H47</x:f>
      </x:c>
      <x:c r="I60" s="117" t="n">
        <x:f>$B$60*I47</x:f>
      </x:c>
      <x:c r="J60" s="117" t="n">
        <x:f>$B$60*J47</x:f>
      </x:c>
      <x:c r="K60" s="117" t="n">
        <x:f>$B$60*K47</x:f>
      </x:c>
      <x:c r="L60" s="117" t="n">
        <x:f>$B$60*L47</x:f>
      </x:c>
      <x:c r="M60" s="117" t="n">
        <x:f>$B$60*M47</x:f>
      </x:c>
      <x:c r="N60" s="117" t="n">
        <x:f>$B$60*N47</x:f>
      </x:c>
      <x:c r="O60" s="117" t="n">
        <x:f>$B$60*O47</x:f>
      </x:c>
      <x:c r="P60" s="117" t="n">
        <x:f>$B$60*P47</x:f>
      </x:c>
      <x:c r="Q60" s="117" t="n">
        <x:f>$B$60*Q47</x:f>
      </x:c>
      <x:c r="R60" s="117" t="n">
        <x:f>$B$60*R47</x:f>
      </x:c>
      <x:c r="S60" s="117" t="n">
        <x:f>$B$60*S47</x:f>
      </x:c>
      <x:c r="T60" s="117" t="n">
        <x:f>$B$60*T47</x:f>
      </x:c>
      <x:c r="U60" s="117" t="n">
        <x:f>$B$60*U47</x:f>
      </x:c>
      <x:c r="V60" s="117" t="n">
        <x:f>$B$60*V47</x:f>
      </x:c>
      <x:c r="W60" s="117" t="n">
        <x:f>$B$60*W47</x:f>
      </x:c>
      <x:c r="X60" s="117" t="n">
        <x:f>$B$60*X47</x:f>
      </x:c>
      <x:c r="Y60" s="117" t="n">
        <x:f>$B$60*Y47</x:f>
      </x:c>
      <x:c r="Z60" s="117" t="n">
        <x:f>$B$60*Z47</x:f>
      </x:c>
      <x:c r="AA60" s="117" t="n">
        <x:f>$B$60*AA47</x:f>
      </x:c>
      <x:c r="AB60" s="117" t="n">
        <x:f>$B$60*AB47</x:f>
      </x:c>
      <x:c r="AC60" s="117" t="n">
        <x:f>$B$60*AC47</x:f>
      </x:c>
      <x:c r="AD60" s="117" t="n">
        <x:f>$B$60*AD47</x:f>
      </x:c>
      <x:c r="AE60" s="117" t="n">
        <x:f>$B$60*AE47</x:f>
      </x:c>
      <x:c r="AF60" s="117" t="n">
        <x:f>$B$60*AF47</x:f>
      </x:c>
      <x:c r="AG60" s="117" t="n">
        <x:f>$B$60*AG47</x:f>
      </x:c>
      <x:c r="AH60" s="117" t="n">
        <x:f>$B$60*AH47</x:f>
      </x:c>
      <x:c r="AI60" s="117" t="n">
        <x:f>$B$60*AI47</x:f>
      </x:c>
      <x:c r="AJ60" s="117" t="n">
        <x:f>$B$60*AJ47</x:f>
      </x:c>
      <x:c r="AK60" s="117" t="n">
        <x:f>$B$60*AK47</x:f>
      </x:c>
      <x:c r="AL60" s="117" t="n">
        <x:f>$B$60*AL47</x:f>
      </x:c>
      <x:c r="AM60" s="117" t="n">
        <x:f>$B$60*AM47</x:f>
      </x:c>
      <x:c r="AN60" s="117" t="n">
        <x:f>$B$60*AN47</x:f>
      </x:c>
      <x:c r="AO60" s="117" t="n">
        <x:f>$B$60*AO47</x:f>
      </x:c>
      <x:c r="AP60" s="117" t="n">
        <x:f>$B$60*AP47</x:f>
      </x:c>
      <x:c r="AQ60" s="117" t="n">
        <x:f>$B$60*AQ47</x:f>
      </x:c>
      <x:c r="AR60" s="117" t="n">
        <x:f>$B$60*AR47</x:f>
      </x:c>
      <x:c r="AS60" s="117" t="n">
        <x:f>$B$60*AS47</x:f>
      </x:c>
      <x:c r="AT60" s="117" t="n">
        <x:f>$B$60*AT47</x:f>
      </x:c>
      <x:c r="AU60" s="117" t="n">
        <x:f>$B$60*AU47</x:f>
      </x:c>
      <x:c r="AV60" s="117" t="n">
        <x:f>$B$60*AV47</x:f>
      </x:c>
      <x:c r="AW60" s="117" t="n">
        <x:f>$B$60*AW47</x:f>
      </x:c>
      <x:c r="AX60" s="117" t="n">
        <x:f>$B$60*AX47</x:f>
      </x:c>
      <x:c r="AY60" s="117" t="n">
        <x:f>$B$60*AY47</x:f>
      </x:c>
      <x:c r="AZ60" s="117" t="n">
        <x:f>$B$60*AZ47</x:f>
      </x:c>
      <x:c r="BA60" s="117" t="n">
        <x:f>$B$60*BA47</x:f>
      </x:c>
      <x:c r="BB60" s="117" t="n">
        <x:f>$B$60*BB47</x:f>
      </x:c>
      <x:c r="BC60" s="117" t="n">
        <x:f>$B$60*BC47</x:f>
      </x:c>
      <x:c r="BD60" s="117" t="n">
        <x:f>$B$60*BD47</x:f>
      </x:c>
      <x:c r="BE60" s="117" t="n">
        <x:f>$B$60*BE47</x:f>
      </x:c>
      <x:c r="BF60" s="117" t="n">
        <x:f>$B$60*BF47</x:f>
      </x:c>
      <x:c r="BG60" s="117" t="n">
        <x:f>$B$60*BG47</x:f>
      </x:c>
      <x:c r="BH60" s="117" t="n">
        <x:f>$B$60*BH47</x:f>
      </x:c>
      <x:c r="BI60" s="117" t="n">
        <x:f>$B$60*BI47</x:f>
      </x:c>
      <x:c r="BJ60" s="117" t="n">
        <x:f>$B$60*BJ47</x:f>
      </x:c>
      <x:c r="BK60" s="117" t="n">
        <x:f>$B$60*BK47</x:f>
      </x:c>
      <x:c r="BL60" s="117" t="n">
        <x:f>$B$60*BL47</x:f>
      </x:c>
      <x:c r="BM60" s="117" t="n">
        <x:f>$B$60*BM47</x:f>
      </x:c>
      <x:c r="BN60" s="117" t="n">
        <x:f>$B$60*BN47</x:f>
      </x:c>
      <x:c r="BO60" s="117" t="n">
        <x:f>$B$60*BO47</x:f>
      </x:c>
      <x:c r="BP60" s="117" t="n">
        <x:f>$B$60*BP47</x:f>
      </x:c>
      <x:c r="BQ60" s="117" t="n">
        <x:f>$B$60*BQ47</x:f>
      </x:c>
      <x:c r="BR60" s="117" t="n">
        <x:f>$B$60*BR47</x:f>
      </x:c>
      <x:c r="BS60" s="117" t="n">
        <x:f>$B$60*BS47</x:f>
      </x:c>
      <x:c r="BT60" s="117" t="n">
        <x:f>$B$60*BT47</x:f>
      </x:c>
      <x:c r="BU60" s="117" t="n">
        <x:f>$B$60*BU47</x:f>
      </x:c>
      <x:c r="BV60" s="117" t="n">
        <x:f>$B$60*BV47</x:f>
      </x:c>
      <x:c r="BW60" s="117" t="n">
        <x:f>$B$60*BW47</x:f>
      </x:c>
      <x:c r="BX60" s="117" t="n">
        <x:f>$B$60*BX47</x:f>
      </x:c>
      <x:c r="BY60" s="117" t="n">
        <x:f>$B$60*BY47</x:f>
      </x:c>
      <x:c r="BZ60" s="117" t="n">
        <x:f>$B$60*BZ47</x:f>
      </x:c>
      <x:c r="CA60" s="117" t="n">
        <x:f>$B$60*CA47</x:f>
      </x:c>
      <x:c r="CB60" s="117" t="n">
        <x:f>$B$60*CB47</x:f>
      </x:c>
      <x:c r="CC60" s="117" t="n">
        <x:f>$B$60*CC47</x:f>
      </x:c>
      <x:c r="CD60" s="117" t="n">
        <x:f>$B$60*CD47</x:f>
      </x:c>
      <x:c r="CE60" s="117" t="n">
        <x:f>$B$60*CE47</x:f>
      </x:c>
      <x:c r="CF60" s="117" t="n">
        <x:f>$B$60*CF47</x:f>
      </x:c>
      <x:c r="CG60" s="117" t="n">
        <x:f>$B$60*CG47</x:f>
      </x:c>
      <x:c r="CH60" s="117" t="n">
        <x:f>$B$60*CH47</x:f>
      </x:c>
      <x:c r="CI60" s="117" t="n">
        <x:f>$B$60*CI47</x:f>
      </x:c>
      <x:c r="CJ60" s="117" t="n">
        <x:f>$B$60*CJ47</x:f>
      </x:c>
      <x:c r="CK60" s="117" t="n">
        <x:f>$B$60*CK47</x:f>
      </x:c>
      <x:c r="CL60" s="117" t="n">
        <x:f>$B$60*CL47</x:f>
      </x:c>
      <x:c r="CM60" s="117" t="n">
        <x:f>$B$60*CM47</x:f>
      </x:c>
      <x:c r="CN60" s="117" t="n">
        <x:f>$B$60*CN47</x:f>
      </x:c>
      <x:c r="CO60" s="117" t="n">
        <x:f>$B$60*CO47</x:f>
      </x:c>
      <x:c r="CP60" s="117" t="n">
        <x:f>$B$60*CP47</x:f>
      </x:c>
      <x:c r="CQ60" s="117" t="n">
        <x:f>$B$60*CQ47</x:f>
      </x:c>
      <x:c r="CR60" s="117" t="n">
        <x:f>$B$60*CR47</x:f>
      </x:c>
      <x:c r="CS60" s="117" t="n">
        <x:f>$B$60*CS47</x:f>
      </x:c>
      <x:c r="CT60" s="117" t="n">
        <x:f>$B$60*CT47</x:f>
      </x:c>
      <x:c r="CU60" s="117" t="n">
        <x:f>$B$60*CU47</x:f>
      </x:c>
      <x:c r="CV60" s="117" t="n">
        <x:f>$B$60*CV47</x:f>
      </x:c>
      <x:c r="CW60" s="117" t="n">
        <x:f>$B$60*CW47</x:f>
      </x:c>
      <x:c r="CX60" s="117" t="n">
        <x:f>$B$60*CX47</x:f>
      </x:c>
      <x:c r="CY60" s="117" t="n">
        <x:f>$B$60*CY47</x:f>
      </x:c>
      <x:c r="CZ60" s="117" t="n">
        <x:f>$B$60*CZ47</x:f>
      </x:c>
      <x:c r="DA60" s="117" t="n">
        <x:f>$B$60*DA47</x:f>
      </x:c>
      <x:c r="DB60" s="117" t="n">
        <x:f>$B$60*DB47</x:f>
      </x:c>
      <x:c r="DC60" s="117" t="n">
        <x:f>$B$60*DC47</x:f>
      </x:c>
      <x:c r="DD60" s="117" t="n">
        <x:f>$B$60*DD47</x:f>
      </x:c>
      <x:c r="DE60" s="117" t="n">
        <x:f>$B$60*DE47</x:f>
      </x:c>
      <x:c r="DF60" s="117" t="n">
        <x:f>$B$60*DF47</x:f>
      </x:c>
      <x:c r="DG60" s="117" t="n">
        <x:f>$B$60*DG47</x:f>
      </x:c>
      <x:c r="DH60" s="117" t="n">
        <x:f>$B$60*DH47</x:f>
      </x:c>
      <x:c r="DI60" s="117" t="n">
        <x:f>$B$60*DI47</x:f>
      </x:c>
      <x:c r="DJ60" s="117" t="n">
        <x:f>$B$60*DJ47</x:f>
      </x:c>
      <x:c r="DK60" s="117" t="n">
        <x:f>$B$60*DK47</x:f>
      </x:c>
      <x:c r="DL60" s="117" t="n">
        <x:f>$B$60*DL47</x:f>
      </x:c>
      <x:c r="DM60" s="117" t="n">
        <x:f>$B$60*DM47</x:f>
      </x:c>
      <x:c r="DN60" s="117" t="n">
        <x:f>$B$60*DN47</x:f>
      </x:c>
      <x:c r="DO60" s="117" t="n">
        <x:f>$B$60*DO47</x:f>
      </x:c>
      <x:c r="DP60" s="117" t="n">
        <x:f>$B$60*DP47</x:f>
      </x:c>
      <x:c r="DQ60" s="117" t="n">
        <x:f>$B$60*DQ47</x:f>
      </x:c>
      <x:c r="DR60" s="117" t="n">
        <x:f>$B$60*DR47</x:f>
      </x:c>
      <x:c r="DS60" s="117" t="n">
        <x:f>$B$60*DS47</x:f>
      </x:c>
      <x:c r="DT60" s="117" t="n">
        <x:f>$B$60*DT47</x:f>
      </x:c>
      <x:c r="DU60" s="117" t="n">
        <x:f>$B$60*DU47</x:f>
      </x:c>
      <x:c r="DV60" s="117" t="n">
        <x:f>$B$60*DV47</x:f>
      </x:c>
      <x:c r="DW60" s="117" t="n">
        <x:f>$B$60*DW47</x:f>
      </x:c>
      <x:c r="DX60" s="117" t="n">
        <x:f>$B$60*DX47</x:f>
      </x:c>
      <x:c r="DY60" s="117" t="n">
        <x:f>$B$60*DY47</x:f>
      </x:c>
      <x:c r="DZ60" s="117" t="n">
        <x:f>$B$60*DZ47</x:f>
      </x:c>
      <x:c r="EA60" s="117" t="n">
        <x:f>$B$60*EA47</x:f>
      </x:c>
      <x:c r="EB60" s="117" t="n">
        <x:f>$B$60*EB47</x:f>
      </x:c>
      <x:c r="EC60" s="117" t="n">
        <x:f>$B$60*EC47</x:f>
      </x:c>
      <x:c r="ED60" s="117" t="n">
        <x:f>$B$60*ED47</x:f>
      </x:c>
      <x:c r="EE60" s="117" t="n">
        <x:f>$B$60*EE47</x:f>
      </x:c>
      <x:c r="EF60" s="117" t="n">
        <x:f>$B$60*EF47</x:f>
      </x:c>
      <x:c r="EG60" s="117" t="n">
        <x:f>$B$60*EG47</x:f>
      </x:c>
      <x:c r="EH60" s="117" t="n">
        <x:f>$B$60*EH47</x:f>
      </x:c>
      <x:c r="EI60" s="117" t="n">
        <x:f>$B$60*EI47</x:f>
      </x:c>
      <x:c r="EJ60" s="117" t="n">
        <x:f>$B$60*EJ47</x:f>
      </x:c>
      <x:c r="EK60" s="117" t="n">
        <x:f>$B$60*EK47</x:f>
      </x:c>
      <x:c r="EL60" s="117" t="n">
        <x:f>$B$60*EL47</x:f>
      </x:c>
      <x:c r="EM60" s="117" t="n">
        <x:f>$B$60*EM47</x:f>
      </x:c>
      <x:c r="EN60" s="117" t="n">
        <x:f>$B$60*EN47</x:f>
      </x:c>
      <x:c r="EO60" s="117" t="n">
        <x:f>$B$60*EO47</x:f>
      </x:c>
      <x:c r="EP60" s="117" t="n">
        <x:f>$B$60*EP47</x:f>
      </x:c>
      <x:c r="EQ60" s="117" t="n">
        <x:f>$B$60*EQ47</x:f>
      </x:c>
      <x:c r="ER60" s="117" t="n">
        <x:f>$B$60*ER47</x:f>
      </x:c>
      <x:c r="ES60" s="117" t="n">
        <x:f>$B$60*ES47</x:f>
      </x:c>
      <x:c r="ET60" s="117" t="n">
        <x:f>$B$60*ET47</x:f>
      </x:c>
      <x:c r="EU60" s="117" t="n">
        <x:f>$B$60*EU47</x:f>
      </x:c>
      <x:c r="EV60" s="117" t="n">
        <x:f>$B$60*EV47</x:f>
      </x:c>
      <x:c r="EW60" s="117" t="n">
        <x:f>$B$60*EW47</x:f>
      </x:c>
      <x:c r="EX60" s="117" t="n">
        <x:f>$B$60*EX47</x:f>
      </x:c>
      <x:c r="EY60" s="117" t="n">
        <x:f>$B$60*EY47</x:f>
      </x:c>
      <x:c r="EZ60" s="117" t="n">
        <x:f>$B$60*EZ47</x:f>
      </x:c>
      <x:c r="FA60" s="117" t="n">
        <x:f>$B$60*FA47</x:f>
      </x:c>
      <x:c r="FB60" s="117" t="n">
        <x:f>$B$60*FB47</x:f>
      </x:c>
      <x:c r="FC60" s="117" t="n">
        <x:f>$B$60*FC47</x:f>
      </x:c>
      <x:c r="FD60" s="117" t="n">
        <x:f>$B$60*FD47</x:f>
      </x:c>
      <x:c r="FE60" s="117" t="n">
        <x:f>$B$60*FE47</x:f>
      </x:c>
      <x:c r="FF60" s="117" t="n">
        <x:f>$B$60*FF47</x:f>
      </x:c>
      <x:c r="FG60" s="117" t="n">
        <x:f>$B$60*FG47</x:f>
      </x:c>
      <x:c r="FH60" s="117" t="n">
        <x:f>$B$60*FH47</x:f>
      </x:c>
      <x:c r="FI60" s="117" t="n">
        <x:f>$B$60*FI47</x:f>
      </x:c>
      <x:c r="FJ60" s="117" t="n">
        <x:f>$B$60*FJ47</x:f>
      </x:c>
      <x:c r="FK60" s="117" t="n">
        <x:f>$B$60*FK47</x:f>
      </x:c>
      <x:c r="FL60" s="117" t="n">
        <x:f>$B$60*FL47</x:f>
      </x:c>
      <x:c r="FM60" s="117" t="n">
        <x:f>$B$60*FM47</x:f>
      </x:c>
      <x:c r="FN60" s="117" t="n">
        <x:f>$B$60*FN47</x:f>
      </x:c>
      <x:c r="FO60" s="117" t="n">
        <x:f>$B$60*FO47</x:f>
      </x:c>
      <x:c r="FP60" s="117" t="n">
        <x:f>$B$60*FP47</x:f>
      </x:c>
      <x:c r="FQ60" s="117" t="n">
        <x:f>$B$60*FQ47</x:f>
      </x:c>
      <x:c r="FR60" s="117" t="n">
        <x:f>$B$60*FR47</x:f>
      </x:c>
      <x:c r="FS60" s="117" t="n">
        <x:f>$B$60*FS47</x:f>
      </x:c>
      <x:c r="FT60" s="117" t="n">
        <x:f>$B$60*FT47</x:f>
      </x:c>
      <x:c r="FU60" s="117" t="n">
        <x:f>$B$60*FU47</x:f>
      </x:c>
      <x:c r="FV60" s="117" t="n">
        <x:f>$B$60*FV47</x:f>
      </x:c>
      <x:c r="FW60" s="117" t="n">
        <x:f>$B$60*FW47</x:f>
      </x:c>
      <x:c r="FX60" s="117" t="n">
        <x:f>$B$60*FX47</x:f>
      </x:c>
      <x:c r="FY60" s="117" t="n">
        <x:f>$B$60*FY47</x:f>
      </x:c>
      <x:c r="FZ60" s="117" t="n">
        <x:f>$B$60*FZ47</x:f>
      </x:c>
      <x:c r="GA60" s="117" t="n">
        <x:f>$B$60*GA47</x:f>
      </x:c>
    </x:row>
    <x:row r="61">
      <x:c r="A61" t="str">
        <x:v>Техзаказчик / стройконтроль</x:v>
      </x:c>
      <x:c r="B61" s="107" t="n">
        <x:f>(B55+B56+B65+'ОБЪЕКТЫ'!$B$104)*'Вводные'!$B$53</x:f>
      </x:c>
      <x:c r="C61" t="str">
        <x:v>млн ₽</x:v>
      </x:c>
      <x:c r="D61" s="117" t="n">
        <x:f>$B$61*D47</x:f>
      </x:c>
      <x:c r="E61" s="117" t="n">
        <x:f>$B$61*E47</x:f>
      </x:c>
      <x:c r="F61" s="117" t="n">
        <x:f>$B$61*F47</x:f>
      </x:c>
      <x:c r="G61" s="117" t="n">
        <x:f>$B$61*G47</x:f>
      </x:c>
      <x:c r="H61" s="117" t="n">
        <x:f>$B$61*H47</x:f>
      </x:c>
      <x:c r="I61" s="117" t="n">
        <x:f>$B$61*I47</x:f>
      </x:c>
      <x:c r="J61" s="117" t="n">
        <x:f>$B$61*J47</x:f>
      </x:c>
      <x:c r="K61" s="117" t="n">
        <x:f>$B$61*K47</x:f>
      </x:c>
      <x:c r="L61" s="117" t="n">
        <x:f>$B$61*L47</x:f>
      </x:c>
      <x:c r="M61" s="117" t="n">
        <x:f>$B$61*M47</x:f>
      </x:c>
      <x:c r="N61" s="117" t="n">
        <x:f>$B$61*N47</x:f>
      </x:c>
      <x:c r="O61" s="117" t="n">
        <x:f>$B$61*O47</x:f>
      </x:c>
      <x:c r="P61" s="117" t="n">
        <x:f>$B$61*P47</x:f>
      </x:c>
      <x:c r="Q61" s="117" t="n">
        <x:f>$B$61*Q47</x:f>
      </x:c>
      <x:c r="R61" s="117" t="n">
        <x:f>$B$61*R47</x:f>
      </x:c>
      <x:c r="S61" s="117" t="n">
        <x:f>$B$61*S47</x:f>
      </x:c>
      <x:c r="T61" s="117" t="n">
        <x:f>$B$61*T47</x:f>
      </x:c>
      <x:c r="U61" s="117" t="n">
        <x:f>$B$61*U47</x:f>
      </x:c>
      <x:c r="V61" s="117" t="n">
        <x:f>$B$61*V47</x:f>
      </x:c>
      <x:c r="W61" s="117" t="n">
        <x:f>$B$61*W47</x:f>
      </x:c>
      <x:c r="X61" s="117" t="n">
        <x:f>$B$61*X47</x:f>
      </x:c>
      <x:c r="Y61" s="117" t="n">
        <x:f>$B$61*Y47</x:f>
      </x:c>
      <x:c r="Z61" s="117" t="n">
        <x:f>$B$61*Z47</x:f>
      </x:c>
      <x:c r="AA61" s="117" t="n">
        <x:f>$B$61*AA47</x:f>
      </x:c>
      <x:c r="AB61" s="117" t="n">
        <x:f>$B$61*AB47</x:f>
      </x:c>
      <x:c r="AC61" s="117" t="n">
        <x:f>$B$61*AC47</x:f>
      </x:c>
      <x:c r="AD61" s="117" t="n">
        <x:f>$B$61*AD47</x:f>
      </x:c>
      <x:c r="AE61" s="117" t="n">
        <x:f>$B$61*AE47</x:f>
      </x:c>
      <x:c r="AF61" s="117" t="n">
        <x:f>$B$61*AF47</x:f>
      </x:c>
      <x:c r="AG61" s="117" t="n">
        <x:f>$B$61*AG47</x:f>
      </x:c>
      <x:c r="AH61" s="117" t="n">
        <x:f>$B$61*AH47</x:f>
      </x:c>
      <x:c r="AI61" s="117" t="n">
        <x:f>$B$61*AI47</x:f>
      </x:c>
      <x:c r="AJ61" s="117" t="n">
        <x:f>$B$61*AJ47</x:f>
      </x:c>
      <x:c r="AK61" s="117" t="n">
        <x:f>$B$61*AK47</x:f>
      </x:c>
      <x:c r="AL61" s="117" t="n">
        <x:f>$B$61*AL47</x:f>
      </x:c>
      <x:c r="AM61" s="117" t="n">
        <x:f>$B$61*AM47</x:f>
      </x:c>
      <x:c r="AN61" s="117" t="n">
        <x:f>$B$61*AN47</x:f>
      </x:c>
      <x:c r="AO61" s="117" t="n">
        <x:f>$B$61*AO47</x:f>
      </x:c>
      <x:c r="AP61" s="117" t="n">
        <x:f>$B$61*AP47</x:f>
      </x:c>
      <x:c r="AQ61" s="117" t="n">
        <x:f>$B$61*AQ47</x:f>
      </x:c>
      <x:c r="AR61" s="117" t="n">
        <x:f>$B$61*AR47</x:f>
      </x:c>
      <x:c r="AS61" s="117" t="n">
        <x:f>$B$61*AS47</x:f>
      </x:c>
      <x:c r="AT61" s="117" t="n">
        <x:f>$B$61*AT47</x:f>
      </x:c>
      <x:c r="AU61" s="117" t="n">
        <x:f>$B$61*AU47</x:f>
      </x:c>
      <x:c r="AV61" s="117" t="n">
        <x:f>$B$61*AV47</x:f>
      </x:c>
      <x:c r="AW61" s="117" t="n">
        <x:f>$B$61*AW47</x:f>
      </x:c>
      <x:c r="AX61" s="117" t="n">
        <x:f>$B$61*AX47</x:f>
      </x:c>
      <x:c r="AY61" s="117" t="n">
        <x:f>$B$61*AY47</x:f>
      </x:c>
      <x:c r="AZ61" s="117" t="n">
        <x:f>$B$61*AZ47</x:f>
      </x:c>
      <x:c r="BA61" s="117" t="n">
        <x:f>$B$61*BA47</x:f>
      </x:c>
      <x:c r="BB61" s="117" t="n">
        <x:f>$B$61*BB47</x:f>
      </x:c>
      <x:c r="BC61" s="117" t="n">
        <x:f>$B$61*BC47</x:f>
      </x:c>
      <x:c r="BD61" s="117" t="n">
        <x:f>$B$61*BD47</x:f>
      </x:c>
      <x:c r="BE61" s="117" t="n">
        <x:f>$B$61*BE47</x:f>
      </x:c>
      <x:c r="BF61" s="117" t="n">
        <x:f>$B$61*BF47</x:f>
      </x:c>
      <x:c r="BG61" s="117" t="n">
        <x:f>$B$61*BG47</x:f>
      </x:c>
      <x:c r="BH61" s="117" t="n">
        <x:f>$B$61*BH47</x:f>
      </x:c>
      <x:c r="BI61" s="117" t="n">
        <x:f>$B$61*BI47</x:f>
      </x:c>
      <x:c r="BJ61" s="117" t="n">
        <x:f>$B$61*BJ47</x:f>
      </x:c>
      <x:c r="BK61" s="117" t="n">
        <x:f>$B$61*BK47</x:f>
      </x:c>
      <x:c r="BL61" s="117" t="n">
        <x:f>$B$61*BL47</x:f>
      </x:c>
      <x:c r="BM61" s="117" t="n">
        <x:f>$B$61*BM47</x:f>
      </x:c>
      <x:c r="BN61" s="117" t="n">
        <x:f>$B$61*BN47</x:f>
      </x:c>
      <x:c r="BO61" s="117" t="n">
        <x:f>$B$61*BO47</x:f>
      </x:c>
      <x:c r="BP61" s="117" t="n">
        <x:f>$B$61*BP47</x:f>
      </x:c>
      <x:c r="BQ61" s="117" t="n">
        <x:f>$B$61*BQ47</x:f>
      </x:c>
      <x:c r="BR61" s="117" t="n">
        <x:f>$B$61*BR47</x:f>
      </x:c>
      <x:c r="BS61" s="117" t="n">
        <x:f>$B$61*BS47</x:f>
      </x:c>
      <x:c r="BT61" s="117" t="n">
        <x:f>$B$61*BT47</x:f>
      </x:c>
      <x:c r="BU61" s="117" t="n">
        <x:f>$B$61*BU47</x:f>
      </x:c>
      <x:c r="BV61" s="117" t="n">
        <x:f>$B$61*BV47</x:f>
      </x:c>
      <x:c r="BW61" s="117" t="n">
        <x:f>$B$61*BW47</x:f>
      </x:c>
      <x:c r="BX61" s="117" t="n">
        <x:f>$B$61*BX47</x:f>
      </x:c>
      <x:c r="BY61" s="117" t="n">
        <x:f>$B$61*BY47</x:f>
      </x:c>
      <x:c r="BZ61" s="117" t="n">
        <x:f>$B$61*BZ47</x:f>
      </x:c>
      <x:c r="CA61" s="117" t="n">
        <x:f>$B$61*CA47</x:f>
      </x:c>
      <x:c r="CB61" s="117" t="n">
        <x:f>$B$61*CB47</x:f>
      </x:c>
      <x:c r="CC61" s="117" t="n">
        <x:f>$B$61*CC47</x:f>
      </x:c>
      <x:c r="CD61" s="117" t="n">
        <x:f>$B$61*CD47</x:f>
      </x:c>
      <x:c r="CE61" s="117" t="n">
        <x:f>$B$61*CE47</x:f>
      </x:c>
      <x:c r="CF61" s="117" t="n">
        <x:f>$B$61*CF47</x:f>
      </x:c>
      <x:c r="CG61" s="117" t="n">
        <x:f>$B$61*CG47</x:f>
      </x:c>
      <x:c r="CH61" s="117" t="n">
        <x:f>$B$61*CH47</x:f>
      </x:c>
      <x:c r="CI61" s="117" t="n">
        <x:f>$B$61*CI47</x:f>
      </x:c>
      <x:c r="CJ61" s="117" t="n">
        <x:f>$B$61*CJ47</x:f>
      </x:c>
      <x:c r="CK61" s="117" t="n">
        <x:f>$B$61*CK47</x:f>
      </x:c>
      <x:c r="CL61" s="117" t="n">
        <x:f>$B$61*CL47</x:f>
      </x:c>
      <x:c r="CM61" s="117" t="n">
        <x:f>$B$61*CM47</x:f>
      </x:c>
      <x:c r="CN61" s="117" t="n">
        <x:f>$B$61*CN47</x:f>
      </x:c>
      <x:c r="CO61" s="117" t="n">
        <x:f>$B$61*CO47</x:f>
      </x:c>
      <x:c r="CP61" s="117" t="n">
        <x:f>$B$61*CP47</x:f>
      </x:c>
      <x:c r="CQ61" s="117" t="n">
        <x:f>$B$61*CQ47</x:f>
      </x:c>
      <x:c r="CR61" s="117" t="n">
        <x:f>$B$61*CR47</x:f>
      </x:c>
      <x:c r="CS61" s="117" t="n">
        <x:f>$B$61*CS47</x:f>
      </x:c>
      <x:c r="CT61" s="117" t="n">
        <x:f>$B$61*CT47</x:f>
      </x:c>
      <x:c r="CU61" s="117" t="n">
        <x:f>$B$61*CU47</x:f>
      </x:c>
      <x:c r="CV61" s="117" t="n">
        <x:f>$B$61*CV47</x:f>
      </x:c>
      <x:c r="CW61" s="117" t="n">
        <x:f>$B$61*CW47</x:f>
      </x:c>
      <x:c r="CX61" s="117" t="n">
        <x:f>$B$61*CX47</x:f>
      </x:c>
      <x:c r="CY61" s="117" t="n">
        <x:f>$B$61*CY47</x:f>
      </x:c>
      <x:c r="CZ61" s="117" t="n">
        <x:f>$B$61*CZ47</x:f>
      </x:c>
      <x:c r="DA61" s="117" t="n">
        <x:f>$B$61*DA47</x:f>
      </x:c>
      <x:c r="DB61" s="117" t="n">
        <x:f>$B$61*DB47</x:f>
      </x:c>
      <x:c r="DC61" s="117" t="n">
        <x:f>$B$61*DC47</x:f>
      </x:c>
      <x:c r="DD61" s="117" t="n">
        <x:f>$B$61*DD47</x:f>
      </x:c>
      <x:c r="DE61" s="117" t="n">
        <x:f>$B$61*DE47</x:f>
      </x:c>
      <x:c r="DF61" s="117" t="n">
        <x:f>$B$61*DF47</x:f>
      </x:c>
      <x:c r="DG61" s="117" t="n">
        <x:f>$B$61*DG47</x:f>
      </x:c>
      <x:c r="DH61" s="117" t="n">
        <x:f>$B$61*DH47</x:f>
      </x:c>
      <x:c r="DI61" s="117" t="n">
        <x:f>$B$61*DI47</x:f>
      </x:c>
      <x:c r="DJ61" s="117" t="n">
        <x:f>$B$61*DJ47</x:f>
      </x:c>
      <x:c r="DK61" s="117" t="n">
        <x:f>$B$61*DK47</x:f>
      </x:c>
      <x:c r="DL61" s="117" t="n">
        <x:f>$B$61*DL47</x:f>
      </x:c>
      <x:c r="DM61" s="117" t="n">
        <x:f>$B$61*DM47</x:f>
      </x:c>
      <x:c r="DN61" s="117" t="n">
        <x:f>$B$61*DN47</x:f>
      </x:c>
      <x:c r="DO61" s="117" t="n">
        <x:f>$B$61*DO47</x:f>
      </x:c>
      <x:c r="DP61" s="117" t="n">
        <x:f>$B$61*DP47</x:f>
      </x:c>
      <x:c r="DQ61" s="117" t="n">
        <x:f>$B$61*DQ47</x:f>
      </x:c>
      <x:c r="DR61" s="117" t="n">
        <x:f>$B$61*DR47</x:f>
      </x:c>
      <x:c r="DS61" s="117" t="n">
        <x:f>$B$61*DS47</x:f>
      </x:c>
      <x:c r="DT61" s="117" t="n">
        <x:f>$B$61*DT47</x:f>
      </x:c>
      <x:c r="DU61" s="117" t="n">
        <x:f>$B$61*DU47</x:f>
      </x:c>
      <x:c r="DV61" s="117" t="n">
        <x:f>$B$61*DV47</x:f>
      </x:c>
      <x:c r="DW61" s="117" t="n">
        <x:f>$B$61*DW47</x:f>
      </x:c>
      <x:c r="DX61" s="117" t="n">
        <x:f>$B$61*DX47</x:f>
      </x:c>
      <x:c r="DY61" s="117" t="n">
        <x:f>$B$61*DY47</x:f>
      </x:c>
      <x:c r="DZ61" s="117" t="n">
        <x:f>$B$61*DZ47</x:f>
      </x:c>
      <x:c r="EA61" s="117" t="n">
        <x:f>$B$61*EA47</x:f>
      </x:c>
      <x:c r="EB61" s="117" t="n">
        <x:f>$B$61*EB47</x:f>
      </x:c>
      <x:c r="EC61" s="117" t="n">
        <x:f>$B$61*EC47</x:f>
      </x:c>
      <x:c r="ED61" s="117" t="n">
        <x:f>$B$61*ED47</x:f>
      </x:c>
      <x:c r="EE61" s="117" t="n">
        <x:f>$B$61*EE47</x:f>
      </x:c>
      <x:c r="EF61" s="117" t="n">
        <x:f>$B$61*EF47</x:f>
      </x:c>
      <x:c r="EG61" s="117" t="n">
        <x:f>$B$61*EG47</x:f>
      </x:c>
      <x:c r="EH61" s="117" t="n">
        <x:f>$B$61*EH47</x:f>
      </x:c>
      <x:c r="EI61" s="117" t="n">
        <x:f>$B$61*EI47</x:f>
      </x:c>
      <x:c r="EJ61" s="117" t="n">
        <x:f>$B$61*EJ47</x:f>
      </x:c>
      <x:c r="EK61" s="117" t="n">
        <x:f>$B$61*EK47</x:f>
      </x:c>
      <x:c r="EL61" s="117" t="n">
        <x:f>$B$61*EL47</x:f>
      </x:c>
      <x:c r="EM61" s="117" t="n">
        <x:f>$B$61*EM47</x:f>
      </x:c>
      <x:c r="EN61" s="117" t="n">
        <x:f>$B$61*EN47</x:f>
      </x:c>
      <x:c r="EO61" s="117" t="n">
        <x:f>$B$61*EO47</x:f>
      </x:c>
      <x:c r="EP61" s="117" t="n">
        <x:f>$B$61*EP47</x:f>
      </x:c>
      <x:c r="EQ61" s="117" t="n">
        <x:f>$B$61*EQ47</x:f>
      </x:c>
      <x:c r="ER61" s="117" t="n">
        <x:f>$B$61*ER47</x:f>
      </x:c>
      <x:c r="ES61" s="117" t="n">
        <x:f>$B$61*ES47</x:f>
      </x:c>
      <x:c r="ET61" s="117" t="n">
        <x:f>$B$61*ET47</x:f>
      </x:c>
      <x:c r="EU61" s="117" t="n">
        <x:f>$B$61*EU47</x:f>
      </x:c>
      <x:c r="EV61" s="117" t="n">
        <x:f>$B$61*EV47</x:f>
      </x:c>
      <x:c r="EW61" s="117" t="n">
        <x:f>$B$61*EW47</x:f>
      </x:c>
      <x:c r="EX61" s="117" t="n">
        <x:f>$B$61*EX47</x:f>
      </x:c>
      <x:c r="EY61" s="117" t="n">
        <x:f>$B$61*EY47</x:f>
      </x:c>
      <x:c r="EZ61" s="117" t="n">
        <x:f>$B$61*EZ47</x:f>
      </x:c>
      <x:c r="FA61" s="117" t="n">
        <x:f>$B$61*FA47</x:f>
      </x:c>
      <x:c r="FB61" s="117" t="n">
        <x:f>$B$61*FB47</x:f>
      </x:c>
      <x:c r="FC61" s="117" t="n">
        <x:f>$B$61*FC47</x:f>
      </x:c>
      <x:c r="FD61" s="117" t="n">
        <x:f>$B$61*FD47</x:f>
      </x:c>
      <x:c r="FE61" s="117" t="n">
        <x:f>$B$61*FE47</x:f>
      </x:c>
      <x:c r="FF61" s="117" t="n">
        <x:f>$B$61*FF47</x:f>
      </x:c>
      <x:c r="FG61" s="117" t="n">
        <x:f>$B$61*FG47</x:f>
      </x:c>
      <x:c r="FH61" s="117" t="n">
        <x:f>$B$61*FH47</x:f>
      </x:c>
      <x:c r="FI61" s="117" t="n">
        <x:f>$B$61*FI47</x:f>
      </x:c>
      <x:c r="FJ61" s="117" t="n">
        <x:f>$B$61*FJ47</x:f>
      </x:c>
      <x:c r="FK61" s="117" t="n">
        <x:f>$B$61*FK47</x:f>
      </x:c>
      <x:c r="FL61" s="117" t="n">
        <x:f>$B$61*FL47</x:f>
      </x:c>
      <x:c r="FM61" s="117" t="n">
        <x:f>$B$61*FM47</x:f>
      </x:c>
      <x:c r="FN61" s="117" t="n">
        <x:f>$B$61*FN47</x:f>
      </x:c>
      <x:c r="FO61" s="117" t="n">
        <x:f>$B$61*FO47</x:f>
      </x:c>
      <x:c r="FP61" s="117" t="n">
        <x:f>$B$61*FP47</x:f>
      </x:c>
      <x:c r="FQ61" s="117" t="n">
        <x:f>$B$61*FQ47</x:f>
      </x:c>
      <x:c r="FR61" s="117" t="n">
        <x:f>$B$61*FR47</x:f>
      </x:c>
      <x:c r="FS61" s="117" t="n">
        <x:f>$B$61*FS47</x:f>
      </x:c>
      <x:c r="FT61" s="117" t="n">
        <x:f>$B$61*FT47</x:f>
      </x:c>
      <x:c r="FU61" s="117" t="n">
        <x:f>$B$61*FU47</x:f>
      </x:c>
      <x:c r="FV61" s="117" t="n">
        <x:f>$B$61*FV47</x:f>
      </x:c>
      <x:c r="FW61" s="117" t="n">
        <x:f>$B$61*FW47</x:f>
      </x:c>
      <x:c r="FX61" s="117" t="n">
        <x:f>$B$61*FX47</x:f>
      </x:c>
      <x:c r="FY61" s="117" t="n">
        <x:f>$B$61*FY47</x:f>
      </x:c>
      <x:c r="FZ61" s="117" t="n">
        <x:f>$B$61*FZ47</x:f>
      </x:c>
      <x:c r="GA61" s="117" t="n">
        <x:f>$B$61*GA47</x:f>
      </x:c>
    </x:row>
    <x:row r="62">
      <x:c r="A62" t="str">
        <x:v>Управление проектом</x:v>
      </x:c>
      <x:c r="B62" s="107" t="n">
        <x:f>(SUM(B50:B58)+B60)*'Вводные'!$B$52</x:f>
      </x:c>
      <x:c r="C62" t="str">
        <x:v>млн ₽</x:v>
      </x:c>
      <x:c r="D62" s="117" t="n">
        <x:f>$B$62*IFERROR(SUM(D50:D60)/SUM($D$50:$GA$60),0)</x:f>
      </x:c>
      <x:c r="E62" s="117" t="n">
        <x:f>$B$62*IFERROR(SUM(E50:E60)/SUM($D$50:$GA$60),0)</x:f>
      </x:c>
      <x:c r="F62" s="117" t="n">
        <x:f>$B$62*IFERROR(SUM(F50:F60)/SUM($D$50:$GA$60),0)</x:f>
      </x:c>
      <x:c r="G62" s="117" t="n">
        <x:f>$B$62*IFERROR(SUM(G50:G60)/SUM($D$50:$GA$60),0)</x:f>
      </x:c>
      <x:c r="H62" s="117" t="n">
        <x:f>$B$62*IFERROR(SUM(H50:H60)/SUM($D$50:$GA$60),0)</x:f>
      </x:c>
      <x:c r="I62" s="117" t="n">
        <x:f>$B$62*IFERROR(SUM(I50:I60)/SUM($D$50:$GA$60),0)</x:f>
      </x:c>
      <x:c r="J62" s="117" t="n">
        <x:f>$B$62*IFERROR(SUM(J50:J60)/SUM($D$50:$GA$60),0)</x:f>
      </x:c>
      <x:c r="K62" s="117" t="n">
        <x:f>$B$62*IFERROR(SUM(K50:K60)/SUM($D$50:$GA$60),0)</x:f>
      </x:c>
      <x:c r="L62" s="117" t="n">
        <x:f>$B$62*IFERROR(SUM(L50:L60)/SUM($D$50:$GA$60),0)</x:f>
      </x:c>
      <x:c r="M62" s="117" t="n">
        <x:f>$B$62*IFERROR(SUM(M50:M60)/SUM($D$50:$GA$60),0)</x:f>
      </x:c>
      <x:c r="N62" s="117" t="n">
        <x:f>$B$62*IFERROR(SUM(N50:N60)/SUM($D$50:$GA$60),0)</x:f>
      </x:c>
      <x:c r="O62" s="117" t="n">
        <x:f>$B$62*IFERROR(SUM(O50:O60)/SUM($D$50:$GA$60),0)</x:f>
      </x:c>
      <x:c r="P62" s="117" t="n">
        <x:f>$B$62*IFERROR(SUM(P50:P60)/SUM($D$50:$GA$60),0)</x:f>
      </x:c>
      <x:c r="Q62" s="117" t="n">
        <x:f>$B$62*IFERROR(SUM(Q50:Q60)/SUM($D$50:$GA$60),0)</x:f>
      </x:c>
      <x:c r="R62" s="117" t="n">
        <x:f>$B$62*IFERROR(SUM(R50:R60)/SUM($D$50:$GA$60),0)</x:f>
      </x:c>
      <x:c r="S62" s="117" t="n">
        <x:f>$B$62*IFERROR(SUM(S50:S60)/SUM($D$50:$GA$60),0)</x:f>
      </x:c>
      <x:c r="T62" s="117" t="n">
        <x:f>$B$62*IFERROR(SUM(T50:T60)/SUM($D$50:$GA$60),0)</x:f>
      </x:c>
      <x:c r="U62" s="117" t="n">
        <x:f>$B$62*IFERROR(SUM(U50:U60)/SUM($D$50:$GA$60),0)</x:f>
      </x:c>
      <x:c r="V62" s="117" t="n">
        <x:f>$B$62*IFERROR(SUM(V50:V60)/SUM($D$50:$GA$60),0)</x:f>
      </x:c>
      <x:c r="W62" s="117" t="n">
        <x:f>$B$62*IFERROR(SUM(W50:W60)/SUM($D$50:$GA$60),0)</x:f>
      </x:c>
      <x:c r="X62" s="117" t="n">
        <x:f>$B$62*IFERROR(SUM(X50:X60)/SUM($D$50:$GA$60),0)</x:f>
      </x:c>
      <x:c r="Y62" s="117" t="n">
        <x:f>$B$62*IFERROR(SUM(Y50:Y60)/SUM($D$50:$GA$60),0)</x:f>
      </x:c>
      <x:c r="Z62" s="117" t="n">
        <x:f>$B$62*IFERROR(SUM(Z50:Z60)/SUM($D$50:$GA$60),0)</x:f>
      </x:c>
      <x:c r="AA62" s="117" t="n">
        <x:f>$B$62*IFERROR(SUM(AA50:AA60)/SUM($D$50:$GA$60),0)</x:f>
      </x:c>
      <x:c r="AB62" s="117" t="n">
        <x:f>$B$62*IFERROR(SUM(AB50:AB60)/SUM($D$50:$GA$60),0)</x:f>
      </x:c>
      <x:c r="AC62" s="117" t="n">
        <x:f>$B$62*IFERROR(SUM(AC50:AC60)/SUM($D$50:$GA$60),0)</x:f>
      </x:c>
      <x:c r="AD62" s="117" t="n">
        <x:f>$B$62*IFERROR(SUM(AD50:AD60)/SUM($D$50:$GA$60),0)</x:f>
      </x:c>
      <x:c r="AE62" s="117" t="n">
        <x:f>$B$62*IFERROR(SUM(AE50:AE60)/SUM($D$50:$GA$60),0)</x:f>
      </x:c>
      <x:c r="AF62" s="117" t="n">
        <x:f>$B$62*IFERROR(SUM(AF50:AF60)/SUM($D$50:$GA$60),0)</x:f>
      </x:c>
      <x:c r="AG62" s="117" t="n">
        <x:f>$B$62*IFERROR(SUM(AG50:AG60)/SUM($D$50:$GA$60),0)</x:f>
      </x:c>
      <x:c r="AH62" s="117" t="n">
        <x:f>$B$62*IFERROR(SUM(AH50:AH60)/SUM($D$50:$GA$60),0)</x:f>
      </x:c>
      <x:c r="AI62" s="117" t="n">
        <x:f>$B$62*IFERROR(SUM(AI50:AI60)/SUM($D$50:$GA$60),0)</x:f>
      </x:c>
      <x:c r="AJ62" s="117" t="n">
        <x:f>$B$62*IFERROR(SUM(AJ50:AJ60)/SUM($D$50:$GA$60),0)</x:f>
      </x:c>
      <x:c r="AK62" s="117" t="n">
        <x:f>$B$62*IFERROR(SUM(AK50:AK60)/SUM($D$50:$GA$60),0)</x:f>
      </x:c>
      <x:c r="AL62" s="117" t="n">
        <x:f>$B$62*IFERROR(SUM(AL50:AL60)/SUM($D$50:$GA$60),0)</x:f>
      </x:c>
      <x:c r="AM62" s="117" t="n">
        <x:f>$B$62*IFERROR(SUM(AM50:AM60)/SUM($D$50:$GA$60),0)</x:f>
      </x:c>
      <x:c r="AN62" s="117" t="n">
        <x:f>$B$62*IFERROR(SUM(AN50:AN60)/SUM($D$50:$GA$60),0)</x:f>
      </x:c>
      <x:c r="AO62" s="117" t="n">
        <x:f>$B$62*IFERROR(SUM(AO50:AO60)/SUM($D$50:$GA$60),0)</x:f>
      </x:c>
      <x:c r="AP62" s="117" t="n">
        <x:f>$B$62*IFERROR(SUM(AP50:AP60)/SUM($D$50:$GA$60),0)</x:f>
      </x:c>
      <x:c r="AQ62" s="117" t="n">
        <x:f>$B$62*IFERROR(SUM(AQ50:AQ60)/SUM($D$50:$GA$60),0)</x:f>
      </x:c>
      <x:c r="AR62" s="117" t="n">
        <x:f>$B$62*IFERROR(SUM(AR50:AR60)/SUM($D$50:$GA$60),0)</x:f>
      </x:c>
      <x:c r="AS62" s="117" t="n">
        <x:f>$B$62*IFERROR(SUM(AS50:AS60)/SUM($D$50:$GA$60),0)</x:f>
      </x:c>
      <x:c r="AT62" s="117" t="n">
        <x:f>$B$62*IFERROR(SUM(AT50:AT60)/SUM($D$50:$GA$60),0)</x:f>
      </x:c>
      <x:c r="AU62" s="117" t="n">
        <x:f>$B$62*IFERROR(SUM(AU50:AU60)/SUM($D$50:$GA$60),0)</x:f>
      </x:c>
      <x:c r="AV62" s="117" t="n">
        <x:f>$B$62*IFERROR(SUM(AV50:AV60)/SUM($D$50:$GA$60),0)</x:f>
      </x:c>
      <x:c r="AW62" s="117" t="n">
        <x:f>$B$62*IFERROR(SUM(AW50:AW60)/SUM($D$50:$GA$60),0)</x:f>
      </x:c>
      <x:c r="AX62" s="117" t="n">
        <x:f>$B$62*IFERROR(SUM(AX50:AX60)/SUM($D$50:$GA$60),0)</x:f>
      </x:c>
      <x:c r="AY62" s="117" t="n">
        <x:f>$B$62*IFERROR(SUM(AY50:AY60)/SUM($D$50:$GA$60),0)</x:f>
      </x:c>
      <x:c r="AZ62" s="117" t="n">
        <x:f>$B$62*IFERROR(SUM(AZ50:AZ60)/SUM($D$50:$GA$60),0)</x:f>
      </x:c>
      <x:c r="BA62" s="117" t="n">
        <x:f>$B$62*IFERROR(SUM(BA50:BA60)/SUM($D$50:$GA$60),0)</x:f>
      </x:c>
      <x:c r="BB62" s="117" t="n">
        <x:f>$B$62*IFERROR(SUM(BB50:BB60)/SUM($D$50:$GA$60),0)</x:f>
      </x:c>
      <x:c r="BC62" s="117" t="n">
        <x:f>$B$62*IFERROR(SUM(BC50:BC60)/SUM($D$50:$GA$60),0)</x:f>
      </x:c>
      <x:c r="BD62" s="117" t="n">
        <x:f>$B$62*IFERROR(SUM(BD50:BD60)/SUM($D$50:$GA$60),0)</x:f>
      </x:c>
      <x:c r="BE62" s="117" t="n">
        <x:f>$B$62*IFERROR(SUM(BE50:BE60)/SUM($D$50:$GA$60),0)</x:f>
      </x:c>
      <x:c r="BF62" s="117" t="n">
        <x:f>$B$62*IFERROR(SUM(BF50:BF60)/SUM($D$50:$GA$60),0)</x:f>
      </x:c>
      <x:c r="BG62" s="117" t="n">
        <x:f>$B$62*IFERROR(SUM(BG50:BG60)/SUM($D$50:$GA$60),0)</x:f>
      </x:c>
      <x:c r="BH62" s="117" t="n">
        <x:f>$B$62*IFERROR(SUM(BH50:BH60)/SUM($D$50:$GA$60),0)</x:f>
      </x:c>
      <x:c r="BI62" s="117" t="n">
        <x:f>$B$62*IFERROR(SUM(BI50:BI60)/SUM($D$50:$GA$60),0)</x:f>
      </x:c>
      <x:c r="BJ62" s="117" t="n">
        <x:f>$B$62*IFERROR(SUM(BJ50:BJ60)/SUM($D$50:$GA$60),0)</x:f>
      </x:c>
      <x:c r="BK62" s="117" t="n">
        <x:f>$B$62*IFERROR(SUM(BK50:BK60)/SUM($D$50:$GA$60),0)</x:f>
      </x:c>
      <x:c r="BL62" s="117" t="n">
        <x:f>$B$62*IFERROR(SUM(BL50:BL60)/SUM($D$50:$GA$60),0)</x:f>
      </x:c>
      <x:c r="BM62" s="117" t="n">
        <x:f>$B$62*IFERROR(SUM(BM50:BM60)/SUM($D$50:$GA$60),0)</x:f>
      </x:c>
      <x:c r="BN62" s="117" t="n">
        <x:f>$B$62*IFERROR(SUM(BN50:BN60)/SUM($D$50:$GA$60),0)</x:f>
      </x:c>
      <x:c r="BO62" s="117" t="n">
        <x:f>$B$62*IFERROR(SUM(BO50:BO60)/SUM($D$50:$GA$60),0)</x:f>
      </x:c>
      <x:c r="BP62" s="117" t="n">
        <x:f>$B$62*IFERROR(SUM(BP50:BP60)/SUM($D$50:$GA$60),0)</x:f>
      </x:c>
      <x:c r="BQ62" s="117" t="n">
        <x:f>$B$62*IFERROR(SUM(BQ50:BQ60)/SUM($D$50:$GA$60),0)</x:f>
      </x:c>
      <x:c r="BR62" s="117" t="n">
        <x:f>$B$62*IFERROR(SUM(BR50:BR60)/SUM($D$50:$GA$60),0)</x:f>
      </x:c>
      <x:c r="BS62" s="117" t="n">
        <x:f>$B$62*IFERROR(SUM(BS50:BS60)/SUM($D$50:$GA$60),0)</x:f>
      </x:c>
      <x:c r="BT62" s="117" t="n">
        <x:f>$B$62*IFERROR(SUM(BT50:BT60)/SUM($D$50:$GA$60),0)</x:f>
      </x:c>
      <x:c r="BU62" s="117" t="n">
        <x:f>$B$62*IFERROR(SUM(BU50:BU60)/SUM($D$50:$GA$60),0)</x:f>
      </x:c>
      <x:c r="BV62" s="117" t="n">
        <x:f>$B$62*IFERROR(SUM(BV50:BV60)/SUM($D$50:$GA$60),0)</x:f>
      </x:c>
      <x:c r="BW62" s="117" t="n">
        <x:f>$B$62*IFERROR(SUM(BW50:BW60)/SUM($D$50:$GA$60),0)</x:f>
      </x:c>
      <x:c r="BX62" s="117" t="n">
        <x:f>$B$62*IFERROR(SUM(BX50:BX60)/SUM($D$50:$GA$60),0)</x:f>
      </x:c>
      <x:c r="BY62" s="117" t="n">
        <x:f>$B$62*IFERROR(SUM(BY50:BY60)/SUM($D$50:$GA$60),0)</x:f>
      </x:c>
      <x:c r="BZ62" s="117" t="n">
        <x:f>$B$62*IFERROR(SUM(BZ50:BZ60)/SUM($D$50:$GA$60),0)</x:f>
      </x:c>
      <x:c r="CA62" s="117" t="n">
        <x:f>$B$62*IFERROR(SUM(CA50:CA60)/SUM($D$50:$GA$60),0)</x:f>
      </x:c>
      <x:c r="CB62" s="117" t="n">
        <x:f>$B$62*IFERROR(SUM(CB50:CB60)/SUM($D$50:$GA$60),0)</x:f>
      </x:c>
      <x:c r="CC62" s="117" t="n">
        <x:f>$B$62*IFERROR(SUM(CC50:CC60)/SUM($D$50:$GA$60),0)</x:f>
      </x:c>
      <x:c r="CD62" s="117" t="n">
        <x:f>$B$62*IFERROR(SUM(CD50:CD60)/SUM($D$50:$GA$60),0)</x:f>
      </x:c>
      <x:c r="CE62" s="117" t="n">
        <x:f>$B$62*IFERROR(SUM(CE50:CE60)/SUM($D$50:$GA$60),0)</x:f>
      </x:c>
      <x:c r="CF62" s="117" t="n">
        <x:f>$B$62*IFERROR(SUM(CF50:CF60)/SUM($D$50:$GA$60),0)</x:f>
      </x:c>
      <x:c r="CG62" s="117" t="n">
        <x:f>$B$62*IFERROR(SUM(CG50:CG60)/SUM($D$50:$GA$60),0)</x:f>
      </x:c>
      <x:c r="CH62" s="117" t="n">
        <x:f>$B$62*IFERROR(SUM(CH50:CH60)/SUM($D$50:$GA$60),0)</x:f>
      </x:c>
      <x:c r="CI62" s="117" t="n">
        <x:f>$B$62*IFERROR(SUM(CI50:CI60)/SUM($D$50:$GA$60),0)</x:f>
      </x:c>
      <x:c r="CJ62" s="117" t="n">
        <x:f>$B$62*IFERROR(SUM(CJ50:CJ60)/SUM($D$50:$GA$60),0)</x:f>
      </x:c>
      <x:c r="CK62" s="117" t="n">
        <x:f>$B$62*IFERROR(SUM(CK50:CK60)/SUM($D$50:$GA$60),0)</x:f>
      </x:c>
      <x:c r="CL62" s="117" t="n">
        <x:f>$B$62*IFERROR(SUM(CL50:CL60)/SUM($D$50:$GA$60),0)</x:f>
      </x:c>
      <x:c r="CM62" s="117" t="n">
        <x:f>$B$62*IFERROR(SUM(CM50:CM60)/SUM($D$50:$GA$60),0)</x:f>
      </x:c>
      <x:c r="CN62" s="117" t="n">
        <x:f>$B$62*IFERROR(SUM(CN50:CN60)/SUM($D$50:$GA$60),0)</x:f>
      </x:c>
      <x:c r="CO62" s="117" t="n">
        <x:f>$B$62*IFERROR(SUM(CO50:CO60)/SUM($D$50:$GA$60),0)</x:f>
      </x:c>
      <x:c r="CP62" s="117" t="n">
        <x:f>$B$62*IFERROR(SUM(CP50:CP60)/SUM($D$50:$GA$60),0)</x:f>
      </x:c>
      <x:c r="CQ62" s="117" t="n">
        <x:f>$B$62*IFERROR(SUM(CQ50:CQ60)/SUM($D$50:$GA$60),0)</x:f>
      </x:c>
      <x:c r="CR62" s="117" t="n">
        <x:f>$B$62*IFERROR(SUM(CR50:CR60)/SUM($D$50:$GA$60),0)</x:f>
      </x:c>
      <x:c r="CS62" s="117" t="n">
        <x:f>$B$62*IFERROR(SUM(CS50:CS60)/SUM($D$50:$GA$60),0)</x:f>
      </x:c>
      <x:c r="CT62" s="117" t="n">
        <x:f>$B$62*IFERROR(SUM(CT50:CT60)/SUM($D$50:$GA$60),0)</x:f>
      </x:c>
      <x:c r="CU62" s="117" t="n">
        <x:f>$B$62*IFERROR(SUM(CU50:CU60)/SUM($D$50:$GA$60),0)</x:f>
      </x:c>
      <x:c r="CV62" s="117" t="n">
        <x:f>$B$62*IFERROR(SUM(CV50:CV60)/SUM($D$50:$GA$60),0)</x:f>
      </x:c>
      <x:c r="CW62" s="117" t="n">
        <x:f>$B$62*IFERROR(SUM(CW50:CW60)/SUM($D$50:$GA$60),0)</x:f>
      </x:c>
      <x:c r="CX62" s="117" t="n">
        <x:f>$B$62*IFERROR(SUM(CX50:CX60)/SUM($D$50:$GA$60),0)</x:f>
      </x:c>
      <x:c r="CY62" s="117" t="n">
        <x:f>$B$62*IFERROR(SUM(CY50:CY60)/SUM($D$50:$GA$60),0)</x:f>
      </x:c>
      <x:c r="CZ62" s="117" t="n">
        <x:f>$B$62*IFERROR(SUM(CZ50:CZ60)/SUM($D$50:$GA$60),0)</x:f>
      </x:c>
      <x:c r="DA62" s="117" t="n">
        <x:f>$B$62*IFERROR(SUM(DA50:DA60)/SUM($D$50:$GA$60),0)</x:f>
      </x:c>
      <x:c r="DB62" s="117" t="n">
        <x:f>$B$62*IFERROR(SUM(DB50:DB60)/SUM($D$50:$GA$60),0)</x:f>
      </x:c>
      <x:c r="DC62" s="117" t="n">
        <x:f>$B$62*IFERROR(SUM(DC50:DC60)/SUM($D$50:$GA$60),0)</x:f>
      </x:c>
      <x:c r="DD62" s="117" t="n">
        <x:f>$B$62*IFERROR(SUM(DD50:DD60)/SUM($D$50:$GA$60),0)</x:f>
      </x:c>
      <x:c r="DE62" s="117" t="n">
        <x:f>$B$62*IFERROR(SUM(DE50:DE60)/SUM($D$50:$GA$60),0)</x:f>
      </x:c>
      <x:c r="DF62" s="117" t="n">
        <x:f>$B$62*IFERROR(SUM(DF50:DF60)/SUM($D$50:$GA$60),0)</x:f>
      </x:c>
      <x:c r="DG62" s="117" t="n">
        <x:f>$B$62*IFERROR(SUM(DG50:DG60)/SUM($D$50:$GA$60),0)</x:f>
      </x:c>
      <x:c r="DH62" s="117" t="n">
        <x:f>$B$62*IFERROR(SUM(DH50:DH60)/SUM($D$50:$GA$60),0)</x:f>
      </x:c>
      <x:c r="DI62" s="117" t="n">
        <x:f>$B$62*IFERROR(SUM(DI50:DI60)/SUM($D$50:$GA$60),0)</x:f>
      </x:c>
      <x:c r="DJ62" s="117" t="n">
        <x:f>$B$62*IFERROR(SUM(DJ50:DJ60)/SUM($D$50:$GA$60),0)</x:f>
      </x:c>
      <x:c r="DK62" s="117" t="n">
        <x:f>$B$62*IFERROR(SUM(DK50:DK60)/SUM($D$50:$GA$60),0)</x:f>
      </x:c>
      <x:c r="DL62" s="117" t="n">
        <x:f>$B$62*IFERROR(SUM(DL50:DL60)/SUM($D$50:$GA$60),0)</x:f>
      </x:c>
      <x:c r="DM62" s="117" t="n">
        <x:f>$B$62*IFERROR(SUM(DM50:DM60)/SUM($D$50:$GA$60),0)</x:f>
      </x:c>
      <x:c r="DN62" s="117" t="n">
        <x:f>$B$62*IFERROR(SUM(DN50:DN60)/SUM($D$50:$GA$60),0)</x:f>
      </x:c>
      <x:c r="DO62" s="117" t="n">
        <x:f>$B$62*IFERROR(SUM(DO50:DO60)/SUM($D$50:$GA$60),0)</x:f>
      </x:c>
      <x:c r="DP62" s="117" t="n">
        <x:f>$B$62*IFERROR(SUM(DP50:DP60)/SUM($D$50:$GA$60),0)</x:f>
      </x:c>
      <x:c r="DQ62" s="117" t="n">
        <x:f>$B$62*IFERROR(SUM(DQ50:DQ60)/SUM($D$50:$GA$60),0)</x:f>
      </x:c>
      <x:c r="DR62" s="117" t="n">
        <x:f>$B$62*IFERROR(SUM(DR50:DR60)/SUM($D$50:$GA$60),0)</x:f>
      </x:c>
      <x:c r="DS62" s="117" t="n">
        <x:f>$B$62*IFERROR(SUM(DS50:DS60)/SUM($D$50:$GA$60),0)</x:f>
      </x:c>
      <x:c r="DT62" s="117" t="n">
        <x:f>$B$62*IFERROR(SUM(DT50:DT60)/SUM($D$50:$GA$60),0)</x:f>
      </x:c>
      <x:c r="DU62" s="117" t="n">
        <x:f>$B$62*IFERROR(SUM(DU50:DU60)/SUM($D$50:$GA$60),0)</x:f>
      </x:c>
      <x:c r="DV62" s="117" t="n">
        <x:f>$B$62*IFERROR(SUM(DV50:DV60)/SUM($D$50:$GA$60),0)</x:f>
      </x:c>
      <x:c r="DW62" s="117" t="n">
        <x:f>$B$62*IFERROR(SUM(DW50:DW60)/SUM($D$50:$GA$60),0)</x:f>
      </x:c>
      <x:c r="DX62" s="117" t="n">
        <x:f>$B$62*IFERROR(SUM(DX50:DX60)/SUM($D$50:$GA$60),0)</x:f>
      </x:c>
      <x:c r="DY62" s="117" t="n">
        <x:f>$B$62*IFERROR(SUM(DY50:DY60)/SUM($D$50:$GA$60),0)</x:f>
      </x:c>
      <x:c r="DZ62" s="117" t="n">
        <x:f>$B$62*IFERROR(SUM(DZ50:DZ60)/SUM($D$50:$GA$60),0)</x:f>
      </x:c>
      <x:c r="EA62" s="117" t="n">
        <x:f>$B$62*IFERROR(SUM(EA50:EA60)/SUM($D$50:$GA$60),0)</x:f>
      </x:c>
      <x:c r="EB62" s="117" t="n">
        <x:f>$B$62*IFERROR(SUM(EB50:EB60)/SUM($D$50:$GA$60),0)</x:f>
      </x:c>
      <x:c r="EC62" s="117" t="n">
        <x:f>$B$62*IFERROR(SUM(EC50:EC60)/SUM($D$50:$GA$60),0)</x:f>
      </x:c>
      <x:c r="ED62" s="117" t="n">
        <x:f>$B$62*IFERROR(SUM(ED50:ED60)/SUM($D$50:$GA$60),0)</x:f>
      </x:c>
      <x:c r="EE62" s="117" t="n">
        <x:f>$B$62*IFERROR(SUM(EE50:EE60)/SUM($D$50:$GA$60),0)</x:f>
      </x:c>
      <x:c r="EF62" s="117" t="n">
        <x:f>$B$62*IFERROR(SUM(EF50:EF60)/SUM($D$50:$GA$60),0)</x:f>
      </x:c>
      <x:c r="EG62" s="117" t="n">
        <x:f>$B$62*IFERROR(SUM(EG50:EG60)/SUM($D$50:$GA$60),0)</x:f>
      </x:c>
      <x:c r="EH62" s="117" t="n">
        <x:f>$B$62*IFERROR(SUM(EH50:EH60)/SUM($D$50:$GA$60),0)</x:f>
      </x:c>
      <x:c r="EI62" s="117" t="n">
        <x:f>$B$62*IFERROR(SUM(EI50:EI60)/SUM($D$50:$GA$60),0)</x:f>
      </x:c>
      <x:c r="EJ62" s="117" t="n">
        <x:f>$B$62*IFERROR(SUM(EJ50:EJ60)/SUM($D$50:$GA$60),0)</x:f>
      </x:c>
      <x:c r="EK62" s="117" t="n">
        <x:f>$B$62*IFERROR(SUM(EK50:EK60)/SUM($D$50:$GA$60),0)</x:f>
      </x:c>
      <x:c r="EL62" s="117" t="n">
        <x:f>$B$62*IFERROR(SUM(EL50:EL60)/SUM($D$50:$GA$60),0)</x:f>
      </x:c>
      <x:c r="EM62" s="117" t="n">
        <x:f>$B$62*IFERROR(SUM(EM50:EM60)/SUM($D$50:$GA$60),0)</x:f>
      </x:c>
      <x:c r="EN62" s="117" t="n">
        <x:f>$B$62*IFERROR(SUM(EN50:EN60)/SUM($D$50:$GA$60),0)</x:f>
      </x:c>
      <x:c r="EO62" s="117" t="n">
        <x:f>$B$62*IFERROR(SUM(EO50:EO60)/SUM($D$50:$GA$60),0)</x:f>
      </x:c>
      <x:c r="EP62" s="117" t="n">
        <x:f>$B$62*IFERROR(SUM(EP50:EP60)/SUM($D$50:$GA$60),0)</x:f>
      </x:c>
      <x:c r="EQ62" s="117" t="n">
        <x:f>$B$62*IFERROR(SUM(EQ50:EQ60)/SUM($D$50:$GA$60),0)</x:f>
      </x:c>
      <x:c r="ER62" s="117" t="n">
        <x:f>$B$62*IFERROR(SUM(ER50:ER60)/SUM($D$50:$GA$60),0)</x:f>
      </x:c>
      <x:c r="ES62" s="117" t="n">
        <x:f>$B$62*IFERROR(SUM(ES50:ES60)/SUM($D$50:$GA$60),0)</x:f>
      </x:c>
      <x:c r="ET62" s="117" t="n">
        <x:f>$B$62*IFERROR(SUM(ET50:ET60)/SUM($D$50:$GA$60),0)</x:f>
      </x:c>
      <x:c r="EU62" s="117" t="n">
        <x:f>$B$62*IFERROR(SUM(EU50:EU60)/SUM($D$50:$GA$60),0)</x:f>
      </x:c>
      <x:c r="EV62" s="117" t="n">
        <x:f>$B$62*IFERROR(SUM(EV50:EV60)/SUM($D$50:$GA$60),0)</x:f>
      </x:c>
      <x:c r="EW62" s="117" t="n">
        <x:f>$B$62*IFERROR(SUM(EW50:EW60)/SUM($D$50:$GA$60),0)</x:f>
      </x:c>
      <x:c r="EX62" s="117" t="n">
        <x:f>$B$62*IFERROR(SUM(EX50:EX60)/SUM($D$50:$GA$60),0)</x:f>
      </x:c>
      <x:c r="EY62" s="117" t="n">
        <x:f>$B$62*IFERROR(SUM(EY50:EY60)/SUM($D$50:$GA$60),0)</x:f>
      </x:c>
      <x:c r="EZ62" s="117" t="n">
        <x:f>$B$62*IFERROR(SUM(EZ50:EZ60)/SUM($D$50:$GA$60),0)</x:f>
      </x:c>
      <x:c r="FA62" s="117" t="n">
        <x:f>$B$62*IFERROR(SUM(FA50:FA60)/SUM($D$50:$GA$60),0)</x:f>
      </x:c>
      <x:c r="FB62" s="117" t="n">
        <x:f>$B$62*IFERROR(SUM(FB50:FB60)/SUM($D$50:$GA$60),0)</x:f>
      </x:c>
      <x:c r="FC62" s="117" t="n">
        <x:f>$B$62*IFERROR(SUM(FC50:FC60)/SUM($D$50:$GA$60),0)</x:f>
      </x:c>
      <x:c r="FD62" s="117" t="n">
        <x:f>$B$62*IFERROR(SUM(FD50:FD60)/SUM($D$50:$GA$60),0)</x:f>
      </x:c>
      <x:c r="FE62" s="117" t="n">
        <x:f>$B$62*IFERROR(SUM(FE50:FE60)/SUM($D$50:$GA$60),0)</x:f>
      </x:c>
      <x:c r="FF62" s="117" t="n">
        <x:f>$B$62*IFERROR(SUM(FF50:FF60)/SUM($D$50:$GA$60),0)</x:f>
      </x:c>
      <x:c r="FG62" s="117" t="n">
        <x:f>$B$62*IFERROR(SUM(FG50:FG60)/SUM($D$50:$GA$60),0)</x:f>
      </x:c>
      <x:c r="FH62" s="117" t="n">
        <x:f>$B$62*IFERROR(SUM(FH50:FH60)/SUM($D$50:$GA$60),0)</x:f>
      </x:c>
      <x:c r="FI62" s="117" t="n">
        <x:f>$B$62*IFERROR(SUM(FI50:FI60)/SUM($D$50:$GA$60),0)</x:f>
      </x:c>
      <x:c r="FJ62" s="117" t="n">
        <x:f>$B$62*IFERROR(SUM(FJ50:FJ60)/SUM($D$50:$GA$60),0)</x:f>
      </x:c>
      <x:c r="FK62" s="117" t="n">
        <x:f>$B$62*IFERROR(SUM(FK50:FK60)/SUM($D$50:$GA$60),0)</x:f>
      </x:c>
      <x:c r="FL62" s="117" t="n">
        <x:f>$B$62*IFERROR(SUM(FL50:FL60)/SUM($D$50:$GA$60),0)</x:f>
      </x:c>
      <x:c r="FM62" s="117" t="n">
        <x:f>$B$62*IFERROR(SUM(FM50:FM60)/SUM($D$50:$GA$60),0)</x:f>
      </x:c>
      <x:c r="FN62" s="117" t="n">
        <x:f>$B$62*IFERROR(SUM(FN50:FN60)/SUM($D$50:$GA$60),0)</x:f>
      </x:c>
      <x:c r="FO62" s="117" t="n">
        <x:f>$B$62*IFERROR(SUM(FO50:FO60)/SUM($D$50:$GA$60),0)</x:f>
      </x:c>
      <x:c r="FP62" s="117" t="n">
        <x:f>$B$62*IFERROR(SUM(FP50:FP60)/SUM($D$50:$GA$60),0)</x:f>
      </x:c>
      <x:c r="FQ62" s="117" t="n">
        <x:f>$B$62*IFERROR(SUM(FQ50:FQ60)/SUM($D$50:$GA$60),0)</x:f>
      </x:c>
      <x:c r="FR62" s="117" t="n">
        <x:f>$B$62*IFERROR(SUM(FR50:FR60)/SUM($D$50:$GA$60),0)</x:f>
      </x:c>
      <x:c r="FS62" s="117" t="n">
        <x:f>$B$62*IFERROR(SUM(FS50:FS60)/SUM($D$50:$GA$60),0)</x:f>
      </x:c>
      <x:c r="FT62" s="117" t="n">
        <x:f>$B$62*IFERROR(SUM(FT50:FT60)/SUM($D$50:$GA$60),0)</x:f>
      </x:c>
      <x:c r="FU62" s="117" t="n">
        <x:f>$B$62*IFERROR(SUM(FU50:FU60)/SUM($D$50:$GA$60),0)</x:f>
      </x:c>
      <x:c r="FV62" s="117" t="n">
        <x:f>$B$62*IFERROR(SUM(FV50:FV60)/SUM($D$50:$GA$60),0)</x:f>
      </x:c>
      <x:c r="FW62" s="117" t="n">
        <x:f>$B$62*IFERROR(SUM(FW50:FW60)/SUM($D$50:$GA$60),0)</x:f>
      </x:c>
      <x:c r="FX62" s="117" t="n">
        <x:f>$B$62*IFERROR(SUM(FX50:FX60)/SUM($D$50:$GA$60),0)</x:f>
      </x:c>
      <x:c r="FY62" s="117" t="n">
        <x:f>$B$62*IFERROR(SUM(FY50:FY60)/SUM($D$50:$GA$60),0)</x:f>
      </x:c>
      <x:c r="FZ62" s="117" t="n">
        <x:f>$B$62*IFERROR(SUM(FZ50:FZ60)/SUM($D$50:$GA$60),0)</x:f>
      </x:c>
      <x:c r="GA62" s="117" t="n">
        <x:f>$B$62*IFERROR(SUM(GA50:GA60)/SUM($D$50:$GA$60),0)</x:f>
      </x:c>
    </x:row>
    <x:row r="63">
      <x:c r="A63" t="str">
        <x:v>Вознаграждение генподрядчика</x:v>
      </x:c>
      <x:c r="B63" s="107" t="n">
        <x:f>(B55+B56+B65+'ОБЪЕКТЫ'!$B$104)*'Вводные'!$B$50</x:f>
      </x:c>
      <x:c r="C63" t="str">
        <x:v>млн ₽</x:v>
      </x:c>
      <x:c r="D63" s="117" t="n">
        <x:f>$B$63*D47</x:f>
      </x:c>
      <x:c r="E63" s="117" t="n">
        <x:f>$B$63*E47</x:f>
      </x:c>
      <x:c r="F63" s="117" t="n">
        <x:f>$B$63*F47</x:f>
      </x:c>
      <x:c r="G63" s="117" t="n">
        <x:f>$B$63*G47</x:f>
      </x:c>
      <x:c r="H63" s="117" t="n">
        <x:f>$B$63*H47</x:f>
      </x:c>
      <x:c r="I63" s="117" t="n">
        <x:f>$B$63*I47</x:f>
      </x:c>
      <x:c r="J63" s="117" t="n">
        <x:f>$B$63*J47</x:f>
      </x:c>
      <x:c r="K63" s="117" t="n">
        <x:f>$B$63*K47</x:f>
      </x:c>
      <x:c r="L63" s="117" t="n">
        <x:f>$B$63*L47</x:f>
      </x:c>
      <x:c r="M63" s="117" t="n">
        <x:f>$B$63*M47</x:f>
      </x:c>
      <x:c r="N63" s="117" t="n">
        <x:f>$B$63*N47</x:f>
      </x:c>
      <x:c r="O63" s="117" t="n">
        <x:f>$B$63*O47</x:f>
      </x:c>
      <x:c r="P63" s="117" t="n">
        <x:f>$B$63*P47</x:f>
      </x:c>
      <x:c r="Q63" s="117" t="n">
        <x:f>$B$63*Q47</x:f>
      </x:c>
      <x:c r="R63" s="117" t="n">
        <x:f>$B$63*R47</x:f>
      </x:c>
      <x:c r="S63" s="117" t="n">
        <x:f>$B$63*S47</x:f>
      </x:c>
      <x:c r="T63" s="117" t="n">
        <x:f>$B$63*T47</x:f>
      </x:c>
      <x:c r="U63" s="117" t="n">
        <x:f>$B$63*U47</x:f>
      </x:c>
      <x:c r="V63" s="117" t="n">
        <x:f>$B$63*V47</x:f>
      </x:c>
      <x:c r="W63" s="117" t="n">
        <x:f>$B$63*W47</x:f>
      </x:c>
      <x:c r="X63" s="117" t="n">
        <x:f>$B$63*X47</x:f>
      </x:c>
      <x:c r="Y63" s="117" t="n">
        <x:f>$B$63*Y47</x:f>
      </x:c>
      <x:c r="Z63" s="117" t="n">
        <x:f>$B$63*Z47</x:f>
      </x:c>
      <x:c r="AA63" s="117" t="n">
        <x:f>$B$63*AA47</x:f>
      </x:c>
      <x:c r="AB63" s="117" t="n">
        <x:f>$B$63*AB47</x:f>
      </x:c>
      <x:c r="AC63" s="117" t="n">
        <x:f>$B$63*AC47</x:f>
      </x:c>
      <x:c r="AD63" s="117" t="n">
        <x:f>$B$63*AD47</x:f>
      </x:c>
      <x:c r="AE63" s="117" t="n">
        <x:f>$B$63*AE47</x:f>
      </x:c>
      <x:c r="AF63" s="117" t="n">
        <x:f>$B$63*AF47</x:f>
      </x:c>
      <x:c r="AG63" s="117" t="n">
        <x:f>$B$63*AG47</x:f>
      </x:c>
      <x:c r="AH63" s="117" t="n">
        <x:f>$B$63*AH47</x:f>
      </x:c>
      <x:c r="AI63" s="117" t="n">
        <x:f>$B$63*AI47</x:f>
      </x:c>
      <x:c r="AJ63" s="117" t="n">
        <x:f>$B$63*AJ47</x:f>
      </x:c>
      <x:c r="AK63" s="117" t="n">
        <x:f>$B$63*AK47</x:f>
      </x:c>
      <x:c r="AL63" s="117" t="n">
        <x:f>$B$63*AL47</x:f>
      </x:c>
      <x:c r="AM63" s="117" t="n">
        <x:f>$B$63*AM47</x:f>
      </x:c>
      <x:c r="AN63" s="117" t="n">
        <x:f>$B$63*AN47</x:f>
      </x:c>
      <x:c r="AO63" s="117" t="n">
        <x:f>$B$63*AO47</x:f>
      </x:c>
      <x:c r="AP63" s="117" t="n">
        <x:f>$B$63*AP47</x:f>
      </x:c>
      <x:c r="AQ63" s="117" t="n">
        <x:f>$B$63*AQ47</x:f>
      </x:c>
      <x:c r="AR63" s="117" t="n">
        <x:f>$B$63*AR47</x:f>
      </x:c>
      <x:c r="AS63" s="117" t="n">
        <x:f>$B$63*AS47</x:f>
      </x:c>
      <x:c r="AT63" s="117" t="n">
        <x:f>$B$63*AT47</x:f>
      </x:c>
      <x:c r="AU63" s="117" t="n">
        <x:f>$B$63*AU47</x:f>
      </x:c>
      <x:c r="AV63" s="117" t="n">
        <x:f>$B$63*AV47</x:f>
      </x:c>
      <x:c r="AW63" s="117" t="n">
        <x:f>$B$63*AW47</x:f>
      </x:c>
      <x:c r="AX63" s="117" t="n">
        <x:f>$B$63*AX47</x:f>
      </x:c>
      <x:c r="AY63" s="117" t="n">
        <x:f>$B$63*AY47</x:f>
      </x:c>
      <x:c r="AZ63" s="117" t="n">
        <x:f>$B$63*AZ47</x:f>
      </x:c>
      <x:c r="BA63" s="117" t="n">
        <x:f>$B$63*BA47</x:f>
      </x:c>
      <x:c r="BB63" s="117" t="n">
        <x:f>$B$63*BB47</x:f>
      </x:c>
      <x:c r="BC63" s="117" t="n">
        <x:f>$B$63*BC47</x:f>
      </x:c>
      <x:c r="BD63" s="117" t="n">
        <x:f>$B$63*BD47</x:f>
      </x:c>
      <x:c r="BE63" s="117" t="n">
        <x:f>$B$63*BE47</x:f>
      </x:c>
      <x:c r="BF63" s="117" t="n">
        <x:f>$B$63*BF47</x:f>
      </x:c>
      <x:c r="BG63" s="117" t="n">
        <x:f>$B$63*BG47</x:f>
      </x:c>
      <x:c r="BH63" s="117" t="n">
        <x:f>$B$63*BH47</x:f>
      </x:c>
      <x:c r="BI63" s="117" t="n">
        <x:f>$B$63*BI47</x:f>
      </x:c>
      <x:c r="BJ63" s="117" t="n">
        <x:f>$B$63*BJ47</x:f>
      </x:c>
      <x:c r="BK63" s="117" t="n">
        <x:f>$B$63*BK47</x:f>
      </x:c>
      <x:c r="BL63" s="117" t="n">
        <x:f>$B$63*BL47</x:f>
      </x:c>
      <x:c r="BM63" s="117" t="n">
        <x:f>$B$63*BM47</x:f>
      </x:c>
      <x:c r="BN63" s="117" t="n">
        <x:f>$B$63*BN47</x:f>
      </x:c>
      <x:c r="BO63" s="117" t="n">
        <x:f>$B$63*BO47</x:f>
      </x:c>
      <x:c r="BP63" s="117" t="n">
        <x:f>$B$63*BP47</x:f>
      </x:c>
      <x:c r="BQ63" s="117" t="n">
        <x:f>$B$63*BQ47</x:f>
      </x:c>
      <x:c r="BR63" s="117" t="n">
        <x:f>$B$63*BR47</x:f>
      </x:c>
      <x:c r="BS63" s="117" t="n">
        <x:f>$B$63*BS47</x:f>
      </x:c>
      <x:c r="BT63" s="117" t="n">
        <x:f>$B$63*BT47</x:f>
      </x:c>
      <x:c r="BU63" s="117" t="n">
        <x:f>$B$63*BU47</x:f>
      </x:c>
      <x:c r="BV63" s="117" t="n">
        <x:f>$B$63*BV47</x:f>
      </x:c>
      <x:c r="BW63" s="117" t="n">
        <x:f>$B$63*BW47</x:f>
      </x:c>
      <x:c r="BX63" s="117" t="n">
        <x:f>$B$63*BX47</x:f>
      </x:c>
      <x:c r="BY63" s="117" t="n">
        <x:f>$B$63*BY47</x:f>
      </x:c>
      <x:c r="BZ63" s="117" t="n">
        <x:f>$B$63*BZ47</x:f>
      </x:c>
      <x:c r="CA63" s="117" t="n">
        <x:f>$B$63*CA47</x:f>
      </x:c>
      <x:c r="CB63" s="117" t="n">
        <x:f>$B$63*CB47</x:f>
      </x:c>
      <x:c r="CC63" s="117" t="n">
        <x:f>$B$63*CC47</x:f>
      </x:c>
      <x:c r="CD63" s="117" t="n">
        <x:f>$B$63*CD47</x:f>
      </x:c>
      <x:c r="CE63" s="117" t="n">
        <x:f>$B$63*CE47</x:f>
      </x:c>
      <x:c r="CF63" s="117" t="n">
        <x:f>$B$63*CF47</x:f>
      </x:c>
      <x:c r="CG63" s="117" t="n">
        <x:f>$B$63*CG47</x:f>
      </x:c>
      <x:c r="CH63" s="117" t="n">
        <x:f>$B$63*CH47</x:f>
      </x:c>
      <x:c r="CI63" s="117" t="n">
        <x:f>$B$63*CI47</x:f>
      </x:c>
      <x:c r="CJ63" s="117" t="n">
        <x:f>$B$63*CJ47</x:f>
      </x:c>
      <x:c r="CK63" s="117" t="n">
        <x:f>$B$63*CK47</x:f>
      </x:c>
      <x:c r="CL63" s="117" t="n">
        <x:f>$B$63*CL47</x:f>
      </x:c>
      <x:c r="CM63" s="117" t="n">
        <x:f>$B$63*CM47</x:f>
      </x:c>
      <x:c r="CN63" s="117" t="n">
        <x:f>$B$63*CN47</x:f>
      </x:c>
      <x:c r="CO63" s="117" t="n">
        <x:f>$B$63*CO47</x:f>
      </x:c>
      <x:c r="CP63" s="117" t="n">
        <x:f>$B$63*CP47</x:f>
      </x:c>
      <x:c r="CQ63" s="117" t="n">
        <x:f>$B$63*CQ47</x:f>
      </x:c>
      <x:c r="CR63" s="117" t="n">
        <x:f>$B$63*CR47</x:f>
      </x:c>
      <x:c r="CS63" s="117" t="n">
        <x:f>$B$63*CS47</x:f>
      </x:c>
      <x:c r="CT63" s="117" t="n">
        <x:f>$B$63*CT47</x:f>
      </x:c>
      <x:c r="CU63" s="117" t="n">
        <x:f>$B$63*CU47</x:f>
      </x:c>
      <x:c r="CV63" s="117" t="n">
        <x:f>$B$63*CV47</x:f>
      </x:c>
      <x:c r="CW63" s="117" t="n">
        <x:f>$B$63*CW47</x:f>
      </x:c>
      <x:c r="CX63" s="117" t="n">
        <x:f>$B$63*CX47</x:f>
      </x:c>
      <x:c r="CY63" s="117" t="n">
        <x:f>$B$63*CY47</x:f>
      </x:c>
      <x:c r="CZ63" s="117" t="n">
        <x:f>$B$63*CZ47</x:f>
      </x:c>
      <x:c r="DA63" s="117" t="n">
        <x:f>$B$63*DA47</x:f>
      </x:c>
      <x:c r="DB63" s="117" t="n">
        <x:f>$B$63*DB47</x:f>
      </x:c>
      <x:c r="DC63" s="117" t="n">
        <x:f>$B$63*DC47</x:f>
      </x:c>
      <x:c r="DD63" s="117" t="n">
        <x:f>$B$63*DD47</x:f>
      </x:c>
      <x:c r="DE63" s="117" t="n">
        <x:f>$B$63*DE47</x:f>
      </x:c>
      <x:c r="DF63" s="117" t="n">
        <x:f>$B$63*DF47</x:f>
      </x:c>
      <x:c r="DG63" s="117" t="n">
        <x:f>$B$63*DG47</x:f>
      </x:c>
      <x:c r="DH63" s="117" t="n">
        <x:f>$B$63*DH47</x:f>
      </x:c>
      <x:c r="DI63" s="117" t="n">
        <x:f>$B$63*DI47</x:f>
      </x:c>
      <x:c r="DJ63" s="117" t="n">
        <x:f>$B$63*DJ47</x:f>
      </x:c>
      <x:c r="DK63" s="117" t="n">
        <x:f>$B$63*DK47</x:f>
      </x:c>
      <x:c r="DL63" s="117" t="n">
        <x:f>$B$63*DL47</x:f>
      </x:c>
      <x:c r="DM63" s="117" t="n">
        <x:f>$B$63*DM47</x:f>
      </x:c>
      <x:c r="DN63" s="117" t="n">
        <x:f>$B$63*DN47</x:f>
      </x:c>
      <x:c r="DO63" s="117" t="n">
        <x:f>$B$63*DO47</x:f>
      </x:c>
      <x:c r="DP63" s="117" t="n">
        <x:f>$B$63*DP47</x:f>
      </x:c>
      <x:c r="DQ63" s="117" t="n">
        <x:f>$B$63*DQ47</x:f>
      </x:c>
      <x:c r="DR63" s="117" t="n">
        <x:f>$B$63*DR47</x:f>
      </x:c>
      <x:c r="DS63" s="117" t="n">
        <x:f>$B$63*DS47</x:f>
      </x:c>
      <x:c r="DT63" s="117" t="n">
        <x:f>$B$63*DT47</x:f>
      </x:c>
      <x:c r="DU63" s="117" t="n">
        <x:f>$B$63*DU47</x:f>
      </x:c>
      <x:c r="DV63" s="117" t="n">
        <x:f>$B$63*DV47</x:f>
      </x:c>
      <x:c r="DW63" s="117" t="n">
        <x:f>$B$63*DW47</x:f>
      </x:c>
      <x:c r="DX63" s="117" t="n">
        <x:f>$B$63*DX47</x:f>
      </x:c>
      <x:c r="DY63" s="117" t="n">
        <x:f>$B$63*DY47</x:f>
      </x:c>
      <x:c r="DZ63" s="117" t="n">
        <x:f>$B$63*DZ47</x:f>
      </x:c>
      <x:c r="EA63" s="117" t="n">
        <x:f>$B$63*EA47</x:f>
      </x:c>
      <x:c r="EB63" s="117" t="n">
        <x:f>$B$63*EB47</x:f>
      </x:c>
      <x:c r="EC63" s="117" t="n">
        <x:f>$B$63*EC47</x:f>
      </x:c>
      <x:c r="ED63" s="117" t="n">
        <x:f>$B$63*ED47</x:f>
      </x:c>
      <x:c r="EE63" s="117" t="n">
        <x:f>$B$63*EE47</x:f>
      </x:c>
      <x:c r="EF63" s="117" t="n">
        <x:f>$B$63*EF47</x:f>
      </x:c>
      <x:c r="EG63" s="117" t="n">
        <x:f>$B$63*EG47</x:f>
      </x:c>
      <x:c r="EH63" s="117" t="n">
        <x:f>$B$63*EH47</x:f>
      </x:c>
      <x:c r="EI63" s="117" t="n">
        <x:f>$B$63*EI47</x:f>
      </x:c>
      <x:c r="EJ63" s="117" t="n">
        <x:f>$B$63*EJ47</x:f>
      </x:c>
      <x:c r="EK63" s="117" t="n">
        <x:f>$B$63*EK47</x:f>
      </x:c>
      <x:c r="EL63" s="117" t="n">
        <x:f>$B$63*EL47</x:f>
      </x:c>
      <x:c r="EM63" s="117" t="n">
        <x:f>$B$63*EM47</x:f>
      </x:c>
      <x:c r="EN63" s="117" t="n">
        <x:f>$B$63*EN47</x:f>
      </x:c>
      <x:c r="EO63" s="117" t="n">
        <x:f>$B$63*EO47</x:f>
      </x:c>
      <x:c r="EP63" s="117" t="n">
        <x:f>$B$63*EP47</x:f>
      </x:c>
      <x:c r="EQ63" s="117" t="n">
        <x:f>$B$63*EQ47</x:f>
      </x:c>
      <x:c r="ER63" s="117" t="n">
        <x:f>$B$63*ER47</x:f>
      </x:c>
      <x:c r="ES63" s="117" t="n">
        <x:f>$B$63*ES47</x:f>
      </x:c>
      <x:c r="ET63" s="117" t="n">
        <x:f>$B$63*ET47</x:f>
      </x:c>
      <x:c r="EU63" s="117" t="n">
        <x:f>$B$63*EU47</x:f>
      </x:c>
      <x:c r="EV63" s="117" t="n">
        <x:f>$B$63*EV47</x:f>
      </x:c>
      <x:c r="EW63" s="117" t="n">
        <x:f>$B$63*EW47</x:f>
      </x:c>
      <x:c r="EX63" s="117" t="n">
        <x:f>$B$63*EX47</x:f>
      </x:c>
      <x:c r="EY63" s="117" t="n">
        <x:f>$B$63*EY47</x:f>
      </x:c>
      <x:c r="EZ63" s="117" t="n">
        <x:f>$B$63*EZ47</x:f>
      </x:c>
      <x:c r="FA63" s="117" t="n">
        <x:f>$B$63*FA47</x:f>
      </x:c>
      <x:c r="FB63" s="117" t="n">
        <x:f>$B$63*FB47</x:f>
      </x:c>
      <x:c r="FC63" s="117" t="n">
        <x:f>$B$63*FC47</x:f>
      </x:c>
      <x:c r="FD63" s="117" t="n">
        <x:f>$B$63*FD47</x:f>
      </x:c>
      <x:c r="FE63" s="117" t="n">
        <x:f>$B$63*FE47</x:f>
      </x:c>
      <x:c r="FF63" s="117" t="n">
        <x:f>$B$63*FF47</x:f>
      </x:c>
      <x:c r="FG63" s="117" t="n">
        <x:f>$B$63*FG47</x:f>
      </x:c>
      <x:c r="FH63" s="117" t="n">
        <x:f>$B$63*FH47</x:f>
      </x:c>
      <x:c r="FI63" s="117" t="n">
        <x:f>$B$63*FI47</x:f>
      </x:c>
      <x:c r="FJ63" s="117" t="n">
        <x:f>$B$63*FJ47</x:f>
      </x:c>
      <x:c r="FK63" s="117" t="n">
        <x:f>$B$63*FK47</x:f>
      </x:c>
      <x:c r="FL63" s="117" t="n">
        <x:f>$B$63*FL47</x:f>
      </x:c>
      <x:c r="FM63" s="117" t="n">
        <x:f>$B$63*FM47</x:f>
      </x:c>
      <x:c r="FN63" s="117" t="n">
        <x:f>$B$63*FN47</x:f>
      </x:c>
      <x:c r="FO63" s="117" t="n">
        <x:f>$B$63*FO47</x:f>
      </x:c>
      <x:c r="FP63" s="117" t="n">
        <x:f>$B$63*FP47</x:f>
      </x:c>
      <x:c r="FQ63" s="117" t="n">
        <x:f>$B$63*FQ47</x:f>
      </x:c>
      <x:c r="FR63" s="117" t="n">
        <x:f>$B$63*FR47</x:f>
      </x:c>
      <x:c r="FS63" s="117" t="n">
        <x:f>$B$63*FS47</x:f>
      </x:c>
      <x:c r="FT63" s="117" t="n">
        <x:f>$B$63*FT47</x:f>
      </x:c>
      <x:c r="FU63" s="117" t="n">
        <x:f>$B$63*FU47</x:f>
      </x:c>
      <x:c r="FV63" s="117" t="n">
        <x:f>$B$63*FV47</x:f>
      </x:c>
      <x:c r="FW63" s="117" t="n">
        <x:f>$B$63*FW47</x:f>
      </x:c>
      <x:c r="FX63" s="117" t="n">
        <x:f>$B$63*FX47</x:f>
      </x:c>
      <x:c r="FY63" s="117" t="n">
        <x:f>$B$63*FY47</x:f>
      </x:c>
      <x:c r="FZ63" s="117" t="n">
        <x:f>$B$63*FZ47</x:f>
      </x:c>
      <x:c r="GA63" s="117" t="n">
        <x:f>$B$63*GA47</x:f>
      </x:c>
    </x:row>
    <x:row r="64">
      <x:c r="A64" t="str">
        <x:v>Резерв</x:v>
      </x:c>
      <x:c r="B64" s="107" t="n">
        <x:f>(SUM(B49:B63)+B65+'ОБЪЕКТЫ'!$B$104)*'Вводные'!$B$54</x:f>
      </x:c>
      <x:c r="C64" t="str">
        <x:v>млн ₽</x:v>
      </x:c>
      <x:c r="D64" s="117" t="n">
        <x:f>$B$64*D47</x:f>
      </x:c>
      <x:c r="E64" s="117" t="n">
        <x:f>$B$64*E47</x:f>
      </x:c>
      <x:c r="F64" s="117" t="n">
        <x:f>$B$64*F47</x:f>
      </x:c>
      <x:c r="G64" s="117" t="n">
        <x:f>$B$64*G47</x:f>
      </x:c>
      <x:c r="H64" s="117" t="n">
        <x:f>$B$64*H47</x:f>
      </x:c>
      <x:c r="I64" s="117" t="n">
        <x:f>$B$64*I47</x:f>
      </x:c>
      <x:c r="J64" s="117" t="n">
        <x:f>$B$64*J47</x:f>
      </x:c>
      <x:c r="K64" s="117" t="n">
        <x:f>$B$64*K47</x:f>
      </x:c>
      <x:c r="L64" s="117" t="n">
        <x:f>$B$64*L47</x:f>
      </x:c>
      <x:c r="M64" s="117" t="n">
        <x:f>$B$64*M47</x:f>
      </x:c>
      <x:c r="N64" s="117" t="n">
        <x:f>$B$64*N47</x:f>
      </x:c>
      <x:c r="O64" s="117" t="n">
        <x:f>$B$64*O47</x:f>
      </x:c>
      <x:c r="P64" s="117" t="n">
        <x:f>$B$64*P47</x:f>
      </x:c>
      <x:c r="Q64" s="117" t="n">
        <x:f>$B$64*Q47</x:f>
      </x:c>
      <x:c r="R64" s="117" t="n">
        <x:f>$B$64*R47</x:f>
      </x:c>
      <x:c r="S64" s="117" t="n">
        <x:f>$B$64*S47</x:f>
      </x:c>
      <x:c r="T64" s="117" t="n">
        <x:f>$B$64*T47</x:f>
      </x:c>
      <x:c r="U64" s="117" t="n">
        <x:f>$B$64*U47</x:f>
      </x:c>
      <x:c r="V64" s="117" t="n">
        <x:f>$B$64*V47</x:f>
      </x:c>
      <x:c r="W64" s="117" t="n">
        <x:f>$B$64*W47</x:f>
      </x:c>
      <x:c r="X64" s="117" t="n">
        <x:f>$B$64*X47</x:f>
      </x:c>
      <x:c r="Y64" s="117" t="n">
        <x:f>$B$64*Y47</x:f>
      </x:c>
      <x:c r="Z64" s="117" t="n">
        <x:f>$B$64*Z47</x:f>
      </x:c>
      <x:c r="AA64" s="117" t="n">
        <x:f>$B$64*AA47</x:f>
      </x:c>
      <x:c r="AB64" s="117" t="n">
        <x:f>$B$64*AB47</x:f>
      </x:c>
      <x:c r="AC64" s="117" t="n">
        <x:f>$B$64*AC47</x:f>
      </x:c>
      <x:c r="AD64" s="117" t="n">
        <x:f>$B$64*AD47</x:f>
      </x:c>
      <x:c r="AE64" s="117" t="n">
        <x:f>$B$64*AE47</x:f>
      </x:c>
      <x:c r="AF64" s="117" t="n">
        <x:f>$B$64*AF47</x:f>
      </x:c>
      <x:c r="AG64" s="117" t="n">
        <x:f>$B$64*AG47</x:f>
      </x:c>
      <x:c r="AH64" s="117" t="n">
        <x:f>$B$64*AH47</x:f>
      </x:c>
      <x:c r="AI64" s="117" t="n">
        <x:f>$B$64*AI47</x:f>
      </x:c>
      <x:c r="AJ64" s="117" t="n">
        <x:f>$B$64*AJ47</x:f>
      </x:c>
      <x:c r="AK64" s="117" t="n">
        <x:f>$B$64*AK47</x:f>
      </x:c>
      <x:c r="AL64" s="117" t="n">
        <x:f>$B$64*AL47</x:f>
      </x:c>
      <x:c r="AM64" s="117" t="n">
        <x:f>$B$64*AM47</x:f>
      </x:c>
      <x:c r="AN64" s="117" t="n">
        <x:f>$B$64*AN47</x:f>
      </x:c>
      <x:c r="AO64" s="117" t="n">
        <x:f>$B$64*AO47</x:f>
      </x:c>
      <x:c r="AP64" s="117" t="n">
        <x:f>$B$64*AP47</x:f>
      </x:c>
      <x:c r="AQ64" s="117" t="n">
        <x:f>$B$64*AQ47</x:f>
      </x:c>
      <x:c r="AR64" s="117" t="n">
        <x:f>$B$64*AR47</x:f>
      </x:c>
      <x:c r="AS64" s="117" t="n">
        <x:f>$B$64*AS47</x:f>
      </x:c>
      <x:c r="AT64" s="117" t="n">
        <x:f>$B$64*AT47</x:f>
      </x:c>
      <x:c r="AU64" s="117" t="n">
        <x:f>$B$64*AU47</x:f>
      </x:c>
      <x:c r="AV64" s="117" t="n">
        <x:f>$B$64*AV47</x:f>
      </x:c>
      <x:c r="AW64" s="117" t="n">
        <x:f>$B$64*AW47</x:f>
      </x:c>
      <x:c r="AX64" s="117" t="n">
        <x:f>$B$64*AX47</x:f>
      </x:c>
      <x:c r="AY64" s="117" t="n">
        <x:f>$B$64*AY47</x:f>
      </x:c>
      <x:c r="AZ64" s="117" t="n">
        <x:f>$B$64*AZ47</x:f>
      </x:c>
      <x:c r="BA64" s="117" t="n">
        <x:f>$B$64*BA47</x:f>
      </x:c>
      <x:c r="BB64" s="117" t="n">
        <x:f>$B$64*BB47</x:f>
      </x:c>
      <x:c r="BC64" s="117" t="n">
        <x:f>$B$64*BC47</x:f>
      </x:c>
      <x:c r="BD64" s="117" t="n">
        <x:f>$B$64*BD47</x:f>
      </x:c>
      <x:c r="BE64" s="117" t="n">
        <x:f>$B$64*BE47</x:f>
      </x:c>
      <x:c r="BF64" s="117" t="n">
        <x:f>$B$64*BF47</x:f>
      </x:c>
      <x:c r="BG64" s="117" t="n">
        <x:f>$B$64*BG47</x:f>
      </x:c>
      <x:c r="BH64" s="117" t="n">
        <x:f>$B$64*BH47</x:f>
      </x:c>
      <x:c r="BI64" s="117" t="n">
        <x:f>$B$64*BI47</x:f>
      </x:c>
      <x:c r="BJ64" s="117" t="n">
        <x:f>$B$64*BJ47</x:f>
      </x:c>
      <x:c r="BK64" s="117" t="n">
        <x:f>$B$64*BK47</x:f>
      </x:c>
      <x:c r="BL64" s="117" t="n">
        <x:f>$B$64*BL47</x:f>
      </x:c>
      <x:c r="BM64" s="117" t="n">
        <x:f>$B$64*BM47</x:f>
      </x:c>
      <x:c r="BN64" s="117" t="n">
        <x:f>$B$64*BN47</x:f>
      </x:c>
      <x:c r="BO64" s="117" t="n">
        <x:f>$B$64*BO47</x:f>
      </x:c>
      <x:c r="BP64" s="117" t="n">
        <x:f>$B$64*BP47</x:f>
      </x:c>
      <x:c r="BQ64" s="117" t="n">
        <x:f>$B$64*BQ47</x:f>
      </x:c>
      <x:c r="BR64" s="117" t="n">
        <x:f>$B$64*BR47</x:f>
      </x:c>
      <x:c r="BS64" s="117" t="n">
        <x:f>$B$64*BS47</x:f>
      </x:c>
      <x:c r="BT64" s="117" t="n">
        <x:f>$B$64*BT47</x:f>
      </x:c>
      <x:c r="BU64" s="117" t="n">
        <x:f>$B$64*BU47</x:f>
      </x:c>
      <x:c r="BV64" s="117" t="n">
        <x:f>$B$64*BV47</x:f>
      </x:c>
      <x:c r="BW64" s="117" t="n">
        <x:f>$B$64*BW47</x:f>
      </x:c>
      <x:c r="BX64" s="117" t="n">
        <x:f>$B$64*BX47</x:f>
      </x:c>
      <x:c r="BY64" s="117" t="n">
        <x:f>$B$64*BY47</x:f>
      </x:c>
      <x:c r="BZ64" s="117" t="n">
        <x:f>$B$64*BZ47</x:f>
      </x:c>
      <x:c r="CA64" s="117" t="n">
        <x:f>$B$64*CA47</x:f>
      </x:c>
      <x:c r="CB64" s="117" t="n">
        <x:f>$B$64*CB47</x:f>
      </x:c>
      <x:c r="CC64" s="117" t="n">
        <x:f>$B$64*CC47</x:f>
      </x:c>
      <x:c r="CD64" s="117" t="n">
        <x:f>$B$64*CD47</x:f>
      </x:c>
      <x:c r="CE64" s="117" t="n">
        <x:f>$B$64*CE47</x:f>
      </x:c>
      <x:c r="CF64" s="117" t="n">
        <x:f>$B$64*CF47</x:f>
      </x:c>
      <x:c r="CG64" s="117" t="n">
        <x:f>$B$64*CG47</x:f>
      </x:c>
      <x:c r="CH64" s="117" t="n">
        <x:f>$B$64*CH47</x:f>
      </x:c>
      <x:c r="CI64" s="117" t="n">
        <x:f>$B$64*CI47</x:f>
      </x:c>
      <x:c r="CJ64" s="117" t="n">
        <x:f>$B$64*CJ47</x:f>
      </x:c>
      <x:c r="CK64" s="117" t="n">
        <x:f>$B$64*CK47</x:f>
      </x:c>
      <x:c r="CL64" s="117" t="n">
        <x:f>$B$64*CL47</x:f>
      </x:c>
      <x:c r="CM64" s="117" t="n">
        <x:f>$B$64*CM47</x:f>
      </x:c>
      <x:c r="CN64" s="117" t="n">
        <x:f>$B$64*CN47</x:f>
      </x:c>
      <x:c r="CO64" s="117" t="n">
        <x:f>$B$64*CO47</x:f>
      </x:c>
      <x:c r="CP64" s="117" t="n">
        <x:f>$B$64*CP47</x:f>
      </x:c>
      <x:c r="CQ64" s="117" t="n">
        <x:f>$B$64*CQ47</x:f>
      </x:c>
      <x:c r="CR64" s="117" t="n">
        <x:f>$B$64*CR47</x:f>
      </x:c>
      <x:c r="CS64" s="117" t="n">
        <x:f>$B$64*CS47</x:f>
      </x:c>
      <x:c r="CT64" s="117" t="n">
        <x:f>$B$64*CT47</x:f>
      </x:c>
      <x:c r="CU64" s="117" t="n">
        <x:f>$B$64*CU47</x:f>
      </x:c>
      <x:c r="CV64" s="117" t="n">
        <x:f>$B$64*CV47</x:f>
      </x:c>
      <x:c r="CW64" s="117" t="n">
        <x:f>$B$64*CW47</x:f>
      </x:c>
      <x:c r="CX64" s="117" t="n">
        <x:f>$B$64*CX47</x:f>
      </x:c>
      <x:c r="CY64" s="117" t="n">
        <x:f>$B$64*CY47</x:f>
      </x:c>
      <x:c r="CZ64" s="117" t="n">
        <x:f>$B$64*CZ47</x:f>
      </x:c>
      <x:c r="DA64" s="117" t="n">
        <x:f>$B$64*DA47</x:f>
      </x:c>
      <x:c r="DB64" s="117" t="n">
        <x:f>$B$64*DB47</x:f>
      </x:c>
      <x:c r="DC64" s="117" t="n">
        <x:f>$B$64*DC47</x:f>
      </x:c>
      <x:c r="DD64" s="117" t="n">
        <x:f>$B$64*DD47</x:f>
      </x:c>
      <x:c r="DE64" s="117" t="n">
        <x:f>$B$64*DE47</x:f>
      </x:c>
      <x:c r="DF64" s="117" t="n">
        <x:f>$B$64*DF47</x:f>
      </x:c>
      <x:c r="DG64" s="117" t="n">
        <x:f>$B$64*DG47</x:f>
      </x:c>
      <x:c r="DH64" s="117" t="n">
        <x:f>$B$64*DH47</x:f>
      </x:c>
      <x:c r="DI64" s="117" t="n">
        <x:f>$B$64*DI47</x:f>
      </x:c>
      <x:c r="DJ64" s="117" t="n">
        <x:f>$B$64*DJ47</x:f>
      </x:c>
      <x:c r="DK64" s="117" t="n">
        <x:f>$B$64*DK47</x:f>
      </x:c>
      <x:c r="DL64" s="117" t="n">
        <x:f>$B$64*DL47</x:f>
      </x:c>
      <x:c r="DM64" s="117" t="n">
        <x:f>$B$64*DM47</x:f>
      </x:c>
      <x:c r="DN64" s="117" t="n">
        <x:f>$B$64*DN47</x:f>
      </x:c>
      <x:c r="DO64" s="117" t="n">
        <x:f>$B$64*DO47</x:f>
      </x:c>
      <x:c r="DP64" s="117" t="n">
        <x:f>$B$64*DP47</x:f>
      </x:c>
      <x:c r="DQ64" s="117" t="n">
        <x:f>$B$64*DQ47</x:f>
      </x:c>
      <x:c r="DR64" s="117" t="n">
        <x:f>$B$64*DR47</x:f>
      </x:c>
      <x:c r="DS64" s="117" t="n">
        <x:f>$B$64*DS47</x:f>
      </x:c>
      <x:c r="DT64" s="117" t="n">
        <x:f>$B$64*DT47</x:f>
      </x:c>
      <x:c r="DU64" s="117" t="n">
        <x:f>$B$64*DU47</x:f>
      </x:c>
      <x:c r="DV64" s="117" t="n">
        <x:f>$B$64*DV47</x:f>
      </x:c>
      <x:c r="DW64" s="117" t="n">
        <x:f>$B$64*DW47</x:f>
      </x:c>
      <x:c r="DX64" s="117" t="n">
        <x:f>$B$64*DX47</x:f>
      </x:c>
      <x:c r="DY64" s="117" t="n">
        <x:f>$B$64*DY47</x:f>
      </x:c>
      <x:c r="DZ64" s="117" t="n">
        <x:f>$B$64*DZ47</x:f>
      </x:c>
      <x:c r="EA64" s="117" t="n">
        <x:f>$B$64*EA47</x:f>
      </x:c>
      <x:c r="EB64" s="117" t="n">
        <x:f>$B$64*EB47</x:f>
      </x:c>
      <x:c r="EC64" s="117" t="n">
        <x:f>$B$64*EC47</x:f>
      </x:c>
      <x:c r="ED64" s="117" t="n">
        <x:f>$B$64*ED47</x:f>
      </x:c>
      <x:c r="EE64" s="117" t="n">
        <x:f>$B$64*EE47</x:f>
      </x:c>
      <x:c r="EF64" s="117" t="n">
        <x:f>$B$64*EF47</x:f>
      </x:c>
      <x:c r="EG64" s="117" t="n">
        <x:f>$B$64*EG47</x:f>
      </x:c>
      <x:c r="EH64" s="117" t="n">
        <x:f>$B$64*EH47</x:f>
      </x:c>
      <x:c r="EI64" s="117" t="n">
        <x:f>$B$64*EI47</x:f>
      </x:c>
      <x:c r="EJ64" s="117" t="n">
        <x:f>$B$64*EJ47</x:f>
      </x:c>
      <x:c r="EK64" s="117" t="n">
        <x:f>$B$64*EK47</x:f>
      </x:c>
      <x:c r="EL64" s="117" t="n">
        <x:f>$B$64*EL47</x:f>
      </x:c>
      <x:c r="EM64" s="117" t="n">
        <x:f>$B$64*EM47</x:f>
      </x:c>
      <x:c r="EN64" s="117" t="n">
        <x:f>$B$64*EN47</x:f>
      </x:c>
      <x:c r="EO64" s="117" t="n">
        <x:f>$B$64*EO47</x:f>
      </x:c>
      <x:c r="EP64" s="117" t="n">
        <x:f>$B$64*EP47</x:f>
      </x:c>
      <x:c r="EQ64" s="117" t="n">
        <x:f>$B$64*EQ47</x:f>
      </x:c>
      <x:c r="ER64" s="117" t="n">
        <x:f>$B$64*ER47</x:f>
      </x:c>
      <x:c r="ES64" s="117" t="n">
        <x:f>$B$64*ES47</x:f>
      </x:c>
      <x:c r="ET64" s="117" t="n">
        <x:f>$B$64*ET47</x:f>
      </x:c>
      <x:c r="EU64" s="117" t="n">
        <x:f>$B$64*EU47</x:f>
      </x:c>
      <x:c r="EV64" s="117" t="n">
        <x:f>$B$64*EV47</x:f>
      </x:c>
      <x:c r="EW64" s="117" t="n">
        <x:f>$B$64*EW47</x:f>
      </x:c>
      <x:c r="EX64" s="117" t="n">
        <x:f>$B$64*EX47</x:f>
      </x:c>
      <x:c r="EY64" s="117" t="n">
        <x:f>$B$64*EY47</x:f>
      </x:c>
      <x:c r="EZ64" s="117" t="n">
        <x:f>$B$64*EZ47</x:f>
      </x:c>
      <x:c r="FA64" s="117" t="n">
        <x:f>$B$64*FA47</x:f>
      </x:c>
      <x:c r="FB64" s="117" t="n">
        <x:f>$B$64*FB47</x:f>
      </x:c>
      <x:c r="FC64" s="117" t="n">
        <x:f>$B$64*FC47</x:f>
      </x:c>
      <x:c r="FD64" s="117" t="n">
        <x:f>$B$64*FD47</x:f>
      </x:c>
      <x:c r="FE64" s="117" t="n">
        <x:f>$B$64*FE47</x:f>
      </x:c>
      <x:c r="FF64" s="117" t="n">
        <x:f>$B$64*FF47</x:f>
      </x:c>
      <x:c r="FG64" s="117" t="n">
        <x:f>$B$64*FG47</x:f>
      </x:c>
      <x:c r="FH64" s="117" t="n">
        <x:f>$B$64*FH47</x:f>
      </x:c>
      <x:c r="FI64" s="117" t="n">
        <x:f>$B$64*FI47</x:f>
      </x:c>
      <x:c r="FJ64" s="117" t="n">
        <x:f>$B$64*FJ47</x:f>
      </x:c>
      <x:c r="FK64" s="117" t="n">
        <x:f>$B$64*FK47</x:f>
      </x:c>
      <x:c r="FL64" s="117" t="n">
        <x:f>$B$64*FL47</x:f>
      </x:c>
      <x:c r="FM64" s="117" t="n">
        <x:f>$B$64*FM47</x:f>
      </x:c>
      <x:c r="FN64" s="117" t="n">
        <x:f>$B$64*FN47</x:f>
      </x:c>
      <x:c r="FO64" s="117" t="n">
        <x:f>$B$64*FO47</x:f>
      </x:c>
      <x:c r="FP64" s="117" t="n">
        <x:f>$B$64*FP47</x:f>
      </x:c>
      <x:c r="FQ64" s="117" t="n">
        <x:f>$B$64*FQ47</x:f>
      </x:c>
      <x:c r="FR64" s="117" t="n">
        <x:f>$B$64*FR47</x:f>
      </x:c>
      <x:c r="FS64" s="117" t="n">
        <x:f>$B$64*FS47</x:f>
      </x:c>
      <x:c r="FT64" s="117" t="n">
        <x:f>$B$64*FT47</x:f>
      </x:c>
      <x:c r="FU64" s="117" t="n">
        <x:f>$B$64*FU47</x:f>
      </x:c>
      <x:c r="FV64" s="117" t="n">
        <x:f>$B$64*FV47</x:f>
      </x:c>
      <x:c r="FW64" s="117" t="n">
        <x:f>$B$64*FW47</x:f>
      </x:c>
      <x:c r="FX64" s="117" t="n">
        <x:f>$B$64*FX47</x:f>
      </x:c>
      <x:c r="FY64" s="117" t="n">
        <x:f>$B$64*FY47</x:f>
      </x:c>
      <x:c r="FZ64" s="117" t="n">
        <x:f>$B$64*FZ47</x:f>
      </x:c>
      <x:c r="GA64" s="117" t="n">
        <x:f>$B$64*GA47</x:f>
      </x:c>
    </x:row>
    <x:row r="65">
      <x:c r="A65" t="str">
        <x:v>Социальная нагрузка</x:v>
      </x:c>
      <x:c r="B65" s="107" t="n">
        <x:f>'Вводные'!$B$17*'Вводные'!$R$89*'Вводные'!$H$6*--('Вводные'!$B$89="Да")</x:f>
      </x:c>
      <x:c r="C65" t="str">
        <x:v>млн ₽</x:v>
      </x:c>
      <x:c r="D65" s="117" t="n">
        <x:f>IF(AND(D$3&gt;='Вводные'!$B$18,D$3&lt;EDATE('Вводные'!$B$18,MAX(1,'Вводные'!$E$18))),$B$65/MAX(1,'Вводные'!$E$18),0)</x:f>
      </x:c>
      <x:c r="E65" s="117" t="n">
        <x:f>IF(AND(E$3&gt;='Вводные'!$B$18,E$3&lt;EDATE('Вводные'!$B$18,MAX(1,'Вводные'!$E$18))),$B$65/MAX(1,'Вводные'!$E$18),0)</x:f>
      </x:c>
      <x:c r="F65" s="117" t="n">
        <x:f>IF(AND(F$3&gt;='Вводные'!$B$18,F$3&lt;EDATE('Вводные'!$B$18,MAX(1,'Вводные'!$E$18))),$B$65/MAX(1,'Вводные'!$E$18),0)</x:f>
      </x:c>
      <x:c r="G65" s="117" t="n">
        <x:f>IF(AND(G$3&gt;='Вводные'!$B$18,G$3&lt;EDATE('Вводные'!$B$18,MAX(1,'Вводные'!$E$18))),$B$65/MAX(1,'Вводные'!$E$18),0)</x:f>
      </x:c>
      <x:c r="H65" s="117" t="n">
        <x:f>IF(AND(H$3&gt;='Вводные'!$B$18,H$3&lt;EDATE('Вводные'!$B$18,MAX(1,'Вводные'!$E$18))),$B$65/MAX(1,'Вводные'!$E$18),0)</x:f>
      </x:c>
      <x:c r="I65" s="117" t="n">
        <x:f>IF(AND(I$3&gt;='Вводные'!$B$18,I$3&lt;EDATE('Вводные'!$B$18,MAX(1,'Вводные'!$E$18))),$B$65/MAX(1,'Вводные'!$E$18),0)</x:f>
      </x:c>
      <x:c r="J65" s="117" t="n">
        <x:f>IF(AND(J$3&gt;='Вводные'!$B$18,J$3&lt;EDATE('Вводные'!$B$18,MAX(1,'Вводные'!$E$18))),$B$65/MAX(1,'Вводные'!$E$18),0)</x:f>
      </x:c>
      <x:c r="K65" s="117" t="n">
        <x:f>IF(AND(K$3&gt;='Вводные'!$B$18,K$3&lt;EDATE('Вводные'!$B$18,MAX(1,'Вводные'!$E$18))),$B$65/MAX(1,'Вводные'!$E$18),0)</x:f>
      </x:c>
      <x:c r="L65" s="117" t="n">
        <x:f>IF(AND(L$3&gt;='Вводные'!$B$18,L$3&lt;EDATE('Вводные'!$B$18,MAX(1,'Вводные'!$E$18))),$B$65/MAX(1,'Вводные'!$E$18),0)</x:f>
      </x:c>
      <x:c r="M65" s="117" t="n">
        <x:f>IF(AND(M$3&gt;='Вводные'!$B$18,M$3&lt;EDATE('Вводные'!$B$18,MAX(1,'Вводные'!$E$18))),$B$65/MAX(1,'Вводные'!$E$18),0)</x:f>
      </x:c>
      <x:c r="N65" s="117" t="n">
        <x:f>IF(AND(N$3&gt;='Вводные'!$B$18,N$3&lt;EDATE('Вводные'!$B$18,MAX(1,'Вводные'!$E$18))),$B$65/MAX(1,'Вводные'!$E$18),0)</x:f>
      </x:c>
      <x:c r="O65" s="117" t="n">
        <x:f>IF(AND(O$3&gt;='Вводные'!$B$18,O$3&lt;EDATE('Вводные'!$B$18,MAX(1,'Вводные'!$E$18))),$B$65/MAX(1,'Вводные'!$E$18),0)</x:f>
      </x:c>
      <x:c r="P65" s="117" t="n">
        <x:f>IF(AND(P$3&gt;='Вводные'!$B$18,P$3&lt;EDATE('Вводные'!$B$18,MAX(1,'Вводные'!$E$18))),$B$65/MAX(1,'Вводные'!$E$18),0)</x:f>
      </x:c>
      <x:c r="Q65" s="117" t="n">
        <x:f>IF(AND(Q$3&gt;='Вводные'!$B$18,Q$3&lt;EDATE('Вводные'!$B$18,MAX(1,'Вводные'!$E$18))),$B$65/MAX(1,'Вводные'!$E$18),0)</x:f>
      </x:c>
      <x:c r="R65" s="117" t="n">
        <x:f>IF(AND(R$3&gt;='Вводные'!$B$18,R$3&lt;EDATE('Вводные'!$B$18,MAX(1,'Вводные'!$E$18))),$B$65/MAX(1,'Вводные'!$E$18),0)</x:f>
      </x:c>
      <x:c r="S65" s="117" t="n">
        <x:f>IF(AND(S$3&gt;='Вводные'!$B$18,S$3&lt;EDATE('Вводные'!$B$18,MAX(1,'Вводные'!$E$18))),$B$65/MAX(1,'Вводные'!$E$18),0)</x:f>
      </x:c>
      <x:c r="T65" s="117" t="n">
        <x:f>IF(AND(T$3&gt;='Вводные'!$B$18,T$3&lt;EDATE('Вводные'!$B$18,MAX(1,'Вводные'!$E$18))),$B$65/MAX(1,'Вводные'!$E$18),0)</x:f>
      </x:c>
      <x:c r="U65" s="117" t="n">
        <x:f>IF(AND(U$3&gt;='Вводные'!$B$18,U$3&lt;EDATE('Вводные'!$B$18,MAX(1,'Вводные'!$E$18))),$B$65/MAX(1,'Вводные'!$E$18),0)</x:f>
      </x:c>
      <x:c r="V65" s="117" t="n">
        <x:f>IF(AND(V$3&gt;='Вводные'!$B$18,V$3&lt;EDATE('Вводные'!$B$18,MAX(1,'Вводные'!$E$18))),$B$65/MAX(1,'Вводные'!$E$18),0)</x:f>
      </x:c>
      <x:c r="W65" s="117" t="n">
        <x:f>IF(AND(W$3&gt;='Вводные'!$B$18,W$3&lt;EDATE('Вводные'!$B$18,MAX(1,'Вводные'!$E$18))),$B$65/MAX(1,'Вводные'!$E$18),0)</x:f>
      </x:c>
      <x:c r="X65" s="117" t="n">
        <x:f>IF(AND(X$3&gt;='Вводные'!$B$18,X$3&lt;EDATE('Вводные'!$B$18,MAX(1,'Вводные'!$E$18))),$B$65/MAX(1,'Вводные'!$E$18),0)</x:f>
      </x:c>
      <x:c r="Y65" s="117" t="n">
        <x:f>IF(AND(Y$3&gt;='Вводные'!$B$18,Y$3&lt;EDATE('Вводные'!$B$18,MAX(1,'Вводные'!$E$18))),$B$65/MAX(1,'Вводные'!$E$18),0)</x:f>
      </x:c>
      <x:c r="Z65" s="117" t="n">
        <x:f>IF(AND(Z$3&gt;='Вводные'!$B$18,Z$3&lt;EDATE('Вводные'!$B$18,MAX(1,'Вводные'!$E$18))),$B$65/MAX(1,'Вводные'!$E$18),0)</x:f>
      </x:c>
      <x:c r="AA65" s="117" t="n">
        <x:f>IF(AND(AA$3&gt;='Вводные'!$B$18,AA$3&lt;EDATE('Вводные'!$B$18,MAX(1,'Вводные'!$E$18))),$B$65/MAX(1,'Вводные'!$E$18),0)</x:f>
      </x:c>
      <x:c r="AB65" s="117" t="n">
        <x:f>IF(AND(AB$3&gt;='Вводные'!$B$18,AB$3&lt;EDATE('Вводные'!$B$18,MAX(1,'Вводные'!$E$18))),$B$65/MAX(1,'Вводные'!$E$18),0)</x:f>
      </x:c>
      <x:c r="AC65" s="117" t="n">
        <x:f>IF(AND(AC$3&gt;='Вводные'!$B$18,AC$3&lt;EDATE('Вводные'!$B$18,MAX(1,'Вводные'!$E$18))),$B$65/MAX(1,'Вводные'!$E$18),0)</x:f>
      </x:c>
      <x:c r="AD65" s="117" t="n">
        <x:f>IF(AND(AD$3&gt;='Вводные'!$B$18,AD$3&lt;EDATE('Вводные'!$B$18,MAX(1,'Вводные'!$E$18))),$B$65/MAX(1,'Вводные'!$E$18),0)</x:f>
      </x:c>
      <x:c r="AE65" s="117" t="n">
        <x:f>IF(AND(AE$3&gt;='Вводные'!$B$18,AE$3&lt;EDATE('Вводные'!$B$18,MAX(1,'Вводные'!$E$18))),$B$65/MAX(1,'Вводные'!$E$18),0)</x:f>
      </x:c>
      <x:c r="AF65" s="117" t="n">
        <x:f>IF(AND(AF$3&gt;='Вводные'!$B$18,AF$3&lt;EDATE('Вводные'!$B$18,MAX(1,'Вводные'!$E$18))),$B$65/MAX(1,'Вводные'!$E$18),0)</x:f>
      </x:c>
      <x:c r="AG65" s="117" t="n">
        <x:f>IF(AND(AG$3&gt;='Вводные'!$B$18,AG$3&lt;EDATE('Вводные'!$B$18,MAX(1,'Вводные'!$E$18))),$B$65/MAX(1,'Вводные'!$E$18),0)</x:f>
      </x:c>
      <x:c r="AH65" s="117" t="n">
        <x:f>IF(AND(AH$3&gt;='Вводные'!$B$18,AH$3&lt;EDATE('Вводные'!$B$18,MAX(1,'Вводные'!$E$18))),$B$65/MAX(1,'Вводные'!$E$18),0)</x:f>
      </x:c>
      <x:c r="AI65" s="117" t="n">
        <x:f>IF(AND(AI$3&gt;='Вводные'!$B$18,AI$3&lt;EDATE('Вводные'!$B$18,MAX(1,'Вводные'!$E$18))),$B$65/MAX(1,'Вводные'!$E$18),0)</x:f>
      </x:c>
      <x:c r="AJ65" s="117" t="n">
        <x:f>IF(AND(AJ$3&gt;='Вводные'!$B$18,AJ$3&lt;EDATE('Вводные'!$B$18,MAX(1,'Вводные'!$E$18))),$B$65/MAX(1,'Вводные'!$E$18),0)</x:f>
      </x:c>
      <x:c r="AK65" s="117" t="n">
        <x:f>IF(AND(AK$3&gt;='Вводные'!$B$18,AK$3&lt;EDATE('Вводные'!$B$18,MAX(1,'Вводные'!$E$18))),$B$65/MAX(1,'Вводные'!$E$18),0)</x:f>
      </x:c>
      <x:c r="AL65" s="117" t="n">
        <x:f>IF(AND(AL$3&gt;='Вводные'!$B$18,AL$3&lt;EDATE('Вводные'!$B$18,MAX(1,'Вводные'!$E$18))),$B$65/MAX(1,'Вводные'!$E$18),0)</x:f>
      </x:c>
      <x:c r="AM65" s="117" t="n">
        <x:f>IF(AND(AM$3&gt;='Вводные'!$B$18,AM$3&lt;EDATE('Вводные'!$B$18,MAX(1,'Вводные'!$E$18))),$B$65/MAX(1,'Вводные'!$E$18),0)</x:f>
      </x:c>
      <x:c r="AN65" s="117" t="n">
        <x:f>IF(AND(AN$3&gt;='Вводные'!$B$18,AN$3&lt;EDATE('Вводные'!$B$18,MAX(1,'Вводные'!$E$18))),$B$65/MAX(1,'Вводные'!$E$18),0)</x:f>
      </x:c>
      <x:c r="AO65" s="117" t="n">
        <x:f>IF(AND(AO$3&gt;='Вводные'!$B$18,AO$3&lt;EDATE('Вводные'!$B$18,MAX(1,'Вводные'!$E$18))),$B$65/MAX(1,'Вводные'!$E$18),0)</x:f>
      </x:c>
      <x:c r="AP65" s="117" t="n">
        <x:f>IF(AND(AP$3&gt;='Вводные'!$B$18,AP$3&lt;EDATE('Вводные'!$B$18,MAX(1,'Вводные'!$E$18))),$B$65/MAX(1,'Вводные'!$E$18),0)</x:f>
      </x:c>
      <x:c r="AQ65" s="117" t="n">
        <x:f>IF(AND(AQ$3&gt;='Вводные'!$B$18,AQ$3&lt;EDATE('Вводные'!$B$18,MAX(1,'Вводные'!$E$18))),$B$65/MAX(1,'Вводные'!$E$18),0)</x:f>
      </x:c>
      <x:c r="AR65" s="117" t="n">
        <x:f>IF(AND(AR$3&gt;='Вводные'!$B$18,AR$3&lt;EDATE('Вводные'!$B$18,MAX(1,'Вводные'!$E$18))),$B$65/MAX(1,'Вводные'!$E$18),0)</x:f>
      </x:c>
      <x:c r="AS65" s="117" t="n">
        <x:f>IF(AND(AS$3&gt;='Вводные'!$B$18,AS$3&lt;EDATE('Вводные'!$B$18,MAX(1,'Вводные'!$E$18))),$B$65/MAX(1,'Вводные'!$E$18),0)</x:f>
      </x:c>
      <x:c r="AT65" s="117" t="n">
        <x:f>IF(AND(AT$3&gt;='Вводные'!$B$18,AT$3&lt;EDATE('Вводные'!$B$18,MAX(1,'Вводные'!$E$18))),$B$65/MAX(1,'Вводные'!$E$18),0)</x:f>
      </x:c>
      <x:c r="AU65" s="117" t="n">
        <x:f>IF(AND(AU$3&gt;='Вводные'!$B$18,AU$3&lt;EDATE('Вводные'!$B$18,MAX(1,'Вводные'!$E$18))),$B$65/MAX(1,'Вводные'!$E$18),0)</x:f>
      </x:c>
      <x:c r="AV65" s="117" t="n">
        <x:f>IF(AND(AV$3&gt;='Вводные'!$B$18,AV$3&lt;EDATE('Вводные'!$B$18,MAX(1,'Вводные'!$E$18))),$B$65/MAX(1,'Вводные'!$E$18),0)</x:f>
      </x:c>
      <x:c r="AW65" s="117" t="n">
        <x:f>IF(AND(AW$3&gt;='Вводные'!$B$18,AW$3&lt;EDATE('Вводные'!$B$18,MAX(1,'Вводные'!$E$18))),$B$65/MAX(1,'Вводные'!$E$18),0)</x:f>
      </x:c>
      <x:c r="AX65" s="117" t="n">
        <x:f>IF(AND(AX$3&gt;='Вводные'!$B$18,AX$3&lt;EDATE('Вводные'!$B$18,MAX(1,'Вводные'!$E$18))),$B$65/MAX(1,'Вводные'!$E$18),0)</x:f>
      </x:c>
      <x:c r="AY65" s="117" t="n">
        <x:f>IF(AND(AY$3&gt;='Вводные'!$B$18,AY$3&lt;EDATE('Вводные'!$B$18,MAX(1,'Вводные'!$E$18))),$B$65/MAX(1,'Вводные'!$E$18),0)</x:f>
      </x:c>
      <x:c r="AZ65" s="117" t="n">
        <x:f>IF(AND(AZ$3&gt;='Вводные'!$B$18,AZ$3&lt;EDATE('Вводные'!$B$18,MAX(1,'Вводные'!$E$18))),$B$65/MAX(1,'Вводные'!$E$18),0)</x:f>
      </x:c>
      <x:c r="BA65" s="117" t="n">
        <x:f>IF(AND(BA$3&gt;='Вводные'!$B$18,BA$3&lt;EDATE('Вводные'!$B$18,MAX(1,'Вводные'!$E$18))),$B$65/MAX(1,'Вводные'!$E$18),0)</x:f>
      </x:c>
      <x:c r="BB65" s="117" t="n">
        <x:f>IF(AND(BB$3&gt;='Вводные'!$B$18,BB$3&lt;EDATE('Вводные'!$B$18,MAX(1,'Вводные'!$E$18))),$B$65/MAX(1,'Вводные'!$E$18),0)</x:f>
      </x:c>
      <x:c r="BC65" s="117" t="n">
        <x:f>IF(AND(BC$3&gt;='Вводные'!$B$18,BC$3&lt;EDATE('Вводные'!$B$18,MAX(1,'Вводные'!$E$18))),$B$65/MAX(1,'Вводные'!$E$18),0)</x:f>
      </x:c>
      <x:c r="BD65" s="117" t="n">
        <x:f>IF(AND(BD$3&gt;='Вводные'!$B$18,BD$3&lt;EDATE('Вводные'!$B$18,MAX(1,'Вводные'!$E$18))),$B$65/MAX(1,'Вводные'!$E$18),0)</x:f>
      </x:c>
      <x:c r="BE65" s="117" t="n">
        <x:f>IF(AND(BE$3&gt;='Вводные'!$B$18,BE$3&lt;EDATE('Вводные'!$B$18,MAX(1,'Вводные'!$E$18))),$B$65/MAX(1,'Вводные'!$E$18),0)</x:f>
      </x:c>
      <x:c r="BF65" s="117" t="n">
        <x:f>IF(AND(BF$3&gt;='Вводные'!$B$18,BF$3&lt;EDATE('Вводные'!$B$18,MAX(1,'Вводные'!$E$18))),$B$65/MAX(1,'Вводные'!$E$18),0)</x:f>
      </x:c>
      <x:c r="BG65" s="117" t="n">
        <x:f>IF(AND(BG$3&gt;='Вводные'!$B$18,BG$3&lt;EDATE('Вводные'!$B$18,MAX(1,'Вводные'!$E$18))),$B$65/MAX(1,'Вводные'!$E$18),0)</x:f>
      </x:c>
      <x:c r="BH65" s="117" t="n">
        <x:f>IF(AND(BH$3&gt;='Вводные'!$B$18,BH$3&lt;EDATE('Вводные'!$B$18,MAX(1,'Вводные'!$E$18))),$B$65/MAX(1,'Вводные'!$E$18),0)</x:f>
      </x:c>
      <x:c r="BI65" s="117" t="n">
        <x:f>IF(AND(BI$3&gt;='Вводные'!$B$18,BI$3&lt;EDATE('Вводные'!$B$18,MAX(1,'Вводные'!$E$18))),$B$65/MAX(1,'Вводные'!$E$18),0)</x:f>
      </x:c>
      <x:c r="BJ65" s="117" t="n">
        <x:f>IF(AND(BJ$3&gt;='Вводные'!$B$18,BJ$3&lt;EDATE('Вводные'!$B$18,MAX(1,'Вводные'!$E$18))),$B$65/MAX(1,'Вводные'!$E$18),0)</x:f>
      </x:c>
      <x:c r="BK65" s="117" t="n">
        <x:f>IF(AND(BK$3&gt;='Вводные'!$B$18,BK$3&lt;EDATE('Вводные'!$B$18,MAX(1,'Вводные'!$E$18))),$B$65/MAX(1,'Вводные'!$E$18),0)</x:f>
      </x:c>
      <x:c r="BL65" s="117" t="n">
        <x:f>IF(AND(BL$3&gt;='Вводные'!$B$18,BL$3&lt;EDATE('Вводные'!$B$18,MAX(1,'Вводные'!$E$18))),$B$65/MAX(1,'Вводные'!$E$18),0)</x:f>
      </x:c>
      <x:c r="BM65" s="117" t="n">
        <x:f>IF(AND(BM$3&gt;='Вводные'!$B$18,BM$3&lt;EDATE('Вводные'!$B$18,MAX(1,'Вводные'!$E$18))),$B$65/MAX(1,'Вводные'!$E$18),0)</x:f>
      </x:c>
      <x:c r="BN65" s="117" t="n">
        <x:f>IF(AND(BN$3&gt;='Вводные'!$B$18,BN$3&lt;EDATE('Вводные'!$B$18,MAX(1,'Вводные'!$E$18))),$B$65/MAX(1,'Вводные'!$E$18),0)</x:f>
      </x:c>
      <x:c r="BO65" s="117" t="n">
        <x:f>IF(AND(BO$3&gt;='Вводные'!$B$18,BO$3&lt;EDATE('Вводные'!$B$18,MAX(1,'Вводные'!$E$18))),$B$65/MAX(1,'Вводные'!$E$18),0)</x:f>
      </x:c>
      <x:c r="BP65" s="117" t="n">
        <x:f>IF(AND(BP$3&gt;='Вводные'!$B$18,BP$3&lt;EDATE('Вводные'!$B$18,MAX(1,'Вводные'!$E$18))),$B$65/MAX(1,'Вводные'!$E$18),0)</x:f>
      </x:c>
      <x:c r="BQ65" s="117" t="n">
        <x:f>IF(AND(BQ$3&gt;='Вводные'!$B$18,BQ$3&lt;EDATE('Вводные'!$B$18,MAX(1,'Вводные'!$E$18))),$B$65/MAX(1,'Вводные'!$E$18),0)</x:f>
      </x:c>
      <x:c r="BR65" s="117" t="n">
        <x:f>IF(AND(BR$3&gt;='Вводные'!$B$18,BR$3&lt;EDATE('Вводные'!$B$18,MAX(1,'Вводные'!$E$18))),$B$65/MAX(1,'Вводные'!$E$18),0)</x:f>
      </x:c>
      <x:c r="BS65" s="117" t="n">
        <x:f>IF(AND(BS$3&gt;='Вводные'!$B$18,BS$3&lt;EDATE('Вводные'!$B$18,MAX(1,'Вводные'!$E$18))),$B$65/MAX(1,'Вводные'!$E$18),0)</x:f>
      </x:c>
      <x:c r="BT65" s="117" t="n">
        <x:f>IF(AND(BT$3&gt;='Вводные'!$B$18,BT$3&lt;EDATE('Вводные'!$B$18,MAX(1,'Вводные'!$E$18))),$B$65/MAX(1,'Вводные'!$E$18),0)</x:f>
      </x:c>
      <x:c r="BU65" s="117" t="n">
        <x:f>IF(AND(BU$3&gt;='Вводные'!$B$18,BU$3&lt;EDATE('Вводные'!$B$18,MAX(1,'Вводные'!$E$18))),$B$65/MAX(1,'Вводные'!$E$18),0)</x:f>
      </x:c>
      <x:c r="BV65" s="117" t="n">
        <x:f>IF(AND(BV$3&gt;='Вводные'!$B$18,BV$3&lt;EDATE('Вводные'!$B$18,MAX(1,'Вводные'!$E$18))),$B$65/MAX(1,'Вводные'!$E$18),0)</x:f>
      </x:c>
      <x:c r="BW65" s="117" t="n">
        <x:f>IF(AND(BW$3&gt;='Вводные'!$B$18,BW$3&lt;EDATE('Вводные'!$B$18,MAX(1,'Вводные'!$E$18))),$B$65/MAX(1,'Вводные'!$E$18),0)</x:f>
      </x:c>
      <x:c r="BX65" s="117" t="n">
        <x:f>IF(AND(BX$3&gt;='Вводные'!$B$18,BX$3&lt;EDATE('Вводные'!$B$18,MAX(1,'Вводные'!$E$18))),$B$65/MAX(1,'Вводные'!$E$18),0)</x:f>
      </x:c>
      <x:c r="BY65" s="117" t="n">
        <x:f>IF(AND(BY$3&gt;='Вводные'!$B$18,BY$3&lt;EDATE('Вводные'!$B$18,MAX(1,'Вводные'!$E$18))),$B$65/MAX(1,'Вводные'!$E$18),0)</x:f>
      </x:c>
      <x:c r="BZ65" s="117" t="n">
        <x:f>IF(AND(BZ$3&gt;='Вводные'!$B$18,BZ$3&lt;EDATE('Вводные'!$B$18,MAX(1,'Вводные'!$E$18))),$B$65/MAX(1,'Вводные'!$E$18),0)</x:f>
      </x:c>
      <x:c r="CA65" s="117" t="n">
        <x:f>IF(AND(CA$3&gt;='Вводные'!$B$18,CA$3&lt;EDATE('Вводные'!$B$18,MAX(1,'Вводные'!$E$18))),$B$65/MAX(1,'Вводные'!$E$18),0)</x:f>
      </x:c>
      <x:c r="CB65" s="117" t="n">
        <x:f>IF(AND(CB$3&gt;='Вводные'!$B$18,CB$3&lt;EDATE('Вводные'!$B$18,MAX(1,'Вводные'!$E$18))),$B$65/MAX(1,'Вводные'!$E$18),0)</x:f>
      </x:c>
      <x:c r="CC65" s="117" t="n">
        <x:f>IF(AND(CC$3&gt;='Вводные'!$B$18,CC$3&lt;EDATE('Вводные'!$B$18,MAX(1,'Вводные'!$E$18))),$B$65/MAX(1,'Вводные'!$E$18),0)</x:f>
      </x:c>
      <x:c r="CD65" s="117" t="n">
        <x:f>IF(AND(CD$3&gt;='Вводные'!$B$18,CD$3&lt;EDATE('Вводные'!$B$18,MAX(1,'Вводные'!$E$18))),$B$65/MAX(1,'Вводные'!$E$18),0)</x:f>
      </x:c>
      <x:c r="CE65" s="117" t="n">
        <x:f>IF(AND(CE$3&gt;='Вводные'!$B$18,CE$3&lt;EDATE('Вводные'!$B$18,MAX(1,'Вводные'!$E$18))),$B$65/MAX(1,'Вводные'!$E$18),0)</x:f>
      </x:c>
      <x:c r="CF65" s="117" t="n">
        <x:f>IF(AND(CF$3&gt;='Вводные'!$B$18,CF$3&lt;EDATE('Вводные'!$B$18,MAX(1,'Вводные'!$E$18))),$B$65/MAX(1,'Вводные'!$E$18),0)</x:f>
      </x:c>
      <x:c r="CG65" s="117" t="n">
        <x:f>IF(AND(CG$3&gt;='Вводные'!$B$18,CG$3&lt;EDATE('Вводные'!$B$18,MAX(1,'Вводные'!$E$18))),$B$65/MAX(1,'Вводные'!$E$18),0)</x:f>
      </x:c>
      <x:c r="CH65" s="117" t="n">
        <x:f>IF(AND(CH$3&gt;='Вводные'!$B$18,CH$3&lt;EDATE('Вводные'!$B$18,MAX(1,'Вводные'!$E$18))),$B$65/MAX(1,'Вводные'!$E$18),0)</x:f>
      </x:c>
      <x:c r="CI65" s="117" t="n">
        <x:f>IF(AND(CI$3&gt;='Вводные'!$B$18,CI$3&lt;EDATE('Вводные'!$B$18,MAX(1,'Вводные'!$E$18))),$B$65/MAX(1,'Вводные'!$E$18),0)</x:f>
      </x:c>
      <x:c r="CJ65" s="117" t="n">
        <x:f>IF(AND(CJ$3&gt;='Вводные'!$B$18,CJ$3&lt;EDATE('Вводные'!$B$18,MAX(1,'Вводные'!$E$18))),$B$65/MAX(1,'Вводные'!$E$18),0)</x:f>
      </x:c>
      <x:c r="CK65" s="117" t="n">
        <x:f>IF(AND(CK$3&gt;='Вводные'!$B$18,CK$3&lt;EDATE('Вводные'!$B$18,MAX(1,'Вводные'!$E$18))),$B$65/MAX(1,'Вводные'!$E$18),0)</x:f>
      </x:c>
      <x:c r="CL65" s="117" t="n">
        <x:f>IF(AND(CL$3&gt;='Вводные'!$B$18,CL$3&lt;EDATE('Вводные'!$B$18,MAX(1,'Вводные'!$E$18))),$B$65/MAX(1,'Вводные'!$E$18),0)</x:f>
      </x:c>
      <x:c r="CM65" s="117" t="n">
        <x:f>IF(AND(CM$3&gt;='Вводные'!$B$18,CM$3&lt;EDATE('Вводные'!$B$18,MAX(1,'Вводные'!$E$18))),$B$65/MAX(1,'Вводные'!$E$18),0)</x:f>
      </x:c>
      <x:c r="CN65" s="117" t="n">
        <x:f>IF(AND(CN$3&gt;='Вводные'!$B$18,CN$3&lt;EDATE('Вводные'!$B$18,MAX(1,'Вводные'!$E$18))),$B$65/MAX(1,'Вводные'!$E$18),0)</x:f>
      </x:c>
      <x:c r="CO65" s="117" t="n">
        <x:f>IF(AND(CO$3&gt;='Вводные'!$B$18,CO$3&lt;EDATE('Вводные'!$B$18,MAX(1,'Вводные'!$E$18))),$B$65/MAX(1,'Вводные'!$E$18),0)</x:f>
      </x:c>
      <x:c r="CP65" s="117" t="n">
        <x:f>IF(AND(CP$3&gt;='Вводные'!$B$18,CP$3&lt;EDATE('Вводные'!$B$18,MAX(1,'Вводные'!$E$18))),$B$65/MAX(1,'Вводные'!$E$18),0)</x:f>
      </x:c>
      <x:c r="CQ65" s="117" t="n">
        <x:f>IF(AND(CQ$3&gt;='Вводные'!$B$18,CQ$3&lt;EDATE('Вводные'!$B$18,MAX(1,'Вводные'!$E$18))),$B$65/MAX(1,'Вводные'!$E$18),0)</x:f>
      </x:c>
      <x:c r="CR65" s="117" t="n">
        <x:f>IF(AND(CR$3&gt;='Вводные'!$B$18,CR$3&lt;EDATE('Вводные'!$B$18,MAX(1,'Вводные'!$E$18))),$B$65/MAX(1,'Вводные'!$E$18),0)</x:f>
      </x:c>
      <x:c r="CS65" s="117" t="n">
        <x:f>IF(AND(CS$3&gt;='Вводные'!$B$18,CS$3&lt;EDATE('Вводные'!$B$18,MAX(1,'Вводные'!$E$18))),$B$65/MAX(1,'Вводные'!$E$18),0)</x:f>
      </x:c>
      <x:c r="CT65" s="117" t="n">
        <x:f>IF(AND(CT$3&gt;='Вводные'!$B$18,CT$3&lt;EDATE('Вводные'!$B$18,MAX(1,'Вводные'!$E$18))),$B$65/MAX(1,'Вводные'!$E$18),0)</x:f>
      </x:c>
      <x:c r="CU65" s="117" t="n">
        <x:f>IF(AND(CU$3&gt;='Вводные'!$B$18,CU$3&lt;EDATE('Вводные'!$B$18,MAX(1,'Вводные'!$E$18))),$B$65/MAX(1,'Вводные'!$E$18),0)</x:f>
      </x:c>
      <x:c r="CV65" s="117" t="n">
        <x:f>IF(AND(CV$3&gt;='Вводные'!$B$18,CV$3&lt;EDATE('Вводные'!$B$18,MAX(1,'Вводные'!$E$18))),$B$65/MAX(1,'Вводные'!$E$18),0)</x:f>
      </x:c>
      <x:c r="CW65" s="117" t="n">
        <x:f>IF(AND(CW$3&gt;='Вводные'!$B$18,CW$3&lt;EDATE('Вводные'!$B$18,MAX(1,'Вводные'!$E$18))),$B$65/MAX(1,'Вводные'!$E$18),0)</x:f>
      </x:c>
      <x:c r="CX65" s="117" t="n">
        <x:f>IF(AND(CX$3&gt;='Вводные'!$B$18,CX$3&lt;EDATE('Вводные'!$B$18,MAX(1,'Вводные'!$E$18))),$B$65/MAX(1,'Вводные'!$E$18),0)</x:f>
      </x:c>
      <x:c r="CY65" s="117" t="n">
        <x:f>IF(AND(CY$3&gt;='Вводные'!$B$18,CY$3&lt;EDATE('Вводные'!$B$18,MAX(1,'Вводные'!$E$18))),$B$65/MAX(1,'Вводные'!$E$18),0)</x:f>
      </x:c>
      <x:c r="CZ65" s="117" t="n">
        <x:f>IF(AND(CZ$3&gt;='Вводные'!$B$18,CZ$3&lt;EDATE('Вводные'!$B$18,MAX(1,'Вводные'!$E$18))),$B$65/MAX(1,'Вводные'!$E$18),0)</x:f>
      </x:c>
      <x:c r="DA65" s="117" t="n">
        <x:f>IF(AND(DA$3&gt;='Вводные'!$B$18,DA$3&lt;EDATE('Вводные'!$B$18,MAX(1,'Вводные'!$E$18))),$B$65/MAX(1,'Вводные'!$E$18),0)</x:f>
      </x:c>
      <x:c r="DB65" s="117" t="n">
        <x:f>IF(AND(DB$3&gt;='Вводные'!$B$18,DB$3&lt;EDATE('Вводные'!$B$18,MAX(1,'Вводные'!$E$18))),$B$65/MAX(1,'Вводные'!$E$18),0)</x:f>
      </x:c>
      <x:c r="DC65" s="117" t="n">
        <x:f>IF(AND(DC$3&gt;='Вводные'!$B$18,DC$3&lt;EDATE('Вводные'!$B$18,MAX(1,'Вводные'!$E$18))),$B$65/MAX(1,'Вводные'!$E$18),0)</x:f>
      </x:c>
      <x:c r="DD65" s="117" t="n">
        <x:f>IF(AND(DD$3&gt;='Вводные'!$B$18,DD$3&lt;EDATE('Вводные'!$B$18,MAX(1,'Вводные'!$E$18))),$B$65/MAX(1,'Вводные'!$E$18),0)</x:f>
      </x:c>
      <x:c r="DE65" s="117" t="n">
        <x:f>IF(AND(DE$3&gt;='Вводные'!$B$18,DE$3&lt;EDATE('Вводные'!$B$18,MAX(1,'Вводные'!$E$18))),$B$65/MAX(1,'Вводные'!$E$18),0)</x:f>
      </x:c>
      <x:c r="DF65" s="117" t="n">
        <x:f>IF(AND(DF$3&gt;='Вводные'!$B$18,DF$3&lt;EDATE('Вводные'!$B$18,MAX(1,'Вводные'!$E$18))),$B$65/MAX(1,'Вводные'!$E$18),0)</x:f>
      </x:c>
      <x:c r="DG65" s="117" t="n">
        <x:f>IF(AND(DG$3&gt;='Вводные'!$B$18,DG$3&lt;EDATE('Вводные'!$B$18,MAX(1,'Вводные'!$E$18))),$B$65/MAX(1,'Вводные'!$E$18),0)</x:f>
      </x:c>
      <x:c r="DH65" s="117" t="n">
        <x:f>IF(AND(DH$3&gt;='Вводные'!$B$18,DH$3&lt;EDATE('Вводные'!$B$18,MAX(1,'Вводные'!$E$18))),$B$65/MAX(1,'Вводные'!$E$18),0)</x:f>
      </x:c>
      <x:c r="DI65" s="117" t="n">
        <x:f>IF(AND(DI$3&gt;='Вводные'!$B$18,DI$3&lt;EDATE('Вводные'!$B$18,MAX(1,'Вводные'!$E$18))),$B$65/MAX(1,'Вводные'!$E$18),0)</x:f>
      </x:c>
      <x:c r="DJ65" s="117" t="n">
        <x:f>IF(AND(DJ$3&gt;='Вводные'!$B$18,DJ$3&lt;EDATE('Вводные'!$B$18,MAX(1,'Вводные'!$E$18))),$B$65/MAX(1,'Вводные'!$E$18),0)</x:f>
      </x:c>
      <x:c r="DK65" s="117" t="n">
        <x:f>IF(AND(DK$3&gt;='Вводные'!$B$18,DK$3&lt;EDATE('Вводные'!$B$18,MAX(1,'Вводные'!$E$18))),$B$65/MAX(1,'Вводные'!$E$18),0)</x:f>
      </x:c>
      <x:c r="DL65" s="117" t="n">
        <x:f>IF(AND(DL$3&gt;='Вводные'!$B$18,DL$3&lt;EDATE('Вводные'!$B$18,MAX(1,'Вводные'!$E$18))),$B$65/MAX(1,'Вводные'!$E$18),0)</x:f>
      </x:c>
      <x:c r="DM65" s="117" t="n">
        <x:f>IF(AND(DM$3&gt;='Вводные'!$B$18,DM$3&lt;EDATE('Вводные'!$B$18,MAX(1,'Вводные'!$E$18))),$B$65/MAX(1,'Вводные'!$E$18),0)</x:f>
      </x:c>
      <x:c r="DN65" s="117" t="n">
        <x:f>IF(AND(DN$3&gt;='Вводные'!$B$18,DN$3&lt;EDATE('Вводные'!$B$18,MAX(1,'Вводные'!$E$18))),$B$65/MAX(1,'Вводные'!$E$18),0)</x:f>
      </x:c>
      <x:c r="DO65" s="117" t="n">
        <x:f>IF(AND(DO$3&gt;='Вводные'!$B$18,DO$3&lt;EDATE('Вводные'!$B$18,MAX(1,'Вводные'!$E$18))),$B$65/MAX(1,'Вводные'!$E$18),0)</x:f>
      </x:c>
      <x:c r="DP65" s="117" t="n">
        <x:f>IF(AND(DP$3&gt;='Вводные'!$B$18,DP$3&lt;EDATE('Вводные'!$B$18,MAX(1,'Вводные'!$E$18))),$B$65/MAX(1,'Вводные'!$E$18),0)</x:f>
      </x:c>
      <x:c r="DQ65" s="117" t="n">
        <x:f>IF(AND(DQ$3&gt;='Вводные'!$B$18,DQ$3&lt;EDATE('Вводные'!$B$18,MAX(1,'Вводные'!$E$18))),$B$65/MAX(1,'Вводные'!$E$18),0)</x:f>
      </x:c>
      <x:c r="DR65" s="117" t="n">
        <x:f>IF(AND(DR$3&gt;='Вводные'!$B$18,DR$3&lt;EDATE('Вводные'!$B$18,MAX(1,'Вводные'!$E$18))),$B$65/MAX(1,'Вводные'!$E$18),0)</x:f>
      </x:c>
      <x:c r="DS65" s="117" t="n">
        <x:f>IF(AND(DS$3&gt;='Вводные'!$B$18,DS$3&lt;EDATE('Вводные'!$B$18,MAX(1,'Вводные'!$E$18))),$B$65/MAX(1,'Вводные'!$E$18),0)</x:f>
      </x:c>
      <x:c r="DT65" s="117" t="n">
        <x:f>IF(AND(DT$3&gt;='Вводные'!$B$18,DT$3&lt;EDATE('Вводные'!$B$18,MAX(1,'Вводные'!$E$18))),$B$65/MAX(1,'Вводные'!$E$18),0)</x:f>
      </x:c>
      <x:c r="DU65" s="117" t="n">
        <x:f>IF(AND(DU$3&gt;='Вводные'!$B$18,DU$3&lt;EDATE('Вводные'!$B$18,MAX(1,'Вводные'!$E$18))),$B$65/MAX(1,'Вводные'!$E$18),0)</x:f>
      </x:c>
      <x:c r="DV65" s="117" t="n">
        <x:f>IF(AND(DV$3&gt;='Вводные'!$B$18,DV$3&lt;EDATE('Вводные'!$B$18,MAX(1,'Вводные'!$E$18))),$B$65/MAX(1,'Вводные'!$E$18),0)</x:f>
      </x:c>
      <x:c r="DW65" s="117" t="n">
        <x:f>IF(AND(DW$3&gt;='Вводные'!$B$18,DW$3&lt;EDATE('Вводные'!$B$18,MAX(1,'Вводные'!$E$18))),$B$65/MAX(1,'Вводные'!$E$18),0)</x:f>
      </x:c>
      <x:c r="DX65" s="117" t="n">
        <x:f>IF(AND(DX$3&gt;='Вводные'!$B$18,DX$3&lt;EDATE('Вводные'!$B$18,MAX(1,'Вводные'!$E$18))),$B$65/MAX(1,'Вводные'!$E$18),0)</x:f>
      </x:c>
      <x:c r="DY65" s="117" t="n">
        <x:f>IF(AND(DY$3&gt;='Вводные'!$B$18,DY$3&lt;EDATE('Вводные'!$B$18,MAX(1,'Вводные'!$E$18))),$B$65/MAX(1,'Вводные'!$E$18),0)</x:f>
      </x:c>
      <x:c r="DZ65" s="117" t="n">
        <x:f>IF(AND(DZ$3&gt;='Вводные'!$B$18,DZ$3&lt;EDATE('Вводные'!$B$18,MAX(1,'Вводные'!$E$18))),$B$65/MAX(1,'Вводные'!$E$18),0)</x:f>
      </x:c>
      <x:c r="EA65" s="117" t="n">
        <x:f>IF(AND(EA$3&gt;='Вводные'!$B$18,EA$3&lt;EDATE('Вводные'!$B$18,MAX(1,'Вводные'!$E$18))),$B$65/MAX(1,'Вводные'!$E$18),0)</x:f>
      </x:c>
      <x:c r="EB65" s="117" t="n">
        <x:f>IF(AND(EB$3&gt;='Вводные'!$B$18,EB$3&lt;EDATE('Вводные'!$B$18,MAX(1,'Вводные'!$E$18))),$B$65/MAX(1,'Вводные'!$E$18),0)</x:f>
      </x:c>
      <x:c r="EC65" s="117" t="n">
        <x:f>IF(AND(EC$3&gt;='Вводные'!$B$18,EC$3&lt;EDATE('Вводные'!$B$18,MAX(1,'Вводные'!$E$18))),$B$65/MAX(1,'Вводные'!$E$18),0)</x:f>
      </x:c>
      <x:c r="ED65" s="117" t="n">
        <x:f>IF(AND(ED$3&gt;='Вводные'!$B$18,ED$3&lt;EDATE('Вводные'!$B$18,MAX(1,'Вводные'!$E$18))),$B$65/MAX(1,'Вводные'!$E$18),0)</x:f>
      </x:c>
      <x:c r="EE65" s="117" t="n">
        <x:f>IF(AND(EE$3&gt;='Вводные'!$B$18,EE$3&lt;EDATE('Вводные'!$B$18,MAX(1,'Вводные'!$E$18))),$B$65/MAX(1,'Вводные'!$E$18),0)</x:f>
      </x:c>
      <x:c r="EF65" s="117" t="n">
        <x:f>IF(AND(EF$3&gt;='Вводные'!$B$18,EF$3&lt;EDATE('Вводные'!$B$18,MAX(1,'Вводные'!$E$18))),$B$65/MAX(1,'Вводные'!$E$18),0)</x:f>
      </x:c>
      <x:c r="EG65" s="117" t="n">
        <x:f>IF(AND(EG$3&gt;='Вводные'!$B$18,EG$3&lt;EDATE('Вводные'!$B$18,MAX(1,'Вводные'!$E$18))),$B$65/MAX(1,'Вводные'!$E$18),0)</x:f>
      </x:c>
      <x:c r="EH65" s="117" t="n">
        <x:f>IF(AND(EH$3&gt;='Вводные'!$B$18,EH$3&lt;EDATE('Вводные'!$B$18,MAX(1,'Вводные'!$E$18))),$B$65/MAX(1,'Вводные'!$E$18),0)</x:f>
      </x:c>
      <x:c r="EI65" s="117" t="n">
        <x:f>IF(AND(EI$3&gt;='Вводные'!$B$18,EI$3&lt;EDATE('Вводные'!$B$18,MAX(1,'Вводные'!$E$18))),$B$65/MAX(1,'Вводные'!$E$18),0)</x:f>
      </x:c>
      <x:c r="EJ65" s="117" t="n">
        <x:f>IF(AND(EJ$3&gt;='Вводные'!$B$18,EJ$3&lt;EDATE('Вводные'!$B$18,MAX(1,'Вводные'!$E$18))),$B$65/MAX(1,'Вводные'!$E$18),0)</x:f>
      </x:c>
      <x:c r="EK65" s="117" t="n">
        <x:f>IF(AND(EK$3&gt;='Вводные'!$B$18,EK$3&lt;EDATE('Вводные'!$B$18,MAX(1,'Вводные'!$E$18))),$B$65/MAX(1,'Вводные'!$E$18),0)</x:f>
      </x:c>
      <x:c r="EL65" s="117" t="n">
        <x:f>IF(AND(EL$3&gt;='Вводные'!$B$18,EL$3&lt;EDATE('Вводные'!$B$18,MAX(1,'Вводные'!$E$18))),$B$65/MAX(1,'Вводные'!$E$18),0)</x:f>
      </x:c>
      <x:c r="EM65" s="117" t="n">
        <x:f>IF(AND(EM$3&gt;='Вводные'!$B$18,EM$3&lt;EDATE('Вводные'!$B$18,MAX(1,'Вводные'!$E$18))),$B$65/MAX(1,'Вводные'!$E$18),0)</x:f>
      </x:c>
      <x:c r="EN65" s="117" t="n">
        <x:f>IF(AND(EN$3&gt;='Вводные'!$B$18,EN$3&lt;EDATE('Вводные'!$B$18,MAX(1,'Вводные'!$E$18))),$B$65/MAX(1,'Вводные'!$E$18),0)</x:f>
      </x:c>
      <x:c r="EO65" s="117" t="n">
        <x:f>IF(AND(EO$3&gt;='Вводные'!$B$18,EO$3&lt;EDATE('Вводные'!$B$18,MAX(1,'Вводные'!$E$18))),$B$65/MAX(1,'Вводные'!$E$18),0)</x:f>
      </x:c>
      <x:c r="EP65" s="117" t="n">
        <x:f>IF(AND(EP$3&gt;='Вводные'!$B$18,EP$3&lt;EDATE('Вводные'!$B$18,MAX(1,'Вводные'!$E$18))),$B$65/MAX(1,'Вводные'!$E$18),0)</x:f>
      </x:c>
      <x:c r="EQ65" s="117" t="n">
        <x:f>IF(AND(EQ$3&gt;='Вводные'!$B$18,EQ$3&lt;EDATE('Вводные'!$B$18,MAX(1,'Вводные'!$E$18))),$B$65/MAX(1,'Вводные'!$E$18),0)</x:f>
      </x:c>
      <x:c r="ER65" s="117" t="n">
        <x:f>IF(AND(ER$3&gt;='Вводные'!$B$18,ER$3&lt;EDATE('Вводные'!$B$18,MAX(1,'Вводные'!$E$18))),$B$65/MAX(1,'Вводные'!$E$18),0)</x:f>
      </x:c>
      <x:c r="ES65" s="117" t="n">
        <x:f>IF(AND(ES$3&gt;='Вводные'!$B$18,ES$3&lt;EDATE('Вводные'!$B$18,MAX(1,'Вводные'!$E$18))),$B$65/MAX(1,'Вводные'!$E$18),0)</x:f>
      </x:c>
      <x:c r="ET65" s="117" t="n">
        <x:f>IF(AND(ET$3&gt;='Вводные'!$B$18,ET$3&lt;EDATE('Вводные'!$B$18,MAX(1,'Вводные'!$E$18))),$B$65/MAX(1,'Вводные'!$E$18),0)</x:f>
      </x:c>
      <x:c r="EU65" s="117" t="n">
        <x:f>IF(AND(EU$3&gt;='Вводные'!$B$18,EU$3&lt;EDATE('Вводные'!$B$18,MAX(1,'Вводные'!$E$18))),$B$65/MAX(1,'Вводные'!$E$18),0)</x:f>
      </x:c>
      <x:c r="EV65" s="117" t="n">
        <x:f>IF(AND(EV$3&gt;='Вводные'!$B$18,EV$3&lt;EDATE('Вводные'!$B$18,MAX(1,'Вводные'!$E$18))),$B$65/MAX(1,'Вводные'!$E$18),0)</x:f>
      </x:c>
      <x:c r="EW65" s="117" t="n">
        <x:f>IF(AND(EW$3&gt;='Вводные'!$B$18,EW$3&lt;EDATE('Вводные'!$B$18,MAX(1,'Вводные'!$E$18))),$B$65/MAX(1,'Вводные'!$E$18),0)</x:f>
      </x:c>
      <x:c r="EX65" s="117" t="n">
        <x:f>IF(AND(EX$3&gt;='Вводные'!$B$18,EX$3&lt;EDATE('Вводные'!$B$18,MAX(1,'Вводные'!$E$18))),$B$65/MAX(1,'Вводные'!$E$18),0)</x:f>
      </x:c>
      <x:c r="EY65" s="117" t="n">
        <x:f>IF(AND(EY$3&gt;='Вводные'!$B$18,EY$3&lt;EDATE('Вводные'!$B$18,MAX(1,'Вводные'!$E$18))),$B$65/MAX(1,'Вводные'!$E$18),0)</x:f>
      </x:c>
      <x:c r="EZ65" s="117" t="n">
        <x:f>IF(AND(EZ$3&gt;='Вводные'!$B$18,EZ$3&lt;EDATE('Вводные'!$B$18,MAX(1,'Вводные'!$E$18))),$B$65/MAX(1,'Вводные'!$E$18),0)</x:f>
      </x:c>
      <x:c r="FA65" s="117" t="n">
        <x:f>IF(AND(FA$3&gt;='Вводные'!$B$18,FA$3&lt;EDATE('Вводные'!$B$18,MAX(1,'Вводные'!$E$18))),$B$65/MAX(1,'Вводные'!$E$18),0)</x:f>
      </x:c>
      <x:c r="FB65" s="117" t="n">
        <x:f>IF(AND(FB$3&gt;='Вводные'!$B$18,FB$3&lt;EDATE('Вводные'!$B$18,MAX(1,'Вводные'!$E$18))),$B$65/MAX(1,'Вводные'!$E$18),0)</x:f>
      </x:c>
      <x:c r="FC65" s="117" t="n">
        <x:f>IF(AND(FC$3&gt;='Вводные'!$B$18,FC$3&lt;EDATE('Вводные'!$B$18,MAX(1,'Вводные'!$E$18))),$B$65/MAX(1,'Вводные'!$E$18),0)</x:f>
      </x:c>
      <x:c r="FD65" s="117" t="n">
        <x:f>IF(AND(FD$3&gt;='Вводные'!$B$18,FD$3&lt;EDATE('Вводные'!$B$18,MAX(1,'Вводные'!$E$18))),$B$65/MAX(1,'Вводные'!$E$18),0)</x:f>
      </x:c>
      <x:c r="FE65" s="117" t="n">
        <x:f>IF(AND(FE$3&gt;='Вводные'!$B$18,FE$3&lt;EDATE('Вводные'!$B$18,MAX(1,'Вводные'!$E$18))),$B$65/MAX(1,'Вводные'!$E$18),0)</x:f>
      </x:c>
      <x:c r="FF65" s="117" t="n">
        <x:f>IF(AND(FF$3&gt;='Вводные'!$B$18,FF$3&lt;EDATE('Вводные'!$B$18,MAX(1,'Вводные'!$E$18))),$B$65/MAX(1,'Вводные'!$E$18),0)</x:f>
      </x:c>
      <x:c r="FG65" s="117" t="n">
        <x:f>IF(AND(FG$3&gt;='Вводные'!$B$18,FG$3&lt;EDATE('Вводные'!$B$18,MAX(1,'Вводные'!$E$18))),$B$65/MAX(1,'Вводные'!$E$18),0)</x:f>
      </x:c>
      <x:c r="FH65" s="117" t="n">
        <x:f>IF(AND(FH$3&gt;='Вводные'!$B$18,FH$3&lt;EDATE('Вводные'!$B$18,MAX(1,'Вводные'!$E$18))),$B$65/MAX(1,'Вводные'!$E$18),0)</x:f>
      </x:c>
      <x:c r="FI65" s="117" t="n">
        <x:f>IF(AND(FI$3&gt;='Вводные'!$B$18,FI$3&lt;EDATE('Вводные'!$B$18,MAX(1,'Вводные'!$E$18))),$B$65/MAX(1,'Вводные'!$E$18),0)</x:f>
      </x:c>
      <x:c r="FJ65" s="117" t="n">
        <x:f>IF(AND(FJ$3&gt;='Вводные'!$B$18,FJ$3&lt;EDATE('Вводные'!$B$18,MAX(1,'Вводные'!$E$18))),$B$65/MAX(1,'Вводные'!$E$18),0)</x:f>
      </x:c>
      <x:c r="FK65" s="117" t="n">
        <x:f>IF(AND(FK$3&gt;='Вводные'!$B$18,FK$3&lt;EDATE('Вводные'!$B$18,MAX(1,'Вводные'!$E$18))),$B$65/MAX(1,'Вводные'!$E$18),0)</x:f>
      </x:c>
      <x:c r="FL65" s="117" t="n">
        <x:f>IF(AND(FL$3&gt;='Вводные'!$B$18,FL$3&lt;EDATE('Вводные'!$B$18,MAX(1,'Вводные'!$E$18))),$B$65/MAX(1,'Вводные'!$E$18),0)</x:f>
      </x:c>
      <x:c r="FM65" s="117" t="n">
        <x:f>IF(AND(FM$3&gt;='Вводные'!$B$18,FM$3&lt;EDATE('Вводные'!$B$18,MAX(1,'Вводные'!$E$18))),$B$65/MAX(1,'Вводные'!$E$18),0)</x:f>
      </x:c>
      <x:c r="FN65" s="117" t="n">
        <x:f>IF(AND(FN$3&gt;='Вводные'!$B$18,FN$3&lt;EDATE('Вводные'!$B$18,MAX(1,'Вводные'!$E$18))),$B$65/MAX(1,'Вводные'!$E$18),0)</x:f>
      </x:c>
      <x:c r="FO65" s="117" t="n">
        <x:f>IF(AND(FO$3&gt;='Вводные'!$B$18,FO$3&lt;EDATE('Вводные'!$B$18,MAX(1,'Вводные'!$E$18))),$B$65/MAX(1,'Вводные'!$E$18),0)</x:f>
      </x:c>
      <x:c r="FP65" s="117" t="n">
        <x:f>IF(AND(FP$3&gt;='Вводные'!$B$18,FP$3&lt;EDATE('Вводные'!$B$18,MAX(1,'Вводные'!$E$18))),$B$65/MAX(1,'Вводные'!$E$18),0)</x:f>
      </x:c>
      <x:c r="FQ65" s="117" t="n">
        <x:f>IF(AND(FQ$3&gt;='Вводные'!$B$18,FQ$3&lt;EDATE('Вводные'!$B$18,MAX(1,'Вводные'!$E$18))),$B$65/MAX(1,'Вводные'!$E$18),0)</x:f>
      </x:c>
      <x:c r="FR65" s="117" t="n">
        <x:f>IF(AND(FR$3&gt;='Вводные'!$B$18,FR$3&lt;EDATE('Вводные'!$B$18,MAX(1,'Вводные'!$E$18))),$B$65/MAX(1,'Вводные'!$E$18),0)</x:f>
      </x:c>
      <x:c r="FS65" s="117" t="n">
        <x:f>IF(AND(FS$3&gt;='Вводные'!$B$18,FS$3&lt;EDATE('Вводные'!$B$18,MAX(1,'Вводные'!$E$18))),$B$65/MAX(1,'Вводные'!$E$18),0)</x:f>
      </x:c>
      <x:c r="FT65" s="117" t="n">
        <x:f>IF(AND(FT$3&gt;='Вводные'!$B$18,FT$3&lt;EDATE('Вводные'!$B$18,MAX(1,'Вводные'!$E$18))),$B$65/MAX(1,'Вводные'!$E$18),0)</x:f>
      </x:c>
      <x:c r="FU65" s="117" t="n">
        <x:f>IF(AND(FU$3&gt;='Вводные'!$B$18,FU$3&lt;EDATE('Вводные'!$B$18,MAX(1,'Вводные'!$E$18))),$B$65/MAX(1,'Вводные'!$E$18),0)</x:f>
      </x:c>
      <x:c r="FV65" s="117" t="n">
        <x:f>IF(AND(FV$3&gt;='Вводные'!$B$18,FV$3&lt;EDATE('Вводные'!$B$18,MAX(1,'Вводные'!$E$18))),$B$65/MAX(1,'Вводные'!$E$18),0)</x:f>
      </x:c>
      <x:c r="FW65" s="117" t="n">
        <x:f>IF(AND(FW$3&gt;='Вводные'!$B$18,FW$3&lt;EDATE('Вводные'!$B$18,MAX(1,'Вводные'!$E$18))),$B$65/MAX(1,'Вводные'!$E$18),0)</x:f>
      </x:c>
      <x:c r="FX65" s="117" t="n">
        <x:f>IF(AND(FX$3&gt;='Вводные'!$B$18,FX$3&lt;EDATE('Вводные'!$B$18,MAX(1,'Вводные'!$E$18))),$B$65/MAX(1,'Вводные'!$E$18),0)</x:f>
      </x:c>
      <x:c r="FY65" s="117" t="n">
        <x:f>IF(AND(FY$3&gt;='Вводные'!$B$18,FY$3&lt;EDATE('Вводные'!$B$18,MAX(1,'Вводные'!$E$18))),$B$65/MAX(1,'Вводные'!$E$18),0)</x:f>
      </x:c>
      <x:c r="FZ65" s="117" t="n">
        <x:f>IF(AND(FZ$3&gt;='Вводные'!$B$18,FZ$3&lt;EDATE('Вводные'!$B$18,MAX(1,'Вводные'!$E$18))),$B$65/MAX(1,'Вводные'!$E$18),0)</x:f>
      </x:c>
      <x:c r="GA65" s="117" t="n">
        <x:f>IF(AND(GA$3&gt;='Вводные'!$B$18,GA$3&lt;EDATE('Вводные'!$B$18,MAX(1,'Вводные'!$E$18))),$B$65/MAX(1,'Вводные'!$E$18),0)</x:f>
      </x:c>
    </x:row>
    <x:row r="66">
      <x:c r="A66" s="113" t="str">
        <x:v>CAPEX ВСЕГО</x:v>
      </x:c>
      <x:c r="B66" s="113" t="n">
        <x:f>SUM(D66:GA66)</x:f>
      </x:c>
      <x:c r="C66" s="113" t="str">
        <x:v>млн ₽</x:v>
      </x:c>
      <x:c r="D66" s="120" t="n">
        <x:f>SUM(D48:D65)+'ОБЪЕКТЫ'!D104</x:f>
      </x:c>
      <x:c r="E66" s="120" t="n">
        <x:f>SUM(E48:E65)+'ОБЪЕКТЫ'!E104</x:f>
      </x:c>
      <x:c r="F66" s="120" t="n">
        <x:f>SUM(F48:F65)+'ОБЪЕКТЫ'!F104</x:f>
      </x:c>
      <x:c r="G66" s="120" t="n">
        <x:f>SUM(G48:G65)+'ОБЪЕКТЫ'!G104</x:f>
      </x:c>
      <x:c r="H66" s="120" t="n">
        <x:f>SUM(H48:H65)+'ОБЪЕКТЫ'!H104</x:f>
      </x:c>
      <x:c r="I66" s="120" t="n">
        <x:f>SUM(I48:I65)+'ОБЪЕКТЫ'!I104</x:f>
      </x:c>
      <x:c r="J66" s="120" t="n">
        <x:f>SUM(J48:J65)+'ОБЪЕКТЫ'!J104</x:f>
      </x:c>
      <x:c r="K66" s="120" t="n">
        <x:f>SUM(K48:K65)+'ОБЪЕКТЫ'!K104</x:f>
      </x:c>
      <x:c r="L66" s="120" t="n">
        <x:f>SUM(L48:L65)+'ОБЪЕКТЫ'!L104</x:f>
      </x:c>
      <x:c r="M66" s="120" t="n">
        <x:f>SUM(M48:M65)+'ОБЪЕКТЫ'!M104</x:f>
      </x:c>
      <x:c r="N66" s="120" t="n">
        <x:f>SUM(N48:N65)+'ОБЪЕКТЫ'!N104</x:f>
      </x:c>
      <x:c r="O66" s="120" t="n">
        <x:f>SUM(O48:O65)+'ОБЪЕКТЫ'!O104</x:f>
      </x:c>
      <x:c r="P66" s="120" t="n">
        <x:f>SUM(P48:P65)+'ОБЪЕКТЫ'!P104</x:f>
      </x:c>
      <x:c r="Q66" s="120" t="n">
        <x:f>SUM(Q48:Q65)+'ОБЪЕКТЫ'!Q104</x:f>
      </x:c>
      <x:c r="R66" s="120" t="n">
        <x:f>SUM(R48:R65)+'ОБЪЕКТЫ'!R104</x:f>
      </x:c>
      <x:c r="S66" s="120" t="n">
        <x:f>SUM(S48:S65)+'ОБЪЕКТЫ'!S104</x:f>
      </x:c>
      <x:c r="T66" s="120" t="n">
        <x:f>SUM(T48:T65)+'ОБЪЕКТЫ'!T104</x:f>
      </x:c>
      <x:c r="U66" s="120" t="n">
        <x:f>SUM(U48:U65)+'ОБЪЕКТЫ'!U104</x:f>
      </x:c>
      <x:c r="V66" s="120" t="n">
        <x:f>SUM(V48:V65)+'ОБЪЕКТЫ'!V104</x:f>
      </x:c>
      <x:c r="W66" s="120" t="n">
        <x:f>SUM(W48:W65)+'ОБЪЕКТЫ'!W104</x:f>
      </x:c>
      <x:c r="X66" s="120" t="n">
        <x:f>SUM(X48:X65)+'ОБЪЕКТЫ'!X104</x:f>
      </x:c>
      <x:c r="Y66" s="120" t="n">
        <x:f>SUM(Y48:Y65)+'ОБЪЕКТЫ'!Y104</x:f>
      </x:c>
      <x:c r="Z66" s="120" t="n">
        <x:f>SUM(Z48:Z65)+'ОБЪЕКТЫ'!Z104</x:f>
      </x:c>
      <x:c r="AA66" s="120" t="n">
        <x:f>SUM(AA48:AA65)+'ОБЪЕКТЫ'!AA104</x:f>
      </x:c>
      <x:c r="AB66" s="120" t="n">
        <x:f>SUM(AB48:AB65)+'ОБЪЕКТЫ'!AB104</x:f>
      </x:c>
      <x:c r="AC66" s="120" t="n">
        <x:f>SUM(AC48:AC65)+'ОБЪЕКТЫ'!AC104</x:f>
      </x:c>
      <x:c r="AD66" s="120" t="n">
        <x:f>SUM(AD48:AD65)+'ОБЪЕКТЫ'!AD104</x:f>
      </x:c>
      <x:c r="AE66" s="120" t="n">
        <x:f>SUM(AE48:AE65)+'ОБЪЕКТЫ'!AE104</x:f>
      </x:c>
      <x:c r="AF66" s="120" t="n">
        <x:f>SUM(AF48:AF65)+'ОБЪЕКТЫ'!AF104</x:f>
      </x:c>
      <x:c r="AG66" s="120" t="n">
        <x:f>SUM(AG48:AG65)+'ОБЪЕКТЫ'!AG104</x:f>
      </x:c>
      <x:c r="AH66" s="120" t="n">
        <x:f>SUM(AH48:AH65)+'ОБЪЕКТЫ'!AH104</x:f>
      </x:c>
      <x:c r="AI66" s="120" t="n">
        <x:f>SUM(AI48:AI65)+'ОБЪЕКТЫ'!AI104</x:f>
      </x:c>
      <x:c r="AJ66" s="120" t="n">
        <x:f>SUM(AJ48:AJ65)+'ОБЪЕКТЫ'!AJ104</x:f>
      </x:c>
      <x:c r="AK66" s="120" t="n">
        <x:f>SUM(AK48:AK65)+'ОБЪЕКТЫ'!AK104</x:f>
      </x:c>
      <x:c r="AL66" s="120" t="n">
        <x:f>SUM(AL48:AL65)+'ОБЪЕКТЫ'!AL104</x:f>
      </x:c>
      <x:c r="AM66" s="120" t="n">
        <x:f>SUM(AM48:AM65)+'ОБЪЕКТЫ'!AM104</x:f>
      </x:c>
      <x:c r="AN66" s="120" t="n">
        <x:f>SUM(AN48:AN65)+'ОБЪЕКТЫ'!AN104</x:f>
      </x:c>
      <x:c r="AO66" s="120" t="n">
        <x:f>SUM(AO48:AO65)+'ОБЪЕКТЫ'!AO104</x:f>
      </x:c>
      <x:c r="AP66" s="120" t="n">
        <x:f>SUM(AP48:AP65)+'ОБЪЕКТЫ'!AP104</x:f>
      </x:c>
      <x:c r="AQ66" s="120" t="n">
        <x:f>SUM(AQ48:AQ65)+'ОБЪЕКТЫ'!AQ104</x:f>
      </x:c>
      <x:c r="AR66" s="120" t="n">
        <x:f>SUM(AR48:AR65)+'ОБЪЕКТЫ'!AR104</x:f>
      </x:c>
      <x:c r="AS66" s="120" t="n">
        <x:f>SUM(AS48:AS65)+'ОБЪЕКТЫ'!AS104</x:f>
      </x:c>
      <x:c r="AT66" s="120" t="n">
        <x:f>SUM(AT48:AT65)+'ОБЪЕКТЫ'!AT104</x:f>
      </x:c>
      <x:c r="AU66" s="120" t="n">
        <x:f>SUM(AU48:AU65)+'ОБЪЕКТЫ'!AU104</x:f>
      </x:c>
      <x:c r="AV66" s="120" t="n">
        <x:f>SUM(AV48:AV65)+'ОБЪЕКТЫ'!AV104</x:f>
      </x:c>
      <x:c r="AW66" s="120" t="n">
        <x:f>SUM(AW48:AW65)+'ОБЪЕКТЫ'!AW104</x:f>
      </x:c>
      <x:c r="AX66" s="120" t="n">
        <x:f>SUM(AX48:AX65)+'ОБЪЕКТЫ'!AX104</x:f>
      </x:c>
      <x:c r="AY66" s="120" t="n">
        <x:f>SUM(AY48:AY65)+'ОБЪЕКТЫ'!AY104</x:f>
      </x:c>
      <x:c r="AZ66" s="120" t="n">
        <x:f>SUM(AZ48:AZ65)+'ОБЪЕКТЫ'!AZ104</x:f>
      </x:c>
      <x:c r="BA66" s="120" t="n">
        <x:f>SUM(BA48:BA65)+'ОБЪЕКТЫ'!BA104</x:f>
      </x:c>
      <x:c r="BB66" s="120" t="n">
        <x:f>SUM(BB48:BB65)+'ОБЪЕКТЫ'!BB104</x:f>
      </x:c>
      <x:c r="BC66" s="120" t="n">
        <x:f>SUM(BC48:BC65)+'ОБЪЕКТЫ'!BC104</x:f>
      </x:c>
      <x:c r="BD66" s="120" t="n">
        <x:f>SUM(BD48:BD65)+'ОБЪЕКТЫ'!BD104</x:f>
      </x:c>
      <x:c r="BE66" s="120" t="n">
        <x:f>SUM(BE48:BE65)+'ОБЪЕКТЫ'!BE104</x:f>
      </x:c>
      <x:c r="BF66" s="120" t="n">
        <x:f>SUM(BF48:BF65)+'ОБЪЕКТЫ'!BF104</x:f>
      </x:c>
      <x:c r="BG66" s="120" t="n">
        <x:f>SUM(BG48:BG65)+'ОБЪЕКТЫ'!BG104</x:f>
      </x:c>
      <x:c r="BH66" s="120" t="n">
        <x:f>SUM(BH48:BH65)+'ОБЪЕКТЫ'!BH104</x:f>
      </x:c>
      <x:c r="BI66" s="120" t="n">
        <x:f>SUM(BI48:BI65)+'ОБЪЕКТЫ'!BI104</x:f>
      </x:c>
      <x:c r="BJ66" s="120" t="n">
        <x:f>SUM(BJ48:BJ65)+'ОБЪЕКТЫ'!BJ104</x:f>
      </x:c>
      <x:c r="BK66" s="120" t="n">
        <x:f>SUM(BK48:BK65)+'ОБЪЕКТЫ'!BK104</x:f>
      </x:c>
      <x:c r="BL66" s="120" t="n">
        <x:f>SUM(BL48:BL65)+'ОБЪЕКТЫ'!BL104</x:f>
      </x:c>
      <x:c r="BM66" s="120" t="n">
        <x:f>SUM(BM48:BM65)+'ОБЪЕКТЫ'!BM104</x:f>
      </x:c>
      <x:c r="BN66" s="120" t="n">
        <x:f>SUM(BN48:BN65)+'ОБЪЕКТЫ'!BN104</x:f>
      </x:c>
      <x:c r="BO66" s="120" t="n">
        <x:f>SUM(BO48:BO65)+'ОБЪЕКТЫ'!BO104</x:f>
      </x:c>
      <x:c r="BP66" s="120" t="n">
        <x:f>SUM(BP48:BP65)+'ОБЪЕКТЫ'!BP104</x:f>
      </x:c>
      <x:c r="BQ66" s="120" t="n">
        <x:f>SUM(BQ48:BQ65)+'ОБЪЕКТЫ'!BQ104</x:f>
      </x:c>
      <x:c r="BR66" s="120" t="n">
        <x:f>SUM(BR48:BR65)+'ОБЪЕКТЫ'!BR104</x:f>
      </x:c>
      <x:c r="BS66" s="120" t="n">
        <x:f>SUM(BS48:BS65)+'ОБЪЕКТЫ'!BS104</x:f>
      </x:c>
      <x:c r="BT66" s="120" t="n">
        <x:f>SUM(BT48:BT65)+'ОБЪЕКТЫ'!BT104</x:f>
      </x:c>
      <x:c r="BU66" s="120" t="n">
        <x:f>SUM(BU48:BU65)+'ОБЪЕКТЫ'!BU104</x:f>
      </x:c>
      <x:c r="BV66" s="120" t="n">
        <x:f>SUM(BV48:BV65)+'ОБЪЕКТЫ'!BV104</x:f>
      </x:c>
      <x:c r="BW66" s="120" t="n">
        <x:f>SUM(BW48:BW65)+'ОБЪЕКТЫ'!BW104</x:f>
      </x:c>
      <x:c r="BX66" s="120" t="n">
        <x:f>SUM(BX48:BX65)+'ОБЪЕКТЫ'!BX104</x:f>
      </x:c>
      <x:c r="BY66" s="120" t="n">
        <x:f>SUM(BY48:BY65)+'ОБЪЕКТЫ'!BY104</x:f>
      </x:c>
      <x:c r="BZ66" s="120" t="n">
        <x:f>SUM(BZ48:BZ65)+'ОБЪЕКТЫ'!BZ104</x:f>
      </x:c>
      <x:c r="CA66" s="120" t="n">
        <x:f>SUM(CA48:CA65)+'ОБЪЕКТЫ'!CA104</x:f>
      </x:c>
      <x:c r="CB66" s="120" t="n">
        <x:f>SUM(CB48:CB65)+'ОБЪЕКТЫ'!CB104</x:f>
      </x:c>
      <x:c r="CC66" s="120" t="n">
        <x:f>SUM(CC48:CC65)+'ОБЪЕКТЫ'!CC104</x:f>
      </x:c>
      <x:c r="CD66" s="120" t="n">
        <x:f>SUM(CD48:CD65)+'ОБЪЕКТЫ'!CD104</x:f>
      </x:c>
      <x:c r="CE66" s="120" t="n">
        <x:f>SUM(CE48:CE65)+'ОБЪЕКТЫ'!CE104</x:f>
      </x:c>
      <x:c r="CF66" s="120" t="n">
        <x:f>SUM(CF48:CF65)+'ОБЪЕКТЫ'!CF104</x:f>
      </x:c>
      <x:c r="CG66" s="120" t="n">
        <x:f>SUM(CG48:CG65)+'ОБЪЕКТЫ'!CG104</x:f>
      </x:c>
      <x:c r="CH66" s="120" t="n">
        <x:f>SUM(CH48:CH65)+'ОБЪЕКТЫ'!CH104</x:f>
      </x:c>
      <x:c r="CI66" s="120" t="n">
        <x:f>SUM(CI48:CI65)+'ОБЪЕКТЫ'!CI104</x:f>
      </x:c>
      <x:c r="CJ66" s="120" t="n">
        <x:f>SUM(CJ48:CJ65)+'ОБЪЕКТЫ'!CJ104</x:f>
      </x:c>
      <x:c r="CK66" s="120" t="n">
        <x:f>SUM(CK48:CK65)+'ОБЪЕКТЫ'!CK104</x:f>
      </x:c>
      <x:c r="CL66" s="120" t="n">
        <x:f>SUM(CL48:CL65)+'ОБЪЕКТЫ'!CL104</x:f>
      </x:c>
      <x:c r="CM66" s="120" t="n">
        <x:f>SUM(CM48:CM65)+'ОБЪЕКТЫ'!CM104</x:f>
      </x:c>
      <x:c r="CN66" s="120" t="n">
        <x:f>SUM(CN48:CN65)+'ОБЪЕКТЫ'!CN104</x:f>
      </x:c>
      <x:c r="CO66" s="120" t="n">
        <x:f>SUM(CO48:CO65)+'ОБЪЕКТЫ'!CO104</x:f>
      </x:c>
      <x:c r="CP66" s="120" t="n">
        <x:f>SUM(CP48:CP65)+'ОБЪЕКТЫ'!CP104</x:f>
      </x:c>
      <x:c r="CQ66" s="120" t="n">
        <x:f>SUM(CQ48:CQ65)+'ОБЪЕКТЫ'!CQ104</x:f>
      </x:c>
      <x:c r="CR66" s="120" t="n">
        <x:f>SUM(CR48:CR65)+'ОБЪЕКТЫ'!CR104</x:f>
      </x:c>
      <x:c r="CS66" s="120" t="n">
        <x:f>SUM(CS48:CS65)+'ОБЪЕКТЫ'!CS104</x:f>
      </x:c>
      <x:c r="CT66" s="120" t="n">
        <x:f>SUM(CT48:CT65)+'ОБЪЕКТЫ'!CT104</x:f>
      </x:c>
      <x:c r="CU66" s="120" t="n">
        <x:f>SUM(CU48:CU65)+'ОБЪЕКТЫ'!CU104</x:f>
      </x:c>
      <x:c r="CV66" s="120" t="n">
        <x:f>SUM(CV48:CV65)+'ОБЪЕКТЫ'!CV104</x:f>
      </x:c>
      <x:c r="CW66" s="120" t="n">
        <x:f>SUM(CW48:CW65)+'ОБЪЕКТЫ'!CW104</x:f>
      </x:c>
      <x:c r="CX66" s="120" t="n">
        <x:f>SUM(CX48:CX65)+'ОБЪЕКТЫ'!CX104</x:f>
      </x:c>
      <x:c r="CY66" s="120" t="n">
        <x:f>SUM(CY48:CY65)+'ОБЪЕКТЫ'!CY104</x:f>
      </x:c>
      <x:c r="CZ66" s="120" t="n">
        <x:f>SUM(CZ48:CZ65)+'ОБЪЕКТЫ'!CZ104</x:f>
      </x:c>
      <x:c r="DA66" s="120" t="n">
        <x:f>SUM(DA48:DA65)+'ОБЪЕКТЫ'!DA104</x:f>
      </x:c>
      <x:c r="DB66" s="120" t="n">
        <x:f>SUM(DB48:DB65)+'ОБЪЕКТЫ'!DB104</x:f>
      </x:c>
      <x:c r="DC66" s="120" t="n">
        <x:f>SUM(DC48:DC65)+'ОБЪЕКТЫ'!DC104</x:f>
      </x:c>
      <x:c r="DD66" s="120" t="n">
        <x:f>SUM(DD48:DD65)+'ОБЪЕКТЫ'!DD104</x:f>
      </x:c>
      <x:c r="DE66" s="120" t="n">
        <x:f>SUM(DE48:DE65)+'ОБЪЕКТЫ'!DE104</x:f>
      </x:c>
      <x:c r="DF66" s="120" t="n">
        <x:f>SUM(DF48:DF65)+'ОБЪЕКТЫ'!DF104</x:f>
      </x:c>
      <x:c r="DG66" s="120" t="n">
        <x:f>SUM(DG48:DG65)+'ОБЪЕКТЫ'!DG104</x:f>
      </x:c>
      <x:c r="DH66" s="120" t="n">
        <x:f>SUM(DH48:DH65)+'ОБЪЕКТЫ'!DH104</x:f>
      </x:c>
      <x:c r="DI66" s="120" t="n">
        <x:f>SUM(DI48:DI65)+'ОБЪЕКТЫ'!DI104</x:f>
      </x:c>
      <x:c r="DJ66" s="120" t="n">
        <x:f>SUM(DJ48:DJ65)+'ОБЪЕКТЫ'!DJ104</x:f>
      </x:c>
      <x:c r="DK66" s="120" t="n">
        <x:f>SUM(DK48:DK65)+'ОБЪЕКТЫ'!DK104</x:f>
      </x:c>
      <x:c r="DL66" s="120" t="n">
        <x:f>SUM(DL48:DL65)+'ОБЪЕКТЫ'!DL104</x:f>
      </x:c>
      <x:c r="DM66" s="120" t="n">
        <x:f>SUM(DM48:DM65)+'ОБЪЕКТЫ'!DM104</x:f>
      </x:c>
      <x:c r="DN66" s="120" t="n">
        <x:f>SUM(DN48:DN65)+'ОБЪЕКТЫ'!DN104</x:f>
      </x:c>
      <x:c r="DO66" s="120" t="n">
        <x:f>SUM(DO48:DO65)+'ОБЪЕКТЫ'!DO104</x:f>
      </x:c>
      <x:c r="DP66" s="120" t="n">
        <x:f>SUM(DP48:DP65)+'ОБЪЕКТЫ'!DP104</x:f>
      </x:c>
      <x:c r="DQ66" s="120" t="n">
        <x:f>SUM(DQ48:DQ65)+'ОБЪЕКТЫ'!DQ104</x:f>
      </x:c>
      <x:c r="DR66" s="120" t="n">
        <x:f>SUM(DR48:DR65)+'ОБЪЕКТЫ'!DR104</x:f>
      </x:c>
      <x:c r="DS66" s="120" t="n">
        <x:f>SUM(DS48:DS65)+'ОБЪЕКТЫ'!DS104</x:f>
      </x:c>
      <x:c r="DT66" s="120" t="n">
        <x:f>SUM(DT48:DT65)+'ОБЪЕКТЫ'!DT104</x:f>
      </x:c>
      <x:c r="DU66" s="120" t="n">
        <x:f>SUM(DU48:DU65)+'ОБЪЕКТЫ'!DU104</x:f>
      </x:c>
      <x:c r="DV66" s="120" t="n">
        <x:f>SUM(DV48:DV65)+'ОБЪЕКТЫ'!DV104</x:f>
      </x:c>
      <x:c r="DW66" s="120" t="n">
        <x:f>SUM(DW48:DW65)+'ОБЪЕКТЫ'!DW104</x:f>
      </x:c>
      <x:c r="DX66" s="120" t="n">
        <x:f>SUM(DX48:DX65)+'ОБЪЕКТЫ'!DX104</x:f>
      </x:c>
      <x:c r="DY66" s="120" t="n">
        <x:f>SUM(DY48:DY65)+'ОБЪЕКТЫ'!DY104</x:f>
      </x:c>
      <x:c r="DZ66" s="120" t="n">
        <x:f>SUM(DZ48:DZ65)+'ОБЪЕКТЫ'!DZ104</x:f>
      </x:c>
      <x:c r="EA66" s="120" t="n">
        <x:f>SUM(EA48:EA65)+'ОБЪЕКТЫ'!EA104</x:f>
      </x:c>
      <x:c r="EB66" s="120" t="n">
        <x:f>SUM(EB48:EB65)+'ОБЪЕКТЫ'!EB104</x:f>
      </x:c>
      <x:c r="EC66" s="120" t="n">
        <x:f>SUM(EC48:EC65)+'ОБЪЕКТЫ'!EC104</x:f>
      </x:c>
      <x:c r="ED66" s="120" t="n">
        <x:f>SUM(ED48:ED65)+'ОБЪЕКТЫ'!ED104</x:f>
      </x:c>
      <x:c r="EE66" s="120" t="n">
        <x:f>SUM(EE48:EE65)+'ОБЪЕКТЫ'!EE104</x:f>
      </x:c>
      <x:c r="EF66" s="120" t="n">
        <x:f>SUM(EF48:EF65)+'ОБЪЕКТЫ'!EF104</x:f>
      </x:c>
      <x:c r="EG66" s="120" t="n">
        <x:f>SUM(EG48:EG65)+'ОБЪЕКТЫ'!EG104</x:f>
      </x:c>
      <x:c r="EH66" s="120" t="n">
        <x:f>SUM(EH48:EH65)+'ОБЪЕКТЫ'!EH104</x:f>
      </x:c>
      <x:c r="EI66" s="120" t="n">
        <x:f>SUM(EI48:EI65)+'ОБЪЕКТЫ'!EI104</x:f>
      </x:c>
      <x:c r="EJ66" s="120" t="n">
        <x:f>SUM(EJ48:EJ65)+'ОБЪЕКТЫ'!EJ104</x:f>
      </x:c>
      <x:c r="EK66" s="120" t="n">
        <x:f>SUM(EK48:EK65)+'ОБЪЕКТЫ'!EK104</x:f>
      </x:c>
      <x:c r="EL66" s="120" t="n">
        <x:f>SUM(EL48:EL65)+'ОБЪЕКТЫ'!EL104</x:f>
      </x:c>
      <x:c r="EM66" s="120" t="n">
        <x:f>SUM(EM48:EM65)+'ОБЪЕКТЫ'!EM104</x:f>
      </x:c>
      <x:c r="EN66" s="120" t="n">
        <x:f>SUM(EN48:EN65)+'ОБЪЕКТЫ'!EN104</x:f>
      </x:c>
      <x:c r="EO66" s="120" t="n">
        <x:f>SUM(EO48:EO65)+'ОБЪЕКТЫ'!EO104</x:f>
      </x:c>
      <x:c r="EP66" s="120" t="n">
        <x:f>SUM(EP48:EP65)+'ОБЪЕКТЫ'!EP104</x:f>
      </x:c>
      <x:c r="EQ66" s="120" t="n">
        <x:f>SUM(EQ48:EQ65)+'ОБЪЕКТЫ'!EQ104</x:f>
      </x:c>
      <x:c r="ER66" s="120" t="n">
        <x:f>SUM(ER48:ER65)+'ОБЪЕКТЫ'!ER104</x:f>
      </x:c>
      <x:c r="ES66" s="120" t="n">
        <x:f>SUM(ES48:ES65)+'ОБЪЕКТЫ'!ES104</x:f>
      </x:c>
      <x:c r="ET66" s="120" t="n">
        <x:f>SUM(ET48:ET65)+'ОБЪЕКТЫ'!ET104</x:f>
      </x:c>
      <x:c r="EU66" s="120" t="n">
        <x:f>SUM(EU48:EU65)+'ОБЪЕКТЫ'!EU104</x:f>
      </x:c>
      <x:c r="EV66" s="120" t="n">
        <x:f>SUM(EV48:EV65)+'ОБЪЕКТЫ'!EV104</x:f>
      </x:c>
      <x:c r="EW66" s="120" t="n">
        <x:f>SUM(EW48:EW65)+'ОБЪЕКТЫ'!EW104</x:f>
      </x:c>
      <x:c r="EX66" s="120" t="n">
        <x:f>SUM(EX48:EX65)+'ОБЪЕКТЫ'!EX104</x:f>
      </x:c>
      <x:c r="EY66" s="120" t="n">
        <x:f>SUM(EY48:EY65)+'ОБЪЕКТЫ'!EY104</x:f>
      </x:c>
      <x:c r="EZ66" s="120" t="n">
        <x:f>SUM(EZ48:EZ65)+'ОБЪЕКТЫ'!EZ104</x:f>
      </x:c>
      <x:c r="FA66" s="120" t="n">
        <x:f>SUM(FA48:FA65)+'ОБЪЕКТЫ'!FA104</x:f>
      </x:c>
      <x:c r="FB66" s="120" t="n">
        <x:f>SUM(FB48:FB65)+'ОБЪЕКТЫ'!FB104</x:f>
      </x:c>
      <x:c r="FC66" s="120" t="n">
        <x:f>SUM(FC48:FC65)+'ОБЪЕКТЫ'!FC104</x:f>
      </x:c>
      <x:c r="FD66" s="120" t="n">
        <x:f>SUM(FD48:FD65)+'ОБЪЕКТЫ'!FD104</x:f>
      </x:c>
      <x:c r="FE66" s="120" t="n">
        <x:f>SUM(FE48:FE65)+'ОБЪЕКТЫ'!FE104</x:f>
      </x:c>
      <x:c r="FF66" s="120" t="n">
        <x:f>SUM(FF48:FF65)+'ОБЪЕКТЫ'!FF104</x:f>
      </x:c>
      <x:c r="FG66" s="120" t="n">
        <x:f>SUM(FG48:FG65)+'ОБЪЕКТЫ'!FG104</x:f>
      </x:c>
      <x:c r="FH66" s="120" t="n">
        <x:f>SUM(FH48:FH65)+'ОБЪЕКТЫ'!FH104</x:f>
      </x:c>
      <x:c r="FI66" s="120" t="n">
        <x:f>SUM(FI48:FI65)+'ОБЪЕКТЫ'!FI104</x:f>
      </x:c>
      <x:c r="FJ66" s="120" t="n">
        <x:f>SUM(FJ48:FJ65)+'ОБЪЕКТЫ'!FJ104</x:f>
      </x:c>
      <x:c r="FK66" s="120" t="n">
        <x:f>SUM(FK48:FK65)+'ОБЪЕКТЫ'!FK104</x:f>
      </x:c>
      <x:c r="FL66" s="120" t="n">
        <x:f>SUM(FL48:FL65)+'ОБЪЕКТЫ'!FL104</x:f>
      </x:c>
      <x:c r="FM66" s="120" t="n">
        <x:f>SUM(FM48:FM65)+'ОБЪЕКТЫ'!FM104</x:f>
      </x:c>
      <x:c r="FN66" s="120" t="n">
        <x:f>SUM(FN48:FN65)+'ОБЪЕКТЫ'!FN104</x:f>
      </x:c>
      <x:c r="FO66" s="120" t="n">
        <x:f>SUM(FO48:FO65)+'ОБЪЕКТЫ'!FO104</x:f>
      </x:c>
      <x:c r="FP66" s="120" t="n">
        <x:f>SUM(FP48:FP65)+'ОБЪЕКТЫ'!FP104</x:f>
      </x:c>
      <x:c r="FQ66" s="120" t="n">
        <x:f>SUM(FQ48:FQ65)+'ОБЪЕКТЫ'!FQ104</x:f>
      </x:c>
      <x:c r="FR66" s="120" t="n">
        <x:f>SUM(FR48:FR65)+'ОБЪЕКТЫ'!FR104</x:f>
      </x:c>
      <x:c r="FS66" s="120" t="n">
        <x:f>SUM(FS48:FS65)+'ОБЪЕКТЫ'!FS104</x:f>
      </x:c>
      <x:c r="FT66" s="120" t="n">
        <x:f>SUM(FT48:FT65)+'ОБЪЕКТЫ'!FT104</x:f>
      </x:c>
      <x:c r="FU66" s="120" t="n">
        <x:f>SUM(FU48:FU65)+'ОБЪЕКТЫ'!FU104</x:f>
      </x:c>
      <x:c r="FV66" s="120" t="n">
        <x:f>SUM(FV48:FV65)+'ОБЪЕКТЫ'!FV104</x:f>
      </x:c>
      <x:c r="FW66" s="120" t="n">
        <x:f>SUM(FW48:FW65)+'ОБЪЕКТЫ'!FW104</x:f>
      </x:c>
      <x:c r="FX66" s="120" t="n">
        <x:f>SUM(FX48:FX65)+'ОБЪЕКТЫ'!FX104</x:f>
      </x:c>
      <x:c r="FY66" s="120" t="n">
        <x:f>SUM(FY48:FY65)+'ОБЪЕКТЫ'!FY104</x:f>
      </x:c>
      <x:c r="FZ66" s="120" t="n">
        <x:f>SUM(FZ48:FZ65)+'ОБЪЕКТЫ'!FZ104</x:f>
      </x:c>
      <x:c r="GA66" s="120" t="n">
        <x:f>SUM(GA48:GA65)+'ОБЪЕКТЫ'!GA104</x:f>
      </x:c>
    </x:row>
    <x:row r="67">
      <x:c r="A67" t="str">
        <x:v>Маркетинг</x:v>
      </x:c>
      <x:c r="B67" s="107" t="n">
        <x:f>SUM(D67:GA67)</x:f>
      </x:c>
      <x:c r="C67" t="str">
        <x:v>млн ₽</x:v>
      </x:c>
      <x:c r="D67" s="117" t="n">
        <x:f>'Продажи'!D49*'Вводные'!$B$19+'ОБЪЕКТЫ'!D105</x:f>
      </x:c>
      <x:c r="E67" s="117" t="n">
        <x:f>'Продажи'!E49*'Вводные'!$B$19+'ОБЪЕКТЫ'!E105</x:f>
      </x:c>
      <x:c r="F67" s="117" t="n">
        <x:f>'Продажи'!F49*'Вводные'!$B$19+'ОБЪЕКТЫ'!F105</x:f>
      </x:c>
      <x:c r="G67" s="117" t="n">
        <x:f>'Продажи'!G49*'Вводные'!$B$19+'ОБЪЕКТЫ'!G105</x:f>
      </x:c>
      <x:c r="H67" s="117" t="n">
        <x:f>'Продажи'!H49*'Вводные'!$B$19+'ОБЪЕКТЫ'!H105</x:f>
      </x:c>
      <x:c r="I67" s="117" t="n">
        <x:f>'Продажи'!I49*'Вводные'!$B$19+'ОБЪЕКТЫ'!I105</x:f>
      </x:c>
      <x:c r="J67" s="117" t="n">
        <x:f>'Продажи'!J49*'Вводные'!$B$19+'ОБЪЕКТЫ'!J105</x:f>
      </x:c>
      <x:c r="K67" s="117" t="n">
        <x:f>'Продажи'!K49*'Вводные'!$B$19+'ОБЪЕКТЫ'!K105</x:f>
      </x:c>
      <x:c r="L67" s="117" t="n">
        <x:f>'Продажи'!L49*'Вводные'!$B$19+'ОБЪЕКТЫ'!L105</x:f>
      </x:c>
      <x:c r="M67" s="117" t="n">
        <x:f>'Продажи'!M49*'Вводные'!$B$19+'ОБЪЕКТЫ'!M105</x:f>
      </x:c>
      <x:c r="N67" s="117" t="n">
        <x:f>'Продажи'!N49*'Вводные'!$B$19+'ОБЪЕКТЫ'!N105</x:f>
      </x:c>
      <x:c r="O67" s="117" t="n">
        <x:f>'Продажи'!O49*'Вводные'!$B$19+'ОБЪЕКТЫ'!O105</x:f>
      </x:c>
      <x:c r="P67" s="117" t="n">
        <x:f>'Продажи'!P49*'Вводные'!$B$19+'ОБЪЕКТЫ'!P105</x:f>
      </x:c>
      <x:c r="Q67" s="117" t="n">
        <x:f>'Продажи'!Q49*'Вводные'!$B$19+'ОБЪЕКТЫ'!Q105</x:f>
      </x:c>
      <x:c r="R67" s="117" t="n">
        <x:f>'Продажи'!R49*'Вводные'!$B$19+'ОБЪЕКТЫ'!R105</x:f>
      </x:c>
      <x:c r="S67" s="117" t="n">
        <x:f>'Продажи'!S49*'Вводные'!$B$19+'ОБЪЕКТЫ'!S105</x:f>
      </x:c>
      <x:c r="T67" s="117" t="n">
        <x:f>'Продажи'!T49*'Вводные'!$B$19+'ОБЪЕКТЫ'!T105</x:f>
      </x:c>
      <x:c r="U67" s="117" t="n">
        <x:f>'Продажи'!U49*'Вводные'!$B$19+'ОБЪЕКТЫ'!U105</x:f>
      </x:c>
      <x:c r="V67" s="117" t="n">
        <x:f>'Продажи'!V49*'Вводные'!$B$19+'ОБЪЕКТЫ'!V105</x:f>
      </x:c>
      <x:c r="W67" s="117" t="n">
        <x:f>'Продажи'!W49*'Вводные'!$B$19+'ОБЪЕКТЫ'!W105</x:f>
      </x:c>
      <x:c r="X67" s="117" t="n">
        <x:f>'Продажи'!X49*'Вводные'!$B$19+'ОБЪЕКТЫ'!X105</x:f>
      </x:c>
      <x:c r="Y67" s="117" t="n">
        <x:f>'Продажи'!Y49*'Вводные'!$B$19+'ОБЪЕКТЫ'!Y105</x:f>
      </x:c>
      <x:c r="Z67" s="117" t="n">
        <x:f>'Продажи'!Z49*'Вводные'!$B$19+'ОБЪЕКТЫ'!Z105</x:f>
      </x:c>
      <x:c r="AA67" s="117" t="n">
        <x:f>'Продажи'!AA49*'Вводные'!$B$19+'ОБЪЕКТЫ'!AA105</x:f>
      </x:c>
      <x:c r="AB67" s="117" t="n">
        <x:f>'Продажи'!AB49*'Вводные'!$B$19+'ОБЪЕКТЫ'!AB105</x:f>
      </x:c>
      <x:c r="AC67" s="117" t="n">
        <x:f>'Продажи'!AC49*'Вводные'!$B$19+'ОБЪЕКТЫ'!AC105</x:f>
      </x:c>
      <x:c r="AD67" s="117" t="n">
        <x:f>'Продажи'!AD49*'Вводные'!$B$19+'ОБЪЕКТЫ'!AD105</x:f>
      </x:c>
      <x:c r="AE67" s="117" t="n">
        <x:f>'Продажи'!AE49*'Вводные'!$B$19+'ОБЪЕКТЫ'!AE105</x:f>
      </x:c>
      <x:c r="AF67" s="117" t="n">
        <x:f>'Продажи'!AF49*'Вводные'!$B$19+'ОБЪЕКТЫ'!AF105</x:f>
      </x:c>
      <x:c r="AG67" s="117" t="n">
        <x:f>'Продажи'!AG49*'Вводные'!$B$19+'ОБЪЕКТЫ'!AG105</x:f>
      </x:c>
      <x:c r="AH67" s="117" t="n">
        <x:f>'Продажи'!AH49*'Вводные'!$B$19+'ОБЪЕКТЫ'!AH105</x:f>
      </x:c>
      <x:c r="AI67" s="117" t="n">
        <x:f>'Продажи'!AI49*'Вводные'!$B$19+'ОБЪЕКТЫ'!AI105</x:f>
      </x:c>
      <x:c r="AJ67" s="117" t="n">
        <x:f>'Продажи'!AJ49*'Вводные'!$B$19+'ОБЪЕКТЫ'!AJ105</x:f>
      </x:c>
      <x:c r="AK67" s="117" t="n">
        <x:f>'Продажи'!AK49*'Вводные'!$B$19+'ОБЪЕКТЫ'!AK105</x:f>
      </x:c>
      <x:c r="AL67" s="117" t="n">
        <x:f>'Продажи'!AL49*'Вводные'!$B$19+'ОБЪЕКТЫ'!AL105</x:f>
      </x:c>
      <x:c r="AM67" s="117" t="n">
        <x:f>'Продажи'!AM49*'Вводные'!$B$19+'ОБЪЕКТЫ'!AM105</x:f>
      </x:c>
      <x:c r="AN67" s="117" t="n">
        <x:f>'Продажи'!AN49*'Вводные'!$B$19+'ОБЪЕКТЫ'!AN105</x:f>
      </x:c>
      <x:c r="AO67" s="117" t="n">
        <x:f>'Продажи'!AO49*'Вводные'!$B$19+'ОБЪЕКТЫ'!AO105</x:f>
      </x:c>
      <x:c r="AP67" s="117" t="n">
        <x:f>'Продажи'!AP49*'Вводные'!$B$19+'ОБЪЕКТЫ'!AP105</x:f>
      </x:c>
      <x:c r="AQ67" s="117" t="n">
        <x:f>'Продажи'!AQ49*'Вводные'!$B$19+'ОБЪЕКТЫ'!AQ105</x:f>
      </x:c>
      <x:c r="AR67" s="117" t="n">
        <x:f>'Продажи'!AR49*'Вводные'!$B$19+'ОБЪЕКТЫ'!AR105</x:f>
      </x:c>
      <x:c r="AS67" s="117" t="n">
        <x:f>'Продажи'!AS49*'Вводные'!$B$19+'ОБЪЕКТЫ'!AS105</x:f>
      </x:c>
      <x:c r="AT67" s="117" t="n">
        <x:f>'Продажи'!AT49*'Вводные'!$B$19+'ОБЪЕКТЫ'!AT105</x:f>
      </x:c>
      <x:c r="AU67" s="117" t="n">
        <x:f>'Продажи'!AU49*'Вводные'!$B$19+'ОБЪЕКТЫ'!AU105</x:f>
      </x:c>
      <x:c r="AV67" s="117" t="n">
        <x:f>'Продажи'!AV49*'Вводные'!$B$19+'ОБЪЕКТЫ'!AV105</x:f>
      </x:c>
      <x:c r="AW67" s="117" t="n">
        <x:f>'Продажи'!AW49*'Вводные'!$B$19+'ОБЪЕКТЫ'!AW105</x:f>
      </x:c>
      <x:c r="AX67" s="117" t="n">
        <x:f>'Продажи'!AX49*'Вводные'!$B$19+'ОБЪЕКТЫ'!AX105</x:f>
      </x:c>
      <x:c r="AY67" s="117" t="n">
        <x:f>'Продажи'!AY49*'Вводные'!$B$19+'ОБЪЕКТЫ'!AY105</x:f>
      </x:c>
      <x:c r="AZ67" s="117" t="n">
        <x:f>'Продажи'!AZ49*'Вводные'!$B$19+'ОБЪЕКТЫ'!AZ105</x:f>
      </x:c>
      <x:c r="BA67" s="117" t="n">
        <x:f>'Продажи'!BA49*'Вводные'!$B$19+'ОБЪЕКТЫ'!BA105</x:f>
      </x:c>
      <x:c r="BB67" s="117" t="n">
        <x:f>'Продажи'!BB49*'Вводные'!$B$19+'ОБЪЕКТЫ'!BB105</x:f>
      </x:c>
      <x:c r="BC67" s="117" t="n">
        <x:f>'Продажи'!BC49*'Вводные'!$B$19+'ОБЪЕКТЫ'!BC105</x:f>
      </x:c>
      <x:c r="BD67" s="117" t="n">
        <x:f>'Продажи'!BD49*'Вводные'!$B$19+'ОБЪЕКТЫ'!BD105</x:f>
      </x:c>
      <x:c r="BE67" s="117" t="n">
        <x:f>'Продажи'!BE49*'Вводные'!$B$19+'ОБЪЕКТЫ'!BE105</x:f>
      </x:c>
      <x:c r="BF67" s="117" t="n">
        <x:f>'Продажи'!BF49*'Вводные'!$B$19+'ОБЪЕКТЫ'!BF105</x:f>
      </x:c>
      <x:c r="BG67" s="117" t="n">
        <x:f>'Продажи'!BG49*'Вводные'!$B$19+'ОБЪЕКТЫ'!BG105</x:f>
      </x:c>
      <x:c r="BH67" s="117" t="n">
        <x:f>'Продажи'!BH49*'Вводные'!$B$19+'ОБЪЕКТЫ'!BH105</x:f>
      </x:c>
      <x:c r="BI67" s="117" t="n">
        <x:f>'Продажи'!BI49*'Вводные'!$B$19+'ОБЪЕКТЫ'!BI105</x:f>
      </x:c>
      <x:c r="BJ67" s="117" t="n">
        <x:f>'Продажи'!BJ49*'Вводные'!$B$19+'ОБЪЕКТЫ'!BJ105</x:f>
      </x:c>
      <x:c r="BK67" s="117" t="n">
        <x:f>'Продажи'!BK49*'Вводные'!$B$19+'ОБЪЕКТЫ'!BK105</x:f>
      </x:c>
      <x:c r="BL67" s="117" t="n">
        <x:f>'Продажи'!BL49*'Вводные'!$B$19+'ОБЪЕКТЫ'!BL105</x:f>
      </x:c>
      <x:c r="BM67" s="117" t="n">
        <x:f>'Продажи'!BM49*'Вводные'!$B$19+'ОБЪЕКТЫ'!BM105</x:f>
      </x:c>
      <x:c r="BN67" s="117" t="n">
        <x:f>'Продажи'!BN49*'Вводные'!$B$19+'ОБЪЕКТЫ'!BN105</x:f>
      </x:c>
      <x:c r="BO67" s="117" t="n">
        <x:f>'Продажи'!BO49*'Вводные'!$B$19+'ОБЪЕКТЫ'!BO105</x:f>
      </x:c>
      <x:c r="BP67" s="117" t="n">
        <x:f>'Продажи'!BP49*'Вводные'!$B$19+'ОБЪЕКТЫ'!BP105</x:f>
      </x:c>
      <x:c r="BQ67" s="117" t="n">
        <x:f>'Продажи'!BQ49*'Вводные'!$B$19+'ОБЪЕКТЫ'!BQ105</x:f>
      </x:c>
      <x:c r="BR67" s="117" t="n">
        <x:f>'Продажи'!BR49*'Вводные'!$B$19+'ОБЪЕКТЫ'!BR105</x:f>
      </x:c>
      <x:c r="BS67" s="117" t="n">
        <x:f>'Продажи'!BS49*'Вводные'!$B$19+'ОБЪЕКТЫ'!BS105</x:f>
      </x:c>
      <x:c r="BT67" s="117" t="n">
        <x:f>'Продажи'!BT49*'Вводные'!$B$19+'ОБЪЕКТЫ'!BT105</x:f>
      </x:c>
      <x:c r="BU67" s="117" t="n">
        <x:f>'Продажи'!BU49*'Вводные'!$B$19+'ОБЪЕКТЫ'!BU105</x:f>
      </x:c>
      <x:c r="BV67" s="117" t="n">
        <x:f>'Продажи'!BV49*'Вводные'!$B$19+'ОБЪЕКТЫ'!BV105</x:f>
      </x:c>
      <x:c r="BW67" s="117" t="n">
        <x:f>'Продажи'!BW49*'Вводные'!$B$19+'ОБЪЕКТЫ'!BW105</x:f>
      </x:c>
      <x:c r="BX67" s="117" t="n">
        <x:f>'Продажи'!BX49*'Вводные'!$B$19+'ОБЪЕКТЫ'!BX105</x:f>
      </x:c>
      <x:c r="BY67" s="117" t="n">
        <x:f>'Продажи'!BY49*'Вводные'!$B$19+'ОБЪЕКТЫ'!BY105</x:f>
      </x:c>
      <x:c r="BZ67" s="117" t="n">
        <x:f>'Продажи'!BZ49*'Вводные'!$B$19+'ОБЪЕКТЫ'!BZ105</x:f>
      </x:c>
      <x:c r="CA67" s="117" t="n">
        <x:f>'Продажи'!CA49*'Вводные'!$B$19+'ОБЪЕКТЫ'!CA105</x:f>
      </x:c>
      <x:c r="CB67" s="117" t="n">
        <x:f>'Продажи'!CB49*'Вводные'!$B$19+'ОБЪЕКТЫ'!CB105</x:f>
      </x:c>
      <x:c r="CC67" s="117" t="n">
        <x:f>'Продажи'!CC49*'Вводные'!$B$19+'ОБЪЕКТЫ'!CC105</x:f>
      </x:c>
      <x:c r="CD67" s="117" t="n">
        <x:f>'Продажи'!CD49*'Вводные'!$B$19+'ОБЪЕКТЫ'!CD105</x:f>
      </x:c>
      <x:c r="CE67" s="117" t="n">
        <x:f>'Продажи'!CE49*'Вводные'!$B$19+'ОБЪЕКТЫ'!CE105</x:f>
      </x:c>
      <x:c r="CF67" s="117" t="n">
        <x:f>'Продажи'!CF49*'Вводные'!$B$19+'ОБЪЕКТЫ'!CF105</x:f>
      </x:c>
      <x:c r="CG67" s="117" t="n">
        <x:f>'Продажи'!CG49*'Вводные'!$B$19+'ОБЪЕКТЫ'!CG105</x:f>
      </x:c>
      <x:c r="CH67" s="117" t="n">
        <x:f>'Продажи'!CH49*'Вводные'!$B$19+'ОБЪЕКТЫ'!CH105</x:f>
      </x:c>
      <x:c r="CI67" s="117" t="n">
        <x:f>'Продажи'!CI49*'Вводные'!$B$19+'ОБЪЕКТЫ'!CI105</x:f>
      </x:c>
      <x:c r="CJ67" s="117" t="n">
        <x:f>'Продажи'!CJ49*'Вводные'!$B$19+'ОБЪЕКТЫ'!CJ105</x:f>
      </x:c>
      <x:c r="CK67" s="117" t="n">
        <x:f>'Продажи'!CK49*'Вводные'!$B$19+'ОБЪЕКТЫ'!CK105</x:f>
      </x:c>
      <x:c r="CL67" s="117" t="n">
        <x:f>'Продажи'!CL49*'Вводные'!$B$19+'ОБЪЕКТЫ'!CL105</x:f>
      </x:c>
      <x:c r="CM67" s="117" t="n">
        <x:f>'Продажи'!CM49*'Вводные'!$B$19+'ОБЪЕКТЫ'!CM105</x:f>
      </x:c>
      <x:c r="CN67" s="117" t="n">
        <x:f>'Продажи'!CN49*'Вводные'!$B$19+'ОБЪЕКТЫ'!CN105</x:f>
      </x:c>
      <x:c r="CO67" s="117" t="n">
        <x:f>'Продажи'!CO49*'Вводные'!$B$19+'ОБЪЕКТЫ'!CO105</x:f>
      </x:c>
      <x:c r="CP67" s="117" t="n">
        <x:f>'Продажи'!CP49*'Вводные'!$B$19+'ОБЪЕКТЫ'!CP105</x:f>
      </x:c>
      <x:c r="CQ67" s="117" t="n">
        <x:f>'Продажи'!CQ49*'Вводные'!$B$19+'ОБЪЕКТЫ'!CQ105</x:f>
      </x:c>
      <x:c r="CR67" s="117" t="n">
        <x:f>'Продажи'!CR49*'Вводные'!$B$19+'ОБЪЕКТЫ'!CR105</x:f>
      </x:c>
      <x:c r="CS67" s="117" t="n">
        <x:f>'Продажи'!CS49*'Вводные'!$B$19+'ОБЪЕКТЫ'!CS105</x:f>
      </x:c>
      <x:c r="CT67" s="117" t="n">
        <x:f>'Продажи'!CT49*'Вводные'!$B$19+'ОБЪЕКТЫ'!CT105</x:f>
      </x:c>
      <x:c r="CU67" s="117" t="n">
        <x:f>'Продажи'!CU49*'Вводные'!$B$19+'ОБЪЕКТЫ'!CU105</x:f>
      </x:c>
      <x:c r="CV67" s="117" t="n">
        <x:f>'Продажи'!CV49*'Вводные'!$B$19+'ОБЪЕКТЫ'!CV105</x:f>
      </x:c>
      <x:c r="CW67" s="117" t="n">
        <x:f>'Продажи'!CW49*'Вводные'!$B$19+'ОБЪЕКТЫ'!CW105</x:f>
      </x:c>
      <x:c r="CX67" s="117" t="n">
        <x:f>'Продажи'!CX49*'Вводные'!$B$19+'ОБЪЕКТЫ'!CX105</x:f>
      </x:c>
      <x:c r="CY67" s="117" t="n">
        <x:f>'Продажи'!CY49*'Вводные'!$B$19+'ОБЪЕКТЫ'!CY105</x:f>
      </x:c>
      <x:c r="CZ67" s="117" t="n">
        <x:f>'Продажи'!CZ49*'Вводные'!$B$19+'ОБЪЕКТЫ'!CZ105</x:f>
      </x:c>
      <x:c r="DA67" s="117" t="n">
        <x:f>'Продажи'!DA49*'Вводные'!$B$19+'ОБЪЕКТЫ'!DA105</x:f>
      </x:c>
      <x:c r="DB67" s="117" t="n">
        <x:f>'Продажи'!DB49*'Вводные'!$B$19+'ОБЪЕКТЫ'!DB105</x:f>
      </x:c>
      <x:c r="DC67" s="117" t="n">
        <x:f>'Продажи'!DC49*'Вводные'!$B$19+'ОБЪЕКТЫ'!DC105</x:f>
      </x:c>
      <x:c r="DD67" s="117" t="n">
        <x:f>'Продажи'!DD49*'Вводные'!$B$19+'ОБЪЕКТЫ'!DD105</x:f>
      </x:c>
      <x:c r="DE67" s="117" t="n">
        <x:f>'Продажи'!DE49*'Вводные'!$B$19+'ОБЪЕКТЫ'!DE105</x:f>
      </x:c>
      <x:c r="DF67" s="117" t="n">
        <x:f>'Продажи'!DF49*'Вводные'!$B$19+'ОБЪЕКТЫ'!DF105</x:f>
      </x:c>
      <x:c r="DG67" s="117" t="n">
        <x:f>'Продажи'!DG49*'Вводные'!$B$19+'ОБЪЕКТЫ'!DG105</x:f>
      </x:c>
      <x:c r="DH67" s="117" t="n">
        <x:f>'Продажи'!DH49*'Вводные'!$B$19+'ОБЪЕКТЫ'!DH105</x:f>
      </x:c>
      <x:c r="DI67" s="117" t="n">
        <x:f>'Продажи'!DI49*'Вводные'!$B$19+'ОБЪЕКТЫ'!DI105</x:f>
      </x:c>
      <x:c r="DJ67" s="117" t="n">
        <x:f>'Продажи'!DJ49*'Вводные'!$B$19+'ОБЪЕКТЫ'!DJ105</x:f>
      </x:c>
      <x:c r="DK67" s="117" t="n">
        <x:f>'Продажи'!DK49*'Вводные'!$B$19+'ОБЪЕКТЫ'!DK105</x:f>
      </x:c>
      <x:c r="DL67" s="117" t="n">
        <x:f>'Продажи'!DL49*'Вводные'!$B$19+'ОБЪЕКТЫ'!DL105</x:f>
      </x:c>
      <x:c r="DM67" s="117" t="n">
        <x:f>'Продажи'!DM49*'Вводные'!$B$19+'ОБЪЕКТЫ'!DM105</x:f>
      </x:c>
      <x:c r="DN67" s="117" t="n">
        <x:f>'Продажи'!DN49*'Вводные'!$B$19+'ОБЪЕКТЫ'!DN105</x:f>
      </x:c>
      <x:c r="DO67" s="117" t="n">
        <x:f>'Продажи'!DO49*'Вводные'!$B$19+'ОБЪЕКТЫ'!DO105</x:f>
      </x:c>
      <x:c r="DP67" s="117" t="n">
        <x:f>'Продажи'!DP49*'Вводные'!$B$19+'ОБЪЕКТЫ'!DP105</x:f>
      </x:c>
      <x:c r="DQ67" s="117" t="n">
        <x:f>'Продажи'!DQ49*'Вводные'!$B$19+'ОБЪЕКТЫ'!DQ105</x:f>
      </x:c>
      <x:c r="DR67" s="117" t="n">
        <x:f>'Продажи'!DR49*'Вводные'!$B$19+'ОБЪЕКТЫ'!DR105</x:f>
      </x:c>
      <x:c r="DS67" s="117" t="n">
        <x:f>'Продажи'!DS49*'Вводные'!$B$19+'ОБЪЕКТЫ'!DS105</x:f>
      </x:c>
      <x:c r="DT67" s="117" t="n">
        <x:f>'Продажи'!DT49*'Вводные'!$B$19+'ОБЪЕКТЫ'!DT105</x:f>
      </x:c>
      <x:c r="DU67" s="117" t="n">
        <x:f>'Продажи'!DU49*'Вводные'!$B$19+'ОБЪЕКТЫ'!DU105</x:f>
      </x:c>
      <x:c r="DV67" s="117" t="n">
        <x:f>'Продажи'!DV49*'Вводные'!$B$19+'ОБЪЕКТЫ'!DV105</x:f>
      </x:c>
      <x:c r="DW67" s="117" t="n">
        <x:f>'Продажи'!DW49*'Вводные'!$B$19+'ОБЪЕКТЫ'!DW105</x:f>
      </x:c>
      <x:c r="DX67" s="117" t="n">
        <x:f>'Продажи'!DX49*'Вводные'!$B$19+'ОБЪЕКТЫ'!DX105</x:f>
      </x:c>
      <x:c r="DY67" s="117" t="n">
        <x:f>'Продажи'!DY49*'Вводные'!$B$19+'ОБЪЕКТЫ'!DY105</x:f>
      </x:c>
      <x:c r="DZ67" s="117" t="n">
        <x:f>'Продажи'!DZ49*'Вводные'!$B$19+'ОБЪЕКТЫ'!DZ105</x:f>
      </x:c>
      <x:c r="EA67" s="117" t="n">
        <x:f>'Продажи'!EA49*'Вводные'!$B$19+'ОБЪЕКТЫ'!EA105</x:f>
      </x:c>
      <x:c r="EB67" s="117" t="n">
        <x:f>'Продажи'!EB49*'Вводные'!$B$19+'ОБЪЕКТЫ'!EB105</x:f>
      </x:c>
      <x:c r="EC67" s="117" t="n">
        <x:f>'Продажи'!EC49*'Вводные'!$B$19+'ОБЪЕКТЫ'!EC105</x:f>
      </x:c>
      <x:c r="ED67" s="117" t="n">
        <x:f>'Продажи'!ED49*'Вводные'!$B$19+'ОБЪЕКТЫ'!ED105</x:f>
      </x:c>
      <x:c r="EE67" s="117" t="n">
        <x:f>'Продажи'!EE49*'Вводные'!$B$19+'ОБЪЕКТЫ'!EE105</x:f>
      </x:c>
      <x:c r="EF67" s="117" t="n">
        <x:f>'Продажи'!EF49*'Вводные'!$B$19+'ОБЪЕКТЫ'!EF105</x:f>
      </x:c>
      <x:c r="EG67" s="117" t="n">
        <x:f>'Продажи'!EG49*'Вводные'!$B$19+'ОБЪЕКТЫ'!EG105</x:f>
      </x:c>
      <x:c r="EH67" s="117" t="n">
        <x:f>'Продажи'!EH49*'Вводные'!$B$19+'ОБЪЕКТЫ'!EH105</x:f>
      </x:c>
      <x:c r="EI67" s="117" t="n">
        <x:f>'Продажи'!EI49*'Вводные'!$B$19+'ОБЪЕКТЫ'!EI105</x:f>
      </x:c>
      <x:c r="EJ67" s="117" t="n">
        <x:f>'Продажи'!EJ49*'Вводные'!$B$19+'ОБЪЕКТЫ'!EJ105</x:f>
      </x:c>
      <x:c r="EK67" s="117" t="n">
        <x:f>'Продажи'!EK49*'Вводные'!$B$19+'ОБЪЕКТЫ'!EK105</x:f>
      </x:c>
      <x:c r="EL67" s="117" t="n">
        <x:f>'Продажи'!EL49*'Вводные'!$B$19+'ОБЪЕКТЫ'!EL105</x:f>
      </x:c>
      <x:c r="EM67" s="117" t="n">
        <x:f>'Продажи'!EM49*'Вводные'!$B$19+'ОБЪЕКТЫ'!EM105</x:f>
      </x:c>
      <x:c r="EN67" s="117" t="n">
        <x:f>'Продажи'!EN49*'Вводные'!$B$19+'ОБЪЕКТЫ'!EN105</x:f>
      </x:c>
      <x:c r="EO67" s="117" t="n">
        <x:f>'Продажи'!EO49*'Вводные'!$B$19+'ОБЪЕКТЫ'!EO105</x:f>
      </x:c>
      <x:c r="EP67" s="117" t="n">
        <x:f>'Продажи'!EP49*'Вводные'!$B$19+'ОБЪЕКТЫ'!EP105</x:f>
      </x:c>
      <x:c r="EQ67" s="117" t="n">
        <x:f>'Продажи'!EQ49*'Вводные'!$B$19+'ОБЪЕКТЫ'!EQ105</x:f>
      </x:c>
      <x:c r="ER67" s="117" t="n">
        <x:f>'Продажи'!ER49*'Вводные'!$B$19+'ОБЪЕКТЫ'!ER105</x:f>
      </x:c>
      <x:c r="ES67" s="117" t="n">
        <x:f>'Продажи'!ES49*'Вводные'!$B$19+'ОБЪЕКТЫ'!ES105</x:f>
      </x:c>
      <x:c r="ET67" s="117" t="n">
        <x:f>'Продажи'!ET49*'Вводные'!$B$19+'ОБЪЕКТЫ'!ET105</x:f>
      </x:c>
      <x:c r="EU67" s="117" t="n">
        <x:f>'Продажи'!EU49*'Вводные'!$B$19+'ОБЪЕКТЫ'!EU105</x:f>
      </x:c>
      <x:c r="EV67" s="117" t="n">
        <x:f>'Продажи'!EV49*'Вводные'!$B$19+'ОБЪЕКТЫ'!EV105</x:f>
      </x:c>
      <x:c r="EW67" s="117" t="n">
        <x:f>'Продажи'!EW49*'Вводные'!$B$19+'ОБЪЕКТЫ'!EW105</x:f>
      </x:c>
      <x:c r="EX67" s="117" t="n">
        <x:f>'Продажи'!EX49*'Вводные'!$B$19+'ОБЪЕКТЫ'!EX105</x:f>
      </x:c>
      <x:c r="EY67" s="117" t="n">
        <x:f>'Продажи'!EY49*'Вводные'!$B$19+'ОБЪЕКТЫ'!EY105</x:f>
      </x:c>
      <x:c r="EZ67" s="117" t="n">
        <x:f>'Продажи'!EZ49*'Вводные'!$B$19+'ОБЪЕКТЫ'!EZ105</x:f>
      </x:c>
      <x:c r="FA67" s="117" t="n">
        <x:f>'Продажи'!FA49*'Вводные'!$B$19+'ОБЪЕКТЫ'!FA105</x:f>
      </x:c>
      <x:c r="FB67" s="117" t="n">
        <x:f>'Продажи'!FB49*'Вводные'!$B$19+'ОБЪЕКТЫ'!FB105</x:f>
      </x:c>
      <x:c r="FC67" s="117" t="n">
        <x:f>'Продажи'!FC49*'Вводные'!$B$19+'ОБЪЕКТЫ'!FC105</x:f>
      </x:c>
      <x:c r="FD67" s="117" t="n">
        <x:f>'Продажи'!FD49*'Вводные'!$B$19+'ОБЪЕКТЫ'!FD105</x:f>
      </x:c>
      <x:c r="FE67" s="117" t="n">
        <x:f>'Продажи'!FE49*'Вводные'!$B$19+'ОБЪЕКТЫ'!FE105</x:f>
      </x:c>
      <x:c r="FF67" s="117" t="n">
        <x:f>'Продажи'!FF49*'Вводные'!$B$19+'ОБЪЕКТЫ'!FF105</x:f>
      </x:c>
      <x:c r="FG67" s="117" t="n">
        <x:f>'Продажи'!FG49*'Вводные'!$B$19+'ОБЪЕКТЫ'!FG105</x:f>
      </x:c>
      <x:c r="FH67" s="117" t="n">
        <x:f>'Продажи'!FH49*'Вводные'!$B$19+'ОБЪЕКТЫ'!FH105</x:f>
      </x:c>
      <x:c r="FI67" s="117" t="n">
        <x:f>'Продажи'!FI49*'Вводные'!$B$19+'ОБЪЕКТЫ'!FI105</x:f>
      </x:c>
      <x:c r="FJ67" s="117" t="n">
        <x:f>'Продажи'!FJ49*'Вводные'!$B$19+'ОБЪЕКТЫ'!FJ105</x:f>
      </x:c>
      <x:c r="FK67" s="117" t="n">
        <x:f>'Продажи'!FK49*'Вводные'!$B$19+'ОБЪЕКТЫ'!FK105</x:f>
      </x:c>
      <x:c r="FL67" s="117" t="n">
        <x:f>'Продажи'!FL49*'Вводные'!$B$19+'ОБЪЕКТЫ'!FL105</x:f>
      </x:c>
      <x:c r="FM67" s="117" t="n">
        <x:f>'Продажи'!FM49*'Вводные'!$B$19+'ОБЪЕКТЫ'!FM105</x:f>
      </x:c>
      <x:c r="FN67" s="117" t="n">
        <x:f>'Продажи'!FN49*'Вводные'!$B$19+'ОБЪЕКТЫ'!FN105</x:f>
      </x:c>
      <x:c r="FO67" s="117" t="n">
        <x:f>'Продажи'!FO49*'Вводные'!$B$19+'ОБЪЕКТЫ'!FO105</x:f>
      </x:c>
      <x:c r="FP67" s="117" t="n">
        <x:f>'Продажи'!FP49*'Вводные'!$B$19+'ОБЪЕКТЫ'!FP105</x:f>
      </x:c>
      <x:c r="FQ67" s="117" t="n">
        <x:f>'Продажи'!FQ49*'Вводные'!$B$19+'ОБЪЕКТЫ'!FQ105</x:f>
      </x:c>
      <x:c r="FR67" s="117" t="n">
        <x:f>'Продажи'!FR49*'Вводные'!$B$19+'ОБЪЕКТЫ'!FR105</x:f>
      </x:c>
      <x:c r="FS67" s="117" t="n">
        <x:f>'Продажи'!FS49*'Вводные'!$B$19+'ОБЪЕКТЫ'!FS105</x:f>
      </x:c>
      <x:c r="FT67" s="117" t="n">
        <x:f>'Продажи'!FT49*'Вводные'!$B$19+'ОБЪЕКТЫ'!FT105</x:f>
      </x:c>
      <x:c r="FU67" s="117" t="n">
        <x:f>'Продажи'!FU49*'Вводные'!$B$19+'ОБЪЕКТЫ'!FU105</x:f>
      </x:c>
      <x:c r="FV67" s="117" t="n">
        <x:f>'Продажи'!FV49*'Вводные'!$B$19+'ОБЪЕКТЫ'!FV105</x:f>
      </x:c>
      <x:c r="FW67" s="117" t="n">
        <x:f>'Продажи'!FW49*'Вводные'!$B$19+'ОБЪЕКТЫ'!FW105</x:f>
      </x:c>
      <x:c r="FX67" s="117" t="n">
        <x:f>'Продажи'!FX49*'Вводные'!$B$19+'ОБЪЕКТЫ'!FX105</x:f>
      </x:c>
      <x:c r="FY67" s="117" t="n">
        <x:f>'Продажи'!FY49*'Вводные'!$B$19+'ОБЪЕКТЫ'!FY105</x:f>
      </x:c>
      <x:c r="FZ67" s="117" t="n">
        <x:f>'Продажи'!FZ49*'Вводные'!$B$19+'ОБЪЕКТЫ'!FZ105</x:f>
      </x:c>
      <x:c r="GA67" s="117" t="n">
        <x:f>'Продажи'!GA49*'Вводные'!$B$19+'ОБЪЕКТЫ'!GA105</x:f>
      </x:c>
    </x:row>
    <x:row r="68">
      <x:c r="A68" t="str">
        <x:v>Расходы на продажи</x:v>
      </x:c>
      <x:c r="B68" s="107" t="n">
        <x:f>SUM(D68:GA68)</x:f>
      </x:c>
      <x:c r="C68" t="str">
        <x:v>млн ₽</x:v>
      </x:c>
      <x:c r="D68" s="117" t="n">
        <x:f>'Продажи'!D49*'Вводные'!$B$20+'ОБЪЕКТЫ'!D106</x:f>
      </x:c>
      <x:c r="E68" s="117" t="n">
        <x:f>'Продажи'!E49*'Вводные'!$B$20+'ОБЪЕКТЫ'!E106</x:f>
      </x:c>
      <x:c r="F68" s="117" t="n">
        <x:f>'Продажи'!F49*'Вводные'!$B$20+'ОБЪЕКТЫ'!F106</x:f>
      </x:c>
      <x:c r="G68" s="117" t="n">
        <x:f>'Продажи'!G49*'Вводные'!$B$20+'ОБЪЕКТЫ'!G106</x:f>
      </x:c>
      <x:c r="H68" s="117" t="n">
        <x:f>'Продажи'!H49*'Вводные'!$B$20+'ОБЪЕКТЫ'!H106</x:f>
      </x:c>
      <x:c r="I68" s="117" t="n">
        <x:f>'Продажи'!I49*'Вводные'!$B$20+'ОБЪЕКТЫ'!I106</x:f>
      </x:c>
      <x:c r="J68" s="117" t="n">
        <x:f>'Продажи'!J49*'Вводные'!$B$20+'ОБЪЕКТЫ'!J106</x:f>
      </x:c>
      <x:c r="K68" s="117" t="n">
        <x:f>'Продажи'!K49*'Вводные'!$B$20+'ОБЪЕКТЫ'!K106</x:f>
      </x:c>
      <x:c r="L68" s="117" t="n">
        <x:f>'Продажи'!L49*'Вводные'!$B$20+'ОБЪЕКТЫ'!L106</x:f>
      </x:c>
      <x:c r="M68" s="117" t="n">
        <x:f>'Продажи'!M49*'Вводные'!$B$20+'ОБЪЕКТЫ'!M106</x:f>
      </x:c>
      <x:c r="N68" s="117" t="n">
        <x:f>'Продажи'!N49*'Вводные'!$B$20+'ОБЪЕКТЫ'!N106</x:f>
      </x:c>
      <x:c r="O68" s="117" t="n">
        <x:f>'Продажи'!O49*'Вводные'!$B$20+'ОБЪЕКТЫ'!O106</x:f>
      </x:c>
      <x:c r="P68" s="117" t="n">
        <x:f>'Продажи'!P49*'Вводные'!$B$20+'ОБЪЕКТЫ'!P106</x:f>
      </x:c>
      <x:c r="Q68" s="117" t="n">
        <x:f>'Продажи'!Q49*'Вводные'!$B$20+'ОБЪЕКТЫ'!Q106</x:f>
      </x:c>
      <x:c r="R68" s="117" t="n">
        <x:f>'Продажи'!R49*'Вводные'!$B$20+'ОБЪЕКТЫ'!R106</x:f>
      </x:c>
      <x:c r="S68" s="117" t="n">
        <x:f>'Продажи'!S49*'Вводные'!$B$20+'ОБЪЕКТЫ'!S106</x:f>
      </x:c>
      <x:c r="T68" s="117" t="n">
        <x:f>'Продажи'!T49*'Вводные'!$B$20+'ОБЪЕКТЫ'!T106</x:f>
      </x:c>
      <x:c r="U68" s="117" t="n">
        <x:f>'Продажи'!U49*'Вводные'!$B$20+'ОБЪЕКТЫ'!U106</x:f>
      </x:c>
      <x:c r="V68" s="117" t="n">
        <x:f>'Продажи'!V49*'Вводные'!$B$20+'ОБЪЕКТЫ'!V106</x:f>
      </x:c>
      <x:c r="W68" s="117" t="n">
        <x:f>'Продажи'!W49*'Вводные'!$B$20+'ОБЪЕКТЫ'!W106</x:f>
      </x:c>
      <x:c r="X68" s="117" t="n">
        <x:f>'Продажи'!X49*'Вводные'!$B$20+'ОБЪЕКТЫ'!X106</x:f>
      </x:c>
      <x:c r="Y68" s="117" t="n">
        <x:f>'Продажи'!Y49*'Вводные'!$B$20+'ОБЪЕКТЫ'!Y106</x:f>
      </x:c>
      <x:c r="Z68" s="117" t="n">
        <x:f>'Продажи'!Z49*'Вводные'!$B$20+'ОБЪЕКТЫ'!Z106</x:f>
      </x:c>
      <x:c r="AA68" s="117" t="n">
        <x:f>'Продажи'!AA49*'Вводные'!$B$20+'ОБЪЕКТЫ'!AA106</x:f>
      </x:c>
      <x:c r="AB68" s="117" t="n">
        <x:f>'Продажи'!AB49*'Вводные'!$B$20+'ОБЪЕКТЫ'!AB106</x:f>
      </x:c>
      <x:c r="AC68" s="117" t="n">
        <x:f>'Продажи'!AC49*'Вводные'!$B$20+'ОБЪЕКТЫ'!AC106</x:f>
      </x:c>
      <x:c r="AD68" s="117" t="n">
        <x:f>'Продажи'!AD49*'Вводные'!$B$20+'ОБЪЕКТЫ'!AD106</x:f>
      </x:c>
      <x:c r="AE68" s="117" t="n">
        <x:f>'Продажи'!AE49*'Вводные'!$B$20+'ОБЪЕКТЫ'!AE106</x:f>
      </x:c>
      <x:c r="AF68" s="117" t="n">
        <x:f>'Продажи'!AF49*'Вводные'!$B$20+'ОБЪЕКТЫ'!AF106</x:f>
      </x:c>
      <x:c r="AG68" s="117" t="n">
        <x:f>'Продажи'!AG49*'Вводные'!$B$20+'ОБЪЕКТЫ'!AG106</x:f>
      </x:c>
      <x:c r="AH68" s="117" t="n">
        <x:f>'Продажи'!AH49*'Вводные'!$B$20+'ОБЪЕКТЫ'!AH106</x:f>
      </x:c>
      <x:c r="AI68" s="117" t="n">
        <x:f>'Продажи'!AI49*'Вводные'!$B$20+'ОБЪЕКТЫ'!AI106</x:f>
      </x:c>
      <x:c r="AJ68" s="117" t="n">
        <x:f>'Продажи'!AJ49*'Вводные'!$B$20+'ОБЪЕКТЫ'!AJ106</x:f>
      </x:c>
      <x:c r="AK68" s="117" t="n">
        <x:f>'Продажи'!AK49*'Вводные'!$B$20+'ОБЪЕКТЫ'!AK106</x:f>
      </x:c>
      <x:c r="AL68" s="117" t="n">
        <x:f>'Продажи'!AL49*'Вводные'!$B$20+'ОБЪЕКТЫ'!AL106</x:f>
      </x:c>
      <x:c r="AM68" s="117" t="n">
        <x:f>'Продажи'!AM49*'Вводные'!$B$20+'ОБЪЕКТЫ'!AM106</x:f>
      </x:c>
      <x:c r="AN68" s="117" t="n">
        <x:f>'Продажи'!AN49*'Вводные'!$B$20+'ОБЪЕКТЫ'!AN106</x:f>
      </x:c>
      <x:c r="AO68" s="117" t="n">
        <x:f>'Продажи'!AO49*'Вводные'!$B$20+'ОБЪЕКТЫ'!AO106</x:f>
      </x:c>
      <x:c r="AP68" s="117" t="n">
        <x:f>'Продажи'!AP49*'Вводные'!$B$20+'ОБЪЕКТЫ'!AP106</x:f>
      </x:c>
      <x:c r="AQ68" s="117" t="n">
        <x:f>'Продажи'!AQ49*'Вводные'!$B$20+'ОБЪЕКТЫ'!AQ106</x:f>
      </x:c>
      <x:c r="AR68" s="117" t="n">
        <x:f>'Продажи'!AR49*'Вводные'!$B$20+'ОБЪЕКТЫ'!AR106</x:f>
      </x:c>
      <x:c r="AS68" s="117" t="n">
        <x:f>'Продажи'!AS49*'Вводные'!$B$20+'ОБЪЕКТЫ'!AS106</x:f>
      </x:c>
      <x:c r="AT68" s="117" t="n">
        <x:f>'Продажи'!AT49*'Вводные'!$B$20+'ОБЪЕКТЫ'!AT106</x:f>
      </x:c>
      <x:c r="AU68" s="117" t="n">
        <x:f>'Продажи'!AU49*'Вводные'!$B$20+'ОБЪЕКТЫ'!AU106</x:f>
      </x:c>
      <x:c r="AV68" s="117" t="n">
        <x:f>'Продажи'!AV49*'Вводные'!$B$20+'ОБЪЕКТЫ'!AV106</x:f>
      </x:c>
      <x:c r="AW68" s="117" t="n">
        <x:f>'Продажи'!AW49*'Вводные'!$B$20+'ОБЪЕКТЫ'!AW106</x:f>
      </x:c>
      <x:c r="AX68" s="117" t="n">
        <x:f>'Продажи'!AX49*'Вводные'!$B$20+'ОБЪЕКТЫ'!AX106</x:f>
      </x:c>
      <x:c r="AY68" s="117" t="n">
        <x:f>'Продажи'!AY49*'Вводные'!$B$20+'ОБЪЕКТЫ'!AY106</x:f>
      </x:c>
      <x:c r="AZ68" s="117" t="n">
        <x:f>'Продажи'!AZ49*'Вводные'!$B$20+'ОБЪЕКТЫ'!AZ106</x:f>
      </x:c>
      <x:c r="BA68" s="117" t="n">
        <x:f>'Продажи'!BA49*'Вводные'!$B$20+'ОБЪЕКТЫ'!BA106</x:f>
      </x:c>
      <x:c r="BB68" s="117" t="n">
        <x:f>'Продажи'!BB49*'Вводные'!$B$20+'ОБЪЕКТЫ'!BB106</x:f>
      </x:c>
      <x:c r="BC68" s="117" t="n">
        <x:f>'Продажи'!BC49*'Вводные'!$B$20+'ОБЪЕКТЫ'!BC106</x:f>
      </x:c>
      <x:c r="BD68" s="117" t="n">
        <x:f>'Продажи'!BD49*'Вводные'!$B$20+'ОБЪЕКТЫ'!BD106</x:f>
      </x:c>
      <x:c r="BE68" s="117" t="n">
        <x:f>'Продажи'!BE49*'Вводные'!$B$20+'ОБЪЕКТЫ'!BE106</x:f>
      </x:c>
      <x:c r="BF68" s="117" t="n">
        <x:f>'Продажи'!BF49*'Вводные'!$B$20+'ОБЪЕКТЫ'!BF106</x:f>
      </x:c>
      <x:c r="BG68" s="117" t="n">
        <x:f>'Продажи'!BG49*'Вводные'!$B$20+'ОБЪЕКТЫ'!BG106</x:f>
      </x:c>
      <x:c r="BH68" s="117" t="n">
        <x:f>'Продажи'!BH49*'Вводные'!$B$20+'ОБЪЕКТЫ'!BH106</x:f>
      </x:c>
      <x:c r="BI68" s="117" t="n">
        <x:f>'Продажи'!BI49*'Вводные'!$B$20+'ОБЪЕКТЫ'!BI106</x:f>
      </x:c>
      <x:c r="BJ68" s="117" t="n">
        <x:f>'Продажи'!BJ49*'Вводные'!$B$20+'ОБЪЕКТЫ'!BJ106</x:f>
      </x:c>
      <x:c r="BK68" s="117" t="n">
        <x:f>'Продажи'!BK49*'Вводные'!$B$20+'ОБЪЕКТЫ'!BK106</x:f>
      </x:c>
      <x:c r="BL68" s="117" t="n">
        <x:f>'Продажи'!BL49*'Вводные'!$B$20+'ОБЪЕКТЫ'!BL106</x:f>
      </x:c>
      <x:c r="BM68" s="117" t="n">
        <x:f>'Продажи'!BM49*'Вводные'!$B$20+'ОБЪЕКТЫ'!BM106</x:f>
      </x:c>
      <x:c r="BN68" s="117" t="n">
        <x:f>'Продажи'!BN49*'Вводные'!$B$20+'ОБЪЕКТЫ'!BN106</x:f>
      </x:c>
      <x:c r="BO68" s="117" t="n">
        <x:f>'Продажи'!BO49*'Вводные'!$B$20+'ОБЪЕКТЫ'!BO106</x:f>
      </x:c>
      <x:c r="BP68" s="117" t="n">
        <x:f>'Продажи'!BP49*'Вводные'!$B$20+'ОБЪЕКТЫ'!BP106</x:f>
      </x:c>
      <x:c r="BQ68" s="117" t="n">
        <x:f>'Продажи'!BQ49*'Вводные'!$B$20+'ОБЪЕКТЫ'!BQ106</x:f>
      </x:c>
      <x:c r="BR68" s="117" t="n">
        <x:f>'Продажи'!BR49*'Вводные'!$B$20+'ОБЪЕКТЫ'!BR106</x:f>
      </x:c>
      <x:c r="BS68" s="117" t="n">
        <x:f>'Продажи'!BS49*'Вводные'!$B$20+'ОБЪЕКТЫ'!BS106</x:f>
      </x:c>
      <x:c r="BT68" s="117" t="n">
        <x:f>'Продажи'!BT49*'Вводные'!$B$20+'ОБЪЕКТЫ'!BT106</x:f>
      </x:c>
      <x:c r="BU68" s="117" t="n">
        <x:f>'Продажи'!BU49*'Вводные'!$B$20+'ОБЪЕКТЫ'!BU106</x:f>
      </x:c>
      <x:c r="BV68" s="117" t="n">
        <x:f>'Продажи'!BV49*'Вводные'!$B$20+'ОБЪЕКТЫ'!BV106</x:f>
      </x:c>
      <x:c r="BW68" s="117" t="n">
        <x:f>'Продажи'!BW49*'Вводные'!$B$20+'ОБЪЕКТЫ'!BW106</x:f>
      </x:c>
      <x:c r="BX68" s="117" t="n">
        <x:f>'Продажи'!BX49*'Вводные'!$B$20+'ОБЪЕКТЫ'!BX106</x:f>
      </x:c>
      <x:c r="BY68" s="117" t="n">
        <x:f>'Продажи'!BY49*'Вводные'!$B$20+'ОБЪЕКТЫ'!BY106</x:f>
      </x:c>
      <x:c r="BZ68" s="117" t="n">
        <x:f>'Продажи'!BZ49*'Вводные'!$B$20+'ОБЪЕКТЫ'!BZ106</x:f>
      </x:c>
      <x:c r="CA68" s="117" t="n">
        <x:f>'Продажи'!CA49*'Вводные'!$B$20+'ОБЪЕКТЫ'!CA106</x:f>
      </x:c>
      <x:c r="CB68" s="117" t="n">
        <x:f>'Продажи'!CB49*'Вводные'!$B$20+'ОБЪЕКТЫ'!CB106</x:f>
      </x:c>
      <x:c r="CC68" s="117" t="n">
        <x:f>'Продажи'!CC49*'Вводные'!$B$20+'ОБЪЕКТЫ'!CC106</x:f>
      </x:c>
      <x:c r="CD68" s="117" t="n">
        <x:f>'Продажи'!CD49*'Вводные'!$B$20+'ОБЪЕКТЫ'!CD106</x:f>
      </x:c>
      <x:c r="CE68" s="117" t="n">
        <x:f>'Продажи'!CE49*'Вводные'!$B$20+'ОБЪЕКТЫ'!CE106</x:f>
      </x:c>
      <x:c r="CF68" s="117" t="n">
        <x:f>'Продажи'!CF49*'Вводные'!$B$20+'ОБЪЕКТЫ'!CF106</x:f>
      </x:c>
      <x:c r="CG68" s="117" t="n">
        <x:f>'Продажи'!CG49*'Вводные'!$B$20+'ОБЪЕКТЫ'!CG106</x:f>
      </x:c>
      <x:c r="CH68" s="117" t="n">
        <x:f>'Продажи'!CH49*'Вводные'!$B$20+'ОБЪЕКТЫ'!CH106</x:f>
      </x:c>
      <x:c r="CI68" s="117" t="n">
        <x:f>'Продажи'!CI49*'Вводные'!$B$20+'ОБЪЕКТЫ'!CI106</x:f>
      </x:c>
      <x:c r="CJ68" s="117" t="n">
        <x:f>'Продажи'!CJ49*'Вводные'!$B$20+'ОБЪЕКТЫ'!CJ106</x:f>
      </x:c>
      <x:c r="CK68" s="117" t="n">
        <x:f>'Продажи'!CK49*'Вводные'!$B$20+'ОБЪЕКТЫ'!CK106</x:f>
      </x:c>
      <x:c r="CL68" s="117" t="n">
        <x:f>'Продажи'!CL49*'Вводные'!$B$20+'ОБЪЕКТЫ'!CL106</x:f>
      </x:c>
      <x:c r="CM68" s="117" t="n">
        <x:f>'Продажи'!CM49*'Вводные'!$B$20+'ОБЪЕКТЫ'!CM106</x:f>
      </x:c>
      <x:c r="CN68" s="117" t="n">
        <x:f>'Продажи'!CN49*'Вводные'!$B$20+'ОБЪЕКТЫ'!CN106</x:f>
      </x:c>
      <x:c r="CO68" s="117" t="n">
        <x:f>'Продажи'!CO49*'Вводные'!$B$20+'ОБЪЕКТЫ'!CO106</x:f>
      </x:c>
      <x:c r="CP68" s="117" t="n">
        <x:f>'Продажи'!CP49*'Вводные'!$B$20+'ОБЪЕКТЫ'!CP106</x:f>
      </x:c>
      <x:c r="CQ68" s="117" t="n">
        <x:f>'Продажи'!CQ49*'Вводные'!$B$20+'ОБЪЕКТЫ'!CQ106</x:f>
      </x:c>
      <x:c r="CR68" s="117" t="n">
        <x:f>'Продажи'!CR49*'Вводные'!$B$20+'ОБЪЕКТЫ'!CR106</x:f>
      </x:c>
      <x:c r="CS68" s="117" t="n">
        <x:f>'Продажи'!CS49*'Вводные'!$B$20+'ОБЪЕКТЫ'!CS106</x:f>
      </x:c>
      <x:c r="CT68" s="117" t="n">
        <x:f>'Продажи'!CT49*'Вводные'!$B$20+'ОБЪЕКТЫ'!CT106</x:f>
      </x:c>
      <x:c r="CU68" s="117" t="n">
        <x:f>'Продажи'!CU49*'Вводные'!$B$20+'ОБЪЕКТЫ'!CU106</x:f>
      </x:c>
      <x:c r="CV68" s="117" t="n">
        <x:f>'Продажи'!CV49*'Вводные'!$B$20+'ОБЪЕКТЫ'!CV106</x:f>
      </x:c>
      <x:c r="CW68" s="117" t="n">
        <x:f>'Продажи'!CW49*'Вводные'!$B$20+'ОБЪЕКТЫ'!CW106</x:f>
      </x:c>
      <x:c r="CX68" s="117" t="n">
        <x:f>'Продажи'!CX49*'Вводные'!$B$20+'ОБЪЕКТЫ'!CX106</x:f>
      </x:c>
      <x:c r="CY68" s="117" t="n">
        <x:f>'Продажи'!CY49*'Вводные'!$B$20+'ОБЪЕКТЫ'!CY106</x:f>
      </x:c>
      <x:c r="CZ68" s="117" t="n">
        <x:f>'Продажи'!CZ49*'Вводные'!$B$20+'ОБЪЕКТЫ'!CZ106</x:f>
      </x:c>
      <x:c r="DA68" s="117" t="n">
        <x:f>'Продажи'!DA49*'Вводные'!$B$20+'ОБЪЕКТЫ'!DA106</x:f>
      </x:c>
      <x:c r="DB68" s="117" t="n">
        <x:f>'Продажи'!DB49*'Вводные'!$B$20+'ОБЪЕКТЫ'!DB106</x:f>
      </x:c>
      <x:c r="DC68" s="117" t="n">
        <x:f>'Продажи'!DC49*'Вводные'!$B$20+'ОБЪЕКТЫ'!DC106</x:f>
      </x:c>
      <x:c r="DD68" s="117" t="n">
        <x:f>'Продажи'!DD49*'Вводные'!$B$20+'ОБЪЕКТЫ'!DD106</x:f>
      </x:c>
      <x:c r="DE68" s="117" t="n">
        <x:f>'Продажи'!DE49*'Вводные'!$B$20+'ОБЪЕКТЫ'!DE106</x:f>
      </x:c>
      <x:c r="DF68" s="117" t="n">
        <x:f>'Продажи'!DF49*'Вводные'!$B$20+'ОБЪЕКТЫ'!DF106</x:f>
      </x:c>
      <x:c r="DG68" s="117" t="n">
        <x:f>'Продажи'!DG49*'Вводные'!$B$20+'ОБЪЕКТЫ'!DG106</x:f>
      </x:c>
      <x:c r="DH68" s="117" t="n">
        <x:f>'Продажи'!DH49*'Вводные'!$B$20+'ОБЪЕКТЫ'!DH106</x:f>
      </x:c>
      <x:c r="DI68" s="117" t="n">
        <x:f>'Продажи'!DI49*'Вводные'!$B$20+'ОБЪЕКТЫ'!DI106</x:f>
      </x:c>
      <x:c r="DJ68" s="117" t="n">
        <x:f>'Продажи'!DJ49*'Вводные'!$B$20+'ОБЪЕКТЫ'!DJ106</x:f>
      </x:c>
      <x:c r="DK68" s="117" t="n">
        <x:f>'Продажи'!DK49*'Вводные'!$B$20+'ОБЪЕКТЫ'!DK106</x:f>
      </x:c>
      <x:c r="DL68" s="117" t="n">
        <x:f>'Продажи'!DL49*'Вводные'!$B$20+'ОБЪЕКТЫ'!DL106</x:f>
      </x:c>
      <x:c r="DM68" s="117" t="n">
        <x:f>'Продажи'!DM49*'Вводные'!$B$20+'ОБЪЕКТЫ'!DM106</x:f>
      </x:c>
      <x:c r="DN68" s="117" t="n">
        <x:f>'Продажи'!DN49*'Вводные'!$B$20+'ОБЪЕКТЫ'!DN106</x:f>
      </x:c>
      <x:c r="DO68" s="117" t="n">
        <x:f>'Продажи'!DO49*'Вводные'!$B$20+'ОБЪЕКТЫ'!DO106</x:f>
      </x:c>
      <x:c r="DP68" s="117" t="n">
        <x:f>'Продажи'!DP49*'Вводные'!$B$20+'ОБЪЕКТЫ'!DP106</x:f>
      </x:c>
      <x:c r="DQ68" s="117" t="n">
        <x:f>'Продажи'!DQ49*'Вводные'!$B$20+'ОБЪЕКТЫ'!DQ106</x:f>
      </x:c>
      <x:c r="DR68" s="117" t="n">
        <x:f>'Продажи'!DR49*'Вводные'!$B$20+'ОБЪЕКТЫ'!DR106</x:f>
      </x:c>
      <x:c r="DS68" s="117" t="n">
        <x:f>'Продажи'!DS49*'Вводные'!$B$20+'ОБЪЕКТЫ'!DS106</x:f>
      </x:c>
      <x:c r="DT68" s="117" t="n">
        <x:f>'Продажи'!DT49*'Вводные'!$B$20+'ОБЪЕКТЫ'!DT106</x:f>
      </x:c>
      <x:c r="DU68" s="117" t="n">
        <x:f>'Продажи'!DU49*'Вводные'!$B$20+'ОБЪЕКТЫ'!DU106</x:f>
      </x:c>
      <x:c r="DV68" s="117" t="n">
        <x:f>'Продажи'!DV49*'Вводные'!$B$20+'ОБЪЕКТЫ'!DV106</x:f>
      </x:c>
      <x:c r="DW68" s="117" t="n">
        <x:f>'Продажи'!DW49*'Вводные'!$B$20+'ОБЪЕКТЫ'!DW106</x:f>
      </x:c>
      <x:c r="DX68" s="117" t="n">
        <x:f>'Продажи'!DX49*'Вводные'!$B$20+'ОБЪЕКТЫ'!DX106</x:f>
      </x:c>
      <x:c r="DY68" s="117" t="n">
        <x:f>'Продажи'!DY49*'Вводные'!$B$20+'ОБЪЕКТЫ'!DY106</x:f>
      </x:c>
      <x:c r="DZ68" s="117" t="n">
        <x:f>'Продажи'!DZ49*'Вводные'!$B$20+'ОБЪЕКТЫ'!DZ106</x:f>
      </x:c>
      <x:c r="EA68" s="117" t="n">
        <x:f>'Продажи'!EA49*'Вводные'!$B$20+'ОБЪЕКТЫ'!EA106</x:f>
      </x:c>
      <x:c r="EB68" s="117" t="n">
        <x:f>'Продажи'!EB49*'Вводные'!$B$20+'ОБЪЕКТЫ'!EB106</x:f>
      </x:c>
      <x:c r="EC68" s="117" t="n">
        <x:f>'Продажи'!EC49*'Вводные'!$B$20+'ОБЪЕКТЫ'!EC106</x:f>
      </x:c>
      <x:c r="ED68" s="117" t="n">
        <x:f>'Продажи'!ED49*'Вводные'!$B$20+'ОБЪЕКТЫ'!ED106</x:f>
      </x:c>
      <x:c r="EE68" s="117" t="n">
        <x:f>'Продажи'!EE49*'Вводные'!$B$20+'ОБЪЕКТЫ'!EE106</x:f>
      </x:c>
      <x:c r="EF68" s="117" t="n">
        <x:f>'Продажи'!EF49*'Вводные'!$B$20+'ОБЪЕКТЫ'!EF106</x:f>
      </x:c>
      <x:c r="EG68" s="117" t="n">
        <x:f>'Продажи'!EG49*'Вводные'!$B$20+'ОБЪЕКТЫ'!EG106</x:f>
      </x:c>
      <x:c r="EH68" s="117" t="n">
        <x:f>'Продажи'!EH49*'Вводные'!$B$20+'ОБЪЕКТЫ'!EH106</x:f>
      </x:c>
      <x:c r="EI68" s="117" t="n">
        <x:f>'Продажи'!EI49*'Вводные'!$B$20+'ОБЪЕКТЫ'!EI106</x:f>
      </x:c>
      <x:c r="EJ68" s="117" t="n">
        <x:f>'Продажи'!EJ49*'Вводные'!$B$20+'ОБЪЕКТЫ'!EJ106</x:f>
      </x:c>
      <x:c r="EK68" s="117" t="n">
        <x:f>'Продажи'!EK49*'Вводные'!$B$20+'ОБЪЕКТЫ'!EK106</x:f>
      </x:c>
      <x:c r="EL68" s="117" t="n">
        <x:f>'Продажи'!EL49*'Вводные'!$B$20+'ОБЪЕКТЫ'!EL106</x:f>
      </x:c>
      <x:c r="EM68" s="117" t="n">
        <x:f>'Продажи'!EM49*'Вводные'!$B$20+'ОБЪЕКТЫ'!EM106</x:f>
      </x:c>
      <x:c r="EN68" s="117" t="n">
        <x:f>'Продажи'!EN49*'Вводные'!$B$20+'ОБЪЕКТЫ'!EN106</x:f>
      </x:c>
      <x:c r="EO68" s="117" t="n">
        <x:f>'Продажи'!EO49*'Вводные'!$B$20+'ОБЪЕКТЫ'!EO106</x:f>
      </x:c>
      <x:c r="EP68" s="117" t="n">
        <x:f>'Продажи'!EP49*'Вводные'!$B$20+'ОБЪЕКТЫ'!EP106</x:f>
      </x:c>
      <x:c r="EQ68" s="117" t="n">
        <x:f>'Продажи'!EQ49*'Вводные'!$B$20+'ОБЪЕКТЫ'!EQ106</x:f>
      </x:c>
      <x:c r="ER68" s="117" t="n">
        <x:f>'Продажи'!ER49*'Вводные'!$B$20+'ОБЪЕКТЫ'!ER106</x:f>
      </x:c>
      <x:c r="ES68" s="117" t="n">
        <x:f>'Продажи'!ES49*'Вводные'!$B$20+'ОБЪЕКТЫ'!ES106</x:f>
      </x:c>
      <x:c r="ET68" s="117" t="n">
        <x:f>'Продажи'!ET49*'Вводные'!$B$20+'ОБЪЕКТЫ'!ET106</x:f>
      </x:c>
      <x:c r="EU68" s="117" t="n">
        <x:f>'Продажи'!EU49*'Вводные'!$B$20+'ОБЪЕКТЫ'!EU106</x:f>
      </x:c>
      <x:c r="EV68" s="117" t="n">
        <x:f>'Продажи'!EV49*'Вводные'!$B$20+'ОБЪЕКТЫ'!EV106</x:f>
      </x:c>
      <x:c r="EW68" s="117" t="n">
        <x:f>'Продажи'!EW49*'Вводные'!$B$20+'ОБЪЕКТЫ'!EW106</x:f>
      </x:c>
      <x:c r="EX68" s="117" t="n">
        <x:f>'Продажи'!EX49*'Вводные'!$B$20+'ОБЪЕКТЫ'!EX106</x:f>
      </x:c>
      <x:c r="EY68" s="117" t="n">
        <x:f>'Продажи'!EY49*'Вводные'!$B$20+'ОБЪЕКТЫ'!EY106</x:f>
      </x:c>
      <x:c r="EZ68" s="117" t="n">
        <x:f>'Продажи'!EZ49*'Вводные'!$B$20+'ОБЪЕКТЫ'!EZ106</x:f>
      </x:c>
      <x:c r="FA68" s="117" t="n">
        <x:f>'Продажи'!FA49*'Вводные'!$B$20+'ОБЪЕКТЫ'!FA106</x:f>
      </x:c>
      <x:c r="FB68" s="117" t="n">
        <x:f>'Продажи'!FB49*'Вводные'!$B$20+'ОБЪЕКТЫ'!FB106</x:f>
      </x:c>
      <x:c r="FC68" s="117" t="n">
        <x:f>'Продажи'!FC49*'Вводные'!$B$20+'ОБЪЕКТЫ'!FC106</x:f>
      </x:c>
      <x:c r="FD68" s="117" t="n">
        <x:f>'Продажи'!FD49*'Вводные'!$B$20+'ОБЪЕКТЫ'!FD106</x:f>
      </x:c>
      <x:c r="FE68" s="117" t="n">
        <x:f>'Продажи'!FE49*'Вводные'!$B$20+'ОБЪЕКТЫ'!FE106</x:f>
      </x:c>
      <x:c r="FF68" s="117" t="n">
        <x:f>'Продажи'!FF49*'Вводные'!$B$20+'ОБЪЕКТЫ'!FF106</x:f>
      </x:c>
      <x:c r="FG68" s="117" t="n">
        <x:f>'Продажи'!FG49*'Вводные'!$B$20+'ОБЪЕКТЫ'!FG106</x:f>
      </x:c>
      <x:c r="FH68" s="117" t="n">
        <x:f>'Продажи'!FH49*'Вводные'!$B$20+'ОБЪЕКТЫ'!FH106</x:f>
      </x:c>
      <x:c r="FI68" s="117" t="n">
        <x:f>'Продажи'!FI49*'Вводные'!$B$20+'ОБЪЕКТЫ'!FI106</x:f>
      </x:c>
      <x:c r="FJ68" s="117" t="n">
        <x:f>'Продажи'!FJ49*'Вводные'!$B$20+'ОБЪЕКТЫ'!FJ106</x:f>
      </x:c>
      <x:c r="FK68" s="117" t="n">
        <x:f>'Продажи'!FK49*'Вводные'!$B$20+'ОБЪЕКТЫ'!FK106</x:f>
      </x:c>
      <x:c r="FL68" s="117" t="n">
        <x:f>'Продажи'!FL49*'Вводные'!$B$20+'ОБЪЕКТЫ'!FL106</x:f>
      </x:c>
      <x:c r="FM68" s="117" t="n">
        <x:f>'Продажи'!FM49*'Вводные'!$B$20+'ОБЪЕКТЫ'!FM106</x:f>
      </x:c>
      <x:c r="FN68" s="117" t="n">
        <x:f>'Продажи'!FN49*'Вводные'!$B$20+'ОБЪЕКТЫ'!FN106</x:f>
      </x:c>
      <x:c r="FO68" s="117" t="n">
        <x:f>'Продажи'!FO49*'Вводные'!$B$20+'ОБЪЕКТЫ'!FO106</x:f>
      </x:c>
      <x:c r="FP68" s="117" t="n">
        <x:f>'Продажи'!FP49*'Вводные'!$B$20+'ОБЪЕКТЫ'!FP106</x:f>
      </x:c>
      <x:c r="FQ68" s="117" t="n">
        <x:f>'Продажи'!FQ49*'Вводные'!$B$20+'ОБЪЕКТЫ'!FQ106</x:f>
      </x:c>
      <x:c r="FR68" s="117" t="n">
        <x:f>'Продажи'!FR49*'Вводные'!$B$20+'ОБЪЕКТЫ'!FR106</x:f>
      </x:c>
      <x:c r="FS68" s="117" t="n">
        <x:f>'Продажи'!FS49*'Вводные'!$B$20+'ОБЪЕКТЫ'!FS106</x:f>
      </x:c>
      <x:c r="FT68" s="117" t="n">
        <x:f>'Продажи'!FT49*'Вводные'!$B$20+'ОБЪЕКТЫ'!FT106</x:f>
      </x:c>
      <x:c r="FU68" s="117" t="n">
        <x:f>'Продажи'!FU49*'Вводные'!$B$20+'ОБЪЕКТЫ'!FU106</x:f>
      </x:c>
      <x:c r="FV68" s="117" t="n">
        <x:f>'Продажи'!FV49*'Вводные'!$B$20+'ОБЪЕКТЫ'!FV106</x:f>
      </x:c>
      <x:c r="FW68" s="117" t="n">
        <x:f>'Продажи'!FW49*'Вводные'!$B$20+'ОБЪЕКТЫ'!FW106</x:f>
      </x:c>
      <x:c r="FX68" s="117" t="n">
        <x:f>'Продажи'!FX49*'Вводные'!$B$20+'ОБЪЕКТЫ'!FX106</x:f>
      </x:c>
      <x:c r="FY68" s="117" t="n">
        <x:f>'Продажи'!FY49*'Вводные'!$B$20+'ОБЪЕКТЫ'!FY106</x:f>
      </x:c>
      <x:c r="FZ68" s="117" t="n">
        <x:f>'Продажи'!FZ49*'Вводные'!$B$20+'ОБЪЕКТЫ'!FZ106</x:f>
      </x:c>
      <x:c r="GA68" s="117" t="n">
        <x:f>'Продажи'!GA49*'Вводные'!$B$20+'ОБЪЕКТЫ'!GA106</x:f>
      </x:c>
    </x:row>
    <x:row r="69">
      <x:c r="A69" s="113" t="str">
        <x:v>РАСХОДЫ ПРОЕКТА ВСЕГО</x:v>
      </x:c>
      <x:c r="B69" s="113" t="n">
        <x:f>SUM(D69:GA69)</x:f>
      </x:c>
      <x:c r="C69" s="113" t="str">
        <x:v>млн ₽</x:v>
      </x:c>
      <x:c r="D69" s="120" t="n">
        <x:f>SUM(D66:D68)</x:f>
      </x:c>
      <x:c r="E69" s="120" t="n">
        <x:f>SUM(E66:E68)</x:f>
      </x:c>
      <x:c r="F69" s="120" t="n">
        <x:f>SUM(F66:F68)</x:f>
      </x:c>
      <x:c r="G69" s="120" t="n">
        <x:f>SUM(G66:G68)</x:f>
      </x:c>
      <x:c r="H69" s="120" t="n">
        <x:f>SUM(H66:H68)</x:f>
      </x:c>
      <x:c r="I69" s="120" t="n">
        <x:f>SUM(I66:I68)</x:f>
      </x:c>
      <x:c r="J69" s="120" t="n">
        <x:f>SUM(J66:J68)</x:f>
      </x:c>
      <x:c r="K69" s="120" t="n">
        <x:f>SUM(K66:K68)</x:f>
      </x:c>
      <x:c r="L69" s="120" t="n">
        <x:f>SUM(L66:L68)</x:f>
      </x:c>
      <x:c r="M69" s="120" t="n">
        <x:f>SUM(M66:M68)</x:f>
      </x:c>
      <x:c r="N69" s="120" t="n">
        <x:f>SUM(N66:N68)</x:f>
      </x:c>
      <x:c r="O69" s="120" t="n">
        <x:f>SUM(O66:O68)</x:f>
      </x:c>
      <x:c r="P69" s="120" t="n">
        <x:f>SUM(P66:P68)</x:f>
      </x:c>
      <x:c r="Q69" s="120" t="n">
        <x:f>SUM(Q66:Q68)</x:f>
      </x:c>
      <x:c r="R69" s="120" t="n">
        <x:f>SUM(R66:R68)</x:f>
      </x:c>
      <x:c r="S69" s="120" t="n">
        <x:f>SUM(S66:S68)</x:f>
      </x:c>
      <x:c r="T69" s="120" t="n">
        <x:f>SUM(T66:T68)</x:f>
      </x:c>
      <x:c r="U69" s="120" t="n">
        <x:f>SUM(U66:U68)</x:f>
      </x:c>
      <x:c r="V69" s="120" t="n">
        <x:f>SUM(V66:V68)</x:f>
      </x:c>
      <x:c r="W69" s="120" t="n">
        <x:f>SUM(W66:W68)</x:f>
      </x:c>
      <x:c r="X69" s="120" t="n">
        <x:f>SUM(X66:X68)</x:f>
      </x:c>
      <x:c r="Y69" s="120" t="n">
        <x:f>SUM(Y66:Y68)</x:f>
      </x:c>
      <x:c r="Z69" s="120" t="n">
        <x:f>SUM(Z66:Z68)</x:f>
      </x:c>
      <x:c r="AA69" s="120" t="n">
        <x:f>SUM(AA66:AA68)</x:f>
      </x:c>
      <x:c r="AB69" s="120" t="n">
        <x:f>SUM(AB66:AB68)</x:f>
      </x:c>
      <x:c r="AC69" s="120" t="n">
        <x:f>SUM(AC66:AC68)</x:f>
      </x:c>
      <x:c r="AD69" s="120" t="n">
        <x:f>SUM(AD66:AD68)</x:f>
      </x:c>
      <x:c r="AE69" s="120" t="n">
        <x:f>SUM(AE66:AE68)</x:f>
      </x:c>
      <x:c r="AF69" s="120" t="n">
        <x:f>SUM(AF66:AF68)</x:f>
      </x:c>
      <x:c r="AG69" s="120" t="n">
        <x:f>SUM(AG66:AG68)</x:f>
      </x:c>
      <x:c r="AH69" s="120" t="n">
        <x:f>SUM(AH66:AH68)</x:f>
      </x:c>
      <x:c r="AI69" s="120" t="n">
        <x:f>SUM(AI66:AI68)</x:f>
      </x:c>
      <x:c r="AJ69" s="120" t="n">
        <x:f>SUM(AJ66:AJ68)</x:f>
      </x:c>
      <x:c r="AK69" s="120" t="n">
        <x:f>SUM(AK66:AK68)</x:f>
      </x:c>
      <x:c r="AL69" s="120" t="n">
        <x:f>SUM(AL66:AL68)</x:f>
      </x:c>
      <x:c r="AM69" s="120" t="n">
        <x:f>SUM(AM66:AM68)</x:f>
      </x:c>
      <x:c r="AN69" s="120" t="n">
        <x:f>SUM(AN66:AN68)</x:f>
      </x:c>
      <x:c r="AO69" s="120" t="n">
        <x:f>SUM(AO66:AO68)</x:f>
      </x:c>
      <x:c r="AP69" s="120" t="n">
        <x:f>SUM(AP66:AP68)</x:f>
      </x:c>
      <x:c r="AQ69" s="120" t="n">
        <x:f>SUM(AQ66:AQ68)</x:f>
      </x:c>
      <x:c r="AR69" s="120" t="n">
        <x:f>SUM(AR66:AR68)</x:f>
      </x:c>
      <x:c r="AS69" s="120" t="n">
        <x:f>SUM(AS66:AS68)</x:f>
      </x:c>
      <x:c r="AT69" s="120" t="n">
        <x:f>SUM(AT66:AT68)</x:f>
      </x:c>
      <x:c r="AU69" s="120" t="n">
        <x:f>SUM(AU66:AU68)</x:f>
      </x:c>
      <x:c r="AV69" s="120" t="n">
        <x:f>SUM(AV66:AV68)</x:f>
      </x:c>
      <x:c r="AW69" s="120" t="n">
        <x:f>SUM(AW66:AW68)</x:f>
      </x:c>
      <x:c r="AX69" s="120" t="n">
        <x:f>SUM(AX66:AX68)</x:f>
      </x:c>
      <x:c r="AY69" s="120" t="n">
        <x:f>SUM(AY66:AY68)</x:f>
      </x:c>
      <x:c r="AZ69" s="120" t="n">
        <x:f>SUM(AZ66:AZ68)</x:f>
      </x:c>
      <x:c r="BA69" s="120" t="n">
        <x:f>SUM(BA66:BA68)</x:f>
      </x:c>
      <x:c r="BB69" s="120" t="n">
        <x:f>SUM(BB66:BB68)</x:f>
      </x:c>
      <x:c r="BC69" s="120" t="n">
        <x:f>SUM(BC66:BC68)</x:f>
      </x:c>
      <x:c r="BD69" s="120" t="n">
        <x:f>SUM(BD66:BD68)</x:f>
      </x:c>
      <x:c r="BE69" s="120" t="n">
        <x:f>SUM(BE66:BE68)</x:f>
      </x:c>
      <x:c r="BF69" s="120" t="n">
        <x:f>SUM(BF66:BF68)</x:f>
      </x:c>
      <x:c r="BG69" s="120" t="n">
        <x:f>SUM(BG66:BG68)</x:f>
      </x:c>
      <x:c r="BH69" s="120" t="n">
        <x:f>SUM(BH66:BH68)</x:f>
      </x:c>
      <x:c r="BI69" s="120" t="n">
        <x:f>SUM(BI66:BI68)</x:f>
      </x:c>
      <x:c r="BJ69" s="120" t="n">
        <x:f>SUM(BJ66:BJ68)</x:f>
      </x:c>
      <x:c r="BK69" s="120" t="n">
        <x:f>SUM(BK66:BK68)</x:f>
      </x:c>
      <x:c r="BL69" s="120" t="n">
        <x:f>SUM(BL66:BL68)</x:f>
      </x:c>
      <x:c r="BM69" s="120" t="n">
        <x:f>SUM(BM66:BM68)</x:f>
      </x:c>
      <x:c r="BN69" s="120" t="n">
        <x:f>SUM(BN66:BN68)</x:f>
      </x:c>
      <x:c r="BO69" s="120" t="n">
        <x:f>SUM(BO66:BO68)</x:f>
      </x:c>
      <x:c r="BP69" s="120" t="n">
        <x:f>SUM(BP66:BP68)</x:f>
      </x:c>
      <x:c r="BQ69" s="120" t="n">
        <x:f>SUM(BQ66:BQ68)</x:f>
      </x:c>
      <x:c r="BR69" s="120" t="n">
        <x:f>SUM(BR66:BR68)</x:f>
      </x:c>
      <x:c r="BS69" s="120" t="n">
        <x:f>SUM(BS66:BS68)</x:f>
      </x:c>
      <x:c r="BT69" s="120" t="n">
        <x:f>SUM(BT66:BT68)</x:f>
      </x:c>
      <x:c r="BU69" s="120" t="n">
        <x:f>SUM(BU66:BU68)</x:f>
      </x:c>
      <x:c r="BV69" s="120" t="n">
        <x:f>SUM(BV66:BV68)</x:f>
      </x:c>
      <x:c r="BW69" s="120" t="n">
        <x:f>SUM(BW66:BW68)</x:f>
      </x:c>
      <x:c r="BX69" s="120" t="n">
        <x:f>SUM(BX66:BX68)</x:f>
      </x:c>
      <x:c r="BY69" s="120" t="n">
        <x:f>SUM(BY66:BY68)</x:f>
      </x:c>
      <x:c r="BZ69" s="120" t="n">
        <x:f>SUM(BZ66:BZ68)</x:f>
      </x:c>
      <x:c r="CA69" s="120" t="n">
        <x:f>SUM(CA66:CA68)</x:f>
      </x:c>
      <x:c r="CB69" s="120" t="n">
        <x:f>SUM(CB66:CB68)</x:f>
      </x:c>
      <x:c r="CC69" s="120" t="n">
        <x:f>SUM(CC66:CC68)</x:f>
      </x:c>
      <x:c r="CD69" s="120" t="n">
        <x:f>SUM(CD66:CD68)</x:f>
      </x:c>
      <x:c r="CE69" s="120" t="n">
        <x:f>SUM(CE66:CE68)</x:f>
      </x:c>
      <x:c r="CF69" s="120" t="n">
        <x:f>SUM(CF66:CF68)</x:f>
      </x:c>
      <x:c r="CG69" s="120" t="n">
        <x:f>SUM(CG66:CG68)</x:f>
      </x:c>
      <x:c r="CH69" s="120" t="n">
        <x:f>SUM(CH66:CH68)</x:f>
      </x:c>
      <x:c r="CI69" s="120" t="n">
        <x:f>SUM(CI66:CI68)</x:f>
      </x:c>
      <x:c r="CJ69" s="120" t="n">
        <x:f>SUM(CJ66:CJ68)</x:f>
      </x:c>
      <x:c r="CK69" s="120" t="n">
        <x:f>SUM(CK66:CK68)</x:f>
      </x:c>
      <x:c r="CL69" s="120" t="n">
        <x:f>SUM(CL66:CL68)</x:f>
      </x:c>
      <x:c r="CM69" s="120" t="n">
        <x:f>SUM(CM66:CM68)</x:f>
      </x:c>
      <x:c r="CN69" s="120" t="n">
        <x:f>SUM(CN66:CN68)</x:f>
      </x:c>
      <x:c r="CO69" s="120" t="n">
        <x:f>SUM(CO66:CO68)</x:f>
      </x:c>
      <x:c r="CP69" s="120" t="n">
        <x:f>SUM(CP66:CP68)</x:f>
      </x:c>
      <x:c r="CQ69" s="120" t="n">
        <x:f>SUM(CQ66:CQ68)</x:f>
      </x:c>
      <x:c r="CR69" s="120" t="n">
        <x:f>SUM(CR66:CR68)</x:f>
      </x:c>
      <x:c r="CS69" s="120" t="n">
        <x:f>SUM(CS66:CS68)</x:f>
      </x:c>
      <x:c r="CT69" s="120" t="n">
        <x:f>SUM(CT66:CT68)</x:f>
      </x:c>
      <x:c r="CU69" s="120" t="n">
        <x:f>SUM(CU66:CU68)</x:f>
      </x:c>
      <x:c r="CV69" s="120" t="n">
        <x:f>SUM(CV66:CV68)</x:f>
      </x:c>
      <x:c r="CW69" s="120" t="n">
        <x:f>SUM(CW66:CW68)</x:f>
      </x:c>
      <x:c r="CX69" s="120" t="n">
        <x:f>SUM(CX66:CX68)</x:f>
      </x:c>
      <x:c r="CY69" s="120" t="n">
        <x:f>SUM(CY66:CY68)</x:f>
      </x:c>
      <x:c r="CZ69" s="120" t="n">
        <x:f>SUM(CZ66:CZ68)</x:f>
      </x:c>
      <x:c r="DA69" s="120" t="n">
        <x:f>SUM(DA66:DA68)</x:f>
      </x:c>
      <x:c r="DB69" s="120" t="n">
        <x:f>SUM(DB66:DB68)</x:f>
      </x:c>
      <x:c r="DC69" s="120" t="n">
        <x:f>SUM(DC66:DC68)</x:f>
      </x:c>
      <x:c r="DD69" s="120" t="n">
        <x:f>SUM(DD66:DD68)</x:f>
      </x:c>
      <x:c r="DE69" s="120" t="n">
        <x:f>SUM(DE66:DE68)</x:f>
      </x:c>
      <x:c r="DF69" s="120" t="n">
        <x:f>SUM(DF66:DF68)</x:f>
      </x:c>
      <x:c r="DG69" s="120" t="n">
        <x:f>SUM(DG66:DG68)</x:f>
      </x:c>
      <x:c r="DH69" s="120" t="n">
        <x:f>SUM(DH66:DH68)</x:f>
      </x:c>
      <x:c r="DI69" s="120" t="n">
        <x:f>SUM(DI66:DI68)</x:f>
      </x:c>
      <x:c r="DJ69" s="120" t="n">
        <x:f>SUM(DJ66:DJ68)</x:f>
      </x:c>
      <x:c r="DK69" s="120" t="n">
        <x:f>SUM(DK66:DK68)</x:f>
      </x:c>
      <x:c r="DL69" s="120" t="n">
        <x:f>SUM(DL66:DL68)</x:f>
      </x:c>
      <x:c r="DM69" s="120" t="n">
        <x:f>SUM(DM66:DM68)</x:f>
      </x:c>
      <x:c r="DN69" s="120" t="n">
        <x:f>SUM(DN66:DN68)</x:f>
      </x:c>
      <x:c r="DO69" s="120" t="n">
        <x:f>SUM(DO66:DO68)</x:f>
      </x:c>
      <x:c r="DP69" s="120" t="n">
        <x:f>SUM(DP66:DP68)</x:f>
      </x:c>
      <x:c r="DQ69" s="120" t="n">
        <x:f>SUM(DQ66:DQ68)</x:f>
      </x:c>
      <x:c r="DR69" s="120" t="n">
        <x:f>SUM(DR66:DR68)</x:f>
      </x:c>
      <x:c r="DS69" s="120" t="n">
        <x:f>SUM(DS66:DS68)</x:f>
      </x:c>
      <x:c r="DT69" s="120" t="n">
        <x:f>SUM(DT66:DT68)</x:f>
      </x:c>
      <x:c r="DU69" s="120" t="n">
        <x:f>SUM(DU66:DU68)</x:f>
      </x:c>
      <x:c r="DV69" s="120" t="n">
        <x:f>SUM(DV66:DV68)</x:f>
      </x:c>
      <x:c r="DW69" s="120" t="n">
        <x:f>SUM(DW66:DW68)</x:f>
      </x:c>
      <x:c r="DX69" s="120" t="n">
        <x:f>SUM(DX66:DX68)</x:f>
      </x:c>
      <x:c r="DY69" s="120" t="n">
        <x:f>SUM(DY66:DY68)</x:f>
      </x:c>
      <x:c r="DZ69" s="120" t="n">
        <x:f>SUM(DZ66:DZ68)</x:f>
      </x:c>
      <x:c r="EA69" s="120" t="n">
        <x:f>SUM(EA66:EA68)</x:f>
      </x:c>
      <x:c r="EB69" s="120" t="n">
        <x:f>SUM(EB66:EB68)</x:f>
      </x:c>
      <x:c r="EC69" s="120" t="n">
        <x:f>SUM(EC66:EC68)</x:f>
      </x:c>
      <x:c r="ED69" s="120" t="n">
        <x:f>SUM(ED66:ED68)</x:f>
      </x:c>
      <x:c r="EE69" s="120" t="n">
        <x:f>SUM(EE66:EE68)</x:f>
      </x:c>
      <x:c r="EF69" s="120" t="n">
        <x:f>SUM(EF66:EF68)</x:f>
      </x:c>
      <x:c r="EG69" s="120" t="n">
        <x:f>SUM(EG66:EG68)</x:f>
      </x:c>
      <x:c r="EH69" s="120" t="n">
        <x:f>SUM(EH66:EH68)</x:f>
      </x:c>
      <x:c r="EI69" s="120" t="n">
        <x:f>SUM(EI66:EI68)</x:f>
      </x:c>
      <x:c r="EJ69" s="120" t="n">
        <x:f>SUM(EJ66:EJ68)</x:f>
      </x:c>
      <x:c r="EK69" s="120" t="n">
        <x:f>SUM(EK66:EK68)</x:f>
      </x:c>
      <x:c r="EL69" s="120" t="n">
        <x:f>SUM(EL66:EL68)</x:f>
      </x:c>
      <x:c r="EM69" s="120" t="n">
        <x:f>SUM(EM66:EM68)</x:f>
      </x:c>
      <x:c r="EN69" s="120" t="n">
        <x:f>SUM(EN66:EN68)</x:f>
      </x:c>
      <x:c r="EO69" s="120" t="n">
        <x:f>SUM(EO66:EO68)</x:f>
      </x:c>
      <x:c r="EP69" s="120" t="n">
        <x:f>SUM(EP66:EP68)</x:f>
      </x:c>
      <x:c r="EQ69" s="120" t="n">
        <x:f>SUM(EQ66:EQ68)</x:f>
      </x:c>
      <x:c r="ER69" s="120" t="n">
        <x:f>SUM(ER66:ER68)</x:f>
      </x:c>
      <x:c r="ES69" s="120" t="n">
        <x:f>SUM(ES66:ES68)</x:f>
      </x:c>
      <x:c r="ET69" s="120" t="n">
        <x:f>SUM(ET66:ET68)</x:f>
      </x:c>
      <x:c r="EU69" s="120" t="n">
        <x:f>SUM(EU66:EU68)</x:f>
      </x:c>
      <x:c r="EV69" s="120" t="n">
        <x:f>SUM(EV66:EV68)</x:f>
      </x:c>
      <x:c r="EW69" s="120" t="n">
        <x:f>SUM(EW66:EW68)</x:f>
      </x:c>
      <x:c r="EX69" s="120" t="n">
        <x:f>SUM(EX66:EX68)</x:f>
      </x:c>
      <x:c r="EY69" s="120" t="n">
        <x:f>SUM(EY66:EY68)</x:f>
      </x:c>
      <x:c r="EZ69" s="120" t="n">
        <x:f>SUM(EZ66:EZ68)</x:f>
      </x:c>
      <x:c r="FA69" s="120" t="n">
        <x:f>SUM(FA66:FA68)</x:f>
      </x:c>
      <x:c r="FB69" s="120" t="n">
        <x:f>SUM(FB66:FB68)</x:f>
      </x:c>
      <x:c r="FC69" s="120" t="n">
        <x:f>SUM(FC66:FC68)</x:f>
      </x:c>
      <x:c r="FD69" s="120" t="n">
        <x:f>SUM(FD66:FD68)</x:f>
      </x:c>
      <x:c r="FE69" s="120" t="n">
        <x:f>SUM(FE66:FE68)</x:f>
      </x:c>
      <x:c r="FF69" s="120" t="n">
        <x:f>SUM(FF66:FF68)</x:f>
      </x:c>
      <x:c r="FG69" s="120" t="n">
        <x:f>SUM(FG66:FG68)</x:f>
      </x:c>
      <x:c r="FH69" s="120" t="n">
        <x:f>SUM(FH66:FH68)</x:f>
      </x:c>
      <x:c r="FI69" s="120" t="n">
        <x:f>SUM(FI66:FI68)</x:f>
      </x:c>
      <x:c r="FJ69" s="120" t="n">
        <x:f>SUM(FJ66:FJ68)</x:f>
      </x:c>
      <x:c r="FK69" s="120" t="n">
        <x:f>SUM(FK66:FK68)</x:f>
      </x:c>
      <x:c r="FL69" s="120" t="n">
        <x:f>SUM(FL66:FL68)</x:f>
      </x:c>
      <x:c r="FM69" s="120" t="n">
        <x:f>SUM(FM66:FM68)</x:f>
      </x:c>
      <x:c r="FN69" s="120" t="n">
        <x:f>SUM(FN66:FN68)</x:f>
      </x:c>
      <x:c r="FO69" s="120" t="n">
        <x:f>SUM(FO66:FO68)</x:f>
      </x:c>
      <x:c r="FP69" s="120" t="n">
        <x:f>SUM(FP66:FP68)</x:f>
      </x:c>
      <x:c r="FQ69" s="120" t="n">
        <x:f>SUM(FQ66:FQ68)</x:f>
      </x:c>
      <x:c r="FR69" s="120" t="n">
        <x:f>SUM(FR66:FR68)</x:f>
      </x:c>
      <x:c r="FS69" s="120" t="n">
        <x:f>SUM(FS66:FS68)</x:f>
      </x:c>
      <x:c r="FT69" s="120" t="n">
        <x:f>SUM(FT66:FT68)</x:f>
      </x:c>
      <x:c r="FU69" s="120" t="n">
        <x:f>SUM(FU66:FU68)</x:f>
      </x:c>
      <x:c r="FV69" s="120" t="n">
        <x:f>SUM(FV66:FV68)</x:f>
      </x:c>
      <x:c r="FW69" s="120" t="n">
        <x:f>SUM(FW66:FW68)</x:f>
      </x:c>
      <x:c r="FX69" s="120" t="n">
        <x:f>SUM(FX66:FX68)</x:f>
      </x:c>
      <x:c r="FY69" s="120" t="n">
        <x:f>SUM(FY66:FY68)</x:f>
      </x:c>
      <x:c r="FZ69" s="120" t="n">
        <x:f>SUM(FZ66:FZ68)</x:f>
      </x:c>
      <x:c r="GA69" s="120" t="n">
        <x:f>SUM(GA66:GA68)</x:f>
      </x:c>
    </x:row>
    <x:row r="74" ht="21" customHeight="1">
      <x:c r="A74" s="52" t="str">
        <x:v>ОЧЕРЕДЬ 3</x:v>
      </x:c>
      <x:c r="B74" s="53" t="str">
        <x:v>ОЧЕРЕДЬ 3</x:v>
      </x:c>
      <x:c r="C74" s="53" t="str">
        <x:v>ОЧЕРЕДЬ 3</x:v>
      </x:c>
      <x:c r="D74" s="53" t="str">
        <x:v>ОЧЕРЕДЬ 3</x:v>
      </x:c>
      <x:c r="E74" s="53" t="str">
        <x:v>ОЧЕРЕДЬ 3</x:v>
      </x:c>
      <x:c r="F74" s="53" t="str">
        <x:v>ОЧЕРЕДЬ 3</x:v>
      </x:c>
      <x:c r="G74" s="53" t="str">
        <x:v>ОЧЕРЕДЬ 3</x:v>
      </x:c>
      <x:c r="H74" s="53" t="str">
        <x:v>ОЧЕРЕДЬ 3</x:v>
      </x:c>
      <x:c r="I74" s="53" t="str">
        <x:v>ОЧЕРЕДЬ 3</x:v>
      </x:c>
      <x:c r="J74" s="53" t="str">
        <x:v>ОЧЕРЕДЬ 3</x:v>
      </x:c>
      <x:c r="K74" s="53" t="str">
        <x:v>ОЧЕРЕДЬ 3</x:v>
      </x:c>
      <x:c r="L74" s="53" t="str">
        <x:v>ОЧЕРЕДЬ 3</x:v>
      </x:c>
      <x:c r="M74" s="53" t="str">
        <x:v>ОЧЕРЕДЬ 3</x:v>
      </x:c>
      <x:c r="N74" s="53" t="str">
        <x:v>ОЧЕРЕДЬ 3</x:v>
      </x:c>
      <x:c r="O74" s="53" t="str">
        <x:v>ОЧЕРЕДЬ 3</x:v>
      </x:c>
      <x:c r="P74" s="53" t="str">
        <x:v>ОЧЕРЕДЬ 3</x:v>
      </x:c>
      <x:c r="Q74" s="53" t="str">
        <x:v>ОЧЕРЕДЬ 3</x:v>
      </x:c>
      <x:c r="R74" s="53" t="str">
        <x:v>ОЧЕРЕДЬ 3</x:v>
      </x:c>
      <x:c r="S74" s="53" t="str">
        <x:v>ОЧЕРЕДЬ 3</x:v>
      </x:c>
      <x:c r="T74" s="53" t="str">
        <x:v>ОЧЕРЕДЬ 3</x:v>
      </x:c>
      <x:c r="U74" s="53" t="str">
        <x:v>ОЧЕРЕДЬ 3</x:v>
      </x:c>
      <x:c r="V74" s="53" t="str">
        <x:v>ОЧЕРЕДЬ 3</x:v>
      </x:c>
      <x:c r="W74" s="53" t="str">
        <x:v>ОЧЕРЕДЬ 3</x:v>
      </x:c>
      <x:c r="X74" s="53" t="str">
        <x:v>ОЧЕРЕДЬ 3</x:v>
      </x:c>
      <x:c r="Y74" s="53" t="str">
        <x:v>ОЧЕРЕДЬ 3</x:v>
      </x:c>
      <x:c r="Z74" s="53" t="str">
        <x:v>ОЧЕРЕДЬ 3</x:v>
      </x:c>
      <x:c r="AA74" s="53" t="str">
        <x:v>ОЧЕРЕДЬ 3</x:v>
      </x:c>
      <x:c r="AB74" s="53" t="str">
        <x:v>ОЧЕРЕДЬ 3</x:v>
      </x:c>
      <x:c r="AC74" s="53" t="str">
        <x:v>ОЧЕРЕДЬ 3</x:v>
      </x:c>
      <x:c r="AD74" s="53" t="str">
        <x:v>ОЧЕРЕДЬ 3</x:v>
      </x:c>
      <x:c r="AE74" s="53" t="str">
        <x:v>ОЧЕРЕДЬ 3</x:v>
      </x:c>
      <x:c r="AF74" s="53" t="str">
        <x:v>ОЧЕРЕДЬ 3</x:v>
      </x:c>
      <x:c r="AG74" s="53" t="str">
        <x:v>ОЧЕРЕДЬ 3</x:v>
      </x:c>
      <x:c r="AH74" s="53" t="str">
        <x:v>ОЧЕРЕДЬ 3</x:v>
      </x:c>
      <x:c r="AI74" s="53" t="str">
        <x:v>ОЧЕРЕДЬ 3</x:v>
      </x:c>
      <x:c r="AJ74" s="53" t="str">
        <x:v>ОЧЕРЕДЬ 3</x:v>
      </x:c>
      <x:c r="AK74" s="53" t="str">
        <x:v>ОЧЕРЕДЬ 3</x:v>
      </x:c>
      <x:c r="AL74" s="53" t="str">
        <x:v>ОЧЕРЕДЬ 3</x:v>
      </x:c>
      <x:c r="AM74" s="53" t="str">
        <x:v>ОЧЕРЕДЬ 3</x:v>
      </x:c>
      <x:c r="AN74" s="53" t="str">
        <x:v>ОЧЕРЕДЬ 3</x:v>
      </x:c>
      <x:c r="AO74" s="53" t="str">
        <x:v>ОЧЕРЕДЬ 3</x:v>
      </x:c>
      <x:c r="AP74" s="53" t="str">
        <x:v>ОЧЕРЕДЬ 3</x:v>
      </x:c>
      <x:c r="AQ74" s="53" t="str">
        <x:v>ОЧЕРЕДЬ 3</x:v>
      </x:c>
      <x:c r="AR74" s="53" t="str">
        <x:v>ОЧЕРЕДЬ 3</x:v>
      </x:c>
      <x:c r="AS74" s="53" t="str">
        <x:v>ОЧЕРЕДЬ 3</x:v>
      </x:c>
      <x:c r="AT74" s="53" t="str">
        <x:v>ОЧЕРЕДЬ 3</x:v>
      </x:c>
      <x:c r="AU74" s="53" t="str">
        <x:v>ОЧЕРЕДЬ 3</x:v>
      </x:c>
      <x:c r="AV74" s="53" t="str">
        <x:v>ОЧЕРЕДЬ 3</x:v>
      </x:c>
      <x:c r="AW74" s="53" t="str">
        <x:v>ОЧЕРЕДЬ 3</x:v>
      </x:c>
      <x:c r="AX74" s="53" t="str">
        <x:v>ОЧЕРЕДЬ 3</x:v>
      </x:c>
      <x:c r="AY74" s="53" t="str">
        <x:v>ОЧЕРЕДЬ 3</x:v>
      </x:c>
      <x:c r="AZ74" s="53" t="str">
        <x:v>ОЧЕРЕДЬ 3</x:v>
      </x:c>
      <x:c r="BA74" s="53" t="str">
        <x:v>ОЧЕРЕДЬ 3</x:v>
      </x:c>
      <x:c r="BB74" s="53" t="str">
        <x:v>ОЧЕРЕДЬ 3</x:v>
      </x:c>
      <x:c r="BC74" s="53" t="str">
        <x:v>ОЧЕРЕДЬ 3</x:v>
      </x:c>
      <x:c r="BD74" s="53" t="str">
        <x:v>ОЧЕРЕДЬ 3</x:v>
      </x:c>
      <x:c r="BE74" s="53" t="str">
        <x:v>ОЧЕРЕДЬ 3</x:v>
      </x:c>
      <x:c r="BF74" s="53" t="str">
        <x:v>ОЧЕРЕДЬ 3</x:v>
      </x:c>
      <x:c r="BG74" s="53" t="str">
        <x:v>ОЧЕРЕДЬ 3</x:v>
      </x:c>
      <x:c r="BH74" s="53" t="str">
        <x:v>ОЧЕРЕДЬ 3</x:v>
      </x:c>
      <x:c r="BI74" s="53" t="str">
        <x:v>ОЧЕРЕДЬ 3</x:v>
      </x:c>
      <x:c r="BJ74" s="53" t="str">
        <x:v>ОЧЕРЕДЬ 3</x:v>
      </x:c>
      <x:c r="BK74" s="53" t="str">
        <x:v>ОЧЕРЕДЬ 3</x:v>
      </x:c>
      <x:c r="BL74" s="53" t="str">
        <x:v>ОЧЕРЕДЬ 3</x:v>
      </x:c>
      <x:c r="BM74" s="53" t="str">
        <x:v>ОЧЕРЕДЬ 3</x:v>
      </x:c>
      <x:c r="BN74" s="53" t="str">
        <x:v>ОЧЕРЕДЬ 3</x:v>
      </x:c>
      <x:c r="BO74" s="53" t="str">
        <x:v>ОЧЕРЕДЬ 3</x:v>
      </x:c>
      <x:c r="BP74" s="53" t="str">
        <x:v>ОЧЕРЕДЬ 3</x:v>
      </x:c>
      <x:c r="BQ74" s="53" t="str">
        <x:v>ОЧЕРЕДЬ 3</x:v>
      </x:c>
      <x:c r="BR74" s="53" t="str">
        <x:v>ОЧЕРЕДЬ 3</x:v>
      </x:c>
      <x:c r="BS74" s="53" t="str">
        <x:v>ОЧЕРЕДЬ 3</x:v>
      </x:c>
      <x:c r="BT74" s="53" t="str">
        <x:v>ОЧЕРЕДЬ 3</x:v>
      </x:c>
      <x:c r="BU74" s="53" t="str">
        <x:v>ОЧЕРЕДЬ 3</x:v>
      </x:c>
      <x:c r="BV74" s="53" t="str">
        <x:v>ОЧЕРЕДЬ 3</x:v>
      </x:c>
      <x:c r="BW74" s="53" t="str">
        <x:v>ОЧЕРЕДЬ 3</x:v>
      </x:c>
      <x:c r="BX74" s="53" t="str">
        <x:v>ОЧЕРЕДЬ 3</x:v>
      </x:c>
      <x:c r="BY74" s="53" t="str">
        <x:v>ОЧЕРЕДЬ 3</x:v>
      </x:c>
      <x:c r="BZ74" s="53" t="str">
        <x:v>ОЧЕРЕДЬ 3</x:v>
      </x:c>
      <x:c r="CA74" s="53" t="str">
        <x:v>ОЧЕРЕДЬ 3</x:v>
      </x:c>
      <x:c r="CB74" s="53" t="str">
        <x:v>ОЧЕРЕДЬ 3</x:v>
      </x:c>
      <x:c r="CC74" s="53" t="str">
        <x:v>ОЧЕРЕДЬ 3</x:v>
      </x:c>
      <x:c r="CD74" s="53" t="str">
        <x:v>ОЧЕРЕДЬ 3</x:v>
      </x:c>
      <x:c r="CE74" s="53" t="str">
        <x:v>ОЧЕРЕДЬ 3</x:v>
      </x:c>
      <x:c r="CF74" s="53" t="str">
        <x:v>ОЧЕРЕДЬ 3</x:v>
      </x:c>
      <x:c r="CG74" s="53" t="str">
        <x:v>ОЧЕРЕДЬ 3</x:v>
      </x:c>
      <x:c r="CH74" s="53" t="str">
        <x:v>ОЧЕРЕДЬ 3</x:v>
      </x:c>
      <x:c r="CI74" s="53" t="str">
        <x:v>ОЧЕРЕДЬ 3</x:v>
      </x:c>
      <x:c r="CJ74" s="53" t="str">
        <x:v>ОЧЕРЕДЬ 3</x:v>
      </x:c>
      <x:c r="CK74" s="53" t="str">
        <x:v>ОЧЕРЕДЬ 3</x:v>
      </x:c>
      <x:c r="CL74" s="53" t="str">
        <x:v>ОЧЕРЕДЬ 3</x:v>
      </x:c>
      <x:c r="CM74" s="53" t="str">
        <x:v>ОЧЕРЕДЬ 3</x:v>
      </x:c>
      <x:c r="CN74" s="53" t="str">
        <x:v>ОЧЕРЕДЬ 3</x:v>
      </x:c>
      <x:c r="CO74" s="53" t="str">
        <x:v>ОЧЕРЕДЬ 3</x:v>
      </x:c>
      <x:c r="CP74" s="53" t="str">
        <x:v>ОЧЕРЕДЬ 3</x:v>
      </x:c>
      <x:c r="CQ74" s="53" t="str">
        <x:v>ОЧЕРЕДЬ 3</x:v>
      </x:c>
      <x:c r="CR74" s="53" t="str">
        <x:v>ОЧЕРЕДЬ 3</x:v>
      </x:c>
      <x:c r="CS74" s="53" t="str">
        <x:v>ОЧЕРЕДЬ 3</x:v>
      </x:c>
      <x:c r="CT74" s="53" t="str">
        <x:v>ОЧЕРЕДЬ 3</x:v>
      </x:c>
      <x:c r="CU74" s="53" t="str">
        <x:v>ОЧЕРЕДЬ 3</x:v>
      </x:c>
      <x:c r="CV74" s="53" t="str">
        <x:v>ОЧЕРЕДЬ 3</x:v>
      </x:c>
      <x:c r="CW74" s="53" t="str">
        <x:v>ОЧЕРЕДЬ 3</x:v>
      </x:c>
      <x:c r="CX74" s="53" t="str">
        <x:v>ОЧЕРЕДЬ 3</x:v>
      </x:c>
      <x:c r="CY74" s="53" t="str">
        <x:v>ОЧЕРЕДЬ 3</x:v>
      </x:c>
      <x:c r="CZ74" s="53" t="str">
        <x:v>ОЧЕРЕДЬ 3</x:v>
      </x:c>
      <x:c r="DA74" s="53" t="str">
        <x:v>ОЧЕРЕДЬ 3</x:v>
      </x:c>
      <x:c r="DB74" s="53" t="str">
        <x:v>ОЧЕРЕДЬ 3</x:v>
      </x:c>
      <x:c r="DC74" s="53" t="str">
        <x:v>ОЧЕРЕДЬ 3</x:v>
      </x:c>
      <x:c r="DD74" s="53" t="str">
        <x:v>ОЧЕРЕДЬ 3</x:v>
      </x:c>
      <x:c r="DE74" s="53" t="str">
        <x:v>ОЧЕРЕДЬ 3</x:v>
      </x:c>
      <x:c r="DF74" s="53" t="str">
        <x:v>ОЧЕРЕДЬ 3</x:v>
      </x:c>
      <x:c r="DG74" s="53" t="str">
        <x:v>ОЧЕРЕДЬ 3</x:v>
      </x:c>
      <x:c r="DH74" s="53" t="str">
        <x:v>ОЧЕРЕДЬ 3</x:v>
      </x:c>
      <x:c r="DI74" s="53" t="str">
        <x:v>ОЧЕРЕДЬ 3</x:v>
      </x:c>
      <x:c r="DJ74" s="53" t="str">
        <x:v>ОЧЕРЕДЬ 3</x:v>
      </x:c>
      <x:c r="DK74" s="53" t="str">
        <x:v>ОЧЕРЕДЬ 3</x:v>
      </x:c>
      <x:c r="DL74" s="53" t="str">
        <x:v>ОЧЕРЕДЬ 3</x:v>
      </x:c>
      <x:c r="DM74" s="53" t="str">
        <x:v>ОЧЕРЕДЬ 3</x:v>
      </x:c>
      <x:c r="DN74" s="53" t="str">
        <x:v>ОЧЕРЕДЬ 3</x:v>
      </x:c>
      <x:c r="DO74" s="53" t="str">
        <x:v>ОЧЕРЕДЬ 3</x:v>
      </x:c>
      <x:c r="DP74" s="53" t="str">
        <x:v>ОЧЕРЕДЬ 3</x:v>
      </x:c>
      <x:c r="DQ74" s="53" t="str">
        <x:v>ОЧЕРЕДЬ 3</x:v>
      </x:c>
      <x:c r="DR74" s="53" t="str">
        <x:v>ОЧЕРЕДЬ 3</x:v>
      </x:c>
      <x:c r="DS74" s="54" t="str">
        <x:v>ОЧЕРЕДЬ 3</x:v>
      </x:c>
      <x:c r="DT74" s="54" t="str"/>
      <x:c r="DU74" s="54" t="str"/>
      <x:c r="DV74" s="54" t="str"/>
      <x:c r="DW74" s="54" t="str"/>
      <x:c r="DX74" s="54" t="str"/>
      <x:c r="DY74" s="54" t="str"/>
      <x:c r="DZ74" s="54" t="str"/>
      <x:c r="EA74" s="54" t="str"/>
      <x:c r="EB74" s="54" t="str"/>
      <x:c r="EC74" s="54" t="str"/>
      <x:c r="ED74" s="54" t="str"/>
      <x:c r="EE74" s="54" t="str"/>
      <x:c r="EF74" s="54" t="str"/>
      <x:c r="EG74" s="54" t="str"/>
      <x:c r="EH74" s="54" t="str"/>
      <x:c r="EI74" s="54" t="str"/>
      <x:c r="EJ74" s="54" t="str"/>
      <x:c r="EK74" s="54" t="str"/>
      <x:c r="EL74" s="54" t="str"/>
      <x:c r="EM74" s="54" t="str"/>
      <x:c r="EN74" s="54" t="str"/>
      <x:c r="EO74" s="54" t="str"/>
      <x:c r="EP74" s="54" t="str"/>
      <x:c r="EQ74" s="54" t="str"/>
      <x:c r="ER74" s="54" t="str"/>
      <x:c r="ES74" s="54" t="str"/>
      <x:c r="ET74" s="54" t="str"/>
      <x:c r="EU74" s="54" t="str"/>
      <x:c r="EV74" s="54" t="str"/>
      <x:c r="EW74" s="54" t="str"/>
      <x:c r="EX74" s="54" t="str"/>
      <x:c r="EY74" s="54" t="str"/>
      <x:c r="EZ74" s="54" t="str"/>
      <x:c r="FA74" s="54" t="str"/>
      <x:c r="FB74" s="54" t="str"/>
      <x:c r="FC74" s="54" t="str"/>
      <x:c r="FD74" s="54" t="str"/>
      <x:c r="FE74" s="54" t="str"/>
      <x:c r="FF74" s="54" t="str"/>
      <x:c r="FG74" s="54" t="str"/>
      <x:c r="FH74" s="54" t="str"/>
      <x:c r="FI74" s="54" t="str"/>
      <x:c r="FJ74" s="54" t="str"/>
      <x:c r="FK74" s="54" t="str"/>
      <x:c r="FL74" s="54" t="str"/>
      <x:c r="FM74" s="54" t="str"/>
      <x:c r="FN74" s="54" t="str"/>
      <x:c r="FO74" s="54" t="str"/>
      <x:c r="FP74" s="54" t="str"/>
      <x:c r="FQ74" s="54" t="str"/>
      <x:c r="FR74" s="54" t="str"/>
      <x:c r="FS74" s="54" t="str"/>
      <x:c r="FT74" s="54" t="str"/>
      <x:c r="FU74" s="54" t="str"/>
      <x:c r="FV74" s="54" t="str"/>
      <x:c r="FW74" s="54" t="str"/>
      <x:c r="FX74" s="54" t="str"/>
      <x:c r="FY74" s="54" t="str"/>
      <x:c r="FZ74" s="54" t="str"/>
      <x:c r="GA74" s="54" t="str"/>
    </x:row>
    <x:row r="75">
      <x:c r="A75" t="str">
        <x:v>РнС / открытие ПФ</x:v>
      </x:c>
      <x:c r="B75" s="106" t="n">
        <x:f>EDATE('Вводные'!$D$90,'Вводные'!$E$90+'Вводные'!$H$9)</x:f>
      </x:c>
      <x:c r="C75" t="str">
        <x:v>дата</x:v>
      </x:c>
    </x:row>
    <x:row r="76">
      <x:c r="A76" t="str">
        <x:v>РВЭ</x:v>
      </x:c>
      <x:c r="B76" s="106" t="n">
        <x:f>EDATE(B75,'Вводные'!$F$90)</x:f>
      </x:c>
      <x:c r="C76" t="str">
        <x:v>дата</x:v>
      </x:c>
    </x:row>
    <x:row r="77">
      <x:c r="A77" t="str">
        <x:v>Флаг проекта</x:v>
      </x:c>
      <x:c r="B77"/>
      <x:c r="C77" t="str">
        <x:v>0/1</x:v>
      </x:c>
      <x:c r="D77" t="n">
        <x:f>--AND(D$3&gt;=EDATE($B$75,-'Вводные'!$E$90),D$3&lt;$B$76,'Вводные'!$B$90="Да")</x:f>
      </x:c>
      <x:c r="E77" t="n">
        <x:f>--AND(E$3&gt;=EDATE($B$75,-'Вводные'!$E$90),E$3&lt;$B$76,'Вводные'!$B$90="Да")</x:f>
      </x:c>
      <x:c r="F77" t="n">
        <x:f>--AND(F$3&gt;=EDATE($B$75,-'Вводные'!$E$90),F$3&lt;$B$76,'Вводные'!$B$90="Да")</x:f>
      </x:c>
      <x:c r="G77" t="n">
        <x:f>--AND(G$3&gt;=EDATE($B$75,-'Вводные'!$E$90),G$3&lt;$B$76,'Вводные'!$B$90="Да")</x:f>
      </x:c>
      <x:c r="H77" t="n">
        <x:f>--AND(H$3&gt;=EDATE($B$75,-'Вводные'!$E$90),H$3&lt;$B$76,'Вводные'!$B$90="Да")</x:f>
      </x:c>
      <x:c r="I77" t="n">
        <x:f>--AND(I$3&gt;=EDATE($B$75,-'Вводные'!$E$90),I$3&lt;$B$76,'Вводные'!$B$90="Да")</x:f>
      </x:c>
      <x:c r="J77" t="n">
        <x:f>--AND(J$3&gt;=EDATE($B$75,-'Вводные'!$E$90),J$3&lt;$B$76,'Вводные'!$B$90="Да")</x:f>
      </x:c>
      <x:c r="K77" t="n">
        <x:f>--AND(K$3&gt;=EDATE($B$75,-'Вводные'!$E$90),K$3&lt;$B$76,'Вводные'!$B$90="Да")</x:f>
      </x:c>
      <x:c r="L77" t="n">
        <x:f>--AND(L$3&gt;=EDATE($B$75,-'Вводные'!$E$90),L$3&lt;$B$76,'Вводные'!$B$90="Да")</x:f>
      </x:c>
      <x:c r="M77" t="n">
        <x:f>--AND(M$3&gt;=EDATE($B$75,-'Вводные'!$E$90),M$3&lt;$B$76,'Вводные'!$B$90="Да")</x:f>
      </x:c>
      <x:c r="N77" t="n">
        <x:f>--AND(N$3&gt;=EDATE($B$75,-'Вводные'!$E$90),N$3&lt;$B$76,'Вводные'!$B$90="Да")</x:f>
      </x:c>
      <x:c r="O77" t="n">
        <x:f>--AND(O$3&gt;=EDATE($B$75,-'Вводные'!$E$90),O$3&lt;$B$76,'Вводные'!$B$90="Да")</x:f>
      </x:c>
      <x:c r="P77" t="n">
        <x:f>--AND(P$3&gt;=EDATE($B$75,-'Вводные'!$E$90),P$3&lt;$B$76,'Вводные'!$B$90="Да")</x:f>
      </x:c>
      <x:c r="Q77" t="n">
        <x:f>--AND(Q$3&gt;=EDATE($B$75,-'Вводные'!$E$90),Q$3&lt;$B$76,'Вводные'!$B$90="Да")</x:f>
      </x:c>
      <x:c r="R77" t="n">
        <x:f>--AND(R$3&gt;=EDATE($B$75,-'Вводные'!$E$90),R$3&lt;$B$76,'Вводные'!$B$90="Да")</x:f>
      </x:c>
      <x:c r="S77" t="n">
        <x:f>--AND(S$3&gt;=EDATE($B$75,-'Вводные'!$E$90),S$3&lt;$B$76,'Вводные'!$B$90="Да")</x:f>
      </x:c>
      <x:c r="T77" t="n">
        <x:f>--AND(T$3&gt;=EDATE($B$75,-'Вводные'!$E$90),T$3&lt;$B$76,'Вводные'!$B$90="Да")</x:f>
      </x:c>
      <x:c r="U77" t="n">
        <x:f>--AND(U$3&gt;=EDATE($B$75,-'Вводные'!$E$90),U$3&lt;$B$76,'Вводные'!$B$90="Да")</x:f>
      </x:c>
      <x:c r="V77" t="n">
        <x:f>--AND(V$3&gt;=EDATE($B$75,-'Вводные'!$E$90),V$3&lt;$B$76,'Вводные'!$B$90="Да")</x:f>
      </x:c>
      <x:c r="W77" t="n">
        <x:f>--AND(W$3&gt;=EDATE($B$75,-'Вводные'!$E$90),W$3&lt;$B$76,'Вводные'!$B$90="Да")</x:f>
      </x:c>
      <x:c r="X77" t="n">
        <x:f>--AND(X$3&gt;=EDATE($B$75,-'Вводные'!$E$90),X$3&lt;$B$76,'Вводные'!$B$90="Да")</x:f>
      </x:c>
      <x:c r="Y77" t="n">
        <x:f>--AND(Y$3&gt;=EDATE($B$75,-'Вводные'!$E$90),Y$3&lt;$B$76,'Вводные'!$B$90="Да")</x:f>
      </x:c>
      <x:c r="Z77" t="n">
        <x:f>--AND(Z$3&gt;=EDATE($B$75,-'Вводные'!$E$90),Z$3&lt;$B$76,'Вводные'!$B$90="Да")</x:f>
      </x:c>
      <x:c r="AA77" t="n">
        <x:f>--AND(AA$3&gt;=EDATE($B$75,-'Вводные'!$E$90),AA$3&lt;$B$76,'Вводные'!$B$90="Да")</x:f>
      </x:c>
      <x:c r="AB77" t="n">
        <x:f>--AND(AB$3&gt;=EDATE($B$75,-'Вводные'!$E$90),AB$3&lt;$B$76,'Вводные'!$B$90="Да")</x:f>
      </x:c>
      <x:c r="AC77" t="n">
        <x:f>--AND(AC$3&gt;=EDATE($B$75,-'Вводные'!$E$90),AC$3&lt;$B$76,'Вводные'!$B$90="Да")</x:f>
      </x:c>
      <x:c r="AD77" t="n">
        <x:f>--AND(AD$3&gt;=EDATE($B$75,-'Вводные'!$E$90),AD$3&lt;$B$76,'Вводные'!$B$90="Да")</x:f>
      </x:c>
      <x:c r="AE77" t="n">
        <x:f>--AND(AE$3&gt;=EDATE($B$75,-'Вводные'!$E$90),AE$3&lt;$B$76,'Вводные'!$B$90="Да")</x:f>
      </x:c>
      <x:c r="AF77" t="n">
        <x:f>--AND(AF$3&gt;=EDATE($B$75,-'Вводные'!$E$90),AF$3&lt;$B$76,'Вводные'!$B$90="Да")</x:f>
      </x:c>
      <x:c r="AG77" t="n">
        <x:f>--AND(AG$3&gt;=EDATE($B$75,-'Вводные'!$E$90),AG$3&lt;$B$76,'Вводные'!$B$90="Да")</x:f>
      </x:c>
      <x:c r="AH77" t="n">
        <x:f>--AND(AH$3&gt;=EDATE($B$75,-'Вводные'!$E$90),AH$3&lt;$B$76,'Вводные'!$B$90="Да")</x:f>
      </x:c>
      <x:c r="AI77" t="n">
        <x:f>--AND(AI$3&gt;=EDATE($B$75,-'Вводные'!$E$90),AI$3&lt;$B$76,'Вводные'!$B$90="Да")</x:f>
      </x:c>
      <x:c r="AJ77" t="n">
        <x:f>--AND(AJ$3&gt;=EDATE($B$75,-'Вводные'!$E$90),AJ$3&lt;$B$76,'Вводные'!$B$90="Да")</x:f>
      </x:c>
      <x:c r="AK77" t="n">
        <x:f>--AND(AK$3&gt;=EDATE($B$75,-'Вводные'!$E$90),AK$3&lt;$B$76,'Вводные'!$B$90="Да")</x:f>
      </x:c>
      <x:c r="AL77" t="n">
        <x:f>--AND(AL$3&gt;=EDATE($B$75,-'Вводные'!$E$90),AL$3&lt;$B$76,'Вводные'!$B$90="Да")</x:f>
      </x:c>
      <x:c r="AM77" t="n">
        <x:f>--AND(AM$3&gt;=EDATE($B$75,-'Вводные'!$E$90),AM$3&lt;$B$76,'Вводные'!$B$90="Да")</x:f>
      </x:c>
      <x:c r="AN77" t="n">
        <x:f>--AND(AN$3&gt;=EDATE($B$75,-'Вводные'!$E$90),AN$3&lt;$B$76,'Вводные'!$B$90="Да")</x:f>
      </x:c>
      <x:c r="AO77" t="n">
        <x:f>--AND(AO$3&gt;=EDATE($B$75,-'Вводные'!$E$90),AO$3&lt;$B$76,'Вводные'!$B$90="Да")</x:f>
      </x:c>
      <x:c r="AP77" t="n">
        <x:f>--AND(AP$3&gt;=EDATE($B$75,-'Вводные'!$E$90),AP$3&lt;$B$76,'Вводные'!$B$90="Да")</x:f>
      </x:c>
      <x:c r="AQ77" t="n">
        <x:f>--AND(AQ$3&gt;=EDATE($B$75,-'Вводные'!$E$90),AQ$3&lt;$B$76,'Вводные'!$B$90="Да")</x:f>
      </x:c>
      <x:c r="AR77" t="n">
        <x:f>--AND(AR$3&gt;=EDATE($B$75,-'Вводные'!$E$90),AR$3&lt;$B$76,'Вводные'!$B$90="Да")</x:f>
      </x:c>
      <x:c r="AS77" t="n">
        <x:f>--AND(AS$3&gt;=EDATE($B$75,-'Вводные'!$E$90),AS$3&lt;$B$76,'Вводные'!$B$90="Да")</x:f>
      </x:c>
      <x:c r="AT77" t="n">
        <x:f>--AND(AT$3&gt;=EDATE($B$75,-'Вводные'!$E$90),AT$3&lt;$B$76,'Вводные'!$B$90="Да")</x:f>
      </x:c>
      <x:c r="AU77" t="n">
        <x:f>--AND(AU$3&gt;=EDATE($B$75,-'Вводные'!$E$90),AU$3&lt;$B$76,'Вводные'!$B$90="Да")</x:f>
      </x:c>
      <x:c r="AV77" t="n">
        <x:f>--AND(AV$3&gt;=EDATE($B$75,-'Вводные'!$E$90),AV$3&lt;$B$76,'Вводные'!$B$90="Да")</x:f>
      </x:c>
      <x:c r="AW77" t="n">
        <x:f>--AND(AW$3&gt;=EDATE($B$75,-'Вводные'!$E$90),AW$3&lt;$B$76,'Вводные'!$B$90="Да")</x:f>
      </x:c>
      <x:c r="AX77" t="n">
        <x:f>--AND(AX$3&gt;=EDATE($B$75,-'Вводные'!$E$90),AX$3&lt;$B$76,'Вводные'!$B$90="Да")</x:f>
      </x:c>
      <x:c r="AY77" t="n">
        <x:f>--AND(AY$3&gt;=EDATE($B$75,-'Вводные'!$E$90),AY$3&lt;$B$76,'Вводные'!$B$90="Да")</x:f>
      </x:c>
      <x:c r="AZ77" t="n">
        <x:f>--AND(AZ$3&gt;=EDATE($B$75,-'Вводные'!$E$90),AZ$3&lt;$B$76,'Вводные'!$B$90="Да")</x:f>
      </x:c>
      <x:c r="BA77" t="n">
        <x:f>--AND(BA$3&gt;=EDATE($B$75,-'Вводные'!$E$90),BA$3&lt;$B$76,'Вводные'!$B$90="Да")</x:f>
      </x:c>
      <x:c r="BB77" t="n">
        <x:f>--AND(BB$3&gt;=EDATE($B$75,-'Вводные'!$E$90),BB$3&lt;$B$76,'Вводные'!$B$90="Да")</x:f>
      </x:c>
      <x:c r="BC77" t="n">
        <x:f>--AND(BC$3&gt;=EDATE($B$75,-'Вводные'!$E$90),BC$3&lt;$B$76,'Вводные'!$B$90="Да")</x:f>
      </x:c>
      <x:c r="BD77" t="n">
        <x:f>--AND(BD$3&gt;=EDATE($B$75,-'Вводные'!$E$90),BD$3&lt;$B$76,'Вводные'!$B$90="Да")</x:f>
      </x:c>
      <x:c r="BE77" t="n">
        <x:f>--AND(BE$3&gt;=EDATE($B$75,-'Вводные'!$E$90),BE$3&lt;$B$76,'Вводные'!$B$90="Да")</x:f>
      </x:c>
      <x:c r="BF77" t="n">
        <x:f>--AND(BF$3&gt;=EDATE($B$75,-'Вводные'!$E$90),BF$3&lt;$B$76,'Вводные'!$B$90="Да")</x:f>
      </x:c>
      <x:c r="BG77" t="n">
        <x:f>--AND(BG$3&gt;=EDATE($B$75,-'Вводные'!$E$90),BG$3&lt;$B$76,'Вводные'!$B$90="Да")</x:f>
      </x:c>
      <x:c r="BH77" t="n">
        <x:f>--AND(BH$3&gt;=EDATE($B$75,-'Вводные'!$E$90),BH$3&lt;$B$76,'Вводные'!$B$90="Да")</x:f>
      </x:c>
      <x:c r="BI77" t="n">
        <x:f>--AND(BI$3&gt;=EDATE($B$75,-'Вводные'!$E$90),BI$3&lt;$B$76,'Вводные'!$B$90="Да")</x:f>
      </x:c>
      <x:c r="BJ77" t="n">
        <x:f>--AND(BJ$3&gt;=EDATE($B$75,-'Вводные'!$E$90),BJ$3&lt;$B$76,'Вводные'!$B$90="Да")</x:f>
      </x:c>
      <x:c r="BK77" t="n">
        <x:f>--AND(BK$3&gt;=EDATE($B$75,-'Вводные'!$E$90),BK$3&lt;$B$76,'Вводные'!$B$90="Да")</x:f>
      </x:c>
      <x:c r="BL77" t="n">
        <x:f>--AND(BL$3&gt;=EDATE($B$75,-'Вводные'!$E$90),BL$3&lt;$B$76,'Вводные'!$B$90="Да")</x:f>
      </x:c>
      <x:c r="BM77" t="n">
        <x:f>--AND(BM$3&gt;=EDATE($B$75,-'Вводные'!$E$90),BM$3&lt;$B$76,'Вводные'!$B$90="Да")</x:f>
      </x:c>
      <x:c r="BN77" t="n">
        <x:f>--AND(BN$3&gt;=EDATE($B$75,-'Вводные'!$E$90),BN$3&lt;$B$76,'Вводные'!$B$90="Да")</x:f>
      </x:c>
      <x:c r="BO77" t="n">
        <x:f>--AND(BO$3&gt;=EDATE($B$75,-'Вводные'!$E$90),BO$3&lt;$B$76,'Вводные'!$B$90="Да")</x:f>
      </x:c>
      <x:c r="BP77" t="n">
        <x:f>--AND(BP$3&gt;=EDATE($B$75,-'Вводные'!$E$90),BP$3&lt;$B$76,'Вводные'!$B$90="Да")</x:f>
      </x:c>
      <x:c r="BQ77" t="n">
        <x:f>--AND(BQ$3&gt;=EDATE($B$75,-'Вводные'!$E$90),BQ$3&lt;$B$76,'Вводные'!$B$90="Да")</x:f>
      </x:c>
      <x:c r="BR77" t="n">
        <x:f>--AND(BR$3&gt;=EDATE($B$75,-'Вводные'!$E$90),BR$3&lt;$B$76,'Вводные'!$B$90="Да")</x:f>
      </x:c>
      <x:c r="BS77" t="n">
        <x:f>--AND(BS$3&gt;=EDATE($B$75,-'Вводные'!$E$90),BS$3&lt;$B$76,'Вводные'!$B$90="Да")</x:f>
      </x:c>
      <x:c r="BT77" t="n">
        <x:f>--AND(BT$3&gt;=EDATE($B$75,-'Вводные'!$E$90),BT$3&lt;$B$76,'Вводные'!$B$90="Да")</x:f>
      </x:c>
      <x:c r="BU77" t="n">
        <x:f>--AND(BU$3&gt;=EDATE($B$75,-'Вводные'!$E$90),BU$3&lt;$B$76,'Вводные'!$B$90="Да")</x:f>
      </x:c>
      <x:c r="BV77" t="n">
        <x:f>--AND(BV$3&gt;=EDATE($B$75,-'Вводные'!$E$90),BV$3&lt;$B$76,'Вводные'!$B$90="Да")</x:f>
      </x:c>
      <x:c r="BW77" t="n">
        <x:f>--AND(BW$3&gt;=EDATE($B$75,-'Вводные'!$E$90),BW$3&lt;$B$76,'Вводные'!$B$90="Да")</x:f>
      </x:c>
      <x:c r="BX77" t="n">
        <x:f>--AND(BX$3&gt;=EDATE($B$75,-'Вводные'!$E$90),BX$3&lt;$B$76,'Вводные'!$B$90="Да")</x:f>
      </x:c>
      <x:c r="BY77" t="n">
        <x:f>--AND(BY$3&gt;=EDATE($B$75,-'Вводные'!$E$90),BY$3&lt;$B$76,'Вводные'!$B$90="Да")</x:f>
      </x:c>
      <x:c r="BZ77" t="n">
        <x:f>--AND(BZ$3&gt;=EDATE($B$75,-'Вводные'!$E$90),BZ$3&lt;$B$76,'Вводные'!$B$90="Да")</x:f>
      </x:c>
      <x:c r="CA77" t="n">
        <x:f>--AND(CA$3&gt;=EDATE($B$75,-'Вводные'!$E$90),CA$3&lt;$B$76,'Вводные'!$B$90="Да")</x:f>
      </x:c>
      <x:c r="CB77" t="n">
        <x:f>--AND(CB$3&gt;=EDATE($B$75,-'Вводные'!$E$90),CB$3&lt;$B$76,'Вводные'!$B$90="Да")</x:f>
      </x:c>
      <x:c r="CC77" t="n">
        <x:f>--AND(CC$3&gt;=EDATE($B$75,-'Вводные'!$E$90),CC$3&lt;$B$76,'Вводные'!$B$90="Да")</x:f>
      </x:c>
      <x:c r="CD77" t="n">
        <x:f>--AND(CD$3&gt;=EDATE($B$75,-'Вводные'!$E$90),CD$3&lt;$B$76,'Вводные'!$B$90="Да")</x:f>
      </x:c>
      <x:c r="CE77" t="n">
        <x:f>--AND(CE$3&gt;=EDATE($B$75,-'Вводные'!$E$90),CE$3&lt;$B$76,'Вводные'!$B$90="Да")</x:f>
      </x:c>
      <x:c r="CF77" t="n">
        <x:f>--AND(CF$3&gt;=EDATE($B$75,-'Вводные'!$E$90),CF$3&lt;$B$76,'Вводные'!$B$90="Да")</x:f>
      </x:c>
      <x:c r="CG77" t="n">
        <x:f>--AND(CG$3&gt;=EDATE($B$75,-'Вводные'!$E$90),CG$3&lt;$B$76,'Вводные'!$B$90="Да")</x:f>
      </x:c>
      <x:c r="CH77" t="n">
        <x:f>--AND(CH$3&gt;=EDATE($B$75,-'Вводные'!$E$90),CH$3&lt;$B$76,'Вводные'!$B$90="Да")</x:f>
      </x:c>
      <x:c r="CI77" t="n">
        <x:f>--AND(CI$3&gt;=EDATE($B$75,-'Вводные'!$E$90),CI$3&lt;$B$76,'Вводные'!$B$90="Да")</x:f>
      </x:c>
      <x:c r="CJ77" t="n">
        <x:f>--AND(CJ$3&gt;=EDATE($B$75,-'Вводные'!$E$90),CJ$3&lt;$B$76,'Вводные'!$B$90="Да")</x:f>
      </x:c>
      <x:c r="CK77" t="n">
        <x:f>--AND(CK$3&gt;=EDATE($B$75,-'Вводные'!$E$90),CK$3&lt;$B$76,'Вводные'!$B$90="Да")</x:f>
      </x:c>
      <x:c r="CL77" t="n">
        <x:f>--AND(CL$3&gt;=EDATE($B$75,-'Вводные'!$E$90),CL$3&lt;$B$76,'Вводные'!$B$90="Да")</x:f>
      </x:c>
      <x:c r="CM77" t="n">
        <x:f>--AND(CM$3&gt;=EDATE($B$75,-'Вводные'!$E$90),CM$3&lt;$B$76,'Вводные'!$B$90="Да")</x:f>
      </x:c>
      <x:c r="CN77" t="n">
        <x:f>--AND(CN$3&gt;=EDATE($B$75,-'Вводные'!$E$90),CN$3&lt;$B$76,'Вводные'!$B$90="Да")</x:f>
      </x:c>
      <x:c r="CO77" t="n">
        <x:f>--AND(CO$3&gt;=EDATE($B$75,-'Вводные'!$E$90),CO$3&lt;$B$76,'Вводные'!$B$90="Да")</x:f>
      </x:c>
      <x:c r="CP77" t="n">
        <x:f>--AND(CP$3&gt;=EDATE($B$75,-'Вводные'!$E$90),CP$3&lt;$B$76,'Вводные'!$B$90="Да")</x:f>
      </x:c>
      <x:c r="CQ77" t="n">
        <x:f>--AND(CQ$3&gt;=EDATE($B$75,-'Вводные'!$E$90),CQ$3&lt;$B$76,'Вводные'!$B$90="Да")</x:f>
      </x:c>
      <x:c r="CR77" t="n">
        <x:f>--AND(CR$3&gt;=EDATE($B$75,-'Вводные'!$E$90),CR$3&lt;$B$76,'Вводные'!$B$90="Да")</x:f>
      </x:c>
      <x:c r="CS77" t="n">
        <x:f>--AND(CS$3&gt;=EDATE($B$75,-'Вводные'!$E$90),CS$3&lt;$B$76,'Вводные'!$B$90="Да")</x:f>
      </x:c>
      <x:c r="CT77" t="n">
        <x:f>--AND(CT$3&gt;=EDATE($B$75,-'Вводные'!$E$90),CT$3&lt;$B$76,'Вводные'!$B$90="Да")</x:f>
      </x:c>
      <x:c r="CU77" t="n">
        <x:f>--AND(CU$3&gt;=EDATE($B$75,-'Вводные'!$E$90),CU$3&lt;$B$76,'Вводные'!$B$90="Да")</x:f>
      </x:c>
      <x:c r="CV77" t="n">
        <x:f>--AND(CV$3&gt;=EDATE($B$75,-'Вводные'!$E$90),CV$3&lt;$B$76,'Вводные'!$B$90="Да")</x:f>
      </x:c>
      <x:c r="CW77" t="n">
        <x:f>--AND(CW$3&gt;=EDATE($B$75,-'Вводные'!$E$90),CW$3&lt;$B$76,'Вводные'!$B$90="Да")</x:f>
      </x:c>
      <x:c r="CX77" t="n">
        <x:f>--AND(CX$3&gt;=EDATE($B$75,-'Вводные'!$E$90),CX$3&lt;$B$76,'Вводные'!$B$90="Да")</x:f>
      </x:c>
      <x:c r="CY77" t="n">
        <x:f>--AND(CY$3&gt;=EDATE($B$75,-'Вводные'!$E$90),CY$3&lt;$B$76,'Вводные'!$B$90="Да")</x:f>
      </x:c>
      <x:c r="CZ77" t="n">
        <x:f>--AND(CZ$3&gt;=EDATE($B$75,-'Вводные'!$E$90),CZ$3&lt;$B$76,'Вводные'!$B$90="Да")</x:f>
      </x:c>
      <x:c r="DA77" t="n">
        <x:f>--AND(DA$3&gt;=EDATE($B$75,-'Вводные'!$E$90),DA$3&lt;$B$76,'Вводные'!$B$90="Да")</x:f>
      </x:c>
      <x:c r="DB77" t="n">
        <x:f>--AND(DB$3&gt;=EDATE($B$75,-'Вводные'!$E$90),DB$3&lt;$B$76,'Вводные'!$B$90="Да")</x:f>
      </x:c>
      <x:c r="DC77" t="n">
        <x:f>--AND(DC$3&gt;=EDATE($B$75,-'Вводные'!$E$90),DC$3&lt;$B$76,'Вводные'!$B$90="Да")</x:f>
      </x:c>
      <x:c r="DD77" t="n">
        <x:f>--AND(DD$3&gt;=EDATE($B$75,-'Вводные'!$E$90),DD$3&lt;$B$76,'Вводные'!$B$90="Да")</x:f>
      </x:c>
      <x:c r="DE77" t="n">
        <x:f>--AND(DE$3&gt;=EDATE($B$75,-'Вводные'!$E$90),DE$3&lt;$B$76,'Вводные'!$B$90="Да")</x:f>
      </x:c>
      <x:c r="DF77" t="n">
        <x:f>--AND(DF$3&gt;=EDATE($B$75,-'Вводные'!$E$90),DF$3&lt;$B$76,'Вводные'!$B$90="Да")</x:f>
      </x:c>
      <x:c r="DG77" t="n">
        <x:f>--AND(DG$3&gt;=EDATE($B$75,-'Вводные'!$E$90),DG$3&lt;$B$76,'Вводные'!$B$90="Да")</x:f>
      </x:c>
      <x:c r="DH77" t="n">
        <x:f>--AND(DH$3&gt;=EDATE($B$75,-'Вводные'!$E$90),DH$3&lt;$B$76,'Вводные'!$B$90="Да")</x:f>
      </x:c>
      <x:c r="DI77" t="n">
        <x:f>--AND(DI$3&gt;=EDATE($B$75,-'Вводные'!$E$90),DI$3&lt;$B$76,'Вводные'!$B$90="Да")</x:f>
      </x:c>
      <x:c r="DJ77" t="n">
        <x:f>--AND(DJ$3&gt;=EDATE($B$75,-'Вводные'!$E$90),DJ$3&lt;$B$76,'Вводные'!$B$90="Да")</x:f>
      </x:c>
      <x:c r="DK77" t="n">
        <x:f>--AND(DK$3&gt;=EDATE($B$75,-'Вводные'!$E$90),DK$3&lt;$B$76,'Вводные'!$B$90="Да")</x:f>
      </x:c>
      <x:c r="DL77" t="n">
        <x:f>--AND(DL$3&gt;=EDATE($B$75,-'Вводные'!$E$90),DL$3&lt;$B$76,'Вводные'!$B$90="Да")</x:f>
      </x:c>
      <x:c r="DM77" t="n">
        <x:f>--AND(DM$3&gt;=EDATE($B$75,-'Вводные'!$E$90),DM$3&lt;$B$76,'Вводные'!$B$90="Да")</x:f>
      </x:c>
      <x:c r="DN77" t="n">
        <x:f>--AND(DN$3&gt;=EDATE($B$75,-'Вводные'!$E$90),DN$3&lt;$B$76,'Вводные'!$B$90="Да")</x:f>
      </x:c>
      <x:c r="DO77" t="n">
        <x:f>--AND(DO$3&gt;=EDATE($B$75,-'Вводные'!$E$90),DO$3&lt;$B$76,'Вводные'!$B$90="Да")</x:f>
      </x:c>
      <x:c r="DP77" t="n">
        <x:f>--AND(DP$3&gt;=EDATE($B$75,-'Вводные'!$E$90),DP$3&lt;$B$76,'Вводные'!$B$90="Да")</x:f>
      </x:c>
      <x:c r="DQ77" t="n">
        <x:f>--AND(DQ$3&gt;=EDATE($B$75,-'Вводные'!$E$90),DQ$3&lt;$B$76,'Вводные'!$B$90="Да")</x:f>
      </x:c>
      <x:c r="DR77" t="n">
        <x:f>--AND(DR$3&gt;=EDATE($B$75,-'Вводные'!$E$90),DR$3&lt;$B$76,'Вводные'!$B$90="Да")</x:f>
      </x:c>
      <x:c r="DS77" t="n">
        <x:f>--AND(DS$3&gt;=EDATE($B$75,-'Вводные'!$E$90),DS$3&lt;$B$76,'Вводные'!$B$90="Да")</x:f>
      </x:c>
      <x:c r="DT77" t="n">
        <x:f>--AND(DT$3&gt;=EDATE($B$75,-'Вводные'!$E$90),DT$3&lt;$B$76,'Вводные'!$B$90="Да")</x:f>
      </x:c>
      <x:c r="DU77" t="n">
        <x:f>--AND(DU$3&gt;=EDATE($B$75,-'Вводные'!$E$90),DU$3&lt;$B$76,'Вводные'!$B$90="Да")</x:f>
      </x:c>
      <x:c r="DV77" t="n">
        <x:f>--AND(DV$3&gt;=EDATE($B$75,-'Вводные'!$E$90),DV$3&lt;$B$76,'Вводные'!$B$90="Да")</x:f>
      </x:c>
      <x:c r="DW77" t="n">
        <x:f>--AND(DW$3&gt;=EDATE($B$75,-'Вводные'!$E$90),DW$3&lt;$B$76,'Вводные'!$B$90="Да")</x:f>
      </x:c>
      <x:c r="DX77" t="n">
        <x:f>--AND(DX$3&gt;=EDATE($B$75,-'Вводные'!$E$90),DX$3&lt;$B$76,'Вводные'!$B$90="Да")</x:f>
      </x:c>
      <x:c r="DY77" t="n">
        <x:f>--AND(DY$3&gt;=EDATE($B$75,-'Вводные'!$E$90),DY$3&lt;$B$76,'Вводные'!$B$90="Да")</x:f>
      </x:c>
      <x:c r="DZ77" t="n">
        <x:f>--AND(DZ$3&gt;=EDATE($B$75,-'Вводные'!$E$90),DZ$3&lt;$B$76,'Вводные'!$B$90="Да")</x:f>
      </x:c>
      <x:c r="EA77" t="n">
        <x:f>--AND(EA$3&gt;=EDATE($B$75,-'Вводные'!$E$90),EA$3&lt;$B$76,'Вводные'!$B$90="Да")</x:f>
      </x:c>
      <x:c r="EB77" t="n">
        <x:f>--AND(EB$3&gt;=EDATE($B$75,-'Вводные'!$E$90),EB$3&lt;$B$76,'Вводные'!$B$90="Да")</x:f>
      </x:c>
      <x:c r="EC77" t="n">
        <x:f>--AND(EC$3&gt;=EDATE($B$75,-'Вводные'!$E$90),EC$3&lt;$B$76,'Вводные'!$B$90="Да")</x:f>
      </x:c>
      <x:c r="ED77" t="n">
        <x:f>--AND(ED$3&gt;=EDATE($B$75,-'Вводные'!$E$90),ED$3&lt;$B$76,'Вводные'!$B$90="Да")</x:f>
      </x:c>
      <x:c r="EE77" t="n">
        <x:f>--AND(EE$3&gt;=EDATE($B$75,-'Вводные'!$E$90),EE$3&lt;$B$76,'Вводные'!$B$90="Да")</x:f>
      </x:c>
      <x:c r="EF77" t="n">
        <x:f>--AND(EF$3&gt;=EDATE($B$75,-'Вводные'!$E$90),EF$3&lt;$B$76,'Вводные'!$B$90="Да")</x:f>
      </x:c>
      <x:c r="EG77" t="n">
        <x:f>--AND(EG$3&gt;=EDATE($B$75,-'Вводные'!$E$90),EG$3&lt;$B$76,'Вводные'!$B$90="Да")</x:f>
      </x:c>
      <x:c r="EH77" t="n">
        <x:f>--AND(EH$3&gt;=EDATE($B$75,-'Вводные'!$E$90),EH$3&lt;$B$76,'Вводные'!$B$90="Да")</x:f>
      </x:c>
      <x:c r="EI77" t="n">
        <x:f>--AND(EI$3&gt;=EDATE($B$75,-'Вводные'!$E$90),EI$3&lt;$B$76,'Вводные'!$B$90="Да")</x:f>
      </x:c>
      <x:c r="EJ77" t="n">
        <x:f>--AND(EJ$3&gt;=EDATE($B$75,-'Вводные'!$E$90),EJ$3&lt;$B$76,'Вводные'!$B$90="Да")</x:f>
      </x:c>
      <x:c r="EK77" t="n">
        <x:f>--AND(EK$3&gt;=EDATE($B$75,-'Вводные'!$E$90),EK$3&lt;$B$76,'Вводные'!$B$90="Да")</x:f>
      </x:c>
      <x:c r="EL77" t="n">
        <x:f>--AND(EL$3&gt;=EDATE($B$75,-'Вводные'!$E$90),EL$3&lt;$B$76,'Вводные'!$B$90="Да")</x:f>
      </x:c>
      <x:c r="EM77" t="n">
        <x:f>--AND(EM$3&gt;=EDATE($B$75,-'Вводные'!$E$90),EM$3&lt;$B$76,'Вводные'!$B$90="Да")</x:f>
      </x:c>
      <x:c r="EN77" t="n">
        <x:f>--AND(EN$3&gt;=EDATE($B$75,-'Вводные'!$E$90),EN$3&lt;$B$76,'Вводные'!$B$90="Да")</x:f>
      </x:c>
      <x:c r="EO77" t="n">
        <x:f>--AND(EO$3&gt;=EDATE($B$75,-'Вводные'!$E$90),EO$3&lt;$B$76,'Вводные'!$B$90="Да")</x:f>
      </x:c>
      <x:c r="EP77" t="n">
        <x:f>--AND(EP$3&gt;=EDATE($B$75,-'Вводные'!$E$90),EP$3&lt;$B$76,'Вводные'!$B$90="Да")</x:f>
      </x:c>
      <x:c r="EQ77" t="n">
        <x:f>--AND(EQ$3&gt;=EDATE($B$75,-'Вводные'!$E$90),EQ$3&lt;$B$76,'Вводные'!$B$90="Да")</x:f>
      </x:c>
      <x:c r="ER77" t="n">
        <x:f>--AND(ER$3&gt;=EDATE($B$75,-'Вводные'!$E$90),ER$3&lt;$B$76,'Вводные'!$B$90="Да")</x:f>
      </x:c>
      <x:c r="ES77" t="n">
        <x:f>--AND(ES$3&gt;=EDATE($B$75,-'Вводные'!$E$90),ES$3&lt;$B$76,'Вводные'!$B$90="Да")</x:f>
      </x:c>
      <x:c r="ET77" t="n">
        <x:f>--AND(ET$3&gt;=EDATE($B$75,-'Вводные'!$E$90),ET$3&lt;$B$76,'Вводные'!$B$90="Да")</x:f>
      </x:c>
      <x:c r="EU77" t="n">
        <x:f>--AND(EU$3&gt;=EDATE($B$75,-'Вводные'!$E$90),EU$3&lt;$B$76,'Вводные'!$B$90="Да")</x:f>
      </x:c>
      <x:c r="EV77" t="n">
        <x:f>--AND(EV$3&gt;=EDATE($B$75,-'Вводные'!$E$90),EV$3&lt;$B$76,'Вводные'!$B$90="Да")</x:f>
      </x:c>
      <x:c r="EW77" t="n">
        <x:f>--AND(EW$3&gt;=EDATE($B$75,-'Вводные'!$E$90),EW$3&lt;$B$76,'Вводные'!$B$90="Да")</x:f>
      </x:c>
      <x:c r="EX77" t="n">
        <x:f>--AND(EX$3&gt;=EDATE($B$75,-'Вводные'!$E$90),EX$3&lt;$B$76,'Вводные'!$B$90="Да")</x:f>
      </x:c>
      <x:c r="EY77" t="n">
        <x:f>--AND(EY$3&gt;=EDATE($B$75,-'Вводные'!$E$90),EY$3&lt;$B$76,'Вводные'!$B$90="Да")</x:f>
      </x:c>
      <x:c r="EZ77" t="n">
        <x:f>--AND(EZ$3&gt;=EDATE($B$75,-'Вводные'!$E$90),EZ$3&lt;$B$76,'Вводные'!$B$90="Да")</x:f>
      </x:c>
      <x:c r="FA77" t="n">
        <x:f>--AND(FA$3&gt;=EDATE($B$75,-'Вводные'!$E$90),FA$3&lt;$B$76,'Вводные'!$B$90="Да")</x:f>
      </x:c>
      <x:c r="FB77" t="n">
        <x:f>--AND(FB$3&gt;=EDATE($B$75,-'Вводные'!$E$90),FB$3&lt;$B$76,'Вводные'!$B$90="Да")</x:f>
      </x:c>
      <x:c r="FC77" t="n">
        <x:f>--AND(FC$3&gt;=EDATE($B$75,-'Вводные'!$E$90),FC$3&lt;$B$76,'Вводные'!$B$90="Да")</x:f>
      </x:c>
      <x:c r="FD77" t="n">
        <x:f>--AND(FD$3&gt;=EDATE($B$75,-'Вводные'!$E$90),FD$3&lt;$B$76,'Вводные'!$B$90="Да")</x:f>
      </x:c>
      <x:c r="FE77" t="n">
        <x:f>--AND(FE$3&gt;=EDATE($B$75,-'Вводные'!$E$90),FE$3&lt;$B$76,'Вводные'!$B$90="Да")</x:f>
      </x:c>
      <x:c r="FF77" t="n">
        <x:f>--AND(FF$3&gt;=EDATE($B$75,-'Вводные'!$E$90),FF$3&lt;$B$76,'Вводные'!$B$90="Да")</x:f>
      </x:c>
      <x:c r="FG77" t="n">
        <x:f>--AND(FG$3&gt;=EDATE($B$75,-'Вводные'!$E$90),FG$3&lt;$B$76,'Вводные'!$B$90="Да")</x:f>
      </x:c>
      <x:c r="FH77" t="n">
        <x:f>--AND(FH$3&gt;=EDATE($B$75,-'Вводные'!$E$90),FH$3&lt;$B$76,'Вводные'!$B$90="Да")</x:f>
      </x:c>
      <x:c r="FI77" t="n">
        <x:f>--AND(FI$3&gt;=EDATE($B$75,-'Вводные'!$E$90),FI$3&lt;$B$76,'Вводные'!$B$90="Да")</x:f>
      </x:c>
      <x:c r="FJ77" t="n">
        <x:f>--AND(FJ$3&gt;=EDATE($B$75,-'Вводные'!$E$90),FJ$3&lt;$B$76,'Вводные'!$B$90="Да")</x:f>
      </x:c>
      <x:c r="FK77" t="n">
        <x:f>--AND(FK$3&gt;=EDATE($B$75,-'Вводные'!$E$90),FK$3&lt;$B$76,'Вводные'!$B$90="Да")</x:f>
      </x:c>
      <x:c r="FL77" t="n">
        <x:f>--AND(FL$3&gt;=EDATE($B$75,-'Вводные'!$E$90),FL$3&lt;$B$76,'Вводные'!$B$90="Да")</x:f>
      </x:c>
      <x:c r="FM77" t="n">
        <x:f>--AND(FM$3&gt;=EDATE($B$75,-'Вводные'!$E$90),FM$3&lt;$B$76,'Вводные'!$B$90="Да")</x:f>
      </x:c>
      <x:c r="FN77" t="n">
        <x:f>--AND(FN$3&gt;=EDATE($B$75,-'Вводные'!$E$90),FN$3&lt;$B$76,'Вводные'!$B$90="Да")</x:f>
      </x:c>
      <x:c r="FO77" t="n">
        <x:f>--AND(FO$3&gt;=EDATE($B$75,-'Вводные'!$E$90),FO$3&lt;$B$76,'Вводные'!$B$90="Да")</x:f>
      </x:c>
      <x:c r="FP77" t="n">
        <x:f>--AND(FP$3&gt;=EDATE($B$75,-'Вводные'!$E$90),FP$3&lt;$B$76,'Вводные'!$B$90="Да")</x:f>
      </x:c>
      <x:c r="FQ77" t="n">
        <x:f>--AND(FQ$3&gt;=EDATE($B$75,-'Вводные'!$E$90),FQ$3&lt;$B$76,'Вводные'!$B$90="Да")</x:f>
      </x:c>
      <x:c r="FR77" t="n">
        <x:f>--AND(FR$3&gt;=EDATE($B$75,-'Вводные'!$E$90),FR$3&lt;$B$76,'Вводные'!$B$90="Да")</x:f>
      </x:c>
      <x:c r="FS77" t="n">
        <x:f>--AND(FS$3&gt;=EDATE($B$75,-'Вводные'!$E$90),FS$3&lt;$B$76,'Вводные'!$B$90="Да")</x:f>
      </x:c>
      <x:c r="FT77" t="n">
        <x:f>--AND(FT$3&gt;=EDATE($B$75,-'Вводные'!$E$90),FT$3&lt;$B$76,'Вводные'!$B$90="Да")</x:f>
      </x:c>
      <x:c r="FU77" t="n">
        <x:f>--AND(FU$3&gt;=EDATE($B$75,-'Вводные'!$E$90),FU$3&lt;$B$76,'Вводные'!$B$90="Да")</x:f>
      </x:c>
      <x:c r="FV77" t="n">
        <x:f>--AND(FV$3&gt;=EDATE($B$75,-'Вводные'!$E$90),FV$3&lt;$B$76,'Вводные'!$B$90="Да")</x:f>
      </x:c>
      <x:c r="FW77" t="n">
        <x:f>--AND(FW$3&gt;=EDATE($B$75,-'Вводные'!$E$90),FW$3&lt;$B$76,'Вводные'!$B$90="Да")</x:f>
      </x:c>
      <x:c r="FX77" t="n">
        <x:f>--AND(FX$3&gt;=EDATE($B$75,-'Вводные'!$E$90),FX$3&lt;$B$76,'Вводные'!$B$90="Да")</x:f>
      </x:c>
      <x:c r="FY77" t="n">
        <x:f>--AND(FY$3&gt;=EDATE($B$75,-'Вводные'!$E$90),FY$3&lt;$B$76,'Вводные'!$B$90="Да")</x:f>
      </x:c>
      <x:c r="FZ77" t="n">
        <x:f>--AND(FZ$3&gt;=EDATE($B$75,-'Вводные'!$E$90),FZ$3&lt;$B$76,'Вводные'!$B$90="Да")</x:f>
      </x:c>
      <x:c r="GA77" t="n">
        <x:f>--AND(GA$3&gt;=EDATE($B$75,-'Вводные'!$E$90),GA$3&lt;$B$76,'Вводные'!$B$90="Да")</x:f>
      </x:c>
    </x:row>
    <x:row r="78">
      <x:c r="A78" t="str">
        <x:v>Нормированный вес проекта</x:v>
      </x:c>
      <x:c r="B78"/>
      <x:c r="C78" t="str">
        <x:v>%</x:v>
      </x:c>
      <x:c r="D78" s="35" t="n">
        <x:f>IFERROR(D77/SUM($D77:$GA77),0)</x:f>
      </x:c>
      <x:c r="E78" s="35" t="n">
        <x:f>IFERROR(E77/SUM($D77:$GA77),0)</x:f>
      </x:c>
      <x:c r="F78" s="35" t="n">
        <x:f>IFERROR(F77/SUM($D77:$GA77),0)</x:f>
      </x:c>
      <x:c r="G78" s="35" t="n">
        <x:f>IFERROR(G77/SUM($D77:$GA77),0)</x:f>
      </x:c>
      <x:c r="H78" s="35" t="n">
        <x:f>IFERROR(H77/SUM($D77:$GA77),0)</x:f>
      </x:c>
      <x:c r="I78" s="35" t="n">
        <x:f>IFERROR(I77/SUM($D77:$GA77),0)</x:f>
      </x:c>
      <x:c r="J78" s="35" t="n">
        <x:f>IFERROR(J77/SUM($D77:$GA77),0)</x:f>
      </x:c>
      <x:c r="K78" s="35" t="n">
        <x:f>IFERROR(K77/SUM($D77:$GA77),0)</x:f>
      </x:c>
      <x:c r="L78" s="35" t="n">
        <x:f>IFERROR(L77/SUM($D77:$GA77),0)</x:f>
      </x:c>
      <x:c r="M78" s="35" t="n">
        <x:f>IFERROR(M77/SUM($D77:$GA77),0)</x:f>
      </x:c>
      <x:c r="N78" s="35" t="n">
        <x:f>IFERROR(N77/SUM($D77:$GA77),0)</x:f>
      </x:c>
      <x:c r="O78" s="35" t="n">
        <x:f>IFERROR(O77/SUM($D77:$GA77),0)</x:f>
      </x:c>
      <x:c r="P78" s="35" t="n">
        <x:f>IFERROR(P77/SUM($D77:$GA77),0)</x:f>
      </x:c>
      <x:c r="Q78" s="35" t="n">
        <x:f>IFERROR(Q77/SUM($D77:$GA77),0)</x:f>
      </x:c>
      <x:c r="R78" s="35" t="n">
        <x:f>IFERROR(R77/SUM($D77:$GA77),0)</x:f>
      </x:c>
      <x:c r="S78" s="35" t="n">
        <x:f>IFERROR(S77/SUM($D77:$GA77),0)</x:f>
      </x:c>
      <x:c r="T78" s="35" t="n">
        <x:f>IFERROR(T77/SUM($D77:$GA77),0)</x:f>
      </x:c>
      <x:c r="U78" s="35" t="n">
        <x:f>IFERROR(U77/SUM($D77:$GA77),0)</x:f>
      </x:c>
      <x:c r="V78" s="35" t="n">
        <x:f>IFERROR(V77/SUM($D77:$GA77),0)</x:f>
      </x:c>
      <x:c r="W78" s="35" t="n">
        <x:f>IFERROR(W77/SUM($D77:$GA77),0)</x:f>
      </x:c>
      <x:c r="X78" s="35" t="n">
        <x:f>IFERROR(X77/SUM($D77:$GA77),0)</x:f>
      </x:c>
      <x:c r="Y78" s="35" t="n">
        <x:f>IFERROR(Y77/SUM($D77:$GA77),0)</x:f>
      </x:c>
      <x:c r="Z78" s="35" t="n">
        <x:f>IFERROR(Z77/SUM($D77:$GA77),0)</x:f>
      </x:c>
      <x:c r="AA78" s="35" t="n">
        <x:f>IFERROR(AA77/SUM($D77:$GA77),0)</x:f>
      </x:c>
      <x:c r="AB78" s="35" t="n">
        <x:f>IFERROR(AB77/SUM($D77:$GA77),0)</x:f>
      </x:c>
      <x:c r="AC78" s="35" t="n">
        <x:f>IFERROR(AC77/SUM($D77:$GA77),0)</x:f>
      </x:c>
      <x:c r="AD78" s="35" t="n">
        <x:f>IFERROR(AD77/SUM($D77:$GA77),0)</x:f>
      </x:c>
      <x:c r="AE78" s="35" t="n">
        <x:f>IFERROR(AE77/SUM($D77:$GA77),0)</x:f>
      </x:c>
      <x:c r="AF78" s="35" t="n">
        <x:f>IFERROR(AF77/SUM($D77:$GA77),0)</x:f>
      </x:c>
      <x:c r="AG78" s="35" t="n">
        <x:f>IFERROR(AG77/SUM($D77:$GA77),0)</x:f>
      </x:c>
      <x:c r="AH78" s="35" t="n">
        <x:f>IFERROR(AH77/SUM($D77:$GA77),0)</x:f>
      </x:c>
      <x:c r="AI78" s="35" t="n">
        <x:f>IFERROR(AI77/SUM($D77:$GA77),0)</x:f>
      </x:c>
      <x:c r="AJ78" s="35" t="n">
        <x:f>IFERROR(AJ77/SUM($D77:$GA77),0)</x:f>
      </x:c>
      <x:c r="AK78" s="35" t="n">
        <x:f>IFERROR(AK77/SUM($D77:$GA77),0)</x:f>
      </x:c>
      <x:c r="AL78" s="35" t="n">
        <x:f>IFERROR(AL77/SUM($D77:$GA77),0)</x:f>
      </x:c>
      <x:c r="AM78" s="35" t="n">
        <x:f>IFERROR(AM77/SUM($D77:$GA77),0)</x:f>
      </x:c>
      <x:c r="AN78" s="35" t="n">
        <x:f>IFERROR(AN77/SUM($D77:$GA77),0)</x:f>
      </x:c>
      <x:c r="AO78" s="35" t="n">
        <x:f>IFERROR(AO77/SUM($D77:$GA77),0)</x:f>
      </x:c>
      <x:c r="AP78" s="35" t="n">
        <x:f>IFERROR(AP77/SUM($D77:$GA77),0)</x:f>
      </x:c>
      <x:c r="AQ78" s="35" t="n">
        <x:f>IFERROR(AQ77/SUM($D77:$GA77),0)</x:f>
      </x:c>
      <x:c r="AR78" s="35" t="n">
        <x:f>IFERROR(AR77/SUM($D77:$GA77),0)</x:f>
      </x:c>
      <x:c r="AS78" s="35" t="n">
        <x:f>IFERROR(AS77/SUM($D77:$GA77),0)</x:f>
      </x:c>
      <x:c r="AT78" s="35" t="n">
        <x:f>IFERROR(AT77/SUM($D77:$GA77),0)</x:f>
      </x:c>
      <x:c r="AU78" s="35" t="n">
        <x:f>IFERROR(AU77/SUM($D77:$GA77),0)</x:f>
      </x:c>
      <x:c r="AV78" s="35" t="n">
        <x:f>IFERROR(AV77/SUM($D77:$GA77),0)</x:f>
      </x:c>
      <x:c r="AW78" s="35" t="n">
        <x:f>IFERROR(AW77/SUM($D77:$GA77),0)</x:f>
      </x:c>
      <x:c r="AX78" s="35" t="n">
        <x:f>IFERROR(AX77/SUM($D77:$GA77),0)</x:f>
      </x:c>
      <x:c r="AY78" s="35" t="n">
        <x:f>IFERROR(AY77/SUM($D77:$GA77),0)</x:f>
      </x:c>
      <x:c r="AZ78" s="35" t="n">
        <x:f>IFERROR(AZ77/SUM($D77:$GA77),0)</x:f>
      </x:c>
      <x:c r="BA78" s="35" t="n">
        <x:f>IFERROR(BA77/SUM($D77:$GA77),0)</x:f>
      </x:c>
      <x:c r="BB78" s="35" t="n">
        <x:f>IFERROR(BB77/SUM($D77:$GA77),0)</x:f>
      </x:c>
      <x:c r="BC78" s="35" t="n">
        <x:f>IFERROR(BC77/SUM($D77:$GA77),0)</x:f>
      </x:c>
      <x:c r="BD78" s="35" t="n">
        <x:f>IFERROR(BD77/SUM($D77:$GA77),0)</x:f>
      </x:c>
      <x:c r="BE78" s="35" t="n">
        <x:f>IFERROR(BE77/SUM($D77:$GA77),0)</x:f>
      </x:c>
      <x:c r="BF78" s="35" t="n">
        <x:f>IFERROR(BF77/SUM($D77:$GA77),0)</x:f>
      </x:c>
      <x:c r="BG78" s="35" t="n">
        <x:f>IFERROR(BG77/SUM($D77:$GA77),0)</x:f>
      </x:c>
      <x:c r="BH78" s="35" t="n">
        <x:f>IFERROR(BH77/SUM($D77:$GA77),0)</x:f>
      </x:c>
      <x:c r="BI78" s="35" t="n">
        <x:f>IFERROR(BI77/SUM($D77:$GA77),0)</x:f>
      </x:c>
      <x:c r="BJ78" s="35" t="n">
        <x:f>IFERROR(BJ77/SUM($D77:$GA77),0)</x:f>
      </x:c>
      <x:c r="BK78" s="35" t="n">
        <x:f>IFERROR(BK77/SUM($D77:$GA77),0)</x:f>
      </x:c>
      <x:c r="BL78" s="35" t="n">
        <x:f>IFERROR(BL77/SUM($D77:$GA77),0)</x:f>
      </x:c>
      <x:c r="BM78" s="35" t="n">
        <x:f>IFERROR(BM77/SUM($D77:$GA77),0)</x:f>
      </x:c>
      <x:c r="BN78" s="35" t="n">
        <x:f>IFERROR(BN77/SUM($D77:$GA77),0)</x:f>
      </x:c>
      <x:c r="BO78" s="35" t="n">
        <x:f>IFERROR(BO77/SUM($D77:$GA77),0)</x:f>
      </x:c>
      <x:c r="BP78" s="35" t="n">
        <x:f>IFERROR(BP77/SUM($D77:$GA77),0)</x:f>
      </x:c>
      <x:c r="BQ78" s="35" t="n">
        <x:f>IFERROR(BQ77/SUM($D77:$GA77),0)</x:f>
      </x:c>
      <x:c r="BR78" s="35" t="n">
        <x:f>IFERROR(BR77/SUM($D77:$GA77),0)</x:f>
      </x:c>
      <x:c r="BS78" s="35" t="n">
        <x:f>IFERROR(BS77/SUM($D77:$GA77),0)</x:f>
      </x:c>
      <x:c r="BT78" s="35" t="n">
        <x:f>IFERROR(BT77/SUM($D77:$GA77),0)</x:f>
      </x:c>
      <x:c r="BU78" s="35" t="n">
        <x:f>IFERROR(BU77/SUM($D77:$GA77),0)</x:f>
      </x:c>
      <x:c r="BV78" s="35" t="n">
        <x:f>IFERROR(BV77/SUM($D77:$GA77),0)</x:f>
      </x:c>
      <x:c r="BW78" s="35" t="n">
        <x:f>IFERROR(BW77/SUM($D77:$GA77),0)</x:f>
      </x:c>
      <x:c r="BX78" s="35" t="n">
        <x:f>IFERROR(BX77/SUM($D77:$GA77),0)</x:f>
      </x:c>
      <x:c r="BY78" s="35" t="n">
        <x:f>IFERROR(BY77/SUM($D77:$GA77),0)</x:f>
      </x:c>
      <x:c r="BZ78" s="35" t="n">
        <x:f>IFERROR(BZ77/SUM($D77:$GA77),0)</x:f>
      </x:c>
      <x:c r="CA78" s="35" t="n">
        <x:f>IFERROR(CA77/SUM($D77:$GA77),0)</x:f>
      </x:c>
      <x:c r="CB78" s="35" t="n">
        <x:f>IFERROR(CB77/SUM($D77:$GA77),0)</x:f>
      </x:c>
      <x:c r="CC78" s="35" t="n">
        <x:f>IFERROR(CC77/SUM($D77:$GA77),0)</x:f>
      </x:c>
      <x:c r="CD78" s="35" t="n">
        <x:f>IFERROR(CD77/SUM($D77:$GA77),0)</x:f>
      </x:c>
      <x:c r="CE78" s="35" t="n">
        <x:f>IFERROR(CE77/SUM($D77:$GA77),0)</x:f>
      </x:c>
      <x:c r="CF78" s="35" t="n">
        <x:f>IFERROR(CF77/SUM($D77:$GA77),0)</x:f>
      </x:c>
      <x:c r="CG78" s="35" t="n">
        <x:f>IFERROR(CG77/SUM($D77:$GA77),0)</x:f>
      </x:c>
      <x:c r="CH78" s="35" t="n">
        <x:f>IFERROR(CH77/SUM($D77:$GA77),0)</x:f>
      </x:c>
      <x:c r="CI78" s="35" t="n">
        <x:f>IFERROR(CI77/SUM($D77:$GA77),0)</x:f>
      </x:c>
      <x:c r="CJ78" s="35" t="n">
        <x:f>IFERROR(CJ77/SUM($D77:$GA77),0)</x:f>
      </x:c>
      <x:c r="CK78" s="35" t="n">
        <x:f>IFERROR(CK77/SUM($D77:$GA77),0)</x:f>
      </x:c>
      <x:c r="CL78" s="35" t="n">
        <x:f>IFERROR(CL77/SUM($D77:$GA77),0)</x:f>
      </x:c>
      <x:c r="CM78" s="35" t="n">
        <x:f>IFERROR(CM77/SUM($D77:$GA77),0)</x:f>
      </x:c>
      <x:c r="CN78" s="35" t="n">
        <x:f>IFERROR(CN77/SUM($D77:$GA77),0)</x:f>
      </x:c>
      <x:c r="CO78" s="35" t="n">
        <x:f>IFERROR(CO77/SUM($D77:$GA77),0)</x:f>
      </x:c>
      <x:c r="CP78" s="35" t="n">
        <x:f>IFERROR(CP77/SUM($D77:$GA77),0)</x:f>
      </x:c>
      <x:c r="CQ78" s="35" t="n">
        <x:f>IFERROR(CQ77/SUM($D77:$GA77),0)</x:f>
      </x:c>
      <x:c r="CR78" s="35" t="n">
        <x:f>IFERROR(CR77/SUM($D77:$GA77),0)</x:f>
      </x:c>
      <x:c r="CS78" s="35" t="n">
        <x:f>IFERROR(CS77/SUM($D77:$GA77),0)</x:f>
      </x:c>
      <x:c r="CT78" s="35" t="n">
        <x:f>IFERROR(CT77/SUM($D77:$GA77),0)</x:f>
      </x:c>
      <x:c r="CU78" s="35" t="n">
        <x:f>IFERROR(CU77/SUM($D77:$GA77),0)</x:f>
      </x:c>
      <x:c r="CV78" s="35" t="n">
        <x:f>IFERROR(CV77/SUM($D77:$GA77),0)</x:f>
      </x:c>
      <x:c r="CW78" s="35" t="n">
        <x:f>IFERROR(CW77/SUM($D77:$GA77),0)</x:f>
      </x:c>
      <x:c r="CX78" s="35" t="n">
        <x:f>IFERROR(CX77/SUM($D77:$GA77),0)</x:f>
      </x:c>
      <x:c r="CY78" s="35" t="n">
        <x:f>IFERROR(CY77/SUM($D77:$GA77),0)</x:f>
      </x:c>
      <x:c r="CZ78" s="35" t="n">
        <x:f>IFERROR(CZ77/SUM($D77:$GA77),0)</x:f>
      </x:c>
      <x:c r="DA78" s="35" t="n">
        <x:f>IFERROR(DA77/SUM($D77:$GA77),0)</x:f>
      </x:c>
      <x:c r="DB78" s="35" t="n">
        <x:f>IFERROR(DB77/SUM($D77:$GA77),0)</x:f>
      </x:c>
      <x:c r="DC78" s="35" t="n">
        <x:f>IFERROR(DC77/SUM($D77:$GA77),0)</x:f>
      </x:c>
      <x:c r="DD78" s="35" t="n">
        <x:f>IFERROR(DD77/SUM($D77:$GA77),0)</x:f>
      </x:c>
      <x:c r="DE78" s="35" t="n">
        <x:f>IFERROR(DE77/SUM($D77:$GA77),0)</x:f>
      </x:c>
      <x:c r="DF78" s="35" t="n">
        <x:f>IFERROR(DF77/SUM($D77:$GA77),0)</x:f>
      </x:c>
      <x:c r="DG78" s="35" t="n">
        <x:f>IFERROR(DG77/SUM($D77:$GA77),0)</x:f>
      </x:c>
      <x:c r="DH78" s="35" t="n">
        <x:f>IFERROR(DH77/SUM($D77:$GA77),0)</x:f>
      </x:c>
      <x:c r="DI78" s="35" t="n">
        <x:f>IFERROR(DI77/SUM($D77:$GA77),0)</x:f>
      </x:c>
      <x:c r="DJ78" s="35" t="n">
        <x:f>IFERROR(DJ77/SUM($D77:$GA77),0)</x:f>
      </x:c>
      <x:c r="DK78" s="35" t="n">
        <x:f>IFERROR(DK77/SUM($D77:$GA77),0)</x:f>
      </x:c>
      <x:c r="DL78" s="35" t="n">
        <x:f>IFERROR(DL77/SUM($D77:$GA77),0)</x:f>
      </x:c>
      <x:c r="DM78" s="35" t="n">
        <x:f>IFERROR(DM77/SUM($D77:$GA77),0)</x:f>
      </x:c>
      <x:c r="DN78" s="35" t="n">
        <x:f>IFERROR(DN77/SUM($D77:$GA77),0)</x:f>
      </x:c>
      <x:c r="DO78" s="35" t="n">
        <x:f>IFERROR(DO77/SUM($D77:$GA77),0)</x:f>
      </x:c>
      <x:c r="DP78" s="35" t="n">
        <x:f>IFERROR(DP77/SUM($D77:$GA77),0)</x:f>
      </x:c>
      <x:c r="DQ78" s="35" t="n">
        <x:f>IFERROR(DQ77/SUM($D77:$GA77),0)</x:f>
      </x:c>
      <x:c r="DR78" s="35" t="n">
        <x:f>IFERROR(DR77/SUM($D77:$GA77),0)</x:f>
      </x:c>
      <x:c r="DS78" s="35" t="n">
        <x:f>IFERROR(DS77/SUM($D77:$GA77),0)</x:f>
      </x:c>
      <x:c r="DT78" s="35" t="n">
        <x:f>IFERROR(DT77/SUM($D77:$GA77),0)</x:f>
      </x:c>
      <x:c r="DU78" s="35" t="n">
        <x:f>IFERROR(DU77/SUM($D77:$GA77),0)</x:f>
      </x:c>
      <x:c r="DV78" s="35" t="n">
        <x:f>IFERROR(DV77/SUM($D77:$GA77),0)</x:f>
      </x:c>
      <x:c r="DW78" s="35" t="n">
        <x:f>IFERROR(DW77/SUM($D77:$GA77),0)</x:f>
      </x:c>
      <x:c r="DX78" s="35" t="n">
        <x:f>IFERROR(DX77/SUM($D77:$GA77),0)</x:f>
      </x:c>
      <x:c r="DY78" s="35" t="n">
        <x:f>IFERROR(DY77/SUM($D77:$GA77),0)</x:f>
      </x:c>
      <x:c r="DZ78" s="35" t="n">
        <x:f>IFERROR(DZ77/SUM($D77:$GA77),0)</x:f>
      </x:c>
      <x:c r="EA78" s="35" t="n">
        <x:f>IFERROR(EA77/SUM($D77:$GA77),0)</x:f>
      </x:c>
      <x:c r="EB78" s="35" t="n">
        <x:f>IFERROR(EB77/SUM($D77:$GA77),0)</x:f>
      </x:c>
      <x:c r="EC78" s="35" t="n">
        <x:f>IFERROR(EC77/SUM($D77:$GA77),0)</x:f>
      </x:c>
      <x:c r="ED78" s="35" t="n">
        <x:f>IFERROR(ED77/SUM($D77:$GA77),0)</x:f>
      </x:c>
      <x:c r="EE78" s="35" t="n">
        <x:f>IFERROR(EE77/SUM($D77:$GA77),0)</x:f>
      </x:c>
      <x:c r="EF78" s="35" t="n">
        <x:f>IFERROR(EF77/SUM($D77:$GA77),0)</x:f>
      </x:c>
      <x:c r="EG78" s="35" t="n">
        <x:f>IFERROR(EG77/SUM($D77:$GA77),0)</x:f>
      </x:c>
      <x:c r="EH78" s="35" t="n">
        <x:f>IFERROR(EH77/SUM($D77:$GA77),0)</x:f>
      </x:c>
      <x:c r="EI78" s="35" t="n">
        <x:f>IFERROR(EI77/SUM($D77:$GA77),0)</x:f>
      </x:c>
      <x:c r="EJ78" s="35" t="n">
        <x:f>IFERROR(EJ77/SUM($D77:$GA77),0)</x:f>
      </x:c>
      <x:c r="EK78" s="35" t="n">
        <x:f>IFERROR(EK77/SUM($D77:$GA77),0)</x:f>
      </x:c>
      <x:c r="EL78" s="35" t="n">
        <x:f>IFERROR(EL77/SUM($D77:$GA77),0)</x:f>
      </x:c>
      <x:c r="EM78" s="35" t="n">
        <x:f>IFERROR(EM77/SUM($D77:$GA77),0)</x:f>
      </x:c>
      <x:c r="EN78" s="35" t="n">
        <x:f>IFERROR(EN77/SUM($D77:$GA77),0)</x:f>
      </x:c>
      <x:c r="EO78" s="35" t="n">
        <x:f>IFERROR(EO77/SUM($D77:$GA77),0)</x:f>
      </x:c>
      <x:c r="EP78" s="35" t="n">
        <x:f>IFERROR(EP77/SUM($D77:$GA77),0)</x:f>
      </x:c>
      <x:c r="EQ78" s="35" t="n">
        <x:f>IFERROR(EQ77/SUM($D77:$GA77),0)</x:f>
      </x:c>
      <x:c r="ER78" s="35" t="n">
        <x:f>IFERROR(ER77/SUM($D77:$GA77),0)</x:f>
      </x:c>
      <x:c r="ES78" s="35" t="n">
        <x:f>IFERROR(ES77/SUM($D77:$GA77),0)</x:f>
      </x:c>
      <x:c r="ET78" s="35" t="n">
        <x:f>IFERROR(ET77/SUM($D77:$GA77),0)</x:f>
      </x:c>
      <x:c r="EU78" s="35" t="n">
        <x:f>IFERROR(EU77/SUM($D77:$GA77),0)</x:f>
      </x:c>
      <x:c r="EV78" s="35" t="n">
        <x:f>IFERROR(EV77/SUM($D77:$GA77),0)</x:f>
      </x:c>
      <x:c r="EW78" s="35" t="n">
        <x:f>IFERROR(EW77/SUM($D77:$GA77),0)</x:f>
      </x:c>
      <x:c r="EX78" s="35" t="n">
        <x:f>IFERROR(EX77/SUM($D77:$GA77),0)</x:f>
      </x:c>
      <x:c r="EY78" s="35" t="n">
        <x:f>IFERROR(EY77/SUM($D77:$GA77),0)</x:f>
      </x:c>
      <x:c r="EZ78" s="35" t="n">
        <x:f>IFERROR(EZ77/SUM($D77:$GA77),0)</x:f>
      </x:c>
      <x:c r="FA78" s="35" t="n">
        <x:f>IFERROR(FA77/SUM($D77:$GA77),0)</x:f>
      </x:c>
      <x:c r="FB78" s="35" t="n">
        <x:f>IFERROR(FB77/SUM($D77:$GA77),0)</x:f>
      </x:c>
      <x:c r="FC78" s="35" t="n">
        <x:f>IFERROR(FC77/SUM($D77:$GA77),0)</x:f>
      </x:c>
      <x:c r="FD78" s="35" t="n">
        <x:f>IFERROR(FD77/SUM($D77:$GA77),0)</x:f>
      </x:c>
      <x:c r="FE78" s="35" t="n">
        <x:f>IFERROR(FE77/SUM($D77:$GA77),0)</x:f>
      </x:c>
      <x:c r="FF78" s="35" t="n">
        <x:f>IFERROR(FF77/SUM($D77:$GA77),0)</x:f>
      </x:c>
      <x:c r="FG78" s="35" t="n">
        <x:f>IFERROR(FG77/SUM($D77:$GA77),0)</x:f>
      </x:c>
      <x:c r="FH78" s="35" t="n">
        <x:f>IFERROR(FH77/SUM($D77:$GA77),0)</x:f>
      </x:c>
      <x:c r="FI78" s="35" t="n">
        <x:f>IFERROR(FI77/SUM($D77:$GA77),0)</x:f>
      </x:c>
      <x:c r="FJ78" s="35" t="n">
        <x:f>IFERROR(FJ77/SUM($D77:$GA77),0)</x:f>
      </x:c>
      <x:c r="FK78" s="35" t="n">
        <x:f>IFERROR(FK77/SUM($D77:$GA77),0)</x:f>
      </x:c>
      <x:c r="FL78" s="35" t="n">
        <x:f>IFERROR(FL77/SUM($D77:$GA77),0)</x:f>
      </x:c>
      <x:c r="FM78" s="35" t="n">
        <x:f>IFERROR(FM77/SUM($D77:$GA77),0)</x:f>
      </x:c>
      <x:c r="FN78" s="35" t="n">
        <x:f>IFERROR(FN77/SUM($D77:$GA77),0)</x:f>
      </x:c>
      <x:c r="FO78" s="35" t="n">
        <x:f>IFERROR(FO77/SUM($D77:$GA77),0)</x:f>
      </x:c>
      <x:c r="FP78" s="35" t="n">
        <x:f>IFERROR(FP77/SUM($D77:$GA77),0)</x:f>
      </x:c>
      <x:c r="FQ78" s="35" t="n">
        <x:f>IFERROR(FQ77/SUM($D77:$GA77),0)</x:f>
      </x:c>
      <x:c r="FR78" s="35" t="n">
        <x:f>IFERROR(FR77/SUM($D77:$GA77),0)</x:f>
      </x:c>
      <x:c r="FS78" s="35" t="n">
        <x:f>IFERROR(FS77/SUM($D77:$GA77),0)</x:f>
      </x:c>
      <x:c r="FT78" s="35" t="n">
        <x:f>IFERROR(FT77/SUM($D77:$GA77),0)</x:f>
      </x:c>
      <x:c r="FU78" s="35" t="n">
        <x:f>IFERROR(FU77/SUM($D77:$GA77),0)</x:f>
      </x:c>
      <x:c r="FV78" s="35" t="n">
        <x:f>IFERROR(FV77/SUM($D77:$GA77),0)</x:f>
      </x:c>
      <x:c r="FW78" s="35" t="n">
        <x:f>IFERROR(FW77/SUM($D77:$GA77),0)</x:f>
      </x:c>
      <x:c r="FX78" s="35" t="n">
        <x:f>IFERROR(FX77/SUM($D77:$GA77),0)</x:f>
      </x:c>
      <x:c r="FY78" s="35" t="n">
        <x:f>IFERROR(FY77/SUM($D77:$GA77),0)</x:f>
      </x:c>
      <x:c r="FZ78" s="35" t="n">
        <x:f>IFERROR(FZ77/SUM($D77:$GA77),0)</x:f>
      </x:c>
      <x:c r="GA78" s="35" t="n">
        <x:f>IFERROR(GA77/SUM($D77:$GA77),0)</x:f>
      </x:c>
    </x:row>
    <x:row r="79">
      <x:c r="A79" t="str">
        <x:v>Флаг строительства</x:v>
      </x:c>
      <x:c r="B79"/>
      <x:c r="C79" t="str">
        <x:v>0/1</x:v>
      </x:c>
      <x:c r="D79" s="35" t="n">
        <x:f>--AND(D$3&gt;=$B$75,D$3&lt;$B$76,'Вводные'!$B$90="Да")</x:f>
      </x:c>
      <x:c r="E79" s="35" t="n">
        <x:f>--AND(E$3&gt;=$B$75,E$3&lt;$B$76,'Вводные'!$B$90="Да")</x:f>
      </x:c>
      <x:c r="F79" s="35" t="n">
        <x:f>--AND(F$3&gt;=$B$75,F$3&lt;$B$76,'Вводные'!$B$90="Да")</x:f>
      </x:c>
      <x:c r="G79" s="35" t="n">
        <x:f>--AND(G$3&gt;=$B$75,G$3&lt;$B$76,'Вводные'!$B$90="Да")</x:f>
      </x:c>
      <x:c r="H79" s="35" t="n">
        <x:f>--AND(H$3&gt;=$B$75,H$3&lt;$B$76,'Вводные'!$B$90="Да")</x:f>
      </x:c>
      <x:c r="I79" s="35" t="n">
        <x:f>--AND(I$3&gt;=$B$75,I$3&lt;$B$76,'Вводные'!$B$90="Да")</x:f>
      </x:c>
      <x:c r="J79" s="35" t="n">
        <x:f>--AND(J$3&gt;=$B$75,J$3&lt;$B$76,'Вводные'!$B$90="Да")</x:f>
      </x:c>
      <x:c r="K79" s="35" t="n">
        <x:f>--AND(K$3&gt;=$B$75,K$3&lt;$B$76,'Вводные'!$B$90="Да")</x:f>
      </x:c>
      <x:c r="L79" s="35" t="n">
        <x:f>--AND(L$3&gt;=$B$75,L$3&lt;$B$76,'Вводные'!$B$90="Да")</x:f>
      </x:c>
      <x:c r="M79" s="35" t="n">
        <x:f>--AND(M$3&gt;=$B$75,M$3&lt;$B$76,'Вводные'!$B$90="Да")</x:f>
      </x:c>
      <x:c r="N79" s="35" t="n">
        <x:f>--AND(N$3&gt;=$B$75,N$3&lt;$B$76,'Вводные'!$B$90="Да")</x:f>
      </x:c>
      <x:c r="O79" s="35" t="n">
        <x:f>--AND(O$3&gt;=$B$75,O$3&lt;$B$76,'Вводные'!$B$90="Да")</x:f>
      </x:c>
      <x:c r="P79" s="35" t="n">
        <x:f>--AND(P$3&gt;=$B$75,P$3&lt;$B$76,'Вводные'!$B$90="Да")</x:f>
      </x:c>
      <x:c r="Q79" s="35" t="n">
        <x:f>--AND(Q$3&gt;=$B$75,Q$3&lt;$B$76,'Вводные'!$B$90="Да")</x:f>
      </x:c>
      <x:c r="R79" s="35" t="n">
        <x:f>--AND(R$3&gt;=$B$75,R$3&lt;$B$76,'Вводные'!$B$90="Да")</x:f>
      </x:c>
      <x:c r="S79" s="35" t="n">
        <x:f>--AND(S$3&gt;=$B$75,S$3&lt;$B$76,'Вводные'!$B$90="Да")</x:f>
      </x:c>
      <x:c r="T79" s="35" t="n">
        <x:f>--AND(T$3&gt;=$B$75,T$3&lt;$B$76,'Вводные'!$B$90="Да")</x:f>
      </x:c>
      <x:c r="U79" s="35" t="n">
        <x:f>--AND(U$3&gt;=$B$75,U$3&lt;$B$76,'Вводные'!$B$90="Да")</x:f>
      </x:c>
      <x:c r="V79" s="35" t="n">
        <x:f>--AND(V$3&gt;=$B$75,V$3&lt;$B$76,'Вводные'!$B$90="Да")</x:f>
      </x:c>
      <x:c r="W79" s="35" t="n">
        <x:f>--AND(W$3&gt;=$B$75,W$3&lt;$B$76,'Вводные'!$B$90="Да")</x:f>
      </x:c>
      <x:c r="X79" s="35" t="n">
        <x:f>--AND(X$3&gt;=$B$75,X$3&lt;$B$76,'Вводные'!$B$90="Да")</x:f>
      </x:c>
      <x:c r="Y79" s="35" t="n">
        <x:f>--AND(Y$3&gt;=$B$75,Y$3&lt;$B$76,'Вводные'!$B$90="Да")</x:f>
      </x:c>
      <x:c r="Z79" s="35" t="n">
        <x:f>--AND(Z$3&gt;=$B$75,Z$3&lt;$B$76,'Вводные'!$B$90="Да")</x:f>
      </x:c>
      <x:c r="AA79" s="35" t="n">
        <x:f>--AND(AA$3&gt;=$B$75,AA$3&lt;$B$76,'Вводные'!$B$90="Да")</x:f>
      </x:c>
      <x:c r="AB79" s="35" t="n">
        <x:f>--AND(AB$3&gt;=$B$75,AB$3&lt;$B$76,'Вводные'!$B$90="Да")</x:f>
      </x:c>
      <x:c r="AC79" s="35" t="n">
        <x:f>--AND(AC$3&gt;=$B$75,AC$3&lt;$B$76,'Вводные'!$B$90="Да")</x:f>
      </x:c>
      <x:c r="AD79" s="35" t="n">
        <x:f>--AND(AD$3&gt;=$B$75,AD$3&lt;$B$76,'Вводные'!$B$90="Да")</x:f>
      </x:c>
      <x:c r="AE79" s="35" t="n">
        <x:f>--AND(AE$3&gt;=$B$75,AE$3&lt;$B$76,'Вводные'!$B$90="Да")</x:f>
      </x:c>
      <x:c r="AF79" s="35" t="n">
        <x:f>--AND(AF$3&gt;=$B$75,AF$3&lt;$B$76,'Вводные'!$B$90="Да")</x:f>
      </x:c>
      <x:c r="AG79" s="35" t="n">
        <x:f>--AND(AG$3&gt;=$B$75,AG$3&lt;$B$76,'Вводные'!$B$90="Да")</x:f>
      </x:c>
      <x:c r="AH79" s="35" t="n">
        <x:f>--AND(AH$3&gt;=$B$75,AH$3&lt;$B$76,'Вводные'!$B$90="Да")</x:f>
      </x:c>
      <x:c r="AI79" s="35" t="n">
        <x:f>--AND(AI$3&gt;=$B$75,AI$3&lt;$B$76,'Вводные'!$B$90="Да")</x:f>
      </x:c>
      <x:c r="AJ79" s="35" t="n">
        <x:f>--AND(AJ$3&gt;=$B$75,AJ$3&lt;$B$76,'Вводные'!$B$90="Да")</x:f>
      </x:c>
      <x:c r="AK79" s="35" t="n">
        <x:f>--AND(AK$3&gt;=$B$75,AK$3&lt;$B$76,'Вводные'!$B$90="Да")</x:f>
      </x:c>
      <x:c r="AL79" s="35" t="n">
        <x:f>--AND(AL$3&gt;=$B$75,AL$3&lt;$B$76,'Вводные'!$B$90="Да")</x:f>
      </x:c>
      <x:c r="AM79" s="35" t="n">
        <x:f>--AND(AM$3&gt;=$B$75,AM$3&lt;$B$76,'Вводные'!$B$90="Да")</x:f>
      </x:c>
      <x:c r="AN79" s="35" t="n">
        <x:f>--AND(AN$3&gt;=$B$75,AN$3&lt;$B$76,'Вводные'!$B$90="Да")</x:f>
      </x:c>
      <x:c r="AO79" s="35" t="n">
        <x:f>--AND(AO$3&gt;=$B$75,AO$3&lt;$B$76,'Вводные'!$B$90="Да")</x:f>
      </x:c>
      <x:c r="AP79" s="35" t="n">
        <x:f>--AND(AP$3&gt;=$B$75,AP$3&lt;$B$76,'Вводные'!$B$90="Да")</x:f>
      </x:c>
      <x:c r="AQ79" s="35" t="n">
        <x:f>--AND(AQ$3&gt;=$B$75,AQ$3&lt;$B$76,'Вводные'!$B$90="Да")</x:f>
      </x:c>
      <x:c r="AR79" s="35" t="n">
        <x:f>--AND(AR$3&gt;=$B$75,AR$3&lt;$B$76,'Вводные'!$B$90="Да")</x:f>
      </x:c>
      <x:c r="AS79" s="35" t="n">
        <x:f>--AND(AS$3&gt;=$B$75,AS$3&lt;$B$76,'Вводные'!$B$90="Да")</x:f>
      </x:c>
      <x:c r="AT79" s="35" t="n">
        <x:f>--AND(AT$3&gt;=$B$75,AT$3&lt;$B$76,'Вводные'!$B$90="Да")</x:f>
      </x:c>
      <x:c r="AU79" s="35" t="n">
        <x:f>--AND(AU$3&gt;=$B$75,AU$3&lt;$B$76,'Вводные'!$B$90="Да")</x:f>
      </x:c>
      <x:c r="AV79" s="35" t="n">
        <x:f>--AND(AV$3&gt;=$B$75,AV$3&lt;$B$76,'Вводные'!$B$90="Да")</x:f>
      </x:c>
      <x:c r="AW79" s="35" t="n">
        <x:f>--AND(AW$3&gt;=$B$75,AW$3&lt;$B$76,'Вводные'!$B$90="Да")</x:f>
      </x:c>
      <x:c r="AX79" s="35" t="n">
        <x:f>--AND(AX$3&gt;=$B$75,AX$3&lt;$B$76,'Вводные'!$B$90="Да")</x:f>
      </x:c>
      <x:c r="AY79" s="35" t="n">
        <x:f>--AND(AY$3&gt;=$B$75,AY$3&lt;$B$76,'Вводные'!$B$90="Да")</x:f>
      </x:c>
      <x:c r="AZ79" s="35" t="n">
        <x:f>--AND(AZ$3&gt;=$B$75,AZ$3&lt;$B$76,'Вводные'!$B$90="Да")</x:f>
      </x:c>
      <x:c r="BA79" s="35" t="n">
        <x:f>--AND(BA$3&gt;=$B$75,BA$3&lt;$B$76,'Вводные'!$B$90="Да")</x:f>
      </x:c>
      <x:c r="BB79" s="35" t="n">
        <x:f>--AND(BB$3&gt;=$B$75,BB$3&lt;$B$76,'Вводные'!$B$90="Да")</x:f>
      </x:c>
      <x:c r="BC79" s="35" t="n">
        <x:f>--AND(BC$3&gt;=$B$75,BC$3&lt;$B$76,'Вводные'!$B$90="Да")</x:f>
      </x:c>
      <x:c r="BD79" s="35" t="n">
        <x:f>--AND(BD$3&gt;=$B$75,BD$3&lt;$B$76,'Вводные'!$B$90="Да")</x:f>
      </x:c>
      <x:c r="BE79" s="35" t="n">
        <x:f>--AND(BE$3&gt;=$B$75,BE$3&lt;$B$76,'Вводные'!$B$90="Да")</x:f>
      </x:c>
      <x:c r="BF79" s="35" t="n">
        <x:f>--AND(BF$3&gt;=$B$75,BF$3&lt;$B$76,'Вводные'!$B$90="Да")</x:f>
      </x:c>
      <x:c r="BG79" s="35" t="n">
        <x:f>--AND(BG$3&gt;=$B$75,BG$3&lt;$B$76,'Вводные'!$B$90="Да")</x:f>
      </x:c>
      <x:c r="BH79" s="35" t="n">
        <x:f>--AND(BH$3&gt;=$B$75,BH$3&lt;$B$76,'Вводные'!$B$90="Да")</x:f>
      </x:c>
      <x:c r="BI79" s="35" t="n">
        <x:f>--AND(BI$3&gt;=$B$75,BI$3&lt;$B$76,'Вводные'!$B$90="Да")</x:f>
      </x:c>
      <x:c r="BJ79" s="35" t="n">
        <x:f>--AND(BJ$3&gt;=$B$75,BJ$3&lt;$B$76,'Вводные'!$B$90="Да")</x:f>
      </x:c>
      <x:c r="BK79" s="35" t="n">
        <x:f>--AND(BK$3&gt;=$B$75,BK$3&lt;$B$76,'Вводные'!$B$90="Да")</x:f>
      </x:c>
      <x:c r="BL79" s="35" t="n">
        <x:f>--AND(BL$3&gt;=$B$75,BL$3&lt;$B$76,'Вводные'!$B$90="Да")</x:f>
      </x:c>
      <x:c r="BM79" s="35" t="n">
        <x:f>--AND(BM$3&gt;=$B$75,BM$3&lt;$B$76,'Вводные'!$B$90="Да")</x:f>
      </x:c>
      <x:c r="BN79" s="35" t="n">
        <x:f>--AND(BN$3&gt;=$B$75,BN$3&lt;$B$76,'Вводные'!$B$90="Да")</x:f>
      </x:c>
      <x:c r="BO79" s="35" t="n">
        <x:f>--AND(BO$3&gt;=$B$75,BO$3&lt;$B$76,'Вводные'!$B$90="Да")</x:f>
      </x:c>
      <x:c r="BP79" s="35" t="n">
        <x:f>--AND(BP$3&gt;=$B$75,BP$3&lt;$B$76,'Вводные'!$B$90="Да")</x:f>
      </x:c>
      <x:c r="BQ79" s="35" t="n">
        <x:f>--AND(BQ$3&gt;=$B$75,BQ$3&lt;$B$76,'Вводные'!$B$90="Да")</x:f>
      </x:c>
      <x:c r="BR79" s="35" t="n">
        <x:f>--AND(BR$3&gt;=$B$75,BR$3&lt;$B$76,'Вводные'!$B$90="Да")</x:f>
      </x:c>
      <x:c r="BS79" s="35" t="n">
        <x:f>--AND(BS$3&gt;=$B$75,BS$3&lt;$B$76,'Вводные'!$B$90="Да")</x:f>
      </x:c>
      <x:c r="BT79" s="35" t="n">
        <x:f>--AND(BT$3&gt;=$B$75,BT$3&lt;$B$76,'Вводные'!$B$90="Да")</x:f>
      </x:c>
      <x:c r="BU79" s="35" t="n">
        <x:f>--AND(BU$3&gt;=$B$75,BU$3&lt;$B$76,'Вводные'!$B$90="Да")</x:f>
      </x:c>
      <x:c r="BV79" s="35" t="n">
        <x:f>--AND(BV$3&gt;=$B$75,BV$3&lt;$B$76,'Вводные'!$B$90="Да")</x:f>
      </x:c>
      <x:c r="BW79" s="35" t="n">
        <x:f>--AND(BW$3&gt;=$B$75,BW$3&lt;$B$76,'Вводные'!$B$90="Да")</x:f>
      </x:c>
      <x:c r="BX79" s="35" t="n">
        <x:f>--AND(BX$3&gt;=$B$75,BX$3&lt;$B$76,'Вводные'!$B$90="Да")</x:f>
      </x:c>
      <x:c r="BY79" s="35" t="n">
        <x:f>--AND(BY$3&gt;=$B$75,BY$3&lt;$B$76,'Вводные'!$B$90="Да")</x:f>
      </x:c>
      <x:c r="BZ79" s="35" t="n">
        <x:f>--AND(BZ$3&gt;=$B$75,BZ$3&lt;$B$76,'Вводные'!$B$90="Да")</x:f>
      </x:c>
      <x:c r="CA79" s="35" t="n">
        <x:f>--AND(CA$3&gt;=$B$75,CA$3&lt;$B$76,'Вводные'!$B$90="Да")</x:f>
      </x:c>
      <x:c r="CB79" s="35" t="n">
        <x:f>--AND(CB$3&gt;=$B$75,CB$3&lt;$B$76,'Вводные'!$B$90="Да")</x:f>
      </x:c>
      <x:c r="CC79" s="35" t="n">
        <x:f>--AND(CC$3&gt;=$B$75,CC$3&lt;$B$76,'Вводные'!$B$90="Да")</x:f>
      </x:c>
      <x:c r="CD79" s="35" t="n">
        <x:f>--AND(CD$3&gt;=$B$75,CD$3&lt;$B$76,'Вводные'!$B$90="Да")</x:f>
      </x:c>
      <x:c r="CE79" s="35" t="n">
        <x:f>--AND(CE$3&gt;=$B$75,CE$3&lt;$B$76,'Вводные'!$B$90="Да")</x:f>
      </x:c>
      <x:c r="CF79" s="35" t="n">
        <x:f>--AND(CF$3&gt;=$B$75,CF$3&lt;$B$76,'Вводные'!$B$90="Да")</x:f>
      </x:c>
      <x:c r="CG79" s="35" t="n">
        <x:f>--AND(CG$3&gt;=$B$75,CG$3&lt;$B$76,'Вводные'!$B$90="Да")</x:f>
      </x:c>
      <x:c r="CH79" s="35" t="n">
        <x:f>--AND(CH$3&gt;=$B$75,CH$3&lt;$B$76,'Вводные'!$B$90="Да")</x:f>
      </x:c>
      <x:c r="CI79" s="35" t="n">
        <x:f>--AND(CI$3&gt;=$B$75,CI$3&lt;$B$76,'Вводные'!$B$90="Да")</x:f>
      </x:c>
      <x:c r="CJ79" s="35" t="n">
        <x:f>--AND(CJ$3&gt;=$B$75,CJ$3&lt;$B$76,'Вводные'!$B$90="Да")</x:f>
      </x:c>
      <x:c r="CK79" s="35" t="n">
        <x:f>--AND(CK$3&gt;=$B$75,CK$3&lt;$B$76,'Вводные'!$B$90="Да")</x:f>
      </x:c>
      <x:c r="CL79" s="35" t="n">
        <x:f>--AND(CL$3&gt;=$B$75,CL$3&lt;$B$76,'Вводные'!$B$90="Да")</x:f>
      </x:c>
      <x:c r="CM79" s="35" t="n">
        <x:f>--AND(CM$3&gt;=$B$75,CM$3&lt;$B$76,'Вводные'!$B$90="Да")</x:f>
      </x:c>
      <x:c r="CN79" s="35" t="n">
        <x:f>--AND(CN$3&gt;=$B$75,CN$3&lt;$B$76,'Вводные'!$B$90="Да")</x:f>
      </x:c>
      <x:c r="CO79" s="35" t="n">
        <x:f>--AND(CO$3&gt;=$B$75,CO$3&lt;$B$76,'Вводные'!$B$90="Да")</x:f>
      </x:c>
      <x:c r="CP79" s="35" t="n">
        <x:f>--AND(CP$3&gt;=$B$75,CP$3&lt;$B$76,'Вводные'!$B$90="Да")</x:f>
      </x:c>
      <x:c r="CQ79" s="35" t="n">
        <x:f>--AND(CQ$3&gt;=$B$75,CQ$3&lt;$B$76,'Вводные'!$B$90="Да")</x:f>
      </x:c>
      <x:c r="CR79" s="35" t="n">
        <x:f>--AND(CR$3&gt;=$B$75,CR$3&lt;$B$76,'Вводные'!$B$90="Да")</x:f>
      </x:c>
      <x:c r="CS79" s="35" t="n">
        <x:f>--AND(CS$3&gt;=$B$75,CS$3&lt;$B$76,'Вводные'!$B$90="Да")</x:f>
      </x:c>
      <x:c r="CT79" s="35" t="n">
        <x:f>--AND(CT$3&gt;=$B$75,CT$3&lt;$B$76,'Вводные'!$B$90="Да")</x:f>
      </x:c>
      <x:c r="CU79" s="35" t="n">
        <x:f>--AND(CU$3&gt;=$B$75,CU$3&lt;$B$76,'Вводные'!$B$90="Да")</x:f>
      </x:c>
      <x:c r="CV79" s="35" t="n">
        <x:f>--AND(CV$3&gt;=$B$75,CV$3&lt;$B$76,'Вводные'!$B$90="Да")</x:f>
      </x:c>
      <x:c r="CW79" s="35" t="n">
        <x:f>--AND(CW$3&gt;=$B$75,CW$3&lt;$B$76,'Вводные'!$B$90="Да")</x:f>
      </x:c>
      <x:c r="CX79" s="35" t="n">
        <x:f>--AND(CX$3&gt;=$B$75,CX$3&lt;$B$76,'Вводные'!$B$90="Да")</x:f>
      </x:c>
      <x:c r="CY79" s="35" t="n">
        <x:f>--AND(CY$3&gt;=$B$75,CY$3&lt;$B$76,'Вводные'!$B$90="Да")</x:f>
      </x:c>
      <x:c r="CZ79" s="35" t="n">
        <x:f>--AND(CZ$3&gt;=$B$75,CZ$3&lt;$B$76,'Вводные'!$B$90="Да")</x:f>
      </x:c>
      <x:c r="DA79" s="35" t="n">
        <x:f>--AND(DA$3&gt;=$B$75,DA$3&lt;$B$76,'Вводные'!$B$90="Да")</x:f>
      </x:c>
      <x:c r="DB79" s="35" t="n">
        <x:f>--AND(DB$3&gt;=$B$75,DB$3&lt;$B$76,'Вводные'!$B$90="Да")</x:f>
      </x:c>
      <x:c r="DC79" s="35" t="n">
        <x:f>--AND(DC$3&gt;=$B$75,DC$3&lt;$B$76,'Вводные'!$B$90="Да")</x:f>
      </x:c>
      <x:c r="DD79" s="35" t="n">
        <x:f>--AND(DD$3&gt;=$B$75,DD$3&lt;$B$76,'Вводные'!$B$90="Да")</x:f>
      </x:c>
      <x:c r="DE79" s="35" t="n">
        <x:f>--AND(DE$3&gt;=$B$75,DE$3&lt;$B$76,'Вводные'!$B$90="Да")</x:f>
      </x:c>
      <x:c r="DF79" s="35" t="n">
        <x:f>--AND(DF$3&gt;=$B$75,DF$3&lt;$B$76,'Вводные'!$B$90="Да")</x:f>
      </x:c>
      <x:c r="DG79" s="35" t="n">
        <x:f>--AND(DG$3&gt;=$B$75,DG$3&lt;$B$76,'Вводные'!$B$90="Да")</x:f>
      </x:c>
      <x:c r="DH79" s="35" t="n">
        <x:f>--AND(DH$3&gt;=$B$75,DH$3&lt;$B$76,'Вводные'!$B$90="Да")</x:f>
      </x:c>
      <x:c r="DI79" s="35" t="n">
        <x:f>--AND(DI$3&gt;=$B$75,DI$3&lt;$B$76,'Вводные'!$B$90="Да")</x:f>
      </x:c>
      <x:c r="DJ79" s="35" t="n">
        <x:f>--AND(DJ$3&gt;=$B$75,DJ$3&lt;$B$76,'Вводные'!$B$90="Да")</x:f>
      </x:c>
      <x:c r="DK79" s="35" t="n">
        <x:f>--AND(DK$3&gt;=$B$75,DK$3&lt;$B$76,'Вводные'!$B$90="Да")</x:f>
      </x:c>
      <x:c r="DL79" s="35" t="n">
        <x:f>--AND(DL$3&gt;=$B$75,DL$3&lt;$B$76,'Вводные'!$B$90="Да")</x:f>
      </x:c>
      <x:c r="DM79" s="35" t="n">
        <x:f>--AND(DM$3&gt;=$B$75,DM$3&lt;$B$76,'Вводные'!$B$90="Да")</x:f>
      </x:c>
      <x:c r="DN79" s="35" t="n">
        <x:f>--AND(DN$3&gt;=$B$75,DN$3&lt;$B$76,'Вводные'!$B$90="Да")</x:f>
      </x:c>
      <x:c r="DO79" s="35" t="n">
        <x:f>--AND(DO$3&gt;=$B$75,DO$3&lt;$B$76,'Вводные'!$B$90="Да")</x:f>
      </x:c>
      <x:c r="DP79" s="35" t="n">
        <x:f>--AND(DP$3&gt;=$B$75,DP$3&lt;$B$76,'Вводные'!$B$90="Да")</x:f>
      </x:c>
      <x:c r="DQ79" s="35" t="n">
        <x:f>--AND(DQ$3&gt;=$B$75,DQ$3&lt;$B$76,'Вводные'!$B$90="Да")</x:f>
      </x:c>
      <x:c r="DR79" s="35" t="n">
        <x:f>--AND(DR$3&gt;=$B$75,DR$3&lt;$B$76,'Вводные'!$B$90="Да")</x:f>
      </x:c>
      <x:c r="DS79" s="35" t="n">
        <x:f>--AND(DS$3&gt;=$B$75,DS$3&lt;$B$76,'Вводные'!$B$90="Да")</x:f>
      </x:c>
      <x:c r="DT79" s="35" t="n">
        <x:f>--AND(DT$3&gt;=$B$75,DT$3&lt;$B$76,'Вводные'!$B$90="Да")</x:f>
      </x:c>
      <x:c r="DU79" s="35" t="n">
        <x:f>--AND(DU$3&gt;=$B$75,DU$3&lt;$B$76,'Вводные'!$B$90="Да")</x:f>
      </x:c>
      <x:c r="DV79" s="35" t="n">
        <x:f>--AND(DV$3&gt;=$B$75,DV$3&lt;$B$76,'Вводные'!$B$90="Да")</x:f>
      </x:c>
      <x:c r="DW79" s="35" t="n">
        <x:f>--AND(DW$3&gt;=$B$75,DW$3&lt;$B$76,'Вводные'!$B$90="Да")</x:f>
      </x:c>
      <x:c r="DX79" s="35" t="n">
        <x:f>--AND(DX$3&gt;=$B$75,DX$3&lt;$B$76,'Вводные'!$B$90="Да")</x:f>
      </x:c>
      <x:c r="DY79" s="35" t="n">
        <x:f>--AND(DY$3&gt;=$B$75,DY$3&lt;$B$76,'Вводные'!$B$90="Да")</x:f>
      </x:c>
      <x:c r="DZ79" s="35" t="n">
        <x:f>--AND(DZ$3&gt;=$B$75,DZ$3&lt;$B$76,'Вводные'!$B$90="Да")</x:f>
      </x:c>
      <x:c r="EA79" s="35" t="n">
        <x:f>--AND(EA$3&gt;=$B$75,EA$3&lt;$B$76,'Вводные'!$B$90="Да")</x:f>
      </x:c>
      <x:c r="EB79" s="35" t="n">
        <x:f>--AND(EB$3&gt;=$B$75,EB$3&lt;$B$76,'Вводные'!$B$90="Да")</x:f>
      </x:c>
      <x:c r="EC79" s="35" t="n">
        <x:f>--AND(EC$3&gt;=$B$75,EC$3&lt;$B$76,'Вводные'!$B$90="Да")</x:f>
      </x:c>
      <x:c r="ED79" s="35" t="n">
        <x:f>--AND(ED$3&gt;=$B$75,ED$3&lt;$B$76,'Вводные'!$B$90="Да")</x:f>
      </x:c>
      <x:c r="EE79" s="35" t="n">
        <x:f>--AND(EE$3&gt;=$B$75,EE$3&lt;$B$76,'Вводные'!$B$90="Да")</x:f>
      </x:c>
      <x:c r="EF79" s="35" t="n">
        <x:f>--AND(EF$3&gt;=$B$75,EF$3&lt;$B$76,'Вводные'!$B$90="Да")</x:f>
      </x:c>
      <x:c r="EG79" s="35" t="n">
        <x:f>--AND(EG$3&gt;=$B$75,EG$3&lt;$B$76,'Вводные'!$B$90="Да")</x:f>
      </x:c>
      <x:c r="EH79" s="35" t="n">
        <x:f>--AND(EH$3&gt;=$B$75,EH$3&lt;$B$76,'Вводные'!$B$90="Да")</x:f>
      </x:c>
      <x:c r="EI79" s="35" t="n">
        <x:f>--AND(EI$3&gt;=$B$75,EI$3&lt;$B$76,'Вводные'!$B$90="Да")</x:f>
      </x:c>
      <x:c r="EJ79" s="35" t="n">
        <x:f>--AND(EJ$3&gt;=$B$75,EJ$3&lt;$B$76,'Вводные'!$B$90="Да")</x:f>
      </x:c>
      <x:c r="EK79" s="35" t="n">
        <x:f>--AND(EK$3&gt;=$B$75,EK$3&lt;$B$76,'Вводные'!$B$90="Да")</x:f>
      </x:c>
      <x:c r="EL79" s="35" t="n">
        <x:f>--AND(EL$3&gt;=$B$75,EL$3&lt;$B$76,'Вводные'!$B$90="Да")</x:f>
      </x:c>
      <x:c r="EM79" s="35" t="n">
        <x:f>--AND(EM$3&gt;=$B$75,EM$3&lt;$B$76,'Вводные'!$B$90="Да")</x:f>
      </x:c>
      <x:c r="EN79" s="35" t="n">
        <x:f>--AND(EN$3&gt;=$B$75,EN$3&lt;$B$76,'Вводные'!$B$90="Да")</x:f>
      </x:c>
      <x:c r="EO79" s="35" t="n">
        <x:f>--AND(EO$3&gt;=$B$75,EO$3&lt;$B$76,'Вводные'!$B$90="Да")</x:f>
      </x:c>
      <x:c r="EP79" s="35" t="n">
        <x:f>--AND(EP$3&gt;=$B$75,EP$3&lt;$B$76,'Вводные'!$B$90="Да")</x:f>
      </x:c>
      <x:c r="EQ79" s="35" t="n">
        <x:f>--AND(EQ$3&gt;=$B$75,EQ$3&lt;$B$76,'Вводные'!$B$90="Да")</x:f>
      </x:c>
      <x:c r="ER79" s="35" t="n">
        <x:f>--AND(ER$3&gt;=$B$75,ER$3&lt;$B$76,'Вводные'!$B$90="Да")</x:f>
      </x:c>
      <x:c r="ES79" s="35" t="n">
        <x:f>--AND(ES$3&gt;=$B$75,ES$3&lt;$B$76,'Вводные'!$B$90="Да")</x:f>
      </x:c>
      <x:c r="ET79" s="35" t="n">
        <x:f>--AND(ET$3&gt;=$B$75,ET$3&lt;$B$76,'Вводные'!$B$90="Да")</x:f>
      </x:c>
      <x:c r="EU79" s="35" t="n">
        <x:f>--AND(EU$3&gt;=$B$75,EU$3&lt;$B$76,'Вводные'!$B$90="Да")</x:f>
      </x:c>
      <x:c r="EV79" s="35" t="n">
        <x:f>--AND(EV$3&gt;=$B$75,EV$3&lt;$B$76,'Вводные'!$B$90="Да")</x:f>
      </x:c>
      <x:c r="EW79" s="35" t="n">
        <x:f>--AND(EW$3&gt;=$B$75,EW$3&lt;$B$76,'Вводные'!$B$90="Да")</x:f>
      </x:c>
      <x:c r="EX79" s="35" t="n">
        <x:f>--AND(EX$3&gt;=$B$75,EX$3&lt;$B$76,'Вводные'!$B$90="Да")</x:f>
      </x:c>
      <x:c r="EY79" s="35" t="n">
        <x:f>--AND(EY$3&gt;=$B$75,EY$3&lt;$B$76,'Вводные'!$B$90="Да")</x:f>
      </x:c>
      <x:c r="EZ79" s="35" t="n">
        <x:f>--AND(EZ$3&gt;=$B$75,EZ$3&lt;$B$76,'Вводные'!$B$90="Да")</x:f>
      </x:c>
      <x:c r="FA79" s="35" t="n">
        <x:f>--AND(FA$3&gt;=$B$75,FA$3&lt;$B$76,'Вводные'!$B$90="Да")</x:f>
      </x:c>
      <x:c r="FB79" s="35" t="n">
        <x:f>--AND(FB$3&gt;=$B$75,FB$3&lt;$B$76,'Вводные'!$B$90="Да")</x:f>
      </x:c>
      <x:c r="FC79" s="35" t="n">
        <x:f>--AND(FC$3&gt;=$B$75,FC$3&lt;$B$76,'Вводные'!$B$90="Да")</x:f>
      </x:c>
      <x:c r="FD79" s="35" t="n">
        <x:f>--AND(FD$3&gt;=$B$75,FD$3&lt;$B$76,'Вводные'!$B$90="Да")</x:f>
      </x:c>
      <x:c r="FE79" s="35" t="n">
        <x:f>--AND(FE$3&gt;=$B$75,FE$3&lt;$B$76,'Вводные'!$B$90="Да")</x:f>
      </x:c>
      <x:c r="FF79" s="35" t="n">
        <x:f>--AND(FF$3&gt;=$B$75,FF$3&lt;$B$76,'Вводные'!$B$90="Да")</x:f>
      </x:c>
      <x:c r="FG79" s="35" t="n">
        <x:f>--AND(FG$3&gt;=$B$75,FG$3&lt;$B$76,'Вводные'!$B$90="Да")</x:f>
      </x:c>
      <x:c r="FH79" s="35" t="n">
        <x:f>--AND(FH$3&gt;=$B$75,FH$3&lt;$B$76,'Вводные'!$B$90="Да")</x:f>
      </x:c>
      <x:c r="FI79" s="35" t="n">
        <x:f>--AND(FI$3&gt;=$B$75,FI$3&lt;$B$76,'Вводные'!$B$90="Да")</x:f>
      </x:c>
      <x:c r="FJ79" s="35" t="n">
        <x:f>--AND(FJ$3&gt;=$B$75,FJ$3&lt;$B$76,'Вводные'!$B$90="Да")</x:f>
      </x:c>
      <x:c r="FK79" s="35" t="n">
        <x:f>--AND(FK$3&gt;=$B$75,FK$3&lt;$B$76,'Вводные'!$B$90="Да")</x:f>
      </x:c>
      <x:c r="FL79" s="35" t="n">
        <x:f>--AND(FL$3&gt;=$B$75,FL$3&lt;$B$76,'Вводные'!$B$90="Да")</x:f>
      </x:c>
      <x:c r="FM79" s="35" t="n">
        <x:f>--AND(FM$3&gt;=$B$75,FM$3&lt;$B$76,'Вводные'!$B$90="Да")</x:f>
      </x:c>
      <x:c r="FN79" s="35" t="n">
        <x:f>--AND(FN$3&gt;=$B$75,FN$3&lt;$B$76,'Вводные'!$B$90="Да")</x:f>
      </x:c>
      <x:c r="FO79" s="35" t="n">
        <x:f>--AND(FO$3&gt;=$B$75,FO$3&lt;$B$76,'Вводные'!$B$90="Да")</x:f>
      </x:c>
      <x:c r="FP79" s="35" t="n">
        <x:f>--AND(FP$3&gt;=$B$75,FP$3&lt;$B$76,'Вводные'!$B$90="Да")</x:f>
      </x:c>
      <x:c r="FQ79" s="35" t="n">
        <x:f>--AND(FQ$3&gt;=$B$75,FQ$3&lt;$B$76,'Вводные'!$B$90="Да")</x:f>
      </x:c>
      <x:c r="FR79" s="35" t="n">
        <x:f>--AND(FR$3&gt;=$B$75,FR$3&lt;$B$76,'Вводные'!$B$90="Да")</x:f>
      </x:c>
      <x:c r="FS79" s="35" t="n">
        <x:f>--AND(FS$3&gt;=$B$75,FS$3&lt;$B$76,'Вводные'!$B$90="Да")</x:f>
      </x:c>
      <x:c r="FT79" s="35" t="n">
        <x:f>--AND(FT$3&gt;=$B$75,FT$3&lt;$B$76,'Вводные'!$B$90="Да")</x:f>
      </x:c>
      <x:c r="FU79" s="35" t="n">
        <x:f>--AND(FU$3&gt;=$B$75,FU$3&lt;$B$76,'Вводные'!$B$90="Да")</x:f>
      </x:c>
      <x:c r="FV79" s="35" t="n">
        <x:f>--AND(FV$3&gt;=$B$75,FV$3&lt;$B$76,'Вводные'!$B$90="Да")</x:f>
      </x:c>
      <x:c r="FW79" s="35" t="n">
        <x:f>--AND(FW$3&gt;=$B$75,FW$3&lt;$B$76,'Вводные'!$B$90="Да")</x:f>
      </x:c>
      <x:c r="FX79" s="35" t="n">
        <x:f>--AND(FX$3&gt;=$B$75,FX$3&lt;$B$76,'Вводные'!$B$90="Да")</x:f>
      </x:c>
      <x:c r="FY79" s="35" t="n">
        <x:f>--AND(FY$3&gt;=$B$75,FY$3&lt;$B$76,'Вводные'!$B$90="Да")</x:f>
      </x:c>
      <x:c r="FZ79" s="35" t="n">
        <x:f>--AND(FZ$3&gt;=$B$75,FZ$3&lt;$B$76,'Вводные'!$B$90="Да")</x:f>
      </x:c>
      <x:c r="GA79" s="35" t="n">
        <x:f>--AND(GA$3&gt;=$B$75,GA$3&lt;$B$76,'Вводные'!$B$90="Да")</x:f>
      </x:c>
    </x:row>
    <x:row r="80">
      <x:c r="A80" t="str">
        <x:v>Вес S-кривой</x:v>
      </x:c>
      <x:c r="B80"/>
      <x:c r="C80" t="str">
        <x:v>вес</x:v>
      </x:c>
      <x:c r="D80" s="35" t="n">
        <x:f>IF(D79=0,0,IF((12*(YEAR(D$3)-YEAR($B$75))+MONTH(D$3)-MONTH($B$75)+1)/MAX(1,'Вводные'!$F$90)&lt;=0.2,0.6,IF((12*(YEAR(D$3)-YEAR($B$75))+MONTH(D$3)-MONTH($B$75)+1)/MAX(1,'Вводные'!$F$90)&lt;=0.8,1.2,0.8)))</x:f>
      </x:c>
      <x:c r="E80" s="35" t="n">
        <x:f>IF(E79=0,0,IF((12*(YEAR(E$3)-YEAR($B$75))+MONTH(E$3)-MONTH($B$75)+1)/MAX(1,'Вводные'!$F$90)&lt;=0.2,0.6,IF((12*(YEAR(E$3)-YEAR($B$75))+MONTH(E$3)-MONTH($B$75)+1)/MAX(1,'Вводные'!$F$90)&lt;=0.8,1.2,0.8)))</x:f>
      </x:c>
      <x:c r="F80" s="35" t="n">
        <x:f>IF(F79=0,0,IF((12*(YEAR(F$3)-YEAR($B$75))+MONTH(F$3)-MONTH($B$75)+1)/MAX(1,'Вводные'!$F$90)&lt;=0.2,0.6,IF((12*(YEAR(F$3)-YEAR($B$75))+MONTH(F$3)-MONTH($B$75)+1)/MAX(1,'Вводные'!$F$90)&lt;=0.8,1.2,0.8)))</x:f>
      </x:c>
      <x:c r="G80" s="35" t="n">
        <x:f>IF(G79=0,0,IF((12*(YEAR(G$3)-YEAR($B$75))+MONTH(G$3)-MONTH($B$75)+1)/MAX(1,'Вводные'!$F$90)&lt;=0.2,0.6,IF((12*(YEAR(G$3)-YEAR($B$75))+MONTH(G$3)-MONTH($B$75)+1)/MAX(1,'Вводные'!$F$90)&lt;=0.8,1.2,0.8)))</x:f>
      </x:c>
      <x:c r="H80" s="35" t="n">
        <x:f>IF(H79=0,0,IF((12*(YEAR(H$3)-YEAR($B$75))+MONTH(H$3)-MONTH($B$75)+1)/MAX(1,'Вводные'!$F$90)&lt;=0.2,0.6,IF((12*(YEAR(H$3)-YEAR($B$75))+MONTH(H$3)-MONTH($B$75)+1)/MAX(1,'Вводные'!$F$90)&lt;=0.8,1.2,0.8)))</x:f>
      </x:c>
      <x:c r="I80" s="35" t="n">
        <x:f>IF(I79=0,0,IF((12*(YEAR(I$3)-YEAR($B$75))+MONTH(I$3)-MONTH($B$75)+1)/MAX(1,'Вводные'!$F$90)&lt;=0.2,0.6,IF((12*(YEAR(I$3)-YEAR($B$75))+MONTH(I$3)-MONTH($B$75)+1)/MAX(1,'Вводные'!$F$90)&lt;=0.8,1.2,0.8)))</x:f>
      </x:c>
      <x:c r="J80" s="35" t="n">
        <x:f>IF(J79=0,0,IF((12*(YEAR(J$3)-YEAR($B$75))+MONTH(J$3)-MONTH($B$75)+1)/MAX(1,'Вводные'!$F$90)&lt;=0.2,0.6,IF((12*(YEAR(J$3)-YEAR($B$75))+MONTH(J$3)-MONTH($B$75)+1)/MAX(1,'Вводные'!$F$90)&lt;=0.8,1.2,0.8)))</x:f>
      </x:c>
      <x:c r="K80" s="35" t="n">
        <x:f>IF(K79=0,0,IF((12*(YEAR(K$3)-YEAR($B$75))+MONTH(K$3)-MONTH($B$75)+1)/MAX(1,'Вводные'!$F$90)&lt;=0.2,0.6,IF((12*(YEAR(K$3)-YEAR($B$75))+MONTH(K$3)-MONTH($B$75)+1)/MAX(1,'Вводные'!$F$90)&lt;=0.8,1.2,0.8)))</x:f>
      </x:c>
      <x:c r="L80" s="35" t="n">
        <x:f>IF(L79=0,0,IF((12*(YEAR(L$3)-YEAR($B$75))+MONTH(L$3)-MONTH($B$75)+1)/MAX(1,'Вводные'!$F$90)&lt;=0.2,0.6,IF((12*(YEAR(L$3)-YEAR($B$75))+MONTH(L$3)-MONTH($B$75)+1)/MAX(1,'Вводные'!$F$90)&lt;=0.8,1.2,0.8)))</x:f>
      </x:c>
      <x:c r="M80" s="35" t="n">
        <x:f>IF(M79=0,0,IF((12*(YEAR(M$3)-YEAR($B$75))+MONTH(M$3)-MONTH($B$75)+1)/MAX(1,'Вводные'!$F$90)&lt;=0.2,0.6,IF((12*(YEAR(M$3)-YEAR($B$75))+MONTH(M$3)-MONTH($B$75)+1)/MAX(1,'Вводные'!$F$90)&lt;=0.8,1.2,0.8)))</x:f>
      </x:c>
      <x:c r="N80" s="35" t="n">
        <x:f>IF(N79=0,0,IF((12*(YEAR(N$3)-YEAR($B$75))+MONTH(N$3)-MONTH($B$75)+1)/MAX(1,'Вводные'!$F$90)&lt;=0.2,0.6,IF((12*(YEAR(N$3)-YEAR($B$75))+MONTH(N$3)-MONTH($B$75)+1)/MAX(1,'Вводные'!$F$90)&lt;=0.8,1.2,0.8)))</x:f>
      </x:c>
      <x:c r="O80" s="35" t="n">
        <x:f>IF(O79=0,0,IF((12*(YEAR(O$3)-YEAR($B$75))+MONTH(O$3)-MONTH($B$75)+1)/MAX(1,'Вводные'!$F$90)&lt;=0.2,0.6,IF((12*(YEAR(O$3)-YEAR($B$75))+MONTH(O$3)-MONTH($B$75)+1)/MAX(1,'Вводные'!$F$90)&lt;=0.8,1.2,0.8)))</x:f>
      </x:c>
      <x:c r="P80" s="35" t="n">
        <x:f>IF(P79=0,0,IF((12*(YEAR(P$3)-YEAR($B$75))+MONTH(P$3)-MONTH($B$75)+1)/MAX(1,'Вводные'!$F$90)&lt;=0.2,0.6,IF((12*(YEAR(P$3)-YEAR($B$75))+MONTH(P$3)-MONTH($B$75)+1)/MAX(1,'Вводные'!$F$90)&lt;=0.8,1.2,0.8)))</x:f>
      </x:c>
      <x:c r="Q80" s="35" t="n">
        <x:f>IF(Q79=0,0,IF((12*(YEAR(Q$3)-YEAR($B$75))+MONTH(Q$3)-MONTH($B$75)+1)/MAX(1,'Вводные'!$F$90)&lt;=0.2,0.6,IF((12*(YEAR(Q$3)-YEAR($B$75))+MONTH(Q$3)-MONTH($B$75)+1)/MAX(1,'Вводные'!$F$90)&lt;=0.8,1.2,0.8)))</x:f>
      </x:c>
      <x:c r="R80" s="35" t="n">
        <x:f>IF(R79=0,0,IF((12*(YEAR(R$3)-YEAR($B$75))+MONTH(R$3)-MONTH($B$75)+1)/MAX(1,'Вводные'!$F$90)&lt;=0.2,0.6,IF((12*(YEAR(R$3)-YEAR($B$75))+MONTH(R$3)-MONTH($B$75)+1)/MAX(1,'Вводные'!$F$90)&lt;=0.8,1.2,0.8)))</x:f>
      </x:c>
      <x:c r="S80" s="35" t="n">
        <x:f>IF(S79=0,0,IF((12*(YEAR(S$3)-YEAR($B$75))+MONTH(S$3)-MONTH($B$75)+1)/MAX(1,'Вводные'!$F$90)&lt;=0.2,0.6,IF((12*(YEAR(S$3)-YEAR($B$75))+MONTH(S$3)-MONTH($B$75)+1)/MAX(1,'Вводные'!$F$90)&lt;=0.8,1.2,0.8)))</x:f>
      </x:c>
      <x:c r="T80" s="35" t="n">
        <x:f>IF(T79=0,0,IF((12*(YEAR(T$3)-YEAR($B$75))+MONTH(T$3)-MONTH($B$75)+1)/MAX(1,'Вводные'!$F$90)&lt;=0.2,0.6,IF((12*(YEAR(T$3)-YEAR($B$75))+MONTH(T$3)-MONTH($B$75)+1)/MAX(1,'Вводные'!$F$90)&lt;=0.8,1.2,0.8)))</x:f>
      </x:c>
      <x:c r="U80" s="35" t="n">
        <x:f>IF(U79=0,0,IF((12*(YEAR(U$3)-YEAR($B$75))+MONTH(U$3)-MONTH($B$75)+1)/MAX(1,'Вводные'!$F$90)&lt;=0.2,0.6,IF((12*(YEAR(U$3)-YEAR($B$75))+MONTH(U$3)-MONTH($B$75)+1)/MAX(1,'Вводные'!$F$90)&lt;=0.8,1.2,0.8)))</x:f>
      </x:c>
      <x:c r="V80" s="35" t="n">
        <x:f>IF(V79=0,0,IF((12*(YEAR(V$3)-YEAR($B$75))+MONTH(V$3)-MONTH($B$75)+1)/MAX(1,'Вводные'!$F$90)&lt;=0.2,0.6,IF((12*(YEAR(V$3)-YEAR($B$75))+MONTH(V$3)-MONTH($B$75)+1)/MAX(1,'Вводные'!$F$90)&lt;=0.8,1.2,0.8)))</x:f>
      </x:c>
      <x:c r="W80" s="35" t="n">
        <x:f>IF(W79=0,0,IF((12*(YEAR(W$3)-YEAR($B$75))+MONTH(W$3)-MONTH($B$75)+1)/MAX(1,'Вводные'!$F$90)&lt;=0.2,0.6,IF((12*(YEAR(W$3)-YEAR($B$75))+MONTH(W$3)-MONTH($B$75)+1)/MAX(1,'Вводные'!$F$90)&lt;=0.8,1.2,0.8)))</x:f>
      </x:c>
      <x:c r="X80" s="35" t="n">
        <x:f>IF(X79=0,0,IF((12*(YEAR(X$3)-YEAR($B$75))+MONTH(X$3)-MONTH($B$75)+1)/MAX(1,'Вводные'!$F$90)&lt;=0.2,0.6,IF((12*(YEAR(X$3)-YEAR($B$75))+MONTH(X$3)-MONTH($B$75)+1)/MAX(1,'Вводные'!$F$90)&lt;=0.8,1.2,0.8)))</x:f>
      </x:c>
      <x:c r="Y80" s="35" t="n">
        <x:f>IF(Y79=0,0,IF((12*(YEAR(Y$3)-YEAR($B$75))+MONTH(Y$3)-MONTH($B$75)+1)/MAX(1,'Вводные'!$F$90)&lt;=0.2,0.6,IF((12*(YEAR(Y$3)-YEAR($B$75))+MONTH(Y$3)-MONTH($B$75)+1)/MAX(1,'Вводные'!$F$90)&lt;=0.8,1.2,0.8)))</x:f>
      </x:c>
      <x:c r="Z80" s="35" t="n">
        <x:f>IF(Z79=0,0,IF((12*(YEAR(Z$3)-YEAR($B$75))+MONTH(Z$3)-MONTH($B$75)+1)/MAX(1,'Вводные'!$F$90)&lt;=0.2,0.6,IF((12*(YEAR(Z$3)-YEAR($B$75))+MONTH(Z$3)-MONTH($B$75)+1)/MAX(1,'Вводные'!$F$90)&lt;=0.8,1.2,0.8)))</x:f>
      </x:c>
      <x:c r="AA80" s="35" t="n">
        <x:f>IF(AA79=0,0,IF((12*(YEAR(AA$3)-YEAR($B$75))+MONTH(AA$3)-MONTH($B$75)+1)/MAX(1,'Вводные'!$F$90)&lt;=0.2,0.6,IF((12*(YEAR(AA$3)-YEAR($B$75))+MONTH(AA$3)-MONTH($B$75)+1)/MAX(1,'Вводные'!$F$90)&lt;=0.8,1.2,0.8)))</x:f>
      </x:c>
      <x:c r="AB80" s="35" t="n">
        <x:f>IF(AB79=0,0,IF((12*(YEAR(AB$3)-YEAR($B$75))+MONTH(AB$3)-MONTH($B$75)+1)/MAX(1,'Вводные'!$F$90)&lt;=0.2,0.6,IF((12*(YEAR(AB$3)-YEAR($B$75))+MONTH(AB$3)-MONTH($B$75)+1)/MAX(1,'Вводные'!$F$90)&lt;=0.8,1.2,0.8)))</x:f>
      </x:c>
      <x:c r="AC80" s="35" t="n">
        <x:f>IF(AC79=0,0,IF((12*(YEAR(AC$3)-YEAR($B$75))+MONTH(AC$3)-MONTH($B$75)+1)/MAX(1,'Вводные'!$F$90)&lt;=0.2,0.6,IF((12*(YEAR(AC$3)-YEAR($B$75))+MONTH(AC$3)-MONTH($B$75)+1)/MAX(1,'Вводные'!$F$90)&lt;=0.8,1.2,0.8)))</x:f>
      </x:c>
      <x:c r="AD80" s="35" t="n">
        <x:f>IF(AD79=0,0,IF((12*(YEAR(AD$3)-YEAR($B$75))+MONTH(AD$3)-MONTH($B$75)+1)/MAX(1,'Вводные'!$F$90)&lt;=0.2,0.6,IF((12*(YEAR(AD$3)-YEAR($B$75))+MONTH(AD$3)-MONTH($B$75)+1)/MAX(1,'Вводные'!$F$90)&lt;=0.8,1.2,0.8)))</x:f>
      </x:c>
      <x:c r="AE80" s="35" t="n">
        <x:f>IF(AE79=0,0,IF((12*(YEAR(AE$3)-YEAR($B$75))+MONTH(AE$3)-MONTH($B$75)+1)/MAX(1,'Вводные'!$F$90)&lt;=0.2,0.6,IF((12*(YEAR(AE$3)-YEAR($B$75))+MONTH(AE$3)-MONTH($B$75)+1)/MAX(1,'Вводные'!$F$90)&lt;=0.8,1.2,0.8)))</x:f>
      </x:c>
      <x:c r="AF80" s="35" t="n">
        <x:f>IF(AF79=0,0,IF((12*(YEAR(AF$3)-YEAR($B$75))+MONTH(AF$3)-MONTH($B$75)+1)/MAX(1,'Вводные'!$F$90)&lt;=0.2,0.6,IF((12*(YEAR(AF$3)-YEAR($B$75))+MONTH(AF$3)-MONTH($B$75)+1)/MAX(1,'Вводные'!$F$90)&lt;=0.8,1.2,0.8)))</x:f>
      </x:c>
      <x:c r="AG80" s="35" t="n">
        <x:f>IF(AG79=0,0,IF((12*(YEAR(AG$3)-YEAR($B$75))+MONTH(AG$3)-MONTH($B$75)+1)/MAX(1,'Вводные'!$F$90)&lt;=0.2,0.6,IF((12*(YEAR(AG$3)-YEAR($B$75))+MONTH(AG$3)-MONTH($B$75)+1)/MAX(1,'Вводные'!$F$90)&lt;=0.8,1.2,0.8)))</x:f>
      </x:c>
      <x:c r="AH80" s="35" t="n">
        <x:f>IF(AH79=0,0,IF((12*(YEAR(AH$3)-YEAR($B$75))+MONTH(AH$3)-MONTH($B$75)+1)/MAX(1,'Вводные'!$F$90)&lt;=0.2,0.6,IF((12*(YEAR(AH$3)-YEAR($B$75))+MONTH(AH$3)-MONTH($B$75)+1)/MAX(1,'Вводные'!$F$90)&lt;=0.8,1.2,0.8)))</x:f>
      </x:c>
      <x:c r="AI80" s="35" t="n">
        <x:f>IF(AI79=0,0,IF((12*(YEAR(AI$3)-YEAR($B$75))+MONTH(AI$3)-MONTH($B$75)+1)/MAX(1,'Вводные'!$F$90)&lt;=0.2,0.6,IF((12*(YEAR(AI$3)-YEAR($B$75))+MONTH(AI$3)-MONTH($B$75)+1)/MAX(1,'Вводные'!$F$90)&lt;=0.8,1.2,0.8)))</x:f>
      </x:c>
      <x:c r="AJ80" s="35" t="n">
        <x:f>IF(AJ79=0,0,IF((12*(YEAR(AJ$3)-YEAR($B$75))+MONTH(AJ$3)-MONTH($B$75)+1)/MAX(1,'Вводные'!$F$90)&lt;=0.2,0.6,IF((12*(YEAR(AJ$3)-YEAR($B$75))+MONTH(AJ$3)-MONTH($B$75)+1)/MAX(1,'Вводные'!$F$90)&lt;=0.8,1.2,0.8)))</x:f>
      </x:c>
      <x:c r="AK80" s="35" t="n">
        <x:f>IF(AK79=0,0,IF((12*(YEAR(AK$3)-YEAR($B$75))+MONTH(AK$3)-MONTH($B$75)+1)/MAX(1,'Вводные'!$F$90)&lt;=0.2,0.6,IF((12*(YEAR(AK$3)-YEAR($B$75))+MONTH(AK$3)-MONTH($B$75)+1)/MAX(1,'Вводные'!$F$90)&lt;=0.8,1.2,0.8)))</x:f>
      </x:c>
      <x:c r="AL80" s="35" t="n">
        <x:f>IF(AL79=0,0,IF((12*(YEAR(AL$3)-YEAR($B$75))+MONTH(AL$3)-MONTH($B$75)+1)/MAX(1,'Вводные'!$F$90)&lt;=0.2,0.6,IF((12*(YEAR(AL$3)-YEAR($B$75))+MONTH(AL$3)-MONTH($B$75)+1)/MAX(1,'Вводные'!$F$90)&lt;=0.8,1.2,0.8)))</x:f>
      </x:c>
      <x:c r="AM80" s="35" t="n">
        <x:f>IF(AM79=0,0,IF((12*(YEAR(AM$3)-YEAR($B$75))+MONTH(AM$3)-MONTH($B$75)+1)/MAX(1,'Вводные'!$F$90)&lt;=0.2,0.6,IF((12*(YEAR(AM$3)-YEAR($B$75))+MONTH(AM$3)-MONTH($B$75)+1)/MAX(1,'Вводные'!$F$90)&lt;=0.8,1.2,0.8)))</x:f>
      </x:c>
      <x:c r="AN80" s="35" t="n">
        <x:f>IF(AN79=0,0,IF((12*(YEAR(AN$3)-YEAR($B$75))+MONTH(AN$3)-MONTH($B$75)+1)/MAX(1,'Вводные'!$F$90)&lt;=0.2,0.6,IF((12*(YEAR(AN$3)-YEAR($B$75))+MONTH(AN$3)-MONTH($B$75)+1)/MAX(1,'Вводные'!$F$90)&lt;=0.8,1.2,0.8)))</x:f>
      </x:c>
      <x:c r="AO80" s="35" t="n">
        <x:f>IF(AO79=0,0,IF((12*(YEAR(AO$3)-YEAR($B$75))+MONTH(AO$3)-MONTH($B$75)+1)/MAX(1,'Вводные'!$F$90)&lt;=0.2,0.6,IF((12*(YEAR(AO$3)-YEAR($B$75))+MONTH(AO$3)-MONTH($B$75)+1)/MAX(1,'Вводные'!$F$90)&lt;=0.8,1.2,0.8)))</x:f>
      </x:c>
      <x:c r="AP80" s="35" t="n">
        <x:f>IF(AP79=0,0,IF((12*(YEAR(AP$3)-YEAR($B$75))+MONTH(AP$3)-MONTH($B$75)+1)/MAX(1,'Вводные'!$F$90)&lt;=0.2,0.6,IF((12*(YEAR(AP$3)-YEAR($B$75))+MONTH(AP$3)-MONTH($B$75)+1)/MAX(1,'Вводные'!$F$90)&lt;=0.8,1.2,0.8)))</x:f>
      </x:c>
      <x:c r="AQ80" s="35" t="n">
        <x:f>IF(AQ79=0,0,IF((12*(YEAR(AQ$3)-YEAR($B$75))+MONTH(AQ$3)-MONTH($B$75)+1)/MAX(1,'Вводные'!$F$90)&lt;=0.2,0.6,IF((12*(YEAR(AQ$3)-YEAR($B$75))+MONTH(AQ$3)-MONTH($B$75)+1)/MAX(1,'Вводные'!$F$90)&lt;=0.8,1.2,0.8)))</x:f>
      </x:c>
      <x:c r="AR80" s="35" t="n">
        <x:f>IF(AR79=0,0,IF((12*(YEAR(AR$3)-YEAR($B$75))+MONTH(AR$3)-MONTH($B$75)+1)/MAX(1,'Вводные'!$F$90)&lt;=0.2,0.6,IF((12*(YEAR(AR$3)-YEAR($B$75))+MONTH(AR$3)-MONTH($B$75)+1)/MAX(1,'Вводные'!$F$90)&lt;=0.8,1.2,0.8)))</x:f>
      </x:c>
      <x:c r="AS80" s="35" t="n">
        <x:f>IF(AS79=0,0,IF((12*(YEAR(AS$3)-YEAR($B$75))+MONTH(AS$3)-MONTH($B$75)+1)/MAX(1,'Вводные'!$F$90)&lt;=0.2,0.6,IF((12*(YEAR(AS$3)-YEAR($B$75))+MONTH(AS$3)-MONTH($B$75)+1)/MAX(1,'Вводные'!$F$90)&lt;=0.8,1.2,0.8)))</x:f>
      </x:c>
      <x:c r="AT80" s="35" t="n">
        <x:f>IF(AT79=0,0,IF((12*(YEAR(AT$3)-YEAR($B$75))+MONTH(AT$3)-MONTH($B$75)+1)/MAX(1,'Вводные'!$F$90)&lt;=0.2,0.6,IF((12*(YEAR(AT$3)-YEAR($B$75))+MONTH(AT$3)-MONTH($B$75)+1)/MAX(1,'Вводные'!$F$90)&lt;=0.8,1.2,0.8)))</x:f>
      </x:c>
      <x:c r="AU80" s="35" t="n">
        <x:f>IF(AU79=0,0,IF((12*(YEAR(AU$3)-YEAR($B$75))+MONTH(AU$3)-MONTH($B$75)+1)/MAX(1,'Вводные'!$F$90)&lt;=0.2,0.6,IF((12*(YEAR(AU$3)-YEAR($B$75))+MONTH(AU$3)-MONTH($B$75)+1)/MAX(1,'Вводные'!$F$90)&lt;=0.8,1.2,0.8)))</x:f>
      </x:c>
      <x:c r="AV80" s="35" t="n">
        <x:f>IF(AV79=0,0,IF((12*(YEAR(AV$3)-YEAR($B$75))+MONTH(AV$3)-MONTH($B$75)+1)/MAX(1,'Вводные'!$F$90)&lt;=0.2,0.6,IF((12*(YEAR(AV$3)-YEAR($B$75))+MONTH(AV$3)-MONTH($B$75)+1)/MAX(1,'Вводные'!$F$90)&lt;=0.8,1.2,0.8)))</x:f>
      </x:c>
      <x:c r="AW80" s="35" t="n">
        <x:f>IF(AW79=0,0,IF((12*(YEAR(AW$3)-YEAR($B$75))+MONTH(AW$3)-MONTH($B$75)+1)/MAX(1,'Вводные'!$F$90)&lt;=0.2,0.6,IF((12*(YEAR(AW$3)-YEAR($B$75))+MONTH(AW$3)-MONTH($B$75)+1)/MAX(1,'Вводные'!$F$90)&lt;=0.8,1.2,0.8)))</x:f>
      </x:c>
      <x:c r="AX80" s="35" t="n">
        <x:f>IF(AX79=0,0,IF((12*(YEAR(AX$3)-YEAR($B$75))+MONTH(AX$3)-MONTH($B$75)+1)/MAX(1,'Вводные'!$F$90)&lt;=0.2,0.6,IF((12*(YEAR(AX$3)-YEAR($B$75))+MONTH(AX$3)-MONTH($B$75)+1)/MAX(1,'Вводные'!$F$90)&lt;=0.8,1.2,0.8)))</x:f>
      </x:c>
      <x:c r="AY80" s="35" t="n">
        <x:f>IF(AY79=0,0,IF((12*(YEAR(AY$3)-YEAR($B$75))+MONTH(AY$3)-MONTH($B$75)+1)/MAX(1,'Вводные'!$F$90)&lt;=0.2,0.6,IF((12*(YEAR(AY$3)-YEAR($B$75))+MONTH(AY$3)-MONTH($B$75)+1)/MAX(1,'Вводные'!$F$90)&lt;=0.8,1.2,0.8)))</x:f>
      </x:c>
      <x:c r="AZ80" s="35" t="n">
        <x:f>IF(AZ79=0,0,IF((12*(YEAR(AZ$3)-YEAR($B$75))+MONTH(AZ$3)-MONTH($B$75)+1)/MAX(1,'Вводные'!$F$90)&lt;=0.2,0.6,IF((12*(YEAR(AZ$3)-YEAR($B$75))+MONTH(AZ$3)-MONTH($B$75)+1)/MAX(1,'Вводные'!$F$90)&lt;=0.8,1.2,0.8)))</x:f>
      </x:c>
      <x:c r="BA80" s="35" t="n">
        <x:f>IF(BA79=0,0,IF((12*(YEAR(BA$3)-YEAR($B$75))+MONTH(BA$3)-MONTH($B$75)+1)/MAX(1,'Вводные'!$F$90)&lt;=0.2,0.6,IF((12*(YEAR(BA$3)-YEAR($B$75))+MONTH(BA$3)-MONTH($B$75)+1)/MAX(1,'Вводные'!$F$90)&lt;=0.8,1.2,0.8)))</x:f>
      </x:c>
      <x:c r="BB80" s="35" t="n">
        <x:f>IF(BB79=0,0,IF((12*(YEAR(BB$3)-YEAR($B$75))+MONTH(BB$3)-MONTH($B$75)+1)/MAX(1,'Вводные'!$F$90)&lt;=0.2,0.6,IF((12*(YEAR(BB$3)-YEAR($B$75))+MONTH(BB$3)-MONTH($B$75)+1)/MAX(1,'Вводные'!$F$90)&lt;=0.8,1.2,0.8)))</x:f>
      </x:c>
      <x:c r="BC80" s="35" t="n">
        <x:f>IF(BC79=0,0,IF((12*(YEAR(BC$3)-YEAR($B$75))+MONTH(BC$3)-MONTH($B$75)+1)/MAX(1,'Вводные'!$F$90)&lt;=0.2,0.6,IF((12*(YEAR(BC$3)-YEAR($B$75))+MONTH(BC$3)-MONTH($B$75)+1)/MAX(1,'Вводные'!$F$90)&lt;=0.8,1.2,0.8)))</x:f>
      </x:c>
      <x:c r="BD80" s="35" t="n">
        <x:f>IF(BD79=0,0,IF((12*(YEAR(BD$3)-YEAR($B$75))+MONTH(BD$3)-MONTH($B$75)+1)/MAX(1,'Вводные'!$F$90)&lt;=0.2,0.6,IF((12*(YEAR(BD$3)-YEAR($B$75))+MONTH(BD$3)-MONTH($B$75)+1)/MAX(1,'Вводные'!$F$90)&lt;=0.8,1.2,0.8)))</x:f>
      </x:c>
      <x:c r="BE80" s="35" t="n">
        <x:f>IF(BE79=0,0,IF((12*(YEAR(BE$3)-YEAR($B$75))+MONTH(BE$3)-MONTH($B$75)+1)/MAX(1,'Вводные'!$F$90)&lt;=0.2,0.6,IF((12*(YEAR(BE$3)-YEAR($B$75))+MONTH(BE$3)-MONTH($B$75)+1)/MAX(1,'Вводные'!$F$90)&lt;=0.8,1.2,0.8)))</x:f>
      </x:c>
      <x:c r="BF80" s="35" t="n">
        <x:f>IF(BF79=0,0,IF((12*(YEAR(BF$3)-YEAR($B$75))+MONTH(BF$3)-MONTH($B$75)+1)/MAX(1,'Вводные'!$F$90)&lt;=0.2,0.6,IF((12*(YEAR(BF$3)-YEAR($B$75))+MONTH(BF$3)-MONTH($B$75)+1)/MAX(1,'Вводные'!$F$90)&lt;=0.8,1.2,0.8)))</x:f>
      </x:c>
      <x:c r="BG80" s="35" t="n">
        <x:f>IF(BG79=0,0,IF((12*(YEAR(BG$3)-YEAR($B$75))+MONTH(BG$3)-MONTH($B$75)+1)/MAX(1,'Вводные'!$F$90)&lt;=0.2,0.6,IF((12*(YEAR(BG$3)-YEAR($B$75))+MONTH(BG$3)-MONTH($B$75)+1)/MAX(1,'Вводные'!$F$90)&lt;=0.8,1.2,0.8)))</x:f>
      </x:c>
      <x:c r="BH80" s="35" t="n">
        <x:f>IF(BH79=0,0,IF((12*(YEAR(BH$3)-YEAR($B$75))+MONTH(BH$3)-MONTH($B$75)+1)/MAX(1,'Вводные'!$F$90)&lt;=0.2,0.6,IF((12*(YEAR(BH$3)-YEAR($B$75))+MONTH(BH$3)-MONTH($B$75)+1)/MAX(1,'Вводные'!$F$90)&lt;=0.8,1.2,0.8)))</x:f>
      </x:c>
      <x:c r="BI80" s="35" t="n">
        <x:f>IF(BI79=0,0,IF((12*(YEAR(BI$3)-YEAR($B$75))+MONTH(BI$3)-MONTH($B$75)+1)/MAX(1,'Вводные'!$F$90)&lt;=0.2,0.6,IF((12*(YEAR(BI$3)-YEAR($B$75))+MONTH(BI$3)-MONTH($B$75)+1)/MAX(1,'Вводные'!$F$90)&lt;=0.8,1.2,0.8)))</x:f>
      </x:c>
      <x:c r="BJ80" s="35" t="n">
        <x:f>IF(BJ79=0,0,IF((12*(YEAR(BJ$3)-YEAR($B$75))+MONTH(BJ$3)-MONTH($B$75)+1)/MAX(1,'Вводные'!$F$90)&lt;=0.2,0.6,IF((12*(YEAR(BJ$3)-YEAR($B$75))+MONTH(BJ$3)-MONTH($B$75)+1)/MAX(1,'Вводные'!$F$90)&lt;=0.8,1.2,0.8)))</x:f>
      </x:c>
      <x:c r="BK80" s="35" t="n">
        <x:f>IF(BK79=0,0,IF((12*(YEAR(BK$3)-YEAR($B$75))+MONTH(BK$3)-MONTH($B$75)+1)/MAX(1,'Вводные'!$F$90)&lt;=0.2,0.6,IF((12*(YEAR(BK$3)-YEAR($B$75))+MONTH(BK$3)-MONTH($B$75)+1)/MAX(1,'Вводные'!$F$90)&lt;=0.8,1.2,0.8)))</x:f>
      </x:c>
      <x:c r="BL80" s="35" t="n">
        <x:f>IF(BL79=0,0,IF((12*(YEAR(BL$3)-YEAR($B$75))+MONTH(BL$3)-MONTH($B$75)+1)/MAX(1,'Вводные'!$F$90)&lt;=0.2,0.6,IF((12*(YEAR(BL$3)-YEAR($B$75))+MONTH(BL$3)-MONTH($B$75)+1)/MAX(1,'Вводные'!$F$90)&lt;=0.8,1.2,0.8)))</x:f>
      </x:c>
      <x:c r="BM80" s="35" t="n">
        <x:f>IF(BM79=0,0,IF((12*(YEAR(BM$3)-YEAR($B$75))+MONTH(BM$3)-MONTH($B$75)+1)/MAX(1,'Вводные'!$F$90)&lt;=0.2,0.6,IF((12*(YEAR(BM$3)-YEAR($B$75))+MONTH(BM$3)-MONTH($B$75)+1)/MAX(1,'Вводные'!$F$90)&lt;=0.8,1.2,0.8)))</x:f>
      </x:c>
      <x:c r="BN80" s="35" t="n">
        <x:f>IF(BN79=0,0,IF((12*(YEAR(BN$3)-YEAR($B$75))+MONTH(BN$3)-MONTH($B$75)+1)/MAX(1,'Вводные'!$F$90)&lt;=0.2,0.6,IF((12*(YEAR(BN$3)-YEAR($B$75))+MONTH(BN$3)-MONTH($B$75)+1)/MAX(1,'Вводные'!$F$90)&lt;=0.8,1.2,0.8)))</x:f>
      </x:c>
      <x:c r="BO80" s="35" t="n">
        <x:f>IF(BO79=0,0,IF((12*(YEAR(BO$3)-YEAR($B$75))+MONTH(BO$3)-MONTH($B$75)+1)/MAX(1,'Вводные'!$F$90)&lt;=0.2,0.6,IF((12*(YEAR(BO$3)-YEAR($B$75))+MONTH(BO$3)-MONTH($B$75)+1)/MAX(1,'Вводные'!$F$90)&lt;=0.8,1.2,0.8)))</x:f>
      </x:c>
      <x:c r="BP80" s="35" t="n">
        <x:f>IF(BP79=0,0,IF((12*(YEAR(BP$3)-YEAR($B$75))+MONTH(BP$3)-MONTH($B$75)+1)/MAX(1,'Вводные'!$F$90)&lt;=0.2,0.6,IF((12*(YEAR(BP$3)-YEAR($B$75))+MONTH(BP$3)-MONTH($B$75)+1)/MAX(1,'Вводные'!$F$90)&lt;=0.8,1.2,0.8)))</x:f>
      </x:c>
      <x:c r="BQ80" s="35" t="n">
        <x:f>IF(BQ79=0,0,IF((12*(YEAR(BQ$3)-YEAR($B$75))+MONTH(BQ$3)-MONTH($B$75)+1)/MAX(1,'Вводные'!$F$90)&lt;=0.2,0.6,IF((12*(YEAR(BQ$3)-YEAR($B$75))+MONTH(BQ$3)-MONTH($B$75)+1)/MAX(1,'Вводные'!$F$90)&lt;=0.8,1.2,0.8)))</x:f>
      </x:c>
      <x:c r="BR80" s="35" t="n">
        <x:f>IF(BR79=0,0,IF((12*(YEAR(BR$3)-YEAR($B$75))+MONTH(BR$3)-MONTH($B$75)+1)/MAX(1,'Вводные'!$F$90)&lt;=0.2,0.6,IF((12*(YEAR(BR$3)-YEAR($B$75))+MONTH(BR$3)-MONTH($B$75)+1)/MAX(1,'Вводные'!$F$90)&lt;=0.8,1.2,0.8)))</x:f>
      </x:c>
      <x:c r="BS80" s="35" t="n">
        <x:f>IF(BS79=0,0,IF((12*(YEAR(BS$3)-YEAR($B$75))+MONTH(BS$3)-MONTH($B$75)+1)/MAX(1,'Вводные'!$F$90)&lt;=0.2,0.6,IF((12*(YEAR(BS$3)-YEAR($B$75))+MONTH(BS$3)-MONTH($B$75)+1)/MAX(1,'Вводные'!$F$90)&lt;=0.8,1.2,0.8)))</x:f>
      </x:c>
      <x:c r="BT80" s="35" t="n">
        <x:f>IF(BT79=0,0,IF((12*(YEAR(BT$3)-YEAR($B$75))+MONTH(BT$3)-MONTH($B$75)+1)/MAX(1,'Вводные'!$F$90)&lt;=0.2,0.6,IF((12*(YEAR(BT$3)-YEAR($B$75))+MONTH(BT$3)-MONTH($B$75)+1)/MAX(1,'Вводные'!$F$90)&lt;=0.8,1.2,0.8)))</x:f>
      </x:c>
      <x:c r="BU80" s="35" t="n">
        <x:f>IF(BU79=0,0,IF((12*(YEAR(BU$3)-YEAR($B$75))+MONTH(BU$3)-MONTH($B$75)+1)/MAX(1,'Вводные'!$F$90)&lt;=0.2,0.6,IF((12*(YEAR(BU$3)-YEAR($B$75))+MONTH(BU$3)-MONTH($B$75)+1)/MAX(1,'Вводные'!$F$90)&lt;=0.8,1.2,0.8)))</x:f>
      </x:c>
      <x:c r="BV80" s="35" t="n">
        <x:f>IF(BV79=0,0,IF((12*(YEAR(BV$3)-YEAR($B$75))+MONTH(BV$3)-MONTH($B$75)+1)/MAX(1,'Вводные'!$F$90)&lt;=0.2,0.6,IF((12*(YEAR(BV$3)-YEAR($B$75))+MONTH(BV$3)-MONTH($B$75)+1)/MAX(1,'Вводные'!$F$90)&lt;=0.8,1.2,0.8)))</x:f>
      </x:c>
      <x:c r="BW80" s="35" t="n">
        <x:f>IF(BW79=0,0,IF((12*(YEAR(BW$3)-YEAR($B$75))+MONTH(BW$3)-MONTH($B$75)+1)/MAX(1,'Вводные'!$F$90)&lt;=0.2,0.6,IF((12*(YEAR(BW$3)-YEAR($B$75))+MONTH(BW$3)-MONTH($B$75)+1)/MAX(1,'Вводные'!$F$90)&lt;=0.8,1.2,0.8)))</x:f>
      </x:c>
      <x:c r="BX80" s="35" t="n">
        <x:f>IF(BX79=0,0,IF((12*(YEAR(BX$3)-YEAR($B$75))+MONTH(BX$3)-MONTH($B$75)+1)/MAX(1,'Вводные'!$F$90)&lt;=0.2,0.6,IF((12*(YEAR(BX$3)-YEAR($B$75))+MONTH(BX$3)-MONTH($B$75)+1)/MAX(1,'Вводные'!$F$90)&lt;=0.8,1.2,0.8)))</x:f>
      </x:c>
      <x:c r="BY80" s="35" t="n">
        <x:f>IF(BY79=0,0,IF((12*(YEAR(BY$3)-YEAR($B$75))+MONTH(BY$3)-MONTH($B$75)+1)/MAX(1,'Вводные'!$F$90)&lt;=0.2,0.6,IF((12*(YEAR(BY$3)-YEAR($B$75))+MONTH(BY$3)-MONTH($B$75)+1)/MAX(1,'Вводные'!$F$90)&lt;=0.8,1.2,0.8)))</x:f>
      </x:c>
      <x:c r="BZ80" s="35" t="n">
        <x:f>IF(BZ79=0,0,IF((12*(YEAR(BZ$3)-YEAR($B$75))+MONTH(BZ$3)-MONTH($B$75)+1)/MAX(1,'Вводные'!$F$90)&lt;=0.2,0.6,IF((12*(YEAR(BZ$3)-YEAR($B$75))+MONTH(BZ$3)-MONTH($B$75)+1)/MAX(1,'Вводные'!$F$90)&lt;=0.8,1.2,0.8)))</x:f>
      </x:c>
      <x:c r="CA80" s="35" t="n">
        <x:f>IF(CA79=0,0,IF((12*(YEAR(CA$3)-YEAR($B$75))+MONTH(CA$3)-MONTH($B$75)+1)/MAX(1,'Вводные'!$F$90)&lt;=0.2,0.6,IF((12*(YEAR(CA$3)-YEAR($B$75))+MONTH(CA$3)-MONTH($B$75)+1)/MAX(1,'Вводные'!$F$90)&lt;=0.8,1.2,0.8)))</x:f>
      </x:c>
      <x:c r="CB80" s="35" t="n">
        <x:f>IF(CB79=0,0,IF((12*(YEAR(CB$3)-YEAR($B$75))+MONTH(CB$3)-MONTH($B$75)+1)/MAX(1,'Вводные'!$F$90)&lt;=0.2,0.6,IF((12*(YEAR(CB$3)-YEAR($B$75))+MONTH(CB$3)-MONTH($B$75)+1)/MAX(1,'Вводные'!$F$90)&lt;=0.8,1.2,0.8)))</x:f>
      </x:c>
      <x:c r="CC80" s="35" t="n">
        <x:f>IF(CC79=0,0,IF((12*(YEAR(CC$3)-YEAR($B$75))+MONTH(CC$3)-MONTH($B$75)+1)/MAX(1,'Вводные'!$F$90)&lt;=0.2,0.6,IF((12*(YEAR(CC$3)-YEAR($B$75))+MONTH(CC$3)-MONTH($B$75)+1)/MAX(1,'Вводные'!$F$90)&lt;=0.8,1.2,0.8)))</x:f>
      </x:c>
      <x:c r="CD80" s="35" t="n">
        <x:f>IF(CD79=0,0,IF((12*(YEAR(CD$3)-YEAR($B$75))+MONTH(CD$3)-MONTH($B$75)+1)/MAX(1,'Вводные'!$F$90)&lt;=0.2,0.6,IF((12*(YEAR(CD$3)-YEAR($B$75))+MONTH(CD$3)-MONTH($B$75)+1)/MAX(1,'Вводные'!$F$90)&lt;=0.8,1.2,0.8)))</x:f>
      </x:c>
      <x:c r="CE80" s="35" t="n">
        <x:f>IF(CE79=0,0,IF((12*(YEAR(CE$3)-YEAR($B$75))+MONTH(CE$3)-MONTH($B$75)+1)/MAX(1,'Вводные'!$F$90)&lt;=0.2,0.6,IF((12*(YEAR(CE$3)-YEAR($B$75))+MONTH(CE$3)-MONTH($B$75)+1)/MAX(1,'Вводные'!$F$90)&lt;=0.8,1.2,0.8)))</x:f>
      </x:c>
      <x:c r="CF80" s="35" t="n">
        <x:f>IF(CF79=0,0,IF((12*(YEAR(CF$3)-YEAR($B$75))+MONTH(CF$3)-MONTH($B$75)+1)/MAX(1,'Вводные'!$F$90)&lt;=0.2,0.6,IF((12*(YEAR(CF$3)-YEAR($B$75))+MONTH(CF$3)-MONTH($B$75)+1)/MAX(1,'Вводные'!$F$90)&lt;=0.8,1.2,0.8)))</x:f>
      </x:c>
      <x:c r="CG80" s="35" t="n">
        <x:f>IF(CG79=0,0,IF((12*(YEAR(CG$3)-YEAR($B$75))+MONTH(CG$3)-MONTH($B$75)+1)/MAX(1,'Вводные'!$F$90)&lt;=0.2,0.6,IF((12*(YEAR(CG$3)-YEAR($B$75))+MONTH(CG$3)-MONTH($B$75)+1)/MAX(1,'Вводные'!$F$90)&lt;=0.8,1.2,0.8)))</x:f>
      </x:c>
      <x:c r="CH80" s="35" t="n">
        <x:f>IF(CH79=0,0,IF((12*(YEAR(CH$3)-YEAR($B$75))+MONTH(CH$3)-MONTH($B$75)+1)/MAX(1,'Вводные'!$F$90)&lt;=0.2,0.6,IF((12*(YEAR(CH$3)-YEAR($B$75))+MONTH(CH$3)-MONTH($B$75)+1)/MAX(1,'Вводные'!$F$90)&lt;=0.8,1.2,0.8)))</x:f>
      </x:c>
      <x:c r="CI80" s="35" t="n">
        <x:f>IF(CI79=0,0,IF((12*(YEAR(CI$3)-YEAR($B$75))+MONTH(CI$3)-MONTH($B$75)+1)/MAX(1,'Вводные'!$F$90)&lt;=0.2,0.6,IF((12*(YEAR(CI$3)-YEAR($B$75))+MONTH(CI$3)-MONTH($B$75)+1)/MAX(1,'Вводные'!$F$90)&lt;=0.8,1.2,0.8)))</x:f>
      </x:c>
      <x:c r="CJ80" s="35" t="n">
        <x:f>IF(CJ79=0,0,IF((12*(YEAR(CJ$3)-YEAR($B$75))+MONTH(CJ$3)-MONTH($B$75)+1)/MAX(1,'Вводные'!$F$90)&lt;=0.2,0.6,IF((12*(YEAR(CJ$3)-YEAR($B$75))+MONTH(CJ$3)-MONTH($B$75)+1)/MAX(1,'Вводные'!$F$90)&lt;=0.8,1.2,0.8)))</x:f>
      </x:c>
      <x:c r="CK80" s="35" t="n">
        <x:f>IF(CK79=0,0,IF((12*(YEAR(CK$3)-YEAR($B$75))+MONTH(CK$3)-MONTH($B$75)+1)/MAX(1,'Вводные'!$F$90)&lt;=0.2,0.6,IF((12*(YEAR(CK$3)-YEAR($B$75))+MONTH(CK$3)-MONTH($B$75)+1)/MAX(1,'Вводные'!$F$90)&lt;=0.8,1.2,0.8)))</x:f>
      </x:c>
      <x:c r="CL80" s="35" t="n">
        <x:f>IF(CL79=0,0,IF((12*(YEAR(CL$3)-YEAR($B$75))+MONTH(CL$3)-MONTH($B$75)+1)/MAX(1,'Вводные'!$F$90)&lt;=0.2,0.6,IF((12*(YEAR(CL$3)-YEAR($B$75))+MONTH(CL$3)-MONTH($B$75)+1)/MAX(1,'Вводные'!$F$90)&lt;=0.8,1.2,0.8)))</x:f>
      </x:c>
      <x:c r="CM80" s="35" t="n">
        <x:f>IF(CM79=0,0,IF((12*(YEAR(CM$3)-YEAR($B$75))+MONTH(CM$3)-MONTH($B$75)+1)/MAX(1,'Вводные'!$F$90)&lt;=0.2,0.6,IF((12*(YEAR(CM$3)-YEAR($B$75))+MONTH(CM$3)-MONTH($B$75)+1)/MAX(1,'Вводные'!$F$90)&lt;=0.8,1.2,0.8)))</x:f>
      </x:c>
      <x:c r="CN80" s="35" t="n">
        <x:f>IF(CN79=0,0,IF((12*(YEAR(CN$3)-YEAR($B$75))+MONTH(CN$3)-MONTH($B$75)+1)/MAX(1,'Вводные'!$F$90)&lt;=0.2,0.6,IF((12*(YEAR(CN$3)-YEAR($B$75))+MONTH(CN$3)-MONTH($B$75)+1)/MAX(1,'Вводные'!$F$90)&lt;=0.8,1.2,0.8)))</x:f>
      </x:c>
      <x:c r="CO80" s="35" t="n">
        <x:f>IF(CO79=0,0,IF((12*(YEAR(CO$3)-YEAR($B$75))+MONTH(CO$3)-MONTH($B$75)+1)/MAX(1,'Вводные'!$F$90)&lt;=0.2,0.6,IF((12*(YEAR(CO$3)-YEAR($B$75))+MONTH(CO$3)-MONTH($B$75)+1)/MAX(1,'Вводные'!$F$90)&lt;=0.8,1.2,0.8)))</x:f>
      </x:c>
      <x:c r="CP80" s="35" t="n">
        <x:f>IF(CP79=0,0,IF((12*(YEAR(CP$3)-YEAR($B$75))+MONTH(CP$3)-MONTH($B$75)+1)/MAX(1,'Вводные'!$F$90)&lt;=0.2,0.6,IF((12*(YEAR(CP$3)-YEAR($B$75))+MONTH(CP$3)-MONTH($B$75)+1)/MAX(1,'Вводные'!$F$90)&lt;=0.8,1.2,0.8)))</x:f>
      </x:c>
      <x:c r="CQ80" s="35" t="n">
        <x:f>IF(CQ79=0,0,IF((12*(YEAR(CQ$3)-YEAR($B$75))+MONTH(CQ$3)-MONTH($B$75)+1)/MAX(1,'Вводные'!$F$90)&lt;=0.2,0.6,IF((12*(YEAR(CQ$3)-YEAR($B$75))+MONTH(CQ$3)-MONTH($B$75)+1)/MAX(1,'Вводные'!$F$90)&lt;=0.8,1.2,0.8)))</x:f>
      </x:c>
      <x:c r="CR80" s="35" t="n">
        <x:f>IF(CR79=0,0,IF((12*(YEAR(CR$3)-YEAR($B$75))+MONTH(CR$3)-MONTH($B$75)+1)/MAX(1,'Вводные'!$F$90)&lt;=0.2,0.6,IF((12*(YEAR(CR$3)-YEAR($B$75))+MONTH(CR$3)-MONTH($B$75)+1)/MAX(1,'Вводные'!$F$90)&lt;=0.8,1.2,0.8)))</x:f>
      </x:c>
      <x:c r="CS80" s="35" t="n">
        <x:f>IF(CS79=0,0,IF((12*(YEAR(CS$3)-YEAR($B$75))+MONTH(CS$3)-MONTH($B$75)+1)/MAX(1,'Вводные'!$F$90)&lt;=0.2,0.6,IF((12*(YEAR(CS$3)-YEAR($B$75))+MONTH(CS$3)-MONTH($B$75)+1)/MAX(1,'Вводные'!$F$90)&lt;=0.8,1.2,0.8)))</x:f>
      </x:c>
      <x:c r="CT80" s="35" t="n">
        <x:f>IF(CT79=0,0,IF((12*(YEAR(CT$3)-YEAR($B$75))+MONTH(CT$3)-MONTH($B$75)+1)/MAX(1,'Вводные'!$F$90)&lt;=0.2,0.6,IF((12*(YEAR(CT$3)-YEAR($B$75))+MONTH(CT$3)-MONTH($B$75)+1)/MAX(1,'Вводные'!$F$90)&lt;=0.8,1.2,0.8)))</x:f>
      </x:c>
      <x:c r="CU80" s="35" t="n">
        <x:f>IF(CU79=0,0,IF((12*(YEAR(CU$3)-YEAR($B$75))+MONTH(CU$3)-MONTH($B$75)+1)/MAX(1,'Вводные'!$F$90)&lt;=0.2,0.6,IF((12*(YEAR(CU$3)-YEAR($B$75))+MONTH(CU$3)-MONTH($B$75)+1)/MAX(1,'Вводные'!$F$90)&lt;=0.8,1.2,0.8)))</x:f>
      </x:c>
      <x:c r="CV80" s="35" t="n">
        <x:f>IF(CV79=0,0,IF((12*(YEAR(CV$3)-YEAR($B$75))+MONTH(CV$3)-MONTH($B$75)+1)/MAX(1,'Вводные'!$F$90)&lt;=0.2,0.6,IF((12*(YEAR(CV$3)-YEAR($B$75))+MONTH(CV$3)-MONTH($B$75)+1)/MAX(1,'Вводные'!$F$90)&lt;=0.8,1.2,0.8)))</x:f>
      </x:c>
      <x:c r="CW80" s="35" t="n">
        <x:f>IF(CW79=0,0,IF((12*(YEAR(CW$3)-YEAR($B$75))+MONTH(CW$3)-MONTH($B$75)+1)/MAX(1,'Вводные'!$F$90)&lt;=0.2,0.6,IF((12*(YEAR(CW$3)-YEAR($B$75))+MONTH(CW$3)-MONTH($B$75)+1)/MAX(1,'Вводные'!$F$90)&lt;=0.8,1.2,0.8)))</x:f>
      </x:c>
      <x:c r="CX80" s="35" t="n">
        <x:f>IF(CX79=0,0,IF((12*(YEAR(CX$3)-YEAR($B$75))+MONTH(CX$3)-MONTH($B$75)+1)/MAX(1,'Вводные'!$F$90)&lt;=0.2,0.6,IF((12*(YEAR(CX$3)-YEAR($B$75))+MONTH(CX$3)-MONTH($B$75)+1)/MAX(1,'Вводные'!$F$90)&lt;=0.8,1.2,0.8)))</x:f>
      </x:c>
      <x:c r="CY80" s="35" t="n">
        <x:f>IF(CY79=0,0,IF((12*(YEAR(CY$3)-YEAR($B$75))+MONTH(CY$3)-MONTH($B$75)+1)/MAX(1,'Вводные'!$F$90)&lt;=0.2,0.6,IF((12*(YEAR(CY$3)-YEAR($B$75))+MONTH(CY$3)-MONTH($B$75)+1)/MAX(1,'Вводные'!$F$90)&lt;=0.8,1.2,0.8)))</x:f>
      </x:c>
      <x:c r="CZ80" s="35" t="n">
        <x:f>IF(CZ79=0,0,IF((12*(YEAR(CZ$3)-YEAR($B$75))+MONTH(CZ$3)-MONTH($B$75)+1)/MAX(1,'Вводные'!$F$90)&lt;=0.2,0.6,IF((12*(YEAR(CZ$3)-YEAR($B$75))+MONTH(CZ$3)-MONTH($B$75)+1)/MAX(1,'Вводные'!$F$90)&lt;=0.8,1.2,0.8)))</x:f>
      </x:c>
      <x:c r="DA80" s="35" t="n">
        <x:f>IF(DA79=0,0,IF((12*(YEAR(DA$3)-YEAR($B$75))+MONTH(DA$3)-MONTH($B$75)+1)/MAX(1,'Вводные'!$F$90)&lt;=0.2,0.6,IF((12*(YEAR(DA$3)-YEAR($B$75))+MONTH(DA$3)-MONTH($B$75)+1)/MAX(1,'Вводные'!$F$90)&lt;=0.8,1.2,0.8)))</x:f>
      </x:c>
      <x:c r="DB80" s="35" t="n">
        <x:f>IF(DB79=0,0,IF((12*(YEAR(DB$3)-YEAR($B$75))+MONTH(DB$3)-MONTH($B$75)+1)/MAX(1,'Вводные'!$F$90)&lt;=0.2,0.6,IF((12*(YEAR(DB$3)-YEAR($B$75))+MONTH(DB$3)-MONTH($B$75)+1)/MAX(1,'Вводные'!$F$90)&lt;=0.8,1.2,0.8)))</x:f>
      </x:c>
      <x:c r="DC80" s="35" t="n">
        <x:f>IF(DC79=0,0,IF((12*(YEAR(DC$3)-YEAR($B$75))+MONTH(DC$3)-MONTH($B$75)+1)/MAX(1,'Вводные'!$F$90)&lt;=0.2,0.6,IF((12*(YEAR(DC$3)-YEAR($B$75))+MONTH(DC$3)-MONTH($B$75)+1)/MAX(1,'Вводные'!$F$90)&lt;=0.8,1.2,0.8)))</x:f>
      </x:c>
      <x:c r="DD80" s="35" t="n">
        <x:f>IF(DD79=0,0,IF((12*(YEAR(DD$3)-YEAR($B$75))+MONTH(DD$3)-MONTH($B$75)+1)/MAX(1,'Вводные'!$F$90)&lt;=0.2,0.6,IF((12*(YEAR(DD$3)-YEAR($B$75))+MONTH(DD$3)-MONTH($B$75)+1)/MAX(1,'Вводные'!$F$90)&lt;=0.8,1.2,0.8)))</x:f>
      </x:c>
      <x:c r="DE80" s="35" t="n">
        <x:f>IF(DE79=0,0,IF((12*(YEAR(DE$3)-YEAR($B$75))+MONTH(DE$3)-MONTH($B$75)+1)/MAX(1,'Вводные'!$F$90)&lt;=0.2,0.6,IF((12*(YEAR(DE$3)-YEAR($B$75))+MONTH(DE$3)-MONTH($B$75)+1)/MAX(1,'Вводные'!$F$90)&lt;=0.8,1.2,0.8)))</x:f>
      </x:c>
      <x:c r="DF80" s="35" t="n">
        <x:f>IF(DF79=0,0,IF((12*(YEAR(DF$3)-YEAR($B$75))+MONTH(DF$3)-MONTH($B$75)+1)/MAX(1,'Вводные'!$F$90)&lt;=0.2,0.6,IF((12*(YEAR(DF$3)-YEAR($B$75))+MONTH(DF$3)-MONTH($B$75)+1)/MAX(1,'Вводные'!$F$90)&lt;=0.8,1.2,0.8)))</x:f>
      </x:c>
      <x:c r="DG80" s="35" t="n">
        <x:f>IF(DG79=0,0,IF((12*(YEAR(DG$3)-YEAR($B$75))+MONTH(DG$3)-MONTH($B$75)+1)/MAX(1,'Вводные'!$F$90)&lt;=0.2,0.6,IF((12*(YEAR(DG$3)-YEAR($B$75))+MONTH(DG$3)-MONTH($B$75)+1)/MAX(1,'Вводные'!$F$90)&lt;=0.8,1.2,0.8)))</x:f>
      </x:c>
      <x:c r="DH80" s="35" t="n">
        <x:f>IF(DH79=0,0,IF((12*(YEAR(DH$3)-YEAR($B$75))+MONTH(DH$3)-MONTH($B$75)+1)/MAX(1,'Вводные'!$F$90)&lt;=0.2,0.6,IF((12*(YEAR(DH$3)-YEAR($B$75))+MONTH(DH$3)-MONTH($B$75)+1)/MAX(1,'Вводные'!$F$90)&lt;=0.8,1.2,0.8)))</x:f>
      </x:c>
      <x:c r="DI80" s="35" t="n">
        <x:f>IF(DI79=0,0,IF((12*(YEAR(DI$3)-YEAR($B$75))+MONTH(DI$3)-MONTH($B$75)+1)/MAX(1,'Вводные'!$F$90)&lt;=0.2,0.6,IF((12*(YEAR(DI$3)-YEAR($B$75))+MONTH(DI$3)-MONTH($B$75)+1)/MAX(1,'Вводные'!$F$90)&lt;=0.8,1.2,0.8)))</x:f>
      </x:c>
      <x:c r="DJ80" s="35" t="n">
        <x:f>IF(DJ79=0,0,IF((12*(YEAR(DJ$3)-YEAR($B$75))+MONTH(DJ$3)-MONTH($B$75)+1)/MAX(1,'Вводные'!$F$90)&lt;=0.2,0.6,IF((12*(YEAR(DJ$3)-YEAR($B$75))+MONTH(DJ$3)-MONTH($B$75)+1)/MAX(1,'Вводные'!$F$90)&lt;=0.8,1.2,0.8)))</x:f>
      </x:c>
      <x:c r="DK80" s="35" t="n">
        <x:f>IF(DK79=0,0,IF((12*(YEAR(DK$3)-YEAR($B$75))+MONTH(DK$3)-MONTH($B$75)+1)/MAX(1,'Вводные'!$F$90)&lt;=0.2,0.6,IF((12*(YEAR(DK$3)-YEAR($B$75))+MONTH(DK$3)-MONTH($B$75)+1)/MAX(1,'Вводные'!$F$90)&lt;=0.8,1.2,0.8)))</x:f>
      </x:c>
      <x:c r="DL80" s="35" t="n">
        <x:f>IF(DL79=0,0,IF((12*(YEAR(DL$3)-YEAR($B$75))+MONTH(DL$3)-MONTH($B$75)+1)/MAX(1,'Вводные'!$F$90)&lt;=0.2,0.6,IF((12*(YEAR(DL$3)-YEAR($B$75))+MONTH(DL$3)-MONTH($B$75)+1)/MAX(1,'Вводные'!$F$90)&lt;=0.8,1.2,0.8)))</x:f>
      </x:c>
      <x:c r="DM80" s="35" t="n">
        <x:f>IF(DM79=0,0,IF((12*(YEAR(DM$3)-YEAR($B$75))+MONTH(DM$3)-MONTH($B$75)+1)/MAX(1,'Вводные'!$F$90)&lt;=0.2,0.6,IF((12*(YEAR(DM$3)-YEAR($B$75))+MONTH(DM$3)-MONTH($B$75)+1)/MAX(1,'Вводные'!$F$90)&lt;=0.8,1.2,0.8)))</x:f>
      </x:c>
      <x:c r="DN80" s="35" t="n">
        <x:f>IF(DN79=0,0,IF((12*(YEAR(DN$3)-YEAR($B$75))+MONTH(DN$3)-MONTH($B$75)+1)/MAX(1,'Вводные'!$F$90)&lt;=0.2,0.6,IF((12*(YEAR(DN$3)-YEAR($B$75))+MONTH(DN$3)-MONTH($B$75)+1)/MAX(1,'Вводные'!$F$90)&lt;=0.8,1.2,0.8)))</x:f>
      </x:c>
      <x:c r="DO80" s="35" t="n">
        <x:f>IF(DO79=0,0,IF((12*(YEAR(DO$3)-YEAR($B$75))+MONTH(DO$3)-MONTH($B$75)+1)/MAX(1,'Вводные'!$F$90)&lt;=0.2,0.6,IF((12*(YEAR(DO$3)-YEAR($B$75))+MONTH(DO$3)-MONTH($B$75)+1)/MAX(1,'Вводные'!$F$90)&lt;=0.8,1.2,0.8)))</x:f>
      </x:c>
      <x:c r="DP80" s="35" t="n">
        <x:f>IF(DP79=0,0,IF((12*(YEAR(DP$3)-YEAR($B$75))+MONTH(DP$3)-MONTH($B$75)+1)/MAX(1,'Вводные'!$F$90)&lt;=0.2,0.6,IF((12*(YEAR(DP$3)-YEAR($B$75))+MONTH(DP$3)-MONTH($B$75)+1)/MAX(1,'Вводные'!$F$90)&lt;=0.8,1.2,0.8)))</x:f>
      </x:c>
      <x:c r="DQ80" s="35" t="n">
        <x:f>IF(DQ79=0,0,IF((12*(YEAR(DQ$3)-YEAR($B$75))+MONTH(DQ$3)-MONTH($B$75)+1)/MAX(1,'Вводные'!$F$90)&lt;=0.2,0.6,IF((12*(YEAR(DQ$3)-YEAR($B$75))+MONTH(DQ$3)-MONTH($B$75)+1)/MAX(1,'Вводные'!$F$90)&lt;=0.8,1.2,0.8)))</x:f>
      </x:c>
      <x:c r="DR80" s="35" t="n">
        <x:f>IF(DR79=0,0,IF((12*(YEAR(DR$3)-YEAR($B$75))+MONTH(DR$3)-MONTH($B$75)+1)/MAX(1,'Вводные'!$F$90)&lt;=0.2,0.6,IF((12*(YEAR(DR$3)-YEAR($B$75))+MONTH(DR$3)-MONTH($B$75)+1)/MAX(1,'Вводные'!$F$90)&lt;=0.8,1.2,0.8)))</x:f>
      </x:c>
      <x:c r="DS80" s="35" t="n">
        <x:f>IF(DS79=0,0,IF((12*(YEAR(DS$3)-YEAR($B$75))+MONTH(DS$3)-MONTH($B$75)+1)/MAX(1,'Вводные'!$F$90)&lt;=0.2,0.6,IF((12*(YEAR(DS$3)-YEAR($B$75))+MONTH(DS$3)-MONTH($B$75)+1)/MAX(1,'Вводные'!$F$90)&lt;=0.8,1.2,0.8)))</x:f>
      </x:c>
      <x:c r="DT80" s="35" t="n">
        <x:f>IF(DT79=0,0,IF((12*(YEAR(DT$3)-YEAR($B$75))+MONTH(DT$3)-MONTH($B$75)+1)/MAX(1,'Вводные'!$F$90)&lt;=0.2,0.6,IF((12*(YEAR(DT$3)-YEAR($B$75))+MONTH(DT$3)-MONTH($B$75)+1)/MAX(1,'Вводные'!$F$90)&lt;=0.8,1.2,0.8)))</x:f>
      </x:c>
      <x:c r="DU80" s="35" t="n">
        <x:f>IF(DU79=0,0,IF((12*(YEAR(DU$3)-YEAR($B$75))+MONTH(DU$3)-MONTH($B$75)+1)/MAX(1,'Вводные'!$F$90)&lt;=0.2,0.6,IF((12*(YEAR(DU$3)-YEAR($B$75))+MONTH(DU$3)-MONTH($B$75)+1)/MAX(1,'Вводные'!$F$90)&lt;=0.8,1.2,0.8)))</x:f>
      </x:c>
      <x:c r="DV80" s="35" t="n">
        <x:f>IF(DV79=0,0,IF((12*(YEAR(DV$3)-YEAR($B$75))+MONTH(DV$3)-MONTH($B$75)+1)/MAX(1,'Вводные'!$F$90)&lt;=0.2,0.6,IF((12*(YEAR(DV$3)-YEAR($B$75))+MONTH(DV$3)-MONTH($B$75)+1)/MAX(1,'Вводные'!$F$90)&lt;=0.8,1.2,0.8)))</x:f>
      </x:c>
      <x:c r="DW80" s="35" t="n">
        <x:f>IF(DW79=0,0,IF((12*(YEAR(DW$3)-YEAR($B$75))+MONTH(DW$3)-MONTH($B$75)+1)/MAX(1,'Вводные'!$F$90)&lt;=0.2,0.6,IF((12*(YEAR(DW$3)-YEAR($B$75))+MONTH(DW$3)-MONTH($B$75)+1)/MAX(1,'Вводные'!$F$90)&lt;=0.8,1.2,0.8)))</x:f>
      </x:c>
      <x:c r="DX80" s="35" t="n">
        <x:f>IF(DX79=0,0,IF((12*(YEAR(DX$3)-YEAR($B$75))+MONTH(DX$3)-MONTH($B$75)+1)/MAX(1,'Вводные'!$F$90)&lt;=0.2,0.6,IF((12*(YEAR(DX$3)-YEAR($B$75))+MONTH(DX$3)-MONTH($B$75)+1)/MAX(1,'Вводные'!$F$90)&lt;=0.8,1.2,0.8)))</x:f>
      </x:c>
      <x:c r="DY80" s="35" t="n">
        <x:f>IF(DY79=0,0,IF((12*(YEAR(DY$3)-YEAR($B$75))+MONTH(DY$3)-MONTH($B$75)+1)/MAX(1,'Вводные'!$F$90)&lt;=0.2,0.6,IF((12*(YEAR(DY$3)-YEAR($B$75))+MONTH(DY$3)-MONTH($B$75)+1)/MAX(1,'Вводные'!$F$90)&lt;=0.8,1.2,0.8)))</x:f>
      </x:c>
      <x:c r="DZ80" s="35" t="n">
        <x:f>IF(DZ79=0,0,IF((12*(YEAR(DZ$3)-YEAR($B$75))+MONTH(DZ$3)-MONTH($B$75)+1)/MAX(1,'Вводные'!$F$90)&lt;=0.2,0.6,IF((12*(YEAR(DZ$3)-YEAR($B$75))+MONTH(DZ$3)-MONTH($B$75)+1)/MAX(1,'Вводные'!$F$90)&lt;=0.8,1.2,0.8)))</x:f>
      </x:c>
      <x:c r="EA80" s="35" t="n">
        <x:f>IF(EA79=0,0,IF((12*(YEAR(EA$3)-YEAR($B$75))+MONTH(EA$3)-MONTH($B$75)+1)/MAX(1,'Вводные'!$F$90)&lt;=0.2,0.6,IF((12*(YEAR(EA$3)-YEAR($B$75))+MONTH(EA$3)-MONTH($B$75)+1)/MAX(1,'Вводные'!$F$90)&lt;=0.8,1.2,0.8)))</x:f>
      </x:c>
      <x:c r="EB80" s="35" t="n">
        <x:f>IF(EB79=0,0,IF((12*(YEAR(EB$3)-YEAR($B$75))+MONTH(EB$3)-MONTH($B$75)+1)/MAX(1,'Вводные'!$F$90)&lt;=0.2,0.6,IF((12*(YEAR(EB$3)-YEAR($B$75))+MONTH(EB$3)-MONTH($B$75)+1)/MAX(1,'Вводные'!$F$90)&lt;=0.8,1.2,0.8)))</x:f>
      </x:c>
      <x:c r="EC80" s="35" t="n">
        <x:f>IF(EC79=0,0,IF((12*(YEAR(EC$3)-YEAR($B$75))+MONTH(EC$3)-MONTH($B$75)+1)/MAX(1,'Вводные'!$F$90)&lt;=0.2,0.6,IF((12*(YEAR(EC$3)-YEAR($B$75))+MONTH(EC$3)-MONTH($B$75)+1)/MAX(1,'Вводные'!$F$90)&lt;=0.8,1.2,0.8)))</x:f>
      </x:c>
      <x:c r="ED80" s="35" t="n">
        <x:f>IF(ED79=0,0,IF((12*(YEAR(ED$3)-YEAR($B$75))+MONTH(ED$3)-MONTH($B$75)+1)/MAX(1,'Вводные'!$F$90)&lt;=0.2,0.6,IF((12*(YEAR(ED$3)-YEAR($B$75))+MONTH(ED$3)-MONTH($B$75)+1)/MAX(1,'Вводные'!$F$90)&lt;=0.8,1.2,0.8)))</x:f>
      </x:c>
      <x:c r="EE80" s="35" t="n">
        <x:f>IF(EE79=0,0,IF((12*(YEAR(EE$3)-YEAR($B$75))+MONTH(EE$3)-MONTH($B$75)+1)/MAX(1,'Вводные'!$F$90)&lt;=0.2,0.6,IF((12*(YEAR(EE$3)-YEAR($B$75))+MONTH(EE$3)-MONTH($B$75)+1)/MAX(1,'Вводные'!$F$90)&lt;=0.8,1.2,0.8)))</x:f>
      </x:c>
      <x:c r="EF80" s="35" t="n">
        <x:f>IF(EF79=0,0,IF((12*(YEAR(EF$3)-YEAR($B$75))+MONTH(EF$3)-MONTH($B$75)+1)/MAX(1,'Вводные'!$F$90)&lt;=0.2,0.6,IF((12*(YEAR(EF$3)-YEAR($B$75))+MONTH(EF$3)-MONTH($B$75)+1)/MAX(1,'Вводные'!$F$90)&lt;=0.8,1.2,0.8)))</x:f>
      </x:c>
      <x:c r="EG80" s="35" t="n">
        <x:f>IF(EG79=0,0,IF((12*(YEAR(EG$3)-YEAR($B$75))+MONTH(EG$3)-MONTH($B$75)+1)/MAX(1,'Вводные'!$F$90)&lt;=0.2,0.6,IF((12*(YEAR(EG$3)-YEAR($B$75))+MONTH(EG$3)-MONTH($B$75)+1)/MAX(1,'Вводные'!$F$90)&lt;=0.8,1.2,0.8)))</x:f>
      </x:c>
      <x:c r="EH80" s="35" t="n">
        <x:f>IF(EH79=0,0,IF((12*(YEAR(EH$3)-YEAR($B$75))+MONTH(EH$3)-MONTH($B$75)+1)/MAX(1,'Вводные'!$F$90)&lt;=0.2,0.6,IF((12*(YEAR(EH$3)-YEAR($B$75))+MONTH(EH$3)-MONTH($B$75)+1)/MAX(1,'Вводные'!$F$90)&lt;=0.8,1.2,0.8)))</x:f>
      </x:c>
      <x:c r="EI80" s="35" t="n">
        <x:f>IF(EI79=0,0,IF((12*(YEAR(EI$3)-YEAR($B$75))+MONTH(EI$3)-MONTH($B$75)+1)/MAX(1,'Вводные'!$F$90)&lt;=0.2,0.6,IF((12*(YEAR(EI$3)-YEAR($B$75))+MONTH(EI$3)-MONTH($B$75)+1)/MAX(1,'Вводные'!$F$90)&lt;=0.8,1.2,0.8)))</x:f>
      </x:c>
      <x:c r="EJ80" s="35" t="n">
        <x:f>IF(EJ79=0,0,IF((12*(YEAR(EJ$3)-YEAR($B$75))+MONTH(EJ$3)-MONTH($B$75)+1)/MAX(1,'Вводные'!$F$90)&lt;=0.2,0.6,IF((12*(YEAR(EJ$3)-YEAR($B$75))+MONTH(EJ$3)-MONTH($B$75)+1)/MAX(1,'Вводные'!$F$90)&lt;=0.8,1.2,0.8)))</x:f>
      </x:c>
      <x:c r="EK80" s="35" t="n">
        <x:f>IF(EK79=0,0,IF((12*(YEAR(EK$3)-YEAR($B$75))+MONTH(EK$3)-MONTH($B$75)+1)/MAX(1,'Вводные'!$F$90)&lt;=0.2,0.6,IF((12*(YEAR(EK$3)-YEAR($B$75))+MONTH(EK$3)-MONTH($B$75)+1)/MAX(1,'Вводные'!$F$90)&lt;=0.8,1.2,0.8)))</x:f>
      </x:c>
      <x:c r="EL80" s="35" t="n">
        <x:f>IF(EL79=0,0,IF((12*(YEAR(EL$3)-YEAR($B$75))+MONTH(EL$3)-MONTH($B$75)+1)/MAX(1,'Вводные'!$F$90)&lt;=0.2,0.6,IF((12*(YEAR(EL$3)-YEAR($B$75))+MONTH(EL$3)-MONTH($B$75)+1)/MAX(1,'Вводные'!$F$90)&lt;=0.8,1.2,0.8)))</x:f>
      </x:c>
      <x:c r="EM80" s="35" t="n">
        <x:f>IF(EM79=0,0,IF((12*(YEAR(EM$3)-YEAR($B$75))+MONTH(EM$3)-MONTH($B$75)+1)/MAX(1,'Вводные'!$F$90)&lt;=0.2,0.6,IF((12*(YEAR(EM$3)-YEAR($B$75))+MONTH(EM$3)-MONTH($B$75)+1)/MAX(1,'Вводные'!$F$90)&lt;=0.8,1.2,0.8)))</x:f>
      </x:c>
      <x:c r="EN80" s="35" t="n">
        <x:f>IF(EN79=0,0,IF((12*(YEAR(EN$3)-YEAR($B$75))+MONTH(EN$3)-MONTH($B$75)+1)/MAX(1,'Вводные'!$F$90)&lt;=0.2,0.6,IF((12*(YEAR(EN$3)-YEAR($B$75))+MONTH(EN$3)-MONTH($B$75)+1)/MAX(1,'Вводные'!$F$90)&lt;=0.8,1.2,0.8)))</x:f>
      </x:c>
      <x:c r="EO80" s="35" t="n">
        <x:f>IF(EO79=0,0,IF((12*(YEAR(EO$3)-YEAR($B$75))+MONTH(EO$3)-MONTH($B$75)+1)/MAX(1,'Вводные'!$F$90)&lt;=0.2,0.6,IF((12*(YEAR(EO$3)-YEAR($B$75))+MONTH(EO$3)-MONTH($B$75)+1)/MAX(1,'Вводные'!$F$90)&lt;=0.8,1.2,0.8)))</x:f>
      </x:c>
      <x:c r="EP80" s="35" t="n">
        <x:f>IF(EP79=0,0,IF((12*(YEAR(EP$3)-YEAR($B$75))+MONTH(EP$3)-MONTH($B$75)+1)/MAX(1,'Вводные'!$F$90)&lt;=0.2,0.6,IF((12*(YEAR(EP$3)-YEAR($B$75))+MONTH(EP$3)-MONTH($B$75)+1)/MAX(1,'Вводные'!$F$90)&lt;=0.8,1.2,0.8)))</x:f>
      </x:c>
      <x:c r="EQ80" s="35" t="n">
        <x:f>IF(EQ79=0,0,IF((12*(YEAR(EQ$3)-YEAR($B$75))+MONTH(EQ$3)-MONTH($B$75)+1)/MAX(1,'Вводные'!$F$90)&lt;=0.2,0.6,IF((12*(YEAR(EQ$3)-YEAR($B$75))+MONTH(EQ$3)-MONTH($B$75)+1)/MAX(1,'Вводные'!$F$90)&lt;=0.8,1.2,0.8)))</x:f>
      </x:c>
      <x:c r="ER80" s="35" t="n">
        <x:f>IF(ER79=0,0,IF((12*(YEAR(ER$3)-YEAR($B$75))+MONTH(ER$3)-MONTH($B$75)+1)/MAX(1,'Вводные'!$F$90)&lt;=0.2,0.6,IF((12*(YEAR(ER$3)-YEAR($B$75))+MONTH(ER$3)-MONTH($B$75)+1)/MAX(1,'Вводные'!$F$90)&lt;=0.8,1.2,0.8)))</x:f>
      </x:c>
      <x:c r="ES80" s="35" t="n">
        <x:f>IF(ES79=0,0,IF((12*(YEAR(ES$3)-YEAR($B$75))+MONTH(ES$3)-MONTH($B$75)+1)/MAX(1,'Вводные'!$F$90)&lt;=0.2,0.6,IF((12*(YEAR(ES$3)-YEAR($B$75))+MONTH(ES$3)-MONTH($B$75)+1)/MAX(1,'Вводные'!$F$90)&lt;=0.8,1.2,0.8)))</x:f>
      </x:c>
      <x:c r="ET80" s="35" t="n">
        <x:f>IF(ET79=0,0,IF((12*(YEAR(ET$3)-YEAR($B$75))+MONTH(ET$3)-MONTH($B$75)+1)/MAX(1,'Вводные'!$F$90)&lt;=0.2,0.6,IF((12*(YEAR(ET$3)-YEAR($B$75))+MONTH(ET$3)-MONTH($B$75)+1)/MAX(1,'Вводные'!$F$90)&lt;=0.8,1.2,0.8)))</x:f>
      </x:c>
      <x:c r="EU80" s="35" t="n">
        <x:f>IF(EU79=0,0,IF((12*(YEAR(EU$3)-YEAR($B$75))+MONTH(EU$3)-MONTH($B$75)+1)/MAX(1,'Вводные'!$F$90)&lt;=0.2,0.6,IF((12*(YEAR(EU$3)-YEAR($B$75))+MONTH(EU$3)-MONTH($B$75)+1)/MAX(1,'Вводные'!$F$90)&lt;=0.8,1.2,0.8)))</x:f>
      </x:c>
      <x:c r="EV80" s="35" t="n">
        <x:f>IF(EV79=0,0,IF((12*(YEAR(EV$3)-YEAR($B$75))+MONTH(EV$3)-MONTH($B$75)+1)/MAX(1,'Вводные'!$F$90)&lt;=0.2,0.6,IF((12*(YEAR(EV$3)-YEAR($B$75))+MONTH(EV$3)-MONTH($B$75)+1)/MAX(1,'Вводные'!$F$90)&lt;=0.8,1.2,0.8)))</x:f>
      </x:c>
      <x:c r="EW80" s="35" t="n">
        <x:f>IF(EW79=0,0,IF((12*(YEAR(EW$3)-YEAR($B$75))+MONTH(EW$3)-MONTH($B$75)+1)/MAX(1,'Вводные'!$F$90)&lt;=0.2,0.6,IF((12*(YEAR(EW$3)-YEAR($B$75))+MONTH(EW$3)-MONTH($B$75)+1)/MAX(1,'Вводные'!$F$90)&lt;=0.8,1.2,0.8)))</x:f>
      </x:c>
      <x:c r="EX80" s="35" t="n">
        <x:f>IF(EX79=0,0,IF((12*(YEAR(EX$3)-YEAR($B$75))+MONTH(EX$3)-MONTH($B$75)+1)/MAX(1,'Вводные'!$F$90)&lt;=0.2,0.6,IF((12*(YEAR(EX$3)-YEAR($B$75))+MONTH(EX$3)-MONTH($B$75)+1)/MAX(1,'Вводные'!$F$90)&lt;=0.8,1.2,0.8)))</x:f>
      </x:c>
      <x:c r="EY80" s="35" t="n">
        <x:f>IF(EY79=0,0,IF((12*(YEAR(EY$3)-YEAR($B$75))+MONTH(EY$3)-MONTH($B$75)+1)/MAX(1,'Вводные'!$F$90)&lt;=0.2,0.6,IF((12*(YEAR(EY$3)-YEAR($B$75))+MONTH(EY$3)-MONTH($B$75)+1)/MAX(1,'Вводные'!$F$90)&lt;=0.8,1.2,0.8)))</x:f>
      </x:c>
      <x:c r="EZ80" s="35" t="n">
        <x:f>IF(EZ79=0,0,IF((12*(YEAR(EZ$3)-YEAR($B$75))+MONTH(EZ$3)-MONTH($B$75)+1)/MAX(1,'Вводные'!$F$90)&lt;=0.2,0.6,IF((12*(YEAR(EZ$3)-YEAR($B$75))+MONTH(EZ$3)-MONTH($B$75)+1)/MAX(1,'Вводные'!$F$90)&lt;=0.8,1.2,0.8)))</x:f>
      </x:c>
      <x:c r="FA80" s="35" t="n">
        <x:f>IF(FA79=0,0,IF((12*(YEAR(FA$3)-YEAR($B$75))+MONTH(FA$3)-MONTH($B$75)+1)/MAX(1,'Вводные'!$F$90)&lt;=0.2,0.6,IF((12*(YEAR(FA$3)-YEAR($B$75))+MONTH(FA$3)-MONTH($B$75)+1)/MAX(1,'Вводные'!$F$90)&lt;=0.8,1.2,0.8)))</x:f>
      </x:c>
      <x:c r="FB80" s="35" t="n">
        <x:f>IF(FB79=0,0,IF((12*(YEAR(FB$3)-YEAR($B$75))+MONTH(FB$3)-MONTH($B$75)+1)/MAX(1,'Вводные'!$F$90)&lt;=0.2,0.6,IF((12*(YEAR(FB$3)-YEAR($B$75))+MONTH(FB$3)-MONTH($B$75)+1)/MAX(1,'Вводные'!$F$90)&lt;=0.8,1.2,0.8)))</x:f>
      </x:c>
      <x:c r="FC80" s="35" t="n">
        <x:f>IF(FC79=0,0,IF((12*(YEAR(FC$3)-YEAR($B$75))+MONTH(FC$3)-MONTH($B$75)+1)/MAX(1,'Вводные'!$F$90)&lt;=0.2,0.6,IF((12*(YEAR(FC$3)-YEAR($B$75))+MONTH(FC$3)-MONTH($B$75)+1)/MAX(1,'Вводные'!$F$90)&lt;=0.8,1.2,0.8)))</x:f>
      </x:c>
      <x:c r="FD80" s="35" t="n">
        <x:f>IF(FD79=0,0,IF((12*(YEAR(FD$3)-YEAR($B$75))+MONTH(FD$3)-MONTH($B$75)+1)/MAX(1,'Вводные'!$F$90)&lt;=0.2,0.6,IF((12*(YEAR(FD$3)-YEAR($B$75))+MONTH(FD$3)-MONTH($B$75)+1)/MAX(1,'Вводные'!$F$90)&lt;=0.8,1.2,0.8)))</x:f>
      </x:c>
      <x:c r="FE80" s="35" t="n">
        <x:f>IF(FE79=0,0,IF((12*(YEAR(FE$3)-YEAR($B$75))+MONTH(FE$3)-MONTH($B$75)+1)/MAX(1,'Вводные'!$F$90)&lt;=0.2,0.6,IF((12*(YEAR(FE$3)-YEAR($B$75))+MONTH(FE$3)-MONTH($B$75)+1)/MAX(1,'Вводные'!$F$90)&lt;=0.8,1.2,0.8)))</x:f>
      </x:c>
      <x:c r="FF80" s="35" t="n">
        <x:f>IF(FF79=0,0,IF((12*(YEAR(FF$3)-YEAR($B$75))+MONTH(FF$3)-MONTH($B$75)+1)/MAX(1,'Вводные'!$F$90)&lt;=0.2,0.6,IF((12*(YEAR(FF$3)-YEAR($B$75))+MONTH(FF$3)-MONTH($B$75)+1)/MAX(1,'Вводные'!$F$90)&lt;=0.8,1.2,0.8)))</x:f>
      </x:c>
      <x:c r="FG80" s="35" t="n">
        <x:f>IF(FG79=0,0,IF((12*(YEAR(FG$3)-YEAR($B$75))+MONTH(FG$3)-MONTH($B$75)+1)/MAX(1,'Вводные'!$F$90)&lt;=0.2,0.6,IF((12*(YEAR(FG$3)-YEAR($B$75))+MONTH(FG$3)-MONTH($B$75)+1)/MAX(1,'Вводные'!$F$90)&lt;=0.8,1.2,0.8)))</x:f>
      </x:c>
      <x:c r="FH80" s="35" t="n">
        <x:f>IF(FH79=0,0,IF((12*(YEAR(FH$3)-YEAR($B$75))+MONTH(FH$3)-MONTH($B$75)+1)/MAX(1,'Вводные'!$F$90)&lt;=0.2,0.6,IF((12*(YEAR(FH$3)-YEAR($B$75))+MONTH(FH$3)-MONTH($B$75)+1)/MAX(1,'Вводные'!$F$90)&lt;=0.8,1.2,0.8)))</x:f>
      </x:c>
      <x:c r="FI80" s="35" t="n">
        <x:f>IF(FI79=0,0,IF((12*(YEAR(FI$3)-YEAR($B$75))+MONTH(FI$3)-MONTH($B$75)+1)/MAX(1,'Вводные'!$F$90)&lt;=0.2,0.6,IF((12*(YEAR(FI$3)-YEAR($B$75))+MONTH(FI$3)-MONTH($B$75)+1)/MAX(1,'Вводные'!$F$90)&lt;=0.8,1.2,0.8)))</x:f>
      </x:c>
      <x:c r="FJ80" s="35" t="n">
        <x:f>IF(FJ79=0,0,IF((12*(YEAR(FJ$3)-YEAR($B$75))+MONTH(FJ$3)-MONTH($B$75)+1)/MAX(1,'Вводные'!$F$90)&lt;=0.2,0.6,IF((12*(YEAR(FJ$3)-YEAR($B$75))+MONTH(FJ$3)-MONTH($B$75)+1)/MAX(1,'Вводные'!$F$90)&lt;=0.8,1.2,0.8)))</x:f>
      </x:c>
      <x:c r="FK80" s="35" t="n">
        <x:f>IF(FK79=0,0,IF((12*(YEAR(FK$3)-YEAR($B$75))+MONTH(FK$3)-MONTH($B$75)+1)/MAX(1,'Вводные'!$F$90)&lt;=0.2,0.6,IF((12*(YEAR(FK$3)-YEAR($B$75))+MONTH(FK$3)-MONTH($B$75)+1)/MAX(1,'Вводные'!$F$90)&lt;=0.8,1.2,0.8)))</x:f>
      </x:c>
      <x:c r="FL80" s="35" t="n">
        <x:f>IF(FL79=0,0,IF((12*(YEAR(FL$3)-YEAR($B$75))+MONTH(FL$3)-MONTH($B$75)+1)/MAX(1,'Вводные'!$F$90)&lt;=0.2,0.6,IF((12*(YEAR(FL$3)-YEAR($B$75))+MONTH(FL$3)-MONTH($B$75)+1)/MAX(1,'Вводные'!$F$90)&lt;=0.8,1.2,0.8)))</x:f>
      </x:c>
      <x:c r="FM80" s="35" t="n">
        <x:f>IF(FM79=0,0,IF((12*(YEAR(FM$3)-YEAR($B$75))+MONTH(FM$3)-MONTH($B$75)+1)/MAX(1,'Вводные'!$F$90)&lt;=0.2,0.6,IF((12*(YEAR(FM$3)-YEAR($B$75))+MONTH(FM$3)-MONTH($B$75)+1)/MAX(1,'Вводные'!$F$90)&lt;=0.8,1.2,0.8)))</x:f>
      </x:c>
      <x:c r="FN80" s="35" t="n">
        <x:f>IF(FN79=0,0,IF((12*(YEAR(FN$3)-YEAR($B$75))+MONTH(FN$3)-MONTH($B$75)+1)/MAX(1,'Вводные'!$F$90)&lt;=0.2,0.6,IF((12*(YEAR(FN$3)-YEAR($B$75))+MONTH(FN$3)-MONTH($B$75)+1)/MAX(1,'Вводные'!$F$90)&lt;=0.8,1.2,0.8)))</x:f>
      </x:c>
      <x:c r="FO80" s="35" t="n">
        <x:f>IF(FO79=0,0,IF((12*(YEAR(FO$3)-YEAR($B$75))+MONTH(FO$3)-MONTH($B$75)+1)/MAX(1,'Вводные'!$F$90)&lt;=0.2,0.6,IF((12*(YEAR(FO$3)-YEAR($B$75))+MONTH(FO$3)-MONTH($B$75)+1)/MAX(1,'Вводные'!$F$90)&lt;=0.8,1.2,0.8)))</x:f>
      </x:c>
      <x:c r="FP80" s="35" t="n">
        <x:f>IF(FP79=0,0,IF((12*(YEAR(FP$3)-YEAR($B$75))+MONTH(FP$3)-MONTH($B$75)+1)/MAX(1,'Вводные'!$F$90)&lt;=0.2,0.6,IF((12*(YEAR(FP$3)-YEAR($B$75))+MONTH(FP$3)-MONTH($B$75)+1)/MAX(1,'Вводные'!$F$90)&lt;=0.8,1.2,0.8)))</x:f>
      </x:c>
      <x:c r="FQ80" s="35" t="n">
        <x:f>IF(FQ79=0,0,IF((12*(YEAR(FQ$3)-YEAR($B$75))+MONTH(FQ$3)-MONTH($B$75)+1)/MAX(1,'Вводные'!$F$90)&lt;=0.2,0.6,IF((12*(YEAR(FQ$3)-YEAR($B$75))+MONTH(FQ$3)-MONTH($B$75)+1)/MAX(1,'Вводные'!$F$90)&lt;=0.8,1.2,0.8)))</x:f>
      </x:c>
      <x:c r="FR80" s="35" t="n">
        <x:f>IF(FR79=0,0,IF((12*(YEAR(FR$3)-YEAR($B$75))+MONTH(FR$3)-MONTH($B$75)+1)/MAX(1,'Вводные'!$F$90)&lt;=0.2,0.6,IF((12*(YEAR(FR$3)-YEAR($B$75))+MONTH(FR$3)-MONTH($B$75)+1)/MAX(1,'Вводные'!$F$90)&lt;=0.8,1.2,0.8)))</x:f>
      </x:c>
      <x:c r="FS80" s="35" t="n">
        <x:f>IF(FS79=0,0,IF((12*(YEAR(FS$3)-YEAR($B$75))+MONTH(FS$3)-MONTH($B$75)+1)/MAX(1,'Вводные'!$F$90)&lt;=0.2,0.6,IF((12*(YEAR(FS$3)-YEAR($B$75))+MONTH(FS$3)-MONTH($B$75)+1)/MAX(1,'Вводные'!$F$90)&lt;=0.8,1.2,0.8)))</x:f>
      </x:c>
      <x:c r="FT80" s="35" t="n">
        <x:f>IF(FT79=0,0,IF((12*(YEAR(FT$3)-YEAR($B$75))+MONTH(FT$3)-MONTH($B$75)+1)/MAX(1,'Вводные'!$F$90)&lt;=0.2,0.6,IF((12*(YEAR(FT$3)-YEAR($B$75))+MONTH(FT$3)-MONTH($B$75)+1)/MAX(1,'Вводные'!$F$90)&lt;=0.8,1.2,0.8)))</x:f>
      </x:c>
      <x:c r="FU80" s="35" t="n">
        <x:f>IF(FU79=0,0,IF((12*(YEAR(FU$3)-YEAR($B$75))+MONTH(FU$3)-MONTH($B$75)+1)/MAX(1,'Вводные'!$F$90)&lt;=0.2,0.6,IF((12*(YEAR(FU$3)-YEAR($B$75))+MONTH(FU$3)-MONTH($B$75)+1)/MAX(1,'Вводные'!$F$90)&lt;=0.8,1.2,0.8)))</x:f>
      </x:c>
      <x:c r="FV80" s="35" t="n">
        <x:f>IF(FV79=0,0,IF((12*(YEAR(FV$3)-YEAR($B$75))+MONTH(FV$3)-MONTH($B$75)+1)/MAX(1,'Вводные'!$F$90)&lt;=0.2,0.6,IF((12*(YEAR(FV$3)-YEAR($B$75))+MONTH(FV$3)-MONTH($B$75)+1)/MAX(1,'Вводные'!$F$90)&lt;=0.8,1.2,0.8)))</x:f>
      </x:c>
      <x:c r="FW80" s="35" t="n">
        <x:f>IF(FW79=0,0,IF((12*(YEAR(FW$3)-YEAR($B$75))+MONTH(FW$3)-MONTH($B$75)+1)/MAX(1,'Вводные'!$F$90)&lt;=0.2,0.6,IF((12*(YEAR(FW$3)-YEAR($B$75))+MONTH(FW$3)-MONTH($B$75)+1)/MAX(1,'Вводные'!$F$90)&lt;=0.8,1.2,0.8)))</x:f>
      </x:c>
      <x:c r="FX80" s="35" t="n">
        <x:f>IF(FX79=0,0,IF((12*(YEAR(FX$3)-YEAR($B$75))+MONTH(FX$3)-MONTH($B$75)+1)/MAX(1,'Вводные'!$F$90)&lt;=0.2,0.6,IF((12*(YEAR(FX$3)-YEAR($B$75))+MONTH(FX$3)-MONTH($B$75)+1)/MAX(1,'Вводные'!$F$90)&lt;=0.8,1.2,0.8)))</x:f>
      </x:c>
      <x:c r="FY80" s="35" t="n">
        <x:f>IF(FY79=0,0,IF((12*(YEAR(FY$3)-YEAR($B$75))+MONTH(FY$3)-MONTH($B$75)+1)/MAX(1,'Вводные'!$F$90)&lt;=0.2,0.6,IF((12*(YEAR(FY$3)-YEAR($B$75))+MONTH(FY$3)-MONTH($B$75)+1)/MAX(1,'Вводные'!$F$90)&lt;=0.8,1.2,0.8)))</x:f>
      </x:c>
      <x:c r="FZ80" s="35" t="n">
        <x:f>IF(FZ79=0,0,IF((12*(YEAR(FZ$3)-YEAR($B$75))+MONTH(FZ$3)-MONTH($B$75)+1)/MAX(1,'Вводные'!$F$90)&lt;=0.2,0.6,IF((12*(YEAR(FZ$3)-YEAR($B$75))+MONTH(FZ$3)-MONTH($B$75)+1)/MAX(1,'Вводные'!$F$90)&lt;=0.8,1.2,0.8)))</x:f>
      </x:c>
      <x:c r="GA80" s="35" t="n">
        <x:f>IF(GA79=0,0,IF((12*(YEAR(GA$3)-YEAR($B$75))+MONTH(GA$3)-MONTH($B$75)+1)/MAX(1,'Вводные'!$F$90)&lt;=0.2,0.6,IF((12*(YEAR(GA$3)-YEAR($B$75))+MONTH(GA$3)-MONTH($B$75)+1)/MAX(1,'Вводные'!$F$90)&lt;=0.8,1.2,0.8)))</x:f>
      </x:c>
    </x:row>
    <x:row r="81">
      <x:c r="A81" t="str">
        <x:v>Нормированный вес строительства</x:v>
      </x:c>
      <x:c r="B81"/>
      <x:c r="C81" t="str">
        <x:v>%</x:v>
      </x:c>
      <x:c r="D81" s="35" t="n">
        <x:f>IFERROR(D80/SUM($D80:$GA80),0)</x:f>
      </x:c>
      <x:c r="E81" s="35" t="n">
        <x:f>IFERROR(E80/SUM($D80:$GA80),0)</x:f>
      </x:c>
      <x:c r="F81" s="35" t="n">
        <x:f>IFERROR(F80/SUM($D80:$GA80),0)</x:f>
      </x:c>
      <x:c r="G81" s="35" t="n">
        <x:f>IFERROR(G80/SUM($D80:$GA80),0)</x:f>
      </x:c>
      <x:c r="H81" s="35" t="n">
        <x:f>IFERROR(H80/SUM($D80:$GA80),0)</x:f>
      </x:c>
      <x:c r="I81" s="35" t="n">
        <x:f>IFERROR(I80/SUM($D80:$GA80),0)</x:f>
      </x:c>
      <x:c r="J81" s="35" t="n">
        <x:f>IFERROR(J80/SUM($D80:$GA80),0)</x:f>
      </x:c>
      <x:c r="K81" s="35" t="n">
        <x:f>IFERROR(K80/SUM($D80:$GA80),0)</x:f>
      </x:c>
      <x:c r="L81" s="35" t="n">
        <x:f>IFERROR(L80/SUM($D80:$GA80),0)</x:f>
      </x:c>
      <x:c r="M81" s="35" t="n">
        <x:f>IFERROR(M80/SUM($D80:$GA80),0)</x:f>
      </x:c>
      <x:c r="N81" s="35" t="n">
        <x:f>IFERROR(N80/SUM($D80:$GA80),0)</x:f>
      </x:c>
      <x:c r="O81" s="35" t="n">
        <x:f>IFERROR(O80/SUM($D80:$GA80),0)</x:f>
      </x:c>
      <x:c r="P81" s="35" t="n">
        <x:f>IFERROR(P80/SUM($D80:$GA80),0)</x:f>
      </x:c>
      <x:c r="Q81" s="35" t="n">
        <x:f>IFERROR(Q80/SUM($D80:$GA80),0)</x:f>
      </x:c>
      <x:c r="R81" s="35" t="n">
        <x:f>IFERROR(R80/SUM($D80:$GA80),0)</x:f>
      </x:c>
      <x:c r="S81" s="35" t="n">
        <x:f>IFERROR(S80/SUM($D80:$GA80),0)</x:f>
      </x:c>
      <x:c r="T81" s="35" t="n">
        <x:f>IFERROR(T80/SUM($D80:$GA80),0)</x:f>
      </x:c>
      <x:c r="U81" s="35" t="n">
        <x:f>IFERROR(U80/SUM($D80:$GA80),0)</x:f>
      </x:c>
      <x:c r="V81" s="35" t="n">
        <x:f>IFERROR(V80/SUM($D80:$GA80),0)</x:f>
      </x:c>
      <x:c r="W81" s="35" t="n">
        <x:f>IFERROR(W80/SUM($D80:$GA80),0)</x:f>
      </x:c>
      <x:c r="X81" s="35" t="n">
        <x:f>IFERROR(X80/SUM($D80:$GA80),0)</x:f>
      </x:c>
      <x:c r="Y81" s="35" t="n">
        <x:f>IFERROR(Y80/SUM($D80:$GA80),0)</x:f>
      </x:c>
      <x:c r="Z81" s="35" t="n">
        <x:f>IFERROR(Z80/SUM($D80:$GA80),0)</x:f>
      </x:c>
      <x:c r="AA81" s="35" t="n">
        <x:f>IFERROR(AA80/SUM($D80:$GA80),0)</x:f>
      </x:c>
      <x:c r="AB81" s="35" t="n">
        <x:f>IFERROR(AB80/SUM($D80:$GA80),0)</x:f>
      </x:c>
      <x:c r="AC81" s="35" t="n">
        <x:f>IFERROR(AC80/SUM($D80:$GA80),0)</x:f>
      </x:c>
      <x:c r="AD81" s="35" t="n">
        <x:f>IFERROR(AD80/SUM($D80:$GA80),0)</x:f>
      </x:c>
      <x:c r="AE81" s="35" t="n">
        <x:f>IFERROR(AE80/SUM($D80:$GA80),0)</x:f>
      </x:c>
      <x:c r="AF81" s="35" t="n">
        <x:f>IFERROR(AF80/SUM($D80:$GA80),0)</x:f>
      </x:c>
      <x:c r="AG81" s="35" t="n">
        <x:f>IFERROR(AG80/SUM($D80:$GA80),0)</x:f>
      </x:c>
      <x:c r="AH81" s="35" t="n">
        <x:f>IFERROR(AH80/SUM($D80:$GA80),0)</x:f>
      </x:c>
      <x:c r="AI81" s="35" t="n">
        <x:f>IFERROR(AI80/SUM($D80:$GA80),0)</x:f>
      </x:c>
      <x:c r="AJ81" s="35" t="n">
        <x:f>IFERROR(AJ80/SUM($D80:$GA80),0)</x:f>
      </x:c>
      <x:c r="AK81" s="35" t="n">
        <x:f>IFERROR(AK80/SUM($D80:$GA80),0)</x:f>
      </x:c>
      <x:c r="AL81" s="35" t="n">
        <x:f>IFERROR(AL80/SUM($D80:$GA80),0)</x:f>
      </x:c>
      <x:c r="AM81" s="35" t="n">
        <x:f>IFERROR(AM80/SUM($D80:$GA80),0)</x:f>
      </x:c>
      <x:c r="AN81" s="35" t="n">
        <x:f>IFERROR(AN80/SUM($D80:$GA80),0)</x:f>
      </x:c>
      <x:c r="AO81" s="35" t="n">
        <x:f>IFERROR(AO80/SUM($D80:$GA80),0)</x:f>
      </x:c>
      <x:c r="AP81" s="35" t="n">
        <x:f>IFERROR(AP80/SUM($D80:$GA80),0)</x:f>
      </x:c>
      <x:c r="AQ81" s="35" t="n">
        <x:f>IFERROR(AQ80/SUM($D80:$GA80),0)</x:f>
      </x:c>
      <x:c r="AR81" s="35" t="n">
        <x:f>IFERROR(AR80/SUM($D80:$GA80),0)</x:f>
      </x:c>
      <x:c r="AS81" s="35" t="n">
        <x:f>IFERROR(AS80/SUM($D80:$GA80),0)</x:f>
      </x:c>
      <x:c r="AT81" s="35" t="n">
        <x:f>IFERROR(AT80/SUM($D80:$GA80),0)</x:f>
      </x:c>
      <x:c r="AU81" s="35" t="n">
        <x:f>IFERROR(AU80/SUM($D80:$GA80),0)</x:f>
      </x:c>
      <x:c r="AV81" s="35" t="n">
        <x:f>IFERROR(AV80/SUM($D80:$GA80),0)</x:f>
      </x:c>
      <x:c r="AW81" s="35" t="n">
        <x:f>IFERROR(AW80/SUM($D80:$GA80),0)</x:f>
      </x:c>
      <x:c r="AX81" s="35" t="n">
        <x:f>IFERROR(AX80/SUM($D80:$GA80),0)</x:f>
      </x:c>
      <x:c r="AY81" s="35" t="n">
        <x:f>IFERROR(AY80/SUM($D80:$GA80),0)</x:f>
      </x:c>
      <x:c r="AZ81" s="35" t="n">
        <x:f>IFERROR(AZ80/SUM($D80:$GA80),0)</x:f>
      </x:c>
      <x:c r="BA81" s="35" t="n">
        <x:f>IFERROR(BA80/SUM($D80:$GA80),0)</x:f>
      </x:c>
      <x:c r="BB81" s="35" t="n">
        <x:f>IFERROR(BB80/SUM($D80:$GA80),0)</x:f>
      </x:c>
      <x:c r="BC81" s="35" t="n">
        <x:f>IFERROR(BC80/SUM($D80:$GA80),0)</x:f>
      </x:c>
      <x:c r="BD81" s="35" t="n">
        <x:f>IFERROR(BD80/SUM($D80:$GA80),0)</x:f>
      </x:c>
      <x:c r="BE81" s="35" t="n">
        <x:f>IFERROR(BE80/SUM($D80:$GA80),0)</x:f>
      </x:c>
      <x:c r="BF81" s="35" t="n">
        <x:f>IFERROR(BF80/SUM($D80:$GA80),0)</x:f>
      </x:c>
      <x:c r="BG81" s="35" t="n">
        <x:f>IFERROR(BG80/SUM($D80:$GA80),0)</x:f>
      </x:c>
      <x:c r="BH81" s="35" t="n">
        <x:f>IFERROR(BH80/SUM($D80:$GA80),0)</x:f>
      </x:c>
      <x:c r="BI81" s="35" t="n">
        <x:f>IFERROR(BI80/SUM($D80:$GA80),0)</x:f>
      </x:c>
      <x:c r="BJ81" s="35" t="n">
        <x:f>IFERROR(BJ80/SUM($D80:$GA80),0)</x:f>
      </x:c>
      <x:c r="BK81" s="35" t="n">
        <x:f>IFERROR(BK80/SUM($D80:$GA80),0)</x:f>
      </x:c>
      <x:c r="BL81" s="35" t="n">
        <x:f>IFERROR(BL80/SUM($D80:$GA80),0)</x:f>
      </x:c>
      <x:c r="BM81" s="35" t="n">
        <x:f>IFERROR(BM80/SUM($D80:$GA80),0)</x:f>
      </x:c>
      <x:c r="BN81" s="35" t="n">
        <x:f>IFERROR(BN80/SUM($D80:$GA80),0)</x:f>
      </x:c>
      <x:c r="BO81" s="35" t="n">
        <x:f>IFERROR(BO80/SUM($D80:$GA80),0)</x:f>
      </x:c>
      <x:c r="BP81" s="35" t="n">
        <x:f>IFERROR(BP80/SUM($D80:$GA80),0)</x:f>
      </x:c>
      <x:c r="BQ81" s="35" t="n">
        <x:f>IFERROR(BQ80/SUM($D80:$GA80),0)</x:f>
      </x:c>
      <x:c r="BR81" s="35" t="n">
        <x:f>IFERROR(BR80/SUM($D80:$GA80),0)</x:f>
      </x:c>
      <x:c r="BS81" s="35" t="n">
        <x:f>IFERROR(BS80/SUM($D80:$GA80),0)</x:f>
      </x:c>
      <x:c r="BT81" s="35" t="n">
        <x:f>IFERROR(BT80/SUM($D80:$GA80),0)</x:f>
      </x:c>
      <x:c r="BU81" s="35" t="n">
        <x:f>IFERROR(BU80/SUM($D80:$GA80),0)</x:f>
      </x:c>
      <x:c r="BV81" s="35" t="n">
        <x:f>IFERROR(BV80/SUM($D80:$GA80),0)</x:f>
      </x:c>
      <x:c r="BW81" s="35" t="n">
        <x:f>IFERROR(BW80/SUM($D80:$GA80),0)</x:f>
      </x:c>
      <x:c r="BX81" s="35" t="n">
        <x:f>IFERROR(BX80/SUM($D80:$GA80),0)</x:f>
      </x:c>
      <x:c r="BY81" s="35" t="n">
        <x:f>IFERROR(BY80/SUM($D80:$GA80),0)</x:f>
      </x:c>
      <x:c r="BZ81" s="35" t="n">
        <x:f>IFERROR(BZ80/SUM($D80:$GA80),0)</x:f>
      </x:c>
      <x:c r="CA81" s="35" t="n">
        <x:f>IFERROR(CA80/SUM($D80:$GA80),0)</x:f>
      </x:c>
      <x:c r="CB81" s="35" t="n">
        <x:f>IFERROR(CB80/SUM($D80:$GA80),0)</x:f>
      </x:c>
      <x:c r="CC81" s="35" t="n">
        <x:f>IFERROR(CC80/SUM($D80:$GA80),0)</x:f>
      </x:c>
      <x:c r="CD81" s="35" t="n">
        <x:f>IFERROR(CD80/SUM($D80:$GA80),0)</x:f>
      </x:c>
      <x:c r="CE81" s="35" t="n">
        <x:f>IFERROR(CE80/SUM($D80:$GA80),0)</x:f>
      </x:c>
      <x:c r="CF81" s="35" t="n">
        <x:f>IFERROR(CF80/SUM($D80:$GA80),0)</x:f>
      </x:c>
      <x:c r="CG81" s="35" t="n">
        <x:f>IFERROR(CG80/SUM($D80:$GA80),0)</x:f>
      </x:c>
      <x:c r="CH81" s="35" t="n">
        <x:f>IFERROR(CH80/SUM($D80:$GA80),0)</x:f>
      </x:c>
      <x:c r="CI81" s="35" t="n">
        <x:f>IFERROR(CI80/SUM($D80:$GA80),0)</x:f>
      </x:c>
      <x:c r="CJ81" s="35" t="n">
        <x:f>IFERROR(CJ80/SUM($D80:$GA80),0)</x:f>
      </x:c>
      <x:c r="CK81" s="35" t="n">
        <x:f>IFERROR(CK80/SUM($D80:$GA80),0)</x:f>
      </x:c>
      <x:c r="CL81" s="35" t="n">
        <x:f>IFERROR(CL80/SUM($D80:$GA80),0)</x:f>
      </x:c>
      <x:c r="CM81" s="35" t="n">
        <x:f>IFERROR(CM80/SUM($D80:$GA80),0)</x:f>
      </x:c>
      <x:c r="CN81" s="35" t="n">
        <x:f>IFERROR(CN80/SUM($D80:$GA80),0)</x:f>
      </x:c>
      <x:c r="CO81" s="35" t="n">
        <x:f>IFERROR(CO80/SUM($D80:$GA80),0)</x:f>
      </x:c>
      <x:c r="CP81" s="35" t="n">
        <x:f>IFERROR(CP80/SUM($D80:$GA80),0)</x:f>
      </x:c>
      <x:c r="CQ81" s="35" t="n">
        <x:f>IFERROR(CQ80/SUM($D80:$GA80),0)</x:f>
      </x:c>
      <x:c r="CR81" s="35" t="n">
        <x:f>IFERROR(CR80/SUM($D80:$GA80),0)</x:f>
      </x:c>
      <x:c r="CS81" s="35" t="n">
        <x:f>IFERROR(CS80/SUM($D80:$GA80),0)</x:f>
      </x:c>
      <x:c r="CT81" s="35" t="n">
        <x:f>IFERROR(CT80/SUM($D80:$GA80),0)</x:f>
      </x:c>
      <x:c r="CU81" s="35" t="n">
        <x:f>IFERROR(CU80/SUM($D80:$GA80),0)</x:f>
      </x:c>
      <x:c r="CV81" s="35" t="n">
        <x:f>IFERROR(CV80/SUM($D80:$GA80),0)</x:f>
      </x:c>
      <x:c r="CW81" s="35" t="n">
        <x:f>IFERROR(CW80/SUM($D80:$GA80),0)</x:f>
      </x:c>
      <x:c r="CX81" s="35" t="n">
        <x:f>IFERROR(CX80/SUM($D80:$GA80),0)</x:f>
      </x:c>
      <x:c r="CY81" s="35" t="n">
        <x:f>IFERROR(CY80/SUM($D80:$GA80),0)</x:f>
      </x:c>
      <x:c r="CZ81" s="35" t="n">
        <x:f>IFERROR(CZ80/SUM($D80:$GA80),0)</x:f>
      </x:c>
      <x:c r="DA81" s="35" t="n">
        <x:f>IFERROR(DA80/SUM($D80:$GA80),0)</x:f>
      </x:c>
      <x:c r="DB81" s="35" t="n">
        <x:f>IFERROR(DB80/SUM($D80:$GA80),0)</x:f>
      </x:c>
      <x:c r="DC81" s="35" t="n">
        <x:f>IFERROR(DC80/SUM($D80:$GA80),0)</x:f>
      </x:c>
      <x:c r="DD81" s="35" t="n">
        <x:f>IFERROR(DD80/SUM($D80:$GA80),0)</x:f>
      </x:c>
      <x:c r="DE81" s="35" t="n">
        <x:f>IFERROR(DE80/SUM($D80:$GA80),0)</x:f>
      </x:c>
      <x:c r="DF81" s="35" t="n">
        <x:f>IFERROR(DF80/SUM($D80:$GA80),0)</x:f>
      </x:c>
      <x:c r="DG81" s="35" t="n">
        <x:f>IFERROR(DG80/SUM($D80:$GA80),0)</x:f>
      </x:c>
      <x:c r="DH81" s="35" t="n">
        <x:f>IFERROR(DH80/SUM($D80:$GA80),0)</x:f>
      </x:c>
      <x:c r="DI81" s="35" t="n">
        <x:f>IFERROR(DI80/SUM($D80:$GA80),0)</x:f>
      </x:c>
      <x:c r="DJ81" s="35" t="n">
        <x:f>IFERROR(DJ80/SUM($D80:$GA80),0)</x:f>
      </x:c>
      <x:c r="DK81" s="35" t="n">
        <x:f>IFERROR(DK80/SUM($D80:$GA80),0)</x:f>
      </x:c>
      <x:c r="DL81" s="35" t="n">
        <x:f>IFERROR(DL80/SUM($D80:$GA80),0)</x:f>
      </x:c>
      <x:c r="DM81" s="35" t="n">
        <x:f>IFERROR(DM80/SUM($D80:$GA80),0)</x:f>
      </x:c>
      <x:c r="DN81" s="35" t="n">
        <x:f>IFERROR(DN80/SUM($D80:$GA80),0)</x:f>
      </x:c>
      <x:c r="DO81" s="35" t="n">
        <x:f>IFERROR(DO80/SUM($D80:$GA80),0)</x:f>
      </x:c>
      <x:c r="DP81" s="35" t="n">
        <x:f>IFERROR(DP80/SUM($D80:$GA80),0)</x:f>
      </x:c>
      <x:c r="DQ81" s="35" t="n">
        <x:f>IFERROR(DQ80/SUM($D80:$GA80),0)</x:f>
      </x:c>
      <x:c r="DR81" s="35" t="n">
        <x:f>IFERROR(DR80/SUM($D80:$GA80),0)</x:f>
      </x:c>
      <x:c r="DS81" s="35" t="n">
        <x:f>IFERROR(DS80/SUM($D80:$GA80),0)</x:f>
      </x:c>
      <x:c r="DT81" s="35" t="n">
        <x:f>IFERROR(DT80/SUM($D80:$GA80),0)</x:f>
      </x:c>
      <x:c r="DU81" s="35" t="n">
        <x:f>IFERROR(DU80/SUM($D80:$GA80),0)</x:f>
      </x:c>
      <x:c r="DV81" s="35" t="n">
        <x:f>IFERROR(DV80/SUM($D80:$GA80),0)</x:f>
      </x:c>
      <x:c r="DW81" s="35" t="n">
        <x:f>IFERROR(DW80/SUM($D80:$GA80),0)</x:f>
      </x:c>
      <x:c r="DX81" s="35" t="n">
        <x:f>IFERROR(DX80/SUM($D80:$GA80),0)</x:f>
      </x:c>
      <x:c r="DY81" s="35" t="n">
        <x:f>IFERROR(DY80/SUM($D80:$GA80),0)</x:f>
      </x:c>
      <x:c r="DZ81" s="35" t="n">
        <x:f>IFERROR(DZ80/SUM($D80:$GA80),0)</x:f>
      </x:c>
      <x:c r="EA81" s="35" t="n">
        <x:f>IFERROR(EA80/SUM($D80:$GA80),0)</x:f>
      </x:c>
      <x:c r="EB81" s="35" t="n">
        <x:f>IFERROR(EB80/SUM($D80:$GA80),0)</x:f>
      </x:c>
      <x:c r="EC81" s="35" t="n">
        <x:f>IFERROR(EC80/SUM($D80:$GA80),0)</x:f>
      </x:c>
      <x:c r="ED81" s="35" t="n">
        <x:f>IFERROR(ED80/SUM($D80:$GA80),0)</x:f>
      </x:c>
      <x:c r="EE81" s="35" t="n">
        <x:f>IFERROR(EE80/SUM($D80:$GA80),0)</x:f>
      </x:c>
      <x:c r="EF81" s="35" t="n">
        <x:f>IFERROR(EF80/SUM($D80:$GA80),0)</x:f>
      </x:c>
      <x:c r="EG81" s="35" t="n">
        <x:f>IFERROR(EG80/SUM($D80:$GA80),0)</x:f>
      </x:c>
      <x:c r="EH81" s="35" t="n">
        <x:f>IFERROR(EH80/SUM($D80:$GA80),0)</x:f>
      </x:c>
      <x:c r="EI81" s="35" t="n">
        <x:f>IFERROR(EI80/SUM($D80:$GA80),0)</x:f>
      </x:c>
      <x:c r="EJ81" s="35" t="n">
        <x:f>IFERROR(EJ80/SUM($D80:$GA80),0)</x:f>
      </x:c>
      <x:c r="EK81" s="35" t="n">
        <x:f>IFERROR(EK80/SUM($D80:$GA80),0)</x:f>
      </x:c>
      <x:c r="EL81" s="35" t="n">
        <x:f>IFERROR(EL80/SUM($D80:$GA80),0)</x:f>
      </x:c>
      <x:c r="EM81" s="35" t="n">
        <x:f>IFERROR(EM80/SUM($D80:$GA80),0)</x:f>
      </x:c>
      <x:c r="EN81" s="35" t="n">
        <x:f>IFERROR(EN80/SUM($D80:$GA80),0)</x:f>
      </x:c>
      <x:c r="EO81" s="35" t="n">
        <x:f>IFERROR(EO80/SUM($D80:$GA80),0)</x:f>
      </x:c>
      <x:c r="EP81" s="35" t="n">
        <x:f>IFERROR(EP80/SUM($D80:$GA80),0)</x:f>
      </x:c>
      <x:c r="EQ81" s="35" t="n">
        <x:f>IFERROR(EQ80/SUM($D80:$GA80),0)</x:f>
      </x:c>
      <x:c r="ER81" s="35" t="n">
        <x:f>IFERROR(ER80/SUM($D80:$GA80),0)</x:f>
      </x:c>
      <x:c r="ES81" s="35" t="n">
        <x:f>IFERROR(ES80/SUM($D80:$GA80),0)</x:f>
      </x:c>
      <x:c r="ET81" s="35" t="n">
        <x:f>IFERROR(ET80/SUM($D80:$GA80),0)</x:f>
      </x:c>
      <x:c r="EU81" s="35" t="n">
        <x:f>IFERROR(EU80/SUM($D80:$GA80),0)</x:f>
      </x:c>
      <x:c r="EV81" s="35" t="n">
        <x:f>IFERROR(EV80/SUM($D80:$GA80),0)</x:f>
      </x:c>
      <x:c r="EW81" s="35" t="n">
        <x:f>IFERROR(EW80/SUM($D80:$GA80),0)</x:f>
      </x:c>
      <x:c r="EX81" s="35" t="n">
        <x:f>IFERROR(EX80/SUM($D80:$GA80),0)</x:f>
      </x:c>
      <x:c r="EY81" s="35" t="n">
        <x:f>IFERROR(EY80/SUM($D80:$GA80),0)</x:f>
      </x:c>
      <x:c r="EZ81" s="35" t="n">
        <x:f>IFERROR(EZ80/SUM($D80:$GA80),0)</x:f>
      </x:c>
      <x:c r="FA81" s="35" t="n">
        <x:f>IFERROR(FA80/SUM($D80:$GA80),0)</x:f>
      </x:c>
      <x:c r="FB81" s="35" t="n">
        <x:f>IFERROR(FB80/SUM($D80:$GA80),0)</x:f>
      </x:c>
      <x:c r="FC81" s="35" t="n">
        <x:f>IFERROR(FC80/SUM($D80:$GA80),0)</x:f>
      </x:c>
      <x:c r="FD81" s="35" t="n">
        <x:f>IFERROR(FD80/SUM($D80:$GA80),0)</x:f>
      </x:c>
      <x:c r="FE81" s="35" t="n">
        <x:f>IFERROR(FE80/SUM($D80:$GA80),0)</x:f>
      </x:c>
      <x:c r="FF81" s="35" t="n">
        <x:f>IFERROR(FF80/SUM($D80:$GA80),0)</x:f>
      </x:c>
      <x:c r="FG81" s="35" t="n">
        <x:f>IFERROR(FG80/SUM($D80:$GA80),0)</x:f>
      </x:c>
      <x:c r="FH81" s="35" t="n">
        <x:f>IFERROR(FH80/SUM($D80:$GA80),0)</x:f>
      </x:c>
      <x:c r="FI81" s="35" t="n">
        <x:f>IFERROR(FI80/SUM($D80:$GA80),0)</x:f>
      </x:c>
      <x:c r="FJ81" s="35" t="n">
        <x:f>IFERROR(FJ80/SUM($D80:$GA80),0)</x:f>
      </x:c>
      <x:c r="FK81" s="35" t="n">
        <x:f>IFERROR(FK80/SUM($D80:$GA80),0)</x:f>
      </x:c>
      <x:c r="FL81" s="35" t="n">
        <x:f>IFERROR(FL80/SUM($D80:$GA80),0)</x:f>
      </x:c>
      <x:c r="FM81" s="35" t="n">
        <x:f>IFERROR(FM80/SUM($D80:$GA80),0)</x:f>
      </x:c>
      <x:c r="FN81" s="35" t="n">
        <x:f>IFERROR(FN80/SUM($D80:$GA80),0)</x:f>
      </x:c>
      <x:c r="FO81" s="35" t="n">
        <x:f>IFERROR(FO80/SUM($D80:$GA80),0)</x:f>
      </x:c>
      <x:c r="FP81" s="35" t="n">
        <x:f>IFERROR(FP80/SUM($D80:$GA80),0)</x:f>
      </x:c>
      <x:c r="FQ81" s="35" t="n">
        <x:f>IFERROR(FQ80/SUM($D80:$GA80),0)</x:f>
      </x:c>
      <x:c r="FR81" s="35" t="n">
        <x:f>IFERROR(FR80/SUM($D80:$GA80),0)</x:f>
      </x:c>
      <x:c r="FS81" s="35" t="n">
        <x:f>IFERROR(FS80/SUM($D80:$GA80),0)</x:f>
      </x:c>
      <x:c r="FT81" s="35" t="n">
        <x:f>IFERROR(FT80/SUM($D80:$GA80),0)</x:f>
      </x:c>
      <x:c r="FU81" s="35" t="n">
        <x:f>IFERROR(FU80/SUM($D80:$GA80),0)</x:f>
      </x:c>
      <x:c r="FV81" s="35" t="n">
        <x:f>IFERROR(FV80/SUM($D80:$GA80),0)</x:f>
      </x:c>
      <x:c r="FW81" s="35" t="n">
        <x:f>IFERROR(FW80/SUM($D80:$GA80),0)</x:f>
      </x:c>
      <x:c r="FX81" s="35" t="n">
        <x:f>IFERROR(FX80/SUM($D80:$GA80),0)</x:f>
      </x:c>
      <x:c r="FY81" s="35" t="n">
        <x:f>IFERROR(FY80/SUM($D80:$GA80),0)</x:f>
      </x:c>
      <x:c r="FZ81" s="35" t="n">
        <x:f>IFERROR(FZ80/SUM($D80:$GA80),0)</x:f>
      </x:c>
      <x:c r="GA81" s="35" t="n">
        <x:f>IFERROR(GA80/SUM($D80:$GA80),0)</x:f>
      </x:c>
    </x:row>
    <x:row r="82">
      <x:c r="A82" t="str">
        <x:v>Покупка / цена входа</x:v>
      </x:c>
      <x:c r="B82" s="107" t="n">
        <x:f>'Вводные'!$B$15*'Вводные'!$P$90*--('Вводные'!$B$90="Да")</x:f>
      </x:c>
      <x:c r="C82" t="str">
        <x:v>млн ₽</x:v>
      </x:c>
      <x:c r="D82" s="117" t="n">
        <x:f>IF(AND(YEAR(D$3)=YEAR(EDATE('Вводные'!$D$90,'Вводные'!$H$9)),MONTH(D$3)=MONTH(EDATE('Вводные'!$D$90,'Вводные'!$H$9))),$B$82,0)</x:f>
      </x:c>
      <x:c r="E82" s="117" t="n">
        <x:f>IF(AND(YEAR(E$3)=YEAR(EDATE('Вводные'!$D$90,'Вводные'!$H$9)),MONTH(E$3)=MONTH(EDATE('Вводные'!$D$90,'Вводные'!$H$9))),$B$82,0)</x:f>
      </x:c>
      <x:c r="F82" s="117" t="n">
        <x:f>IF(AND(YEAR(F$3)=YEAR(EDATE('Вводные'!$D$90,'Вводные'!$H$9)),MONTH(F$3)=MONTH(EDATE('Вводные'!$D$90,'Вводные'!$H$9))),$B$82,0)</x:f>
      </x:c>
      <x:c r="G82" s="117" t="n">
        <x:f>IF(AND(YEAR(G$3)=YEAR(EDATE('Вводные'!$D$90,'Вводные'!$H$9)),MONTH(G$3)=MONTH(EDATE('Вводные'!$D$90,'Вводные'!$H$9))),$B$82,0)</x:f>
      </x:c>
      <x:c r="H82" s="117" t="n">
        <x:f>IF(AND(YEAR(H$3)=YEAR(EDATE('Вводные'!$D$90,'Вводные'!$H$9)),MONTH(H$3)=MONTH(EDATE('Вводные'!$D$90,'Вводные'!$H$9))),$B$82,0)</x:f>
      </x:c>
      <x:c r="I82" s="117" t="n">
        <x:f>IF(AND(YEAR(I$3)=YEAR(EDATE('Вводные'!$D$90,'Вводные'!$H$9)),MONTH(I$3)=MONTH(EDATE('Вводные'!$D$90,'Вводные'!$H$9))),$B$82,0)</x:f>
      </x:c>
      <x:c r="J82" s="117" t="n">
        <x:f>IF(AND(YEAR(J$3)=YEAR(EDATE('Вводные'!$D$90,'Вводные'!$H$9)),MONTH(J$3)=MONTH(EDATE('Вводные'!$D$90,'Вводные'!$H$9))),$B$82,0)</x:f>
      </x:c>
      <x:c r="K82" s="117" t="n">
        <x:f>IF(AND(YEAR(K$3)=YEAR(EDATE('Вводные'!$D$90,'Вводные'!$H$9)),MONTH(K$3)=MONTH(EDATE('Вводные'!$D$90,'Вводные'!$H$9))),$B$82,0)</x:f>
      </x:c>
      <x:c r="L82" s="117" t="n">
        <x:f>IF(AND(YEAR(L$3)=YEAR(EDATE('Вводные'!$D$90,'Вводные'!$H$9)),MONTH(L$3)=MONTH(EDATE('Вводные'!$D$90,'Вводные'!$H$9))),$B$82,0)</x:f>
      </x:c>
      <x:c r="M82" s="117" t="n">
        <x:f>IF(AND(YEAR(M$3)=YEAR(EDATE('Вводные'!$D$90,'Вводные'!$H$9)),MONTH(M$3)=MONTH(EDATE('Вводные'!$D$90,'Вводные'!$H$9))),$B$82,0)</x:f>
      </x:c>
      <x:c r="N82" s="117" t="n">
        <x:f>IF(AND(YEAR(N$3)=YEAR(EDATE('Вводные'!$D$90,'Вводные'!$H$9)),MONTH(N$3)=MONTH(EDATE('Вводные'!$D$90,'Вводные'!$H$9))),$B$82,0)</x:f>
      </x:c>
      <x:c r="O82" s="117" t="n">
        <x:f>IF(AND(YEAR(O$3)=YEAR(EDATE('Вводные'!$D$90,'Вводные'!$H$9)),MONTH(O$3)=MONTH(EDATE('Вводные'!$D$90,'Вводные'!$H$9))),$B$82,0)</x:f>
      </x:c>
      <x:c r="P82" s="117" t="n">
        <x:f>IF(AND(YEAR(P$3)=YEAR(EDATE('Вводные'!$D$90,'Вводные'!$H$9)),MONTH(P$3)=MONTH(EDATE('Вводные'!$D$90,'Вводные'!$H$9))),$B$82,0)</x:f>
      </x:c>
      <x:c r="Q82" s="117" t="n">
        <x:f>IF(AND(YEAR(Q$3)=YEAR(EDATE('Вводные'!$D$90,'Вводные'!$H$9)),MONTH(Q$3)=MONTH(EDATE('Вводные'!$D$90,'Вводные'!$H$9))),$B$82,0)</x:f>
      </x:c>
      <x:c r="R82" s="117" t="n">
        <x:f>IF(AND(YEAR(R$3)=YEAR(EDATE('Вводные'!$D$90,'Вводные'!$H$9)),MONTH(R$3)=MONTH(EDATE('Вводные'!$D$90,'Вводные'!$H$9))),$B$82,0)</x:f>
      </x:c>
      <x:c r="S82" s="117" t="n">
        <x:f>IF(AND(YEAR(S$3)=YEAR(EDATE('Вводные'!$D$90,'Вводные'!$H$9)),MONTH(S$3)=MONTH(EDATE('Вводные'!$D$90,'Вводные'!$H$9))),$B$82,0)</x:f>
      </x:c>
      <x:c r="T82" s="117" t="n">
        <x:f>IF(AND(YEAR(T$3)=YEAR(EDATE('Вводные'!$D$90,'Вводные'!$H$9)),MONTH(T$3)=MONTH(EDATE('Вводные'!$D$90,'Вводные'!$H$9))),$B$82,0)</x:f>
      </x:c>
      <x:c r="U82" s="117" t="n">
        <x:f>IF(AND(YEAR(U$3)=YEAR(EDATE('Вводные'!$D$90,'Вводные'!$H$9)),MONTH(U$3)=MONTH(EDATE('Вводные'!$D$90,'Вводные'!$H$9))),$B$82,0)</x:f>
      </x:c>
      <x:c r="V82" s="117" t="n">
        <x:f>IF(AND(YEAR(V$3)=YEAR(EDATE('Вводные'!$D$90,'Вводные'!$H$9)),MONTH(V$3)=MONTH(EDATE('Вводные'!$D$90,'Вводные'!$H$9))),$B$82,0)</x:f>
      </x:c>
      <x:c r="W82" s="117" t="n">
        <x:f>IF(AND(YEAR(W$3)=YEAR(EDATE('Вводные'!$D$90,'Вводные'!$H$9)),MONTH(W$3)=MONTH(EDATE('Вводные'!$D$90,'Вводные'!$H$9))),$B$82,0)</x:f>
      </x:c>
      <x:c r="X82" s="117" t="n">
        <x:f>IF(AND(YEAR(X$3)=YEAR(EDATE('Вводные'!$D$90,'Вводные'!$H$9)),MONTH(X$3)=MONTH(EDATE('Вводные'!$D$90,'Вводные'!$H$9))),$B$82,0)</x:f>
      </x:c>
      <x:c r="Y82" s="117" t="n">
        <x:f>IF(AND(YEAR(Y$3)=YEAR(EDATE('Вводные'!$D$90,'Вводные'!$H$9)),MONTH(Y$3)=MONTH(EDATE('Вводные'!$D$90,'Вводные'!$H$9))),$B$82,0)</x:f>
      </x:c>
      <x:c r="Z82" s="117" t="n">
        <x:f>IF(AND(YEAR(Z$3)=YEAR(EDATE('Вводные'!$D$90,'Вводные'!$H$9)),MONTH(Z$3)=MONTH(EDATE('Вводные'!$D$90,'Вводные'!$H$9))),$B$82,0)</x:f>
      </x:c>
      <x:c r="AA82" s="117" t="n">
        <x:f>IF(AND(YEAR(AA$3)=YEAR(EDATE('Вводные'!$D$90,'Вводные'!$H$9)),MONTH(AA$3)=MONTH(EDATE('Вводные'!$D$90,'Вводные'!$H$9))),$B$82,0)</x:f>
      </x:c>
      <x:c r="AB82" s="117" t="n">
        <x:f>IF(AND(YEAR(AB$3)=YEAR(EDATE('Вводные'!$D$90,'Вводные'!$H$9)),MONTH(AB$3)=MONTH(EDATE('Вводные'!$D$90,'Вводные'!$H$9))),$B$82,0)</x:f>
      </x:c>
      <x:c r="AC82" s="117" t="n">
        <x:f>IF(AND(YEAR(AC$3)=YEAR(EDATE('Вводные'!$D$90,'Вводные'!$H$9)),MONTH(AC$3)=MONTH(EDATE('Вводные'!$D$90,'Вводные'!$H$9))),$B$82,0)</x:f>
      </x:c>
      <x:c r="AD82" s="117" t="n">
        <x:f>IF(AND(YEAR(AD$3)=YEAR(EDATE('Вводные'!$D$90,'Вводные'!$H$9)),MONTH(AD$3)=MONTH(EDATE('Вводные'!$D$90,'Вводные'!$H$9))),$B$82,0)</x:f>
      </x:c>
      <x:c r="AE82" s="117" t="n">
        <x:f>IF(AND(YEAR(AE$3)=YEAR(EDATE('Вводные'!$D$90,'Вводные'!$H$9)),MONTH(AE$3)=MONTH(EDATE('Вводные'!$D$90,'Вводные'!$H$9))),$B$82,0)</x:f>
      </x:c>
      <x:c r="AF82" s="117" t="n">
        <x:f>IF(AND(YEAR(AF$3)=YEAR(EDATE('Вводные'!$D$90,'Вводные'!$H$9)),MONTH(AF$3)=MONTH(EDATE('Вводные'!$D$90,'Вводные'!$H$9))),$B$82,0)</x:f>
      </x:c>
      <x:c r="AG82" s="117" t="n">
        <x:f>IF(AND(YEAR(AG$3)=YEAR(EDATE('Вводные'!$D$90,'Вводные'!$H$9)),MONTH(AG$3)=MONTH(EDATE('Вводные'!$D$90,'Вводные'!$H$9))),$B$82,0)</x:f>
      </x:c>
      <x:c r="AH82" s="117" t="n">
        <x:f>IF(AND(YEAR(AH$3)=YEAR(EDATE('Вводные'!$D$90,'Вводные'!$H$9)),MONTH(AH$3)=MONTH(EDATE('Вводные'!$D$90,'Вводные'!$H$9))),$B$82,0)</x:f>
      </x:c>
      <x:c r="AI82" s="117" t="n">
        <x:f>IF(AND(YEAR(AI$3)=YEAR(EDATE('Вводные'!$D$90,'Вводные'!$H$9)),MONTH(AI$3)=MONTH(EDATE('Вводные'!$D$90,'Вводные'!$H$9))),$B$82,0)</x:f>
      </x:c>
      <x:c r="AJ82" s="117" t="n">
        <x:f>IF(AND(YEAR(AJ$3)=YEAR(EDATE('Вводные'!$D$90,'Вводные'!$H$9)),MONTH(AJ$3)=MONTH(EDATE('Вводные'!$D$90,'Вводные'!$H$9))),$B$82,0)</x:f>
      </x:c>
      <x:c r="AK82" s="117" t="n">
        <x:f>IF(AND(YEAR(AK$3)=YEAR(EDATE('Вводные'!$D$90,'Вводные'!$H$9)),MONTH(AK$3)=MONTH(EDATE('Вводные'!$D$90,'Вводные'!$H$9))),$B$82,0)</x:f>
      </x:c>
      <x:c r="AL82" s="117" t="n">
        <x:f>IF(AND(YEAR(AL$3)=YEAR(EDATE('Вводные'!$D$90,'Вводные'!$H$9)),MONTH(AL$3)=MONTH(EDATE('Вводные'!$D$90,'Вводные'!$H$9))),$B$82,0)</x:f>
      </x:c>
      <x:c r="AM82" s="117" t="n">
        <x:f>IF(AND(YEAR(AM$3)=YEAR(EDATE('Вводные'!$D$90,'Вводные'!$H$9)),MONTH(AM$3)=MONTH(EDATE('Вводные'!$D$90,'Вводные'!$H$9))),$B$82,0)</x:f>
      </x:c>
      <x:c r="AN82" s="117" t="n">
        <x:f>IF(AND(YEAR(AN$3)=YEAR(EDATE('Вводные'!$D$90,'Вводные'!$H$9)),MONTH(AN$3)=MONTH(EDATE('Вводные'!$D$90,'Вводные'!$H$9))),$B$82,0)</x:f>
      </x:c>
      <x:c r="AO82" s="117" t="n">
        <x:f>IF(AND(YEAR(AO$3)=YEAR(EDATE('Вводные'!$D$90,'Вводные'!$H$9)),MONTH(AO$3)=MONTH(EDATE('Вводные'!$D$90,'Вводные'!$H$9))),$B$82,0)</x:f>
      </x:c>
      <x:c r="AP82" s="117" t="n">
        <x:f>IF(AND(YEAR(AP$3)=YEAR(EDATE('Вводные'!$D$90,'Вводные'!$H$9)),MONTH(AP$3)=MONTH(EDATE('Вводные'!$D$90,'Вводные'!$H$9))),$B$82,0)</x:f>
      </x:c>
      <x:c r="AQ82" s="117" t="n">
        <x:f>IF(AND(YEAR(AQ$3)=YEAR(EDATE('Вводные'!$D$90,'Вводные'!$H$9)),MONTH(AQ$3)=MONTH(EDATE('Вводные'!$D$90,'Вводные'!$H$9))),$B$82,0)</x:f>
      </x:c>
      <x:c r="AR82" s="117" t="n">
        <x:f>IF(AND(YEAR(AR$3)=YEAR(EDATE('Вводные'!$D$90,'Вводные'!$H$9)),MONTH(AR$3)=MONTH(EDATE('Вводные'!$D$90,'Вводные'!$H$9))),$B$82,0)</x:f>
      </x:c>
      <x:c r="AS82" s="117" t="n">
        <x:f>IF(AND(YEAR(AS$3)=YEAR(EDATE('Вводные'!$D$90,'Вводные'!$H$9)),MONTH(AS$3)=MONTH(EDATE('Вводные'!$D$90,'Вводные'!$H$9))),$B$82,0)</x:f>
      </x:c>
      <x:c r="AT82" s="117" t="n">
        <x:f>IF(AND(YEAR(AT$3)=YEAR(EDATE('Вводные'!$D$90,'Вводные'!$H$9)),MONTH(AT$3)=MONTH(EDATE('Вводные'!$D$90,'Вводные'!$H$9))),$B$82,0)</x:f>
      </x:c>
      <x:c r="AU82" s="117" t="n">
        <x:f>IF(AND(YEAR(AU$3)=YEAR(EDATE('Вводные'!$D$90,'Вводные'!$H$9)),MONTH(AU$3)=MONTH(EDATE('Вводные'!$D$90,'Вводные'!$H$9))),$B$82,0)</x:f>
      </x:c>
      <x:c r="AV82" s="117" t="n">
        <x:f>IF(AND(YEAR(AV$3)=YEAR(EDATE('Вводные'!$D$90,'Вводные'!$H$9)),MONTH(AV$3)=MONTH(EDATE('Вводные'!$D$90,'Вводные'!$H$9))),$B$82,0)</x:f>
      </x:c>
      <x:c r="AW82" s="117" t="n">
        <x:f>IF(AND(YEAR(AW$3)=YEAR(EDATE('Вводные'!$D$90,'Вводные'!$H$9)),MONTH(AW$3)=MONTH(EDATE('Вводные'!$D$90,'Вводные'!$H$9))),$B$82,0)</x:f>
      </x:c>
      <x:c r="AX82" s="117" t="n">
        <x:f>IF(AND(YEAR(AX$3)=YEAR(EDATE('Вводные'!$D$90,'Вводные'!$H$9)),MONTH(AX$3)=MONTH(EDATE('Вводные'!$D$90,'Вводные'!$H$9))),$B$82,0)</x:f>
      </x:c>
      <x:c r="AY82" s="117" t="n">
        <x:f>IF(AND(YEAR(AY$3)=YEAR(EDATE('Вводные'!$D$90,'Вводные'!$H$9)),MONTH(AY$3)=MONTH(EDATE('Вводные'!$D$90,'Вводные'!$H$9))),$B$82,0)</x:f>
      </x:c>
      <x:c r="AZ82" s="117" t="n">
        <x:f>IF(AND(YEAR(AZ$3)=YEAR(EDATE('Вводные'!$D$90,'Вводные'!$H$9)),MONTH(AZ$3)=MONTH(EDATE('Вводные'!$D$90,'Вводные'!$H$9))),$B$82,0)</x:f>
      </x:c>
      <x:c r="BA82" s="117" t="n">
        <x:f>IF(AND(YEAR(BA$3)=YEAR(EDATE('Вводные'!$D$90,'Вводные'!$H$9)),MONTH(BA$3)=MONTH(EDATE('Вводные'!$D$90,'Вводные'!$H$9))),$B$82,0)</x:f>
      </x:c>
      <x:c r="BB82" s="117" t="n">
        <x:f>IF(AND(YEAR(BB$3)=YEAR(EDATE('Вводные'!$D$90,'Вводные'!$H$9)),MONTH(BB$3)=MONTH(EDATE('Вводные'!$D$90,'Вводные'!$H$9))),$B$82,0)</x:f>
      </x:c>
      <x:c r="BC82" s="117" t="n">
        <x:f>IF(AND(YEAR(BC$3)=YEAR(EDATE('Вводные'!$D$90,'Вводные'!$H$9)),MONTH(BC$3)=MONTH(EDATE('Вводные'!$D$90,'Вводные'!$H$9))),$B$82,0)</x:f>
      </x:c>
      <x:c r="BD82" s="117" t="n">
        <x:f>IF(AND(YEAR(BD$3)=YEAR(EDATE('Вводные'!$D$90,'Вводные'!$H$9)),MONTH(BD$3)=MONTH(EDATE('Вводные'!$D$90,'Вводные'!$H$9))),$B$82,0)</x:f>
      </x:c>
      <x:c r="BE82" s="117" t="n">
        <x:f>IF(AND(YEAR(BE$3)=YEAR(EDATE('Вводные'!$D$90,'Вводные'!$H$9)),MONTH(BE$3)=MONTH(EDATE('Вводные'!$D$90,'Вводные'!$H$9))),$B$82,0)</x:f>
      </x:c>
      <x:c r="BF82" s="117" t="n">
        <x:f>IF(AND(YEAR(BF$3)=YEAR(EDATE('Вводные'!$D$90,'Вводные'!$H$9)),MONTH(BF$3)=MONTH(EDATE('Вводные'!$D$90,'Вводные'!$H$9))),$B$82,0)</x:f>
      </x:c>
      <x:c r="BG82" s="117" t="n">
        <x:f>IF(AND(YEAR(BG$3)=YEAR(EDATE('Вводные'!$D$90,'Вводные'!$H$9)),MONTH(BG$3)=MONTH(EDATE('Вводные'!$D$90,'Вводные'!$H$9))),$B$82,0)</x:f>
      </x:c>
      <x:c r="BH82" s="117" t="n">
        <x:f>IF(AND(YEAR(BH$3)=YEAR(EDATE('Вводные'!$D$90,'Вводные'!$H$9)),MONTH(BH$3)=MONTH(EDATE('Вводные'!$D$90,'Вводные'!$H$9))),$B$82,0)</x:f>
      </x:c>
      <x:c r="BI82" s="117" t="n">
        <x:f>IF(AND(YEAR(BI$3)=YEAR(EDATE('Вводные'!$D$90,'Вводные'!$H$9)),MONTH(BI$3)=MONTH(EDATE('Вводные'!$D$90,'Вводные'!$H$9))),$B$82,0)</x:f>
      </x:c>
      <x:c r="BJ82" s="117" t="n">
        <x:f>IF(AND(YEAR(BJ$3)=YEAR(EDATE('Вводные'!$D$90,'Вводные'!$H$9)),MONTH(BJ$3)=MONTH(EDATE('Вводные'!$D$90,'Вводные'!$H$9))),$B$82,0)</x:f>
      </x:c>
      <x:c r="BK82" s="117" t="n">
        <x:f>IF(AND(YEAR(BK$3)=YEAR(EDATE('Вводные'!$D$90,'Вводные'!$H$9)),MONTH(BK$3)=MONTH(EDATE('Вводные'!$D$90,'Вводные'!$H$9))),$B$82,0)</x:f>
      </x:c>
      <x:c r="BL82" s="117" t="n">
        <x:f>IF(AND(YEAR(BL$3)=YEAR(EDATE('Вводные'!$D$90,'Вводные'!$H$9)),MONTH(BL$3)=MONTH(EDATE('Вводные'!$D$90,'Вводные'!$H$9))),$B$82,0)</x:f>
      </x:c>
      <x:c r="BM82" s="117" t="n">
        <x:f>IF(AND(YEAR(BM$3)=YEAR(EDATE('Вводные'!$D$90,'Вводные'!$H$9)),MONTH(BM$3)=MONTH(EDATE('Вводные'!$D$90,'Вводные'!$H$9))),$B$82,0)</x:f>
      </x:c>
      <x:c r="BN82" s="117" t="n">
        <x:f>IF(AND(YEAR(BN$3)=YEAR(EDATE('Вводные'!$D$90,'Вводные'!$H$9)),MONTH(BN$3)=MONTH(EDATE('Вводные'!$D$90,'Вводные'!$H$9))),$B$82,0)</x:f>
      </x:c>
      <x:c r="BO82" s="117" t="n">
        <x:f>IF(AND(YEAR(BO$3)=YEAR(EDATE('Вводные'!$D$90,'Вводные'!$H$9)),MONTH(BO$3)=MONTH(EDATE('Вводные'!$D$90,'Вводные'!$H$9))),$B$82,0)</x:f>
      </x:c>
      <x:c r="BP82" s="117" t="n">
        <x:f>IF(AND(YEAR(BP$3)=YEAR(EDATE('Вводные'!$D$90,'Вводные'!$H$9)),MONTH(BP$3)=MONTH(EDATE('Вводные'!$D$90,'Вводные'!$H$9))),$B$82,0)</x:f>
      </x:c>
      <x:c r="BQ82" s="117" t="n">
        <x:f>IF(AND(YEAR(BQ$3)=YEAR(EDATE('Вводные'!$D$90,'Вводные'!$H$9)),MONTH(BQ$3)=MONTH(EDATE('Вводные'!$D$90,'Вводные'!$H$9))),$B$82,0)</x:f>
      </x:c>
      <x:c r="BR82" s="117" t="n">
        <x:f>IF(AND(YEAR(BR$3)=YEAR(EDATE('Вводные'!$D$90,'Вводные'!$H$9)),MONTH(BR$3)=MONTH(EDATE('Вводные'!$D$90,'Вводные'!$H$9))),$B$82,0)</x:f>
      </x:c>
      <x:c r="BS82" s="117" t="n">
        <x:f>IF(AND(YEAR(BS$3)=YEAR(EDATE('Вводные'!$D$90,'Вводные'!$H$9)),MONTH(BS$3)=MONTH(EDATE('Вводные'!$D$90,'Вводные'!$H$9))),$B$82,0)</x:f>
      </x:c>
      <x:c r="BT82" s="117" t="n">
        <x:f>IF(AND(YEAR(BT$3)=YEAR(EDATE('Вводные'!$D$90,'Вводные'!$H$9)),MONTH(BT$3)=MONTH(EDATE('Вводные'!$D$90,'Вводные'!$H$9))),$B$82,0)</x:f>
      </x:c>
      <x:c r="BU82" s="117" t="n">
        <x:f>IF(AND(YEAR(BU$3)=YEAR(EDATE('Вводные'!$D$90,'Вводные'!$H$9)),MONTH(BU$3)=MONTH(EDATE('Вводные'!$D$90,'Вводные'!$H$9))),$B$82,0)</x:f>
      </x:c>
      <x:c r="BV82" s="117" t="n">
        <x:f>IF(AND(YEAR(BV$3)=YEAR(EDATE('Вводные'!$D$90,'Вводные'!$H$9)),MONTH(BV$3)=MONTH(EDATE('Вводные'!$D$90,'Вводные'!$H$9))),$B$82,0)</x:f>
      </x:c>
      <x:c r="BW82" s="117" t="n">
        <x:f>IF(AND(YEAR(BW$3)=YEAR(EDATE('Вводные'!$D$90,'Вводные'!$H$9)),MONTH(BW$3)=MONTH(EDATE('Вводные'!$D$90,'Вводные'!$H$9))),$B$82,0)</x:f>
      </x:c>
      <x:c r="BX82" s="117" t="n">
        <x:f>IF(AND(YEAR(BX$3)=YEAR(EDATE('Вводные'!$D$90,'Вводные'!$H$9)),MONTH(BX$3)=MONTH(EDATE('Вводные'!$D$90,'Вводные'!$H$9))),$B$82,0)</x:f>
      </x:c>
      <x:c r="BY82" s="117" t="n">
        <x:f>IF(AND(YEAR(BY$3)=YEAR(EDATE('Вводные'!$D$90,'Вводные'!$H$9)),MONTH(BY$3)=MONTH(EDATE('Вводные'!$D$90,'Вводные'!$H$9))),$B$82,0)</x:f>
      </x:c>
      <x:c r="BZ82" s="117" t="n">
        <x:f>IF(AND(YEAR(BZ$3)=YEAR(EDATE('Вводные'!$D$90,'Вводные'!$H$9)),MONTH(BZ$3)=MONTH(EDATE('Вводные'!$D$90,'Вводные'!$H$9))),$B$82,0)</x:f>
      </x:c>
      <x:c r="CA82" s="117" t="n">
        <x:f>IF(AND(YEAR(CA$3)=YEAR(EDATE('Вводные'!$D$90,'Вводные'!$H$9)),MONTH(CA$3)=MONTH(EDATE('Вводные'!$D$90,'Вводные'!$H$9))),$B$82,0)</x:f>
      </x:c>
      <x:c r="CB82" s="117" t="n">
        <x:f>IF(AND(YEAR(CB$3)=YEAR(EDATE('Вводные'!$D$90,'Вводные'!$H$9)),MONTH(CB$3)=MONTH(EDATE('Вводные'!$D$90,'Вводные'!$H$9))),$B$82,0)</x:f>
      </x:c>
      <x:c r="CC82" s="117" t="n">
        <x:f>IF(AND(YEAR(CC$3)=YEAR(EDATE('Вводные'!$D$90,'Вводные'!$H$9)),MONTH(CC$3)=MONTH(EDATE('Вводные'!$D$90,'Вводные'!$H$9))),$B$82,0)</x:f>
      </x:c>
      <x:c r="CD82" s="117" t="n">
        <x:f>IF(AND(YEAR(CD$3)=YEAR(EDATE('Вводные'!$D$90,'Вводные'!$H$9)),MONTH(CD$3)=MONTH(EDATE('Вводные'!$D$90,'Вводные'!$H$9))),$B$82,0)</x:f>
      </x:c>
      <x:c r="CE82" s="117" t="n">
        <x:f>IF(AND(YEAR(CE$3)=YEAR(EDATE('Вводные'!$D$90,'Вводные'!$H$9)),MONTH(CE$3)=MONTH(EDATE('Вводные'!$D$90,'Вводные'!$H$9))),$B$82,0)</x:f>
      </x:c>
      <x:c r="CF82" s="117" t="n">
        <x:f>IF(AND(YEAR(CF$3)=YEAR(EDATE('Вводные'!$D$90,'Вводные'!$H$9)),MONTH(CF$3)=MONTH(EDATE('Вводные'!$D$90,'Вводные'!$H$9))),$B$82,0)</x:f>
      </x:c>
      <x:c r="CG82" s="117" t="n">
        <x:f>IF(AND(YEAR(CG$3)=YEAR(EDATE('Вводные'!$D$90,'Вводные'!$H$9)),MONTH(CG$3)=MONTH(EDATE('Вводные'!$D$90,'Вводные'!$H$9))),$B$82,0)</x:f>
      </x:c>
      <x:c r="CH82" s="117" t="n">
        <x:f>IF(AND(YEAR(CH$3)=YEAR(EDATE('Вводные'!$D$90,'Вводные'!$H$9)),MONTH(CH$3)=MONTH(EDATE('Вводные'!$D$90,'Вводные'!$H$9))),$B$82,0)</x:f>
      </x:c>
      <x:c r="CI82" s="117" t="n">
        <x:f>IF(AND(YEAR(CI$3)=YEAR(EDATE('Вводные'!$D$90,'Вводные'!$H$9)),MONTH(CI$3)=MONTH(EDATE('Вводные'!$D$90,'Вводные'!$H$9))),$B$82,0)</x:f>
      </x:c>
      <x:c r="CJ82" s="117" t="n">
        <x:f>IF(AND(YEAR(CJ$3)=YEAR(EDATE('Вводные'!$D$90,'Вводные'!$H$9)),MONTH(CJ$3)=MONTH(EDATE('Вводные'!$D$90,'Вводные'!$H$9))),$B$82,0)</x:f>
      </x:c>
      <x:c r="CK82" s="117" t="n">
        <x:f>IF(AND(YEAR(CK$3)=YEAR(EDATE('Вводные'!$D$90,'Вводные'!$H$9)),MONTH(CK$3)=MONTH(EDATE('Вводные'!$D$90,'Вводные'!$H$9))),$B$82,0)</x:f>
      </x:c>
      <x:c r="CL82" s="117" t="n">
        <x:f>IF(AND(YEAR(CL$3)=YEAR(EDATE('Вводные'!$D$90,'Вводные'!$H$9)),MONTH(CL$3)=MONTH(EDATE('Вводные'!$D$90,'Вводные'!$H$9))),$B$82,0)</x:f>
      </x:c>
      <x:c r="CM82" s="117" t="n">
        <x:f>IF(AND(YEAR(CM$3)=YEAR(EDATE('Вводные'!$D$90,'Вводные'!$H$9)),MONTH(CM$3)=MONTH(EDATE('Вводные'!$D$90,'Вводные'!$H$9))),$B$82,0)</x:f>
      </x:c>
      <x:c r="CN82" s="117" t="n">
        <x:f>IF(AND(YEAR(CN$3)=YEAR(EDATE('Вводные'!$D$90,'Вводные'!$H$9)),MONTH(CN$3)=MONTH(EDATE('Вводные'!$D$90,'Вводные'!$H$9))),$B$82,0)</x:f>
      </x:c>
      <x:c r="CO82" s="117" t="n">
        <x:f>IF(AND(YEAR(CO$3)=YEAR(EDATE('Вводные'!$D$90,'Вводные'!$H$9)),MONTH(CO$3)=MONTH(EDATE('Вводные'!$D$90,'Вводные'!$H$9))),$B$82,0)</x:f>
      </x:c>
      <x:c r="CP82" s="117" t="n">
        <x:f>IF(AND(YEAR(CP$3)=YEAR(EDATE('Вводные'!$D$90,'Вводные'!$H$9)),MONTH(CP$3)=MONTH(EDATE('Вводные'!$D$90,'Вводные'!$H$9))),$B$82,0)</x:f>
      </x:c>
      <x:c r="CQ82" s="117" t="n">
        <x:f>IF(AND(YEAR(CQ$3)=YEAR(EDATE('Вводные'!$D$90,'Вводные'!$H$9)),MONTH(CQ$3)=MONTH(EDATE('Вводные'!$D$90,'Вводные'!$H$9))),$B$82,0)</x:f>
      </x:c>
      <x:c r="CR82" s="117" t="n">
        <x:f>IF(AND(YEAR(CR$3)=YEAR(EDATE('Вводные'!$D$90,'Вводные'!$H$9)),MONTH(CR$3)=MONTH(EDATE('Вводные'!$D$90,'Вводные'!$H$9))),$B$82,0)</x:f>
      </x:c>
      <x:c r="CS82" s="117" t="n">
        <x:f>IF(AND(YEAR(CS$3)=YEAR(EDATE('Вводные'!$D$90,'Вводные'!$H$9)),MONTH(CS$3)=MONTH(EDATE('Вводные'!$D$90,'Вводные'!$H$9))),$B$82,0)</x:f>
      </x:c>
      <x:c r="CT82" s="117" t="n">
        <x:f>IF(AND(YEAR(CT$3)=YEAR(EDATE('Вводные'!$D$90,'Вводные'!$H$9)),MONTH(CT$3)=MONTH(EDATE('Вводные'!$D$90,'Вводные'!$H$9))),$B$82,0)</x:f>
      </x:c>
      <x:c r="CU82" s="117" t="n">
        <x:f>IF(AND(YEAR(CU$3)=YEAR(EDATE('Вводные'!$D$90,'Вводные'!$H$9)),MONTH(CU$3)=MONTH(EDATE('Вводные'!$D$90,'Вводные'!$H$9))),$B$82,0)</x:f>
      </x:c>
      <x:c r="CV82" s="117" t="n">
        <x:f>IF(AND(YEAR(CV$3)=YEAR(EDATE('Вводные'!$D$90,'Вводные'!$H$9)),MONTH(CV$3)=MONTH(EDATE('Вводные'!$D$90,'Вводные'!$H$9))),$B$82,0)</x:f>
      </x:c>
      <x:c r="CW82" s="117" t="n">
        <x:f>IF(AND(YEAR(CW$3)=YEAR(EDATE('Вводные'!$D$90,'Вводные'!$H$9)),MONTH(CW$3)=MONTH(EDATE('Вводные'!$D$90,'Вводные'!$H$9))),$B$82,0)</x:f>
      </x:c>
      <x:c r="CX82" s="117" t="n">
        <x:f>IF(AND(YEAR(CX$3)=YEAR(EDATE('Вводные'!$D$90,'Вводные'!$H$9)),MONTH(CX$3)=MONTH(EDATE('Вводные'!$D$90,'Вводные'!$H$9))),$B$82,0)</x:f>
      </x:c>
      <x:c r="CY82" s="117" t="n">
        <x:f>IF(AND(YEAR(CY$3)=YEAR(EDATE('Вводные'!$D$90,'Вводные'!$H$9)),MONTH(CY$3)=MONTH(EDATE('Вводные'!$D$90,'Вводные'!$H$9))),$B$82,0)</x:f>
      </x:c>
      <x:c r="CZ82" s="117" t="n">
        <x:f>IF(AND(YEAR(CZ$3)=YEAR(EDATE('Вводные'!$D$90,'Вводные'!$H$9)),MONTH(CZ$3)=MONTH(EDATE('Вводные'!$D$90,'Вводные'!$H$9))),$B$82,0)</x:f>
      </x:c>
      <x:c r="DA82" s="117" t="n">
        <x:f>IF(AND(YEAR(DA$3)=YEAR(EDATE('Вводные'!$D$90,'Вводные'!$H$9)),MONTH(DA$3)=MONTH(EDATE('Вводные'!$D$90,'Вводные'!$H$9))),$B$82,0)</x:f>
      </x:c>
      <x:c r="DB82" s="117" t="n">
        <x:f>IF(AND(YEAR(DB$3)=YEAR(EDATE('Вводные'!$D$90,'Вводные'!$H$9)),MONTH(DB$3)=MONTH(EDATE('Вводные'!$D$90,'Вводные'!$H$9))),$B$82,0)</x:f>
      </x:c>
      <x:c r="DC82" s="117" t="n">
        <x:f>IF(AND(YEAR(DC$3)=YEAR(EDATE('Вводные'!$D$90,'Вводные'!$H$9)),MONTH(DC$3)=MONTH(EDATE('Вводные'!$D$90,'Вводные'!$H$9))),$B$82,0)</x:f>
      </x:c>
      <x:c r="DD82" s="117" t="n">
        <x:f>IF(AND(YEAR(DD$3)=YEAR(EDATE('Вводные'!$D$90,'Вводные'!$H$9)),MONTH(DD$3)=MONTH(EDATE('Вводные'!$D$90,'Вводные'!$H$9))),$B$82,0)</x:f>
      </x:c>
      <x:c r="DE82" s="117" t="n">
        <x:f>IF(AND(YEAR(DE$3)=YEAR(EDATE('Вводные'!$D$90,'Вводные'!$H$9)),MONTH(DE$3)=MONTH(EDATE('Вводные'!$D$90,'Вводные'!$H$9))),$B$82,0)</x:f>
      </x:c>
      <x:c r="DF82" s="117" t="n">
        <x:f>IF(AND(YEAR(DF$3)=YEAR(EDATE('Вводные'!$D$90,'Вводные'!$H$9)),MONTH(DF$3)=MONTH(EDATE('Вводные'!$D$90,'Вводные'!$H$9))),$B$82,0)</x:f>
      </x:c>
      <x:c r="DG82" s="117" t="n">
        <x:f>IF(AND(YEAR(DG$3)=YEAR(EDATE('Вводные'!$D$90,'Вводные'!$H$9)),MONTH(DG$3)=MONTH(EDATE('Вводные'!$D$90,'Вводные'!$H$9))),$B$82,0)</x:f>
      </x:c>
      <x:c r="DH82" s="117" t="n">
        <x:f>IF(AND(YEAR(DH$3)=YEAR(EDATE('Вводные'!$D$90,'Вводные'!$H$9)),MONTH(DH$3)=MONTH(EDATE('Вводные'!$D$90,'Вводные'!$H$9))),$B$82,0)</x:f>
      </x:c>
      <x:c r="DI82" s="117" t="n">
        <x:f>IF(AND(YEAR(DI$3)=YEAR(EDATE('Вводные'!$D$90,'Вводные'!$H$9)),MONTH(DI$3)=MONTH(EDATE('Вводные'!$D$90,'Вводные'!$H$9))),$B$82,0)</x:f>
      </x:c>
      <x:c r="DJ82" s="117" t="n">
        <x:f>IF(AND(YEAR(DJ$3)=YEAR(EDATE('Вводные'!$D$90,'Вводные'!$H$9)),MONTH(DJ$3)=MONTH(EDATE('Вводные'!$D$90,'Вводные'!$H$9))),$B$82,0)</x:f>
      </x:c>
      <x:c r="DK82" s="117" t="n">
        <x:f>IF(AND(YEAR(DK$3)=YEAR(EDATE('Вводные'!$D$90,'Вводные'!$H$9)),MONTH(DK$3)=MONTH(EDATE('Вводные'!$D$90,'Вводные'!$H$9))),$B$82,0)</x:f>
      </x:c>
      <x:c r="DL82" s="117" t="n">
        <x:f>IF(AND(YEAR(DL$3)=YEAR(EDATE('Вводные'!$D$90,'Вводные'!$H$9)),MONTH(DL$3)=MONTH(EDATE('Вводные'!$D$90,'Вводные'!$H$9))),$B$82,0)</x:f>
      </x:c>
      <x:c r="DM82" s="117" t="n">
        <x:f>IF(AND(YEAR(DM$3)=YEAR(EDATE('Вводные'!$D$90,'Вводные'!$H$9)),MONTH(DM$3)=MONTH(EDATE('Вводные'!$D$90,'Вводные'!$H$9))),$B$82,0)</x:f>
      </x:c>
      <x:c r="DN82" s="117" t="n">
        <x:f>IF(AND(YEAR(DN$3)=YEAR(EDATE('Вводные'!$D$90,'Вводные'!$H$9)),MONTH(DN$3)=MONTH(EDATE('Вводные'!$D$90,'Вводные'!$H$9))),$B$82,0)</x:f>
      </x:c>
      <x:c r="DO82" s="117" t="n">
        <x:f>IF(AND(YEAR(DO$3)=YEAR(EDATE('Вводные'!$D$90,'Вводные'!$H$9)),MONTH(DO$3)=MONTH(EDATE('Вводные'!$D$90,'Вводные'!$H$9))),$B$82,0)</x:f>
      </x:c>
      <x:c r="DP82" s="117" t="n">
        <x:f>IF(AND(YEAR(DP$3)=YEAR(EDATE('Вводные'!$D$90,'Вводные'!$H$9)),MONTH(DP$3)=MONTH(EDATE('Вводные'!$D$90,'Вводные'!$H$9))),$B$82,0)</x:f>
      </x:c>
      <x:c r="DQ82" s="117" t="n">
        <x:f>IF(AND(YEAR(DQ$3)=YEAR(EDATE('Вводные'!$D$90,'Вводные'!$H$9)),MONTH(DQ$3)=MONTH(EDATE('Вводные'!$D$90,'Вводные'!$H$9))),$B$82,0)</x:f>
      </x:c>
      <x:c r="DR82" s="117" t="n">
        <x:f>IF(AND(YEAR(DR$3)=YEAR(EDATE('Вводные'!$D$90,'Вводные'!$H$9)),MONTH(DR$3)=MONTH(EDATE('Вводные'!$D$90,'Вводные'!$H$9))),$B$82,0)</x:f>
      </x:c>
      <x:c r="DS82" s="117" t="n">
        <x:f>IF(AND(YEAR(DS$3)=YEAR(EDATE('Вводные'!$D$90,'Вводные'!$H$9)),MONTH(DS$3)=MONTH(EDATE('Вводные'!$D$90,'Вводные'!$H$9))),$B$82,0)</x:f>
      </x:c>
      <x:c r="DT82" s="117" t="n">
        <x:f>IF(AND(YEAR(DT$3)=YEAR(EDATE('Вводные'!$D$90,'Вводные'!$H$9)),MONTH(DT$3)=MONTH(EDATE('Вводные'!$D$90,'Вводные'!$H$9))),$B$82,0)</x:f>
      </x:c>
      <x:c r="DU82" s="117" t="n">
        <x:f>IF(AND(YEAR(DU$3)=YEAR(EDATE('Вводные'!$D$90,'Вводные'!$H$9)),MONTH(DU$3)=MONTH(EDATE('Вводные'!$D$90,'Вводные'!$H$9))),$B$82,0)</x:f>
      </x:c>
      <x:c r="DV82" s="117" t="n">
        <x:f>IF(AND(YEAR(DV$3)=YEAR(EDATE('Вводные'!$D$90,'Вводные'!$H$9)),MONTH(DV$3)=MONTH(EDATE('Вводные'!$D$90,'Вводные'!$H$9))),$B$82,0)</x:f>
      </x:c>
      <x:c r="DW82" s="117" t="n">
        <x:f>IF(AND(YEAR(DW$3)=YEAR(EDATE('Вводные'!$D$90,'Вводные'!$H$9)),MONTH(DW$3)=MONTH(EDATE('Вводные'!$D$90,'Вводные'!$H$9))),$B$82,0)</x:f>
      </x:c>
      <x:c r="DX82" s="117" t="n">
        <x:f>IF(AND(YEAR(DX$3)=YEAR(EDATE('Вводные'!$D$90,'Вводные'!$H$9)),MONTH(DX$3)=MONTH(EDATE('Вводные'!$D$90,'Вводные'!$H$9))),$B$82,0)</x:f>
      </x:c>
      <x:c r="DY82" s="117" t="n">
        <x:f>IF(AND(YEAR(DY$3)=YEAR(EDATE('Вводные'!$D$90,'Вводные'!$H$9)),MONTH(DY$3)=MONTH(EDATE('Вводные'!$D$90,'Вводные'!$H$9))),$B$82,0)</x:f>
      </x:c>
      <x:c r="DZ82" s="117" t="n">
        <x:f>IF(AND(YEAR(DZ$3)=YEAR(EDATE('Вводные'!$D$90,'Вводные'!$H$9)),MONTH(DZ$3)=MONTH(EDATE('Вводные'!$D$90,'Вводные'!$H$9))),$B$82,0)</x:f>
      </x:c>
      <x:c r="EA82" s="117" t="n">
        <x:f>IF(AND(YEAR(EA$3)=YEAR(EDATE('Вводные'!$D$90,'Вводные'!$H$9)),MONTH(EA$3)=MONTH(EDATE('Вводные'!$D$90,'Вводные'!$H$9))),$B$82,0)</x:f>
      </x:c>
      <x:c r="EB82" s="117" t="n">
        <x:f>IF(AND(YEAR(EB$3)=YEAR(EDATE('Вводные'!$D$90,'Вводные'!$H$9)),MONTH(EB$3)=MONTH(EDATE('Вводные'!$D$90,'Вводные'!$H$9))),$B$82,0)</x:f>
      </x:c>
      <x:c r="EC82" s="117" t="n">
        <x:f>IF(AND(YEAR(EC$3)=YEAR(EDATE('Вводные'!$D$90,'Вводные'!$H$9)),MONTH(EC$3)=MONTH(EDATE('Вводные'!$D$90,'Вводные'!$H$9))),$B$82,0)</x:f>
      </x:c>
      <x:c r="ED82" s="117" t="n">
        <x:f>IF(AND(YEAR(ED$3)=YEAR(EDATE('Вводные'!$D$90,'Вводные'!$H$9)),MONTH(ED$3)=MONTH(EDATE('Вводные'!$D$90,'Вводные'!$H$9))),$B$82,0)</x:f>
      </x:c>
      <x:c r="EE82" s="117" t="n">
        <x:f>IF(AND(YEAR(EE$3)=YEAR(EDATE('Вводные'!$D$90,'Вводные'!$H$9)),MONTH(EE$3)=MONTH(EDATE('Вводные'!$D$90,'Вводные'!$H$9))),$B$82,0)</x:f>
      </x:c>
      <x:c r="EF82" s="117" t="n">
        <x:f>IF(AND(YEAR(EF$3)=YEAR(EDATE('Вводные'!$D$90,'Вводные'!$H$9)),MONTH(EF$3)=MONTH(EDATE('Вводные'!$D$90,'Вводные'!$H$9))),$B$82,0)</x:f>
      </x:c>
      <x:c r="EG82" s="117" t="n">
        <x:f>IF(AND(YEAR(EG$3)=YEAR(EDATE('Вводные'!$D$90,'Вводные'!$H$9)),MONTH(EG$3)=MONTH(EDATE('Вводные'!$D$90,'Вводные'!$H$9))),$B$82,0)</x:f>
      </x:c>
      <x:c r="EH82" s="117" t="n">
        <x:f>IF(AND(YEAR(EH$3)=YEAR(EDATE('Вводные'!$D$90,'Вводные'!$H$9)),MONTH(EH$3)=MONTH(EDATE('Вводные'!$D$90,'Вводные'!$H$9))),$B$82,0)</x:f>
      </x:c>
      <x:c r="EI82" s="117" t="n">
        <x:f>IF(AND(YEAR(EI$3)=YEAR(EDATE('Вводные'!$D$90,'Вводные'!$H$9)),MONTH(EI$3)=MONTH(EDATE('Вводные'!$D$90,'Вводные'!$H$9))),$B$82,0)</x:f>
      </x:c>
      <x:c r="EJ82" s="117" t="n">
        <x:f>IF(AND(YEAR(EJ$3)=YEAR(EDATE('Вводные'!$D$90,'Вводные'!$H$9)),MONTH(EJ$3)=MONTH(EDATE('Вводные'!$D$90,'Вводные'!$H$9))),$B$82,0)</x:f>
      </x:c>
      <x:c r="EK82" s="117" t="n">
        <x:f>IF(AND(YEAR(EK$3)=YEAR(EDATE('Вводные'!$D$90,'Вводные'!$H$9)),MONTH(EK$3)=MONTH(EDATE('Вводные'!$D$90,'Вводные'!$H$9))),$B$82,0)</x:f>
      </x:c>
      <x:c r="EL82" s="117" t="n">
        <x:f>IF(AND(YEAR(EL$3)=YEAR(EDATE('Вводные'!$D$90,'Вводные'!$H$9)),MONTH(EL$3)=MONTH(EDATE('Вводные'!$D$90,'Вводные'!$H$9))),$B$82,0)</x:f>
      </x:c>
      <x:c r="EM82" s="117" t="n">
        <x:f>IF(AND(YEAR(EM$3)=YEAR(EDATE('Вводные'!$D$90,'Вводные'!$H$9)),MONTH(EM$3)=MONTH(EDATE('Вводные'!$D$90,'Вводные'!$H$9))),$B$82,0)</x:f>
      </x:c>
      <x:c r="EN82" s="117" t="n">
        <x:f>IF(AND(YEAR(EN$3)=YEAR(EDATE('Вводные'!$D$90,'Вводные'!$H$9)),MONTH(EN$3)=MONTH(EDATE('Вводные'!$D$90,'Вводные'!$H$9))),$B$82,0)</x:f>
      </x:c>
      <x:c r="EO82" s="117" t="n">
        <x:f>IF(AND(YEAR(EO$3)=YEAR(EDATE('Вводные'!$D$90,'Вводные'!$H$9)),MONTH(EO$3)=MONTH(EDATE('Вводные'!$D$90,'Вводные'!$H$9))),$B$82,0)</x:f>
      </x:c>
      <x:c r="EP82" s="117" t="n">
        <x:f>IF(AND(YEAR(EP$3)=YEAR(EDATE('Вводные'!$D$90,'Вводные'!$H$9)),MONTH(EP$3)=MONTH(EDATE('Вводные'!$D$90,'Вводные'!$H$9))),$B$82,0)</x:f>
      </x:c>
      <x:c r="EQ82" s="117" t="n">
        <x:f>IF(AND(YEAR(EQ$3)=YEAR(EDATE('Вводные'!$D$90,'Вводные'!$H$9)),MONTH(EQ$3)=MONTH(EDATE('Вводные'!$D$90,'Вводные'!$H$9))),$B$82,0)</x:f>
      </x:c>
      <x:c r="ER82" s="117" t="n">
        <x:f>IF(AND(YEAR(ER$3)=YEAR(EDATE('Вводные'!$D$90,'Вводные'!$H$9)),MONTH(ER$3)=MONTH(EDATE('Вводные'!$D$90,'Вводные'!$H$9))),$B$82,0)</x:f>
      </x:c>
      <x:c r="ES82" s="117" t="n">
        <x:f>IF(AND(YEAR(ES$3)=YEAR(EDATE('Вводные'!$D$90,'Вводные'!$H$9)),MONTH(ES$3)=MONTH(EDATE('Вводные'!$D$90,'Вводные'!$H$9))),$B$82,0)</x:f>
      </x:c>
      <x:c r="ET82" s="117" t="n">
        <x:f>IF(AND(YEAR(ET$3)=YEAR(EDATE('Вводные'!$D$90,'Вводные'!$H$9)),MONTH(ET$3)=MONTH(EDATE('Вводные'!$D$90,'Вводные'!$H$9))),$B$82,0)</x:f>
      </x:c>
      <x:c r="EU82" s="117" t="n">
        <x:f>IF(AND(YEAR(EU$3)=YEAR(EDATE('Вводные'!$D$90,'Вводные'!$H$9)),MONTH(EU$3)=MONTH(EDATE('Вводные'!$D$90,'Вводные'!$H$9))),$B$82,0)</x:f>
      </x:c>
      <x:c r="EV82" s="117" t="n">
        <x:f>IF(AND(YEAR(EV$3)=YEAR(EDATE('Вводные'!$D$90,'Вводные'!$H$9)),MONTH(EV$3)=MONTH(EDATE('Вводные'!$D$90,'Вводные'!$H$9))),$B$82,0)</x:f>
      </x:c>
      <x:c r="EW82" s="117" t="n">
        <x:f>IF(AND(YEAR(EW$3)=YEAR(EDATE('Вводные'!$D$90,'Вводные'!$H$9)),MONTH(EW$3)=MONTH(EDATE('Вводные'!$D$90,'Вводные'!$H$9))),$B$82,0)</x:f>
      </x:c>
      <x:c r="EX82" s="117" t="n">
        <x:f>IF(AND(YEAR(EX$3)=YEAR(EDATE('Вводные'!$D$90,'Вводные'!$H$9)),MONTH(EX$3)=MONTH(EDATE('Вводные'!$D$90,'Вводные'!$H$9))),$B$82,0)</x:f>
      </x:c>
      <x:c r="EY82" s="117" t="n">
        <x:f>IF(AND(YEAR(EY$3)=YEAR(EDATE('Вводные'!$D$90,'Вводные'!$H$9)),MONTH(EY$3)=MONTH(EDATE('Вводные'!$D$90,'Вводные'!$H$9))),$B$82,0)</x:f>
      </x:c>
      <x:c r="EZ82" s="117" t="n">
        <x:f>IF(AND(YEAR(EZ$3)=YEAR(EDATE('Вводные'!$D$90,'Вводные'!$H$9)),MONTH(EZ$3)=MONTH(EDATE('Вводные'!$D$90,'Вводные'!$H$9))),$B$82,0)</x:f>
      </x:c>
      <x:c r="FA82" s="117" t="n">
        <x:f>IF(AND(YEAR(FA$3)=YEAR(EDATE('Вводные'!$D$90,'Вводные'!$H$9)),MONTH(FA$3)=MONTH(EDATE('Вводные'!$D$90,'Вводные'!$H$9))),$B$82,0)</x:f>
      </x:c>
      <x:c r="FB82" s="117" t="n">
        <x:f>IF(AND(YEAR(FB$3)=YEAR(EDATE('Вводные'!$D$90,'Вводные'!$H$9)),MONTH(FB$3)=MONTH(EDATE('Вводные'!$D$90,'Вводные'!$H$9))),$B$82,0)</x:f>
      </x:c>
      <x:c r="FC82" s="117" t="n">
        <x:f>IF(AND(YEAR(FC$3)=YEAR(EDATE('Вводные'!$D$90,'Вводные'!$H$9)),MONTH(FC$3)=MONTH(EDATE('Вводные'!$D$90,'Вводные'!$H$9))),$B$82,0)</x:f>
      </x:c>
      <x:c r="FD82" s="117" t="n">
        <x:f>IF(AND(YEAR(FD$3)=YEAR(EDATE('Вводные'!$D$90,'Вводные'!$H$9)),MONTH(FD$3)=MONTH(EDATE('Вводные'!$D$90,'Вводные'!$H$9))),$B$82,0)</x:f>
      </x:c>
      <x:c r="FE82" s="117" t="n">
        <x:f>IF(AND(YEAR(FE$3)=YEAR(EDATE('Вводные'!$D$90,'Вводные'!$H$9)),MONTH(FE$3)=MONTH(EDATE('Вводные'!$D$90,'Вводные'!$H$9))),$B$82,0)</x:f>
      </x:c>
      <x:c r="FF82" s="117" t="n">
        <x:f>IF(AND(YEAR(FF$3)=YEAR(EDATE('Вводные'!$D$90,'Вводные'!$H$9)),MONTH(FF$3)=MONTH(EDATE('Вводные'!$D$90,'Вводные'!$H$9))),$B$82,0)</x:f>
      </x:c>
      <x:c r="FG82" s="117" t="n">
        <x:f>IF(AND(YEAR(FG$3)=YEAR(EDATE('Вводные'!$D$90,'Вводные'!$H$9)),MONTH(FG$3)=MONTH(EDATE('Вводные'!$D$90,'Вводные'!$H$9))),$B$82,0)</x:f>
      </x:c>
      <x:c r="FH82" s="117" t="n">
        <x:f>IF(AND(YEAR(FH$3)=YEAR(EDATE('Вводные'!$D$90,'Вводные'!$H$9)),MONTH(FH$3)=MONTH(EDATE('Вводные'!$D$90,'Вводные'!$H$9))),$B$82,0)</x:f>
      </x:c>
      <x:c r="FI82" s="117" t="n">
        <x:f>IF(AND(YEAR(FI$3)=YEAR(EDATE('Вводные'!$D$90,'Вводные'!$H$9)),MONTH(FI$3)=MONTH(EDATE('Вводные'!$D$90,'Вводные'!$H$9))),$B$82,0)</x:f>
      </x:c>
      <x:c r="FJ82" s="117" t="n">
        <x:f>IF(AND(YEAR(FJ$3)=YEAR(EDATE('Вводные'!$D$90,'Вводные'!$H$9)),MONTH(FJ$3)=MONTH(EDATE('Вводные'!$D$90,'Вводные'!$H$9))),$B$82,0)</x:f>
      </x:c>
      <x:c r="FK82" s="117" t="n">
        <x:f>IF(AND(YEAR(FK$3)=YEAR(EDATE('Вводные'!$D$90,'Вводные'!$H$9)),MONTH(FK$3)=MONTH(EDATE('Вводные'!$D$90,'Вводные'!$H$9))),$B$82,0)</x:f>
      </x:c>
      <x:c r="FL82" s="117" t="n">
        <x:f>IF(AND(YEAR(FL$3)=YEAR(EDATE('Вводные'!$D$90,'Вводные'!$H$9)),MONTH(FL$3)=MONTH(EDATE('Вводные'!$D$90,'Вводные'!$H$9))),$B$82,0)</x:f>
      </x:c>
      <x:c r="FM82" s="117" t="n">
        <x:f>IF(AND(YEAR(FM$3)=YEAR(EDATE('Вводные'!$D$90,'Вводные'!$H$9)),MONTH(FM$3)=MONTH(EDATE('Вводные'!$D$90,'Вводные'!$H$9))),$B$82,0)</x:f>
      </x:c>
      <x:c r="FN82" s="117" t="n">
        <x:f>IF(AND(YEAR(FN$3)=YEAR(EDATE('Вводные'!$D$90,'Вводные'!$H$9)),MONTH(FN$3)=MONTH(EDATE('Вводные'!$D$90,'Вводные'!$H$9))),$B$82,0)</x:f>
      </x:c>
      <x:c r="FO82" s="117" t="n">
        <x:f>IF(AND(YEAR(FO$3)=YEAR(EDATE('Вводные'!$D$90,'Вводные'!$H$9)),MONTH(FO$3)=MONTH(EDATE('Вводные'!$D$90,'Вводные'!$H$9))),$B$82,0)</x:f>
      </x:c>
      <x:c r="FP82" s="117" t="n">
        <x:f>IF(AND(YEAR(FP$3)=YEAR(EDATE('Вводные'!$D$90,'Вводные'!$H$9)),MONTH(FP$3)=MONTH(EDATE('Вводные'!$D$90,'Вводные'!$H$9))),$B$82,0)</x:f>
      </x:c>
      <x:c r="FQ82" s="117" t="n">
        <x:f>IF(AND(YEAR(FQ$3)=YEAR(EDATE('Вводные'!$D$90,'Вводные'!$H$9)),MONTH(FQ$3)=MONTH(EDATE('Вводные'!$D$90,'Вводные'!$H$9))),$B$82,0)</x:f>
      </x:c>
      <x:c r="FR82" s="117" t="n">
        <x:f>IF(AND(YEAR(FR$3)=YEAR(EDATE('Вводные'!$D$90,'Вводные'!$H$9)),MONTH(FR$3)=MONTH(EDATE('Вводные'!$D$90,'Вводные'!$H$9))),$B$82,0)</x:f>
      </x:c>
      <x:c r="FS82" s="117" t="n">
        <x:f>IF(AND(YEAR(FS$3)=YEAR(EDATE('Вводные'!$D$90,'Вводные'!$H$9)),MONTH(FS$3)=MONTH(EDATE('Вводные'!$D$90,'Вводные'!$H$9))),$B$82,0)</x:f>
      </x:c>
      <x:c r="FT82" s="117" t="n">
        <x:f>IF(AND(YEAR(FT$3)=YEAR(EDATE('Вводные'!$D$90,'Вводные'!$H$9)),MONTH(FT$3)=MONTH(EDATE('Вводные'!$D$90,'Вводные'!$H$9))),$B$82,0)</x:f>
      </x:c>
      <x:c r="FU82" s="117" t="n">
        <x:f>IF(AND(YEAR(FU$3)=YEAR(EDATE('Вводные'!$D$90,'Вводные'!$H$9)),MONTH(FU$3)=MONTH(EDATE('Вводные'!$D$90,'Вводные'!$H$9))),$B$82,0)</x:f>
      </x:c>
      <x:c r="FV82" s="117" t="n">
        <x:f>IF(AND(YEAR(FV$3)=YEAR(EDATE('Вводные'!$D$90,'Вводные'!$H$9)),MONTH(FV$3)=MONTH(EDATE('Вводные'!$D$90,'Вводные'!$H$9))),$B$82,0)</x:f>
      </x:c>
      <x:c r="FW82" s="117" t="n">
        <x:f>IF(AND(YEAR(FW$3)=YEAR(EDATE('Вводные'!$D$90,'Вводные'!$H$9)),MONTH(FW$3)=MONTH(EDATE('Вводные'!$D$90,'Вводные'!$H$9))),$B$82,0)</x:f>
      </x:c>
      <x:c r="FX82" s="117" t="n">
        <x:f>IF(AND(YEAR(FX$3)=YEAR(EDATE('Вводные'!$D$90,'Вводные'!$H$9)),MONTH(FX$3)=MONTH(EDATE('Вводные'!$D$90,'Вводные'!$H$9))),$B$82,0)</x:f>
      </x:c>
      <x:c r="FY82" s="117" t="n">
        <x:f>IF(AND(YEAR(FY$3)=YEAR(EDATE('Вводные'!$D$90,'Вводные'!$H$9)),MONTH(FY$3)=MONTH(EDATE('Вводные'!$D$90,'Вводные'!$H$9))),$B$82,0)</x:f>
      </x:c>
      <x:c r="FZ82" s="117" t="n">
        <x:f>IF(AND(YEAR(FZ$3)=YEAR(EDATE('Вводные'!$D$90,'Вводные'!$H$9)),MONTH(FZ$3)=MONTH(EDATE('Вводные'!$D$90,'Вводные'!$H$9))),$B$82,0)</x:f>
      </x:c>
      <x:c r="GA82" s="117" t="n">
        <x:f>IF(AND(YEAR(GA$3)=YEAR(EDATE('Вводные'!$D$90,'Вводные'!$H$9)),MONTH(GA$3)=MONTH(EDATE('Вводные'!$D$90,'Вводные'!$H$9))),$B$82,0)</x:f>
      </x:c>
    </x:row>
    <x:row r="83">
      <x:c r="A83" t="str">
        <x:v>Плата за ВРИ</x:v>
      </x:c>
      <x:c r="B83" s="107" t="n">
        <x:f>SUM('ВРИ'!D41:GA41)</x:f>
      </x:c>
      <x:c r="C83" t="str">
        <x:v>млн ₽</x:v>
      </x:c>
      <x:c r="D83" s="117" t="n">
        <x:f>'ВРИ'!D41</x:f>
      </x:c>
      <x:c r="E83" s="117" t="n">
        <x:f>'ВРИ'!E41</x:f>
      </x:c>
      <x:c r="F83" s="117" t="n">
        <x:f>'ВРИ'!F41</x:f>
      </x:c>
      <x:c r="G83" s="117" t="n">
        <x:f>'ВРИ'!G41</x:f>
      </x:c>
      <x:c r="H83" s="117" t="n">
        <x:f>'ВРИ'!H41</x:f>
      </x:c>
      <x:c r="I83" s="117" t="n">
        <x:f>'ВРИ'!I41</x:f>
      </x:c>
      <x:c r="J83" s="117" t="n">
        <x:f>'ВРИ'!J41</x:f>
      </x:c>
      <x:c r="K83" s="117" t="n">
        <x:f>'ВРИ'!K41</x:f>
      </x:c>
      <x:c r="L83" s="117" t="n">
        <x:f>'ВРИ'!L41</x:f>
      </x:c>
      <x:c r="M83" s="117" t="n">
        <x:f>'ВРИ'!M41</x:f>
      </x:c>
      <x:c r="N83" s="117" t="n">
        <x:f>'ВРИ'!N41</x:f>
      </x:c>
      <x:c r="O83" s="117" t="n">
        <x:f>'ВРИ'!O41</x:f>
      </x:c>
      <x:c r="P83" s="117" t="n">
        <x:f>'ВРИ'!P41</x:f>
      </x:c>
      <x:c r="Q83" s="117" t="n">
        <x:f>'ВРИ'!Q41</x:f>
      </x:c>
      <x:c r="R83" s="117" t="n">
        <x:f>'ВРИ'!R41</x:f>
      </x:c>
      <x:c r="S83" s="117" t="n">
        <x:f>'ВРИ'!S41</x:f>
      </x:c>
      <x:c r="T83" s="117" t="n">
        <x:f>'ВРИ'!T41</x:f>
      </x:c>
      <x:c r="U83" s="117" t="n">
        <x:f>'ВРИ'!U41</x:f>
      </x:c>
      <x:c r="V83" s="117" t="n">
        <x:f>'ВРИ'!V41</x:f>
      </x:c>
      <x:c r="W83" s="117" t="n">
        <x:f>'ВРИ'!W41</x:f>
      </x:c>
      <x:c r="X83" s="117" t="n">
        <x:f>'ВРИ'!X41</x:f>
      </x:c>
      <x:c r="Y83" s="117" t="n">
        <x:f>'ВРИ'!Y41</x:f>
      </x:c>
      <x:c r="Z83" s="117" t="n">
        <x:f>'ВРИ'!Z41</x:f>
      </x:c>
      <x:c r="AA83" s="117" t="n">
        <x:f>'ВРИ'!AA41</x:f>
      </x:c>
      <x:c r="AB83" s="117" t="n">
        <x:f>'ВРИ'!AB41</x:f>
      </x:c>
      <x:c r="AC83" s="117" t="n">
        <x:f>'ВРИ'!AC41</x:f>
      </x:c>
      <x:c r="AD83" s="117" t="n">
        <x:f>'ВРИ'!AD41</x:f>
      </x:c>
      <x:c r="AE83" s="117" t="n">
        <x:f>'ВРИ'!AE41</x:f>
      </x:c>
      <x:c r="AF83" s="117" t="n">
        <x:f>'ВРИ'!AF41</x:f>
      </x:c>
      <x:c r="AG83" s="117" t="n">
        <x:f>'ВРИ'!AG41</x:f>
      </x:c>
      <x:c r="AH83" s="117" t="n">
        <x:f>'ВРИ'!AH41</x:f>
      </x:c>
      <x:c r="AI83" s="117" t="n">
        <x:f>'ВРИ'!AI41</x:f>
      </x:c>
      <x:c r="AJ83" s="117" t="n">
        <x:f>'ВРИ'!AJ41</x:f>
      </x:c>
      <x:c r="AK83" s="117" t="n">
        <x:f>'ВРИ'!AK41</x:f>
      </x:c>
      <x:c r="AL83" s="117" t="n">
        <x:f>'ВРИ'!AL41</x:f>
      </x:c>
      <x:c r="AM83" s="117" t="n">
        <x:f>'ВРИ'!AM41</x:f>
      </x:c>
      <x:c r="AN83" s="117" t="n">
        <x:f>'ВРИ'!AN41</x:f>
      </x:c>
      <x:c r="AO83" s="117" t="n">
        <x:f>'ВРИ'!AO41</x:f>
      </x:c>
      <x:c r="AP83" s="117" t="n">
        <x:f>'ВРИ'!AP41</x:f>
      </x:c>
      <x:c r="AQ83" s="117" t="n">
        <x:f>'ВРИ'!AQ41</x:f>
      </x:c>
      <x:c r="AR83" s="117" t="n">
        <x:f>'ВРИ'!AR41</x:f>
      </x:c>
      <x:c r="AS83" s="117" t="n">
        <x:f>'ВРИ'!AS41</x:f>
      </x:c>
      <x:c r="AT83" s="117" t="n">
        <x:f>'ВРИ'!AT41</x:f>
      </x:c>
      <x:c r="AU83" s="117" t="n">
        <x:f>'ВРИ'!AU41</x:f>
      </x:c>
      <x:c r="AV83" s="117" t="n">
        <x:f>'ВРИ'!AV41</x:f>
      </x:c>
      <x:c r="AW83" s="117" t="n">
        <x:f>'ВРИ'!AW41</x:f>
      </x:c>
      <x:c r="AX83" s="117" t="n">
        <x:f>'ВРИ'!AX41</x:f>
      </x:c>
      <x:c r="AY83" s="117" t="n">
        <x:f>'ВРИ'!AY41</x:f>
      </x:c>
      <x:c r="AZ83" s="117" t="n">
        <x:f>'ВРИ'!AZ41</x:f>
      </x:c>
      <x:c r="BA83" s="117" t="n">
        <x:f>'ВРИ'!BA41</x:f>
      </x:c>
      <x:c r="BB83" s="117" t="n">
        <x:f>'ВРИ'!BB41</x:f>
      </x:c>
      <x:c r="BC83" s="117" t="n">
        <x:f>'ВРИ'!BC41</x:f>
      </x:c>
      <x:c r="BD83" s="117" t="n">
        <x:f>'ВРИ'!BD41</x:f>
      </x:c>
      <x:c r="BE83" s="117" t="n">
        <x:f>'ВРИ'!BE41</x:f>
      </x:c>
      <x:c r="BF83" s="117" t="n">
        <x:f>'ВРИ'!BF41</x:f>
      </x:c>
      <x:c r="BG83" s="117" t="n">
        <x:f>'ВРИ'!BG41</x:f>
      </x:c>
      <x:c r="BH83" s="117" t="n">
        <x:f>'ВРИ'!BH41</x:f>
      </x:c>
      <x:c r="BI83" s="117" t="n">
        <x:f>'ВРИ'!BI41</x:f>
      </x:c>
      <x:c r="BJ83" s="117" t="n">
        <x:f>'ВРИ'!BJ41</x:f>
      </x:c>
      <x:c r="BK83" s="117" t="n">
        <x:f>'ВРИ'!BK41</x:f>
      </x:c>
      <x:c r="BL83" s="117" t="n">
        <x:f>'ВРИ'!BL41</x:f>
      </x:c>
      <x:c r="BM83" s="117" t="n">
        <x:f>'ВРИ'!BM41</x:f>
      </x:c>
      <x:c r="BN83" s="117" t="n">
        <x:f>'ВРИ'!BN41</x:f>
      </x:c>
      <x:c r="BO83" s="117" t="n">
        <x:f>'ВРИ'!BO41</x:f>
      </x:c>
      <x:c r="BP83" s="117" t="n">
        <x:f>'ВРИ'!BP41</x:f>
      </x:c>
      <x:c r="BQ83" s="117" t="n">
        <x:f>'ВРИ'!BQ41</x:f>
      </x:c>
      <x:c r="BR83" s="117" t="n">
        <x:f>'ВРИ'!BR41</x:f>
      </x:c>
      <x:c r="BS83" s="117" t="n">
        <x:f>'ВРИ'!BS41</x:f>
      </x:c>
      <x:c r="BT83" s="117" t="n">
        <x:f>'ВРИ'!BT41</x:f>
      </x:c>
      <x:c r="BU83" s="117" t="n">
        <x:f>'ВРИ'!BU41</x:f>
      </x:c>
      <x:c r="BV83" s="117" t="n">
        <x:f>'ВРИ'!BV41</x:f>
      </x:c>
      <x:c r="BW83" s="117" t="n">
        <x:f>'ВРИ'!BW41</x:f>
      </x:c>
      <x:c r="BX83" s="117" t="n">
        <x:f>'ВРИ'!BX41</x:f>
      </x:c>
      <x:c r="BY83" s="117" t="n">
        <x:f>'ВРИ'!BY41</x:f>
      </x:c>
      <x:c r="BZ83" s="117" t="n">
        <x:f>'ВРИ'!BZ41</x:f>
      </x:c>
      <x:c r="CA83" s="117" t="n">
        <x:f>'ВРИ'!CA41</x:f>
      </x:c>
      <x:c r="CB83" s="117" t="n">
        <x:f>'ВРИ'!CB41</x:f>
      </x:c>
      <x:c r="CC83" s="117" t="n">
        <x:f>'ВРИ'!CC41</x:f>
      </x:c>
      <x:c r="CD83" s="117" t="n">
        <x:f>'ВРИ'!CD41</x:f>
      </x:c>
      <x:c r="CE83" s="117" t="n">
        <x:f>'ВРИ'!CE41</x:f>
      </x:c>
      <x:c r="CF83" s="117" t="n">
        <x:f>'ВРИ'!CF41</x:f>
      </x:c>
      <x:c r="CG83" s="117" t="n">
        <x:f>'ВРИ'!CG41</x:f>
      </x:c>
      <x:c r="CH83" s="117" t="n">
        <x:f>'ВРИ'!CH41</x:f>
      </x:c>
      <x:c r="CI83" s="117" t="n">
        <x:f>'ВРИ'!CI41</x:f>
      </x:c>
      <x:c r="CJ83" s="117" t="n">
        <x:f>'ВРИ'!CJ41</x:f>
      </x:c>
      <x:c r="CK83" s="117" t="n">
        <x:f>'ВРИ'!CK41</x:f>
      </x:c>
      <x:c r="CL83" s="117" t="n">
        <x:f>'ВРИ'!CL41</x:f>
      </x:c>
      <x:c r="CM83" s="117" t="n">
        <x:f>'ВРИ'!CM41</x:f>
      </x:c>
      <x:c r="CN83" s="117" t="n">
        <x:f>'ВРИ'!CN41</x:f>
      </x:c>
      <x:c r="CO83" s="117" t="n">
        <x:f>'ВРИ'!CO41</x:f>
      </x:c>
      <x:c r="CP83" s="117" t="n">
        <x:f>'ВРИ'!CP41</x:f>
      </x:c>
      <x:c r="CQ83" s="117" t="n">
        <x:f>'ВРИ'!CQ41</x:f>
      </x:c>
      <x:c r="CR83" s="117" t="n">
        <x:f>'ВРИ'!CR41</x:f>
      </x:c>
      <x:c r="CS83" s="117" t="n">
        <x:f>'ВРИ'!CS41</x:f>
      </x:c>
      <x:c r="CT83" s="117" t="n">
        <x:f>'ВРИ'!CT41</x:f>
      </x:c>
      <x:c r="CU83" s="117" t="n">
        <x:f>'ВРИ'!CU41</x:f>
      </x:c>
      <x:c r="CV83" s="117" t="n">
        <x:f>'ВРИ'!CV41</x:f>
      </x:c>
      <x:c r="CW83" s="117" t="n">
        <x:f>'ВРИ'!CW41</x:f>
      </x:c>
      <x:c r="CX83" s="117" t="n">
        <x:f>'ВРИ'!CX41</x:f>
      </x:c>
      <x:c r="CY83" s="117" t="n">
        <x:f>'ВРИ'!CY41</x:f>
      </x:c>
      <x:c r="CZ83" s="117" t="n">
        <x:f>'ВРИ'!CZ41</x:f>
      </x:c>
      <x:c r="DA83" s="117" t="n">
        <x:f>'ВРИ'!DA41</x:f>
      </x:c>
      <x:c r="DB83" s="117" t="n">
        <x:f>'ВРИ'!DB41</x:f>
      </x:c>
      <x:c r="DC83" s="117" t="n">
        <x:f>'ВРИ'!DC41</x:f>
      </x:c>
      <x:c r="DD83" s="117" t="n">
        <x:f>'ВРИ'!DD41</x:f>
      </x:c>
      <x:c r="DE83" s="117" t="n">
        <x:f>'ВРИ'!DE41</x:f>
      </x:c>
      <x:c r="DF83" s="117" t="n">
        <x:f>'ВРИ'!DF41</x:f>
      </x:c>
      <x:c r="DG83" s="117" t="n">
        <x:f>'ВРИ'!DG41</x:f>
      </x:c>
      <x:c r="DH83" s="117" t="n">
        <x:f>'ВРИ'!DH41</x:f>
      </x:c>
      <x:c r="DI83" s="117" t="n">
        <x:f>'ВРИ'!DI41</x:f>
      </x:c>
      <x:c r="DJ83" s="117" t="n">
        <x:f>'ВРИ'!DJ41</x:f>
      </x:c>
      <x:c r="DK83" s="117" t="n">
        <x:f>'ВРИ'!DK41</x:f>
      </x:c>
      <x:c r="DL83" s="117" t="n">
        <x:f>'ВРИ'!DL41</x:f>
      </x:c>
      <x:c r="DM83" s="117" t="n">
        <x:f>'ВРИ'!DM41</x:f>
      </x:c>
      <x:c r="DN83" s="117" t="n">
        <x:f>'ВРИ'!DN41</x:f>
      </x:c>
      <x:c r="DO83" s="117" t="n">
        <x:f>'ВРИ'!DO41</x:f>
      </x:c>
      <x:c r="DP83" s="117" t="n">
        <x:f>'ВРИ'!DP41</x:f>
      </x:c>
      <x:c r="DQ83" s="117" t="n">
        <x:f>'ВРИ'!DQ41</x:f>
      </x:c>
      <x:c r="DR83" s="117" t="n">
        <x:f>'ВРИ'!DR41</x:f>
      </x:c>
      <x:c r="DS83" s="117" t="n">
        <x:f>'ВРИ'!DS41</x:f>
      </x:c>
      <x:c r="DT83" s="117" t="n">
        <x:f>'ВРИ'!DT41</x:f>
      </x:c>
      <x:c r="DU83" s="117" t="n">
        <x:f>'ВРИ'!DU41</x:f>
      </x:c>
      <x:c r="DV83" s="117" t="n">
        <x:f>'ВРИ'!DV41</x:f>
      </x:c>
      <x:c r="DW83" s="117" t="n">
        <x:f>'ВРИ'!DW41</x:f>
      </x:c>
      <x:c r="DX83" s="117" t="n">
        <x:f>'ВРИ'!DX41</x:f>
      </x:c>
      <x:c r="DY83" s="117" t="n">
        <x:f>'ВРИ'!DY41</x:f>
      </x:c>
      <x:c r="DZ83" s="117" t="n">
        <x:f>'ВРИ'!DZ41</x:f>
      </x:c>
      <x:c r="EA83" s="117" t="n">
        <x:f>'ВРИ'!EA41</x:f>
      </x:c>
      <x:c r="EB83" s="117" t="n">
        <x:f>'ВРИ'!EB41</x:f>
      </x:c>
      <x:c r="EC83" s="117" t="n">
        <x:f>'ВРИ'!EC41</x:f>
      </x:c>
      <x:c r="ED83" s="117" t="n">
        <x:f>'ВРИ'!ED41</x:f>
      </x:c>
      <x:c r="EE83" s="117" t="n">
        <x:f>'ВРИ'!EE41</x:f>
      </x:c>
      <x:c r="EF83" s="117" t="n">
        <x:f>'ВРИ'!EF41</x:f>
      </x:c>
      <x:c r="EG83" s="117" t="n">
        <x:f>'ВРИ'!EG41</x:f>
      </x:c>
      <x:c r="EH83" s="117" t="n">
        <x:f>'ВРИ'!EH41</x:f>
      </x:c>
      <x:c r="EI83" s="117" t="n">
        <x:f>'ВРИ'!EI41</x:f>
      </x:c>
      <x:c r="EJ83" s="117" t="n">
        <x:f>'ВРИ'!EJ41</x:f>
      </x:c>
      <x:c r="EK83" s="117" t="n">
        <x:f>'ВРИ'!EK41</x:f>
      </x:c>
      <x:c r="EL83" s="117" t="n">
        <x:f>'ВРИ'!EL41</x:f>
      </x:c>
      <x:c r="EM83" s="117" t="n">
        <x:f>'ВРИ'!EM41</x:f>
      </x:c>
      <x:c r="EN83" s="117" t="n">
        <x:f>'ВРИ'!EN41</x:f>
      </x:c>
      <x:c r="EO83" s="117" t="n">
        <x:f>'ВРИ'!EO41</x:f>
      </x:c>
      <x:c r="EP83" s="117" t="n">
        <x:f>'ВРИ'!EP41</x:f>
      </x:c>
      <x:c r="EQ83" s="117" t="n">
        <x:f>'ВРИ'!EQ41</x:f>
      </x:c>
      <x:c r="ER83" s="117" t="n">
        <x:f>'ВРИ'!ER41</x:f>
      </x:c>
      <x:c r="ES83" s="117" t="n">
        <x:f>'ВРИ'!ES41</x:f>
      </x:c>
      <x:c r="ET83" s="117" t="n">
        <x:f>'ВРИ'!ET41</x:f>
      </x:c>
      <x:c r="EU83" s="117" t="n">
        <x:f>'ВРИ'!EU41</x:f>
      </x:c>
      <x:c r="EV83" s="117" t="n">
        <x:f>'ВРИ'!EV41</x:f>
      </x:c>
      <x:c r="EW83" s="117" t="n">
        <x:f>'ВРИ'!EW41</x:f>
      </x:c>
      <x:c r="EX83" s="117" t="n">
        <x:f>'ВРИ'!EX41</x:f>
      </x:c>
      <x:c r="EY83" s="117" t="n">
        <x:f>'ВРИ'!EY41</x:f>
      </x:c>
      <x:c r="EZ83" s="117" t="n">
        <x:f>'ВРИ'!EZ41</x:f>
      </x:c>
      <x:c r="FA83" s="117" t="n">
        <x:f>'ВРИ'!FA41</x:f>
      </x:c>
      <x:c r="FB83" s="117" t="n">
        <x:f>'ВРИ'!FB41</x:f>
      </x:c>
      <x:c r="FC83" s="117" t="n">
        <x:f>'ВРИ'!FC41</x:f>
      </x:c>
      <x:c r="FD83" s="117" t="n">
        <x:f>'ВРИ'!FD41</x:f>
      </x:c>
      <x:c r="FE83" s="117" t="n">
        <x:f>'ВРИ'!FE41</x:f>
      </x:c>
      <x:c r="FF83" s="117" t="n">
        <x:f>'ВРИ'!FF41</x:f>
      </x:c>
      <x:c r="FG83" s="117" t="n">
        <x:f>'ВРИ'!FG41</x:f>
      </x:c>
      <x:c r="FH83" s="117" t="n">
        <x:f>'ВРИ'!FH41</x:f>
      </x:c>
      <x:c r="FI83" s="117" t="n">
        <x:f>'ВРИ'!FI41</x:f>
      </x:c>
      <x:c r="FJ83" s="117" t="n">
        <x:f>'ВРИ'!FJ41</x:f>
      </x:c>
      <x:c r="FK83" s="117" t="n">
        <x:f>'ВРИ'!FK41</x:f>
      </x:c>
      <x:c r="FL83" s="117" t="n">
        <x:f>'ВРИ'!FL41</x:f>
      </x:c>
      <x:c r="FM83" s="117" t="n">
        <x:f>'ВРИ'!FM41</x:f>
      </x:c>
      <x:c r="FN83" s="117" t="n">
        <x:f>'ВРИ'!FN41</x:f>
      </x:c>
      <x:c r="FO83" s="117" t="n">
        <x:f>'ВРИ'!FO41</x:f>
      </x:c>
      <x:c r="FP83" s="117" t="n">
        <x:f>'ВРИ'!FP41</x:f>
      </x:c>
      <x:c r="FQ83" s="117" t="n">
        <x:f>'ВРИ'!FQ41</x:f>
      </x:c>
      <x:c r="FR83" s="117" t="n">
        <x:f>'ВРИ'!FR41</x:f>
      </x:c>
      <x:c r="FS83" s="117" t="n">
        <x:f>'ВРИ'!FS41</x:f>
      </x:c>
      <x:c r="FT83" s="117" t="n">
        <x:f>'ВРИ'!FT41</x:f>
      </x:c>
      <x:c r="FU83" s="117" t="n">
        <x:f>'ВРИ'!FU41</x:f>
      </x:c>
      <x:c r="FV83" s="117" t="n">
        <x:f>'ВРИ'!FV41</x:f>
      </x:c>
      <x:c r="FW83" s="117" t="n">
        <x:f>'ВРИ'!FW41</x:f>
      </x:c>
      <x:c r="FX83" s="117" t="n">
        <x:f>'ВРИ'!FX41</x:f>
      </x:c>
      <x:c r="FY83" s="117" t="n">
        <x:f>'ВРИ'!FY41</x:f>
      </x:c>
      <x:c r="FZ83" s="117" t="n">
        <x:f>'ВРИ'!FZ41</x:f>
      </x:c>
      <x:c r="GA83" s="117" t="n">
        <x:f>'ВРИ'!GA41</x:f>
      </x:c>
    </x:row>
    <x:row r="84">
      <x:c r="A84" t="str">
        <x:v>ИРД и согласования</x:v>
      </x:c>
      <x:c r="B84" s="107" t="n">
        <x:f>(('Вводные'!$I$90+'Вводные'!$J$90+'Вводные'!$K$90)*'Вводные'!$B$40/1000*'Вводные'!$H$6*'Вводные'!$T$90*--('Вводные'!$B$90="Да"))*'Вводные'!$AH$90</x:f>
      </x:c>
      <x:c r="C84" t="str">
        <x:v>млн ₽</x:v>
      </x:c>
      <x:c r="D84" s="117" t="n">
        <x:f>IF(AND(D$3&gt;=EDATE($B$75,-'Вводные'!$E$90),D$3&lt;$B$75),$B$84/MAX(1,'Вводные'!$E$90),0)</x:f>
      </x:c>
      <x:c r="E84" s="117" t="n">
        <x:f>IF(AND(E$3&gt;=EDATE($B$75,-'Вводные'!$E$90),E$3&lt;$B$75),$B$84/MAX(1,'Вводные'!$E$90),0)</x:f>
      </x:c>
      <x:c r="F84" s="117" t="n">
        <x:f>IF(AND(F$3&gt;=EDATE($B$75,-'Вводные'!$E$90),F$3&lt;$B$75),$B$84/MAX(1,'Вводные'!$E$90),0)</x:f>
      </x:c>
      <x:c r="G84" s="117" t="n">
        <x:f>IF(AND(G$3&gt;=EDATE($B$75,-'Вводные'!$E$90),G$3&lt;$B$75),$B$84/MAX(1,'Вводные'!$E$90),0)</x:f>
      </x:c>
      <x:c r="H84" s="117" t="n">
        <x:f>IF(AND(H$3&gt;=EDATE($B$75,-'Вводные'!$E$90),H$3&lt;$B$75),$B$84/MAX(1,'Вводные'!$E$90),0)</x:f>
      </x:c>
      <x:c r="I84" s="117" t="n">
        <x:f>IF(AND(I$3&gt;=EDATE($B$75,-'Вводные'!$E$90),I$3&lt;$B$75),$B$84/MAX(1,'Вводные'!$E$90),0)</x:f>
      </x:c>
      <x:c r="J84" s="117" t="n">
        <x:f>IF(AND(J$3&gt;=EDATE($B$75,-'Вводные'!$E$90),J$3&lt;$B$75),$B$84/MAX(1,'Вводные'!$E$90),0)</x:f>
      </x:c>
      <x:c r="K84" s="117" t="n">
        <x:f>IF(AND(K$3&gt;=EDATE($B$75,-'Вводные'!$E$90),K$3&lt;$B$75),$B$84/MAX(1,'Вводные'!$E$90),0)</x:f>
      </x:c>
      <x:c r="L84" s="117" t="n">
        <x:f>IF(AND(L$3&gt;=EDATE($B$75,-'Вводные'!$E$90),L$3&lt;$B$75),$B$84/MAX(1,'Вводные'!$E$90),0)</x:f>
      </x:c>
      <x:c r="M84" s="117" t="n">
        <x:f>IF(AND(M$3&gt;=EDATE($B$75,-'Вводные'!$E$90),M$3&lt;$B$75),$B$84/MAX(1,'Вводные'!$E$90),0)</x:f>
      </x:c>
      <x:c r="N84" s="117" t="n">
        <x:f>IF(AND(N$3&gt;=EDATE($B$75,-'Вводные'!$E$90),N$3&lt;$B$75),$B$84/MAX(1,'Вводные'!$E$90),0)</x:f>
      </x:c>
      <x:c r="O84" s="117" t="n">
        <x:f>IF(AND(O$3&gt;=EDATE($B$75,-'Вводные'!$E$90),O$3&lt;$B$75),$B$84/MAX(1,'Вводные'!$E$90),0)</x:f>
      </x:c>
      <x:c r="P84" s="117" t="n">
        <x:f>IF(AND(P$3&gt;=EDATE($B$75,-'Вводные'!$E$90),P$3&lt;$B$75),$B$84/MAX(1,'Вводные'!$E$90),0)</x:f>
      </x:c>
      <x:c r="Q84" s="117" t="n">
        <x:f>IF(AND(Q$3&gt;=EDATE($B$75,-'Вводные'!$E$90),Q$3&lt;$B$75),$B$84/MAX(1,'Вводные'!$E$90),0)</x:f>
      </x:c>
      <x:c r="R84" s="117" t="n">
        <x:f>IF(AND(R$3&gt;=EDATE($B$75,-'Вводные'!$E$90),R$3&lt;$B$75),$B$84/MAX(1,'Вводные'!$E$90),0)</x:f>
      </x:c>
      <x:c r="S84" s="117" t="n">
        <x:f>IF(AND(S$3&gt;=EDATE($B$75,-'Вводные'!$E$90),S$3&lt;$B$75),$B$84/MAX(1,'Вводные'!$E$90),0)</x:f>
      </x:c>
      <x:c r="T84" s="117" t="n">
        <x:f>IF(AND(T$3&gt;=EDATE($B$75,-'Вводные'!$E$90),T$3&lt;$B$75),$B$84/MAX(1,'Вводные'!$E$90),0)</x:f>
      </x:c>
      <x:c r="U84" s="117" t="n">
        <x:f>IF(AND(U$3&gt;=EDATE($B$75,-'Вводные'!$E$90),U$3&lt;$B$75),$B$84/MAX(1,'Вводные'!$E$90),0)</x:f>
      </x:c>
      <x:c r="V84" s="117" t="n">
        <x:f>IF(AND(V$3&gt;=EDATE($B$75,-'Вводные'!$E$90),V$3&lt;$B$75),$B$84/MAX(1,'Вводные'!$E$90),0)</x:f>
      </x:c>
      <x:c r="W84" s="117" t="n">
        <x:f>IF(AND(W$3&gt;=EDATE($B$75,-'Вводные'!$E$90),W$3&lt;$B$75),$B$84/MAX(1,'Вводные'!$E$90),0)</x:f>
      </x:c>
      <x:c r="X84" s="117" t="n">
        <x:f>IF(AND(X$3&gt;=EDATE($B$75,-'Вводные'!$E$90),X$3&lt;$B$75),$B$84/MAX(1,'Вводные'!$E$90),0)</x:f>
      </x:c>
      <x:c r="Y84" s="117" t="n">
        <x:f>IF(AND(Y$3&gt;=EDATE($B$75,-'Вводные'!$E$90),Y$3&lt;$B$75),$B$84/MAX(1,'Вводные'!$E$90),0)</x:f>
      </x:c>
      <x:c r="Z84" s="117" t="n">
        <x:f>IF(AND(Z$3&gt;=EDATE($B$75,-'Вводные'!$E$90),Z$3&lt;$B$75),$B$84/MAX(1,'Вводные'!$E$90),0)</x:f>
      </x:c>
      <x:c r="AA84" s="117" t="n">
        <x:f>IF(AND(AA$3&gt;=EDATE($B$75,-'Вводные'!$E$90),AA$3&lt;$B$75),$B$84/MAX(1,'Вводные'!$E$90),0)</x:f>
      </x:c>
      <x:c r="AB84" s="117" t="n">
        <x:f>IF(AND(AB$3&gt;=EDATE($B$75,-'Вводные'!$E$90),AB$3&lt;$B$75),$B$84/MAX(1,'Вводные'!$E$90),0)</x:f>
      </x:c>
      <x:c r="AC84" s="117" t="n">
        <x:f>IF(AND(AC$3&gt;=EDATE($B$75,-'Вводные'!$E$90),AC$3&lt;$B$75),$B$84/MAX(1,'Вводные'!$E$90),0)</x:f>
      </x:c>
      <x:c r="AD84" s="117" t="n">
        <x:f>IF(AND(AD$3&gt;=EDATE($B$75,-'Вводные'!$E$90),AD$3&lt;$B$75),$B$84/MAX(1,'Вводные'!$E$90),0)</x:f>
      </x:c>
      <x:c r="AE84" s="117" t="n">
        <x:f>IF(AND(AE$3&gt;=EDATE($B$75,-'Вводные'!$E$90),AE$3&lt;$B$75),$B$84/MAX(1,'Вводные'!$E$90),0)</x:f>
      </x:c>
      <x:c r="AF84" s="117" t="n">
        <x:f>IF(AND(AF$3&gt;=EDATE($B$75,-'Вводные'!$E$90),AF$3&lt;$B$75),$B$84/MAX(1,'Вводные'!$E$90),0)</x:f>
      </x:c>
      <x:c r="AG84" s="117" t="n">
        <x:f>IF(AND(AG$3&gt;=EDATE($B$75,-'Вводные'!$E$90),AG$3&lt;$B$75),$B$84/MAX(1,'Вводные'!$E$90),0)</x:f>
      </x:c>
      <x:c r="AH84" s="117" t="n">
        <x:f>IF(AND(AH$3&gt;=EDATE($B$75,-'Вводные'!$E$90),AH$3&lt;$B$75),$B$84/MAX(1,'Вводные'!$E$90),0)</x:f>
      </x:c>
      <x:c r="AI84" s="117" t="n">
        <x:f>IF(AND(AI$3&gt;=EDATE($B$75,-'Вводные'!$E$90),AI$3&lt;$B$75),$B$84/MAX(1,'Вводные'!$E$90),0)</x:f>
      </x:c>
      <x:c r="AJ84" s="117" t="n">
        <x:f>IF(AND(AJ$3&gt;=EDATE($B$75,-'Вводные'!$E$90),AJ$3&lt;$B$75),$B$84/MAX(1,'Вводные'!$E$90),0)</x:f>
      </x:c>
      <x:c r="AK84" s="117" t="n">
        <x:f>IF(AND(AK$3&gt;=EDATE($B$75,-'Вводные'!$E$90),AK$3&lt;$B$75),$B$84/MAX(1,'Вводные'!$E$90),0)</x:f>
      </x:c>
      <x:c r="AL84" s="117" t="n">
        <x:f>IF(AND(AL$3&gt;=EDATE($B$75,-'Вводные'!$E$90),AL$3&lt;$B$75),$B$84/MAX(1,'Вводные'!$E$90),0)</x:f>
      </x:c>
      <x:c r="AM84" s="117" t="n">
        <x:f>IF(AND(AM$3&gt;=EDATE($B$75,-'Вводные'!$E$90),AM$3&lt;$B$75),$B$84/MAX(1,'Вводные'!$E$90),0)</x:f>
      </x:c>
      <x:c r="AN84" s="117" t="n">
        <x:f>IF(AND(AN$3&gt;=EDATE($B$75,-'Вводные'!$E$90),AN$3&lt;$B$75),$B$84/MAX(1,'Вводные'!$E$90),0)</x:f>
      </x:c>
      <x:c r="AO84" s="117" t="n">
        <x:f>IF(AND(AO$3&gt;=EDATE($B$75,-'Вводные'!$E$90),AO$3&lt;$B$75),$B$84/MAX(1,'Вводные'!$E$90),0)</x:f>
      </x:c>
      <x:c r="AP84" s="117" t="n">
        <x:f>IF(AND(AP$3&gt;=EDATE($B$75,-'Вводные'!$E$90),AP$3&lt;$B$75),$B$84/MAX(1,'Вводные'!$E$90),0)</x:f>
      </x:c>
      <x:c r="AQ84" s="117" t="n">
        <x:f>IF(AND(AQ$3&gt;=EDATE($B$75,-'Вводные'!$E$90),AQ$3&lt;$B$75),$B$84/MAX(1,'Вводные'!$E$90),0)</x:f>
      </x:c>
      <x:c r="AR84" s="117" t="n">
        <x:f>IF(AND(AR$3&gt;=EDATE($B$75,-'Вводные'!$E$90),AR$3&lt;$B$75),$B$84/MAX(1,'Вводные'!$E$90),0)</x:f>
      </x:c>
      <x:c r="AS84" s="117" t="n">
        <x:f>IF(AND(AS$3&gt;=EDATE($B$75,-'Вводные'!$E$90),AS$3&lt;$B$75),$B$84/MAX(1,'Вводные'!$E$90),0)</x:f>
      </x:c>
      <x:c r="AT84" s="117" t="n">
        <x:f>IF(AND(AT$3&gt;=EDATE($B$75,-'Вводные'!$E$90),AT$3&lt;$B$75),$B$84/MAX(1,'Вводные'!$E$90),0)</x:f>
      </x:c>
      <x:c r="AU84" s="117" t="n">
        <x:f>IF(AND(AU$3&gt;=EDATE($B$75,-'Вводные'!$E$90),AU$3&lt;$B$75),$B$84/MAX(1,'Вводные'!$E$90),0)</x:f>
      </x:c>
      <x:c r="AV84" s="117" t="n">
        <x:f>IF(AND(AV$3&gt;=EDATE($B$75,-'Вводные'!$E$90),AV$3&lt;$B$75),$B$84/MAX(1,'Вводные'!$E$90),0)</x:f>
      </x:c>
      <x:c r="AW84" s="117" t="n">
        <x:f>IF(AND(AW$3&gt;=EDATE($B$75,-'Вводные'!$E$90),AW$3&lt;$B$75),$B$84/MAX(1,'Вводные'!$E$90),0)</x:f>
      </x:c>
      <x:c r="AX84" s="117" t="n">
        <x:f>IF(AND(AX$3&gt;=EDATE($B$75,-'Вводные'!$E$90),AX$3&lt;$B$75),$B$84/MAX(1,'Вводные'!$E$90),0)</x:f>
      </x:c>
      <x:c r="AY84" s="117" t="n">
        <x:f>IF(AND(AY$3&gt;=EDATE($B$75,-'Вводные'!$E$90),AY$3&lt;$B$75),$B$84/MAX(1,'Вводные'!$E$90),0)</x:f>
      </x:c>
      <x:c r="AZ84" s="117" t="n">
        <x:f>IF(AND(AZ$3&gt;=EDATE($B$75,-'Вводные'!$E$90),AZ$3&lt;$B$75),$B$84/MAX(1,'Вводные'!$E$90),0)</x:f>
      </x:c>
      <x:c r="BA84" s="117" t="n">
        <x:f>IF(AND(BA$3&gt;=EDATE($B$75,-'Вводные'!$E$90),BA$3&lt;$B$75),$B$84/MAX(1,'Вводные'!$E$90),0)</x:f>
      </x:c>
      <x:c r="BB84" s="117" t="n">
        <x:f>IF(AND(BB$3&gt;=EDATE($B$75,-'Вводные'!$E$90),BB$3&lt;$B$75),$B$84/MAX(1,'Вводные'!$E$90),0)</x:f>
      </x:c>
      <x:c r="BC84" s="117" t="n">
        <x:f>IF(AND(BC$3&gt;=EDATE($B$75,-'Вводные'!$E$90),BC$3&lt;$B$75),$B$84/MAX(1,'Вводные'!$E$90),0)</x:f>
      </x:c>
      <x:c r="BD84" s="117" t="n">
        <x:f>IF(AND(BD$3&gt;=EDATE($B$75,-'Вводные'!$E$90),BD$3&lt;$B$75),$B$84/MAX(1,'Вводные'!$E$90),0)</x:f>
      </x:c>
      <x:c r="BE84" s="117" t="n">
        <x:f>IF(AND(BE$3&gt;=EDATE($B$75,-'Вводные'!$E$90),BE$3&lt;$B$75),$B$84/MAX(1,'Вводные'!$E$90),0)</x:f>
      </x:c>
      <x:c r="BF84" s="117" t="n">
        <x:f>IF(AND(BF$3&gt;=EDATE($B$75,-'Вводные'!$E$90),BF$3&lt;$B$75),$B$84/MAX(1,'Вводные'!$E$90),0)</x:f>
      </x:c>
      <x:c r="BG84" s="117" t="n">
        <x:f>IF(AND(BG$3&gt;=EDATE($B$75,-'Вводные'!$E$90),BG$3&lt;$B$75),$B$84/MAX(1,'Вводные'!$E$90),0)</x:f>
      </x:c>
      <x:c r="BH84" s="117" t="n">
        <x:f>IF(AND(BH$3&gt;=EDATE($B$75,-'Вводные'!$E$90),BH$3&lt;$B$75),$B$84/MAX(1,'Вводные'!$E$90),0)</x:f>
      </x:c>
      <x:c r="BI84" s="117" t="n">
        <x:f>IF(AND(BI$3&gt;=EDATE($B$75,-'Вводные'!$E$90),BI$3&lt;$B$75),$B$84/MAX(1,'Вводные'!$E$90),0)</x:f>
      </x:c>
      <x:c r="BJ84" s="117" t="n">
        <x:f>IF(AND(BJ$3&gt;=EDATE($B$75,-'Вводные'!$E$90),BJ$3&lt;$B$75),$B$84/MAX(1,'Вводные'!$E$90),0)</x:f>
      </x:c>
      <x:c r="BK84" s="117" t="n">
        <x:f>IF(AND(BK$3&gt;=EDATE($B$75,-'Вводные'!$E$90),BK$3&lt;$B$75),$B$84/MAX(1,'Вводные'!$E$90),0)</x:f>
      </x:c>
      <x:c r="BL84" s="117" t="n">
        <x:f>IF(AND(BL$3&gt;=EDATE($B$75,-'Вводные'!$E$90),BL$3&lt;$B$75),$B$84/MAX(1,'Вводные'!$E$90),0)</x:f>
      </x:c>
      <x:c r="BM84" s="117" t="n">
        <x:f>IF(AND(BM$3&gt;=EDATE($B$75,-'Вводные'!$E$90),BM$3&lt;$B$75),$B$84/MAX(1,'Вводные'!$E$90),0)</x:f>
      </x:c>
      <x:c r="BN84" s="117" t="n">
        <x:f>IF(AND(BN$3&gt;=EDATE($B$75,-'Вводные'!$E$90),BN$3&lt;$B$75),$B$84/MAX(1,'Вводные'!$E$90),0)</x:f>
      </x:c>
      <x:c r="BO84" s="117" t="n">
        <x:f>IF(AND(BO$3&gt;=EDATE($B$75,-'Вводные'!$E$90),BO$3&lt;$B$75),$B$84/MAX(1,'Вводные'!$E$90),0)</x:f>
      </x:c>
      <x:c r="BP84" s="117" t="n">
        <x:f>IF(AND(BP$3&gt;=EDATE($B$75,-'Вводные'!$E$90),BP$3&lt;$B$75),$B$84/MAX(1,'Вводные'!$E$90),0)</x:f>
      </x:c>
      <x:c r="BQ84" s="117" t="n">
        <x:f>IF(AND(BQ$3&gt;=EDATE($B$75,-'Вводные'!$E$90),BQ$3&lt;$B$75),$B$84/MAX(1,'Вводные'!$E$90),0)</x:f>
      </x:c>
      <x:c r="BR84" s="117" t="n">
        <x:f>IF(AND(BR$3&gt;=EDATE($B$75,-'Вводные'!$E$90),BR$3&lt;$B$75),$B$84/MAX(1,'Вводные'!$E$90),0)</x:f>
      </x:c>
      <x:c r="BS84" s="117" t="n">
        <x:f>IF(AND(BS$3&gt;=EDATE($B$75,-'Вводные'!$E$90),BS$3&lt;$B$75),$B$84/MAX(1,'Вводные'!$E$90),0)</x:f>
      </x:c>
      <x:c r="BT84" s="117" t="n">
        <x:f>IF(AND(BT$3&gt;=EDATE($B$75,-'Вводные'!$E$90),BT$3&lt;$B$75),$B$84/MAX(1,'Вводные'!$E$90),0)</x:f>
      </x:c>
      <x:c r="BU84" s="117" t="n">
        <x:f>IF(AND(BU$3&gt;=EDATE($B$75,-'Вводные'!$E$90),BU$3&lt;$B$75),$B$84/MAX(1,'Вводные'!$E$90),0)</x:f>
      </x:c>
      <x:c r="BV84" s="117" t="n">
        <x:f>IF(AND(BV$3&gt;=EDATE($B$75,-'Вводные'!$E$90),BV$3&lt;$B$75),$B$84/MAX(1,'Вводные'!$E$90),0)</x:f>
      </x:c>
      <x:c r="BW84" s="117" t="n">
        <x:f>IF(AND(BW$3&gt;=EDATE($B$75,-'Вводные'!$E$90),BW$3&lt;$B$75),$B$84/MAX(1,'Вводные'!$E$90),0)</x:f>
      </x:c>
      <x:c r="BX84" s="117" t="n">
        <x:f>IF(AND(BX$3&gt;=EDATE($B$75,-'Вводные'!$E$90),BX$3&lt;$B$75),$B$84/MAX(1,'Вводные'!$E$90),0)</x:f>
      </x:c>
      <x:c r="BY84" s="117" t="n">
        <x:f>IF(AND(BY$3&gt;=EDATE($B$75,-'Вводные'!$E$90),BY$3&lt;$B$75),$B$84/MAX(1,'Вводные'!$E$90),0)</x:f>
      </x:c>
      <x:c r="BZ84" s="117" t="n">
        <x:f>IF(AND(BZ$3&gt;=EDATE($B$75,-'Вводные'!$E$90),BZ$3&lt;$B$75),$B$84/MAX(1,'Вводные'!$E$90),0)</x:f>
      </x:c>
      <x:c r="CA84" s="117" t="n">
        <x:f>IF(AND(CA$3&gt;=EDATE($B$75,-'Вводные'!$E$90),CA$3&lt;$B$75),$B$84/MAX(1,'Вводные'!$E$90),0)</x:f>
      </x:c>
      <x:c r="CB84" s="117" t="n">
        <x:f>IF(AND(CB$3&gt;=EDATE($B$75,-'Вводные'!$E$90),CB$3&lt;$B$75),$B$84/MAX(1,'Вводные'!$E$90),0)</x:f>
      </x:c>
      <x:c r="CC84" s="117" t="n">
        <x:f>IF(AND(CC$3&gt;=EDATE($B$75,-'Вводные'!$E$90),CC$3&lt;$B$75),$B$84/MAX(1,'Вводные'!$E$90),0)</x:f>
      </x:c>
      <x:c r="CD84" s="117" t="n">
        <x:f>IF(AND(CD$3&gt;=EDATE($B$75,-'Вводные'!$E$90),CD$3&lt;$B$75),$B$84/MAX(1,'Вводные'!$E$90),0)</x:f>
      </x:c>
      <x:c r="CE84" s="117" t="n">
        <x:f>IF(AND(CE$3&gt;=EDATE($B$75,-'Вводные'!$E$90),CE$3&lt;$B$75),$B$84/MAX(1,'Вводные'!$E$90),0)</x:f>
      </x:c>
      <x:c r="CF84" s="117" t="n">
        <x:f>IF(AND(CF$3&gt;=EDATE($B$75,-'Вводные'!$E$90),CF$3&lt;$B$75),$B$84/MAX(1,'Вводные'!$E$90),0)</x:f>
      </x:c>
      <x:c r="CG84" s="117" t="n">
        <x:f>IF(AND(CG$3&gt;=EDATE($B$75,-'Вводные'!$E$90),CG$3&lt;$B$75),$B$84/MAX(1,'Вводные'!$E$90),0)</x:f>
      </x:c>
      <x:c r="CH84" s="117" t="n">
        <x:f>IF(AND(CH$3&gt;=EDATE($B$75,-'Вводные'!$E$90),CH$3&lt;$B$75),$B$84/MAX(1,'Вводные'!$E$90),0)</x:f>
      </x:c>
      <x:c r="CI84" s="117" t="n">
        <x:f>IF(AND(CI$3&gt;=EDATE($B$75,-'Вводные'!$E$90),CI$3&lt;$B$75),$B$84/MAX(1,'Вводные'!$E$90),0)</x:f>
      </x:c>
      <x:c r="CJ84" s="117" t="n">
        <x:f>IF(AND(CJ$3&gt;=EDATE($B$75,-'Вводные'!$E$90),CJ$3&lt;$B$75),$B$84/MAX(1,'Вводные'!$E$90),0)</x:f>
      </x:c>
      <x:c r="CK84" s="117" t="n">
        <x:f>IF(AND(CK$3&gt;=EDATE($B$75,-'Вводные'!$E$90),CK$3&lt;$B$75),$B$84/MAX(1,'Вводные'!$E$90),0)</x:f>
      </x:c>
      <x:c r="CL84" s="117" t="n">
        <x:f>IF(AND(CL$3&gt;=EDATE($B$75,-'Вводные'!$E$90),CL$3&lt;$B$75),$B$84/MAX(1,'Вводные'!$E$90),0)</x:f>
      </x:c>
      <x:c r="CM84" s="117" t="n">
        <x:f>IF(AND(CM$3&gt;=EDATE($B$75,-'Вводные'!$E$90),CM$3&lt;$B$75),$B$84/MAX(1,'Вводные'!$E$90),0)</x:f>
      </x:c>
      <x:c r="CN84" s="117" t="n">
        <x:f>IF(AND(CN$3&gt;=EDATE($B$75,-'Вводные'!$E$90),CN$3&lt;$B$75),$B$84/MAX(1,'Вводные'!$E$90),0)</x:f>
      </x:c>
      <x:c r="CO84" s="117" t="n">
        <x:f>IF(AND(CO$3&gt;=EDATE($B$75,-'Вводные'!$E$90),CO$3&lt;$B$75),$B$84/MAX(1,'Вводные'!$E$90),0)</x:f>
      </x:c>
      <x:c r="CP84" s="117" t="n">
        <x:f>IF(AND(CP$3&gt;=EDATE($B$75,-'Вводные'!$E$90),CP$3&lt;$B$75),$B$84/MAX(1,'Вводные'!$E$90),0)</x:f>
      </x:c>
      <x:c r="CQ84" s="117" t="n">
        <x:f>IF(AND(CQ$3&gt;=EDATE($B$75,-'Вводные'!$E$90),CQ$3&lt;$B$75),$B$84/MAX(1,'Вводные'!$E$90),0)</x:f>
      </x:c>
      <x:c r="CR84" s="117" t="n">
        <x:f>IF(AND(CR$3&gt;=EDATE($B$75,-'Вводные'!$E$90),CR$3&lt;$B$75),$B$84/MAX(1,'Вводные'!$E$90),0)</x:f>
      </x:c>
      <x:c r="CS84" s="117" t="n">
        <x:f>IF(AND(CS$3&gt;=EDATE($B$75,-'Вводные'!$E$90),CS$3&lt;$B$75),$B$84/MAX(1,'Вводные'!$E$90),0)</x:f>
      </x:c>
      <x:c r="CT84" s="117" t="n">
        <x:f>IF(AND(CT$3&gt;=EDATE($B$75,-'Вводные'!$E$90),CT$3&lt;$B$75),$B$84/MAX(1,'Вводные'!$E$90),0)</x:f>
      </x:c>
      <x:c r="CU84" s="117" t="n">
        <x:f>IF(AND(CU$3&gt;=EDATE($B$75,-'Вводные'!$E$90),CU$3&lt;$B$75),$B$84/MAX(1,'Вводные'!$E$90),0)</x:f>
      </x:c>
      <x:c r="CV84" s="117" t="n">
        <x:f>IF(AND(CV$3&gt;=EDATE($B$75,-'Вводные'!$E$90),CV$3&lt;$B$75),$B$84/MAX(1,'Вводные'!$E$90),0)</x:f>
      </x:c>
      <x:c r="CW84" s="117" t="n">
        <x:f>IF(AND(CW$3&gt;=EDATE($B$75,-'Вводные'!$E$90),CW$3&lt;$B$75),$B$84/MAX(1,'Вводные'!$E$90),0)</x:f>
      </x:c>
      <x:c r="CX84" s="117" t="n">
        <x:f>IF(AND(CX$3&gt;=EDATE($B$75,-'Вводные'!$E$90),CX$3&lt;$B$75),$B$84/MAX(1,'Вводные'!$E$90),0)</x:f>
      </x:c>
      <x:c r="CY84" s="117" t="n">
        <x:f>IF(AND(CY$3&gt;=EDATE($B$75,-'Вводные'!$E$90),CY$3&lt;$B$75),$B$84/MAX(1,'Вводные'!$E$90),0)</x:f>
      </x:c>
      <x:c r="CZ84" s="117" t="n">
        <x:f>IF(AND(CZ$3&gt;=EDATE($B$75,-'Вводные'!$E$90),CZ$3&lt;$B$75),$B$84/MAX(1,'Вводные'!$E$90),0)</x:f>
      </x:c>
      <x:c r="DA84" s="117" t="n">
        <x:f>IF(AND(DA$3&gt;=EDATE($B$75,-'Вводные'!$E$90),DA$3&lt;$B$75),$B$84/MAX(1,'Вводные'!$E$90),0)</x:f>
      </x:c>
      <x:c r="DB84" s="117" t="n">
        <x:f>IF(AND(DB$3&gt;=EDATE($B$75,-'Вводные'!$E$90),DB$3&lt;$B$75),$B$84/MAX(1,'Вводные'!$E$90),0)</x:f>
      </x:c>
      <x:c r="DC84" s="117" t="n">
        <x:f>IF(AND(DC$3&gt;=EDATE($B$75,-'Вводные'!$E$90),DC$3&lt;$B$75),$B$84/MAX(1,'Вводные'!$E$90),0)</x:f>
      </x:c>
      <x:c r="DD84" s="117" t="n">
        <x:f>IF(AND(DD$3&gt;=EDATE($B$75,-'Вводные'!$E$90),DD$3&lt;$B$75),$B$84/MAX(1,'Вводные'!$E$90),0)</x:f>
      </x:c>
      <x:c r="DE84" s="117" t="n">
        <x:f>IF(AND(DE$3&gt;=EDATE($B$75,-'Вводные'!$E$90),DE$3&lt;$B$75),$B$84/MAX(1,'Вводные'!$E$90),0)</x:f>
      </x:c>
      <x:c r="DF84" s="117" t="n">
        <x:f>IF(AND(DF$3&gt;=EDATE($B$75,-'Вводные'!$E$90),DF$3&lt;$B$75),$B$84/MAX(1,'Вводные'!$E$90),0)</x:f>
      </x:c>
      <x:c r="DG84" s="117" t="n">
        <x:f>IF(AND(DG$3&gt;=EDATE($B$75,-'Вводные'!$E$90),DG$3&lt;$B$75),$B$84/MAX(1,'Вводные'!$E$90),0)</x:f>
      </x:c>
      <x:c r="DH84" s="117" t="n">
        <x:f>IF(AND(DH$3&gt;=EDATE($B$75,-'Вводные'!$E$90),DH$3&lt;$B$75),$B$84/MAX(1,'Вводные'!$E$90),0)</x:f>
      </x:c>
      <x:c r="DI84" s="117" t="n">
        <x:f>IF(AND(DI$3&gt;=EDATE($B$75,-'Вводные'!$E$90),DI$3&lt;$B$75),$B$84/MAX(1,'Вводные'!$E$90),0)</x:f>
      </x:c>
      <x:c r="DJ84" s="117" t="n">
        <x:f>IF(AND(DJ$3&gt;=EDATE($B$75,-'Вводные'!$E$90),DJ$3&lt;$B$75),$B$84/MAX(1,'Вводные'!$E$90),0)</x:f>
      </x:c>
      <x:c r="DK84" s="117" t="n">
        <x:f>IF(AND(DK$3&gt;=EDATE($B$75,-'Вводные'!$E$90),DK$3&lt;$B$75),$B$84/MAX(1,'Вводные'!$E$90),0)</x:f>
      </x:c>
      <x:c r="DL84" s="117" t="n">
        <x:f>IF(AND(DL$3&gt;=EDATE($B$75,-'Вводные'!$E$90),DL$3&lt;$B$75),$B$84/MAX(1,'Вводные'!$E$90),0)</x:f>
      </x:c>
      <x:c r="DM84" s="117" t="n">
        <x:f>IF(AND(DM$3&gt;=EDATE($B$75,-'Вводные'!$E$90),DM$3&lt;$B$75),$B$84/MAX(1,'Вводные'!$E$90),0)</x:f>
      </x:c>
      <x:c r="DN84" s="117" t="n">
        <x:f>IF(AND(DN$3&gt;=EDATE($B$75,-'Вводные'!$E$90),DN$3&lt;$B$75),$B$84/MAX(1,'Вводные'!$E$90),0)</x:f>
      </x:c>
      <x:c r="DO84" s="117" t="n">
        <x:f>IF(AND(DO$3&gt;=EDATE($B$75,-'Вводные'!$E$90),DO$3&lt;$B$75),$B$84/MAX(1,'Вводные'!$E$90),0)</x:f>
      </x:c>
      <x:c r="DP84" s="117" t="n">
        <x:f>IF(AND(DP$3&gt;=EDATE($B$75,-'Вводные'!$E$90),DP$3&lt;$B$75),$B$84/MAX(1,'Вводные'!$E$90),0)</x:f>
      </x:c>
      <x:c r="DQ84" s="117" t="n">
        <x:f>IF(AND(DQ$3&gt;=EDATE($B$75,-'Вводные'!$E$90),DQ$3&lt;$B$75),$B$84/MAX(1,'Вводные'!$E$90),0)</x:f>
      </x:c>
      <x:c r="DR84" s="117" t="n">
        <x:f>IF(AND(DR$3&gt;=EDATE($B$75,-'Вводные'!$E$90),DR$3&lt;$B$75),$B$84/MAX(1,'Вводные'!$E$90),0)</x:f>
      </x:c>
      <x:c r="DS84" s="117" t="n">
        <x:f>IF(AND(DS$3&gt;=EDATE($B$75,-'Вводные'!$E$90),DS$3&lt;$B$75),$B$84/MAX(1,'Вводные'!$E$90),0)</x:f>
      </x:c>
      <x:c r="DT84" s="117" t="n">
        <x:f>IF(AND(DT$3&gt;=EDATE($B$75,-'Вводные'!$E$90),DT$3&lt;$B$75),$B$84/MAX(1,'Вводные'!$E$90),0)</x:f>
      </x:c>
      <x:c r="DU84" s="117" t="n">
        <x:f>IF(AND(DU$3&gt;=EDATE($B$75,-'Вводные'!$E$90),DU$3&lt;$B$75),$B$84/MAX(1,'Вводные'!$E$90),0)</x:f>
      </x:c>
      <x:c r="DV84" s="117" t="n">
        <x:f>IF(AND(DV$3&gt;=EDATE($B$75,-'Вводные'!$E$90),DV$3&lt;$B$75),$B$84/MAX(1,'Вводные'!$E$90),0)</x:f>
      </x:c>
      <x:c r="DW84" s="117" t="n">
        <x:f>IF(AND(DW$3&gt;=EDATE($B$75,-'Вводные'!$E$90),DW$3&lt;$B$75),$B$84/MAX(1,'Вводные'!$E$90),0)</x:f>
      </x:c>
      <x:c r="DX84" s="117" t="n">
        <x:f>IF(AND(DX$3&gt;=EDATE($B$75,-'Вводные'!$E$90),DX$3&lt;$B$75),$B$84/MAX(1,'Вводные'!$E$90),0)</x:f>
      </x:c>
      <x:c r="DY84" s="117" t="n">
        <x:f>IF(AND(DY$3&gt;=EDATE($B$75,-'Вводные'!$E$90),DY$3&lt;$B$75),$B$84/MAX(1,'Вводные'!$E$90),0)</x:f>
      </x:c>
      <x:c r="DZ84" s="117" t="n">
        <x:f>IF(AND(DZ$3&gt;=EDATE($B$75,-'Вводные'!$E$90),DZ$3&lt;$B$75),$B$84/MAX(1,'Вводные'!$E$90),0)</x:f>
      </x:c>
      <x:c r="EA84" s="117" t="n">
        <x:f>IF(AND(EA$3&gt;=EDATE($B$75,-'Вводные'!$E$90),EA$3&lt;$B$75),$B$84/MAX(1,'Вводные'!$E$90),0)</x:f>
      </x:c>
      <x:c r="EB84" s="117" t="n">
        <x:f>IF(AND(EB$3&gt;=EDATE($B$75,-'Вводные'!$E$90),EB$3&lt;$B$75),$B$84/MAX(1,'Вводные'!$E$90),0)</x:f>
      </x:c>
      <x:c r="EC84" s="117" t="n">
        <x:f>IF(AND(EC$3&gt;=EDATE($B$75,-'Вводные'!$E$90),EC$3&lt;$B$75),$B$84/MAX(1,'Вводные'!$E$90),0)</x:f>
      </x:c>
      <x:c r="ED84" s="117" t="n">
        <x:f>IF(AND(ED$3&gt;=EDATE($B$75,-'Вводные'!$E$90),ED$3&lt;$B$75),$B$84/MAX(1,'Вводные'!$E$90),0)</x:f>
      </x:c>
      <x:c r="EE84" s="117" t="n">
        <x:f>IF(AND(EE$3&gt;=EDATE($B$75,-'Вводные'!$E$90),EE$3&lt;$B$75),$B$84/MAX(1,'Вводные'!$E$90),0)</x:f>
      </x:c>
      <x:c r="EF84" s="117" t="n">
        <x:f>IF(AND(EF$3&gt;=EDATE($B$75,-'Вводные'!$E$90),EF$3&lt;$B$75),$B$84/MAX(1,'Вводные'!$E$90),0)</x:f>
      </x:c>
      <x:c r="EG84" s="117" t="n">
        <x:f>IF(AND(EG$3&gt;=EDATE($B$75,-'Вводные'!$E$90),EG$3&lt;$B$75),$B$84/MAX(1,'Вводные'!$E$90),0)</x:f>
      </x:c>
      <x:c r="EH84" s="117" t="n">
        <x:f>IF(AND(EH$3&gt;=EDATE($B$75,-'Вводные'!$E$90),EH$3&lt;$B$75),$B$84/MAX(1,'Вводные'!$E$90),0)</x:f>
      </x:c>
      <x:c r="EI84" s="117" t="n">
        <x:f>IF(AND(EI$3&gt;=EDATE($B$75,-'Вводные'!$E$90),EI$3&lt;$B$75),$B$84/MAX(1,'Вводные'!$E$90),0)</x:f>
      </x:c>
      <x:c r="EJ84" s="117" t="n">
        <x:f>IF(AND(EJ$3&gt;=EDATE($B$75,-'Вводные'!$E$90),EJ$3&lt;$B$75),$B$84/MAX(1,'Вводные'!$E$90),0)</x:f>
      </x:c>
      <x:c r="EK84" s="117" t="n">
        <x:f>IF(AND(EK$3&gt;=EDATE($B$75,-'Вводные'!$E$90),EK$3&lt;$B$75),$B$84/MAX(1,'Вводные'!$E$90),0)</x:f>
      </x:c>
      <x:c r="EL84" s="117" t="n">
        <x:f>IF(AND(EL$3&gt;=EDATE($B$75,-'Вводные'!$E$90),EL$3&lt;$B$75),$B$84/MAX(1,'Вводные'!$E$90),0)</x:f>
      </x:c>
      <x:c r="EM84" s="117" t="n">
        <x:f>IF(AND(EM$3&gt;=EDATE($B$75,-'Вводные'!$E$90),EM$3&lt;$B$75),$B$84/MAX(1,'Вводные'!$E$90),0)</x:f>
      </x:c>
      <x:c r="EN84" s="117" t="n">
        <x:f>IF(AND(EN$3&gt;=EDATE($B$75,-'Вводные'!$E$90),EN$3&lt;$B$75),$B$84/MAX(1,'Вводные'!$E$90),0)</x:f>
      </x:c>
      <x:c r="EO84" s="117" t="n">
        <x:f>IF(AND(EO$3&gt;=EDATE($B$75,-'Вводные'!$E$90),EO$3&lt;$B$75),$B$84/MAX(1,'Вводные'!$E$90),0)</x:f>
      </x:c>
      <x:c r="EP84" s="117" t="n">
        <x:f>IF(AND(EP$3&gt;=EDATE($B$75,-'Вводные'!$E$90),EP$3&lt;$B$75),$B$84/MAX(1,'Вводные'!$E$90),0)</x:f>
      </x:c>
      <x:c r="EQ84" s="117" t="n">
        <x:f>IF(AND(EQ$3&gt;=EDATE($B$75,-'Вводные'!$E$90),EQ$3&lt;$B$75),$B$84/MAX(1,'Вводные'!$E$90),0)</x:f>
      </x:c>
      <x:c r="ER84" s="117" t="n">
        <x:f>IF(AND(ER$3&gt;=EDATE($B$75,-'Вводные'!$E$90),ER$3&lt;$B$75),$B$84/MAX(1,'Вводные'!$E$90),0)</x:f>
      </x:c>
      <x:c r="ES84" s="117" t="n">
        <x:f>IF(AND(ES$3&gt;=EDATE($B$75,-'Вводные'!$E$90),ES$3&lt;$B$75),$B$84/MAX(1,'Вводные'!$E$90),0)</x:f>
      </x:c>
      <x:c r="ET84" s="117" t="n">
        <x:f>IF(AND(ET$3&gt;=EDATE($B$75,-'Вводные'!$E$90),ET$3&lt;$B$75),$B$84/MAX(1,'Вводные'!$E$90),0)</x:f>
      </x:c>
      <x:c r="EU84" s="117" t="n">
        <x:f>IF(AND(EU$3&gt;=EDATE($B$75,-'Вводные'!$E$90),EU$3&lt;$B$75),$B$84/MAX(1,'Вводные'!$E$90),0)</x:f>
      </x:c>
      <x:c r="EV84" s="117" t="n">
        <x:f>IF(AND(EV$3&gt;=EDATE($B$75,-'Вводные'!$E$90),EV$3&lt;$B$75),$B$84/MAX(1,'Вводные'!$E$90),0)</x:f>
      </x:c>
      <x:c r="EW84" s="117" t="n">
        <x:f>IF(AND(EW$3&gt;=EDATE($B$75,-'Вводные'!$E$90),EW$3&lt;$B$75),$B$84/MAX(1,'Вводные'!$E$90),0)</x:f>
      </x:c>
      <x:c r="EX84" s="117" t="n">
        <x:f>IF(AND(EX$3&gt;=EDATE($B$75,-'Вводные'!$E$90),EX$3&lt;$B$75),$B$84/MAX(1,'Вводные'!$E$90),0)</x:f>
      </x:c>
      <x:c r="EY84" s="117" t="n">
        <x:f>IF(AND(EY$3&gt;=EDATE($B$75,-'Вводные'!$E$90),EY$3&lt;$B$75),$B$84/MAX(1,'Вводные'!$E$90),0)</x:f>
      </x:c>
      <x:c r="EZ84" s="117" t="n">
        <x:f>IF(AND(EZ$3&gt;=EDATE($B$75,-'Вводные'!$E$90),EZ$3&lt;$B$75),$B$84/MAX(1,'Вводные'!$E$90),0)</x:f>
      </x:c>
      <x:c r="FA84" s="117" t="n">
        <x:f>IF(AND(FA$3&gt;=EDATE($B$75,-'Вводные'!$E$90),FA$3&lt;$B$75),$B$84/MAX(1,'Вводные'!$E$90),0)</x:f>
      </x:c>
      <x:c r="FB84" s="117" t="n">
        <x:f>IF(AND(FB$3&gt;=EDATE($B$75,-'Вводные'!$E$90),FB$3&lt;$B$75),$B$84/MAX(1,'Вводные'!$E$90),0)</x:f>
      </x:c>
      <x:c r="FC84" s="117" t="n">
        <x:f>IF(AND(FC$3&gt;=EDATE($B$75,-'Вводные'!$E$90),FC$3&lt;$B$75),$B$84/MAX(1,'Вводные'!$E$90),0)</x:f>
      </x:c>
      <x:c r="FD84" s="117" t="n">
        <x:f>IF(AND(FD$3&gt;=EDATE($B$75,-'Вводные'!$E$90),FD$3&lt;$B$75),$B$84/MAX(1,'Вводные'!$E$90),0)</x:f>
      </x:c>
      <x:c r="FE84" s="117" t="n">
        <x:f>IF(AND(FE$3&gt;=EDATE($B$75,-'Вводные'!$E$90),FE$3&lt;$B$75),$B$84/MAX(1,'Вводные'!$E$90),0)</x:f>
      </x:c>
      <x:c r="FF84" s="117" t="n">
        <x:f>IF(AND(FF$3&gt;=EDATE($B$75,-'Вводные'!$E$90),FF$3&lt;$B$75),$B$84/MAX(1,'Вводные'!$E$90),0)</x:f>
      </x:c>
      <x:c r="FG84" s="117" t="n">
        <x:f>IF(AND(FG$3&gt;=EDATE($B$75,-'Вводные'!$E$90),FG$3&lt;$B$75),$B$84/MAX(1,'Вводные'!$E$90),0)</x:f>
      </x:c>
      <x:c r="FH84" s="117" t="n">
        <x:f>IF(AND(FH$3&gt;=EDATE($B$75,-'Вводные'!$E$90),FH$3&lt;$B$75),$B$84/MAX(1,'Вводные'!$E$90),0)</x:f>
      </x:c>
      <x:c r="FI84" s="117" t="n">
        <x:f>IF(AND(FI$3&gt;=EDATE($B$75,-'Вводные'!$E$90),FI$3&lt;$B$75),$B$84/MAX(1,'Вводные'!$E$90),0)</x:f>
      </x:c>
      <x:c r="FJ84" s="117" t="n">
        <x:f>IF(AND(FJ$3&gt;=EDATE($B$75,-'Вводные'!$E$90),FJ$3&lt;$B$75),$B$84/MAX(1,'Вводные'!$E$90),0)</x:f>
      </x:c>
      <x:c r="FK84" s="117" t="n">
        <x:f>IF(AND(FK$3&gt;=EDATE($B$75,-'Вводные'!$E$90),FK$3&lt;$B$75),$B$84/MAX(1,'Вводные'!$E$90),0)</x:f>
      </x:c>
      <x:c r="FL84" s="117" t="n">
        <x:f>IF(AND(FL$3&gt;=EDATE($B$75,-'Вводные'!$E$90),FL$3&lt;$B$75),$B$84/MAX(1,'Вводные'!$E$90),0)</x:f>
      </x:c>
      <x:c r="FM84" s="117" t="n">
        <x:f>IF(AND(FM$3&gt;=EDATE($B$75,-'Вводные'!$E$90),FM$3&lt;$B$75),$B$84/MAX(1,'Вводные'!$E$90),0)</x:f>
      </x:c>
      <x:c r="FN84" s="117" t="n">
        <x:f>IF(AND(FN$3&gt;=EDATE($B$75,-'Вводные'!$E$90),FN$3&lt;$B$75),$B$84/MAX(1,'Вводные'!$E$90),0)</x:f>
      </x:c>
      <x:c r="FO84" s="117" t="n">
        <x:f>IF(AND(FO$3&gt;=EDATE($B$75,-'Вводные'!$E$90),FO$3&lt;$B$75),$B$84/MAX(1,'Вводные'!$E$90),0)</x:f>
      </x:c>
      <x:c r="FP84" s="117" t="n">
        <x:f>IF(AND(FP$3&gt;=EDATE($B$75,-'Вводные'!$E$90),FP$3&lt;$B$75),$B$84/MAX(1,'Вводные'!$E$90),0)</x:f>
      </x:c>
      <x:c r="FQ84" s="117" t="n">
        <x:f>IF(AND(FQ$3&gt;=EDATE($B$75,-'Вводные'!$E$90),FQ$3&lt;$B$75),$B$84/MAX(1,'Вводные'!$E$90),0)</x:f>
      </x:c>
      <x:c r="FR84" s="117" t="n">
        <x:f>IF(AND(FR$3&gt;=EDATE($B$75,-'Вводные'!$E$90),FR$3&lt;$B$75),$B$84/MAX(1,'Вводные'!$E$90),0)</x:f>
      </x:c>
      <x:c r="FS84" s="117" t="n">
        <x:f>IF(AND(FS$3&gt;=EDATE($B$75,-'Вводные'!$E$90),FS$3&lt;$B$75),$B$84/MAX(1,'Вводные'!$E$90),0)</x:f>
      </x:c>
      <x:c r="FT84" s="117" t="n">
        <x:f>IF(AND(FT$3&gt;=EDATE($B$75,-'Вводные'!$E$90),FT$3&lt;$B$75),$B$84/MAX(1,'Вводные'!$E$90),0)</x:f>
      </x:c>
      <x:c r="FU84" s="117" t="n">
        <x:f>IF(AND(FU$3&gt;=EDATE($B$75,-'Вводные'!$E$90),FU$3&lt;$B$75),$B$84/MAX(1,'Вводные'!$E$90),0)</x:f>
      </x:c>
      <x:c r="FV84" s="117" t="n">
        <x:f>IF(AND(FV$3&gt;=EDATE($B$75,-'Вводные'!$E$90),FV$3&lt;$B$75),$B$84/MAX(1,'Вводные'!$E$90),0)</x:f>
      </x:c>
      <x:c r="FW84" s="117" t="n">
        <x:f>IF(AND(FW$3&gt;=EDATE($B$75,-'Вводные'!$E$90),FW$3&lt;$B$75),$B$84/MAX(1,'Вводные'!$E$90),0)</x:f>
      </x:c>
      <x:c r="FX84" s="117" t="n">
        <x:f>IF(AND(FX$3&gt;=EDATE($B$75,-'Вводные'!$E$90),FX$3&lt;$B$75),$B$84/MAX(1,'Вводные'!$E$90),0)</x:f>
      </x:c>
      <x:c r="FY84" s="117" t="n">
        <x:f>IF(AND(FY$3&gt;=EDATE($B$75,-'Вводные'!$E$90),FY$3&lt;$B$75),$B$84/MAX(1,'Вводные'!$E$90),0)</x:f>
      </x:c>
      <x:c r="FZ84" s="117" t="n">
        <x:f>IF(AND(FZ$3&gt;=EDATE($B$75,-'Вводные'!$E$90),FZ$3&lt;$B$75),$B$84/MAX(1,'Вводные'!$E$90),0)</x:f>
      </x:c>
      <x:c r="GA84" s="117" t="n">
        <x:f>IF(AND(GA$3&gt;=EDATE($B$75,-'Вводные'!$E$90),GA$3&lt;$B$75),$B$84/MAX(1,'Вводные'!$E$90),0)</x:f>
      </x:c>
    </x:row>
    <x:row r="85">
      <x:c r="A85" t="str">
        <x:v>Проектирование, стадия П</x:v>
      </x:c>
      <x:c r="B85" s="107" t="n">
        <x:f>(('Вводные'!$I$90+'Вводные'!$J$90+'Вводные'!$K$90)*'Вводные'!$B$41/1000*'Вводные'!$H$6*'Вводные'!$T$90*--('Вводные'!$B$90="Да"))*'Вводные'!$AH$90</x:f>
      </x:c>
      <x:c r="C85" t="str">
        <x:v>млн ₽</x:v>
      </x:c>
      <x:c r="D85" s="117" t="n">
        <x:f>IF(AND(D$3&gt;=EDATE($B$75,-MIN(6,'Вводные'!$E$90)),D$3&lt;$B$75),$B$85/MAX(1,MIN(6,'Вводные'!$E$90)),0)</x:f>
      </x:c>
      <x:c r="E85" s="117" t="n">
        <x:f>IF(AND(E$3&gt;=EDATE($B$75,-MIN(6,'Вводные'!$E$90)),E$3&lt;$B$75),$B$85/MAX(1,MIN(6,'Вводные'!$E$90)),0)</x:f>
      </x:c>
      <x:c r="F85" s="117" t="n">
        <x:f>IF(AND(F$3&gt;=EDATE($B$75,-MIN(6,'Вводные'!$E$90)),F$3&lt;$B$75),$B$85/MAX(1,MIN(6,'Вводные'!$E$90)),0)</x:f>
      </x:c>
      <x:c r="G85" s="117" t="n">
        <x:f>IF(AND(G$3&gt;=EDATE($B$75,-MIN(6,'Вводные'!$E$90)),G$3&lt;$B$75),$B$85/MAX(1,MIN(6,'Вводные'!$E$90)),0)</x:f>
      </x:c>
      <x:c r="H85" s="117" t="n">
        <x:f>IF(AND(H$3&gt;=EDATE($B$75,-MIN(6,'Вводные'!$E$90)),H$3&lt;$B$75),$B$85/MAX(1,MIN(6,'Вводные'!$E$90)),0)</x:f>
      </x:c>
      <x:c r="I85" s="117" t="n">
        <x:f>IF(AND(I$3&gt;=EDATE($B$75,-MIN(6,'Вводные'!$E$90)),I$3&lt;$B$75),$B$85/MAX(1,MIN(6,'Вводные'!$E$90)),0)</x:f>
      </x:c>
      <x:c r="J85" s="117" t="n">
        <x:f>IF(AND(J$3&gt;=EDATE($B$75,-MIN(6,'Вводные'!$E$90)),J$3&lt;$B$75),$B$85/MAX(1,MIN(6,'Вводные'!$E$90)),0)</x:f>
      </x:c>
      <x:c r="K85" s="117" t="n">
        <x:f>IF(AND(K$3&gt;=EDATE($B$75,-MIN(6,'Вводные'!$E$90)),K$3&lt;$B$75),$B$85/MAX(1,MIN(6,'Вводные'!$E$90)),0)</x:f>
      </x:c>
      <x:c r="L85" s="117" t="n">
        <x:f>IF(AND(L$3&gt;=EDATE($B$75,-MIN(6,'Вводные'!$E$90)),L$3&lt;$B$75),$B$85/MAX(1,MIN(6,'Вводные'!$E$90)),0)</x:f>
      </x:c>
      <x:c r="M85" s="117" t="n">
        <x:f>IF(AND(M$3&gt;=EDATE($B$75,-MIN(6,'Вводные'!$E$90)),M$3&lt;$B$75),$B$85/MAX(1,MIN(6,'Вводные'!$E$90)),0)</x:f>
      </x:c>
      <x:c r="N85" s="117" t="n">
        <x:f>IF(AND(N$3&gt;=EDATE($B$75,-MIN(6,'Вводные'!$E$90)),N$3&lt;$B$75),$B$85/MAX(1,MIN(6,'Вводные'!$E$90)),0)</x:f>
      </x:c>
      <x:c r="O85" s="117" t="n">
        <x:f>IF(AND(O$3&gt;=EDATE($B$75,-MIN(6,'Вводные'!$E$90)),O$3&lt;$B$75),$B$85/MAX(1,MIN(6,'Вводные'!$E$90)),0)</x:f>
      </x:c>
      <x:c r="P85" s="117" t="n">
        <x:f>IF(AND(P$3&gt;=EDATE($B$75,-MIN(6,'Вводные'!$E$90)),P$3&lt;$B$75),$B$85/MAX(1,MIN(6,'Вводные'!$E$90)),0)</x:f>
      </x:c>
      <x:c r="Q85" s="117" t="n">
        <x:f>IF(AND(Q$3&gt;=EDATE($B$75,-MIN(6,'Вводные'!$E$90)),Q$3&lt;$B$75),$B$85/MAX(1,MIN(6,'Вводные'!$E$90)),0)</x:f>
      </x:c>
      <x:c r="R85" s="117" t="n">
        <x:f>IF(AND(R$3&gt;=EDATE($B$75,-MIN(6,'Вводные'!$E$90)),R$3&lt;$B$75),$B$85/MAX(1,MIN(6,'Вводные'!$E$90)),0)</x:f>
      </x:c>
      <x:c r="S85" s="117" t="n">
        <x:f>IF(AND(S$3&gt;=EDATE($B$75,-MIN(6,'Вводные'!$E$90)),S$3&lt;$B$75),$B$85/MAX(1,MIN(6,'Вводные'!$E$90)),0)</x:f>
      </x:c>
      <x:c r="T85" s="117" t="n">
        <x:f>IF(AND(T$3&gt;=EDATE($B$75,-MIN(6,'Вводные'!$E$90)),T$3&lt;$B$75),$B$85/MAX(1,MIN(6,'Вводные'!$E$90)),0)</x:f>
      </x:c>
      <x:c r="U85" s="117" t="n">
        <x:f>IF(AND(U$3&gt;=EDATE($B$75,-MIN(6,'Вводные'!$E$90)),U$3&lt;$B$75),$B$85/MAX(1,MIN(6,'Вводные'!$E$90)),0)</x:f>
      </x:c>
      <x:c r="V85" s="117" t="n">
        <x:f>IF(AND(V$3&gt;=EDATE($B$75,-MIN(6,'Вводные'!$E$90)),V$3&lt;$B$75),$B$85/MAX(1,MIN(6,'Вводные'!$E$90)),0)</x:f>
      </x:c>
      <x:c r="W85" s="117" t="n">
        <x:f>IF(AND(W$3&gt;=EDATE($B$75,-MIN(6,'Вводные'!$E$90)),W$3&lt;$B$75),$B$85/MAX(1,MIN(6,'Вводные'!$E$90)),0)</x:f>
      </x:c>
      <x:c r="X85" s="117" t="n">
        <x:f>IF(AND(X$3&gt;=EDATE($B$75,-MIN(6,'Вводные'!$E$90)),X$3&lt;$B$75),$B$85/MAX(1,MIN(6,'Вводные'!$E$90)),0)</x:f>
      </x:c>
      <x:c r="Y85" s="117" t="n">
        <x:f>IF(AND(Y$3&gt;=EDATE($B$75,-MIN(6,'Вводные'!$E$90)),Y$3&lt;$B$75),$B$85/MAX(1,MIN(6,'Вводные'!$E$90)),0)</x:f>
      </x:c>
      <x:c r="Z85" s="117" t="n">
        <x:f>IF(AND(Z$3&gt;=EDATE($B$75,-MIN(6,'Вводные'!$E$90)),Z$3&lt;$B$75),$B$85/MAX(1,MIN(6,'Вводные'!$E$90)),0)</x:f>
      </x:c>
      <x:c r="AA85" s="117" t="n">
        <x:f>IF(AND(AA$3&gt;=EDATE($B$75,-MIN(6,'Вводные'!$E$90)),AA$3&lt;$B$75),$B$85/MAX(1,MIN(6,'Вводные'!$E$90)),0)</x:f>
      </x:c>
      <x:c r="AB85" s="117" t="n">
        <x:f>IF(AND(AB$3&gt;=EDATE($B$75,-MIN(6,'Вводные'!$E$90)),AB$3&lt;$B$75),$B$85/MAX(1,MIN(6,'Вводные'!$E$90)),0)</x:f>
      </x:c>
      <x:c r="AC85" s="117" t="n">
        <x:f>IF(AND(AC$3&gt;=EDATE($B$75,-MIN(6,'Вводные'!$E$90)),AC$3&lt;$B$75),$B$85/MAX(1,MIN(6,'Вводные'!$E$90)),0)</x:f>
      </x:c>
      <x:c r="AD85" s="117" t="n">
        <x:f>IF(AND(AD$3&gt;=EDATE($B$75,-MIN(6,'Вводные'!$E$90)),AD$3&lt;$B$75),$B$85/MAX(1,MIN(6,'Вводные'!$E$90)),0)</x:f>
      </x:c>
      <x:c r="AE85" s="117" t="n">
        <x:f>IF(AND(AE$3&gt;=EDATE($B$75,-MIN(6,'Вводные'!$E$90)),AE$3&lt;$B$75),$B$85/MAX(1,MIN(6,'Вводные'!$E$90)),0)</x:f>
      </x:c>
      <x:c r="AF85" s="117" t="n">
        <x:f>IF(AND(AF$3&gt;=EDATE($B$75,-MIN(6,'Вводные'!$E$90)),AF$3&lt;$B$75),$B$85/MAX(1,MIN(6,'Вводные'!$E$90)),0)</x:f>
      </x:c>
      <x:c r="AG85" s="117" t="n">
        <x:f>IF(AND(AG$3&gt;=EDATE($B$75,-MIN(6,'Вводные'!$E$90)),AG$3&lt;$B$75),$B$85/MAX(1,MIN(6,'Вводные'!$E$90)),0)</x:f>
      </x:c>
      <x:c r="AH85" s="117" t="n">
        <x:f>IF(AND(AH$3&gt;=EDATE($B$75,-MIN(6,'Вводные'!$E$90)),AH$3&lt;$B$75),$B$85/MAX(1,MIN(6,'Вводные'!$E$90)),0)</x:f>
      </x:c>
      <x:c r="AI85" s="117" t="n">
        <x:f>IF(AND(AI$3&gt;=EDATE($B$75,-MIN(6,'Вводные'!$E$90)),AI$3&lt;$B$75),$B$85/MAX(1,MIN(6,'Вводные'!$E$90)),0)</x:f>
      </x:c>
      <x:c r="AJ85" s="117" t="n">
        <x:f>IF(AND(AJ$3&gt;=EDATE($B$75,-MIN(6,'Вводные'!$E$90)),AJ$3&lt;$B$75),$B$85/MAX(1,MIN(6,'Вводные'!$E$90)),0)</x:f>
      </x:c>
      <x:c r="AK85" s="117" t="n">
        <x:f>IF(AND(AK$3&gt;=EDATE($B$75,-MIN(6,'Вводные'!$E$90)),AK$3&lt;$B$75),$B$85/MAX(1,MIN(6,'Вводные'!$E$90)),0)</x:f>
      </x:c>
      <x:c r="AL85" s="117" t="n">
        <x:f>IF(AND(AL$3&gt;=EDATE($B$75,-MIN(6,'Вводные'!$E$90)),AL$3&lt;$B$75),$B$85/MAX(1,MIN(6,'Вводные'!$E$90)),0)</x:f>
      </x:c>
      <x:c r="AM85" s="117" t="n">
        <x:f>IF(AND(AM$3&gt;=EDATE($B$75,-MIN(6,'Вводные'!$E$90)),AM$3&lt;$B$75),$B$85/MAX(1,MIN(6,'Вводные'!$E$90)),0)</x:f>
      </x:c>
      <x:c r="AN85" s="117" t="n">
        <x:f>IF(AND(AN$3&gt;=EDATE($B$75,-MIN(6,'Вводные'!$E$90)),AN$3&lt;$B$75),$B$85/MAX(1,MIN(6,'Вводные'!$E$90)),0)</x:f>
      </x:c>
      <x:c r="AO85" s="117" t="n">
        <x:f>IF(AND(AO$3&gt;=EDATE($B$75,-MIN(6,'Вводные'!$E$90)),AO$3&lt;$B$75),$B$85/MAX(1,MIN(6,'Вводные'!$E$90)),0)</x:f>
      </x:c>
      <x:c r="AP85" s="117" t="n">
        <x:f>IF(AND(AP$3&gt;=EDATE($B$75,-MIN(6,'Вводные'!$E$90)),AP$3&lt;$B$75),$B$85/MAX(1,MIN(6,'Вводные'!$E$90)),0)</x:f>
      </x:c>
      <x:c r="AQ85" s="117" t="n">
        <x:f>IF(AND(AQ$3&gt;=EDATE($B$75,-MIN(6,'Вводные'!$E$90)),AQ$3&lt;$B$75),$B$85/MAX(1,MIN(6,'Вводные'!$E$90)),0)</x:f>
      </x:c>
      <x:c r="AR85" s="117" t="n">
        <x:f>IF(AND(AR$3&gt;=EDATE($B$75,-MIN(6,'Вводные'!$E$90)),AR$3&lt;$B$75),$B$85/MAX(1,MIN(6,'Вводные'!$E$90)),0)</x:f>
      </x:c>
      <x:c r="AS85" s="117" t="n">
        <x:f>IF(AND(AS$3&gt;=EDATE($B$75,-MIN(6,'Вводные'!$E$90)),AS$3&lt;$B$75),$B$85/MAX(1,MIN(6,'Вводные'!$E$90)),0)</x:f>
      </x:c>
      <x:c r="AT85" s="117" t="n">
        <x:f>IF(AND(AT$3&gt;=EDATE($B$75,-MIN(6,'Вводные'!$E$90)),AT$3&lt;$B$75),$B$85/MAX(1,MIN(6,'Вводные'!$E$90)),0)</x:f>
      </x:c>
      <x:c r="AU85" s="117" t="n">
        <x:f>IF(AND(AU$3&gt;=EDATE($B$75,-MIN(6,'Вводные'!$E$90)),AU$3&lt;$B$75),$B$85/MAX(1,MIN(6,'Вводные'!$E$90)),0)</x:f>
      </x:c>
      <x:c r="AV85" s="117" t="n">
        <x:f>IF(AND(AV$3&gt;=EDATE($B$75,-MIN(6,'Вводные'!$E$90)),AV$3&lt;$B$75),$B$85/MAX(1,MIN(6,'Вводные'!$E$90)),0)</x:f>
      </x:c>
      <x:c r="AW85" s="117" t="n">
        <x:f>IF(AND(AW$3&gt;=EDATE($B$75,-MIN(6,'Вводные'!$E$90)),AW$3&lt;$B$75),$B$85/MAX(1,MIN(6,'Вводные'!$E$90)),0)</x:f>
      </x:c>
      <x:c r="AX85" s="117" t="n">
        <x:f>IF(AND(AX$3&gt;=EDATE($B$75,-MIN(6,'Вводные'!$E$90)),AX$3&lt;$B$75),$B$85/MAX(1,MIN(6,'Вводные'!$E$90)),0)</x:f>
      </x:c>
      <x:c r="AY85" s="117" t="n">
        <x:f>IF(AND(AY$3&gt;=EDATE($B$75,-MIN(6,'Вводные'!$E$90)),AY$3&lt;$B$75),$B$85/MAX(1,MIN(6,'Вводные'!$E$90)),0)</x:f>
      </x:c>
      <x:c r="AZ85" s="117" t="n">
        <x:f>IF(AND(AZ$3&gt;=EDATE($B$75,-MIN(6,'Вводные'!$E$90)),AZ$3&lt;$B$75),$B$85/MAX(1,MIN(6,'Вводные'!$E$90)),0)</x:f>
      </x:c>
      <x:c r="BA85" s="117" t="n">
        <x:f>IF(AND(BA$3&gt;=EDATE($B$75,-MIN(6,'Вводные'!$E$90)),BA$3&lt;$B$75),$B$85/MAX(1,MIN(6,'Вводные'!$E$90)),0)</x:f>
      </x:c>
      <x:c r="BB85" s="117" t="n">
        <x:f>IF(AND(BB$3&gt;=EDATE($B$75,-MIN(6,'Вводные'!$E$90)),BB$3&lt;$B$75),$B$85/MAX(1,MIN(6,'Вводные'!$E$90)),0)</x:f>
      </x:c>
      <x:c r="BC85" s="117" t="n">
        <x:f>IF(AND(BC$3&gt;=EDATE($B$75,-MIN(6,'Вводные'!$E$90)),BC$3&lt;$B$75),$B$85/MAX(1,MIN(6,'Вводные'!$E$90)),0)</x:f>
      </x:c>
      <x:c r="BD85" s="117" t="n">
        <x:f>IF(AND(BD$3&gt;=EDATE($B$75,-MIN(6,'Вводные'!$E$90)),BD$3&lt;$B$75),$B$85/MAX(1,MIN(6,'Вводные'!$E$90)),0)</x:f>
      </x:c>
      <x:c r="BE85" s="117" t="n">
        <x:f>IF(AND(BE$3&gt;=EDATE($B$75,-MIN(6,'Вводные'!$E$90)),BE$3&lt;$B$75),$B$85/MAX(1,MIN(6,'Вводные'!$E$90)),0)</x:f>
      </x:c>
      <x:c r="BF85" s="117" t="n">
        <x:f>IF(AND(BF$3&gt;=EDATE($B$75,-MIN(6,'Вводные'!$E$90)),BF$3&lt;$B$75),$B$85/MAX(1,MIN(6,'Вводные'!$E$90)),0)</x:f>
      </x:c>
      <x:c r="BG85" s="117" t="n">
        <x:f>IF(AND(BG$3&gt;=EDATE($B$75,-MIN(6,'Вводные'!$E$90)),BG$3&lt;$B$75),$B$85/MAX(1,MIN(6,'Вводные'!$E$90)),0)</x:f>
      </x:c>
      <x:c r="BH85" s="117" t="n">
        <x:f>IF(AND(BH$3&gt;=EDATE($B$75,-MIN(6,'Вводные'!$E$90)),BH$3&lt;$B$75),$B$85/MAX(1,MIN(6,'Вводные'!$E$90)),0)</x:f>
      </x:c>
      <x:c r="BI85" s="117" t="n">
        <x:f>IF(AND(BI$3&gt;=EDATE($B$75,-MIN(6,'Вводные'!$E$90)),BI$3&lt;$B$75),$B$85/MAX(1,MIN(6,'Вводные'!$E$90)),0)</x:f>
      </x:c>
      <x:c r="BJ85" s="117" t="n">
        <x:f>IF(AND(BJ$3&gt;=EDATE($B$75,-MIN(6,'Вводные'!$E$90)),BJ$3&lt;$B$75),$B$85/MAX(1,MIN(6,'Вводные'!$E$90)),0)</x:f>
      </x:c>
      <x:c r="BK85" s="117" t="n">
        <x:f>IF(AND(BK$3&gt;=EDATE($B$75,-MIN(6,'Вводные'!$E$90)),BK$3&lt;$B$75),$B$85/MAX(1,MIN(6,'Вводные'!$E$90)),0)</x:f>
      </x:c>
      <x:c r="BL85" s="117" t="n">
        <x:f>IF(AND(BL$3&gt;=EDATE($B$75,-MIN(6,'Вводные'!$E$90)),BL$3&lt;$B$75),$B$85/MAX(1,MIN(6,'Вводные'!$E$90)),0)</x:f>
      </x:c>
      <x:c r="BM85" s="117" t="n">
        <x:f>IF(AND(BM$3&gt;=EDATE($B$75,-MIN(6,'Вводные'!$E$90)),BM$3&lt;$B$75),$B$85/MAX(1,MIN(6,'Вводные'!$E$90)),0)</x:f>
      </x:c>
      <x:c r="BN85" s="117" t="n">
        <x:f>IF(AND(BN$3&gt;=EDATE($B$75,-MIN(6,'Вводные'!$E$90)),BN$3&lt;$B$75),$B$85/MAX(1,MIN(6,'Вводные'!$E$90)),0)</x:f>
      </x:c>
      <x:c r="BO85" s="117" t="n">
        <x:f>IF(AND(BO$3&gt;=EDATE($B$75,-MIN(6,'Вводные'!$E$90)),BO$3&lt;$B$75),$B$85/MAX(1,MIN(6,'Вводные'!$E$90)),0)</x:f>
      </x:c>
      <x:c r="BP85" s="117" t="n">
        <x:f>IF(AND(BP$3&gt;=EDATE($B$75,-MIN(6,'Вводные'!$E$90)),BP$3&lt;$B$75),$B$85/MAX(1,MIN(6,'Вводные'!$E$90)),0)</x:f>
      </x:c>
      <x:c r="BQ85" s="117" t="n">
        <x:f>IF(AND(BQ$3&gt;=EDATE($B$75,-MIN(6,'Вводные'!$E$90)),BQ$3&lt;$B$75),$B$85/MAX(1,MIN(6,'Вводные'!$E$90)),0)</x:f>
      </x:c>
      <x:c r="BR85" s="117" t="n">
        <x:f>IF(AND(BR$3&gt;=EDATE($B$75,-MIN(6,'Вводные'!$E$90)),BR$3&lt;$B$75),$B$85/MAX(1,MIN(6,'Вводные'!$E$90)),0)</x:f>
      </x:c>
      <x:c r="BS85" s="117" t="n">
        <x:f>IF(AND(BS$3&gt;=EDATE($B$75,-MIN(6,'Вводные'!$E$90)),BS$3&lt;$B$75),$B$85/MAX(1,MIN(6,'Вводные'!$E$90)),0)</x:f>
      </x:c>
      <x:c r="BT85" s="117" t="n">
        <x:f>IF(AND(BT$3&gt;=EDATE($B$75,-MIN(6,'Вводные'!$E$90)),BT$3&lt;$B$75),$B$85/MAX(1,MIN(6,'Вводные'!$E$90)),0)</x:f>
      </x:c>
      <x:c r="BU85" s="117" t="n">
        <x:f>IF(AND(BU$3&gt;=EDATE($B$75,-MIN(6,'Вводные'!$E$90)),BU$3&lt;$B$75),$B$85/MAX(1,MIN(6,'Вводные'!$E$90)),0)</x:f>
      </x:c>
      <x:c r="BV85" s="117" t="n">
        <x:f>IF(AND(BV$3&gt;=EDATE($B$75,-MIN(6,'Вводные'!$E$90)),BV$3&lt;$B$75),$B$85/MAX(1,MIN(6,'Вводные'!$E$90)),0)</x:f>
      </x:c>
      <x:c r="BW85" s="117" t="n">
        <x:f>IF(AND(BW$3&gt;=EDATE($B$75,-MIN(6,'Вводные'!$E$90)),BW$3&lt;$B$75),$B$85/MAX(1,MIN(6,'Вводные'!$E$90)),0)</x:f>
      </x:c>
      <x:c r="BX85" s="117" t="n">
        <x:f>IF(AND(BX$3&gt;=EDATE($B$75,-MIN(6,'Вводные'!$E$90)),BX$3&lt;$B$75),$B$85/MAX(1,MIN(6,'Вводные'!$E$90)),0)</x:f>
      </x:c>
      <x:c r="BY85" s="117" t="n">
        <x:f>IF(AND(BY$3&gt;=EDATE($B$75,-MIN(6,'Вводные'!$E$90)),BY$3&lt;$B$75),$B$85/MAX(1,MIN(6,'Вводные'!$E$90)),0)</x:f>
      </x:c>
      <x:c r="BZ85" s="117" t="n">
        <x:f>IF(AND(BZ$3&gt;=EDATE($B$75,-MIN(6,'Вводные'!$E$90)),BZ$3&lt;$B$75),$B$85/MAX(1,MIN(6,'Вводные'!$E$90)),0)</x:f>
      </x:c>
      <x:c r="CA85" s="117" t="n">
        <x:f>IF(AND(CA$3&gt;=EDATE($B$75,-MIN(6,'Вводные'!$E$90)),CA$3&lt;$B$75),$B$85/MAX(1,MIN(6,'Вводные'!$E$90)),0)</x:f>
      </x:c>
      <x:c r="CB85" s="117" t="n">
        <x:f>IF(AND(CB$3&gt;=EDATE($B$75,-MIN(6,'Вводные'!$E$90)),CB$3&lt;$B$75),$B$85/MAX(1,MIN(6,'Вводные'!$E$90)),0)</x:f>
      </x:c>
      <x:c r="CC85" s="117" t="n">
        <x:f>IF(AND(CC$3&gt;=EDATE($B$75,-MIN(6,'Вводные'!$E$90)),CC$3&lt;$B$75),$B$85/MAX(1,MIN(6,'Вводные'!$E$90)),0)</x:f>
      </x:c>
      <x:c r="CD85" s="117" t="n">
        <x:f>IF(AND(CD$3&gt;=EDATE($B$75,-MIN(6,'Вводные'!$E$90)),CD$3&lt;$B$75),$B$85/MAX(1,MIN(6,'Вводные'!$E$90)),0)</x:f>
      </x:c>
      <x:c r="CE85" s="117" t="n">
        <x:f>IF(AND(CE$3&gt;=EDATE($B$75,-MIN(6,'Вводные'!$E$90)),CE$3&lt;$B$75),$B$85/MAX(1,MIN(6,'Вводные'!$E$90)),0)</x:f>
      </x:c>
      <x:c r="CF85" s="117" t="n">
        <x:f>IF(AND(CF$3&gt;=EDATE($B$75,-MIN(6,'Вводные'!$E$90)),CF$3&lt;$B$75),$B$85/MAX(1,MIN(6,'Вводные'!$E$90)),0)</x:f>
      </x:c>
      <x:c r="CG85" s="117" t="n">
        <x:f>IF(AND(CG$3&gt;=EDATE($B$75,-MIN(6,'Вводные'!$E$90)),CG$3&lt;$B$75),$B$85/MAX(1,MIN(6,'Вводные'!$E$90)),0)</x:f>
      </x:c>
      <x:c r="CH85" s="117" t="n">
        <x:f>IF(AND(CH$3&gt;=EDATE($B$75,-MIN(6,'Вводные'!$E$90)),CH$3&lt;$B$75),$B$85/MAX(1,MIN(6,'Вводные'!$E$90)),0)</x:f>
      </x:c>
      <x:c r="CI85" s="117" t="n">
        <x:f>IF(AND(CI$3&gt;=EDATE($B$75,-MIN(6,'Вводные'!$E$90)),CI$3&lt;$B$75),$B$85/MAX(1,MIN(6,'Вводные'!$E$90)),0)</x:f>
      </x:c>
      <x:c r="CJ85" s="117" t="n">
        <x:f>IF(AND(CJ$3&gt;=EDATE($B$75,-MIN(6,'Вводные'!$E$90)),CJ$3&lt;$B$75),$B$85/MAX(1,MIN(6,'Вводные'!$E$90)),0)</x:f>
      </x:c>
      <x:c r="CK85" s="117" t="n">
        <x:f>IF(AND(CK$3&gt;=EDATE($B$75,-MIN(6,'Вводные'!$E$90)),CK$3&lt;$B$75),$B$85/MAX(1,MIN(6,'Вводные'!$E$90)),0)</x:f>
      </x:c>
      <x:c r="CL85" s="117" t="n">
        <x:f>IF(AND(CL$3&gt;=EDATE($B$75,-MIN(6,'Вводные'!$E$90)),CL$3&lt;$B$75),$B$85/MAX(1,MIN(6,'Вводные'!$E$90)),0)</x:f>
      </x:c>
      <x:c r="CM85" s="117" t="n">
        <x:f>IF(AND(CM$3&gt;=EDATE($B$75,-MIN(6,'Вводные'!$E$90)),CM$3&lt;$B$75),$B$85/MAX(1,MIN(6,'Вводные'!$E$90)),0)</x:f>
      </x:c>
      <x:c r="CN85" s="117" t="n">
        <x:f>IF(AND(CN$3&gt;=EDATE($B$75,-MIN(6,'Вводные'!$E$90)),CN$3&lt;$B$75),$B$85/MAX(1,MIN(6,'Вводные'!$E$90)),0)</x:f>
      </x:c>
      <x:c r="CO85" s="117" t="n">
        <x:f>IF(AND(CO$3&gt;=EDATE($B$75,-MIN(6,'Вводные'!$E$90)),CO$3&lt;$B$75),$B$85/MAX(1,MIN(6,'Вводные'!$E$90)),0)</x:f>
      </x:c>
      <x:c r="CP85" s="117" t="n">
        <x:f>IF(AND(CP$3&gt;=EDATE($B$75,-MIN(6,'Вводные'!$E$90)),CP$3&lt;$B$75),$B$85/MAX(1,MIN(6,'Вводные'!$E$90)),0)</x:f>
      </x:c>
      <x:c r="CQ85" s="117" t="n">
        <x:f>IF(AND(CQ$3&gt;=EDATE($B$75,-MIN(6,'Вводные'!$E$90)),CQ$3&lt;$B$75),$B$85/MAX(1,MIN(6,'Вводные'!$E$90)),0)</x:f>
      </x:c>
      <x:c r="CR85" s="117" t="n">
        <x:f>IF(AND(CR$3&gt;=EDATE($B$75,-MIN(6,'Вводные'!$E$90)),CR$3&lt;$B$75),$B$85/MAX(1,MIN(6,'Вводные'!$E$90)),0)</x:f>
      </x:c>
      <x:c r="CS85" s="117" t="n">
        <x:f>IF(AND(CS$3&gt;=EDATE($B$75,-MIN(6,'Вводные'!$E$90)),CS$3&lt;$B$75),$B$85/MAX(1,MIN(6,'Вводные'!$E$90)),0)</x:f>
      </x:c>
      <x:c r="CT85" s="117" t="n">
        <x:f>IF(AND(CT$3&gt;=EDATE($B$75,-MIN(6,'Вводные'!$E$90)),CT$3&lt;$B$75),$B$85/MAX(1,MIN(6,'Вводные'!$E$90)),0)</x:f>
      </x:c>
      <x:c r="CU85" s="117" t="n">
        <x:f>IF(AND(CU$3&gt;=EDATE($B$75,-MIN(6,'Вводные'!$E$90)),CU$3&lt;$B$75),$B$85/MAX(1,MIN(6,'Вводные'!$E$90)),0)</x:f>
      </x:c>
      <x:c r="CV85" s="117" t="n">
        <x:f>IF(AND(CV$3&gt;=EDATE($B$75,-MIN(6,'Вводные'!$E$90)),CV$3&lt;$B$75),$B$85/MAX(1,MIN(6,'Вводные'!$E$90)),0)</x:f>
      </x:c>
      <x:c r="CW85" s="117" t="n">
        <x:f>IF(AND(CW$3&gt;=EDATE($B$75,-MIN(6,'Вводные'!$E$90)),CW$3&lt;$B$75),$B$85/MAX(1,MIN(6,'Вводные'!$E$90)),0)</x:f>
      </x:c>
      <x:c r="CX85" s="117" t="n">
        <x:f>IF(AND(CX$3&gt;=EDATE($B$75,-MIN(6,'Вводные'!$E$90)),CX$3&lt;$B$75),$B$85/MAX(1,MIN(6,'Вводные'!$E$90)),0)</x:f>
      </x:c>
      <x:c r="CY85" s="117" t="n">
        <x:f>IF(AND(CY$3&gt;=EDATE($B$75,-MIN(6,'Вводные'!$E$90)),CY$3&lt;$B$75),$B$85/MAX(1,MIN(6,'Вводные'!$E$90)),0)</x:f>
      </x:c>
      <x:c r="CZ85" s="117" t="n">
        <x:f>IF(AND(CZ$3&gt;=EDATE($B$75,-MIN(6,'Вводные'!$E$90)),CZ$3&lt;$B$75),$B$85/MAX(1,MIN(6,'Вводные'!$E$90)),0)</x:f>
      </x:c>
      <x:c r="DA85" s="117" t="n">
        <x:f>IF(AND(DA$3&gt;=EDATE($B$75,-MIN(6,'Вводные'!$E$90)),DA$3&lt;$B$75),$B$85/MAX(1,MIN(6,'Вводные'!$E$90)),0)</x:f>
      </x:c>
      <x:c r="DB85" s="117" t="n">
        <x:f>IF(AND(DB$3&gt;=EDATE($B$75,-MIN(6,'Вводные'!$E$90)),DB$3&lt;$B$75),$B$85/MAX(1,MIN(6,'Вводные'!$E$90)),0)</x:f>
      </x:c>
      <x:c r="DC85" s="117" t="n">
        <x:f>IF(AND(DC$3&gt;=EDATE($B$75,-MIN(6,'Вводные'!$E$90)),DC$3&lt;$B$75),$B$85/MAX(1,MIN(6,'Вводные'!$E$90)),0)</x:f>
      </x:c>
      <x:c r="DD85" s="117" t="n">
        <x:f>IF(AND(DD$3&gt;=EDATE($B$75,-MIN(6,'Вводные'!$E$90)),DD$3&lt;$B$75),$B$85/MAX(1,MIN(6,'Вводные'!$E$90)),0)</x:f>
      </x:c>
      <x:c r="DE85" s="117" t="n">
        <x:f>IF(AND(DE$3&gt;=EDATE($B$75,-MIN(6,'Вводные'!$E$90)),DE$3&lt;$B$75),$B$85/MAX(1,MIN(6,'Вводные'!$E$90)),0)</x:f>
      </x:c>
      <x:c r="DF85" s="117" t="n">
        <x:f>IF(AND(DF$3&gt;=EDATE($B$75,-MIN(6,'Вводные'!$E$90)),DF$3&lt;$B$75),$B$85/MAX(1,MIN(6,'Вводные'!$E$90)),0)</x:f>
      </x:c>
      <x:c r="DG85" s="117" t="n">
        <x:f>IF(AND(DG$3&gt;=EDATE($B$75,-MIN(6,'Вводные'!$E$90)),DG$3&lt;$B$75),$B$85/MAX(1,MIN(6,'Вводные'!$E$90)),0)</x:f>
      </x:c>
      <x:c r="DH85" s="117" t="n">
        <x:f>IF(AND(DH$3&gt;=EDATE($B$75,-MIN(6,'Вводные'!$E$90)),DH$3&lt;$B$75),$B$85/MAX(1,MIN(6,'Вводные'!$E$90)),0)</x:f>
      </x:c>
      <x:c r="DI85" s="117" t="n">
        <x:f>IF(AND(DI$3&gt;=EDATE($B$75,-MIN(6,'Вводные'!$E$90)),DI$3&lt;$B$75),$B$85/MAX(1,MIN(6,'Вводные'!$E$90)),0)</x:f>
      </x:c>
      <x:c r="DJ85" s="117" t="n">
        <x:f>IF(AND(DJ$3&gt;=EDATE($B$75,-MIN(6,'Вводные'!$E$90)),DJ$3&lt;$B$75),$B$85/MAX(1,MIN(6,'Вводные'!$E$90)),0)</x:f>
      </x:c>
      <x:c r="DK85" s="117" t="n">
        <x:f>IF(AND(DK$3&gt;=EDATE($B$75,-MIN(6,'Вводные'!$E$90)),DK$3&lt;$B$75),$B$85/MAX(1,MIN(6,'Вводные'!$E$90)),0)</x:f>
      </x:c>
      <x:c r="DL85" s="117" t="n">
        <x:f>IF(AND(DL$3&gt;=EDATE($B$75,-MIN(6,'Вводные'!$E$90)),DL$3&lt;$B$75),$B$85/MAX(1,MIN(6,'Вводные'!$E$90)),0)</x:f>
      </x:c>
      <x:c r="DM85" s="117" t="n">
        <x:f>IF(AND(DM$3&gt;=EDATE($B$75,-MIN(6,'Вводные'!$E$90)),DM$3&lt;$B$75),$B$85/MAX(1,MIN(6,'Вводные'!$E$90)),0)</x:f>
      </x:c>
      <x:c r="DN85" s="117" t="n">
        <x:f>IF(AND(DN$3&gt;=EDATE($B$75,-MIN(6,'Вводные'!$E$90)),DN$3&lt;$B$75),$B$85/MAX(1,MIN(6,'Вводные'!$E$90)),0)</x:f>
      </x:c>
      <x:c r="DO85" s="117" t="n">
        <x:f>IF(AND(DO$3&gt;=EDATE($B$75,-MIN(6,'Вводные'!$E$90)),DO$3&lt;$B$75),$B$85/MAX(1,MIN(6,'Вводные'!$E$90)),0)</x:f>
      </x:c>
      <x:c r="DP85" s="117" t="n">
        <x:f>IF(AND(DP$3&gt;=EDATE($B$75,-MIN(6,'Вводные'!$E$90)),DP$3&lt;$B$75),$B$85/MAX(1,MIN(6,'Вводные'!$E$90)),0)</x:f>
      </x:c>
      <x:c r="DQ85" s="117" t="n">
        <x:f>IF(AND(DQ$3&gt;=EDATE($B$75,-MIN(6,'Вводные'!$E$90)),DQ$3&lt;$B$75),$B$85/MAX(1,MIN(6,'Вводные'!$E$90)),0)</x:f>
      </x:c>
      <x:c r="DR85" s="117" t="n">
        <x:f>IF(AND(DR$3&gt;=EDATE($B$75,-MIN(6,'Вводные'!$E$90)),DR$3&lt;$B$75),$B$85/MAX(1,MIN(6,'Вводные'!$E$90)),0)</x:f>
      </x:c>
      <x:c r="DS85" s="117" t="n">
        <x:f>IF(AND(DS$3&gt;=EDATE($B$75,-MIN(6,'Вводные'!$E$90)),DS$3&lt;$B$75),$B$85/MAX(1,MIN(6,'Вводные'!$E$90)),0)</x:f>
      </x:c>
      <x:c r="DT85" s="117" t="n">
        <x:f>IF(AND(DT$3&gt;=EDATE($B$75,-MIN(6,'Вводные'!$E$90)),DT$3&lt;$B$75),$B$85/MAX(1,MIN(6,'Вводные'!$E$90)),0)</x:f>
      </x:c>
      <x:c r="DU85" s="117" t="n">
        <x:f>IF(AND(DU$3&gt;=EDATE($B$75,-MIN(6,'Вводные'!$E$90)),DU$3&lt;$B$75),$B$85/MAX(1,MIN(6,'Вводные'!$E$90)),0)</x:f>
      </x:c>
      <x:c r="DV85" s="117" t="n">
        <x:f>IF(AND(DV$3&gt;=EDATE($B$75,-MIN(6,'Вводные'!$E$90)),DV$3&lt;$B$75),$B$85/MAX(1,MIN(6,'Вводные'!$E$90)),0)</x:f>
      </x:c>
      <x:c r="DW85" s="117" t="n">
        <x:f>IF(AND(DW$3&gt;=EDATE($B$75,-MIN(6,'Вводные'!$E$90)),DW$3&lt;$B$75),$B$85/MAX(1,MIN(6,'Вводные'!$E$90)),0)</x:f>
      </x:c>
      <x:c r="DX85" s="117" t="n">
        <x:f>IF(AND(DX$3&gt;=EDATE($B$75,-MIN(6,'Вводные'!$E$90)),DX$3&lt;$B$75),$B$85/MAX(1,MIN(6,'Вводные'!$E$90)),0)</x:f>
      </x:c>
      <x:c r="DY85" s="117" t="n">
        <x:f>IF(AND(DY$3&gt;=EDATE($B$75,-MIN(6,'Вводные'!$E$90)),DY$3&lt;$B$75),$B$85/MAX(1,MIN(6,'Вводные'!$E$90)),0)</x:f>
      </x:c>
      <x:c r="DZ85" s="117" t="n">
        <x:f>IF(AND(DZ$3&gt;=EDATE($B$75,-MIN(6,'Вводные'!$E$90)),DZ$3&lt;$B$75),$B$85/MAX(1,MIN(6,'Вводные'!$E$90)),0)</x:f>
      </x:c>
      <x:c r="EA85" s="117" t="n">
        <x:f>IF(AND(EA$3&gt;=EDATE($B$75,-MIN(6,'Вводные'!$E$90)),EA$3&lt;$B$75),$B$85/MAX(1,MIN(6,'Вводные'!$E$90)),0)</x:f>
      </x:c>
      <x:c r="EB85" s="117" t="n">
        <x:f>IF(AND(EB$3&gt;=EDATE($B$75,-MIN(6,'Вводные'!$E$90)),EB$3&lt;$B$75),$B$85/MAX(1,MIN(6,'Вводные'!$E$90)),0)</x:f>
      </x:c>
      <x:c r="EC85" s="117" t="n">
        <x:f>IF(AND(EC$3&gt;=EDATE($B$75,-MIN(6,'Вводные'!$E$90)),EC$3&lt;$B$75),$B$85/MAX(1,MIN(6,'Вводные'!$E$90)),0)</x:f>
      </x:c>
      <x:c r="ED85" s="117" t="n">
        <x:f>IF(AND(ED$3&gt;=EDATE($B$75,-MIN(6,'Вводные'!$E$90)),ED$3&lt;$B$75),$B$85/MAX(1,MIN(6,'Вводные'!$E$90)),0)</x:f>
      </x:c>
      <x:c r="EE85" s="117" t="n">
        <x:f>IF(AND(EE$3&gt;=EDATE($B$75,-MIN(6,'Вводные'!$E$90)),EE$3&lt;$B$75),$B$85/MAX(1,MIN(6,'Вводные'!$E$90)),0)</x:f>
      </x:c>
      <x:c r="EF85" s="117" t="n">
        <x:f>IF(AND(EF$3&gt;=EDATE($B$75,-MIN(6,'Вводные'!$E$90)),EF$3&lt;$B$75),$B$85/MAX(1,MIN(6,'Вводные'!$E$90)),0)</x:f>
      </x:c>
      <x:c r="EG85" s="117" t="n">
        <x:f>IF(AND(EG$3&gt;=EDATE($B$75,-MIN(6,'Вводные'!$E$90)),EG$3&lt;$B$75),$B$85/MAX(1,MIN(6,'Вводные'!$E$90)),0)</x:f>
      </x:c>
      <x:c r="EH85" s="117" t="n">
        <x:f>IF(AND(EH$3&gt;=EDATE($B$75,-MIN(6,'Вводные'!$E$90)),EH$3&lt;$B$75),$B$85/MAX(1,MIN(6,'Вводные'!$E$90)),0)</x:f>
      </x:c>
      <x:c r="EI85" s="117" t="n">
        <x:f>IF(AND(EI$3&gt;=EDATE($B$75,-MIN(6,'Вводные'!$E$90)),EI$3&lt;$B$75),$B$85/MAX(1,MIN(6,'Вводные'!$E$90)),0)</x:f>
      </x:c>
      <x:c r="EJ85" s="117" t="n">
        <x:f>IF(AND(EJ$3&gt;=EDATE($B$75,-MIN(6,'Вводные'!$E$90)),EJ$3&lt;$B$75),$B$85/MAX(1,MIN(6,'Вводные'!$E$90)),0)</x:f>
      </x:c>
      <x:c r="EK85" s="117" t="n">
        <x:f>IF(AND(EK$3&gt;=EDATE($B$75,-MIN(6,'Вводные'!$E$90)),EK$3&lt;$B$75),$B$85/MAX(1,MIN(6,'Вводные'!$E$90)),0)</x:f>
      </x:c>
      <x:c r="EL85" s="117" t="n">
        <x:f>IF(AND(EL$3&gt;=EDATE($B$75,-MIN(6,'Вводные'!$E$90)),EL$3&lt;$B$75),$B$85/MAX(1,MIN(6,'Вводные'!$E$90)),0)</x:f>
      </x:c>
      <x:c r="EM85" s="117" t="n">
        <x:f>IF(AND(EM$3&gt;=EDATE($B$75,-MIN(6,'Вводные'!$E$90)),EM$3&lt;$B$75),$B$85/MAX(1,MIN(6,'Вводные'!$E$90)),0)</x:f>
      </x:c>
      <x:c r="EN85" s="117" t="n">
        <x:f>IF(AND(EN$3&gt;=EDATE($B$75,-MIN(6,'Вводные'!$E$90)),EN$3&lt;$B$75),$B$85/MAX(1,MIN(6,'Вводные'!$E$90)),0)</x:f>
      </x:c>
      <x:c r="EO85" s="117" t="n">
        <x:f>IF(AND(EO$3&gt;=EDATE($B$75,-MIN(6,'Вводные'!$E$90)),EO$3&lt;$B$75),$B$85/MAX(1,MIN(6,'Вводные'!$E$90)),0)</x:f>
      </x:c>
      <x:c r="EP85" s="117" t="n">
        <x:f>IF(AND(EP$3&gt;=EDATE($B$75,-MIN(6,'Вводные'!$E$90)),EP$3&lt;$B$75),$B$85/MAX(1,MIN(6,'Вводные'!$E$90)),0)</x:f>
      </x:c>
      <x:c r="EQ85" s="117" t="n">
        <x:f>IF(AND(EQ$3&gt;=EDATE($B$75,-MIN(6,'Вводные'!$E$90)),EQ$3&lt;$B$75),$B$85/MAX(1,MIN(6,'Вводные'!$E$90)),0)</x:f>
      </x:c>
      <x:c r="ER85" s="117" t="n">
        <x:f>IF(AND(ER$3&gt;=EDATE($B$75,-MIN(6,'Вводные'!$E$90)),ER$3&lt;$B$75),$B$85/MAX(1,MIN(6,'Вводные'!$E$90)),0)</x:f>
      </x:c>
      <x:c r="ES85" s="117" t="n">
        <x:f>IF(AND(ES$3&gt;=EDATE($B$75,-MIN(6,'Вводные'!$E$90)),ES$3&lt;$B$75),$B$85/MAX(1,MIN(6,'Вводные'!$E$90)),0)</x:f>
      </x:c>
      <x:c r="ET85" s="117" t="n">
        <x:f>IF(AND(ET$3&gt;=EDATE($B$75,-MIN(6,'Вводные'!$E$90)),ET$3&lt;$B$75),$B$85/MAX(1,MIN(6,'Вводные'!$E$90)),0)</x:f>
      </x:c>
      <x:c r="EU85" s="117" t="n">
        <x:f>IF(AND(EU$3&gt;=EDATE($B$75,-MIN(6,'Вводные'!$E$90)),EU$3&lt;$B$75),$B$85/MAX(1,MIN(6,'Вводные'!$E$90)),0)</x:f>
      </x:c>
      <x:c r="EV85" s="117" t="n">
        <x:f>IF(AND(EV$3&gt;=EDATE($B$75,-MIN(6,'Вводные'!$E$90)),EV$3&lt;$B$75),$B$85/MAX(1,MIN(6,'Вводные'!$E$90)),0)</x:f>
      </x:c>
      <x:c r="EW85" s="117" t="n">
        <x:f>IF(AND(EW$3&gt;=EDATE($B$75,-MIN(6,'Вводные'!$E$90)),EW$3&lt;$B$75),$B$85/MAX(1,MIN(6,'Вводные'!$E$90)),0)</x:f>
      </x:c>
      <x:c r="EX85" s="117" t="n">
        <x:f>IF(AND(EX$3&gt;=EDATE($B$75,-MIN(6,'Вводные'!$E$90)),EX$3&lt;$B$75),$B$85/MAX(1,MIN(6,'Вводные'!$E$90)),0)</x:f>
      </x:c>
      <x:c r="EY85" s="117" t="n">
        <x:f>IF(AND(EY$3&gt;=EDATE($B$75,-MIN(6,'Вводные'!$E$90)),EY$3&lt;$B$75),$B$85/MAX(1,MIN(6,'Вводные'!$E$90)),0)</x:f>
      </x:c>
      <x:c r="EZ85" s="117" t="n">
        <x:f>IF(AND(EZ$3&gt;=EDATE($B$75,-MIN(6,'Вводные'!$E$90)),EZ$3&lt;$B$75),$B$85/MAX(1,MIN(6,'Вводные'!$E$90)),0)</x:f>
      </x:c>
      <x:c r="FA85" s="117" t="n">
        <x:f>IF(AND(FA$3&gt;=EDATE($B$75,-MIN(6,'Вводные'!$E$90)),FA$3&lt;$B$75),$B$85/MAX(1,MIN(6,'Вводные'!$E$90)),0)</x:f>
      </x:c>
      <x:c r="FB85" s="117" t="n">
        <x:f>IF(AND(FB$3&gt;=EDATE($B$75,-MIN(6,'Вводные'!$E$90)),FB$3&lt;$B$75),$B$85/MAX(1,MIN(6,'Вводные'!$E$90)),0)</x:f>
      </x:c>
      <x:c r="FC85" s="117" t="n">
        <x:f>IF(AND(FC$3&gt;=EDATE($B$75,-MIN(6,'Вводные'!$E$90)),FC$3&lt;$B$75),$B$85/MAX(1,MIN(6,'Вводные'!$E$90)),0)</x:f>
      </x:c>
      <x:c r="FD85" s="117" t="n">
        <x:f>IF(AND(FD$3&gt;=EDATE($B$75,-MIN(6,'Вводные'!$E$90)),FD$3&lt;$B$75),$B$85/MAX(1,MIN(6,'Вводные'!$E$90)),0)</x:f>
      </x:c>
      <x:c r="FE85" s="117" t="n">
        <x:f>IF(AND(FE$3&gt;=EDATE($B$75,-MIN(6,'Вводные'!$E$90)),FE$3&lt;$B$75),$B$85/MAX(1,MIN(6,'Вводные'!$E$90)),0)</x:f>
      </x:c>
      <x:c r="FF85" s="117" t="n">
        <x:f>IF(AND(FF$3&gt;=EDATE($B$75,-MIN(6,'Вводные'!$E$90)),FF$3&lt;$B$75),$B$85/MAX(1,MIN(6,'Вводные'!$E$90)),0)</x:f>
      </x:c>
      <x:c r="FG85" s="117" t="n">
        <x:f>IF(AND(FG$3&gt;=EDATE($B$75,-MIN(6,'Вводные'!$E$90)),FG$3&lt;$B$75),$B$85/MAX(1,MIN(6,'Вводные'!$E$90)),0)</x:f>
      </x:c>
      <x:c r="FH85" s="117" t="n">
        <x:f>IF(AND(FH$3&gt;=EDATE($B$75,-MIN(6,'Вводные'!$E$90)),FH$3&lt;$B$75),$B$85/MAX(1,MIN(6,'Вводные'!$E$90)),0)</x:f>
      </x:c>
      <x:c r="FI85" s="117" t="n">
        <x:f>IF(AND(FI$3&gt;=EDATE($B$75,-MIN(6,'Вводные'!$E$90)),FI$3&lt;$B$75),$B$85/MAX(1,MIN(6,'Вводные'!$E$90)),0)</x:f>
      </x:c>
      <x:c r="FJ85" s="117" t="n">
        <x:f>IF(AND(FJ$3&gt;=EDATE($B$75,-MIN(6,'Вводные'!$E$90)),FJ$3&lt;$B$75),$B$85/MAX(1,MIN(6,'Вводные'!$E$90)),0)</x:f>
      </x:c>
      <x:c r="FK85" s="117" t="n">
        <x:f>IF(AND(FK$3&gt;=EDATE($B$75,-MIN(6,'Вводные'!$E$90)),FK$3&lt;$B$75),$B$85/MAX(1,MIN(6,'Вводные'!$E$90)),0)</x:f>
      </x:c>
      <x:c r="FL85" s="117" t="n">
        <x:f>IF(AND(FL$3&gt;=EDATE($B$75,-MIN(6,'Вводные'!$E$90)),FL$3&lt;$B$75),$B$85/MAX(1,MIN(6,'Вводные'!$E$90)),0)</x:f>
      </x:c>
      <x:c r="FM85" s="117" t="n">
        <x:f>IF(AND(FM$3&gt;=EDATE($B$75,-MIN(6,'Вводные'!$E$90)),FM$3&lt;$B$75),$B$85/MAX(1,MIN(6,'Вводные'!$E$90)),0)</x:f>
      </x:c>
      <x:c r="FN85" s="117" t="n">
        <x:f>IF(AND(FN$3&gt;=EDATE($B$75,-MIN(6,'Вводные'!$E$90)),FN$3&lt;$B$75),$B$85/MAX(1,MIN(6,'Вводные'!$E$90)),0)</x:f>
      </x:c>
      <x:c r="FO85" s="117" t="n">
        <x:f>IF(AND(FO$3&gt;=EDATE($B$75,-MIN(6,'Вводные'!$E$90)),FO$3&lt;$B$75),$B$85/MAX(1,MIN(6,'Вводные'!$E$90)),0)</x:f>
      </x:c>
      <x:c r="FP85" s="117" t="n">
        <x:f>IF(AND(FP$3&gt;=EDATE($B$75,-MIN(6,'Вводные'!$E$90)),FP$3&lt;$B$75),$B$85/MAX(1,MIN(6,'Вводные'!$E$90)),0)</x:f>
      </x:c>
      <x:c r="FQ85" s="117" t="n">
        <x:f>IF(AND(FQ$3&gt;=EDATE($B$75,-MIN(6,'Вводные'!$E$90)),FQ$3&lt;$B$75),$B$85/MAX(1,MIN(6,'Вводные'!$E$90)),0)</x:f>
      </x:c>
      <x:c r="FR85" s="117" t="n">
        <x:f>IF(AND(FR$3&gt;=EDATE($B$75,-MIN(6,'Вводные'!$E$90)),FR$3&lt;$B$75),$B$85/MAX(1,MIN(6,'Вводные'!$E$90)),0)</x:f>
      </x:c>
      <x:c r="FS85" s="117" t="n">
        <x:f>IF(AND(FS$3&gt;=EDATE($B$75,-MIN(6,'Вводные'!$E$90)),FS$3&lt;$B$75),$B$85/MAX(1,MIN(6,'Вводные'!$E$90)),0)</x:f>
      </x:c>
      <x:c r="FT85" s="117" t="n">
        <x:f>IF(AND(FT$3&gt;=EDATE($B$75,-MIN(6,'Вводные'!$E$90)),FT$3&lt;$B$75),$B$85/MAX(1,MIN(6,'Вводные'!$E$90)),0)</x:f>
      </x:c>
      <x:c r="FU85" s="117" t="n">
        <x:f>IF(AND(FU$3&gt;=EDATE($B$75,-MIN(6,'Вводные'!$E$90)),FU$3&lt;$B$75),$B$85/MAX(1,MIN(6,'Вводные'!$E$90)),0)</x:f>
      </x:c>
      <x:c r="FV85" s="117" t="n">
        <x:f>IF(AND(FV$3&gt;=EDATE($B$75,-MIN(6,'Вводные'!$E$90)),FV$3&lt;$B$75),$B$85/MAX(1,MIN(6,'Вводные'!$E$90)),0)</x:f>
      </x:c>
      <x:c r="FW85" s="117" t="n">
        <x:f>IF(AND(FW$3&gt;=EDATE($B$75,-MIN(6,'Вводные'!$E$90)),FW$3&lt;$B$75),$B$85/MAX(1,MIN(6,'Вводные'!$E$90)),0)</x:f>
      </x:c>
      <x:c r="FX85" s="117" t="n">
        <x:f>IF(AND(FX$3&gt;=EDATE($B$75,-MIN(6,'Вводные'!$E$90)),FX$3&lt;$B$75),$B$85/MAX(1,MIN(6,'Вводные'!$E$90)),0)</x:f>
      </x:c>
      <x:c r="FY85" s="117" t="n">
        <x:f>IF(AND(FY$3&gt;=EDATE($B$75,-MIN(6,'Вводные'!$E$90)),FY$3&lt;$B$75),$B$85/MAX(1,MIN(6,'Вводные'!$E$90)),0)</x:f>
      </x:c>
      <x:c r="FZ85" s="117" t="n">
        <x:f>IF(AND(FZ$3&gt;=EDATE($B$75,-MIN(6,'Вводные'!$E$90)),FZ$3&lt;$B$75),$B$85/MAX(1,MIN(6,'Вводные'!$E$90)),0)</x:f>
      </x:c>
      <x:c r="GA85" s="117" t="n">
        <x:f>IF(AND(GA$3&gt;=EDATE($B$75,-MIN(6,'Вводные'!$E$90)),GA$3&lt;$B$75),$B$85/MAX(1,MIN(6,'Вводные'!$E$90)),0)</x:f>
      </x:c>
    </x:row>
    <x:row r="86">
      <x:c r="A86" t="str">
        <x:v>Проектирование, стадия РД</x:v>
      </x:c>
      <x:c r="B86" s="107" t="n">
        <x:f>(('Вводные'!$I$90+'Вводные'!$J$90+'Вводные'!$K$90)*'Вводные'!$B$42/1000*'Вводные'!$H$6*'Вводные'!$T$90*--('Вводные'!$B$90="Да"))*'Вводные'!$AH$90</x:f>
      </x:c>
      <x:c r="C86" t="str">
        <x:v>млн ₽</x:v>
      </x:c>
      <x:c r="D86" s="117" t="n">
        <x:f>IF(AND(D$3&gt;=EDATE($B$75,-MIN(6,'Вводные'!$E$90)),D$3&lt;$B$75),$B$86/MAX(1,MIN(6,'Вводные'!$E$90)),0)</x:f>
      </x:c>
      <x:c r="E86" s="117" t="n">
        <x:f>IF(AND(E$3&gt;=EDATE($B$75,-MIN(6,'Вводные'!$E$90)),E$3&lt;$B$75),$B$86/MAX(1,MIN(6,'Вводные'!$E$90)),0)</x:f>
      </x:c>
      <x:c r="F86" s="117" t="n">
        <x:f>IF(AND(F$3&gt;=EDATE($B$75,-MIN(6,'Вводные'!$E$90)),F$3&lt;$B$75),$B$86/MAX(1,MIN(6,'Вводные'!$E$90)),0)</x:f>
      </x:c>
      <x:c r="G86" s="117" t="n">
        <x:f>IF(AND(G$3&gt;=EDATE($B$75,-MIN(6,'Вводные'!$E$90)),G$3&lt;$B$75),$B$86/MAX(1,MIN(6,'Вводные'!$E$90)),0)</x:f>
      </x:c>
      <x:c r="H86" s="117" t="n">
        <x:f>IF(AND(H$3&gt;=EDATE($B$75,-MIN(6,'Вводные'!$E$90)),H$3&lt;$B$75),$B$86/MAX(1,MIN(6,'Вводные'!$E$90)),0)</x:f>
      </x:c>
      <x:c r="I86" s="117" t="n">
        <x:f>IF(AND(I$3&gt;=EDATE($B$75,-MIN(6,'Вводные'!$E$90)),I$3&lt;$B$75),$B$86/MAX(1,MIN(6,'Вводные'!$E$90)),0)</x:f>
      </x:c>
      <x:c r="J86" s="117" t="n">
        <x:f>IF(AND(J$3&gt;=EDATE($B$75,-MIN(6,'Вводные'!$E$90)),J$3&lt;$B$75),$B$86/MAX(1,MIN(6,'Вводные'!$E$90)),0)</x:f>
      </x:c>
      <x:c r="K86" s="117" t="n">
        <x:f>IF(AND(K$3&gt;=EDATE($B$75,-MIN(6,'Вводные'!$E$90)),K$3&lt;$B$75),$B$86/MAX(1,MIN(6,'Вводные'!$E$90)),0)</x:f>
      </x:c>
      <x:c r="L86" s="117" t="n">
        <x:f>IF(AND(L$3&gt;=EDATE($B$75,-MIN(6,'Вводные'!$E$90)),L$3&lt;$B$75),$B$86/MAX(1,MIN(6,'Вводные'!$E$90)),0)</x:f>
      </x:c>
      <x:c r="M86" s="117" t="n">
        <x:f>IF(AND(M$3&gt;=EDATE($B$75,-MIN(6,'Вводные'!$E$90)),M$3&lt;$B$75),$B$86/MAX(1,MIN(6,'Вводные'!$E$90)),0)</x:f>
      </x:c>
      <x:c r="N86" s="117" t="n">
        <x:f>IF(AND(N$3&gt;=EDATE($B$75,-MIN(6,'Вводные'!$E$90)),N$3&lt;$B$75),$B$86/MAX(1,MIN(6,'Вводные'!$E$90)),0)</x:f>
      </x:c>
      <x:c r="O86" s="117" t="n">
        <x:f>IF(AND(O$3&gt;=EDATE($B$75,-MIN(6,'Вводные'!$E$90)),O$3&lt;$B$75),$B$86/MAX(1,MIN(6,'Вводные'!$E$90)),0)</x:f>
      </x:c>
      <x:c r="P86" s="117" t="n">
        <x:f>IF(AND(P$3&gt;=EDATE($B$75,-MIN(6,'Вводные'!$E$90)),P$3&lt;$B$75),$B$86/MAX(1,MIN(6,'Вводные'!$E$90)),0)</x:f>
      </x:c>
      <x:c r="Q86" s="117" t="n">
        <x:f>IF(AND(Q$3&gt;=EDATE($B$75,-MIN(6,'Вводные'!$E$90)),Q$3&lt;$B$75),$B$86/MAX(1,MIN(6,'Вводные'!$E$90)),0)</x:f>
      </x:c>
      <x:c r="R86" s="117" t="n">
        <x:f>IF(AND(R$3&gt;=EDATE($B$75,-MIN(6,'Вводные'!$E$90)),R$3&lt;$B$75),$B$86/MAX(1,MIN(6,'Вводные'!$E$90)),0)</x:f>
      </x:c>
      <x:c r="S86" s="117" t="n">
        <x:f>IF(AND(S$3&gt;=EDATE($B$75,-MIN(6,'Вводные'!$E$90)),S$3&lt;$B$75),$B$86/MAX(1,MIN(6,'Вводные'!$E$90)),0)</x:f>
      </x:c>
      <x:c r="T86" s="117" t="n">
        <x:f>IF(AND(T$3&gt;=EDATE($B$75,-MIN(6,'Вводные'!$E$90)),T$3&lt;$B$75),$B$86/MAX(1,MIN(6,'Вводные'!$E$90)),0)</x:f>
      </x:c>
      <x:c r="U86" s="117" t="n">
        <x:f>IF(AND(U$3&gt;=EDATE($B$75,-MIN(6,'Вводные'!$E$90)),U$3&lt;$B$75),$B$86/MAX(1,MIN(6,'Вводные'!$E$90)),0)</x:f>
      </x:c>
      <x:c r="V86" s="117" t="n">
        <x:f>IF(AND(V$3&gt;=EDATE($B$75,-MIN(6,'Вводные'!$E$90)),V$3&lt;$B$75),$B$86/MAX(1,MIN(6,'Вводные'!$E$90)),0)</x:f>
      </x:c>
      <x:c r="W86" s="117" t="n">
        <x:f>IF(AND(W$3&gt;=EDATE($B$75,-MIN(6,'Вводные'!$E$90)),W$3&lt;$B$75),$B$86/MAX(1,MIN(6,'Вводные'!$E$90)),0)</x:f>
      </x:c>
      <x:c r="X86" s="117" t="n">
        <x:f>IF(AND(X$3&gt;=EDATE($B$75,-MIN(6,'Вводные'!$E$90)),X$3&lt;$B$75),$B$86/MAX(1,MIN(6,'Вводные'!$E$90)),0)</x:f>
      </x:c>
      <x:c r="Y86" s="117" t="n">
        <x:f>IF(AND(Y$3&gt;=EDATE($B$75,-MIN(6,'Вводные'!$E$90)),Y$3&lt;$B$75),$B$86/MAX(1,MIN(6,'Вводные'!$E$90)),0)</x:f>
      </x:c>
      <x:c r="Z86" s="117" t="n">
        <x:f>IF(AND(Z$3&gt;=EDATE($B$75,-MIN(6,'Вводные'!$E$90)),Z$3&lt;$B$75),$B$86/MAX(1,MIN(6,'Вводные'!$E$90)),0)</x:f>
      </x:c>
      <x:c r="AA86" s="117" t="n">
        <x:f>IF(AND(AA$3&gt;=EDATE($B$75,-MIN(6,'Вводные'!$E$90)),AA$3&lt;$B$75),$B$86/MAX(1,MIN(6,'Вводные'!$E$90)),0)</x:f>
      </x:c>
      <x:c r="AB86" s="117" t="n">
        <x:f>IF(AND(AB$3&gt;=EDATE($B$75,-MIN(6,'Вводные'!$E$90)),AB$3&lt;$B$75),$B$86/MAX(1,MIN(6,'Вводные'!$E$90)),0)</x:f>
      </x:c>
      <x:c r="AC86" s="117" t="n">
        <x:f>IF(AND(AC$3&gt;=EDATE($B$75,-MIN(6,'Вводные'!$E$90)),AC$3&lt;$B$75),$B$86/MAX(1,MIN(6,'Вводные'!$E$90)),0)</x:f>
      </x:c>
      <x:c r="AD86" s="117" t="n">
        <x:f>IF(AND(AD$3&gt;=EDATE($B$75,-MIN(6,'Вводные'!$E$90)),AD$3&lt;$B$75),$B$86/MAX(1,MIN(6,'Вводные'!$E$90)),0)</x:f>
      </x:c>
      <x:c r="AE86" s="117" t="n">
        <x:f>IF(AND(AE$3&gt;=EDATE($B$75,-MIN(6,'Вводные'!$E$90)),AE$3&lt;$B$75),$B$86/MAX(1,MIN(6,'Вводные'!$E$90)),0)</x:f>
      </x:c>
      <x:c r="AF86" s="117" t="n">
        <x:f>IF(AND(AF$3&gt;=EDATE($B$75,-MIN(6,'Вводные'!$E$90)),AF$3&lt;$B$75),$B$86/MAX(1,MIN(6,'Вводные'!$E$90)),0)</x:f>
      </x:c>
      <x:c r="AG86" s="117" t="n">
        <x:f>IF(AND(AG$3&gt;=EDATE($B$75,-MIN(6,'Вводные'!$E$90)),AG$3&lt;$B$75),$B$86/MAX(1,MIN(6,'Вводные'!$E$90)),0)</x:f>
      </x:c>
      <x:c r="AH86" s="117" t="n">
        <x:f>IF(AND(AH$3&gt;=EDATE($B$75,-MIN(6,'Вводные'!$E$90)),AH$3&lt;$B$75),$B$86/MAX(1,MIN(6,'Вводные'!$E$90)),0)</x:f>
      </x:c>
      <x:c r="AI86" s="117" t="n">
        <x:f>IF(AND(AI$3&gt;=EDATE($B$75,-MIN(6,'Вводные'!$E$90)),AI$3&lt;$B$75),$B$86/MAX(1,MIN(6,'Вводные'!$E$90)),0)</x:f>
      </x:c>
      <x:c r="AJ86" s="117" t="n">
        <x:f>IF(AND(AJ$3&gt;=EDATE($B$75,-MIN(6,'Вводные'!$E$90)),AJ$3&lt;$B$75),$B$86/MAX(1,MIN(6,'Вводные'!$E$90)),0)</x:f>
      </x:c>
      <x:c r="AK86" s="117" t="n">
        <x:f>IF(AND(AK$3&gt;=EDATE($B$75,-MIN(6,'Вводные'!$E$90)),AK$3&lt;$B$75),$B$86/MAX(1,MIN(6,'Вводные'!$E$90)),0)</x:f>
      </x:c>
      <x:c r="AL86" s="117" t="n">
        <x:f>IF(AND(AL$3&gt;=EDATE($B$75,-MIN(6,'Вводные'!$E$90)),AL$3&lt;$B$75),$B$86/MAX(1,MIN(6,'Вводные'!$E$90)),0)</x:f>
      </x:c>
      <x:c r="AM86" s="117" t="n">
        <x:f>IF(AND(AM$3&gt;=EDATE($B$75,-MIN(6,'Вводные'!$E$90)),AM$3&lt;$B$75),$B$86/MAX(1,MIN(6,'Вводные'!$E$90)),0)</x:f>
      </x:c>
      <x:c r="AN86" s="117" t="n">
        <x:f>IF(AND(AN$3&gt;=EDATE($B$75,-MIN(6,'Вводные'!$E$90)),AN$3&lt;$B$75),$B$86/MAX(1,MIN(6,'Вводные'!$E$90)),0)</x:f>
      </x:c>
      <x:c r="AO86" s="117" t="n">
        <x:f>IF(AND(AO$3&gt;=EDATE($B$75,-MIN(6,'Вводные'!$E$90)),AO$3&lt;$B$75),$B$86/MAX(1,MIN(6,'Вводные'!$E$90)),0)</x:f>
      </x:c>
      <x:c r="AP86" s="117" t="n">
        <x:f>IF(AND(AP$3&gt;=EDATE($B$75,-MIN(6,'Вводные'!$E$90)),AP$3&lt;$B$75),$B$86/MAX(1,MIN(6,'Вводные'!$E$90)),0)</x:f>
      </x:c>
      <x:c r="AQ86" s="117" t="n">
        <x:f>IF(AND(AQ$3&gt;=EDATE($B$75,-MIN(6,'Вводные'!$E$90)),AQ$3&lt;$B$75),$B$86/MAX(1,MIN(6,'Вводные'!$E$90)),0)</x:f>
      </x:c>
      <x:c r="AR86" s="117" t="n">
        <x:f>IF(AND(AR$3&gt;=EDATE($B$75,-MIN(6,'Вводные'!$E$90)),AR$3&lt;$B$75),$B$86/MAX(1,MIN(6,'Вводные'!$E$90)),0)</x:f>
      </x:c>
      <x:c r="AS86" s="117" t="n">
        <x:f>IF(AND(AS$3&gt;=EDATE($B$75,-MIN(6,'Вводные'!$E$90)),AS$3&lt;$B$75),$B$86/MAX(1,MIN(6,'Вводные'!$E$90)),0)</x:f>
      </x:c>
      <x:c r="AT86" s="117" t="n">
        <x:f>IF(AND(AT$3&gt;=EDATE($B$75,-MIN(6,'Вводные'!$E$90)),AT$3&lt;$B$75),$B$86/MAX(1,MIN(6,'Вводные'!$E$90)),0)</x:f>
      </x:c>
      <x:c r="AU86" s="117" t="n">
        <x:f>IF(AND(AU$3&gt;=EDATE($B$75,-MIN(6,'Вводные'!$E$90)),AU$3&lt;$B$75),$B$86/MAX(1,MIN(6,'Вводные'!$E$90)),0)</x:f>
      </x:c>
      <x:c r="AV86" s="117" t="n">
        <x:f>IF(AND(AV$3&gt;=EDATE($B$75,-MIN(6,'Вводные'!$E$90)),AV$3&lt;$B$75),$B$86/MAX(1,MIN(6,'Вводные'!$E$90)),0)</x:f>
      </x:c>
      <x:c r="AW86" s="117" t="n">
        <x:f>IF(AND(AW$3&gt;=EDATE($B$75,-MIN(6,'Вводные'!$E$90)),AW$3&lt;$B$75),$B$86/MAX(1,MIN(6,'Вводные'!$E$90)),0)</x:f>
      </x:c>
      <x:c r="AX86" s="117" t="n">
        <x:f>IF(AND(AX$3&gt;=EDATE($B$75,-MIN(6,'Вводные'!$E$90)),AX$3&lt;$B$75),$B$86/MAX(1,MIN(6,'Вводные'!$E$90)),0)</x:f>
      </x:c>
      <x:c r="AY86" s="117" t="n">
        <x:f>IF(AND(AY$3&gt;=EDATE($B$75,-MIN(6,'Вводные'!$E$90)),AY$3&lt;$B$75),$B$86/MAX(1,MIN(6,'Вводные'!$E$90)),0)</x:f>
      </x:c>
      <x:c r="AZ86" s="117" t="n">
        <x:f>IF(AND(AZ$3&gt;=EDATE($B$75,-MIN(6,'Вводные'!$E$90)),AZ$3&lt;$B$75),$B$86/MAX(1,MIN(6,'Вводные'!$E$90)),0)</x:f>
      </x:c>
      <x:c r="BA86" s="117" t="n">
        <x:f>IF(AND(BA$3&gt;=EDATE($B$75,-MIN(6,'Вводные'!$E$90)),BA$3&lt;$B$75),$B$86/MAX(1,MIN(6,'Вводные'!$E$90)),0)</x:f>
      </x:c>
      <x:c r="BB86" s="117" t="n">
        <x:f>IF(AND(BB$3&gt;=EDATE($B$75,-MIN(6,'Вводные'!$E$90)),BB$3&lt;$B$75),$B$86/MAX(1,MIN(6,'Вводные'!$E$90)),0)</x:f>
      </x:c>
      <x:c r="BC86" s="117" t="n">
        <x:f>IF(AND(BC$3&gt;=EDATE($B$75,-MIN(6,'Вводные'!$E$90)),BC$3&lt;$B$75),$B$86/MAX(1,MIN(6,'Вводные'!$E$90)),0)</x:f>
      </x:c>
      <x:c r="BD86" s="117" t="n">
        <x:f>IF(AND(BD$3&gt;=EDATE($B$75,-MIN(6,'Вводные'!$E$90)),BD$3&lt;$B$75),$B$86/MAX(1,MIN(6,'Вводные'!$E$90)),0)</x:f>
      </x:c>
      <x:c r="BE86" s="117" t="n">
        <x:f>IF(AND(BE$3&gt;=EDATE($B$75,-MIN(6,'Вводные'!$E$90)),BE$3&lt;$B$75),$B$86/MAX(1,MIN(6,'Вводные'!$E$90)),0)</x:f>
      </x:c>
      <x:c r="BF86" s="117" t="n">
        <x:f>IF(AND(BF$3&gt;=EDATE($B$75,-MIN(6,'Вводные'!$E$90)),BF$3&lt;$B$75),$B$86/MAX(1,MIN(6,'Вводные'!$E$90)),0)</x:f>
      </x:c>
      <x:c r="BG86" s="117" t="n">
        <x:f>IF(AND(BG$3&gt;=EDATE($B$75,-MIN(6,'Вводные'!$E$90)),BG$3&lt;$B$75),$B$86/MAX(1,MIN(6,'Вводные'!$E$90)),0)</x:f>
      </x:c>
      <x:c r="BH86" s="117" t="n">
        <x:f>IF(AND(BH$3&gt;=EDATE($B$75,-MIN(6,'Вводные'!$E$90)),BH$3&lt;$B$75),$B$86/MAX(1,MIN(6,'Вводные'!$E$90)),0)</x:f>
      </x:c>
      <x:c r="BI86" s="117" t="n">
        <x:f>IF(AND(BI$3&gt;=EDATE($B$75,-MIN(6,'Вводные'!$E$90)),BI$3&lt;$B$75),$B$86/MAX(1,MIN(6,'Вводные'!$E$90)),0)</x:f>
      </x:c>
      <x:c r="BJ86" s="117" t="n">
        <x:f>IF(AND(BJ$3&gt;=EDATE($B$75,-MIN(6,'Вводные'!$E$90)),BJ$3&lt;$B$75),$B$86/MAX(1,MIN(6,'Вводные'!$E$90)),0)</x:f>
      </x:c>
      <x:c r="BK86" s="117" t="n">
        <x:f>IF(AND(BK$3&gt;=EDATE($B$75,-MIN(6,'Вводные'!$E$90)),BK$3&lt;$B$75),$B$86/MAX(1,MIN(6,'Вводные'!$E$90)),0)</x:f>
      </x:c>
      <x:c r="BL86" s="117" t="n">
        <x:f>IF(AND(BL$3&gt;=EDATE($B$75,-MIN(6,'Вводные'!$E$90)),BL$3&lt;$B$75),$B$86/MAX(1,MIN(6,'Вводные'!$E$90)),0)</x:f>
      </x:c>
      <x:c r="BM86" s="117" t="n">
        <x:f>IF(AND(BM$3&gt;=EDATE($B$75,-MIN(6,'Вводные'!$E$90)),BM$3&lt;$B$75),$B$86/MAX(1,MIN(6,'Вводные'!$E$90)),0)</x:f>
      </x:c>
      <x:c r="BN86" s="117" t="n">
        <x:f>IF(AND(BN$3&gt;=EDATE($B$75,-MIN(6,'Вводные'!$E$90)),BN$3&lt;$B$75),$B$86/MAX(1,MIN(6,'Вводные'!$E$90)),0)</x:f>
      </x:c>
      <x:c r="BO86" s="117" t="n">
        <x:f>IF(AND(BO$3&gt;=EDATE($B$75,-MIN(6,'Вводные'!$E$90)),BO$3&lt;$B$75),$B$86/MAX(1,MIN(6,'Вводные'!$E$90)),0)</x:f>
      </x:c>
      <x:c r="BP86" s="117" t="n">
        <x:f>IF(AND(BP$3&gt;=EDATE($B$75,-MIN(6,'Вводные'!$E$90)),BP$3&lt;$B$75),$B$86/MAX(1,MIN(6,'Вводные'!$E$90)),0)</x:f>
      </x:c>
      <x:c r="BQ86" s="117" t="n">
        <x:f>IF(AND(BQ$3&gt;=EDATE($B$75,-MIN(6,'Вводные'!$E$90)),BQ$3&lt;$B$75),$B$86/MAX(1,MIN(6,'Вводные'!$E$90)),0)</x:f>
      </x:c>
      <x:c r="BR86" s="117" t="n">
        <x:f>IF(AND(BR$3&gt;=EDATE($B$75,-MIN(6,'Вводные'!$E$90)),BR$3&lt;$B$75),$B$86/MAX(1,MIN(6,'Вводные'!$E$90)),0)</x:f>
      </x:c>
      <x:c r="BS86" s="117" t="n">
        <x:f>IF(AND(BS$3&gt;=EDATE($B$75,-MIN(6,'Вводные'!$E$90)),BS$3&lt;$B$75),$B$86/MAX(1,MIN(6,'Вводные'!$E$90)),0)</x:f>
      </x:c>
      <x:c r="BT86" s="117" t="n">
        <x:f>IF(AND(BT$3&gt;=EDATE($B$75,-MIN(6,'Вводные'!$E$90)),BT$3&lt;$B$75),$B$86/MAX(1,MIN(6,'Вводные'!$E$90)),0)</x:f>
      </x:c>
      <x:c r="BU86" s="117" t="n">
        <x:f>IF(AND(BU$3&gt;=EDATE($B$75,-MIN(6,'Вводные'!$E$90)),BU$3&lt;$B$75),$B$86/MAX(1,MIN(6,'Вводные'!$E$90)),0)</x:f>
      </x:c>
      <x:c r="BV86" s="117" t="n">
        <x:f>IF(AND(BV$3&gt;=EDATE($B$75,-MIN(6,'Вводные'!$E$90)),BV$3&lt;$B$75),$B$86/MAX(1,MIN(6,'Вводные'!$E$90)),0)</x:f>
      </x:c>
      <x:c r="BW86" s="117" t="n">
        <x:f>IF(AND(BW$3&gt;=EDATE($B$75,-MIN(6,'Вводные'!$E$90)),BW$3&lt;$B$75),$B$86/MAX(1,MIN(6,'Вводные'!$E$90)),0)</x:f>
      </x:c>
      <x:c r="BX86" s="117" t="n">
        <x:f>IF(AND(BX$3&gt;=EDATE($B$75,-MIN(6,'Вводные'!$E$90)),BX$3&lt;$B$75),$B$86/MAX(1,MIN(6,'Вводные'!$E$90)),0)</x:f>
      </x:c>
      <x:c r="BY86" s="117" t="n">
        <x:f>IF(AND(BY$3&gt;=EDATE($B$75,-MIN(6,'Вводные'!$E$90)),BY$3&lt;$B$75),$B$86/MAX(1,MIN(6,'Вводные'!$E$90)),0)</x:f>
      </x:c>
      <x:c r="BZ86" s="117" t="n">
        <x:f>IF(AND(BZ$3&gt;=EDATE($B$75,-MIN(6,'Вводные'!$E$90)),BZ$3&lt;$B$75),$B$86/MAX(1,MIN(6,'Вводные'!$E$90)),0)</x:f>
      </x:c>
      <x:c r="CA86" s="117" t="n">
        <x:f>IF(AND(CA$3&gt;=EDATE($B$75,-MIN(6,'Вводные'!$E$90)),CA$3&lt;$B$75),$B$86/MAX(1,MIN(6,'Вводные'!$E$90)),0)</x:f>
      </x:c>
      <x:c r="CB86" s="117" t="n">
        <x:f>IF(AND(CB$3&gt;=EDATE($B$75,-MIN(6,'Вводные'!$E$90)),CB$3&lt;$B$75),$B$86/MAX(1,MIN(6,'Вводные'!$E$90)),0)</x:f>
      </x:c>
      <x:c r="CC86" s="117" t="n">
        <x:f>IF(AND(CC$3&gt;=EDATE($B$75,-MIN(6,'Вводные'!$E$90)),CC$3&lt;$B$75),$B$86/MAX(1,MIN(6,'Вводные'!$E$90)),0)</x:f>
      </x:c>
      <x:c r="CD86" s="117" t="n">
        <x:f>IF(AND(CD$3&gt;=EDATE($B$75,-MIN(6,'Вводные'!$E$90)),CD$3&lt;$B$75),$B$86/MAX(1,MIN(6,'Вводные'!$E$90)),0)</x:f>
      </x:c>
      <x:c r="CE86" s="117" t="n">
        <x:f>IF(AND(CE$3&gt;=EDATE($B$75,-MIN(6,'Вводные'!$E$90)),CE$3&lt;$B$75),$B$86/MAX(1,MIN(6,'Вводные'!$E$90)),0)</x:f>
      </x:c>
      <x:c r="CF86" s="117" t="n">
        <x:f>IF(AND(CF$3&gt;=EDATE($B$75,-MIN(6,'Вводные'!$E$90)),CF$3&lt;$B$75),$B$86/MAX(1,MIN(6,'Вводные'!$E$90)),0)</x:f>
      </x:c>
      <x:c r="CG86" s="117" t="n">
        <x:f>IF(AND(CG$3&gt;=EDATE($B$75,-MIN(6,'Вводные'!$E$90)),CG$3&lt;$B$75),$B$86/MAX(1,MIN(6,'Вводные'!$E$90)),0)</x:f>
      </x:c>
      <x:c r="CH86" s="117" t="n">
        <x:f>IF(AND(CH$3&gt;=EDATE($B$75,-MIN(6,'Вводные'!$E$90)),CH$3&lt;$B$75),$B$86/MAX(1,MIN(6,'Вводные'!$E$90)),0)</x:f>
      </x:c>
      <x:c r="CI86" s="117" t="n">
        <x:f>IF(AND(CI$3&gt;=EDATE($B$75,-MIN(6,'Вводные'!$E$90)),CI$3&lt;$B$75),$B$86/MAX(1,MIN(6,'Вводные'!$E$90)),0)</x:f>
      </x:c>
      <x:c r="CJ86" s="117" t="n">
        <x:f>IF(AND(CJ$3&gt;=EDATE($B$75,-MIN(6,'Вводные'!$E$90)),CJ$3&lt;$B$75),$B$86/MAX(1,MIN(6,'Вводные'!$E$90)),0)</x:f>
      </x:c>
      <x:c r="CK86" s="117" t="n">
        <x:f>IF(AND(CK$3&gt;=EDATE($B$75,-MIN(6,'Вводные'!$E$90)),CK$3&lt;$B$75),$B$86/MAX(1,MIN(6,'Вводные'!$E$90)),0)</x:f>
      </x:c>
      <x:c r="CL86" s="117" t="n">
        <x:f>IF(AND(CL$3&gt;=EDATE($B$75,-MIN(6,'Вводные'!$E$90)),CL$3&lt;$B$75),$B$86/MAX(1,MIN(6,'Вводные'!$E$90)),0)</x:f>
      </x:c>
      <x:c r="CM86" s="117" t="n">
        <x:f>IF(AND(CM$3&gt;=EDATE($B$75,-MIN(6,'Вводные'!$E$90)),CM$3&lt;$B$75),$B$86/MAX(1,MIN(6,'Вводные'!$E$90)),0)</x:f>
      </x:c>
      <x:c r="CN86" s="117" t="n">
        <x:f>IF(AND(CN$3&gt;=EDATE($B$75,-MIN(6,'Вводные'!$E$90)),CN$3&lt;$B$75),$B$86/MAX(1,MIN(6,'Вводные'!$E$90)),0)</x:f>
      </x:c>
      <x:c r="CO86" s="117" t="n">
        <x:f>IF(AND(CO$3&gt;=EDATE($B$75,-MIN(6,'Вводные'!$E$90)),CO$3&lt;$B$75),$B$86/MAX(1,MIN(6,'Вводные'!$E$90)),0)</x:f>
      </x:c>
      <x:c r="CP86" s="117" t="n">
        <x:f>IF(AND(CP$3&gt;=EDATE($B$75,-MIN(6,'Вводные'!$E$90)),CP$3&lt;$B$75),$B$86/MAX(1,MIN(6,'Вводные'!$E$90)),0)</x:f>
      </x:c>
      <x:c r="CQ86" s="117" t="n">
        <x:f>IF(AND(CQ$3&gt;=EDATE($B$75,-MIN(6,'Вводные'!$E$90)),CQ$3&lt;$B$75),$B$86/MAX(1,MIN(6,'Вводные'!$E$90)),0)</x:f>
      </x:c>
      <x:c r="CR86" s="117" t="n">
        <x:f>IF(AND(CR$3&gt;=EDATE($B$75,-MIN(6,'Вводные'!$E$90)),CR$3&lt;$B$75),$B$86/MAX(1,MIN(6,'Вводные'!$E$90)),0)</x:f>
      </x:c>
      <x:c r="CS86" s="117" t="n">
        <x:f>IF(AND(CS$3&gt;=EDATE($B$75,-MIN(6,'Вводные'!$E$90)),CS$3&lt;$B$75),$B$86/MAX(1,MIN(6,'Вводные'!$E$90)),0)</x:f>
      </x:c>
      <x:c r="CT86" s="117" t="n">
        <x:f>IF(AND(CT$3&gt;=EDATE($B$75,-MIN(6,'Вводные'!$E$90)),CT$3&lt;$B$75),$B$86/MAX(1,MIN(6,'Вводные'!$E$90)),0)</x:f>
      </x:c>
      <x:c r="CU86" s="117" t="n">
        <x:f>IF(AND(CU$3&gt;=EDATE($B$75,-MIN(6,'Вводные'!$E$90)),CU$3&lt;$B$75),$B$86/MAX(1,MIN(6,'Вводные'!$E$90)),0)</x:f>
      </x:c>
      <x:c r="CV86" s="117" t="n">
        <x:f>IF(AND(CV$3&gt;=EDATE($B$75,-MIN(6,'Вводные'!$E$90)),CV$3&lt;$B$75),$B$86/MAX(1,MIN(6,'Вводные'!$E$90)),0)</x:f>
      </x:c>
      <x:c r="CW86" s="117" t="n">
        <x:f>IF(AND(CW$3&gt;=EDATE($B$75,-MIN(6,'Вводные'!$E$90)),CW$3&lt;$B$75),$B$86/MAX(1,MIN(6,'Вводные'!$E$90)),0)</x:f>
      </x:c>
      <x:c r="CX86" s="117" t="n">
        <x:f>IF(AND(CX$3&gt;=EDATE($B$75,-MIN(6,'Вводные'!$E$90)),CX$3&lt;$B$75),$B$86/MAX(1,MIN(6,'Вводные'!$E$90)),0)</x:f>
      </x:c>
      <x:c r="CY86" s="117" t="n">
        <x:f>IF(AND(CY$3&gt;=EDATE($B$75,-MIN(6,'Вводные'!$E$90)),CY$3&lt;$B$75),$B$86/MAX(1,MIN(6,'Вводные'!$E$90)),0)</x:f>
      </x:c>
      <x:c r="CZ86" s="117" t="n">
        <x:f>IF(AND(CZ$3&gt;=EDATE($B$75,-MIN(6,'Вводные'!$E$90)),CZ$3&lt;$B$75),$B$86/MAX(1,MIN(6,'Вводные'!$E$90)),0)</x:f>
      </x:c>
      <x:c r="DA86" s="117" t="n">
        <x:f>IF(AND(DA$3&gt;=EDATE($B$75,-MIN(6,'Вводные'!$E$90)),DA$3&lt;$B$75),$B$86/MAX(1,MIN(6,'Вводные'!$E$90)),0)</x:f>
      </x:c>
      <x:c r="DB86" s="117" t="n">
        <x:f>IF(AND(DB$3&gt;=EDATE($B$75,-MIN(6,'Вводные'!$E$90)),DB$3&lt;$B$75),$B$86/MAX(1,MIN(6,'Вводные'!$E$90)),0)</x:f>
      </x:c>
      <x:c r="DC86" s="117" t="n">
        <x:f>IF(AND(DC$3&gt;=EDATE($B$75,-MIN(6,'Вводные'!$E$90)),DC$3&lt;$B$75),$B$86/MAX(1,MIN(6,'Вводные'!$E$90)),0)</x:f>
      </x:c>
      <x:c r="DD86" s="117" t="n">
        <x:f>IF(AND(DD$3&gt;=EDATE($B$75,-MIN(6,'Вводные'!$E$90)),DD$3&lt;$B$75),$B$86/MAX(1,MIN(6,'Вводные'!$E$90)),0)</x:f>
      </x:c>
      <x:c r="DE86" s="117" t="n">
        <x:f>IF(AND(DE$3&gt;=EDATE($B$75,-MIN(6,'Вводные'!$E$90)),DE$3&lt;$B$75),$B$86/MAX(1,MIN(6,'Вводные'!$E$90)),0)</x:f>
      </x:c>
      <x:c r="DF86" s="117" t="n">
        <x:f>IF(AND(DF$3&gt;=EDATE($B$75,-MIN(6,'Вводные'!$E$90)),DF$3&lt;$B$75),$B$86/MAX(1,MIN(6,'Вводные'!$E$90)),0)</x:f>
      </x:c>
      <x:c r="DG86" s="117" t="n">
        <x:f>IF(AND(DG$3&gt;=EDATE($B$75,-MIN(6,'Вводные'!$E$90)),DG$3&lt;$B$75),$B$86/MAX(1,MIN(6,'Вводные'!$E$90)),0)</x:f>
      </x:c>
      <x:c r="DH86" s="117" t="n">
        <x:f>IF(AND(DH$3&gt;=EDATE($B$75,-MIN(6,'Вводные'!$E$90)),DH$3&lt;$B$75),$B$86/MAX(1,MIN(6,'Вводные'!$E$90)),0)</x:f>
      </x:c>
      <x:c r="DI86" s="117" t="n">
        <x:f>IF(AND(DI$3&gt;=EDATE($B$75,-MIN(6,'Вводные'!$E$90)),DI$3&lt;$B$75),$B$86/MAX(1,MIN(6,'Вводные'!$E$90)),0)</x:f>
      </x:c>
      <x:c r="DJ86" s="117" t="n">
        <x:f>IF(AND(DJ$3&gt;=EDATE($B$75,-MIN(6,'Вводные'!$E$90)),DJ$3&lt;$B$75),$B$86/MAX(1,MIN(6,'Вводные'!$E$90)),0)</x:f>
      </x:c>
      <x:c r="DK86" s="117" t="n">
        <x:f>IF(AND(DK$3&gt;=EDATE($B$75,-MIN(6,'Вводные'!$E$90)),DK$3&lt;$B$75),$B$86/MAX(1,MIN(6,'Вводные'!$E$90)),0)</x:f>
      </x:c>
      <x:c r="DL86" s="117" t="n">
        <x:f>IF(AND(DL$3&gt;=EDATE($B$75,-MIN(6,'Вводные'!$E$90)),DL$3&lt;$B$75),$B$86/MAX(1,MIN(6,'Вводные'!$E$90)),0)</x:f>
      </x:c>
      <x:c r="DM86" s="117" t="n">
        <x:f>IF(AND(DM$3&gt;=EDATE($B$75,-MIN(6,'Вводные'!$E$90)),DM$3&lt;$B$75),$B$86/MAX(1,MIN(6,'Вводные'!$E$90)),0)</x:f>
      </x:c>
      <x:c r="DN86" s="117" t="n">
        <x:f>IF(AND(DN$3&gt;=EDATE($B$75,-MIN(6,'Вводные'!$E$90)),DN$3&lt;$B$75),$B$86/MAX(1,MIN(6,'Вводные'!$E$90)),0)</x:f>
      </x:c>
      <x:c r="DO86" s="117" t="n">
        <x:f>IF(AND(DO$3&gt;=EDATE($B$75,-MIN(6,'Вводные'!$E$90)),DO$3&lt;$B$75),$B$86/MAX(1,MIN(6,'Вводные'!$E$90)),0)</x:f>
      </x:c>
      <x:c r="DP86" s="117" t="n">
        <x:f>IF(AND(DP$3&gt;=EDATE($B$75,-MIN(6,'Вводные'!$E$90)),DP$3&lt;$B$75),$B$86/MAX(1,MIN(6,'Вводные'!$E$90)),0)</x:f>
      </x:c>
      <x:c r="DQ86" s="117" t="n">
        <x:f>IF(AND(DQ$3&gt;=EDATE($B$75,-MIN(6,'Вводные'!$E$90)),DQ$3&lt;$B$75),$B$86/MAX(1,MIN(6,'Вводные'!$E$90)),0)</x:f>
      </x:c>
      <x:c r="DR86" s="117" t="n">
        <x:f>IF(AND(DR$3&gt;=EDATE($B$75,-MIN(6,'Вводные'!$E$90)),DR$3&lt;$B$75),$B$86/MAX(1,MIN(6,'Вводные'!$E$90)),0)</x:f>
      </x:c>
      <x:c r="DS86" s="117" t="n">
        <x:f>IF(AND(DS$3&gt;=EDATE($B$75,-MIN(6,'Вводные'!$E$90)),DS$3&lt;$B$75),$B$86/MAX(1,MIN(6,'Вводные'!$E$90)),0)</x:f>
      </x:c>
      <x:c r="DT86" s="117" t="n">
        <x:f>IF(AND(DT$3&gt;=EDATE($B$75,-MIN(6,'Вводные'!$E$90)),DT$3&lt;$B$75),$B$86/MAX(1,MIN(6,'Вводные'!$E$90)),0)</x:f>
      </x:c>
      <x:c r="DU86" s="117" t="n">
        <x:f>IF(AND(DU$3&gt;=EDATE($B$75,-MIN(6,'Вводные'!$E$90)),DU$3&lt;$B$75),$B$86/MAX(1,MIN(6,'Вводные'!$E$90)),0)</x:f>
      </x:c>
      <x:c r="DV86" s="117" t="n">
        <x:f>IF(AND(DV$3&gt;=EDATE($B$75,-MIN(6,'Вводные'!$E$90)),DV$3&lt;$B$75),$B$86/MAX(1,MIN(6,'Вводные'!$E$90)),0)</x:f>
      </x:c>
      <x:c r="DW86" s="117" t="n">
        <x:f>IF(AND(DW$3&gt;=EDATE($B$75,-MIN(6,'Вводные'!$E$90)),DW$3&lt;$B$75),$B$86/MAX(1,MIN(6,'Вводные'!$E$90)),0)</x:f>
      </x:c>
      <x:c r="DX86" s="117" t="n">
        <x:f>IF(AND(DX$3&gt;=EDATE($B$75,-MIN(6,'Вводные'!$E$90)),DX$3&lt;$B$75),$B$86/MAX(1,MIN(6,'Вводные'!$E$90)),0)</x:f>
      </x:c>
      <x:c r="DY86" s="117" t="n">
        <x:f>IF(AND(DY$3&gt;=EDATE($B$75,-MIN(6,'Вводные'!$E$90)),DY$3&lt;$B$75),$B$86/MAX(1,MIN(6,'Вводные'!$E$90)),0)</x:f>
      </x:c>
      <x:c r="DZ86" s="117" t="n">
        <x:f>IF(AND(DZ$3&gt;=EDATE($B$75,-MIN(6,'Вводные'!$E$90)),DZ$3&lt;$B$75),$B$86/MAX(1,MIN(6,'Вводные'!$E$90)),0)</x:f>
      </x:c>
      <x:c r="EA86" s="117" t="n">
        <x:f>IF(AND(EA$3&gt;=EDATE($B$75,-MIN(6,'Вводные'!$E$90)),EA$3&lt;$B$75),$B$86/MAX(1,MIN(6,'Вводные'!$E$90)),0)</x:f>
      </x:c>
      <x:c r="EB86" s="117" t="n">
        <x:f>IF(AND(EB$3&gt;=EDATE($B$75,-MIN(6,'Вводные'!$E$90)),EB$3&lt;$B$75),$B$86/MAX(1,MIN(6,'Вводные'!$E$90)),0)</x:f>
      </x:c>
      <x:c r="EC86" s="117" t="n">
        <x:f>IF(AND(EC$3&gt;=EDATE($B$75,-MIN(6,'Вводные'!$E$90)),EC$3&lt;$B$75),$B$86/MAX(1,MIN(6,'Вводные'!$E$90)),0)</x:f>
      </x:c>
      <x:c r="ED86" s="117" t="n">
        <x:f>IF(AND(ED$3&gt;=EDATE($B$75,-MIN(6,'Вводные'!$E$90)),ED$3&lt;$B$75),$B$86/MAX(1,MIN(6,'Вводные'!$E$90)),0)</x:f>
      </x:c>
      <x:c r="EE86" s="117" t="n">
        <x:f>IF(AND(EE$3&gt;=EDATE($B$75,-MIN(6,'Вводные'!$E$90)),EE$3&lt;$B$75),$B$86/MAX(1,MIN(6,'Вводные'!$E$90)),0)</x:f>
      </x:c>
      <x:c r="EF86" s="117" t="n">
        <x:f>IF(AND(EF$3&gt;=EDATE($B$75,-MIN(6,'Вводные'!$E$90)),EF$3&lt;$B$75),$B$86/MAX(1,MIN(6,'Вводные'!$E$90)),0)</x:f>
      </x:c>
      <x:c r="EG86" s="117" t="n">
        <x:f>IF(AND(EG$3&gt;=EDATE($B$75,-MIN(6,'Вводные'!$E$90)),EG$3&lt;$B$75),$B$86/MAX(1,MIN(6,'Вводные'!$E$90)),0)</x:f>
      </x:c>
      <x:c r="EH86" s="117" t="n">
        <x:f>IF(AND(EH$3&gt;=EDATE($B$75,-MIN(6,'Вводные'!$E$90)),EH$3&lt;$B$75),$B$86/MAX(1,MIN(6,'Вводные'!$E$90)),0)</x:f>
      </x:c>
      <x:c r="EI86" s="117" t="n">
        <x:f>IF(AND(EI$3&gt;=EDATE($B$75,-MIN(6,'Вводные'!$E$90)),EI$3&lt;$B$75),$B$86/MAX(1,MIN(6,'Вводные'!$E$90)),0)</x:f>
      </x:c>
      <x:c r="EJ86" s="117" t="n">
        <x:f>IF(AND(EJ$3&gt;=EDATE($B$75,-MIN(6,'Вводные'!$E$90)),EJ$3&lt;$B$75),$B$86/MAX(1,MIN(6,'Вводные'!$E$90)),0)</x:f>
      </x:c>
      <x:c r="EK86" s="117" t="n">
        <x:f>IF(AND(EK$3&gt;=EDATE($B$75,-MIN(6,'Вводные'!$E$90)),EK$3&lt;$B$75),$B$86/MAX(1,MIN(6,'Вводные'!$E$90)),0)</x:f>
      </x:c>
      <x:c r="EL86" s="117" t="n">
        <x:f>IF(AND(EL$3&gt;=EDATE($B$75,-MIN(6,'Вводные'!$E$90)),EL$3&lt;$B$75),$B$86/MAX(1,MIN(6,'Вводные'!$E$90)),0)</x:f>
      </x:c>
      <x:c r="EM86" s="117" t="n">
        <x:f>IF(AND(EM$3&gt;=EDATE($B$75,-MIN(6,'Вводные'!$E$90)),EM$3&lt;$B$75),$B$86/MAX(1,MIN(6,'Вводные'!$E$90)),0)</x:f>
      </x:c>
      <x:c r="EN86" s="117" t="n">
        <x:f>IF(AND(EN$3&gt;=EDATE($B$75,-MIN(6,'Вводные'!$E$90)),EN$3&lt;$B$75),$B$86/MAX(1,MIN(6,'Вводные'!$E$90)),0)</x:f>
      </x:c>
      <x:c r="EO86" s="117" t="n">
        <x:f>IF(AND(EO$3&gt;=EDATE($B$75,-MIN(6,'Вводные'!$E$90)),EO$3&lt;$B$75),$B$86/MAX(1,MIN(6,'Вводные'!$E$90)),0)</x:f>
      </x:c>
      <x:c r="EP86" s="117" t="n">
        <x:f>IF(AND(EP$3&gt;=EDATE($B$75,-MIN(6,'Вводные'!$E$90)),EP$3&lt;$B$75),$B$86/MAX(1,MIN(6,'Вводные'!$E$90)),0)</x:f>
      </x:c>
      <x:c r="EQ86" s="117" t="n">
        <x:f>IF(AND(EQ$3&gt;=EDATE($B$75,-MIN(6,'Вводные'!$E$90)),EQ$3&lt;$B$75),$B$86/MAX(1,MIN(6,'Вводные'!$E$90)),0)</x:f>
      </x:c>
      <x:c r="ER86" s="117" t="n">
        <x:f>IF(AND(ER$3&gt;=EDATE($B$75,-MIN(6,'Вводные'!$E$90)),ER$3&lt;$B$75),$B$86/MAX(1,MIN(6,'Вводные'!$E$90)),0)</x:f>
      </x:c>
      <x:c r="ES86" s="117" t="n">
        <x:f>IF(AND(ES$3&gt;=EDATE($B$75,-MIN(6,'Вводные'!$E$90)),ES$3&lt;$B$75),$B$86/MAX(1,MIN(6,'Вводные'!$E$90)),0)</x:f>
      </x:c>
      <x:c r="ET86" s="117" t="n">
        <x:f>IF(AND(ET$3&gt;=EDATE($B$75,-MIN(6,'Вводные'!$E$90)),ET$3&lt;$B$75),$B$86/MAX(1,MIN(6,'Вводные'!$E$90)),0)</x:f>
      </x:c>
      <x:c r="EU86" s="117" t="n">
        <x:f>IF(AND(EU$3&gt;=EDATE($B$75,-MIN(6,'Вводные'!$E$90)),EU$3&lt;$B$75),$B$86/MAX(1,MIN(6,'Вводные'!$E$90)),0)</x:f>
      </x:c>
      <x:c r="EV86" s="117" t="n">
        <x:f>IF(AND(EV$3&gt;=EDATE($B$75,-MIN(6,'Вводные'!$E$90)),EV$3&lt;$B$75),$B$86/MAX(1,MIN(6,'Вводные'!$E$90)),0)</x:f>
      </x:c>
      <x:c r="EW86" s="117" t="n">
        <x:f>IF(AND(EW$3&gt;=EDATE($B$75,-MIN(6,'Вводные'!$E$90)),EW$3&lt;$B$75),$B$86/MAX(1,MIN(6,'Вводные'!$E$90)),0)</x:f>
      </x:c>
      <x:c r="EX86" s="117" t="n">
        <x:f>IF(AND(EX$3&gt;=EDATE($B$75,-MIN(6,'Вводные'!$E$90)),EX$3&lt;$B$75),$B$86/MAX(1,MIN(6,'Вводные'!$E$90)),0)</x:f>
      </x:c>
      <x:c r="EY86" s="117" t="n">
        <x:f>IF(AND(EY$3&gt;=EDATE($B$75,-MIN(6,'Вводные'!$E$90)),EY$3&lt;$B$75),$B$86/MAX(1,MIN(6,'Вводные'!$E$90)),0)</x:f>
      </x:c>
      <x:c r="EZ86" s="117" t="n">
        <x:f>IF(AND(EZ$3&gt;=EDATE($B$75,-MIN(6,'Вводные'!$E$90)),EZ$3&lt;$B$75),$B$86/MAX(1,MIN(6,'Вводные'!$E$90)),0)</x:f>
      </x:c>
      <x:c r="FA86" s="117" t="n">
        <x:f>IF(AND(FA$3&gt;=EDATE($B$75,-MIN(6,'Вводные'!$E$90)),FA$3&lt;$B$75),$B$86/MAX(1,MIN(6,'Вводные'!$E$90)),0)</x:f>
      </x:c>
      <x:c r="FB86" s="117" t="n">
        <x:f>IF(AND(FB$3&gt;=EDATE($B$75,-MIN(6,'Вводные'!$E$90)),FB$3&lt;$B$75),$B$86/MAX(1,MIN(6,'Вводные'!$E$90)),0)</x:f>
      </x:c>
      <x:c r="FC86" s="117" t="n">
        <x:f>IF(AND(FC$3&gt;=EDATE($B$75,-MIN(6,'Вводные'!$E$90)),FC$3&lt;$B$75),$B$86/MAX(1,MIN(6,'Вводные'!$E$90)),0)</x:f>
      </x:c>
      <x:c r="FD86" s="117" t="n">
        <x:f>IF(AND(FD$3&gt;=EDATE($B$75,-MIN(6,'Вводные'!$E$90)),FD$3&lt;$B$75),$B$86/MAX(1,MIN(6,'Вводные'!$E$90)),0)</x:f>
      </x:c>
      <x:c r="FE86" s="117" t="n">
        <x:f>IF(AND(FE$3&gt;=EDATE($B$75,-MIN(6,'Вводные'!$E$90)),FE$3&lt;$B$75),$B$86/MAX(1,MIN(6,'Вводные'!$E$90)),0)</x:f>
      </x:c>
      <x:c r="FF86" s="117" t="n">
        <x:f>IF(AND(FF$3&gt;=EDATE($B$75,-MIN(6,'Вводные'!$E$90)),FF$3&lt;$B$75),$B$86/MAX(1,MIN(6,'Вводные'!$E$90)),0)</x:f>
      </x:c>
      <x:c r="FG86" s="117" t="n">
        <x:f>IF(AND(FG$3&gt;=EDATE($B$75,-MIN(6,'Вводные'!$E$90)),FG$3&lt;$B$75),$B$86/MAX(1,MIN(6,'Вводные'!$E$90)),0)</x:f>
      </x:c>
      <x:c r="FH86" s="117" t="n">
        <x:f>IF(AND(FH$3&gt;=EDATE($B$75,-MIN(6,'Вводные'!$E$90)),FH$3&lt;$B$75),$B$86/MAX(1,MIN(6,'Вводные'!$E$90)),0)</x:f>
      </x:c>
      <x:c r="FI86" s="117" t="n">
        <x:f>IF(AND(FI$3&gt;=EDATE($B$75,-MIN(6,'Вводные'!$E$90)),FI$3&lt;$B$75),$B$86/MAX(1,MIN(6,'Вводные'!$E$90)),0)</x:f>
      </x:c>
      <x:c r="FJ86" s="117" t="n">
        <x:f>IF(AND(FJ$3&gt;=EDATE($B$75,-MIN(6,'Вводные'!$E$90)),FJ$3&lt;$B$75),$B$86/MAX(1,MIN(6,'Вводные'!$E$90)),0)</x:f>
      </x:c>
      <x:c r="FK86" s="117" t="n">
        <x:f>IF(AND(FK$3&gt;=EDATE($B$75,-MIN(6,'Вводные'!$E$90)),FK$3&lt;$B$75),$B$86/MAX(1,MIN(6,'Вводные'!$E$90)),0)</x:f>
      </x:c>
      <x:c r="FL86" s="117" t="n">
        <x:f>IF(AND(FL$3&gt;=EDATE($B$75,-MIN(6,'Вводные'!$E$90)),FL$3&lt;$B$75),$B$86/MAX(1,MIN(6,'Вводные'!$E$90)),0)</x:f>
      </x:c>
      <x:c r="FM86" s="117" t="n">
        <x:f>IF(AND(FM$3&gt;=EDATE($B$75,-MIN(6,'Вводные'!$E$90)),FM$3&lt;$B$75),$B$86/MAX(1,MIN(6,'Вводные'!$E$90)),0)</x:f>
      </x:c>
      <x:c r="FN86" s="117" t="n">
        <x:f>IF(AND(FN$3&gt;=EDATE($B$75,-MIN(6,'Вводные'!$E$90)),FN$3&lt;$B$75),$B$86/MAX(1,MIN(6,'Вводные'!$E$90)),0)</x:f>
      </x:c>
      <x:c r="FO86" s="117" t="n">
        <x:f>IF(AND(FO$3&gt;=EDATE($B$75,-MIN(6,'Вводные'!$E$90)),FO$3&lt;$B$75),$B$86/MAX(1,MIN(6,'Вводные'!$E$90)),0)</x:f>
      </x:c>
      <x:c r="FP86" s="117" t="n">
        <x:f>IF(AND(FP$3&gt;=EDATE($B$75,-MIN(6,'Вводные'!$E$90)),FP$3&lt;$B$75),$B$86/MAX(1,MIN(6,'Вводные'!$E$90)),0)</x:f>
      </x:c>
      <x:c r="FQ86" s="117" t="n">
        <x:f>IF(AND(FQ$3&gt;=EDATE($B$75,-MIN(6,'Вводные'!$E$90)),FQ$3&lt;$B$75),$B$86/MAX(1,MIN(6,'Вводные'!$E$90)),0)</x:f>
      </x:c>
      <x:c r="FR86" s="117" t="n">
        <x:f>IF(AND(FR$3&gt;=EDATE($B$75,-MIN(6,'Вводные'!$E$90)),FR$3&lt;$B$75),$B$86/MAX(1,MIN(6,'Вводные'!$E$90)),0)</x:f>
      </x:c>
      <x:c r="FS86" s="117" t="n">
        <x:f>IF(AND(FS$3&gt;=EDATE($B$75,-MIN(6,'Вводные'!$E$90)),FS$3&lt;$B$75),$B$86/MAX(1,MIN(6,'Вводные'!$E$90)),0)</x:f>
      </x:c>
      <x:c r="FT86" s="117" t="n">
        <x:f>IF(AND(FT$3&gt;=EDATE($B$75,-MIN(6,'Вводные'!$E$90)),FT$3&lt;$B$75),$B$86/MAX(1,MIN(6,'Вводные'!$E$90)),0)</x:f>
      </x:c>
      <x:c r="FU86" s="117" t="n">
        <x:f>IF(AND(FU$3&gt;=EDATE($B$75,-MIN(6,'Вводные'!$E$90)),FU$3&lt;$B$75),$B$86/MAX(1,MIN(6,'Вводные'!$E$90)),0)</x:f>
      </x:c>
      <x:c r="FV86" s="117" t="n">
        <x:f>IF(AND(FV$3&gt;=EDATE($B$75,-MIN(6,'Вводные'!$E$90)),FV$3&lt;$B$75),$B$86/MAX(1,MIN(6,'Вводные'!$E$90)),0)</x:f>
      </x:c>
      <x:c r="FW86" s="117" t="n">
        <x:f>IF(AND(FW$3&gt;=EDATE($B$75,-MIN(6,'Вводные'!$E$90)),FW$3&lt;$B$75),$B$86/MAX(1,MIN(6,'Вводные'!$E$90)),0)</x:f>
      </x:c>
      <x:c r="FX86" s="117" t="n">
        <x:f>IF(AND(FX$3&gt;=EDATE($B$75,-MIN(6,'Вводные'!$E$90)),FX$3&lt;$B$75),$B$86/MAX(1,MIN(6,'Вводные'!$E$90)),0)</x:f>
      </x:c>
      <x:c r="FY86" s="117" t="n">
        <x:f>IF(AND(FY$3&gt;=EDATE($B$75,-MIN(6,'Вводные'!$E$90)),FY$3&lt;$B$75),$B$86/MAX(1,MIN(6,'Вводные'!$E$90)),0)</x:f>
      </x:c>
      <x:c r="FZ86" s="117" t="n">
        <x:f>IF(AND(FZ$3&gt;=EDATE($B$75,-MIN(6,'Вводные'!$E$90)),FZ$3&lt;$B$75),$B$86/MAX(1,MIN(6,'Вводные'!$E$90)),0)</x:f>
      </x:c>
      <x:c r="GA86" s="117" t="n">
        <x:f>IF(AND(GA$3&gt;=EDATE($B$75,-MIN(6,'Вводные'!$E$90)),GA$3&lt;$B$75),$B$86/MAX(1,MIN(6,'Вводные'!$E$90)),0)</x:f>
      </x:c>
    </x:row>
    <x:row r="87">
      <x:c r="A87" t="str">
        <x:v>Авторский надзор</x:v>
      </x:c>
      <x:c r="B87" s="107" t="n">
        <x:f>SUM(B85:B86)*'Вводные'!$B$51</x:f>
      </x:c>
      <x:c r="C87" t="str">
        <x:v>млн ₽</x:v>
      </x:c>
      <x:c r="D87" s="117" t="n">
        <x:f>$B$87*D81</x:f>
      </x:c>
      <x:c r="E87" s="117" t="n">
        <x:f>$B$87*E81</x:f>
      </x:c>
      <x:c r="F87" s="117" t="n">
        <x:f>$B$87*F81</x:f>
      </x:c>
      <x:c r="G87" s="117" t="n">
        <x:f>$B$87*G81</x:f>
      </x:c>
      <x:c r="H87" s="117" t="n">
        <x:f>$B$87*H81</x:f>
      </x:c>
      <x:c r="I87" s="117" t="n">
        <x:f>$B$87*I81</x:f>
      </x:c>
      <x:c r="J87" s="117" t="n">
        <x:f>$B$87*J81</x:f>
      </x:c>
      <x:c r="K87" s="117" t="n">
        <x:f>$B$87*K81</x:f>
      </x:c>
      <x:c r="L87" s="117" t="n">
        <x:f>$B$87*L81</x:f>
      </x:c>
      <x:c r="M87" s="117" t="n">
        <x:f>$B$87*M81</x:f>
      </x:c>
      <x:c r="N87" s="117" t="n">
        <x:f>$B$87*N81</x:f>
      </x:c>
      <x:c r="O87" s="117" t="n">
        <x:f>$B$87*O81</x:f>
      </x:c>
      <x:c r="P87" s="117" t="n">
        <x:f>$B$87*P81</x:f>
      </x:c>
      <x:c r="Q87" s="117" t="n">
        <x:f>$B$87*Q81</x:f>
      </x:c>
      <x:c r="R87" s="117" t="n">
        <x:f>$B$87*R81</x:f>
      </x:c>
      <x:c r="S87" s="117" t="n">
        <x:f>$B$87*S81</x:f>
      </x:c>
      <x:c r="T87" s="117" t="n">
        <x:f>$B$87*T81</x:f>
      </x:c>
      <x:c r="U87" s="117" t="n">
        <x:f>$B$87*U81</x:f>
      </x:c>
      <x:c r="V87" s="117" t="n">
        <x:f>$B$87*V81</x:f>
      </x:c>
      <x:c r="W87" s="117" t="n">
        <x:f>$B$87*W81</x:f>
      </x:c>
      <x:c r="X87" s="117" t="n">
        <x:f>$B$87*X81</x:f>
      </x:c>
      <x:c r="Y87" s="117" t="n">
        <x:f>$B$87*Y81</x:f>
      </x:c>
      <x:c r="Z87" s="117" t="n">
        <x:f>$B$87*Z81</x:f>
      </x:c>
      <x:c r="AA87" s="117" t="n">
        <x:f>$B$87*AA81</x:f>
      </x:c>
      <x:c r="AB87" s="117" t="n">
        <x:f>$B$87*AB81</x:f>
      </x:c>
      <x:c r="AC87" s="117" t="n">
        <x:f>$B$87*AC81</x:f>
      </x:c>
      <x:c r="AD87" s="117" t="n">
        <x:f>$B$87*AD81</x:f>
      </x:c>
      <x:c r="AE87" s="117" t="n">
        <x:f>$B$87*AE81</x:f>
      </x:c>
      <x:c r="AF87" s="117" t="n">
        <x:f>$B$87*AF81</x:f>
      </x:c>
      <x:c r="AG87" s="117" t="n">
        <x:f>$B$87*AG81</x:f>
      </x:c>
      <x:c r="AH87" s="117" t="n">
        <x:f>$B$87*AH81</x:f>
      </x:c>
      <x:c r="AI87" s="117" t="n">
        <x:f>$B$87*AI81</x:f>
      </x:c>
      <x:c r="AJ87" s="117" t="n">
        <x:f>$B$87*AJ81</x:f>
      </x:c>
      <x:c r="AK87" s="117" t="n">
        <x:f>$B$87*AK81</x:f>
      </x:c>
      <x:c r="AL87" s="117" t="n">
        <x:f>$B$87*AL81</x:f>
      </x:c>
      <x:c r="AM87" s="117" t="n">
        <x:f>$B$87*AM81</x:f>
      </x:c>
      <x:c r="AN87" s="117" t="n">
        <x:f>$B$87*AN81</x:f>
      </x:c>
      <x:c r="AO87" s="117" t="n">
        <x:f>$B$87*AO81</x:f>
      </x:c>
      <x:c r="AP87" s="117" t="n">
        <x:f>$B$87*AP81</x:f>
      </x:c>
      <x:c r="AQ87" s="117" t="n">
        <x:f>$B$87*AQ81</x:f>
      </x:c>
      <x:c r="AR87" s="117" t="n">
        <x:f>$B$87*AR81</x:f>
      </x:c>
      <x:c r="AS87" s="117" t="n">
        <x:f>$B$87*AS81</x:f>
      </x:c>
      <x:c r="AT87" s="117" t="n">
        <x:f>$B$87*AT81</x:f>
      </x:c>
      <x:c r="AU87" s="117" t="n">
        <x:f>$B$87*AU81</x:f>
      </x:c>
      <x:c r="AV87" s="117" t="n">
        <x:f>$B$87*AV81</x:f>
      </x:c>
      <x:c r="AW87" s="117" t="n">
        <x:f>$B$87*AW81</x:f>
      </x:c>
      <x:c r="AX87" s="117" t="n">
        <x:f>$B$87*AX81</x:f>
      </x:c>
      <x:c r="AY87" s="117" t="n">
        <x:f>$B$87*AY81</x:f>
      </x:c>
      <x:c r="AZ87" s="117" t="n">
        <x:f>$B$87*AZ81</x:f>
      </x:c>
      <x:c r="BA87" s="117" t="n">
        <x:f>$B$87*BA81</x:f>
      </x:c>
      <x:c r="BB87" s="117" t="n">
        <x:f>$B$87*BB81</x:f>
      </x:c>
      <x:c r="BC87" s="117" t="n">
        <x:f>$B$87*BC81</x:f>
      </x:c>
      <x:c r="BD87" s="117" t="n">
        <x:f>$B$87*BD81</x:f>
      </x:c>
      <x:c r="BE87" s="117" t="n">
        <x:f>$B$87*BE81</x:f>
      </x:c>
      <x:c r="BF87" s="117" t="n">
        <x:f>$B$87*BF81</x:f>
      </x:c>
      <x:c r="BG87" s="117" t="n">
        <x:f>$B$87*BG81</x:f>
      </x:c>
      <x:c r="BH87" s="117" t="n">
        <x:f>$B$87*BH81</x:f>
      </x:c>
      <x:c r="BI87" s="117" t="n">
        <x:f>$B$87*BI81</x:f>
      </x:c>
      <x:c r="BJ87" s="117" t="n">
        <x:f>$B$87*BJ81</x:f>
      </x:c>
      <x:c r="BK87" s="117" t="n">
        <x:f>$B$87*BK81</x:f>
      </x:c>
      <x:c r="BL87" s="117" t="n">
        <x:f>$B$87*BL81</x:f>
      </x:c>
      <x:c r="BM87" s="117" t="n">
        <x:f>$B$87*BM81</x:f>
      </x:c>
      <x:c r="BN87" s="117" t="n">
        <x:f>$B$87*BN81</x:f>
      </x:c>
      <x:c r="BO87" s="117" t="n">
        <x:f>$B$87*BO81</x:f>
      </x:c>
      <x:c r="BP87" s="117" t="n">
        <x:f>$B$87*BP81</x:f>
      </x:c>
      <x:c r="BQ87" s="117" t="n">
        <x:f>$B$87*BQ81</x:f>
      </x:c>
      <x:c r="BR87" s="117" t="n">
        <x:f>$B$87*BR81</x:f>
      </x:c>
      <x:c r="BS87" s="117" t="n">
        <x:f>$B$87*BS81</x:f>
      </x:c>
      <x:c r="BT87" s="117" t="n">
        <x:f>$B$87*BT81</x:f>
      </x:c>
      <x:c r="BU87" s="117" t="n">
        <x:f>$B$87*BU81</x:f>
      </x:c>
      <x:c r="BV87" s="117" t="n">
        <x:f>$B$87*BV81</x:f>
      </x:c>
      <x:c r="BW87" s="117" t="n">
        <x:f>$B$87*BW81</x:f>
      </x:c>
      <x:c r="BX87" s="117" t="n">
        <x:f>$B$87*BX81</x:f>
      </x:c>
      <x:c r="BY87" s="117" t="n">
        <x:f>$B$87*BY81</x:f>
      </x:c>
      <x:c r="BZ87" s="117" t="n">
        <x:f>$B$87*BZ81</x:f>
      </x:c>
      <x:c r="CA87" s="117" t="n">
        <x:f>$B$87*CA81</x:f>
      </x:c>
      <x:c r="CB87" s="117" t="n">
        <x:f>$B$87*CB81</x:f>
      </x:c>
      <x:c r="CC87" s="117" t="n">
        <x:f>$B$87*CC81</x:f>
      </x:c>
      <x:c r="CD87" s="117" t="n">
        <x:f>$B$87*CD81</x:f>
      </x:c>
      <x:c r="CE87" s="117" t="n">
        <x:f>$B$87*CE81</x:f>
      </x:c>
      <x:c r="CF87" s="117" t="n">
        <x:f>$B$87*CF81</x:f>
      </x:c>
      <x:c r="CG87" s="117" t="n">
        <x:f>$B$87*CG81</x:f>
      </x:c>
      <x:c r="CH87" s="117" t="n">
        <x:f>$B$87*CH81</x:f>
      </x:c>
      <x:c r="CI87" s="117" t="n">
        <x:f>$B$87*CI81</x:f>
      </x:c>
      <x:c r="CJ87" s="117" t="n">
        <x:f>$B$87*CJ81</x:f>
      </x:c>
      <x:c r="CK87" s="117" t="n">
        <x:f>$B$87*CK81</x:f>
      </x:c>
      <x:c r="CL87" s="117" t="n">
        <x:f>$B$87*CL81</x:f>
      </x:c>
      <x:c r="CM87" s="117" t="n">
        <x:f>$B$87*CM81</x:f>
      </x:c>
      <x:c r="CN87" s="117" t="n">
        <x:f>$B$87*CN81</x:f>
      </x:c>
      <x:c r="CO87" s="117" t="n">
        <x:f>$B$87*CO81</x:f>
      </x:c>
      <x:c r="CP87" s="117" t="n">
        <x:f>$B$87*CP81</x:f>
      </x:c>
      <x:c r="CQ87" s="117" t="n">
        <x:f>$B$87*CQ81</x:f>
      </x:c>
      <x:c r="CR87" s="117" t="n">
        <x:f>$B$87*CR81</x:f>
      </x:c>
      <x:c r="CS87" s="117" t="n">
        <x:f>$B$87*CS81</x:f>
      </x:c>
      <x:c r="CT87" s="117" t="n">
        <x:f>$B$87*CT81</x:f>
      </x:c>
      <x:c r="CU87" s="117" t="n">
        <x:f>$B$87*CU81</x:f>
      </x:c>
      <x:c r="CV87" s="117" t="n">
        <x:f>$B$87*CV81</x:f>
      </x:c>
      <x:c r="CW87" s="117" t="n">
        <x:f>$B$87*CW81</x:f>
      </x:c>
      <x:c r="CX87" s="117" t="n">
        <x:f>$B$87*CX81</x:f>
      </x:c>
      <x:c r="CY87" s="117" t="n">
        <x:f>$B$87*CY81</x:f>
      </x:c>
      <x:c r="CZ87" s="117" t="n">
        <x:f>$B$87*CZ81</x:f>
      </x:c>
      <x:c r="DA87" s="117" t="n">
        <x:f>$B$87*DA81</x:f>
      </x:c>
      <x:c r="DB87" s="117" t="n">
        <x:f>$B$87*DB81</x:f>
      </x:c>
      <x:c r="DC87" s="117" t="n">
        <x:f>$B$87*DC81</x:f>
      </x:c>
      <x:c r="DD87" s="117" t="n">
        <x:f>$B$87*DD81</x:f>
      </x:c>
      <x:c r="DE87" s="117" t="n">
        <x:f>$B$87*DE81</x:f>
      </x:c>
      <x:c r="DF87" s="117" t="n">
        <x:f>$B$87*DF81</x:f>
      </x:c>
      <x:c r="DG87" s="117" t="n">
        <x:f>$B$87*DG81</x:f>
      </x:c>
      <x:c r="DH87" s="117" t="n">
        <x:f>$B$87*DH81</x:f>
      </x:c>
      <x:c r="DI87" s="117" t="n">
        <x:f>$B$87*DI81</x:f>
      </x:c>
      <x:c r="DJ87" s="117" t="n">
        <x:f>$B$87*DJ81</x:f>
      </x:c>
      <x:c r="DK87" s="117" t="n">
        <x:f>$B$87*DK81</x:f>
      </x:c>
      <x:c r="DL87" s="117" t="n">
        <x:f>$B$87*DL81</x:f>
      </x:c>
      <x:c r="DM87" s="117" t="n">
        <x:f>$B$87*DM81</x:f>
      </x:c>
      <x:c r="DN87" s="117" t="n">
        <x:f>$B$87*DN81</x:f>
      </x:c>
      <x:c r="DO87" s="117" t="n">
        <x:f>$B$87*DO81</x:f>
      </x:c>
      <x:c r="DP87" s="117" t="n">
        <x:f>$B$87*DP81</x:f>
      </x:c>
      <x:c r="DQ87" s="117" t="n">
        <x:f>$B$87*DQ81</x:f>
      </x:c>
      <x:c r="DR87" s="117" t="n">
        <x:f>$B$87*DR81</x:f>
      </x:c>
      <x:c r="DS87" s="117" t="n">
        <x:f>$B$87*DS81</x:f>
      </x:c>
      <x:c r="DT87" s="117" t="n">
        <x:f>$B$87*DT81</x:f>
      </x:c>
      <x:c r="DU87" s="117" t="n">
        <x:f>$B$87*DU81</x:f>
      </x:c>
      <x:c r="DV87" s="117" t="n">
        <x:f>$B$87*DV81</x:f>
      </x:c>
      <x:c r="DW87" s="117" t="n">
        <x:f>$B$87*DW81</x:f>
      </x:c>
      <x:c r="DX87" s="117" t="n">
        <x:f>$B$87*DX81</x:f>
      </x:c>
      <x:c r="DY87" s="117" t="n">
        <x:f>$B$87*DY81</x:f>
      </x:c>
      <x:c r="DZ87" s="117" t="n">
        <x:f>$B$87*DZ81</x:f>
      </x:c>
      <x:c r="EA87" s="117" t="n">
        <x:f>$B$87*EA81</x:f>
      </x:c>
      <x:c r="EB87" s="117" t="n">
        <x:f>$B$87*EB81</x:f>
      </x:c>
      <x:c r="EC87" s="117" t="n">
        <x:f>$B$87*EC81</x:f>
      </x:c>
      <x:c r="ED87" s="117" t="n">
        <x:f>$B$87*ED81</x:f>
      </x:c>
      <x:c r="EE87" s="117" t="n">
        <x:f>$B$87*EE81</x:f>
      </x:c>
      <x:c r="EF87" s="117" t="n">
        <x:f>$B$87*EF81</x:f>
      </x:c>
      <x:c r="EG87" s="117" t="n">
        <x:f>$B$87*EG81</x:f>
      </x:c>
      <x:c r="EH87" s="117" t="n">
        <x:f>$B$87*EH81</x:f>
      </x:c>
      <x:c r="EI87" s="117" t="n">
        <x:f>$B$87*EI81</x:f>
      </x:c>
      <x:c r="EJ87" s="117" t="n">
        <x:f>$B$87*EJ81</x:f>
      </x:c>
      <x:c r="EK87" s="117" t="n">
        <x:f>$B$87*EK81</x:f>
      </x:c>
      <x:c r="EL87" s="117" t="n">
        <x:f>$B$87*EL81</x:f>
      </x:c>
      <x:c r="EM87" s="117" t="n">
        <x:f>$B$87*EM81</x:f>
      </x:c>
      <x:c r="EN87" s="117" t="n">
        <x:f>$B$87*EN81</x:f>
      </x:c>
      <x:c r="EO87" s="117" t="n">
        <x:f>$B$87*EO81</x:f>
      </x:c>
      <x:c r="EP87" s="117" t="n">
        <x:f>$B$87*EP81</x:f>
      </x:c>
      <x:c r="EQ87" s="117" t="n">
        <x:f>$B$87*EQ81</x:f>
      </x:c>
      <x:c r="ER87" s="117" t="n">
        <x:f>$B$87*ER81</x:f>
      </x:c>
      <x:c r="ES87" s="117" t="n">
        <x:f>$B$87*ES81</x:f>
      </x:c>
      <x:c r="ET87" s="117" t="n">
        <x:f>$B$87*ET81</x:f>
      </x:c>
      <x:c r="EU87" s="117" t="n">
        <x:f>$B$87*EU81</x:f>
      </x:c>
      <x:c r="EV87" s="117" t="n">
        <x:f>$B$87*EV81</x:f>
      </x:c>
      <x:c r="EW87" s="117" t="n">
        <x:f>$B$87*EW81</x:f>
      </x:c>
      <x:c r="EX87" s="117" t="n">
        <x:f>$B$87*EX81</x:f>
      </x:c>
      <x:c r="EY87" s="117" t="n">
        <x:f>$B$87*EY81</x:f>
      </x:c>
      <x:c r="EZ87" s="117" t="n">
        <x:f>$B$87*EZ81</x:f>
      </x:c>
      <x:c r="FA87" s="117" t="n">
        <x:f>$B$87*FA81</x:f>
      </x:c>
      <x:c r="FB87" s="117" t="n">
        <x:f>$B$87*FB81</x:f>
      </x:c>
      <x:c r="FC87" s="117" t="n">
        <x:f>$B$87*FC81</x:f>
      </x:c>
      <x:c r="FD87" s="117" t="n">
        <x:f>$B$87*FD81</x:f>
      </x:c>
      <x:c r="FE87" s="117" t="n">
        <x:f>$B$87*FE81</x:f>
      </x:c>
      <x:c r="FF87" s="117" t="n">
        <x:f>$B$87*FF81</x:f>
      </x:c>
      <x:c r="FG87" s="117" t="n">
        <x:f>$B$87*FG81</x:f>
      </x:c>
      <x:c r="FH87" s="117" t="n">
        <x:f>$B$87*FH81</x:f>
      </x:c>
      <x:c r="FI87" s="117" t="n">
        <x:f>$B$87*FI81</x:f>
      </x:c>
      <x:c r="FJ87" s="117" t="n">
        <x:f>$B$87*FJ81</x:f>
      </x:c>
      <x:c r="FK87" s="117" t="n">
        <x:f>$B$87*FK81</x:f>
      </x:c>
      <x:c r="FL87" s="117" t="n">
        <x:f>$B$87*FL81</x:f>
      </x:c>
      <x:c r="FM87" s="117" t="n">
        <x:f>$B$87*FM81</x:f>
      </x:c>
      <x:c r="FN87" s="117" t="n">
        <x:f>$B$87*FN81</x:f>
      </x:c>
      <x:c r="FO87" s="117" t="n">
        <x:f>$B$87*FO81</x:f>
      </x:c>
      <x:c r="FP87" s="117" t="n">
        <x:f>$B$87*FP81</x:f>
      </x:c>
      <x:c r="FQ87" s="117" t="n">
        <x:f>$B$87*FQ81</x:f>
      </x:c>
      <x:c r="FR87" s="117" t="n">
        <x:f>$B$87*FR81</x:f>
      </x:c>
      <x:c r="FS87" s="117" t="n">
        <x:f>$B$87*FS81</x:f>
      </x:c>
      <x:c r="FT87" s="117" t="n">
        <x:f>$B$87*FT81</x:f>
      </x:c>
      <x:c r="FU87" s="117" t="n">
        <x:f>$B$87*FU81</x:f>
      </x:c>
      <x:c r="FV87" s="117" t="n">
        <x:f>$B$87*FV81</x:f>
      </x:c>
      <x:c r="FW87" s="117" t="n">
        <x:f>$B$87*FW81</x:f>
      </x:c>
      <x:c r="FX87" s="117" t="n">
        <x:f>$B$87*FX81</x:f>
      </x:c>
      <x:c r="FY87" s="117" t="n">
        <x:f>$B$87*FY81</x:f>
      </x:c>
      <x:c r="FZ87" s="117" t="n">
        <x:f>$B$87*FZ81</x:f>
      </x:c>
      <x:c r="GA87" s="117" t="n">
        <x:f>$B$87*GA81</x:f>
      </x:c>
    </x:row>
    <x:row r="88">
      <x:c r="A88" t="str">
        <x:v>Подготовительные работы</x:v>
      </x:c>
      <x:c r="B88" s="107" t="n">
        <x:f>(('Вводные'!$I$90+'Вводные'!$J$90+'Вводные'!$K$90)*'Вводные'!$B$43/1000*'Вводные'!$H$6*'Вводные'!$T$90*--('Вводные'!$B$90="Да"))*'Вводные'!$AH$90</x:f>
      </x:c>
      <x:c r="C88" t="str">
        <x:v>млн ₽</x:v>
      </x:c>
      <x:c r="D88" s="117" t="n">
        <x:f>IF(AND(D$3&gt;=EDATE($B$75,-MIN(6,'Вводные'!$E$90)),D$3&lt;$B$75),$B$88/MAX(1,MIN(6,'Вводные'!$E$90)),0)</x:f>
      </x:c>
      <x:c r="E88" s="117" t="n">
        <x:f>IF(AND(E$3&gt;=EDATE($B$75,-MIN(6,'Вводные'!$E$90)),E$3&lt;$B$75),$B$88/MAX(1,MIN(6,'Вводные'!$E$90)),0)</x:f>
      </x:c>
      <x:c r="F88" s="117" t="n">
        <x:f>IF(AND(F$3&gt;=EDATE($B$75,-MIN(6,'Вводные'!$E$90)),F$3&lt;$B$75),$B$88/MAX(1,MIN(6,'Вводные'!$E$90)),0)</x:f>
      </x:c>
      <x:c r="G88" s="117" t="n">
        <x:f>IF(AND(G$3&gt;=EDATE($B$75,-MIN(6,'Вводные'!$E$90)),G$3&lt;$B$75),$B$88/MAX(1,MIN(6,'Вводные'!$E$90)),0)</x:f>
      </x:c>
      <x:c r="H88" s="117" t="n">
        <x:f>IF(AND(H$3&gt;=EDATE($B$75,-MIN(6,'Вводные'!$E$90)),H$3&lt;$B$75),$B$88/MAX(1,MIN(6,'Вводные'!$E$90)),0)</x:f>
      </x:c>
      <x:c r="I88" s="117" t="n">
        <x:f>IF(AND(I$3&gt;=EDATE($B$75,-MIN(6,'Вводные'!$E$90)),I$3&lt;$B$75),$B$88/MAX(1,MIN(6,'Вводные'!$E$90)),0)</x:f>
      </x:c>
      <x:c r="J88" s="117" t="n">
        <x:f>IF(AND(J$3&gt;=EDATE($B$75,-MIN(6,'Вводные'!$E$90)),J$3&lt;$B$75),$B$88/MAX(1,MIN(6,'Вводные'!$E$90)),0)</x:f>
      </x:c>
      <x:c r="K88" s="117" t="n">
        <x:f>IF(AND(K$3&gt;=EDATE($B$75,-MIN(6,'Вводные'!$E$90)),K$3&lt;$B$75),$B$88/MAX(1,MIN(6,'Вводные'!$E$90)),0)</x:f>
      </x:c>
      <x:c r="L88" s="117" t="n">
        <x:f>IF(AND(L$3&gt;=EDATE($B$75,-MIN(6,'Вводные'!$E$90)),L$3&lt;$B$75),$B$88/MAX(1,MIN(6,'Вводные'!$E$90)),0)</x:f>
      </x:c>
      <x:c r="M88" s="117" t="n">
        <x:f>IF(AND(M$3&gt;=EDATE($B$75,-MIN(6,'Вводные'!$E$90)),M$3&lt;$B$75),$B$88/MAX(1,MIN(6,'Вводные'!$E$90)),0)</x:f>
      </x:c>
      <x:c r="N88" s="117" t="n">
        <x:f>IF(AND(N$3&gt;=EDATE($B$75,-MIN(6,'Вводные'!$E$90)),N$3&lt;$B$75),$B$88/MAX(1,MIN(6,'Вводные'!$E$90)),0)</x:f>
      </x:c>
      <x:c r="O88" s="117" t="n">
        <x:f>IF(AND(O$3&gt;=EDATE($B$75,-MIN(6,'Вводные'!$E$90)),O$3&lt;$B$75),$B$88/MAX(1,MIN(6,'Вводные'!$E$90)),0)</x:f>
      </x:c>
      <x:c r="P88" s="117" t="n">
        <x:f>IF(AND(P$3&gt;=EDATE($B$75,-MIN(6,'Вводные'!$E$90)),P$3&lt;$B$75),$B$88/MAX(1,MIN(6,'Вводные'!$E$90)),0)</x:f>
      </x:c>
      <x:c r="Q88" s="117" t="n">
        <x:f>IF(AND(Q$3&gt;=EDATE($B$75,-MIN(6,'Вводные'!$E$90)),Q$3&lt;$B$75),$B$88/MAX(1,MIN(6,'Вводные'!$E$90)),0)</x:f>
      </x:c>
      <x:c r="R88" s="117" t="n">
        <x:f>IF(AND(R$3&gt;=EDATE($B$75,-MIN(6,'Вводные'!$E$90)),R$3&lt;$B$75),$B$88/MAX(1,MIN(6,'Вводные'!$E$90)),0)</x:f>
      </x:c>
      <x:c r="S88" s="117" t="n">
        <x:f>IF(AND(S$3&gt;=EDATE($B$75,-MIN(6,'Вводные'!$E$90)),S$3&lt;$B$75),$B$88/MAX(1,MIN(6,'Вводные'!$E$90)),0)</x:f>
      </x:c>
      <x:c r="T88" s="117" t="n">
        <x:f>IF(AND(T$3&gt;=EDATE($B$75,-MIN(6,'Вводные'!$E$90)),T$3&lt;$B$75),$B$88/MAX(1,MIN(6,'Вводные'!$E$90)),0)</x:f>
      </x:c>
      <x:c r="U88" s="117" t="n">
        <x:f>IF(AND(U$3&gt;=EDATE($B$75,-MIN(6,'Вводные'!$E$90)),U$3&lt;$B$75),$B$88/MAX(1,MIN(6,'Вводные'!$E$90)),0)</x:f>
      </x:c>
      <x:c r="V88" s="117" t="n">
        <x:f>IF(AND(V$3&gt;=EDATE($B$75,-MIN(6,'Вводные'!$E$90)),V$3&lt;$B$75),$B$88/MAX(1,MIN(6,'Вводные'!$E$90)),0)</x:f>
      </x:c>
      <x:c r="W88" s="117" t="n">
        <x:f>IF(AND(W$3&gt;=EDATE($B$75,-MIN(6,'Вводные'!$E$90)),W$3&lt;$B$75),$B$88/MAX(1,MIN(6,'Вводные'!$E$90)),0)</x:f>
      </x:c>
      <x:c r="X88" s="117" t="n">
        <x:f>IF(AND(X$3&gt;=EDATE($B$75,-MIN(6,'Вводные'!$E$90)),X$3&lt;$B$75),$B$88/MAX(1,MIN(6,'Вводные'!$E$90)),0)</x:f>
      </x:c>
      <x:c r="Y88" s="117" t="n">
        <x:f>IF(AND(Y$3&gt;=EDATE($B$75,-MIN(6,'Вводные'!$E$90)),Y$3&lt;$B$75),$B$88/MAX(1,MIN(6,'Вводные'!$E$90)),0)</x:f>
      </x:c>
      <x:c r="Z88" s="117" t="n">
        <x:f>IF(AND(Z$3&gt;=EDATE($B$75,-MIN(6,'Вводные'!$E$90)),Z$3&lt;$B$75),$B$88/MAX(1,MIN(6,'Вводные'!$E$90)),0)</x:f>
      </x:c>
      <x:c r="AA88" s="117" t="n">
        <x:f>IF(AND(AA$3&gt;=EDATE($B$75,-MIN(6,'Вводные'!$E$90)),AA$3&lt;$B$75),$B$88/MAX(1,MIN(6,'Вводные'!$E$90)),0)</x:f>
      </x:c>
      <x:c r="AB88" s="117" t="n">
        <x:f>IF(AND(AB$3&gt;=EDATE($B$75,-MIN(6,'Вводные'!$E$90)),AB$3&lt;$B$75),$B$88/MAX(1,MIN(6,'Вводные'!$E$90)),0)</x:f>
      </x:c>
      <x:c r="AC88" s="117" t="n">
        <x:f>IF(AND(AC$3&gt;=EDATE($B$75,-MIN(6,'Вводные'!$E$90)),AC$3&lt;$B$75),$B$88/MAX(1,MIN(6,'Вводные'!$E$90)),0)</x:f>
      </x:c>
      <x:c r="AD88" s="117" t="n">
        <x:f>IF(AND(AD$3&gt;=EDATE($B$75,-MIN(6,'Вводные'!$E$90)),AD$3&lt;$B$75),$B$88/MAX(1,MIN(6,'Вводные'!$E$90)),0)</x:f>
      </x:c>
      <x:c r="AE88" s="117" t="n">
        <x:f>IF(AND(AE$3&gt;=EDATE($B$75,-MIN(6,'Вводные'!$E$90)),AE$3&lt;$B$75),$B$88/MAX(1,MIN(6,'Вводные'!$E$90)),0)</x:f>
      </x:c>
      <x:c r="AF88" s="117" t="n">
        <x:f>IF(AND(AF$3&gt;=EDATE($B$75,-MIN(6,'Вводные'!$E$90)),AF$3&lt;$B$75),$B$88/MAX(1,MIN(6,'Вводные'!$E$90)),0)</x:f>
      </x:c>
      <x:c r="AG88" s="117" t="n">
        <x:f>IF(AND(AG$3&gt;=EDATE($B$75,-MIN(6,'Вводные'!$E$90)),AG$3&lt;$B$75),$B$88/MAX(1,MIN(6,'Вводные'!$E$90)),0)</x:f>
      </x:c>
      <x:c r="AH88" s="117" t="n">
        <x:f>IF(AND(AH$3&gt;=EDATE($B$75,-MIN(6,'Вводные'!$E$90)),AH$3&lt;$B$75),$B$88/MAX(1,MIN(6,'Вводные'!$E$90)),0)</x:f>
      </x:c>
      <x:c r="AI88" s="117" t="n">
        <x:f>IF(AND(AI$3&gt;=EDATE($B$75,-MIN(6,'Вводные'!$E$90)),AI$3&lt;$B$75),$B$88/MAX(1,MIN(6,'Вводные'!$E$90)),0)</x:f>
      </x:c>
      <x:c r="AJ88" s="117" t="n">
        <x:f>IF(AND(AJ$3&gt;=EDATE($B$75,-MIN(6,'Вводные'!$E$90)),AJ$3&lt;$B$75),$B$88/MAX(1,MIN(6,'Вводные'!$E$90)),0)</x:f>
      </x:c>
      <x:c r="AK88" s="117" t="n">
        <x:f>IF(AND(AK$3&gt;=EDATE($B$75,-MIN(6,'Вводные'!$E$90)),AK$3&lt;$B$75),$B$88/MAX(1,MIN(6,'Вводные'!$E$90)),0)</x:f>
      </x:c>
      <x:c r="AL88" s="117" t="n">
        <x:f>IF(AND(AL$3&gt;=EDATE($B$75,-MIN(6,'Вводные'!$E$90)),AL$3&lt;$B$75),$B$88/MAX(1,MIN(6,'Вводные'!$E$90)),0)</x:f>
      </x:c>
      <x:c r="AM88" s="117" t="n">
        <x:f>IF(AND(AM$3&gt;=EDATE($B$75,-MIN(6,'Вводные'!$E$90)),AM$3&lt;$B$75),$B$88/MAX(1,MIN(6,'Вводные'!$E$90)),0)</x:f>
      </x:c>
      <x:c r="AN88" s="117" t="n">
        <x:f>IF(AND(AN$3&gt;=EDATE($B$75,-MIN(6,'Вводные'!$E$90)),AN$3&lt;$B$75),$B$88/MAX(1,MIN(6,'Вводные'!$E$90)),0)</x:f>
      </x:c>
      <x:c r="AO88" s="117" t="n">
        <x:f>IF(AND(AO$3&gt;=EDATE($B$75,-MIN(6,'Вводные'!$E$90)),AO$3&lt;$B$75),$B$88/MAX(1,MIN(6,'Вводные'!$E$90)),0)</x:f>
      </x:c>
      <x:c r="AP88" s="117" t="n">
        <x:f>IF(AND(AP$3&gt;=EDATE($B$75,-MIN(6,'Вводные'!$E$90)),AP$3&lt;$B$75),$B$88/MAX(1,MIN(6,'Вводные'!$E$90)),0)</x:f>
      </x:c>
      <x:c r="AQ88" s="117" t="n">
        <x:f>IF(AND(AQ$3&gt;=EDATE($B$75,-MIN(6,'Вводные'!$E$90)),AQ$3&lt;$B$75),$B$88/MAX(1,MIN(6,'Вводные'!$E$90)),0)</x:f>
      </x:c>
      <x:c r="AR88" s="117" t="n">
        <x:f>IF(AND(AR$3&gt;=EDATE($B$75,-MIN(6,'Вводные'!$E$90)),AR$3&lt;$B$75),$B$88/MAX(1,MIN(6,'Вводные'!$E$90)),0)</x:f>
      </x:c>
      <x:c r="AS88" s="117" t="n">
        <x:f>IF(AND(AS$3&gt;=EDATE($B$75,-MIN(6,'Вводные'!$E$90)),AS$3&lt;$B$75),$B$88/MAX(1,MIN(6,'Вводные'!$E$90)),0)</x:f>
      </x:c>
      <x:c r="AT88" s="117" t="n">
        <x:f>IF(AND(AT$3&gt;=EDATE($B$75,-MIN(6,'Вводные'!$E$90)),AT$3&lt;$B$75),$B$88/MAX(1,MIN(6,'Вводные'!$E$90)),0)</x:f>
      </x:c>
      <x:c r="AU88" s="117" t="n">
        <x:f>IF(AND(AU$3&gt;=EDATE($B$75,-MIN(6,'Вводные'!$E$90)),AU$3&lt;$B$75),$B$88/MAX(1,MIN(6,'Вводные'!$E$90)),0)</x:f>
      </x:c>
      <x:c r="AV88" s="117" t="n">
        <x:f>IF(AND(AV$3&gt;=EDATE($B$75,-MIN(6,'Вводные'!$E$90)),AV$3&lt;$B$75),$B$88/MAX(1,MIN(6,'Вводные'!$E$90)),0)</x:f>
      </x:c>
      <x:c r="AW88" s="117" t="n">
        <x:f>IF(AND(AW$3&gt;=EDATE($B$75,-MIN(6,'Вводные'!$E$90)),AW$3&lt;$B$75),$B$88/MAX(1,MIN(6,'Вводные'!$E$90)),0)</x:f>
      </x:c>
      <x:c r="AX88" s="117" t="n">
        <x:f>IF(AND(AX$3&gt;=EDATE($B$75,-MIN(6,'Вводные'!$E$90)),AX$3&lt;$B$75),$B$88/MAX(1,MIN(6,'Вводные'!$E$90)),0)</x:f>
      </x:c>
      <x:c r="AY88" s="117" t="n">
        <x:f>IF(AND(AY$3&gt;=EDATE($B$75,-MIN(6,'Вводные'!$E$90)),AY$3&lt;$B$75),$B$88/MAX(1,MIN(6,'Вводные'!$E$90)),0)</x:f>
      </x:c>
      <x:c r="AZ88" s="117" t="n">
        <x:f>IF(AND(AZ$3&gt;=EDATE($B$75,-MIN(6,'Вводные'!$E$90)),AZ$3&lt;$B$75),$B$88/MAX(1,MIN(6,'Вводные'!$E$90)),0)</x:f>
      </x:c>
      <x:c r="BA88" s="117" t="n">
        <x:f>IF(AND(BA$3&gt;=EDATE($B$75,-MIN(6,'Вводные'!$E$90)),BA$3&lt;$B$75),$B$88/MAX(1,MIN(6,'Вводные'!$E$90)),0)</x:f>
      </x:c>
      <x:c r="BB88" s="117" t="n">
        <x:f>IF(AND(BB$3&gt;=EDATE($B$75,-MIN(6,'Вводные'!$E$90)),BB$3&lt;$B$75),$B$88/MAX(1,MIN(6,'Вводные'!$E$90)),0)</x:f>
      </x:c>
      <x:c r="BC88" s="117" t="n">
        <x:f>IF(AND(BC$3&gt;=EDATE($B$75,-MIN(6,'Вводные'!$E$90)),BC$3&lt;$B$75),$B$88/MAX(1,MIN(6,'Вводные'!$E$90)),0)</x:f>
      </x:c>
      <x:c r="BD88" s="117" t="n">
        <x:f>IF(AND(BD$3&gt;=EDATE($B$75,-MIN(6,'Вводные'!$E$90)),BD$3&lt;$B$75),$B$88/MAX(1,MIN(6,'Вводные'!$E$90)),0)</x:f>
      </x:c>
      <x:c r="BE88" s="117" t="n">
        <x:f>IF(AND(BE$3&gt;=EDATE($B$75,-MIN(6,'Вводные'!$E$90)),BE$3&lt;$B$75),$B$88/MAX(1,MIN(6,'Вводные'!$E$90)),0)</x:f>
      </x:c>
      <x:c r="BF88" s="117" t="n">
        <x:f>IF(AND(BF$3&gt;=EDATE($B$75,-MIN(6,'Вводные'!$E$90)),BF$3&lt;$B$75),$B$88/MAX(1,MIN(6,'Вводные'!$E$90)),0)</x:f>
      </x:c>
      <x:c r="BG88" s="117" t="n">
        <x:f>IF(AND(BG$3&gt;=EDATE($B$75,-MIN(6,'Вводные'!$E$90)),BG$3&lt;$B$75),$B$88/MAX(1,MIN(6,'Вводные'!$E$90)),0)</x:f>
      </x:c>
      <x:c r="BH88" s="117" t="n">
        <x:f>IF(AND(BH$3&gt;=EDATE($B$75,-MIN(6,'Вводные'!$E$90)),BH$3&lt;$B$75),$B$88/MAX(1,MIN(6,'Вводные'!$E$90)),0)</x:f>
      </x:c>
      <x:c r="BI88" s="117" t="n">
        <x:f>IF(AND(BI$3&gt;=EDATE($B$75,-MIN(6,'Вводные'!$E$90)),BI$3&lt;$B$75),$B$88/MAX(1,MIN(6,'Вводные'!$E$90)),0)</x:f>
      </x:c>
      <x:c r="BJ88" s="117" t="n">
        <x:f>IF(AND(BJ$3&gt;=EDATE($B$75,-MIN(6,'Вводные'!$E$90)),BJ$3&lt;$B$75),$B$88/MAX(1,MIN(6,'Вводные'!$E$90)),0)</x:f>
      </x:c>
      <x:c r="BK88" s="117" t="n">
        <x:f>IF(AND(BK$3&gt;=EDATE($B$75,-MIN(6,'Вводные'!$E$90)),BK$3&lt;$B$75),$B$88/MAX(1,MIN(6,'Вводные'!$E$90)),0)</x:f>
      </x:c>
      <x:c r="BL88" s="117" t="n">
        <x:f>IF(AND(BL$3&gt;=EDATE($B$75,-MIN(6,'Вводные'!$E$90)),BL$3&lt;$B$75),$B$88/MAX(1,MIN(6,'Вводные'!$E$90)),0)</x:f>
      </x:c>
      <x:c r="BM88" s="117" t="n">
        <x:f>IF(AND(BM$3&gt;=EDATE($B$75,-MIN(6,'Вводные'!$E$90)),BM$3&lt;$B$75),$B$88/MAX(1,MIN(6,'Вводные'!$E$90)),0)</x:f>
      </x:c>
      <x:c r="BN88" s="117" t="n">
        <x:f>IF(AND(BN$3&gt;=EDATE($B$75,-MIN(6,'Вводные'!$E$90)),BN$3&lt;$B$75),$B$88/MAX(1,MIN(6,'Вводные'!$E$90)),0)</x:f>
      </x:c>
      <x:c r="BO88" s="117" t="n">
        <x:f>IF(AND(BO$3&gt;=EDATE($B$75,-MIN(6,'Вводные'!$E$90)),BO$3&lt;$B$75),$B$88/MAX(1,MIN(6,'Вводные'!$E$90)),0)</x:f>
      </x:c>
      <x:c r="BP88" s="117" t="n">
        <x:f>IF(AND(BP$3&gt;=EDATE($B$75,-MIN(6,'Вводные'!$E$90)),BP$3&lt;$B$75),$B$88/MAX(1,MIN(6,'Вводные'!$E$90)),0)</x:f>
      </x:c>
      <x:c r="BQ88" s="117" t="n">
        <x:f>IF(AND(BQ$3&gt;=EDATE($B$75,-MIN(6,'Вводные'!$E$90)),BQ$3&lt;$B$75),$B$88/MAX(1,MIN(6,'Вводные'!$E$90)),0)</x:f>
      </x:c>
      <x:c r="BR88" s="117" t="n">
        <x:f>IF(AND(BR$3&gt;=EDATE($B$75,-MIN(6,'Вводные'!$E$90)),BR$3&lt;$B$75),$B$88/MAX(1,MIN(6,'Вводные'!$E$90)),0)</x:f>
      </x:c>
      <x:c r="BS88" s="117" t="n">
        <x:f>IF(AND(BS$3&gt;=EDATE($B$75,-MIN(6,'Вводные'!$E$90)),BS$3&lt;$B$75),$B$88/MAX(1,MIN(6,'Вводные'!$E$90)),0)</x:f>
      </x:c>
      <x:c r="BT88" s="117" t="n">
        <x:f>IF(AND(BT$3&gt;=EDATE($B$75,-MIN(6,'Вводные'!$E$90)),BT$3&lt;$B$75),$B$88/MAX(1,MIN(6,'Вводные'!$E$90)),0)</x:f>
      </x:c>
      <x:c r="BU88" s="117" t="n">
        <x:f>IF(AND(BU$3&gt;=EDATE($B$75,-MIN(6,'Вводные'!$E$90)),BU$3&lt;$B$75),$B$88/MAX(1,MIN(6,'Вводные'!$E$90)),0)</x:f>
      </x:c>
      <x:c r="BV88" s="117" t="n">
        <x:f>IF(AND(BV$3&gt;=EDATE($B$75,-MIN(6,'Вводные'!$E$90)),BV$3&lt;$B$75),$B$88/MAX(1,MIN(6,'Вводные'!$E$90)),0)</x:f>
      </x:c>
      <x:c r="BW88" s="117" t="n">
        <x:f>IF(AND(BW$3&gt;=EDATE($B$75,-MIN(6,'Вводные'!$E$90)),BW$3&lt;$B$75),$B$88/MAX(1,MIN(6,'Вводные'!$E$90)),0)</x:f>
      </x:c>
      <x:c r="BX88" s="117" t="n">
        <x:f>IF(AND(BX$3&gt;=EDATE($B$75,-MIN(6,'Вводные'!$E$90)),BX$3&lt;$B$75),$B$88/MAX(1,MIN(6,'Вводные'!$E$90)),0)</x:f>
      </x:c>
      <x:c r="BY88" s="117" t="n">
        <x:f>IF(AND(BY$3&gt;=EDATE($B$75,-MIN(6,'Вводные'!$E$90)),BY$3&lt;$B$75),$B$88/MAX(1,MIN(6,'Вводные'!$E$90)),0)</x:f>
      </x:c>
      <x:c r="BZ88" s="117" t="n">
        <x:f>IF(AND(BZ$3&gt;=EDATE($B$75,-MIN(6,'Вводные'!$E$90)),BZ$3&lt;$B$75),$B$88/MAX(1,MIN(6,'Вводные'!$E$90)),0)</x:f>
      </x:c>
      <x:c r="CA88" s="117" t="n">
        <x:f>IF(AND(CA$3&gt;=EDATE($B$75,-MIN(6,'Вводные'!$E$90)),CA$3&lt;$B$75),$B$88/MAX(1,MIN(6,'Вводные'!$E$90)),0)</x:f>
      </x:c>
      <x:c r="CB88" s="117" t="n">
        <x:f>IF(AND(CB$3&gt;=EDATE($B$75,-MIN(6,'Вводные'!$E$90)),CB$3&lt;$B$75),$B$88/MAX(1,MIN(6,'Вводные'!$E$90)),0)</x:f>
      </x:c>
      <x:c r="CC88" s="117" t="n">
        <x:f>IF(AND(CC$3&gt;=EDATE($B$75,-MIN(6,'Вводные'!$E$90)),CC$3&lt;$B$75),$B$88/MAX(1,MIN(6,'Вводные'!$E$90)),0)</x:f>
      </x:c>
      <x:c r="CD88" s="117" t="n">
        <x:f>IF(AND(CD$3&gt;=EDATE($B$75,-MIN(6,'Вводные'!$E$90)),CD$3&lt;$B$75),$B$88/MAX(1,MIN(6,'Вводные'!$E$90)),0)</x:f>
      </x:c>
      <x:c r="CE88" s="117" t="n">
        <x:f>IF(AND(CE$3&gt;=EDATE($B$75,-MIN(6,'Вводные'!$E$90)),CE$3&lt;$B$75),$B$88/MAX(1,MIN(6,'Вводные'!$E$90)),0)</x:f>
      </x:c>
      <x:c r="CF88" s="117" t="n">
        <x:f>IF(AND(CF$3&gt;=EDATE($B$75,-MIN(6,'Вводные'!$E$90)),CF$3&lt;$B$75),$B$88/MAX(1,MIN(6,'Вводные'!$E$90)),0)</x:f>
      </x:c>
      <x:c r="CG88" s="117" t="n">
        <x:f>IF(AND(CG$3&gt;=EDATE($B$75,-MIN(6,'Вводные'!$E$90)),CG$3&lt;$B$75),$B$88/MAX(1,MIN(6,'Вводные'!$E$90)),0)</x:f>
      </x:c>
      <x:c r="CH88" s="117" t="n">
        <x:f>IF(AND(CH$3&gt;=EDATE($B$75,-MIN(6,'Вводные'!$E$90)),CH$3&lt;$B$75),$B$88/MAX(1,MIN(6,'Вводные'!$E$90)),0)</x:f>
      </x:c>
      <x:c r="CI88" s="117" t="n">
        <x:f>IF(AND(CI$3&gt;=EDATE($B$75,-MIN(6,'Вводные'!$E$90)),CI$3&lt;$B$75),$B$88/MAX(1,MIN(6,'Вводные'!$E$90)),0)</x:f>
      </x:c>
      <x:c r="CJ88" s="117" t="n">
        <x:f>IF(AND(CJ$3&gt;=EDATE($B$75,-MIN(6,'Вводные'!$E$90)),CJ$3&lt;$B$75),$B$88/MAX(1,MIN(6,'Вводные'!$E$90)),0)</x:f>
      </x:c>
      <x:c r="CK88" s="117" t="n">
        <x:f>IF(AND(CK$3&gt;=EDATE($B$75,-MIN(6,'Вводные'!$E$90)),CK$3&lt;$B$75),$B$88/MAX(1,MIN(6,'Вводные'!$E$90)),0)</x:f>
      </x:c>
      <x:c r="CL88" s="117" t="n">
        <x:f>IF(AND(CL$3&gt;=EDATE($B$75,-MIN(6,'Вводные'!$E$90)),CL$3&lt;$B$75),$B$88/MAX(1,MIN(6,'Вводные'!$E$90)),0)</x:f>
      </x:c>
      <x:c r="CM88" s="117" t="n">
        <x:f>IF(AND(CM$3&gt;=EDATE($B$75,-MIN(6,'Вводные'!$E$90)),CM$3&lt;$B$75),$B$88/MAX(1,MIN(6,'Вводные'!$E$90)),0)</x:f>
      </x:c>
      <x:c r="CN88" s="117" t="n">
        <x:f>IF(AND(CN$3&gt;=EDATE($B$75,-MIN(6,'Вводные'!$E$90)),CN$3&lt;$B$75),$B$88/MAX(1,MIN(6,'Вводные'!$E$90)),0)</x:f>
      </x:c>
      <x:c r="CO88" s="117" t="n">
        <x:f>IF(AND(CO$3&gt;=EDATE($B$75,-MIN(6,'Вводные'!$E$90)),CO$3&lt;$B$75),$B$88/MAX(1,MIN(6,'Вводные'!$E$90)),0)</x:f>
      </x:c>
      <x:c r="CP88" s="117" t="n">
        <x:f>IF(AND(CP$3&gt;=EDATE($B$75,-MIN(6,'Вводные'!$E$90)),CP$3&lt;$B$75),$B$88/MAX(1,MIN(6,'Вводные'!$E$90)),0)</x:f>
      </x:c>
      <x:c r="CQ88" s="117" t="n">
        <x:f>IF(AND(CQ$3&gt;=EDATE($B$75,-MIN(6,'Вводные'!$E$90)),CQ$3&lt;$B$75),$B$88/MAX(1,MIN(6,'Вводные'!$E$90)),0)</x:f>
      </x:c>
      <x:c r="CR88" s="117" t="n">
        <x:f>IF(AND(CR$3&gt;=EDATE($B$75,-MIN(6,'Вводные'!$E$90)),CR$3&lt;$B$75),$B$88/MAX(1,MIN(6,'Вводные'!$E$90)),0)</x:f>
      </x:c>
      <x:c r="CS88" s="117" t="n">
        <x:f>IF(AND(CS$3&gt;=EDATE($B$75,-MIN(6,'Вводные'!$E$90)),CS$3&lt;$B$75),$B$88/MAX(1,MIN(6,'Вводные'!$E$90)),0)</x:f>
      </x:c>
      <x:c r="CT88" s="117" t="n">
        <x:f>IF(AND(CT$3&gt;=EDATE($B$75,-MIN(6,'Вводные'!$E$90)),CT$3&lt;$B$75),$B$88/MAX(1,MIN(6,'Вводные'!$E$90)),0)</x:f>
      </x:c>
      <x:c r="CU88" s="117" t="n">
        <x:f>IF(AND(CU$3&gt;=EDATE($B$75,-MIN(6,'Вводные'!$E$90)),CU$3&lt;$B$75),$B$88/MAX(1,MIN(6,'Вводные'!$E$90)),0)</x:f>
      </x:c>
      <x:c r="CV88" s="117" t="n">
        <x:f>IF(AND(CV$3&gt;=EDATE($B$75,-MIN(6,'Вводные'!$E$90)),CV$3&lt;$B$75),$B$88/MAX(1,MIN(6,'Вводные'!$E$90)),0)</x:f>
      </x:c>
      <x:c r="CW88" s="117" t="n">
        <x:f>IF(AND(CW$3&gt;=EDATE($B$75,-MIN(6,'Вводные'!$E$90)),CW$3&lt;$B$75),$B$88/MAX(1,MIN(6,'Вводные'!$E$90)),0)</x:f>
      </x:c>
      <x:c r="CX88" s="117" t="n">
        <x:f>IF(AND(CX$3&gt;=EDATE($B$75,-MIN(6,'Вводные'!$E$90)),CX$3&lt;$B$75),$B$88/MAX(1,MIN(6,'Вводные'!$E$90)),0)</x:f>
      </x:c>
      <x:c r="CY88" s="117" t="n">
        <x:f>IF(AND(CY$3&gt;=EDATE($B$75,-MIN(6,'Вводные'!$E$90)),CY$3&lt;$B$75),$B$88/MAX(1,MIN(6,'Вводные'!$E$90)),0)</x:f>
      </x:c>
      <x:c r="CZ88" s="117" t="n">
        <x:f>IF(AND(CZ$3&gt;=EDATE($B$75,-MIN(6,'Вводные'!$E$90)),CZ$3&lt;$B$75),$B$88/MAX(1,MIN(6,'Вводные'!$E$90)),0)</x:f>
      </x:c>
      <x:c r="DA88" s="117" t="n">
        <x:f>IF(AND(DA$3&gt;=EDATE($B$75,-MIN(6,'Вводные'!$E$90)),DA$3&lt;$B$75),$B$88/MAX(1,MIN(6,'Вводные'!$E$90)),0)</x:f>
      </x:c>
      <x:c r="DB88" s="117" t="n">
        <x:f>IF(AND(DB$3&gt;=EDATE($B$75,-MIN(6,'Вводные'!$E$90)),DB$3&lt;$B$75),$B$88/MAX(1,MIN(6,'Вводные'!$E$90)),0)</x:f>
      </x:c>
      <x:c r="DC88" s="117" t="n">
        <x:f>IF(AND(DC$3&gt;=EDATE($B$75,-MIN(6,'Вводные'!$E$90)),DC$3&lt;$B$75),$B$88/MAX(1,MIN(6,'Вводные'!$E$90)),0)</x:f>
      </x:c>
      <x:c r="DD88" s="117" t="n">
        <x:f>IF(AND(DD$3&gt;=EDATE($B$75,-MIN(6,'Вводные'!$E$90)),DD$3&lt;$B$75),$B$88/MAX(1,MIN(6,'Вводные'!$E$90)),0)</x:f>
      </x:c>
      <x:c r="DE88" s="117" t="n">
        <x:f>IF(AND(DE$3&gt;=EDATE($B$75,-MIN(6,'Вводные'!$E$90)),DE$3&lt;$B$75),$B$88/MAX(1,MIN(6,'Вводные'!$E$90)),0)</x:f>
      </x:c>
      <x:c r="DF88" s="117" t="n">
        <x:f>IF(AND(DF$3&gt;=EDATE($B$75,-MIN(6,'Вводные'!$E$90)),DF$3&lt;$B$75),$B$88/MAX(1,MIN(6,'Вводные'!$E$90)),0)</x:f>
      </x:c>
      <x:c r="DG88" s="117" t="n">
        <x:f>IF(AND(DG$3&gt;=EDATE($B$75,-MIN(6,'Вводные'!$E$90)),DG$3&lt;$B$75),$B$88/MAX(1,MIN(6,'Вводные'!$E$90)),0)</x:f>
      </x:c>
      <x:c r="DH88" s="117" t="n">
        <x:f>IF(AND(DH$3&gt;=EDATE($B$75,-MIN(6,'Вводные'!$E$90)),DH$3&lt;$B$75),$B$88/MAX(1,MIN(6,'Вводные'!$E$90)),0)</x:f>
      </x:c>
      <x:c r="DI88" s="117" t="n">
        <x:f>IF(AND(DI$3&gt;=EDATE($B$75,-MIN(6,'Вводные'!$E$90)),DI$3&lt;$B$75),$B$88/MAX(1,MIN(6,'Вводные'!$E$90)),0)</x:f>
      </x:c>
      <x:c r="DJ88" s="117" t="n">
        <x:f>IF(AND(DJ$3&gt;=EDATE($B$75,-MIN(6,'Вводные'!$E$90)),DJ$3&lt;$B$75),$B$88/MAX(1,MIN(6,'Вводные'!$E$90)),0)</x:f>
      </x:c>
      <x:c r="DK88" s="117" t="n">
        <x:f>IF(AND(DK$3&gt;=EDATE($B$75,-MIN(6,'Вводные'!$E$90)),DK$3&lt;$B$75),$B$88/MAX(1,MIN(6,'Вводные'!$E$90)),0)</x:f>
      </x:c>
      <x:c r="DL88" s="117" t="n">
        <x:f>IF(AND(DL$3&gt;=EDATE($B$75,-MIN(6,'Вводные'!$E$90)),DL$3&lt;$B$75),$B$88/MAX(1,MIN(6,'Вводные'!$E$90)),0)</x:f>
      </x:c>
      <x:c r="DM88" s="117" t="n">
        <x:f>IF(AND(DM$3&gt;=EDATE($B$75,-MIN(6,'Вводные'!$E$90)),DM$3&lt;$B$75),$B$88/MAX(1,MIN(6,'Вводные'!$E$90)),0)</x:f>
      </x:c>
      <x:c r="DN88" s="117" t="n">
        <x:f>IF(AND(DN$3&gt;=EDATE($B$75,-MIN(6,'Вводные'!$E$90)),DN$3&lt;$B$75),$B$88/MAX(1,MIN(6,'Вводные'!$E$90)),0)</x:f>
      </x:c>
      <x:c r="DO88" s="117" t="n">
        <x:f>IF(AND(DO$3&gt;=EDATE($B$75,-MIN(6,'Вводные'!$E$90)),DO$3&lt;$B$75),$B$88/MAX(1,MIN(6,'Вводные'!$E$90)),0)</x:f>
      </x:c>
      <x:c r="DP88" s="117" t="n">
        <x:f>IF(AND(DP$3&gt;=EDATE($B$75,-MIN(6,'Вводные'!$E$90)),DP$3&lt;$B$75),$B$88/MAX(1,MIN(6,'Вводные'!$E$90)),0)</x:f>
      </x:c>
      <x:c r="DQ88" s="117" t="n">
        <x:f>IF(AND(DQ$3&gt;=EDATE($B$75,-MIN(6,'Вводные'!$E$90)),DQ$3&lt;$B$75),$B$88/MAX(1,MIN(6,'Вводные'!$E$90)),0)</x:f>
      </x:c>
      <x:c r="DR88" s="117" t="n">
        <x:f>IF(AND(DR$3&gt;=EDATE($B$75,-MIN(6,'Вводные'!$E$90)),DR$3&lt;$B$75),$B$88/MAX(1,MIN(6,'Вводные'!$E$90)),0)</x:f>
      </x:c>
      <x:c r="DS88" s="117" t="n">
        <x:f>IF(AND(DS$3&gt;=EDATE($B$75,-MIN(6,'Вводные'!$E$90)),DS$3&lt;$B$75),$B$88/MAX(1,MIN(6,'Вводные'!$E$90)),0)</x:f>
      </x:c>
      <x:c r="DT88" s="117" t="n">
        <x:f>IF(AND(DT$3&gt;=EDATE($B$75,-MIN(6,'Вводные'!$E$90)),DT$3&lt;$B$75),$B$88/MAX(1,MIN(6,'Вводные'!$E$90)),0)</x:f>
      </x:c>
      <x:c r="DU88" s="117" t="n">
        <x:f>IF(AND(DU$3&gt;=EDATE($B$75,-MIN(6,'Вводные'!$E$90)),DU$3&lt;$B$75),$B$88/MAX(1,MIN(6,'Вводные'!$E$90)),0)</x:f>
      </x:c>
      <x:c r="DV88" s="117" t="n">
        <x:f>IF(AND(DV$3&gt;=EDATE($B$75,-MIN(6,'Вводные'!$E$90)),DV$3&lt;$B$75),$B$88/MAX(1,MIN(6,'Вводные'!$E$90)),0)</x:f>
      </x:c>
      <x:c r="DW88" s="117" t="n">
        <x:f>IF(AND(DW$3&gt;=EDATE($B$75,-MIN(6,'Вводные'!$E$90)),DW$3&lt;$B$75),$B$88/MAX(1,MIN(6,'Вводные'!$E$90)),0)</x:f>
      </x:c>
      <x:c r="DX88" s="117" t="n">
        <x:f>IF(AND(DX$3&gt;=EDATE($B$75,-MIN(6,'Вводные'!$E$90)),DX$3&lt;$B$75),$B$88/MAX(1,MIN(6,'Вводные'!$E$90)),0)</x:f>
      </x:c>
      <x:c r="DY88" s="117" t="n">
        <x:f>IF(AND(DY$3&gt;=EDATE($B$75,-MIN(6,'Вводные'!$E$90)),DY$3&lt;$B$75),$B$88/MAX(1,MIN(6,'Вводные'!$E$90)),0)</x:f>
      </x:c>
      <x:c r="DZ88" s="117" t="n">
        <x:f>IF(AND(DZ$3&gt;=EDATE($B$75,-MIN(6,'Вводные'!$E$90)),DZ$3&lt;$B$75),$B$88/MAX(1,MIN(6,'Вводные'!$E$90)),0)</x:f>
      </x:c>
      <x:c r="EA88" s="117" t="n">
        <x:f>IF(AND(EA$3&gt;=EDATE($B$75,-MIN(6,'Вводные'!$E$90)),EA$3&lt;$B$75),$B$88/MAX(1,MIN(6,'Вводные'!$E$90)),0)</x:f>
      </x:c>
      <x:c r="EB88" s="117" t="n">
        <x:f>IF(AND(EB$3&gt;=EDATE($B$75,-MIN(6,'Вводные'!$E$90)),EB$3&lt;$B$75),$B$88/MAX(1,MIN(6,'Вводные'!$E$90)),0)</x:f>
      </x:c>
      <x:c r="EC88" s="117" t="n">
        <x:f>IF(AND(EC$3&gt;=EDATE($B$75,-MIN(6,'Вводные'!$E$90)),EC$3&lt;$B$75),$B$88/MAX(1,MIN(6,'Вводные'!$E$90)),0)</x:f>
      </x:c>
      <x:c r="ED88" s="117" t="n">
        <x:f>IF(AND(ED$3&gt;=EDATE($B$75,-MIN(6,'Вводные'!$E$90)),ED$3&lt;$B$75),$B$88/MAX(1,MIN(6,'Вводные'!$E$90)),0)</x:f>
      </x:c>
      <x:c r="EE88" s="117" t="n">
        <x:f>IF(AND(EE$3&gt;=EDATE($B$75,-MIN(6,'Вводные'!$E$90)),EE$3&lt;$B$75),$B$88/MAX(1,MIN(6,'Вводные'!$E$90)),0)</x:f>
      </x:c>
      <x:c r="EF88" s="117" t="n">
        <x:f>IF(AND(EF$3&gt;=EDATE($B$75,-MIN(6,'Вводные'!$E$90)),EF$3&lt;$B$75),$B$88/MAX(1,MIN(6,'Вводные'!$E$90)),0)</x:f>
      </x:c>
      <x:c r="EG88" s="117" t="n">
        <x:f>IF(AND(EG$3&gt;=EDATE($B$75,-MIN(6,'Вводные'!$E$90)),EG$3&lt;$B$75),$B$88/MAX(1,MIN(6,'Вводные'!$E$90)),0)</x:f>
      </x:c>
      <x:c r="EH88" s="117" t="n">
        <x:f>IF(AND(EH$3&gt;=EDATE($B$75,-MIN(6,'Вводные'!$E$90)),EH$3&lt;$B$75),$B$88/MAX(1,MIN(6,'Вводные'!$E$90)),0)</x:f>
      </x:c>
      <x:c r="EI88" s="117" t="n">
        <x:f>IF(AND(EI$3&gt;=EDATE($B$75,-MIN(6,'Вводные'!$E$90)),EI$3&lt;$B$75),$B$88/MAX(1,MIN(6,'Вводные'!$E$90)),0)</x:f>
      </x:c>
      <x:c r="EJ88" s="117" t="n">
        <x:f>IF(AND(EJ$3&gt;=EDATE($B$75,-MIN(6,'Вводные'!$E$90)),EJ$3&lt;$B$75),$B$88/MAX(1,MIN(6,'Вводные'!$E$90)),0)</x:f>
      </x:c>
      <x:c r="EK88" s="117" t="n">
        <x:f>IF(AND(EK$3&gt;=EDATE($B$75,-MIN(6,'Вводные'!$E$90)),EK$3&lt;$B$75),$B$88/MAX(1,MIN(6,'Вводные'!$E$90)),0)</x:f>
      </x:c>
      <x:c r="EL88" s="117" t="n">
        <x:f>IF(AND(EL$3&gt;=EDATE($B$75,-MIN(6,'Вводные'!$E$90)),EL$3&lt;$B$75),$B$88/MAX(1,MIN(6,'Вводные'!$E$90)),0)</x:f>
      </x:c>
      <x:c r="EM88" s="117" t="n">
        <x:f>IF(AND(EM$3&gt;=EDATE($B$75,-MIN(6,'Вводные'!$E$90)),EM$3&lt;$B$75),$B$88/MAX(1,MIN(6,'Вводные'!$E$90)),0)</x:f>
      </x:c>
      <x:c r="EN88" s="117" t="n">
        <x:f>IF(AND(EN$3&gt;=EDATE($B$75,-MIN(6,'Вводные'!$E$90)),EN$3&lt;$B$75),$B$88/MAX(1,MIN(6,'Вводные'!$E$90)),0)</x:f>
      </x:c>
      <x:c r="EO88" s="117" t="n">
        <x:f>IF(AND(EO$3&gt;=EDATE($B$75,-MIN(6,'Вводные'!$E$90)),EO$3&lt;$B$75),$B$88/MAX(1,MIN(6,'Вводные'!$E$90)),0)</x:f>
      </x:c>
      <x:c r="EP88" s="117" t="n">
        <x:f>IF(AND(EP$3&gt;=EDATE($B$75,-MIN(6,'Вводные'!$E$90)),EP$3&lt;$B$75),$B$88/MAX(1,MIN(6,'Вводные'!$E$90)),0)</x:f>
      </x:c>
      <x:c r="EQ88" s="117" t="n">
        <x:f>IF(AND(EQ$3&gt;=EDATE($B$75,-MIN(6,'Вводные'!$E$90)),EQ$3&lt;$B$75),$B$88/MAX(1,MIN(6,'Вводные'!$E$90)),0)</x:f>
      </x:c>
      <x:c r="ER88" s="117" t="n">
        <x:f>IF(AND(ER$3&gt;=EDATE($B$75,-MIN(6,'Вводные'!$E$90)),ER$3&lt;$B$75),$B$88/MAX(1,MIN(6,'Вводные'!$E$90)),0)</x:f>
      </x:c>
      <x:c r="ES88" s="117" t="n">
        <x:f>IF(AND(ES$3&gt;=EDATE($B$75,-MIN(6,'Вводные'!$E$90)),ES$3&lt;$B$75),$B$88/MAX(1,MIN(6,'Вводные'!$E$90)),0)</x:f>
      </x:c>
      <x:c r="ET88" s="117" t="n">
        <x:f>IF(AND(ET$3&gt;=EDATE($B$75,-MIN(6,'Вводные'!$E$90)),ET$3&lt;$B$75),$B$88/MAX(1,MIN(6,'Вводные'!$E$90)),0)</x:f>
      </x:c>
      <x:c r="EU88" s="117" t="n">
        <x:f>IF(AND(EU$3&gt;=EDATE($B$75,-MIN(6,'Вводные'!$E$90)),EU$3&lt;$B$75),$B$88/MAX(1,MIN(6,'Вводные'!$E$90)),0)</x:f>
      </x:c>
      <x:c r="EV88" s="117" t="n">
        <x:f>IF(AND(EV$3&gt;=EDATE($B$75,-MIN(6,'Вводные'!$E$90)),EV$3&lt;$B$75),$B$88/MAX(1,MIN(6,'Вводные'!$E$90)),0)</x:f>
      </x:c>
      <x:c r="EW88" s="117" t="n">
        <x:f>IF(AND(EW$3&gt;=EDATE($B$75,-MIN(6,'Вводные'!$E$90)),EW$3&lt;$B$75),$B$88/MAX(1,MIN(6,'Вводные'!$E$90)),0)</x:f>
      </x:c>
      <x:c r="EX88" s="117" t="n">
        <x:f>IF(AND(EX$3&gt;=EDATE($B$75,-MIN(6,'Вводные'!$E$90)),EX$3&lt;$B$75),$B$88/MAX(1,MIN(6,'Вводные'!$E$90)),0)</x:f>
      </x:c>
      <x:c r="EY88" s="117" t="n">
        <x:f>IF(AND(EY$3&gt;=EDATE($B$75,-MIN(6,'Вводные'!$E$90)),EY$3&lt;$B$75),$B$88/MAX(1,MIN(6,'Вводные'!$E$90)),0)</x:f>
      </x:c>
      <x:c r="EZ88" s="117" t="n">
        <x:f>IF(AND(EZ$3&gt;=EDATE($B$75,-MIN(6,'Вводные'!$E$90)),EZ$3&lt;$B$75),$B$88/MAX(1,MIN(6,'Вводные'!$E$90)),0)</x:f>
      </x:c>
      <x:c r="FA88" s="117" t="n">
        <x:f>IF(AND(FA$3&gt;=EDATE($B$75,-MIN(6,'Вводные'!$E$90)),FA$3&lt;$B$75),$B$88/MAX(1,MIN(6,'Вводные'!$E$90)),0)</x:f>
      </x:c>
      <x:c r="FB88" s="117" t="n">
        <x:f>IF(AND(FB$3&gt;=EDATE($B$75,-MIN(6,'Вводные'!$E$90)),FB$3&lt;$B$75),$B$88/MAX(1,MIN(6,'Вводные'!$E$90)),0)</x:f>
      </x:c>
      <x:c r="FC88" s="117" t="n">
        <x:f>IF(AND(FC$3&gt;=EDATE($B$75,-MIN(6,'Вводные'!$E$90)),FC$3&lt;$B$75),$B$88/MAX(1,MIN(6,'Вводные'!$E$90)),0)</x:f>
      </x:c>
      <x:c r="FD88" s="117" t="n">
        <x:f>IF(AND(FD$3&gt;=EDATE($B$75,-MIN(6,'Вводные'!$E$90)),FD$3&lt;$B$75),$B$88/MAX(1,MIN(6,'Вводные'!$E$90)),0)</x:f>
      </x:c>
      <x:c r="FE88" s="117" t="n">
        <x:f>IF(AND(FE$3&gt;=EDATE($B$75,-MIN(6,'Вводные'!$E$90)),FE$3&lt;$B$75),$B$88/MAX(1,MIN(6,'Вводные'!$E$90)),0)</x:f>
      </x:c>
      <x:c r="FF88" s="117" t="n">
        <x:f>IF(AND(FF$3&gt;=EDATE($B$75,-MIN(6,'Вводные'!$E$90)),FF$3&lt;$B$75),$B$88/MAX(1,MIN(6,'Вводные'!$E$90)),0)</x:f>
      </x:c>
      <x:c r="FG88" s="117" t="n">
        <x:f>IF(AND(FG$3&gt;=EDATE($B$75,-MIN(6,'Вводные'!$E$90)),FG$3&lt;$B$75),$B$88/MAX(1,MIN(6,'Вводные'!$E$90)),0)</x:f>
      </x:c>
      <x:c r="FH88" s="117" t="n">
        <x:f>IF(AND(FH$3&gt;=EDATE($B$75,-MIN(6,'Вводные'!$E$90)),FH$3&lt;$B$75),$B$88/MAX(1,MIN(6,'Вводные'!$E$90)),0)</x:f>
      </x:c>
      <x:c r="FI88" s="117" t="n">
        <x:f>IF(AND(FI$3&gt;=EDATE($B$75,-MIN(6,'Вводные'!$E$90)),FI$3&lt;$B$75),$B$88/MAX(1,MIN(6,'Вводные'!$E$90)),0)</x:f>
      </x:c>
      <x:c r="FJ88" s="117" t="n">
        <x:f>IF(AND(FJ$3&gt;=EDATE($B$75,-MIN(6,'Вводные'!$E$90)),FJ$3&lt;$B$75),$B$88/MAX(1,MIN(6,'Вводные'!$E$90)),0)</x:f>
      </x:c>
      <x:c r="FK88" s="117" t="n">
        <x:f>IF(AND(FK$3&gt;=EDATE($B$75,-MIN(6,'Вводные'!$E$90)),FK$3&lt;$B$75),$B$88/MAX(1,MIN(6,'Вводные'!$E$90)),0)</x:f>
      </x:c>
      <x:c r="FL88" s="117" t="n">
        <x:f>IF(AND(FL$3&gt;=EDATE($B$75,-MIN(6,'Вводные'!$E$90)),FL$3&lt;$B$75),$B$88/MAX(1,MIN(6,'Вводные'!$E$90)),0)</x:f>
      </x:c>
      <x:c r="FM88" s="117" t="n">
        <x:f>IF(AND(FM$3&gt;=EDATE($B$75,-MIN(6,'Вводные'!$E$90)),FM$3&lt;$B$75),$B$88/MAX(1,MIN(6,'Вводные'!$E$90)),0)</x:f>
      </x:c>
      <x:c r="FN88" s="117" t="n">
        <x:f>IF(AND(FN$3&gt;=EDATE($B$75,-MIN(6,'Вводные'!$E$90)),FN$3&lt;$B$75),$B$88/MAX(1,MIN(6,'Вводные'!$E$90)),0)</x:f>
      </x:c>
      <x:c r="FO88" s="117" t="n">
        <x:f>IF(AND(FO$3&gt;=EDATE($B$75,-MIN(6,'Вводные'!$E$90)),FO$3&lt;$B$75),$B$88/MAX(1,MIN(6,'Вводные'!$E$90)),0)</x:f>
      </x:c>
      <x:c r="FP88" s="117" t="n">
        <x:f>IF(AND(FP$3&gt;=EDATE($B$75,-MIN(6,'Вводные'!$E$90)),FP$3&lt;$B$75),$B$88/MAX(1,MIN(6,'Вводные'!$E$90)),0)</x:f>
      </x:c>
      <x:c r="FQ88" s="117" t="n">
        <x:f>IF(AND(FQ$3&gt;=EDATE($B$75,-MIN(6,'Вводные'!$E$90)),FQ$3&lt;$B$75),$B$88/MAX(1,MIN(6,'Вводные'!$E$90)),0)</x:f>
      </x:c>
      <x:c r="FR88" s="117" t="n">
        <x:f>IF(AND(FR$3&gt;=EDATE($B$75,-MIN(6,'Вводные'!$E$90)),FR$3&lt;$B$75),$B$88/MAX(1,MIN(6,'Вводные'!$E$90)),0)</x:f>
      </x:c>
      <x:c r="FS88" s="117" t="n">
        <x:f>IF(AND(FS$3&gt;=EDATE($B$75,-MIN(6,'Вводные'!$E$90)),FS$3&lt;$B$75),$B$88/MAX(1,MIN(6,'Вводные'!$E$90)),0)</x:f>
      </x:c>
      <x:c r="FT88" s="117" t="n">
        <x:f>IF(AND(FT$3&gt;=EDATE($B$75,-MIN(6,'Вводные'!$E$90)),FT$3&lt;$B$75),$B$88/MAX(1,MIN(6,'Вводные'!$E$90)),0)</x:f>
      </x:c>
      <x:c r="FU88" s="117" t="n">
        <x:f>IF(AND(FU$3&gt;=EDATE($B$75,-MIN(6,'Вводные'!$E$90)),FU$3&lt;$B$75),$B$88/MAX(1,MIN(6,'Вводные'!$E$90)),0)</x:f>
      </x:c>
      <x:c r="FV88" s="117" t="n">
        <x:f>IF(AND(FV$3&gt;=EDATE($B$75,-MIN(6,'Вводные'!$E$90)),FV$3&lt;$B$75),$B$88/MAX(1,MIN(6,'Вводные'!$E$90)),0)</x:f>
      </x:c>
      <x:c r="FW88" s="117" t="n">
        <x:f>IF(AND(FW$3&gt;=EDATE($B$75,-MIN(6,'Вводные'!$E$90)),FW$3&lt;$B$75),$B$88/MAX(1,MIN(6,'Вводные'!$E$90)),0)</x:f>
      </x:c>
      <x:c r="FX88" s="117" t="n">
        <x:f>IF(AND(FX$3&gt;=EDATE($B$75,-MIN(6,'Вводные'!$E$90)),FX$3&lt;$B$75),$B$88/MAX(1,MIN(6,'Вводные'!$E$90)),0)</x:f>
      </x:c>
      <x:c r="FY88" s="117" t="n">
        <x:f>IF(AND(FY$3&gt;=EDATE($B$75,-MIN(6,'Вводные'!$E$90)),FY$3&lt;$B$75),$B$88/MAX(1,MIN(6,'Вводные'!$E$90)),0)</x:f>
      </x:c>
      <x:c r="FZ88" s="117" t="n">
        <x:f>IF(AND(FZ$3&gt;=EDATE($B$75,-MIN(6,'Вводные'!$E$90)),FZ$3&lt;$B$75),$B$88/MAX(1,MIN(6,'Вводные'!$E$90)),0)</x:f>
      </x:c>
      <x:c r="GA88" s="117" t="n">
        <x:f>IF(AND(GA$3&gt;=EDATE($B$75,-MIN(6,'Вводные'!$E$90)),GA$3&lt;$B$75),$B$88/MAX(1,MIN(6,'Вводные'!$E$90)),0)</x:f>
      </x:c>
    </x:row>
    <x:row r="89">
      <x:c r="A89" t="str">
        <x:v>Основное строительство — наземная часть</x:v>
      </x:c>
      <x:c r="B89" s="107" t="n">
        <x:f>(('Вводные'!$I$90+'Вводные'!$J$90)*'Вводные'!$B$44/1000*'Вводные'!$H$6*'Вводные'!$T$90*--('Вводные'!$B$90="Да"))*'Вводные'!$AH$90</x:f>
      </x:c>
      <x:c r="C89" t="str">
        <x:v>млн ₽</x:v>
      </x:c>
      <x:c r="D89" s="117" t="n">
        <x:f>$B$89*D81</x:f>
      </x:c>
      <x:c r="E89" s="117" t="n">
        <x:f>$B$89*E81</x:f>
      </x:c>
      <x:c r="F89" s="117" t="n">
        <x:f>$B$89*F81</x:f>
      </x:c>
      <x:c r="G89" s="117" t="n">
        <x:f>$B$89*G81</x:f>
      </x:c>
      <x:c r="H89" s="117" t="n">
        <x:f>$B$89*H81</x:f>
      </x:c>
      <x:c r="I89" s="117" t="n">
        <x:f>$B$89*I81</x:f>
      </x:c>
      <x:c r="J89" s="117" t="n">
        <x:f>$B$89*J81</x:f>
      </x:c>
      <x:c r="K89" s="117" t="n">
        <x:f>$B$89*K81</x:f>
      </x:c>
      <x:c r="L89" s="117" t="n">
        <x:f>$B$89*L81</x:f>
      </x:c>
      <x:c r="M89" s="117" t="n">
        <x:f>$B$89*M81</x:f>
      </x:c>
      <x:c r="N89" s="117" t="n">
        <x:f>$B$89*N81</x:f>
      </x:c>
      <x:c r="O89" s="117" t="n">
        <x:f>$B$89*O81</x:f>
      </x:c>
      <x:c r="P89" s="117" t="n">
        <x:f>$B$89*P81</x:f>
      </x:c>
      <x:c r="Q89" s="117" t="n">
        <x:f>$B$89*Q81</x:f>
      </x:c>
      <x:c r="R89" s="117" t="n">
        <x:f>$B$89*R81</x:f>
      </x:c>
      <x:c r="S89" s="117" t="n">
        <x:f>$B$89*S81</x:f>
      </x:c>
      <x:c r="T89" s="117" t="n">
        <x:f>$B$89*T81</x:f>
      </x:c>
      <x:c r="U89" s="117" t="n">
        <x:f>$B$89*U81</x:f>
      </x:c>
      <x:c r="V89" s="117" t="n">
        <x:f>$B$89*V81</x:f>
      </x:c>
      <x:c r="W89" s="117" t="n">
        <x:f>$B$89*W81</x:f>
      </x:c>
      <x:c r="X89" s="117" t="n">
        <x:f>$B$89*X81</x:f>
      </x:c>
      <x:c r="Y89" s="117" t="n">
        <x:f>$B$89*Y81</x:f>
      </x:c>
      <x:c r="Z89" s="117" t="n">
        <x:f>$B$89*Z81</x:f>
      </x:c>
      <x:c r="AA89" s="117" t="n">
        <x:f>$B$89*AA81</x:f>
      </x:c>
      <x:c r="AB89" s="117" t="n">
        <x:f>$B$89*AB81</x:f>
      </x:c>
      <x:c r="AC89" s="117" t="n">
        <x:f>$B$89*AC81</x:f>
      </x:c>
      <x:c r="AD89" s="117" t="n">
        <x:f>$B$89*AD81</x:f>
      </x:c>
      <x:c r="AE89" s="117" t="n">
        <x:f>$B$89*AE81</x:f>
      </x:c>
      <x:c r="AF89" s="117" t="n">
        <x:f>$B$89*AF81</x:f>
      </x:c>
      <x:c r="AG89" s="117" t="n">
        <x:f>$B$89*AG81</x:f>
      </x:c>
      <x:c r="AH89" s="117" t="n">
        <x:f>$B$89*AH81</x:f>
      </x:c>
      <x:c r="AI89" s="117" t="n">
        <x:f>$B$89*AI81</x:f>
      </x:c>
      <x:c r="AJ89" s="117" t="n">
        <x:f>$B$89*AJ81</x:f>
      </x:c>
      <x:c r="AK89" s="117" t="n">
        <x:f>$B$89*AK81</x:f>
      </x:c>
      <x:c r="AL89" s="117" t="n">
        <x:f>$B$89*AL81</x:f>
      </x:c>
      <x:c r="AM89" s="117" t="n">
        <x:f>$B$89*AM81</x:f>
      </x:c>
      <x:c r="AN89" s="117" t="n">
        <x:f>$B$89*AN81</x:f>
      </x:c>
      <x:c r="AO89" s="117" t="n">
        <x:f>$B$89*AO81</x:f>
      </x:c>
      <x:c r="AP89" s="117" t="n">
        <x:f>$B$89*AP81</x:f>
      </x:c>
      <x:c r="AQ89" s="117" t="n">
        <x:f>$B$89*AQ81</x:f>
      </x:c>
      <x:c r="AR89" s="117" t="n">
        <x:f>$B$89*AR81</x:f>
      </x:c>
      <x:c r="AS89" s="117" t="n">
        <x:f>$B$89*AS81</x:f>
      </x:c>
      <x:c r="AT89" s="117" t="n">
        <x:f>$B$89*AT81</x:f>
      </x:c>
      <x:c r="AU89" s="117" t="n">
        <x:f>$B$89*AU81</x:f>
      </x:c>
      <x:c r="AV89" s="117" t="n">
        <x:f>$B$89*AV81</x:f>
      </x:c>
      <x:c r="AW89" s="117" t="n">
        <x:f>$B$89*AW81</x:f>
      </x:c>
      <x:c r="AX89" s="117" t="n">
        <x:f>$B$89*AX81</x:f>
      </x:c>
      <x:c r="AY89" s="117" t="n">
        <x:f>$B$89*AY81</x:f>
      </x:c>
      <x:c r="AZ89" s="117" t="n">
        <x:f>$B$89*AZ81</x:f>
      </x:c>
      <x:c r="BA89" s="117" t="n">
        <x:f>$B$89*BA81</x:f>
      </x:c>
      <x:c r="BB89" s="117" t="n">
        <x:f>$B$89*BB81</x:f>
      </x:c>
      <x:c r="BC89" s="117" t="n">
        <x:f>$B$89*BC81</x:f>
      </x:c>
      <x:c r="BD89" s="117" t="n">
        <x:f>$B$89*BD81</x:f>
      </x:c>
      <x:c r="BE89" s="117" t="n">
        <x:f>$B$89*BE81</x:f>
      </x:c>
      <x:c r="BF89" s="117" t="n">
        <x:f>$B$89*BF81</x:f>
      </x:c>
      <x:c r="BG89" s="117" t="n">
        <x:f>$B$89*BG81</x:f>
      </x:c>
      <x:c r="BH89" s="117" t="n">
        <x:f>$B$89*BH81</x:f>
      </x:c>
      <x:c r="BI89" s="117" t="n">
        <x:f>$B$89*BI81</x:f>
      </x:c>
      <x:c r="BJ89" s="117" t="n">
        <x:f>$B$89*BJ81</x:f>
      </x:c>
      <x:c r="BK89" s="117" t="n">
        <x:f>$B$89*BK81</x:f>
      </x:c>
      <x:c r="BL89" s="117" t="n">
        <x:f>$B$89*BL81</x:f>
      </x:c>
      <x:c r="BM89" s="117" t="n">
        <x:f>$B$89*BM81</x:f>
      </x:c>
      <x:c r="BN89" s="117" t="n">
        <x:f>$B$89*BN81</x:f>
      </x:c>
      <x:c r="BO89" s="117" t="n">
        <x:f>$B$89*BO81</x:f>
      </x:c>
      <x:c r="BP89" s="117" t="n">
        <x:f>$B$89*BP81</x:f>
      </x:c>
      <x:c r="BQ89" s="117" t="n">
        <x:f>$B$89*BQ81</x:f>
      </x:c>
      <x:c r="BR89" s="117" t="n">
        <x:f>$B$89*BR81</x:f>
      </x:c>
      <x:c r="BS89" s="117" t="n">
        <x:f>$B$89*BS81</x:f>
      </x:c>
      <x:c r="BT89" s="117" t="n">
        <x:f>$B$89*BT81</x:f>
      </x:c>
      <x:c r="BU89" s="117" t="n">
        <x:f>$B$89*BU81</x:f>
      </x:c>
      <x:c r="BV89" s="117" t="n">
        <x:f>$B$89*BV81</x:f>
      </x:c>
      <x:c r="BW89" s="117" t="n">
        <x:f>$B$89*BW81</x:f>
      </x:c>
      <x:c r="BX89" s="117" t="n">
        <x:f>$B$89*BX81</x:f>
      </x:c>
      <x:c r="BY89" s="117" t="n">
        <x:f>$B$89*BY81</x:f>
      </x:c>
      <x:c r="BZ89" s="117" t="n">
        <x:f>$B$89*BZ81</x:f>
      </x:c>
      <x:c r="CA89" s="117" t="n">
        <x:f>$B$89*CA81</x:f>
      </x:c>
      <x:c r="CB89" s="117" t="n">
        <x:f>$B$89*CB81</x:f>
      </x:c>
      <x:c r="CC89" s="117" t="n">
        <x:f>$B$89*CC81</x:f>
      </x:c>
      <x:c r="CD89" s="117" t="n">
        <x:f>$B$89*CD81</x:f>
      </x:c>
      <x:c r="CE89" s="117" t="n">
        <x:f>$B$89*CE81</x:f>
      </x:c>
      <x:c r="CF89" s="117" t="n">
        <x:f>$B$89*CF81</x:f>
      </x:c>
      <x:c r="CG89" s="117" t="n">
        <x:f>$B$89*CG81</x:f>
      </x:c>
      <x:c r="CH89" s="117" t="n">
        <x:f>$B$89*CH81</x:f>
      </x:c>
      <x:c r="CI89" s="117" t="n">
        <x:f>$B$89*CI81</x:f>
      </x:c>
      <x:c r="CJ89" s="117" t="n">
        <x:f>$B$89*CJ81</x:f>
      </x:c>
      <x:c r="CK89" s="117" t="n">
        <x:f>$B$89*CK81</x:f>
      </x:c>
      <x:c r="CL89" s="117" t="n">
        <x:f>$B$89*CL81</x:f>
      </x:c>
      <x:c r="CM89" s="117" t="n">
        <x:f>$B$89*CM81</x:f>
      </x:c>
      <x:c r="CN89" s="117" t="n">
        <x:f>$B$89*CN81</x:f>
      </x:c>
      <x:c r="CO89" s="117" t="n">
        <x:f>$B$89*CO81</x:f>
      </x:c>
      <x:c r="CP89" s="117" t="n">
        <x:f>$B$89*CP81</x:f>
      </x:c>
      <x:c r="CQ89" s="117" t="n">
        <x:f>$B$89*CQ81</x:f>
      </x:c>
      <x:c r="CR89" s="117" t="n">
        <x:f>$B$89*CR81</x:f>
      </x:c>
      <x:c r="CS89" s="117" t="n">
        <x:f>$B$89*CS81</x:f>
      </x:c>
      <x:c r="CT89" s="117" t="n">
        <x:f>$B$89*CT81</x:f>
      </x:c>
      <x:c r="CU89" s="117" t="n">
        <x:f>$B$89*CU81</x:f>
      </x:c>
      <x:c r="CV89" s="117" t="n">
        <x:f>$B$89*CV81</x:f>
      </x:c>
      <x:c r="CW89" s="117" t="n">
        <x:f>$B$89*CW81</x:f>
      </x:c>
      <x:c r="CX89" s="117" t="n">
        <x:f>$B$89*CX81</x:f>
      </x:c>
      <x:c r="CY89" s="117" t="n">
        <x:f>$B$89*CY81</x:f>
      </x:c>
      <x:c r="CZ89" s="117" t="n">
        <x:f>$B$89*CZ81</x:f>
      </x:c>
      <x:c r="DA89" s="117" t="n">
        <x:f>$B$89*DA81</x:f>
      </x:c>
      <x:c r="DB89" s="117" t="n">
        <x:f>$B$89*DB81</x:f>
      </x:c>
      <x:c r="DC89" s="117" t="n">
        <x:f>$B$89*DC81</x:f>
      </x:c>
      <x:c r="DD89" s="117" t="n">
        <x:f>$B$89*DD81</x:f>
      </x:c>
      <x:c r="DE89" s="117" t="n">
        <x:f>$B$89*DE81</x:f>
      </x:c>
      <x:c r="DF89" s="117" t="n">
        <x:f>$B$89*DF81</x:f>
      </x:c>
      <x:c r="DG89" s="117" t="n">
        <x:f>$B$89*DG81</x:f>
      </x:c>
      <x:c r="DH89" s="117" t="n">
        <x:f>$B$89*DH81</x:f>
      </x:c>
      <x:c r="DI89" s="117" t="n">
        <x:f>$B$89*DI81</x:f>
      </x:c>
      <x:c r="DJ89" s="117" t="n">
        <x:f>$B$89*DJ81</x:f>
      </x:c>
      <x:c r="DK89" s="117" t="n">
        <x:f>$B$89*DK81</x:f>
      </x:c>
      <x:c r="DL89" s="117" t="n">
        <x:f>$B$89*DL81</x:f>
      </x:c>
      <x:c r="DM89" s="117" t="n">
        <x:f>$B$89*DM81</x:f>
      </x:c>
      <x:c r="DN89" s="117" t="n">
        <x:f>$B$89*DN81</x:f>
      </x:c>
      <x:c r="DO89" s="117" t="n">
        <x:f>$B$89*DO81</x:f>
      </x:c>
      <x:c r="DP89" s="117" t="n">
        <x:f>$B$89*DP81</x:f>
      </x:c>
      <x:c r="DQ89" s="117" t="n">
        <x:f>$B$89*DQ81</x:f>
      </x:c>
      <x:c r="DR89" s="117" t="n">
        <x:f>$B$89*DR81</x:f>
      </x:c>
      <x:c r="DS89" s="117" t="n">
        <x:f>$B$89*DS81</x:f>
      </x:c>
      <x:c r="DT89" s="117" t="n">
        <x:f>$B$89*DT81</x:f>
      </x:c>
      <x:c r="DU89" s="117" t="n">
        <x:f>$B$89*DU81</x:f>
      </x:c>
      <x:c r="DV89" s="117" t="n">
        <x:f>$B$89*DV81</x:f>
      </x:c>
      <x:c r="DW89" s="117" t="n">
        <x:f>$B$89*DW81</x:f>
      </x:c>
      <x:c r="DX89" s="117" t="n">
        <x:f>$B$89*DX81</x:f>
      </x:c>
      <x:c r="DY89" s="117" t="n">
        <x:f>$B$89*DY81</x:f>
      </x:c>
      <x:c r="DZ89" s="117" t="n">
        <x:f>$B$89*DZ81</x:f>
      </x:c>
      <x:c r="EA89" s="117" t="n">
        <x:f>$B$89*EA81</x:f>
      </x:c>
      <x:c r="EB89" s="117" t="n">
        <x:f>$B$89*EB81</x:f>
      </x:c>
      <x:c r="EC89" s="117" t="n">
        <x:f>$B$89*EC81</x:f>
      </x:c>
      <x:c r="ED89" s="117" t="n">
        <x:f>$B$89*ED81</x:f>
      </x:c>
      <x:c r="EE89" s="117" t="n">
        <x:f>$B$89*EE81</x:f>
      </x:c>
      <x:c r="EF89" s="117" t="n">
        <x:f>$B$89*EF81</x:f>
      </x:c>
      <x:c r="EG89" s="117" t="n">
        <x:f>$B$89*EG81</x:f>
      </x:c>
      <x:c r="EH89" s="117" t="n">
        <x:f>$B$89*EH81</x:f>
      </x:c>
      <x:c r="EI89" s="117" t="n">
        <x:f>$B$89*EI81</x:f>
      </x:c>
      <x:c r="EJ89" s="117" t="n">
        <x:f>$B$89*EJ81</x:f>
      </x:c>
      <x:c r="EK89" s="117" t="n">
        <x:f>$B$89*EK81</x:f>
      </x:c>
      <x:c r="EL89" s="117" t="n">
        <x:f>$B$89*EL81</x:f>
      </x:c>
      <x:c r="EM89" s="117" t="n">
        <x:f>$B$89*EM81</x:f>
      </x:c>
      <x:c r="EN89" s="117" t="n">
        <x:f>$B$89*EN81</x:f>
      </x:c>
      <x:c r="EO89" s="117" t="n">
        <x:f>$B$89*EO81</x:f>
      </x:c>
      <x:c r="EP89" s="117" t="n">
        <x:f>$B$89*EP81</x:f>
      </x:c>
      <x:c r="EQ89" s="117" t="n">
        <x:f>$B$89*EQ81</x:f>
      </x:c>
      <x:c r="ER89" s="117" t="n">
        <x:f>$B$89*ER81</x:f>
      </x:c>
      <x:c r="ES89" s="117" t="n">
        <x:f>$B$89*ES81</x:f>
      </x:c>
      <x:c r="ET89" s="117" t="n">
        <x:f>$B$89*ET81</x:f>
      </x:c>
      <x:c r="EU89" s="117" t="n">
        <x:f>$B$89*EU81</x:f>
      </x:c>
      <x:c r="EV89" s="117" t="n">
        <x:f>$B$89*EV81</x:f>
      </x:c>
      <x:c r="EW89" s="117" t="n">
        <x:f>$B$89*EW81</x:f>
      </x:c>
      <x:c r="EX89" s="117" t="n">
        <x:f>$B$89*EX81</x:f>
      </x:c>
      <x:c r="EY89" s="117" t="n">
        <x:f>$B$89*EY81</x:f>
      </x:c>
      <x:c r="EZ89" s="117" t="n">
        <x:f>$B$89*EZ81</x:f>
      </x:c>
      <x:c r="FA89" s="117" t="n">
        <x:f>$B$89*FA81</x:f>
      </x:c>
      <x:c r="FB89" s="117" t="n">
        <x:f>$B$89*FB81</x:f>
      </x:c>
      <x:c r="FC89" s="117" t="n">
        <x:f>$B$89*FC81</x:f>
      </x:c>
      <x:c r="FD89" s="117" t="n">
        <x:f>$B$89*FD81</x:f>
      </x:c>
      <x:c r="FE89" s="117" t="n">
        <x:f>$B$89*FE81</x:f>
      </x:c>
      <x:c r="FF89" s="117" t="n">
        <x:f>$B$89*FF81</x:f>
      </x:c>
      <x:c r="FG89" s="117" t="n">
        <x:f>$B$89*FG81</x:f>
      </x:c>
      <x:c r="FH89" s="117" t="n">
        <x:f>$B$89*FH81</x:f>
      </x:c>
      <x:c r="FI89" s="117" t="n">
        <x:f>$B$89*FI81</x:f>
      </x:c>
      <x:c r="FJ89" s="117" t="n">
        <x:f>$B$89*FJ81</x:f>
      </x:c>
      <x:c r="FK89" s="117" t="n">
        <x:f>$B$89*FK81</x:f>
      </x:c>
      <x:c r="FL89" s="117" t="n">
        <x:f>$B$89*FL81</x:f>
      </x:c>
      <x:c r="FM89" s="117" t="n">
        <x:f>$B$89*FM81</x:f>
      </x:c>
      <x:c r="FN89" s="117" t="n">
        <x:f>$B$89*FN81</x:f>
      </x:c>
      <x:c r="FO89" s="117" t="n">
        <x:f>$B$89*FO81</x:f>
      </x:c>
      <x:c r="FP89" s="117" t="n">
        <x:f>$B$89*FP81</x:f>
      </x:c>
      <x:c r="FQ89" s="117" t="n">
        <x:f>$B$89*FQ81</x:f>
      </x:c>
      <x:c r="FR89" s="117" t="n">
        <x:f>$B$89*FR81</x:f>
      </x:c>
      <x:c r="FS89" s="117" t="n">
        <x:f>$B$89*FS81</x:f>
      </x:c>
      <x:c r="FT89" s="117" t="n">
        <x:f>$B$89*FT81</x:f>
      </x:c>
      <x:c r="FU89" s="117" t="n">
        <x:f>$B$89*FU81</x:f>
      </x:c>
      <x:c r="FV89" s="117" t="n">
        <x:f>$B$89*FV81</x:f>
      </x:c>
      <x:c r="FW89" s="117" t="n">
        <x:f>$B$89*FW81</x:f>
      </x:c>
      <x:c r="FX89" s="117" t="n">
        <x:f>$B$89*FX81</x:f>
      </x:c>
      <x:c r="FY89" s="117" t="n">
        <x:f>$B$89*FY81</x:f>
      </x:c>
      <x:c r="FZ89" s="117" t="n">
        <x:f>$B$89*FZ81</x:f>
      </x:c>
      <x:c r="GA89" s="117" t="n">
        <x:f>$B$89*GA81</x:f>
      </x:c>
    </x:row>
    <x:row r="90">
      <x:c r="A90" t="str">
        <x:v>Основное строительство — подземная часть</x:v>
      </x:c>
      <x:c r="B90" s="107" t="n">
        <x:f>('Вводные'!$K$90*'Вводные'!$B$45/1000*'Вводные'!$H$6*'Вводные'!$T$90*--('Вводные'!$B$90="Да"))*'Вводные'!$AH$90</x:f>
      </x:c>
      <x:c r="C90" t="str">
        <x:v>млн ₽</x:v>
      </x:c>
      <x:c r="D90" s="117" t="n">
        <x:f>$B$90*D81</x:f>
      </x:c>
      <x:c r="E90" s="117" t="n">
        <x:f>$B$90*E81</x:f>
      </x:c>
      <x:c r="F90" s="117" t="n">
        <x:f>$B$90*F81</x:f>
      </x:c>
      <x:c r="G90" s="117" t="n">
        <x:f>$B$90*G81</x:f>
      </x:c>
      <x:c r="H90" s="117" t="n">
        <x:f>$B$90*H81</x:f>
      </x:c>
      <x:c r="I90" s="117" t="n">
        <x:f>$B$90*I81</x:f>
      </x:c>
      <x:c r="J90" s="117" t="n">
        <x:f>$B$90*J81</x:f>
      </x:c>
      <x:c r="K90" s="117" t="n">
        <x:f>$B$90*K81</x:f>
      </x:c>
      <x:c r="L90" s="117" t="n">
        <x:f>$B$90*L81</x:f>
      </x:c>
      <x:c r="M90" s="117" t="n">
        <x:f>$B$90*M81</x:f>
      </x:c>
      <x:c r="N90" s="117" t="n">
        <x:f>$B$90*N81</x:f>
      </x:c>
      <x:c r="O90" s="117" t="n">
        <x:f>$B$90*O81</x:f>
      </x:c>
      <x:c r="P90" s="117" t="n">
        <x:f>$B$90*P81</x:f>
      </x:c>
      <x:c r="Q90" s="117" t="n">
        <x:f>$B$90*Q81</x:f>
      </x:c>
      <x:c r="R90" s="117" t="n">
        <x:f>$B$90*R81</x:f>
      </x:c>
      <x:c r="S90" s="117" t="n">
        <x:f>$B$90*S81</x:f>
      </x:c>
      <x:c r="T90" s="117" t="n">
        <x:f>$B$90*T81</x:f>
      </x:c>
      <x:c r="U90" s="117" t="n">
        <x:f>$B$90*U81</x:f>
      </x:c>
      <x:c r="V90" s="117" t="n">
        <x:f>$B$90*V81</x:f>
      </x:c>
      <x:c r="W90" s="117" t="n">
        <x:f>$B$90*W81</x:f>
      </x:c>
      <x:c r="X90" s="117" t="n">
        <x:f>$B$90*X81</x:f>
      </x:c>
      <x:c r="Y90" s="117" t="n">
        <x:f>$B$90*Y81</x:f>
      </x:c>
      <x:c r="Z90" s="117" t="n">
        <x:f>$B$90*Z81</x:f>
      </x:c>
      <x:c r="AA90" s="117" t="n">
        <x:f>$B$90*AA81</x:f>
      </x:c>
      <x:c r="AB90" s="117" t="n">
        <x:f>$B$90*AB81</x:f>
      </x:c>
      <x:c r="AC90" s="117" t="n">
        <x:f>$B$90*AC81</x:f>
      </x:c>
      <x:c r="AD90" s="117" t="n">
        <x:f>$B$90*AD81</x:f>
      </x:c>
      <x:c r="AE90" s="117" t="n">
        <x:f>$B$90*AE81</x:f>
      </x:c>
      <x:c r="AF90" s="117" t="n">
        <x:f>$B$90*AF81</x:f>
      </x:c>
      <x:c r="AG90" s="117" t="n">
        <x:f>$B$90*AG81</x:f>
      </x:c>
      <x:c r="AH90" s="117" t="n">
        <x:f>$B$90*AH81</x:f>
      </x:c>
      <x:c r="AI90" s="117" t="n">
        <x:f>$B$90*AI81</x:f>
      </x:c>
      <x:c r="AJ90" s="117" t="n">
        <x:f>$B$90*AJ81</x:f>
      </x:c>
      <x:c r="AK90" s="117" t="n">
        <x:f>$B$90*AK81</x:f>
      </x:c>
      <x:c r="AL90" s="117" t="n">
        <x:f>$B$90*AL81</x:f>
      </x:c>
      <x:c r="AM90" s="117" t="n">
        <x:f>$B$90*AM81</x:f>
      </x:c>
      <x:c r="AN90" s="117" t="n">
        <x:f>$B$90*AN81</x:f>
      </x:c>
      <x:c r="AO90" s="117" t="n">
        <x:f>$B$90*AO81</x:f>
      </x:c>
      <x:c r="AP90" s="117" t="n">
        <x:f>$B$90*AP81</x:f>
      </x:c>
      <x:c r="AQ90" s="117" t="n">
        <x:f>$B$90*AQ81</x:f>
      </x:c>
      <x:c r="AR90" s="117" t="n">
        <x:f>$B$90*AR81</x:f>
      </x:c>
      <x:c r="AS90" s="117" t="n">
        <x:f>$B$90*AS81</x:f>
      </x:c>
      <x:c r="AT90" s="117" t="n">
        <x:f>$B$90*AT81</x:f>
      </x:c>
      <x:c r="AU90" s="117" t="n">
        <x:f>$B$90*AU81</x:f>
      </x:c>
      <x:c r="AV90" s="117" t="n">
        <x:f>$B$90*AV81</x:f>
      </x:c>
      <x:c r="AW90" s="117" t="n">
        <x:f>$B$90*AW81</x:f>
      </x:c>
      <x:c r="AX90" s="117" t="n">
        <x:f>$B$90*AX81</x:f>
      </x:c>
      <x:c r="AY90" s="117" t="n">
        <x:f>$B$90*AY81</x:f>
      </x:c>
      <x:c r="AZ90" s="117" t="n">
        <x:f>$B$90*AZ81</x:f>
      </x:c>
      <x:c r="BA90" s="117" t="n">
        <x:f>$B$90*BA81</x:f>
      </x:c>
      <x:c r="BB90" s="117" t="n">
        <x:f>$B$90*BB81</x:f>
      </x:c>
      <x:c r="BC90" s="117" t="n">
        <x:f>$B$90*BC81</x:f>
      </x:c>
      <x:c r="BD90" s="117" t="n">
        <x:f>$B$90*BD81</x:f>
      </x:c>
      <x:c r="BE90" s="117" t="n">
        <x:f>$B$90*BE81</x:f>
      </x:c>
      <x:c r="BF90" s="117" t="n">
        <x:f>$B$90*BF81</x:f>
      </x:c>
      <x:c r="BG90" s="117" t="n">
        <x:f>$B$90*BG81</x:f>
      </x:c>
      <x:c r="BH90" s="117" t="n">
        <x:f>$B$90*BH81</x:f>
      </x:c>
      <x:c r="BI90" s="117" t="n">
        <x:f>$B$90*BI81</x:f>
      </x:c>
      <x:c r="BJ90" s="117" t="n">
        <x:f>$B$90*BJ81</x:f>
      </x:c>
      <x:c r="BK90" s="117" t="n">
        <x:f>$B$90*BK81</x:f>
      </x:c>
      <x:c r="BL90" s="117" t="n">
        <x:f>$B$90*BL81</x:f>
      </x:c>
      <x:c r="BM90" s="117" t="n">
        <x:f>$B$90*BM81</x:f>
      </x:c>
      <x:c r="BN90" s="117" t="n">
        <x:f>$B$90*BN81</x:f>
      </x:c>
      <x:c r="BO90" s="117" t="n">
        <x:f>$B$90*BO81</x:f>
      </x:c>
      <x:c r="BP90" s="117" t="n">
        <x:f>$B$90*BP81</x:f>
      </x:c>
      <x:c r="BQ90" s="117" t="n">
        <x:f>$B$90*BQ81</x:f>
      </x:c>
      <x:c r="BR90" s="117" t="n">
        <x:f>$B$90*BR81</x:f>
      </x:c>
      <x:c r="BS90" s="117" t="n">
        <x:f>$B$90*BS81</x:f>
      </x:c>
      <x:c r="BT90" s="117" t="n">
        <x:f>$B$90*BT81</x:f>
      </x:c>
      <x:c r="BU90" s="117" t="n">
        <x:f>$B$90*BU81</x:f>
      </x:c>
      <x:c r="BV90" s="117" t="n">
        <x:f>$B$90*BV81</x:f>
      </x:c>
      <x:c r="BW90" s="117" t="n">
        <x:f>$B$90*BW81</x:f>
      </x:c>
      <x:c r="BX90" s="117" t="n">
        <x:f>$B$90*BX81</x:f>
      </x:c>
      <x:c r="BY90" s="117" t="n">
        <x:f>$B$90*BY81</x:f>
      </x:c>
      <x:c r="BZ90" s="117" t="n">
        <x:f>$B$90*BZ81</x:f>
      </x:c>
      <x:c r="CA90" s="117" t="n">
        <x:f>$B$90*CA81</x:f>
      </x:c>
      <x:c r="CB90" s="117" t="n">
        <x:f>$B$90*CB81</x:f>
      </x:c>
      <x:c r="CC90" s="117" t="n">
        <x:f>$B$90*CC81</x:f>
      </x:c>
      <x:c r="CD90" s="117" t="n">
        <x:f>$B$90*CD81</x:f>
      </x:c>
      <x:c r="CE90" s="117" t="n">
        <x:f>$B$90*CE81</x:f>
      </x:c>
      <x:c r="CF90" s="117" t="n">
        <x:f>$B$90*CF81</x:f>
      </x:c>
      <x:c r="CG90" s="117" t="n">
        <x:f>$B$90*CG81</x:f>
      </x:c>
      <x:c r="CH90" s="117" t="n">
        <x:f>$B$90*CH81</x:f>
      </x:c>
      <x:c r="CI90" s="117" t="n">
        <x:f>$B$90*CI81</x:f>
      </x:c>
      <x:c r="CJ90" s="117" t="n">
        <x:f>$B$90*CJ81</x:f>
      </x:c>
      <x:c r="CK90" s="117" t="n">
        <x:f>$B$90*CK81</x:f>
      </x:c>
      <x:c r="CL90" s="117" t="n">
        <x:f>$B$90*CL81</x:f>
      </x:c>
      <x:c r="CM90" s="117" t="n">
        <x:f>$B$90*CM81</x:f>
      </x:c>
      <x:c r="CN90" s="117" t="n">
        <x:f>$B$90*CN81</x:f>
      </x:c>
      <x:c r="CO90" s="117" t="n">
        <x:f>$B$90*CO81</x:f>
      </x:c>
      <x:c r="CP90" s="117" t="n">
        <x:f>$B$90*CP81</x:f>
      </x:c>
      <x:c r="CQ90" s="117" t="n">
        <x:f>$B$90*CQ81</x:f>
      </x:c>
      <x:c r="CR90" s="117" t="n">
        <x:f>$B$90*CR81</x:f>
      </x:c>
      <x:c r="CS90" s="117" t="n">
        <x:f>$B$90*CS81</x:f>
      </x:c>
      <x:c r="CT90" s="117" t="n">
        <x:f>$B$90*CT81</x:f>
      </x:c>
      <x:c r="CU90" s="117" t="n">
        <x:f>$B$90*CU81</x:f>
      </x:c>
      <x:c r="CV90" s="117" t="n">
        <x:f>$B$90*CV81</x:f>
      </x:c>
      <x:c r="CW90" s="117" t="n">
        <x:f>$B$90*CW81</x:f>
      </x:c>
      <x:c r="CX90" s="117" t="n">
        <x:f>$B$90*CX81</x:f>
      </x:c>
      <x:c r="CY90" s="117" t="n">
        <x:f>$B$90*CY81</x:f>
      </x:c>
      <x:c r="CZ90" s="117" t="n">
        <x:f>$B$90*CZ81</x:f>
      </x:c>
      <x:c r="DA90" s="117" t="n">
        <x:f>$B$90*DA81</x:f>
      </x:c>
      <x:c r="DB90" s="117" t="n">
        <x:f>$B$90*DB81</x:f>
      </x:c>
      <x:c r="DC90" s="117" t="n">
        <x:f>$B$90*DC81</x:f>
      </x:c>
      <x:c r="DD90" s="117" t="n">
        <x:f>$B$90*DD81</x:f>
      </x:c>
      <x:c r="DE90" s="117" t="n">
        <x:f>$B$90*DE81</x:f>
      </x:c>
      <x:c r="DF90" s="117" t="n">
        <x:f>$B$90*DF81</x:f>
      </x:c>
      <x:c r="DG90" s="117" t="n">
        <x:f>$B$90*DG81</x:f>
      </x:c>
      <x:c r="DH90" s="117" t="n">
        <x:f>$B$90*DH81</x:f>
      </x:c>
      <x:c r="DI90" s="117" t="n">
        <x:f>$B$90*DI81</x:f>
      </x:c>
      <x:c r="DJ90" s="117" t="n">
        <x:f>$B$90*DJ81</x:f>
      </x:c>
      <x:c r="DK90" s="117" t="n">
        <x:f>$B$90*DK81</x:f>
      </x:c>
      <x:c r="DL90" s="117" t="n">
        <x:f>$B$90*DL81</x:f>
      </x:c>
      <x:c r="DM90" s="117" t="n">
        <x:f>$B$90*DM81</x:f>
      </x:c>
      <x:c r="DN90" s="117" t="n">
        <x:f>$B$90*DN81</x:f>
      </x:c>
      <x:c r="DO90" s="117" t="n">
        <x:f>$B$90*DO81</x:f>
      </x:c>
      <x:c r="DP90" s="117" t="n">
        <x:f>$B$90*DP81</x:f>
      </x:c>
      <x:c r="DQ90" s="117" t="n">
        <x:f>$B$90*DQ81</x:f>
      </x:c>
      <x:c r="DR90" s="117" t="n">
        <x:f>$B$90*DR81</x:f>
      </x:c>
      <x:c r="DS90" s="117" t="n">
        <x:f>$B$90*DS81</x:f>
      </x:c>
      <x:c r="DT90" s="117" t="n">
        <x:f>$B$90*DT81</x:f>
      </x:c>
      <x:c r="DU90" s="117" t="n">
        <x:f>$B$90*DU81</x:f>
      </x:c>
      <x:c r="DV90" s="117" t="n">
        <x:f>$B$90*DV81</x:f>
      </x:c>
      <x:c r="DW90" s="117" t="n">
        <x:f>$B$90*DW81</x:f>
      </x:c>
      <x:c r="DX90" s="117" t="n">
        <x:f>$B$90*DX81</x:f>
      </x:c>
      <x:c r="DY90" s="117" t="n">
        <x:f>$B$90*DY81</x:f>
      </x:c>
      <x:c r="DZ90" s="117" t="n">
        <x:f>$B$90*DZ81</x:f>
      </x:c>
      <x:c r="EA90" s="117" t="n">
        <x:f>$B$90*EA81</x:f>
      </x:c>
      <x:c r="EB90" s="117" t="n">
        <x:f>$B$90*EB81</x:f>
      </x:c>
      <x:c r="EC90" s="117" t="n">
        <x:f>$B$90*EC81</x:f>
      </x:c>
      <x:c r="ED90" s="117" t="n">
        <x:f>$B$90*ED81</x:f>
      </x:c>
      <x:c r="EE90" s="117" t="n">
        <x:f>$B$90*EE81</x:f>
      </x:c>
      <x:c r="EF90" s="117" t="n">
        <x:f>$B$90*EF81</x:f>
      </x:c>
      <x:c r="EG90" s="117" t="n">
        <x:f>$B$90*EG81</x:f>
      </x:c>
      <x:c r="EH90" s="117" t="n">
        <x:f>$B$90*EH81</x:f>
      </x:c>
      <x:c r="EI90" s="117" t="n">
        <x:f>$B$90*EI81</x:f>
      </x:c>
      <x:c r="EJ90" s="117" t="n">
        <x:f>$B$90*EJ81</x:f>
      </x:c>
      <x:c r="EK90" s="117" t="n">
        <x:f>$B$90*EK81</x:f>
      </x:c>
      <x:c r="EL90" s="117" t="n">
        <x:f>$B$90*EL81</x:f>
      </x:c>
      <x:c r="EM90" s="117" t="n">
        <x:f>$B$90*EM81</x:f>
      </x:c>
      <x:c r="EN90" s="117" t="n">
        <x:f>$B$90*EN81</x:f>
      </x:c>
      <x:c r="EO90" s="117" t="n">
        <x:f>$B$90*EO81</x:f>
      </x:c>
      <x:c r="EP90" s="117" t="n">
        <x:f>$B$90*EP81</x:f>
      </x:c>
      <x:c r="EQ90" s="117" t="n">
        <x:f>$B$90*EQ81</x:f>
      </x:c>
      <x:c r="ER90" s="117" t="n">
        <x:f>$B$90*ER81</x:f>
      </x:c>
      <x:c r="ES90" s="117" t="n">
        <x:f>$B$90*ES81</x:f>
      </x:c>
      <x:c r="ET90" s="117" t="n">
        <x:f>$B$90*ET81</x:f>
      </x:c>
      <x:c r="EU90" s="117" t="n">
        <x:f>$B$90*EU81</x:f>
      </x:c>
      <x:c r="EV90" s="117" t="n">
        <x:f>$B$90*EV81</x:f>
      </x:c>
      <x:c r="EW90" s="117" t="n">
        <x:f>$B$90*EW81</x:f>
      </x:c>
      <x:c r="EX90" s="117" t="n">
        <x:f>$B$90*EX81</x:f>
      </x:c>
      <x:c r="EY90" s="117" t="n">
        <x:f>$B$90*EY81</x:f>
      </x:c>
      <x:c r="EZ90" s="117" t="n">
        <x:f>$B$90*EZ81</x:f>
      </x:c>
      <x:c r="FA90" s="117" t="n">
        <x:f>$B$90*FA81</x:f>
      </x:c>
      <x:c r="FB90" s="117" t="n">
        <x:f>$B$90*FB81</x:f>
      </x:c>
      <x:c r="FC90" s="117" t="n">
        <x:f>$B$90*FC81</x:f>
      </x:c>
      <x:c r="FD90" s="117" t="n">
        <x:f>$B$90*FD81</x:f>
      </x:c>
      <x:c r="FE90" s="117" t="n">
        <x:f>$B$90*FE81</x:f>
      </x:c>
      <x:c r="FF90" s="117" t="n">
        <x:f>$B$90*FF81</x:f>
      </x:c>
      <x:c r="FG90" s="117" t="n">
        <x:f>$B$90*FG81</x:f>
      </x:c>
      <x:c r="FH90" s="117" t="n">
        <x:f>$B$90*FH81</x:f>
      </x:c>
      <x:c r="FI90" s="117" t="n">
        <x:f>$B$90*FI81</x:f>
      </x:c>
      <x:c r="FJ90" s="117" t="n">
        <x:f>$B$90*FJ81</x:f>
      </x:c>
      <x:c r="FK90" s="117" t="n">
        <x:f>$B$90*FK81</x:f>
      </x:c>
      <x:c r="FL90" s="117" t="n">
        <x:f>$B$90*FL81</x:f>
      </x:c>
      <x:c r="FM90" s="117" t="n">
        <x:f>$B$90*FM81</x:f>
      </x:c>
      <x:c r="FN90" s="117" t="n">
        <x:f>$B$90*FN81</x:f>
      </x:c>
      <x:c r="FO90" s="117" t="n">
        <x:f>$B$90*FO81</x:f>
      </x:c>
      <x:c r="FP90" s="117" t="n">
        <x:f>$B$90*FP81</x:f>
      </x:c>
      <x:c r="FQ90" s="117" t="n">
        <x:f>$B$90*FQ81</x:f>
      </x:c>
      <x:c r="FR90" s="117" t="n">
        <x:f>$B$90*FR81</x:f>
      </x:c>
      <x:c r="FS90" s="117" t="n">
        <x:f>$B$90*FS81</x:f>
      </x:c>
      <x:c r="FT90" s="117" t="n">
        <x:f>$B$90*FT81</x:f>
      </x:c>
      <x:c r="FU90" s="117" t="n">
        <x:f>$B$90*FU81</x:f>
      </x:c>
      <x:c r="FV90" s="117" t="n">
        <x:f>$B$90*FV81</x:f>
      </x:c>
      <x:c r="FW90" s="117" t="n">
        <x:f>$B$90*FW81</x:f>
      </x:c>
      <x:c r="FX90" s="117" t="n">
        <x:f>$B$90*FX81</x:f>
      </x:c>
      <x:c r="FY90" s="117" t="n">
        <x:f>$B$90*FY81</x:f>
      </x:c>
      <x:c r="FZ90" s="117" t="n">
        <x:f>$B$90*FZ81</x:f>
      </x:c>
      <x:c r="GA90" s="117" t="n">
        <x:f>$B$90*GA81</x:f>
      </x:c>
    </x:row>
    <x:row r="91">
      <x:c r="A91" t="str">
        <x:v>Наружные инженерные сети</x:v>
      </x:c>
      <x:c r="B91" s="107" t="n">
        <x:f>(('Вводные'!$I$90+'Вводные'!$J$90+'Вводные'!$K$90)*'Вводные'!$B$46/1000*'Вводные'!$H$6*'Вводные'!$T$90*--('Вводные'!$B$90="Да"))*'Вводные'!$AH$90</x:f>
      </x:c>
      <x:c r="C91" t="str">
        <x:v>млн ₽</x:v>
      </x:c>
      <x:c r="D91" s="117" t="n">
        <x:f>$B$91*D81</x:f>
      </x:c>
      <x:c r="E91" s="117" t="n">
        <x:f>$B$91*E81</x:f>
      </x:c>
      <x:c r="F91" s="117" t="n">
        <x:f>$B$91*F81</x:f>
      </x:c>
      <x:c r="G91" s="117" t="n">
        <x:f>$B$91*G81</x:f>
      </x:c>
      <x:c r="H91" s="117" t="n">
        <x:f>$B$91*H81</x:f>
      </x:c>
      <x:c r="I91" s="117" t="n">
        <x:f>$B$91*I81</x:f>
      </x:c>
      <x:c r="J91" s="117" t="n">
        <x:f>$B$91*J81</x:f>
      </x:c>
      <x:c r="K91" s="117" t="n">
        <x:f>$B$91*K81</x:f>
      </x:c>
      <x:c r="L91" s="117" t="n">
        <x:f>$B$91*L81</x:f>
      </x:c>
      <x:c r="M91" s="117" t="n">
        <x:f>$B$91*M81</x:f>
      </x:c>
      <x:c r="N91" s="117" t="n">
        <x:f>$B$91*N81</x:f>
      </x:c>
      <x:c r="O91" s="117" t="n">
        <x:f>$B$91*O81</x:f>
      </x:c>
      <x:c r="P91" s="117" t="n">
        <x:f>$B$91*P81</x:f>
      </x:c>
      <x:c r="Q91" s="117" t="n">
        <x:f>$B$91*Q81</x:f>
      </x:c>
      <x:c r="R91" s="117" t="n">
        <x:f>$B$91*R81</x:f>
      </x:c>
      <x:c r="S91" s="117" t="n">
        <x:f>$B$91*S81</x:f>
      </x:c>
      <x:c r="T91" s="117" t="n">
        <x:f>$B$91*T81</x:f>
      </x:c>
      <x:c r="U91" s="117" t="n">
        <x:f>$B$91*U81</x:f>
      </x:c>
      <x:c r="V91" s="117" t="n">
        <x:f>$B$91*V81</x:f>
      </x:c>
      <x:c r="W91" s="117" t="n">
        <x:f>$B$91*W81</x:f>
      </x:c>
      <x:c r="X91" s="117" t="n">
        <x:f>$B$91*X81</x:f>
      </x:c>
      <x:c r="Y91" s="117" t="n">
        <x:f>$B$91*Y81</x:f>
      </x:c>
      <x:c r="Z91" s="117" t="n">
        <x:f>$B$91*Z81</x:f>
      </x:c>
      <x:c r="AA91" s="117" t="n">
        <x:f>$B$91*AA81</x:f>
      </x:c>
      <x:c r="AB91" s="117" t="n">
        <x:f>$B$91*AB81</x:f>
      </x:c>
      <x:c r="AC91" s="117" t="n">
        <x:f>$B$91*AC81</x:f>
      </x:c>
      <x:c r="AD91" s="117" t="n">
        <x:f>$B$91*AD81</x:f>
      </x:c>
      <x:c r="AE91" s="117" t="n">
        <x:f>$B$91*AE81</x:f>
      </x:c>
      <x:c r="AF91" s="117" t="n">
        <x:f>$B$91*AF81</x:f>
      </x:c>
      <x:c r="AG91" s="117" t="n">
        <x:f>$B$91*AG81</x:f>
      </x:c>
      <x:c r="AH91" s="117" t="n">
        <x:f>$B$91*AH81</x:f>
      </x:c>
      <x:c r="AI91" s="117" t="n">
        <x:f>$B$91*AI81</x:f>
      </x:c>
      <x:c r="AJ91" s="117" t="n">
        <x:f>$B$91*AJ81</x:f>
      </x:c>
      <x:c r="AK91" s="117" t="n">
        <x:f>$B$91*AK81</x:f>
      </x:c>
      <x:c r="AL91" s="117" t="n">
        <x:f>$B$91*AL81</x:f>
      </x:c>
      <x:c r="AM91" s="117" t="n">
        <x:f>$B$91*AM81</x:f>
      </x:c>
      <x:c r="AN91" s="117" t="n">
        <x:f>$B$91*AN81</x:f>
      </x:c>
      <x:c r="AO91" s="117" t="n">
        <x:f>$B$91*AO81</x:f>
      </x:c>
      <x:c r="AP91" s="117" t="n">
        <x:f>$B$91*AP81</x:f>
      </x:c>
      <x:c r="AQ91" s="117" t="n">
        <x:f>$B$91*AQ81</x:f>
      </x:c>
      <x:c r="AR91" s="117" t="n">
        <x:f>$B$91*AR81</x:f>
      </x:c>
      <x:c r="AS91" s="117" t="n">
        <x:f>$B$91*AS81</x:f>
      </x:c>
      <x:c r="AT91" s="117" t="n">
        <x:f>$B$91*AT81</x:f>
      </x:c>
      <x:c r="AU91" s="117" t="n">
        <x:f>$B$91*AU81</x:f>
      </x:c>
      <x:c r="AV91" s="117" t="n">
        <x:f>$B$91*AV81</x:f>
      </x:c>
      <x:c r="AW91" s="117" t="n">
        <x:f>$B$91*AW81</x:f>
      </x:c>
      <x:c r="AX91" s="117" t="n">
        <x:f>$B$91*AX81</x:f>
      </x:c>
      <x:c r="AY91" s="117" t="n">
        <x:f>$B$91*AY81</x:f>
      </x:c>
      <x:c r="AZ91" s="117" t="n">
        <x:f>$B$91*AZ81</x:f>
      </x:c>
      <x:c r="BA91" s="117" t="n">
        <x:f>$B$91*BA81</x:f>
      </x:c>
      <x:c r="BB91" s="117" t="n">
        <x:f>$B$91*BB81</x:f>
      </x:c>
      <x:c r="BC91" s="117" t="n">
        <x:f>$B$91*BC81</x:f>
      </x:c>
      <x:c r="BD91" s="117" t="n">
        <x:f>$B$91*BD81</x:f>
      </x:c>
      <x:c r="BE91" s="117" t="n">
        <x:f>$B$91*BE81</x:f>
      </x:c>
      <x:c r="BF91" s="117" t="n">
        <x:f>$B$91*BF81</x:f>
      </x:c>
      <x:c r="BG91" s="117" t="n">
        <x:f>$B$91*BG81</x:f>
      </x:c>
      <x:c r="BH91" s="117" t="n">
        <x:f>$B$91*BH81</x:f>
      </x:c>
      <x:c r="BI91" s="117" t="n">
        <x:f>$B$91*BI81</x:f>
      </x:c>
      <x:c r="BJ91" s="117" t="n">
        <x:f>$B$91*BJ81</x:f>
      </x:c>
      <x:c r="BK91" s="117" t="n">
        <x:f>$B$91*BK81</x:f>
      </x:c>
      <x:c r="BL91" s="117" t="n">
        <x:f>$B$91*BL81</x:f>
      </x:c>
      <x:c r="BM91" s="117" t="n">
        <x:f>$B$91*BM81</x:f>
      </x:c>
      <x:c r="BN91" s="117" t="n">
        <x:f>$B$91*BN81</x:f>
      </x:c>
      <x:c r="BO91" s="117" t="n">
        <x:f>$B$91*BO81</x:f>
      </x:c>
      <x:c r="BP91" s="117" t="n">
        <x:f>$B$91*BP81</x:f>
      </x:c>
      <x:c r="BQ91" s="117" t="n">
        <x:f>$B$91*BQ81</x:f>
      </x:c>
      <x:c r="BR91" s="117" t="n">
        <x:f>$B$91*BR81</x:f>
      </x:c>
      <x:c r="BS91" s="117" t="n">
        <x:f>$B$91*BS81</x:f>
      </x:c>
      <x:c r="BT91" s="117" t="n">
        <x:f>$B$91*BT81</x:f>
      </x:c>
      <x:c r="BU91" s="117" t="n">
        <x:f>$B$91*BU81</x:f>
      </x:c>
      <x:c r="BV91" s="117" t="n">
        <x:f>$B$91*BV81</x:f>
      </x:c>
      <x:c r="BW91" s="117" t="n">
        <x:f>$B$91*BW81</x:f>
      </x:c>
      <x:c r="BX91" s="117" t="n">
        <x:f>$B$91*BX81</x:f>
      </x:c>
      <x:c r="BY91" s="117" t="n">
        <x:f>$B$91*BY81</x:f>
      </x:c>
      <x:c r="BZ91" s="117" t="n">
        <x:f>$B$91*BZ81</x:f>
      </x:c>
      <x:c r="CA91" s="117" t="n">
        <x:f>$B$91*CA81</x:f>
      </x:c>
      <x:c r="CB91" s="117" t="n">
        <x:f>$B$91*CB81</x:f>
      </x:c>
      <x:c r="CC91" s="117" t="n">
        <x:f>$B$91*CC81</x:f>
      </x:c>
      <x:c r="CD91" s="117" t="n">
        <x:f>$B$91*CD81</x:f>
      </x:c>
      <x:c r="CE91" s="117" t="n">
        <x:f>$B$91*CE81</x:f>
      </x:c>
      <x:c r="CF91" s="117" t="n">
        <x:f>$B$91*CF81</x:f>
      </x:c>
      <x:c r="CG91" s="117" t="n">
        <x:f>$B$91*CG81</x:f>
      </x:c>
      <x:c r="CH91" s="117" t="n">
        <x:f>$B$91*CH81</x:f>
      </x:c>
      <x:c r="CI91" s="117" t="n">
        <x:f>$B$91*CI81</x:f>
      </x:c>
      <x:c r="CJ91" s="117" t="n">
        <x:f>$B$91*CJ81</x:f>
      </x:c>
      <x:c r="CK91" s="117" t="n">
        <x:f>$B$91*CK81</x:f>
      </x:c>
      <x:c r="CL91" s="117" t="n">
        <x:f>$B$91*CL81</x:f>
      </x:c>
      <x:c r="CM91" s="117" t="n">
        <x:f>$B$91*CM81</x:f>
      </x:c>
      <x:c r="CN91" s="117" t="n">
        <x:f>$B$91*CN81</x:f>
      </x:c>
      <x:c r="CO91" s="117" t="n">
        <x:f>$B$91*CO81</x:f>
      </x:c>
      <x:c r="CP91" s="117" t="n">
        <x:f>$B$91*CP81</x:f>
      </x:c>
      <x:c r="CQ91" s="117" t="n">
        <x:f>$B$91*CQ81</x:f>
      </x:c>
      <x:c r="CR91" s="117" t="n">
        <x:f>$B$91*CR81</x:f>
      </x:c>
      <x:c r="CS91" s="117" t="n">
        <x:f>$B$91*CS81</x:f>
      </x:c>
      <x:c r="CT91" s="117" t="n">
        <x:f>$B$91*CT81</x:f>
      </x:c>
      <x:c r="CU91" s="117" t="n">
        <x:f>$B$91*CU81</x:f>
      </x:c>
      <x:c r="CV91" s="117" t="n">
        <x:f>$B$91*CV81</x:f>
      </x:c>
      <x:c r="CW91" s="117" t="n">
        <x:f>$B$91*CW81</x:f>
      </x:c>
      <x:c r="CX91" s="117" t="n">
        <x:f>$B$91*CX81</x:f>
      </x:c>
      <x:c r="CY91" s="117" t="n">
        <x:f>$B$91*CY81</x:f>
      </x:c>
      <x:c r="CZ91" s="117" t="n">
        <x:f>$B$91*CZ81</x:f>
      </x:c>
      <x:c r="DA91" s="117" t="n">
        <x:f>$B$91*DA81</x:f>
      </x:c>
      <x:c r="DB91" s="117" t="n">
        <x:f>$B$91*DB81</x:f>
      </x:c>
      <x:c r="DC91" s="117" t="n">
        <x:f>$B$91*DC81</x:f>
      </x:c>
      <x:c r="DD91" s="117" t="n">
        <x:f>$B$91*DD81</x:f>
      </x:c>
      <x:c r="DE91" s="117" t="n">
        <x:f>$B$91*DE81</x:f>
      </x:c>
      <x:c r="DF91" s="117" t="n">
        <x:f>$B$91*DF81</x:f>
      </x:c>
      <x:c r="DG91" s="117" t="n">
        <x:f>$B$91*DG81</x:f>
      </x:c>
      <x:c r="DH91" s="117" t="n">
        <x:f>$B$91*DH81</x:f>
      </x:c>
      <x:c r="DI91" s="117" t="n">
        <x:f>$B$91*DI81</x:f>
      </x:c>
      <x:c r="DJ91" s="117" t="n">
        <x:f>$B$91*DJ81</x:f>
      </x:c>
      <x:c r="DK91" s="117" t="n">
        <x:f>$B$91*DK81</x:f>
      </x:c>
      <x:c r="DL91" s="117" t="n">
        <x:f>$B$91*DL81</x:f>
      </x:c>
      <x:c r="DM91" s="117" t="n">
        <x:f>$B$91*DM81</x:f>
      </x:c>
      <x:c r="DN91" s="117" t="n">
        <x:f>$B$91*DN81</x:f>
      </x:c>
      <x:c r="DO91" s="117" t="n">
        <x:f>$B$91*DO81</x:f>
      </x:c>
      <x:c r="DP91" s="117" t="n">
        <x:f>$B$91*DP81</x:f>
      </x:c>
      <x:c r="DQ91" s="117" t="n">
        <x:f>$B$91*DQ81</x:f>
      </x:c>
      <x:c r="DR91" s="117" t="n">
        <x:f>$B$91*DR81</x:f>
      </x:c>
      <x:c r="DS91" s="117" t="n">
        <x:f>$B$91*DS81</x:f>
      </x:c>
      <x:c r="DT91" s="117" t="n">
        <x:f>$B$91*DT81</x:f>
      </x:c>
      <x:c r="DU91" s="117" t="n">
        <x:f>$B$91*DU81</x:f>
      </x:c>
      <x:c r="DV91" s="117" t="n">
        <x:f>$B$91*DV81</x:f>
      </x:c>
      <x:c r="DW91" s="117" t="n">
        <x:f>$B$91*DW81</x:f>
      </x:c>
      <x:c r="DX91" s="117" t="n">
        <x:f>$B$91*DX81</x:f>
      </x:c>
      <x:c r="DY91" s="117" t="n">
        <x:f>$B$91*DY81</x:f>
      </x:c>
      <x:c r="DZ91" s="117" t="n">
        <x:f>$B$91*DZ81</x:f>
      </x:c>
      <x:c r="EA91" s="117" t="n">
        <x:f>$B$91*EA81</x:f>
      </x:c>
      <x:c r="EB91" s="117" t="n">
        <x:f>$B$91*EB81</x:f>
      </x:c>
      <x:c r="EC91" s="117" t="n">
        <x:f>$B$91*EC81</x:f>
      </x:c>
      <x:c r="ED91" s="117" t="n">
        <x:f>$B$91*ED81</x:f>
      </x:c>
      <x:c r="EE91" s="117" t="n">
        <x:f>$B$91*EE81</x:f>
      </x:c>
      <x:c r="EF91" s="117" t="n">
        <x:f>$B$91*EF81</x:f>
      </x:c>
      <x:c r="EG91" s="117" t="n">
        <x:f>$B$91*EG81</x:f>
      </x:c>
      <x:c r="EH91" s="117" t="n">
        <x:f>$B$91*EH81</x:f>
      </x:c>
      <x:c r="EI91" s="117" t="n">
        <x:f>$B$91*EI81</x:f>
      </x:c>
      <x:c r="EJ91" s="117" t="n">
        <x:f>$B$91*EJ81</x:f>
      </x:c>
      <x:c r="EK91" s="117" t="n">
        <x:f>$B$91*EK81</x:f>
      </x:c>
      <x:c r="EL91" s="117" t="n">
        <x:f>$B$91*EL81</x:f>
      </x:c>
      <x:c r="EM91" s="117" t="n">
        <x:f>$B$91*EM81</x:f>
      </x:c>
      <x:c r="EN91" s="117" t="n">
        <x:f>$B$91*EN81</x:f>
      </x:c>
      <x:c r="EO91" s="117" t="n">
        <x:f>$B$91*EO81</x:f>
      </x:c>
      <x:c r="EP91" s="117" t="n">
        <x:f>$B$91*EP81</x:f>
      </x:c>
      <x:c r="EQ91" s="117" t="n">
        <x:f>$B$91*EQ81</x:f>
      </x:c>
      <x:c r="ER91" s="117" t="n">
        <x:f>$B$91*ER81</x:f>
      </x:c>
      <x:c r="ES91" s="117" t="n">
        <x:f>$B$91*ES81</x:f>
      </x:c>
      <x:c r="ET91" s="117" t="n">
        <x:f>$B$91*ET81</x:f>
      </x:c>
      <x:c r="EU91" s="117" t="n">
        <x:f>$B$91*EU81</x:f>
      </x:c>
      <x:c r="EV91" s="117" t="n">
        <x:f>$B$91*EV81</x:f>
      </x:c>
      <x:c r="EW91" s="117" t="n">
        <x:f>$B$91*EW81</x:f>
      </x:c>
      <x:c r="EX91" s="117" t="n">
        <x:f>$B$91*EX81</x:f>
      </x:c>
      <x:c r="EY91" s="117" t="n">
        <x:f>$B$91*EY81</x:f>
      </x:c>
      <x:c r="EZ91" s="117" t="n">
        <x:f>$B$91*EZ81</x:f>
      </x:c>
      <x:c r="FA91" s="117" t="n">
        <x:f>$B$91*FA81</x:f>
      </x:c>
      <x:c r="FB91" s="117" t="n">
        <x:f>$B$91*FB81</x:f>
      </x:c>
      <x:c r="FC91" s="117" t="n">
        <x:f>$B$91*FC81</x:f>
      </x:c>
      <x:c r="FD91" s="117" t="n">
        <x:f>$B$91*FD81</x:f>
      </x:c>
      <x:c r="FE91" s="117" t="n">
        <x:f>$B$91*FE81</x:f>
      </x:c>
      <x:c r="FF91" s="117" t="n">
        <x:f>$B$91*FF81</x:f>
      </x:c>
      <x:c r="FG91" s="117" t="n">
        <x:f>$B$91*FG81</x:f>
      </x:c>
      <x:c r="FH91" s="117" t="n">
        <x:f>$B$91*FH81</x:f>
      </x:c>
      <x:c r="FI91" s="117" t="n">
        <x:f>$B$91*FI81</x:f>
      </x:c>
      <x:c r="FJ91" s="117" t="n">
        <x:f>$B$91*FJ81</x:f>
      </x:c>
      <x:c r="FK91" s="117" t="n">
        <x:f>$B$91*FK81</x:f>
      </x:c>
      <x:c r="FL91" s="117" t="n">
        <x:f>$B$91*FL81</x:f>
      </x:c>
      <x:c r="FM91" s="117" t="n">
        <x:f>$B$91*FM81</x:f>
      </x:c>
      <x:c r="FN91" s="117" t="n">
        <x:f>$B$91*FN81</x:f>
      </x:c>
      <x:c r="FO91" s="117" t="n">
        <x:f>$B$91*FO81</x:f>
      </x:c>
      <x:c r="FP91" s="117" t="n">
        <x:f>$B$91*FP81</x:f>
      </x:c>
      <x:c r="FQ91" s="117" t="n">
        <x:f>$B$91*FQ81</x:f>
      </x:c>
      <x:c r="FR91" s="117" t="n">
        <x:f>$B$91*FR81</x:f>
      </x:c>
      <x:c r="FS91" s="117" t="n">
        <x:f>$B$91*FS81</x:f>
      </x:c>
      <x:c r="FT91" s="117" t="n">
        <x:f>$B$91*FT81</x:f>
      </x:c>
      <x:c r="FU91" s="117" t="n">
        <x:f>$B$91*FU81</x:f>
      </x:c>
      <x:c r="FV91" s="117" t="n">
        <x:f>$B$91*FV81</x:f>
      </x:c>
      <x:c r="FW91" s="117" t="n">
        <x:f>$B$91*FW81</x:f>
      </x:c>
      <x:c r="FX91" s="117" t="n">
        <x:f>$B$91*FX81</x:f>
      </x:c>
      <x:c r="FY91" s="117" t="n">
        <x:f>$B$91*FY81</x:f>
      </x:c>
      <x:c r="FZ91" s="117" t="n">
        <x:f>$B$91*FZ81</x:f>
      </x:c>
      <x:c r="GA91" s="117" t="n">
        <x:f>$B$91*GA81</x:f>
      </x:c>
    </x:row>
    <x:row r="92">
      <x:c r="A92" t="str">
        <x:v>Благоустройство</x:v>
      </x:c>
      <x:c r="B92" s="107" t="n">
        <x:f>(('Вводные'!$I$90+'Вводные'!$J$90+'Вводные'!$K$90)*'Вводные'!$B$47/1000*'Вводные'!$H$6*'Вводные'!$T$90*--('Вводные'!$B$90="Да"))*'Вводные'!$AH$90</x:f>
      </x:c>
      <x:c r="C92" t="str">
        <x:v>млн ₽</x:v>
      </x:c>
      <x:c r="D92" s="117" t="n">
        <x:f>IF(AND(D$3&gt;=EDATE($B$76,-3),D$3&lt;$B$76),$B$92/3,0)</x:f>
      </x:c>
      <x:c r="E92" s="117" t="n">
        <x:f>IF(AND(E$3&gt;=EDATE($B$76,-3),E$3&lt;$B$76),$B$92/3,0)</x:f>
      </x:c>
      <x:c r="F92" s="117" t="n">
        <x:f>IF(AND(F$3&gt;=EDATE($B$76,-3),F$3&lt;$B$76),$B$92/3,0)</x:f>
      </x:c>
      <x:c r="G92" s="117" t="n">
        <x:f>IF(AND(G$3&gt;=EDATE($B$76,-3),G$3&lt;$B$76),$B$92/3,0)</x:f>
      </x:c>
      <x:c r="H92" s="117" t="n">
        <x:f>IF(AND(H$3&gt;=EDATE($B$76,-3),H$3&lt;$B$76),$B$92/3,0)</x:f>
      </x:c>
      <x:c r="I92" s="117" t="n">
        <x:f>IF(AND(I$3&gt;=EDATE($B$76,-3),I$3&lt;$B$76),$B$92/3,0)</x:f>
      </x:c>
      <x:c r="J92" s="117" t="n">
        <x:f>IF(AND(J$3&gt;=EDATE($B$76,-3),J$3&lt;$B$76),$B$92/3,0)</x:f>
      </x:c>
      <x:c r="K92" s="117" t="n">
        <x:f>IF(AND(K$3&gt;=EDATE($B$76,-3),K$3&lt;$B$76),$B$92/3,0)</x:f>
      </x:c>
      <x:c r="L92" s="117" t="n">
        <x:f>IF(AND(L$3&gt;=EDATE($B$76,-3),L$3&lt;$B$76),$B$92/3,0)</x:f>
      </x:c>
      <x:c r="M92" s="117" t="n">
        <x:f>IF(AND(M$3&gt;=EDATE($B$76,-3),M$3&lt;$B$76),$B$92/3,0)</x:f>
      </x:c>
      <x:c r="N92" s="117" t="n">
        <x:f>IF(AND(N$3&gt;=EDATE($B$76,-3),N$3&lt;$B$76),$B$92/3,0)</x:f>
      </x:c>
      <x:c r="O92" s="117" t="n">
        <x:f>IF(AND(O$3&gt;=EDATE($B$76,-3),O$3&lt;$B$76),$B$92/3,0)</x:f>
      </x:c>
      <x:c r="P92" s="117" t="n">
        <x:f>IF(AND(P$3&gt;=EDATE($B$76,-3),P$3&lt;$B$76),$B$92/3,0)</x:f>
      </x:c>
      <x:c r="Q92" s="117" t="n">
        <x:f>IF(AND(Q$3&gt;=EDATE($B$76,-3),Q$3&lt;$B$76),$B$92/3,0)</x:f>
      </x:c>
      <x:c r="R92" s="117" t="n">
        <x:f>IF(AND(R$3&gt;=EDATE($B$76,-3),R$3&lt;$B$76),$B$92/3,0)</x:f>
      </x:c>
      <x:c r="S92" s="117" t="n">
        <x:f>IF(AND(S$3&gt;=EDATE($B$76,-3),S$3&lt;$B$76),$B$92/3,0)</x:f>
      </x:c>
      <x:c r="T92" s="117" t="n">
        <x:f>IF(AND(T$3&gt;=EDATE($B$76,-3),T$3&lt;$B$76),$B$92/3,0)</x:f>
      </x:c>
      <x:c r="U92" s="117" t="n">
        <x:f>IF(AND(U$3&gt;=EDATE($B$76,-3),U$3&lt;$B$76),$B$92/3,0)</x:f>
      </x:c>
      <x:c r="V92" s="117" t="n">
        <x:f>IF(AND(V$3&gt;=EDATE($B$76,-3),V$3&lt;$B$76),$B$92/3,0)</x:f>
      </x:c>
      <x:c r="W92" s="117" t="n">
        <x:f>IF(AND(W$3&gt;=EDATE($B$76,-3),W$3&lt;$B$76),$B$92/3,0)</x:f>
      </x:c>
      <x:c r="X92" s="117" t="n">
        <x:f>IF(AND(X$3&gt;=EDATE($B$76,-3),X$3&lt;$B$76),$B$92/3,0)</x:f>
      </x:c>
      <x:c r="Y92" s="117" t="n">
        <x:f>IF(AND(Y$3&gt;=EDATE($B$76,-3),Y$3&lt;$B$76),$B$92/3,0)</x:f>
      </x:c>
      <x:c r="Z92" s="117" t="n">
        <x:f>IF(AND(Z$3&gt;=EDATE($B$76,-3),Z$3&lt;$B$76),$B$92/3,0)</x:f>
      </x:c>
      <x:c r="AA92" s="117" t="n">
        <x:f>IF(AND(AA$3&gt;=EDATE($B$76,-3),AA$3&lt;$B$76),$B$92/3,0)</x:f>
      </x:c>
      <x:c r="AB92" s="117" t="n">
        <x:f>IF(AND(AB$3&gt;=EDATE($B$76,-3),AB$3&lt;$B$76),$B$92/3,0)</x:f>
      </x:c>
      <x:c r="AC92" s="117" t="n">
        <x:f>IF(AND(AC$3&gt;=EDATE($B$76,-3),AC$3&lt;$B$76),$B$92/3,0)</x:f>
      </x:c>
      <x:c r="AD92" s="117" t="n">
        <x:f>IF(AND(AD$3&gt;=EDATE($B$76,-3),AD$3&lt;$B$76),$B$92/3,0)</x:f>
      </x:c>
      <x:c r="AE92" s="117" t="n">
        <x:f>IF(AND(AE$3&gt;=EDATE($B$76,-3),AE$3&lt;$B$76),$B$92/3,0)</x:f>
      </x:c>
      <x:c r="AF92" s="117" t="n">
        <x:f>IF(AND(AF$3&gt;=EDATE($B$76,-3),AF$3&lt;$B$76),$B$92/3,0)</x:f>
      </x:c>
      <x:c r="AG92" s="117" t="n">
        <x:f>IF(AND(AG$3&gt;=EDATE($B$76,-3),AG$3&lt;$B$76),$B$92/3,0)</x:f>
      </x:c>
      <x:c r="AH92" s="117" t="n">
        <x:f>IF(AND(AH$3&gt;=EDATE($B$76,-3),AH$3&lt;$B$76),$B$92/3,0)</x:f>
      </x:c>
      <x:c r="AI92" s="117" t="n">
        <x:f>IF(AND(AI$3&gt;=EDATE($B$76,-3),AI$3&lt;$B$76),$B$92/3,0)</x:f>
      </x:c>
      <x:c r="AJ92" s="117" t="n">
        <x:f>IF(AND(AJ$3&gt;=EDATE($B$76,-3),AJ$3&lt;$B$76),$B$92/3,0)</x:f>
      </x:c>
      <x:c r="AK92" s="117" t="n">
        <x:f>IF(AND(AK$3&gt;=EDATE($B$76,-3),AK$3&lt;$B$76),$B$92/3,0)</x:f>
      </x:c>
      <x:c r="AL92" s="117" t="n">
        <x:f>IF(AND(AL$3&gt;=EDATE($B$76,-3),AL$3&lt;$B$76),$B$92/3,0)</x:f>
      </x:c>
      <x:c r="AM92" s="117" t="n">
        <x:f>IF(AND(AM$3&gt;=EDATE($B$76,-3),AM$3&lt;$B$76),$B$92/3,0)</x:f>
      </x:c>
      <x:c r="AN92" s="117" t="n">
        <x:f>IF(AND(AN$3&gt;=EDATE($B$76,-3),AN$3&lt;$B$76),$B$92/3,0)</x:f>
      </x:c>
      <x:c r="AO92" s="117" t="n">
        <x:f>IF(AND(AO$3&gt;=EDATE($B$76,-3),AO$3&lt;$B$76),$B$92/3,0)</x:f>
      </x:c>
      <x:c r="AP92" s="117" t="n">
        <x:f>IF(AND(AP$3&gt;=EDATE($B$76,-3),AP$3&lt;$B$76),$B$92/3,0)</x:f>
      </x:c>
      <x:c r="AQ92" s="117" t="n">
        <x:f>IF(AND(AQ$3&gt;=EDATE($B$76,-3),AQ$3&lt;$B$76),$B$92/3,0)</x:f>
      </x:c>
      <x:c r="AR92" s="117" t="n">
        <x:f>IF(AND(AR$3&gt;=EDATE($B$76,-3),AR$3&lt;$B$76),$B$92/3,0)</x:f>
      </x:c>
      <x:c r="AS92" s="117" t="n">
        <x:f>IF(AND(AS$3&gt;=EDATE($B$76,-3),AS$3&lt;$B$76),$B$92/3,0)</x:f>
      </x:c>
      <x:c r="AT92" s="117" t="n">
        <x:f>IF(AND(AT$3&gt;=EDATE($B$76,-3),AT$3&lt;$B$76),$B$92/3,0)</x:f>
      </x:c>
      <x:c r="AU92" s="117" t="n">
        <x:f>IF(AND(AU$3&gt;=EDATE($B$76,-3),AU$3&lt;$B$76),$B$92/3,0)</x:f>
      </x:c>
      <x:c r="AV92" s="117" t="n">
        <x:f>IF(AND(AV$3&gt;=EDATE($B$76,-3),AV$3&lt;$B$76),$B$92/3,0)</x:f>
      </x:c>
      <x:c r="AW92" s="117" t="n">
        <x:f>IF(AND(AW$3&gt;=EDATE($B$76,-3),AW$3&lt;$B$76),$B$92/3,0)</x:f>
      </x:c>
      <x:c r="AX92" s="117" t="n">
        <x:f>IF(AND(AX$3&gt;=EDATE($B$76,-3),AX$3&lt;$B$76),$B$92/3,0)</x:f>
      </x:c>
      <x:c r="AY92" s="117" t="n">
        <x:f>IF(AND(AY$3&gt;=EDATE($B$76,-3),AY$3&lt;$B$76),$B$92/3,0)</x:f>
      </x:c>
      <x:c r="AZ92" s="117" t="n">
        <x:f>IF(AND(AZ$3&gt;=EDATE($B$76,-3),AZ$3&lt;$B$76),$B$92/3,0)</x:f>
      </x:c>
      <x:c r="BA92" s="117" t="n">
        <x:f>IF(AND(BA$3&gt;=EDATE($B$76,-3),BA$3&lt;$B$76),$B$92/3,0)</x:f>
      </x:c>
      <x:c r="BB92" s="117" t="n">
        <x:f>IF(AND(BB$3&gt;=EDATE($B$76,-3),BB$3&lt;$B$76),$B$92/3,0)</x:f>
      </x:c>
      <x:c r="BC92" s="117" t="n">
        <x:f>IF(AND(BC$3&gt;=EDATE($B$76,-3),BC$3&lt;$B$76),$B$92/3,0)</x:f>
      </x:c>
      <x:c r="BD92" s="117" t="n">
        <x:f>IF(AND(BD$3&gt;=EDATE($B$76,-3),BD$3&lt;$B$76),$B$92/3,0)</x:f>
      </x:c>
      <x:c r="BE92" s="117" t="n">
        <x:f>IF(AND(BE$3&gt;=EDATE($B$76,-3),BE$3&lt;$B$76),$B$92/3,0)</x:f>
      </x:c>
      <x:c r="BF92" s="117" t="n">
        <x:f>IF(AND(BF$3&gt;=EDATE($B$76,-3),BF$3&lt;$B$76),$B$92/3,0)</x:f>
      </x:c>
      <x:c r="BG92" s="117" t="n">
        <x:f>IF(AND(BG$3&gt;=EDATE($B$76,-3),BG$3&lt;$B$76),$B$92/3,0)</x:f>
      </x:c>
      <x:c r="BH92" s="117" t="n">
        <x:f>IF(AND(BH$3&gt;=EDATE($B$76,-3),BH$3&lt;$B$76),$B$92/3,0)</x:f>
      </x:c>
      <x:c r="BI92" s="117" t="n">
        <x:f>IF(AND(BI$3&gt;=EDATE($B$76,-3),BI$3&lt;$B$76),$B$92/3,0)</x:f>
      </x:c>
      <x:c r="BJ92" s="117" t="n">
        <x:f>IF(AND(BJ$3&gt;=EDATE($B$76,-3),BJ$3&lt;$B$76),$B$92/3,0)</x:f>
      </x:c>
      <x:c r="BK92" s="117" t="n">
        <x:f>IF(AND(BK$3&gt;=EDATE($B$76,-3),BK$3&lt;$B$76),$B$92/3,0)</x:f>
      </x:c>
      <x:c r="BL92" s="117" t="n">
        <x:f>IF(AND(BL$3&gt;=EDATE($B$76,-3),BL$3&lt;$B$76),$B$92/3,0)</x:f>
      </x:c>
      <x:c r="BM92" s="117" t="n">
        <x:f>IF(AND(BM$3&gt;=EDATE($B$76,-3),BM$3&lt;$B$76),$B$92/3,0)</x:f>
      </x:c>
      <x:c r="BN92" s="117" t="n">
        <x:f>IF(AND(BN$3&gt;=EDATE($B$76,-3),BN$3&lt;$B$76),$B$92/3,0)</x:f>
      </x:c>
      <x:c r="BO92" s="117" t="n">
        <x:f>IF(AND(BO$3&gt;=EDATE($B$76,-3),BO$3&lt;$B$76),$B$92/3,0)</x:f>
      </x:c>
      <x:c r="BP92" s="117" t="n">
        <x:f>IF(AND(BP$3&gt;=EDATE($B$76,-3),BP$3&lt;$B$76),$B$92/3,0)</x:f>
      </x:c>
      <x:c r="BQ92" s="117" t="n">
        <x:f>IF(AND(BQ$3&gt;=EDATE($B$76,-3),BQ$3&lt;$B$76),$B$92/3,0)</x:f>
      </x:c>
      <x:c r="BR92" s="117" t="n">
        <x:f>IF(AND(BR$3&gt;=EDATE($B$76,-3),BR$3&lt;$B$76),$B$92/3,0)</x:f>
      </x:c>
      <x:c r="BS92" s="117" t="n">
        <x:f>IF(AND(BS$3&gt;=EDATE($B$76,-3),BS$3&lt;$B$76),$B$92/3,0)</x:f>
      </x:c>
      <x:c r="BT92" s="117" t="n">
        <x:f>IF(AND(BT$3&gt;=EDATE($B$76,-3),BT$3&lt;$B$76),$B$92/3,0)</x:f>
      </x:c>
      <x:c r="BU92" s="117" t="n">
        <x:f>IF(AND(BU$3&gt;=EDATE($B$76,-3),BU$3&lt;$B$76),$B$92/3,0)</x:f>
      </x:c>
      <x:c r="BV92" s="117" t="n">
        <x:f>IF(AND(BV$3&gt;=EDATE($B$76,-3),BV$3&lt;$B$76),$B$92/3,0)</x:f>
      </x:c>
      <x:c r="BW92" s="117" t="n">
        <x:f>IF(AND(BW$3&gt;=EDATE($B$76,-3),BW$3&lt;$B$76),$B$92/3,0)</x:f>
      </x:c>
      <x:c r="BX92" s="117" t="n">
        <x:f>IF(AND(BX$3&gt;=EDATE($B$76,-3),BX$3&lt;$B$76),$B$92/3,0)</x:f>
      </x:c>
      <x:c r="BY92" s="117" t="n">
        <x:f>IF(AND(BY$3&gt;=EDATE($B$76,-3),BY$3&lt;$B$76),$B$92/3,0)</x:f>
      </x:c>
      <x:c r="BZ92" s="117" t="n">
        <x:f>IF(AND(BZ$3&gt;=EDATE($B$76,-3),BZ$3&lt;$B$76),$B$92/3,0)</x:f>
      </x:c>
      <x:c r="CA92" s="117" t="n">
        <x:f>IF(AND(CA$3&gt;=EDATE($B$76,-3),CA$3&lt;$B$76),$B$92/3,0)</x:f>
      </x:c>
      <x:c r="CB92" s="117" t="n">
        <x:f>IF(AND(CB$3&gt;=EDATE($B$76,-3),CB$3&lt;$B$76),$B$92/3,0)</x:f>
      </x:c>
      <x:c r="CC92" s="117" t="n">
        <x:f>IF(AND(CC$3&gt;=EDATE($B$76,-3),CC$3&lt;$B$76),$B$92/3,0)</x:f>
      </x:c>
      <x:c r="CD92" s="117" t="n">
        <x:f>IF(AND(CD$3&gt;=EDATE($B$76,-3),CD$3&lt;$B$76),$B$92/3,0)</x:f>
      </x:c>
      <x:c r="CE92" s="117" t="n">
        <x:f>IF(AND(CE$3&gt;=EDATE($B$76,-3),CE$3&lt;$B$76),$B$92/3,0)</x:f>
      </x:c>
      <x:c r="CF92" s="117" t="n">
        <x:f>IF(AND(CF$3&gt;=EDATE($B$76,-3),CF$3&lt;$B$76),$B$92/3,0)</x:f>
      </x:c>
      <x:c r="CG92" s="117" t="n">
        <x:f>IF(AND(CG$3&gt;=EDATE($B$76,-3),CG$3&lt;$B$76),$B$92/3,0)</x:f>
      </x:c>
      <x:c r="CH92" s="117" t="n">
        <x:f>IF(AND(CH$3&gt;=EDATE($B$76,-3),CH$3&lt;$B$76),$B$92/3,0)</x:f>
      </x:c>
      <x:c r="CI92" s="117" t="n">
        <x:f>IF(AND(CI$3&gt;=EDATE($B$76,-3),CI$3&lt;$B$76),$B$92/3,0)</x:f>
      </x:c>
      <x:c r="CJ92" s="117" t="n">
        <x:f>IF(AND(CJ$3&gt;=EDATE($B$76,-3),CJ$3&lt;$B$76),$B$92/3,0)</x:f>
      </x:c>
      <x:c r="CK92" s="117" t="n">
        <x:f>IF(AND(CK$3&gt;=EDATE($B$76,-3),CK$3&lt;$B$76),$B$92/3,0)</x:f>
      </x:c>
      <x:c r="CL92" s="117" t="n">
        <x:f>IF(AND(CL$3&gt;=EDATE($B$76,-3),CL$3&lt;$B$76),$B$92/3,0)</x:f>
      </x:c>
      <x:c r="CM92" s="117" t="n">
        <x:f>IF(AND(CM$3&gt;=EDATE($B$76,-3),CM$3&lt;$B$76),$B$92/3,0)</x:f>
      </x:c>
      <x:c r="CN92" s="117" t="n">
        <x:f>IF(AND(CN$3&gt;=EDATE($B$76,-3),CN$3&lt;$B$76),$B$92/3,0)</x:f>
      </x:c>
      <x:c r="CO92" s="117" t="n">
        <x:f>IF(AND(CO$3&gt;=EDATE($B$76,-3),CO$3&lt;$B$76),$B$92/3,0)</x:f>
      </x:c>
      <x:c r="CP92" s="117" t="n">
        <x:f>IF(AND(CP$3&gt;=EDATE($B$76,-3),CP$3&lt;$B$76),$B$92/3,0)</x:f>
      </x:c>
      <x:c r="CQ92" s="117" t="n">
        <x:f>IF(AND(CQ$3&gt;=EDATE($B$76,-3),CQ$3&lt;$B$76),$B$92/3,0)</x:f>
      </x:c>
      <x:c r="CR92" s="117" t="n">
        <x:f>IF(AND(CR$3&gt;=EDATE($B$76,-3),CR$3&lt;$B$76),$B$92/3,0)</x:f>
      </x:c>
      <x:c r="CS92" s="117" t="n">
        <x:f>IF(AND(CS$3&gt;=EDATE($B$76,-3),CS$3&lt;$B$76),$B$92/3,0)</x:f>
      </x:c>
      <x:c r="CT92" s="117" t="n">
        <x:f>IF(AND(CT$3&gt;=EDATE($B$76,-3),CT$3&lt;$B$76),$B$92/3,0)</x:f>
      </x:c>
      <x:c r="CU92" s="117" t="n">
        <x:f>IF(AND(CU$3&gt;=EDATE($B$76,-3),CU$3&lt;$B$76),$B$92/3,0)</x:f>
      </x:c>
      <x:c r="CV92" s="117" t="n">
        <x:f>IF(AND(CV$3&gt;=EDATE($B$76,-3),CV$3&lt;$B$76),$B$92/3,0)</x:f>
      </x:c>
      <x:c r="CW92" s="117" t="n">
        <x:f>IF(AND(CW$3&gt;=EDATE($B$76,-3),CW$3&lt;$B$76),$B$92/3,0)</x:f>
      </x:c>
      <x:c r="CX92" s="117" t="n">
        <x:f>IF(AND(CX$3&gt;=EDATE($B$76,-3),CX$3&lt;$B$76),$B$92/3,0)</x:f>
      </x:c>
      <x:c r="CY92" s="117" t="n">
        <x:f>IF(AND(CY$3&gt;=EDATE($B$76,-3),CY$3&lt;$B$76),$B$92/3,0)</x:f>
      </x:c>
      <x:c r="CZ92" s="117" t="n">
        <x:f>IF(AND(CZ$3&gt;=EDATE($B$76,-3),CZ$3&lt;$B$76),$B$92/3,0)</x:f>
      </x:c>
      <x:c r="DA92" s="117" t="n">
        <x:f>IF(AND(DA$3&gt;=EDATE($B$76,-3),DA$3&lt;$B$76),$B$92/3,0)</x:f>
      </x:c>
      <x:c r="DB92" s="117" t="n">
        <x:f>IF(AND(DB$3&gt;=EDATE($B$76,-3),DB$3&lt;$B$76),$B$92/3,0)</x:f>
      </x:c>
      <x:c r="DC92" s="117" t="n">
        <x:f>IF(AND(DC$3&gt;=EDATE($B$76,-3),DC$3&lt;$B$76),$B$92/3,0)</x:f>
      </x:c>
      <x:c r="DD92" s="117" t="n">
        <x:f>IF(AND(DD$3&gt;=EDATE($B$76,-3),DD$3&lt;$B$76),$B$92/3,0)</x:f>
      </x:c>
      <x:c r="DE92" s="117" t="n">
        <x:f>IF(AND(DE$3&gt;=EDATE($B$76,-3),DE$3&lt;$B$76),$B$92/3,0)</x:f>
      </x:c>
      <x:c r="DF92" s="117" t="n">
        <x:f>IF(AND(DF$3&gt;=EDATE($B$76,-3),DF$3&lt;$B$76),$B$92/3,0)</x:f>
      </x:c>
      <x:c r="DG92" s="117" t="n">
        <x:f>IF(AND(DG$3&gt;=EDATE($B$76,-3),DG$3&lt;$B$76),$B$92/3,0)</x:f>
      </x:c>
      <x:c r="DH92" s="117" t="n">
        <x:f>IF(AND(DH$3&gt;=EDATE($B$76,-3),DH$3&lt;$B$76),$B$92/3,0)</x:f>
      </x:c>
      <x:c r="DI92" s="117" t="n">
        <x:f>IF(AND(DI$3&gt;=EDATE($B$76,-3),DI$3&lt;$B$76),$B$92/3,0)</x:f>
      </x:c>
      <x:c r="DJ92" s="117" t="n">
        <x:f>IF(AND(DJ$3&gt;=EDATE($B$76,-3),DJ$3&lt;$B$76),$B$92/3,0)</x:f>
      </x:c>
      <x:c r="DK92" s="117" t="n">
        <x:f>IF(AND(DK$3&gt;=EDATE($B$76,-3),DK$3&lt;$B$76),$B$92/3,0)</x:f>
      </x:c>
      <x:c r="DL92" s="117" t="n">
        <x:f>IF(AND(DL$3&gt;=EDATE($B$76,-3),DL$3&lt;$B$76),$B$92/3,0)</x:f>
      </x:c>
      <x:c r="DM92" s="117" t="n">
        <x:f>IF(AND(DM$3&gt;=EDATE($B$76,-3),DM$3&lt;$B$76),$B$92/3,0)</x:f>
      </x:c>
      <x:c r="DN92" s="117" t="n">
        <x:f>IF(AND(DN$3&gt;=EDATE($B$76,-3),DN$3&lt;$B$76),$B$92/3,0)</x:f>
      </x:c>
      <x:c r="DO92" s="117" t="n">
        <x:f>IF(AND(DO$3&gt;=EDATE($B$76,-3),DO$3&lt;$B$76),$B$92/3,0)</x:f>
      </x:c>
      <x:c r="DP92" s="117" t="n">
        <x:f>IF(AND(DP$3&gt;=EDATE($B$76,-3),DP$3&lt;$B$76),$B$92/3,0)</x:f>
      </x:c>
      <x:c r="DQ92" s="117" t="n">
        <x:f>IF(AND(DQ$3&gt;=EDATE($B$76,-3),DQ$3&lt;$B$76),$B$92/3,0)</x:f>
      </x:c>
      <x:c r="DR92" s="117" t="n">
        <x:f>IF(AND(DR$3&gt;=EDATE($B$76,-3),DR$3&lt;$B$76),$B$92/3,0)</x:f>
      </x:c>
      <x:c r="DS92" s="117" t="n">
        <x:f>IF(AND(DS$3&gt;=EDATE($B$76,-3),DS$3&lt;$B$76),$B$92/3,0)</x:f>
      </x:c>
      <x:c r="DT92" s="117" t="n">
        <x:f>IF(AND(DT$3&gt;=EDATE($B$76,-3),DT$3&lt;$B$76),$B$92/3,0)</x:f>
      </x:c>
      <x:c r="DU92" s="117" t="n">
        <x:f>IF(AND(DU$3&gt;=EDATE($B$76,-3),DU$3&lt;$B$76),$B$92/3,0)</x:f>
      </x:c>
      <x:c r="DV92" s="117" t="n">
        <x:f>IF(AND(DV$3&gt;=EDATE($B$76,-3),DV$3&lt;$B$76),$B$92/3,0)</x:f>
      </x:c>
      <x:c r="DW92" s="117" t="n">
        <x:f>IF(AND(DW$3&gt;=EDATE($B$76,-3),DW$3&lt;$B$76),$B$92/3,0)</x:f>
      </x:c>
      <x:c r="DX92" s="117" t="n">
        <x:f>IF(AND(DX$3&gt;=EDATE($B$76,-3),DX$3&lt;$B$76),$B$92/3,0)</x:f>
      </x:c>
      <x:c r="DY92" s="117" t="n">
        <x:f>IF(AND(DY$3&gt;=EDATE($B$76,-3),DY$3&lt;$B$76),$B$92/3,0)</x:f>
      </x:c>
      <x:c r="DZ92" s="117" t="n">
        <x:f>IF(AND(DZ$3&gt;=EDATE($B$76,-3),DZ$3&lt;$B$76),$B$92/3,0)</x:f>
      </x:c>
      <x:c r="EA92" s="117" t="n">
        <x:f>IF(AND(EA$3&gt;=EDATE($B$76,-3),EA$3&lt;$B$76),$B$92/3,0)</x:f>
      </x:c>
      <x:c r="EB92" s="117" t="n">
        <x:f>IF(AND(EB$3&gt;=EDATE($B$76,-3),EB$3&lt;$B$76),$B$92/3,0)</x:f>
      </x:c>
      <x:c r="EC92" s="117" t="n">
        <x:f>IF(AND(EC$3&gt;=EDATE($B$76,-3),EC$3&lt;$B$76),$B$92/3,0)</x:f>
      </x:c>
      <x:c r="ED92" s="117" t="n">
        <x:f>IF(AND(ED$3&gt;=EDATE($B$76,-3),ED$3&lt;$B$76),$B$92/3,0)</x:f>
      </x:c>
      <x:c r="EE92" s="117" t="n">
        <x:f>IF(AND(EE$3&gt;=EDATE($B$76,-3),EE$3&lt;$B$76),$B$92/3,0)</x:f>
      </x:c>
      <x:c r="EF92" s="117" t="n">
        <x:f>IF(AND(EF$3&gt;=EDATE($B$76,-3),EF$3&lt;$B$76),$B$92/3,0)</x:f>
      </x:c>
      <x:c r="EG92" s="117" t="n">
        <x:f>IF(AND(EG$3&gt;=EDATE($B$76,-3),EG$3&lt;$B$76),$B$92/3,0)</x:f>
      </x:c>
      <x:c r="EH92" s="117" t="n">
        <x:f>IF(AND(EH$3&gt;=EDATE($B$76,-3),EH$3&lt;$B$76),$B$92/3,0)</x:f>
      </x:c>
      <x:c r="EI92" s="117" t="n">
        <x:f>IF(AND(EI$3&gt;=EDATE($B$76,-3),EI$3&lt;$B$76),$B$92/3,0)</x:f>
      </x:c>
      <x:c r="EJ92" s="117" t="n">
        <x:f>IF(AND(EJ$3&gt;=EDATE($B$76,-3),EJ$3&lt;$B$76),$B$92/3,0)</x:f>
      </x:c>
      <x:c r="EK92" s="117" t="n">
        <x:f>IF(AND(EK$3&gt;=EDATE($B$76,-3),EK$3&lt;$B$76),$B$92/3,0)</x:f>
      </x:c>
      <x:c r="EL92" s="117" t="n">
        <x:f>IF(AND(EL$3&gt;=EDATE($B$76,-3),EL$3&lt;$B$76),$B$92/3,0)</x:f>
      </x:c>
      <x:c r="EM92" s="117" t="n">
        <x:f>IF(AND(EM$3&gt;=EDATE($B$76,-3),EM$3&lt;$B$76),$B$92/3,0)</x:f>
      </x:c>
      <x:c r="EN92" s="117" t="n">
        <x:f>IF(AND(EN$3&gt;=EDATE($B$76,-3),EN$3&lt;$B$76),$B$92/3,0)</x:f>
      </x:c>
      <x:c r="EO92" s="117" t="n">
        <x:f>IF(AND(EO$3&gt;=EDATE($B$76,-3),EO$3&lt;$B$76),$B$92/3,0)</x:f>
      </x:c>
      <x:c r="EP92" s="117" t="n">
        <x:f>IF(AND(EP$3&gt;=EDATE($B$76,-3),EP$3&lt;$B$76),$B$92/3,0)</x:f>
      </x:c>
      <x:c r="EQ92" s="117" t="n">
        <x:f>IF(AND(EQ$3&gt;=EDATE($B$76,-3),EQ$3&lt;$B$76),$B$92/3,0)</x:f>
      </x:c>
      <x:c r="ER92" s="117" t="n">
        <x:f>IF(AND(ER$3&gt;=EDATE($B$76,-3),ER$3&lt;$B$76),$B$92/3,0)</x:f>
      </x:c>
      <x:c r="ES92" s="117" t="n">
        <x:f>IF(AND(ES$3&gt;=EDATE($B$76,-3),ES$3&lt;$B$76),$B$92/3,0)</x:f>
      </x:c>
      <x:c r="ET92" s="117" t="n">
        <x:f>IF(AND(ET$3&gt;=EDATE($B$76,-3),ET$3&lt;$B$76),$B$92/3,0)</x:f>
      </x:c>
      <x:c r="EU92" s="117" t="n">
        <x:f>IF(AND(EU$3&gt;=EDATE($B$76,-3),EU$3&lt;$B$76),$B$92/3,0)</x:f>
      </x:c>
      <x:c r="EV92" s="117" t="n">
        <x:f>IF(AND(EV$3&gt;=EDATE($B$76,-3),EV$3&lt;$B$76),$B$92/3,0)</x:f>
      </x:c>
      <x:c r="EW92" s="117" t="n">
        <x:f>IF(AND(EW$3&gt;=EDATE($B$76,-3),EW$3&lt;$B$76),$B$92/3,0)</x:f>
      </x:c>
      <x:c r="EX92" s="117" t="n">
        <x:f>IF(AND(EX$3&gt;=EDATE($B$76,-3),EX$3&lt;$B$76),$B$92/3,0)</x:f>
      </x:c>
      <x:c r="EY92" s="117" t="n">
        <x:f>IF(AND(EY$3&gt;=EDATE($B$76,-3),EY$3&lt;$B$76),$B$92/3,0)</x:f>
      </x:c>
      <x:c r="EZ92" s="117" t="n">
        <x:f>IF(AND(EZ$3&gt;=EDATE($B$76,-3),EZ$3&lt;$B$76),$B$92/3,0)</x:f>
      </x:c>
      <x:c r="FA92" s="117" t="n">
        <x:f>IF(AND(FA$3&gt;=EDATE($B$76,-3),FA$3&lt;$B$76),$B$92/3,0)</x:f>
      </x:c>
      <x:c r="FB92" s="117" t="n">
        <x:f>IF(AND(FB$3&gt;=EDATE($B$76,-3),FB$3&lt;$B$76),$B$92/3,0)</x:f>
      </x:c>
      <x:c r="FC92" s="117" t="n">
        <x:f>IF(AND(FC$3&gt;=EDATE($B$76,-3),FC$3&lt;$B$76),$B$92/3,0)</x:f>
      </x:c>
      <x:c r="FD92" s="117" t="n">
        <x:f>IF(AND(FD$3&gt;=EDATE($B$76,-3),FD$3&lt;$B$76),$B$92/3,0)</x:f>
      </x:c>
      <x:c r="FE92" s="117" t="n">
        <x:f>IF(AND(FE$3&gt;=EDATE($B$76,-3),FE$3&lt;$B$76),$B$92/3,0)</x:f>
      </x:c>
      <x:c r="FF92" s="117" t="n">
        <x:f>IF(AND(FF$3&gt;=EDATE($B$76,-3),FF$3&lt;$B$76),$B$92/3,0)</x:f>
      </x:c>
      <x:c r="FG92" s="117" t="n">
        <x:f>IF(AND(FG$3&gt;=EDATE($B$76,-3),FG$3&lt;$B$76),$B$92/3,0)</x:f>
      </x:c>
      <x:c r="FH92" s="117" t="n">
        <x:f>IF(AND(FH$3&gt;=EDATE($B$76,-3),FH$3&lt;$B$76),$B$92/3,0)</x:f>
      </x:c>
      <x:c r="FI92" s="117" t="n">
        <x:f>IF(AND(FI$3&gt;=EDATE($B$76,-3),FI$3&lt;$B$76),$B$92/3,0)</x:f>
      </x:c>
      <x:c r="FJ92" s="117" t="n">
        <x:f>IF(AND(FJ$3&gt;=EDATE($B$76,-3),FJ$3&lt;$B$76),$B$92/3,0)</x:f>
      </x:c>
      <x:c r="FK92" s="117" t="n">
        <x:f>IF(AND(FK$3&gt;=EDATE($B$76,-3),FK$3&lt;$B$76),$B$92/3,0)</x:f>
      </x:c>
      <x:c r="FL92" s="117" t="n">
        <x:f>IF(AND(FL$3&gt;=EDATE($B$76,-3),FL$3&lt;$B$76),$B$92/3,0)</x:f>
      </x:c>
      <x:c r="FM92" s="117" t="n">
        <x:f>IF(AND(FM$3&gt;=EDATE($B$76,-3),FM$3&lt;$B$76),$B$92/3,0)</x:f>
      </x:c>
      <x:c r="FN92" s="117" t="n">
        <x:f>IF(AND(FN$3&gt;=EDATE($B$76,-3),FN$3&lt;$B$76),$B$92/3,0)</x:f>
      </x:c>
      <x:c r="FO92" s="117" t="n">
        <x:f>IF(AND(FO$3&gt;=EDATE($B$76,-3),FO$3&lt;$B$76),$B$92/3,0)</x:f>
      </x:c>
      <x:c r="FP92" s="117" t="n">
        <x:f>IF(AND(FP$3&gt;=EDATE($B$76,-3),FP$3&lt;$B$76),$B$92/3,0)</x:f>
      </x:c>
      <x:c r="FQ92" s="117" t="n">
        <x:f>IF(AND(FQ$3&gt;=EDATE($B$76,-3),FQ$3&lt;$B$76),$B$92/3,0)</x:f>
      </x:c>
      <x:c r="FR92" s="117" t="n">
        <x:f>IF(AND(FR$3&gt;=EDATE($B$76,-3),FR$3&lt;$B$76),$B$92/3,0)</x:f>
      </x:c>
      <x:c r="FS92" s="117" t="n">
        <x:f>IF(AND(FS$3&gt;=EDATE($B$76,-3),FS$3&lt;$B$76),$B$92/3,0)</x:f>
      </x:c>
      <x:c r="FT92" s="117" t="n">
        <x:f>IF(AND(FT$3&gt;=EDATE($B$76,-3),FT$3&lt;$B$76),$B$92/3,0)</x:f>
      </x:c>
      <x:c r="FU92" s="117" t="n">
        <x:f>IF(AND(FU$3&gt;=EDATE($B$76,-3),FU$3&lt;$B$76),$B$92/3,0)</x:f>
      </x:c>
      <x:c r="FV92" s="117" t="n">
        <x:f>IF(AND(FV$3&gt;=EDATE($B$76,-3),FV$3&lt;$B$76),$B$92/3,0)</x:f>
      </x:c>
      <x:c r="FW92" s="117" t="n">
        <x:f>IF(AND(FW$3&gt;=EDATE($B$76,-3),FW$3&lt;$B$76),$B$92/3,0)</x:f>
      </x:c>
      <x:c r="FX92" s="117" t="n">
        <x:f>IF(AND(FX$3&gt;=EDATE($B$76,-3),FX$3&lt;$B$76),$B$92/3,0)</x:f>
      </x:c>
      <x:c r="FY92" s="117" t="n">
        <x:f>IF(AND(FY$3&gt;=EDATE($B$76,-3),FY$3&lt;$B$76),$B$92/3,0)</x:f>
      </x:c>
      <x:c r="FZ92" s="117" t="n">
        <x:f>IF(AND(FZ$3&gt;=EDATE($B$76,-3),FZ$3&lt;$B$76),$B$92/3,0)</x:f>
      </x:c>
      <x:c r="GA92" s="117" t="n">
        <x:f>IF(AND(GA$3&gt;=EDATE($B$76,-3),GA$3&lt;$B$76),$B$92/3,0)</x:f>
      </x:c>
    </x:row>
    <x:row r="93">
      <x:c r="A93" t="str">
        <x:v>Сдача и ввод</x:v>
      </x:c>
      <x:c r="B93" s="107" t="n">
        <x:f>(('Вводные'!$I$90+'Вводные'!$J$90+'Вводные'!$K$90)*'Вводные'!$B$48/1000*'Вводные'!$H$6*'Вводные'!$T$90*--('Вводные'!$B$90="Да"))*'Вводные'!$AH$90</x:f>
      </x:c>
      <x:c r="C93" t="str">
        <x:v>млн ₽</x:v>
      </x:c>
      <x:c r="D93" s="117" t="n">
        <x:f>IF(AND(D$3&gt;=EDATE($B$76,-3),D$3&lt;$B$76),$B$93/3,0)</x:f>
      </x:c>
      <x:c r="E93" s="117" t="n">
        <x:f>IF(AND(E$3&gt;=EDATE($B$76,-3),E$3&lt;$B$76),$B$93/3,0)</x:f>
      </x:c>
      <x:c r="F93" s="117" t="n">
        <x:f>IF(AND(F$3&gt;=EDATE($B$76,-3),F$3&lt;$B$76),$B$93/3,0)</x:f>
      </x:c>
      <x:c r="G93" s="117" t="n">
        <x:f>IF(AND(G$3&gt;=EDATE($B$76,-3),G$3&lt;$B$76),$B$93/3,0)</x:f>
      </x:c>
      <x:c r="H93" s="117" t="n">
        <x:f>IF(AND(H$3&gt;=EDATE($B$76,-3),H$3&lt;$B$76),$B$93/3,0)</x:f>
      </x:c>
      <x:c r="I93" s="117" t="n">
        <x:f>IF(AND(I$3&gt;=EDATE($B$76,-3),I$3&lt;$B$76),$B$93/3,0)</x:f>
      </x:c>
      <x:c r="J93" s="117" t="n">
        <x:f>IF(AND(J$3&gt;=EDATE($B$76,-3),J$3&lt;$B$76),$B$93/3,0)</x:f>
      </x:c>
      <x:c r="K93" s="117" t="n">
        <x:f>IF(AND(K$3&gt;=EDATE($B$76,-3),K$3&lt;$B$76),$B$93/3,0)</x:f>
      </x:c>
      <x:c r="L93" s="117" t="n">
        <x:f>IF(AND(L$3&gt;=EDATE($B$76,-3),L$3&lt;$B$76),$B$93/3,0)</x:f>
      </x:c>
      <x:c r="M93" s="117" t="n">
        <x:f>IF(AND(M$3&gt;=EDATE($B$76,-3),M$3&lt;$B$76),$B$93/3,0)</x:f>
      </x:c>
      <x:c r="N93" s="117" t="n">
        <x:f>IF(AND(N$3&gt;=EDATE($B$76,-3),N$3&lt;$B$76),$B$93/3,0)</x:f>
      </x:c>
      <x:c r="O93" s="117" t="n">
        <x:f>IF(AND(O$3&gt;=EDATE($B$76,-3),O$3&lt;$B$76),$B$93/3,0)</x:f>
      </x:c>
      <x:c r="P93" s="117" t="n">
        <x:f>IF(AND(P$3&gt;=EDATE($B$76,-3),P$3&lt;$B$76),$B$93/3,0)</x:f>
      </x:c>
      <x:c r="Q93" s="117" t="n">
        <x:f>IF(AND(Q$3&gt;=EDATE($B$76,-3),Q$3&lt;$B$76),$B$93/3,0)</x:f>
      </x:c>
      <x:c r="R93" s="117" t="n">
        <x:f>IF(AND(R$3&gt;=EDATE($B$76,-3),R$3&lt;$B$76),$B$93/3,0)</x:f>
      </x:c>
      <x:c r="S93" s="117" t="n">
        <x:f>IF(AND(S$3&gt;=EDATE($B$76,-3),S$3&lt;$B$76),$B$93/3,0)</x:f>
      </x:c>
      <x:c r="T93" s="117" t="n">
        <x:f>IF(AND(T$3&gt;=EDATE($B$76,-3),T$3&lt;$B$76),$B$93/3,0)</x:f>
      </x:c>
      <x:c r="U93" s="117" t="n">
        <x:f>IF(AND(U$3&gt;=EDATE($B$76,-3),U$3&lt;$B$76),$B$93/3,0)</x:f>
      </x:c>
      <x:c r="V93" s="117" t="n">
        <x:f>IF(AND(V$3&gt;=EDATE($B$76,-3),V$3&lt;$B$76),$B$93/3,0)</x:f>
      </x:c>
      <x:c r="W93" s="117" t="n">
        <x:f>IF(AND(W$3&gt;=EDATE($B$76,-3),W$3&lt;$B$76),$B$93/3,0)</x:f>
      </x:c>
      <x:c r="X93" s="117" t="n">
        <x:f>IF(AND(X$3&gt;=EDATE($B$76,-3),X$3&lt;$B$76),$B$93/3,0)</x:f>
      </x:c>
      <x:c r="Y93" s="117" t="n">
        <x:f>IF(AND(Y$3&gt;=EDATE($B$76,-3),Y$3&lt;$B$76),$B$93/3,0)</x:f>
      </x:c>
      <x:c r="Z93" s="117" t="n">
        <x:f>IF(AND(Z$3&gt;=EDATE($B$76,-3),Z$3&lt;$B$76),$B$93/3,0)</x:f>
      </x:c>
      <x:c r="AA93" s="117" t="n">
        <x:f>IF(AND(AA$3&gt;=EDATE($B$76,-3),AA$3&lt;$B$76),$B$93/3,0)</x:f>
      </x:c>
      <x:c r="AB93" s="117" t="n">
        <x:f>IF(AND(AB$3&gt;=EDATE($B$76,-3),AB$3&lt;$B$76),$B$93/3,0)</x:f>
      </x:c>
      <x:c r="AC93" s="117" t="n">
        <x:f>IF(AND(AC$3&gt;=EDATE($B$76,-3),AC$3&lt;$B$76),$B$93/3,0)</x:f>
      </x:c>
      <x:c r="AD93" s="117" t="n">
        <x:f>IF(AND(AD$3&gt;=EDATE($B$76,-3),AD$3&lt;$B$76),$B$93/3,0)</x:f>
      </x:c>
      <x:c r="AE93" s="117" t="n">
        <x:f>IF(AND(AE$3&gt;=EDATE($B$76,-3),AE$3&lt;$B$76),$B$93/3,0)</x:f>
      </x:c>
      <x:c r="AF93" s="117" t="n">
        <x:f>IF(AND(AF$3&gt;=EDATE($B$76,-3),AF$3&lt;$B$76),$B$93/3,0)</x:f>
      </x:c>
      <x:c r="AG93" s="117" t="n">
        <x:f>IF(AND(AG$3&gt;=EDATE($B$76,-3),AG$3&lt;$B$76),$B$93/3,0)</x:f>
      </x:c>
      <x:c r="AH93" s="117" t="n">
        <x:f>IF(AND(AH$3&gt;=EDATE($B$76,-3),AH$3&lt;$B$76),$B$93/3,0)</x:f>
      </x:c>
      <x:c r="AI93" s="117" t="n">
        <x:f>IF(AND(AI$3&gt;=EDATE($B$76,-3),AI$3&lt;$B$76),$B$93/3,0)</x:f>
      </x:c>
      <x:c r="AJ93" s="117" t="n">
        <x:f>IF(AND(AJ$3&gt;=EDATE($B$76,-3),AJ$3&lt;$B$76),$B$93/3,0)</x:f>
      </x:c>
      <x:c r="AK93" s="117" t="n">
        <x:f>IF(AND(AK$3&gt;=EDATE($B$76,-3),AK$3&lt;$B$76),$B$93/3,0)</x:f>
      </x:c>
      <x:c r="AL93" s="117" t="n">
        <x:f>IF(AND(AL$3&gt;=EDATE($B$76,-3),AL$3&lt;$B$76),$B$93/3,0)</x:f>
      </x:c>
      <x:c r="AM93" s="117" t="n">
        <x:f>IF(AND(AM$3&gt;=EDATE($B$76,-3),AM$3&lt;$B$76),$B$93/3,0)</x:f>
      </x:c>
      <x:c r="AN93" s="117" t="n">
        <x:f>IF(AND(AN$3&gt;=EDATE($B$76,-3),AN$3&lt;$B$76),$B$93/3,0)</x:f>
      </x:c>
      <x:c r="AO93" s="117" t="n">
        <x:f>IF(AND(AO$3&gt;=EDATE($B$76,-3),AO$3&lt;$B$76),$B$93/3,0)</x:f>
      </x:c>
      <x:c r="AP93" s="117" t="n">
        <x:f>IF(AND(AP$3&gt;=EDATE($B$76,-3),AP$3&lt;$B$76),$B$93/3,0)</x:f>
      </x:c>
      <x:c r="AQ93" s="117" t="n">
        <x:f>IF(AND(AQ$3&gt;=EDATE($B$76,-3),AQ$3&lt;$B$76),$B$93/3,0)</x:f>
      </x:c>
      <x:c r="AR93" s="117" t="n">
        <x:f>IF(AND(AR$3&gt;=EDATE($B$76,-3),AR$3&lt;$B$76),$B$93/3,0)</x:f>
      </x:c>
      <x:c r="AS93" s="117" t="n">
        <x:f>IF(AND(AS$3&gt;=EDATE($B$76,-3),AS$3&lt;$B$76),$B$93/3,0)</x:f>
      </x:c>
      <x:c r="AT93" s="117" t="n">
        <x:f>IF(AND(AT$3&gt;=EDATE($B$76,-3),AT$3&lt;$B$76),$B$93/3,0)</x:f>
      </x:c>
      <x:c r="AU93" s="117" t="n">
        <x:f>IF(AND(AU$3&gt;=EDATE($B$76,-3),AU$3&lt;$B$76),$B$93/3,0)</x:f>
      </x:c>
      <x:c r="AV93" s="117" t="n">
        <x:f>IF(AND(AV$3&gt;=EDATE($B$76,-3),AV$3&lt;$B$76),$B$93/3,0)</x:f>
      </x:c>
      <x:c r="AW93" s="117" t="n">
        <x:f>IF(AND(AW$3&gt;=EDATE($B$76,-3),AW$3&lt;$B$76),$B$93/3,0)</x:f>
      </x:c>
      <x:c r="AX93" s="117" t="n">
        <x:f>IF(AND(AX$3&gt;=EDATE($B$76,-3),AX$3&lt;$B$76),$B$93/3,0)</x:f>
      </x:c>
      <x:c r="AY93" s="117" t="n">
        <x:f>IF(AND(AY$3&gt;=EDATE($B$76,-3),AY$3&lt;$B$76),$B$93/3,0)</x:f>
      </x:c>
      <x:c r="AZ93" s="117" t="n">
        <x:f>IF(AND(AZ$3&gt;=EDATE($B$76,-3),AZ$3&lt;$B$76),$B$93/3,0)</x:f>
      </x:c>
      <x:c r="BA93" s="117" t="n">
        <x:f>IF(AND(BA$3&gt;=EDATE($B$76,-3),BA$3&lt;$B$76),$B$93/3,0)</x:f>
      </x:c>
      <x:c r="BB93" s="117" t="n">
        <x:f>IF(AND(BB$3&gt;=EDATE($B$76,-3),BB$3&lt;$B$76),$B$93/3,0)</x:f>
      </x:c>
      <x:c r="BC93" s="117" t="n">
        <x:f>IF(AND(BC$3&gt;=EDATE($B$76,-3),BC$3&lt;$B$76),$B$93/3,0)</x:f>
      </x:c>
      <x:c r="BD93" s="117" t="n">
        <x:f>IF(AND(BD$3&gt;=EDATE($B$76,-3),BD$3&lt;$B$76),$B$93/3,0)</x:f>
      </x:c>
      <x:c r="BE93" s="117" t="n">
        <x:f>IF(AND(BE$3&gt;=EDATE($B$76,-3),BE$3&lt;$B$76),$B$93/3,0)</x:f>
      </x:c>
      <x:c r="BF93" s="117" t="n">
        <x:f>IF(AND(BF$3&gt;=EDATE($B$76,-3),BF$3&lt;$B$76),$B$93/3,0)</x:f>
      </x:c>
      <x:c r="BG93" s="117" t="n">
        <x:f>IF(AND(BG$3&gt;=EDATE($B$76,-3),BG$3&lt;$B$76),$B$93/3,0)</x:f>
      </x:c>
      <x:c r="BH93" s="117" t="n">
        <x:f>IF(AND(BH$3&gt;=EDATE($B$76,-3),BH$3&lt;$B$76),$B$93/3,0)</x:f>
      </x:c>
      <x:c r="BI93" s="117" t="n">
        <x:f>IF(AND(BI$3&gt;=EDATE($B$76,-3),BI$3&lt;$B$76),$B$93/3,0)</x:f>
      </x:c>
      <x:c r="BJ93" s="117" t="n">
        <x:f>IF(AND(BJ$3&gt;=EDATE($B$76,-3),BJ$3&lt;$B$76),$B$93/3,0)</x:f>
      </x:c>
      <x:c r="BK93" s="117" t="n">
        <x:f>IF(AND(BK$3&gt;=EDATE($B$76,-3),BK$3&lt;$B$76),$B$93/3,0)</x:f>
      </x:c>
      <x:c r="BL93" s="117" t="n">
        <x:f>IF(AND(BL$3&gt;=EDATE($B$76,-3),BL$3&lt;$B$76),$B$93/3,0)</x:f>
      </x:c>
      <x:c r="BM93" s="117" t="n">
        <x:f>IF(AND(BM$3&gt;=EDATE($B$76,-3),BM$3&lt;$B$76),$B$93/3,0)</x:f>
      </x:c>
      <x:c r="BN93" s="117" t="n">
        <x:f>IF(AND(BN$3&gt;=EDATE($B$76,-3),BN$3&lt;$B$76),$B$93/3,0)</x:f>
      </x:c>
      <x:c r="BO93" s="117" t="n">
        <x:f>IF(AND(BO$3&gt;=EDATE($B$76,-3),BO$3&lt;$B$76),$B$93/3,0)</x:f>
      </x:c>
      <x:c r="BP93" s="117" t="n">
        <x:f>IF(AND(BP$3&gt;=EDATE($B$76,-3),BP$3&lt;$B$76),$B$93/3,0)</x:f>
      </x:c>
      <x:c r="BQ93" s="117" t="n">
        <x:f>IF(AND(BQ$3&gt;=EDATE($B$76,-3),BQ$3&lt;$B$76),$B$93/3,0)</x:f>
      </x:c>
      <x:c r="BR93" s="117" t="n">
        <x:f>IF(AND(BR$3&gt;=EDATE($B$76,-3),BR$3&lt;$B$76),$B$93/3,0)</x:f>
      </x:c>
      <x:c r="BS93" s="117" t="n">
        <x:f>IF(AND(BS$3&gt;=EDATE($B$76,-3),BS$3&lt;$B$76),$B$93/3,0)</x:f>
      </x:c>
      <x:c r="BT93" s="117" t="n">
        <x:f>IF(AND(BT$3&gt;=EDATE($B$76,-3),BT$3&lt;$B$76),$B$93/3,0)</x:f>
      </x:c>
      <x:c r="BU93" s="117" t="n">
        <x:f>IF(AND(BU$3&gt;=EDATE($B$76,-3),BU$3&lt;$B$76),$B$93/3,0)</x:f>
      </x:c>
      <x:c r="BV93" s="117" t="n">
        <x:f>IF(AND(BV$3&gt;=EDATE($B$76,-3),BV$3&lt;$B$76),$B$93/3,0)</x:f>
      </x:c>
      <x:c r="BW93" s="117" t="n">
        <x:f>IF(AND(BW$3&gt;=EDATE($B$76,-3),BW$3&lt;$B$76),$B$93/3,0)</x:f>
      </x:c>
      <x:c r="BX93" s="117" t="n">
        <x:f>IF(AND(BX$3&gt;=EDATE($B$76,-3),BX$3&lt;$B$76),$B$93/3,0)</x:f>
      </x:c>
      <x:c r="BY93" s="117" t="n">
        <x:f>IF(AND(BY$3&gt;=EDATE($B$76,-3),BY$3&lt;$B$76),$B$93/3,0)</x:f>
      </x:c>
      <x:c r="BZ93" s="117" t="n">
        <x:f>IF(AND(BZ$3&gt;=EDATE($B$76,-3),BZ$3&lt;$B$76),$B$93/3,0)</x:f>
      </x:c>
      <x:c r="CA93" s="117" t="n">
        <x:f>IF(AND(CA$3&gt;=EDATE($B$76,-3),CA$3&lt;$B$76),$B$93/3,0)</x:f>
      </x:c>
      <x:c r="CB93" s="117" t="n">
        <x:f>IF(AND(CB$3&gt;=EDATE($B$76,-3),CB$3&lt;$B$76),$B$93/3,0)</x:f>
      </x:c>
      <x:c r="CC93" s="117" t="n">
        <x:f>IF(AND(CC$3&gt;=EDATE($B$76,-3),CC$3&lt;$B$76),$B$93/3,0)</x:f>
      </x:c>
      <x:c r="CD93" s="117" t="n">
        <x:f>IF(AND(CD$3&gt;=EDATE($B$76,-3),CD$3&lt;$B$76),$B$93/3,0)</x:f>
      </x:c>
      <x:c r="CE93" s="117" t="n">
        <x:f>IF(AND(CE$3&gt;=EDATE($B$76,-3),CE$3&lt;$B$76),$B$93/3,0)</x:f>
      </x:c>
      <x:c r="CF93" s="117" t="n">
        <x:f>IF(AND(CF$3&gt;=EDATE($B$76,-3),CF$3&lt;$B$76),$B$93/3,0)</x:f>
      </x:c>
      <x:c r="CG93" s="117" t="n">
        <x:f>IF(AND(CG$3&gt;=EDATE($B$76,-3),CG$3&lt;$B$76),$B$93/3,0)</x:f>
      </x:c>
      <x:c r="CH93" s="117" t="n">
        <x:f>IF(AND(CH$3&gt;=EDATE($B$76,-3),CH$3&lt;$B$76),$B$93/3,0)</x:f>
      </x:c>
      <x:c r="CI93" s="117" t="n">
        <x:f>IF(AND(CI$3&gt;=EDATE($B$76,-3),CI$3&lt;$B$76),$B$93/3,0)</x:f>
      </x:c>
      <x:c r="CJ93" s="117" t="n">
        <x:f>IF(AND(CJ$3&gt;=EDATE($B$76,-3),CJ$3&lt;$B$76),$B$93/3,0)</x:f>
      </x:c>
      <x:c r="CK93" s="117" t="n">
        <x:f>IF(AND(CK$3&gt;=EDATE($B$76,-3),CK$3&lt;$B$76),$B$93/3,0)</x:f>
      </x:c>
      <x:c r="CL93" s="117" t="n">
        <x:f>IF(AND(CL$3&gt;=EDATE($B$76,-3),CL$3&lt;$B$76),$B$93/3,0)</x:f>
      </x:c>
      <x:c r="CM93" s="117" t="n">
        <x:f>IF(AND(CM$3&gt;=EDATE($B$76,-3),CM$3&lt;$B$76),$B$93/3,0)</x:f>
      </x:c>
      <x:c r="CN93" s="117" t="n">
        <x:f>IF(AND(CN$3&gt;=EDATE($B$76,-3),CN$3&lt;$B$76),$B$93/3,0)</x:f>
      </x:c>
      <x:c r="CO93" s="117" t="n">
        <x:f>IF(AND(CO$3&gt;=EDATE($B$76,-3),CO$3&lt;$B$76),$B$93/3,0)</x:f>
      </x:c>
      <x:c r="CP93" s="117" t="n">
        <x:f>IF(AND(CP$3&gt;=EDATE($B$76,-3),CP$3&lt;$B$76),$B$93/3,0)</x:f>
      </x:c>
      <x:c r="CQ93" s="117" t="n">
        <x:f>IF(AND(CQ$3&gt;=EDATE($B$76,-3),CQ$3&lt;$B$76),$B$93/3,0)</x:f>
      </x:c>
      <x:c r="CR93" s="117" t="n">
        <x:f>IF(AND(CR$3&gt;=EDATE($B$76,-3),CR$3&lt;$B$76),$B$93/3,0)</x:f>
      </x:c>
      <x:c r="CS93" s="117" t="n">
        <x:f>IF(AND(CS$3&gt;=EDATE($B$76,-3),CS$3&lt;$B$76),$B$93/3,0)</x:f>
      </x:c>
      <x:c r="CT93" s="117" t="n">
        <x:f>IF(AND(CT$3&gt;=EDATE($B$76,-3),CT$3&lt;$B$76),$B$93/3,0)</x:f>
      </x:c>
      <x:c r="CU93" s="117" t="n">
        <x:f>IF(AND(CU$3&gt;=EDATE($B$76,-3),CU$3&lt;$B$76),$B$93/3,0)</x:f>
      </x:c>
      <x:c r="CV93" s="117" t="n">
        <x:f>IF(AND(CV$3&gt;=EDATE($B$76,-3),CV$3&lt;$B$76),$B$93/3,0)</x:f>
      </x:c>
      <x:c r="CW93" s="117" t="n">
        <x:f>IF(AND(CW$3&gt;=EDATE($B$76,-3),CW$3&lt;$B$76),$B$93/3,0)</x:f>
      </x:c>
      <x:c r="CX93" s="117" t="n">
        <x:f>IF(AND(CX$3&gt;=EDATE($B$76,-3),CX$3&lt;$B$76),$B$93/3,0)</x:f>
      </x:c>
      <x:c r="CY93" s="117" t="n">
        <x:f>IF(AND(CY$3&gt;=EDATE($B$76,-3),CY$3&lt;$B$76),$B$93/3,0)</x:f>
      </x:c>
      <x:c r="CZ93" s="117" t="n">
        <x:f>IF(AND(CZ$3&gt;=EDATE($B$76,-3),CZ$3&lt;$B$76),$B$93/3,0)</x:f>
      </x:c>
      <x:c r="DA93" s="117" t="n">
        <x:f>IF(AND(DA$3&gt;=EDATE($B$76,-3),DA$3&lt;$B$76),$B$93/3,0)</x:f>
      </x:c>
      <x:c r="DB93" s="117" t="n">
        <x:f>IF(AND(DB$3&gt;=EDATE($B$76,-3),DB$3&lt;$B$76),$B$93/3,0)</x:f>
      </x:c>
      <x:c r="DC93" s="117" t="n">
        <x:f>IF(AND(DC$3&gt;=EDATE($B$76,-3),DC$3&lt;$B$76),$B$93/3,0)</x:f>
      </x:c>
      <x:c r="DD93" s="117" t="n">
        <x:f>IF(AND(DD$3&gt;=EDATE($B$76,-3),DD$3&lt;$B$76),$B$93/3,0)</x:f>
      </x:c>
      <x:c r="DE93" s="117" t="n">
        <x:f>IF(AND(DE$3&gt;=EDATE($B$76,-3),DE$3&lt;$B$76),$B$93/3,0)</x:f>
      </x:c>
      <x:c r="DF93" s="117" t="n">
        <x:f>IF(AND(DF$3&gt;=EDATE($B$76,-3),DF$3&lt;$B$76),$B$93/3,0)</x:f>
      </x:c>
      <x:c r="DG93" s="117" t="n">
        <x:f>IF(AND(DG$3&gt;=EDATE($B$76,-3),DG$3&lt;$B$76),$B$93/3,0)</x:f>
      </x:c>
      <x:c r="DH93" s="117" t="n">
        <x:f>IF(AND(DH$3&gt;=EDATE($B$76,-3),DH$3&lt;$B$76),$B$93/3,0)</x:f>
      </x:c>
      <x:c r="DI93" s="117" t="n">
        <x:f>IF(AND(DI$3&gt;=EDATE($B$76,-3),DI$3&lt;$B$76),$B$93/3,0)</x:f>
      </x:c>
      <x:c r="DJ93" s="117" t="n">
        <x:f>IF(AND(DJ$3&gt;=EDATE($B$76,-3),DJ$3&lt;$B$76),$B$93/3,0)</x:f>
      </x:c>
      <x:c r="DK93" s="117" t="n">
        <x:f>IF(AND(DK$3&gt;=EDATE($B$76,-3),DK$3&lt;$B$76),$B$93/3,0)</x:f>
      </x:c>
      <x:c r="DL93" s="117" t="n">
        <x:f>IF(AND(DL$3&gt;=EDATE($B$76,-3),DL$3&lt;$B$76),$B$93/3,0)</x:f>
      </x:c>
      <x:c r="DM93" s="117" t="n">
        <x:f>IF(AND(DM$3&gt;=EDATE($B$76,-3),DM$3&lt;$B$76),$B$93/3,0)</x:f>
      </x:c>
      <x:c r="DN93" s="117" t="n">
        <x:f>IF(AND(DN$3&gt;=EDATE($B$76,-3),DN$3&lt;$B$76),$B$93/3,0)</x:f>
      </x:c>
      <x:c r="DO93" s="117" t="n">
        <x:f>IF(AND(DO$3&gt;=EDATE($B$76,-3),DO$3&lt;$B$76),$B$93/3,0)</x:f>
      </x:c>
      <x:c r="DP93" s="117" t="n">
        <x:f>IF(AND(DP$3&gt;=EDATE($B$76,-3),DP$3&lt;$B$76),$B$93/3,0)</x:f>
      </x:c>
      <x:c r="DQ93" s="117" t="n">
        <x:f>IF(AND(DQ$3&gt;=EDATE($B$76,-3),DQ$3&lt;$B$76),$B$93/3,0)</x:f>
      </x:c>
      <x:c r="DR93" s="117" t="n">
        <x:f>IF(AND(DR$3&gt;=EDATE($B$76,-3),DR$3&lt;$B$76),$B$93/3,0)</x:f>
      </x:c>
      <x:c r="DS93" s="117" t="n">
        <x:f>IF(AND(DS$3&gt;=EDATE($B$76,-3),DS$3&lt;$B$76),$B$93/3,0)</x:f>
      </x:c>
      <x:c r="DT93" s="117" t="n">
        <x:f>IF(AND(DT$3&gt;=EDATE($B$76,-3),DT$3&lt;$B$76),$B$93/3,0)</x:f>
      </x:c>
      <x:c r="DU93" s="117" t="n">
        <x:f>IF(AND(DU$3&gt;=EDATE($B$76,-3),DU$3&lt;$B$76),$B$93/3,0)</x:f>
      </x:c>
      <x:c r="DV93" s="117" t="n">
        <x:f>IF(AND(DV$3&gt;=EDATE($B$76,-3),DV$3&lt;$B$76),$B$93/3,0)</x:f>
      </x:c>
      <x:c r="DW93" s="117" t="n">
        <x:f>IF(AND(DW$3&gt;=EDATE($B$76,-3),DW$3&lt;$B$76),$B$93/3,0)</x:f>
      </x:c>
      <x:c r="DX93" s="117" t="n">
        <x:f>IF(AND(DX$3&gt;=EDATE($B$76,-3),DX$3&lt;$B$76),$B$93/3,0)</x:f>
      </x:c>
      <x:c r="DY93" s="117" t="n">
        <x:f>IF(AND(DY$3&gt;=EDATE($B$76,-3),DY$3&lt;$B$76),$B$93/3,0)</x:f>
      </x:c>
      <x:c r="DZ93" s="117" t="n">
        <x:f>IF(AND(DZ$3&gt;=EDATE($B$76,-3),DZ$3&lt;$B$76),$B$93/3,0)</x:f>
      </x:c>
      <x:c r="EA93" s="117" t="n">
        <x:f>IF(AND(EA$3&gt;=EDATE($B$76,-3),EA$3&lt;$B$76),$B$93/3,0)</x:f>
      </x:c>
      <x:c r="EB93" s="117" t="n">
        <x:f>IF(AND(EB$3&gt;=EDATE($B$76,-3),EB$3&lt;$B$76),$B$93/3,0)</x:f>
      </x:c>
      <x:c r="EC93" s="117" t="n">
        <x:f>IF(AND(EC$3&gt;=EDATE($B$76,-3),EC$3&lt;$B$76),$B$93/3,0)</x:f>
      </x:c>
      <x:c r="ED93" s="117" t="n">
        <x:f>IF(AND(ED$3&gt;=EDATE($B$76,-3),ED$3&lt;$B$76),$B$93/3,0)</x:f>
      </x:c>
      <x:c r="EE93" s="117" t="n">
        <x:f>IF(AND(EE$3&gt;=EDATE($B$76,-3),EE$3&lt;$B$76),$B$93/3,0)</x:f>
      </x:c>
      <x:c r="EF93" s="117" t="n">
        <x:f>IF(AND(EF$3&gt;=EDATE($B$76,-3),EF$3&lt;$B$76),$B$93/3,0)</x:f>
      </x:c>
      <x:c r="EG93" s="117" t="n">
        <x:f>IF(AND(EG$3&gt;=EDATE($B$76,-3),EG$3&lt;$B$76),$B$93/3,0)</x:f>
      </x:c>
      <x:c r="EH93" s="117" t="n">
        <x:f>IF(AND(EH$3&gt;=EDATE($B$76,-3),EH$3&lt;$B$76),$B$93/3,0)</x:f>
      </x:c>
      <x:c r="EI93" s="117" t="n">
        <x:f>IF(AND(EI$3&gt;=EDATE($B$76,-3),EI$3&lt;$B$76),$B$93/3,0)</x:f>
      </x:c>
      <x:c r="EJ93" s="117" t="n">
        <x:f>IF(AND(EJ$3&gt;=EDATE($B$76,-3),EJ$3&lt;$B$76),$B$93/3,0)</x:f>
      </x:c>
      <x:c r="EK93" s="117" t="n">
        <x:f>IF(AND(EK$3&gt;=EDATE($B$76,-3),EK$3&lt;$B$76),$B$93/3,0)</x:f>
      </x:c>
      <x:c r="EL93" s="117" t="n">
        <x:f>IF(AND(EL$3&gt;=EDATE($B$76,-3),EL$3&lt;$B$76),$B$93/3,0)</x:f>
      </x:c>
      <x:c r="EM93" s="117" t="n">
        <x:f>IF(AND(EM$3&gt;=EDATE($B$76,-3),EM$3&lt;$B$76),$B$93/3,0)</x:f>
      </x:c>
      <x:c r="EN93" s="117" t="n">
        <x:f>IF(AND(EN$3&gt;=EDATE($B$76,-3),EN$3&lt;$B$76),$B$93/3,0)</x:f>
      </x:c>
      <x:c r="EO93" s="117" t="n">
        <x:f>IF(AND(EO$3&gt;=EDATE($B$76,-3),EO$3&lt;$B$76),$B$93/3,0)</x:f>
      </x:c>
      <x:c r="EP93" s="117" t="n">
        <x:f>IF(AND(EP$3&gt;=EDATE($B$76,-3),EP$3&lt;$B$76),$B$93/3,0)</x:f>
      </x:c>
      <x:c r="EQ93" s="117" t="n">
        <x:f>IF(AND(EQ$3&gt;=EDATE($B$76,-3),EQ$3&lt;$B$76),$B$93/3,0)</x:f>
      </x:c>
      <x:c r="ER93" s="117" t="n">
        <x:f>IF(AND(ER$3&gt;=EDATE($B$76,-3),ER$3&lt;$B$76),$B$93/3,0)</x:f>
      </x:c>
      <x:c r="ES93" s="117" t="n">
        <x:f>IF(AND(ES$3&gt;=EDATE($B$76,-3),ES$3&lt;$B$76),$B$93/3,0)</x:f>
      </x:c>
      <x:c r="ET93" s="117" t="n">
        <x:f>IF(AND(ET$3&gt;=EDATE($B$76,-3),ET$3&lt;$B$76),$B$93/3,0)</x:f>
      </x:c>
      <x:c r="EU93" s="117" t="n">
        <x:f>IF(AND(EU$3&gt;=EDATE($B$76,-3),EU$3&lt;$B$76),$B$93/3,0)</x:f>
      </x:c>
      <x:c r="EV93" s="117" t="n">
        <x:f>IF(AND(EV$3&gt;=EDATE($B$76,-3),EV$3&lt;$B$76),$B$93/3,0)</x:f>
      </x:c>
      <x:c r="EW93" s="117" t="n">
        <x:f>IF(AND(EW$3&gt;=EDATE($B$76,-3),EW$3&lt;$B$76),$B$93/3,0)</x:f>
      </x:c>
      <x:c r="EX93" s="117" t="n">
        <x:f>IF(AND(EX$3&gt;=EDATE($B$76,-3),EX$3&lt;$B$76),$B$93/3,0)</x:f>
      </x:c>
      <x:c r="EY93" s="117" t="n">
        <x:f>IF(AND(EY$3&gt;=EDATE($B$76,-3),EY$3&lt;$B$76),$B$93/3,0)</x:f>
      </x:c>
      <x:c r="EZ93" s="117" t="n">
        <x:f>IF(AND(EZ$3&gt;=EDATE($B$76,-3),EZ$3&lt;$B$76),$B$93/3,0)</x:f>
      </x:c>
      <x:c r="FA93" s="117" t="n">
        <x:f>IF(AND(FA$3&gt;=EDATE($B$76,-3),FA$3&lt;$B$76),$B$93/3,0)</x:f>
      </x:c>
      <x:c r="FB93" s="117" t="n">
        <x:f>IF(AND(FB$3&gt;=EDATE($B$76,-3),FB$3&lt;$B$76),$B$93/3,0)</x:f>
      </x:c>
      <x:c r="FC93" s="117" t="n">
        <x:f>IF(AND(FC$3&gt;=EDATE($B$76,-3),FC$3&lt;$B$76),$B$93/3,0)</x:f>
      </x:c>
      <x:c r="FD93" s="117" t="n">
        <x:f>IF(AND(FD$3&gt;=EDATE($B$76,-3),FD$3&lt;$B$76),$B$93/3,0)</x:f>
      </x:c>
      <x:c r="FE93" s="117" t="n">
        <x:f>IF(AND(FE$3&gt;=EDATE($B$76,-3),FE$3&lt;$B$76),$B$93/3,0)</x:f>
      </x:c>
      <x:c r="FF93" s="117" t="n">
        <x:f>IF(AND(FF$3&gt;=EDATE($B$76,-3),FF$3&lt;$B$76),$B$93/3,0)</x:f>
      </x:c>
      <x:c r="FG93" s="117" t="n">
        <x:f>IF(AND(FG$3&gt;=EDATE($B$76,-3),FG$3&lt;$B$76),$B$93/3,0)</x:f>
      </x:c>
      <x:c r="FH93" s="117" t="n">
        <x:f>IF(AND(FH$3&gt;=EDATE($B$76,-3),FH$3&lt;$B$76),$B$93/3,0)</x:f>
      </x:c>
      <x:c r="FI93" s="117" t="n">
        <x:f>IF(AND(FI$3&gt;=EDATE($B$76,-3),FI$3&lt;$B$76),$B$93/3,0)</x:f>
      </x:c>
      <x:c r="FJ93" s="117" t="n">
        <x:f>IF(AND(FJ$3&gt;=EDATE($B$76,-3),FJ$3&lt;$B$76),$B$93/3,0)</x:f>
      </x:c>
      <x:c r="FK93" s="117" t="n">
        <x:f>IF(AND(FK$3&gt;=EDATE($B$76,-3),FK$3&lt;$B$76),$B$93/3,0)</x:f>
      </x:c>
      <x:c r="FL93" s="117" t="n">
        <x:f>IF(AND(FL$3&gt;=EDATE($B$76,-3),FL$3&lt;$B$76),$B$93/3,0)</x:f>
      </x:c>
      <x:c r="FM93" s="117" t="n">
        <x:f>IF(AND(FM$3&gt;=EDATE($B$76,-3),FM$3&lt;$B$76),$B$93/3,0)</x:f>
      </x:c>
      <x:c r="FN93" s="117" t="n">
        <x:f>IF(AND(FN$3&gt;=EDATE($B$76,-3),FN$3&lt;$B$76),$B$93/3,0)</x:f>
      </x:c>
      <x:c r="FO93" s="117" t="n">
        <x:f>IF(AND(FO$3&gt;=EDATE($B$76,-3),FO$3&lt;$B$76),$B$93/3,0)</x:f>
      </x:c>
      <x:c r="FP93" s="117" t="n">
        <x:f>IF(AND(FP$3&gt;=EDATE($B$76,-3),FP$3&lt;$B$76),$B$93/3,0)</x:f>
      </x:c>
      <x:c r="FQ93" s="117" t="n">
        <x:f>IF(AND(FQ$3&gt;=EDATE($B$76,-3),FQ$3&lt;$B$76),$B$93/3,0)</x:f>
      </x:c>
      <x:c r="FR93" s="117" t="n">
        <x:f>IF(AND(FR$3&gt;=EDATE($B$76,-3),FR$3&lt;$B$76),$B$93/3,0)</x:f>
      </x:c>
      <x:c r="FS93" s="117" t="n">
        <x:f>IF(AND(FS$3&gt;=EDATE($B$76,-3),FS$3&lt;$B$76),$B$93/3,0)</x:f>
      </x:c>
      <x:c r="FT93" s="117" t="n">
        <x:f>IF(AND(FT$3&gt;=EDATE($B$76,-3),FT$3&lt;$B$76),$B$93/3,0)</x:f>
      </x:c>
      <x:c r="FU93" s="117" t="n">
        <x:f>IF(AND(FU$3&gt;=EDATE($B$76,-3),FU$3&lt;$B$76),$B$93/3,0)</x:f>
      </x:c>
      <x:c r="FV93" s="117" t="n">
        <x:f>IF(AND(FV$3&gt;=EDATE($B$76,-3),FV$3&lt;$B$76),$B$93/3,0)</x:f>
      </x:c>
      <x:c r="FW93" s="117" t="n">
        <x:f>IF(AND(FW$3&gt;=EDATE($B$76,-3),FW$3&lt;$B$76),$B$93/3,0)</x:f>
      </x:c>
      <x:c r="FX93" s="117" t="n">
        <x:f>IF(AND(FX$3&gt;=EDATE($B$76,-3),FX$3&lt;$B$76),$B$93/3,0)</x:f>
      </x:c>
      <x:c r="FY93" s="117" t="n">
        <x:f>IF(AND(FY$3&gt;=EDATE($B$76,-3),FY$3&lt;$B$76),$B$93/3,0)</x:f>
      </x:c>
      <x:c r="FZ93" s="117" t="n">
        <x:f>IF(AND(FZ$3&gt;=EDATE($B$76,-3),FZ$3&lt;$B$76),$B$93/3,0)</x:f>
      </x:c>
      <x:c r="GA93" s="117" t="n">
        <x:f>IF(AND(GA$3&gt;=EDATE($B$76,-3),GA$3&lt;$B$76),$B$93/3,0)</x:f>
      </x:c>
    </x:row>
    <x:row r="94">
      <x:c r="A94" t="str">
        <x:v>Содержание стройплощадки</x:v>
      </x:c>
      <x:c r="B94" s="107" t="n">
        <x:f>(('Вводные'!$I$90+'Вводные'!$J$90+'Вводные'!$K$90)*'Вводные'!$B$49/1000*'Вводные'!$H$6*'Вводные'!$T$90*--('Вводные'!$B$90="Да"))*'Вводные'!$AH$90</x:f>
      </x:c>
      <x:c r="C94" t="str">
        <x:v>млн ₽</x:v>
      </x:c>
      <x:c r="D94" s="117" t="n">
        <x:f>$B$94*D81</x:f>
      </x:c>
      <x:c r="E94" s="117" t="n">
        <x:f>$B$94*E81</x:f>
      </x:c>
      <x:c r="F94" s="117" t="n">
        <x:f>$B$94*F81</x:f>
      </x:c>
      <x:c r="G94" s="117" t="n">
        <x:f>$B$94*G81</x:f>
      </x:c>
      <x:c r="H94" s="117" t="n">
        <x:f>$B$94*H81</x:f>
      </x:c>
      <x:c r="I94" s="117" t="n">
        <x:f>$B$94*I81</x:f>
      </x:c>
      <x:c r="J94" s="117" t="n">
        <x:f>$B$94*J81</x:f>
      </x:c>
      <x:c r="K94" s="117" t="n">
        <x:f>$B$94*K81</x:f>
      </x:c>
      <x:c r="L94" s="117" t="n">
        <x:f>$B$94*L81</x:f>
      </x:c>
      <x:c r="M94" s="117" t="n">
        <x:f>$B$94*M81</x:f>
      </x:c>
      <x:c r="N94" s="117" t="n">
        <x:f>$B$94*N81</x:f>
      </x:c>
      <x:c r="O94" s="117" t="n">
        <x:f>$B$94*O81</x:f>
      </x:c>
      <x:c r="P94" s="117" t="n">
        <x:f>$B$94*P81</x:f>
      </x:c>
      <x:c r="Q94" s="117" t="n">
        <x:f>$B$94*Q81</x:f>
      </x:c>
      <x:c r="R94" s="117" t="n">
        <x:f>$B$94*R81</x:f>
      </x:c>
      <x:c r="S94" s="117" t="n">
        <x:f>$B$94*S81</x:f>
      </x:c>
      <x:c r="T94" s="117" t="n">
        <x:f>$B$94*T81</x:f>
      </x:c>
      <x:c r="U94" s="117" t="n">
        <x:f>$B$94*U81</x:f>
      </x:c>
      <x:c r="V94" s="117" t="n">
        <x:f>$B$94*V81</x:f>
      </x:c>
      <x:c r="W94" s="117" t="n">
        <x:f>$B$94*W81</x:f>
      </x:c>
      <x:c r="X94" s="117" t="n">
        <x:f>$B$94*X81</x:f>
      </x:c>
      <x:c r="Y94" s="117" t="n">
        <x:f>$B$94*Y81</x:f>
      </x:c>
      <x:c r="Z94" s="117" t="n">
        <x:f>$B$94*Z81</x:f>
      </x:c>
      <x:c r="AA94" s="117" t="n">
        <x:f>$B$94*AA81</x:f>
      </x:c>
      <x:c r="AB94" s="117" t="n">
        <x:f>$B$94*AB81</x:f>
      </x:c>
      <x:c r="AC94" s="117" t="n">
        <x:f>$B$94*AC81</x:f>
      </x:c>
      <x:c r="AD94" s="117" t="n">
        <x:f>$B$94*AD81</x:f>
      </x:c>
      <x:c r="AE94" s="117" t="n">
        <x:f>$B$94*AE81</x:f>
      </x:c>
      <x:c r="AF94" s="117" t="n">
        <x:f>$B$94*AF81</x:f>
      </x:c>
      <x:c r="AG94" s="117" t="n">
        <x:f>$B$94*AG81</x:f>
      </x:c>
      <x:c r="AH94" s="117" t="n">
        <x:f>$B$94*AH81</x:f>
      </x:c>
      <x:c r="AI94" s="117" t="n">
        <x:f>$B$94*AI81</x:f>
      </x:c>
      <x:c r="AJ94" s="117" t="n">
        <x:f>$B$94*AJ81</x:f>
      </x:c>
      <x:c r="AK94" s="117" t="n">
        <x:f>$B$94*AK81</x:f>
      </x:c>
      <x:c r="AL94" s="117" t="n">
        <x:f>$B$94*AL81</x:f>
      </x:c>
      <x:c r="AM94" s="117" t="n">
        <x:f>$B$94*AM81</x:f>
      </x:c>
      <x:c r="AN94" s="117" t="n">
        <x:f>$B$94*AN81</x:f>
      </x:c>
      <x:c r="AO94" s="117" t="n">
        <x:f>$B$94*AO81</x:f>
      </x:c>
      <x:c r="AP94" s="117" t="n">
        <x:f>$B$94*AP81</x:f>
      </x:c>
      <x:c r="AQ94" s="117" t="n">
        <x:f>$B$94*AQ81</x:f>
      </x:c>
      <x:c r="AR94" s="117" t="n">
        <x:f>$B$94*AR81</x:f>
      </x:c>
      <x:c r="AS94" s="117" t="n">
        <x:f>$B$94*AS81</x:f>
      </x:c>
      <x:c r="AT94" s="117" t="n">
        <x:f>$B$94*AT81</x:f>
      </x:c>
      <x:c r="AU94" s="117" t="n">
        <x:f>$B$94*AU81</x:f>
      </x:c>
      <x:c r="AV94" s="117" t="n">
        <x:f>$B$94*AV81</x:f>
      </x:c>
      <x:c r="AW94" s="117" t="n">
        <x:f>$B$94*AW81</x:f>
      </x:c>
      <x:c r="AX94" s="117" t="n">
        <x:f>$B$94*AX81</x:f>
      </x:c>
      <x:c r="AY94" s="117" t="n">
        <x:f>$B$94*AY81</x:f>
      </x:c>
      <x:c r="AZ94" s="117" t="n">
        <x:f>$B$94*AZ81</x:f>
      </x:c>
      <x:c r="BA94" s="117" t="n">
        <x:f>$B$94*BA81</x:f>
      </x:c>
      <x:c r="BB94" s="117" t="n">
        <x:f>$B$94*BB81</x:f>
      </x:c>
      <x:c r="BC94" s="117" t="n">
        <x:f>$B$94*BC81</x:f>
      </x:c>
      <x:c r="BD94" s="117" t="n">
        <x:f>$B$94*BD81</x:f>
      </x:c>
      <x:c r="BE94" s="117" t="n">
        <x:f>$B$94*BE81</x:f>
      </x:c>
      <x:c r="BF94" s="117" t="n">
        <x:f>$B$94*BF81</x:f>
      </x:c>
      <x:c r="BG94" s="117" t="n">
        <x:f>$B$94*BG81</x:f>
      </x:c>
      <x:c r="BH94" s="117" t="n">
        <x:f>$B$94*BH81</x:f>
      </x:c>
      <x:c r="BI94" s="117" t="n">
        <x:f>$B$94*BI81</x:f>
      </x:c>
      <x:c r="BJ94" s="117" t="n">
        <x:f>$B$94*BJ81</x:f>
      </x:c>
      <x:c r="BK94" s="117" t="n">
        <x:f>$B$94*BK81</x:f>
      </x:c>
      <x:c r="BL94" s="117" t="n">
        <x:f>$B$94*BL81</x:f>
      </x:c>
      <x:c r="BM94" s="117" t="n">
        <x:f>$B$94*BM81</x:f>
      </x:c>
      <x:c r="BN94" s="117" t="n">
        <x:f>$B$94*BN81</x:f>
      </x:c>
      <x:c r="BO94" s="117" t="n">
        <x:f>$B$94*BO81</x:f>
      </x:c>
      <x:c r="BP94" s="117" t="n">
        <x:f>$B$94*BP81</x:f>
      </x:c>
      <x:c r="BQ94" s="117" t="n">
        <x:f>$B$94*BQ81</x:f>
      </x:c>
      <x:c r="BR94" s="117" t="n">
        <x:f>$B$94*BR81</x:f>
      </x:c>
      <x:c r="BS94" s="117" t="n">
        <x:f>$B$94*BS81</x:f>
      </x:c>
      <x:c r="BT94" s="117" t="n">
        <x:f>$B$94*BT81</x:f>
      </x:c>
      <x:c r="BU94" s="117" t="n">
        <x:f>$B$94*BU81</x:f>
      </x:c>
      <x:c r="BV94" s="117" t="n">
        <x:f>$B$94*BV81</x:f>
      </x:c>
      <x:c r="BW94" s="117" t="n">
        <x:f>$B$94*BW81</x:f>
      </x:c>
      <x:c r="BX94" s="117" t="n">
        <x:f>$B$94*BX81</x:f>
      </x:c>
      <x:c r="BY94" s="117" t="n">
        <x:f>$B$94*BY81</x:f>
      </x:c>
      <x:c r="BZ94" s="117" t="n">
        <x:f>$B$94*BZ81</x:f>
      </x:c>
      <x:c r="CA94" s="117" t="n">
        <x:f>$B$94*CA81</x:f>
      </x:c>
      <x:c r="CB94" s="117" t="n">
        <x:f>$B$94*CB81</x:f>
      </x:c>
      <x:c r="CC94" s="117" t="n">
        <x:f>$B$94*CC81</x:f>
      </x:c>
      <x:c r="CD94" s="117" t="n">
        <x:f>$B$94*CD81</x:f>
      </x:c>
      <x:c r="CE94" s="117" t="n">
        <x:f>$B$94*CE81</x:f>
      </x:c>
      <x:c r="CF94" s="117" t="n">
        <x:f>$B$94*CF81</x:f>
      </x:c>
      <x:c r="CG94" s="117" t="n">
        <x:f>$B$94*CG81</x:f>
      </x:c>
      <x:c r="CH94" s="117" t="n">
        <x:f>$B$94*CH81</x:f>
      </x:c>
      <x:c r="CI94" s="117" t="n">
        <x:f>$B$94*CI81</x:f>
      </x:c>
      <x:c r="CJ94" s="117" t="n">
        <x:f>$B$94*CJ81</x:f>
      </x:c>
      <x:c r="CK94" s="117" t="n">
        <x:f>$B$94*CK81</x:f>
      </x:c>
      <x:c r="CL94" s="117" t="n">
        <x:f>$B$94*CL81</x:f>
      </x:c>
      <x:c r="CM94" s="117" t="n">
        <x:f>$B$94*CM81</x:f>
      </x:c>
      <x:c r="CN94" s="117" t="n">
        <x:f>$B$94*CN81</x:f>
      </x:c>
      <x:c r="CO94" s="117" t="n">
        <x:f>$B$94*CO81</x:f>
      </x:c>
      <x:c r="CP94" s="117" t="n">
        <x:f>$B$94*CP81</x:f>
      </x:c>
      <x:c r="CQ94" s="117" t="n">
        <x:f>$B$94*CQ81</x:f>
      </x:c>
      <x:c r="CR94" s="117" t="n">
        <x:f>$B$94*CR81</x:f>
      </x:c>
      <x:c r="CS94" s="117" t="n">
        <x:f>$B$94*CS81</x:f>
      </x:c>
      <x:c r="CT94" s="117" t="n">
        <x:f>$B$94*CT81</x:f>
      </x:c>
      <x:c r="CU94" s="117" t="n">
        <x:f>$B$94*CU81</x:f>
      </x:c>
      <x:c r="CV94" s="117" t="n">
        <x:f>$B$94*CV81</x:f>
      </x:c>
      <x:c r="CW94" s="117" t="n">
        <x:f>$B$94*CW81</x:f>
      </x:c>
      <x:c r="CX94" s="117" t="n">
        <x:f>$B$94*CX81</x:f>
      </x:c>
      <x:c r="CY94" s="117" t="n">
        <x:f>$B$94*CY81</x:f>
      </x:c>
      <x:c r="CZ94" s="117" t="n">
        <x:f>$B$94*CZ81</x:f>
      </x:c>
      <x:c r="DA94" s="117" t="n">
        <x:f>$B$94*DA81</x:f>
      </x:c>
      <x:c r="DB94" s="117" t="n">
        <x:f>$B$94*DB81</x:f>
      </x:c>
      <x:c r="DC94" s="117" t="n">
        <x:f>$B$94*DC81</x:f>
      </x:c>
      <x:c r="DD94" s="117" t="n">
        <x:f>$B$94*DD81</x:f>
      </x:c>
      <x:c r="DE94" s="117" t="n">
        <x:f>$B$94*DE81</x:f>
      </x:c>
      <x:c r="DF94" s="117" t="n">
        <x:f>$B$94*DF81</x:f>
      </x:c>
      <x:c r="DG94" s="117" t="n">
        <x:f>$B$94*DG81</x:f>
      </x:c>
      <x:c r="DH94" s="117" t="n">
        <x:f>$B$94*DH81</x:f>
      </x:c>
      <x:c r="DI94" s="117" t="n">
        <x:f>$B$94*DI81</x:f>
      </x:c>
      <x:c r="DJ94" s="117" t="n">
        <x:f>$B$94*DJ81</x:f>
      </x:c>
      <x:c r="DK94" s="117" t="n">
        <x:f>$B$94*DK81</x:f>
      </x:c>
      <x:c r="DL94" s="117" t="n">
        <x:f>$B$94*DL81</x:f>
      </x:c>
      <x:c r="DM94" s="117" t="n">
        <x:f>$B$94*DM81</x:f>
      </x:c>
      <x:c r="DN94" s="117" t="n">
        <x:f>$B$94*DN81</x:f>
      </x:c>
      <x:c r="DO94" s="117" t="n">
        <x:f>$B$94*DO81</x:f>
      </x:c>
      <x:c r="DP94" s="117" t="n">
        <x:f>$B$94*DP81</x:f>
      </x:c>
      <x:c r="DQ94" s="117" t="n">
        <x:f>$B$94*DQ81</x:f>
      </x:c>
      <x:c r="DR94" s="117" t="n">
        <x:f>$B$94*DR81</x:f>
      </x:c>
      <x:c r="DS94" s="117" t="n">
        <x:f>$B$94*DS81</x:f>
      </x:c>
      <x:c r="DT94" s="117" t="n">
        <x:f>$B$94*DT81</x:f>
      </x:c>
      <x:c r="DU94" s="117" t="n">
        <x:f>$B$94*DU81</x:f>
      </x:c>
      <x:c r="DV94" s="117" t="n">
        <x:f>$B$94*DV81</x:f>
      </x:c>
      <x:c r="DW94" s="117" t="n">
        <x:f>$B$94*DW81</x:f>
      </x:c>
      <x:c r="DX94" s="117" t="n">
        <x:f>$B$94*DX81</x:f>
      </x:c>
      <x:c r="DY94" s="117" t="n">
        <x:f>$B$94*DY81</x:f>
      </x:c>
      <x:c r="DZ94" s="117" t="n">
        <x:f>$B$94*DZ81</x:f>
      </x:c>
      <x:c r="EA94" s="117" t="n">
        <x:f>$B$94*EA81</x:f>
      </x:c>
      <x:c r="EB94" s="117" t="n">
        <x:f>$B$94*EB81</x:f>
      </x:c>
      <x:c r="EC94" s="117" t="n">
        <x:f>$B$94*EC81</x:f>
      </x:c>
      <x:c r="ED94" s="117" t="n">
        <x:f>$B$94*ED81</x:f>
      </x:c>
      <x:c r="EE94" s="117" t="n">
        <x:f>$B$94*EE81</x:f>
      </x:c>
      <x:c r="EF94" s="117" t="n">
        <x:f>$B$94*EF81</x:f>
      </x:c>
      <x:c r="EG94" s="117" t="n">
        <x:f>$B$94*EG81</x:f>
      </x:c>
      <x:c r="EH94" s="117" t="n">
        <x:f>$B$94*EH81</x:f>
      </x:c>
      <x:c r="EI94" s="117" t="n">
        <x:f>$B$94*EI81</x:f>
      </x:c>
      <x:c r="EJ94" s="117" t="n">
        <x:f>$B$94*EJ81</x:f>
      </x:c>
      <x:c r="EK94" s="117" t="n">
        <x:f>$B$94*EK81</x:f>
      </x:c>
      <x:c r="EL94" s="117" t="n">
        <x:f>$B$94*EL81</x:f>
      </x:c>
      <x:c r="EM94" s="117" t="n">
        <x:f>$B$94*EM81</x:f>
      </x:c>
      <x:c r="EN94" s="117" t="n">
        <x:f>$B$94*EN81</x:f>
      </x:c>
      <x:c r="EO94" s="117" t="n">
        <x:f>$B$94*EO81</x:f>
      </x:c>
      <x:c r="EP94" s="117" t="n">
        <x:f>$B$94*EP81</x:f>
      </x:c>
      <x:c r="EQ94" s="117" t="n">
        <x:f>$B$94*EQ81</x:f>
      </x:c>
      <x:c r="ER94" s="117" t="n">
        <x:f>$B$94*ER81</x:f>
      </x:c>
      <x:c r="ES94" s="117" t="n">
        <x:f>$B$94*ES81</x:f>
      </x:c>
      <x:c r="ET94" s="117" t="n">
        <x:f>$B$94*ET81</x:f>
      </x:c>
      <x:c r="EU94" s="117" t="n">
        <x:f>$B$94*EU81</x:f>
      </x:c>
      <x:c r="EV94" s="117" t="n">
        <x:f>$B$94*EV81</x:f>
      </x:c>
      <x:c r="EW94" s="117" t="n">
        <x:f>$B$94*EW81</x:f>
      </x:c>
      <x:c r="EX94" s="117" t="n">
        <x:f>$B$94*EX81</x:f>
      </x:c>
      <x:c r="EY94" s="117" t="n">
        <x:f>$B$94*EY81</x:f>
      </x:c>
      <x:c r="EZ94" s="117" t="n">
        <x:f>$B$94*EZ81</x:f>
      </x:c>
      <x:c r="FA94" s="117" t="n">
        <x:f>$B$94*FA81</x:f>
      </x:c>
      <x:c r="FB94" s="117" t="n">
        <x:f>$B$94*FB81</x:f>
      </x:c>
      <x:c r="FC94" s="117" t="n">
        <x:f>$B$94*FC81</x:f>
      </x:c>
      <x:c r="FD94" s="117" t="n">
        <x:f>$B$94*FD81</x:f>
      </x:c>
      <x:c r="FE94" s="117" t="n">
        <x:f>$B$94*FE81</x:f>
      </x:c>
      <x:c r="FF94" s="117" t="n">
        <x:f>$B$94*FF81</x:f>
      </x:c>
      <x:c r="FG94" s="117" t="n">
        <x:f>$B$94*FG81</x:f>
      </x:c>
      <x:c r="FH94" s="117" t="n">
        <x:f>$B$94*FH81</x:f>
      </x:c>
      <x:c r="FI94" s="117" t="n">
        <x:f>$B$94*FI81</x:f>
      </x:c>
      <x:c r="FJ94" s="117" t="n">
        <x:f>$B$94*FJ81</x:f>
      </x:c>
      <x:c r="FK94" s="117" t="n">
        <x:f>$B$94*FK81</x:f>
      </x:c>
      <x:c r="FL94" s="117" t="n">
        <x:f>$B$94*FL81</x:f>
      </x:c>
      <x:c r="FM94" s="117" t="n">
        <x:f>$B$94*FM81</x:f>
      </x:c>
      <x:c r="FN94" s="117" t="n">
        <x:f>$B$94*FN81</x:f>
      </x:c>
      <x:c r="FO94" s="117" t="n">
        <x:f>$B$94*FO81</x:f>
      </x:c>
      <x:c r="FP94" s="117" t="n">
        <x:f>$B$94*FP81</x:f>
      </x:c>
      <x:c r="FQ94" s="117" t="n">
        <x:f>$B$94*FQ81</x:f>
      </x:c>
      <x:c r="FR94" s="117" t="n">
        <x:f>$B$94*FR81</x:f>
      </x:c>
      <x:c r="FS94" s="117" t="n">
        <x:f>$B$94*FS81</x:f>
      </x:c>
      <x:c r="FT94" s="117" t="n">
        <x:f>$B$94*FT81</x:f>
      </x:c>
      <x:c r="FU94" s="117" t="n">
        <x:f>$B$94*FU81</x:f>
      </x:c>
      <x:c r="FV94" s="117" t="n">
        <x:f>$B$94*FV81</x:f>
      </x:c>
      <x:c r="FW94" s="117" t="n">
        <x:f>$B$94*FW81</x:f>
      </x:c>
      <x:c r="FX94" s="117" t="n">
        <x:f>$B$94*FX81</x:f>
      </x:c>
      <x:c r="FY94" s="117" t="n">
        <x:f>$B$94*FY81</x:f>
      </x:c>
      <x:c r="FZ94" s="117" t="n">
        <x:f>$B$94*FZ81</x:f>
      </x:c>
      <x:c r="GA94" s="117" t="n">
        <x:f>$B$94*GA81</x:f>
      </x:c>
    </x:row>
    <x:row r="95">
      <x:c r="A95" t="str">
        <x:v>Техзаказчик / стройконтроль</x:v>
      </x:c>
      <x:c r="B95" s="107" t="n">
        <x:f>(B89+B90+B99+'ОБЪЕКТЫ'!$B$112)*'Вводные'!$B$53</x:f>
      </x:c>
      <x:c r="C95" t="str">
        <x:v>млн ₽</x:v>
      </x:c>
      <x:c r="D95" s="117" t="n">
        <x:f>$B$95*D81</x:f>
      </x:c>
      <x:c r="E95" s="117" t="n">
        <x:f>$B$95*E81</x:f>
      </x:c>
      <x:c r="F95" s="117" t="n">
        <x:f>$B$95*F81</x:f>
      </x:c>
      <x:c r="G95" s="117" t="n">
        <x:f>$B$95*G81</x:f>
      </x:c>
      <x:c r="H95" s="117" t="n">
        <x:f>$B$95*H81</x:f>
      </x:c>
      <x:c r="I95" s="117" t="n">
        <x:f>$B$95*I81</x:f>
      </x:c>
      <x:c r="J95" s="117" t="n">
        <x:f>$B$95*J81</x:f>
      </x:c>
      <x:c r="K95" s="117" t="n">
        <x:f>$B$95*K81</x:f>
      </x:c>
      <x:c r="L95" s="117" t="n">
        <x:f>$B$95*L81</x:f>
      </x:c>
      <x:c r="M95" s="117" t="n">
        <x:f>$B$95*M81</x:f>
      </x:c>
      <x:c r="N95" s="117" t="n">
        <x:f>$B$95*N81</x:f>
      </x:c>
      <x:c r="O95" s="117" t="n">
        <x:f>$B$95*O81</x:f>
      </x:c>
      <x:c r="P95" s="117" t="n">
        <x:f>$B$95*P81</x:f>
      </x:c>
      <x:c r="Q95" s="117" t="n">
        <x:f>$B$95*Q81</x:f>
      </x:c>
      <x:c r="R95" s="117" t="n">
        <x:f>$B$95*R81</x:f>
      </x:c>
      <x:c r="S95" s="117" t="n">
        <x:f>$B$95*S81</x:f>
      </x:c>
      <x:c r="T95" s="117" t="n">
        <x:f>$B$95*T81</x:f>
      </x:c>
      <x:c r="U95" s="117" t="n">
        <x:f>$B$95*U81</x:f>
      </x:c>
      <x:c r="V95" s="117" t="n">
        <x:f>$B$95*V81</x:f>
      </x:c>
      <x:c r="W95" s="117" t="n">
        <x:f>$B$95*W81</x:f>
      </x:c>
      <x:c r="X95" s="117" t="n">
        <x:f>$B$95*X81</x:f>
      </x:c>
      <x:c r="Y95" s="117" t="n">
        <x:f>$B$95*Y81</x:f>
      </x:c>
      <x:c r="Z95" s="117" t="n">
        <x:f>$B$95*Z81</x:f>
      </x:c>
      <x:c r="AA95" s="117" t="n">
        <x:f>$B$95*AA81</x:f>
      </x:c>
      <x:c r="AB95" s="117" t="n">
        <x:f>$B$95*AB81</x:f>
      </x:c>
      <x:c r="AC95" s="117" t="n">
        <x:f>$B$95*AC81</x:f>
      </x:c>
      <x:c r="AD95" s="117" t="n">
        <x:f>$B$95*AD81</x:f>
      </x:c>
      <x:c r="AE95" s="117" t="n">
        <x:f>$B$95*AE81</x:f>
      </x:c>
      <x:c r="AF95" s="117" t="n">
        <x:f>$B$95*AF81</x:f>
      </x:c>
      <x:c r="AG95" s="117" t="n">
        <x:f>$B$95*AG81</x:f>
      </x:c>
      <x:c r="AH95" s="117" t="n">
        <x:f>$B$95*AH81</x:f>
      </x:c>
      <x:c r="AI95" s="117" t="n">
        <x:f>$B$95*AI81</x:f>
      </x:c>
      <x:c r="AJ95" s="117" t="n">
        <x:f>$B$95*AJ81</x:f>
      </x:c>
      <x:c r="AK95" s="117" t="n">
        <x:f>$B$95*AK81</x:f>
      </x:c>
      <x:c r="AL95" s="117" t="n">
        <x:f>$B$95*AL81</x:f>
      </x:c>
      <x:c r="AM95" s="117" t="n">
        <x:f>$B$95*AM81</x:f>
      </x:c>
      <x:c r="AN95" s="117" t="n">
        <x:f>$B$95*AN81</x:f>
      </x:c>
      <x:c r="AO95" s="117" t="n">
        <x:f>$B$95*AO81</x:f>
      </x:c>
      <x:c r="AP95" s="117" t="n">
        <x:f>$B$95*AP81</x:f>
      </x:c>
      <x:c r="AQ95" s="117" t="n">
        <x:f>$B$95*AQ81</x:f>
      </x:c>
      <x:c r="AR95" s="117" t="n">
        <x:f>$B$95*AR81</x:f>
      </x:c>
      <x:c r="AS95" s="117" t="n">
        <x:f>$B$95*AS81</x:f>
      </x:c>
      <x:c r="AT95" s="117" t="n">
        <x:f>$B$95*AT81</x:f>
      </x:c>
      <x:c r="AU95" s="117" t="n">
        <x:f>$B$95*AU81</x:f>
      </x:c>
      <x:c r="AV95" s="117" t="n">
        <x:f>$B$95*AV81</x:f>
      </x:c>
      <x:c r="AW95" s="117" t="n">
        <x:f>$B$95*AW81</x:f>
      </x:c>
      <x:c r="AX95" s="117" t="n">
        <x:f>$B$95*AX81</x:f>
      </x:c>
      <x:c r="AY95" s="117" t="n">
        <x:f>$B$95*AY81</x:f>
      </x:c>
      <x:c r="AZ95" s="117" t="n">
        <x:f>$B$95*AZ81</x:f>
      </x:c>
      <x:c r="BA95" s="117" t="n">
        <x:f>$B$95*BA81</x:f>
      </x:c>
      <x:c r="BB95" s="117" t="n">
        <x:f>$B$95*BB81</x:f>
      </x:c>
      <x:c r="BC95" s="117" t="n">
        <x:f>$B$95*BC81</x:f>
      </x:c>
      <x:c r="BD95" s="117" t="n">
        <x:f>$B$95*BD81</x:f>
      </x:c>
      <x:c r="BE95" s="117" t="n">
        <x:f>$B$95*BE81</x:f>
      </x:c>
      <x:c r="BF95" s="117" t="n">
        <x:f>$B$95*BF81</x:f>
      </x:c>
      <x:c r="BG95" s="117" t="n">
        <x:f>$B$95*BG81</x:f>
      </x:c>
      <x:c r="BH95" s="117" t="n">
        <x:f>$B$95*BH81</x:f>
      </x:c>
      <x:c r="BI95" s="117" t="n">
        <x:f>$B$95*BI81</x:f>
      </x:c>
      <x:c r="BJ95" s="117" t="n">
        <x:f>$B$95*BJ81</x:f>
      </x:c>
      <x:c r="BK95" s="117" t="n">
        <x:f>$B$95*BK81</x:f>
      </x:c>
      <x:c r="BL95" s="117" t="n">
        <x:f>$B$95*BL81</x:f>
      </x:c>
      <x:c r="BM95" s="117" t="n">
        <x:f>$B$95*BM81</x:f>
      </x:c>
      <x:c r="BN95" s="117" t="n">
        <x:f>$B$95*BN81</x:f>
      </x:c>
      <x:c r="BO95" s="117" t="n">
        <x:f>$B$95*BO81</x:f>
      </x:c>
      <x:c r="BP95" s="117" t="n">
        <x:f>$B$95*BP81</x:f>
      </x:c>
      <x:c r="BQ95" s="117" t="n">
        <x:f>$B$95*BQ81</x:f>
      </x:c>
      <x:c r="BR95" s="117" t="n">
        <x:f>$B$95*BR81</x:f>
      </x:c>
      <x:c r="BS95" s="117" t="n">
        <x:f>$B$95*BS81</x:f>
      </x:c>
      <x:c r="BT95" s="117" t="n">
        <x:f>$B$95*BT81</x:f>
      </x:c>
      <x:c r="BU95" s="117" t="n">
        <x:f>$B$95*BU81</x:f>
      </x:c>
      <x:c r="BV95" s="117" t="n">
        <x:f>$B$95*BV81</x:f>
      </x:c>
      <x:c r="BW95" s="117" t="n">
        <x:f>$B$95*BW81</x:f>
      </x:c>
      <x:c r="BX95" s="117" t="n">
        <x:f>$B$95*BX81</x:f>
      </x:c>
      <x:c r="BY95" s="117" t="n">
        <x:f>$B$95*BY81</x:f>
      </x:c>
      <x:c r="BZ95" s="117" t="n">
        <x:f>$B$95*BZ81</x:f>
      </x:c>
      <x:c r="CA95" s="117" t="n">
        <x:f>$B$95*CA81</x:f>
      </x:c>
      <x:c r="CB95" s="117" t="n">
        <x:f>$B$95*CB81</x:f>
      </x:c>
      <x:c r="CC95" s="117" t="n">
        <x:f>$B$95*CC81</x:f>
      </x:c>
      <x:c r="CD95" s="117" t="n">
        <x:f>$B$95*CD81</x:f>
      </x:c>
      <x:c r="CE95" s="117" t="n">
        <x:f>$B$95*CE81</x:f>
      </x:c>
      <x:c r="CF95" s="117" t="n">
        <x:f>$B$95*CF81</x:f>
      </x:c>
      <x:c r="CG95" s="117" t="n">
        <x:f>$B$95*CG81</x:f>
      </x:c>
      <x:c r="CH95" s="117" t="n">
        <x:f>$B$95*CH81</x:f>
      </x:c>
      <x:c r="CI95" s="117" t="n">
        <x:f>$B$95*CI81</x:f>
      </x:c>
      <x:c r="CJ95" s="117" t="n">
        <x:f>$B$95*CJ81</x:f>
      </x:c>
      <x:c r="CK95" s="117" t="n">
        <x:f>$B$95*CK81</x:f>
      </x:c>
      <x:c r="CL95" s="117" t="n">
        <x:f>$B$95*CL81</x:f>
      </x:c>
      <x:c r="CM95" s="117" t="n">
        <x:f>$B$95*CM81</x:f>
      </x:c>
      <x:c r="CN95" s="117" t="n">
        <x:f>$B$95*CN81</x:f>
      </x:c>
      <x:c r="CO95" s="117" t="n">
        <x:f>$B$95*CO81</x:f>
      </x:c>
      <x:c r="CP95" s="117" t="n">
        <x:f>$B$95*CP81</x:f>
      </x:c>
      <x:c r="CQ95" s="117" t="n">
        <x:f>$B$95*CQ81</x:f>
      </x:c>
      <x:c r="CR95" s="117" t="n">
        <x:f>$B$95*CR81</x:f>
      </x:c>
      <x:c r="CS95" s="117" t="n">
        <x:f>$B$95*CS81</x:f>
      </x:c>
      <x:c r="CT95" s="117" t="n">
        <x:f>$B$95*CT81</x:f>
      </x:c>
      <x:c r="CU95" s="117" t="n">
        <x:f>$B$95*CU81</x:f>
      </x:c>
      <x:c r="CV95" s="117" t="n">
        <x:f>$B$95*CV81</x:f>
      </x:c>
      <x:c r="CW95" s="117" t="n">
        <x:f>$B$95*CW81</x:f>
      </x:c>
      <x:c r="CX95" s="117" t="n">
        <x:f>$B$95*CX81</x:f>
      </x:c>
      <x:c r="CY95" s="117" t="n">
        <x:f>$B$95*CY81</x:f>
      </x:c>
      <x:c r="CZ95" s="117" t="n">
        <x:f>$B$95*CZ81</x:f>
      </x:c>
      <x:c r="DA95" s="117" t="n">
        <x:f>$B$95*DA81</x:f>
      </x:c>
      <x:c r="DB95" s="117" t="n">
        <x:f>$B$95*DB81</x:f>
      </x:c>
      <x:c r="DC95" s="117" t="n">
        <x:f>$B$95*DC81</x:f>
      </x:c>
      <x:c r="DD95" s="117" t="n">
        <x:f>$B$95*DD81</x:f>
      </x:c>
      <x:c r="DE95" s="117" t="n">
        <x:f>$B$95*DE81</x:f>
      </x:c>
      <x:c r="DF95" s="117" t="n">
        <x:f>$B$95*DF81</x:f>
      </x:c>
      <x:c r="DG95" s="117" t="n">
        <x:f>$B$95*DG81</x:f>
      </x:c>
      <x:c r="DH95" s="117" t="n">
        <x:f>$B$95*DH81</x:f>
      </x:c>
      <x:c r="DI95" s="117" t="n">
        <x:f>$B$95*DI81</x:f>
      </x:c>
      <x:c r="DJ95" s="117" t="n">
        <x:f>$B$95*DJ81</x:f>
      </x:c>
      <x:c r="DK95" s="117" t="n">
        <x:f>$B$95*DK81</x:f>
      </x:c>
      <x:c r="DL95" s="117" t="n">
        <x:f>$B$95*DL81</x:f>
      </x:c>
      <x:c r="DM95" s="117" t="n">
        <x:f>$B$95*DM81</x:f>
      </x:c>
      <x:c r="DN95" s="117" t="n">
        <x:f>$B$95*DN81</x:f>
      </x:c>
      <x:c r="DO95" s="117" t="n">
        <x:f>$B$95*DO81</x:f>
      </x:c>
      <x:c r="DP95" s="117" t="n">
        <x:f>$B$95*DP81</x:f>
      </x:c>
      <x:c r="DQ95" s="117" t="n">
        <x:f>$B$95*DQ81</x:f>
      </x:c>
      <x:c r="DR95" s="117" t="n">
        <x:f>$B$95*DR81</x:f>
      </x:c>
      <x:c r="DS95" s="117" t="n">
        <x:f>$B$95*DS81</x:f>
      </x:c>
      <x:c r="DT95" s="117" t="n">
        <x:f>$B$95*DT81</x:f>
      </x:c>
      <x:c r="DU95" s="117" t="n">
        <x:f>$B$95*DU81</x:f>
      </x:c>
      <x:c r="DV95" s="117" t="n">
        <x:f>$B$95*DV81</x:f>
      </x:c>
      <x:c r="DW95" s="117" t="n">
        <x:f>$B$95*DW81</x:f>
      </x:c>
      <x:c r="DX95" s="117" t="n">
        <x:f>$B$95*DX81</x:f>
      </x:c>
      <x:c r="DY95" s="117" t="n">
        <x:f>$B$95*DY81</x:f>
      </x:c>
      <x:c r="DZ95" s="117" t="n">
        <x:f>$B$95*DZ81</x:f>
      </x:c>
      <x:c r="EA95" s="117" t="n">
        <x:f>$B$95*EA81</x:f>
      </x:c>
      <x:c r="EB95" s="117" t="n">
        <x:f>$B$95*EB81</x:f>
      </x:c>
      <x:c r="EC95" s="117" t="n">
        <x:f>$B$95*EC81</x:f>
      </x:c>
      <x:c r="ED95" s="117" t="n">
        <x:f>$B$95*ED81</x:f>
      </x:c>
      <x:c r="EE95" s="117" t="n">
        <x:f>$B$95*EE81</x:f>
      </x:c>
      <x:c r="EF95" s="117" t="n">
        <x:f>$B$95*EF81</x:f>
      </x:c>
      <x:c r="EG95" s="117" t="n">
        <x:f>$B$95*EG81</x:f>
      </x:c>
      <x:c r="EH95" s="117" t="n">
        <x:f>$B$95*EH81</x:f>
      </x:c>
      <x:c r="EI95" s="117" t="n">
        <x:f>$B$95*EI81</x:f>
      </x:c>
      <x:c r="EJ95" s="117" t="n">
        <x:f>$B$95*EJ81</x:f>
      </x:c>
      <x:c r="EK95" s="117" t="n">
        <x:f>$B$95*EK81</x:f>
      </x:c>
      <x:c r="EL95" s="117" t="n">
        <x:f>$B$95*EL81</x:f>
      </x:c>
      <x:c r="EM95" s="117" t="n">
        <x:f>$B$95*EM81</x:f>
      </x:c>
      <x:c r="EN95" s="117" t="n">
        <x:f>$B$95*EN81</x:f>
      </x:c>
      <x:c r="EO95" s="117" t="n">
        <x:f>$B$95*EO81</x:f>
      </x:c>
      <x:c r="EP95" s="117" t="n">
        <x:f>$B$95*EP81</x:f>
      </x:c>
      <x:c r="EQ95" s="117" t="n">
        <x:f>$B$95*EQ81</x:f>
      </x:c>
      <x:c r="ER95" s="117" t="n">
        <x:f>$B$95*ER81</x:f>
      </x:c>
      <x:c r="ES95" s="117" t="n">
        <x:f>$B$95*ES81</x:f>
      </x:c>
      <x:c r="ET95" s="117" t="n">
        <x:f>$B$95*ET81</x:f>
      </x:c>
      <x:c r="EU95" s="117" t="n">
        <x:f>$B$95*EU81</x:f>
      </x:c>
      <x:c r="EV95" s="117" t="n">
        <x:f>$B$95*EV81</x:f>
      </x:c>
      <x:c r="EW95" s="117" t="n">
        <x:f>$B$95*EW81</x:f>
      </x:c>
      <x:c r="EX95" s="117" t="n">
        <x:f>$B$95*EX81</x:f>
      </x:c>
      <x:c r="EY95" s="117" t="n">
        <x:f>$B$95*EY81</x:f>
      </x:c>
      <x:c r="EZ95" s="117" t="n">
        <x:f>$B$95*EZ81</x:f>
      </x:c>
      <x:c r="FA95" s="117" t="n">
        <x:f>$B$95*FA81</x:f>
      </x:c>
      <x:c r="FB95" s="117" t="n">
        <x:f>$B$95*FB81</x:f>
      </x:c>
      <x:c r="FC95" s="117" t="n">
        <x:f>$B$95*FC81</x:f>
      </x:c>
      <x:c r="FD95" s="117" t="n">
        <x:f>$B$95*FD81</x:f>
      </x:c>
      <x:c r="FE95" s="117" t="n">
        <x:f>$B$95*FE81</x:f>
      </x:c>
      <x:c r="FF95" s="117" t="n">
        <x:f>$B$95*FF81</x:f>
      </x:c>
      <x:c r="FG95" s="117" t="n">
        <x:f>$B$95*FG81</x:f>
      </x:c>
      <x:c r="FH95" s="117" t="n">
        <x:f>$B$95*FH81</x:f>
      </x:c>
      <x:c r="FI95" s="117" t="n">
        <x:f>$B$95*FI81</x:f>
      </x:c>
      <x:c r="FJ95" s="117" t="n">
        <x:f>$B$95*FJ81</x:f>
      </x:c>
      <x:c r="FK95" s="117" t="n">
        <x:f>$B$95*FK81</x:f>
      </x:c>
      <x:c r="FL95" s="117" t="n">
        <x:f>$B$95*FL81</x:f>
      </x:c>
      <x:c r="FM95" s="117" t="n">
        <x:f>$B$95*FM81</x:f>
      </x:c>
      <x:c r="FN95" s="117" t="n">
        <x:f>$B$95*FN81</x:f>
      </x:c>
      <x:c r="FO95" s="117" t="n">
        <x:f>$B$95*FO81</x:f>
      </x:c>
      <x:c r="FP95" s="117" t="n">
        <x:f>$B$95*FP81</x:f>
      </x:c>
      <x:c r="FQ95" s="117" t="n">
        <x:f>$B$95*FQ81</x:f>
      </x:c>
      <x:c r="FR95" s="117" t="n">
        <x:f>$B$95*FR81</x:f>
      </x:c>
      <x:c r="FS95" s="117" t="n">
        <x:f>$B$95*FS81</x:f>
      </x:c>
      <x:c r="FT95" s="117" t="n">
        <x:f>$B$95*FT81</x:f>
      </x:c>
      <x:c r="FU95" s="117" t="n">
        <x:f>$B$95*FU81</x:f>
      </x:c>
      <x:c r="FV95" s="117" t="n">
        <x:f>$B$95*FV81</x:f>
      </x:c>
      <x:c r="FW95" s="117" t="n">
        <x:f>$B$95*FW81</x:f>
      </x:c>
      <x:c r="FX95" s="117" t="n">
        <x:f>$B$95*FX81</x:f>
      </x:c>
      <x:c r="FY95" s="117" t="n">
        <x:f>$B$95*FY81</x:f>
      </x:c>
      <x:c r="FZ95" s="117" t="n">
        <x:f>$B$95*FZ81</x:f>
      </x:c>
      <x:c r="GA95" s="117" t="n">
        <x:f>$B$95*GA81</x:f>
      </x:c>
    </x:row>
    <x:row r="96">
      <x:c r="A96" t="str">
        <x:v>Управление проектом</x:v>
      </x:c>
      <x:c r="B96" s="107" t="n">
        <x:f>(SUM(B84:B92)+B94)*'Вводные'!$B$52</x:f>
      </x:c>
      <x:c r="C96" t="str">
        <x:v>млн ₽</x:v>
      </x:c>
      <x:c r="D96" s="117" t="n">
        <x:f>$B$96*IFERROR(SUM(D84:D94)/SUM($D$84:$GA$94),0)</x:f>
      </x:c>
      <x:c r="E96" s="117" t="n">
        <x:f>$B$96*IFERROR(SUM(E84:E94)/SUM($D$84:$GA$94),0)</x:f>
      </x:c>
      <x:c r="F96" s="117" t="n">
        <x:f>$B$96*IFERROR(SUM(F84:F94)/SUM($D$84:$GA$94),0)</x:f>
      </x:c>
      <x:c r="G96" s="117" t="n">
        <x:f>$B$96*IFERROR(SUM(G84:G94)/SUM($D$84:$GA$94),0)</x:f>
      </x:c>
      <x:c r="H96" s="117" t="n">
        <x:f>$B$96*IFERROR(SUM(H84:H94)/SUM($D$84:$GA$94),0)</x:f>
      </x:c>
      <x:c r="I96" s="117" t="n">
        <x:f>$B$96*IFERROR(SUM(I84:I94)/SUM($D$84:$GA$94),0)</x:f>
      </x:c>
      <x:c r="J96" s="117" t="n">
        <x:f>$B$96*IFERROR(SUM(J84:J94)/SUM($D$84:$GA$94),0)</x:f>
      </x:c>
      <x:c r="K96" s="117" t="n">
        <x:f>$B$96*IFERROR(SUM(K84:K94)/SUM($D$84:$GA$94),0)</x:f>
      </x:c>
      <x:c r="L96" s="117" t="n">
        <x:f>$B$96*IFERROR(SUM(L84:L94)/SUM($D$84:$GA$94),0)</x:f>
      </x:c>
      <x:c r="M96" s="117" t="n">
        <x:f>$B$96*IFERROR(SUM(M84:M94)/SUM($D$84:$GA$94),0)</x:f>
      </x:c>
      <x:c r="N96" s="117" t="n">
        <x:f>$B$96*IFERROR(SUM(N84:N94)/SUM($D$84:$GA$94),0)</x:f>
      </x:c>
      <x:c r="O96" s="117" t="n">
        <x:f>$B$96*IFERROR(SUM(O84:O94)/SUM($D$84:$GA$94),0)</x:f>
      </x:c>
      <x:c r="P96" s="117" t="n">
        <x:f>$B$96*IFERROR(SUM(P84:P94)/SUM($D$84:$GA$94),0)</x:f>
      </x:c>
      <x:c r="Q96" s="117" t="n">
        <x:f>$B$96*IFERROR(SUM(Q84:Q94)/SUM($D$84:$GA$94),0)</x:f>
      </x:c>
      <x:c r="R96" s="117" t="n">
        <x:f>$B$96*IFERROR(SUM(R84:R94)/SUM($D$84:$GA$94),0)</x:f>
      </x:c>
      <x:c r="S96" s="117" t="n">
        <x:f>$B$96*IFERROR(SUM(S84:S94)/SUM($D$84:$GA$94),0)</x:f>
      </x:c>
      <x:c r="T96" s="117" t="n">
        <x:f>$B$96*IFERROR(SUM(T84:T94)/SUM($D$84:$GA$94),0)</x:f>
      </x:c>
      <x:c r="U96" s="117" t="n">
        <x:f>$B$96*IFERROR(SUM(U84:U94)/SUM($D$84:$GA$94),0)</x:f>
      </x:c>
      <x:c r="V96" s="117" t="n">
        <x:f>$B$96*IFERROR(SUM(V84:V94)/SUM($D$84:$GA$94),0)</x:f>
      </x:c>
      <x:c r="W96" s="117" t="n">
        <x:f>$B$96*IFERROR(SUM(W84:W94)/SUM($D$84:$GA$94),0)</x:f>
      </x:c>
      <x:c r="X96" s="117" t="n">
        <x:f>$B$96*IFERROR(SUM(X84:X94)/SUM($D$84:$GA$94),0)</x:f>
      </x:c>
      <x:c r="Y96" s="117" t="n">
        <x:f>$B$96*IFERROR(SUM(Y84:Y94)/SUM($D$84:$GA$94),0)</x:f>
      </x:c>
      <x:c r="Z96" s="117" t="n">
        <x:f>$B$96*IFERROR(SUM(Z84:Z94)/SUM($D$84:$GA$94),0)</x:f>
      </x:c>
      <x:c r="AA96" s="117" t="n">
        <x:f>$B$96*IFERROR(SUM(AA84:AA94)/SUM($D$84:$GA$94),0)</x:f>
      </x:c>
      <x:c r="AB96" s="117" t="n">
        <x:f>$B$96*IFERROR(SUM(AB84:AB94)/SUM($D$84:$GA$94),0)</x:f>
      </x:c>
      <x:c r="AC96" s="117" t="n">
        <x:f>$B$96*IFERROR(SUM(AC84:AC94)/SUM($D$84:$GA$94),0)</x:f>
      </x:c>
      <x:c r="AD96" s="117" t="n">
        <x:f>$B$96*IFERROR(SUM(AD84:AD94)/SUM($D$84:$GA$94),0)</x:f>
      </x:c>
      <x:c r="AE96" s="117" t="n">
        <x:f>$B$96*IFERROR(SUM(AE84:AE94)/SUM($D$84:$GA$94),0)</x:f>
      </x:c>
      <x:c r="AF96" s="117" t="n">
        <x:f>$B$96*IFERROR(SUM(AF84:AF94)/SUM($D$84:$GA$94),0)</x:f>
      </x:c>
      <x:c r="AG96" s="117" t="n">
        <x:f>$B$96*IFERROR(SUM(AG84:AG94)/SUM($D$84:$GA$94),0)</x:f>
      </x:c>
      <x:c r="AH96" s="117" t="n">
        <x:f>$B$96*IFERROR(SUM(AH84:AH94)/SUM($D$84:$GA$94),0)</x:f>
      </x:c>
      <x:c r="AI96" s="117" t="n">
        <x:f>$B$96*IFERROR(SUM(AI84:AI94)/SUM($D$84:$GA$94),0)</x:f>
      </x:c>
      <x:c r="AJ96" s="117" t="n">
        <x:f>$B$96*IFERROR(SUM(AJ84:AJ94)/SUM($D$84:$GA$94),0)</x:f>
      </x:c>
      <x:c r="AK96" s="117" t="n">
        <x:f>$B$96*IFERROR(SUM(AK84:AK94)/SUM($D$84:$GA$94),0)</x:f>
      </x:c>
      <x:c r="AL96" s="117" t="n">
        <x:f>$B$96*IFERROR(SUM(AL84:AL94)/SUM($D$84:$GA$94),0)</x:f>
      </x:c>
      <x:c r="AM96" s="117" t="n">
        <x:f>$B$96*IFERROR(SUM(AM84:AM94)/SUM($D$84:$GA$94),0)</x:f>
      </x:c>
      <x:c r="AN96" s="117" t="n">
        <x:f>$B$96*IFERROR(SUM(AN84:AN94)/SUM($D$84:$GA$94),0)</x:f>
      </x:c>
      <x:c r="AO96" s="117" t="n">
        <x:f>$B$96*IFERROR(SUM(AO84:AO94)/SUM($D$84:$GA$94),0)</x:f>
      </x:c>
      <x:c r="AP96" s="117" t="n">
        <x:f>$B$96*IFERROR(SUM(AP84:AP94)/SUM($D$84:$GA$94),0)</x:f>
      </x:c>
      <x:c r="AQ96" s="117" t="n">
        <x:f>$B$96*IFERROR(SUM(AQ84:AQ94)/SUM($D$84:$GA$94),0)</x:f>
      </x:c>
      <x:c r="AR96" s="117" t="n">
        <x:f>$B$96*IFERROR(SUM(AR84:AR94)/SUM($D$84:$GA$94),0)</x:f>
      </x:c>
      <x:c r="AS96" s="117" t="n">
        <x:f>$B$96*IFERROR(SUM(AS84:AS94)/SUM($D$84:$GA$94),0)</x:f>
      </x:c>
      <x:c r="AT96" s="117" t="n">
        <x:f>$B$96*IFERROR(SUM(AT84:AT94)/SUM($D$84:$GA$94),0)</x:f>
      </x:c>
      <x:c r="AU96" s="117" t="n">
        <x:f>$B$96*IFERROR(SUM(AU84:AU94)/SUM($D$84:$GA$94),0)</x:f>
      </x:c>
      <x:c r="AV96" s="117" t="n">
        <x:f>$B$96*IFERROR(SUM(AV84:AV94)/SUM($D$84:$GA$94),0)</x:f>
      </x:c>
      <x:c r="AW96" s="117" t="n">
        <x:f>$B$96*IFERROR(SUM(AW84:AW94)/SUM($D$84:$GA$94),0)</x:f>
      </x:c>
      <x:c r="AX96" s="117" t="n">
        <x:f>$B$96*IFERROR(SUM(AX84:AX94)/SUM($D$84:$GA$94),0)</x:f>
      </x:c>
      <x:c r="AY96" s="117" t="n">
        <x:f>$B$96*IFERROR(SUM(AY84:AY94)/SUM($D$84:$GA$94),0)</x:f>
      </x:c>
      <x:c r="AZ96" s="117" t="n">
        <x:f>$B$96*IFERROR(SUM(AZ84:AZ94)/SUM($D$84:$GA$94),0)</x:f>
      </x:c>
      <x:c r="BA96" s="117" t="n">
        <x:f>$B$96*IFERROR(SUM(BA84:BA94)/SUM($D$84:$GA$94),0)</x:f>
      </x:c>
      <x:c r="BB96" s="117" t="n">
        <x:f>$B$96*IFERROR(SUM(BB84:BB94)/SUM($D$84:$GA$94),0)</x:f>
      </x:c>
      <x:c r="BC96" s="117" t="n">
        <x:f>$B$96*IFERROR(SUM(BC84:BC94)/SUM($D$84:$GA$94),0)</x:f>
      </x:c>
      <x:c r="BD96" s="117" t="n">
        <x:f>$B$96*IFERROR(SUM(BD84:BD94)/SUM($D$84:$GA$94),0)</x:f>
      </x:c>
      <x:c r="BE96" s="117" t="n">
        <x:f>$B$96*IFERROR(SUM(BE84:BE94)/SUM($D$84:$GA$94),0)</x:f>
      </x:c>
      <x:c r="BF96" s="117" t="n">
        <x:f>$B$96*IFERROR(SUM(BF84:BF94)/SUM($D$84:$GA$94),0)</x:f>
      </x:c>
      <x:c r="BG96" s="117" t="n">
        <x:f>$B$96*IFERROR(SUM(BG84:BG94)/SUM($D$84:$GA$94),0)</x:f>
      </x:c>
      <x:c r="BH96" s="117" t="n">
        <x:f>$B$96*IFERROR(SUM(BH84:BH94)/SUM($D$84:$GA$94),0)</x:f>
      </x:c>
      <x:c r="BI96" s="117" t="n">
        <x:f>$B$96*IFERROR(SUM(BI84:BI94)/SUM($D$84:$GA$94),0)</x:f>
      </x:c>
      <x:c r="BJ96" s="117" t="n">
        <x:f>$B$96*IFERROR(SUM(BJ84:BJ94)/SUM($D$84:$GA$94),0)</x:f>
      </x:c>
      <x:c r="BK96" s="117" t="n">
        <x:f>$B$96*IFERROR(SUM(BK84:BK94)/SUM($D$84:$GA$94),0)</x:f>
      </x:c>
      <x:c r="BL96" s="117" t="n">
        <x:f>$B$96*IFERROR(SUM(BL84:BL94)/SUM($D$84:$GA$94),0)</x:f>
      </x:c>
      <x:c r="BM96" s="117" t="n">
        <x:f>$B$96*IFERROR(SUM(BM84:BM94)/SUM($D$84:$GA$94),0)</x:f>
      </x:c>
      <x:c r="BN96" s="117" t="n">
        <x:f>$B$96*IFERROR(SUM(BN84:BN94)/SUM($D$84:$GA$94),0)</x:f>
      </x:c>
      <x:c r="BO96" s="117" t="n">
        <x:f>$B$96*IFERROR(SUM(BO84:BO94)/SUM($D$84:$GA$94),0)</x:f>
      </x:c>
      <x:c r="BP96" s="117" t="n">
        <x:f>$B$96*IFERROR(SUM(BP84:BP94)/SUM($D$84:$GA$94),0)</x:f>
      </x:c>
      <x:c r="BQ96" s="117" t="n">
        <x:f>$B$96*IFERROR(SUM(BQ84:BQ94)/SUM($D$84:$GA$94),0)</x:f>
      </x:c>
      <x:c r="BR96" s="117" t="n">
        <x:f>$B$96*IFERROR(SUM(BR84:BR94)/SUM($D$84:$GA$94),0)</x:f>
      </x:c>
      <x:c r="BS96" s="117" t="n">
        <x:f>$B$96*IFERROR(SUM(BS84:BS94)/SUM($D$84:$GA$94),0)</x:f>
      </x:c>
      <x:c r="BT96" s="117" t="n">
        <x:f>$B$96*IFERROR(SUM(BT84:BT94)/SUM($D$84:$GA$94),0)</x:f>
      </x:c>
      <x:c r="BU96" s="117" t="n">
        <x:f>$B$96*IFERROR(SUM(BU84:BU94)/SUM($D$84:$GA$94),0)</x:f>
      </x:c>
      <x:c r="BV96" s="117" t="n">
        <x:f>$B$96*IFERROR(SUM(BV84:BV94)/SUM($D$84:$GA$94),0)</x:f>
      </x:c>
      <x:c r="BW96" s="117" t="n">
        <x:f>$B$96*IFERROR(SUM(BW84:BW94)/SUM($D$84:$GA$94),0)</x:f>
      </x:c>
      <x:c r="BX96" s="117" t="n">
        <x:f>$B$96*IFERROR(SUM(BX84:BX94)/SUM($D$84:$GA$94),0)</x:f>
      </x:c>
      <x:c r="BY96" s="117" t="n">
        <x:f>$B$96*IFERROR(SUM(BY84:BY94)/SUM($D$84:$GA$94),0)</x:f>
      </x:c>
      <x:c r="BZ96" s="117" t="n">
        <x:f>$B$96*IFERROR(SUM(BZ84:BZ94)/SUM($D$84:$GA$94),0)</x:f>
      </x:c>
      <x:c r="CA96" s="117" t="n">
        <x:f>$B$96*IFERROR(SUM(CA84:CA94)/SUM($D$84:$GA$94),0)</x:f>
      </x:c>
      <x:c r="CB96" s="117" t="n">
        <x:f>$B$96*IFERROR(SUM(CB84:CB94)/SUM($D$84:$GA$94),0)</x:f>
      </x:c>
      <x:c r="CC96" s="117" t="n">
        <x:f>$B$96*IFERROR(SUM(CC84:CC94)/SUM($D$84:$GA$94),0)</x:f>
      </x:c>
      <x:c r="CD96" s="117" t="n">
        <x:f>$B$96*IFERROR(SUM(CD84:CD94)/SUM($D$84:$GA$94),0)</x:f>
      </x:c>
      <x:c r="CE96" s="117" t="n">
        <x:f>$B$96*IFERROR(SUM(CE84:CE94)/SUM($D$84:$GA$94),0)</x:f>
      </x:c>
      <x:c r="CF96" s="117" t="n">
        <x:f>$B$96*IFERROR(SUM(CF84:CF94)/SUM($D$84:$GA$94),0)</x:f>
      </x:c>
      <x:c r="CG96" s="117" t="n">
        <x:f>$B$96*IFERROR(SUM(CG84:CG94)/SUM($D$84:$GA$94),0)</x:f>
      </x:c>
      <x:c r="CH96" s="117" t="n">
        <x:f>$B$96*IFERROR(SUM(CH84:CH94)/SUM($D$84:$GA$94),0)</x:f>
      </x:c>
      <x:c r="CI96" s="117" t="n">
        <x:f>$B$96*IFERROR(SUM(CI84:CI94)/SUM($D$84:$GA$94),0)</x:f>
      </x:c>
      <x:c r="CJ96" s="117" t="n">
        <x:f>$B$96*IFERROR(SUM(CJ84:CJ94)/SUM($D$84:$GA$94),0)</x:f>
      </x:c>
      <x:c r="CK96" s="117" t="n">
        <x:f>$B$96*IFERROR(SUM(CK84:CK94)/SUM($D$84:$GA$94),0)</x:f>
      </x:c>
      <x:c r="CL96" s="117" t="n">
        <x:f>$B$96*IFERROR(SUM(CL84:CL94)/SUM($D$84:$GA$94),0)</x:f>
      </x:c>
      <x:c r="CM96" s="117" t="n">
        <x:f>$B$96*IFERROR(SUM(CM84:CM94)/SUM($D$84:$GA$94),0)</x:f>
      </x:c>
      <x:c r="CN96" s="117" t="n">
        <x:f>$B$96*IFERROR(SUM(CN84:CN94)/SUM($D$84:$GA$94),0)</x:f>
      </x:c>
      <x:c r="CO96" s="117" t="n">
        <x:f>$B$96*IFERROR(SUM(CO84:CO94)/SUM($D$84:$GA$94),0)</x:f>
      </x:c>
      <x:c r="CP96" s="117" t="n">
        <x:f>$B$96*IFERROR(SUM(CP84:CP94)/SUM($D$84:$GA$94),0)</x:f>
      </x:c>
      <x:c r="CQ96" s="117" t="n">
        <x:f>$B$96*IFERROR(SUM(CQ84:CQ94)/SUM($D$84:$GA$94),0)</x:f>
      </x:c>
      <x:c r="CR96" s="117" t="n">
        <x:f>$B$96*IFERROR(SUM(CR84:CR94)/SUM($D$84:$GA$94),0)</x:f>
      </x:c>
      <x:c r="CS96" s="117" t="n">
        <x:f>$B$96*IFERROR(SUM(CS84:CS94)/SUM($D$84:$GA$94),0)</x:f>
      </x:c>
      <x:c r="CT96" s="117" t="n">
        <x:f>$B$96*IFERROR(SUM(CT84:CT94)/SUM($D$84:$GA$94),0)</x:f>
      </x:c>
      <x:c r="CU96" s="117" t="n">
        <x:f>$B$96*IFERROR(SUM(CU84:CU94)/SUM($D$84:$GA$94),0)</x:f>
      </x:c>
      <x:c r="CV96" s="117" t="n">
        <x:f>$B$96*IFERROR(SUM(CV84:CV94)/SUM($D$84:$GA$94),0)</x:f>
      </x:c>
      <x:c r="CW96" s="117" t="n">
        <x:f>$B$96*IFERROR(SUM(CW84:CW94)/SUM($D$84:$GA$94),0)</x:f>
      </x:c>
      <x:c r="CX96" s="117" t="n">
        <x:f>$B$96*IFERROR(SUM(CX84:CX94)/SUM($D$84:$GA$94),0)</x:f>
      </x:c>
      <x:c r="CY96" s="117" t="n">
        <x:f>$B$96*IFERROR(SUM(CY84:CY94)/SUM($D$84:$GA$94),0)</x:f>
      </x:c>
      <x:c r="CZ96" s="117" t="n">
        <x:f>$B$96*IFERROR(SUM(CZ84:CZ94)/SUM($D$84:$GA$94),0)</x:f>
      </x:c>
      <x:c r="DA96" s="117" t="n">
        <x:f>$B$96*IFERROR(SUM(DA84:DA94)/SUM($D$84:$GA$94),0)</x:f>
      </x:c>
      <x:c r="DB96" s="117" t="n">
        <x:f>$B$96*IFERROR(SUM(DB84:DB94)/SUM($D$84:$GA$94),0)</x:f>
      </x:c>
      <x:c r="DC96" s="117" t="n">
        <x:f>$B$96*IFERROR(SUM(DC84:DC94)/SUM($D$84:$GA$94),0)</x:f>
      </x:c>
      <x:c r="DD96" s="117" t="n">
        <x:f>$B$96*IFERROR(SUM(DD84:DD94)/SUM($D$84:$GA$94),0)</x:f>
      </x:c>
      <x:c r="DE96" s="117" t="n">
        <x:f>$B$96*IFERROR(SUM(DE84:DE94)/SUM($D$84:$GA$94),0)</x:f>
      </x:c>
      <x:c r="DF96" s="117" t="n">
        <x:f>$B$96*IFERROR(SUM(DF84:DF94)/SUM($D$84:$GA$94),0)</x:f>
      </x:c>
      <x:c r="DG96" s="117" t="n">
        <x:f>$B$96*IFERROR(SUM(DG84:DG94)/SUM($D$84:$GA$94),0)</x:f>
      </x:c>
      <x:c r="DH96" s="117" t="n">
        <x:f>$B$96*IFERROR(SUM(DH84:DH94)/SUM($D$84:$GA$94),0)</x:f>
      </x:c>
      <x:c r="DI96" s="117" t="n">
        <x:f>$B$96*IFERROR(SUM(DI84:DI94)/SUM($D$84:$GA$94),0)</x:f>
      </x:c>
      <x:c r="DJ96" s="117" t="n">
        <x:f>$B$96*IFERROR(SUM(DJ84:DJ94)/SUM($D$84:$GA$94),0)</x:f>
      </x:c>
      <x:c r="DK96" s="117" t="n">
        <x:f>$B$96*IFERROR(SUM(DK84:DK94)/SUM($D$84:$GA$94),0)</x:f>
      </x:c>
      <x:c r="DL96" s="117" t="n">
        <x:f>$B$96*IFERROR(SUM(DL84:DL94)/SUM($D$84:$GA$94),0)</x:f>
      </x:c>
      <x:c r="DM96" s="117" t="n">
        <x:f>$B$96*IFERROR(SUM(DM84:DM94)/SUM($D$84:$GA$94),0)</x:f>
      </x:c>
      <x:c r="DN96" s="117" t="n">
        <x:f>$B$96*IFERROR(SUM(DN84:DN94)/SUM($D$84:$GA$94),0)</x:f>
      </x:c>
      <x:c r="DO96" s="117" t="n">
        <x:f>$B$96*IFERROR(SUM(DO84:DO94)/SUM($D$84:$GA$94),0)</x:f>
      </x:c>
      <x:c r="DP96" s="117" t="n">
        <x:f>$B$96*IFERROR(SUM(DP84:DP94)/SUM($D$84:$GA$94),0)</x:f>
      </x:c>
      <x:c r="DQ96" s="117" t="n">
        <x:f>$B$96*IFERROR(SUM(DQ84:DQ94)/SUM($D$84:$GA$94),0)</x:f>
      </x:c>
      <x:c r="DR96" s="117" t="n">
        <x:f>$B$96*IFERROR(SUM(DR84:DR94)/SUM($D$84:$GA$94),0)</x:f>
      </x:c>
      <x:c r="DS96" s="117" t="n">
        <x:f>$B$96*IFERROR(SUM(DS84:DS94)/SUM($D$84:$GA$94),0)</x:f>
      </x:c>
      <x:c r="DT96" s="117" t="n">
        <x:f>$B$96*IFERROR(SUM(DT84:DT94)/SUM($D$84:$GA$94),0)</x:f>
      </x:c>
      <x:c r="DU96" s="117" t="n">
        <x:f>$B$96*IFERROR(SUM(DU84:DU94)/SUM($D$84:$GA$94),0)</x:f>
      </x:c>
      <x:c r="DV96" s="117" t="n">
        <x:f>$B$96*IFERROR(SUM(DV84:DV94)/SUM($D$84:$GA$94),0)</x:f>
      </x:c>
      <x:c r="DW96" s="117" t="n">
        <x:f>$B$96*IFERROR(SUM(DW84:DW94)/SUM($D$84:$GA$94),0)</x:f>
      </x:c>
      <x:c r="DX96" s="117" t="n">
        <x:f>$B$96*IFERROR(SUM(DX84:DX94)/SUM($D$84:$GA$94),0)</x:f>
      </x:c>
      <x:c r="DY96" s="117" t="n">
        <x:f>$B$96*IFERROR(SUM(DY84:DY94)/SUM($D$84:$GA$94),0)</x:f>
      </x:c>
      <x:c r="DZ96" s="117" t="n">
        <x:f>$B$96*IFERROR(SUM(DZ84:DZ94)/SUM($D$84:$GA$94),0)</x:f>
      </x:c>
      <x:c r="EA96" s="117" t="n">
        <x:f>$B$96*IFERROR(SUM(EA84:EA94)/SUM($D$84:$GA$94),0)</x:f>
      </x:c>
      <x:c r="EB96" s="117" t="n">
        <x:f>$B$96*IFERROR(SUM(EB84:EB94)/SUM($D$84:$GA$94),0)</x:f>
      </x:c>
      <x:c r="EC96" s="117" t="n">
        <x:f>$B$96*IFERROR(SUM(EC84:EC94)/SUM($D$84:$GA$94),0)</x:f>
      </x:c>
      <x:c r="ED96" s="117" t="n">
        <x:f>$B$96*IFERROR(SUM(ED84:ED94)/SUM($D$84:$GA$94),0)</x:f>
      </x:c>
      <x:c r="EE96" s="117" t="n">
        <x:f>$B$96*IFERROR(SUM(EE84:EE94)/SUM($D$84:$GA$94),0)</x:f>
      </x:c>
      <x:c r="EF96" s="117" t="n">
        <x:f>$B$96*IFERROR(SUM(EF84:EF94)/SUM($D$84:$GA$94),0)</x:f>
      </x:c>
      <x:c r="EG96" s="117" t="n">
        <x:f>$B$96*IFERROR(SUM(EG84:EG94)/SUM($D$84:$GA$94),0)</x:f>
      </x:c>
      <x:c r="EH96" s="117" t="n">
        <x:f>$B$96*IFERROR(SUM(EH84:EH94)/SUM($D$84:$GA$94),0)</x:f>
      </x:c>
      <x:c r="EI96" s="117" t="n">
        <x:f>$B$96*IFERROR(SUM(EI84:EI94)/SUM($D$84:$GA$94),0)</x:f>
      </x:c>
      <x:c r="EJ96" s="117" t="n">
        <x:f>$B$96*IFERROR(SUM(EJ84:EJ94)/SUM($D$84:$GA$94),0)</x:f>
      </x:c>
      <x:c r="EK96" s="117" t="n">
        <x:f>$B$96*IFERROR(SUM(EK84:EK94)/SUM($D$84:$GA$94),0)</x:f>
      </x:c>
      <x:c r="EL96" s="117" t="n">
        <x:f>$B$96*IFERROR(SUM(EL84:EL94)/SUM($D$84:$GA$94),0)</x:f>
      </x:c>
      <x:c r="EM96" s="117" t="n">
        <x:f>$B$96*IFERROR(SUM(EM84:EM94)/SUM($D$84:$GA$94),0)</x:f>
      </x:c>
      <x:c r="EN96" s="117" t="n">
        <x:f>$B$96*IFERROR(SUM(EN84:EN94)/SUM($D$84:$GA$94),0)</x:f>
      </x:c>
      <x:c r="EO96" s="117" t="n">
        <x:f>$B$96*IFERROR(SUM(EO84:EO94)/SUM($D$84:$GA$94),0)</x:f>
      </x:c>
      <x:c r="EP96" s="117" t="n">
        <x:f>$B$96*IFERROR(SUM(EP84:EP94)/SUM($D$84:$GA$94),0)</x:f>
      </x:c>
      <x:c r="EQ96" s="117" t="n">
        <x:f>$B$96*IFERROR(SUM(EQ84:EQ94)/SUM($D$84:$GA$94),0)</x:f>
      </x:c>
      <x:c r="ER96" s="117" t="n">
        <x:f>$B$96*IFERROR(SUM(ER84:ER94)/SUM($D$84:$GA$94),0)</x:f>
      </x:c>
      <x:c r="ES96" s="117" t="n">
        <x:f>$B$96*IFERROR(SUM(ES84:ES94)/SUM($D$84:$GA$94),0)</x:f>
      </x:c>
      <x:c r="ET96" s="117" t="n">
        <x:f>$B$96*IFERROR(SUM(ET84:ET94)/SUM($D$84:$GA$94),0)</x:f>
      </x:c>
      <x:c r="EU96" s="117" t="n">
        <x:f>$B$96*IFERROR(SUM(EU84:EU94)/SUM($D$84:$GA$94),0)</x:f>
      </x:c>
      <x:c r="EV96" s="117" t="n">
        <x:f>$B$96*IFERROR(SUM(EV84:EV94)/SUM($D$84:$GA$94),0)</x:f>
      </x:c>
      <x:c r="EW96" s="117" t="n">
        <x:f>$B$96*IFERROR(SUM(EW84:EW94)/SUM($D$84:$GA$94),0)</x:f>
      </x:c>
      <x:c r="EX96" s="117" t="n">
        <x:f>$B$96*IFERROR(SUM(EX84:EX94)/SUM($D$84:$GA$94),0)</x:f>
      </x:c>
      <x:c r="EY96" s="117" t="n">
        <x:f>$B$96*IFERROR(SUM(EY84:EY94)/SUM($D$84:$GA$94),0)</x:f>
      </x:c>
      <x:c r="EZ96" s="117" t="n">
        <x:f>$B$96*IFERROR(SUM(EZ84:EZ94)/SUM($D$84:$GA$94),0)</x:f>
      </x:c>
      <x:c r="FA96" s="117" t="n">
        <x:f>$B$96*IFERROR(SUM(FA84:FA94)/SUM($D$84:$GA$94),0)</x:f>
      </x:c>
      <x:c r="FB96" s="117" t="n">
        <x:f>$B$96*IFERROR(SUM(FB84:FB94)/SUM($D$84:$GA$94),0)</x:f>
      </x:c>
      <x:c r="FC96" s="117" t="n">
        <x:f>$B$96*IFERROR(SUM(FC84:FC94)/SUM($D$84:$GA$94),0)</x:f>
      </x:c>
      <x:c r="FD96" s="117" t="n">
        <x:f>$B$96*IFERROR(SUM(FD84:FD94)/SUM($D$84:$GA$94),0)</x:f>
      </x:c>
      <x:c r="FE96" s="117" t="n">
        <x:f>$B$96*IFERROR(SUM(FE84:FE94)/SUM($D$84:$GA$94),0)</x:f>
      </x:c>
      <x:c r="FF96" s="117" t="n">
        <x:f>$B$96*IFERROR(SUM(FF84:FF94)/SUM($D$84:$GA$94),0)</x:f>
      </x:c>
      <x:c r="FG96" s="117" t="n">
        <x:f>$B$96*IFERROR(SUM(FG84:FG94)/SUM($D$84:$GA$94),0)</x:f>
      </x:c>
      <x:c r="FH96" s="117" t="n">
        <x:f>$B$96*IFERROR(SUM(FH84:FH94)/SUM($D$84:$GA$94),0)</x:f>
      </x:c>
      <x:c r="FI96" s="117" t="n">
        <x:f>$B$96*IFERROR(SUM(FI84:FI94)/SUM($D$84:$GA$94),0)</x:f>
      </x:c>
      <x:c r="FJ96" s="117" t="n">
        <x:f>$B$96*IFERROR(SUM(FJ84:FJ94)/SUM($D$84:$GA$94),0)</x:f>
      </x:c>
      <x:c r="FK96" s="117" t="n">
        <x:f>$B$96*IFERROR(SUM(FK84:FK94)/SUM($D$84:$GA$94),0)</x:f>
      </x:c>
      <x:c r="FL96" s="117" t="n">
        <x:f>$B$96*IFERROR(SUM(FL84:FL94)/SUM($D$84:$GA$94),0)</x:f>
      </x:c>
      <x:c r="FM96" s="117" t="n">
        <x:f>$B$96*IFERROR(SUM(FM84:FM94)/SUM($D$84:$GA$94),0)</x:f>
      </x:c>
      <x:c r="FN96" s="117" t="n">
        <x:f>$B$96*IFERROR(SUM(FN84:FN94)/SUM($D$84:$GA$94),0)</x:f>
      </x:c>
      <x:c r="FO96" s="117" t="n">
        <x:f>$B$96*IFERROR(SUM(FO84:FO94)/SUM($D$84:$GA$94),0)</x:f>
      </x:c>
      <x:c r="FP96" s="117" t="n">
        <x:f>$B$96*IFERROR(SUM(FP84:FP94)/SUM($D$84:$GA$94),0)</x:f>
      </x:c>
      <x:c r="FQ96" s="117" t="n">
        <x:f>$B$96*IFERROR(SUM(FQ84:FQ94)/SUM($D$84:$GA$94),0)</x:f>
      </x:c>
      <x:c r="FR96" s="117" t="n">
        <x:f>$B$96*IFERROR(SUM(FR84:FR94)/SUM($D$84:$GA$94),0)</x:f>
      </x:c>
      <x:c r="FS96" s="117" t="n">
        <x:f>$B$96*IFERROR(SUM(FS84:FS94)/SUM($D$84:$GA$94),0)</x:f>
      </x:c>
      <x:c r="FT96" s="117" t="n">
        <x:f>$B$96*IFERROR(SUM(FT84:FT94)/SUM($D$84:$GA$94),0)</x:f>
      </x:c>
      <x:c r="FU96" s="117" t="n">
        <x:f>$B$96*IFERROR(SUM(FU84:FU94)/SUM($D$84:$GA$94),0)</x:f>
      </x:c>
      <x:c r="FV96" s="117" t="n">
        <x:f>$B$96*IFERROR(SUM(FV84:FV94)/SUM($D$84:$GA$94),0)</x:f>
      </x:c>
      <x:c r="FW96" s="117" t="n">
        <x:f>$B$96*IFERROR(SUM(FW84:FW94)/SUM($D$84:$GA$94),0)</x:f>
      </x:c>
      <x:c r="FX96" s="117" t="n">
        <x:f>$B$96*IFERROR(SUM(FX84:FX94)/SUM($D$84:$GA$94),0)</x:f>
      </x:c>
      <x:c r="FY96" s="117" t="n">
        <x:f>$B$96*IFERROR(SUM(FY84:FY94)/SUM($D$84:$GA$94),0)</x:f>
      </x:c>
      <x:c r="FZ96" s="117" t="n">
        <x:f>$B$96*IFERROR(SUM(FZ84:FZ94)/SUM($D$84:$GA$94),0)</x:f>
      </x:c>
      <x:c r="GA96" s="117" t="n">
        <x:f>$B$96*IFERROR(SUM(GA84:GA94)/SUM($D$84:$GA$94),0)</x:f>
      </x:c>
    </x:row>
    <x:row r="97">
      <x:c r="A97" t="str">
        <x:v>Вознаграждение генподрядчика</x:v>
      </x:c>
      <x:c r="B97" s="107" t="n">
        <x:f>(B89+B90+B99+'ОБЪЕКТЫ'!$B$112)*'Вводные'!$B$50</x:f>
      </x:c>
      <x:c r="C97" t="str">
        <x:v>млн ₽</x:v>
      </x:c>
      <x:c r="D97" s="117" t="n">
        <x:f>$B$97*D81</x:f>
      </x:c>
      <x:c r="E97" s="117" t="n">
        <x:f>$B$97*E81</x:f>
      </x:c>
      <x:c r="F97" s="117" t="n">
        <x:f>$B$97*F81</x:f>
      </x:c>
      <x:c r="G97" s="117" t="n">
        <x:f>$B$97*G81</x:f>
      </x:c>
      <x:c r="H97" s="117" t="n">
        <x:f>$B$97*H81</x:f>
      </x:c>
      <x:c r="I97" s="117" t="n">
        <x:f>$B$97*I81</x:f>
      </x:c>
      <x:c r="J97" s="117" t="n">
        <x:f>$B$97*J81</x:f>
      </x:c>
      <x:c r="K97" s="117" t="n">
        <x:f>$B$97*K81</x:f>
      </x:c>
      <x:c r="L97" s="117" t="n">
        <x:f>$B$97*L81</x:f>
      </x:c>
      <x:c r="M97" s="117" t="n">
        <x:f>$B$97*M81</x:f>
      </x:c>
      <x:c r="N97" s="117" t="n">
        <x:f>$B$97*N81</x:f>
      </x:c>
      <x:c r="O97" s="117" t="n">
        <x:f>$B$97*O81</x:f>
      </x:c>
      <x:c r="P97" s="117" t="n">
        <x:f>$B$97*P81</x:f>
      </x:c>
      <x:c r="Q97" s="117" t="n">
        <x:f>$B$97*Q81</x:f>
      </x:c>
      <x:c r="R97" s="117" t="n">
        <x:f>$B$97*R81</x:f>
      </x:c>
      <x:c r="S97" s="117" t="n">
        <x:f>$B$97*S81</x:f>
      </x:c>
      <x:c r="T97" s="117" t="n">
        <x:f>$B$97*T81</x:f>
      </x:c>
      <x:c r="U97" s="117" t="n">
        <x:f>$B$97*U81</x:f>
      </x:c>
      <x:c r="V97" s="117" t="n">
        <x:f>$B$97*V81</x:f>
      </x:c>
      <x:c r="W97" s="117" t="n">
        <x:f>$B$97*W81</x:f>
      </x:c>
      <x:c r="X97" s="117" t="n">
        <x:f>$B$97*X81</x:f>
      </x:c>
      <x:c r="Y97" s="117" t="n">
        <x:f>$B$97*Y81</x:f>
      </x:c>
      <x:c r="Z97" s="117" t="n">
        <x:f>$B$97*Z81</x:f>
      </x:c>
      <x:c r="AA97" s="117" t="n">
        <x:f>$B$97*AA81</x:f>
      </x:c>
      <x:c r="AB97" s="117" t="n">
        <x:f>$B$97*AB81</x:f>
      </x:c>
      <x:c r="AC97" s="117" t="n">
        <x:f>$B$97*AC81</x:f>
      </x:c>
      <x:c r="AD97" s="117" t="n">
        <x:f>$B$97*AD81</x:f>
      </x:c>
      <x:c r="AE97" s="117" t="n">
        <x:f>$B$97*AE81</x:f>
      </x:c>
      <x:c r="AF97" s="117" t="n">
        <x:f>$B$97*AF81</x:f>
      </x:c>
      <x:c r="AG97" s="117" t="n">
        <x:f>$B$97*AG81</x:f>
      </x:c>
      <x:c r="AH97" s="117" t="n">
        <x:f>$B$97*AH81</x:f>
      </x:c>
      <x:c r="AI97" s="117" t="n">
        <x:f>$B$97*AI81</x:f>
      </x:c>
      <x:c r="AJ97" s="117" t="n">
        <x:f>$B$97*AJ81</x:f>
      </x:c>
      <x:c r="AK97" s="117" t="n">
        <x:f>$B$97*AK81</x:f>
      </x:c>
      <x:c r="AL97" s="117" t="n">
        <x:f>$B$97*AL81</x:f>
      </x:c>
      <x:c r="AM97" s="117" t="n">
        <x:f>$B$97*AM81</x:f>
      </x:c>
      <x:c r="AN97" s="117" t="n">
        <x:f>$B$97*AN81</x:f>
      </x:c>
      <x:c r="AO97" s="117" t="n">
        <x:f>$B$97*AO81</x:f>
      </x:c>
      <x:c r="AP97" s="117" t="n">
        <x:f>$B$97*AP81</x:f>
      </x:c>
      <x:c r="AQ97" s="117" t="n">
        <x:f>$B$97*AQ81</x:f>
      </x:c>
      <x:c r="AR97" s="117" t="n">
        <x:f>$B$97*AR81</x:f>
      </x:c>
      <x:c r="AS97" s="117" t="n">
        <x:f>$B$97*AS81</x:f>
      </x:c>
      <x:c r="AT97" s="117" t="n">
        <x:f>$B$97*AT81</x:f>
      </x:c>
      <x:c r="AU97" s="117" t="n">
        <x:f>$B$97*AU81</x:f>
      </x:c>
      <x:c r="AV97" s="117" t="n">
        <x:f>$B$97*AV81</x:f>
      </x:c>
      <x:c r="AW97" s="117" t="n">
        <x:f>$B$97*AW81</x:f>
      </x:c>
      <x:c r="AX97" s="117" t="n">
        <x:f>$B$97*AX81</x:f>
      </x:c>
      <x:c r="AY97" s="117" t="n">
        <x:f>$B$97*AY81</x:f>
      </x:c>
      <x:c r="AZ97" s="117" t="n">
        <x:f>$B$97*AZ81</x:f>
      </x:c>
      <x:c r="BA97" s="117" t="n">
        <x:f>$B$97*BA81</x:f>
      </x:c>
      <x:c r="BB97" s="117" t="n">
        <x:f>$B$97*BB81</x:f>
      </x:c>
      <x:c r="BC97" s="117" t="n">
        <x:f>$B$97*BC81</x:f>
      </x:c>
      <x:c r="BD97" s="117" t="n">
        <x:f>$B$97*BD81</x:f>
      </x:c>
      <x:c r="BE97" s="117" t="n">
        <x:f>$B$97*BE81</x:f>
      </x:c>
      <x:c r="BF97" s="117" t="n">
        <x:f>$B$97*BF81</x:f>
      </x:c>
      <x:c r="BG97" s="117" t="n">
        <x:f>$B$97*BG81</x:f>
      </x:c>
      <x:c r="BH97" s="117" t="n">
        <x:f>$B$97*BH81</x:f>
      </x:c>
      <x:c r="BI97" s="117" t="n">
        <x:f>$B$97*BI81</x:f>
      </x:c>
      <x:c r="BJ97" s="117" t="n">
        <x:f>$B$97*BJ81</x:f>
      </x:c>
      <x:c r="BK97" s="117" t="n">
        <x:f>$B$97*BK81</x:f>
      </x:c>
      <x:c r="BL97" s="117" t="n">
        <x:f>$B$97*BL81</x:f>
      </x:c>
      <x:c r="BM97" s="117" t="n">
        <x:f>$B$97*BM81</x:f>
      </x:c>
      <x:c r="BN97" s="117" t="n">
        <x:f>$B$97*BN81</x:f>
      </x:c>
      <x:c r="BO97" s="117" t="n">
        <x:f>$B$97*BO81</x:f>
      </x:c>
      <x:c r="BP97" s="117" t="n">
        <x:f>$B$97*BP81</x:f>
      </x:c>
      <x:c r="BQ97" s="117" t="n">
        <x:f>$B$97*BQ81</x:f>
      </x:c>
      <x:c r="BR97" s="117" t="n">
        <x:f>$B$97*BR81</x:f>
      </x:c>
      <x:c r="BS97" s="117" t="n">
        <x:f>$B$97*BS81</x:f>
      </x:c>
      <x:c r="BT97" s="117" t="n">
        <x:f>$B$97*BT81</x:f>
      </x:c>
      <x:c r="BU97" s="117" t="n">
        <x:f>$B$97*BU81</x:f>
      </x:c>
      <x:c r="BV97" s="117" t="n">
        <x:f>$B$97*BV81</x:f>
      </x:c>
      <x:c r="BW97" s="117" t="n">
        <x:f>$B$97*BW81</x:f>
      </x:c>
      <x:c r="BX97" s="117" t="n">
        <x:f>$B$97*BX81</x:f>
      </x:c>
      <x:c r="BY97" s="117" t="n">
        <x:f>$B$97*BY81</x:f>
      </x:c>
      <x:c r="BZ97" s="117" t="n">
        <x:f>$B$97*BZ81</x:f>
      </x:c>
      <x:c r="CA97" s="117" t="n">
        <x:f>$B$97*CA81</x:f>
      </x:c>
      <x:c r="CB97" s="117" t="n">
        <x:f>$B$97*CB81</x:f>
      </x:c>
      <x:c r="CC97" s="117" t="n">
        <x:f>$B$97*CC81</x:f>
      </x:c>
      <x:c r="CD97" s="117" t="n">
        <x:f>$B$97*CD81</x:f>
      </x:c>
      <x:c r="CE97" s="117" t="n">
        <x:f>$B$97*CE81</x:f>
      </x:c>
      <x:c r="CF97" s="117" t="n">
        <x:f>$B$97*CF81</x:f>
      </x:c>
      <x:c r="CG97" s="117" t="n">
        <x:f>$B$97*CG81</x:f>
      </x:c>
      <x:c r="CH97" s="117" t="n">
        <x:f>$B$97*CH81</x:f>
      </x:c>
      <x:c r="CI97" s="117" t="n">
        <x:f>$B$97*CI81</x:f>
      </x:c>
      <x:c r="CJ97" s="117" t="n">
        <x:f>$B$97*CJ81</x:f>
      </x:c>
      <x:c r="CK97" s="117" t="n">
        <x:f>$B$97*CK81</x:f>
      </x:c>
      <x:c r="CL97" s="117" t="n">
        <x:f>$B$97*CL81</x:f>
      </x:c>
      <x:c r="CM97" s="117" t="n">
        <x:f>$B$97*CM81</x:f>
      </x:c>
      <x:c r="CN97" s="117" t="n">
        <x:f>$B$97*CN81</x:f>
      </x:c>
      <x:c r="CO97" s="117" t="n">
        <x:f>$B$97*CO81</x:f>
      </x:c>
      <x:c r="CP97" s="117" t="n">
        <x:f>$B$97*CP81</x:f>
      </x:c>
      <x:c r="CQ97" s="117" t="n">
        <x:f>$B$97*CQ81</x:f>
      </x:c>
      <x:c r="CR97" s="117" t="n">
        <x:f>$B$97*CR81</x:f>
      </x:c>
      <x:c r="CS97" s="117" t="n">
        <x:f>$B$97*CS81</x:f>
      </x:c>
      <x:c r="CT97" s="117" t="n">
        <x:f>$B$97*CT81</x:f>
      </x:c>
      <x:c r="CU97" s="117" t="n">
        <x:f>$B$97*CU81</x:f>
      </x:c>
      <x:c r="CV97" s="117" t="n">
        <x:f>$B$97*CV81</x:f>
      </x:c>
      <x:c r="CW97" s="117" t="n">
        <x:f>$B$97*CW81</x:f>
      </x:c>
      <x:c r="CX97" s="117" t="n">
        <x:f>$B$97*CX81</x:f>
      </x:c>
      <x:c r="CY97" s="117" t="n">
        <x:f>$B$97*CY81</x:f>
      </x:c>
      <x:c r="CZ97" s="117" t="n">
        <x:f>$B$97*CZ81</x:f>
      </x:c>
      <x:c r="DA97" s="117" t="n">
        <x:f>$B$97*DA81</x:f>
      </x:c>
      <x:c r="DB97" s="117" t="n">
        <x:f>$B$97*DB81</x:f>
      </x:c>
      <x:c r="DC97" s="117" t="n">
        <x:f>$B$97*DC81</x:f>
      </x:c>
      <x:c r="DD97" s="117" t="n">
        <x:f>$B$97*DD81</x:f>
      </x:c>
      <x:c r="DE97" s="117" t="n">
        <x:f>$B$97*DE81</x:f>
      </x:c>
      <x:c r="DF97" s="117" t="n">
        <x:f>$B$97*DF81</x:f>
      </x:c>
      <x:c r="DG97" s="117" t="n">
        <x:f>$B$97*DG81</x:f>
      </x:c>
      <x:c r="DH97" s="117" t="n">
        <x:f>$B$97*DH81</x:f>
      </x:c>
      <x:c r="DI97" s="117" t="n">
        <x:f>$B$97*DI81</x:f>
      </x:c>
      <x:c r="DJ97" s="117" t="n">
        <x:f>$B$97*DJ81</x:f>
      </x:c>
      <x:c r="DK97" s="117" t="n">
        <x:f>$B$97*DK81</x:f>
      </x:c>
      <x:c r="DL97" s="117" t="n">
        <x:f>$B$97*DL81</x:f>
      </x:c>
      <x:c r="DM97" s="117" t="n">
        <x:f>$B$97*DM81</x:f>
      </x:c>
      <x:c r="DN97" s="117" t="n">
        <x:f>$B$97*DN81</x:f>
      </x:c>
      <x:c r="DO97" s="117" t="n">
        <x:f>$B$97*DO81</x:f>
      </x:c>
      <x:c r="DP97" s="117" t="n">
        <x:f>$B$97*DP81</x:f>
      </x:c>
      <x:c r="DQ97" s="117" t="n">
        <x:f>$B$97*DQ81</x:f>
      </x:c>
      <x:c r="DR97" s="117" t="n">
        <x:f>$B$97*DR81</x:f>
      </x:c>
      <x:c r="DS97" s="117" t="n">
        <x:f>$B$97*DS81</x:f>
      </x:c>
      <x:c r="DT97" s="117" t="n">
        <x:f>$B$97*DT81</x:f>
      </x:c>
      <x:c r="DU97" s="117" t="n">
        <x:f>$B$97*DU81</x:f>
      </x:c>
      <x:c r="DV97" s="117" t="n">
        <x:f>$B$97*DV81</x:f>
      </x:c>
      <x:c r="DW97" s="117" t="n">
        <x:f>$B$97*DW81</x:f>
      </x:c>
      <x:c r="DX97" s="117" t="n">
        <x:f>$B$97*DX81</x:f>
      </x:c>
      <x:c r="DY97" s="117" t="n">
        <x:f>$B$97*DY81</x:f>
      </x:c>
      <x:c r="DZ97" s="117" t="n">
        <x:f>$B$97*DZ81</x:f>
      </x:c>
      <x:c r="EA97" s="117" t="n">
        <x:f>$B$97*EA81</x:f>
      </x:c>
      <x:c r="EB97" s="117" t="n">
        <x:f>$B$97*EB81</x:f>
      </x:c>
      <x:c r="EC97" s="117" t="n">
        <x:f>$B$97*EC81</x:f>
      </x:c>
      <x:c r="ED97" s="117" t="n">
        <x:f>$B$97*ED81</x:f>
      </x:c>
      <x:c r="EE97" s="117" t="n">
        <x:f>$B$97*EE81</x:f>
      </x:c>
      <x:c r="EF97" s="117" t="n">
        <x:f>$B$97*EF81</x:f>
      </x:c>
      <x:c r="EG97" s="117" t="n">
        <x:f>$B$97*EG81</x:f>
      </x:c>
      <x:c r="EH97" s="117" t="n">
        <x:f>$B$97*EH81</x:f>
      </x:c>
      <x:c r="EI97" s="117" t="n">
        <x:f>$B$97*EI81</x:f>
      </x:c>
      <x:c r="EJ97" s="117" t="n">
        <x:f>$B$97*EJ81</x:f>
      </x:c>
      <x:c r="EK97" s="117" t="n">
        <x:f>$B$97*EK81</x:f>
      </x:c>
      <x:c r="EL97" s="117" t="n">
        <x:f>$B$97*EL81</x:f>
      </x:c>
      <x:c r="EM97" s="117" t="n">
        <x:f>$B$97*EM81</x:f>
      </x:c>
      <x:c r="EN97" s="117" t="n">
        <x:f>$B$97*EN81</x:f>
      </x:c>
      <x:c r="EO97" s="117" t="n">
        <x:f>$B$97*EO81</x:f>
      </x:c>
      <x:c r="EP97" s="117" t="n">
        <x:f>$B$97*EP81</x:f>
      </x:c>
      <x:c r="EQ97" s="117" t="n">
        <x:f>$B$97*EQ81</x:f>
      </x:c>
      <x:c r="ER97" s="117" t="n">
        <x:f>$B$97*ER81</x:f>
      </x:c>
      <x:c r="ES97" s="117" t="n">
        <x:f>$B$97*ES81</x:f>
      </x:c>
      <x:c r="ET97" s="117" t="n">
        <x:f>$B$97*ET81</x:f>
      </x:c>
      <x:c r="EU97" s="117" t="n">
        <x:f>$B$97*EU81</x:f>
      </x:c>
      <x:c r="EV97" s="117" t="n">
        <x:f>$B$97*EV81</x:f>
      </x:c>
      <x:c r="EW97" s="117" t="n">
        <x:f>$B$97*EW81</x:f>
      </x:c>
      <x:c r="EX97" s="117" t="n">
        <x:f>$B$97*EX81</x:f>
      </x:c>
      <x:c r="EY97" s="117" t="n">
        <x:f>$B$97*EY81</x:f>
      </x:c>
      <x:c r="EZ97" s="117" t="n">
        <x:f>$B$97*EZ81</x:f>
      </x:c>
      <x:c r="FA97" s="117" t="n">
        <x:f>$B$97*FA81</x:f>
      </x:c>
      <x:c r="FB97" s="117" t="n">
        <x:f>$B$97*FB81</x:f>
      </x:c>
      <x:c r="FC97" s="117" t="n">
        <x:f>$B$97*FC81</x:f>
      </x:c>
      <x:c r="FD97" s="117" t="n">
        <x:f>$B$97*FD81</x:f>
      </x:c>
      <x:c r="FE97" s="117" t="n">
        <x:f>$B$97*FE81</x:f>
      </x:c>
      <x:c r="FF97" s="117" t="n">
        <x:f>$B$97*FF81</x:f>
      </x:c>
      <x:c r="FG97" s="117" t="n">
        <x:f>$B$97*FG81</x:f>
      </x:c>
      <x:c r="FH97" s="117" t="n">
        <x:f>$B$97*FH81</x:f>
      </x:c>
      <x:c r="FI97" s="117" t="n">
        <x:f>$B$97*FI81</x:f>
      </x:c>
      <x:c r="FJ97" s="117" t="n">
        <x:f>$B$97*FJ81</x:f>
      </x:c>
      <x:c r="FK97" s="117" t="n">
        <x:f>$B$97*FK81</x:f>
      </x:c>
      <x:c r="FL97" s="117" t="n">
        <x:f>$B$97*FL81</x:f>
      </x:c>
      <x:c r="FM97" s="117" t="n">
        <x:f>$B$97*FM81</x:f>
      </x:c>
      <x:c r="FN97" s="117" t="n">
        <x:f>$B$97*FN81</x:f>
      </x:c>
      <x:c r="FO97" s="117" t="n">
        <x:f>$B$97*FO81</x:f>
      </x:c>
      <x:c r="FP97" s="117" t="n">
        <x:f>$B$97*FP81</x:f>
      </x:c>
      <x:c r="FQ97" s="117" t="n">
        <x:f>$B$97*FQ81</x:f>
      </x:c>
      <x:c r="FR97" s="117" t="n">
        <x:f>$B$97*FR81</x:f>
      </x:c>
      <x:c r="FS97" s="117" t="n">
        <x:f>$B$97*FS81</x:f>
      </x:c>
      <x:c r="FT97" s="117" t="n">
        <x:f>$B$97*FT81</x:f>
      </x:c>
      <x:c r="FU97" s="117" t="n">
        <x:f>$B$97*FU81</x:f>
      </x:c>
      <x:c r="FV97" s="117" t="n">
        <x:f>$B$97*FV81</x:f>
      </x:c>
      <x:c r="FW97" s="117" t="n">
        <x:f>$B$97*FW81</x:f>
      </x:c>
      <x:c r="FX97" s="117" t="n">
        <x:f>$B$97*FX81</x:f>
      </x:c>
      <x:c r="FY97" s="117" t="n">
        <x:f>$B$97*FY81</x:f>
      </x:c>
      <x:c r="FZ97" s="117" t="n">
        <x:f>$B$97*FZ81</x:f>
      </x:c>
      <x:c r="GA97" s="117" t="n">
        <x:f>$B$97*GA81</x:f>
      </x:c>
    </x:row>
    <x:row r="98">
      <x:c r="A98" t="str">
        <x:v>Резерв</x:v>
      </x:c>
      <x:c r="B98" s="107" t="n">
        <x:f>(SUM(B83:B97)+B99+'ОБЪЕКТЫ'!$B$112)*'Вводные'!$B$54</x:f>
      </x:c>
      <x:c r="C98" t="str">
        <x:v>млн ₽</x:v>
      </x:c>
      <x:c r="D98" s="117" t="n">
        <x:f>$B$98*D81</x:f>
      </x:c>
      <x:c r="E98" s="117" t="n">
        <x:f>$B$98*E81</x:f>
      </x:c>
      <x:c r="F98" s="117" t="n">
        <x:f>$B$98*F81</x:f>
      </x:c>
      <x:c r="G98" s="117" t="n">
        <x:f>$B$98*G81</x:f>
      </x:c>
      <x:c r="H98" s="117" t="n">
        <x:f>$B$98*H81</x:f>
      </x:c>
      <x:c r="I98" s="117" t="n">
        <x:f>$B$98*I81</x:f>
      </x:c>
      <x:c r="J98" s="117" t="n">
        <x:f>$B$98*J81</x:f>
      </x:c>
      <x:c r="K98" s="117" t="n">
        <x:f>$B$98*K81</x:f>
      </x:c>
      <x:c r="L98" s="117" t="n">
        <x:f>$B$98*L81</x:f>
      </x:c>
      <x:c r="M98" s="117" t="n">
        <x:f>$B$98*M81</x:f>
      </x:c>
      <x:c r="N98" s="117" t="n">
        <x:f>$B$98*N81</x:f>
      </x:c>
      <x:c r="O98" s="117" t="n">
        <x:f>$B$98*O81</x:f>
      </x:c>
      <x:c r="P98" s="117" t="n">
        <x:f>$B$98*P81</x:f>
      </x:c>
      <x:c r="Q98" s="117" t="n">
        <x:f>$B$98*Q81</x:f>
      </x:c>
      <x:c r="R98" s="117" t="n">
        <x:f>$B$98*R81</x:f>
      </x:c>
      <x:c r="S98" s="117" t="n">
        <x:f>$B$98*S81</x:f>
      </x:c>
      <x:c r="T98" s="117" t="n">
        <x:f>$B$98*T81</x:f>
      </x:c>
      <x:c r="U98" s="117" t="n">
        <x:f>$B$98*U81</x:f>
      </x:c>
      <x:c r="V98" s="117" t="n">
        <x:f>$B$98*V81</x:f>
      </x:c>
      <x:c r="W98" s="117" t="n">
        <x:f>$B$98*W81</x:f>
      </x:c>
      <x:c r="X98" s="117" t="n">
        <x:f>$B$98*X81</x:f>
      </x:c>
      <x:c r="Y98" s="117" t="n">
        <x:f>$B$98*Y81</x:f>
      </x:c>
      <x:c r="Z98" s="117" t="n">
        <x:f>$B$98*Z81</x:f>
      </x:c>
      <x:c r="AA98" s="117" t="n">
        <x:f>$B$98*AA81</x:f>
      </x:c>
      <x:c r="AB98" s="117" t="n">
        <x:f>$B$98*AB81</x:f>
      </x:c>
      <x:c r="AC98" s="117" t="n">
        <x:f>$B$98*AC81</x:f>
      </x:c>
      <x:c r="AD98" s="117" t="n">
        <x:f>$B$98*AD81</x:f>
      </x:c>
      <x:c r="AE98" s="117" t="n">
        <x:f>$B$98*AE81</x:f>
      </x:c>
      <x:c r="AF98" s="117" t="n">
        <x:f>$B$98*AF81</x:f>
      </x:c>
      <x:c r="AG98" s="117" t="n">
        <x:f>$B$98*AG81</x:f>
      </x:c>
      <x:c r="AH98" s="117" t="n">
        <x:f>$B$98*AH81</x:f>
      </x:c>
      <x:c r="AI98" s="117" t="n">
        <x:f>$B$98*AI81</x:f>
      </x:c>
      <x:c r="AJ98" s="117" t="n">
        <x:f>$B$98*AJ81</x:f>
      </x:c>
      <x:c r="AK98" s="117" t="n">
        <x:f>$B$98*AK81</x:f>
      </x:c>
      <x:c r="AL98" s="117" t="n">
        <x:f>$B$98*AL81</x:f>
      </x:c>
      <x:c r="AM98" s="117" t="n">
        <x:f>$B$98*AM81</x:f>
      </x:c>
      <x:c r="AN98" s="117" t="n">
        <x:f>$B$98*AN81</x:f>
      </x:c>
      <x:c r="AO98" s="117" t="n">
        <x:f>$B$98*AO81</x:f>
      </x:c>
      <x:c r="AP98" s="117" t="n">
        <x:f>$B$98*AP81</x:f>
      </x:c>
      <x:c r="AQ98" s="117" t="n">
        <x:f>$B$98*AQ81</x:f>
      </x:c>
      <x:c r="AR98" s="117" t="n">
        <x:f>$B$98*AR81</x:f>
      </x:c>
      <x:c r="AS98" s="117" t="n">
        <x:f>$B$98*AS81</x:f>
      </x:c>
      <x:c r="AT98" s="117" t="n">
        <x:f>$B$98*AT81</x:f>
      </x:c>
      <x:c r="AU98" s="117" t="n">
        <x:f>$B$98*AU81</x:f>
      </x:c>
      <x:c r="AV98" s="117" t="n">
        <x:f>$B$98*AV81</x:f>
      </x:c>
      <x:c r="AW98" s="117" t="n">
        <x:f>$B$98*AW81</x:f>
      </x:c>
      <x:c r="AX98" s="117" t="n">
        <x:f>$B$98*AX81</x:f>
      </x:c>
      <x:c r="AY98" s="117" t="n">
        <x:f>$B$98*AY81</x:f>
      </x:c>
      <x:c r="AZ98" s="117" t="n">
        <x:f>$B$98*AZ81</x:f>
      </x:c>
      <x:c r="BA98" s="117" t="n">
        <x:f>$B$98*BA81</x:f>
      </x:c>
      <x:c r="BB98" s="117" t="n">
        <x:f>$B$98*BB81</x:f>
      </x:c>
      <x:c r="BC98" s="117" t="n">
        <x:f>$B$98*BC81</x:f>
      </x:c>
      <x:c r="BD98" s="117" t="n">
        <x:f>$B$98*BD81</x:f>
      </x:c>
      <x:c r="BE98" s="117" t="n">
        <x:f>$B$98*BE81</x:f>
      </x:c>
      <x:c r="BF98" s="117" t="n">
        <x:f>$B$98*BF81</x:f>
      </x:c>
      <x:c r="BG98" s="117" t="n">
        <x:f>$B$98*BG81</x:f>
      </x:c>
      <x:c r="BH98" s="117" t="n">
        <x:f>$B$98*BH81</x:f>
      </x:c>
      <x:c r="BI98" s="117" t="n">
        <x:f>$B$98*BI81</x:f>
      </x:c>
      <x:c r="BJ98" s="117" t="n">
        <x:f>$B$98*BJ81</x:f>
      </x:c>
      <x:c r="BK98" s="117" t="n">
        <x:f>$B$98*BK81</x:f>
      </x:c>
      <x:c r="BL98" s="117" t="n">
        <x:f>$B$98*BL81</x:f>
      </x:c>
      <x:c r="BM98" s="117" t="n">
        <x:f>$B$98*BM81</x:f>
      </x:c>
      <x:c r="BN98" s="117" t="n">
        <x:f>$B$98*BN81</x:f>
      </x:c>
      <x:c r="BO98" s="117" t="n">
        <x:f>$B$98*BO81</x:f>
      </x:c>
      <x:c r="BP98" s="117" t="n">
        <x:f>$B$98*BP81</x:f>
      </x:c>
      <x:c r="BQ98" s="117" t="n">
        <x:f>$B$98*BQ81</x:f>
      </x:c>
      <x:c r="BR98" s="117" t="n">
        <x:f>$B$98*BR81</x:f>
      </x:c>
      <x:c r="BS98" s="117" t="n">
        <x:f>$B$98*BS81</x:f>
      </x:c>
      <x:c r="BT98" s="117" t="n">
        <x:f>$B$98*BT81</x:f>
      </x:c>
      <x:c r="BU98" s="117" t="n">
        <x:f>$B$98*BU81</x:f>
      </x:c>
      <x:c r="BV98" s="117" t="n">
        <x:f>$B$98*BV81</x:f>
      </x:c>
      <x:c r="BW98" s="117" t="n">
        <x:f>$B$98*BW81</x:f>
      </x:c>
      <x:c r="BX98" s="117" t="n">
        <x:f>$B$98*BX81</x:f>
      </x:c>
      <x:c r="BY98" s="117" t="n">
        <x:f>$B$98*BY81</x:f>
      </x:c>
      <x:c r="BZ98" s="117" t="n">
        <x:f>$B$98*BZ81</x:f>
      </x:c>
      <x:c r="CA98" s="117" t="n">
        <x:f>$B$98*CA81</x:f>
      </x:c>
      <x:c r="CB98" s="117" t="n">
        <x:f>$B$98*CB81</x:f>
      </x:c>
      <x:c r="CC98" s="117" t="n">
        <x:f>$B$98*CC81</x:f>
      </x:c>
      <x:c r="CD98" s="117" t="n">
        <x:f>$B$98*CD81</x:f>
      </x:c>
      <x:c r="CE98" s="117" t="n">
        <x:f>$B$98*CE81</x:f>
      </x:c>
      <x:c r="CF98" s="117" t="n">
        <x:f>$B$98*CF81</x:f>
      </x:c>
      <x:c r="CG98" s="117" t="n">
        <x:f>$B$98*CG81</x:f>
      </x:c>
      <x:c r="CH98" s="117" t="n">
        <x:f>$B$98*CH81</x:f>
      </x:c>
      <x:c r="CI98" s="117" t="n">
        <x:f>$B$98*CI81</x:f>
      </x:c>
      <x:c r="CJ98" s="117" t="n">
        <x:f>$B$98*CJ81</x:f>
      </x:c>
      <x:c r="CK98" s="117" t="n">
        <x:f>$B$98*CK81</x:f>
      </x:c>
      <x:c r="CL98" s="117" t="n">
        <x:f>$B$98*CL81</x:f>
      </x:c>
      <x:c r="CM98" s="117" t="n">
        <x:f>$B$98*CM81</x:f>
      </x:c>
      <x:c r="CN98" s="117" t="n">
        <x:f>$B$98*CN81</x:f>
      </x:c>
      <x:c r="CO98" s="117" t="n">
        <x:f>$B$98*CO81</x:f>
      </x:c>
      <x:c r="CP98" s="117" t="n">
        <x:f>$B$98*CP81</x:f>
      </x:c>
      <x:c r="CQ98" s="117" t="n">
        <x:f>$B$98*CQ81</x:f>
      </x:c>
      <x:c r="CR98" s="117" t="n">
        <x:f>$B$98*CR81</x:f>
      </x:c>
      <x:c r="CS98" s="117" t="n">
        <x:f>$B$98*CS81</x:f>
      </x:c>
      <x:c r="CT98" s="117" t="n">
        <x:f>$B$98*CT81</x:f>
      </x:c>
      <x:c r="CU98" s="117" t="n">
        <x:f>$B$98*CU81</x:f>
      </x:c>
      <x:c r="CV98" s="117" t="n">
        <x:f>$B$98*CV81</x:f>
      </x:c>
      <x:c r="CW98" s="117" t="n">
        <x:f>$B$98*CW81</x:f>
      </x:c>
      <x:c r="CX98" s="117" t="n">
        <x:f>$B$98*CX81</x:f>
      </x:c>
      <x:c r="CY98" s="117" t="n">
        <x:f>$B$98*CY81</x:f>
      </x:c>
      <x:c r="CZ98" s="117" t="n">
        <x:f>$B$98*CZ81</x:f>
      </x:c>
      <x:c r="DA98" s="117" t="n">
        <x:f>$B$98*DA81</x:f>
      </x:c>
      <x:c r="DB98" s="117" t="n">
        <x:f>$B$98*DB81</x:f>
      </x:c>
      <x:c r="DC98" s="117" t="n">
        <x:f>$B$98*DC81</x:f>
      </x:c>
      <x:c r="DD98" s="117" t="n">
        <x:f>$B$98*DD81</x:f>
      </x:c>
      <x:c r="DE98" s="117" t="n">
        <x:f>$B$98*DE81</x:f>
      </x:c>
      <x:c r="DF98" s="117" t="n">
        <x:f>$B$98*DF81</x:f>
      </x:c>
      <x:c r="DG98" s="117" t="n">
        <x:f>$B$98*DG81</x:f>
      </x:c>
      <x:c r="DH98" s="117" t="n">
        <x:f>$B$98*DH81</x:f>
      </x:c>
      <x:c r="DI98" s="117" t="n">
        <x:f>$B$98*DI81</x:f>
      </x:c>
      <x:c r="DJ98" s="117" t="n">
        <x:f>$B$98*DJ81</x:f>
      </x:c>
      <x:c r="DK98" s="117" t="n">
        <x:f>$B$98*DK81</x:f>
      </x:c>
      <x:c r="DL98" s="117" t="n">
        <x:f>$B$98*DL81</x:f>
      </x:c>
      <x:c r="DM98" s="117" t="n">
        <x:f>$B$98*DM81</x:f>
      </x:c>
      <x:c r="DN98" s="117" t="n">
        <x:f>$B$98*DN81</x:f>
      </x:c>
      <x:c r="DO98" s="117" t="n">
        <x:f>$B$98*DO81</x:f>
      </x:c>
      <x:c r="DP98" s="117" t="n">
        <x:f>$B$98*DP81</x:f>
      </x:c>
      <x:c r="DQ98" s="117" t="n">
        <x:f>$B$98*DQ81</x:f>
      </x:c>
      <x:c r="DR98" s="117" t="n">
        <x:f>$B$98*DR81</x:f>
      </x:c>
      <x:c r="DS98" s="117" t="n">
        <x:f>$B$98*DS81</x:f>
      </x:c>
      <x:c r="DT98" s="117" t="n">
        <x:f>$B$98*DT81</x:f>
      </x:c>
      <x:c r="DU98" s="117" t="n">
        <x:f>$B$98*DU81</x:f>
      </x:c>
      <x:c r="DV98" s="117" t="n">
        <x:f>$B$98*DV81</x:f>
      </x:c>
      <x:c r="DW98" s="117" t="n">
        <x:f>$B$98*DW81</x:f>
      </x:c>
      <x:c r="DX98" s="117" t="n">
        <x:f>$B$98*DX81</x:f>
      </x:c>
      <x:c r="DY98" s="117" t="n">
        <x:f>$B$98*DY81</x:f>
      </x:c>
      <x:c r="DZ98" s="117" t="n">
        <x:f>$B$98*DZ81</x:f>
      </x:c>
      <x:c r="EA98" s="117" t="n">
        <x:f>$B$98*EA81</x:f>
      </x:c>
      <x:c r="EB98" s="117" t="n">
        <x:f>$B$98*EB81</x:f>
      </x:c>
      <x:c r="EC98" s="117" t="n">
        <x:f>$B$98*EC81</x:f>
      </x:c>
      <x:c r="ED98" s="117" t="n">
        <x:f>$B$98*ED81</x:f>
      </x:c>
      <x:c r="EE98" s="117" t="n">
        <x:f>$B$98*EE81</x:f>
      </x:c>
      <x:c r="EF98" s="117" t="n">
        <x:f>$B$98*EF81</x:f>
      </x:c>
      <x:c r="EG98" s="117" t="n">
        <x:f>$B$98*EG81</x:f>
      </x:c>
      <x:c r="EH98" s="117" t="n">
        <x:f>$B$98*EH81</x:f>
      </x:c>
      <x:c r="EI98" s="117" t="n">
        <x:f>$B$98*EI81</x:f>
      </x:c>
      <x:c r="EJ98" s="117" t="n">
        <x:f>$B$98*EJ81</x:f>
      </x:c>
      <x:c r="EK98" s="117" t="n">
        <x:f>$B$98*EK81</x:f>
      </x:c>
      <x:c r="EL98" s="117" t="n">
        <x:f>$B$98*EL81</x:f>
      </x:c>
      <x:c r="EM98" s="117" t="n">
        <x:f>$B$98*EM81</x:f>
      </x:c>
      <x:c r="EN98" s="117" t="n">
        <x:f>$B$98*EN81</x:f>
      </x:c>
      <x:c r="EO98" s="117" t="n">
        <x:f>$B$98*EO81</x:f>
      </x:c>
      <x:c r="EP98" s="117" t="n">
        <x:f>$B$98*EP81</x:f>
      </x:c>
      <x:c r="EQ98" s="117" t="n">
        <x:f>$B$98*EQ81</x:f>
      </x:c>
      <x:c r="ER98" s="117" t="n">
        <x:f>$B$98*ER81</x:f>
      </x:c>
      <x:c r="ES98" s="117" t="n">
        <x:f>$B$98*ES81</x:f>
      </x:c>
      <x:c r="ET98" s="117" t="n">
        <x:f>$B$98*ET81</x:f>
      </x:c>
      <x:c r="EU98" s="117" t="n">
        <x:f>$B$98*EU81</x:f>
      </x:c>
      <x:c r="EV98" s="117" t="n">
        <x:f>$B$98*EV81</x:f>
      </x:c>
      <x:c r="EW98" s="117" t="n">
        <x:f>$B$98*EW81</x:f>
      </x:c>
      <x:c r="EX98" s="117" t="n">
        <x:f>$B$98*EX81</x:f>
      </x:c>
      <x:c r="EY98" s="117" t="n">
        <x:f>$B$98*EY81</x:f>
      </x:c>
      <x:c r="EZ98" s="117" t="n">
        <x:f>$B$98*EZ81</x:f>
      </x:c>
      <x:c r="FA98" s="117" t="n">
        <x:f>$B$98*FA81</x:f>
      </x:c>
      <x:c r="FB98" s="117" t="n">
        <x:f>$B$98*FB81</x:f>
      </x:c>
      <x:c r="FC98" s="117" t="n">
        <x:f>$B$98*FC81</x:f>
      </x:c>
      <x:c r="FD98" s="117" t="n">
        <x:f>$B$98*FD81</x:f>
      </x:c>
      <x:c r="FE98" s="117" t="n">
        <x:f>$B$98*FE81</x:f>
      </x:c>
      <x:c r="FF98" s="117" t="n">
        <x:f>$B$98*FF81</x:f>
      </x:c>
      <x:c r="FG98" s="117" t="n">
        <x:f>$B$98*FG81</x:f>
      </x:c>
      <x:c r="FH98" s="117" t="n">
        <x:f>$B$98*FH81</x:f>
      </x:c>
      <x:c r="FI98" s="117" t="n">
        <x:f>$B$98*FI81</x:f>
      </x:c>
      <x:c r="FJ98" s="117" t="n">
        <x:f>$B$98*FJ81</x:f>
      </x:c>
      <x:c r="FK98" s="117" t="n">
        <x:f>$B$98*FK81</x:f>
      </x:c>
      <x:c r="FL98" s="117" t="n">
        <x:f>$B$98*FL81</x:f>
      </x:c>
      <x:c r="FM98" s="117" t="n">
        <x:f>$B$98*FM81</x:f>
      </x:c>
      <x:c r="FN98" s="117" t="n">
        <x:f>$B$98*FN81</x:f>
      </x:c>
      <x:c r="FO98" s="117" t="n">
        <x:f>$B$98*FO81</x:f>
      </x:c>
      <x:c r="FP98" s="117" t="n">
        <x:f>$B$98*FP81</x:f>
      </x:c>
      <x:c r="FQ98" s="117" t="n">
        <x:f>$B$98*FQ81</x:f>
      </x:c>
      <x:c r="FR98" s="117" t="n">
        <x:f>$B$98*FR81</x:f>
      </x:c>
      <x:c r="FS98" s="117" t="n">
        <x:f>$B$98*FS81</x:f>
      </x:c>
      <x:c r="FT98" s="117" t="n">
        <x:f>$B$98*FT81</x:f>
      </x:c>
      <x:c r="FU98" s="117" t="n">
        <x:f>$B$98*FU81</x:f>
      </x:c>
      <x:c r="FV98" s="117" t="n">
        <x:f>$B$98*FV81</x:f>
      </x:c>
      <x:c r="FW98" s="117" t="n">
        <x:f>$B$98*FW81</x:f>
      </x:c>
      <x:c r="FX98" s="117" t="n">
        <x:f>$B$98*FX81</x:f>
      </x:c>
      <x:c r="FY98" s="117" t="n">
        <x:f>$B$98*FY81</x:f>
      </x:c>
      <x:c r="FZ98" s="117" t="n">
        <x:f>$B$98*FZ81</x:f>
      </x:c>
      <x:c r="GA98" s="117" t="n">
        <x:f>$B$98*GA81</x:f>
      </x:c>
    </x:row>
    <x:row r="99">
      <x:c r="A99" t="str">
        <x:v>Социальная нагрузка</x:v>
      </x:c>
      <x:c r="B99" s="107" t="n">
        <x:f>'Вводные'!$B$17*'Вводные'!$R$90*'Вводные'!$H$6*--('Вводные'!$B$90="Да")</x:f>
      </x:c>
      <x:c r="C99" t="str">
        <x:v>млн ₽</x:v>
      </x:c>
      <x:c r="D99" s="117" t="n">
        <x:f>IF(AND(D$3&gt;='Вводные'!$B$18,D$3&lt;EDATE('Вводные'!$B$18,MAX(1,'Вводные'!$E$18))),$B$99/MAX(1,'Вводные'!$E$18),0)</x:f>
      </x:c>
      <x:c r="E99" s="117" t="n">
        <x:f>IF(AND(E$3&gt;='Вводные'!$B$18,E$3&lt;EDATE('Вводные'!$B$18,MAX(1,'Вводные'!$E$18))),$B$99/MAX(1,'Вводные'!$E$18),0)</x:f>
      </x:c>
      <x:c r="F99" s="117" t="n">
        <x:f>IF(AND(F$3&gt;='Вводные'!$B$18,F$3&lt;EDATE('Вводные'!$B$18,MAX(1,'Вводные'!$E$18))),$B$99/MAX(1,'Вводные'!$E$18),0)</x:f>
      </x:c>
      <x:c r="G99" s="117" t="n">
        <x:f>IF(AND(G$3&gt;='Вводные'!$B$18,G$3&lt;EDATE('Вводные'!$B$18,MAX(1,'Вводные'!$E$18))),$B$99/MAX(1,'Вводные'!$E$18),0)</x:f>
      </x:c>
      <x:c r="H99" s="117" t="n">
        <x:f>IF(AND(H$3&gt;='Вводные'!$B$18,H$3&lt;EDATE('Вводные'!$B$18,MAX(1,'Вводные'!$E$18))),$B$99/MAX(1,'Вводные'!$E$18),0)</x:f>
      </x:c>
      <x:c r="I99" s="117" t="n">
        <x:f>IF(AND(I$3&gt;='Вводные'!$B$18,I$3&lt;EDATE('Вводные'!$B$18,MAX(1,'Вводные'!$E$18))),$B$99/MAX(1,'Вводные'!$E$18),0)</x:f>
      </x:c>
      <x:c r="J99" s="117" t="n">
        <x:f>IF(AND(J$3&gt;='Вводные'!$B$18,J$3&lt;EDATE('Вводные'!$B$18,MAX(1,'Вводные'!$E$18))),$B$99/MAX(1,'Вводные'!$E$18),0)</x:f>
      </x:c>
      <x:c r="K99" s="117" t="n">
        <x:f>IF(AND(K$3&gt;='Вводные'!$B$18,K$3&lt;EDATE('Вводные'!$B$18,MAX(1,'Вводные'!$E$18))),$B$99/MAX(1,'Вводные'!$E$18),0)</x:f>
      </x:c>
      <x:c r="L99" s="117" t="n">
        <x:f>IF(AND(L$3&gt;='Вводные'!$B$18,L$3&lt;EDATE('Вводные'!$B$18,MAX(1,'Вводные'!$E$18))),$B$99/MAX(1,'Вводные'!$E$18),0)</x:f>
      </x:c>
      <x:c r="M99" s="117" t="n">
        <x:f>IF(AND(M$3&gt;='Вводные'!$B$18,M$3&lt;EDATE('Вводные'!$B$18,MAX(1,'Вводные'!$E$18))),$B$99/MAX(1,'Вводные'!$E$18),0)</x:f>
      </x:c>
      <x:c r="N99" s="117" t="n">
        <x:f>IF(AND(N$3&gt;='Вводные'!$B$18,N$3&lt;EDATE('Вводные'!$B$18,MAX(1,'Вводные'!$E$18))),$B$99/MAX(1,'Вводные'!$E$18),0)</x:f>
      </x:c>
      <x:c r="O99" s="117" t="n">
        <x:f>IF(AND(O$3&gt;='Вводные'!$B$18,O$3&lt;EDATE('Вводные'!$B$18,MAX(1,'Вводные'!$E$18))),$B$99/MAX(1,'Вводные'!$E$18),0)</x:f>
      </x:c>
      <x:c r="P99" s="117" t="n">
        <x:f>IF(AND(P$3&gt;='Вводные'!$B$18,P$3&lt;EDATE('Вводные'!$B$18,MAX(1,'Вводные'!$E$18))),$B$99/MAX(1,'Вводные'!$E$18),0)</x:f>
      </x:c>
      <x:c r="Q99" s="117" t="n">
        <x:f>IF(AND(Q$3&gt;='Вводные'!$B$18,Q$3&lt;EDATE('Вводные'!$B$18,MAX(1,'Вводные'!$E$18))),$B$99/MAX(1,'Вводные'!$E$18),0)</x:f>
      </x:c>
      <x:c r="R99" s="117" t="n">
        <x:f>IF(AND(R$3&gt;='Вводные'!$B$18,R$3&lt;EDATE('Вводные'!$B$18,MAX(1,'Вводные'!$E$18))),$B$99/MAX(1,'Вводные'!$E$18),0)</x:f>
      </x:c>
      <x:c r="S99" s="117" t="n">
        <x:f>IF(AND(S$3&gt;='Вводные'!$B$18,S$3&lt;EDATE('Вводные'!$B$18,MAX(1,'Вводные'!$E$18))),$B$99/MAX(1,'Вводные'!$E$18),0)</x:f>
      </x:c>
      <x:c r="T99" s="117" t="n">
        <x:f>IF(AND(T$3&gt;='Вводные'!$B$18,T$3&lt;EDATE('Вводные'!$B$18,MAX(1,'Вводные'!$E$18))),$B$99/MAX(1,'Вводные'!$E$18),0)</x:f>
      </x:c>
      <x:c r="U99" s="117" t="n">
        <x:f>IF(AND(U$3&gt;='Вводные'!$B$18,U$3&lt;EDATE('Вводные'!$B$18,MAX(1,'Вводные'!$E$18))),$B$99/MAX(1,'Вводные'!$E$18),0)</x:f>
      </x:c>
      <x:c r="V99" s="117" t="n">
        <x:f>IF(AND(V$3&gt;='Вводные'!$B$18,V$3&lt;EDATE('Вводные'!$B$18,MAX(1,'Вводные'!$E$18))),$B$99/MAX(1,'Вводные'!$E$18),0)</x:f>
      </x:c>
      <x:c r="W99" s="117" t="n">
        <x:f>IF(AND(W$3&gt;='Вводные'!$B$18,W$3&lt;EDATE('Вводные'!$B$18,MAX(1,'Вводные'!$E$18))),$B$99/MAX(1,'Вводные'!$E$18),0)</x:f>
      </x:c>
      <x:c r="X99" s="117" t="n">
        <x:f>IF(AND(X$3&gt;='Вводные'!$B$18,X$3&lt;EDATE('Вводные'!$B$18,MAX(1,'Вводные'!$E$18))),$B$99/MAX(1,'Вводные'!$E$18),0)</x:f>
      </x:c>
      <x:c r="Y99" s="117" t="n">
        <x:f>IF(AND(Y$3&gt;='Вводные'!$B$18,Y$3&lt;EDATE('Вводные'!$B$18,MAX(1,'Вводные'!$E$18))),$B$99/MAX(1,'Вводные'!$E$18),0)</x:f>
      </x:c>
      <x:c r="Z99" s="117" t="n">
        <x:f>IF(AND(Z$3&gt;='Вводные'!$B$18,Z$3&lt;EDATE('Вводные'!$B$18,MAX(1,'Вводные'!$E$18))),$B$99/MAX(1,'Вводные'!$E$18),0)</x:f>
      </x:c>
      <x:c r="AA99" s="117" t="n">
        <x:f>IF(AND(AA$3&gt;='Вводные'!$B$18,AA$3&lt;EDATE('Вводные'!$B$18,MAX(1,'Вводные'!$E$18))),$B$99/MAX(1,'Вводные'!$E$18),0)</x:f>
      </x:c>
      <x:c r="AB99" s="117" t="n">
        <x:f>IF(AND(AB$3&gt;='Вводные'!$B$18,AB$3&lt;EDATE('Вводные'!$B$18,MAX(1,'Вводные'!$E$18))),$B$99/MAX(1,'Вводные'!$E$18),0)</x:f>
      </x:c>
      <x:c r="AC99" s="117" t="n">
        <x:f>IF(AND(AC$3&gt;='Вводные'!$B$18,AC$3&lt;EDATE('Вводные'!$B$18,MAX(1,'Вводные'!$E$18))),$B$99/MAX(1,'Вводные'!$E$18),0)</x:f>
      </x:c>
      <x:c r="AD99" s="117" t="n">
        <x:f>IF(AND(AD$3&gt;='Вводные'!$B$18,AD$3&lt;EDATE('Вводные'!$B$18,MAX(1,'Вводные'!$E$18))),$B$99/MAX(1,'Вводные'!$E$18),0)</x:f>
      </x:c>
      <x:c r="AE99" s="117" t="n">
        <x:f>IF(AND(AE$3&gt;='Вводные'!$B$18,AE$3&lt;EDATE('Вводные'!$B$18,MAX(1,'Вводные'!$E$18))),$B$99/MAX(1,'Вводные'!$E$18),0)</x:f>
      </x:c>
      <x:c r="AF99" s="117" t="n">
        <x:f>IF(AND(AF$3&gt;='Вводные'!$B$18,AF$3&lt;EDATE('Вводные'!$B$18,MAX(1,'Вводные'!$E$18))),$B$99/MAX(1,'Вводные'!$E$18),0)</x:f>
      </x:c>
      <x:c r="AG99" s="117" t="n">
        <x:f>IF(AND(AG$3&gt;='Вводные'!$B$18,AG$3&lt;EDATE('Вводные'!$B$18,MAX(1,'Вводные'!$E$18))),$B$99/MAX(1,'Вводные'!$E$18),0)</x:f>
      </x:c>
      <x:c r="AH99" s="117" t="n">
        <x:f>IF(AND(AH$3&gt;='Вводные'!$B$18,AH$3&lt;EDATE('Вводные'!$B$18,MAX(1,'Вводные'!$E$18))),$B$99/MAX(1,'Вводные'!$E$18),0)</x:f>
      </x:c>
      <x:c r="AI99" s="117" t="n">
        <x:f>IF(AND(AI$3&gt;='Вводные'!$B$18,AI$3&lt;EDATE('Вводные'!$B$18,MAX(1,'Вводные'!$E$18))),$B$99/MAX(1,'Вводные'!$E$18),0)</x:f>
      </x:c>
      <x:c r="AJ99" s="117" t="n">
        <x:f>IF(AND(AJ$3&gt;='Вводные'!$B$18,AJ$3&lt;EDATE('Вводные'!$B$18,MAX(1,'Вводные'!$E$18))),$B$99/MAX(1,'Вводные'!$E$18),0)</x:f>
      </x:c>
      <x:c r="AK99" s="117" t="n">
        <x:f>IF(AND(AK$3&gt;='Вводные'!$B$18,AK$3&lt;EDATE('Вводные'!$B$18,MAX(1,'Вводные'!$E$18))),$B$99/MAX(1,'Вводные'!$E$18),0)</x:f>
      </x:c>
      <x:c r="AL99" s="117" t="n">
        <x:f>IF(AND(AL$3&gt;='Вводные'!$B$18,AL$3&lt;EDATE('Вводные'!$B$18,MAX(1,'Вводные'!$E$18))),$B$99/MAX(1,'Вводные'!$E$18),0)</x:f>
      </x:c>
      <x:c r="AM99" s="117" t="n">
        <x:f>IF(AND(AM$3&gt;='Вводные'!$B$18,AM$3&lt;EDATE('Вводные'!$B$18,MAX(1,'Вводные'!$E$18))),$B$99/MAX(1,'Вводные'!$E$18),0)</x:f>
      </x:c>
      <x:c r="AN99" s="117" t="n">
        <x:f>IF(AND(AN$3&gt;='Вводные'!$B$18,AN$3&lt;EDATE('Вводные'!$B$18,MAX(1,'Вводные'!$E$18))),$B$99/MAX(1,'Вводные'!$E$18),0)</x:f>
      </x:c>
      <x:c r="AO99" s="117" t="n">
        <x:f>IF(AND(AO$3&gt;='Вводные'!$B$18,AO$3&lt;EDATE('Вводные'!$B$18,MAX(1,'Вводные'!$E$18))),$B$99/MAX(1,'Вводные'!$E$18),0)</x:f>
      </x:c>
      <x:c r="AP99" s="117" t="n">
        <x:f>IF(AND(AP$3&gt;='Вводные'!$B$18,AP$3&lt;EDATE('Вводные'!$B$18,MAX(1,'Вводные'!$E$18))),$B$99/MAX(1,'Вводные'!$E$18),0)</x:f>
      </x:c>
      <x:c r="AQ99" s="117" t="n">
        <x:f>IF(AND(AQ$3&gt;='Вводные'!$B$18,AQ$3&lt;EDATE('Вводные'!$B$18,MAX(1,'Вводные'!$E$18))),$B$99/MAX(1,'Вводные'!$E$18),0)</x:f>
      </x:c>
      <x:c r="AR99" s="117" t="n">
        <x:f>IF(AND(AR$3&gt;='Вводные'!$B$18,AR$3&lt;EDATE('Вводные'!$B$18,MAX(1,'Вводные'!$E$18))),$B$99/MAX(1,'Вводные'!$E$18),0)</x:f>
      </x:c>
      <x:c r="AS99" s="117" t="n">
        <x:f>IF(AND(AS$3&gt;='Вводные'!$B$18,AS$3&lt;EDATE('Вводные'!$B$18,MAX(1,'Вводные'!$E$18))),$B$99/MAX(1,'Вводные'!$E$18),0)</x:f>
      </x:c>
      <x:c r="AT99" s="117" t="n">
        <x:f>IF(AND(AT$3&gt;='Вводные'!$B$18,AT$3&lt;EDATE('Вводные'!$B$18,MAX(1,'Вводные'!$E$18))),$B$99/MAX(1,'Вводные'!$E$18),0)</x:f>
      </x:c>
      <x:c r="AU99" s="117" t="n">
        <x:f>IF(AND(AU$3&gt;='Вводные'!$B$18,AU$3&lt;EDATE('Вводные'!$B$18,MAX(1,'Вводные'!$E$18))),$B$99/MAX(1,'Вводные'!$E$18),0)</x:f>
      </x:c>
      <x:c r="AV99" s="117" t="n">
        <x:f>IF(AND(AV$3&gt;='Вводные'!$B$18,AV$3&lt;EDATE('Вводные'!$B$18,MAX(1,'Вводные'!$E$18))),$B$99/MAX(1,'Вводные'!$E$18),0)</x:f>
      </x:c>
      <x:c r="AW99" s="117" t="n">
        <x:f>IF(AND(AW$3&gt;='Вводные'!$B$18,AW$3&lt;EDATE('Вводные'!$B$18,MAX(1,'Вводные'!$E$18))),$B$99/MAX(1,'Вводные'!$E$18),0)</x:f>
      </x:c>
      <x:c r="AX99" s="117" t="n">
        <x:f>IF(AND(AX$3&gt;='Вводные'!$B$18,AX$3&lt;EDATE('Вводные'!$B$18,MAX(1,'Вводные'!$E$18))),$B$99/MAX(1,'Вводные'!$E$18),0)</x:f>
      </x:c>
      <x:c r="AY99" s="117" t="n">
        <x:f>IF(AND(AY$3&gt;='Вводные'!$B$18,AY$3&lt;EDATE('Вводные'!$B$18,MAX(1,'Вводные'!$E$18))),$B$99/MAX(1,'Вводные'!$E$18),0)</x:f>
      </x:c>
      <x:c r="AZ99" s="117" t="n">
        <x:f>IF(AND(AZ$3&gt;='Вводные'!$B$18,AZ$3&lt;EDATE('Вводные'!$B$18,MAX(1,'Вводные'!$E$18))),$B$99/MAX(1,'Вводные'!$E$18),0)</x:f>
      </x:c>
      <x:c r="BA99" s="117" t="n">
        <x:f>IF(AND(BA$3&gt;='Вводные'!$B$18,BA$3&lt;EDATE('Вводные'!$B$18,MAX(1,'Вводные'!$E$18))),$B$99/MAX(1,'Вводные'!$E$18),0)</x:f>
      </x:c>
      <x:c r="BB99" s="117" t="n">
        <x:f>IF(AND(BB$3&gt;='Вводные'!$B$18,BB$3&lt;EDATE('Вводные'!$B$18,MAX(1,'Вводные'!$E$18))),$B$99/MAX(1,'Вводные'!$E$18),0)</x:f>
      </x:c>
      <x:c r="BC99" s="117" t="n">
        <x:f>IF(AND(BC$3&gt;='Вводные'!$B$18,BC$3&lt;EDATE('Вводные'!$B$18,MAX(1,'Вводные'!$E$18))),$B$99/MAX(1,'Вводные'!$E$18),0)</x:f>
      </x:c>
      <x:c r="BD99" s="117" t="n">
        <x:f>IF(AND(BD$3&gt;='Вводные'!$B$18,BD$3&lt;EDATE('Вводные'!$B$18,MAX(1,'Вводные'!$E$18))),$B$99/MAX(1,'Вводные'!$E$18),0)</x:f>
      </x:c>
      <x:c r="BE99" s="117" t="n">
        <x:f>IF(AND(BE$3&gt;='Вводные'!$B$18,BE$3&lt;EDATE('Вводные'!$B$18,MAX(1,'Вводные'!$E$18))),$B$99/MAX(1,'Вводные'!$E$18),0)</x:f>
      </x:c>
      <x:c r="BF99" s="117" t="n">
        <x:f>IF(AND(BF$3&gt;='Вводные'!$B$18,BF$3&lt;EDATE('Вводные'!$B$18,MAX(1,'Вводные'!$E$18))),$B$99/MAX(1,'Вводные'!$E$18),0)</x:f>
      </x:c>
      <x:c r="BG99" s="117" t="n">
        <x:f>IF(AND(BG$3&gt;='Вводные'!$B$18,BG$3&lt;EDATE('Вводные'!$B$18,MAX(1,'Вводные'!$E$18))),$B$99/MAX(1,'Вводные'!$E$18),0)</x:f>
      </x:c>
      <x:c r="BH99" s="117" t="n">
        <x:f>IF(AND(BH$3&gt;='Вводные'!$B$18,BH$3&lt;EDATE('Вводные'!$B$18,MAX(1,'Вводные'!$E$18))),$B$99/MAX(1,'Вводные'!$E$18),0)</x:f>
      </x:c>
      <x:c r="BI99" s="117" t="n">
        <x:f>IF(AND(BI$3&gt;='Вводные'!$B$18,BI$3&lt;EDATE('Вводные'!$B$18,MAX(1,'Вводные'!$E$18))),$B$99/MAX(1,'Вводные'!$E$18),0)</x:f>
      </x:c>
      <x:c r="BJ99" s="117" t="n">
        <x:f>IF(AND(BJ$3&gt;='Вводные'!$B$18,BJ$3&lt;EDATE('Вводные'!$B$18,MAX(1,'Вводные'!$E$18))),$B$99/MAX(1,'Вводные'!$E$18),0)</x:f>
      </x:c>
      <x:c r="BK99" s="117" t="n">
        <x:f>IF(AND(BK$3&gt;='Вводные'!$B$18,BK$3&lt;EDATE('Вводные'!$B$18,MAX(1,'Вводные'!$E$18))),$B$99/MAX(1,'Вводные'!$E$18),0)</x:f>
      </x:c>
      <x:c r="BL99" s="117" t="n">
        <x:f>IF(AND(BL$3&gt;='Вводные'!$B$18,BL$3&lt;EDATE('Вводные'!$B$18,MAX(1,'Вводные'!$E$18))),$B$99/MAX(1,'Вводные'!$E$18),0)</x:f>
      </x:c>
      <x:c r="BM99" s="117" t="n">
        <x:f>IF(AND(BM$3&gt;='Вводные'!$B$18,BM$3&lt;EDATE('Вводные'!$B$18,MAX(1,'Вводные'!$E$18))),$B$99/MAX(1,'Вводные'!$E$18),0)</x:f>
      </x:c>
      <x:c r="BN99" s="117" t="n">
        <x:f>IF(AND(BN$3&gt;='Вводные'!$B$18,BN$3&lt;EDATE('Вводные'!$B$18,MAX(1,'Вводные'!$E$18))),$B$99/MAX(1,'Вводные'!$E$18),0)</x:f>
      </x:c>
      <x:c r="BO99" s="117" t="n">
        <x:f>IF(AND(BO$3&gt;='Вводные'!$B$18,BO$3&lt;EDATE('Вводные'!$B$18,MAX(1,'Вводные'!$E$18))),$B$99/MAX(1,'Вводные'!$E$18),0)</x:f>
      </x:c>
      <x:c r="BP99" s="117" t="n">
        <x:f>IF(AND(BP$3&gt;='Вводные'!$B$18,BP$3&lt;EDATE('Вводные'!$B$18,MAX(1,'Вводные'!$E$18))),$B$99/MAX(1,'Вводные'!$E$18),0)</x:f>
      </x:c>
      <x:c r="BQ99" s="117" t="n">
        <x:f>IF(AND(BQ$3&gt;='Вводные'!$B$18,BQ$3&lt;EDATE('Вводные'!$B$18,MAX(1,'Вводные'!$E$18))),$B$99/MAX(1,'Вводные'!$E$18),0)</x:f>
      </x:c>
      <x:c r="BR99" s="117" t="n">
        <x:f>IF(AND(BR$3&gt;='Вводные'!$B$18,BR$3&lt;EDATE('Вводные'!$B$18,MAX(1,'Вводные'!$E$18))),$B$99/MAX(1,'Вводные'!$E$18),0)</x:f>
      </x:c>
      <x:c r="BS99" s="117" t="n">
        <x:f>IF(AND(BS$3&gt;='Вводные'!$B$18,BS$3&lt;EDATE('Вводные'!$B$18,MAX(1,'Вводные'!$E$18))),$B$99/MAX(1,'Вводные'!$E$18),0)</x:f>
      </x:c>
      <x:c r="BT99" s="117" t="n">
        <x:f>IF(AND(BT$3&gt;='Вводные'!$B$18,BT$3&lt;EDATE('Вводные'!$B$18,MAX(1,'Вводные'!$E$18))),$B$99/MAX(1,'Вводные'!$E$18),0)</x:f>
      </x:c>
      <x:c r="BU99" s="117" t="n">
        <x:f>IF(AND(BU$3&gt;='Вводные'!$B$18,BU$3&lt;EDATE('Вводные'!$B$18,MAX(1,'Вводные'!$E$18))),$B$99/MAX(1,'Вводные'!$E$18),0)</x:f>
      </x:c>
      <x:c r="BV99" s="117" t="n">
        <x:f>IF(AND(BV$3&gt;='Вводные'!$B$18,BV$3&lt;EDATE('Вводные'!$B$18,MAX(1,'Вводные'!$E$18))),$B$99/MAX(1,'Вводные'!$E$18),0)</x:f>
      </x:c>
      <x:c r="BW99" s="117" t="n">
        <x:f>IF(AND(BW$3&gt;='Вводные'!$B$18,BW$3&lt;EDATE('Вводные'!$B$18,MAX(1,'Вводные'!$E$18))),$B$99/MAX(1,'Вводные'!$E$18),0)</x:f>
      </x:c>
      <x:c r="BX99" s="117" t="n">
        <x:f>IF(AND(BX$3&gt;='Вводные'!$B$18,BX$3&lt;EDATE('Вводные'!$B$18,MAX(1,'Вводные'!$E$18))),$B$99/MAX(1,'Вводные'!$E$18),0)</x:f>
      </x:c>
      <x:c r="BY99" s="117" t="n">
        <x:f>IF(AND(BY$3&gt;='Вводные'!$B$18,BY$3&lt;EDATE('Вводные'!$B$18,MAX(1,'Вводные'!$E$18))),$B$99/MAX(1,'Вводные'!$E$18),0)</x:f>
      </x:c>
      <x:c r="BZ99" s="117" t="n">
        <x:f>IF(AND(BZ$3&gt;='Вводные'!$B$18,BZ$3&lt;EDATE('Вводные'!$B$18,MAX(1,'Вводные'!$E$18))),$B$99/MAX(1,'Вводные'!$E$18),0)</x:f>
      </x:c>
      <x:c r="CA99" s="117" t="n">
        <x:f>IF(AND(CA$3&gt;='Вводные'!$B$18,CA$3&lt;EDATE('Вводные'!$B$18,MAX(1,'Вводные'!$E$18))),$B$99/MAX(1,'Вводные'!$E$18),0)</x:f>
      </x:c>
      <x:c r="CB99" s="117" t="n">
        <x:f>IF(AND(CB$3&gt;='Вводные'!$B$18,CB$3&lt;EDATE('Вводные'!$B$18,MAX(1,'Вводные'!$E$18))),$B$99/MAX(1,'Вводные'!$E$18),0)</x:f>
      </x:c>
      <x:c r="CC99" s="117" t="n">
        <x:f>IF(AND(CC$3&gt;='Вводные'!$B$18,CC$3&lt;EDATE('Вводные'!$B$18,MAX(1,'Вводные'!$E$18))),$B$99/MAX(1,'Вводные'!$E$18),0)</x:f>
      </x:c>
      <x:c r="CD99" s="117" t="n">
        <x:f>IF(AND(CD$3&gt;='Вводные'!$B$18,CD$3&lt;EDATE('Вводные'!$B$18,MAX(1,'Вводные'!$E$18))),$B$99/MAX(1,'Вводные'!$E$18),0)</x:f>
      </x:c>
      <x:c r="CE99" s="117" t="n">
        <x:f>IF(AND(CE$3&gt;='Вводные'!$B$18,CE$3&lt;EDATE('Вводные'!$B$18,MAX(1,'Вводные'!$E$18))),$B$99/MAX(1,'Вводные'!$E$18),0)</x:f>
      </x:c>
      <x:c r="CF99" s="117" t="n">
        <x:f>IF(AND(CF$3&gt;='Вводные'!$B$18,CF$3&lt;EDATE('Вводные'!$B$18,MAX(1,'Вводные'!$E$18))),$B$99/MAX(1,'Вводные'!$E$18),0)</x:f>
      </x:c>
      <x:c r="CG99" s="117" t="n">
        <x:f>IF(AND(CG$3&gt;='Вводные'!$B$18,CG$3&lt;EDATE('Вводные'!$B$18,MAX(1,'Вводные'!$E$18))),$B$99/MAX(1,'Вводные'!$E$18),0)</x:f>
      </x:c>
      <x:c r="CH99" s="117" t="n">
        <x:f>IF(AND(CH$3&gt;='Вводные'!$B$18,CH$3&lt;EDATE('Вводные'!$B$18,MAX(1,'Вводные'!$E$18))),$B$99/MAX(1,'Вводные'!$E$18),0)</x:f>
      </x:c>
      <x:c r="CI99" s="117" t="n">
        <x:f>IF(AND(CI$3&gt;='Вводные'!$B$18,CI$3&lt;EDATE('Вводные'!$B$18,MAX(1,'Вводные'!$E$18))),$B$99/MAX(1,'Вводные'!$E$18),0)</x:f>
      </x:c>
      <x:c r="CJ99" s="117" t="n">
        <x:f>IF(AND(CJ$3&gt;='Вводные'!$B$18,CJ$3&lt;EDATE('Вводные'!$B$18,MAX(1,'Вводные'!$E$18))),$B$99/MAX(1,'Вводные'!$E$18),0)</x:f>
      </x:c>
      <x:c r="CK99" s="117" t="n">
        <x:f>IF(AND(CK$3&gt;='Вводные'!$B$18,CK$3&lt;EDATE('Вводные'!$B$18,MAX(1,'Вводные'!$E$18))),$B$99/MAX(1,'Вводные'!$E$18),0)</x:f>
      </x:c>
      <x:c r="CL99" s="117" t="n">
        <x:f>IF(AND(CL$3&gt;='Вводные'!$B$18,CL$3&lt;EDATE('Вводные'!$B$18,MAX(1,'Вводные'!$E$18))),$B$99/MAX(1,'Вводные'!$E$18),0)</x:f>
      </x:c>
      <x:c r="CM99" s="117" t="n">
        <x:f>IF(AND(CM$3&gt;='Вводные'!$B$18,CM$3&lt;EDATE('Вводные'!$B$18,MAX(1,'Вводные'!$E$18))),$B$99/MAX(1,'Вводные'!$E$18),0)</x:f>
      </x:c>
      <x:c r="CN99" s="117" t="n">
        <x:f>IF(AND(CN$3&gt;='Вводные'!$B$18,CN$3&lt;EDATE('Вводные'!$B$18,MAX(1,'Вводные'!$E$18))),$B$99/MAX(1,'Вводные'!$E$18),0)</x:f>
      </x:c>
      <x:c r="CO99" s="117" t="n">
        <x:f>IF(AND(CO$3&gt;='Вводные'!$B$18,CO$3&lt;EDATE('Вводные'!$B$18,MAX(1,'Вводные'!$E$18))),$B$99/MAX(1,'Вводные'!$E$18),0)</x:f>
      </x:c>
      <x:c r="CP99" s="117" t="n">
        <x:f>IF(AND(CP$3&gt;='Вводные'!$B$18,CP$3&lt;EDATE('Вводные'!$B$18,MAX(1,'Вводные'!$E$18))),$B$99/MAX(1,'Вводные'!$E$18),0)</x:f>
      </x:c>
      <x:c r="CQ99" s="117" t="n">
        <x:f>IF(AND(CQ$3&gt;='Вводные'!$B$18,CQ$3&lt;EDATE('Вводные'!$B$18,MAX(1,'Вводные'!$E$18))),$B$99/MAX(1,'Вводные'!$E$18),0)</x:f>
      </x:c>
      <x:c r="CR99" s="117" t="n">
        <x:f>IF(AND(CR$3&gt;='Вводные'!$B$18,CR$3&lt;EDATE('Вводные'!$B$18,MAX(1,'Вводные'!$E$18))),$B$99/MAX(1,'Вводные'!$E$18),0)</x:f>
      </x:c>
      <x:c r="CS99" s="117" t="n">
        <x:f>IF(AND(CS$3&gt;='Вводные'!$B$18,CS$3&lt;EDATE('Вводные'!$B$18,MAX(1,'Вводные'!$E$18))),$B$99/MAX(1,'Вводные'!$E$18),0)</x:f>
      </x:c>
      <x:c r="CT99" s="117" t="n">
        <x:f>IF(AND(CT$3&gt;='Вводные'!$B$18,CT$3&lt;EDATE('Вводные'!$B$18,MAX(1,'Вводные'!$E$18))),$B$99/MAX(1,'Вводные'!$E$18),0)</x:f>
      </x:c>
      <x:c r="CU99" s="117" t="n">
        <x:f>IF(AND(CU$3&gt;='Вводные'!$B$18,CU$3&lt;EDATE('Вводные'!$B$18,MAX(1,'Вводные'!$E$18))),$B$99/MAX(1,'Вводные'!$E$18),0)</x:f>
      </x:c>
      <x:c r="CV99" s="117" t="n">
        <x:f>IF(AND(CV$3&gt;='Вводные'!$B$18,CV$3&lt;EDATE('Вводные'!$B$18,MAX(1,'Вводные'!$E$18))),$B$99/MAX(1,'Вводные'!$E$18),0)</x:f>
      </x:c>
      <x:c r="CW99" s="117" t="n">
        <x:f>IF(AND(CW$3&gt;='Вводные'!$B$18,CW$3&lt;EDATE('Вводные'!$B$18,MAX(1,'Вводные'!$E$18))),$B$99/MAX(1,'Вводные'!$E$18),0)</x:f>
      </x:c>
      <x:c r="CX99" s="117" t="n">
        <x:f>IF(AND(CX$3&gt;='Вводные'!$B$18,CX$3&lt;EDATE('Вводные'!$B$18,MAX(1,'Вводные'!$E$18))),$B$99/MAX(1,'Вводные'!$E$18),0)</x:f>
      </x:c>
      <x:c r="CY99" s="117" t="n">
        <x:f>IF(AND(CY$3&gt;='Вводные'!$B$18,CY$3&lt;EDATE('Вводные'!$B$18,MAX(1,'Вводные'!$E$18))),$B$99/MAX(1,'Вводные'!$E$18),0)</x:f>
      </x:c>
      <x:c r="CZ99" s="117" t="n">
        <x:f>IF(AND(CZ$3&gt;='Вводные'!$B$18,CZ$3&lt;EDATE('Вводные'!$B$18,MAX(1,'Вводные'!$E$18))),$B$99/MAX(1,'Вводные'!$E$18),0)</x:f>
      </x:c>
      <x:c r="DA99" s="117" t="n">
        <x:f>IF(AND(DA$3&gt;='Вводные'!$B$18,DA$3&lt;EDATE('Вводные'!$B$18,MAX(1,'Вводные'!$E$18))),$B$99/MAX(1,'Вводные'!$E$18),0)</x:f>
      </x:c>
      <x:c r="DB99" s="117" t="n">
        <x:f>IF(AND(DB$3&gt;='Вводные'!$B$18,DB$3&lt;EDATE('Вводные'!$B$18,MAX(1,'Вводные'!$E$18))),$B$99/MAX(1,'Вводные'!$E$18),0)</x:f>
      </x:c>
      <x:c r="DC99" s="117" t="n">
        <x:f>IF(AND(DC$3&gt;='Вводные'!$B$18,DC$3&lt;EDATE('Вводные'!$B$18,MAX(1,'Вводные'!$E$18))),$B$99/MAX(1,'Вводные'!$E$18),0)</x:f>
      </x:c>
      <x:c r="DD99" s="117" t="n">
        <x:f>IF(AND(DD$3&gt;='Вводные'!$B$18,DD$3&lt;EDATE('Вводные'!$B$18,MAX(1,'Вводные'!$E$18))),$B$99/MAX(1,'Вводные'!$E$18),0)</x:f>
      </x:c>
      <x:c r="DE99" s="117" t="n">
        <x:f>IF(AND(DE$3&gt;='Вводные'!$B$18,DE$3&lt;EDATE('Вводные'!$B$18,MAX(1,'Вводные'!$E$18))),$B$99/MAX(1,'Вводные'!$E$18),0)</x:f>
      </x:c>
      <x:c r="DF99" s="117" t="n">
        <x:f>IF(AND(DF$3&gt;='Вводные'!$B$18,DF$3&lt;EDATE('Вводные'!$B$18,MAX(1,'Вводные'!$E$18))),$B$99/MAX(1,'Вводные'!$E$18),0)</x:f>
      </x:c>
      <x:c r="DG99" s="117" t="n">
        <x:f>IF(AND(DG$3&gt;='Вводные'!$B$18,DG$3&lt;EDATE('Вводные'!$B$18,MAX(1,'Вводные'!$E$18))),$B$99/MAX(1,'Вводные'!$E$18),0)</x:f>
      </x:c>
      <x:c r="DH99" s="117" t="n">
        <x:f>IF(AND(DH$3&gt;='Вводные'!$B$18,DH$3&lt;EDATE('Вводные'!$B$18,MAX(1,'Вводные'!$E$18))),$B$99/MAX(1,'Вводные'!$E$18),0)</x:f>
      </x:c>
      <x:c r="DI99" s="117" t="n">
        <x:f>IF(AND(DI$3&gt;='Вводные'!$B$18,DI$3&lt;EDATE('Вводные'!$B$18,MAX(1,'Вводные'!$E$18))),$B$99/MAX(1,'Вводные'!$E$18),0)</x:f>
      </x:c>
      <x:c r="DJ99" s="117" t="n">
        <x:f>IF(AND(DJ$3&gt;='Вводные'!$B$18,DJ$3&lt;EDATE('Вводные'!$B$18,MAX(1,'Вводные'!$E$18))),$B$99/MAX(1,'Вводные'!$E$18),0)</x:f>
      </x:c>
      <x:c r="DK99" s="117" t="n">
        <x:f>IF(AND(DK$3&gt;='Вводные'!$B$18,DK$3&lt;EDATE('Вводные'!$B$18,MAX(1,'Вводные'!$E$18))),$B$99/MAX(1,'Вводные'!$E$18),0)</x:f>
      </x:c>
      <x:c r="DL99" s="117" t="n">
        <x:f>IF(AND(DL$3&gt;='Вводные'!$B$18,DL$3&lt;EDATE('Вводные'!$B$18,MAX(1,'Вводные'!$E$18))),$B$99/MAX(1,'Вводные'!$E$18),0)</x:f>
      </x:c>
      <x:c r="DM99" s="117" t="n">
        <x:f>IF(AND(DM$3&gt;='Вводные'!$B$18,DM$3&lt;EDATE('Вводные'!$B$18,MAX(1,'Вводные'!$E$18))),$B$99/MAX(1,'Вводные'!$E$18),0)</x:f>
      </x:c>
      <x:c r="DN99" s="117" t="n">
        <x:f>IF(AND(DN$3&gt;='Вводные'!$B$18,DN$3&lt;EDATE('Вводные'!$B$18,MAX(1,'Вводные'!$E$18))),$B$99/MAX(1,'Вводные'!$E$18),0)</x:f>
      </x:c>
      <x:c r="DO99" s="117" t="n">
        <x:f>IF(AND(DO$3&gt;='Вводные'!$B$18,DO$3&lt;EDATE('Вводные'!$B$18,MAX(1,'Вводные'!$E$18))),$B$99/MAX(1,'Вводные'!$E$18),0)</x:f>
      </x:c>
      <x:c r="DP99" s="117" t="n">
        <x:f>IF(AND(DP$3&gt;='Вводные'!$B$18,DP$3&lt;EDATE('Вводные'!$B$18,MAX(1,'Вводные'!$E$18))),$B$99/MAX(1,'Вводные'!$E$18),0)</x:f>
      </x:c>
      <x:c r="DQ99" s="117" t="n">
        <x:f>IF(AND(DQ$3&gt;='Вводные'!$B$18,DQ$3&lt;EDATE('Вводные'!$B$18,MAX(1,'Вводные'!$E$18))),$B$99/MAX(1,'Вводные'!$E$18),0)</x:f>
      </x:c>
      <x:c r="DR99" s="117" t="n">
        <x:f>IF(AND(DR$3&gt;='Вводные'!$B$18,DR$3&lt;EDATE('Вводные'!$B$18,MAX(1,'Вводные'!$E$18))),$B$99/MAX(1,'Вводные'!$E$18),0)</x:f>
      </x:c>
      <x:c r="DS99" s="117" t="n">
        <x:f>IF(AND(DS$3&gt;='Вводные'!$B$18,DS$3&lt;EDATE('Вводные'!$B$18,MAX(1,'Вводные'!$E$18))),$B$99/MAX(1,'Вводные'!$E$18),0)</x:f>
      </x:c>
      <x:c r="DT99" s="117" t="n">
        <x:f>IF(AND(DT$3&gt;='Вводные'!$B$18,DT$3&lt;EDATE('Вводные'!$B$18,MAX(1,'Вводные'!$E$18))),$B$99/MAX(1,'Вводные'!$E$18),0)</x:f>
      </x:c>
      <x:c r="DU99" s="117" t="n">
        <x:f>IF(AND(DU$3&gt;='Вводные'!$B$18,DU$3&lt;EDATE('Вводные'!$B$18,MAX(1,'Вводные'!$E$18))),$B$99/MAX(1,'Вводные'!$E$18),0)</x:f>
      </x:c>
      <x:c r="DV99" s="117" t="n">
        <x:f>IF(AND(DV$3&gt;='Вводные'!$B$18,DV$3&lt;EDATE('Вводные'!$B$18,MAX(1,'Вводные'!$E$18))),$B$99/MAX(1,'Вводные'!$E$18),0)</x:f>
      </x:c>
      <x:c r="DW99" s="117" t="n">
        <x:f>IF(AND(DW$3&gt;='Вводные'!$B$18,DW$3&lt;EDATE('Вводные'!$B$18,MAX(1,'Вводные'!$E$18))),$B$99/MAX(1,'Вводные'!$E$18),0)</x:f>
      </x:c>
      <x:c r="DX99" s="117" t="n">
        <x:f>IF(AND(DX$3&gt;='Вводные'!$B$18,DX$3&lt;EDATE('Вводные'!$B$18,MAX(1,'Вводные'!$E$18))),$B$99/MAX(1,'Вводные'!$E$18),0)</x:f>
      </x:c>
      <x:c r="DY99" s="117" t="n">
        <x:f>IF(AND(DY$3&gt;='Вводные'!$B$18,DY$3&lt;EDATE('Вводные'!$B$18,MAX(1,'Вводные'!$E$18))),$B$99/MAX(1,'Вводные'!$E$18),0)</x:f>
      </x:c>
      <x:c r="DZ99" s="117" t="n">
        <x:f>IF(AND(DZ$3&gt;='Вводные'!$B$18,DZ$3&lt;EDATE('Вводные'!$B$18,MAX(1,'Вводные'!$E$18))),$B$99/MAX(1,'Вводные'!$E$18),0)</x:f>
      </x:c>
      <x:c r="EA99" s="117" t="n">
        <x:f>IF(AND(EA$3&gt;='Вводные'!$B$18,EA$3&lt;EDATE('Вводные'!$B$18,MAX(1,'Вводные'!$E$18))),$B$99/MAX(1,'Вводные'!$E$18),0)</x:f>
      </x:c>
      <x:c r="EB99" s="117" t="n">
        <x:f>IF(AND(EB$3&gt;='Вводные'!$B$18,EB$3&lt;EDATE('Вводные'!$B$18,MAX(1,'Вводные'!$E$18))),$B$99/MAX(1,'Вводные'!$E$18),0)</x:f>
      </x:c>
      <x:c r="EC99" s="117" t="n">
        <x:f>IF(AND(EC$3&gt;='Вводные'!$B$18,EC$3&lt;EDATE('Вводные'!$B$18,MAX(1,'Вводные'!$E$18))),$B$99/MAX(1,'Вводные'!$E$18),0)</x:f>
      </x:c>
      <x:c r="ED99" s="117" t="n">
        <x:f>IF(AND(ED$3&gt;='Вводные'!$B$18,ED$3&lt;EDATE('Вводные'!$B$18,MAX(1,'Вводные'!$E$18))),$B$99/MAX(1,'Вводные'!$E$18),0)</x:f>
      </x:c>
      <x:c r="EE99" s="117" t="n">
        <x:f>IF(AND(EE$3&gt;='Вводные'!$B$18,EE$3&lt;EDATE('Вводные'!$B$18,MAX(1,'Вводные'!$E$18))),$B$99/MAX(1,'Вводные'!$E$18),0)</x:f>
      </x:c>
      <x:c r="EF99" s="117" t="n">
        <x:f>IF(AND(EF$3&gt;='Вводные'!$B$18,EF$3&lt;EDATE('Вводные'!$B$18,MAX(1,'Вводные'!$E$18))),$B$99/MAX(1,'Вводные'!$E$18),0)</x:f>
      </x:c>
      <x:c r="EG99" s="117" t="n">
        <x:f>IF(AND(EG$3&gt;='Вводные'!$B$18,EG$3&lt;EDATE('Вводные'!$B$18,MAX(1,'Вводные'!$E$18))),$B$99/MAX(1,'Вводные'!$E$18),0)</x:f>
      </x:c>
      <x:c r="EH99" s="117" t="n">
        <x:f>IF(AND(EH$3&gt;='Вводные'!$B$18,EH$3&lt;EDATE('Вводные'!$B$18,MAX(1,'Вводные'!$E$18))),$B$99/MAX(1,'Вводные'!$E$18),0)</x:f>
      </x:c>
      <x:c r="EI99" s="117" t="n">
        <x:f>IF(AND(EI$3&gt;='Вводные'!$B$18,EI$3&lt;EDATE('Вводные'!$B$18,MAX(1,'Вводные'!$E$18))),$B$99/MAX(1,'Вводные'!$E$18),0)</x:f>
      </x:c>
      <x:c r="EJ99" s="117" t="n">
        <x:f>IF(AND(EJ$3&gt;='Вводные'!$B$18,EJ$3&lt;EDATE('Вводные'!$B$18,MAX(1,'Вводные'!$E$18))),$B$99/MAX(1,'Вводные'!$E$18),0)</x:f>
      </x:c>
      <x:c r="EK99" s="117" t="n">
        <x:f>IF(AND(EK$3&gt;='Вводные'!$B$18,EK$3&lt;EDATE('Вводные'!$B$18,MAX(1,'Вводные'!$E$18))),$B$99/MAX(1,'Вводные'!$E$18),0)</x:f>
      </x:c>
      <x:c r="EL99" s="117" t="n">
        <x:f>IF(AND(EL$3&gt;='Вводные'!$B$18,EL$3&lt;EDATE('Вводные'!$B$18,MAX(1,'Вводные'!$E$18))),$B$99/MAX(1,'Вводные'!$E$18),0)</x:f>
      </x:c>
      <x:c r="EM99" s="117" t="n">
        <x:f>IF(AND(EM$3&gt;='Вводные'!$B$18,EM$3&lt;EDATE('Вводные'!$B$18,MAX(1,'Вводные'!$E$18))),$B$99/MAX(1,'Вводные'!$E$18),0)</x:f>
      </x:c>
      <x:c r="EN99" s="117" t="n">
        <x:f>IF(AND(EN$3&gt;='Вводные'!$B$18,EN$3&lt;EDATE('Вводные'!$B$18,MAX(1,'Вводные'!$E$18))),$B$99/MAX(1,'Вводные'!$E$18),0)</x:f>
      </x:c>
      <x:c r="EO99" s="117" t="n">
        <x:f>IF(AND(EO$3&gt;='Вводные'!$B$18,EO$3&lt;EDATE('Вводные'!$B$18,MAX(1,'Вводные'!$E$18))),$B$99/MAX(1,'Вводные'!$E$18),0)</x:f>
      </x:c>
      <x:c r="EP99" s="117" t="n">
        <x:f>IF(AND(EP$3&gt;='Вводные'!$B$18,EP$3&lt;EDATE('Вводные'!$B$18,MAX(1,'Вводные'!$E$18))),$B$99/MAX(1,'Вводные'!$E$18),0)</x:f>
      </x:c>
      <x:c r="EQ99" s="117" t="n">
        <x:f>IF(AND(EQ$3&gt;='Вводные'!$B$18,EQ$3&lt;EDATE('Вводные'!$B$18,MAX(1,'Вводные'!$E$18))),$B$99/MAX(1,'Вводные'!$E$18),0)</x:f>
      </x:c>
      <x:c r="ER99" s="117" t="n">
        <x:f>IF(AND(ER$3&gt;='Вводные'!$B$18,ER$3&lt;EDATE('Вводные'!$B$18,MAX(1,'Вводные'!$E$18))),$B$99/MAX(1,'Вводные'!$E$18),0)</x:f>
      </x:c>
      <x:c r="ES99" s="117" t="n">
        <x:f>IF(AND(ES$3&gt;='Вводные'!$B$18,ES$3&lt;EDATE('Вводные'!$B$18,MAX(1,'Вводные'!$E$18))),$B$99/MAX(1,'Вводные'!$E$18),0)</x:f>
      </x:c>
      <x:c r="ET99" s="117" t="n">
        <x:f>IF(AND(ET$3&gt;='Вводные'!$B$18,ET$3&lt;EDATE('Вводные'!$B$18,MAX(1,'Вводные'!$E$18))),$B$99/MAX(1,'Вводные'!$E$18),0)</x:f>
      </x:c>
      <x:c r="EU99" s="117" t="n">
        <x:f>IF(AND(EU$3&gt;='Вводные'!$B$18,EU$3&lt;EDATE('Вводные'!$B$18,MAX(1,'Вводные'!$E$18))),$B$99/MAX(1,'Вводные'!$E$18),0)</x:f>
      </x:c>
      <x:c r="EV99" s="117" t="n">
        <x:f>IF(AND(EV$3&gt;='Вводные'!$B$18,EV$3&lt;EDATE('Вводные'!$B$18,MAX(1,'Вводные'!$E$18))),$B$99/MAX(1,'Вводные'!$E$18),0)</x:f>
      </x:c>
      <x:c r="EW99" s="117" t="n">
        <x:f>IF(AND(EW$3&gt;='Вводные'!$B$18,EW$3&lt;EDATE('Вводные'!$B$18,MAX(1,'Вводные'!$E$18))),$B$99/MAX(1,'Вводные'!$E$18),0)</x:f>
      </x:c>
      <x:c r="EX99" s="117" t="n">
        <x:f>IF(AND(EX$3&gt;='Вводные'!$B$18,EX$3&lt;EDATE('Вводные'!$B$18,MAX(1,'Вводные'!$E$18))),$B$99/MAX(1,'Вводные'!$E$18),0)</x:f>
      </x:c>
      <x:c r="EY99" s="117" t="n">
        <x:f>IF(AND(EY$3&gt;='Вводные'!$B$18,EY$3&lt;EDATE('Вводные'!$B$18,MAX(1,'Вводные'!$E$18))),$B$99/MAX(1,'Вводные'!$E$18),0)</x:f>
      </x:c>
      <x:c r="EZ99" s="117" t="n">
        <x:f>IF(AND(EZ$3&gt;='Вводные'!$B$18,EZ$3&lt;EDATE('Вводные'!$B$18,MAX(1,'Вводные'!$E$18))),$B$99/MAX(1,'Вводные'!$E$18),0)</x:f>
      </x:c>
      <x:c r="FA99" s="117" t="n">
        <x:f>IF(AND(FA$3&gt;='Вводные'!$B$18,FA$3&lt;EDATE('Вводные'!$B$18,MAX(1,'Вводные'!$E$18))),$B$99/MAX(1,'Вводные'!$E$18),0)</x:f>
      </x:c>
      <x:c r="FB99" s="117" t="n">
        <x:f>IF(AND(FB$3&gt;='Вводные'!$B$18,FB$3&lt;EDATE('Вводные'!$B$18,MAX(1,'Вводные'!$E$18))),$B$99/MAX(1,'Вводные'!$E$18),0)</x:f>
      </x:c>
      <x:c r="FC99" s="117" t="n">
        <x:f>IF(AND(FC$3&gt;='Вводные'!$B$18,FC$3&lt;EDATE('Вводные'!$B$18,MAX(1,'Вводные'!$E$18))),$B$99/MAX(1,'Вводные'!$E$18),0)</x:f>
      </x:c>
      <x:c r="FD99" s="117" t="n">
        <x:f>IF(AND(FD$3&gt;='Вводные'!$B$18,FD$3&lt;EDATE('Вводные'!$B$18,MAX(1,'Вводные'!$E$18))),$B$99/MAX(1,'Вводные'!$E$18),0)</x:f>
      </x:c>
      <x:c r="FE99" s="117" t="n">
        <x:f>IF(AND(FE$3&gt;='Вводные'!$B$18,FE$3&lt;EDATE('Вводные'!$B$18,MAX(1,'Вводные'!$E$18))),$B$99/MAX(1,'Вводные'!$E$18),0)</x:f>
      </x:c>
      <x:c r="FF99" s="117" t="n">
        <x:f>IF(AND(FF$3&gt;='Вводные'!$B$18,FF$3&lt;EDATE('Вводные'!$B$18,MAX(1,'Вводные'!$E$18))),$B$99/MAX(1,'Вводные'!$E$18),0)</x:f>
      </x:c>
      <x:c r="FG99" s="117" t="n">
        <x:f>IF(AND(FG$3&gt;='Вводные'!$B$18,FG$3&lt;EDATE('Вводные'!$B$18,MAX(1,'Вводные'!$E$18))),$B$99/MAX(1,'Вводные'!$E$18),0)</x:f>
      </x:c>
      <x:c r="FH99" s="117" t="n">
        <x:f>IF(AND(FH$3&gt;='Вводные'!$B$18,FH$3&lt;EDATE('Вводные'!$B$18,MAX(1,'Вводные'!$E$18))),$B$99/MAX(1,'Вводные'!$E$18),0)</x:f>
      </x:c>
      <x:c r="FI99" s="117" t="n">
        <x:f>IF(AND(FI$3&gt;='Вводные'!$B$18,FI$3&lt;EDATE('Вводные'!$B$18,MAX(1,'Вводные'!$E$18))),$B$99/MAX(1,'Вводные'!$E$18),0)</x:f>
      </x:c>
      <x:c r="FJ99" s="117" t="n">
        <x:f>IF(AND(FJ$3&gt;='Вводные'!$B$18,FJ$3&lt;EDATE('Вводные'!$B$18,MAX(1,'Вводные'!$E$18))),$B$99/MAX(1,'Вводные'!$E$18),0)</x:f>
      </x:c>
      <x:c r="FK99" s="117" t="n">
        <x:f>IF(AND(FK$3&gt;='Вводные'!$B$18,FK$3&lt;EDATE('Вводные'!$B$18,MAX(1,'Вводные'!$E$18))),$B$99/MAX(1,'Вводные'!$E$18),0)</x:f>
      </x:c>
      <x:c r="FL99" s="117" t="n">
        <x:f>IF(AND(FL$3&gt;='Вводные'!$B$18,FL$3&lt;EDATE('Вводные'!$B$18,MAX(1,'Вводные'!$E$18))),$B$99/MAX(1,'Вводные'!$E$18),0)</x:f>
      </x:c>
      <x:c r="FM99" s="117" t="n">
        <x:f>IF(AND(FM$3&gt;='Вводные'!$B$18,FM$3&lt;EDATE('Вводные'!$B$18,MAX(1,'Вводные'!$E$18))),$B$99/MAX(1,'Вводные'!$E$18),0)</x:f>
      </x:c>
      <x:c r="FN99" s="117" t="n">
        <x:f>IF(AND(FN$3&gt;='Вводные'!$B$18,FN$3&lt;EDATE('Вводные'!$B$18,MAX(1,'Вводные'!$E$18))),$B$99/MAX(1,'Вводные'!$E$18),0)</x:f>
      </x:c>
      <x:c r="FO99" s="117" t="n">
        <x:f>IF(AND(FO$3&gt;='Вводные'!$B$18,FO$3&lt;EDATE('Вводные'!$B$18,MAX(1,'Вводные'!$E$18))),$B$99/MAX(1,'Вводные'!$E$18),0)</x:f>
      </x:c>
      <x:c r="FP99" s="117" t="n">
        <x:f>IF(AND(FP$3&gt;='Вводные'!$B$18,FP$3&lt;EDATE('Вводные'!$B$18,MAX(1,'Вводные'!$E$18))),$B$99/MAX(1,'Вводные'!$E$18),0)</x:f>
      </x:c>
      <x:c r="FQ99" s="117" t="n">
        <x:f>IF(AND(FQ$3&gt;='Вводные'!$B$18,FQ$3&lt;EDATE('Вводные'!$B$18,MAX(1,'Вводные'!$E$18))),$B$99/MAX(1,'Вводные'!$E$18),0)</x:f>
      </x:c>
      <x:c r="FR99" s="117" t="n">
        <x:f>IF(AND(FR$3&gt;='Вводные'!$B$18,FR$3&lt;EDATE('Вводные'!$B$18,MAX(1,'Вводные'!$E$18))),$B$99/MAX(1,'Вводные'!$E$18),0)</x:f>
      </x:c>
      <x:c r="FS99" s="117" t="n">
        <x:f>IF(AND(FS$3&gt;='Вводные'!$B$18,FS$3&lt;EDATE('Вводные'!$B$18,MAX(1,'Вводные'!$E$18))),$B$99/MAX(1,'Вводные'!$E$18),0)</x:f>
      </x:c>
      <x:c r="FT99" s="117" t="n">
        <x:f>IF(AND(FT$3&gt;='Вводные'!$B$18,FT$3&lt;EDATE('Вводные'!$B$18,MAX(1,'Вводные'!$E$18))),$B$99/MAX(1,'Вводные'!$E$18),0)</x:f>
      </x:c>
      <x:c r="FU99" s="117" t="n">
        <x:f>IF(AND(FU$3&gt;='Вводные'!$B$18,FU$3&lt;EDATE('Вводные'!$B$18,MAX(1,'Вводные'!$E$18))),$B$99/MAX(1,'Вводные'!$E$18),0)</x:f>
      </x:c>
      <x:c r="FV99" s="117" t="n">
        <x:f>IF(AND(FV$3&gt;='Вводные'!$B$18,FV$3&lt;EDATE('Вводные'!$B$18,MAX(1,'Вводные'!$E$18))),$B$99/MAX(1,'Вводные'!$E$18),0)</x:f>
      </x:c>
      <x:c r="FW99" s="117" t="n">
        <x:f>IF(AND(FW$3&gt;='Вводные'!$B$18,FW$3&lt;EDATE('Вводные'!$B$18,MAX(1,'Вводные'!$E$18))),$B$99/MAX(1,'Вводные'!$E$18),0)</x:f>
      </x:c>
      <x:c r="FX99" s="117" t="n">
        <x:f>IF(AND(FX$3&gt;='Вводные'!$B$18,FX$3&lt;EDATE('Вводные'!$B$18,MAX(1,'Вводные'!$E$18))),$B$99/MAX(1,'Вводные'!$E$18),0)</x:f>
      </x:c>
      <x:c r="FY99" s="117" t="n">
        <x:f>IF(AND(FY$3&gt;='Вводные'!$B$18,FY$3&lt;EDATE('Вводные'!$B$18,MAX(1,'Вводные'!$E$18))),$B$99/MAX(1,'Вводные'!$E$18),0)</x:f>
      </x:c>
      <x:c r="FZ99" s="117" t="n">
        <x:f>IF(AND(FZ$3&gt;='Вводные'!$B$18,FZ$3&lt;EDATE('Вводные'!$B$18,MAX(1,'Вводные'!$E$18))),$B$99/MAX(1,'Вводные'!$E$18),0)</x:f>
      </x:c>
      <x:c r="GA99" s="117" t="n">
        <x:f>IF(AND(GA$3&gt;='Вводные'!$B$18,GA$3&lt;EDATE('Вводные'!$B$18,MAX(1,'Вводные'!$E$18))),$B$99/MAX(1,'Вводные'!$E$18),0)</x:f>
      </x:c>
    </x:row>
    <x:row r="100">
      <x:c r="A100" s="113" t="str">
        <x:v>CAPEX ВСЕГО</x:v>
      </x:c>
      <x:c r="B100" s="113" t="n">
        <x:f>SUM(D100:GA100)</x:f>
      </x:c>
      <x:c r="C100" s="113" t="str">
        <x:v>млн ₽</x:v>
      </x:c>
      <x:c r="D100" s="120" t="n">
        <x:f>SUM(D82:D99)+'ОБЪЕКТЫ'!D112</x:f>
      </x:c>
      <x:c r="E100" s="120" t="n">
        <x:f>SUM(E82:E99)+'ОБЪЕКТЫ'!E112</x:f>
      </x:c>
      <x:c r="F100" s="120" t="n">
        <x:f>SUM(F82:F99)+'ОБЪЕКТЫ'!F112</x:f>
      </x:c>
      <x:c r="G100" s="120" t="n">
        <x:f>SUM(G82:G99)+'ОБЪЕКТЫ'!G112</x:f>
      </x:c>
      <x:c r="H100" s="120" t="n">
        <x:f>SUM(H82:H99)+'ОБЪЕКТЫ'!H112</x:f>
      </x:c>
      <x:c r="I100" s="120" t="n">
        <x:f>SUM(I82:I99)+'ОБЪЕКТЫ'!I112</x:f>
      </x:c>
      <x:c r="J100" s="120" t="n">
        <x:f>SUM(J82:J99)+'ОБЪЕКТЫ'!J112</x:f>
      </x:c>
      <x:c r="K100" s="120" t="n">
        <x:f>SUM(K82:K99)+'ОБЪЕКТЫ'!K112</x:f>
      </x:c>
      <x:c r="L100" s="120" t="n">
        <x:f>SUM(L82:L99)+'ОБЪЕКТЫ'!L112</x:f>
      </x:c>
      <x:c r="M100" s="120" t="n">
        <x:f>SUM(M82:M99)+'ОБЪЕКТЫ'!M112</x:f>
      </x:c>
      <x:c r="N100" s="120" t="n">
        <x:f>SUM(N82:N99)+'ОБЪЕКТЫ'!N112</x:f>
      </x:c>
      <x:c r="O100" s="120" t="n">
        <x:f>SUM(O82:O99)+'ОБЪЕКТЫ'!O112</x:f>
      </x:c>
      <x:c r="P100" s="120" t="n">
        <x:f>SUM(P82:P99)+'ОБЪЕКТЫ'!P112</x:f>
      </x:c>
      <x:c r="Q100" s="120" t="n">
        <x:f>SUM(Q82:Q99)+'ОБЪЕКТЫ'!Q112</x:f>
      </x:c>
      <x:c r="R100" s="120" t="n">
        <x:f>SUM(R82:R99)+'ОБЪЕКТЫ'!R112</x:f>
      </x:c>
      <x:c r="S100" s="120" t="n">
        <x:f>SUM(S82:S99)+'ОБЪЕКТЫ'!S112</x:f>
      </x:c>
      <x:c r="T100" s="120" t="n">
        <x:f>SUM(T82:T99)+'ОБЪЕКТЫ'!T112</x:f>
      </x:c>
      <x:c r="U100" s="120" t="n">
        <x:f>SUM(U82:U99)+'ОБЪЕКТЫ'!U112</x:f>
      </x:c>
      <x:c r="V100" s="120" t="n">
        <x:f>SUM(V82:V99)+'ОБЪЕКТЫ'!V112</x:f>
      </x:c>
      <x:c r="W100" s="120" t="n">
        <x:f>SUM(W82:W99)+'ОБЪЕКТЫ'!W112</x:f>
      </x:c>
      <x:c r="X100" s="120" t="n">
        <x:f>SUM(X82:X99)+'ОБЪЕКТЫ'!X112</x:f>
      </x:c>
      <x:c r="Y100" s="120" t="n">
        <x:f>SUM(Y82:Y99)+'ОБЪЕКТЫ'!Y112</x:f>
      </x:c>
      <x:c r="Z100" s="120" t="n">
        <x:f>SUM(Z82:Z99)+'ОБЪЕКТЫ'!Z112</x:f>
      </x:c>
      <x:c r="AA100" s="120" t="n">
        <x:f>SUM(AA82:AA99)+'ОБЪЕКТЫ'!AA112</x:f>
      </x:c>
      <x:c r="AB100" s="120" t="n">
        <x:f>SUM(AB82:AB99)+'ОБЪЕКТЫ'!AB112</x:f>
      </x:c>
      <x:c r="AC100" s="120" t="n">
        <x:f>SUM(AC82:AC99)+'ОБЪЕКТЫ'!AC112</x:f>
      </x:c>
      <x:c r="AD100" s="120" t="n">
        <x:f>SUM(AD82:AD99)+'ОБЪЕКТЫ'!AD112</x:f>
      </x:c>
      <x:c r="AE100" s="120" t="n">
        <x:f>SUM(AE82:AE99)+'ОБЪЕКТЫ'!AE112</x:f>
      </x:c>
      <x:c r="AF100" s="120" t="n">
        <x:f>SUM(AF82:AF99)+'ОБЪЕКТЫ'!AF112</x:f>
      </x:c>
      <x:c r="AG100" s="120" t="n">
        <x:f>SUM(AG82:AG99)+'ОБЪЕКТЫ'!AG112</x:f>
      </x:c>
      <x:c r="AH100" s="120" t="n">
        <x:f>SUM(AH82:AH99)+'ОБЪЕКТЫ'!AH112</x:f>
      </x:c>
      <x:c r="AI100" s="120" t="n">
        <x:f>SUM(AI82:AI99)+'ОБЪЕКТЫ'!AI112</x:f>
      </x:c>
      <x:c r="AJ100" s="120" t="n">
        <x:f>SUM(AJ82:AJ99)+'ОБЪЕКТЫ'!AJ112</x:f>
      </x:c>
      <x:c r="AK100" s="120" t="n">
        <x:f>SUM(AK82:AK99)+'ОБЪЕКТЫ'!AK112</x:f>
      </x:c>
      <x:c r="AL100" s="120" t="n">
        <x:f>SUM(AL82:AL99)+'ОБЪЕКТЫ'!AL112</x:f>
      </x:c>
      <x:c r="AM100" s="120" t="n">
        <x:f>SUM(AM82:AM99)+'ОБЪЕКТЫ'!AM112</x:f>
      </x:c>
      <x:c r="AN100" s="120" t="n">
        <x:f>SUM(AN82:AN99)+'ОБЪЕКТЫ'!AN112</x:f>
      </x:c>
      <x:c r="AO100" s="120" t="n">
        <x:f>SUM(AO82:AO99)+'ОБЪЕКТЫ'!AO112</x:f>
      </x:c>
      <x:c r="AP100" s="120" t="n">
        <x:f>SUM(AP82:AP99)+'ОБЪЕКТЫ'!AP112</x:f>
      </x:c>
      <x:c r="AQ100" s="120" t="n">
        <x:f>SUM(AQ82:AQ99)+'ОБЪЕКТЫ'!AQ112</x:f>
      </x:c>
      <x:c r="AR100" s="120" t="n">
        <x:f>SUM(AR82:AR99)+'ОБЪЕКТЫ'!AR112</x:f>
      </x:c>
      <x:c r="AS100" s="120" t="n">
        <x:f>SUM(AS82:AS99)+'ОБЪЕКТЫ'!AS112</x:f>
      </x:c>
      <x:c r="AT100" s="120" t="n">
        <x:f>SUM(AT82:AT99)+'ОБЪЕКТЫ'!AT112</x:f>
      </x:c>
      <x:c r="AU100" s="120" t="n">
        <x:f>SUM(AU82:AU99)+'ОБЪЕКТЫ'!AU112</x:f>
      </x:c>
      <x:c r="AV100" s="120" t="n">
        <x:f>SUM(AV82:AV99)+'ОБЪЕКТЫ'!AV112</x:f>
      </x:c>
      <x:c r="AW100" s="120" t="n">
        <x:f>SUM(AW82:AW99)+'ОБЪЕКТЫ'!AW112</x:f>
      </x:c>
      <x:c r="AX100" s="120" t="n">
        <x:f>SUM(AX82:AX99)+'ОБЪЕКТЫ'!AX112</x:f>
      </x:c>
      <x:c r="AY100" s="120" t="n">
        <x:f>SUM(AY82:AY99)+'ОБЪЕКТЫ'!AY112</x:f>
      </x:c>
      <x:c r="AZ100" s="120" t="n">
        <x:f>SUM(AZ82:AZ99)+'ОБЪЕКТЫ'!AZ112</x:f>
      </x:c>
      <x:c r="BA100" s="120" t="n">
        <x:f>SUM(BA82:BA99)+'ОБЪЕКТЫ'!BA112</x:f>
      </x:c>
      <x:c r="BB100" s="120" t="n">
        <x:f>SUM(BB82:BB99)+'ОБЪЕКТЫ'!BB112</x:f>
      </x:c>
      <x:c r="BC100" s="120" t="n">
        <x:f>SUM(BC82:BC99)+'ОБЪЕКТЫ'!BC112</x:f>
      </x:c>
      <x:c r="BD100" s="120" t="n">
        <x:f>SUM(BD82:BD99)+'ОБЪЕКТЫ'!BD112</x:f>
      </x:c>
      <x:c r="BE100" s="120" t="n">
        <x:f>SUM(BE82:BE99)+'ОБЪЕКТЫ'!BE112</x:f>
      </x:c>
      <x:c r="BF100" s="120" t="n">
        <x:f>SUM(BF82:BF99)+'ОБЪЕКТЫ'!BF112</x:f>
      </x:c>
      <x:c r="BG100" s="120" t="n">
        <x:f>SUM(BG82:BG99)+'ОБЪЕКТЫ'!BG112</x:f>
      </x:c>
      <x:c r="BH100" s="120" t="n">
        <x:f>SUM(BH82:BH99)+'ОБЪЕКТЫ'!BH112</x:f>
      </x:c>
      <x:c r="BI100" s="120" t="n">
        <x:f>SUM(BI82:BI99)+'ОБЪЕКТЫ'!BI112</x:f>
      </x:c>
      <x:c r="BJ100" s="120" t="n">
        <x:f>SUM(BJ82:BJ99)+'ОБЪЕКТЫ'!BJ112</x:f>
      </x:c>
      <x:c r="BK100" s="120" t="n">
        <x:f>SUM(BK82:BK99)+'ОБЪЕКТЫ'!BK112</x:f>
      </x:c>
      <x:c r="BL100" s="120" t="n">
        <x:f>SUM(BL82:BL99)+'ОБЪЕКТЫ'!BL112</x:f>
      </x:c>
      <x:c r="BM100" s="120" t="n">
        <x:f>SUM(BM82:BM99)+'ОБЪЕКТЫ'!BM112</x:f>
      </x:c>
      <x:c r="BN100" s="120" t="n">
        <x:f>SUM(BN82:BN99)+'ОБЪЕКТЫ'!BN112</x:f>
      </x:c>
      <x:c r="BO100" s="120" t="n">
        <x:f>SUM(BO82:BO99)+'ОБЪЕКТЫ'!BO112</x:f>
      </x:c>
      <x:c r="BP100" s="120" t="n">
        <x:f>SUM(BP82:BP99)+'ОБЪЕКТЫ'!BP112</x:f>
      </x:c>
      <x:c r="BQ100" s="120" t="n">
        <x:f>SUM(BQ82:BQ99)+'ОБЪЕКТЫ'!BQ112</x:f>
      </x:c>
      <x:c r="BR100" s="120" t="n">
        <x:f>SUM(BR82:BR99)+'ОБЪЕКТЫ'!BR112</x:f>
      </x:c>
      <x:c r="BS100" s="120" t="n">
        <x:f>SUM(BS82:BS99)+'ОБЪЕКТЫ'!BS112</x:f>
      </x:c>
      <x:c r="BT100" s="120" t="n">
        <x:f>SUM(BT82:BT99)+'ОБЪЕКТЫ'!BT112</x:f>
      </x:c>
      <x:c r="BU100" s="120" t="n">
        <x:f>SUM(BU82:BU99)+'ОБЪЕКТЫ'!BU112</x:f>
      </x:c>
      <x:c r="BV100" s="120" t="n">
        <x:f>SUM(BV82:BV99)+'ОБЪЕКТЫ'!BV112</x:f>
      </x:c>
      <x:c r="BW100" s="120" t="n">
        <x:f>SUM(BW82:BW99)+'ОБЪЕКТЫ'!BW112</x:f>
      </x:c>
      <x:c r="BX100" s="120" t="n">
        <x:f>SUM(BX82:BX99)+'ОБЪЕКТЫ'!BX112</x:f>
      </x:c>
      <x:c r="BY100" s="120" t="n">
        <x:f>SUM(BY82:BY99)+'ОБЪЕКТЫ'!BY112</x:f>
      </x:c>
      <x:c r="BZ100" s="120" t="n">
        <x:f>SUM(BZ82:BZ99)+'ОБЪЕКТЫ'!BZ112</x:f>
      </x:c>
      <x:c r="CA100" s="120" t="n">
        <x:f>SUM(CA82:CA99)+'ОБЪЕКТЫ'!CA112</x:f>
      </x:c>
      <x:c r="CB100" s="120" t="n">
        <x:f>SUM(CB82:CB99)+'ОБЪЕКТЫ'!CB112</x:f>
      </x:c>
      <x:c r="CC100" s="120" t="n">
        <x:f>SUM(CC82:CC99)+'ОБЪЕКТЫ'!CC112</x:f>
      </x:c>
      <x:c r="CD100" s="120" t="n">
        <x:f>SUM(CD82:CD99)+'ОБЪЕКТЫ'!CD112</x:f>
      </x:c>
      <x:c r="CE100" s="120" t="n">
        <x:f>SUM(CE82:CE99)+'ОБЪЕКТЫ'!CE112</x:f>
      </x:c>
      <x:c r="CF100" s="120" t="n">
        <x:f>SUM(CF82:CF99)+'ОБЪЕКТЫ'!CF112</x:f>
      </x:c>
      <x:c r="CG100" s="120" t="n">
        <x:f>SUM(CG82:CG99)+'ОБЪЕКТЫ'!CG112</x:f>
      </x:c>
      <x:c r="CH100" s="120" t="n">
        <x:f>SUM(CH82:CH99)+'ОБЪЕКТЫ'!CH112</x:f>
      </x:c>
      <x:c r="CI100" s="120" t="n">
        <x:f>SUM(CI82:CI99)+'ОБЪЕКТЫ'!CI112</x:f>
      </x:c>
      <x:c r="CJ100" s="120" t="n">
        <x:f>SUM(CJ82:CJ99)+'ОБЪЕКТЫ'!CJ112</x:f>
      </x:c>
      <x:c r="CK100" s="120" t="n">
        <x:f>SUM(CK82:CK99)+'ОБЪЕКТЫ'!CK112</x:f>
      </x:c>
      <x:c r="CL100" s="120" t="n">
        <x:f>SUM(CL82:CL99)+'ОБЪЕКТЫ'!CL112</x:f>
      </x:c>
      <x:c r="CM100" s="120" t="n">
        <x:f>SUM(CM82:CM99)+'ОБЪЕКТЫ'!CM112</x:f>
      </x:c>
      <x:c r="CN100" s="120" t="n">
        <x:f>SUM(CN82:CN99)+'ОБЪЕКТЫ'!CN112</x:f>
      </x:c>
      <x:c r="CO100" s="120" t="n">
        <x:f>SUM(CO82:CO99)+'ОБЪЕКТЫ'!CO112</x:f>
      </x:c>
      <x:c r="CP100" s="120" t="n">
        <x:f>SUM(CP82:CP99)+'ОБЪЕКТЫ'!CP112</x:f>
      </x:c>
      <x:c r="CQ100" s="120" t="n">
        <x:f>SUM(CQ82:CQ99)+'ОБЪЕКТЫ'!CQ112</x:f>
      </x:c>
      <x:c r="CR100" s="120" t="n">
        <x:f>SUM(CR82:CR99)+'ОБЪЕКТЫ'!CR112</x:f>
      </x:c>
      <x:c r="CS100" s="120" t="n">
        <x:f>SUM(CS82:CS99)+'ОБЪЕКТЫ'!CS112</x:f>
      </x:c>
      <x:c r="CT100" s="120" t="n">
        <x:f>SUM(CT82:CT99)+'ОБЪЕКТЫ'!CT112</x:f>
      </x:c>
      <x:c r="CU100" s="120" t="n">
        <x:f>SUM(CU82:CU99)+'ОБЪЕКТЫ'!CU112</x:f>
      </x:c>
      <x:c r="CV100" s="120" t="n">
        <x:f>SUM(CV82:CV99)+'ОБЪЕКТЫ'!CV112</x:f>
      </x:c>
      <x:c r="CW100" s="120" t="n">
        <x:f>SUM(CW82:CW99)+'ОБЪЕКТЫ'!CW112</x:f>
      </x:c>
      <x:c r="CX100" s="120" t="n">
        <x:f>SUM(CX82:CX99)+'ОБЪЕКТЫ'!CX112</x:f>
      </x:c>
      <x:c r="CY100" s="120" t="n">
        <x:f>SUM(CY82:CY99)+'ОБЪЕКТЫ'!CY112</x:f>
      </x:c>
      <x:c r="CZ100" s="120" t="n">
        <x:f>SUM(CZ82:CZ99)+'ОБЪЕКТЫ'!CZ112</x:f>
      </x:c>
      <x:c r="DA100" s="120" t="n">
        <x:f>SUM(DA82:DA99)+'ОБЪЕКТЫ'!DA112</x:f>
      </x:c>
      <x:c r="DB100" s="120" t="n">
        <x:f>SUM(DB82:DB99)+'ОБЪЕКТЫ'!DB112</x:f>
      </x:c>
      <x:c r="DC100" s="120" t="n">
        <x:f>SUM(DC82:DC99)+'ОБЪЕКТЫ'!DC112</x:f>
      </x:c>
      <x:c r="DD100" s="120" t="n">
        <x:f>SUM(DD82:DD99)+'ОБЪЕКТЫ'!DD112</x:f>
      </x:c>
      <x:c r="DE100" s="120" t="n">
        <x:f>SUM(DE82:DE99)+'ОБЪЕКТЫ'!DE112</x:f>
      </x:c>
      <x:c r="DF100" s="120" t="n">
        <x:f>SUM(DF82:DF99)+'ОБЪЕКТЫ'!DF112</x:f>
      </x:c>
      <x:c r="DG100" s="120" t="n">
        <x:f>SUM(DG82:DG99)+'ОБЪЕКТЫ'!DG112</x:f>
      </x:c>
      <x:c r="DH100" s="120" t="n">
        <x:f>SUM(DH82:DH99)+'ОБЪЕКТЫ'!DH112</x:f>
      </x:c>
      <x:c r="DI100" s="120" t="n">
        <x:f>SUM(DI82:DI99)+'ОБЪЕКТЫ'!DI112</x:f>
      </x:c>
      <x:c r="DJ100" s="120" t="n">
        <x:f>SUM(DJ82:DJ99)+'ОБЪЕКТЫ'!DJ112</x:f>
      </x:c>
      <x:c r="DK100" s="120" t="n">
        <x:f>SUM(DK82:DK99)+'ОБЪЕКТЫ'!DK112</x:f>
      </x:c>
      <x:c r="DL100" s="120" t="n">
        <x:f>SUM(DL82:DL99)+'ОБЪЕКТЫ'!DL112</x:f>
      </x:c>
      <x:c r="DM100" s="120" t="n">
        <x:f>SUM(DM82:DM99)+'ОБЪЕКТЫ'!DM112</x:f>
      </x:c>
      <x:c r="DN100" s="120" t="n">
        <x:f>SUM(DN82:DN99)+'ОБЪЕКТЫ'!DN112</x:f>
      </x:c>
      <x:c r="DO100" s="120" t="n">
        <x:f>SUM(DO82:DO99)+'ОБЪЕКТЫ'!DO112</x:f>
      </x:c>
      <x:c r="DP100" s="120" t="n">
        <x:f>SUM(DP82:DP99)+'ОБЪЕКТЫ'!DP112</x:f>
      </x:c>
      <x:c r="DQ100" s="120" t="n">
        <x:f>SUM(DQ82:DQ99)+'ОБЪЕКТЫ'!DQ112</x:f>
      </x:c>
      <x:c r="DR100" s="120" t="n">
        <x:f>SUM(DR82:DR99)+'ОБЪЕКТЫ'!DR112</x:f>
      </x:c>
      <x:c r="DS100" s="120" t="n">
        <x:f>SUM(DS82:DS99)+'ОБЪЕКТЫ'!DS112</x:f>
      </x:c>
      <x:c r="DT100" s="120" t="n">
        <x:f>SUM(DT82:DT99)+'ОБЪЕКТЫ'!DT112</x:f>
      </x:c>
      <x:c r="DU100" s="120" t="n">
        <x:f>SUM(DU82:DU99)+'ОБЪЕКТЫ'!DU112</x:f>
      </x:c>
      <x:c r="DV100" s="120" t="n">
        <x:f>SUM(DV82:DV99)+'ОБЪЕКТЫ'!DV112</x:f>
      </x:c>
      <x:c r="DW100" s="120" t="n">
        <x:f>SUM(DW82:DW99)+'ОБЪЕКТЫ'!DW112</x:f>
      </x:c>
      <x:c r="DX100" s="120" t="n">
        <x:f>SUM(DX82:DX99)+'ОБЪЕКТЫ'!DX112</x:f>
      </x:c>
      <x:c r="DY100" s="120" t="n">
        <x:f>SUM(DY82:DY99)+'ОБЪЕКТЫ'!DY112</x:f>
      </x:c>
      <x:c r="DZ100" s="120" t="n">
        <x:f>SUM(DZ82:DZ99)+'ОБЪЕКТЫ'!DZ112</x:f>
      </x:c>
      <x:c r="EA100" s="120" t="n">
        <x:f>SUM(EA82:EA99)+'ОБЪЕКТЫ'!EA112</x:f>
      </x:c>
      <x:c r="EB100" s="120" t="n">
        <x:f>SUM(EB82:EB99)+'ОБЪЕКТЫ'!EB112</x:f>
      </x:c>
      <x:c r="EC100" s="120" t="n">
        <x:f>SUM(EC82:EC99)+'ОБЪЕКТЫ'!EC112</x:f>
      </x:c>
      <x:c r="ED100" s="120" t="n">
        <x:f>SUM(ED82:ED99)+'ОБЪЕКТЫ'!ED112</x:f>
      </x:c>
      <x:c r="EE100" s="120" t="n">
        <x:f>SUM(EE82:EE99)+'ОБЪЕКТЫ'!EE112</x:f>
      </x:c>
      <x:c r="EF100" s="120" t="n">
        <x:f>SUM(EF82:EF99)+'ОБЪЕКТЫ'!EF112</x:f>
      </x:c>
      <x:c r="EG100" s="120" t="n">
        <x:f>SUM(EG82:EG99)+'ОБЪЕКТЫ'!EG112</x:f>
      </x:c>
      <x:c r="EH100" s="120" t="n">
        <x:f>SUM(EH82:EH99)+'ОБЪЕКТЫ'!EH112</x:f>
      </x:c>
      <x:c r="EI100" s="120" t="n">
        <x:f>SUM(EI82:EI99)+'ОБЪЕКТЫ'!EI112</x:f>
      </x:c>
      <x:c r="EJ100" s="120" t="n">
        <x:f>SUM(EJ82:EJ99)+'ОБЪЕКТЫ'!EJ112</x:f>
      </x:c>
      <x:c r="EK100" s="120" t="n">
        <x:f>SUM(EK82:EK99)+'ОБЪЕКТЫ'!EK112</x:f>
      </x:c>
      <x:c r="EL100" s="120" t="n">
        <x:f>SUM(EL82:EL99)+'ОБЪЕКТЫ'!EL112</x:f>
      </x:c>
      <x:c r="EM100" s="120" t="n">
        <x:f>SUM(EM82:EM99)+'ОБЪЕКТЫ'!EM112</x:f>
      </x:c>
      <x:c r="EN100" s="120" t="n">
        <x:f>SUM(EN82:EN99)+'ОБЪЕКТЫ'!EN112</x:f>
      </x:c>
      <x:c r="EO100" s="120" t="n">
        <x:f>SUM(EO82:EO99)+'ОБЪЕКТЫ'!EO112</x:f>
      </x:c>
      <x:c r="EP100" s="120" t="n">
        <x:f>SUM(EP82:EP99)+'ОБЪЕКТЫ'!EP112</x:f>
      </x:c>
      <x:c r="EQ100" s="120" t="n">
        <x:f>SUM(EQ82:EQ99)+'ОБЪЕКТЫ'!EQ112</x:f>
      </x:c>
      <x:c r="ER100" s="120" t="n">
        <x:f>SUM(ER82:ER99)+'ОБЪЕКТЫ'!ER112</x:f>
      </x:c>
      <x:c r="ES100" s="120" t="n">
        <x:f>SUM(ES82:ES99)+'ОБЪЕКТЫ'!ES112</x:f>
      </x:c>
      <x:c r="ET100" s="120" t="n">
        <x:f>SUM(ET82:ET99)+'ОБЪЕКТЫ'!ET112</x:f>
      </x:c>
      <x:c r="EU100" s="120" t="n">
        <x:f>SUM(EU82:EU99)+'ОБЪЕКТЫ'!EU112</x:f>
      </x:c>
      <x:c r="EV100" s="120" t="n">
        <x:f>SUM(EV82:EV99)+'ОБЪЕКТЫ'!EV112</x:f>
      </x:c>
      <x:c r="EW100" s="120" t="n">
        <x:f>SUM(EW82:EW99)+'ОБЪЕКТЫ'!EW112</x:f>
      </x:c>
      <x:c r="EX100" s="120" t="n">
        <x:f>SUM(EX82:EX99)+'ОБЪЕКТЫ'!EX112</x:f>
      </x:c>
      <x:c r="EY100" s="120" t="n">
        <x:f>SUM(EY82:EY99)+'ОБЪЕКТЫ'!EY112</x:f>
      </x:c>
      <x:c r="EZ100" s="120" t="n">
        <x:f>SUM(EZ82:EZ99)+'ОБЪЕКТЫ'!EZ112</x:f>
      </x:c>
      <x:c r="FA100" s="120" t="n">
        <x:f>SUM(FA82:FA99)+'ОБЪЕКТЫ'!FA112</x:f>
      </x:c>
      <x:c r="FB100" s="120" t="n">
        <x:f>SUM(FB82:FB99)+'ОБЪЕКТЫ'!FB112</x:f>
      </x:c>
      <x:c r="FC100" s="120" t="n">
        <x:f>SUM(FC82:FC99)+'ОБЪЕКТЫ'!FC112</x:f>
      </x:c>
      <x:c r="FD100" s="120" t="n">
        <x:f>SUM(FD82:FD99)+'ОБЪЕКТЫ'!FD112</x:f>
      </x:c>
      <x:c r="FE100" s="120" t="n">
        <x:f>SUM(FE82:FE99)+'ОБЪЕКТЫ'!FE112</x:f>
      </x:c>
      <x:c r="FF100" s="120" t="n">
        <x:f>SUM(FF82:FF99)+'ОБЪЕКТЫ'!FF112</x:f>
      </x:c>
      <x:c r="FG100" s="120" t="n">
        <x:f>SUM(FG82:FG99)+'ОБЪЕКТЫ'!FG112</x:f>
      </x:c>
      <x:c r="FH100" s="120" t="n">
        <x:f>SUM(FH82:FH99)+'ОБЪЕКТЫ'!FH112</x:f>
      </x:c>
      <x:c r="FI100" s="120" t="n">
        <x:f>SUM(FI82:FI99)+'ОБЪЕКТЫ'!FI112</x:f>
      </x:c>
      <x:c r="FJ100" s="120" t="n">
        <x:f>SUM(FJ82:FJ99)+'ОБЪЕКТЫ'!FJ112</x:f>
      </x:c>
      <x:c r="FK100" s="120" t="n">
        <x:f>SUM(FK82:FK99)+'ОБЪЕКТЫ'!FK112</x:f>
      </x:c>
      <x:c r="FL100" s="120" t="n">
        <x:f>SUM(FL82:FL99)+'ОБЪЕКТЫ'!FL112</x:f>
      </x:c>
      <x:c r="FM100" s="120" t="n">
        <x:f>SUM(FM82:FM99)+'ОБЪЕКТЫ'!FM112</x:f>
      </x:c>
      <x:c r="FN100" s="120" t="n">
        <x:f>SUM(FN82:FN99)+'ОБЪЕКТЫ'!FN112</x:f>
      </x:c>
      <x:c r="FO100" s="120" t="n">
        <x:f>SUM(FO82:FO99)+'ОБЪЕКТЫ'!FO112</x:f>
      </x:c>
      <x:c r="FP100" s="120" t="n">
        <x:f>SUM(FP82:FP99)+'ОБЪЕКТЫ'!FP112</x:f>
      </x:c>
      <x:c r="FQ100" s="120" t="n">
        <x:f>SUM(FQ82:FQ99)+'ОБЪЕКТЫ'!FQ112</x:f>
      </x:c>
      <x:c r="FR100" s="120" t="n">
        <x:f>SUM(FR82:FR99)+'ОБЪЕКТЫ'!FR112</x:f>
      </x:c>
      <x:c r="FS100" s="120" t="n">
        <x:f>SUM(FS82:FS99)+'ОБЪЕКТЫ'!FS112</x:f>
      </x:c>
      <x:c r="FT100" s="120" t="n">
        <x:f>SUM(FT82:FT99)+'ОБЪЕКТЫ'!FT112</x:f>
      </x:c>
      <x:c r="FU100" s="120" t="n">
        <x:f>SUM(FU82:FU99)+'ОБЪЕКТЫ'!FU112</x:f>
      </x:c>
      <x:c r="FV100" s="120" t="n">
        <x:f>SUM(FV82:FV99)+'ОБЪЕКТЫ'!FV112</x:f>
      </x:c>
      <x:c r="FW100" s="120" t="n">
        <x:f>SUM(FW82:FW99)+'ОБЪЕКТЫ'!FW112</x:f>
      </x:c>
      <x:c r="FX100" s="120" t="n">
        <x:f>SUM(FX82:FX99)+'ОБЪЕКТЫ'!FX112</x:f>
      </x:c>
      <x:c r="FY100" s="120" t="n">
        <x:f>SUM(FY82:FY99)+'ОБЪЕКТЫ'!FY112</x:f>
      </x:c>
      <x:c r="FZ100" s="120" t="n">
        <x:f>SUM(FZ82:FZ99)+'ОБЪЕКТЫ'!FZ112</x:f>
      </x:c>
      <x:c r="GA100" s="120" t="n">
        <x:f>SUM(GA82:GA99)+'ОБЪЕКТЫ'!GA112</x:f>
      </x:c>
    </x:row>
    <x:row r="101">
      <x:c r="A101" t="str">
        <x:v>Маркетинг</x:v>
      </x:c>
      <x:c r="B101" s="107" t="n">
        <x:f>SUM(D101:GA101)</x:f>
      </x:c>
      <x:c r="C101" t="str">
        <x:v>млн ₽</x:v>
      </x:c>
      <x:c r="D101" s="117" t="n">
        <x:f>'Продажи'!D72*'Вводные'!$B$19+'ОБЪЕКТЫ'!D113</x:f>
      </x:c>
      <x:c r="E101" s="117" t="n">
        <x:f>'Продажи'!E72*'Вводные'!$B$19+'ОБЪЕКТЫ'!E113</x:f>
      </x:c>
      <x:c r="F101" s="117" t="n">
        <x:f>'Продажи'!F72*'Вводные'!$B$19+'ОБЪЕКТЫ'!F113</x:f>
      </x:c>
      <x:c r="G101" s="117" t="n">
        <x:f>'Продажи'!G72*'Вводные'!$B$19+'ОБЪЕКТЫ'!G113</x:f>
      </x:c>
      <x:c r="H101" s="117" t="n">
        <x:f>'Продажи'!H72*'Вводные'!$B$19+'ОБЪЕКТЫ'!H113</x:f>
      </x:c>
      <x:c r="I101" s="117" t="n">
        <x:f>'Продажи'!I72*'Вводные'!$B$19+'ОБЪЕКТЫ'!I113</x:f>
      </x:c>
      <x:c r="J101" s="117" t="n">
        <x:f>'Продажи'!J72*'Вводные'!$B$19+'ОБЪЕКТЫ'!J113</x:f>
      </x:c>
      <x:c r="K101" s="117" t="n">
        <x:f>'Продажи'!K72*'Вводные'!$B$19+'ОБЪЕКТЫ'!K113</x:f>
      </x:c>
      <x:c r="L101" s="117" t="n">
        <x:f>'Продажи'!L72*'Вводные'!$B$19+'ОБЪЕКТЫ'!L113</x:f>
      </x:c>
      <x:c r="M101" s="117" t="n">
        <x:f>'Продажи'!M72*'Вводные'!$B$19+'ОБЪЕКТЫ'!M113</x:f>
      </x:c>
      <x:c r="N101" s="117" t="n">
        <x:f>'Продажи'!N72*'Вводные'!$B$19+'ОБЪЕКТЫ'!N113</x:f>
      </x:c>
      <x:c r="O101" s="117" t="n">
        <x:f>'Продажи'!O72*'Вводные'!$B$19+'ОБЪЕКТЫ'!O113</x:f>
      </x:c>
      <x:c r="P101" s="117" t="n">
        <x:f>'Продажи'!P72*'Вводные'!$B$19+'ОБЪЕКТЫ'!P113</x:f>
      </x:c>
      <x:c r="Q101" s="117" t="n">
        <x:f>'Продажи'!Q72*'Вводные'!$B$19+'ОБЪЕКТЫ'!Q113</x:f>
      </x:c>
      <x:c r="R101" s="117" t="n">
        <x:f>'Продажи'!R72*'Вводные'!$B$19+'ОБЪЕКТЫ'!R113</x:f>
      </x:c>
      <x:c r="S101" s="117" t="n">
        <x:f>'Продажи'!S72*'Вводные'!$B$19+'ОБЪЕКТЫ'!S113</x:f>
      </x:c>
      <x:c r="T101" s="117" t="n">
        <x:f>'Продажи'!T72*'Вводные'!$B$19+'ОБЪЕКТЫ'!T113</x:f>
      </x:c>
      <x:c r="U101" s="117" t="n">
        <x:f>'Продажи'!U72*'Вводные'!$B$19+'ОБЪЕКТЫ'!U113</x:f>
      </x:c>
      <x:c r="V101" s="117" t="n">
        <x:f>'Продажи'!V72*'Вводные'!$B$19+'ОБЪЕКТЫ'!V113</x:f>
      </x:c>
      <x:c r="W101" s="117" t="n">
        <x:f>'Продажи'!W72*'Вводные'!$B$19+'ОБЪЕКТЫ'!W113</x:f>
      </x:c>
      <x:c r="X101" s="117" t="n">
        <x:f>'Продажи'!X72*'Вводные'!$B$19+'ОБЪЕКТЫ'!X113</x:f>
      </x:c>
      <x:c r="Y101" s="117" t="n">
        <x:f>'Продажи'!Y72*'Вводные'!$B$19+'ОБЪЕКТЫ'!Y113</x:f>
      </x:c>
      <x:c r="Z101" s="117" t="n">
        <x:f>'Продажи'!Z72*'Вводные'!$B$19+'ОБЪЕКТЫ'!Z113</x:f>
      </x:c>
      <x:c r="AA101" s="117" t="n">
        <x:f>'Продажи'!AA72*'Вводные'!$B$19+'ОБЪЕКТЫ'!AA113</x:f>
      </x:c>
      <x:c r="AB101" s="117" t="n">
        <x:f>'Продажи'!AB72*'Вводные'!$B$19+'ОБЪЕКТЫ'!AB113</x:f>
      </x:c>
      <x:c r="AC101" s="117" t="n">
        <x:f>'Продажи'!AC72*'Вводные'!$B$19+'ОБЪЕКТЫ'!AC113</x:f>
      </x:c>
      <x:c r="AD101" s="117" t="n">
        <x:f>'Продажи'!AD72*'Вводные'!$B$19+'ОБЪЕКТЫ'!AD113</x:f>
      </x:c>
      <x:c r="AE101" s="117" t="n">
        <x:f>'Продажи'!AE72*'Вводные'!$B$19+'ОБЪЕКТЫ'!AE113</x:f>
      </x:c>
      <x:c r="AF101" s="117" t="n">
        <x:f>'Продажи'!AF72*'Вводные'!$B$19+'ОБЪЕКТЫ'!AF113</x:f>
      </x:c>
      <x:c r="AG101" s="117" t="n">
        <x:f>'Продажи'!AG72*'Вводные'!$B$19+'ОБЪЕКТЫ'!AG113</x:f>
      </x:c>
      <x:c r="AH101" s="117" t="n">
        <x:f>'Продажи'!AH72*'Вводные'!$B$19+'ОБЪЕКТЫ'!AH113</x:f>
      </x:c>
      <x:c r="AI101" s="117" t="n">
        <x:f>'Продажи'!AI72*'Вводные'!$B$19+'ОБЪЕКТЫ'!AI113</x:f>
      </x:c>
      <x:c r="AJ101" s="117" t="n">
        <x:f>'Продажи'!AJ72*'Вводные'!$B$19+'ОБЪЕКТЫ'!AJ113</x:f>
      </x:c>
      <x:c r="AK101" s="117" t="n">
        <x:f>'Продажи'!AK72*'Вводные'!$B$19+'ОБЪЕКТЫ'!AK113</x:f>
      </x:c>
      <x:c r="AL101" s="117" t="n">
        <x:f>'Продажи'!AL72*'Вводные'!$B$19+'ОБЪЕКТЫ'!AL113</x:f>
      </x:c>
      <x:c r="AM101" s="117" t="n">
        <x:f>'Продажи'!AM72*'Вводные'!$B$19+'ОБЪЕКТЫ'!AM113</x:f>
      </x:c>
      <x:c r="AN101" s="117" t="n">
        <x:f>'Продажи'!AN72*'Вводные'!$B$19+'ОБЪЕКТЫ'!AN113</x:f>
      </x:c>
      <x:c r="AO101" s="117" t="n">
        <x:f>'Продажи'!AO72*'Вводные'!$B$19+'ОБЪЕКТЫ'!AO113</x:f>
      </x:c>
      <x:c r="AP101" s="117" t="n">
        <x:f>'Продажи'!AP72*'Вводные'!$B$19+'ОБЪЕКТЫ'!AP113</x:f>
      </x:c>
      <x:c r="AQ101" s="117" t="n">
        <x:f>'Продажи'!AQ72*'Вводные'!$B$19+'ОБЪЕКТЫ'!AQ113</x:f>
      </x:c>
      <x:c r="AR101" s="117" t="n">
        <x:f>'Продажи'!AR72*'Вводные'!$B$19+'ОБЪЕКТЫ'!AR113</x:f>
      </x:c>
      <x:c r="AS101" s="117" t="n">
        <x:f>'Продажи'!AS72*'Вводные'!$B$19+'ОБЪЕКТЫ'!AS113</x:f>
      </x:c>
      <x:c r="AT101" s="117" t="n">
        <x:f>'Продажи'!AT72*'Вводные'!$B$19+'ОБЪЕКТЫ'!AT113</x:f>
      </x:c>
      <x:c r="AU101" s="117" t="n">
        <x:f>'Продажи'!AU72*'Вводные'!$B$19+'ОБЪЕКТЫ'!AU113</x:f>
      </x:c>
      <x:c r="AV101" s="117" t="n">
        <x:f>'Продажи'!AV72*'Вводные'!$B$19+'ОБЪЕКТЫ'!AV113</x:f>
      </x:c>
      <x:c r="AW101" s="117" t="n">
        <x:f>'Продажи'!AW72*'Вводные'!$B$19+'ОБЪЕКТЫ'!AW113</x:f>
      </x:c>
      <x:c r="AX101" s="117" t="n">
        <x:f>'Продажи'!AX72*'Вводные'!$B$19+'ОБЪЕКТЫ'!AX113</x:f>
      </x:c>
      <x:c r="AY101" s="117" t="n">
        <x:f>'Продажи'!AY72*'Вводные'!$B$19+'ОБЪЕКТЫ'!AY113</x:f>
      </x:c>
      <x:c r="AZ101" s="117" t="n">
        <x:f>'Продажи'!AZ72*'Вводные'!$B$19+'ОБЪЕКТЫ'!AZ113</x:f>
      </x:c>
      <x:c r="BA101" s="117" t="n">
        <x:f>'Продажи'!BA72*'Вводные'!$B$19+'ОБЪЕКТЫ'!BA113</x:f>
      </x:c>
      <x:c r="BB101" s="117" t="n">
        <x:f>'Продажи'!BB72*'Вводные'!$B$19+'ОБЪЕКТЫ'!BB113</x:f>
      </x:c>
      <x:c r="BC101" s="117" t="n">
        <x:f>'Продажи'!BC72*'Вводные'!$B$19+'ОБЪЕКТЫ'!BC113</x:f>
      </x:c>
      <x:c r="BD101" s="117" t="n">
        <x:f>'Продажи'!BD72*'Вводные'!$B$19+'ОБЪЕКТЫ'!BD113</x:f>
      </x:c>
      <x:c r="BE101" s="117" t="n">
        <x:f>'Продажи'!BE72*'Вводные'!$B$19+'ОБЪЕКТЫ'!BE113</x:f>
      </x:c>
      <x:c r="BF101" s="117" t="n">
        <x:f>'Продажи'!BF72*'Вводные'!$B$19+'ОБЪЕКТЫ'!BF113</x:f>
      </x:c>
      <x:c r="BG101" s="117" t="n">
        <x:f>'Продажи'!BG72*'Вводные'!$B$19+'ОБЪЕКТЫ'!BG113</x:f>
      </x:c>
      <x:c r="BH101" s="117" t="n">
        <x:f>'Продажи'!BH72*'Вводные'!$B$19+'ОБЪЕКТЫ'!BH113</x:f>
      </x:c>
      <x:c r="BI101" s="117" t="n">
        <x:f>'Продажи'!BI72*'Вводные'!$B$19+'ОБЪЕКТЫ'!BI113</x:f>
      </x:c>
      <x:c r="BJ101" s="117" t="n">
        <x:f>'Продажи'!BJ72*'Вводные'!$B$19+'ОБЪЕКТЫ'!BJ113</x:f>
      </x:c>
      <x:c r="BK101" s="117" t="n">
        <x:f>'Продажи'!BK72*'Вводные'!$B$19+'ОБЪЕКТЫ'!BK113</x:f>
      </x:c>
      <x:c r="BL101" s="117" t="n">
        <x:f>'Продажи'!BL72*'Вводные'!$B$19+'ОБЪЕКТЫ'!BL113</x:f>
      </x:c>
      <x:c r="BM101" s="117" t="n">
        <x:f>'Продажи'!BM72*'Вводные'!$B$19+'ОБЪЕКТЫ'!BM113</x:f>
      </x:c>
      <x:c r="BN101" s="117" t="n">
        <x:f>'Продажи'!BN72*'Вводные'!$B$19+'ОБЪЕКТЫ'!BN113</x:f>
      </x:c>
      <x:c r="BO101" s="117" t="n">
        <x:f>'Продажи'!BO72*'Вводные'!$B$19+'ОБЪЕКТЫ'!BO113</x:f>
      </x:c>
      <x:c r="BP101" s="117" t="n">
        <x:f>'Продажи'!BP72*'Вводные'!$B$19+'ОБЪЕКТЫ'!BP113</x:f>
      </x:c>
      <x:c r="BQ101" s="117" t="n">
        <x:f>'Продажи'!BQ72*'Вводные'!$B$19+'ОБЪЕКТЫ'!BQ113</x:f>
      </x:c>
      <x:c r="BR101" s="117" t="n">
        <x:f>'Продажи'!BR72*'Вводные'!$B$19+'ОБЪЕКТЫ'!BR113</x:f>
      </x:c>
      <x:c r="BS101" s="117" t="n">
        <x:f>'Продажи'!BS72*'Вводные'!$B$19+'ОБЪЕКТЫ'!BS113</x:f>
      </x:c>
      <x:c r="BT101" s="117" t="n">
        <x:f>'Продажи'!BT72*'Вводные'!$B$19+'ОБЪЕКТЫ'!BT113</x:f>
      </x:c>
      <x:c r="BU101" s="117" t="n">
        <x:f>'Продажи'!BU72*'Вводные'!$B$19+'ОБЪЕКТЫ'!BU113</x:f>
      </x:c>
      <x:c r="BV101" s="117" t="n">
        <x:f>'Продажи'!BV72*'Вводные'!$B$19+'ОБЪЕКТЫ'!BV113</x:f>
      </x:c>
      <x:c r="BW101" s="117" t="n">
        <x:f>'Продажи'!BW72*'Вводные'!$B$19+'ОБЪЕКТЫ'!BW113</x:f>
      </x:c>
      <x:c r="BX101" s="117" t="n">
        <x:f>'Продажи'!BX72*'Вводные'!$B$19+'ОБЪЕКТЫ'!BX113</x:f>
      </x:c>
      <x:c r="BY101" s="117" t="n">
        <x:f>'Продажи'!BY72*'Вводные'!$B$19+'ОБЪЕКТЫ'!BY113</x:f>
      </x:c>
      <x:c r="BZ101" s="117" t="n">
        <x:f>'Продажи'!BZ72*'Вводные'!$B$19+'ОБЪЕКТЫ'!BZ113</x:f>
      </x:c>
      <x:c r="CA101" s="117" t="n">
        <x:f>'Продажи'!CA72*'Вводные'!$B$19+'ОБЪЕКТЫ'!CA113</x:f>
      </x:c>
      <x:c r="CB101" s="117" t="n">
        <x:f>'Продажи'!CB72*'Вводные'!$B$19+'ОБЪЕКТЫ'!CB113</x:f>
      </x:c>
      <x:c r="CC101" s="117" t="n">
        <x:f>'Продажи'!CC72*'Вводные'!$B$19+'ОБЪЕКТЫ'!CC113</x:f>
      </x:c>
      <x:c r="CD101" s="117" t="n">
        <x:f>'Продажи'!CD72*'Вводные'!$B$19+'ОБЪЕКТЫ'!CD113</x:f>
      </x:c>
      <x:c r="CE101" s="117" t="n">
        <x:f>'Продажи'!CE72*'Вводные'!$B$19+'ОБЪЕКТЫ'!CE113</x:f>
      </x:c>
      <x:c r="CF101" s="117" t="n">
        <x:f>'Продажи'!CF72*'Вводные'!$B$19+'ОБЪЕКТЫ'!CF113</x:f>
      </x:c>
      <x:c r="CG101" s="117" t="n">
        <x:f>'Продажи'!CG72*'Вводные'!$B$19+'ОБЪЕКТЫ'!CG113</x:f>
      </x:c>
      <x:c r="CH101" s="117" t="n">
        <x:f>'Продажи'!CH72*'Вводные'!$B$19+'ОБЪЕКТЫ'!CH113</x:f>
      </x:c>
      <x:c r="CI101" s="117" t="n">
        <x:f>'Продажи'!CI72*'Вводные'!$B$19+'ОБЪЕКТЫ'!CI113</x:f>
      </x:c>
      <x:c r="CJ101" s="117" t="n">
        <x:f>'Продажи'!CJ72*'Вводные'!$B$19+'ОБЪЕКТЫ'!CJ113</x:f>
      </x:c>
      <x:c r="CK101" s="117" t="n">
        <x:f>'Продажи'!CK72*'Вводные'!$B$19+'ОБЪЕКТЫ'!CK113</x:f>
      </x:c>
      <x:c r="CL101" s="117" t="n">
        <x:f>'Продажи'!CL72*'Вводные'!$B$19+'ОБЪЕКТЫ'!CL113</x:f>
      </x:c>
      <x:c r="CM101" s="117" t="n">
        <x:f>'Продажи'!CM72*'Вводные'!$B$19+'ОБЪЕКТЫ'!CM113</x:f>
      </x:c>
      <x:c r="CN101" s="117" t="n">
        <x:f>'Продажи'!CN72*'Вводные'!$B$19+'ОБЪЕКТЫ'!CN113</x:f>
      </x:c>
      <x:c r="CO101" s="117" t="n">
        <x:f>'Продажи'!CO72*'Вводные'!$B$19+'ОБЪЕКТЫ'!CO113</x:f>
      </x:c>
      <x:c r="CP101" s="117" t="n">
        <x:f>'Продажи'!CP72*'Вводные'!$B$19+'ОБЪЕКТЫ'!CP113</x:f>
      </x:c>
      <x:c r="CQ101" s="117" t="n">
        <x:f>'Продажи'!CQ72*'Вводные'!$B$19+'ОБЪЕКТЫ'!CQ113</x:f>
      </x:c>
      <x:c r="CR101" s="117" t="n">
        <x:f>'Продажи'!CR72*'Вводные'!$B$19+'ОБЪЕКТЫ'!CR113</x:f>
      </x:c>
      <x:c r="CS101" s="117" t="n">
        <x:f>'Продажи'!CS72*'Вводные'!$B$19+'ОБЪЕКТЫ'!CS113</x:f>
      </x:c>
      <x:c r="CT101" s="117" t="n">
        <x:f>'Продажи'!CT72*'Вводные'!$B$19+'ОБЪЕКТЫ'!CT113</x:f>
      </x:c>
      <x:c r="CU101" s="117" t="n">
        <x:f>'Продажи'!CU72*'Вводные'!$B$19+'ОБЪЕКТЫ'!CU113</x:f>
      </x:c>
      <x:c r="CV101" s="117" t="n">
        <x:f>'Продажи'!CV72*'Вводные'!$B$19+'ОБЪЕКТЫ'!CV113</x:f>
      </x:c>
      <x:c r="CW101" s="117" t="n">
        <x:f>'Продажи'!CW72*'Вводные'!$B$19+'ОБЪЕКТЫ'!CW113</x:f>
      </x:c>
      <x:c r="CX101" s="117" t="n">
        <x:f>'Продажи'!CX72*'Вводные'!$B$19+'ОБЪЕКТЫ'!CX113</x:f>
      </x:c>
      <x:c r="CY101" s="117" t="n">
        <x:f>'Продажи'!CY72*'Вводные'!$B$19+'ОБЪЕКТЫ'!CY113</x:f>
      </x:c>
      <x:c r="CZ101" s="117" t="n">
        <x:f>'Продажи'!CZ72*'Вводные'!$B$19+'ОБЪЕКТЫ'!CZ113</x:f>
      </x:c>
      <x:c r="DA101" s="117" t="n">
        <x:f>'Продажи'!DA72*'Вводные'!$B$19+'ОБЪЕКТЫ'!DA113</x:f>
      </x:c>
      <x:c r="DB101" s="117" t="n">
        <x:f>'Продажи'!DB72*'Вводные'!$B$19+'ОБЪЕКТЫ'!DB113</x:f>
      </x:c>
      <x:c r="DC101" s="117" t="n">
        <x:f>'Продажи'!DC72*'Вводные'!$B$19+'ОБЪЕКТЫ'!DC113</x:f>
      </x:c>
      <x:c r="DD101" s="117" t="n">
        <x:f>'Продажи'!DD72*'Вводные'!$B$19+'ОБЪЕКТЫ'!DD113</x:f>
      </x:c>
      <x:c r="DE101" s="117" t="n">
        <x:f>'Продажи'!DE72*'Вводные'!$B$19+'ОБЪЕКТЫ'!DE113</x:f>
      </x:c>
      <x:c r="DF101" s="117" t="n">
        <x:f>'Продажи'!DF72*'Вводные'!$B$19+'ОБЪЕКТЫ'!DF113</x:f>
      </x:c>
      <x:c r="DG101" s="117" t="n">
        <x:f>'Продажи'!DG72*'Вводные'!$B$19+'ОБЪЕКТЫ'!DG113</x:f>
      </x:c>
      <x:c r="DH101" s="117" t="n">
        <x:f>'Продажи'!DH72*'Вводные'!$B$19+'ОБЪЕКТЫ'!DH113</x:f>
      </x:c>
      <x:c r="DI101" s="117" t="n">
        <x:f>'Продажи'!DI72*'Вводные'!$B$19+'ОБЪЕКТЫ'!DI113</x:f>
      </x:c>
      <x:c r="DJ101" s="117" t="n">
        <x:f>'Продажи'!DJ72*'Вводные'!$B$19+'ОБЪЕКТЫ'!DJ113</x:f>
      </x:c>
      <x:c r="DK101" s="117" t="n">
        <x:f>'Продажи'!DK72*'Вводные'!$B$19+'ОБЪЕКТЫ'!DK113</x:f>
      </x:c>
      <x:c r="DL101" s="117" t="n">
        <x:f>'Продажи'!DL72*'Вводные'!$B$19+'ОБЪЕКТЫ'!DL113</x:f>
      </x:c>
      <x:c r="DM101" s="117" t="n">
        <x:f>'Продажи'!DM72*'Вводные'!$B$19+'ОБЪЕКТЫ'!DM113</x:f>
      </x:c>
      <x:c r="DN101" s="117" t="n">
        <x:f>'Продажи'!DN72*'Вводные'!$B$19+'ОБЪЕКТЫ'!DN113</x:f>
      </x:c>
      <x:c r="DO101" s="117" t="n">
        <x:f>'Продажи'!DO72*'Вводные'!$B$19+'ОБЪЕКТЫ'!DO113</x:f>
      </x:c>
      <x:c r="DP101" s="117" t="n">
        <x:f>'Продажи'!DP72*'Вводные'!$B$19+'ОБЪЕКТЫ'!DP113</x:f>
      </x:c>
      <x:c r="DQ101" s="117" t="n">
        <x:f>'Продажи'!DQ72*'Вводные'!$B$19+'ОБЪЕКТЫ'!DQ113</x:f>
      </x:c>
      <x:c r="DR101" s="117" t="n">
        <x:f>'Продажи'!DR72*'Вводные'!$B$19+'ОБЪЕКТЫ'!DR113</x:f>
      </x:c>
      <x:c r="DS101" s="117" t="n">
        <x:f>'Продажи'!DS72*'Вводные'!$B$19+'ОБЪЕКТЫ'!DS113</x:f>
      </x:c>
      <x:c r="DT101" s="117" t="n">
        <x:f>'Продажи'!DT72*'Вводные'!$B$19+'ОБЪЕКТЫ'!DT113</x:f>
      </x:c>
      <x:c r="DU101" s="117" t="n">
        <x:f>'Продажи'!DU72*'Вводные'!$B$19+'ОБЪЕКТЫ'!DU113</x:f>
      </x:c>
      <x:c r="DV101" s="117" t="n">
        <x:f>'Продажи'!DV72*'Вводные'!$B$19+'ОБЪЕКТЫ'!DV113</x:f>
      </x:c>
      <x:c r="DW101" s="117" t="n">
        <x:f>'Продажи'!DW72*'Вводные'!$B$19+'ОБЪЕКТЫ'!DW113</x:f>
      </x:c>
      <x:c r="DX101" s="117" t="n">
        <x:f>'Продажи'!DX72*'Вводные'!$B$19+'ОБЪЕКТЫ'!DX113</x:f>
      </x:c>
      <x:c r="DY101" s="117" t="n">
        <x:f>'Продажи'!DY72*'Вводные'!$B$19+'ОБЪЕКТЫ'!DY113</x:f>
      </x:c>
      <x:c r="DZ101" s="117" t="n">
        <x:f>'Продажи'!DZ72*'Вводные'!$B$19+'ОБЪЕКТЫ'!DZ113</x:f>
      </x:c>
      <x:c r="EA101" s="117" t="n">
        <x:f>'Продажи'!EA72*'Вводные'!$B$19+'ОБЪЕКТЫ'!EA113</x:f>
      </x:c>
      <x:c r="EB101" s="117" t="n">
        <x:f>'Продажи'!EB72*'Вводные'!$B$19+'ОБЪЕКТЫ'!EB113</x:f>
      </x:c>
      <x:c r="EC101" s="117" t="n">
        <x:f>'Продажи'!EC72*'Вводные'!$B$19+'ОБЪЕКТЫ'!EC113</x:f>
      </x:c>
      <x:c r="ED101" s="117" t="n">
        <x:f>'Продажи'!ED72*'Вводные'!$B$19+'ОБЪЕКТЫ'!ED113</x:f>
      </x:c>
      <x:c r="EE101" s="117" t="n">
        <x:f>'Продажи'!EE72*'Вводные'!$B$19+'ОБЪЕКТЫ'!EE113</x:f>
      </x:c>
      <x:c r="EF101" s="117" t="n">
        <x:f>'Продажи'!EF72*'Вводные'!$B$19+'ОБЪЕКТЫ'!EF113</x:f>
      </x:c>
      <x:c r="EG101" s="117" t="n">
        <x:f>'Продажи'!EG72*'Вводные'!$B$19+'ОБЪЕКТЫ'!EG113</x:f>
      </x:c>
      <x:c r="EH101" s="117" t="n">
        <x:f>'Продажи'!EH72*'Вводные'!$B$19+'ОБЪЕКТЫ'!EH113</x:f>
      </x:c>
      <x:c r="EI101" s="117" t="n">
        <x:f>'Продажи'!EI72*'Вводные'!$B$19+'ОБЪЕКТЫ'!EI113</x:f>
      </x:c>
      <x:c r="EJ101" s="117" t="n">
        <x:f>'Продажи'!EJ72*'Вводные'!$B$19+'ОБЪЕКТЫ'!EJ113</x:f>
      </x:c>
      <x:c r="EK101" s="117" t="n">
        <x:f>'Продажи'!EK72*'Вводные'!$B$19+'ОБЪЕКТЫ'!EK113</x:f>
      </x:c>
      <x:c r="EL101" s="117" t="n">
        <x:f>'Продажи'!EL72*'Вводные'!$B$19+'ОБЪЕКТЫ'!EL113</x:f>
      </x:c>
      <x:c r="EM101" s="117" t="n">
        <x:f>'Продажи'!EM72*'Вводные'!$B$19+'ОБЪЕКТЫ'!EM113</x:f>
      </x:c>
      <x:c r="EN101" s="117" t="n">
        <x:f>'Продажи'!EN72*'Вводные'!$B$19+'ОБЪЕКТЫ'!EN113</x:f>
      </x:c>
      <x:c r="EO101" s="117" t="n">
        <x:f>'Продажи'!EO72*'Вводные'!$B$19+'ОБЪЕКТЫ'!EO113</x:f>
      </x:c>
      <x:c r="EP101" s="117" t="n">
        <x:f>'Продажи'!EP72*'Вводные'!$B$19+'ОБЪЕКТЫ'!EP113</x:f>
      </x:c>
      <x:c r="EQ101" s="117" t="n">
        <x:f>'Продажи'!EQ72*'Вводные'!$B$19+'ОБЪЕКТЫ'!EQ113</x:f>
      </x:c>
      <x:c r="ER101" s="117" t="n">
        <x:f>'Продажи'!ER72*'Вводные'!$B$19+'ОБЪЕКТЫ'!ER113</x:f>
      </x:c>
      <x:c r="ES101" s="117" t="n">
        <x:f>'Продажи'!ES72*'Вводные'!$B$19+'ОБЪЕКТЫ'!ES113</x:f>
      </x:c>
      <x:c r="ET101" s="117" t="n">
        <x:f>'Продажи'!ET72*'Вводные'!$B$19+'ОБЪЕКТЫ'!ET113</x:f>
      </x:c>
      <x:c r="EU101" s="117" t="n">
        <x:f>'Продажи'!EU72*'Вводные'!$B$19+'ОБЪЕКТЫ'!EU113</x:f>
      </x:c>
      <x:c r="EV101" s="117" t="n">
        <x:f>'Продажи'!EV72*'Вводные'!$B$19+'ОБЪЕКТЫ'!EV113</x:f>
      </x:c>
      <x:c r="EW101" s="117" t="n">
        <x:f>'Продажи'!EW72*'Вводные'!$B$19+'ОБЪЕКТЫ'!EW113</x:f>
      </x:c>
      <x:c r="EX101" s="117" t="n">
        <x:f>'Продажи'!EX72*'Вводные'!$B$19+'ОБЪЕКТЫ'!EX113</x:f>
      </x:c>
      <x:c r="EY101" s="117" t="n">
        <x:f>'Продажи'!EY72*'Вводные'!$B$19+'ОБЪЕКТЫ'!EY113</x:f>
      </x:c>
      <x:c r="EZ101" s="117" t="n">
        <x:f>'Продажи'!EZ72*'Вводные'!$B$19+'ОБЪЕКТЫ'!EZ113</x:f>
      </x:c>
      <x:c r="FA101" s="117" t="n">
        <x:f>'Продажи'!FA72*'Вводные'!$B$19+'ОБЪЕКТЫ'!FA113</x:f>
      </x:c>
      <x:c r="FB101" s="117" t="n">
        <x:f>'Продажи'!FB72*'Вводные'!$B$19+'ОБЪЕКТЫ'!FB113</x:f>
      </x:c>
      <x:c r="FC101" s="117" t="n">
        <x:f>'Продажи'!FC72*'Вводные'!$B$19+'ОБЪЕКТЫ'!FC113</x:f>
      </x:c>
      <x:c r="FD101" s="117" t="n">
        <x:f>'Продажи'!FD72*'Вводные'!$B$19+'ОБЪЕКТЫ'!FD113</x:f>
      </x:c>
      <x:c r="FE101" s="117" t="n">
        <x:f>'Продажи'!FE72*'Вводные'!$B$19+'ОБЪЕКТЫ'!FE113</x:f>
      </x:c>
      <x:c r="FF101" s="117" t="n">
        <x:f>'Продажи'!FF72*'Вводные'!$B$19+'ОБЪЕКТЫ'!FF113</x:f>
      </x:c>
      <x:c r="FG101" s="117" t="n">
        <x:f>'Продажи'!FG72*'Вводные'!$B$19+'ОБЪЕКТЫ'!FG113</x:f>
      </x:c>
      <x:c r="FH101" s="117" t="n">
        <x:f>'Продажи'!FH72*'Вводные'!$B$19+'ОБЪЕКТЫ'!FH113</x:f>
      </x:c>
      <x:c r="FI101" s="117" t="n">
        <x:f>'Продажи'!FI72*'Вводные'!$B$19+'ОБЪЕКТЫ'!FI113</x:f>
      </x:c>
      <x:c r="FJ101" s="117" t="n">
        <x:f>'Продажи'!FJ72*'Вводные'!$B$19+'ОБЪЕКТЫ'!FJ113</x:f>
      </x:c>
      <x:c r="FK101" s="117" t="n">
        <x:f>'Продажи'!FK72*'Вводные'!$B$19+'ОБЪЕКТЫ'!FK113</x:f>
      </x:c>
      <x:c r="FL101" s="117" t="n">
        <x:f>'Продажи'!FL72*'Вводные'!$B$19+'ОБЪЕКТЫ'!FL113</x:f>
      </x:c>
      <x:c r="FM101" s="117" t="n">
        <x:f>'Продажи'!FM72*'Вводные'!$B$19+'ОБЪЕКТЫ'!FM113</x:f>
      </x:c>
      <x:c r="FN101" s="117" t="n">
        <x:f>'Продажи'!FN72*'Вводные'!$B$19+'ОБЪЕКТЫ'!FN113</x:f>
      </x:c>
      <x:c r="FO101" s="117" t="n">
        <x:f>'Продажи'!FO72*'Вводные'!$B$19+'ОБЪЕКТЫ'!FO113</x:f>
      </x:c>
      <x:c r="FP101" s="117" t="n">
        <x:f>'Продажи'!FP72*'Вводные'!$B$19+'ОБЪЕКТЫ'!FP113</x:f>
      </x:c>
      <x:c r="FQ101" s="117" t="n">
        <x:f>'Продажи'!FQ72*'Вводные'!$B$19+'ОБЪЕКТЫ'!FQ113</x:f>
      </x:c>
      <x:c r="FR101" s="117" t="n">
        <x:f>'Продажи'!FR72*'Вводные'!$B$19+'ОБЪЕКТЫ'!FR113</x:f>
      </x:c>
      <x:c r="FS101" s="117" t="n">
        <x:f>'Продажи'!FS72*'Вводные'!$B$19+'ОБЪЕКТЫ'!FS113</x:f>
      </x:c>
      <x:c r="FT101" s="117" t="n">
        <x:f>'Продажи'!FT72*'Вводные'!$B$19+'ОБЪЕКТЫ'!FT113</x:f>
      </x:c>
      <x:c r="FU101" s="117" t="n">
        <x:f>'Продажи'!FU72*'Вводные'!$B$19+'ОБЪЕКТЫ'!FU113</x:f>
      </x:c>
      <x:c r="FV101" s="117" t="n">
        <x:f>'Продажи'!FV72*'Вводные'!$B$19+'ОБЪЕКТЫ'!FV113</x:f>
      </x:c>
      <x:c r="FW101" s="117" t="n">
        <x:f>'Продажи'!FW72*'Вводные'!$B$19+'ОБЪЕКТЫ'!FW113</x:f>
      </x:c>
      <x:c r="FX101" s="117" t="n">
        <x:f>'Продажи'!FX72*'Вводные'!$B$19+'ОБЪЕКТЫ'!FX113</x:f>
      </x:c>
      <x:c r="FY101" s="117" t="n">
        <x:f>'Продажи'!FY72*'Вводные'!$B$19+'ОБЪЕКТЫ'!FY113</x:f>
      </x:c>
      <x:c r="FZ101" s="117" t="n">
        <x:f>'Продажи'!FZ72*'Вводные'!$B$19+'ОБЪЕКТЫ'!FZ113</x:f>
      </x:c>
      <x:c r="GA101" s="117" t="n">
        <x:f>'Продажи'!GA72*'Вводные'!$B$19+'ОБЪЕКТЫ'!GA113</x:f>
      </x:c>
    </x:row>
    <x:row r="102">
      <x:c r="A102" t="str">
        <x:v>Расходы на продажи</x:v>
      </x:c>
      <x:c r="B102" s="107" t="n">
        <x:f>SUM(D102:GA102)</x:f>
      </x:c>
      <x:c r="C102" t="str">
        <x:v>млн ₽</x:v>
      </x:c>
      <x:c r="D102" s="117" t="n">
        <x:f>'Продажи'!D72*'Вводные'!$B$20+'ОБЪЕКТЫ'!D114</x:f>
      </x:c>
      <x:c r="E102" s="117" t="n">
        <x:f>'Продажи'!E72*'Вводные'!$B$20+'ОБЪЕКТЫ'!E114</x:f>
      </x:c>
      <x:c r="F102" s="117" t="n">
        <x:f>'Продажи'!F72*'Вводные'!$B$20+'ОБЪЕКТЫ'!F114</x:f>
      </x:c>
      <x:c r="G102" s="117" t="n">
        <x:f>'Продажи'!G72*'Вводные'!$B$20+'ОБЪЕКТЫ'!G114</x:f>
      </x:c>
      <x:c r="H102" s="117" t="n">
        <x:f>'Продажи'!H72*'Вводные'!$B$20+'ОБЪЕКТЫ'!H114</x:f>
      </x:c>
      <x:c r="I102" s="117" t="n">
        <x:f>'Продажи'!I72*'Вводные'!$B$20+'ОБЪЕКТЫ'!I114</x:f>
      </x:c>
      <x:c r="J102" s="117" t="n">
        <x:f>'Продажи'!J72*'Вводные'!$B$20+'ОБЪЕКТЫ'!J114</x:f>
      </x:c>
      <x:c r="K102" s="117" t="n">
        <x:f>'Продажи'!K72*'Вводные'!$B$20+'ОБЪЕКТЫ'!K114</x:f>
      </x:c>
      <x:c r="L102" s="117" t="n">
        <x:f>'Продажи'!L72*'Вводные'!$B$20+'ОБЪЕКТЫ'!L114</x:f>
      </x:c>
      <x:c r="M102" s="117" t="n">
        <x:f>'Продажи'!M72*'Вводные'!$B$20+'ОБЪЕКТЫ'!M114</x:f>
      </x:c>
      <x:c r="N102" s="117" t="n">
        <x:f>'Продажи'!N72*'Вводные'!$B$20+'ОБЪЕКТЫ'!N114</x:f>
      </x:c>
      <x:c r="O102" s="117" t="n">
        <x:f>'Продажи'!O72*'Вводные'!$B$20+'ОБЪЕКТЫ'!O114</x:f>
      </x:c>
      <x:c r="P102" s="117" t="n">
        <x:f>'Продажи'!P72*'Вводные'!$B$20+'ОБЪЕКТЫ'!P114</x:f>
      </x:c>
      <x:c r="Q102" s="117" t="n">
        <x:f>'Продажи'!Q72*'Вводные'!$B$20+'ОБЪЕКТЫ'!Q114</x:f>
      </x:c>
      <x:c r="R102" s="117" t="n">
        <x:f>'Продажи'!R72*'Вводные'!$B$20+'ОБЪЕКТЫ'!R114</x:f>
      </x:c>
      <x:c r="S102" s="117" t="n">
        <x:f>'Продажи'!S72*'Вводные'!$B$20+'ОБЪЕКТЫ'!S114</x:f>
      </x:c>
      <x:c r="T102" s="117" t="n">
        <x:f>'Продажи'!T72*'Вводные'!$B$20+'ОБЪЕКТЫ'!T114</x:f>
      </x:c>
      <x:c r="U102" s="117" t="n">
        <x:f>'Продажи'!U72*'Вводные'!$B$20+'ОБЪЕКТЫ'!U114</x:f>
      </x:c>
      <x:c r="V102" s="117" t="n">
        <x:f>'Продажи'!V72*'Вводные'!$B$20+'ОБЪЕКТЫ'!V114</x:f>
      </x:c>
      <x:c r="W102" s="117" t="n">
        <x:f>'Продажи'!W72*'Вводные'!$B$20+'ОБЪЕКТЫ'!W114</x:f>
      </x:c>
      <x:c r="X102" s="117" t="n">
        <x:f>'Продажи'!X72*'Вводные'!$B$20+'ОБЪЕКТЫ'!X114</x:f>
      </x:c>
      <x:c r="Y102" s="117" t="n">
        <x:f>'Продажи'!Y72*'Вводные'!$B$20+'ОБЪЕКТЫ'!Y114</x:f>
      </x:c>
      <x:c r="Z102" s="117" t="n">
        <x:f>'Продажи'!Z72*'Вводные'!$B$20+'ОБЪЕКТЫ'!Z114</x:f>
      </x:c>
      <x:c r="AA102" s="117" t="n">
        <x:f>'Продажи'!AA72*'Вводные'!$B$20+'ОБЪЕКТЫ'!AA114</x:f>
      </x:c>
      <x:c r="AB102" s="117" t="n">
        <x:f>'Продажи'!AB72*'Вводные'!$B$20+'ОБЪЕКТЫ'!AB114</x:f>
      </x:c>
      <x:c r="AC102" s="117" t="n">
        <x:f>'Продажи'!AC72*'Вводные'!$B$20+'ОБЪЕКТЫ'!AC114</x:f>
      </x:c>
      <x:c r="AD102" s="117" t="n">
        <x:f>'Продажи'!AD72*'Вводные'!$B$20+'ОБЪЕКТЫ'!AD114</x:f>
      </x:c>
      <x:c r="AE102" s="117" t="n">
        <x:f>'Продажи'!AE72*'Вводные'!$B$20+'ОБЪЕКТЫ'!AE114</x:f>
      </x:c>
      <x:c r="AF102" s="117" t="n">
        <x:f>'Продажи'!AF72*'Вводные'!$B$20+'ОБЪЕКТЫ'!AF114</x:f>
      </x:c>
      <x:c r="AG102" s="117" t="n">
        <x:f>'Продажи'!AG72*'Вводные'!$B$20+'ОБЪЕКТЫ'!AG114</x:f>
      </x:c>
      <x:c r="AH102" s="117" t="n">
        <x:f>'Продажи'!AH72*'Вводные'!$B$20+'ОБЪЕКТЫ'!AH114</x:f>
      </x:c>
      <x:c r="AI102" s="117" t="n">
        <x:f>'Продажи'!AI72*'Вводные'!$B$20+'ОБЪЕКТЫ'!AI114</x:f>
      </x:c>
      <x:c r="AJ102" s="117" t="n">
        <x:f>'Продажи'!AJ72*'Вводные'!$B$20+'ОБЪЕКТЫ'!AJ114</x:f>
      </x:c>
      <x:c r="AK102" s="117" t="n">
        <x:f>'Продажи'!AK72*'Вводные'!$B$20+'ОБЪЕКТЫ'!AK114</x:f>
      </x:c>
      <x:c r="AL102" s="117" t="n">
        <x:f>'Продажи'!AL72*'Вводные'!$B$20+'ОБЪЕКТЫ'!AL114</x:f>
      </x:c>
      <x:c r="AM102" s="117" t="n">
        <x:f>'Продажи'!AM72*'Вводные'!$B$20+'ОБЪЕКТЫ'!AM114</x:f>
      </x:c>
      <x:c r="AN102" s="117" t="n">
        <x:f>'Продажи'!AN72*'Вводные'!$B$20+'ОБЪЕКТЫ'!AN114</x:f>
      </x:c>
      <x:c r="AO102" s="117" t="n">
        <x:f>'Продажи'!AO72*'Вводные'!$B$20+'ОБЪЕКТЫ'!AO114</x:f>
      </x:c>
      <x:c r="AP102" s="117" t="n">
        <x:f>'Продажи'!AP72*'Вводные'!$B$20+'ОБЪЕКТЫ'!AP114</x:f>
      </x:c>
      <x:c r="AQ102" s="117" t="n">
        <x:f>'Продажи'!AQ72*'Вводные'!$B$20+'ОБЪЕКТЫ'!AQ114</x:f>
      </x:c>
      <x:c r="AR102" s="117" t="n">
        <x:f>'Продажи'!AR72*'Вводные'!$B$20+'ОБЪЕКТЫ'!AR114</x:f>
      </x:c>
      <x:c r="AS102" s="117" t="n">
        <x:f>'Продажи'!AS72*'Вводные'!$B$20+'ОБЪЕКТЫ'!AS114</x:f>
      </x:c>
      <x:c r="AT102" s="117" t="n">
        <x:f>'Продажи'!AT72*'Вводные'!$B$20+'ОБЪЕКТЫ'!AT114</x:f>
      </x:c>
      <x:c r="AU102" s="117" t="n">
        <x:f>'Продажи'!AU72*'Вводные'!$B$20+'ОБЪЕКТЫ'!AU114</x:f>
      </x:c>
      <x:c r="AV102" s="117" t="n">
        <x:f>'Продажи'!AV72*'Вводные'!$B$20+'ОБЪЕКТЫ'!AV114</x:f>
      </x:c>
      <x:c r="AW102" s="117" t="n">
        <x:f>'Продажи'!AW72*'Вводные'!$B$20+'ОБЪЕКТЫ'!AW114</x:f>
      </x:c>
      <x:c r="AX102" s="117" t="n">
        <x:f>'Продажи'!AX72*'Вводные'!$B$20+'ОБЪЕКТЫ'!AX114</x:f>
      </x:c>
      <x:c r="AY102" s="117" t="n">
        <x:f>'Продажи'!AY72*'Вводные'!$B$20+'ОБЪЕКТЫ'!AY114</x:f>
      </x:c>
      <x:c r="AZ102" s="117" t="n">
        <x:f>'Продажи'!AZ72*'Вводные'!$B$20+'ОБЪЕКТЫ'!AZ114</x:f>
      </x:c>
      <x:c r="BA102" s="117" t="n">
        <x:f>'Продажи'!BA72*'Вводные'!$B$20+'ОБЪЕКТЫ'!BA114</x:f>
      </x:c>
      <x:c r="BB102" s="117" t="n">
        <x:f>'Продажи'!BB72*'Вводные'!$B$20+'ОБЪЕКТЫ'!BB114</x:f>
      </x:c>
      <x:c r="BC102" s="117" t="n">
        <x:f>'Продажи'!BC72*'Вводные'!$B$20+'ОБЪЕКТЫ'!BC114</x:f>
      </x:c>
      <x:c r="BD102" s="117" t="n">
        <x:f>'Продажи'!BD72*'Вводные'!$B$20+'ОБЪЕКТЫ'!BD114</x:f>
      </x:c>
      <x:c r="BE102" s="117" t="n">
        <x:f>'Продажи'!BE72*'Вводные'!$B$20+'ОБЪЕКТЫ'!BE114</x:f>
      </x:c>
      <x:c r="BF102" s="117" t="n">
        <x:f>'Продажи'!BF72*'Вводные'!$B$20+'ОБЪЕКТЫ'!BF114</x:f>
      </x:c>
      <x:c r="BG102" s="117" t="n">
        <x:f>'Продажи'!BG72*'Вводные'!$B$20+'ОБЪЕКТЫ'!BG114</x:f>
      </x:c>
      <x:c r="BH102" s="117" t="n">
        <x:f>'Продажи'!BH72*'Вводные'!$B$20+'ОБЪЕКТЫ'!BH114</x:f>
      </x:c>
      <x:c r="BI102" s="117" t="n">
        <x:f>'Продажи'!BI72*'Вводные'!$B$20+'ОБЪЕКТЫ'!BI114</x:f>
      </x:c>
      <x:c r="BJ102" s="117" t="n">
        <x:f>'Продажи'!BJ72*'Вводные'!$B$20+'ОБЪЕКТЫ'!BJ114</x:f>
      </x:c>
      <x:c r="BK102" s="117" t="n">
        <x:f>'Продажи'!BK72*'Вводные'!$B$20+'ОБЪЕКТЫ'!BK114</x:f>
      </x:c>
      <x:c r="BL102" s="117" t="n">
        <x:f>'Продажи'!BL72*'Вводные'!$B$20+'ОБЪЕКТЫ'!BL114</x:f>
      </x:c>
      <x:c r="BM102" s="117" t="n">
        <x:f>'Продажи'!BM72*'Вводные'!$B$20+'ОБЪЕКТЫ'!BM114</x:f>
      </x:c>
      <x:c r="BN102" s="117" t="n">
        <x:f>'Продажи'!BN72*'Вводные'!$B$20+'ОБЪЕКТЫ'!BN114</x:f>
      </x:c>
      <x:c r="BO102" s="117" t="n">
        <x:f>'Продажи'!BO72*'Вводные'!$B$20+'ОБЪЕКТЫ'!BO114</x:f>
      </x:c>
      <x:c r="BP102" s="117" t="n">
        <x:f>'Продажи'!BP72*'Вводные'!$B$20+'ОБЪЕКТЫ'!BP114</x:f>
      </x:c>
      <x:c r="BQ102" s="117" t="n">
        <x:f>'Продажи'!BQ72*'Вводные'!$B$20+'ОБЪЕКТЫ'!BQ114</x:f>
      </x:c>
      <x:c r="BR102" s="117" t="n">
        <x:f>'Продажи'!BR72*'Вводные'!$B$20+'ОБЪЕКТЫ'!BR114</x:f>
      </x:c>
      <x:c r="BS102" s="117" t="n">
        <x:f>'Продажи'!BS72*'Вводные'!$B$20+'ОБЪЕКТЫ'!BS114</x:f>
      </x:c>
      <x:c r="BT102" s="117" t="n">
        <x:f>'Продажи'!BT72*'Вводные'!$B$20+'ОБЪЕКТЫ'!BT114</x:f>
      </x:c>
      <x:c r="BU102" s="117" t="n">
        <x:f>'Продажи'!BU72*'Вводные'!$B$20+'ОБЪЕКТЫ'!BU114</x:f>
      </x:c>
      <x:c r="BV102" s="117" t="n">
        <x:f>'Продажи'!BV72*'Вводные'!$B$20+'ОБЪЕКТЫ'!BV114</x:f>
      </x:c>
      <x:c r="BW102" s="117" t="n">
        <x:f>'Продажи'!BW72*'Вводные'!$B$20+'ОБЪЕКТЫ'!BW114</x:f>
      </x:c>
      <x:c r="BX102" s="117" t="n">
        <x:f>'Продажи'!BX72*'Вводные'!$B$20+'ОБЪЕКТЫ'!BX114</x:f>
      </x:c>
      <x:c r="BY102" s="117" t="n">
        <x:f>'Продажи'!BY72*'Вводные'!$B$20+'ОБЪЕКТЫ'!BY114</x:f>
      </x:c>
      <x:c r="BZ102" s="117" t="n">
        <x:f>'Продажи'!BZ72*'Вводные'!$B$20+'ОБЪЕКТЫ'!BZ114</x:f>
      </x:c>
      <x:c r="CA102" s="117" t="n">
        <x:f>'Продажи'!CA72*'Вводные'!$B$20+'ОБЪЕКТЫ'!CA114</x:f>
      </x:c>
      <x:c r="CB102" s="117" t="n">
        <x:f>'Продажи'!CB72*'Вводные'!$B$20+'ОБЪЕКТЫ'!CB114</x:f>
      </x:c>
      <x:c r="CC102" s="117" t="n">
        <x:f>'Продажи'!CC72*'Вводные'!$B$20+'ОБЪЕКТЫ'!CC114</x:f>
      </x:c>
      <x:c r="CD102" s="117" t="n">
        <x:f>'Продажи'!CD72*'Вводные'!$B$20+'ОБЪЕКТЫ'!CD114</x:f>
      </x:c>
      <x:c r="CE102" s="117" t="n">
        <x:f>'Продажи'!CE72*'Вводные'!$B$20+'ОБЪЕКТЫ'!CE114</x:f>
      </x:c>
      <x:c r="CF102" s="117" t="n">
        <x:f>'Продажи'!CF72*'Вводные'!$B$20+'ОБЪЕКТЫ'!CF114</x:f>
      </x:c>
      <x:c r="CG102" s="117" t="n">
        <x:f>'Продажи'!CG72*'Вводные'!$B$20+'ОБЪЕКТЫ'!CG114</x:f>
      </x:c>
      <x:c r="CH102" s="117" t="n">
        <x:f>'Продажи'!CH72*'Вводные'!$B$20+'ОБЪЕКТЫ'!CH114</x:f>
      </x:c>
      <x:c r="CI102" s="117" t="n">
        <x:f>'Продажи'!CI72*'Вводные'!$B$20+'ОБЪЕКТЫ'!CI114</x:f>
      </x:c>
      <x:c r="CJ102" s="117" t="n">
        <x:f>'Продажи'!CJ72*'Вводные'!$B$20+'ОБЪЕКТЫ'!CJ114</x:f>
      </x:c>
      <x:c r="CK102" s="117" t="n">
        <x:f>'Продажи'!CK72*'Вводные'!$B$20+'ОБЪЕКТЫ'!CK114</x:f>
      </x:c>
      <x:c r="CL102" s="117" t="n">
        <x:f>'Продажи'!CL72*'Вводные'!$B$20+'ОБЪЕКТЫ'!CL114</x:f>
      </x:c>
      <x:c r="CM102" s="117" t="n">
        <x:f>'Продажи'!CM72*'Вводные'!$B$20+'ОБЪЕКТЫ'!CM114</x:f>
      </x:c>
      <x:c r="CN102" s="117" t="n">
        <x:f>'Продажи'!CN72*'Вводные'!$B$20+'ОБЪЕКТЫ'!CN114</x:f>
      </x:c>
      <x:c r="CO102" s="117" t="n">
        <x:f>'Продажи'!CO72*'Вводные'!$B$20+'ОБЪЕКТЫ'!CO114</x:f>
      </x:c>
      <x:c r="CP102" s="117" t="n">
        <x:f>'Продажи'!CP72*'Вводные'!$B$20+'ОБЪЕКТЫ'!CP114</x:f>
      </x:c>
      <x:c r="CQ102" s="117" t="n">
        <x:f>'Продажи'!CQ72*'Вводные'!$B$20+'ОБЪЕКТЫ'!CQ114</x:f>
      </x:c>
      <x:c r="CR102" s="117" t="n">
        <x:f>'Продажи'!CR72*'Вводные'!$B$20+'ОБЪЕКТЫ'!CR114</x:f>
      </x:c>
      <x:c r="CS102" s="117" t="n">
        <x:f>'Продажи'!CS72*'Вводные'!$B$20+'ОБЪЕКТЫ'!CS114</x:f>
      </x:c>
      <x:c r="CT102" s="117" t="n">
        <x:f>'Продажи'!CT72*'Вводные'!$B$20+'ОБЪЕКТЫ'!CT114</x:f>
      </x:c>
      <x:c r="CU102" s="117" t="n">
        <x:f>'Продажи'!CU72*'Вводные'!$B$20+'ОБЪЕКТЫ'!CU114</x:f>
      </x:c>
      <x:c r="CV102" s="117" t="n">
        <x:f>'Продажи'!CV72*'Вводные'!$B$20+'ОБЪЕКТЫ'!CV114</x:f>
      </x:c>
      <x:c r="CW102" s="117" t="n">
        <x:f>'Продажи'!CW72*'Вводные'!$B$20+'ОБЪЕКТЫ'!CW114</x:f>
      </x:c>
      <x:c r="CX102" s="117" t="n">
        <x:f>'Продажи'!CX72*'Вводные'!$B$20+'ОБЪЕКТЫ'!CX114</x:f>
      </x:c>
      <x:c r="CY102" s="117" t="n">
        <x:f>'Продажи'!CY72*'Вводные'!$B$20+'ОБЪЕКТЫ'!CY114</x:f>
      </x:c>
      <x:c r="CZ102" s="117" t="n">
        <x:f>'Продажи'!CZ72*'Вводные'!$B$20+'ОБЪЕКТЫ'!CZ114</x:f>
      </x:c>
      <x:c r="DA102" s="117" t="n">
        <x:f>'Продажи'!DA72*'Вводные'!$B$20+'ОБЪЕКТЫ'!DA114</x:f>
      </x:c>
      <x:c r="DB102" s="117" t="n">
        <x:f>'Продажи'!DB72*'Вводные'!$B$20+'ОБЪЕКТЫ'!DB114</x:f>
      </x:c>
      <x:c r="DC102" s="117" t="n">
        <x:f>'Продажи'!DC72*'Вводные'!$B$20+'ОБЪЕКТЫ'!DC114</x:f>
      </x:c>
      <x:c r="DD102" s="117" t="n">
        <x:f>'Продажи'!DD72*'Вводные'!$B$20+'ОБЪЕКТЫ'!DD114</x:f>
      </x:c>
      <x:c r="DE102" s="117" t="n">
        <x:f>'Продажи'!DE72*'Вводные'!$B$20+'ОБЪЕКТЫ'!DE114</x:f>
      </x:c>
      <x:c r="DF102" s="117" t="n">
        <x:f>'Продажи'!DF72*'Вводные'!$B$20+'ОБЪЕКТЫ'!DF114</x:f>
      </x:c>
      <x:c r="DG102" s="117" t="n">
        <x:f>'Продажи'!DG72*'Вводные'!$B$20+'ОБЪЕКТЫ'!DG114</x:f>
      </x:c>
      <x:c r="DH102" s="117" t="n">
        <x:f>'Продажи'!DH72*'Вводные'!$B$20+'ОБЪЕКТЫ'!DH114</x:f>
      </x:c>
      <x:c r="DI102" s="117" t="n">
        <x:f>'Продажи'!DI72*'Вводные'!$B$20+'ОБЪЕКТЫ'!DI114</x:f>
      </x:c>
      <x:c r="DJ102" s="117" t="n">
        <x:f>'Продажи'!DJ72*'Вводные'!$B$20+'ОБЪЕКТЫ'!DJ114</x:f>
      </x:c>
      <x:c r="DK102" s="117" t="n">
        <x:f>'Продажи'!DK72*'Вводные'!$B$20+'ОБЪЕКТЫ'!DK114</x:f>
      </x:c>
      <x:c r="DL102" s="117" t="n">
        <x:f>'Продажи'!DL72*'Вводные'!$B$20+'ОБЪЕКТЫ'!DL114</x:f>
      </x:c>
      <x:c r="DM102" s="117" t="n">
        <x:f>'Продажи'!DM72*'Вводные'!$B$20+'ОБЪЕКТЫ'!DM114</x:f>
      </x:c>
      <x:c r="DN102" s="117" t="n">
        <x:f>'Продажи'!DN72*'Вводные'!$B$20+'ОБЪЕКТЫ'!DN114</x:f>
      </x:c>
      <x:c r="DO102" s="117" t="n">
        <x:f>'Продажи'!DO72*'Вводные'!$B$20+'ОБЪЕКТЫ'!DO114</x:f>
      </x:c>
      <x:c r="DP102" s="117" t="n">
        <x:f>'Продажи'!DP72*'Вводные'!$B$20+'ОБЪЕКТЫ'!DP114</x:f>
      </x:c>
      <x:c r="DQ102" s="117" t="n">
        <x:f>'Продажи'!DQ72*'Вводные'!$B$20+'ОБЪЕКТЫ'!DQ114</x:f>
      </x:c>
      <x:c r="DR102" s="117" t="n">
        <x:f>'Продажи'!DR72*'Вводные'!$B$20+'ОБЪЕКТЫ'!DR114</x:f>
      </x:c>
      <x:c r="DS102" s="117" t="n">
        <x:f>'Продажи'!DS72*'Вводные'!$B$20+'ОБЪЕКТЫ'!DS114</x:f>
      </x:c>
      <x:c r="DT102" s="117" t="n">
        <x:f>'Продажи'!DT72*'Вводные'!$B$20+'ОБЪЕКТЫ'!DT114</x:f>
      </x:c>
      <x:c r="DU102" s="117" t="n">
        <x:f>'Продажи'!DU72*'Вводные'!$B$20+'ОБЪЕКТЫ'!DU114</x:f>
      </x:c>
      <x:c r="DV102" s="117" t="n">
        <x:f>'Продажи'!DV72*'Вводные'!$B$20+'ОБЪЕКТЫ'!DV114</x:f>
      </x:c>
      <x:c r="DW102" s="117" t="n">
        <x:f>'Продажи'!DW72*'Вводные'!$B$20+'ОБЪЕКТЫ'!DW114</x:f>
      </x:c>
      <x:c r="DX102" s="117" t="n">
        <x:f>'Продажи'!DX72*'Вводные'!$B$20+'ОБЪЕКТЫ'!DX114</x:f>
      </x:c>
      <x:c r="DY102" s="117" t="n">
        <x:f>'Продажи'!DY72*'Вводные'!$B$20+'ОБЪЕКТЫ'!DY114</x:f>
      </x:c>
      <x:c r="DZ102" s="117" t="n">
        <x:f>'Продажи'!DZ72*'Вводные'!$B$20+'ОБЪЕКТЫ'!DZ114</x:f>
      </x:c>
      <x:c r="EA102" s="117" t="n">
        <x:f>'Продажи'!EA72*'Вводные'!$B$20+'ОБЪЕКТЫ'!EA114</x:f>
      </x:c>
      <x:c r="EB102" s="117" t="n">
        <x:f>'Продажи'!EB72*'Вводные'!$B$20+'ОБЪЕКТЫ'!EB114</x:f>
      </x:c>
      <x:c r="EC102" s="117" t="n">
        <x:f>'Продажи'!EC72*'Вводные'!$B$20+'ОБЪЕКТЫ'!EC114</x:f>
      </x:c>
      <x:c r="ED102" s="117" t="n">
        <x:f>'Продажи'!ED72*'Вводные'!$B$20+'ОБЪЕКТЫ'!ED114</x:f>
      </x:c>
      <x:c r="EE102" s="117" t="n">
        <x:f>'Продажи'!EE72*'Вводные'!$B$20+'ОБЪЕКТЫ'!EE114</x:f>
      </x:c>
      <x:c r="EF102" s="117" t="n">
        <x:f>'Продажи'!EF72*'Вводные'!$B$20+'ОБЪЕКТЫ'!EF114</x:f>
      </x:c>
      <x:c r="EG102" s="117" t="n">
        <x:f>'Продажи'!EG72*'Вводные'!$B$20+'ОБЪЕКТЫ'!EG114</x:f>
      </x:c>
      <x:c r="EH102" s="117" t="n">
        <x:f>'Продажи'!EH72*'Вводные'!$B$20+'ОБЪЕКТЫ'!EH114</x:f>
      </x:c>
      <x:c r="EI102" s="117" t="n">
        <x:f>'Продажи'!EI72*'Вводные'!$B$20+'ОБЪЕКТЫ'!EI114</x:f>
      </x:c>
      <x:c r="EJ102" s="117" t="n">
        <x:f>'Продажи'!EJ72*'Вводные'!$B$20+'ОБЪЕКТЫ'!EJ114</x:f>
      </x:c>
      <x:c r="EK102" s="117" t="n">
        <x:f>'Продажи'!EK72*'Вводные'!$B$20+'ОБЪЕКТЫ'!EK114</x:f>
      </x:c>
      <x:c r="EL102" s="117" t="n">
        <x:f>'Продажи'!EL72*'Вводные'!$B$20+'ОБЪЕКТЫ'!EL114</x:f>
      </x:c>
      <x:c r="EM102" s="117" t="n">
        <x:f>'Продажи'!EM72*'Вводные'!$B$20+'ОБЪЕКТЫ'!EM114</x:f>
      </x:c>
      <x:c r="EN102" s="117" t="n">
        <x:f>'Продажи'!EN72*'Вводные'!$B$20+'ОБЪЕКТЫ'!EN114</x:f>
      </x:c>
      <x:c r="EO102" s="117" t="n">
        <x:f>'Продажи'!EO72*'Вводные'!$B$20+'ОБЪЕКТЫ'!EO114</x:f>
      </x:c>
      <x:c r="EP102" s="117" t="n">
        <x:f>'Продажи'!EP72*'Вводные'!$B$20+'ОБЪЕКТЫ'!EP114</x:f>
      </x:c>
      <x:c r="EQ102" s="117" t="n">
        <x:f>'Продажи'!EQ72*'Вводные'!$B$20+'ОБЪЕКТЫ'!EQ114</x:f>
      </x:c>
      <x:c r="ER102" s="117" t="n">
        <x:f>'Продажи'!ER72*'Вводные'!$B$20+'ОБЪЕКТЫ'!ER114</x:f>
      </x:c>
      <x:c r="ES102" s="117" t="n">
        <x:f>'Продажи'!ES72*'Вводные'!$B$20+'ОБЪЕКТЫ'!ES114</x:f>
      </x:c>
      <x:c r="ET102" s="117" t="n">
        <x:f>'Продажи'!ET72*'Вводные'!$B$20+'ОБЪЕКТЫ'!ET114</x:f>
      </x:c>
      <x:c r="EU102" s="117" t="n">
        <x:f>'Продажи'!EU72*'Вводные'!$B$20+'ОБЪЕКТЫ'!EU114</x:f>
      </x:c>
      <x:c r="EV102" s="117" t="n">
        <x:f>'Продажи'!EV72*'Вводные'!$B$20+'ОБЪЕКТЫ'!EV114</x:f>
      </x:c>
      <x:c r="EW102" s="117" t="n">
        <x:f>'Продажи'!EW72*'Вводные'!$B$20+'ОБЪЕКТЫ'!EW114</x:f>
      </x:c>
      <x:c r="EX102" s="117" t="n">
        <x:f>'Продажи'!EX72*'Вводные'!$B$20+'ОБЪЕКТЫ'!EX114</x:f>
      </x:c>
      <x:c r="EY102" s="117" t="n">
        <x:f>'Продажи'!EY72*'Вводные'!$B$20+'ОБЪЕКТЫ'!EY114</x:f>
      </x:c>
      <x:c r="EZ102" s="117" t="n">
        <x:f>'Продажи'!EZ72*'Вводные'!$B$20+'ОБЪЕКТЫ'!EZ114</x:f>
      </x:c>
      <x:c r="FA102" s="117" t="n">
        <x:f>'Продажи'!FA72*'Вводные'!$B$20+'ОБЪЕКТЫ'!FA114</x:f>
      </x:c>
      <x:c r="FB102" s="117" t="n">
        <x:f>'Продажи'!FB72*'Вводные'!$B$20+'ОБЪЕКТЫ'!FB114</x:f>
      </x:c>
      <x:c r="FC102" s="117" t="n">
        <x:f>'Продажи'!FC72*'Вводные'!$B$20+'ОБЪЕКТЫ'!FC114</x:f>
      </x:c>
      <x:c r="FD102" s="117" t="n">
        <x:f>'Продажи'!FD72*'Вводные'!$B$20+'ОБЪЕКТЫ'!FD114</x:f>
      </x:c>
      <x:c r="FE102" s="117" t="n">
        <x:f>'Продажи'!FE72*'Вводные'!$B$20+'ОБЪЕКТЫ'!FE114</x:f>
      </x:c>
      <x:c r="FF102" s="117" t="n">
        <x:f>'Продажи'!FF72*'Вводные'!$B$20+'ОБЪЕКТЫ'!FF114</x:f>
      </x:c>
      <x:c r="FG102" s="117" t="n">
        <x:f>'Продажи'!FG72*'Вводные'!$B$20+'ОБЪЕКТЫ'!FG114</x:f>
      </x:c>
      <x:c r="FH102" s="117" t="n">
        <x:f>'Продажи'!FH72*'Вводные'!$B$20+'ОБЪЕКТЫ'!FH114</x:f>
      </x:c>
      <x:c r="FI102" s="117" t="n">
        <x:f>'Продажи'!FI72*'Вводные'!$B$20+'ОБЪЕКТЫ'!FI114</x:f>
      </x:c>
      <x:c r="FJ102" s="117" t="n">
        <x:f>'Продажи'!FJ72*'Вводные'!$B$20+'ОБЪЕКТЫ'!FJ114</x:f>
      </x:c>
      <x:c r="FK102" s="117" t="n">
        <x:f>'Продажи'!FK72*'Вводные'!$B$20+'ОБЪЕКТЫ'!FK114</x:f>
      </x:c>
      <x:c r="FL102" s="117" t="n">
        <x:f>'Продажи'!FL72*'Вводные'!$B$20+'ОБЪЕКТЫ'!FL114</x:f>
      </x:c>
      <x:c r="FM102" s="117" t="n">
        <x:f>'Продажи'!FM72*'Вводные'!$B$20+'ОБЪЕКТЫ'!FM114</x:f>
      </x:c>
      <x:c r="FN102" s="117" t="n">
        <x:f>'Продажи'!FN72*'Вводные'!$B$20+'ОБЪЕКТЫ'!FN114</x:f>
      </x:c>
      <x:c r="FO102" s="117" t="n">
        <x:f>'Продажи'!FO72*'Вводные'!$B$20+'ОБЪЕКТЫ'!FO114</x:f>
      </x:c>
      <x:c r="FP102" s="117" t="n">
        <x:f>'Продажи'!FP72*'Вводные'!$B$20+'ОБЪЕКТЫ'!FP114</x:f>
      </x:c>
      <x:c r="FQ102" s="117" t="n">
        <x:f>'Продажи'!FQ72*'Вводные'!$B$20+'ОБЪЕКТЫ'!FQ114</x:f>
      </x:c>
      <x:c r="FR102" s="117" t="n">
        <x:f>'Продажи'!FR72*'Вводные'!$B$20+'ОБЪЕКТЫ'!FR114</x:f>
      </x:c>
      <x:c r="FS102" s="117" t="n">
        <x:f>'Продажи'!FS72*'Вводные'!$B$20+'ОБЪЕКТЫ'!FS114</x:f>
      </x:c>
      <x:c r="FT102" s="117" t="n">
        <x:f>'Продажи'!FT72*'Вводные'!$B$20+'ОБЪЕКТЫ'!FT114</x:f>
      </x:c>
      <x:c r="FU102" s="117" t="n">
        <x:f>'Продажи'!FU72*'Вводные'!$B$20+'ОБЪЕКТЫ'!FU114</x:f>
      </x:c>
      <x:c r="FV102" s="117" t="n">
        <x:f>'Продажи'!FV72*'Вводные'!$B$20+'ОБЪЕКТЫ'!FV114</x:f>
      </x:c>
      <x:c r="FW102" s="117" t="n">
        <x:f>'Продажи'!FW72*'Вводные'!$B$20+'ОБЪЕКТЫ'!FW114</x:f>
      </x:c>
      <x:c r="FX102" s="117" t="n">
        <x:f>'Продажи'!FX72*'Вводные'!$B$20+'ОБЪЕКТЫ'!FX114</x:f>
      </x:c>
      <x:c r="FY102" s="117" t="n">
        <x:f>'Продажи'!FY72*'Вводные'!$B$20+'ОБЪЕКТЫ'!FY114</x:f>
      </x:c>
      <x:c r="FZ102" s="117" t="n">
        <x:f>'Продажи'!FZ72*'Вводные'!$B$20+'ОБЪЕКТЫ'!FZ114</x:f>
      </x:c>
      <x:c r="GA102" s="117" t="n">
        <x:f>'Продажи'!GA72*'Вводные'!$B$20+'ОБЪЕКТЫ'!GA114</x:f>
      </x:c>
    </x:row>
    <x:row r="103">
      <x:c r="A103" s="113" t="str">
        <x:v>РАСХОДЫ ПРОЕКТА ВСЕГО</x:v>
      </x:c>
      <x:c r="B103" s="113" t="n">
        <x:f>SUM(D103:GA103)</x:f>
      </x:c>
      <x:c r="C103" s="113" t="str">
        <x:v>млн ₽</x:v>
      </x:c>
      <x:c r="D103" s="120" t="n">
        <x:f>SUM(D100:D102)</x:f>
      </x:c>
      <x:c r="E103" s="120" t="n">
        <x:f>SUM(E100:E102)</x:f>
      </x:c>
      <x:c r="F103" s="120" t="n">
        <x:f>SUM(F100:F102)</x:f>
      </x:c>
      <x:c r="G103" s="120" t="n">
        <x:f>SUM(G100:G102)</x:f>
      </x:c>
      <x:c r="H103" s="120" t="n">
        <x:f>SUM(H100:H102)</x:f>
      </x:c>
      <x:c r="I103" s="120" t="n">
        <x:f>SUM(I100:I102)</x:f>
      </x:c>
      <x:c r="J103" s="120" t="n">
        <x:f>SUM(J100:J102)</x:f>
      </x:c>
      <x:c r="K103" s="120" t="n">
        <x:f>SUM(K100:K102)</x:f>
      </x:c>
      <x:c r="L103" s="120" t="n">
        <x:f>SUM(L100:L102)</x:f>
      </x:c>
      <x:c r="M103" s="120" t="n">
        <x:f>SUM(M100:M102)</x:f>
      </x:c>
      <x:c r="N103" s="120" t="n">
        <x:f>SUM(N100:N102)</x:f>
      </x:c>
      <x:c r="O103" s="120" t="n">
        <x:f>SUM(O100:O102)</x:f>
      </x:c>
      <x:c r="P103" s="120" t="n">
        <x:f>SUM(P100:P102)</x:f>
      </x:c>
      <x:c r="Q103" s="120" t="n">
        <x:f>SUM(Q100:Q102)</x:f>
      </x:c>
      <x:c r="R103" s="120" t="n">
        <x:f>SUM(R100:R102)</x:f>
      </x:c>
      <x:c r="S103" s="120" t="n">
        <x:f>SUM(S100:S102)</x:f>
      </x:c>
      <x:c r="T103" s="120" t="n">
        <x:f>SUM(T100:T102)</x:f>
      </x:c>
      <x:c r="U103" s="120" t="n">
        <x:f>SUM(U100:U102)</x:f>
      </x:c>
      <x:c r="V103" s="120" t="n">
        <x:f>SUM(V100:V102)</x:f>
      </x:c>
      <x:c r="W103" s="120" t="n">
        <x:f>SUM(W100:W102)</x:f>
      </x:c>
      <x:c r="X103" s="120" t="n">
        <x:f>SUM(X100:X102)</x:f>
      </x:c>
      <x:c r="Y103" s="120" t="n">
        <x:f>SUM(Y100:Y102)</x:f>
      </x:c>
      <x:c r="Z103" s="120" t="n">
        <x:f>SUM(Z100:Z102)</x:f>
      </x:c>
      <x:c r="AA103" s="120" t="n">
        <x:f>SUM(AA100:AA102)</x:f>
      </x:c>
      <x:c r="AB103" s="120" t="n">
        <x:f>SUM(AB100:AB102)</x:f>
      </x:c>
      <x:c r="AC103" s="120" t="n">
        <x:f>SUM(AC100:AC102)</x:f>
      </x:c>
      <x:c r="AD103" s="120" t="n">
        <x:f>SUM(AD100:AD102)</x:f>
      </x:c>
      <x:c r="AE103" s="120" t="n">
        <x:f>SUM(AE100:AE102)</x:f>
      </x:c>
      <x:c r="AF103" s="120" t="n">
        <x:f>SUM(AF100:AF102)</x:f>
      </x:c>
      <x:c r="AG103" s="120" t="n">
        <x:f>SUM(AG100:AG102)</x:f>
      </x:c>
      <x:c r="AH103" s="120" t="n">
        <x:f>SUM(AH100:AH102)</x:f>
      </x:c>
      <x:c r="AI103" s="120" t="n">
        <x:f>SUM(AI100:AI102)</x:f>
      </x:c>
      <x:c r="AJ103" s="120" t="n">
        <x:f>SUM(AJ100:AJ102)</x:f>
      </x:c>
      <x:c r="AK103" s="120" t="n">
        <x:f>SUM(AK100:AK102)</x:f>
      </x:c>
      <x:c r="AL103" s="120" t="n">
        <x:f>SUM(AL100:AL102)</x:f>
      </x:c>
      <x:c r="AM103" s="120" t="n">
        <x:f>SUM(AM100:AM102)</x:f>
      </x:c>
      <x:c r="AN103" s="120" t="n">
        <x:f>SUM(AN100:AN102)</x:f>
      </x:c>
      <x:c r="AO103" s="120" t="n">
        <x:f>SUM(AO100:AO102)</x:f>
      </x:c>
      <x:c r="AP103" s="120" t="n">
        <x:f>SUM(AP100:AP102)</x:f>
      </x:c>
      <x:c r="AQ103" s="120" t="n">
        <x:f>SUM(AQ100:AQ102)</x:f>
      </x:c>
      <x:c r="AR103" s="120" t="n">
        <x:f>SUM(AR100:AR102)</x:f>
      </x:c>
      <x:c r="AS103" s="120" t="n">
        <x:f>SUM(AS100:AS102)</x:f>
      </x:c>
      <x:c r="AT103" s="120" t="n">
        <x:f>SUM(AT100:AT102)</x:f>
      </x:c>
      <x:c r="AU103" s="120" t="n">
        <x:f>SUM(AU100:AU102)</x:f>
      </x:c>
      <x:c r="AV103" s="120" t="n">
        <x:f>SUM(AV100:AV102)</x:f>
      </x:c>
      <x:c r="AW103" s="120" t="n">
        <x:f>SUM(AW100:AW102)</x:f>
      </x:c>
      <x:c r="AX103" s="120" t="n">
        <x:f>SUM(AX100:AX102)</x:f>
      </x:c>
      <x:c r="AY103" s="120" t="n">
        <x:f>SUM(AY100:AY102)</x:f>
      </x:c>
      <x:c r="AZ103" s="120" t="n">
        <x:f>SUM(AZ100:AZ102)</x:f>
      </x:c>
      <x:c r="BA103" s="120" t="n">
        <x:f>SUM(BA100:BA102)</x:f>
      </x:c>
      <x:c r="BB103" s="120" t="n">
        <x:f>SUM(BB100:BB102)</x:f>
      </x:c>
      <x:c r="BC103" s="120" t="n">
        <x:f>SUM(BC100:BC102)</x:f>
      </x:c>
      <x:c r="BD103" s="120" t="n">
        <x:f>SUM(BD100:BD102)</x:f>
      </x:c>
      <x:c r="BE103" s="120" t="n">
        <x:f>SUM(BE100:BE102)</x:f>
      </x:c>
      <x:c r="BF103" s="120" t="n">
        <x:f>SUM(BF100:BF102)</x:f>
      </x:c>
      <x:c r="BG103" s="120" t="n">
        <x:f>SUM(BG100:BG102)</x:f>
      </x:c>
      <x:c r="BH103" s="120" t="n">
        <x:f>SUM(BH100:BH102)</x:f>
      </x:c>
      <x:c r="BI103" s="120" t="n">
        <x:f>SUM(BI100:BI102)</x:f>
      </x:c>
      <x:c r="BJ103" s="120" t="n">
        <x:f>SUM(BJ100:BJ102)</x:f>
      </x:c>
      <x:c r="BK103" s="120" t="n">
        <x:f>SUM(BK100:BK102)</x:f>
      </x:c>
      <x:c r="BL103" s="120" t="n">
        <x:f>SUM(BL100:BL102)</x:f>
      </x:c>
      <x:c r="BM103" s="120" t="n">
        <x:f>SUM(BM100:BM102)</x:f>
      </x:c>
      <x:c r="BN103" s="120" t="n">
        <x:f>SUM(BN100:BN102)</x:f>
      </x:c>
      <x:c r="BO103" s="120" t="n">
        <x:f>SUM(BO100:BO102)</x:f>
      </x:c>
      <x:c r="BP103" s="120" t="n">
        <x:f>SUM(BP100:BP102)</x:f>
      </x:c>
      <x:c r="BQ103" s="120" t="n">
        <x:f>SUM(BQ100:BQ102)</x:f>
      </x:c>
      <x:c r="BR103" s="120" t="n">
        <x:f>SUM(BR100:BR102)</x:f>
      </x:c>
      <x:c r="BS103" s="120" t="n">
        <x:f>SUM(BS100:BS102)</x:f>
      </x:c>
      <x:c r="BT103" s="120" t="n">
        <x:f>SUM(BT100:BT102)</x:f>
      </x:c>
      <x:c r="BU103" s="120" t="n">
        <x:f>SUM(BU100:BU102)</x:f>
      </x:c>
      <x:c r="BV103" s="120" t="n">
        <x:f>SUM(BV100:BV102)</x:f>
      </x:c>
      <x:c r="BW103" s="120" t="n">
        <x:f>SUM(BW100:BW102)</x:f>
      </x:c>
      <x:c r="BX103" s="120" t="n">
        <x:f>SUM(BX100:BX102)</x:f>
      </x:c>
      <x:c r="BY103" s="120" t="n">
        <x:f>SUM(BY100:BY102)</x:f>
      </x:c>
      <x:c r="BZ103" s="120" t="n">
        <x:f>SUM(BZ100:BZ102)</x:f>
      </x:c>
      <x:c r="CA103" s="120" t="n">
        <x:f>SUM(CA100:CA102)</x:f>
      </x:c>
      <x:c r="CB103" s="120" t="n">
        <x:f>SUM(CB100:CB102)</x:f>
      </x:c>
      <x:c r="CC103" s="120" t="n">
        <x:f>SUM(CC100:CC102)</x:f>
      </x:c>
      <x:c r="CD103" s="120" t="n">
        <x:f>SUM(CD100:CD102)</x:f>
      </x:c>
      <x:c r="CE103" s="120" t="n">
        <x:f>SUM(CE100:CE102)</x:f>
      </x:c>
      <x:c r="CF103" s="120" t="n">
        <x:f>SUM(CF100:CF102)</x:f>
      </x:c>
      <x:c r="CG103" s="120" t="n">
        <x:f>SUM(CG100:CG102)</x:f>
      </x:c>
      <x:c r="CH103" s="120" t="n">
        <x:f>SUM(CH100:CH102)</x:f>
      </x:c>
      <x:c r="CI103" s="120" t="n">
        <x:f>SUM(CI100:CI102)</x:f>
      </x:c>
      <x:c r="CJ103" s="120" t="n">
        <x:f>SUM(CJ100:CJ102)</x:f>
      </x:c>
      <x:c r="CK103" s="120" t="n">
        <x:f>SUM(CK100:CK102)</x:f>
      </x:c>
      <x:c r="CL103" s="120" t="n">
        <x:f>SUM(CL100:CL102)</x:f>
      </x:c>
      <x:c r="CM103" s="120" t="n">
        <x:f>SUM(CM100:CM102)</x:f>
      </x:c>
      <x:c r="CN103" s="120" t="n">
        <x:f>SUM(CN100:CN102)</x:f>
      </x:c>
      <x:c r="CO103" s="120" t="n">
        <x:f>SUM(CO100:CO102)</x:f>
      </x:c>
      <x:c r="CP103" s="120" t="n">
        <x:f>SUM(CP100:CP102)</x:f>
      </x:c>
      <x:c r="CQ103" s="120" t="n">
        <x:f>SUM(CQ100:CQ102)</x:f>
      </x:c>
      <x:c r="CR103" s="120" t="n">
        <x:f>SUM(CR100:CR102)</x:f>
      </x:c>
      <x:c r="CS103" s="120" t="n">
        <x:f>SUM(CS100:CS102)</x:f>
      </x:c>
      <x:c r="CT103" s="120" t="n">
        <x:f>SUM(CT100:CT102)</x:f>
      </x:c>
      <x:c r="CU103" s="120" t="n">
        <x:f>SUM(CU100:CU102)</x:f>
      </x:c>
      <x:c r="CV103" s="120" t="n">
        <x:f>SUM(CV100:CV102)</x:f>
      </x:c>
      <x:c r="CW103" s="120" t="n">
        <x:f>SUM(CW100:CW102)</x:f>
      </x:c>
      <x:c r="CX103" s="120" t="n">
        <x:f>SUM(CX100:CX102)</x:f>
      </x:c>
      <x:c r="CY103" s="120" t="n">
        <x:f>SUM(CY100:CY102)</x:f>
      </x:c>
      <x:c r="CZ103" s="120" t="n">
        <x:f>SUM(CZ100:CZ102)</x:f>
      </x:c>
      <x:c r="DA103" s="120" t="n">
        <x:f>SUM(DA100:DA102)</x:f>
      </x:c>
      <x:c r="DB103" s="120" t="n">
        <x:f>SUM(DB100:DB102)</x:f>
      </x:c>
      <x:c r="DC103" s="120" t="n">
        <x:f>SUM(DC100:DC102)</x:f>
      </x:c>
      <x:c r="DD103" s="120" t="n">
        <x:f>SUM(DD100:DD102)</x:f>
      </x:c>
      <x:c r="DE103" s="120" t="n">
        <x:f>SUM(DE100:DE102)</x:f>
      </x:c>
      <x:c r="DF103" s="120" t="n">
        <x:f>SUM(DF100:DF102)</x:f>
      </x:c>
      <x:c r="DG103" s="120" t="n">
        <x:f>SUM(DG100:DG102)</x:f>
      </x:c>
      <x:c r="DH103" s="120" t="n">
        <x:f>SUM(DH100:DH102)</x:f>
      </x:c>
      <x:c r="DI103" s="120" t="n">
        <x:f>SUM(DI100:DI102)</x:f>
      </x:c>
      <x:c r="DJ103" s="120" t="n">
        <x:f>SUM(DJ100:DJ102)</x:f>
      </x:c>
      <x:c r="DK103" s="120" t="n">
        <x:f>SUM(DK100:DK102)</x:f>
      </x:c>
      <x:c r="DL103" s="120" t="n">
        <x:f>SUM(DL100:DL102)</x:f>
      </x:c>
      <x:c r="DM103" s="120" t="n">
        <x:f>SUM(DM100:DM102)</x:f>
      </x:c>
      <x:c r="DN103" s="120" t="n">
        <x:f>SUM(DN100:DN102)</x:f>
      </x:c>
      <x:c r="DO103" s="120" t="n">
        <x:f>SUM(DO100:DO102)</x:f>
      </x:c>
      <x:c r="DP103" s="120" t="n">
        <x:f>SUM(DP100:DP102)</x:f>
      </x:c>
      <x:c r="DQ103" s="120" t="n">
        <x:f>SUM(DQ100:DQ102)</x:f>
      </x:c>
      <x:c r="DR103" s="120" t="n">
        <x:f>SUM(DR100:DR102)</x:f>
      </x:c>
      <x:c r="DS103" s="120" t="n">
        <x:f>SUM(DS100:DS102)</x:f>
      </x:c>
      <x:c r="DT103" s="120" t="n">
        <x:f>SUM(DT100:DT102)</x:f>
      </x:c>
      <x:c r="DU103" s="120" t="n">
        <x:f>SUM(DU100:DU102)</x:f>
      </x:c>
      <x:c r="DV103" s="120" t="n">
        <x:f>SUM(DV100:DV102)</x:f>
      </x:c>
      <x:c r="DW103" s="120" t="n">
        <x:f>SUM(DW100:DW102)</x:f>
      </x:c>
      <x:c r="DX103" s="120" t="n">
        <x:f>SUM(DX100:DX102)</x:f>
      </x:c>
      <x:c r="DY103" s="120" t="n">
        <x:f>SUM(DY100:DY102)</x:f>
      </x:c>
      <x:c r="DZ103" s="120" t="n">
        <x:f>SUM(DZ100:DZ102)</x:f>
      </x:c>
      <x:c r="EA103" s="120" t="n">
        <x:f>SUM(EA100:EA102)</x:f>
      </x:c>
      <x:c r="EB103" s="120" t="n">
        <x:f>SUM(EB100:EB102)</x:f>
      </x:c>
      <x:c r="EC103" s="120" t="n">
        <x:f>SUM(EC100:EC102)</x:f>
      </x:c>
      <x:c r="ED103" s="120" t="n">
        <x:f>SUM(ED100:ED102)</x:f>
      </x:c>
      <x:c r="EE103" s="120" t="n">
        <x:f>SUM(EE100:EE102)</x:f>
      </x:c>
      <x:c r="EF103" s="120" t="n">
        <x:f>SUM(EF100:EF102)</x:f>
      </x:c>
      <x:c r="EG103" s="120" t="n">
        <x:f>SUM(EG100:EG102)</x:f>
      </x:c>
      <x:c r="EH103" s="120" t="n">
        <x:f>SUM(EH100:EH102)</x:f>
      </x:c>
      <x:c r="EI103" s="120" t="n">
        <x:f>SUM(EI100:EI102)</x:f>
      </x:c>
      <x:c r="EJ103" s="120" t="n">
        <x:f>SUM(EJ100:EJ102)</x:f>
      </x:c>
      <x:c r="EK103" s="120" t="n">
        <x:f>SUM(EK100:EK102)</x:f>
      </x:c>
      <x:c r="EL103" s="120" t="n">
        <x:f>SUM(EL100:EL102)</x:f>
      </x:c>
      <x:c r="EM103" s="120" t="n">
        <x:f>SUM(EM100:EM102)</x:f>
      </x:c>
      <x:c r="EN103" s="120" t="n">
        <x:f>SUM(EN100:EN102)</x:f>
      </x:c>
      <x:c r="EO103" s="120" t="n">
        <x:f>SUM(EO100:EO102)</x:f>
      </x:c>
      <x:c r="EP103" s="120" t="n">
        <x:f>SUM(EP100:EP102)</x:f>
      </x:c>
      <x:c r="EQ103" s="120" t="n">
        <x:f>SUM(EQ100:EQ102)</x:f>
      </x:c>
      <x:c r="ER103" s="120" t="n">
        <x:f>SUM(ER100:ER102)</x:f>
      </x:c>
      <x:c r="ES103" s="120" t="n">
        <x:f>SUM(ES100:ES102)</x:f>
      </x:c>
      <x:c r="ET103" s="120" t="n">
        <x:f>SUM(ET100:ET102)</x:f>
      </x:c>
      <x:c r="EU103" s="120" t="n">
        <x:f>SUM(EU100:EU102)</x:f>
      </x:c>
      <x:c r="EV103" s="120" t="n">
        <x:f>SUM(EV100:EV102)</x:f>
      </x:c>
      <x:c r="EW103" s="120" t="n">
        <x:f>SUM(EW100:EW102)</x:f>
      </x:c>
      <x:c r="EX103" s="120" t="n">
        <x:f>SUM(EX100:EX102)</x:f>
      </x:c>
      <x:c r="EY103" s="120" t="n">
        <x:f>SUM(EY100:EY102)</x:f>
      </x:c>
      <x:c r="EZ103" s="120" t="n">
        <x:f>SUM(EZ100:EZ102)</x:f>
      </x:c>
      <x:c r="FA103" s="120" t="n">
        <x:f>SUM(FA100:FA102)</x:f>
      </x:c>
      <x:c r="FB103" s="120" t="n">
        <x:f>SUM(FB100:FB102)</x:f>
      </x:c>
      <x:c r="FC103" s="120" t="n">
        <x:f>SUM(FC100:FC102)</x:f>
      </x:c>
      <x:c r="FD103" s="120" t="n">
        <x:f>SUM(FD100:FD102)</x:f>
      </x:c>
      <x:c r="FE103" s="120" t="n">
        <x:f>SUM(FE100:FE102)</x:f>
      </x:c>
      <x:c r="FF103" s="120" t="n">
        <x:f>SUM(FF100:FF102)</x:f>
      </x:c>
      <x:c r="FG103" s="120" t="n">
        <x:f>SUM(FG100:FG102)</x:f>
      </x:c>
      <x:c r="FH103" s="120" t="n">
        <x:f>SUM(FH100:FH102)</x:f>
      </x:c>
      <x:c r="FI103" s="120" t="n">
        <x:f>SUM(FI100:FI102)</x:f>
      </x:c>
      <x:c r="FJ103" s="120" t="n">
        <x:f>SUM(FJ100:FJ102)</x:f>
      </x:c>
      <x:c r="FK103" s="120" t="n">
        <x:f>SUM(FK100:FK102)</x:f>
      </x:c>
      <x:c r="FL103" s="120" t="n">
        <x:f>SUM(FL100:FL102)</x:f>
      </x:c>
      <x:c r="FM103" s="120" t="n">
        <x:f>SUM(FM100:FM102)</x:f>
      </x:c>
      <x:c r="FN103" s="120" t="n">
        <x:f>SUM(FN100:FN102)</x:f>
      </x:c>
      <x:c r="FO103" s="120" t="n">
        <x:f>SUM(FO100:FO102)</x:f>
      </x:c>
      <x:c r="FP103" s="120" t="n">
        <x:f>SUM(FP100:FP102)</x:f>
      </x:c>
      <x:c r="FQ103" s="120" t="n">
        <x:f>SUM(FQ100:FQ102)</x:f>
      </x:c>
      <x:c r="FR103" s="120" t="n">
        <x:f>SUM(FR100:FR102)</x:f>
      </x:c>
      <x:c r="FS103" s="120" t="n">
        <x:f>SUM(FS100:FS102)</x:f>
      </x:c>
      <x:c r="FT103" s="120" t="n">
        <x:f>SUM(FT100:FT102)</x:f>
      </x:c>
      <x:c r="FU103" s="120" t="n">
        <x:f>SUM(FU100:FU102)</x:f>
      </x:c>
      <x:c r="FV103" s="120" t="n">
        <x:f>SUM(FV100:FV102)</x:f>
      </x:c>
      <x:c r="FW103" s="120" t="n">
        <x:f>SUM(FW100:FW102)</x:f>
      </x:c>
      <x:c r="FX103" s="120" t="n">
        <x:f>SUM(FX100:FX102)</x:f>
      </x:c>
      <x:c r="FY103" s="120" t="n">
        <x:f>SUM(FY100:FY102)</x:f>
      </x:c>
      <x:c r="FZ103" s="120" t="n">
        <x:f>SUM(FZ100:FZ102)</x:f>
      </x:c>
      <x:c r="GA103" s="120" t="n">
        <x:f>SUM(GA100:GA102)</x:f>
      </x:c>
    </x:row>
    <x:row r="108" ht="21" customHeight="1">
      <x:c r="A108" s="52" t="str">
        <x:v>ОЧЕРЕДЬ 4</x:v>
      </x:c>
      <x:c r="B108" s="53" t="str">
        <x:v>ОЧЕРЕДЬ 4</x:v>
      </x:c>
      <x:c r="C108" s="53" t="str">
        <x:v>ОЧЕРЕДЬ 4</x:v>
      </x:c>
      <x:c r="D108" s="53" t="str">
        <x:v>ОЧЕРЕДЬ 4</x:v>
      </x:c>
      <x:c r="E108" s="53" t="str">
        <x:v>ОЧЕРЕДЬ 4</x:v>
      </x:c>
      <x:c r="F108" s="53" t="str">
        <x:v>ОЧЕРЕДЬ 4</x:v>
      </x:c>
      <x:c r="G108" s="53" t="str">
        <x:v>ОЧЕРЕДЬ 4</x:v>
      </x:c>
      <x:c r="H108" s="53" t="str">
        <x:v>ОЧЕРЕДЬ 4</x:v>
      </x:c>
      <x:c r="I108" s="53" t="str">
        <x:v>ОЧЕРЕДЬ 4</x:v>
      </x:c>
      <x:c r="J108" s="53" t="str">
        <x:v>ОЧЕРЕДЬ 4</x:v>
      </x:c>
      <x:c r="K108" s="53" t="str">
        <x:v>ОЧЕРЕДЬ 4</x:v>
      </x:c>
      <x:c r="L108" s="53" t="str">
        <x:v>ОЧЕРЕДЬ 4</x:v>
      </x:c>
      <x:c r="M108" s="53" t="str">
        <x:v>ОЧЕРЕДЬ 4</x:v>
      </x:c>
      <x:c r="N108" s="53" t="str">
        <x:v>ОЧЕРЕДЬ 4</x:v>
      </x:c>
      <x:c r="O108" s="53" t="str">
        <x:v>ОЧЕРЕДЬ 4</x:v>
      </x:c>
      <x:c r="P108" s="53" t="str">
        <x:v>ОЧЕРЕДЬ 4</x:v>
      </x:c>
      <x:c r="Q108" s="53" t="str">
        <x:v>ОЧЕРЕДЬ 4</x:v>
      </x:c>
      <x:c r="R108" s="53" t="str">
        <x:v>ОЧЕРЕДЬ 4</x:v>
      </x:c>
      <x:c r="S108" s="53" t="str">
        <x:v>ОЧЕРЕДЬ 4</x:v>
      </x:c>
      <x:c r="T108" s="53" t="str">
        <x:v>ОЧЕРЕДЬ 4</x:v>
      </x:c>
      <x:c r="U108" s="53" t="str">
        <x:v>ОЧЕРЕДЬ 4</x:v>
      </x:c>
      <x:c r="V108" s="53" t="str">
        <x:v>ОЧЕРЕДЬ 4</x:v>
      </x:c>
      <x:c r="W108" s="53" t="str">
        <x:v>ОЧЕРЕДЬ 4</x:v>
      </x:c>
      <x:c r="X108" s="53" t="str">
        <x:v>ОЧЕРЕДЬ 4</x:v>
      </x:c>
      <x:c r="Y108" s="53" t="str">
        <x:v>ОЧЕРЕДЬ 4</x:v>
      </x:c>
      <x:c r="Z108" s="53" t="str">
        <x:v>ОЧЕРЕДЬ 4</x:v>
      </x:c>
      <x:c r="AA108" s="53" t="str">
        <x:v>ОЧЕРЕДЬ 4</x:v>
      </x:c>
      <x:c r="AB108" s="53" t="str">
        <x:v>ОЧЕРЕДЬ 4</x:v>
      </x:c>
      <x:c r="AC108" s="53" t="str">
        <x:v>ОЧЕРЕДЬ 4</x:v>
      </x:c>
      <x:c r="AD108" s="53" t="str">
        <x:v>ОЧЕРЕДЬ 4</x:v>
      </x:c>
      <x:c r="AE108" s="53" t="str">
        <x:v>ОЧЕРЕДЬ 4</x:v>
      </x:c>
      <x:c r="AF108" s="53" t="str">
        <x:v>ОЧЕРЕДЬ 4</x:v>
      </x:c>
      <x:c r="AG108" s="53" t="str">
        <x:v>ОЧЕРЕДЬ 4</x:v>
      </x:c>
      <x:c r="AH108" s="53" t="str">
        <x:v>ОЧЕРЕДЬ 4</x:v>
      </x:c>
      <x:c r="AI108" s="53" t="str">
        <x:v>ОЧЕРЕДЬ 4</x:v>
      </x:c>
      <x:c r="AJ108" s="53" t="str">
        <x:v>ОЧЕРЕДЬ 4</x:v>
      </x:c>
      <x:c r="AK108" s="53" t="str">
        <x:v>ОЧЕРЕДЬ 4</x:v>
      </x:c>
      <x:c r="AL108" s="53" t="str">
        <x:v>ОЧЕРЕДЬ 4</x:v>
      </x:c>
      <x:c r="AM108" s="53" t="str">
        <x:v>ОЧЕРЕДЬ 4</x:v>
      </x:c>
      <x:c r="AN108" s="53" t="str">
        <x:v>ОЧЕРЕДЬ 4</x:v>
      </x:c>
      <x:c r="AO108" s="53" t="str">
        <x:v>ОЧЕРЕДЬ 4</x:v>
      </x:c>
      <x:c r="AP108" s="53" t="str">
        <x:v>ОЧЕРЕДЬ 4</x:v>
      </x:c>
      <x:c r="AQ108" s="53" t="str">
        <x:v>ОЧЕРЕДЬ 4</x:v>
      </x:c>
      <x:c r="AR108" s="53" t="str">
        <x:v>ОЧЕРЕДЬ 4</x:v>
      </x:c>
      <x:c r="AS108" s="53" t="str">
        <x:v>ОЧЕРЕДЬ 4</x:v>
      </x:c>
      <x:c r="AT108" s="53" t="str">
        <x:v>ОЧЕРЕДЬ 4</x:v>
      </x:c>
      <x:c r="AU108" s="53" t="str">
        <x:v>ОЧЕРЕДЬ 4</x:v>
      </x:c>
      <x:c r="AV108" s="53" t="str">
        <x:v>ОЧЕРЕДЬ 4</x:v>
      </x:c>
      <x:c r="AW108" s="53" t="str">
        <x:v>ОЧЕРЕДЬ 4</x:v>
      </x:c>
      <x:c r="AX108" s="53" t="str">
        <x:v>ОЧЕРЕДЬ 4</x:v>
      </x:c>
      <x:c r="AY108" s="53" t="str">
        <x:v>ОЧЕРЕДЬ 4</x:v>
      </x:c>
      <x:c r="AZ108" s="53" t="str">
        <x:v>ОЧЕРЕДЬ 4</x:v>
      </x:c>
      <x:c r="BA108" s="53" t="str">
        <x:v>ОЧЕРЕДЬ 4</x:v>
      </x:c>
      <x:c r="BB108" s="53" t="str">
        <x:v>ОЧЕРЕДЬ 4</x:v>
      </x:c>
      <x:c r="BC108" s="53" t="str">
        <x:v>ОЧЕРЕДЬ 4</x:v>
      </x:c>
      <x:c r="BD108" s="53" t="str">
        <x:v>ОЧЕРЕДЬ 4</x:v>
      </x:c>
      <x:c r="BE108" s="53" t="str">
        <x:v>ОЧЕРЕДЬ 4</x:v>
      </x:c>
      <x:c r="BF108" s="53" t="str">
        <x:v>ОЧЕРЕДЬ 4</x:v>
      </x:c>
      <x:c r="BG108" s="53" t="str">
        <x:v>ОЧЕРЕДЬ 4</x:v>
      </x:c>
      <x:c r="BH108" s="53" t="str">
        <x:v>ОЧЕРЕДЬ 4</x:v>
      </x:c>
      <x:c r="BI108" s="53" t="str">
        <x:v>ОЧЕРЕДЬ 4</x:v>
      </x:c>
      <x:c r="BJ108" s="53" t="str">
        <x:v>ОЧЕРЕДЬ 4</x:v>
      </x:c>
      <x:c r="BK108" s="53" t="str">
        <x:v>ОЧЕРЕДЬ 4</x:v>
      </x:c>
      <x:c r="BL108" s="53" t="str">
        <x:v>ОЧЕРЕДЬ 4</x:v>
      </x:c>
      <x:c r="BM108" s="53" t="str">
        <x:v>ОЧЕРЕДЬ 4</x:v>
      </x:c>
      <x:c r="BN108" s="53" t="str">
        <x:v>ОЧЕРЕДЬ 4</x:v>
      </x:c>
      <x:c r="BO108" s="53" t="str">
        <x:v>ОЧЕРЕДЬ 4</x:v>
      </x:c>
      <x:c r="BP108" s="53" t="str">
        <x:v>ОЧЕРЕДЬ 4</x:v>
      </x:c>
      <x:c r="BQ108" s="53" t="str">
        <x:v>ОЧЕРЕДЬ 4</x:v>
      </x:c>
      <x:c r="BR108" s="53" t="str">
        <x:v>ОЧЕРЕДЬ 4</x:v>
      </x:c>
      <x:c r="BS108" s="53" t="str">
        <x:v>ОЧЕРЕДЬ 4</x:v>
      </x:c>
      <x:c r="BT108" s="53" t="str">
        <x:v>ОЧЕРЕДЬ 4</x:v>
      </x:c>
      <x:c r="BU108" s="53" t="str">
        <x:v>ОЧЕРЕДЬ 4</x:v>
      </x:c>
      <x:c r="BV108" s="53" t="str">
        <x:v>ОЧЕРЕДЬ 4</x:v>
      </x:c>
      <x:c r="BW108" s="53" t="str">
        <x:v>ОЧЕРЕДЬ 4</x:v>
      </x:c>
      <x:c r="BX108" s="53" t="str">
        <x:v>ОЧЕРЕДЬ 4</x:v>
      </x:c>
      <x:c r="BY108" s="53" t="str">
        <x:v>ОЧЕРЕДЬ 4</x:v>
      </x:c>
      <x:c r="BZ108" s="53" t="str">
        <x:v>ОЧЕРЕДЬ 4</x:v>
      </x:c>
      <x:c r="CA108" s="53" t="str">
        <x:v>ОЧЕРЕДЬ 4</x:v>
      </x:c>
      <x:c r="CB108" s="53" t="str">
        <x:v>ОЧЕРЕДЬ 4</x:v>
      </x:c>
      <x:c r="CC108" s="53" t="str">
        <x:v>ОЧЕРЕДЬ 4</x:v>
      </x:c>
      <x:c r="CD108" s="53" t="str">
        <x:v>ОЧЕРЕДЬ 4</x:v>
      </x:c>
      <x:c r="CE108" s="53" t="str">
        <x:v>ОЧЕРЕДЬ 4</x:v>
      </x:c>
      <x:c r="CF108" s="53" t="str">
        <x:v>ОЧЕРЕДЬ 4</x:v>
      </x:c>
      <x:c r="CG108" s="53" t="str">
        <x:v>ОЧЕРЕДЬ 4</x:v>
      </x:c>
      <x:c r="CH108" s="53" t="str">
        <x:v>ОЧЕРЕДЬ 4</x:v>
      </x:c>
      <x:c r="CI108" s="53" t="str">
        <x:v>ОЧЕРЕДЬ 4</x:v>
      </x:c>
      <x:c r="CJ108" s="53" t="str">
        <x:v>ОЧЕРЕДЬ 4</x:v>
      </x:c>
      <x:c r="CK108" s="53" t="str">
        <x:v>ОЧЕРЕДЬ 4</x:v>
      </x:c>
      <x:c r="CL108" s="53" t="str">
        <x:v>ОЧЕРЕДЬ 4</x:v>
      </x:c>
      <x:c r="CM108" s="53" t="str">
        <x:v>ОЧЕРЕДЬ 4</x:v>
      </x:c>
      <x:c r="CN108" s="53" t="str">
        <x:v>ОЧЕРЕДЬ 4</x:v>
      </x:c>
      <x:c r="CO108" s="53" t="str">
        <x:v>ОЧЕРЕДЬ 4</x:v>
      </x:c>
      <x:c r="CP108" s="53" t="str">
        <x:v>ОЧЕРЕДЬ 4</x:v>
      </x:c>
      <x:c r="CQ108" s="53" t="str">
        <x:v>ОЧЕРЕДЬ 4</x:v>
      </x:c>
      <x:c r="CR108" s="53" t="str">
        <x:v>ОЧЕРЕДЬ 4</x:v>
      </x:c>
      <x:c r="CS108" s="53" t="str">
        <x:v>ОЧЕРЕДЬ 4</x:v>
      </x:c>
      <x:c r="CT108" s="53" t="str">
        <x:v>ОЧЕРЕДЬ 4</x:v>
      </x:c>
      <x:c r="CU108" s="53" t="str">
        <x:v>ОЧЕРЕДЬ 4</x:v>
      </x:c>
      <x:c r="CV108" s="53" t="str">
        <x:v>ОЧЕРЕДЬ 4</x:v>
      </x:c>
      <x:c r="CW108" s="53" t="str">
        <x:v>ОЧЕРЕДЬ 4</x:v>
      </x:c>
      <x:c r="CX108" s="53" t="str">
        <x:v>ОЧЕРЕДЬ 4</x:v>
      </x:c>
      <x:c r="CY108" s="53" t="str">
        <x:v>ОЧЕРЕДЬ 4</x:v>
      </x:c>
      <x:c r="CZ108" s="53" t="str">
        <x:v>ОЧЕРЕДЬ 4</x:v>
      </x:c>
      <x:c r="DA108" s="53" t="str">
        <x:v>ОЧЕРЕДЬ 4</x:v>
      </x:c>
      <x:c r="DB108" s="53" t="str">
        <x:v>ОЧЕРЕДЬ 4</x:v>
      </x:c>
      <x:c r="DC108" s="53" t="str">
        <x:v>ОЧЕРЕДЬ 4</x:v>
      </x:c>
      <x:c r="DD108" s="53" t="str">
        <x:v>ОЧЕРЕДЬ 4</x:v>
      </x:c>
      <x:c r="DE108" s="53" t="str">
        <x:v>ОЧЕРЕДЬ 4</x:v>
      </x:c>
      <x:c r="DF108" s="53" t="str">
        <x:v>ОЧЕРЕДЬ 4</x:v>
      </x:c>
      <x:c r="DG108" s="53" t="str">
        <x:v>ОЧЕРЕДЬ 4</x:v>
      </x:c>
      <x:c r="DH108" s="53" t="str">
        <x:v>ОЧЕРЕДЬ 4</x:v>
      </x:c>
      <x:c r="DI108" s="53" t="str">
        <x:v>ОЧЕРЕДЬ 4</x:v>
      </x:c>
      <x:c r="DJ108" s="53" t="str">
        <x:v>ОЧЕРЕДЬ 4</x:v>
      </x:c>
      <x:c r="DK108" s="53" t="str">
        <x:v>ОЧЕРЕДЬ 4</x:v>
      </x:c>
      <x:c r="DL108" s="53" t="str">
        <x:v>ОЧЕРЕДЬ 4</x:v>
      </x:c>
      <x:c r="DM108" s="53" t="str">
        <x:v>ОЧЕРЕДЬ 4</x:v>
      </x:c>
      <x:c r="DN108" s="53" t="str">
        <x:v>ОЧЕРЕДЬ 4</x:v>
      </x:c>
      <x:c r="DO108" s="53" t="str">
        <x:v>ОЧЕРЕДЬ 4</x:v>
      </x:c>
      <x:c r="DP108" s="53" t="str">
        <x:v>ОЧЕРЕДЬ 4</x:v>
      </x:c>
      <x:c r="DQ108" s="53" t="str">
        <x:v>ОЧЕРЕДЬ 4</x:v>
      </x:c>
      <x:c r="DR108" s="53" t="str">
        <x:v>ОЧЕРЕДЬ 4</x:v>
      </x:c>
      <x:c r="DS108" s="54" t="str">
        <x:v>ОЧЕРЕДЬ 4</x:v>
      </x:c>
      <x:c r="DT108" s="54" t="str"/>
      <x:c r="DU108" s="54" t="str"/>
      <x:c r="DV108" s="54" t="str"/>
      <x:c r="DW108" s="54" t="str"/>
      <x:c r="DX108" s="54" t="str"/>
      <x:c r="DY108" s="54" t="str"/>
      <x:c r="DZ108" s="54" t="str"/>
      <x:c r="EA108" s="54" t="str"/>
      <x:c r="EB108" s="54" t="str"/>
      <x:c r="EC108" s="54" t="str"/>
      <x:c r="ED108" s="54" t="str"/>
      <x:c r="EE108" s="54" t="str"/>
      <x:c r="EF108" s="54" t="str"/>
      <x:c r="EG108" s="54" t="str"/>
      <x:c r="EH108" s="54" t="str"/>
      <x:c r="EI108" s="54" t="str"/>
      <x:c r="EJ108" s="54" t="str"/>
      <x:c r="EK108" s="54" t="str"/>
      <x:c r="EL108" s="54" t="str"/>
      <x:c r="EM108" s="54" t="str"/>
      <x:c r="EN108" s="54" t="str"/>
      <x:c r="EO108" s="54" t="str"/>
      <x:c r="EP108" s="54" t="str"/>
      <x:c r="EQ108" s="54" t="str"/>
      <x:c r="ER108" s="54" t="str"/>
      <x:c r="ES108" s="54" t="str"/>
      <x:c r="ET108" s="54" t="str"/>
      <x:c r="EU108" s="54" t="str"/>
      <x:c r="EV108" s="54" t="str"/>
      <x:c r="EW108" s="54" t="str"/>
      <x:c r="EX108" s="54" t="str"/>
      <x:c r="EY108" s="54" t="str"/>
      <x:c r="EZ108" s="54" t="str"/>
      <x:c r="FA108" s="54" t="str"/>
      <x:c r="FB108" s="54" t="str"/>
      <x:c r="FC108" s="54" t="str"/>
      <x:c r="FD108" s="54" t="str"/>
      <x:c r="FE108" s="54" t="str"/>
      <x:c r="FF108" s="54" t="str"/>
      <x:c r="FG108" s="54" t="str"/>
      <x:c r="FH108" s="54" t="str"/>
      <x:c r="FI108" s="54" t="str"/>
      <x:c r="FJ108" s="54" t="str"/>
      <x:c r="FK108" s="54" t="str"/>
      <x:c r="FL108" s="54" t="str"/>
      <x:c r="FM108" s="54" t="str"/>
      <x:c r="FN108" s="54" t="str"/>
      <x:c r="FO108" s="54" t="str"/>
      <x:c r="FP108" s="54" t="str"/>
      <x:c r="FQ108" s="54" t="str"/>
      <x:c r="FR108" s="54" t="str"/>
      <x:c r="FS108" s="54" t="str"/>
      <x:c r="FT108" s="54" t="str"/>
      <x:c r="FU108" s="54" t="str"/>
      <x:c r="FV108" s="54" t="str"/>
      <x:c r="FW108" s="54" t="str"/>
      <x:c r="FX108" s="54" t="str"/>
      <x:c r="FY108" s="54" t="str"/>
      <x:c r="FZ108" s="54" t="str"/>
      <x:c r="GA108" s="54" t="str"/>
    </x:row>
    <x:row r="109">
      <x:c r="A109" t="str">
        <x:v>РнС / открытие ПФ</x:v>
      </x:c>
      <x:c r="B109" s="106" t="n">
        <x:f>EDATE('Вводные'!$D$91,'Вводные'!$E$91+'Вводные'!$H$9)</x:f>
      </x:c>
      <x:c r="C109" t="str">
        <x:v>дата</x:v>
      </x:c>
    </x:row>
    <x:row r="110">
      <x:c r="A110" t="str">
        <x:v>РВЭ</x:v>
      </x:c>
      <x:c r="B110" s="106" t="n">
        <x:f>EDATE(B109,'Вводные'!$F$91)</x:f>
      </x:c>
      <x:c r="C110" t="str">
        <x:v>дата</x:v>
      </x:c>
    </x:row>
    <x:row r="111">
      <x:c r="A111" t="str">
        <x:v>Флаг проекта</x:v>
      </x:c>
      <x:c r="B111"/>
      <x:c r="C111" t="str">
        <x:v>0/1</x:v>
      </x:c>
      <x:c r="D111" t="n">
        <x:f>--AND(D$3&gt;=EDATE($B$109,-'Вводные'!$E$91),D$3&lt;$B$110,'Вводные'!$B$91="Да")</x:f>
      </x:c>
      <x:c r="E111" t="n">
        <x:f>--AND(E$3&gt;=EDATE($B$109,-'Вводные'!$E$91),E$3&lt;$B$110,'Вводные'!$B$91="Да")</x:f>
      </x:c>
      <x:c r="F111" t="n">
        <x:f>--AND(F$3&gt;=EDATE($B$109,-'Вводные'!$E$91),F$3&lt;$B$110,'Вводные'!$B$91="Да")</x:f>
      </x:c>
      <x:c r="G111" t="n">
        <x:f>--AND(G$3&gt;=EDATE($B$109,-'Вводные'!$E$91),G$3&lt;$B$110,'Вводные'!$B$91="Да")</x:f>
      </x:c>
      <x:c r="H111" t="n">
        <x:f>--AND(H$3&gt;=EDATE($B$109,-'Вводные'!$E$91),H$3&lt;$B$110,'Вводные'!$B$91="Да")</x:f>
      </x:c>
      <x:c r="I111" t="n">
        <x:f>--AND(I$3&gt;=EDATE($B$109,-'Вводные'!$E$91),I$3&lt;$B$110,'Вводные'!$B$91="Да")</x:f>
      </x:c>
      <x:c r="J111" t="n">
        <x:f>--AND(J$3&gt;=EDATE($B$109,-'Вводные'!$E$91),J$3&lt;$B$110,'Вводные'!$B$91="Да")</x:f>
      </x:c>
      <x:c r="K111" t="n">
        <x:f>--AND(K$3&gt;=EDATE($B$109,-'Вводные'!$E$91),K$3&lt;$B$110,'Вводные'!$B$91="Да")</x:f>
      </x:c>
      <x:c r="L111" t="n">
        <x:f>--AND(L$3&gt;=EDATE($B$109,-'Вводные'!$E$91),L$3&lt;$B$110,'Вводные'!$B$91="Да")</x:f>
      </x:c>
      <x:c r="M111" t="n">
        <x:f>--AND(M$3&gt;=EDATE($B$109,-'Вводные'!$E$91),M$3&lt;$B$110,'Вводные'!$B$91="Да")</x:f>
      </x:c>
      <x:c r="N111" t="n">
        <x:f>--AND(N$3&gt;=EDATE($B$109,-'Вводные'!$E$91),N$3&lt;$B$110,'Вводные'!$B$91="Да")</x:f>
      </x:c>
      <x:c r="O111" t="n">
        <x:f>--AND(O$3&gt;=EDATE($B$109,-'Вводные'!$E$91),O$3&lt;$B$110,'Вводные'!$B$91="Да")</x:f>
      </x:c>
      <x:c r="P111" t="n">
        <x:f>--AND(P$3&gt;=EDATE($B$109,-'Вводные'!$E$91),P$3&lt;$B$110,'Вводные'!$B$91="Да")</x:f>
      </x:c>
      <x:c r="Q111" t="n">
        <x:f>--AND(Q$3&gt;=EDATE($B$109,-'Вводные'!$E$91),Q$3&lt;$B$110,'Вводные'!$B$91="Да")</x:f>
      </x:c>
      <x:c r="R111" t="n">
        <x:f>--AND(R$3&gt;=EDATE($B$109,-'Вводные'!$E$91),R$3&lt;$B$110,'Вводные'!$B$91="Да")</x:f>
      </x:c>
      <x:c r="S111" t="n">
        <x:f>--AND(S$3&gt;=EDATE($B$109,-'Вводные'!$E$91),S$3&lt;$B$110,'Вводные'!$B$91="Да")</x:f>
      </x:c>
      <x:c r="T111" t="n">
        <x:f>--AND(T$3&gt;=EDATE($B$109,-'Вводные'!$E$91),T$3&lt;$B$110,'Вводные'!$B$91="Да")</x:f>
      </x:c>
      <x:c r="U111" t="n">
        <x:f>--AND(U$3&gt;=EDATE($B$109,-'Вводные'!$E$91),U$3&lt;$B$110,'Вводные'!$B$91="Да")</x:f>
      </x:c>
      <x:c r="V111" t="n">
        <x:f>--AND(V$3&gt;=EDATE($B$109,-'Вводные'!$E$91),V$3&lt;$B$110,'Вводные'!$B$91="Да")</x:f>
      </x:c>
      <x:c r="W111" t="n">
        <x:f>--AND(W$3&gt;=EDATE($B$109,-'Вводные'!$E$91),W$3&lt;$B$110,'Вводные'!$B$91="Да")</x:f>
      </x:c>
      <x:c r="X111" t="n">
        <x:f>--AND(X$3&gt;=EDATE($B$109,-'Вводные'!$E$91),X$3&lt;$B$110,'Вводные'!$B$91="Да")</x:f>
      </x:c>
      <x:c r="Y111" t="n">
        <x:f>--AND(Y$3&gt;=EDATE($B$109,-'Вводные'!$E$91),Y$3&lt;$B$110,'Вводные'!$B$91="Да")</x:f>
      </x:c>
      <x:c r="Z111" t="n">
        <x:f>--AND(Z$3&gt;=EDATE($B$109,-'Вводные'!$E$91),Z$3&lt;$B$110,'Вводные'!$B$91="Да")</x:f>
      </x:c>
      <x:c r="AA111" t="n">
        <x:f>--AND(AA$3&gt;=EDATE($B$109,-'Вводные'!$E$91),AA$3&lt;$B$110,'Вводные'!$B$91="Да")</x:f>
      </x:c>
      <x:c r="AB111" t="n">
        <x:f>--AND(AB$3&gt;=EDATE($B$109,-'Вводные'!$E$91),AB$3&lt;$B$110,'Вводные'!$B$91="Да")</x:f>
      </x:c>
      <x:c r="AC111" t="n">
        <x:f>--AND(AC$3&gt;=EDATE($B$109,-'Вводные'!$E$91),AC$3&lt;$B$110,'Вводные'!$B$91="Да")</x:f>
      </x:c>
      <x:c r="AD111" t="n">
        <x:f>--AND(AD$3&gt;=EDATE($B$109,-'Вводные'!$E$91),AD$3&lt;$B$110,'Вводные'!$B$91="Да")</x:f>
      </x:c>
      <x:c r="AE111" t="n">
        <x:f>--AND(AE$3&gt;=EDATE($B$109,-'Вводные'!$E$91),AE$3&lt;$B$110,'Вводные'!$B$91="Да")</x:f>
      </x:c>
      <x:c r="AF111" t="n">
        <x:f>--AND(AF$3&gt;=EDATE($B$109,-'Вводные'!$E$91),AF$3&lt;$B$110,'Вводные'!$B$91="Да")</x:f>
      </x:c>
      <x:c r="AG111" t="n">
        <x:f>--AND(AG$3&gt;=EDATE($B$109,-'Вводные'!$E$91),AG$3&lt;$B$110,'Вводные'!$B$91="Да")</x:f>
      </x:c>
      <x:c r="AH111" t="n">
        <x:f>--AND(AH$3&gt;=EDATE($B$109,-'Вводные'!$E$91),AH$3&lt;$B$110,'Вводные'!$B$91="Да")</x:f>
      </x:c>
      <x:c r="AI111" t="n">
        <x:f>--AND(AI$3&gt;=EDATE($B$109,-'Вводные'!$E$91),AI$3&lt;$B$110,'Вводные'!$B$91="Да")</x:f>
      </x:c>
      <x:c r="AJ111" t="n">
        <x:f>--AND(AJ$3&gt;=EDATE($B$109,-'Вводные'!$E$91),AJ$3&lt;$B$110,'Вводные'!$B$91="Да")</x:f>
      </x:c>
      <x:c r="AK111" t="n">
        <x:f>--AND(AK$3&gt;=EDATE($B$109,-'Вводные'!$E$91),AK$3&lt;$B$110,'Вводные'!$B$91="Да")</x:f>
      </x:c>
      <x:c r="AL111" t="n">
        <x:f>--AND(AL$3&gt;=EDATE($B$109,-'Вводные'!$E$91),AL$3&lt;$B$110,'Вводные'!$B$91="Да")</x:f>
      </x:c>
      <x:c r="AM111" t="n">
        <x:f>--AND(AM$3&gt;=EDATE($B$109,-'Вводные'!$E$91),AM$3&lt;$B$110,'Вводные'!$B$91="Да")</x:f>
      </x:c>
      <x:c r="AN111" t="n">
        <x:f>--AND(AN$3&gt;=EDATE($B$109,-'Вводные'!$E$91),AN$3&lt;$B$110,'Вводные'!$B$91="Да")</x:f>
      </x:c>
      <x:c r="AO111" t="n">
        <x:f>--AND(AO$3&gt;=EDATE($B$109,-'Вводные'!$E$91),AO$3&lt;$B$110,'Вводные'!$B$91="Да")</x:f>
      </x:c>
      <x:c r="AP111" t="n">
        <x:f>--AND(AP$3&gt;=EDATE($B$109,-'Вводные'!$E$91),AP$3&lt;$B$110,'Вводные'!$B$91="Да")</x:f>
      </x:c>
      <x:c r="AQ111" t="n">
        <x:f>--AND(AQ$3&gt;=EDATE($B$109,-'Вводные'!$E$91),AQ$3&lt;$B$110,'Вводные'!$B$91="Да")</x:f>
      </x:c>
      <x:c r="AR111" t="n">
        <x:f>--AND(AR$3&gt;=EDATE($B$109,-'Вводные'!$E$91),AR$3&lt;$B$110,'Вводные'!$B$91="Да")</x:f>
      </x:c>
      <x:c r="AS111" t="n">
        <x:f>--AND(AS$3&gt;=EDATE($B$109,-'Вводные'!$E$91),AS$3&lt;$B$110,'Вводные'!$B$91="Да")</x:f>
      </x:c>
      <x:c r="AT111" t="n">
        <x:f>--AND(AT$3&gt;=EDATE($B$109,-'Вводные'!$E$91),AT$3&lt;$B$110,'Вводные'!$B$91="Да")</x:f>
      </x:c>
      <x:c r="AU111" t="n">
        <x:f>--AND(AU$3&gt;=EDATE($B$109,-'Вводные'!$E$91),AU$3&lt;$B$110,'Вводные'!$B$91="Да")</x:f>
      </x:c>
      <x:c r="AV111" t="n">
        <x:f>--AND(AV$3&gt;=EDATE($B$109,-'Вводные'!$E$91),AV$3&lt;$B$110,'Вводные'!$B$91="Да")</x:f>
      </x:c>
      <x:c r="AW111" t="n">
        <x:f>--AND(AW$3&gt;=EDATE($B$109,-'Вводные'!$E$91),AW$3&lt;$B$110,'Вводные'!$B$91="Да")</x:f>
      </x:c>
      <x:c r="AX111" t="n">
        <x:f>--AND(AX$3&gt;=EDATE($B$109,-'Вводные'!$E$91),AX$3&lt;$B$110,'Вводные'!$B$91="Да")</x:f>
      </x:c>
      <x:c r="AY111" t="n">
        <x:f>--AND(AY$3&gt;=EDATE($B$109,-'Вводные'!$E$91),AY$3&lt;$B$110,'Вводные'!$B$91="Да")</x:f>
      </x:c>
      <x:c r="AZ111" t="n">
        <x:f>--AND(AZ$3&gt;=EDATE($B$109,-'Вводные'!$E$91),AZ$3&lt;$B$110,'Вводные'!$B$91="Да")</x:f>
      </x:c>
      <x:c r="BA111" t="n">
        <x:f>--AND(BA$3&gt;=EDATE($B$109,-'Вводные'!$E$91),BA$3&lt;$B$110,'Вводные'!$B$91="Да")</x:f>
      </x:c>
      <x:c r="BB111" t="n">
        <x:f>--AND(BB$3&gt;=EDATE($B$109,-'Вводные'!$E$91),BB$3&lt;$B$110,'Вводные'!$B$91="Да")</x:f>
      </x:c>
      <x:c r="BC111" t="n">
        <x:f>--AND(BC$3&gt;=EDATE($B$109,-'Вводные'!$E$91),BC$3&lt;$B$110,'Вводные'!$B$91="Да")</x:f>
      </x:c>
      <x:c r="BD111" t="n">
        <x:f>--AND(BD$3&gt;=EDATE($B$109,-'Вводные'!$E$91),BD$3&lt;$B$110,'Вводные'!$B$91="Да")</x:f>
      </x:c>
      <x:c r="BE111" t="n">
        <x:f>--AND(BE$3&gt;=EDATE($B$109,-'Вводные'!$E$91),BE$3&lt;$B$110,'Вводные'!$B$91="Да")</x:f>
      </x:c>
      <x:c r="BF111" t="n">
        <x:f>--AND(BF$3&gt;=EDATE($B$109,-'Вводные'!$E$91),BF$3&lt;$B$110,'Вводные'!$B$91="Да")</x:f>
      </x:c>
      <x:c r="BG111" t="n">
        <x:f>--AND(BG$3&gt;=EDATE($B$109,-'Вводные'!$E$91),BG$3&lt;$B$110,'Вводные'!$B$91="Да")</x:f>
      </x:c>
      <x:c r="BH111" t="n">
        <x:f>--AND(BH$3&gt;=EDATE($B$109,-'Вводные'!$E$91),BH$3&lt;$B$110,'Вводные'!$B$91="Да")</x:f>
      </x:c>
      <x:c r="BI111" t="n">
        <x:f>--AND(BI$3&gt;=EDATE($B$109,-'Вводные'!$E$91),BI$3&lt;$B$110,'Вводные'!$B$91="Да")</x:f>
      </x:c>
      <x:c r="BJ111" t="n">
        <x:f>--AND(BJ$3&gt;=EDATE($B$109,-'Вводные'!$E$91),BJ$3&lt;$B$110,'Вводные'!$B$91="Да")</x:f>
      </x:c>
      <x:c r="BK111" t="n">
        <x:f>--AND(BK$3&gt;=EDATE($B$109,-'Вводные'!$E$91),BK$3&lt;$B$110,'Вводные'!$B$91="Да")</x:f>
      </x:c>
      <x:c r="BL111" t="n">
        <x:f>--AND(BL$3&gt;=EDATE($B$109,-'Вводные'!$E$91),BL$3&lt;$B$110,'Вводные'!$B$91="Да")</x:f>
      </x:c>
      <x:c r="BM111" t="n">
        <x:f>--AND(BM$3&gt;=EDATE($B$109,-'Вводные'!$E$91),BM$3&lt;$B$110,'Вводные'!$B$91="Да")</x:f>
      </x:c>
      <x:c r="BN111" t="n">
        <x:f>--AND(BN$3&gt;=EDATE($B$109,-'Вводные'!$E$91),BN$3&lt;$B$110,'Вводные'!$B$91="Да")</x:f>
      </x:c>
      <x:c r="BO111" t="n">
        <x:f>--AND(BO$3&gt;=EDATE($B$109,-'Вводные'!$E$91),BO$3&lt;$B$110,'Вводные'!$B$91="Да")</x:f>
      </x:c>
      <x:c r="BP111" t="n">
        <x:f>--AND(BP$3&gt;=EDATE($B$109,-'Вводные'!$E$91),BP$3&lt;$B$110,'Вводные'!$B$91="Да")</x:f>
      </x:c>
      <x:c r="BQ111" t="n">
        <x:f>--AND(BQ$3&gt;=EDATE($B$109,-'Вводные'!$E$91),BQ$3&lt;$B$110,'Вводные'!$B$91="Да")</x:f>
      </x:c>
      <x:c r="BR111" t="n">
        <x:f>--AND(BR$3&gt;=EDATE($B$109,-'Вводные'!$E$91),BR$3&lt;$B$110,'Вводные'!$B$91="Да")</x:f>
      </x:c>
      <x:c r="BS111" t="n">
        <x:f>--AND(BS$3&gt;=EDATE($B$109,-'Вводные'!$E$91),BS$3&lt;$B$110,'Вводные'!$B$91="Да")</x:f>
      </x:c>
      <x:c r="BT111" t="n">
        <x:f>--AND(BT$3&gt;=EDATE($B$109,-'Вводные'!$E$91),BT$3&lt;$B$110,'Вводные'!$B$91="Да")</x:f>
      </x:c>
      <x:c r="BU111" t="n">
        <x:f>--AND(BU$3&gt;=EDATE($B$109,-'Вводные'!$E$91),BU$3&lt;$B$110,'Вводные'!$B$91="Да")</x:f>
      </x:c>
      <x:c r="BV111" t="n">
        <x:f>--AND(BV$3&gt;=EDATE($B$109,-'Вводные'!$E$91),BV$3&lt;$B$110,'Вводные'!$B$91="Да")</x:f>
      </x:c>
      <x:c r="BW111" t="n">
        <x:f>--AND(BW$3&gt;=EDATE($B$109,-'Вводные'!$E$91),BW$3&lt;$B$110,'Вводные'!$B$91="Да")</x:f>
      </x:c>
      <x:c r="BX111" t="n">
        <x:f>--AND(BX$3&gt;=EDATE($B$109,-'Вводные'!$E$91),BX$3&lt;$B$110,'Вводные'!$B$91="Да")</x:f>
      </x:c>
      <x:c r="BY111" t="n">
        <x:f>--AND(BY$3&gt;=EDATE($B$109,-'Вводные'!$E$91),BY$3&lt;$B$110,'Вводные'!$B$91="Да")</x:f>
      </x:c>
      <x:c r="BZ111" t="n">
        <x:f>--AND(BZ$3&gt;=EDATE($B$109,-'Вводные'!$E$91),BZ$3&lt;$B$110,'Вводные'!$B$91="Да")</x:f>
      </x:c>
      <x:c r="CA111" t="n">
        <x:f>--AND(CA$3&gt;=EDATE($B$109,-'Вводные'!$E$91),CA$3&lt;$B$110,'Вводные'!$B$91="Да")</x:f>
      </x:c>
      <x:c r="CB111" t="n">
        <x:f>--AND(CB$3&gt;=EDATE($B$109,-'Вводные'!$E$91),CB$3&lt;$B$110,'Вводные'!$B$91="Да")</x:f>
      </x:c>
      <x:c r="CC111" t="n">
        <x:f>--AND(CC$3&gt;=EDATE($B$109,-'Вводные'!$E$91),CC$3&lt;$B$110,'Вводные'!$B$91="Да")</x:f>
      </x:c>
      <x:c r="CD111" t="n">
        <x:f>--AND(CD$3&gt;=EDATE($B$109,-'Вводные'!$E$91),CD$3&lt;$B$110,'Вводные'!$B$91="Да")</x:f>
      </x:c>
      <x:c r="CE111" t="n">
        <x:f>--AND(CE$3&gt;=EDATE($B$109,-'Вводные'!$E$91),CE$3&lt;$B$110,'Вводные'!$B$91="Да")</x:f>
      </x:c>
      <x:c r="CF111" t="n">
        <x:f>--AND(CF$3&gt;=EDATE($B$109,-'Вводные'!$E$91),CF$3&lt;$B$110,'Вводные'!$B$91="Да")</x:f>
      </x:c>
      <x:c r="CG111" t="n">
        <x:f>--AND(CG$3&gt;=EDATE($B$109,-'Вводные'!$E$91),CG$3&lt;$B$110,'Вводные'!$B$91="Да")</x:f>
      </x:c>
      <x:c r="CH111" t="n">
        <x:f>--AND(CH$3&gt;=EDATE($B$109,-'Вводные'!$E$91),CH$3&lt;$B$110,'Вводные'!$B$91="Да")</x:f>
      </x:c>
      <x:c r="CI111" t="n">
        <x:f>--AND(CI$3&gt;=EDATE($B$109,-'Вводные'!$E$91),CI$3&lt;$B$110,'Вводные'!$B$91="Да")</x:f>
      </x:c>
      <x:c r="CJ111" t="n">
        <x:f>--AND(CJ$3&gt;=EDATE($B$109,-'Вводные'!$E$91),CJ$3&lt;$B$110,'Вводные'!$B$91="Да")</x:f>
      </x:c>
      <x:c r="CK111" t="n">
        <x:f>--AND(CK$3&gt;=EDATE($B$109,-'Вводные'!$E$91),CK$3&lt;$B$110,'Вводные'!$B$91="Да")</x:f>
      </x:c>
      <x:c r="CL111" t="n">
        <x:f>--AND(CL$3&gt;=EDATE($B$109,-'Вводные'!$E$91),CL$3&lt;$B$110,'Вводные'!$B$91="Да")</x:f>
      </x:c>
      <x:c r="CM111" t="n">
        <x:f>--AND(CM$3&gt;=EDATE($B$109,-'Вводные'!$E$91),CM$3&lt;$B$110,'Вводные'!$B$91="Да")</x:f>
      </x:c>
      <x:c r="CN111" t="n">
        <x:f>--AND(CN$3&gt;=EDATE($B$109,-'Вводные'!$E$91),CN$3&lt;$B$110,'Вводные'!$B$91="Да")</x:f>
      </x:c>
      <x:c r="CO111" t="n">
        <x:f>--AND(CO$3&gt;=EDATE($B$109,-'Вводные'!$E$91),CO$3&lt;$B$110,'Вводные'!$B$91="Да")</x:f>
      </x:c>
      <x:c r="CP111" t="n">
        <x:f>--AND(CP$3&gt;=EDATE($B$109,-'Вводные'!$E$91),CP$3&lt;$B$110,'Вводные'!$B$91="Да")</x:f>
      </x:c>
      <x:c r="CQ111" t="n">
        <x:f>--AND(CQ$3&gt;=EDATE($B$109,-'Вводные'!$E$91),CQ$3&lt;$B$110,'Вводные'!$B$91="Да")</x:f>
      </x:c>
      <x:c r="CR111" t="n">
        <x:f>--AND(CR$3&gt;=EDATE($B$109,-'Вводные'!$E$91),CR$3&lt;$B$110,'Вводные'!$B$91="Да")</x:f>
      </x:c>
      <x:c r="CS111" t="n">
        <x:f>--AND(CS$3&gt;=EDATE($B$109,-'Вводные'!$E$91),CS$3&lt;$B$110,'Вводные'!$B$91="Да")</x:f>
      </x:c>
      <x:c r="CT111" t="n">
        <x:f>--AND(CT$3&gt;=EDATE($B$109,-'Вводные'!$E$91),CT$3&lt;$B$110,'Вводные'!$B$91="Да")</x:f>
      </x:c>
      <x:c r="CU111" t="n">
        <x:f>--AND(CU$3&gt;=EDATE($B$109,-'Вводные'!$E$91),CU$3&lt;$B$110,'Вводные'!$B$91="Да")</x:f>
      </x:c>
      <x:c r="CV111" t="n">
        <x:f>--AND(CV$3&gt;=EDATE($B$109,-'Вводные'!$E$91),CV$3&lt;$B$110,'Вводные'!$B$91="Да")</x:f>
      </x:c>
      <x:c r="CW111" t="n">
        <x:f>--AND(CW$3&gt;=EDATE($B$109,-'Вводные'!$E$91),CW$3&lt;$B$110,'Вводные'!$B$91="Да")</x:f>
      </x:c>
      <x:c r="CX111" t="n">
        <x:f>--AND(CX$3&gt;=EDATE($B$109,-'Вводные'!$E$91),CX$3&lt;$B$110,'Вводные'!$B$91="Да")</x:f>
      </x:c>
      <x:c r="CY111" t="n">
        <x:f>--AND(CY$3&gt;=EDATE($B$109,-'Вводные'!$E$91),CY$3&lt;$B$110,'Вводные'!$B$91="Да")</x:f>
      </x:c>
      <x:c r="CZ111" t="n">
        <x:f>--AND(CZ$3&gt;=EDATE($B$109,-'Вводные'!$E$91),CZ$3&lt;$B$110,'Вводные'!$B$91="Да")</x:f>
      </x:c>
      <x:c r="DA111" t="n">
        <x:f>--AND(DA$3&gt;=EDATE($B$109,-'Вводные'!$E$91),DA$3&lt;$B$110,'Вводные'!$B$91="Да")</x:f>
      </x:c>
      <x:c r="DB111" t="n">
        <x:f>--AND(DB$3&gt;=EDATE($B$109,-'Вводные'!$E$91),DB$3&lt;$B$110,'Вводные'!$B$91="Да")</x:f>
      </x:c>
      <x:c r="DC111" t="n">
        <x:f>--AND(DC$3&gt;=EDATE($B$109,-'Вводные'!$E$91),DC$3&lt;$B$110,'Вводные'!$B$91="Да")</x:f>
      </x:c>
      <x:c r="DD111" t="n">
        <x:f>--AND(DD$3&gt;=EDATE($B$109,-'Вводные'!$E$91),DD$3&lt;$B$110,'Вводные'!$B$91="Да")</x:f>
      </x:c>
      <x:c r="DE111" t="n">
        <x:f>--AND(DE$3&gt;=EDATE($B$109,-'Вводные'!$E$91),DE$3&lt;$B$110,'Вводные'!$B$91="Да")</x:f>
      </x:c>
      <x:c r="DF111" t="n">
        <x:f>--AND(DF$3&gt;=EDATE($B$109,-'Вводные'!$E$91),DF$3&lt;$B$110,'Вводные'!$B$91="Да")</x:f>
      </x:c>
      <x:c r="DG111" t="n">
        <x:f>--AND(DG$3&gt;=EDATE($B$109,-'Вводные'!$E$91),DG$3&lt;$B$110,'Вводные'!$B$91="Да")</x:f>
      </x:c>
      <x:c r="DH111" t="n">
        <x:f>--AND(DH$3&gt;=EDATE($B$109,-'Вводные'!$E$91),DH$3&lt;$B$110,'Вводные'!$B$91="Да")</x:f>
      </x:c>
      <x:c r="DI111" t="n">
        <x:f>--AND(DI$3&gt;=EDATE($B$109,-'Вводные'!$E$91),DI$3&lt;$B$110,'Вводные'!$B$91="Да")</x:f>
      </x:c>
      <x:c r="DJ111" t="n">
        <x:f>--AND(DJ$3&gt;=EDATE($B$109,-'Вводные'!$E$91),DJ$3&lt;$B$110,'Вводные'!$B$91="Да")</x:f>
      </x:c>
      <x:c r="DK111" t="n">
        <x:f>--AND(DK$3&gt;=EDATE($B$109,-'Вводные'!$E$91),DK$3&lt;$B$110,'Вводные'!$B$91="Да")</x:f>
      </x:c>
      <x:c r="DL111" t="n">
        <x:f>--AND(DL$3&gt;=EDATE($B$109,-'Вводные'!$E$91),DL$3&lt;$B$110,'Вводные'!$B$91="Да")</x:f>
      </x:c>
      <x:c r="DM111" t="n">
        <x:f>--AND(DM$3&gt;=EDATE($B$109,-'Вводные'!$E$91),DM$3&lt;$B$110,'Вводные'!$B$91="Да")</x:f>
      </x:c>
      <x:c r="DN111" t="n">
        <x:f>--AND(DN$3&gt;=EDATE($B$109,-'Вводные'!$E$91),DN$3&lt;$B$110,'Вводные'!$B$91="Да")</x:f>
      </x:c>
      <x:c r="DO111" t="n">
        <x:f>--AND(DO$3&gt;=EDATE($B$109,-'Вводные'!$E$91),DO$3&lt;$B$110,'Вводные'!$B$91="Да")</x:f>
      </x:c>
      <x:c r="DP111" t="n">
        <x:f>--AND(DP$3&gt;=EDATE($B$109,-'Вводные'!$E$91),DP$3&lt;$B$110,'Вводные'!$B$91="Да")</x:f>
      </x:c>
      <x:c r="DQ111" t="n">
        <x:f>--AND(DQ$3&gt;=EDATE($B$109,-'Вводные'!$E$91),DQ$3&lt;$B$110,'Вводные'!$B$91="Да")</x:f>
      </x:c>
      <x:c r="DR111" t="n">
        <x:f>--AND(DR$3&gt;=EDATE($B$109,-'Вводные'!$E$91),DR$3&lt;$B$110,'Вводные'!$B$91="Да")</x:f>
      </x:c>
      <x:c r="DS111" t="n">
        <x:f>--AND(DS$3&gt;=EDATE($B$109,-'Вводные'!$E$91),DS$3&lt;$B$110,'Вводные'!$B$91="Да")</x:f>
      </x:c>
      <x:c r="DT111" t="n">
        <x:f>--AND(DT$3&gt;=EDATE($B$109,-'Вводные'!$E$91),DT$3&lt;$B$110,'Вводные'!$B$91="Да")</x:f>
      </x:c>
      <x:c r="DU111" t="n">
        <x:f>--AND(DU$3&gt;=EDATE($B$109,-'Вводные'!$E$91),DU$3&lt;$B$110,'Вводные'!$B$91="Да")</x:f>
      </x:c>
      <x:c r="DV111" t="n">
        <x:f>--AND(DV$3&gt;=EDATE($B$109,-'Вводные'!$E$91),DV$3&lt;$B$110,'Вводные'!$B$91="Да")</x:f>
      </x:c>
      <x:c r="DW111" t="n">
        <x:f>--AND(DW$3&gt;=EDATE($B$109,-'Вводные'!$E$91),DW$3&lt;$B$110,'Вводные'!$B$91="Да")</x:f>
      </x:c>
      <x:c r="DX111" t="n">
        <x:f>--AND(DX$3&gt;=EDATE($B$109,-'Вводные'!$E$91),DX$3&lt;$B$110,'Вводные'!$B$91="Да")</x:f>
      </x:c>
      <x:c r="DY111" t="n">
        <x:f>--AND(DY$3&gt;=EDATE($B$109,-'Вводные'!$E$91),DY$3&lt;$B$110,'Вводные'!$B$91="Да")</x:f>
      </x:c>
      <x:c r="DZ111" t="n">
        <x:f>--AND(DZ$3&gt;=EDATE($B$109,-'Вводные'!$E$91),DZ$3&lt;$B$110,'Вводные'!$B$91="Да")</x:f>
      </x:c>
      <x:c r="EA111" t="n">
        <x:f>--AND(EA$3&gt;=EDATE($B$109,-'Вводные'!$E$91),EA$3&lt;$B$110,'Вводные'!$B$91="Да")</x:f>
      </x:c>
      <x:c r="EB111" t="n">
        <x:f>--AND(EB$3&gt;=EDATE($B$109,-'Вводные'!$E$91),EB$3&lt;$B$110,'Вводные'!$B$91="Да")</x:f>
      </x:c>
      <x:c r="EC111" t="n">
        <x:f>--AND(EC$3&gt;=EDATE($B$109,-'Вводные'!$E$91),EC$3&lt;$B$110,'Вводные'!$B$91="Да")</x:f>
      </x:c>
      <x:c r="ED111" t="n">
        <x:f>--AND(ED$3&gt;=EDATE($B$109,-'Вводные'!$E$91),ED$3&lt;$B$110,'Вводные'!$B$91="Да")</x:f>
      </x:c>
      <x:c r="EE111" t="n">
        <x:f>--AND(EE$3&gt;=EDATE($B$109,-'Вводные'!$E$91),EE$3&lt;$B$110,'Вводные'!$B$91="Да")</x:f>
      </x:c>
      <x:c r="EF111" t="n">
        <x:f>--AND(EF$3&gt;=EDATE($B$109,-'Вводные'!$E$91),EF$3&lt;$B$110,'Вводные'!$B$91="Да")</x:f>
      </x:c>
      <x:c r="EG111" t="n">
        <x:f>--AND(EG$3&gt;=EDATE($B$109,-'Вводные'!$E$91),EG$3&lt;$B$110,'Вводные'!$B$91="Да")</x:f>
      </x:c>
      <x:c r="EH111" t="n">
        <x:f>--AND(EH$3&gt;=EDATE($B$109,-'Вводные'!$E$91),EH$3&lt;$B$110,'Вводные'!$B$91="Да")</x:f>
      </x:c>
      <x:c r="EI111" t="n">
        <x:f>--AND(EI$3&gt;=EDATE($B$109,-'Вводные'!$E$91),EI$3&lt;$B$110,'Вводные'!$B$91="Да")</x:f>
      </x:c>
      <x:c r="EJ111" t="n">
        <x:f>--AND(EJ$3&gt;=EDATE($B$109,-'Вводные'!$E$91),EJ$3&lt;$B$110,'Вводные'!$B$91="Да")</x:f>
      </x:c>
      <x:c r="EK111" t="n">
        <x:f>--AND(EK$3&gt;=EDATE($B$109,-'Вводные'!$E$91),EK$3&lt;$B$110,'Вводные'!$B$91="Да")</x:f>
      </x:c>
      <x:c r="EL111" t="n">
        <x:f>--AND(EL$3&gt;=EDATE($B$109,-'Вводные'!$E$91),EL$3&lt;$B$110,'Вводные'!$B$91="Да")</x:f>
      </x:c>
      <x:c r="EM111" t="n">
        <x:f>--AND(EM$3&gt;=EDATE($B$109,-'Вводные'!$E$91),EM$3&lt;$B$110,'Вводные'!$B$91="Да")</x:f>
      </x:c>
      <x:c r="EN111" t="n">
        <x:f>--AND(EN$3&gt;=EDATE($B$109,-'Вводные'!$E$91),EN$3&lt;$B$110,'Вводные'!$B$91="Да")</x:f>
      </x:c>
      <x:c r="EO111" t="n">
        <x:f>--AND(EO$3&gt;=EDATE($B$109,-'Вводные'!$E$91),EO$3&lt;$B$110,'Вводные'!$B$91="Да")</x:f>
      </x:c>
      <x:c r="EP111" t="n">
        <x:f>--AND(EP$3&gt;=EDATE($B$109,-'Вводные'!$E$91),EP$3&lt;$B$110,'Вводные'!$B$91="Да")</x:f>
      </x:c>
      <x:c r="EQ111" t="n">
        <x:f>--AND(EQ$3&gt;=EDATE($B$109,-'Вводные'!$E$91),EQ$3&lt;$B$110,'Вводные'!$B$91="Да")</x:f>
      </x:c>
      <x:c r="ER111" t="n">
        <x:f>--AND(ER$3&gt;=EDATE($B$109,-'Вводные'!$E$91),ER$3&lt;$B$110,'Вводные'!$B$91="Да")</x:f>
      </x:c>
      <x:c r="ES111" t="n">
        <x:f>--AND(ES$3&gt;=EDATE($B$109,-'Вводные'!$E$91),ES$3&lt;$B$110,'Вводные'!$B$91="Да")</x:f>
      </x:c>
      <x:c r="ET111" t="n">
        <x:f>--AND(ET$3&gt;=EDATE($B$109,-'Вводные'!$E$91),ET$3&lt;$B$110,'Вводные'!$B$91="Да")</x:f>
      </x:c>
      <x:c r="EU111" t="n">
        <x:f>--AND(EU$3&gt;=EDATE($B$109,-'Вводные'!$E$91),EU$3&lt;$B$110,'Вводные'!$B$91="Да")</x:f>
      </x:c>
      <x:c r="EV111" t="n">
        <x:f>--AND(EV$3&gt;=EDATE($B$109,-'Вводные'!$E$91),EV$3&lt;$B$110,'Вводные'!$B$91="Да")</x:f>
      </x:c>
      <x:c r="EW111" t="n">
        <x:f>--AND(EW$3&gt;=EDATE($B$109,-'Вводные'!$E$91),EW$3&lt;$B$110,'Вводные'!$B$91="Да")</x:f>
      </x:c>
      <x:c r="EX111" t="n">
        <x:f>--AND(EX$3&gt;=EDATE($B$109,-'Вводные'!$E$91),EX$3&lt;$B$110,'Вводные'!$B$91="Да")</x:f>
      </x:c>
      <x:c r="EY111" t="n">
        <x:f>--AND(EY$3&gt;=EDATE($B$109,-'Вводные'!$E$91),EY$3&lt;$B$110,'Вводные'!$B$91="Да")</x:f>
      </x:c>
      <x:c r="EZ111" t="n">
        <x:f>--AND(EZ$3&gt;=EDATE($B$109,-'Вводные'!$E$91),EZ$3&lt;$B$110,'Вводные'!$B$91="Да")</x:f>
      </x:c>
      <x:c r="FA111" t="n">
        <x:f>--AND(FA$3&gt;=EDATE($B$109,-'Вводные'!$E$91),FA$3&lt;$B$110,'Вводные'!$B$91="Да")</x:f>
      </x:c>
      <x:c r="FB111" t="n">
        <x:f>--AND(FB$3&gt;=EDATE($B$109,-'Вводные'!$E$91),FB$3&lt;$B$110,'Вводные'!$B$91="Да")</x:f>
      </x:c>
      <x:c r="FC111" t="n">
        <x:f>--AND(FC$3&gt;=EDATE($B$109,-'Вводные'!$E$91),FC$3&lt;$B$110,'Вводные'!$B$91="Да")</x:f>
      </x:c>
      <x:c r="FD111" t="n">
        <x:f>--AND(FD$3&gt;=EDATE($B$109,-'Вводные'!$E$91),FD$3&lt;$B$110,'Вводные'!$B$91="Да")</x:f>
      </x:c>
      <x:c r="FE111" t="n">
        <x:f>--AND(FE$3&gt;=EDATE($B$109,-'Вводные'!$E$91),FE$3&lt;$B$110,'Вводные'!$B$91="Да")</x:f>
      </x:c>
      <x:c r="FF111" t="n">
        <x:f>--AND(FF$3&gt;=EDATE($B$109,-'Вводные'!$E$91),FF$3&lt;$B$110,'Вводные'!$B$91="Да")</x:f>
      </x:c>
      <x:c r="FG111" t="n">
        <x:f>--AND(FG$3&gt;=EDATE($B$109,-'Вводные'!$E$91),FG$3&lt;$B$110,'Вводные'!$B$91="Да")</x:f>
      </x:c>
      <x:c r="FH111" t="n">
        <x:f>--AND(FH$3&gt;=EDATE($B$109,-'Вводные'!$E$91),FH$3&lt;$B$110,'Вводные'!$B$91="Да")</x:f>
      </x:c>
      <x:c r="FI111" t="n">
        <x:f>--AND(FI$3&gt;=EDATE($B$109,-'Вводные'!$E$91),FI$3&lt;$B$110,'Вводные'!$B$91="Да")</x:f>
      </x:c>
      <x:c r="FJ111" t="n">
        <x:f>--AND(FJ$3&gt;=EDATE($B$109,-'Вводные'!$E$91),FJ$3&lt;$B$110,'Вводные'!$B$91="Да")</x:f>
      </x:c>
      <x:c r="FK111" t="n">
        <x:f>--AND(FK$3&gt;=EDATE($B$109,-'Вводные'!$E$91),FK$3&lt;$B$110,'Вводные'!$B$91="Да")</x:f>
      </x:c>
      <x:c r="FL111" t="n">
        <x:f>--AND(FL$3&gt;=EDATE($B$109,-'Вводные'!$E$91),FL$3&lt;$B$110,'Вводные'!$B$91="Да")</x:f>
      </x:c>
      <x:c r="FM111" t="n">
        <x:f>--AND(FM$3&gt;=EDATE($B$109,-'Вводные'!$E$91),FM$3&lt;$B$110,'Вводные'!$B$91="Да")</x:f>
      </x:c>
      <x:c r="FN111" t="n">
        <x:f>--AND(FN$3&gt;=EDATE($B$109,-'Вводные'!$E$91),FN$3&lt;$B$110,'Вводные'!$B$91="Да")</x:f>
      </x:c>
      <x:c r="FO111" t="n">
        <x:f>--AND(FO$3&gt;=EDATE($B$109,-'Вводные'!$E$91),FO$3&lt;$B$110,'Вводные'!$B$91="Да")</x:f>
      </x:c>
      <x:c r="FP111" t="n">
        <x:f>--AND(FP$3&gt;=EDATE($B$109,-'Вводные'!$E$91),FP$3&lt;$B$110,'Вводные'!$B$91="Да")</x:f>
      </x:c>
      <x:c r="FQ111" t="n">
        <x:f>--AND(FQ$3&gt;=EDATE($B$109,-'Вводные'!$E$91),FQ$3&lt;$B$110,'Вводные'!$B$91="Да")</x:f>
      </x:c>
      <x:c r="FR111" t="n">
        <x:f>--AND(FR$3&gt;=EDATE($B$109,-'Вводные'!$E$91),FR$3&lt;$B$110,'Вводные'!$B$91="Да")</x:f>
      </x:c>
      <x:c r="FS111" t="n">
        <x:f>--AND(FS$3&gt;=EDATE($B$109,-'Вводные'!$E$91),FS$3&lt;$B$110,'Вводные'!$B$91="Да")</x:f>
      </x:c>
      <x:c r="FT111" t="n">
        <x:f>--AND(FT$3&gt;=EDATE($B$109,-'Вводные'!$E$91),FT$3&lt;$B$110,'Вводные'!$B$91="Да")</x:f>
      </x:c>
      <x:c r="FU111" t="n">
        <x:f>--AND(FU$3&gt;=EDATE($B$109,-'Вводные'!$E$91),FU$3&lt;$B$110,'Вводные'!$B$91="Да")</x:f>
      </x:c>
      <x:c r="FV111" t="n">
        <x:f>--AND(FV$3&gt;=EDATE($B$109,-'Вводные'!$E$91),FV$3&lt;$B$110,'Вводные'!$B$91="Да")</x:f>
      </x:c>
      <x:c r="FW111" t="n">
        <x:f>--AND(FW$3&gt;=EDATE($B$109,-'Вводные'!$E$91),FW$3&lt;$B$110,'Вводные'!$B$91="Да")</x:f>
      </x:c>
      <x:c r="FX111" t="n">
        <x:f>--AND(FX$3&gt;=EDATE($B$109,-'Вводные'!$E$91),FX$3&lt;$B$110,'Вводные'!$B$91="Да")</x:f>
      </x:c>
      <x:c r="FY111" t="n">
        <x:f>--AND(FY$3&gt;=EDATE($B$109,-'Вводные'!$E$91),FY$3&lt;$B$110,'Вводные'!$B$91="Да")</x:f>
      </x:c>
      <x:c r="FZ111" t="n">
        <x:f>--AND(FZ$3&gt;=EDATE($B$109,-'Вводные'!$E$91),FZ$3&lt;$B$110,'Вводные'!$B$91="Да")</x:f>
      </x:c>
      <x:c r="GA111" t="n">
        <x:f>--AND(GA$3&gt;=EDATE($B$109,-'Вводные'!$E$91),GA$3&lt;$B$110,'Вводные'!$B$91="Да")</x:f>
      </x:c>
    </x:row>
    <x:row r="112">
      <x:c r="A112" t="str">
        <x:v>Нормированный вес проекта</x:v>
      </x:c>
      <x:c r="B112"/>
      <x:c r="C112" t="str">
        <x:v>%</x:v>
      </x:c>
      <x:c r="D112" s="35" t="n">
        <x:f>IFERROR(D111/SUM($D111:$GA111),0)</x:f>
      </x:c>
      <x:c r="E112" s="35" t="n">
        <x:f>IFERROR(E111/SUM($D111:$GA111),0)</x:f>
      </x:c>
      <x:c r="F112" s="35" t="n">
        <x:f>IFERROR(F111/SUM($D111:$GA111),0)</x:f>
      </x:c>
      <x:c r="G112" s="35" t="n">
        <x:f>IFERROR(G111/SUM($D111:$GA111),0)</x:f>
      </x:c>
      <x:c r="H112" s="35" t="n">
        <x:f>IFERROR(H111/SUM($D111:$GA111),0)</x:f>
      </x:c>
      <x:c r="I112" s="35" t="n">
        <x:f>IFERROR(I111/SUM($D111:$GA111),0)</x:f>
      </x:c>
      <x:c r="J112" s="35" t="n">
        <x:f>IFERROR(J111/SUM($D111:$GA111),0)</x:f>
      </x:c>
      <x:c r="K112" s="35" t="n">
        <x:f>IFERROR(K111/SUM($D111:$GA111),0)</x:f>
      </x:c>
      <x:c r="L112" s="35" t="n">
        <x:f>IFERROR(L111/SUM($D111:$GA111),0)</x:f>
      </x:c>
      <x:c r="M112" s="35" t="n">
        <x:f>IFERROR(M111/SUM($D111:$GA111),0)</x:f>
      </x:c>
      <x:c r="N112" s="35" t="n">
        <x:f>IFERROR(N111/SUM($D111:$GA111),0)</x:f>
      </x:c>
      <x:c r="O112" s="35" t="n">
        <x:f>IFERROR(O111/SUM($D111:$GA111),0)</x:f>
      </x:c>
      <x:c r="P112" s="35" t="n">
        <x:f>IFERROR(P111/SUM($D111:$GA111),0)</x:f>
      </x:c>
      <x:c r="Q112" s="35" t="n">
        <x:f>IFERROR(Q111/SUM($D111:$GA111),0)</x:f>
      </x:c>
      <x:c r="R112" s="35" t="n">
        <x:f>IFERROR(R111/SUM($D111:$GA111),0)</x:f>
      </x:c>
      <x:c r="S112" s="35" t="n">
        <x:f>IFERROR(S111/SUM($D111:$GA111),0)</x:f>
      </x:c>
      <x:c r="T112" s="35" t="n">
        <x:f>IFERROR(T111/SUM($D111:$GA111),0)</x:f>
      </x:c>
      <x:c r="U112" s="35" t="n">
        <x:f>IFERROR(U111/SUM($D111:$GA111),0)</x:f>
      </x:c>
      <x:c r="V112" s="35" t="n">
        <x:f>IFERROR(V111/SUM($D111:$GA111),0)</x:f>
      </x:c>
      <x:c r="W112" s="35" t="n">
        <x:f>IFERROR(W111/SUM($D111:$GA111),0)</x:f>
      </x:c>
      <x:c r="X112" s="35" t="n">
        <x:f>IFERROR(X111/SUM($D111:$GA111),0)</x:f>
      </x:c>
      <x:c r="Y112" s="35" t="n">
        <x:f>IFERROR(Y111/SUM($D111:$GA111),0)</x:f>
      </x:c>
      <x:c r="Z112" s="35" t="n">
        <x:f>IFERROR(Z111/SUM($D111:$GA111),0)</x:f>
      </x:c>
      <x:c r="AA112" s="35" t="n">
        <x:f>IFERROR(AA111/SUM($D111:$GA111),0)</x:f>
      </x:c>
      <x:c r="AB112" s="35" t="n">
        <x:f>IFERROR(AB111/SUM($D111:$GA111),0)</x:f>
      </x:c>
      <x:c r="AC112" s="35" t="n">
        <x:f>IFERROR(AC111/SUM($D111:$GA111),0)</x:f>
      </x:c>
      <x:c r="AD112" s="35" t="n">
        <x:f>IFERROR(AD111/SUM($D111:$GA111),0)</x:f>
      </x:c>
      <x:c r="AE112" s="35" t="n">
        <x:f>IFERROR(AE111/SUM($D111:$GA111),0)</x:f>
      </x:c>
      <x:c r="AF112" s="35" t="n">
        <x:f>IFERROR(AF111/SUM($D111:$GA111),0)</x:f>
      </x:c>
      <x:c r="AG112" s="35" t="n">
        <x:f>IFERROR(AG111/SUM($D111:$GA111),0)</x:f>
      </x:c>
      <x:c r="AH112" s="35" t="n">
        <x:f>IFERROR(AH111/SUM($D111:$GA111),0)</x:f>
      </x:c>
      <x:c r="AI112" s="35" t="n">
        <x:f>IFERROR(AI111/SUM($D111:$GA111),0)</x:f>
      </x:c>
      <x:c r="AJ112" s="35" t="n">
        <x:f>IFERROR(AJ111/SUM($D111:$GA111),0)</x:f>
      </x:c>
      <x:c r="AK112" s="35" t="n">
        <x:f>IFERROR(AK111/SUM($D111:$GA111),0)</x:f>
      </x:c>
      <x:c r="AL112" s="35" t="n">
        <x:f>IFERROR(AL111/SUM($D111:$GA111),0)</x:f>
      </x:c>
      <x:c r="AM112" s="35" t="n">
        <x:f>IFERROR(AM111/SUM($D111:$GA111),0)</x:f>
      </x:c>
      <x:c r="AN112" s="35" t="n">
        <x:f>IFERROR(AN111/SUM($D111:$GA111),0)</x:f>
      </x:c>
      <x:c r="AO112" s="35" t="n">
        <x:f>IFERROR(AO111/SUM($D111:$GA111),0)</x:f>
      </x:c>
      <x:c r="AP112" s="35" t="n">
        <x:f>IFERROR(AP111/SUM($D111:$GA111),0)</x:f>
      </x:c>
      <x:c r="AQ112" s="35" t="n">
        <x:f>IFERROR(AQ111/SUM($D111:$GA111),0)</x:f>
      </x:c>
      <x:c r="AR112" s="35" t="n">
        <x:f>IFERROR(AR111/SUM($D111:$GA111),0)</x:f>
      </x:c>
      <x:c r="AS112" s="35" t="n">
        <x:f>IFERROR(AS111/SUM($D111:$GA111),0)</x:f>
      </x:c>
      <x:c r="AT112" s="35" t="n">
        <x:f>IFERROR(AT111/SUM($D111:$GA111),0)</x:f>
      </x:c>
      <x:c r="AU112" s="35" t="n">
        <x:f>IFERROR(AU111/SUM($D111:$GA111),0)</x:f>
      </x:c>
      <x:c r="AV112" s="35" t="n">
        <x:f>IFERROR(AV111/SUM($D111:$GA111),0)</x:f>
      </x:c>
      <x:c r="AW112" s="35" t="n">
        <x:f>IFERROR(AW111/SUM($D111:$GA111),0)</x:f>
      </x:c>
      <x:c r="AX112" s="35" t="n">
        <x:f>IFERROR(AX111/SUM($D111:$GA111),0)</x:f>
      </x:c>
      <x:c r="AY112" s="35" t="n">
        <x:f>IFERROR(AY111/SUM($D111:$GA111),0)</x:f>
      </x:c>
      <x:c r="AZ112" s="35" t="n">
        <x:f>IFERROR(AZ111/SUM($D111:$GA111),0)</x:f>
      </x:c>
      <x:c r="BA112" s="35" t="n">
        <x:f>IFERROR(BA111/SUM($D111:$GA111),0)</x:f>
      </x:c>
      <x:c r="BB112" s="35" t="n">
        <x:f>IFERROR(BB111/SUM($D111:$GA111),0)</x:f>
      </x:c>
      <x:c r="BC112" s="35" t="n">
        <x:f>IFERROR(BC111/SUM($D111:$GA111),0)</x:f>
      </x:c>
      <x:c r="BD112" s="35" t="n">
        <x:f>IFERROR(BD111/SUM($D111:$GA111),0)</x:f>
      </x:c>
      <x:c r="BE112" s="35" t="n">
        <x:f>IFERROR(BE111/SUM($D111:$GA111),0)</x:f>
      </x:c>
      <x:c r="BF112" s="35" t="n">
        <x:f>IFERROR(BF111/SUM($D111:$GA111),0)</x:f>
      </x:c>
      <x:c r="BG112" s="35" t="n">
        <x:f>IFERROR(BG111/SUM($D111:$GA111),0)</x:f>
      </x:c>
      <x:c r="BH112" s="35" t="n">
        <x:f>IFERROR(BH111/SUM($D111:$GA111),0)</x:f>
      </x:c>
      <x:c r="BI112" s="35" t="n">
        <x:f>IFERROR(BI111/SUM($D111:$GA111),0)</x:f>
      </x:c>
      <x:c r="BJ112" s="35" t="n">
        <x:f>IFERROR(BJ111/SUM($D111:$GA111),0)</x:f>
      </x:c>
      <x:c r="BK112" s="35" t="n">
        <x:f>IFERROR(BK111/SUM($D111:$GA111),0)</x:f>
      </x:c>
      <x:c r="BL112" s="35" t="n">
        <x:f>IFERROR(BL111/SUM($D111:$GA111),0)</x:f>
      </x:c>
      <x:c r="BM112" s="35" t="n">
        <x:f>IFERROR(BM111/SUM($D111:$GA111),0)</x:f>
      </x:c>
      <x:c r="BN112" s="35" t="n">
        <x:f>IFERROR(BN111/SUM($D111:$GA111),0)</x:f>
      </x:c>
      <x:c r="BO112" s="35" t="n">
        <x:f>IFERROR(BO111/SUM($D111:$GA111),0)</x:f>
      </x:c>
      <x:c r="BP112" s="35" t="n">
        <x:f>IFERROR(BP111/SUM($D111:$GA111),0)</x:f>
      </x:c>
      <x:c r="BQ112" s="35" t="n">
        <x:f>IFERROR(BQ111/SUM($D111:$GA111),0)</x:f>
      </x:c>
      <x:c r="BR112" s="35" t="n">
        <x:f>IFERROR(BR111/SUM($D111:$GA111),0)</x:f>
      </x:c>
      <x:c r="BS112" s="35" t="n">
        <x:f>IFERROR(BS111/SUM($D111:$GA111),0)</x:f>
      </x:c>
      <x:c r="BT112" s="35" t="n">
        <x:f>IFERROR(BT111/SUM($D111:$GA111),0)</x:f>
      </x:c>
      <x:c r="BU112" s="35" t="n">
        <x:f>IFERROR(BU111/SUM($D111:$GA111),0)</x:f>
      </x:c>
      <x:c r="BV112" s="35" t="n">
        <x:f>IFERROR(BV111/SUM($D111:$GA111),0)</x:f>
      </x:c>
      <x:c r="BW112" s="35" t="n">
        <x:f>IFERROR(BW111/SUM($D111:$GA111),0)</x:f>
      </x:c>
      <x:c r="BX112" s="35" t="n">
        <x:f>IFERROR(BX111/SUM($D111:$GA111),0)</x:f>
      </x:c>
      <x:c r="BY112" s="35" t="n">
        <x:f>IFERROR(BY111/SUM($D111:$GA111),0)</x:f>
      </x:c>
      <x:c r="BZ112" s="35" t="n">
        <x:f>IFERROR(BZ111/SUM($D111:$GA111),0)</x:f>
      </x:c>
      <x:c r="CA112" s="35" t="n">
        <x:f>IFERROR(CA111/SUM($D111:$GA111),0)</x:f>
      </x:c>
      <x:c r="CB112" s="35" t="n">
        <x:f>IFERROR(CB111/SUM($D111:$GA111),0)</x:f>
      </x:c>
      <x:c r="CC112" s="35" t="n">
        <x:f>IFERROR(CC111/SUM($D111:$GA111),0)</x:f>
      </x:c>
      <x:c r="CD112" s="35" t="n">
        <x:f>IFERROR(CD111/SUM($D111:$GA111),0)</x:f>
      </x:c>
      <x:c r="CE112" s="35" t="n">
        <x:f>IFERROR(CE111/SUM($D111:$GA111),0)</x:f>
      </x:c>
      <x:c r="CF112" s="35" t="n">
        <x:f>IFERROR(CF111/SUM($D111:$GA111),0)</x:f>
      </x:c>
      <x:c r="CG112" s="35" t="n">
        <x:f>IFERROR(CG111/SUM($D111:$GA111),0)</x:f>
      </x:c>
      <x:c r="CH112" s="35" t="n">
        <x:f>IFERROR(CH111/SUM($D111:$GA111),0)</x:f>
      </x:c>
      <x:c r="CI112" s="35" t="n">
        <x:f>IFERROR(CI111/SUM($D111:$GA111),0)</x:f>
      </x:c>
      <x:c r="CJ112" s="35" t="n">
        <x:f>IFERROR(CJ111/SUM($D111:$GA111),0)</x:f>
      </x:c>
      <x:c r="CK112" s="35" t="n">
        <x:f>IFERROR(CK111/SUM($D111:$GA111),0)</x:f>
      </x:c>
      <x:c r="CL112" s="35" t="n">
        <x:f>IFERROR(CL111/SUM($D111:$GA111),0)</x:f>
      </x:c>
      <x:c r="CM112" s="35" t="n">
        <x:f>IFERROR(CM111/SUM($D111:$GA111),0)</x:f>
      </x:c>
      <x:c r="CN112" s="35" t="n">
        <x:f>IFERROR(CN111/SUM($D111:$GA111),0)</x:f>
      </x:c>
      <x:c r="CO112" s="35" t="n">
        <x:f>IFERROR(CO111/SUM($D111:$GA111),0)</x:f>
      </x:c>
      <x:c r="CP112" s="35" t="n">
        <x:f>IFERROR(CP111/SUM($D111:$GA111),0)</x:f>
      </x:c>
      <x:c r="CQ112" s="35" t="n">
        <x:f>IFERROR(CQ111/SUM($D111:$GA111),0)</x:f>
      </x:c>
      <x:c r="CR112" s="35" t="n">
        <x:f>IFERROR(CR111/SUM($D111:$GA111),0)</x:f>
      </x:c>
      <x:c r="CS112" s="35" t="n">
        <x:f>IFERROR(CS111/SUM($D111:$GA111),0)</x:f>
      </x:c>
      <x:c r="CT112" s="35" t="n">
        <x:f>IFERROR(CT111/SUM($D111:$GA111),0)</x:f>
      </x:c>
      <x:c r="CU112" s="35" t="n">
        <x:f>IFERROR(CU111/SUM($D111:$GA111),0)</x:f>
      </x:c>
      <x:c r="CV112" s="35" t="n">
        <x:f>IFERROR(CV111/SUM($D111:$GA111),0)</x:f>
      </x:c>
      <x:c r="CW112" s="35" t="n">
        <x:f>IFERROR(CW111/SUM($D111:$GA111),0)</x:f>
      </x:c>
      <x:c r="CX112" s="35" t="n">
        <x:f>IFERROR(CX111/SUM($D111:$GA111),0)</x:f>
      </x:c>
      <x:c r="CY112" s="35" t="n">
        <x:f>IFERROR(CY111/SUM($D111:$GA111),0)</x:f>
      </x:c>
      <x:c r="CZ112" s="35" t="n">
        <x:f>IFERROR(CZ111/SUM($D111:$GA111),0)</x:f>
      </x:c>
      <x:c r="DA112" s="35" t="n">
        <x:f>IFERROR(DA111/SUM($D111:$GA111),0)</x:f>
      </x:c>
      <x:c r="DB112" s="35" t="n">
        <x:f>IFERROR(DB111/SUM($D111:$GA111),0)</x:f>
      </x:c>
      <x:c r="DC112" s="35" t="n">
        <x:f>IFERROR(DC111/SUM($D111:$GA111),0)</x:f>
      </x:c>
      <x:c r="DD112" s="35" t="n">
        <x:f>IFERROR(DD111/SUM($D111:$GA111),0)</x:f>
      </x:c>
      <x:c r="DE112" s="35" t="n">
        <x:f>IFERROR(DE111/SUM($D111:$GA111),0)</x:f>
      </x:c>
      <x:c r="DF112" s="35" t="n">
        <x:f>IFERROR(DF111/SUM($D111:$GA111),0)</x:f>
      </x:c>
      <x:c r="DG112" s="35" t="n">
        <x:f>IFERROR(DG111/SUM($D111:$GA111),0)</x:f>
      </x:c>
      <x:c r="DH112" s="35" t="n">
        <x:f>IFERROR(DH111/SUM($D111:$GA111),0)</x:f>
      </x:c>
      <x:c r="DI112" s="35" t="n">
        <x:f>IFERROR(DI111/SUM($D111:$GA111),0)</x:f>
      </x:c>
      <x:c r="DJ112" s="35" t="n">
        <x:f>IFERROR(DJ111/SUM($D111:$GA111),0)</x:f>
      </x:c>
      <x:c r="DK112" s="35" t="n">
        <x:f>IFERROR(DK111/SUM($D111:$GA111),0)</x:f>
      </x:c>
      <x:c r="DL112" s="35" t="n">
        <x:f>IFERROR(DL111/SUM($D111:$GA111),0)</x:f>
      </x:c>
      <x:c r="DM112" s="35" t="n">
        <x:f>IFERROR(DM111/SUM($D111:$GA111),0)</x:f>
      </x:c>
      <x:c r="DN112" s="35" t="n">
        <x:f>IFERROR(DN111/SUM($D111:$GA111),0)</x:f>
      </x:c>
      <x:c r="DO112" s="35" t="n">
        <x:f>IFERROR(DO111/SUM($D111:$GA111),0)</x:f>
      </x:c>
      <x:c r="DP112" s="35" t="n">
        <x:f>IFERROR(DP111/SUM($D111:$GA111),0)</x:f>
      </x:c>
      <x:c r="DQ112" s="35" t="n">
        <x:f>IFERROR(DQ111/SUM($D111:$GA111),0)</x:f>
      </x:c>
      <x:c r="DR112" s="35" t="n">
        <x:f>IFERROR(DR111/SUM($D111:$GA111),0)</x:f>
      </x:c>
      <x:c r="DS112" s="35" t="n">
        <x:f>IFERROR(DS111/SUM($D111:$GA111),0)</x:f>
      </x:c>
      <x:c r="DT112" s="35" t="n">
        <x:f>IFERROR(DT111/SUM($D111:$GA111),0)</x:f>
      </x:c>
      <x:c r="DU112" s="35" t="n">
        <x:f>IFERROR(DU111/SUM($D111:$GA111),0)</x:f>
      </x:c>
      <x:c r="DV112" s="35" t="n">
        <x:f>IFERROR(DV111/SUM($D111:$GA111),0)</x:f>
      </x:c>
      <x:c r="DW112" s="35" t="n">
        <x:f>IFERROR(DW111/SUM($D111:$GA111),0)</x:f>
      </x:c>
      <x:c r="DX112" s="35" t="n">
        <x:f>IFERROR(DX111/SUM($D111:$GA111),0)</x:f>
      </x:c>
      <x:c r="DY112" s="35" t="n">
        <x:f>IFERROR(DY111/SUM($D111:$GA111),0)</x:f>
      </x:c>
      <x:c r="DZ112" s="35" t="n">
        <x:f>IFERROR(DZ111/SUM($D111:$GA111),0)</x:f>
      </x:c>
      <x:c r="EA112" s="35" t="n">
        <x:f>IFERROR(EA111/SUM($D111:$GA111),0)</x:f>
      </x:c>
      <x:c r="EB112" s="35" t="n">
        <x:f>IFERROR(EB111/SUM($D111:$GA111),0)</x:f>
      </x:c>
      <x:c r="EC112" s="35" t="n">
        <x:f>IFERROR(EC111/SUM($D111:$GA111),0)</x:f>
      </x:c>
      <x:c r="ED112" s="35" t="n">
        <x:f>IFERROR(ED111/SUM($D111:$GA111),0)</x:f>
      </x:c>
      <x:c r="EE112" s="35" t="n">
        <x:f>IFERROR(EE111/SUM($D111:$GA111),0)</x:f>
      </x:c>
      <x:c r="EF112" s="35" t="n">
        <x:f>IFERROR(EF111/SUM($D111:$GA111),0)</x:f>
      </x:c>
      <x:c r="EG112" s="35" t="n">
        <x:f>IFERROR(EG111/SUM($D111:$GA111),0)</x:f>
      </x:c>
      <x:c r="EH112" s="35" t="n">
        <x:f>IFERROR(EH111/SUM($D111:$GA111),0)</x:f>
      </x:c>
      <x:c r="EI112" s="35" t="n">
        <x:f>IFERROR(EI111/SUM($D111:$GA111),0)</x:f>
      </x:c>
      <x:c r="EJ112" s="35" t="n">
        <x:f>IFERROR(EJ111/SUM($D111:$GA111),0)</x:f>
      </x:c>
      <x:c r="EK112" s="35" t="n">
        <x:f>IFERROR(EK111/SUM($D111:$GA111),0)</x:f>
      </x:c>
      <x:c r="EL112" s="35" t="n">
        <x:f>IFERROR(EL111/SUM($D111:$GA111),0)</x:f>
      </x:c>
      <x:c r="EM112" s="35" t="n">
        <x:f>IFERROR(EM111/SUM($D111:$GA111),0)</x:f>
      </x:c>
      <x:c r="EN112" s="35" t="n">
        <x:f>IFERROR(EN111/SUM($D111:$GA111),0)</x:f>
      </x:c>
      <x:c r="EO112" s="35" t="n">
        <x:f>IFERROR(EO111/SUM($D111:$GA111),0)</x:f>
      </x:c>
      <x:c r="EP112" s="35" t="n">
        <x:f>IFERROR(EP111/SUM($D111:$GA111),0)</x:f>
      </x:c>
      <x:c r="EQ112" s="35" t="n">
        <x:f>IFERROR(EQ111/SUM($D111:$GA111),0)</x:f>
      </x:c>
      <x:c r="ER112" s="35" t="n">
        <x:f>IFERROR(ER111/SUM($D111:$GA111),0)</x:f>
      </x:c>
      <x:c r="ES112" s="35" t="n">
        <x:f>IFERROR(ES111/SUM($D111:$GA111),0)</x:f>
      </x:c>
      <x:c r="ET112" s="35" t="n">
        <x:f>IFERROR(ET111/SUM($D111:$GA111),0)</x:f>
      </x:c>
      <x:c r="EU112" s="35" t="n">
        <x:f>IFERROR(EU111/SUM($D111:$GA111),0)</x:f>
      </x:c>
      <x:c r="EV112" s="35" t="n">
        <x:f>IFERROR(EV111/SUM($D111:$GA111),0)</x:f>
      </x:c>
      <x:c r="EW112" s="35" t="n">
        <x:f>IFERROR(EW111/SUM($D111:$GA111),0)</x:f>
      </x:c>
      <x:c r="EX112" s="35" t="n">
        <x:f>IFERROR(EX111/SUM($D111:$GA111),0)</x:f>
      </x:c>
      <x:c r="EY112" s="35" t="n">
        <x:f>IFERROR(EY111/SUM($D111:$GA111),0)</x:f>
      </x:c>
      <x:c r="EZ112" s="35" t="n">
        <x:f>IFERROR(EZ111/SUM($D111:$GA111),0)</x:f>
      </x:c>
      <x:c r="FA112" s="35" t="n">
        <x:f>IFERROR(FA111/SUM($D111:$GA111),0)</x:f>
      </x:c>
      <x:c r="FB112" s="35" t="n">
        <x:f>IFERROR(FB111/SUM($D111:$GA111),0)</x:f>
      </x:c>
      <x:c r="FC112" s="35" t="n">
        <x:f>IFERROR(FC111/SUM($D111:$GA111),0)</x:f>
      </x:c>
      <x:c r="FD112" s="35" t="n">
        <x:f>IFERROR(FD111/SUM($D111:$GA111),0)</x:f>
      </x:c>
      <x:c r="FE112" s="35" t="n">
        <x:f>IFERROR(FE111/SUM($D111:$GA111),0)</x:f>
      </x:c>
      <x:c r="FF112" s="35" t="n">
        <x:f>IFERROR(FF111/SUM($D111:$GA111),0)</x:f>
      </x:c>
      <x:c r="FG112" s="35" t="n">
        <x:f>IFERROR(FG111/SUM($D111:$GA111),0)</x:f>
      </x:c>
      <x:c r="FH112" s="35" t="n">
        <x:f>IFERROR(FH111/SUM($D111:$GA111),0)</x:f>
      </x:c>
      <x:c r="FI112" s="35" t="n">
        <x:f>IFERROR(FI111/SUM($D111:$GA111),0)</x:f>
      </x:c>
      <x:c r="FJ112" s="35" t="n">
        <x:f>IFERROR(FJ111/SUM($D111:$GA111),0)</x:f>
      </x:c>
      <x:c r="FK112" s="35" t="n">
        <x:f>IFERROR(FK111/SUM($D111:$GA111),0)</x:f>
      </x:c>
      <x:c r="FL112" s="35" t="n">
        <x:f>IFERROR(FL111/SUM($D111:$GA111),0)</x:f>
      </x:c>
      <x:c r="FM112" s="35" t="n">
        <x:f>IFERROR(FM111/SUM($D111:$GA111),0)</x:f>
      </x:c>
      <x:c r="FN112" s="35" t="n">
        <x:f>IFERROR(FN111/SUM($D111:$GA111),0)</x:f>
      </x:c>
      <x:c r="FO112" s="35" t="n">
        <x:f>IFERROR(FO111/SUM($D111:$GA111),0)</x:f>
      </x:c>
      <x:c r="FP112" s="35" t="n">
        <x:f>IFERROR(FP111/SUM($D111:$GA111),0)</x:f>
      </x:c>
      <x:c r="FQ112" s="35" t="n">
        <x:f>IFERROR(FQ111/SUM($D111:$GA111),0)</x:f>
      </x:c>
      <x:c r="FR112" s="35" t="n">
        <x:f>IFERROR(FR111/SUM($D111:$GA111),0)</x:f>
      </x:c>
      <x:c r="FS112" s="35" t="n">
        <x:f>IFERROR(FS111/SUM($D111:$GA111),0)</x:f>
      </x:c>
      <x:c r="FT112" s="35" t="n">
        <x:f>IFERROR(FT111/SUM($D111:$GA111),0)</x:f>
      </x:c>
      <x:c r="FU112" s="35" t="n">
        <x:f>IFERROR(FU111/SUM($D111:$GA111),0)</x:f>
      </x:c>
      <x:c r="FV112" s="35" t="n">
        <x:f>IFERROR(FV111/SUM($D111:$GA111),0)</x:f>
      </x:c>
      <x:c r="FW112" s="35" t="n">
        <x:f>IFERROR(FW111/SUM($D111:$GA111),0)</x:f>
      </x:c>
      <x:c r="FX112" s="35" t="n">
        <x:f>IFERROR(FX111/SUM($D111:$GA111),0)</x:f>
      </x:c>
      <x:c r="FY112" s="35" t="n">
        <x:f>IFERROR(FY111/SUM($D111:$GA111),0)</x:f>
      </x:c>
      <x:c r="FZ112" s="35" t="n">
        <x:f>IFERROR(FZ111/SUM($D111:$GA111),0)</x:f>
      </x:c>
      <x:c r="GA112" s="35" t="n">
        <x:f>IFERROR(GA111/SUM($D111:$GA111),0)</x:f>
      </x:c>
    </x:row>
    <x:row r="113">
      <x:c r="A113" t="str">
        <x:v>Флаг строительства</x:v>
      </x:c>
      <x:c r="B113"/>
      <x:c r="C113" t="str">
        <x:v>0/1</x:v>
      </x:c>
      <x:c r="D113" s="35" t="n">
        <x:f>--AND(D$3&gt;=$B$109,D$3&lt;$B$110,'Вводные'!$B$91="Да")</x:f>
      </x:c>
      <x:c r="E113" s="35" t="n">
        <x:f>--AND(E$3&gt;=$B$109,E$3&lt;$B$110,'Вводные'!$B$91="Да")</x:f>
      </x:c>
      <x:c r="F113" s="35" t="n">
        <x:f>--AND(F$3&gt;=$B$109,F$3&lt;$B$110,'Вводные'!$B$91="Да")</x:f>
      </x:c>
      <x:c r="G113" s="35" t="n">
        <x:f>--AND(G$3&gt;=$B$109,G$3&lt;$B$110,'Вводные'!$B$91="Да")</x:f>
      </x:c>
      <x:c r="H113" s="35" t="n">
        <x:f>--AND(H$3&gt;=$B$109,H$3&lt;$B$110,'Вводные'!$B$91="Да")</x:f>
      </x:c>
      <x:c r="I113" s="35" t="n">
        <x:f>--AND(I$3&gt;=$B$109,I$3&lt;$B$110,'Вводные'!$B$91="Да")</x:f>
      </x:c>
      <x:c r="J113" s="35" t="n">
        <x:f>--AND(J$3&gt;=$B$109,J$3&lt;$B$110,'Вводные'!$B$91="Да")</x:f>
      </x:c>
      <x:c r="K113" s="35" t="n">
        <x:f>--AND(K$3&gt;=$B$109,K$3&lt;$B$110,'Вводные'!$B$91="Да")</x:f>
      </x:c>
      <x:c r="L113" s="35" t="n">
        <x:f>--AND(L$3&gt;=$B$109,L$3&lt;$B$110,'Вводные'!$B$91="Да")</x:f>
      </x:c>
      <x:c r="M113" s="35" t="n">
        <x:f>--AND(M$3&gt;=$B$109,M$3&lt;$B$110,'Вводные'!$B$91="Да")</x:f>
      </x:c>
      <x:c r="N113" s="35" t="n">
        <x:f>--AND(N$3&gt;=$B$109,N$3&lt;$B$110,'Вводные'!$B$91="Да")</x:f>
      </x:c>
      <x:c r="O113" s="35" t="n">
        <x:f>--AND(O$3&gt;=$B$109,O$3&lt;$B$110,'Вводные'!$B$91="Да")</x:f>
      </x:c>
      <x:c r="P113" s="35" t="n">
        <x:f>--AND(P$3&gt;=$B$109,P$3&lt;$B$110,'Вводные'!$B$91="Да")</x:f>
      </x:c>
      <x:c r="Q113" s="35" t="n">
        <x:f>--AND(Q$3&gt;=$B$109,Q$3&lt;$B$110,'Вводные'!$B$91="Да")</x:f>
      </x:c>
      <x:c r="R113" s="35" t="n">
        <x:f>--AND(R$3&gt;=$B$109,R$3&lt;$B$110,'Вводные'!$B$91="Да")</x:f>
      </x:c>
      <x:c r="S113" s="35" t="n">
        <x:f>--AND(S$3&gt;=$B$109,S$3&lt;$B$110,'Вводные'!$B$91="Да")</x:f>
      </x:c>
      <x:c r="T113" s="35" t="n">
        <x:f>--AND(T$3&gt;=$B$109,T$3&lt;$B$110,'Вводные'!$B$91="Да")</x:f>
      </x:c>
      <x:c r="U113" s="35" t="n">
        <x:f>--AND(U$3&gt;=$B$109,U$3&lt;$B$110,'Вводные'!$B$91="Да")</x:f>
      </x:c>
      <x:c r="V113" s="35" t="n">
        <x:f>--AND(V$3&gt;=$B$109,V$3&lt;$B$110,'Вводные'!$B$91="Да")</x:f>
      </x:c>
      <x:c r="W113" s="35" t="n">
        <x:f>--AND(W$3&gt;=$B$109,W$3&lt;$B$110,'Вводные'!$B$91="Да")</x:f>
      </x:c>
      <x:c r="X113" s="35" t="n">
        <x:f>--AND(X$3&gt;=$B$109,X$3&lt;$B$110,'Вводные'!$B$91="Да")</x:f>
      </x:c>
      <x:c r="Y113" s="35" t="n">
        <x:f>--AND(Y$3&gt;=$B$109,Y$3&lt;$B$110,'Вводные'!$B$91="Да")</x:f>
      </x:c>
      <x:c r="Z113" s="35" t="n">
        <x:f>--AND(Z$3&gt;=$B$109,Z$3&lt;$B$110,'Вводные'!$B$91="Да")</x:f>
      </x:c>
      <x:c r="AA113" s="35" t="n">
        <x:f>--AND(AA$3&gt;=$B$109,AA$3&lt;$B$110,'Вводные'!$B$91="Да")</x:f>
      </x:c>
      <x:c r="AB113" s="35" t="n">
        <x:f>--AND(AB$3&gt;=$B$109,AB$3&lt;$B$110,'Вводные'!$B$91="Да")</x:f>
      </x:c>
      <x:c r="AC113" s="35" t="n">
        <x:f>--AND(AC$3&gt;=$B$109,AC$3&lt;$B$110,'Вводные'!$B$91="Да")</x:f>
      </x:c>
      <x:c r="AD113" s="35" t="n">
        <x:f>--AND(AD$3&gt;=$B$109,AD$3&lt;$B$110,'Вводные'!$B$91="Да")</x:f>
      </x:c>
      <x:c r="AE113" s="35" t="n">
        <x:f>--AND(AE$3&gt;=$B$109,AE$3&lt;$B$110,'Вводные'!$B$91="Да")</x:f>
      </x:c>
      <x:c r="AF113" s="35" t="n">
        <x:f>--AND(AF$3&gt;=$B$109,AF$3&lt;$B$110,'Вводные'!$B$91="Да")</x:f>
      </x:c>
      <x:c r="AG113" s="35" t="n">
        <x:f>--AND(AG$3&gt;=$B$109,AG$3&lt;$B$110,'Вводные'!$B$91="Да")</x:f>
      </x:c>
      <x:c r="AH113" s="35" t="n">
        <x:f>--AND(AH$3&gt;=$B$109,AH$3&lt;$B$110,'Вводные'!$B$91="Да")</x:f>
      </x:c>
      <x:c r="AI113" s="35" t="n">
        <x:f>--AND(AI$3&gt;=$B$109,AI$3&lt;$B$110,'Вводные'!$B$91="Да")</x:f>
      </x:c>
      <x:c r="AJ113" s="35" t="n">
        <x:f>--AND(AJ$3&gt;=$B$109,AJ$3&lt;$B$110,'Вводные'!$B$91="Да")</x:f>
      </x:c>
      <x:c r="AK113" s="35" t="n">
        <x:f>--AND(AK$3&gt;=$B$109,AK$3&lt;$B$110,'Вводные'!$B$91="Да")</x:f>
      </x:c>
      <x:c r="AL113" s="35" t="n">
        <x:f>--AND(AL$3&gt;=$B$109,AL$3&lt;$B$110,'Вводные'!$B$91="Да")</x:f>
      </x:c>
      <x:c r="AM113" s="35" t="n">
        <x:f>--AND(AM$3&gt;=$B$109,AM$3&lt;$B$110,'Вводные'!$B$91="Да")</x:f>
      </x:c>
      <x:c r="AN113" s="35" t="n">
        <x:f>--AND(AN$3&gt;=$B$109,AN$3&lt;$B$110,'Вводные'!$B$91="Да")</x:f>
      </x:c>
      <x:c r="AO113" s="35" t="n">
        <x:f>--AND(AO$3&gt;=$B$109,AO$3&lt;$B$110,'Вводные'!$B$91="Да")</x:f>
      </x:c>
      <x:c r="AP113" s="35" t="n">
        <x:f>--AND(AP$3&gt;=$B$109,AP$3&lt;$B$110,'Вводные'!$B$91="Да")</x:f>
      </x:c>
      <x:c r="AQ113" s="35" t="n">
        <x:f>--AND(AQ$3&gt;=$B$109,AQ$3&lt;$B$110,'Вводные'!$B$91="Да")</x:f>
      </x:c>
      <x:c r="AR113" s="35" t="n">
        <x:f>--AND(AR$3&gt;=$B$109,AR$3&lt;$B$110,'Вводные'!$B$91="Да")</x:f>
      </x:c>
      <x:c r="AS113" s="35" t="n">
        <x:f>--AND(AS$3&gt;=$B$109,AS$3&lt;$B$110,'Вводные'!$B$91="Да")</x:f>
      </x:c>
      <x:c r="AT113" s="35" t="n">
        <x:f>--AND(AT$3&gt;=$B$109,AT$3&lt;$B$110,'Вводные'!$B$91="Да")</x:f>
      </x:c>
      <x:c r="AU113" s="35" t="n">
        <x:f>--AND(AU$3&gt;=$B$109,AU$3&lt;$B$110,'Вводные'!$B$91="Да")</x:f>
      </x:c>
      <x:c r="AV113" s="35" t="n">
        <x:f>--AND(AV$3&gt;=$B$109,AV$3&lt;$B$110,'Вводные'!$B$91="Да")</x:f>
      </x:c>
      <x:c r="AW113" s="35" t="n">
        <x:f>--AND(AW$3&gt;=$B$109,AW$3&lt;$B$110,'Вводные'!$B$91="Да")</x:f>
      </x:c>
      <x:c r="AX113" s="35" t="n">
        <x:f>--AND(AX$3&gt;=$B$109,AX$3&lt;$B$110,'Вводные'!$B$91="Да")</x:f>
      </x:c>
      <x:c r="AY113" s="35" t="n">
        <x:f>--AND(AY$3&gt;=$B$109,AY$3&lt;$B$110,'Вводные'!$B$91="Да")</x:f>
      </x:c>
      <x:c r="AZ113" s="35" t="n">
        <x:f>--AND(AZ$3&gt;=$B$109,AZ$3&lt;$B$110,'Вводные'!$B$91="Да")</x:f>
      </x:c>
      <x:c r="BA113" s="35" t="n">
        <x:f>--AND(BA$3&gt;=$B$109,BA$3&lt;$B$110,'Вводные'!$B$91="Да")</x:f>
      </x:c>
      <x:c r="BB113" s="35" t="n">
        <x:f>--AND(BB$3&gt;=$B$109,BB$3&lt;$B$110,'Вводные'!$B$91="Да")</x:f>
      </x:c>
      <x:c r="BC113" s="35" t="n">
        <x:f>--AND(BC$3&gt;=$B$109,BC$3&lt;$B$110,'Вводные'!$B$91="Да")</x:f>
      </x:c>
      <x:c r="BD113" s="35" t="n">
        <x:f>--AND(BD$3&gt;=$B$109,BD$3&lt;$B$110,'Вводные'!$B$91="Да")</x:f>
      </x:c>
      <x:c r="BE113" s="35" t="n">
        <x:f>--AND(BE$3&gt;=$B$109,BE$3&lt;$B$110,'Вводные'!$B$91="Да")</x:f>
      </x:c>
      <x:c r="BF113" s="35" t="n">
        <x:f>--AND(BF$3&gt;=$B$109,BF$3&lt;$B$110,'Вводные'!$B$91="Да")</x:f>
      </x:c>
      <x:c r="BG113" s="35" t="n">
        <x:f>--AND(BG$3&gt;=$B$109,BG$3&lt;$B$110,'Вводные'!$B$91="Да")</x:f>
      </x:c>
      <x:c r="BH113" s="35" t="n">
        <x:f>--AND(BH$3&gt;=$B$109,BH$3&lt;$B$110,'Вводные'!$B$91="Да")</x:f>
      </x:c>
      <x:c r="BI113" s="35" t="n">
        <x:f>--AND(BI$3&gt;=$B$109,BI$3&lt;$B$110,'Вводные'!$B$91="Да")</x:f>
      </x:c>
      <x:c r="BJ113" s="35" t="n">
        <x:f>--AND(BJ$3&gt;=$B$109,BJ$3&lt;$B$110,'Вводные'!$B$91="Да")</x:f>
      </x:c>
      <x:c r="BK113" s="35" t="n">
        <x:f>--AND(BK$3&gt;=$B$109,BK$3&lt;$B$110,'Вводные'!$B$91="Да")</x:f>
      </x:c>
      <x:c r="BL113" s="35" t="n">
        <x:f>--AND(BL$3&gt;=$B$109,BL$3&lt;$B$110,'Вводные'!$B$91="Да")</x:f>
      </x:c>
      <x:c r="BM113" s="35" t="n">
        <x:f>--AND(BM$3&gt;=$B$109,BM$3&lt;$B$110,'Вводные'!$B$91="Да")</x:f>
      </x:c>
      <x:c r="BN113" s="35" t="n">
        <x:f>--AND(BN$3&gt;=$B$109,BN$3&lt;$B$110,'Вводные'!$B$91="Да")</x:f>
      </x:c>
      <x:c r="BO113" s="35" t="n">
        <x:f>--AND(BO$3&gt;=$B$109,BO$3&lt;$B$110,'Вводные'!$B$91="Да")</x:f>
      </x:c>
      <x:c r="BP113" s="35" t="n">
        <x:f>--AND(BP$3&gt;=$B$109,BP$3&lt;$B$110,'Вводные'!$B$91="Да")</x:f>
      </x:c>
      <x:c r="BQ113" s="35" t="n">
        <x:f>--AND(BQ$3&gt;=$B$109,BQ$3&lt;$B$110,'Вводные'!$B$91="Да")</x:f>
      </x:c>
      <x:c r="BR113" s="35" t="n">
        <x:f>--AND(BR$3&gt;=$B$109,BR$3&lt;$B$110,'Вводные'!$B$91="Да")</x:f>
      </x:c>
      <x:c r="BS113" s="35" t="n">
        <x:f>--AND(BS$3&gt;=$B$109,BS$3&lt;$B$110,'Вводные'!$B$91="Да")</x:f>
      </x:c>
      <x:c r="BT113" s="35" t="n">
        <x:f>--AND(BT$3&gt;=$B$109,BT$3&lt;$B$110,'Вводные'!$B$91="Да")</x:f>
      </x:c>
      <x:c r="BU113" s="35" t="n">
        <x:f>--AND(BU$3&gt;=$B$109,BU$3&lt;$B$110,'Вводные'!$B$91="Да")</x:f>
      </x:c>
      <x:c r="BV113" s="35" t="n">
        <x:f>--AND(BV$3&gt;=$B$109,BV$3&lt;$B$110,'Вводные'!$B$91="Да")</x:f>
      </x:c>
      <x:c r="BW113" s="35" t="n">
        <x:f>--AND(BW$3&gt;=$B$109,BW$3&lt;$B$110,'Вводные'!$B$91="Да")</x:f>
      </x:c>
      <x:c r="BX113" s="35" t="n">
        <x:f>--AND(BX$3&gt;=$B$109,BX$3&lt;$B$110,'Вводные'!$B$91="Да")</x:f>
      </x:c>
      <x:c r="BY113" s="35" t="n">
        <x:f>--AND(BY$3&gt;=$B$109,BY$3&lt;$B$110,'Вводные'!$B$91="Да")</x:f>
      </x:c>
      <x:c r="BZ113" s="35" t="n">
        <x:f>--AND(BZ$3&gt;=$B$109,BZ$3&lt;$B$110,'Вводные'!$B$91="Да")</x:f>
      </x:c>
      <x:c r="CA113" s="35" t="n">
        <x:f>--AND(CA$3&gt;=$B$109,CA$3&lt;$B$110,'Вводные'!$B$91="Да")</x:f>
      </x:c>
      <x:c r="CB113" s="35" t="n">
        <x:f>--AND(CB$3&gt;=$B$109,CB$3&lt;$B$110,'Вводные'!$B$91="Да")</x:f>
      </x:c>
      <x:c r="CC113" s="35" t="n">
        <x:f>--AND(CC$3&gt;=$B$109,CC$3&lt;$B$110,'Вводные'!$B$91="Да")</x:f>
      </x:c>
      <x:c r="CD113" s="35" t="n">
        <x:f>--AND(CD$3&gt;=$B$109,CD$3&lt;$B$110,'Вводные'!$B$91="Да")</x:f>
      </x:c>
      <x:c r="CE113" s="35" t="n">
        <x:f>--AND(CE$3&gt;=$B$109,CE$3&lt;$B$110,'Вводные'!$B$91="Да")</x:f>
      </x:c>
      <x:c r="CF113" s="35" t="n">
        <x:f>--AND(CF$3&gt;=$B$109,CF$3&lt;$B$110,'Вводные'!$B$91="Да")</x:f>
      </x:c>
      <x:c r="CG113" s="35" t="n">
        <x:f>--AND(CG$3&gt;=$B$109,CG$3&lt;$B$110,'Вводные'!$B$91="Да")</x:f>
      </x:c>
      <x:c r="CH113" s="35" t="n">
        <x:f>--AND(CH$3&gt;=$B$109,CH$3&lt;$B$110,'Вводные'!$B$91="Да")</x:f>
      </x:c>
      <x:c r="CI113" s="35" t="n">
        <x:f>--AND(CI$3&gt;=$B$109,CI$3&lt;$B$110,'Вводные'!$B$91="Да")</x:f>
      </x:c>
      <x:c r="CJ113" s="35" t="n">
        <x:f>--AND(CJ$3&gt;=$B$109,CJ$3&lt;$B$110,'Вводные'!$B$91="Да")</x:f>
      </x:c>
      <x:c r="CK113" s="35" t="n">
        <x:f>--AND(CK$3&gt;=$B$109,CK$3&lt;$B$110,'Вводные'!$B$91="Да")</x:f>
      </x:c>
      <x:c r="CL113" s="35" t="n">
        <x:f>--AND(CL$3&gt;=$B$109,CL$3&lt;$B$110,'Вводные'!$B$91="Да")</x:f>
      </x:c>
      <x:c r="CM113" s="35" t="n">
        <x:f>--AND(CM$3&gt;=$B$109,CM$3&lt;$B$110,'Вводные'!$B$91="Да")</x:f>
      </x:c>
      <x:c r="CN113" s="35" t="n">
        <x:f>--AND(CN$3&gt;=$B$109,CN$3&lt;$B$110,'Вводные'!$B$91="Да")</x:f>
      </x:c>
      <x:c r="CO113" s="35" t="n">
        <x:f>--AND(CO$3&gt;=$B$109,CO$3&lt;$B$110,'Вводные'!$B$91="Да")</x:f>
      </x:c>
      <x:c r="CP113" s="35" t="n">
        <x:f>--AND(CP$3&gt;=$B$109,CP$3&lt;$B$110,'Вводные'!$B$91="Да")</x:f>
      </x:c>
      <x:c r="CQ113" s="35" t="n">
        <x:f>--AND(CQ$3&gt;=$B$109,CQ$3&lt;$B$110,'Вводные'!$B$91="Да")</x:f>
      </x:c>
      <x:c r="CR113" s="35" t="n">
        <x:f>--AND(CR$3&gt;=$B$109,CR$3&lt;$B$110,'Вводные'!$B$91="Да")</x:f>
      </x:c>
      <x:c r="CS113" s="35" t="n">
        <x:f>--AND(CS$3&gt;=$B$109,CS$3&lt;$B$110,'Вводные'!$B$91="Да")</x:f>
      </x:c>
      <x:c r="CT113" s="35" t="n">
        <x:f>--AND(CT$3&gt;=$B$109,CT$3&lt;$B$110,'Вводные'!$B$91="Да")</x:f>
      </x:c>
      <x:c r="CU113" s="35" t="n">
        <x:f>--AND(CU$3&gt;=$B$109,CU$3&lt;$B$110,'Вводные'!$B$91="Да")</x:f>
      </x:c>
      <x:c r="CV113" s="35" t="n">
        <x:f>--AND(CV$3&gt;=$B$109,CV$3&lt;$B$110,'Вводные'!$B$91="Да")</x:f>
      </x:c>
      <x:c r="CW113" s="35" t="n">
        <x:f>--AND(CW$3&gt;=$B$109,CW$3&lt;$B$110,'Вводные'!$B$91="Да")</x:f>
      </x:c>
      <x:c r="CX113" s="35" t="n">
        <x:f>--AND(CX$3&gt;=$B$109,CX$3&lt;$B$110,'Вводные'!$B$91="Да")</x:f>
      </x:c>
      <x:c r="CY113" s="35" t="n">
        <x:f>--AND(CY$3&gt;=$B$109,CY$3&lt;$B$110,'Вводные'!$B$91="Да")</x:f>
      </x:c>
      <x:c r="CZ113" s="35" t="n">
        <x:f>--AND(CZ$3&gt;=$B$109,CZ$3&lt;$B$110,'Вводные'!$B$91="Да")</x:f>
      </x:c>
      <x:c r="DA113" s="35" t="n">
        <x:f>--AND(DA$3&gt;=$B$109,DA$3&lt;$B$110,'Вводные'!$B$91="Да")</x:f>
      </x:c>
      <x:c r="DB113" s="35" t="n">
        <x:f>--AND(DB$3&gt;=$B$109,DB$3&lt;$B$110,'Вводные'!$B$91="Да")</x:f>
      </x:c>
      <x:c r="DC113" s="35" t="n">
        <x:f>--AND(DC$3&gt;=$B$109,DC$3&lt;$B$110,'Вводные'!$B$91="Да")</x:f>
      </x:c>
      <x:c r="DD113" s="35" t="n">
        <x:f>--AND(DD$3&gt;=$B$109,DD$3&lt;$B$110,'Вводные'!$B$91="Да")</x:f>
      </x:c>
      <x:c r="DE113" s="35" t="n">
        <x:f>--AND(DE$3&gt;=$B$109,DE$3&lt;$B$110,'Вводные'!$B$91="Да")</x:f>
      </x:c>
      <x:c r="DF113" s="35" t="n">
        <x:f>--AND(DF$3&gt;=$B$109,DF$3&lt;$B$110,'Вводные'!$B$91="Да")</x:f>
      </x:c>
      <x:c r="DG113" s="35" t="n">
        <x:f>--AND(DG$3&gt;=$B$109,DG$3&lt;$B$110,'Вводные'!$B$91="Да")</x:f>
      </x:c>
      <x:c r="DH113" s="35" t="n">
        <x:f>--AND(DH$3&gt;=$B$109,DH$3&lt;$B$110,'Вводные'!$B$91="Да")</x:f>
      </x:c>
      <x:c r="DI113" s="35" t="n">
        <x:f>--AND(DI$3&gt;=$B$109,DI$3&lt;$B$110,'Вводные'!$B$91="Да")</x:f>
      </x:c>
      <x:c r="DJ113" s="35" t="n">
        <x:f>--AND(DJ$3&gt;=$B$109,DJ$3&lt;$B$110,'Вводные'!$B$91="Да")</x:f>
      </x:c>
      <x:c r="DK113" s="35" t="n">
        <x:f>--AND(DK$3&gt;=$B$109,DK$3&lt;$B$110,'Вводные'!$B$91="Да")</x:f>
      </x:c>
      <x:c r="DL113" s="35" t="n">
        <x:f>--AND(DL$3&gt;=$B$109,DL$3&lt;$B$110,'Вводные'!$B$91="Да")</x:f>
      </x:c>
      <x:c r="DM113" s="35" t="n">
        <x:f>--AND(DM$3&gt;=$B$109,DM$3&lt;$B$110,'Вводные'!$B$91="Да")</x:f>
      </x:c>
      <x:c r="DN113" s="35" t="n">
        <x:f>--AND(DN$3&gt;=$B$109,DN$3&lt;$B$110,'Вводные'!$B$91="Да")</x:f>
      </x:c>
      <x:c r="DO113" s="35" t="n">
        <x:f>--AND(DO$3&gt;=$B$109,DO$3&lt;$B$110,'Вводные'!$B$91="Да")</x:f>
      </x:c>
      <x:c r="DP113" s="35" t="n">
        <x:f>--AND(DP$3&gt;=$B$109,DP$3&lt;$B$110,'Вводные'!$B$91="Да")</x:f>
      </x:c>
      <x:c r="DQ113" s="35" t="n">
        <x:f>--AND(DQ$3&gt;=$B$109,DQ$3&lt;$B$110,'Вводные'!$B$91="Да")</x:f>
      </x:c>
      <x:c r="DR113" s="35" t="n">
        <x:f>--AND(DR$3&gt;=$B$109,DR$3&lt;$B$110,'Вводные'!$B$91="Да")</x:f>
      </x:c>
      <x:c r="DS113" s="35" t="n">
        <x:f>--AND(DS$3&gt;=$B$109,DS$3&lt;$B$110,'Вводные'!$B$91="Да")</x:f>
      </x:c>
      <x:c r="DT113" s="35" t="n">
        <x:f>--AND(DT$3&gt;=$B$109,DT$3&lt;$B$110,'Вводные'!$B$91="Да")</x:f>
      </x:c>
      <x:c r="DU113" s="35" t="n">
        <x:f>--AND(DU$3&gt;=$B$109,DU$3&lt;$B$110,'Вводные'!$B$91="Да")</x:f>
      </x:c>
      <x:c r="DV113" s="35" t="n">
        <x:f>--AND(DV$3&gt;=$B$109,DV$3&lt;$B$110,'Вводные'!$B$91="Да")</x:f>
      </x:c>
      <x:c r="DW113" s="35" t="n">
        <x:f>--AND(DW$3&gt;=$B$109,DW$3&lt;$B$110,'Вводные'!$B$91="Да")</x:f>
      </x:c>
      <x:c r="DX113" s="35" t="n">
        <x:f>--AND(DX$3&gt;=$B$109,DX$3&lt;$B$110,'Вводные'!$B$91="Да")</x:f>
      </x:c>
      <x:c r="DY113" s="35" t="n">
        <x:f>--AND(DY$3&gt;=$B$109,DY$3&lt;$B$110,'Вводные'!$B$91="Да")</x:f>
      </x:c>
      <x:c r="DZ113" s="35" t="n">
        <x:f>--AND(DZ$3&gt;=$B$109,DZ$3&lt;$B$110,'Вводные'!$B$91="Да")</x:f>
      </x:c>
      <x:c r="EA113" s="35" t="n">
        <x:f>--AND(EA$3&gt;=$B$109,EA$3&lt;$B$110,'Вводные'!$B$91="Да")</x:f>
      </x:c>
      <x:c r="EB113" s="35" t="n">
        <x:f>--AND(EB$3&gt;=$B$109,EB$3&lt;$B$110,'Вводные'!$B$91="Да")</x:f>
      </x:c>
      <x:c r="EC113" s="35" t="n">
        <x:f>--AND(EC$3&gt;=$B$109,EC$3&lt;$B$110,'Вводные'!$B$91="Да")</x:f>
      </x:c>
      <x:c r="ED113" s="35" t="n">
        <x:f>--AND(ED$3&gt;=$B$109,ED$3&lt;$B$110,'Вводные'!$B$91="Да")</x:f>
      </x:c>
      <x:c r="EE113" s="35" t="n">
        <x:f>--AND(EE$3&gt;=$B$109,EE$3&lt;$B$110,'Вводные'!$B$91="Да")</x:f>
      </x:c>
      <x:c r="EF113" s="35" t="n">
        <x:f>--AND(EF$3&gt;=$B$109,EF$3&lt;$B$110,'Вводные'!$B$91="Да")</x:f>
      </x:c>
      <x:c r="EG113" s="35" t="n">
        <x:f>--AND(EG$3&gt;=$B$109,EG$3&lt;$B$110,'Вводные'!$B$91="Да")</x:f>
      </x:c>
      <x:c r="EH113" s="35" t="n">
        <x:f>--AND(EH$3&gt;=$B$109,EH$3&lt;$B$110,'Вводные'!$B$91="Да")</x:f>
      </x:c>
      <x:c r="EI113" s="35" t="n">
        <x:f>--AND(EI$3&gt;=$B$109,EI$3&lt;$B$110,'Вводные'!$B$91="Да")</x:f>
      </x:c>
      <x:c r="EJ113" s="35" t="n">
        <x:f>--AND(EJ$3&gt;=$B$109,EJ$3&lt;$B$110,'Вводные'!$B$91="Да")</x:f>
      </x:c>
      <x:c r="EK113" s="35" t="n">
        <x:f>--AND(EK$3&gt;=$B$109,EK$3&lt;$B$110,'Вводные'!$B$91="Да")</x:f>
      </x:c>
      <x:c r="EL113" s="35" t="n">
        <x:f>--AND(EL$3&gt;=$B$109,EL$3&lt;$B$110,'Вводные'!$B$91="Да")</x:f>
      </x:c>
      <x:c r="EM113" s="35" t="n">
        <x:f>--AND(EM$3&gt;=$B$109,EM$3&lt;$B$110,'Вводные'!$B$91="Да")</x:f>
      </x:c>
      <x:c r="EN113" s="35" t="n">
        <x:f>--AND(EN$3&gt;=$B$109,EN$3&lt;$B$110,'Вводные'!$B$91="Да")</x:f>
      </x:c>
      <x:c r="EO113" s="35" t="n">
        <x:f>--AND(EO$3&gt;=$B$109,EO$3&lt;$B$110,'Вводные'!$B$91="Да")</x:f>
      </x:c>
      <x:c r="EP113" s="35" t="n">
        <x:f>--AND(EP$3&gt;=$B$109,EP$3&lt;$B$110,'Вводные'!$B$91="Да")</x:f>
      </x:c>
      <x:c r="EQ113" s="35" t="n">
        <x:f>--AND(EQ$3&gt;=$B$109,EQ$3&lt;$B$110,'Вводные'!$B$91="Да")</x:f>
      </x:c>
      <x:c r="ER113" s="35" t="n">
        <x:f>--AND(ER$3&gt;=$B$109,ER$3&lt;$B$110,'Вводные'!$B$91="Да")</x:f>
      </x:c>
      <x:c r="ES113" s="35" t="n">
        <x:f>--AND(ES$3&gt;=$B$109,ES$3&lt;$B$110,'Вводные'!$B$91="Да")</x:f>
      </x:c>
      <x:c r="ET113" s="35" t="n">
        <x:f>--AND(ET$3&gt;=$B$109,ET$3&lt;$B$110,'Вводные'!$B$91="Да")</x:f>
      </x:c>
      <x:c r="EU113" s="35" t="n">
        <x:f>--AND(EU$3&gt;=$B$109,EU$3&lt;$B$110,'Вводные'!$B$91="Да")</x:f>
      </x:c>
      <x:c r="EV113" s="35" t="n">
        <x:f>--AND(EV$3&gt;=$B$109,EV$3&lt;$B$110,'Вводные'!$B$91="Да")</x:f>
      </x:c>
      <x:c r="EW113" s="35" t="n">
        <x:f>--AND(EW$3&gt;=$B$109,EW$3&lt;$B$110,'Вводные'!$B$91="Да")</x:f>
      </x:c>
      <x:c r="EX113" s="35" t="n">
        <x:f>--AND(EX$3&gt;=$B$109,EX$3&lt;$B$110,'Вводные'!$B$91="Да")</x:f>
      </x:c>
      <x:c r="EY113" s="35" t="n">
        <x:f>--AND(EY$3&gt;=$B$109,EY$3&lt;$B$110,'Вводные'!$B$91="Да")</x:f>
      </x:c>
      <x:c r="EZ113" s="35" t="n">
        <x:f>--AND(EZ$3&gt;=$B$109,EZ$3&lt;$B$110,'Вводные'!$B$91="Да")</x:f>
      </x:c>
      <x:c r="FA113" s="35" t="n">
        <x:f>--AND(FA$3&gt;=$B$109,FA$3&lt;$B$110,'Вводные'!$B$91="Да")</x:f>
      </x:c>
      <x:c r="FB113" s="35" t="n">
        <x:f>--AND(FB$3&gt;=$B$109,FB$3&lt;$B$110,'Вводные'!$B$91="Да")</x:f>
      </x:c>
      <x:c r="FC113" s="35" t="n">
        <x:f>--AND(FC$3&gt;=$B$109,FC$3&lt;$B$110,'Вводные'!$B$91="Да")</x:f>
      </x:c>
      <x:c r="FD113" s="35" t="n">
        <x:f>--AND(FD$3&gt;=$B$109,FD$3&lt;$B$110,'Вводные'!$B$91="Да")</x:f>
      </x:c>
      <x:c r="FE113" s="35" t="n">
        <x:f>--AND(FE$3&gt;=$B$109,FE$3&lt;$B$110,'Вводные'!$B$91="Да")</x:f>
      </x:c>
      <x:c r="FF113" s="35" t="n">
        <x:f>--AND(FF$3&gt;=$B$109,FF$3&lt;$B$110,'Вводные'!$B$91="Да")</x:f>
      </x:c>
      <x:c r="FG113" s="35" t="n">
        <x:f>--AND(FG$3&gt;=$B$109,FG$3&lt;$B$110,'Вводные'!$B$91="Да")</x:f>
      </x:c>
      <x:c r="FH113" s="35" t="n">
        <x:f>--AND(FH$3&gt;=$B$109,FH$3&lt;$B$110,'Вводные'!$B$91="Да")</x:f>
      </x:c>
      <x:c r="FI113" s="35" t="n">
        <x:f>--AND(FI$3&gt;=$B$109,FI$3&lt;$B$110,'Вводные'!$B$91="Да")</x:f>
      </x:c>
      <x:c r="FJ113" s="35" t="n">
        <x:f>--AND(FJ$3&gt;=$B$109,FJ$3&lt;$B$110,'Вводные'!$B$91="Да")</x:f>
      </x:c>
      <x:c r="FK113" s="35" t="n">
        <x:f>--AND(FK$3&gt;=$B$109,FK$3&lt;$B$110,'Вводные'!$B$91="Да")</x:f>
      </x:c>
      <x:c r="FL113" s="35" t="n">
        <x:f>--AND(FL$3&gt;=$B$109,FL$3&lt;$B$110,'Вводные'!$B$91="Да")</x:f>
      </x:c>
      <x:c r="FM113" s="35" t="n">
        <x:f>--AND(FM$3&gt;=$B$109,FM$3&lt;$B$110,'Вводные'!$B$91="Да")</x:f>
      </x:c>
      <x:c r="FN113" s="35" t="n">
        <x:f>--AND(FN$3&gt;=$B$109,FN$3&lt;$B$110,'Вводные'!$B$91="Да")</x:f>
      </x:c>
      <x:c r="FO113" s="35" t="n">
        <x:f>--AND(FO$3&gt;=$B$109,FO$3&lt;$B$110,'Вводные'!$B$91="Да")</x:f>
      </x:c>
      <x:c r="FP113" s="35" t="n">
        <x:f>--AND(FP$3&gt;=$B$109,FP$3&lt;$B$110,'Вводные'!$B$91="Да")</x:f>
      </x:c>
      <x:c r="FQ113" s="35" t="n">
        <x:f>--AND(FQ$3&gt;=$B$109,FQ$3&lt;$B$110,'Вводные'!$B$91="Да")</x:f>
      </x:c>
      <x:c r="FR113" s="35" t="n">
        <x:f>--AND(FR$3&gt;=$B$109,FR$3&lt;$B$110,'Вводные'!$B$91="Да")</x:f>
      </x:c>
      <x:c r="FS113" s="35" t="n">
        <x:f>--AND(FS$3&gt;=$B$109,FS$3&lt;$B$110,'Вводные'!$B$91="Да")</x:f>
      </x:c>
      <x:c r="FT113" s="35" t="n">
        <x:f>--AND(FT$3&gt;=$B$109,FT$3&lt;$B$110,'Вводные'!$B$91="Да")</x:f>
      </x:c>
      <x:c r="FU113" s="35" t="n">
        <x:f>--AND(FU$3&gt;=$B$109,FU$3&lt;$B$110,'Вводные'!$B$91="Да")</x:f>
      </x:c>
      <x:c r="FV113" s="35" t="n">
        <x:f>--AND(FV$3&gt;=$B$109,FV$3&lt;$B$110,'Вводные'!$B$91="Да")</x:f>
      </x:c>
      <x:c r="FW113" s="35" t="n">
        <x:f>--AND(FW$3&gt;=$B$109,FW$3&lt;$B$110,'Вводные'!$B$91="Да")</x:f>
      </x:c>
      <x:c r="FX113" s="35" t="n">
        <x:f>--AND(FX$3&gt;=$B$109,FX$3&lt;$B$110,'Вводные'!$B$91="Да")</x:f>
      </x:c>
      <x:c r="FY113" s="35" t="n">
        <x:f>--AND(FY$3&gt;=$B$109,FY$3&lt;$B$110,'Вводные'!$B$91="Да")</x:f>
      </x:c>
      <x:c r="FZ113" s="35" t="n">
        <x:f>--AND(FZ$3&gt;=$B$109,FZ$3&lt;$B$110,'Вводные'!$B$91="Да")</x:f>
      </x:c>
      <x:c r="GA113" s="35" t="n">
        <x:f>--AND(GA$3&gt;=$B$109,GA$3&lt;$B$110,'Вводные'!$B$91="Да")</x:f>
      </x:c>
    </x:row>
    <x:row r="114">
      <x:c r="A114" t="str">
        <x:v>Вес S-кривой</x:v>
      </x:c>
      <x:c r="B114"/>
      <x:c r="C114" t="str">
        <x:v>вес</x:v>
      </x:c>
      <x:c r="D114" s="35" t="n">
        <x:f>IF(D113=0,0,IF((12*(YEAR(D$3)-YEAR($B$109))+MONTH(D$3)-MONTH($B$109)+1)/MAX(1,'Вводные'!$F$91)&lt;=0.2,0.6,IF((12*(YEAR(D$3)-YEAR($B$109))+MONTH(D$3)-MONTH($B$109)+1)/MAX(1,'Вводные'!$F$91)&lt;=0.8,1.2,0.8)))</x:f>
      </x:c>
      <x:c r="E114" s="35" t="n">
        <x:f>IF(E113=0,0,IF((12*(YEAR(E$3)-YEAR($B$109))+MONTH(E$3)-MONTH($B$109)+1)/MAX(1,'Вводные'!$F$91)&lt;=0.2,0.6,IF((12*(YEAR(E$3)-YEAR($B$109))+MONTH(E$3)-MONTH($B$109)+1)/MAX(1,'Вводные'!$F$91)&lt;=0.8,1.2,0.8)))</x:f>
      </x:c>
      <x:c r="F114" s="35" t="n">
        <x:f>IF(F113=0,0,IF((12*(YEAR(F$3)-YEAR($B$109))+MONTH(F$3)-MONTH($B$109)+1)/MAX(1,'Вводные'!$F$91)&lt;=0.2,0.6,IF((12*(YEAR(F$3)-YEAR($B$109))+MONTH(F$3)-MONTH($B$109)+1)/MAX(1,'Вводные'!$F$91)&lt;=0.8,1.2,0.8)))</x:f>
      </x:c>
      <x:c r="G114" s="35" t="n">
        <x:f>IF(G113=0,0,IF((12*(YEAR(G$3)-YEAR($B$109))+MONTH(G$3)-MONTH($B$109)+1)/MAX(1,'Вводные'!$F$91)&lt;=0.2,0.6,IF((12*(YEAR(G$3)-YEAR($B$109))+MONTH(G$3)-MONTH($B$109)+1)/MAX(1,'Вводные'!$F$91)&lt;=0.8,1.2,0.8)))</x:f>
      </x:c>
      <x:c r="H114" s="35" t="n">
        <x:f>IF(H113=0,0,IF((12*(YEAR(H$3)-YEAR($B$109))+MONTH(H$3)-MONTH($B$109)+1)/MAX(1,'Вводные'!$F$91)&lt;=0.2,0.6,IF((12*(YEAR(H$3)-YEAR($B$109))+MONTH(H$3)-MONTH($B$109)+1)/MAX(1,'Вводные'!$F$91)&lt;=0.8,1.2,0.8)))</x:f>
      </x:c>
      <x:c r="I114" s="35" t="n">
        <x:f>IF(I113=0,0,IF((12*(YEAR(I$3)-YEAR($B$109))+MONTH(I$3)-MONTH($B$109)+1)/MAX(1,'Вводные'!$F$91)&lt;=0.2,0.6,IF((12*(YEAR(I$3)-YEAR($B$109))+MONTH(I$3)-MONTH($B$109)+1)/MAX(1,'Вводные'!$F$91)&lt;=0.8,1.2,0.8)))</x:f>
      </x:c>
      <x:c r="J114" s="35" t="n">
        <x:f>IF(J113=0,0,IF((12*(YEAR(J$3)-YEAR($B$109))+MONTH(J$3)-MONTH($B$109)+1)/MAX(1,'Вводные'!$F$91)&lt;=0.2,0.6,IF((12*(YEAR(J$3)-YEAR($B$109))+MONTH(J$3)-MONTH($B$109)+1)/MAX(1,'Вводные'!$F$91)&lt;=0.8,1.2,0.8)))</x:f>
      </x:c>
      <x:c r="K114" s="35" t="n">
        <x:f>IF(K113=0,0,IF((12*(YEAR(K$3)-YEAR($B$109))+MONTH(K$3)-MONTH($B$109)+1)/MAX(1,'Вводные'!$F$91)&lt;=0.2,0.6,IF((12*(YEAR(K$3)-YEAR($B$109))+MONTH(K$3)-MONTH($B$109)+1)/MAX(1,'Вводные'!$F$91)&lt;=0.8,1.2,0.8)))</x:f>
      </x:c>
      <x:c r="L114" s="35" t="n">
        <x:f>IF(L113=0,0,IF((12*(YEAR(L$3)-YEAR($B$109))+MONTH(L$3)-MONTH($B$109)+1)/MAX(1,'Вводные'!$F$91)&lt;=0.2,0.6,IF((12*(YEAR(L$3)-YEAR($B$109))+MONTH(L$3)-MONTH($B$109)+1)/MAX(1,'Вводные'!$F$91)&lt;=0.8,1.2,0.8)))</x:f>
      </x:c>
      <x:c r="M114" s="35" t="n">
        <x:f>IF(M113=0,0,IF((12*(YEAR(M$3)-YEAR($B$109))+MONTH(M$3)-MONTH($B$109)+1)/MAX(1,'Вводные'!$F$91)&lt;=0.2,0.6,IF((12*(YEAR(M$3)-YEAR($B$109))+MONTH(M$3)-MONTH($B$109)+1)/MAX(1,'Вводные'!$F$91)&lt;=0.8,1.2,0.8)))</x:f>
      </x:c>
      <x:c r="N114" s="35" t="n">
        <x:f>IF(N113=0,0,IF((12*(YEAR(N$3)-YEAR($B$109))+MONTH(N$3)-MONTH($B$109)+1)/MAX(1,'Вводные'!$F$91)&lt;=0.2,0.6,IF((12*(YEAR(N$3)-YEAR($B$109))+MONTH(N$3)-MONTH($B$109)+1)/MAX(1,'Вводные'!$F$91)&lt;=0.8,1.2,0.8)))</x:f>
      </x:c>
      <x:c r="O114" s="35" t="n">
        <x:f>IF(O113=0,0,IF((12*(YEAR(O$3)-YEAR($B$109))+MONTH(O$3)-MONTH($B$109)+1)/MAX(1,'Вводные'!$F$91)&lt;=0.2,0.6,IF((12*(YEAR(O$3)-YEAR($B$109))+MONTH(O$3)-MONTH($B$109)+1)/MAX(1,'Вводные'!$F$91)&lt;=0.8,1.2,0.8)))</x:f>
      </x:c>
      <x:c r="P114" s="35" t="n">
        <x:f>IF(P113=0,0,IF((12*(YEAR(P$3)-YEAR($B$109))+MONTH(P$3)-MONTH($B$109)+1)/MAX(1,'Вводные'!$F$91)&lt;=0.2,0.6,IF((12*(YEAR(P$3)-YEAR($B$109))+MONTH(P$3)-MONTH($B$109)+1)/MAX(1,'Вводные'!$F$91)&lt;=0.8,1.2,0.8)))</x:f>
      </x:c>
      <x:c r="Q114" s="35" t="n">
        <x:f>IF(Q113=0,0,IF((12*(YEAR(Q$3)-YEAR($B$109))+MONTH(Q$3)-MONTH($B$109)+1)/MAX(1,'Вводные'!$F$91)&lt;=0.2,0.6,IF((12*(YEAR(Q$3)-YEAR($B$109))+MONTH(Q$3)-MONTH($B$109)+1)/MAX(1,'Вводные'!$F$91)&lt;=0.8,1.2,0.8)))</x:f>
      </x:c>
      <x:c r="R114" s="35" t="n">
        <x:f>IF(R113=0,0,IF((12*(YEAR(R$3)-YEAR($B$109))+MONTH(R$3)-MONTH($B$109)+1)/MAX(1,'Вводные'!$F$91)&lt;=0.2,0.6,IF((12*(YEAR(R$3)-YEAR($B$109))+MONTH(R$3)-MONTH($B$109)+1)/MAX(1,'Вводные'!$F$91)&lt;=0.8,1.2,0.8)))</x:f>
      </x:c>
      <x:c r="S114" s="35" t="n">
        <x:f>IF(S113=0,0,IF((12*(YEAR(S$3)-YEAR($B$109))+MONTH(S$3)-MONTH($B$109)+1)/MAX(1,'Вводные'!$F$91)&lt;=0.2,0.6,IF((12*(YEAR(S$3)-YEAR($B$109))+MONTH(S$3)-MONTH($B$109)+1)/MAX(1,'Вводные'!$F$91)&lt;=0.8,1.2,0.8)))</x:f>
      </x:c>
      <x:c r="T114" s="35" t="n">
        <x:f>IF(T113=0,0,IF((12*(YEAR(T$3)-YEAR($B$109))+MONTH(T$3)-MONTH($B$109)+1)/MAX(1,'Вводные'!$F$91)&lt;=0.2,0.6,IF((12*(YEAR(T$3)-YEAR($B$109))+MONTH(T$3)-MONTH($B$109)+1)/MAX(1,'Вводные'!$F$91)&lt;=0.8,1.2,0.8)))</x:f>
      </x:c>
      <x:c r="U114" s="35" t="n">
        <x:f>IF(U113=0,0,IF((12*(YEAR(U$3)-YEAR($B$109))+MONTH(U$3)-MONTH($B$109)+1)/MAX(1,'Вводные'!$F$91)&lt;=0.2,0.6,IF((12*(YEAR(U$3)-YEAR($B$109))+MONTH(U$3)-MONTH($B$109)+1)/MAX(1,'Вводные'!$F$91)&lt;=0.8,1.2,0.8)))</x:f>
      </x:c>
      <x:c r="V114" s="35" t="n">
        <x:f>IF(V113=0,0,IF((12*(YEAR(V$3)-YEAR($B$109))+MONTH(V$3)-MONTH($B$109)+1)/MAX(1,'Вводные'!$F$91)&lt;=0.2,0.6,IF((12*(YEAR(V$3)-YEAR($B$109))+MONTH(V$3)-MONTH($B$109)+1)/MAX(1,'Вводные'!$F$91)&lt;=0.8,1.2,0.8)))</x:f>
      </x:c>
      <x:c r="W114" s="35" t="n">
        <x:f>IF(W113=0,0,IF((12*(YEAR(W$3)-YEAR($B$109))+MONTH(W$3)-MONTH($B$109)+1)/MAX(1,'Вводные'!$F$91)&lt;=0.2,0.6,IF((12*(YEAR(W$3)-YEAR($B$109))+MONTH(W$3)-MONTH($B$109)+1)/MAX(1,'Вводные'!$F$91)&lt;=0.8,1.2,0.8)))</x:f>
      </x:c>
      <x:c r="X114" s="35" t="n">
        <x:f>IF(X113=0,0,IF((12*(YEAR(X$3)-YEAR($B$109))+MONTH(X$3)-MONTH($B$109)+1)/MAX(1,'Вводные'!$F$91)&lt;=0.2,0.6,IF((12*(YEAR(X$3)-YEAR($B$109))+MONTH(X$3)-MONTH($B$109)+1)/MAX(1,'Вводные'!$F$91)&lt;=0.8,1.2,0.8)))</x:f>
      </x:c>
      <x:c r="Y114" s="35" t="n">
        <x:f>IF(Y113=0,0,IF((12*(YEAR(Y$3)-YEAR($B$109))+MONTH(Y$3)-MONTH($B$109)+1)/MAX(1,'Вводные'!$F$91)&lt;=0.2,0.6,IF((12*(YEAR(Y$3)-YEAR($B$109))+MONTH(Y$3)-MONTH($B$109)+1)/MAX(1,'Вводные'!$F$91)&lt;=0.8,1.2,0.8)))</x:f>
      </x:c>
      <x:c r="Z114" s="35" t="n">
        <x:f>IF(Z113=0,0,IF((12*(YEAR(Z$3)-YEAR($B$109))+MONTH(Z$3)-MONTH($B$109)+1)/MAX(1,'Вводные'!$F$91)&lt;=0.2,0.6,IF((12*(YEAR(Z$3)-YEAR($B$109))+MONTH(Z$3)-MONTH($B$109)+1)/MAX(1,'Вводные'!$F$91)&lt;=0.8,1.2,0.8)))</x:f>
      </x:c>
      <x:c r="AA114" s="35" t="n">
        <x:f>IF(AA113=0,0,IF((12*(YEAR(AA$3)-YEAR($B$109))+MONTH(AA$3)-MONTH($B$109)+1)/MAX(1,'Вводные'!$F$91)&lt;=0.2,0.6,IF((12*(YEAR(AA$3)-YEAR($B$109))+MONTH(AA$3)-MONTH($B$109)+1)/MAX(1,'Вводные'!$F$91)&lt;=0.8,1.2,0.8)))</x:f>
      </x:c>
      <x:c r="AB114" s="35" t="n">
        <x:f>IF(AB113=0,0,IF((12*(YEAR(AB$3)-YEAR($B$109))+MONTH(AB$3)-MONTH($B$109)+1)/MAX(1,'Вводные'!$F$91)&lt;=0.2,0.6,IF((12*(YEAR(AB$3)-YEAR($B$109))+MONTH(AB$3)-MONTH($B$109)+1)/MAX(1,'Вводные'!$F$91)&lt;=0.8,1.2,0.8)))</x:f>
      </x:c>
      <x:c r="AC114" s="35" t="n">
        <x:f>IF(AC113=0,0,IF((12*(YEAR(AC$3)-YEAR($B$109))+MONTH(AC$3)-MONTH($B$109)+1)/MAX(1,'Вводные'!$F$91)&lt;=0.2,0.6,IF((12*(YEAR(AC$3)-YEAR($B$109))+MONTH(AC$3)-MONTH($B$109)+1)/MAX(1,'Вводные'!$F$91)&lt;=0.8,1.2,0.8)))</x:f>
      </x:c>
      <x:c r="AD114" s="35" t="n">
        <x:f>IF(AD113=0,0,IF((12*(YEAR(AD$3)-YEAR($B$109))+MONTH(AD$3)-MONTH($B$109)+1)/MAX(1,'Вводные'!$F$91)&lt;=0.2,0.6,IF((12*(YEAR(AD$3)-YEAR($B$109))+MONTH(AD$3)-MONTH($B$109)+1)/MAX(1,'Вводные'!$F$91)&lt;=0.8,1.2,0.8)))</x:f>
      </x:c>
      <x:c r="AE114" s="35" t="n">
        <x:f>IF(AE113=0,0,IF((12*(YEAR(AE$3)-YEAR($B$109))+MONTH(AE$3)-MONTH($B$109)+1)/MAX(1,'Вводные'!$F$91)&lt;=0.2,0.6,IF((12*(YEAR(AE$3)-YEAR($B$109))+MONTH(AE$3)-MONTH($B$109)+1)/MAX(1,'Вводные'!$F$91)&lt;=0.8,1.2,0.8)))</x:f>
      </x:c>
      <x:c r="AF114" s="35" t="n">
        <x:f>IF(AF113=0,0,IF((12*(YEAR(AF$3)-YEAR($B$109))+MONTH(AF$3)-MONTH($B$109)+1)/MAX(1,'Вводные'!$F$91)&lt;=0.2,0.6,IF((12*(YEAR(AF$3)-YEAR($B$109))+MONTH(AF$3)-MONTH($B$109)+1)/MAX(1,'Вводные'!$F$91)&lt;=0.8,1.2,0.8)))</x:f>
      </x:c>
      <x:c r="AG114" s="35" t="n">
        <x:f>IF(AG113=0,0,IF((12*(YEAR(AG$3)-YEAR($B$109))+MONTH(AG$3)-MONTH($B$109)+1)/MAX(1,'Вводные'!$F$91)&lt;=0.2,0.6,IF((12*(YEAR(AG$3)-YEAR($B$109))+MONTH(AG$3)-MONTH($B$109)+1)/MAX(1,'Вводные'!$F$91)&lt;=0.8,1.2,0.8)))</x:f>
      </x:c>
      <x:c r="AH114" s="35" t="n">
        <x:f>IF(AH113=0,0,IF((12*(YEAR(AH$3)-YEAR($B$109))+MONTH(AH$3)-MONTH($B$109)+1)/MAX(1,'Вводные'!$F$91)&lt;=0.2,0.6,IF((12*(YEAR(AH$3)-YEAR($B$109))+MONTH(AH$3)-MONTH($B$109)+1)/MAX(1,'Вводные'!$F$91)&lt;=0.8,1.2,0.8)))</x:f>
      </x:c>
      <x:c r="AI114" s="35" t="n">
        <x:f>IF(AI113=0,0,IF((12*(YEAR(AI$3)-YEAR($B$109))+MONTH(AI$3)-MONTH($B$109)+1)/MAX(1,'Вводные'!$F$91)&lt;=0.2,0.6,IF((12*(YEAR(AI$3)-YEAR($B$109))+MONTH(AI$3)-MONTH($B$109)+1)/MAX(1,'Вводные'!$F$91)&lt;=0.8,1.2,0.8)))</x:f>
      </x:c>
      <x:c r="AJ114" s="35" t="n">
        <x:f>IF(AJ113=0,0,IF((12*(YEAR(AJ$3)-YEAR($B$109))+MONTH(AJ$3)-MONTH($B$109)+1)/MAX(1,'Вводные'!$F$91)&lt;=0.2,0.6,IF((12*(YEAR(AJ$3)-YEAR($B$109))+MONTH(AJ$3)-MONTH($B$109)+1)/MAX(1,'Вводные'!$F$91)&lt;=0.8,1.2,0.8)))</x:f>
      </x:c>
      <x:c r="AK114" s="35" t="n">
        <x:f>IF(AK113=0,0,IF((12*(YEAR(AK$3)-YEAR($B$109))+MONTH(AK$3)-MONTH($B$109)+1)/MAX(1,'Вводные'!$F$91)&lt;=0.2,0.6,IF((12*(YEAR(AK$3)-YEAR($B$109))+MONTH(AK$3)-MONTH($B$109)+1)/MAX(1,'Вводные'!$F$91)&lt;=0.8,1.2,0.8)))</x:f>
      </x:c>
      <x:c r="AL114" s="35" t="n">
        <x:f>IF(AL113=0,0,IF((12*(YEAR(AL$3)-YEAR($B$109))+MONTH(AL$3)-MONTH($B$109)+1)/MAX(1,'Вводные'!$F$91)&lt;=0.2,0.6,IF((12*(YEAR(AL$3)-YEAR($B$109))+MONTH(AL$3)-MONTH($B$109)+1)/MAX(1,'Вводные'!$F$91)&lt;=0.8,1.2,0.8)))</x:f>
      </x:c>
      <x:c r="AM114" s="35" t="n">
        <x:f>IF(AM113=0,0,IF((12*(YEAR(AM$3)-YEAR($B$109))+MONTH(AM$3)-MONTH($B$109)+1)/MAX(1,'Вводные'!$F$91)&lt;=0.2,0.6,IF((12*(YEAR(AM$3)-YEAR($B$109))+MONTH(AM$3)-MONTH($B$109)+1)/MAX(1,'Вводные'!$F$91)&lt;=0.8,1.2,0.8)))</x:f>
      </x:c>
      <x:c r="AN114" s="35" t="n">
        <x:f>IF(AN113=0,0,IF((12*(YEAR(AN$3)-YEAR($B$109))+MONTH(AN$3)-MONTH($B$109)+1)/MAX(1,'Вводные'!$F$91)&lt;=0.2,0.6,IF((12*(YEAR(AN$3)-YEAR($B$109))+MONTH(AN$3)-MONTH($B$109)+1)/MAX(1,'Вводные'!$F$91)&lt;=0.8,1.2,0.8)))</x:f>
      </x:c>
      <x:c r="AO114" s="35" t="n">
        <x:f>IF(AO113=0,0,IF((12*(YEAR(AO$3)-YEAR($B$109))+MONTH(AO$3)-MONTH($B$109)+1)/MAX(1,'Вводные'!$F$91)&lt;=0.2,0.6,IF((12*(YEAR(AO$3)-YEAR($B$109))+MONTH(AO$3)-MONTH($B$109)+1)/MAX(1,'Вводные'!$F$91)&lt;=0.8,1.2,0.8)))</x:f>
      </x:c>
      <x:c r="AP114" s="35" t="n">
        <x:f>IF(AP113=0,0,IF((12*(YEAR(AP$3)-YEAR($B$109))+MONTH(AP$3)-MONTH($B$109)+1)/MAX(1,'Вводные'!$F$91)&lt;=0.2,0.6,IF((12*(YEAR(AP$3)-YEAR($B$109))+MONTH(AP$3)-MONTH($B$109)+1)/MAX(1,'Вводные'!$F$91)&lt;=0.8,1.2,0.8)))</x:f>
      </x:c>
      <x:c r="AQ114" s="35" t="n">
        <x:f>IF(AQ113=0,0,IF((12*(YEAR(AQ$3)-YEAR($B$109))+MONTH(AQ$3)-MONTH($B$109)+1)/MAX(1,'Вводные'!$F$91)&lt;=0.2,0.6,IF((12*(YEAR(AQ$3)-YEAR($B$109))+MONTH(AQ$3)-MONTH($B$109)+1)/MAX(1,'Вводные'!$F$91)&lt;=0.8,1.2,0.8)))</x:f>
      </x:c>
      <x:c r="AR114" s="35" t="n">
        <x:f>IF(AR113=0,0,IF((12*(YEAR(AR$3)-YEAR($B$109))+MONTH(AR$3)-MONTH($B$109)+1)/MAX(1,'Вводные'!$F$91)&lt;=0.2,0.6,IF((12*(YEAR(AR$3)-YEAR($B$109))+MONTH(AR$3)-MONTH($B$109)+1)/MAX(1,'Вводные'!$F$91)&lt;=0.8,1.2,0.8)))</x:f>
      </x:c>
      <x:c r="AS114" s="35" t="n">
        <x:f>IF(AS113=0,0,IF((12*(YEAR(AS$3)-YEAR($B$109))+MONTH(AS$3)-MONTH($B$109)+1)/MAX(1,'Вводные'!$F$91)&lt;=0.2,0.6,IF((12*(YEAR(AS$3)-YEAR($B$109))+MONTH(AS$3)-MONTH($B$109)+1)/MAX(1,'Вводные'!$F$91)&lt;=0.8,1.2,0.8)))</x:f>
      </x:c>
      <x:c r="AT114" s="35" t="n">
        <x:f>IF(AT113=0,0,IF((12*(YEAR(AT$3)-YEAR($B$109))+MONTH(AT$3)-MONTH($B$109)+1)/MAX(1,'Вводные'!$F$91)&lt;=0.2,0.6,IF((12*(YEAR(AT$3)-YEAR($B$109))+MONTH(AT$3)-MONTH($B$109)+1)/MAX(1,'Вводные'!$F$91)&lt;=0.8,1.2,0.8)))</x:f>
      </x:c>
      <x:c r="AU114" s="35" t="n">
        <x:f>IF(AU113=0,0,IF((12*(YEAR(AU$3)-YEAR($B$109))+MONTH(AU$3)-MONTH($B$109)+1)/MAX(1,'Вводные'!$F$91)&lt;=0.2,0.6,IF((12*(YEAR(AU$3)-YEAR($B$109))+MONTH(AU$3)-MONTH($B$109)+1)/MAX(1,'Вводные'!$F$91)&lt;=0.8,1.2,0.8)))</x:f>
      </x:c>
      <x:c r="AV114" s="35" t="n">
        <x:f>IF(AV113=0,0,IF((12*(YEAR(AV$3)-YEAR($B$109))+MONTH(AV$3)-MONTH($B$109)+1)/MAX(1,'Вводные'!$F$91)&lt;=0.2,0.6,IF((12*(YEAR(AV$3)-YEAR($B$109))+MONTH(AV$3)-MONTH($B$109)+1)/MAX(1,'Вводные'!$F$91)&lt;=0.8,1.2,0.8)))</x:f>
      </x:c>
      <x:c r="AW114" s="35" t="n">
        <x:f>IF(AW113=0,0,IF((12*(YEAR(AW$3)-YEAR($B$109))+MONTH(AW$3)-MONTH($B$109)+1)/MAX(1,'Вводные'!$F$91)&lt;=0.2,0.6,IF((12*(YEAR(AW$3)-YEAR($B$109))+MONTH(AW$3)-MONTH($B$109)+1)/MAX(1,'Вводные'!$F$91)&lt;=0.8,1.2,0.8)))</x:f>
      </x:c>
      <x:c r="AX114" s="35" t="n">
        <x:f>IF(AX113=0,0,IF((12*(YEAR(AX$3)-YEAR($B$109))+MONTH(AX$3)-MONTH($B$109)+1)/MAX(1,'Вводные'!$F$91)&lt;=0.2,0.6,IF((12*(YEAR(AX$3)-YEAR($B$109))+MONTH(AX$3)-MONTH($B$109)+1)/MAX(1,'Вводные'!$F$91)&lt;=0.8,1.2,0.8)))</x:f>
      </x:c>
      <x:c r="AY114" s="35" t="n">
        <x:f>IF(AY113=0,0,IF((12*(YEAR(AY$3)-YEAR($B$109))+MONTH(AY$3)-MONTH($B$109)+1)/MAX(1,'Вводные'!$F$91)&lt;=0.2,0.6,IF((12*(YEAR(AY$3)-YEAR($B$109))+MONTH(AY$3)-MONTH($B$109)+1)/MAX(1,'Вводные'!$F$91)&lt;=0.8,1.2,0.8)))</x:f>
      </x:c>
      <x:c r="AZ114" s="35" t="n">
        <x:f>IF(AZ113=0,0,IF((12*(YEAR(AZ$3)-YEAR($B$109))+MONTH(AZ$3)-MONTH($B$109)+1)/MAX(1,'Вводные'!$F$91)&lt;=0.2,0.6,IF((12*(YEAR(AZ$3)-YEAR($B$109))+MONTH(AZ$3)-MONTH($B$109)+1)/MAX(1,'Вводные'!$F$91)&lt;=0.8,1.2,0.8)))</x:f>
      </x:c>
      <x:c r="BA114" s="35" t="n">
        <x:f>IF(BA113=0,0,IF((12*(YEAR(BA$3)-YEAR($B$109))+MONTH(BA$3)-MONTH($B$109)+1)/MAX(1,'Вводные'!$F$91)&lt;=0.2,0.6,IF((12*(YEAR(BA$3)-YEAR($B$109))+MONTH(BA$3)-MONTH($B$109)+1)/MAX(1,'Вводные'!$F$91)&lt;=0.8,1.2,0.8)))</x:f>
      </x:c>
      <x:c r="BB114" s="35" t="n">
        <x:f>IF(BB113=0,0,IF((12*(YEAR(BB$3)-YEAR($B$109))+MONTH(BB$3)-MONTH($B$109)+1)/MAX(1,'Вводные'!$F$91)&lt;=0.2,0.6,IF((12*(YEAR(BB$3)-YEAR($B$109))+MONTH(BB$3)-MONTH($B$109)+1)/MAX(1,'Вводные'!$F$91)&lt;=0.8,1.2,0.8)))</x:f>
      </x:c>
      <x:c r="BC114" s="35" t="n">
        <x:f>IF(BC113=0,0,IF((12*(YEAR(BC$3)-YEAR($B$109))+MONTH(BC$3)-MONTH($B$109)+1)/MAX(1,'Вводные'!$F$91)&lt;=0.2,0.6,IF((12*(YEAR(BC$3)-YEAR($B$109))+MONTH(BC$3)-MONTH($B$109)+1)/MAX(1,'Вводные'!$F$91)&lt;=0.8,1.2,0.8)))</x:f>
      </x:c>
      <x:c r="BD114" s="35" t="n">
        <x:f>IF(BD113=0,0,IF((12*(YEAR(BD$3)-YEAR($B$109))+MONTH(BD$3)-MONTH($B$109)+1)/MAX(1,'Вводные'!$F$91)&lt;=0.2,0.6,IF((12*(YEAR(BD$3)-YEAR($B$109))+MONTH(BD$3)-MONTH($B$109)+1)/MAX(1,'Вводные'!$F$91)&lt;=0.8,1.2,0.8)))</x:f>
      </x:c>
      <x:c r="BE114" s="35" t="n">
        <x:f>IF(BE113=0,0,IF((12*(YEAR(BE$3)-YEAR($B$109))+MONTH(BE$3)-MONTH($B$109)+1)/MAX(1,'Вводные'!$F$91)&lt;=0.2,0.6,IF((12*(YEAR(BE$3)-YEAR($B$109))+MONTH(BE$3)-MONTH($B$109)+1)/MAX(1,'Вводные'!$F$91)&lt;=0.8,1.2,0.8)))</x:f>
      </x:c>
      <x:c r="BF114" s="35" t="n">
        <x:f>IF(BF113=0,0,IF((12*(YEAR(BF$3)-YEAR($B$109))+MONTH(BF$3)-MONTH($B$109)+1)/MAX(1,'Вводные'!$F$91)&lt;=0.2,0.6,IF((12*(YEAR(BF$3)-YEAR($B$109))+MONTH(BF$3)-MONTH($B$109)+1)/MAX(1,'Вводные'!$F$91)&lt;=0.8,1.2,0.8)))</x:f>
      </x:c>
      <x:c r="BG114" s="35" t="n">
        <x:f>IF(BG113=0,0,IF((12*(YEAR(BG$3)-YEAR($B$109))+MONTH(BG$3)-MONTH($B$109)+1)/MAX(1,'Вводные'!$F$91)&lt;=0.2,0.6,IF((12*(YEAR(BG$3)-YEAR($B$109))+MONTH(BG$3)-MONTH($B$109)+1)/MAX(1,'Вводные'!$F$91)&lt;=0.8,1.2,0.8)))</x:f>
      </x:c>
      <x:c r="BH114" s="35" t="n">
        <x:f>IF(BH113=0,0,IF((12*(YEAR(BH$3)-YEAR($B$109))+MONTH(BH$3)-MONTH($B$109)+1)/MAX(1,'Вводные'!$F$91)&lt;=0.2,0.6,IF((12*(YEAR(BH$3)-YEAR($B$109))+MONTH(BH$3)-MONTH($B$109)+1)/MAX(1,'Вводные'!$F$91)&lt;=0.8,1.2,0.8)))</x:f>
      </x:c>
      <x:c r="BI114" s="35" t="n">
        <x:f>IF(BI113=0,0,IF((12*(YEAR(BI$3)-YEAR($B$109))+MONTH(BI$3)-MONTH($B$109)+1)/MAX(1,'Вводные'!$F$91)&lt;=0.2,0.6,IF((12*(YEAR(BI$3)-YEAR($B$109))+MONTH(BI$3)-MONTH($B$109)+1)/MAX(1,'Вводные'!$F$91)&lt;=0.8,1.2,0.8)))</x:f>
      </x:c>
      <x:c r="BJ114" s="35" t="n">
        <x:f>IF(BJ113=0,0,IF((12*(YEAR(BJ$3)-YEAR($B$109))+MONTH(BJ$3)-MONTH($B$109)+1)/MAX(1,'Вводные'!$F$91)&lt;=0.2,0.6,IF((12*(YEAR(BJ$3)-YEAR($B$109))+MONTH(BJ$3)-MONTH($B$109)+1)/MAX(1,'Вводные'!$F$91)&lt;=0.8,1.2,0.8)))</x:f>
      </x:c>
      <x:c r="BK114" s="35" t="n">
        <x:f>IF(BK113=0,0,IF((12*(YEAR(BK$3)-YEAR($B$109))+MONTH(BK$3)-MONTH($B$109)+1)/MAX(1,'Вводные'!$F$91)&lt;=0.2,0.6,IF((12*(YEAR(BK$3)-YEAR($B$109))+MONTH(BK$3)-MONTH($B$109)+1)/MAX(1,'Вводные'!$F$91)&lt;=0.8,1.2,0.8)))</x:f>
      </x:c>
      <x:c r="BL114" s="35" t="n">
        <x:f>IF(BL113=0,0,IF((12*(YEAR(BL$3)-YEAR($B$109))+MONTH(BL$3)-MONTH($B$109)+1)/MAX(1,'Вводные'!$F$91)&lt;=0.2,0.6,IF((12*(YEAR(BL$3)-YEAR($B$109))+MONTH(BL$3)-MONTH($B$109)+1)/MAX(1,'Вводные'!$F$91)&lt;=0.8,1.2,0.8)))</x:f>
      </x:c>
      <x:c r="BM114" s="35" t="n">
        <x:f>IF(BM113=0,0,IF((12*(YEAR(BM$3)-YEAR($B$109))+MONTH(BM$3)-MONTH($B$109)+1)/MAX(1,'Вводные'!$F$91)&lt;=0.2,0.6,IF((12*(YEAR(BM$3)-YEAR($B$109))+MONTH(BM$3)-MONTH($B$109)+1)/MAX(1,'Вводные'!$F$91)&lt;=0.8,1.2,0.8)))</x:f>
      </x:c>
      <x:c r="BN114" s="35" t="n">
        <x:f>IF(BN113=0,0,IF((12*(YEAR(BN$3)-YEAR($B$109))+MONTH(BN$3)-MONTH($B$109)+1)/MAX(1,'Вводные'!$F$91)&lt;=0.2,0.6,IF((12*(YEAR(BN$3)-YEAR($B$109))+MONTH(BN$3)-MONTH($B$109)+1)/MAX(1,'Вводные'!$F$91)&lt;=0.8,1.2,0.8)))</x:f>
      </x:c>
      <x:c r="BO114" s="35" t="n">
        <x:f>IF(BO113=0,0,IF((12*(YEAR(BO$3)-YEAR($B$109))+MONTH(BO$3)-MONTH($B$109)+1)/MAX(1,'Вводные'!$F$91)&lt;=0.2,0.6,IF((12*(YEAR(BO$3)-YEAR($B$109))+MONTH(BO$3)-MONTH($B$109)+1)/MAX(1,'Вводные'!$F$91)&lt;=0.8,1.2,0.8)))</x:f>
      </x:c>
      <x:c r="BP114" s="35" t="n">
        <x:f>IF(BP113=0,0,IF((12*(YEAR(BP$3)-YEAR($B$109))+MONTH(BP$3)-MONTH($B$109)+1)/MAX(1,'Вводные'!$F$91)&lt;=0.2,0.6,IF((12*(YEAR(BP$3)-YEAR($B$109))+MONTH(BP$3)-MONTH($B$109)+1)/MAX(1,'Вводные'!$F$91)&lt;=0.8,1.2,0.8)))</x:f>
      </x:c>
      <x:c r="BQ114" s="35" t="n">
        <x:f>IF(BQ113=0,0,IF((12*(YEAR(BQ$3)-YEAR($B$109))+MONTH(BQ$3)-MONTH($B$109)+1)/MAX(1,'Вводные'!$F$91)&lt;=0.2,0.6,IF((12*(YEAR(BQ$3)-YEAR($B$109))+MONTH(BQ$3)-MONTH($B$109)+1)/MAX(1,'Вводные'!$F$91)&lt;=0.8,1.2,0.8)))</x:f>
      </x:c>
      <x:c r="BR114" s="35" t="n">
        <x:f>IF(BR113=0,0,IF((12*(YEAR(BR$3)-YEAR($B$109))+MONTH(BR$3)-MONTH($B$109)+1)/MAX(1,'Вводные'!$F$91)&lt;=0.2,0.6,IF((12*(YEAR(BR$3)-YEAR($B$109))+MONTH(BR$3)-MONTH($B$109)+1)/MAX(1,'Вводные'!$F$91)&lt;=0.8,1.2,0.8)))</x:f>
      </x:c>
      <x:c r="BS114" s="35" t="n">
        <x:f>IF(BS113=0,0,IF((12*(YEAR(BS$3)-YEAR($B$109))+MONTH(BS$3)-MONTH($B$109)+1)/MAX(1,'Вводные'!$F$91)&lt;=0.2,0.6,IF((12*(YEAR(BS$3)-YEAR($B$109))+MONTH(BS$3)-MONTH($B$109)+1)/MAX(1,'Вводные'!$F$91)&lt;=0.8,1.2,0.8)))</x:f>
      </x:c>
      <x:c r="BT114" s="35" t="n">
        <x:f>IF(BT113=0,0,IF((12*(YEAR(BT$3)-YEAR($B$109))+MONTH(BT$3)-MONTH($B$109)+1)/MAX(1,'Вводные'!$F$91)&lt;=0.2,0.6,IF((12*(YEAR(BT$3)-YEAR($B$109))+MONTH(BT$3)-MONTH($B$109)+1)/MAX(1,'Вводные'!$F$91)&lt;=0.8,1.2,0.8)))</x:f>
      </x:c>
      <x:c r="BU114" s="35" t="n">
        <x:f>IF(BU113=0,0,IF((12*(YEAR(BU$3)-YEAR($B$109))+MONTH(BU$3)-MONTH($B$109)+1)/MAX(1,'Вводные'!$F$91)&lt;=0.2,0.6,IF((12*(YEAR(BU$3)-YEAR($B$109))+MONTH(BU$3)-MONTH($B$109)+1)/MAX(1,'Вводные'!$F$91)&lt;=0.8,1.2,0.8)))</x:f>
      </x:c>
      <x:c r="BV114" s="35" t="n">
        <x:f>IF(BV113=0,0,IF((12*(YEAR(BV$3)-YEAR($B$109))+MONTH(BV$3)-MONTH($B$109)+1)/MAX(1,'Вводные'!$F$91)&lt;=0.2,0.6,IF((12*(YEAR(BV$3)-YEAR($B$109))+MONTH(BV$3)-MONTH($B$109)+1)/MAX(1,'Вводные'!$F$91)&lt;=0.8,1.2,0.8)))</x:f>
      </x:c>
      <x:c r="BW114" s="35" t="n">
        <x:f>IF(BW113=0,0,IF((12*(YEAR(BW$3)-YEAR($B$109))+MONTH(BW$3)-MONTH($B$109)+1)/MAX(1,'Вводные'!$F$91)&lt;=0.2,0.6,IF((12*(YEAR(BW$3)-YEAR($B$109))+MONTH(BW$3)-MONTH($B$109)+1)/MAX(1,'Вводные'!$F$91)&lt;=0.8,1.2,0.8)))</x:f>
      </x:c>
      <x:c r="BX114" s="35" t="n">
        <x:f>IF(BX113=0,0,IF((12*(YEAR(BX$3)-YEAR($B$109))+MONTH(BX$3)-MONTH($B$109)+1)/MAX(1,'Вводные'!$F$91)&lt;=0.2,0.6,IF((12*(YEAR(BX$3)-YEAR($B$109))+MONTH(BX$3)-MONTH($B$109)+1)/MAX(1,'Вводные'!$F$91)&lt;=0.8,1.2,0.8)))</x:f>
      </x:c>
      <x:c r="BY114" s="35" t="n">
        <x:f>IF(BY113=0,0,IF((12*(YEAR(BY$3)-YEAR($B$109))+MONTH(BY$3)-MONTH($B$109)+1)/MAX(1,'Вводные'!$F$91)&lt;=0.2,0.6,IF((12*(YEAR(BY$3)-YEAR($B$109))+MONTH(BY$3)-MONTH($B$109)+1)/MAX(1,'Вводные'!$F$91)&lt;=0.8,1.2,0.8)))</x:f>
      </x:c>
      <x:c r="BZ114" s="35" t="n">
        <x:f>IF(BZ113=0,0,IF((12*(YEAR(BZ$3)-YEAR($B$109))+MONTH(BZ$3)-MONTH($B$109)+1)/MAX(1,'Вводные'!$F$91)&lt;=0.2,0.6,IF((12*(YEAR(BZ$3)-YEAR($B$109))+MONTH(BZ$3)-MONTH($B$109)+1)/MAX(1,'Вводные'!$F$91)&lt;=0.8,1.2,0.8)))</x:f>
      </x:c>
      <x:c r="CA114" s="35" t="n">
        <x:f>IF(CA113=0,0,IF((12*(YEAR(CA$3)-YEAR($B$109))+MONTH(CA$3)-MONTH($B$109)+1)/MAX(1,'Вводные'!$F$91)&lt;=0.2,0.6,IF((12*(YEAR(CA$3)-YEAR($B$109))+MONTH(CA$3)-MONTH($B$109)+1)/MAX(1,'Вводные'!$F$91)&lt;=0.8,1.2,0.8)))</x:f>
      </x:c>
      <x:c r="CB114" s="35" t="n">
        <x:f>IF(CB113=0,0,IF((12*(YEAR(CB$3)-YEAR($B$109))+MONTH(CB$3)-MONTH($B$109)+1)/MAX(1,'Вводные'!$F$91)&lt;=0.2,0.6,IF((12*(YEAR(CB$3)-YEAR($B$109))+MONTH(CB$3)-MONTH($B$109)+1)/MAX(1,'Вводные'!$F$91)&lt;=0.8,1.2,0.8)))</x:f>
      </x:c>
      <x:c r="CC114" s="35" t="n">
        <x:f>IF(CC113=0,0,IF((12*(YEAR(CC$3)-YEAR($B$109))+MONTH(CC$3)-MONTH($B$109)+1)/MAX(1,'Вводные'!$F$91)&lt;=0.2,0.6,IF((12*(YEAR(CC$3)-YEAR($B$109))+MONTH(CC$3)-MONTH($B$109)+1)/MAX(1,'Вводные'!$F$91)&lt;=0.8,1.2,0.8)))</x:f>
      </x:c>
      <x:c r="CD114" s="35" t="n">
        <x:f>IF(CD113=0,0,IF((12*(YEAR(CD$3)-YEAR($B$109))+MONTH(CD$3)-MONTH($B$109)+1)/MAX(1,'Вводные'!$F$91)&lt;=0.2,0.6,IF((12*(YEAR(CD$3)-YEAR($B$109))+MONTH(CD$3)-MONTH($B$109)+1)/MAX(1,'Вводные'!$F$91)&lt;=0.8,1.2,0.8)))</x:f>
      </x:c>
      <x:c r="CE114" s="35" t="n">
        <x:f>IF(CE113=0,0,IF((12*(YEAR(CE$3)-YEAR($B$109))+MONTH(CE$3)-MONTH($B$109)+1)/MAX(1,'Вводные'!$F$91)&lt;=0.2,0.6,IF((12*(YEAR(CE$3)-YEAR($B$109))+MONTH(CE$3)-MONTH($B$109)+1)/MAX(1,'Вводные'!$F$91)&lt;=0.8,1.2,0.8)))</x:f>
      </x:c>
      <x:c r="CF114" s="35" t="n">
        <x:f>IF(CF113=0,0,IF((12*(YEAR(CF$3)-YEAR($B$109))+MONTH(CF$3)-MONTH($B$109)+1)/MAX(1,'Вводные'!$F$91)&lt;=0.2,0.6,IF((12*(YEAR(CF$3)-YEAR($B$109))+MONTH(CF$3)-MONTH($B$109)+1)/MAX(1,'Вводные'!$F$91)&lt;=0.8,1.2,0.8)))</x:f>
      </x:c>
      <x:c r="CG114" s="35" t="n">
        <x:f>IF(CG113=0,0,IF((12*(YEAR(CG$3)-YEAR($B$109))+MONTH(CG$3)-MONTH($B$109)+1)/MAX(1,'Вводные'!$F$91)&lt;=0.2,0.6,IF((12*(YEAR(CG$3)-YEAR($B$109))+MONTH(CG$3)-MONTH($B$109)+1)/MAX(1,'Вводные'!$F$91)&lt;=0.8,1.2,0.8)))</x:f>
      </x:c>
      <x:c r="CH114" s="35" t="n">
        <x:f>IF(CH113=0,0,IF((12*(YEAR(CH$3)-YEAR($B$109))+MONTH(CH$3)-MONTH($B$109)+1)/MAX(1,'Вводные'!$F$91)&lt;=0.2,0.6,IF((12*(YEAR(CH$3)-YEAR($B$109))+MONTH(CH$3)-MONTH($B$109)+1)/MAX(1,'Вводные'!$F$91)&lt;=0.8,1.2,0.8)))</x:f>
      </x:c>
      <x:c r="CI114" s="35" t="n">
        <x:f>IF(CI113=0,0,IF((12*(YEAR(CI$3)-YEAR($B$109))+MONTH(CI$3)-MONTH($B$109)+1)/MAX(1,'Вводные'!$F$91)&lt;=0.2,0.6,IF((12*(YEAR(CI$3)-YEAR($B$109))+MONTH(CI$3)-MONTH($B$109)+1)/MAX(1,'Вводные'!$F$91)&lt;=0.8,1.2,0.8)))</x:f>
      </x:c>
      <x:c r="CJ114" s="35" t="n">
        <x:f>IF(CJ113=0,0,IF((12*(YEAR(CJ$3)-YEAR($B$109))+MONTH(CJ$3)-MONTH($B$109)+1)/MAX(1,'Вводные'!$F$91)&lt;=0.2,0.6,IF((12*(YEAR(CJ$3)-YEAR($B$109))+MONTH(CJ$3)-MONTH($B$109)+1)/MAX(1,'Вводные'!$F$91)&lt;=0.8,1.2,0.8)))</x:f>
      </x:c>
      <x:c r="CK114" s="35" t="n">
        <x:f>IF(CK113=0,0,IF((12*(YEAR(CK$3)-YEAR($B$109))+MONTH(CK$3)-MONTH($B$109)+1)/MAX(1,'Вводные'!$F$91)&lt;=0.2,0.6,IF((12*(YEAR(CK$3)-YEAR($B$109))+MONTH(CK$3)-MONTH($B$109)+1)/MAX(1,'Вводные'!$F$91)&lt;=0.8,1.2,0.8)))</x:f>
      </x:c>
      <x:c r="CL114" s="35" t="n">
        <x:f>IF(CL113=0,0,IF((12*(YEAR(CL$3)-YEAR($B$109))+MONTH(CL$3)-MONTH($B$109)+1)/MAX(1,'Вводные'!$F$91)&lt;=0.2,0.6,IF((12*(YEAR(CL$3)-YEAR($B$109))+MONTH(CL$3)-MONTH($B$109)+1)/MAX(1,'Вводные'!$F$91)&lt;=0.8,1.2,0.8)))</x:f>
      </x:c>
      <x:c r="CM114" s="35" t="n">
        <x:f>IF(CM113=0,0,IF((12*(YEAR(CM$3)-YEAR($B$109))+MONTH(CM$3)-MONTH($B$109)+1)/MAX(1,'Вводные'!$F$91)&lt;=0.2,0.6,IF((12*(YEAR(CM$3)-YEAR($B$109))+MONTH(CM$3)-MONTH($B$109)+1)/MAX(1,'Вводные'!$F$91)&lt;=0.8,1.2,0.8)))</x:f>
      </x:c>
      <x:c r="CN114" s="35" t="n">
        <x:f>IF(CN113=0,0,IF((12*(YEAR(CN$3)-YEAR($B$109))+MONTH(CN$3)-MONTH($B$109)+1)/MAX(1,'Вводные'!$F$91)&lt;=0.2,0.6,IF((12*(YEAR(CN$3)-YEAR($B$109))+MONTH(CN$3)-MONTH($B$109)+1)/MAX(1,'Вводные'!$F$91)&lt;=0.8,1.2,0.8)))</x:f>
      </x:c>
      <x:c r="CO114" s="35" t="n">
        <x:f>IF(CO113=0,0,IF((12*(YEAR(CO$3)-YEAR($B$109))+MONTH(CO$3)-MONTH($B$109)+1)/MAX(1,'Вводные'!$F$91)&lt;=0.2,0.6,IF((12*(YEAR(CO$3)-YEAR($B$109))+MONTH(CO$3)-MONTH($B$109)+1)/MAX(1,'Вводные'!$F$91)&lt;=0.8,1.2,0.8)))</x:f>
      </x:c>
      <x:c r="CP114" s="35" t="n">
        <x:f>IF(CP113=0,0,IF((12*(YEAR(CP$3)-YEAR($B$109))+MONTH(CP$3)-MONTH($B$109)+1)/MAX(1,'Вводные'!$F$91)&lt;=0.2,0.6,IF((12*(YEAR(CP$3)-YEAR($B$109))+MONTH(CP$3)-MONTH($B$109)+1)/MAX(1,'Вводные'!$F$91)&lt;=0.8,1.2,0.8)))</x:f>
      </x:c>
      <x:c r="CQ114" s="35" t="n">
        <x:f>IF(CQ113=0,0,IF((12*(YEAR(CQ$3)-YEAR($B$109))+MONTH(CQ$3)-MONTH($B$109)+1)/MAX(1,'Вводные'!$F$91)&lt;=0.2,0.6,IF((12*(YEAR(CQ$3)-YEAR($B$109))+MONTH(CQ$3)-MONTH($B$109)+1)/MAX(1,'Вводные'!$F$91)&lt;=0.8,1.2,0.8)))</x:f>
      </x:c>
      <x:c r="CR114" s="35" t="n">
        <x:f>IF(CR113=0,0,IF((12*(YEAR(CR$3)-YEAR($B$109))+MONTH(CR$3)-MONTH($B$109)+1)/MAX(1,'Вводные'!$F$91)&lt;=0.2,0.6,IF((12*(YEAR(CR$3)-YEAR($B$109))+MONTH(CR$3)-MONTH($B$109)+1)/MAX(1,'Вводные'!$F$91)&lt;=0.8,1.2,0.8)))</x:f>
      </x:c>
      <x:c r="CS114" s="35" t="n">
        <x:f>IF(CS113=0,0,IF((12*(YEAR(CS$3)-YEAR($B$109))+MONTH(CS$3)-MONTH($B$109)+1)/MAX(1,'Вводные'!$F$91)&lt;=0.2,0.6,IF((12*(YEAR(CS$3)-YEAR($B$109))+MONTH(CS$3)-MONTH($B$109)+1)/MAX(1,'Вводные'!$F$91)&lt;=0.8,1.2,0.8)))</x:f>
      </x:c>
      <x:c r="CT114" s="35" t="n">
        <x:f>IF(CT113=0,0,IF((12*(YEAR(CT$3)-YEAR($B$109))+MONTH(CT$3)-MONTH($B$109)+1)/MAX(1,'Вводные'!$F$91)&lt;=0.2,0.6,IF((12*(YEAR(CT$3)-YEAR($B$109))+MONTH(CT$3)-MONTH($B$109)+1)/MAX(1,'Вводные'!$F$91)&lt;=0.8,1.2,0.8)))</x:f>
      </x:c>
      <x:c r="CU114" s="35" t="n">
        <x:f>IF(CU113=0,0,IF((12*(YEAR(CU$3)-YEAR($B$109))+MONTH(CU$3)-MONTH($B$109)+1)/MAX(1,'Вводные'!$F$91)&lt;=0.2,0.6,IF((12*(YEAR(CU$3)-YEAR($B$109))+MONTH(CU$3)-MONTH($B$109)+1)/MAX(1,'Вводные'!$F$91)&lt;=0.8,1.2,0.8)))</x:f>
      </x:c>
      <x:c r="CV114" s="35" t="n">
        <x:f>IF(CV113=0,0,IF((12*(YEAR(CV$3)-YEAR($B$109))+MONTH(CV$3)-MONTH($B$109)+1)/MAX(1,'Вводные'!$F$91)&lt;=0.2,0.6,IF((12*(YEAR(CV$3)-YEAR($B$109))+MONTH(CV$3)-MONTH($B$109)+1)/MAX(1,'Вводные'!$F$91)&lt;=0.8,1.2,0.8)))</x:f>
      </x:c>
      <x:c r="CW114" s="35" t="n">
        <x:f>IF(CW113=0,0,IF((12*(YEAR(CW$3)-YEAR($B$109))+MONTH(CW$3)-MONTH($B$109)+1)/MAX(1,'Вводные'!$F$91)&lt;=0.2,0.6,IF((12*(YEAR(CW$3)-YEAR($B$109))+MONTH(CW$3)-MONTH($B$109)+1)/MAX(1,'Вводные'!$F$91)&lt;=0.8,1.2,0.8)))</x:f>
      </x:c>
      <x:c r="CX114" s="35" t="n">
        <x:f>IF(CX113=0,0,IF((12*(YEAR(CX$3)-YEAR($B$109))+MONTH(CX$3)-MONTH($B$109)+1)/MAX(1,'Вводные'!$F$91)&lt;=0.2,0.6,IF((12*(YEAR(CX$3)-YEAR($B$109))+MONTH(CX$3)-MONTH($B$109)+1)/MAX(1,'Вводные'!$F$91)&lt;=0.8,1.2,0.8)))</x:f>
      </x:c>
      <x:c r="CY114" s="35" t="n">
        <x:f>IF(CY113=0,0,IF((12*(YEAR(CY$3)-YEAR($B$109))+MONTH(CY$3)-MONTH($B$109)+1)/MAX(1,'Вводные'!$F$91)&lt;=0.2,0.6,IF((12*(YEAR(CY$3)-YEAR($B$109))+MONTH(CY$3)-MONTH($B$109)+1)/MAX(1,'Вводные'!$F$91)&lt;=0.8,1.2,0.8)))</x:f>
      </x:c>
      <x:c r="CZ114" s="35" t="n">
        <x:f>IF(CZ113=0,0,IF((12*(YEAR(CZ$3)-YEAR($B$109))+MONTH(CZ$3)-MONTH($B$109)+1)/MAX(1,'Вводные'!$F$91)&lt;=0.2,0.6,IF((12*(YEAR(CZ$3)-YEAR($B$109))+MONTH(CZ$3)-MONTH($B$109)+1)/MAX(1,'Вводные'!$F$91)&lt;=0.8,1.2,0.8)))</x:f>
      </x:c>
      <x:c r="DA114" s="35" t="n">
        <x:f>IF(DA113=0,0,IF((12*(YEAR(DA$3)-YEAR($B$109))+MONTH(DA$3)-MONTH($B$109)+1)/MAX(1,'Вводные'!$F$91)&lt;=0.2,0.6,IF((12*(YEAR(DA$3)-YEAR($B$109))+MONTH(DA$3)-MONTH($B$109)+1)/MAX(1,'Вводные'!$F$91)&lt;=0.8,1.2,0.8)))</x:f>
      </x:c>
      <x:c r="DB114" s="35" t="n">
        <x:f>IF(DB113=0,0,IF((12*(YEAR(DB$3)-YEAR($B$109))+MONTH(DB$3)-MONTH($B$109)+1)/MAX(1,'Вводные'!$F$91)&lt;=0.2,0.6,IF((12*(YEAR(DB$3)-YEAR($B$109))+MONTH(DB$3)-MONTH($B$109)+1)/MAX(1,'Вводные'!$F$91)&lt;=0.8,1.2,0.8)))</x:f>
      </x:c>
      <x:c r="DC114" s="35" t="n">
        <x:f>IF(DC113=0,0,IF((12*(YEAR(DC$3)-YEAR($B$109))+MONTH(DC$3)-MONTH($B$109)+1)/MAX(1,'Вводные'!$F$91)&lt;=0.2,0.6,IF((12*(YEAR(DC$3)-YEAR($B$109))+MONTH(DC$3)-MONTH($B$109)+1)/MAX(1,'Вводные'!$F$91)&lt;=0.8,1.2,0.8)))</x:f>
      </x:c>
      <x:c r="DD114" s="35" t="n">
        <x:f>IF(DD113=0,0,IF((12*(YEAR(DD$3)-YEAR($B$109))+MONTH(DD$3)-MONTH($B$109)+1)/MAX(1,'Вводные'!$F$91)&lt;=0.2,0.6,IF((12*(YEAR(DD$3)-YEAR($B$109))+MONTH(DD$3)-MONTH($B$109)+1)/MAX(1,'Вводные'!$F$91)&lt;=0.8,1.2,0.8)))</x:f>
      </x:c>
      <x:c r="DE114" s="35" t="n">
        <x:f>IF(DE113=0,0,IF((12*(YEAR(DE$3)-YEAR($B$109))+MONTH(DE$3)-MONTH($B$109)+1)/MAX(1,'Вводные'!$F$91)&lt;=0.2,0.6,IF((12*(YEAR(DE$3)-YEAR($B$109))+MONTH(DE$3)-MONTH($B$109)+1)/MAX(1,'Вводные'!$F$91)&lt;=0.8,1.2,0.8)))</x:f>
      </x:c>
      <x:c r="DF114" s="35" t="n">
        <x:f>IF(DF113=0,0,IF((12*(YEAR(DF$3)-YEAR($B$109))+MONTH(DF$3)-MONTH($B$109)+1)/MAX(1,'Вводные'!$F$91)&lt;=0.2,0.6,IF((12*(YEAR(DF$3)-YEAR($B$109))+MONTH(DF$3)-MONTH($B$109)+1)/MAX(1,'Вводные'!$F$91)&lt;=0.8,1.2,0.8)))</x:f>
      </x:c>
      <x:c r="DG114" s="35" t="n">
        <x:f>IF(DG113=0,0,IF((12*(YEAR(DG$3)-YEAR($B$109))+MONTH(DG$3)-MONTH($B$109)+1)/MAX(1,'Вводные'!$F$91)&lt;=0.2,0.6,IF((12*(YEAR(DG$3)-YEAR($B$109))+MONTH(DG$3)-MONTH($B$109)+1)/MAX(1,'Вводные'!$F$91)&lt;=0.8,1.2,0.8)))</x:f>
      </x:c>
      <x:c r="DH114" s="35" t="n">
        <x:f>IF(DH113=0,0,IF((12*(YEAR(DH$3)-YEAR($B$109))+MONTH(DH$3)-MONTH($B$109)+1)/MAX(1,'Вводные'!$F$91)&lt;=0.2,0.6,IF((12*(YEAR(DH$3)-YEAR($B$109))+MONTH(DH$3)-MONTH($B$109)+1)/MAX(1,'Вводные'!$F$91)&lt;=0.8,1.2,0.8)))</x:f>
      </x:c>
      <x:c r="DI114" s="35" t="n">
        <x:f>IF(DI113=0,0,IF((12*(YEAR(DI$3)-YEAR($B$109))+MONTH(DI$3)-MONTH($B$109)+1)/MAX(1,'Вводные'!$F$91)&lt;=0.2,0.6,IF((12*(YEAR(DI$3)-YEAR($B$109))+MONTH(DI$3)-MONTH($B$109)+1)/MAX(1,'Вводные'!$F$91)&lt;=0.8,1.2,0.8)))</x:f>
      </x:c>
      <x:c r="DJ114" s="35" t="n">
        <x:f>IF(DJ113=0,0,IF((12*(YEAR(DJ$3)-YEAR($B$109))+MONTH(DJ$3)-MONTH($B$109)+1)/MAX(1,'Вводные'!$F$91)&lt;=0.2,0.6,IF((12*(YEAR(DJ$3)-YEAR($B$109))+MONTH(DJ$3)-MONTH($B$109)+1)/MAX(1,'Вводные'!$F$91)&lt;=0.8,1.2,0.8)))</x:f>
      </x:c>
      <x:c r="DK114" s="35" t="n">
        <x:f>IF(DK113=0,0,IF((12*(YEAR(DK$3)-YEAR($B$109))+MONTH(DK$3)-MONTH($B$109)+1)/MAX(1,'Вводные'!$F$91)&lt;=0.2,0.6,IF((12*(YEAR(DK$3)-YEAR($B$109))+MONTH(DK$3)-MONTH($B$109)+1)/MAX(1,'Вводные'!$F$91)&lt;=0.8,1.2,0.8)))</x:f>
      </x:c>
      <x:c r="DL114" s="35" t="n">
        <x:f>IF(DL113=0,0,IF((12*(YEAR(DL$3)-YEAR($B$109))+MONTH(DL$3)-MONTH($B$109)+1)/MAX(1,'Вводные'!$F$91)&lt;=0.2,0.6,IF((12*(YEAR(DL$3)-YEAR($B$109))+MONTH(DL$3)-MONTH($B$109)+1)/MAX(1,'Вводные'!$F$91)&lt;=0.8,1.2,0.8)))</x:f>
      </x:c>
      <x:c r="DM114" s="35" t="n">
        <x:f>IF(DM113=0,0,IF((12*(YEAR(DM$3)-YEAR($B$109))+MONTH(DM$3)-MONTH($B$109)+1)/MAX(1,'Вводные'!$F$91)&lt;=0.2,0.6,IF((12*(YEAR(DM$3)-YEAR($B$109))+MONTH(DM$3)-MONTH($B$109)+1)/MAX(1,'Вводные'!$F$91)&lt;=0.8,1.2,0.8)))</x:f>
      </x:c>
      <x:c r="DN114" s="35" t="n">
        <x:f>IF(DN113=0,0,IF((12*(YEAR(DN$3)-YEAR($B$109))+MONTH(DN$3)-MONTH($B$109)+1)/MAX(1,'Вводные'!$F$91)&lt;=0.2,0.6,IF((12*(YEAR(DN$3)-YEAR($B$109))+MONTH(DN$3)-MONTH($B$109)+1)/MAX(1,'Вводные'!$F$91)&lt;=0.8,1.2,0.8)))</x:f>
      </x:c>
      <x:c r="DO114" s="35" t="n">
        <x:f>IF(DO113=0,0,IF((12*(YEAR(DO$3)-YEAR($B$109))+MONTH(DO$3)-MONTH($B$109)+1)/MAX(1,'Вводные'!$F$91)&lt;=0.2,0.6,IF((12*(YEAR(DO$3)-YEAR($B$109))+MONTH(DO$3)-MONTH($B$109)+1)/MAX(1,'Вводные'!$F$91)&lt;=0.8,1.2,0.8)))</x:f>
      </x:c>
      <x:c r="DP114" s="35" t="n">
        <x:f>IF(DP113=0,0,IF((12*(YEAR(DP$3)-YEAR($B$109))+MONTH(DP$3)-MONTH($B$109)+1)/MAX(1,'Вводные'!$F$91)&lt;=0.2,0.6,IF((12*(YEAR(DP$3)-YEAR($B$109))+MONTH(DP$3)-MONTH($B$109)+1)/MAX(1,'Вводные'!$F$91)&lt;=0.8,1.2,0.8)))</x:f>
      </x:c>
      <x:c r="DQ114" s="35" t="n">
        <x:f>IF(DQ113=0,0,IF((12*(YEAR(DQ$3)-YEAR($B$109))+MONTH(DQ$3)-MONTH($B$109)+1)/MAX(1,'Вводные'!$F$91)&lt;=0.2,0.6,IF((12*(YEAR(DQ$3)-YEAR($B$109))+MONTH(DQ$3)-MONTH($B$109)+1)/MAX(1,'Вводные'!$F$91)&lt;=0.8,1.2,0.8)))</x:f>
      </x:c>
      <x:c r="DR114" s="35" t="n">
        <x:f>IF(DR113=0,0,IF((12*(YEAR(DR$3)-YEAR($B$109))+MONTH(DR$3)-MONTH($B$109)+1)/MAX(1,'Вводные'!$F$91)&lt;=0.2,0.6,IF((12*(YEAR(DR$3)-YEAR($B$109))+MONTH(DR$3)-MONTH($B$109)+1)/MAX(1,'Вводные'!$F$91)&lt;=0.8,1.2,0.8)))</x:f>
      </x:c>
      <x:c r="DS114" s="35" t="n">
        <x:f>IF(DS113=0,0,IF((12*(YEAR(DS$3)-YEAR($B$109))+MONTH(DS$3)-MONTH($B$109)+1)/MAX(1,'Вводные'!$F$91)&lt;=0.2,0.6,IF((12*(YEAR(DS$3)-YEAR($B$109))+MONTH(DS$3)-MONTH($B$109)+1)/MAX(1,'Вводные'!$F$91)&lt;=0.8,1.2,0.8)))</x:f>
      </x:c>
      <x:c r="DT114" s="35" t="n">
        <x:f>IF(DT113=0,0,IF((12*(YEAR(DT$3)-YEAR($B$109))+MONTH(DT$3)-MONTH($B$109)+1)/MAX(1,'Вводные'!$F$91)&lt;=0.2,0.6,IF((12*(YEAR(DT$3)-YEAR($B$109))+MONTH(DT$3)-MONTH($B$109)+1)/MAX(1,'Вводные'!$F$91)&lt;=0.8,1.2,0.8)))</x:f>
      </x:c>
      <x:c r="DU114" s="35" t="n">
        <x:f>IF(DU113=0,0,IF((12*(YEAR(DU$3)-YEAR($B$109))+MONTH(DU$3)-MONTH($B$109)+1)/MAX(1,'Вводные'!$F$91)&lt;=0.2,0.6,IF((12*(YEAR(DU$3)-YEAR($B$109))+MONTH(DU$3)-MONTH($B$109)+1)/MAX(1,'Вводные'!$F$91)&lt;=0.8,1.2,0.8)))</x:f>
      </x:c>
      <x:c r="DV114" s="35" t="n">
        <x:f>IF(DV113=0,0,IF((12*(YEAR(DV$3)-YEAR($B$109))+MONTH(DV$3)-MONTH($B$109)+1)/MAX(1,'Вводные'!$F$91)&lt;=0.2,0.6,IF((12*(YEAR(DV$3)-YEAR($B$109))+MONTH(DV$3)-MONTH($B$109)+1)/MAX(1,'Вводные'!$F$91)&lt;=0.8,1.2,0.8)))</x:f>
      </x:c>
      <x:c r="DW114" s="35" t="n">
        <x:f>IF(DW113=0,0,IF((12*(YEAR(DW$3)-YEAR($B$109))+MONTH(DW$3)-MONTH($B$109)+1)/MAX(1,'Вводные'!$F$91)&lt;=0.2,0.6,IF((12*(YEAR(DW$3)-YEAR($B$109))+MONTH(DW$3)-MONTH($B$109)+1)/MAX(1,'Вводные'!$F$91)&lt;=0.8,1.2,0.8)))</x:f>
      </x:c>
      <x:c r="DX114" s="35" t="n">
        <x:f>IF(DX113=0,0,IF((12*(YEAR(DX$3)-YEAR($B$109))+MONTH(DX$3)-MONTH($B$109)+1)/MAX(1,'Вводные'!$F$91)&lt;=0.2,0.6,IF((12*(YEAR(DX$3)-YEAR($B$109))+MONTH(DX$3)-MONTH($B$109)+1)/MAX(1,'Вводные'!$F$91)&lt;=0.8,1.2,0.8)))</x:f>
      </x:c>
      <x:c r="DY114" s="35" t="n">
        <x:f>IF(DY113=0,0,IF((12*(YEAR(DY$3)-YEAR($B$109))+MONTH(DY$3)-MONTH($B$109)+1)/MAX(1,'Вводные'!$F$91)&lt;=0.2,0.6,IF((12*(YEAR(DY$3)-YEAR($B$109))+MONTH(DY$3)-MONTH($B$109)+1)/MAX(1,'Вводные'!$F$91)&lt;=0.8,1.2,0.8)))</x:f>
      </x:c>
      <x:c r="DZ114" s="35" t="n">
        <x:f>IF(DZ113=0,0,IF((12*(YEAR(DZ$3)-YEAR($B$109))+MONTH(DZ$3)-MONTH($B$109)+1)/MAX(1,'Вводные'!$F$91)&lt;=0.2,0.6,IF((12*(YEAR(DZ$3)-YEAR($B$109))+MONTH(DZ$3)-MONTH($B$109)+1)/MAX(1,'Вводные'!$F$91)&lt;=0.8,1.2,0.8)))</x:f>
      </x:c>
      <x:c r="EA114" s="35" t="n">
        <x:f>IF(EA113=0,0,IF((12*(YEAR(EA$3)-YEAR($B$109))+MONTH(EA$3)-MONTH($B$109)+1)/MAX(1,'Вводные'!$F$91)&lt;=0.2,0.6,IF((12*(YEAR(EA$3)-YEAR($B$109))+MONTH(EA$3)-MONTH($B$109)+1)/MAX(1,'Вводные'!$F$91)&lt;=0.8,1.2,0.8)))</x:f>
      </x:c>
      <x:c r="EB114" s="35" t="n">
        <x:f>IF(EB113=0,0,IF((12*(YEAR(EB$3)-YEAR($B$109))+MONTH(EB$3)-MONTH($B$109)+1)/MAX(1,'Вводные'!$F$91)&lt;=0.2,0.6,IF((12*(YEAR(EB$3)-YEAR($B$109))+MONTH(EB$3)-MONTH($B$109)+1)/MAX(1,'Вводные'!$F$91)&lt;=0.8,1.2,0.8)))</x:f>
      </x:c>
      <x:c r="EC114" s="35" t="n">
        <x:f>IF(EC113=0,0,IF((12*(YEAR(EC$3)-YEAR($B$109))+MONTH(EC$3)-MONTH($B$109)+1)/MAX(1,'Вводные'!$F$91)&lt;=0.2,0.6,IF((12*(YEAR(EC$3)-YEAR($B$109))+MONTH(EC$3)-MONTH($B$109)+1)/MAX(1,'Вводные'!$F$91)&lt;=0.8,1.2,0.8)))</x:f>
      </x:c>
      <x:c r="ED114" s="35" t="n">
        <x:f>IF(ED113=0,0,IF((12*(YEAR(ED$3)-YEAR($B$109))+MONTH(ED$3)-MONTH($B$109)+1)/MAX(1,'Вводные'!$F$91)&lt;=0.2,0.6,IF((12*(YEAR(ED$3)-YEAR($B$109))+MONTH(ED$3)-MONTH($B$109)+1)/MAX(1,'Вводные'!$F$91)&lt;=0.8,1.2,0.8)))</x:f>
      </x:c>
      <x:c r="EE114" s="35" t="n">
        <x:f>IF(EE113=0,0,IF((12*(YEAR(EE$3)-YEAR($B$109))+MONTH(EE$3)-MONTH($B$109)+1)/MAX(1,'Вводные'!$F$91)&lt;=0.2,0.6,IF((12*(YEAR(EE$3)-YEAR($B$109))+MONTH(EE$3)-MONTH($B$109)+1)/MAX(1,'Вводные'!$F$91)&lt;=0.8,1.2,0.8)))</x:f>
      </x:c>
      <x:c r="EF114" s="35" t="n">
        <x:f>IF(EF113=0,0,IF((12*(YEAR(EF$3)-YEAR($B$109))+MONTH(EF$3)-MONTH($B$109)+1)/MAX(1,'Вводные'!$F$91)&lt;=0.2,0.6,IF((12*(YEAR(EF$3)-YEAR($B$109))+MONTH(EF$3)-MONTH($B$109)+1)/MAX(1,'Вводные'!$F$91)&lt;=0.8,1.2,0.8)))</x:f>
      </x:c>
      <x:c r="EG114" s="35" t="n">
        <x:f>IF(EG113=0,0,IF((12*(YEAR(EG$3)-YEAR($B$109))+MONTH(EG$3)-MONTH($B$109)+1)/MAX(1,'Вводные'!$F$91)&lt;=0.2,0.6,IF((12*(YEAR(EG$3)-YEAR($B$109))+MONTH(EG$3)-MONTH($B$109)+1)/MAX(1,'Вводные'!$F$91)&lt;=0.8,1.2,0.8)))</x:f>
      </x:c>
      <x:c r="EH114" s="35" t="n">
        <x:f>IF(EH113=0,0,IF((12*(YEAR(EH$3)-YEAR($B$109))+MONTH(EH$3)-MONTH($B$109)+1)/MAX(1,'Вводные'!$F$91)&lt;=0.2,0.6,IF((12*(YEAR(EH$3)-YEAR($B$109))+MONTH(EH$3)-MONTH($B$109)+1)/MAX(1,'Вводные'!$F$91)&lt;=0.8,1.2,0.8)))</x:f>
      </x:c>
      <x:c r="EI114" s="35" t="n">
        <x:f>IF(EI113=0,0,IF((12*(YEAR(EI$3)-YEAR($B$109))+MONTH(EI$3)-MONTH($B$109)+1)/MAX(1,'Вводные'!$F$91)&lt;=0.2,0.6,IF((12*(YEAR(EI$3)-YEAR($B$109))+MONTH(EI$3)-MONTH($B$109)+1)/MAX(1,'Вводные'!$F$91)&lt;=0.8,1.2,0.8)))</x:f>
      </x:c>
      <x:c r="EJ114" s="35" t="n">
        <x:f>IF(EJ113=0,0,IF((12*(YEAR(EJ$3)-YEAR($B$109))+MONTH(EJ$3)-MONTH($B$109)+1)/MAX(1,'Вводные'!$F$91)&lt;=0.2,0.6,IF((12*(YEAR(EJ$3)-YEAR($B$109))+MONTH(EJ$3)-MONTH($B$109)+1)/MAX(1,'Вводные'!$F$91)&lt;=0.8,1.2,0.8)))</x:f>
      </x:c>
      <x:c r="EK114" s="35" t="n">
        <x:f>IF(EK113=0,0,IF((12*(YEAR(EK$3)-YEAR($B$109))+MONTH(EK$3)-MONTH($B$109)+1)/MAX(1,'Вводные'!$F$91)&lt;=0.2,0.6,IF((12*(YEAR(EK$3)-YEAR($B$109))+MONTH(EK$3)-MONTH($B$109)+1)/MAX(1,'Вводные'!$F$91)&lt;=0.8,1.2,0.8)))</x:f>
      </x:c>
      <x:c r="EL114" s="35" t="n">
        <x:f>IF(EL113=0,0,IF((12*(YEAR(EL$3)-YEAR($B$109))+MONTH(EL$3)-MONTH($B$109)+1)/MAX(1,'Вводные'!$F$91)&lt;=0.2,0.6,IF((12*(YEAR(EL$3)-YEAR($B$109))+MONTH(EL$3)-MONTH($B$109)+1)/MAX(1,'Вводные'!$F$91)&lt;=0.8,1.2,0.8)))</x:f>
      </x:c>
      <x:c r="EM114" s="35" t="n">
        <x:f>IF(EM113=0,0,IF((12*(YEAR(EM$3)-YEAR($B$109))+MONTH(EM$3)-MONTH($B$109)+1)/MAX(1,'Вводные'!$F$91)&lt;=0.2,0.6,IF((12*(YEAR(EM$3)-YEAR($B$109))+MONTH(EM$3)-MONTH($B$109)+1)/MAX(1,'Вводные'!$F$91)&lt;=0.8,1.2,0.8)))</x:f>
      </x:c>
      <x:c r="EN114" s="35" t="n">
        <x:f>IF(EN113=0,0,IF((12*(YEAR(EN$3)-YEAR($B$109))+MONTH(EN$3)-MONTH($B$109)+1)/MAX(1,'Вводные'!$F$91)&lt;=0.2,0.6,IF((12*(YEAR(EN$3)-YEAR($B$109))+MONTH(EN$3)-MONTH($B$109)+1)/MAX(1,'Вводные'!$F$91)&lt;=0.8,1.2,0.8)))</x:f>
      </x:c>
      <x:c r="EO114" s="35" t="n">
        <x:f>IF(EO113=0,0,IF((12*(YEAR(EO$3)-YEAR($B$109))+MONTH(EO$3)-MONTH($B$109)+1)/MAX(1,'Вводные'!$F$91)&lt;=0.2,0.6,IF((12*(YEAR(EO$3)-YEAR($B$109))+MONTH(EO$3)-MONTH($B$109)+1)/MAX(1,'Вводные'!$F$91)&lt;=0.8,1.2,0.8)))</x:f>
      </x:c>
      <x:c r="EP114" s="35" t="n">
        <x:f>IF(EP113=0,0,IF((12*(YEAR(EP$3)-YEAR($B$109))+MONTH(EP$3)-MONTH($B$109)+1)/MAX(1,'Вводные'!$F$91)&lt;=0.2,0.6,IF((12*(YEAR(EP$3)-YEAR($B$109))+MONTH(EP$3)-MONTH($B$109)+1)/MAX(1,'Вводные'!$F$91)&lt;=0.8,1.2,0.8)))</x:f>
      </x:c>
      <x:c r="EQ114" s="35" t="n">
        <x:f>IF(EQ113=0,0,IF((12*(YEAR(EQ$3)-YEAR($B$109))+MONTH(EQ$3)-MONTH($B$109)+1)/MAX(1,'Вводные'!$F$91)&lt;=0.2,0.6,IF((12*(YEAR(EQ$3)-YEAR($B$109))+MONTH(EQ$3)-MONTH($B$109)+1)/MAX(1,'Вводные'!$F$91)&lt;=0.8,1.2,0.8)))</x:f>
      </x:c>
      <x:c r="ER114" s="35" t="n">
        <x:f>IF(ER113=0,0,IF((12*(YEAR(ER$3)-YEAR($B$109))+MONTH(ER$3)-MONTH($B$109)+1)/MAX(1,'Вводные'!$F$91)&lt;=0.2,0.6,IF((12*(YEAR(ER$3)-YEAR($B$109))+MONTH(ER$3)-MONTH($B$109)+1)/MAX(1,'Вводные'!$F$91)&lt;=0.8,1.2,0.8)))</x:f>
      </x:c>
      <x:c r="ES114" s="35" t="n">
        <x:f>IF(ES113=0,0,IF((12*(YEAR(ES$3)-YEAR($B$109))+MONTH(ES$3)-MONTH($B$109)+1)/MAX(1,'Вводные'!$F$91)&lt;=0.2,0.6,IF((12*(YEAR(ES$3)-YEAR($B$109))+MONTH(ES$3)-MONTH($B$109)+1)/MAX(1,'Вводные'!$F$91)&lt;=0.8,1.2,0.8)))</x:f>
      </x:c>
      <x:c r="ET114" s="35" t="n">
        <x:f>IF(ET113=0,0,IF((12*(YEAR(ET$3)-YEAR($B$109))+MONTH(ET$3)-MONTH($B$109)+1)/MAX(1,'Вводные'!$F$91)&lt;=0.2,0.6,IF((12*(YEAR(ET$3)-YEAR($B$109))+MONTH(ET$3)-MONTH($B$109)+1)/MAX(1,'Вводные'!$F$91)&lt;=0.8,1.2,0.8)))</x:f>
      </x:c>
      <x:c r="EU114" s="35" t="n">
        <x:f>IF(EU113=0,0,IF((12*(YEAR(EU$3)-YEAR($B$109))+MONTH(EU$3)-MONTH($B$109)+1)/MAX(1,'Вводные'!$F$91)&lt;=0.2,0.6,IF((12*(YEAR(EU$3)-YEAR($B$109))+MONTH(EU$3)-MONTH($B$109)+1)/MAX(1,'Вводные'!$F$91)&lt;=0.8,1.2,0.8)))</x:f>
      </x:c>
      <x:c r="EV114" s="35" t="n">
        <x:f>IF(EV113=0,0,IF((12*(YEAR(EV$3)-YEAR($B$109))+MONTH(EV$3)-MONTH($B$109)+1)/MAX(1,'Вводные'!$F$91)&lt;=0.2,0.6,IF((12*(YEAR(EV$3)-YEAR($B$109))+MONTH(EV$3)-MONTH($B$109)+1)/MAX(1,'Вводные'!$F$91)&lt;=0.8,1.2,0.8)))</x:f>
      </x:c>
      <x:c r="EW114" s="35" t="n">
        <x:f>IF(EW113=0,0,IF((12*(YEAR(EW$3)-YEAR($B$109))+MONTH(EW$3)-MONTH($B$109)+1)/MAX(1,'Вводные'!$F$91)&lt;=0.2,0.6,IF((12*(YEAR(EW$3)-YEAR($B$109))+MONTH(EW$3)-MONTH($B$109)+1)/MAX(1,'Вводные'!$F$91)&lt;=0.8,1.2,0.8)))</x:f>
      </x:c>
      <x:c r="EX114" s="35" t="n">
        <x:f>IF(EX113=0,0,IF((12*(YEAR(EX$3)-YEAR($B$109))+MONTH(EX$3)-MONTH($B$109)+1)/MAX(1,'Вводные'!$F$91)&lt;=0.2,0.6,IF((12*(YEAR(EX$3)-YEAR($B$109))+MONTH(EX$3)-MONTH($B$109)+1)/MAX(1,'Вводные'!$F$91)&lt;=0.8,1.2,0.8)))</x:f>
      </x:c>
      <x:c r="EY114" s="35" t="n">
        <x:f>IF(EY113=0,0,IF((12*(YEAR(EY$3)-YEAR($B$109))+MONTH(EY$3)-MONTH($B$109)+1)/MAX(1,'Вводные'!$F$91)&lt;=0.2,0.6,IF((12*(YEAR(EY$3)-YEAR($B$109))+MONTH(EY$3)-MONTH($B$109)+1)/MAX(1,'Вводные'!$F$91)&lt;=0.8,1.2,0.8)))</x:f>
      </x:c>
      <x:c r="EZ114" s="35" t="n">
        <x:f>IF(EZ113=0,0,IF((12*(YEAR(EZ$3)-YEAR($B$109))+MONTH(EZ$3)-MONTH($B$109)+1)/MAX(1,'Вводные'!$F$91)&lt;=0.2,0.6,IF((12*(YEAR(EZ$3)-YEAR($B$109))+MONTH(EZ$3)-MONTH($B$109)+1)/MAX(1,'Вводные'!$F$91)&lt;=0.8,1.2,0.8)))</x:f>
      </x:c>
      <x:c r="FA114" s="35" t="n">
        <x:f>IF(FA113=0,0,IF((12*(YEAR(FA$3)-YEAR($B$109))+MONTH(FA$3)-MONTH($B$109)+1)/MAX(1,'Вводные'!$F$91)&lt;=0.2,0.6,IF((12*(YEAR(FA$3)-YEAR($B$109))+MONTH(FA$3)-MONTH($B$109)+1)/MAX(1,'Вводные'!$F$91)&lt;=0.8,1.2,0.8)))</x:f>
      </x:c>
      <x:c r="FB114" s="35" t="n">
        <x:f>IF(FB113=0,0,IF((12*(YEAR(FB$3)-YEAR($B$109))+MONTH(FB$3)-MONTH($B$109)+1)/MAX(1,'Вводные'!$F$91)&lt;=0.2,0.6,IF((12*(YEAR(FB$3)-YEAR($B$109))+MONTH(FB$3)-MONTH($B$109)+1)/MAX(1,'Вводные'!$F$91)&lt;=0.8,1.2,0.8)))</x:f>
      </x:c>
      <x:c r="FC114" s="35" t="n">
        <x:f>IF(FC113=0,0,IF((12*(YEAR(FC$3)-YEAR($B$109))+MONTH(FC$3)-MONTH($B$109)+1)/MAX(1,'Вводные'!$F$91)&lt;=0.2,0.6,IF((12*(YEAR(FC$3)-YEAR($B$109))+MONTH(FC$3)-MONTH($B$109)+1)/MAX(1,'Вводные'!$F$91)&lt;=0.8,1.2,0.8)))</x:f>
      </x:c>
      <x:c r="FD114" s="35" t="n">
        <x:f>IF(FD113=0,0,IF((12*(YEAR(FD$3)-YEAR($B$109))+MONTH(FD$3)-MONTH($B$109)+1)/MAX(1,'Вводные'!$F$91)&lt;=0.2,0.6,IF((12*(YEAR(FD$3)-YEAR($B$109))+MONTH(FD$3)-MONTH($B$109)+1)/MAX(1,'Вводные'!$F$91)&lt;=0.8,1.2,0.8)))</x:f>
      </x:c>
      <x:c r="FE114" s="35" t="n">
        <x:f>IF(FE113=0,0,IF((12*(YEAR(FE$3)-YEAR($B$109))+MONTH(FE$3)-MONTH($B$109)+1)/MAX(1,'Вводные'!$F$91)&lt;=0.2,0.6,IF((12*(YEAR(FE$3)-YEAR($B$109))+MONTH(FE$3)-MONTH($B$109)+1)/MAX(1,'Вводные'!$F$91)&lt;=0.8,1.2,0.8)))</x:f>
      </x:c>
      <x:c r="FF114" s="35" t="n">
        <x:f>IF(FF113=0,0,IF((12*(YEAR(FF$3)-YEAR($B$109))+MONTH(FF$3)-MONTH($B$109)+1)/MAX(1,'Вводные'!$F$91)&lt;=0.2,0.6,IF((12*(YEAR(FF$3)-YEAR($B$109))+MONTH(FF$3)-MONTH($B$109)+1)/MAX(1,'Вводные'!$F$91)&lt;=0.8,1.2,0.8)))</x:f>
      </x:c>
      <x:c r="FG114" s="35" t="n">
        <x:f>IF(FG113=0,0,IF((12*(YEAR(FG$3)-YEAR($B$109))+MONTH(FG$3)-MONTH($B$109)+1)/MAX(1,'Вводные'!$F$91)&lt;=0.2,0.6,IF((12*(YEAR(FG$3)-YEAR($B$109))+MONTH(FG$3)-MONTH($B$109)+1)/MAX(1,'Вводные'!$F$91)&lt;=0.8,1.2,0.8)))</x:f>
      </x:c>
      <x:c r="FH114" s="35" t="n">
        <x:f>IF(FH113=0,0,IF((12*(YEAR(FH$3)-YEAR($B$109))+MONTH(FH$3)-MONTH($B$109)+1)/MAX(1,'Вводные'!$F$91)&lt;=0.2,0.6,IF((12*(YEAR(FH$3)-YEAR($B$109))+MONTH(FH$3)-MONTH($B$109)+1)/MAX(1,'Вводные'!$F$91)&lt;=0.8,1.2,0.8)))</x:f>
      </x:c>
      <x:c r="FI114" s="35" t="n">
        <x:f>IF(FI113=0,0,IF((12*(YEAR(FI$3)-YEAR($B$109))+MONTH(FI$3)-MONTH($B$109)+1)/MAX(1,'Вводные'!$F$91)&lt;=0.2,0.6,IF((12*(YEAR(FI$3)-YEAR($B$109))+MONTH(FI$3)-MONTH($B$109)+1)/MAX(1,'Вводные'!$F$91)&lt;=0.8,1.2,0.8)))</x:f>
      </x:c>
      <x:c r="FJ114" s="35" t="n">
        <x:f>IF(FJ113=0,0,IF((12*(YEAR(FJ$3)-YEAR($B$109))+MONTH(FJ$3)-MONTH($B$109)+1)/MAX(1,'Вводные'!$F$91)&lt;=0.2,0.6,IF((12*(YEAR(FJ$3)-YEAR($B$109))+MONTH(FJ$3)-MONTH($B$109)+1)/MAX(1,'Вводные'!$F$91)&lt;=0.8,1.2,0.8)))</x:f>
      </x:c>
      <x:c r="FK114" s="35" t="n">
        <x:f>IF(FK113=0,0,IF((12*(YEAR(FK$3)-YEAR($B$109))+MONTH(FK$3)-MONTH($B$109)+1)/MAX(1,'Вводные'!$F$91)&lt;=0.2,0.6,IF((12*(YEAR(FK$3)-YEAR($B$109))+MONTH(FK$3)-MONTH($B$109)+1)/MAX(1,'Вводные'!$F$91)&lt;=0.8,1.2,0.8)))</x:f>
      </x:c>
      <x:c r="FL114" s="35" t="n">
        <x:f>IF(FL113=0,0,IF((12*(YEAR(FL$3)-YEAR($B$109))+MONTH(FL$3)-MONTH($B$109)+1)/MAX(1,'Вводные'!$F$91)&lt;=0.2,0.6,IF((12*(YEAR(FL$3)-YEAR($B$109))+MONTH(FL$3)-MONTH($B$109)+1)/MAX(1,'Вводные'!$F$91)&lt;=0.8,1.2,0.8)))</x:f>
      </x:c>
      <x:c r="FM114" s="35" t="n">
        <x:f>IF(FM113=0,0,IF((12*(YEAR(FM$3)-YEAR($B$109))+MONTH(FM$3)-MONTH($B$109)+1)/MAX(1,'Вводные'!$F$91)&lt;=0.2,0.6,IF((12*(YEAR(FM$3)-YEAR($B$109))+MONTH(FM$3)-MONTH($B$109)+1)/MAX(1,'Вводные'!$F$91)&lt;=0.8,1.2,0.8)))</x:f>
      </x:c>
      <x:c r="FN114" s="35" t="n">
        <x:f>IF(FN113=0,0,IF((12*(YEAR(FN$3)-YEAR($B$109))+MONTH(FN$3)-MONTH($B$109)+1)/MAX(1,'Вводные'!$F$91)&lt;=0.2,0.6,IF((12*(YEAR(FN$3)-YEAR($B$109))+MONTH(FN$3)-MONTH($B$109)+1)/MAX(1,'Вводные'!$F$91)&lt;=0.8,1.2,0.8)))</x:f>
      </x:c>
      <x:c r="FO114" s="35" t="n">
        <x:f>IF(FO113=0,0,IF((12*(YEAR(FO$3)-YEAR($B$109))+MONTH(FO$3)-MONTH($B$109)+1)/MAX(1,'Вводные'!$F$91)&lt;=0.2,0.6,IF((12*(YEAR(FO$3)-YEAR($B$109))+MONTH(FO$3)-MONTH($B$109)+1)/MAX(1,'Вводные'!$F$91)&lt;=0.8,1.2,0.8)))</x:f>
      </x:c>
      <x:c r="FP114" s="35" t="n">
        <x:f>IF(FP113=0,0,IF((12*(YEAR(FP$3)-YEAR($B$109))+MONTH(FP$3)-MONTH($B$109)+1)/MAX(1,'Вводные'!$F$91)&lt;=0.2,0.6,IF((12*(YEAR(FP$3)-YEAR($B$109))+MONTH(FP$3)-MONTH($B$109)+1)/MAX(1,'Вводные'!$F$91)&lt;=0.8,1.2,0.8)))</x:f>
      </x:c>
      <x:c r="FQ114" s="35" t="n">
        <x:f>IF(FQ113=0,0,IF((12*(YEAR(FQ$3)-YEAR($B$109))+MONTH(FQ$3)-MONTH($B$109)+1)/MAX(1,'Вводные'!$F$91)&lt;=0.2,0.6,IF((12*(YEAR(FQ$3)-YEAR($B$109))+MONTH(FQ$3)-MONTH($B$109)+1)/MAX(1,'Вводные'!$F$91)&lt;=0.8,1.2,0.8)))</x:f>
      </x:c>
      <x:c r="FR114" s="35" t="n">
        <x:f>IF(FR113=0,0,IF((12*(YEAR(FR$3)-YEAR($B$109))+MONTH(FR$3)-MONTH($B$109)+1)/MAX(1,'Вводные'!$F$91)&lt;=0.2,0.6,IF((12*(YEAR(FR$3)-YEAR($B$109))+MONTH(FR$3)-MONTH($B$109)+1)/MAX(1,'Вводные'!$F$91)&lt;=0.8,1.2,0.8)))</x:f>
      </x:c>
      <x:c r="FS114" s="35" t="n">
        <x:f>IF(FS113=0,0,IF((12*(YEAR(FS$3)-YEAR($B$109))+MONTH(FS$3)-MONTH($B$109)+1)/MAX(1,'Вводные'!$F$91)&lt;=0.2,0.6,IF((12*(YEAR(FS$3)-YEAR($B$109))+MONTH(FS$3)-MONTH($B$109)+1)/MAX(1,'Вводные'!$F$91)&lt;=0.8,1.2,0.8)))</x:f>
      </x:c>
      <x:c r="FT114" s="35" t="n">
        <x:f>IF(FT113=0,0,IF((12*(YEAR(FT$3)-YEAR($B$109))+MONTH(FT$3)-MONTH($B$109)+1)/MAX(1,'Вводные'!$F$91)&lt;=0.2,0.6,IF((12*(YEAR(FT$3)-YEAR($B$109))+MONTH(FT$3)-MONTH($B$109)+1)/MAX(1,'Вводные'!$F$91)&lt;=0.8,1.2,0.8)))</x:f>
      </x:c>
      <x:c r="FU114" s="35" t="n">
        <x:f>IF(FU113=0,0,IF((12*(YEAR(FU$3)-YEAR($B$109))+MONTH(FU$3)-MONTH($B$109)+1)/MAX(1,'Вводные'!$F$91)&lt;=0.2,0.6,IF((12*(YEAR(FU$3)-YEAR($B$109))+MONTH(FU$3)-MONTH($B$109)+1)/MAX(1,'Вводные'!$F$91)&lt;=0.8,1.2,0.8)))</x:f>
      </x:c>
      <x:c r="FV114" s="35" t="n">
        <x:f>IF(FV113=0,0,IF((12*(YEAR(FV$3)-YEAR($B$109))+MONTH(FV$3)-MONTH($B$109)+1)/MAX(1,'Вводные'!$F$91)&lt;=0.2,0.6,IF((12*(YEAR(FV$3)-YEAR($B$109))+MONTH(FV$3)-MONTH($B$109)+1)/MAX(1,'Вводные'!$F$91)&lt;=0.8,1.2,0.8)))</x:f>
      </x:c>
      <x:c r="FW114" s="35" t="n">
        <x:f>IF(FW113=0,0,IF((12*(YEAR(FW$3)-YEAR($B$109))+MONTH(FW$3)-MONTH($B$109)+1)/MAX(1,'Вводные'!$F$91)&lt;=0.2,0.6,IF((12*(YEAR(FW$3)-YEAR($B$109))+MONTH(FW$3)-MONTH($B$109)+1)/MAX(1,'Вводные'!$F$91)&lt;=0.8,1.2,0.8)))</x:f>
      </x:c>
      <x:c r="FX114" s="35" t="n">
        <x:f>IF(FX113=0,0,IF((12*(YEAR(FX$3)-YEAR($B$109))+MONTH(FX$3)-MONTH($B$109)+1)/MAX(1,'Вводные'!$F$91)&lt;=0.2,0.6,IF((12*(YEAR(FX$3)-YEAR($B$109))+MONTH(FX$3)-MONTH($B$109)+1)/MAX(1,'Вводные'!$F$91)&lt;=0.8,1.2,0.8)))</x:f>
      </x:c>
      <x:c r="FY114" s="35" t="n">
        <x:f>IF(FY113=0,0,IF((12*(YEAR(FY$3)-YEAR($B$109))+MONTH(FY$3)-MONTH($B$109)+1)/MAX(1,'Вводные'!$F$91)&lt;=0.2,0.6,IF((12*(YEAR(FY$3)-YEAR($B$109))+MONTH(FY$3)-MONTH($B$109)+1)/MAX(1,'Вводные'!$F$91)&lt;=0.8,1.2,0.8)))</x:f>
      </x:c>
      <x:c r="FZ114" s="35" t="n">
        <x:f>IF(FZ113=0,0,IF((12*(YEAR(FZ$3)-YEAR($B$109))+MONTH(FZ$3)-MONTH($B$109)+1)/MAX(1,'Вводные'!$F$91)&lt;=0.2,0.6,IF((12*(YEAR(FZ$3)-YEAR($B$109))+MONTH(FZ$3)-MONTH($B$109)+1)/MAX(1,'Вводные'!$F$91)&lt;=0.8,1.2,0.8)))</x:f>
      </x:c>
      <x:c r="GA114" s="35" t="n">
        <x:f>IF(GA113=0,0,IF((12*(YEAR(GA$3)-YEAR($B$109))+MONTH(GA$3)-MONTH($B$109)+1)/MAX(1,'Вводные'!$F$91)&lt;=0.2,0.6,IF((12*(YEAR(GA$3)-YEAR($B$109))+MONTH(GA$3)-MONTH($B$109)+1)/MAX(1,'Вводные'!$F$91)&lt;=0.8,1.2,0.8)))</x:f>
      </x:c>
    </x:row>
    <x:row r="115">
      <x:c r="A115" t="str">
        <x:v>Нормированный вес строительства</x:v>
      </x:c>
      <x:c r="B115"/>
      <x:c r="C115" t="str">
        <x:v>%</x:v>
      </x:c>
      <x:c r="D115" s="35" t="n">
        <x:f>IFERROR(D114/SUM($D114:$GA114),0)</x:f>
      </x:c>
      <x:c r="E115" s="35" t="n">
        <x:f>IFERROR(E114/SUM($D114:$GA114),0)</x:f>
      </x:c>
      <x:c r="F115" s="35" t="n">
        <x:f>IFERROR(F114/SUM($D114:$GA114),0)</x:f>
      </x:c>
      <x:c r="G115" s="35" t="n">
        <x:f>IFERROR(G114/SUM($D114:$GA114),0)</x:f>
      </x:c>
      <x:c r="H115" s="35" t="n">
        <x:f>IFERROR(H114/SUM($D114:$GA114),0)</x:f>
      </x:c>
      <x:c r="I115" s="35" t="n">
        <x:f>IFERROR(I114/SUM($D114:$GA114),0)</x:f>
      </x:c>
      <x:c r="J115" s="35" t="n">
        <x:f>IFERROR(J114/SUM($D114:$GA114),0)</x:f>
      </x:c>
      <x:c r="K115" s="35" t="n">
        <x:f>IFERROR(K114/SUM($D114:$GA114),0)</x:f>
      </x:c>
      <x:c r="L115" s="35" t="n">
        <x:f>IFERROR(L114/SUM($D114:$GA114),0)</x:f>
      </x:c>
      <x:c r="M115" s="35" t="n">
        <x:f>IFERROR(M114/SUM($D114:$GA114),0)</x:f>
      </x:c>
      <x:c r="N115" s="35" t="n">
        <x:f>IFERROR(N114/SUM($D114:$GA114),0)</x:f>
      </x:c>
      <x:c r="O115" s="35" t="n">
        <x:f>IFERROR(O114/SUM($D114:$GA114),0)</x:f>
      </x:c>
      <x:c r="P115" s="35" t="n">
        <x:f>IFERROR(P114/SUM($D114:$GA114),0)</x:f>
      </x:c>
      <x:c r="Q115" s="35" t="n">
        <x:f>IFERROR(Q114/SUM($D114:$GA114),0)</x:f>
      </x:c>
      <x:c r="R115" s="35" t="n">
        <x:f>IFERROR(R114/SUM($D114:$GA114),0)</x:f>
      </x:c>
      <x:c r="S115" s="35" t="n">
        <x:f>IFERROR(S114/SUM($D114:$GA114),0)</x:f>
      </x:c>
      <x:c r="T115" s="35" t="n">
        <x:f>IFERROR(T114/SUM($D114:$GA114),0)</x:f>
      </x:c>
      <x:c r="U115" s="35" t="n">
        <x:f>IFERROR(U114/SUM($D114:$GA114),0)</x:f>
      </x:c>
      <x:c r="V115" s="35" t="n">
        <x:f>IFERROR(V114/SUM($D114:$GA114),0)</x:f>
      </x:c>
      <x:c r="W115" s="35" t="n">
        <x:f>IFERROR(W114/SUM($D114:$GA114),0)</x:f>
      </x:c>
      <x:c r="X115" s="35" t="n">
        <x:f>IFERROR(X114/SUM($D114:$GA114),0)</x:f>
      </x:c>
      <x:c r="Y115" s="35" t="n">
        <x:f>IFERROR(Y114/SUM($D114:$GA114),0)</x:f>
      </x:c>
      <x:c r="Z115" s="35" t="n">
        <x:f>IFERROR(Z114/SUM($D114:$GA114),0)</x:f>
      </x:c>
      <x:c r="AA115" s="35" t="n">
        <x:f>IFERROR(AA114/SUM($D114:$GA114),0)</x:f>
      </x:c>
      <x:c r="AB115" s="35" t="n">
        <x:f>IFERROR(AB114/SUM($D114:$GA114),0)</x:f>
      </x:c>
      <x:c r="AC115" s="35" t="n">
        <x:f>IFERROR(AC114/SUM($D114:$GA114),0)</x:f>
      </x:c>
      <x:c r="AD115" s="35" t="n">
        <x:f>IFERROR(AD114/SUM($D114:$GA114),0)</x:f>
      </x:c>
      <x:c r="AE115" s="35" t="n">
        <x:f>IFERROR(AE114/SUM($D114:$GA114),0)</x:f>
      </x:c>
      <x:c r="AF115" s="35" t="n">
        <x:f>IFERROR(AF114/SUM($D114:$GA114),0)</x:f>
      </x:c>
      <x:c r="AG115" s="35" t="n">
        <x:f>IFERROR(AG114/SUM($D114:$GA114),0)</x:f>
      </x:c>
      <x:c r="AH115" s="35" t="n">
        <x:f>IFERROR(AH114/SUM($D114:$GA114),0)</x:f>
      </x:c>
      <x:c r="AI115" s="35" t="n">
        <x:f>IFERROR(AI114/SUM($D114:$GA114),0)</x:f>
      </x:c>
      <x:c r="AJ115" s="35" t="n">
        <x:f>IFERROR(AJ114/SUM($D114:$GA114),0)</x:f>
      </x:c>
      <x:c r="AK115" s="35" t="n">
        <x:f>IFERROR(AK114/SUM($D114:$GA114),0)</x:f>
      </x:c>
      <x:c r="AL115" s="35" t="n">
        <x:f>IFERROR(AL114/SUM($D114:$GA114),0)</x:f>
      </x:c>
      <x:c r="AM115" s="35" t="n">
        <x:f>IFERROR(AM114/SUM($D114:$GA114),0)</x:f>
      </x:c>
      <x:c r="AN115" s="35" t="n">
        <x:f>IFERROR(AN114/SUM($D114:$GA114),0)</x:f>
      </x:c>
      <x:c r="AO115" s="35" t="n">
        <x:f>IFERROR(AO114/SUM($D114:$GA114),0)</x:f>
      </x:c>
      <x:c r="AP115" s="35" t="n">
        <x:f>IFERROR(AP114/SUM($D114:$GA114),0)</x:f>
      </x:c>
      <x:c r="AQ115" s="35" t="n">
        <x:f>IFERROR(AQ114/SUM($D114:$GA114),0)</x:f>
      </x:c>
      <x:c r="AR115" s="35" t="n">
        <x:f>IFERROR(AR114/SUM($D114:$GA114),0)</x:f>
      </x:c>
      <x:c r="AS115" s="35" t="n">
        <x:f>IFERROR(AS114/SUM($D114:$GA114),0)</x:f>
      </x:c>
      <x:c r="AT115" s="35" t="n">
        <x:f>IFERROR(AT114/SUM($D114:$GA114),0)</x:f>
      </x:c>
      <x:c r="AU115" s="35" t="n">
        <x:f>IFERROR(AU114/SUM($D114:$GA114),0)</x:f>
      </x:c>
      <x:c r="AV115" s="35" t="n">
        <x:f>IFERROR(AV114/SUM($D114:$GA114),0)</x:f>
      </x:c>
      <x:c r="AW115" s="35" t="n">
        <x:f>IFERROR(AW114/SUM($D114:$GA114),0)</x:f>
      </x:c>
      <x:c r="AX115" s="35" t="n">
        <x:f>IFERROR(AX114/SUM($D114:$GA114),0)</x:f>
      </x:c>
      <x:c r="AY115" s="35" t="n">
        <x:f>IFERROR(AY114/SUM($D114:$GA114),0)</x:f>
      </x:c>
      <x:c r="AZ115" s="35" t="n">
        <x:f>IFERROR(AZ114/SUM($D114:$GA114),0)</x:f>
      </x:c>
      <x:c r="BA115" s="35" t="n">
        <x:f>IFERROR(BA114/SUM($D114:$GA114),0)</x:f>
      </x:c>
      <x:c r="BB115" s="35" t="n">
        <x:f>IFERROR(BB114/SUM($D114:$GA114),0)</x:f>
      </x:c>
      <x:c r="BC115" s="35" t="n">
        <x:f>IFERROR(BC114/SUM($D114:$GA114),0)</x:f>
      </x:c>
      <x:c r="BD115" s="35" t="n">
        <x:f>IFERROR(BD114/SUM($D114:$GA114),0)</x:f>
      </x:c>
      <x:c r="BE115" s="35" t="n">
        <x:f>IFERROR(BE114/SUM($D114:$GA114),0)</x:f>
      </x:c>
      <x:c r="BF115" s="35" t="n">
        <x:f>IFERROR(BF114/SUM($D114:$GA114),0)</x:f>
      </x:c>
      <x:c r="BG115" s="35" t="n">
        <x:f>IFERROR(BG114/SUM($D114:$GA114),0)</x:f>
      </x:c>
      <x:c r="BH115" s="35" t="n">
        <x:f>IFERROR(BH114/SUM($D114:$GA114),0)</x:f>
      </x:c>
      <x:c r="BI115" s="35" t="n">
        <x:f>IFERROR(BI114/SUM($D114:$GA114),0)</x:f>
      </x:c>
      <x:c r="BJ115" s="35" t="n">
        <x:f>IFERROR(BJ114/SUM($D114:$GA114),0)</x:f>
      </x:c>
      <x:c r="BK115" s="35" t="n">
        <x:f>IFERROR(BK114/SUM($D114:$GA114),0)</x:f>
      </x:c>
      <x:c r="BL115" s="35" t="n">
        <x:f>IFERROR(BL114/SUM($D114:$GA114),0)</x:f>
      </x:c>
      <x:c r="BM115" s="35" t="n">
        <x:f>IFERROR(BM114/SUM($D114:$GA114),0)</x:f>
      </x:c>
      <x:c r="BN115" s="35" t="n">
        <x:f>IFERROR(BN114/SUM($D114:$GA114),0)</x:f>
      </x:c>
      <x:c r="BO115" s="35" t="n">
        <x:f>IFERROR(BO114/SUM($D114:$GA114),0)</x:f>
      </x:c>
      <x:c r="BP115" s="35" t="n">
        <x:f>IFERROR(BP114/SUM($D114:$GA114),0)</x:f>
      </x:c>
      <x:c r="BQ115" s="35" t="n">
        <x:f>IFERROR(BQ114/SUM($D114:$GA114),0)</x:f>
      </x:c>
      <x:c r="BR115" s="35" t="n">
        <x:f>IFERROR(BR114/SUM($D114:$GA114),0)</x:f>
      </x:c>
      <x:c r="BS115" s="35" t="n">
        <x:f>IFERROR(BS114/SUM($D114:$GA114),0)</x:f>
      </x:c>
      <x:c r="BT115" s="35" t="n">
        <x:f>IFERROR(BT114/SUM($D114:$GA114),0)</x:f>
      </x:c>
      <x:c r="BU115" s="35" t="n">
        <x:f>IFERROR(BU114/SUM($D114:$GA114),0)</x:f>
      </x:c>
      <x:c r="BV115" s="35" t="n">
        <x:f>IFERROR(BV114/SUM($D114:$GA114),0)</x:f>
      </x:c>
      <x:c r="BW115" s="35" t="n">
        <x:f>IFERROR(BW114/SUM($D114:$GA114),0)</x:f>
      </x:c>
      <x:c r="BX115" s="35" t="n">
        <x:f>IFERROR(BX114/SUM($D114:$GA114),0)</x:f>
      </x:c>
      <x:c r="BY115" s="35" t="n">
        <x:f>IFERROR(BY114/SUM($D114:$GA114),0)</x:f>
      </x:c>
      <x:c r="BZ115" s="35" t="n">
        <x:f>IFERROR(BZ114/SUM($D114:$GA114),0)</x:f>
      </x:c>
      <x:c r="CA115" s="35" t="n">
        <x:f>IFERROR(CA114/SUM($D114:$GA114),0)</x:f>
      </x:c>
      <x:c r="CB115" s="35" t="n">
        <x:f>IFERROR(CB114/SUM($D114:$GA114),0)</x:f>
      </x:c>
      <x:c r="CC115" s="35" t="n">
        <x:f>IFERROR(CC114/SUM($D114:$GA114),0)</x:f>
      </x:c>
      <x:c r="CD115" s="35" t="n">
        <x:f>IFERROR(CD114/SUM($D114:$GA114),0)</x:f>
      </x:c>
      <x:c r="CE115" s="35" t="n">
        <x:f>IFERROR(CE114/SUM($D114:$GA114),0)</x:f>
      </x:c>
      <x:c r="CF115" s="35" t="n">
        <x:f>IFERROR(CF114/SUM($D114:$GA114),0)</x:f>
      </x:c>
      <x:c r="CG115" s="35" t="n">
        <x:f>IFERROR(CG114/SUM($D114:$GA114),0)</x:f>
      </x:c>
      <x:c r="CH115" s="35" t="n">
        <x:f>IFERROR(CH114/SUM($D114:$GA114),0)</x:f>
      </x:c>
      <x:c r="CI115" s="35" t="n">
        <x:f>IFERROR(CI114/SUM($D114:$GA114),0)</x:f>
      </x:c>
      <x:c r="CJ115" s="35" t="n">
        <x:f>IFERROR(CJ114/SUM($D114:$GA114),0)</x:f>
      </x:c>
      <x:c r="CK115" s="35" t="n">
        <x:f>IFERROR(CK114/SUM($D114:$GA114),0)</x:f>
      </x:c>
      <x:c r="CL115" s="35" t="n">
        <x:f>IFERROR(CL114/SUM($D114:$GA114),0)</x:f>
      </x:c>
      <x:c r="CM115" s="35" t="n">
        <x:f>IFERROR(CM114/SUM($D114:$GA114),0)</x:f>
      </x:c>
      <x:c r="CN115" s="35" t="n">
        <x:f>IFERROR(CN114/SUM($D114:$GA114),0)</x:f>
      </x:c>
      <x:c r="CO115" s="35" t="n">
        <x:f>IFERROR(CO114/SUM($D114:$GA114),0)</x:f>
      </x:c>
      <x:c r="CP115" s="35" t="n">
        <x:f>IFERROR(CP114/SUM($D114:$GA114),0)</x:f>
      </x:c>
      <x:c r="CQ115" s="35" t="n">
        <x:f>IFERROR(CQ114/SUM($D114:$GA114),0)</x:f>
      </x:c>
      <x:c r="CR115" s="35" t="n">
        <x:f>IFERROR(CR114/SUM($D114:$GA114),0)</x:f>
      </x:c>
      <x:c r="CS115" s="35" t="n">
        <x:f>IFERROR(CS114/SUM($D114:$GA114),0)</x:f>
      </x:c>
      <x:c r="CT115" s="35" t="n">
        <x:f>IFERROR(CT114/SUM($D114:$GA114),0)</x:f>
      </x:c>
      <x:c r="CU115" s="35" t="n">
        <x:f>IFERROR(CU114/SUM($D114:$GA114),0)</x:f>
      </x:c>
      <x:c r="CV115" s="35" t="n">
        <x:f>IFERROR(CV114/SUM($D114:$GA114),0)</x:f>
      </x:c>
      <x:c r="CW115" s="35" t="n">
        <x:f>IFERROR(CW114/SUM($D114:$GA114),0)</x:f>
      </x:c>
      <x:c r="CX115" s="35" t="n">
        <x:f>IFERROR(CX114/SUM($D114:$GA114),0)</x:f>
      </x:c>
      <x:c r="CY115" s="35" t="n">
        <x:f>IFERROR(CY114/SUM($D114:$GA114),0)</x:f>
      </x:c>
      <x:c r="CZ115" s="35" t="n">
        <x:f>IFERROR(CZ114/SUM($D114:$GA114),0)</x:f>
      </x:c>
      <x:c r="DA115" s="35" t="n">
        <x:f>IFERROR(DA114/SUM($D114:$GA114),0)</x:f>
      </x:c>
      <x:c r="DB115" s="35" t="n">
        <x:f>IFERROR(DB114/SUM($D114:$GA114),0)</x:f>
      </x:c>
      <x:c r="DC115" s="35" t="n">
        <x:f>IFERROR(DC114/SUM($D114:$GA114),0)</x:f>
      </x:c>
      <x:c r="DD115" s="35" t="n">
        <x:f>IFERROR(DD114/SUM($D114:$GA114),0)</x:f>
      </x:c>
      <x:c r="DE115" s="35" t="n">
        <x:f>IFERROR(DE114/SUM($D114:$GA114),0)</x:f>
      </x:c>
      <x:c r="DF115" s="35" t="n">
        <x:f>IFERROR(DF114/SUM($D114:$GA114),0)</x:f>
      </x:c>
      <x:c r="DG115" s="35" t="n">
        <x:f>IFERROR(DG114/SUM($D114:$GA114),0)</x:f>
      </x:c>
      <x:c r="DH115" s="35" t="n">
        <x:f>IFERROR(DH114/SUM($D114:$GA114),0)</x:f>
      </x:c>
      <x:c r="DI115" s="35" t="n">
        <x:f>IFERROR(DI114/SUM($D114:$GA114),0)</x:f>
      </x:c>
      <x:c r="DJ115" s="35" t="n">
        <x:f>IFERROR(DJ114/SUM($D114:$GA114),0)</x:f>
      </x:c>
      <x:c r="DK115" s="35" t="n">
        <x:f>IFERROR(DK114/SUM($D114:$GA114),0)</x:f>
      </x:c>
      <x:c r="DL115" s="35" t="n">
        <x:f>IFERROR(DL114/SUM($D114:$GA114),0)</x:f>
      </x:c>
      <x:c r="DM115" s="35" t="n">
        <x:f>IFERROR(DM114/SUM($D114:$GA114),0)</x:f>
      </x:c>
      <x:c r="DN115" s="35" t="n">
        <x:f>IFERROR(DN114/SUM($D114:$GA114),0)</x:f>
      </x:c>
      <x:c r="DO115" s="35" t="n">
        <x:f>IFERROR(DO114/SUM($D114:$GA114),0)</x:f>
      </x:c>
      <x:c r="DP115" s="35" t="n">
        <x:f>IFERROR(DP114/SUM($D114:$GA114),0)</x:f>
      </x:c>
      <x:c r="DQ115" s="35" t="n">
        <x:f>IFERROR(DQ114/SUM($D114:$GA114),0)</x:f>
      </x:c>
      <x:c r="DR115" s="35" t="n">
        <x:f>IFERROR(DR114/SUM($D114:$GA114),0)</x:f>
      </x:c>
      <x:c r="DS115" s="35" t="n">
        <x:f>IFERROR(DS114/SUM($D114:$GA114),0)</x:f>
      </x:c>
      <x:c r="DT115" s="35" t="n">
        <x:f>IFERROR(DT114/SUM($D114:$GA114),0)</x:f>
      </x:c>
      <x:c r="DU115" s="35" t="n">
        <x:f>IFERROR(DU114/SUM($D114:$GA114),0)</x:f>
      </x:c>
      <x:c r="DV115" s="35" t="n">
        <x:f>IFERROR(DV114/SUM($D114:$GA114),0)</x:f>
      </x:c>
      <x:c r="DW115" s="35" t="n">
        <x:f>IFERROR(DW114/SUM($D114:$GA114),0)</x:f>
      </x:c>
      <x:c r="DX115" s="35" t="n">
        <x:f>IFERROR(DX114/SUM($D114:$GA114),0)</x:f>
      </x:c>
      <x:c r="DY115" s="35" t="n">
        <x:f>IFERROR(DY114/SUM($D114:$GA114),0)</x:f>
      </x:c>
      <x:c r="DZ115" s="35" t="n">
        <x:f>IFERROR(DZ114/SUM($D114:$GA114),0)</x:f>
      </x:c>
      <x:c r="EA115" s="35" t="n">
        <x:f>IFERROR(EA114/SUM($D114:$GA114),0)</x:f>
      </x:c>
      <x:c r="EB115" s="35" t="n">
        <x:f>IFERROR(EB114/SUM($D114:$GA114),0)</x:f>
      </x:c>
      <x:c r="EC115" s="35" t="n">
        <x:f>IFERROR(EC114/SUM($D114:$GA114),0)</x:f>
      </x:c>
      <x:c r="ED115" s="35" t="n">
        <x:f>IFERROR(ED114/SUM($D114:$GA114),0)</x:f>
      </x:c>
      <x:c r="EE115" s="35" t="n">
        <x:f>IFERROR(EE114/SUM($D114:$GA114),0)</x:f>
      </x:c>
      <x:c r="EF115" s="35" t="n">
        <x:f>IFERROR(EF114/SUM($D114:$GA114),0)</x:f>
      </x:c>
      <x:c r="EG115" s="35" t="n">
        <x:f>IFERROR(EG114/SUM($D114:$GA114),0)</x:f>
      </x:c>
      <x:c r="EH115" s="35" t="n">
        <x:f>IFERROR(EH114/SUM($D114:$GA114),0)</x:f>
      </x:c>
      <x:c r="EI115" s="35" t="n">
        <x:f>IFERROR(EI114/SUM($D114:$GA114),0)</x:f>
      </x:c>
      <x:c r="EJ115" s="35" t="n">
        <x:f>IFERROR(EJ114/SUM($D114:$GA114),0)</x:f>
      </x:c>
      <x:c r="EK115" s="35" t="n">
        <x:f>IFERROR(EK114/SUM($D114:$GA114),0)</x:f>
      </x:c>
      <x:c r="EL115" s="35" t="n">
        <x:f>IFERROR(EL114/SUM($D114:$GA114),0)</x:f>
      </x:c>
      <x:c r="EM115" s="35" t="n">
        <x:f>IFERROR(EM114/SUM($D114:$GA114),0)</x:f>
      </x:c>
      <x:c r="EN115" s="35" t="n">
        <x:f>IFERROR(EN114/SUM($D114:$GA114),0)</x:f>
      </x:c>
      <x:c r="EO115" s="35" t="n">
        <x:f>IFERROR(EO114/SUM($D114:$GA114),0)</x:f>
      </x:c>
      <x:c r="EP115" s="35" t="n">
        <x:f>IFERROR(EP114/SUM($D114:$GA114),0)</x:f>
      </x:c>
      <x:c r="EQ115" s="35" t="n">
        <x:f>IFERROR(EQ114/SUM($D114:$GA114),0)</x:f>
      </x:c>
      <x:c r="ER115" s="35" t="n">
        <x:f>IFERROR(ER114/SUM($D114:$GA114),0)</x:f>
      </x:c>
      <x:c r="ES115" s="35" t="n">
        <x:f>IFERROR(ES114/SUM($D114:$GA114),0)</x:f>
      </x:c>
      <x:c r="ET115" s="35" t="n">
        <x:f>IFERROR(ET114/SUM($D114:$GA114),0)</x:f>
      </x:c>
      <x:c r="EU115" s="35" t="n">
        <x:f>IFERROR(EU114/SUM($D114:$GA114),0)</x:f>
      </x:c>
      <x:c r="EV115" s="35" t="n">
        <x:f>IFERROR(EV114/SUM($D114:$GA114),0)</x:f>
      </x:c>
      <x:c r="EW115" s="35" t="n">
        <x:f>IFERROR(EW114/SUM($D114:$GA114),0)</x:f>
      </x:c>
      <x:c r="EX115" s="35" t="n">
        <x:f>IFERROR(EX114/SUM($D114:$GA114),0)</x:f>
      </x:c>
      <x:c r="EY115" s="35" t="n">
        <x:f>IFERROR(EY114/SUM($D114:$GA114),0)</x:f>
      </x:c>
      <x:c r="EZ115" s="35" t="n">
        <x:f>IFERROR(EZ114/SUM($D114:$GA114),0)</x:f>
      </x:c>
      <x:c r="FA115" s="35" t="n">
        <x:f>IFERROR(FA114/SUM($D114:$GA114),0)</x:f>
      </x:c>
      <x:c r="FB115" s="35" t="n">
        <x:f>IFERROR(FB114/SUM($D114:$GA114),0)</x:f>
      </x:c>
      <x:c r="FC115" s="35" t="n">
        <x:f>IFERROR(FC114/SUM($D114:$GA114),0)</x:f>
      </x:c>
      <x:c r="FD115" s="35" t="n">
        <x:f>IFERROR(FD114/SUM($D114:$GA114),0)</x:f>
      </x:c>
      <x:c r="FE115" s="35" t="n">
        <x:f>IFERROR(FE114/SUM($D114:$GA114),0)</x:f>
      </x:c>
      <x:c r="FF115" s="35" t="n">
        <x:f>IFERROR(FF114/SUM($D114:$GA114),0)</x:f>
      </x:c>
      <x:c r="FG115" s="35" t="n">
        <x:f>IFERROR(FG114/SUM($D114:$GA114),0)</x:f>
      </x:c>
      <x:c r="FH115" s="35" t="n">
        <x:f>IFERROR(FH114/SUM($D114:$GA114),0)</x:f>
      </x:c>
      <x:c r="FI115" s="35" t="n">
        <x:f>IFERROR(FI114/SUM($D114:$GA114),0)</x:f>
      </x:c>
      <x:c r="FJ115" s="35" t="n">
        <x:f>IFERROR(FJ114/SUM($D114:$GA114),0)</x:f>
      </x:c>
      <x:c r="FK115" s="35" t="n">
        <x:f>IFERROR(FK114/SUM($D114:$GA114),0)</x:f>
      </x:c>
      <x:c r="FL115" s="35" t="n">
        <x:f>IFERROR(FL114/SUM($D114:$GA114),0)</x:f>
      </x:c>
      <x:c r="FM115" s="35" t="n">
        <x:f>IFERROR(FM114/SUM($D114:$GA114),0)</x:f>
      </x:c>
      <x:c r="FN115" s="35" t="n">
        <x:f>IFERROR(FN114/SUM($D114:$GA114),0)</x:f>
      </x:c>
      <x:c r="FO115" s="35" t="n">
        <x:f>IFERROR(FO114/SUM($D114:$GA114),0)</x:f>
      </x:c>
      <x:c r="FP115" s="35" t="n">
        <x:f>IFERROR(FP114/SUM($D114:$GA114),0)</x:f>
      </x:c>
      <x:c r="FQ115" s="35" t="n">
        <x:f>IFERROR(FQ114/SUM($D114:$GA114),0)</x:f>
      </x:c>
      <x:c r="FR115" s="35" t="n">
        <x:f>IFERROR(FR114/SUM($D114:$GA114),0)</x:f>
      </x:c>
      <x:c r="FS115" s="35" t="n">
        <x:f>IFERROR(FS114/SUM($D114:$GA114),0)</x:f>
      </x:c>
      <x:c r="FT115" s="35" t="n">
        <x:f>IFERROR(FT114/SUM($D114:$GA114),0)</x:f>
      </x:c>
      <x:c r="FU115" s="35" t="n">
        <x:f>IFERROR(FU114/SUM($D114:$GA114),0)</x:f>
      </x:c>
      <x:c r="FV115" s="35" t="n">
        <x:f>IFERROR(FV114/SUM($D114:$GA114),0)</x:f>
      </x:c>
      <x:c r="FW115" s="35" t="n">
        <x:f>IFERROR(FW114/SUM($D114:$GA114),0)</x:f>
      </x:c>
      <x:c r="FX115" s="35" t="n">
        <x:f>IFERROR(FX114/SUM($D114:$GA114),0)</x:f>
      </x:c>
      <x:c r="FY115" s="35" t="n">
        <x:f>IFERROR(FY114/SUM($D114:$GA114),0)</x:f>
      </x:c>
      <x:c r="FZ115" s="35" t="n">
        <x:f>IFERROR(FZ114/SUM($D114:$GA114),0)</x:f>
      </x:c>
      <x:c r="GA115" s="35" t="n">
        <x:f>IFERROR(GA114/SUM($D114:$GA114),0)</x:f>
      </x:c>
    </x:row>
    <x:row r="116">
      <x:c r="A116" t="str">
        <x:v>Покупка / цена входа</x:v>
      </x:c>
      <x:c r="B116" s="107" t="n">
        <x:f>'Вводные'!$B$15*'Вводные'!$P$91*--('Вводные'!$B$91="Да")</x:f>
      </x:c>
      <x:c r="C116" t="str">
        <x:v>млн ₽</x:v>
      </x:c>
      <x:c r="D116" s="117" t="n">
        <x:f>IF(AND(YEAR(D$3)=YEAR(EDATE('Вводные'!$D$91,'Вводные'!$H$9)),MONTH(D$3)=MONTH(EDATE('Вводные'!$D$91,'Вводные'!$H$9))),$B$116,0)</x:f>
      </x:c>
      <x:c r="E116" s="117" t="n">
        <x:f>IF(AND(YEAR(E$3)=YEAR(EDATE('Вводные'!$D$91,'Вводные'!$H$9)),MONTH(E$3)=MONTH(EDATE('Вводные'!$D$91,'Вводные'!$H$9))),$B$116,0)</x:f>
      </x:c>
      <x:c r="F116" s="117" t="n">
        <x:f>IF(AND(YEAR(F$3)=YEAR(EDATE('Вводные'!$D$91,'Вводные'!$H$9)),MONTH(F$3)=MONTH(EDATE('Вводные'!$D$91,'Вводные'!$H$9))),$B$116,0)</x:f>
      </x:c>
      <x:c r="G116" s="117" t="n">
        <x:f>IF(AND(YEAR(G$3)=YEAR(EDATE('Вводные'!$D$91,'Вводные'!$H$9)),MONTH(G$3)=MONTH(EDATE('Вводные'!$D$91,'Вводные'!$H$9))),$B$116,0)</x:f>
      </x:c>
      <x:c r="H116" s="117" t="n">
        <x:f>IF(AND(YEAR(H$3)=YEAR(EDATE('Вводные'!$D$91,'Вводные'!$H$9)),MONTH(H$3)=MONTH(EDATE('Вводные'!$D$91,'Вводные'!$H$9))),$B$116,0)</x:f>
      </x:c>
      <x:c r="I116" s="117" t="n">
        <x:f>IF(AND(YEAR(I$3)=YEAR(EDATE('Вводные'!$D$91,'Вводные'!$H$9)),MONTH(I$3)=MONTH(EDATE('Вводные'!$D$91,'Вводные'!$H$9))),$B$116,0)</x:f>
      </x:c>
      <x:c r="J116" s="117" t="n">
        <x:f>IF(AND(YEAR(J$3)=YEAR(EDATE('Вводные'!$D$91,'Вводные'!$H$9)),MONTH(J$3)=MONTH(EDATE('Вводные'!$D$91,'Вводные'!$H$9))),$B$116,0)</x:f>
      </x:c>
      <x:c r="K116" s="117" t="n">
        <x:f>IF(AND(YEAR(K$3)=YEAR(EDATE('Вводные'!$D$91,'Вводные'!$H$9)),MONTH(K$3)=MONTH(EDATE('Вводные'!$D$91,'Вводные'!$H$9))),$B$116,0)</x:f>
      </x:c>
      <x:c r="L116" s="117" t="n">
        <x:f>IF(AND(YEAR(L$3)=YEAR(EDATE('Вводные'!$D$91,'Вводные'!$H$9)),MONTH(L$3)=MONTH(EDATE('Вводные'!$D$91,'Вводные'!$H$9))),$B$116,0)</x:f>
      </x:c>
      <x:c r="M116" s="117" t="n">
        <x:f>IF(AND(YEAR(M$3)=YEAR(EDATE('Вводные'!$D$91,'Вводные'!$H$9)),MONTH(M$3)=MONTH(EDATE('Вводные'!$D$91,'Вводные'!$H$9))),$B$116,0)</x:f>
      </x:c>
      <x:c r="N116" s="117" t="n">
        <x:f>IF(AND(YEAR(N$3)=YEAR(EDATE('Вводные'!$D$91,'Вводные'!$H$9)),MONTH(N$3)=MONTH(EDATE('Вводные'!$D$91,'Вводные'!$H$9))),$B$116,0)</x:f>
      </x:c>
      <x:c r="O116" s="117" t="n">
        <x:f>IF(AND(YEAR(O$3)=YEAR(EDATE('Вводные'!$D$91,'Вводные'!$H$9)),MONTH(O$3)=MONTH(EDATE('Вводные'!$D$91,'Вводные'!$H$9))),$B$116,0)</x:f>
      </x:c>
      <x:c r="P116" s="117" t="n">
        <x:f>IF(AND(YEAR(P$3)=YEAR(EDATE('Вводные'!$D$91,'Вводные'!$H$9)),MONTH(P$3)=MONTH(EDATE('Вводные'!$D$91,'Вводные'!$H$9))),$B$116,0)</x:f>
      </x:c>
      <x:c r="Q116" s="117" t="n">
        <x:f>IF(AND(YEAR(Q$3)=YEAR(EDATE('Вводные'!$D$91,'Вводные'!$H$9)),MONTH(Q$3)=MONTH(EDATE('Вводные'!$D$91,'Вводные'!$H$9))),$B$116,0)</x:f>
      </x:c>
      <x:c r="R116" s="117" t="n">
        <x:f>IF(AND(YEAR(R$3)=YEAR(EDATE('Вводные'!$D$91,'Вводные'!$H$9)),MONTH(R$3)=MONTH(EDATE('Вводные'!$D$91,'Вводные'!$H$9))),$B$116,0)</x:f>
      </x:c>
      <x:c r="S116" s="117" t="n">
        <x:f>IF(AND(YEAR(S$3)=YEAR(EDATE('Вводные'!$D$91,'Вводные'!$H$9)),MONTH(S$3)=MONTH(EDATE('Вводные'!$D$91,'Вводные'!$H$9))),$B$116,0)</x:f>
      </x:c>
      <x:c r="T116" s="117" t="n">
        <x:f>IF(AND(YEAR(T$3)=YEAR(EDATE('Вводные'!$D$91,'Вводные'!$H$9)),MONTH(T$3)=MONTH(EDATE('Вводные'!$D$91,'Вводные'!$H$9))),$B$116,0)</x:f>
      </x:c>
      <x:c r="U116" s="117" t="n">
        <x:f>IF(AND(YEAR(U$3)=YEAR(EDATE('Вводные'!$D$91,'Вводные'!$H$9)),MONTH(U$3)=MONTH(EDATE('Вводные'!$D$91,'Вводные'!$H$9))),$B$116,0)</x:f>
      </x:c>
      <x:c r="V116" s="117" t="n">
        <x:f>IF(AND(YEAR(V$3)=YEAR(EDATE('Вводные'!$D$91,'Вводные'!$H$9)),MONTH(V$3)=MONTH(EDATE('Вводные'!$D$91,'Вводные'!$H$9))),$B$116,0)</x:f>
      </x:c>
      <x:c r="W116" s="117" t="n">
        <x:f>IF(AND(YEAR(W$3)=YEAR(EDATE('Вводные'!$D$91,'Вводные'!$H$9)),MONTH(W$3)=MONTH(EDATE('Вводные'!$D$91,'Вводные'!$H$9))),$B$116,0)</x:f>
      </x:c>
      <x:c r="X116" s="117" t="n">
        <x:f>IF(AND(YEAR(X$3)=YEAR(EDATE('Вводные'!$D$91,'Вводные'!$H$9)),MONTH(X$3)=MONTH(EDATE('Вводные'!$D$91,'Вводные'!$H$9))),$B$116,0)</x:f>
      </x:c>
      <x:c r="Y116" s="117" t="n">
        <x:f>IF(AND(YEAR(Y$3)=YEAR(EDATE('Вводные'!$D$91,'Вводные'!$H$9)),MONTH(Y$3)=MONTH(EDATE('Вводные'!$D$91,'Вводные'!$H$9))),$B$116,0)</x:f>
      </x:c>
      <x:c r="Z116" s="117" t="n">
        <x:f>IF(AND(YEAR(Z$3)=YEAR(EDATE('Вводные'!$D$91,'Вводные'!$H$9)),MONTH(Z$3)=MONTH(EDATE('Вводные'!$D$91,'Вводные'!$H$9))),$B$116,0)</x:f>
      </x:c>
      <x:c r="AA116" s="117" t="n">
        <x:f>IF(AND(YEAR(AA$3)=YEAR(EDATE('Вводные'!$D$91,'Вводные'!$H$9)),MONTH(AA$3)=MONTH(EDATE('Вводные'!$D$91,'Вводные'!$H$9))),$B$116,0)</x:f>
      </x:c>
      <x:c r="AB116" s="117" t="n">
        <x:f>IF(AND(YEAR(AB$3)=YEAR(EDATE('Вводные'!$D$91,'Вводные'!$H$9)),MONTH(AB$3)=MONTH(EDATE('Вводные'!$D$91,'Вводные'!$H$9))),$B$116,0)</x:f>
      </x:c>
      <x:c r="AC116" s="117" t="n">
        <x:f>IF(AND(YEAR(AC$3)=YEAR(EDATE('Вводные'!$D$91,'Вводные'!$H$9)),MONTH(AC$3)=MONTH(EDATE('Вводные'!$D$91,'Вводные'!$H$9))),$B$116,0)</x:f>
      </x:c>
      <x:c r="AD116" s="117" t="n">
        <x:f>IF(AND(YEAR(AD$3)=YEAR(EDATE('Вводные'!$D$91,'Вводные'!$H$9)),MONTH(AD$3)=MONTH(EDATE('Вводные'!$D$91,'Вводные'!$H$9))),$B$116,0)</x:f>
      </x:c>
      <x:c r="AE116" s="117" t="n">
        <x:f>IF(AND(YEAR(AE$3)=YEAR(EDATE('Вводные'!$D$91,'Вводные'!$H$9)),MONTH(AE$3)=MONTH(EDATE('Вводные'!$D$91,'Вводные'!$H$9))),$B$116,0)</x:f>
      </x:c>
      <x:c r="AF116" s="117" t="n">
        <x:f>IF(AND(YEAR(AF$3)=YEAR(EDATE('Вводные'!$D$91,'Вводные'!$H$9)),MONTH(AF$3)=MONTH(EDATE('Вводные'!$D$91,'Вводные'!$H$9))),$B$116,0)</x:f>
      </x:c>
      <x:c r="AG116" s="117" t="n">
        <x:f>IF(AND(YEAR(AG$3)=YEAR(EDATE('Вводные'!$D$91,'Вводные'!$H$9)),MONTH(AG$3)=MONTH(EDATE('Вводные'!$D$91,'Вводные'!$H$9))),$B$116,0)</x:f>
      </x:c>
      <x:c r="AH116" s="117" t="n">
        <x:f>IF(AND(YEAR(AH$3)=YEAR(EDATE('Вводные'!$D$91,'Вводные'!$H$9)),MONTH(AH$3)=MONTH(EDATE('Вводные'!$D$91,'Вводные'!$H$9))),$B$116,0)</x:f>
      </x:c>
      <x:c r="AI116" s="117" t="n">
        <x:f>IF(AND(YEAR(AI$3)=YEAR(EDATE('Вводные'!$D$91,'Вводные'!$H$9)),MONTH(AI$3)=MONTH(EDATE('Вводные'!$D$91,'Вводные'!$H$9))),$B$116,0)</x:f>
      </x:c>
      <x:c r="AJ116" s="117" t="n">
        <x:f>IF(AND(YEAR(AJ$3)=YEAR(EDATE('Вводные'!$D$91,'Вводные'!$H$9)),MONTH(AJ$3)=MONTH(EDATE('Вводные'!$D$91,'Вводные'!$H$9))),$B$116,0)</x:f>
      </x:c>
      <x:c r="AK116" s="117" t="n">
        <x:f>IF(AND(YEAR(AK$3)=YEAR(EDATE('Вводные'!$D$91,'Вводные'!$H$9)),MONTH(AK$3)=MONTH(EDATE('Вводные'!$D$91,'Вводные'!$H$9))),$B$116,0)</x:f>
      </x:c>
      <x:c r="AL116" s="117" t="n">
        <x:f>IF(AND(YEAR(AL$3)=YEAR(EDATE('Вводные'!$D$91,'Вводные'!$H$9)),MONTH(AL$3)=MONTH(EDATE('Вводные'!$D$91,'Вводные'!$H$9))),$B$116,0)</x:f>
      </x:c>
      <x:c r="AM116" s="117" t="n">
        <x:f>IF(AND(YEAR(AM$3)=YEAR(EDATE('Вводные'!$D$91,'Вводные'!$H$9)),MONTH(AM$3)=MONTH(EDATE('Вводные'!$D$91,'Вводные'!$H$9))),$B$116,0)</x:f>
      </x:c>
      <x:c r="AN116" s="117" t="n">
        <x:f>IF(AND(YEAR(AN$3)=YEAR(EDATE('Вводные'!$D$91,'Вводные'!$H$9)),MONTH(AN$3)=MONTH(EDATE('Вводные'!$D$91,'Вводные'!$H$9))),$B$116,0)</x:f>
      </x:c>
      <x:c r="AO116" s="117" t="n">
        <x:f>IF(AND(YEAR(AO$3)=YEAR(EDATE('Вводные'!$D$91,'Вводные'!$H$9)),MONTH(AO$3)=MONTH(EDATE('Вводные'!$D$91,'Вводные'!$H$9))),$B$116,0)</x:f>
      </x:c>
      <x:c r="AP116" s="117" t="n">
        <x:f>IF(AND(YEAR(AP$3)=YEAR(EDATE('Вводные'!$D$91,'Вводные'!$H$9)),MONTH(AP$3)=MONTH(EDATE('Вводные'!$D$91,'Вводные'!$H$9))),$B$116,0)</x:f>
      </x:c>
      <x:c r="AQ116" s="117" t="n">
        <x:f>IF(AND(YEAR(AQ$3)=YEAR(EDATE('Вводные'!$D$91,'Вводные'!$H$9)),MONTH(AQ$3)=MONTH(EDATE('Вводные'!$D$91,'Вводные'!$H$9))),$B$116,0)</x:f>
      </x:c>
      <x:c r="AR116" s="117" t="n">
        <x:f>IF(AND(YEAR(AR$3)=YEAR(EDATE('Вводные'!$D$91,'Вводные'!$H$9)),MONTH(AR$3)=MONTH(EDATE('Вводные'!$D$91,'Вводные'!$H$9))),$B$116,0)</x:f>
      </x:c>
      <x:c r="AS116" s="117" t="n">
        <x:f>IF(AND(YEAR(AS$3)=YEAR(EDATE('Вводные'!$D$91,'Вводные'!$H$9)),MONTH(AS$3)=MONTH(EDATE('Вводные'!$D$91,'Вводные'!$H$9))),$B$116,0)</x:f>
      </x:c>
      <x:c r="AT116" s="117" t="n">
        <x:f>IF(AND(YEAR(AT$3)=YEAR(EDATE('Вводные'!$D$91,'Вводные'!$H$9)),MONTH(AT$3)=MONTH(EDATE('Вводные'!$D$91,'Вводные'!$H$9))),$B$116,0)</x:f>
      </x:c>
      <x:c r="AU116" s="117" t="n">
        <x:f>IF(AND(YEAR(AU$3)=YEAR(EDATE('Вводные'!$D$91,'Вводные'!$H$9)),MONTH(AU$3)=MONTH(EDATE('Вводные'!$D$91,'Вводные'!$H$9))),$B$116,0)</x:f>
      </x:c>
      <x:c r="AV116" s="117" t="n">
        <x:f>IF(AND(YEAR(AV$3)=YEAR(EDATE('Вводные'!$D$91,'Вводные'!$H$9)),MONTH(AV$3)=MONTH(EDATE('Вводные'!$D$91,'Вводные'!$H$9))),$B$116,0)</x:f>
      </x:c>
      <x:c r="AW116" s="117" t="n">
        <x:f>IF(AND(YEAR(AW$3)=YEAR(EDATE('Вводные'!$D$91,'Вводные'!$H$9)),MONTH(AW$3)=MONTH(EDATE('Вводные'!$D$91,'Вводные'!$H$9))),$B$116,0)</x:f>
      </x:c>
      <x:c r="AX116" s="117" t="n">
        <x:f>IF(AND(YEAR(AX$3)=YEAR(EDATE('Вводные'!$D$91,'Вводные'!$H$9)),MONTH(AX$3)=MONTH(EDATE('Вводные'!$D$91,'Вводные'!$H$9))),$B$116,0)</x:f>
      </x:c>
      <x:c r="AY116" s="117" t="n">
        <x:f>IF(AND(YEAR(AY$3)=YEAR(EDATE('Вводные'!$D$91,'Вводные'!$H$9)),MONTH(AY$3)=MONTH(EDATE('Вводные'!$D$91,'Вводные'!$H$9))),$B$116,0)</x:f>
      </x:c>
      <x:c r="AZ116" s="117" t="n">
        <x:f>IF(AND(YEAR(AZ$3)=YEAR(EDATE('Вводные'!$D$91,'Вводные'!$H$9)),MONTH(AZ$3)=MONTH(EDATE('Вводные'!$D$91,'Вводные'!$H$9))),$B$116,0)</x:f>
      </x:c>
      <x:c r="BA116" s="117" t="n">
        <x:f>IF(AND(YEAR(BA$3)=YEAR(EDATE('Вводные'!$D$91,'Вводные'!$H$9)),MONTH(BA$3)=MONTH(EDATE('Вводные'!$D$91,'Вводные'!$H$9))),$B$116,0)</x:f>
      </x:c>
      <x:c r="BB116" s="117" t="n">
        <x:f>IF(AND(YEAR(BB$3)=YEAR(EDATE('Вводные'!$D$91,'Вводные'!$H$9)),MONTH(BB$3)=MONTH(EDATE('Вводные'!$D$91,'Вводные'!$H$9))),$B$116,0)</x:f>
      </x:c>
      <x:c r="BC116" s="117" t="n">
        <x:f>IF(AND(YEAR(BC$3)=YEAR(EDATE('Вводные'!$D$91,'Вводные'!$H$9)),MONTH(BC$3)=MONTH(EDATE('Вводные'!$D$91,'Вводные'!$H$9))),$B$116,0)</x:f>
      </x:c>
      <x:c r="BD116" s="117" t="n">
        <x:f>IF(AND(YEAR(BD$3)=YEAR(EDATE('Вводные'!$D$91,'Вводные'!$H$9)),MONTH(BD$3)=MONTH(EDATE('Вводные'!$D$91,'Вводные'!$H$9))),$B$116,0)</x:f>
      </x:c>
      <x:c r="BE116" s="117" t="n">
        <x:f>IF(AND(YEAR(BE$3)=YEAR(EDATE('Вводные'!$D$91,'Вводные'!$H$9)),MONTH(BE$3)=MONTH(EDATE('Вводные'!$D$91,'Вводные'!$H$9))),$B$116,0)</x:f>
      </x:c>
      <x:c r="BF116" s="117" t="n">
        <x:f>IF(AND(YEAR(BF$3)=YEAR(EDATE('Вводные'!$D$91,'Вводные'!$H$9)),MONTH(BF$3)=MONTH(EDATE('Вводные'!$D$91,'Вводные'!$H$9))),$B$116,0)</x:f>
      </x:c>
      <x:c r="BG116" s="117" t="n">
        <x:f>IF(AND(YEAR(BG$3)=YEAR(EDATE('Вводные'!$D$91,'Вводные'!$H$9)),MONTH(BG$3)=MONTH(EDATE('Вводные'!$D$91,'Вводные'!$H$9))),$B$116,0)</x:f>
      </x:c>
      <x:c r="BH116" s="117" t="n">
        <x:f>IF(AND(YEAR(BH$3)=YEAR(EDATE('Вводные'!$D$91,'Вводные'!$H$9)),MONTH(BH$3)=MONTH(EDATE('Вводные'!$D$91,'Вводные'!$H$9))),$B$116,0)</x:f>
      </x:c>
      <x:c r="BI116" s="117" t="n">
        <x:f>IF(AND(YEAR(BI$3)=YEAR(EDATE('Вводные'!$D$91,'Вводные'!$H$9)),MONTH(BI$3)=MONTH(EDATE('Вводные'!$D$91,'Вводные'!$H$9))),$B$116,0)</x:f>
      </x:c>
      <x:c r="BJ116" s="117" t="n">
        <x:f>IF(AND(YEAR(BJ$3)=YEAR(EDATE('Вводные'!$D$91,'Вводные'!$H$9)),MONTH(BJ$3)=MONTH(EDATE('Вводные'!$D$91,'Вводные'!$H$9))),$B$116,0)</x:f>
      </x:c>
      <x:c r="BK116" s="117" t="n">
        <x:f>IF(AND(YEAR(BK$3)=YEAR(EDATE('Вводные'!$D$91,'Вводные'!$H$9)),MONTH(BK$3)=MONTH(EDATE('Вводные'!$D$91,'Вводные'!$H$9))),$B$116,0)</x:f>
      </x:c>
      <x:c r="BL116" s="117" t="n">
        <x:f>IF(AND(YEAR(BL$3)=YEAR(EDATE('Вводные'!$D$91,'Вводные'!$H$9)),MONTH(BL$3)=MONTH(EDATE('Вводные'!$D$91,'Вводные'!$H$9))),$B$116,0)</x:f>
      </x:c>
      <x:c r="BM116" s="117" t="n">
        <x:f>IF(AND(YEAR(BM$3)=YEAR(EDATE('Вводные'!$D$91,'Вводные'!$H$9)),MONTH(BM$3)=MONTH(EDATE('Вводные'!$D$91,'Вводные'!$H$9))),$B$116,0)</x:f>
      </x:c>
      <x:c r="BN116" s="117" t="n">
        <x:f>IF(AND(YEAR(BN$3)=YEAR(EDATE('Вводные'!$D$91,'Вводные'!$H$9)),MONTH(BN$3)=MONTH(EDATE('Вводные'!$D$91,'Вводные'!$H$9))),$B$116,0)</x:f>
      </x:c>
      <x:c r="BO116" s="117" t="n">
        <x:f>IF(AND(YEAR(BO$3)=YEAR(EDATE('Вводные'!$D$91,'Вводные'!$H$9)),MONTH(BO$3)=MONTH(EDATE('Вводные'!$D$91,'Вводные'!$H$9))),$B$116,0)</x:f>
      </x:c>
      <x:c r="BP116" s="117" t="n">
        <x:f>IF(AND(YEAR(BP$3)=YEAR(EDATE('Вводные'!$D$91,'Вводные'!$H$9)),MONTH(BP$3)=MONTH(EDATE('Вводные'!$D$91,'Вводные'!$H$9))),$B$116,0)</x:f>
      </x:c>
      <x:c r="BQ116" s="117" t="n">
        <x:f>IF(AND(YEAR(BQ$3)=YEAR(EDATE('Вводные'!$D$91,'Вводные'!$H$9)),MONTH(BQ$3)=MONTH(EDATE('Вводные'!$D$91,'Вводные'!$H$9))),$B$116,0)</x:f>
      </x:c>
      <x:c r="BR116" s="117" t="n">
        <x:f>IF(AND(YEAR(BR$3)=YEAR(EDATE('Вводные'!$D$91,'Вводные'!$H$9)),MONTH(BR$3)=MONTH(EDATE('Вводные'!$D$91,'Вводные'!$H$9))),$B$116,0)</x:f>
      </x:c>
      <x:c r="BS116" s="117" t="n">
        <x:f>IF(AND(YEAR(BS$3)=YEAR(EDATE('Вводные'!$D$91,'Вводные'!$H$9)),MONTH(BS$3)=MONTH(EDATE('Вводные'!$D$91,'Вводные'!$H$9))),$B$116,0)</x:f>
      </x:c>
      <x:c r="BT116" s="117" t="n">
        <x:f>IF(AND(YEAR(BT$3)=YEAR(EDATE('Вводные'!$D$91,'Вводные'!$H$9)),MONTH(BT$3)=MONTH(EDATE('Вводные'!$D$91,'Вводные'!$H$9))),$B$116,0)</x:f>
      </x:c>
      <x:c r="BU116" s="117" t="n">
        <x:f>IF(AND(YEAR(BU$3)=YEAR(EDATE('Вводные'!$D$91,'Вводные'!$H$9)),MONTH(BU$3)=MONTH(EDATE('Вводные'!$D$91,'Вводные'!$H$9))),$B$116,0)</x:f>
      </x:c>
      <x:c r="BV116" s="117" t="n">
        <x:f>IF(AND(YEAR(BV$3)=YEAR(EDATE('Вводные'!$D$91,'Вводные'!$H$9)),MONTH(BV$3)=MONTH(EDATE('Вводные'!$D$91,'Вводные'!$H$9))),$B$116,0)</x:f>
      </x:c>
      <x:c r="BW116" s="117" t="n">
        <x:f>IF(AND(YEAR(BW$3)=YEAR(EDATE('Вводные'!$D$91,'Вводные'!$H$9)),MONTH(BW$3)=MONTH(EDATE('Вводные'!$D$91,'Вводные'!$H$9))),$B$116,0)</x:f>
      </x:c>
      <x:c r="BX116" s="117" t="n">
        <x:f>IF(AND(YEAR(BX$3)=YEAR(EDATE('Вводные'!$D$91,'Вводные'!$H$9)),MONTH(BX$3)=MONTH(EDATE('Вводные'!$D$91,'Вводные'!$H$9))),$B$116,0)</x:f>
      </x:c>
      <x:c r="BY116" s="117" t="n">
        <x:f>IF(AND(YEAR(BY$3)=YEAR(EDATE('Вводные'!$D$91,'Вводные'!$H$9)),MONTH(BY$3)=MONTH(EDATE('Вводные'!$D$91,'Вводные'!$H$9))),$B$116,0)</x:f>
      </x:c>
      <x:c r="BZ116" s="117" t="n">
        <x:f>IF(AND(YEAR(BZ$3)=YEAR(EDATE('Вводные'!$D$91,'Вводные'!$H$9)),MONTH(BZ$3)=MONTH(EDATE('Вводные'!$D$91,'Вводные'!$H$9))),$B$116,0)</x:f>
      </x:c>
      <x:c r="CA116" s="117" t="n">
        <x:f>IF(AND(YEAR(CA$3)=YEAR(EDATE('Вводные'!$D$91,'Вводные'!$H$9)),MONTH(CA$3)=MONTH(EDATE('Вводные'!$D$91,'Вводные'!$H$9))),$B$116,0)</x:f>
      </x:c>
      <x:c r="CB116" s="117" t="n">
        <x:f>IF(AND(YEAR(CB$3)=YEAR(EDATE('Вводные'!$D$91,'Вводные'!$H$9)),MONTH(CB$3)=MONTH(EDATE('Вводные'!$D$91,'Вводные'!$H$9))),$B$116,0)</x:f>
      </x:c>
      <x:c r="CC116" s="117" t="n">
        <x:f>IF(AND(YEAR(CC$3)=YEAR(EDATE('Вводные'!$D$91,'Вводные'!$H$9)),MONTH(CC$3)=MONTH(EDATE('Вводные'!$D$91,'Вводные'!$H$9))),$B$116,0)</x:f>
      </x:c>
      <x:c r="CD116" s="117" t="n">
        <x:f>IF(AND(YEAR(CD$3)=YEAR(EDATE('Вводные'!$D$91,'Вводные'!$H$9)),MONTH(CD$3)=MONTH(EDATE('Вводные'!$D$91,'Вводные'!$H$9))),$B$116,0)</x:f>
      </x:c>
      <x:c r="CE116" s="117" t="n">
        <x:f>IF(AND(YEAR(CE$3)=YEAR(EDATE('Вводные'!$D$91,'Вводные'!$H$9)),MONTH(CE$3)=MONTH(EDATE('Вводные'!$D$91,'Вводные'!$H$9))),$B$116,0)</x:f>
      </x:c>
      <x:c r="CF116" s="117" t="n">
        <x:f>IF(AND(YEAR(CF$3)=YEAR(EDATE('Вводные'!$D$91,'Вводные'!$H$9)),MONTH(CF$3)=MONTH(EDATE('Вводные'!$D$91,'Вводные'!$H$9))),$B$116,0)</x:f>
      </x:c>
      <x:c r="CG116" s="117" t="n">
        <x:f>IF(AND(YEAR(CG$3)=YEAR(EDATE('Вводные'!$D$91,'Вводные'!$H$9)),MONTH(CG$3)=MONTH(EDATE('Вводные'!$D$91,'Вводные'!$H$9))),$B$116,0)</x:f>
      </x:c>
      <x:c r="CH116" s="117" t="n">
        <x:f>IF(AND(YEAR(CH$3)=YEAR(EDATE('Вводные'!$D$91,'Вводные'!$H$9)),MONTH(CH$3)=MONTH(EDATE('Вводные'!$D$91,'Вводные'!$H$9))),$B$116,0)</x:f>
      </x:c>
      <x:c r="CI116" s="117" t="n">
        <x:f>IF(AND(YEAR(CI$3)=YEAR(EDATE('Вводные'!$D$91,'Вводные'!$H$9)),MONTH(CI$3)=MONTH(EDATE('Вводные'!$D$91,'Вводные'!$H$9))),$B$116,0)</x:f>
      </x:c>
      <x:c r="CJ116" s="117" t="n">
        <x:f>IF(AND(YEAR(CJ$3)=YEAR(EDATE('Вводные'!$D$91,'Вводные'!$H$9)),MONTH(CJ$3)=MONTH(EDATE('Вводные'!$D$91,'Вводные'!$H$9))),$B$116,0)</x:f>
      </x:c>
      <x:c r="CK116" s="117" t="n">
        <x:f>IF(AND(YEAR(CK$3)=YEAR(EDATE('Вводные'!$D$91,'Вводные'!$H$9)),MONTH(CK$3)=MONTH(EDATE('Вводные'!$D$91,'Вводные'!$H$9))),$B$116,0)</x:f>
      </x:c>
      <x:c r="CL116" s="117" t="n">
        <x:f>IF(AND(YEAR(CL$3)=YEAR(EDATE('Вводные'!$D$91,'Вводные'!$H$9)),MONTH(CL$3)=MONTH(EDATE('Вводные'!$D$91,'Вводные'!$H$9))),$B$116,0)</x:f>
      </x:c>
      <x:c r="CM116" s="117" t="n">
        <x:f>IF(AND(YEAR(CM$3)=YEAR(EDATE('Вводные'!$D$91,'Вводные'!$H$9)),MONTH(CM$3)=MONTH(EDATE('Вводные'!$D$91,'Вводные'!$H$9))),$B$116,0)</x:f>
      </x:c>
      <x:c r="CN116" s="117" t="n">
        <x:f>IF(AND(YEAR(CN$3)=YEAR(EDATE('Вводные'!$D$91,'Вводные'!$H$9)),MONTH(CN$3)=MONTH(EDATE('Вводные'!$D$91,'Вводные'!$H$9))),$B$116,0)</x:f>
      </x:c>
      <x:c r="CO116" s="117" t="n">
        <x:f>IF(AND(YEAR(CO$3)=YEAR(EDATE('Вводные'!$D$91,'Вводные'!$H$9)),MONTH(CO$3)=MONTH(EDATE('Вводные'!$D$91,'Вводные'!$H$9))),$B$116,0)</x:f>
      </x:c>
      <x:c r="CP116" s="117" t="n">
        <x:f>IF(AND(YEAR(CP$3)=YEAR(EDATE('Вводные'!$D$91,'Вводные'!$H$9)),MONTH(CP$3)=MONTH(EDATE('Вводные'!$D$91,'Вводные'!$H$9))),$B$116,0)</x:f>
      </x:c>
      <x:c r="CQ116" s="117" t="n">
        <x:f>IF(AND(YEAR(CQ$3)=YEAR(EDATE('Вводные'!$D$91,'Вводные'!$H$9)),MONTH(CQ$3)=MONTH(EDATE('Вводные'!$D$91,'Вводные'!$H$9))),$B$116,0)</x:f>
      </x:c>
      <x:c r="CR116" s="117" t="n">
        <x:f>IF(AND(YEAR(CR$3)=YEAR(EDATE('Вводные'!$D$91,'Вводные'!$H$9)),MONTH(CR$3)=MONTH(EDATE('Вводные'!$D$91,'Вводные'!$H$9))),$B$116,0)</x:f>
      </x:c>
      <x:c r="CS116" s="117" t="n">
        <x:f>IF(AND(YEAR(CS$3)=YEAR(EDATE('Вводные'!$D$91,'Вводные'!$H$9)),MONTH(CS$3)=MONTH(EDATE('Вводные'!$D$91,'Вводные'!$H$9))),$B$116,0)</x:f>
      </x:c>
      <x:c r="CT116" s="117" t="n">
        <x:f>IF(AND(YEAR(CT$3)=YEAR(EDATE('Вводные'!$D$91,'Вводные'!$H$9)),MONTH(CT$3)=MONTH(EDATE('Вводные'!$D$91,'Вводные'!$H$9))),$B$116,0)</x:f>
      </x:c>
      <x:c r="CU116" s="117" t="n">
        <x:f>IF(AND(YEAR(CU$3)=YEAR(EDATE('Вводные'!$D$91,'Вводные'!$H$9)),MONTH(CU$3)=MONTH(EDATE('Вводные'!$D$91,'Вводные'!$H$9))),$B$116,0)</x:f>
      </x:c>
      <x:c r="CV116" s="117" t="n">
        <x:f>IF(AND(YEAR(CV$3)=YEAR(EDATE('Вводные'!$D$91,'Вводные'!$H$9)),MONTH(CV$3)=MONTH(EDATE('Вводные'!$D$91,'Вводные'!$H$9))),$B$116,0)</x:f>
      </x:c>
      <x:c r="CW116" s="117" t="n">
        <x:f>IF(AND(YEAR(CW$3)=YEAR(EDATE('Вводные'!$D$91,'Вводные'!$H$9)),MONTH(CW$3)=MONTH(EDATE('Вводные'!$D$91,'Вводные'!$H$9))),$B$116,0)</x:f>
      </x:c>
      <x:c r="CX116" s="117" t="n">
        <x:f>IF(AND(YEAR(CX$3)=YEAR(EDATE('Вводные'!$D$91,'Вводные'!$H$9)),MONTH(CX$3)=MONTH(EDATE('Вводные'!$D$91,'Вводные'!$H$9))),$B$116,0)</x:f>
      </x:c>
      <x:c r="CY116" s="117" t="n">
        <x:f>IF(AND(YEAR(CY$3)=YEAR(EDATE('Вводные'!$D$91,'Вводные'!$H$9)),MONTH(CY$3)=MONTH(EDATE('Вводные'!$D$91,'Вводные'!$H$9))),$B$116,0)</x:f>
      </x:c>
      <x:c r="CZ116" s="117" t="n">
        <x:f>IF(AND(YEAR(CZ$3)=YEAR(EDATE('Вводные'!$D$91,'Вводные'!$H$9)),MONTH(CZ$3)=MONTH(EDATE('Вводные'!$D$91,'Вводные'!$H$9))),$B$116,0)</x:f>
      </x:c>
      <x:c r="DA116" s="117" t="n">
        <x:f>IF(AND(YEAR(DA$3)=YEAR(EDATE('Вводные'!$D$91,'Вводные'!$H$9)),MONTH(DA$3)=MONTH(EDATE('Вводные'!$D$91,'Вводные'!$H$9))),$B$116,0)</x:f>
      </x:c>
      <x:c r="DB116" s="117" t="n">
        <x:f>IF(AND(YEAR(DB$3)=YEAR(EDATE('Вводные'!$D$91,'Вводные'!$H$9)),MONTH(DB$3)=MONTH(EDATE('Вводные'!$D$91,'Вводные'!$H$9))),$B$116,0)</x:f>
      </x:c>
      <x:c r="DC116" s="117" t="n">
        <x:f>IF(AND(YEAR(DC$3)=YEAR(EDATE('Вводные'!$D$91,'Вводные'!$H$9)),MONTH(DC$3)=MONTH(EDATE('Вводные'!$D$91,'Вводные'!$H$9))),$B$116,0)</x:f>
      </x:c>
      <x:c r="DD116" s="117" t="n">
        <x:f>IF(AND(YEAR(DD$3)=YEAR(EDATE('Вводные'!$D$91,'Вводные'!$H$9)),MONTH(DD$3)=MONTH(EDATE('Вводные'!$D$91,'Вводные'!$H$9))),$B$116,0)</x:f>
      </x:c>
      <x:c r="DE116" s="117" t="n">
        <x:f>IF(AND(YEAR(DE$3)=YEAR(EDATE('Вводные'!$D$91,'Вводные'!$H$9)),MONTH(DE$3)=MONTH(EDATE('Вводные'!$D$91,'Вводные'!$H$9))),$B$116,0)</x:f>
      </x:c>
      <x:c r="DF116" s="117" t="n">
        <x:f>IF(AND(YEAR(DF$3)=YEAR(EDATE('Вводные'!$D$91,'Вводные'!$H$9)),MONTH(DF$3)=MONTH(EDATE('Вводные'!$D$91,'Вводные'!$H$9))),$B$116,0)</x:f>
      </x:c>
      <x:c r="DG116" s="117" t="n">
        <x:f>IF(AND(YEAR(DG$3)=YEAR(EDATE('Вводные'!$D$91,'Вводные'!$H$9)),MONTH(DG$3)=MONTH(EDATE('Вводные'!$D$91,'Вводные'!$H$9))),$B$116,0)</x:f>
      </x:c>
      <x:c r="DH116" s="117" t="n">
        <x:f>IF(AND(YEAR(DH$3)=YEAR(EDATE('Вводные'!$D$91,'Вводные'!$H$9)),MONTH(DH$3)=MONTH(EDATE('Вводные'!$D$91,'Вводные'!$H$9))),$B$116,0)</x:f>
      </x:c>
      <x:c r="DI116" s="117" t="n">
        <x:f>IF(AND(YEAR(DI$3)=YEAR(EDATE('Вводные'!$D$91,'Вводные'!$H$9)),MONTH(DI$3)=MONTH(EDATE('Вводные'!$D$91,'Вводные'!$H$9))),$B$116,0)</x:f>
      </x:c>
      <x:c r="DJ116" s="117" t="n">
        <x:f>IF(AND(YEAR(DJ$3)=YEAR(EDATE('Вводные'!$D$91,'Вводные'!$H$9)),MONTH(DJ$3)=MONTH(EDATE('Вводные'!$D$91,'Вводные'!$H$9))),$B$116,0)</x:f>
      </x:c>
      <x:c r="DK116" s="117" t="n">
        <x:f>IF(AND(YEAR(DK$3)=YEAR(EDATE('Вводные'!$D$91,'Вводные'!$H$9)),MONTH(DK$3)=MONTH(EDATE('Вводные'!$D$91,'Вводные'!$H$9))),$B$116,0)</x:f>
      </x:c>
      <x:c r="DL116" s="117" t="n">
        <x:f>IF(AND(YEAR(DL$3)=YEAR(EDATE('Вводные'!$D$91,'Вводные'!$H$9)),MONTH(DL$3)=MONTH(EDATE('Вводные'!$D$91,'Вводные'!$H$9))),$B$116,0)</x:f>
      </x:c>
      <x:c r="DM116" s="117" t="n">
        <x:f>IF(AND(YEAR(DM$3)=YEAR(EDATE('Вводные'!$D$91,'Вводные'!$H$9)),MONTH(DM$3)=MONTH(EDATE('Вводные'!$D$91,'Вводные'!$H$9))),$B$116,0)</x:f>
      </x:c>
      <x:c r="DN116" s="117" t="n">
        <x:f>IF(AND(YEAR(DN$3)=YEAR(EDATE('Вводные'!$D$91,'Вводные'!$H$9)),MONTH(DN$3)=MONTH(EDATE('Вводные'!$D$91,'Вводные'!$H$9))),$B$116,0)</x:f>
      </x:c>
      <x:c r="DO116" s="117" t="n">
        <x:f>IF(AND(YEAR(DO$3)=YEAR(EDATE('Вводные'!$D$91,'Вводные'!$H$9)),MONTH(DO$3)=MONTH(EDATE('Вводные'!$D$91,'Вводные'!$H$9))),$B$116,0)</x:f>
      </x:c>
      <x:c r="DP116" s="117" t="n">
        <x:f>IF(AND(YEAR(DP$3)=YEAR(EDATE('Вводные'!$D$91,'Вводные'!$H$9)),MONTH(DP$3)=MONTH(EDATE('Вводные'!$D$91,'Вводные'!$H$9))),$B$116,0)</x:f>
      </x:c>
      <x:c r="DQ116" s="117" t="n">
        <x:f>IF(AND(YEAR(DQ$3)=YEAR(EDATE('Вводные'!$D$91,'Вводные'!$H$9)),MONTH(DQ$3)=MONTH(EDATE('Вводные'!$D$91,'Вводные'!$H$9))),$B$116,0)</x:f>
      </x:c>
      <x:c r="DR116" s="117" t="n">
        <x:f>IF(AND(YEAR(DR$3)=YEAR(EDATE('Вводные'!$D$91,'Вводные'!$H$9)),MONTH(DR$3)=MONTH(EDATE('Вводные'!$D$91,'Вводные'!$H$9))),$B$116,0)</x:f>
      </x:c>
      <x:c r="DS116" s="117" t="n">
        <x:f>IF(AND(YEAR(DS$3)=YEAR(EDATE('Вводные'!$D$91,'Вводные'!$H$9)),MONTH(DS$3)=MONTH(EDATE('Вводные'!$D$91,'Вводные'!$H$9))),$B$116,0)</x:f>
      </x:c>
      <x:c r="DT116" s="117" t="n">
        <x:f>IF(AND(YEAR(DT$3)=YEAR(EDATE('Вводные'!$D$91,'Вводные'!$H$9)),MONTH(DT$3)=MONTH(EDATE('Вводные'!$D$91,'Вводные'!$H$9))),$B$116,0)</x:f>
      </x:c>
      <x:c r="DU116" s="117" t="n">
        <x:f>IF(AND(YEAR(DU$3)=YEAR(EDATE('Вводные'!$D$91,'Вводные'!$H$9)),MONTH(DU$3)=MONTH(EDATE('Вводные'!$D$91,'Вводные'!$H$9))),$B$116,0)</x:f>
      </x:c>
      <x:c r="DV116" s="117" t="n">
        <x:f>IF(AND(YEAR(DV$3)=YEAR(EDATE('Вводные'!$D$91,'Вводные'!$H$9)),MONTH(DV$3)=MONTH(EDATE('Вводные'!$D$91,'Вводные'!$H$9))),$B$116,0)</x:f>
      </x:c>
      <x:c r="DW116" s="117" t="n">
        <x:f>IF(AND(YEAR(DW$3)=YEAR(EDATE('Вводные'!$D$91,'Вводные'!$H$9)),MONTH(DW$3)=MONTH(EDATE('Вводные'!$D$91,'Вводные'!$H$9))),$B$116,0)</x:f>
      </x:c>
      <x:c r="DX116" s="117" t="n">
        <x:f>IF(AND(YEAR(DX$3)=YEAR(EDATE('Вводные'!$D$91,'Вводные'!$H$9)),MONTH(DX$3)=MONTH(EDATE('Вводные'!$D$91,'Вводные'!$H$9))),$B$116,0)</x:f>
      </x:c>
      <x:c r="DY116" s="117" t="n">
        <x:f>IF(AND(YEAR(DY$3)=YEAR(EDATE('Вводные'!$D$91,'Вводные'!$H$9)),MONTH(DY$3)=MONTH(EDATE('Вводные'!$D$91,'Вводные'!$H$9))),$B$116,0)</x:f>
      </x:c>
      <x:c r="DZ116" s="117" t="n">
        <x:f>IF(AND(YEAR(DZ$3)=YEAR(EDATE('Вводные'!$D$91,'Вводные'!$H$9)),MONTH(DZ$3)=MONTH(EDATE('Вводные'!$D$91,'Вводные'!$H$9))),$B$116,0)</x:f>
      </x:c>
      <x:c r="EA116" s="117" t="n">
        <x:f>IF(AND(YEAR(EA$3)=YEAR(EDATE('Вводные'!$D$91,'Вводные'!$H$9)),MONTH(EA$3)=MONTH(EDATE('Вводные'!$D$91,'Вводные'!$H$9))),$B$116,0)</x:f>
      </x:c>
      <x:c r="EB116" s="117" t="n">
        <x:f>IF(AND(YEAR(EB$3)=YEAR(EDATE('Вводные'!$D$91,'Вводные'!$H$9)),MONTH(EB$3)=MONTH(EDATE('Вводные'!$D$91,'Вводные'!$H$9))),$B$116,0)</x:f>
      </x:c>
      <x:c r="EC116" s="117" t="n">
        <x:f>IF(AND(YEAR(EC$3)=YEAR(EDATE('Вводные'!$D$91,'Вводные'!$H$9)),MONTH(EC$3)=MONTH(EDATE('Вводные'!$D$91,'Вводные'!$H$9))),$B$116,0)</x:f>
      </x:c>
      <x:c r="ED116" s="117" t="n">
        <x:f>IF(AND(YEAR(ED$3)=YEAR(EDATE('Вводные'!$D$91,'Вводные'!$H$9)),MONTH(ED$3)=MONTH(EDATE('Вводные'!$D$91,'Вводные'!$H$9))),$B$116,0)</x:f>
      </x:c>
      <x:c r="EE116" s="117" t="n">
        <x:f>IF(AND(YEAR(EE$3)=YEAR(EDATE('Вводные'!$D$91,'Вводные'!$H$9)),MONTH(EE$3)=MONTH(EDATE('Вводные'!$D$91,'Вводные'!$H$9))),$B$116,0)</x:f>
      </x:c>
      <x:c r="EF116" s="117" t="n">
        <x:f>IF(AND(YEAR(EF$3)=YEAR(EDATE('Вводные'!$D$91,'Вводные'!$H$9)),MONTH(EF$3)=MONTH(EDATE('Вводные'!$D$91,'Вводные'!$H$9))),$B$116,0)</x:f>
      </x:c>
      <x:c r="EG116" s="117" t="n">
        <x:f>IF(AND(YEAR(EG$3)=YEAR(EDATE('Вводные'!$D$91,'Вводные'!$H$9)),MONTH(EG$3)=MONTH(EDATE('Вводные'!$D$91,'Вводные'!$H$9))),$B$116,0)</x:f>
      </x:c>
      <x:c r="EH116" s="117" t="n">
        <x:f>IF(AND(YEAR(EH$3)=YEAR(EDATE('Вводные'!$D$91,'Вводные'!$H$9)),MONTH(EH$3)=MONTH(EDATE('Вводные'!$D$91,'Вводные'!$H$9))),$B$116,0)</x:f>
      </x:c>
      <x:c r="EI116" s="117" t="n">
        <x:f>IF(AND(YEAR(EI$3)=YEAR(EDATE('Вводные'!$D$91,'Вводные'!$H$9)),MONTH(EI$3)=MONTH(EDATE('Вводные'!$D$91,'Вводные'!$H$9))),$B$116,0)</x:f>
      </x:c>
      <x:c r="EJ116" s="117" t="n">
        <x:f>IF(AND(YEAR(EJ$3)=YEAR(EDATE('Вводные'!$D$91,'Вводные'!$H$9)),MONTH(EJ$3)=MONTH(EDATE('Вводные'!$D$91,'Вводные'!$H$9))),$B$116,0)</x:f>
      </x:c>
      <x:c r="EK116" s="117" t="n">
        <x:f>IF(AND(YEAR(EK$3)=YEAR(EDATE('Вводные'!$D$91,'Вводные'!$H$9)),MONTH(EK$3)=MONTH(EDATE('Вводные'!$D$91,'Вводные'!$H$9))),$B$116,0)</x:f>
      </x:c>
      <x:c r="EL116" s="117" t="n">
        <x:f>IF(AND(YEAR(EL$3)=YEAR(EDATE('Вводные'!$D$91,'Вводные'!$H$9)),MONTH(EL$3)=MONTH(EDATE('Вводные'!$D$91,'Вводные'!$H$9))),$B$116,0)</x:f>
      </x:c>
      <x:c r="EM116" s="117" t="n">
        <x:f>IF(AND(YEAR(EM$3)=YEAR(EDATE('Вводные'!$D$91,'Вводные'!$H$9)),MONTH(EM$3)=MONTH(EDATE('Вводные'!$D$91,'Вводные'!$H$9))),$B$116,0)</x:f>
      </x:c>
      <x:c r="EN116" s="117" t="n">
        <x:f>IF(AND(YEAR(EN$3)=YEAR(EDATE('Вводные'!$D$91,'Вводные'!$H$9)),MONTH(EN$3)=MONTH(EDATE('Вводные'!$D$91,'Вводные'!$H$9))),$B$116,0)</x:f>
      </x:c>
      <x:c r="EO116" s="117" t="n">
        <x:f>IF(AND(YEAR(EO$3)=YEAR(EDATE('Вводные'!$D$91,'Вводные'!$H$9)),MONTH(EO$3)=MONTH(EDATE('Вводные'!$D$91,'Вводные'!$H$9))),$B$116,0)</x:f>
      </x:c>
      <x:c r="EP116" s="117" t="n">
        <x:f>IF(AND(YEAR(EP$3)=YEAR(EDATE('Вводные'!$D$91,'Вводные'!$H$9)),MONTH(EP$3)=MONTH(EDATE('Вводные'!$D$91,'Вводные'!$H$9))),$B$116,0)</x:f>
      </x:c>
      <x:c r="EQ116" s="117" t="n">
        <x:f>IF(AND(YEAR(EQ$3)=YEAR(EDATE('Вводные'!$D$91,'Вводные'!$H$9)),MONTH(EQ$3)=MONTH(EDATE('Вводные'!$D$91,'Вводные'!$H$9))),$B$116,0)</x:f>
      </x:c>
      <x:c r="ER116" s="117" t="n">
        <x:f>IF(AND(YEAR(ER$3)=YEAR(EDATE('Вводные'!$D$91,'Вводные'!$H$9)),MONTH(ER$3)=MONTH(EDATE('Вводные'!$D$91,'Вводные'!$H$9))),$B$116,0)</x:f>
      </x:c>
      <x:c r="ES116" s="117" t="n">
        <x:f>IF(AND(YEAR(ES$3)=YEAR(EDATE('Вводные'!$D$91,'Вводные'!$H$9)),MONTH(ES$3)=MONTH(EDATE('Вводные'!$D$91,'Вводные'!$H$9))),$B$116,0)</x:f>
      </x:c>
      <x:c r="ET116" s="117" t="n">
        <x:f>IF(AND(YEAR(ET$3)=YEAR(EDATE('Вводные'!$D$91,'Вводные'!$H$9)),MONTH(ET$3)=MONTH(EDATE('Вводные'!$D$91,'Вводные'!$H$9))),$B$116,0)</x:f>
      </x:c>
      <x:c r="EU116" s="117" t="n">
        <x:f>IF(AND(YEAR(EU$3)=YEAR(EDATE('Вводные'!$D$91,'Вводные'!$H$9)),MONTH(EU$3)=MONTH(EDATE('Вводные'!$D$91,'Вводные'!$H$9))),$B$116,0)</x:f>
      </x:c>
      <x:c r="EV116" s="117" t="n">
        <x:f>IF(AND(YEAR(EV$3)=YEAR(EDATE('Вводные'!$D$91,'Вводные'!$H$9)),MONTH(EV$3)=MONTH(EDATE('Вводные'!$D$91,'Вводные'!$H$9))),$B$116,0)</x:f>
      </x:c>
      <x:c r="EW116" s="117" t="n">
        <x:f>IF(AND(YEAR(EW$3)=YEAR(EDATE('Вводные'!$D$91,'Вводные'!$H$9)),MONTH(EW$3)=MONTH(EDATE('Вводные'!$D$91,'Вводные'!$H$9))),$B$116,0)</x:f>
      </x:c>
      <x:c r="EX116" s="117" t="n">
        <x:f>IF(AND(YEAR(EX$3)=YEAR(EDATE('Вводные'!$D$91,'Вводные'!$H$9)),MONTH(EX$3)=MONTH(EDATE('Вводные'!$D$91,'Вводные'!$H$9))),$B$116,0)</x:f>
      </x:c>
      <x:c r="EY116" s="117" t="n">
        <x:f>IF(AND(YEAR(EY$3)=YEAR(EDATE('Вводные'!$D$91,'Вводные'!$H$9)),MONTH(EY$3)=MONTH(EDATE('Вводные'!$D$91,'Вводные'!$H$9))),$B$116,0)</x:f>
      </x:c>
      <x:c r="EZ116" s="117" t="n">
        <x:f>IF(AND(YEAR(EZ$3)=YEAR(EDATE('Вводные'!$D$91,'Вводные'!$H$9)),MONTH(EZ$3)=MONTH(EDATE('Вводные'!$D$91,'Вводные'!$H$9))),$B$116,0)</x:f>
      </x:c>
      <x:c r="FA116" s="117" t="n">
        <x:f>IF(AND(YEAR(FA$3)=YEAR(EDATE('Вводные'!$D$91,'Вводные'!$H$9)),MONTH(FA$3)=MONTH(EDATE('Вводные'!$D$91,'Вводные'!$H$9))),$B$116,0)</x:f>
      </x:c>
      <x:c r="FB116" s="117" t="n">
        <x:f>IF(AND(YEAR(FB$3)=YEAR(EDATE('Вводные'!$D$91,'Вводные'!$H$9)),MONTH(FB$3)=MONTH(EDATE('Вводные'!$D$91,'Вводные'!$H$9))),$B$116,0)</x:f>
      </x:c>
      <x:c r="FC116" s="117" t="n">
        <x:f>IF(AND(YEAR(FC$3)=YEAR(EDATE('Вводные'!$D$91,'Вводные'!$H$9)),MONTH(FC$3)=MONTH(EDATE('Вводные'!$D$91,'Вводные'!$H$9))),$B$116,0)</x:f>
      </x:c>
      <x:c r="FD116" s="117" t="n">
        <x:f>IF(AND(YEAR(FD$3)=YEAR(EDATE('Вводные'!$D$91,'Вводные'!$H$9)),MONTH(FD$3)=MONTH(EDATE('Вводные'!$D$91,'Вводные'!$H$9))),$B$116,0)</x:f>
      </x:c>
      <x:c r="FE116" s="117" t="n">
        <x:f>IF(AND(YEAR(FE$3)=YEAR(EDATE('Вводные'!$D$91,'Вводные'!$H$9)),MONTH(FE$3)=MONTH(EDATE('Вводные'!$D$91,'Вводные'!$H$9))),$B$116,0)</x:f>
      </x:c>
      <x:c r="FF116" s="117" t="n">
        <x:f>IF(AND(YEAR(FF$3)=YEAR(EDATE('Вводные'!$D$91,'Вводные'!$H$9)),MONTH(FF$3)=MONTH(EDATE('Вводные'!$D$91,'Вводные'!$H$9))),$B$116,0)</x:f>
      </x:c>
      <x:c r="FG116" s="117" t="n">
        <x:f>IF(AND(YEAR(FG$3)=YEAR(EDATE('Вводные'!$D$91,'Вводные'!$H$9)),MONTH(FG$3)=MONTH(EDATE('Вводные'!$D$91,'Вводные'!$H$9))),$B$116,0)</x:f>
      </x:c>
      <x:c r="FH116" s="117" t="n">
        <x:f>IF(AND(YEAR(FH$3)=YEAR(EDATE('Вводные'!$D$91,'Вводные'!$H$9)),MONTH(FH$3)=MONTH(EDATE('Вводные'!$D$91,'Вводные'!$H$9))),$B$116,0)</x:f>
      </x:c>
      <x:c r="FI116" s="117" t="n">
        <x:f>IF(AND(YEAR(FI$3)=YEAR(EDATE('Вводные'!$D$91,'Вводные'!$H$9)),MONTH(FI$3)=MONTH(EDATE('Вводные'!$D$91,'Вводные'!$H$9))),$B$116,0)</x:f>
      </x:c>
      <x:c r="FJ116" s="117" t="n">
        <x:f>IF(AND(YEAR(FJ$3)=YEAR(EDATE('Вводные'!$D$91,'Вводные'!$H$9)),MONTH(FJ$3)=MONTH(EDATE('Вводные'!$D$91,'Вводные'!$H$9))),$B$116,0)</x:f>
      </x:c>
      <x:c r="FK116" s="117" t="n">
        <x:f>IF(AND(YEAR(FK$3)=YEAR(EDATE('Вводные'!$D$91,'Вводные'!$H$9)),MONTH(FK$3)=MONTH(EDATE('Вводные'!$D$91,'Вводные'!$H$9))),$B$116,0)</x:f>
      </x:c>
      <x:c r="FL116" s="117" t="n">
        <x:f>IF(AND(YEAR(FL$3)=YEAR(EDATE('Вводные'!$D$91,'Вводные'!$H$9)),MONTH(FL$3)=MONTH(EDATE('Вводные'!$D$91,'Вводные'!$H$9))),$B$116,0)</x:f>
      </x:c>
      <x:c r="FM116" s="117" t="n">
        <x:f>IF(AND(YEAR(FM$3)=YEAR(EDATE('Вводные'!$D$91,'Вводные'!$H$9)),MONTH(FM$3)=MONTH(EDATE('Вводные'!$D$91,'Вводные'!$H$9))),$B$116,0)</x:f>
      </x:c>
      <x:c r="FN116" s="117" t="n">
        <x:f>IF(AND(YEAR(FN$3)=YEAR(EDATE('Вводные'!$D$91,'Вводные'!$H$9)),MONTH(FN$3)=MONTH(EDATE('Вводные'!$D$91,'Вводные'!$H$9))),$B$116,0)</x:f>
      </x:c>
      <x:c r="FO116" s="117" t="n">
        <x:f>IF(AND(YEAR(FO$3)=YEAR(EDATE('Вводные'!$D$91,'Вводные'!$H$9)),MONTH(FO$3)=MONTH(EDATE('Вводные'!$D$91,'Вводные'!$H$9))),$B$116,0)</x:f>
      </x:c>
      <x:c r="FP116" s="117" t="n">
        <x:f>IF(AND(YEAR(FP$3)=YEAR(EDATE('Вводные'!$D$91,'Вводные'!$H$9)),MONTH(FP$3)=MONTH(EDATE('Вводные'!$D$91,'Вводные'!$H$9))),$B$116,0)</x:f>
      </x:c>
      <x:c r="FQ116" s="117" t="n">
        <x:f>IF(AND(YEAR(FQ$3)=YEAR(EDATE('Вводные'!$D$91,'Вводные'!$H$9)),MONTH(FQ$3)=MONTH(EDATE('Вводные'!$D$91,'Вводные'!$H$9))),$B$116,0)</x:f>
      </x:c>
      <x:c r="FR116" s="117" t="n">
        <x:f>IF(AND(YEAR(FR$3)=YEAR(EDATE('Вводные'!$D$91,'Вводные'!$H$9)),MONTH(FR$3)=MONTH(EDATE('Вводные'!$D$91,'Вводные'!$H$9))),$B$116,0)</x:f>
      </x:c>
      <x:c r="FS116" s="117" t="n">
        <x:f>IF(AND(YEAR(FS$3)=YEAR(EDATE('Вводные'!$D$91,'Вводные'!$H$9)),MONTH(FS$3)=MONTH(EDATE('Вводные'!$D$91,'Вводные'!$H$9))),$B$116,0)</x:f>
      </x:c>
      <x:c r="FT116" s="117" t="n">
        <x:f>IF(AND(YEAR(FT$3)=YEAR(EDATE('Вводные'!$D$91,'Вводные'!$H$9)),MONTH(FT$3)=MONTH(EDATE('Вводные'!$D$91,'Вводные'!$H$9))),$B$116,0)</x:f>
      </x:c>
      <x:c r="FU116" s="117" t="n">
        <x:f>IF(AND(YEAR(FU$3)=YEAR(EDATE('Вводные'!$D$91,'Вводные'!$H$9)),MONTH(FU$3)=MONTH(EDATE('Вводные'!$D$91,'Вводные'!$H$9))),$B$116,0)</x:f>
      </x:c>
      <x:c r="FV116" s="117" t="n">
        <x:f>IF(AND(YEAR(FV$3)=YEAR(EDATE('Вводные'!$D$91,'Вводные'!$H$9)),MONTH(FV$3)=MONTH(EDATE('Вводные'!$D$91,'Вводные'!$H$9))),$B$116,0)</x:f>
      </x:c>
      <x:c r="FW116" s="117" t="n">
        <x:f>IF(AND(YEAR(FW$3)=YEAR(EDATE('Вводные'!$D$91,'Вводные'!$H$9)),MONTH(FW$3)=MONTH(EDATE('Вводные'!$D$91,'Вводные'!$H$9))),$B$116,0)</x:f>
      </x:c>
      <x:c r="FX116" s="117" t="n">
        <x:f>IF(AND(YEAR(FX$3)=YEAR(EDATE('Вводные'!$D$91,'Вводные'!$H$9)),MONTH(FX$3)=MONTH(EDATE('Вводные'!$D$91,'Вводные'!$H$9))),$B$116,0)</x:f>
      </x:c>
      <x:c r="FY116" s="117" t="n">
        <x:f>IF(AND(YEAR(FY$3)=YEAR(EDATE('Вводные'!$D$91,'Вводные'!$H$9)),MONTH(FY$3)=MONTH(EDATE('Вводные'!$D$91,'Вводные'!$H$9))),$B$116,0)</x:f>
      </x:c>
      <x:c r="FZ116" s="117" t="n">
        <x:f>IF(AND(YEAR(FZ$3)=YEAR(EDATE('Вводные'!$D$91,'Вводные'!$H$9)),MONTH(FZ$3)=MONTH(EDATE('Вводные'!$D$91,'Вводные'!$H$9))),$B$116,0)</x:f>
      </x:c>
      <x:c r="GA116" s="117" t="n">
        <x:f>IF(AND(YEAR(GA$3)=YEAR(EDATE('Вводные'!$D$91,'Вводные'!$H$9)),MONTH(GA$3)=MONTH(EDATE('Вводные'!$D$91,'Вводные'!$H$9))),$B$116,0)</x:f>
      </x:c>
    </x:row>
    <x:row r="117">
      <x:c r="A117" t="str">
        <x:v>Плата за ВРИ</x:v>
      </x:c>
      <x:c r="B117" s="107" t="n">
        <x:f>SUM('ВРИ'!D54:GA54)</x:f>
      </x:c>
      <x:c r="C117" t="str">
        <x:v>млн ₽</x:v>
      </x:c>
      <x:c r="D117" s="117" t="n">
        <x:f>'ВРИ'!D54</x:f>
      </x:c>
      <x:c r="E117" s="117" t="n">
        <x:f>'ВРИ'!E54</x:f>
      </x:c>
      <x:c r="F117" s="117" t="n">
        <x:f>'ВРИ'!F54</x:f>
      </x:c>
      <x:c r="G117" s="117" t="n">
        <x:f>'ВРИ'!G54</x:f>
      </x:c>
      <x:c r="H117" s="117" t="n">
        <x:f>'ВРИ'!H54</x:f>
      </x:c>
      <x:c r="I117" s="117" t="n">
        <x:f>'ВРИ'!I54</x:f>
      </x:c>
      <x:c r="J117" s="117" t="n">
        <x:f>'ВРИ'!J54</x:f>
      </x:c>
      <x:c r="K117" s="117" t="n">
        <x:f>'ВРИ'!K54</x:f>
      </x:c>
      <x:c r="L117" s="117" t="n">
        <x:f>'ВРИ'!L54</x:f>
      </x:c>
      <x:c r="M117" s="117" t="n">
        <x:f>'ВРИ'!M54</x:f>
      </x:c>
      <x:c r="N117" s="117" t="n">
        <x:f>'ВРИ'!N54</x:f>
      </x:c>
      <x:c r="O117" s="117" t="n">
        <x:f>'ВРИ'!O54</x:f>
      </x:c>
      <x:c r="P117" s="117" t="n">
        <x:f>'ВРИ'!P54</x:f>
      </x:c>
      <x:c r="Q117" s="117" t="n">
        <x:f>'ВРИ'!Q54</x:f>
      </x:c>
      <x:c r="R117" s="117" t="n">
        <x:f>'ВРИ'!R54</x:f>
      </x:c>
      <x:c r="S117" s="117" t="n">
        <x:f>'ВРИ'!S54</x:f>
      </x:c>
      <x:c r="T117" s="117" t="n">
        <x:f>'ВРИ'!T54</x:f>
      </x:c>
      <x:c r="U117" s="117" t="n">
        <x:f>'ВРИ'!U54</x:f>
      </x:c>
      <x:c r="V117" s="117" t="n">
        <x:f>'ВРИ'!V54</x:f>
      </x:c>
      <x:c r="W117" s="117" t="n">
        <x:f>'ВРИ'!W54</x:f>
      </x:c>
      <x:c r="X117" s="117" t="n">
        <x:f>'ВРИ'!X54</x:f>
      </x:c>
      <x:c r="Y117" s="117" t="n">
        <x:f>'ВРИ'!Y54</x:f>
      </x:c>
      <x:c r="Z117" s="117" t="n">
        <x:f>'ВРИ'!Z54</x:f>
      </x:c>
      <x:c r="AA117" s="117" t="n">
        <x:f>'ВРИ'!AA54</x:f>
      </x:c>
      <x:c r="AB117" s="117" t="n">
        <x:f>'ВРИ'!AB54</x:f>
      </x:c>
      <x:c r="AC117" s="117" t="n">
        <x:f>'ВРИ'!AC54</x:f>
      </x:c>
      <x:c r="AD117" s="117" t="n">
        <x:f>'ВРИ'!AD54</x:f>
      </x:c>
      <x:c r="AE117" s="117" t="n">
        <x:f>'ВРИ'!AE54</x:f>
      </x:c>
      <x:c r="AF117" s="117" t="n">
        <x:f>'ВРИ'!AF54</x:f>
      </x:c>
      <x:c r="AG117" s="117" t="n">
        <x:f>'ВРИ'!AG54</x:f>
      </x:c>
      <x:c r="AH117" s="117" t="n">
        <x:f>'ВРИ'!AH54</x:f>
      </x:c>
      <x:c r="AI117" s="117" t="n">
        <x:f>'ВРИ'!AI54</x:f>
      </x:c>
      <x:c r="AJ117" s="117" t="n">
        <x:f>'ВРИ'!AJ54</x:f>
      </x:c>
      <x:c r="AK117" s="117" t="n">
        <x:f>'ВРИ'!AK54</x:f>
      </x:c>
      <x:c r="AL117" s="117" t="n">
        <x:f>'ВРИ'!AL54</x:f>
      </x:c>
      <x:c r="AM117" s="117" t="n">
        <x:f>'ВРИ'!AM54</x:f>
      </x:c>
      <x:c r="AN117" s="117" t="n">
        <x:f>'ВРИ'!AN54</x:f>
      </x:c>
      <x:c r="AO117" s="117" t="n">
        <x:f>'ВРИ'!AO54</x:f>
      </x:c>
      <x:c r="AP117" s="117" t="n">
        <x:f>'ВРИ'!AP54</x:f>
      </x:c>
      <x:c r="AQ117" s="117" t="n">
        <x:f>'ВРИ'!AQ54</x:f>
      </x:c>
      <x:c r="AR117" s="117" t="n">
        <x:f>'ВРИ'!AR54</x:f>
      </x:c>
      <x:c r="AS117" s="117" t="n">
        <x:f>'ВРИ'!AS54</x:f>
      </x:c>
      <x:c r="AT117" s="117" t="n">
        <x:f>'ВРИ'!AT54</x:f>
      </x:c>
      <x:c r="AU117" s="117" t="n">
        <x:f>'ВРИ'!AU54</x:f>
      </x:c>
      <x:c r="AV117" s="117" t="n">
        <x:f>'ВРИ'!AV54</x:f>
      </x:c>
      <x:c r="AW117" s="117" t="n">
        <x:f>'ВРИ'!AW54</x:f>
      </x:c>
      <x:c r="AX117" s="117" t="n">
        <x:f>'ВРИ'!AX54</x:f>
      </x:c>
      <x:c r="AY117" s="117" t="n">
        <x:f>'ВРИ'!AY54</x:f>
      </x:c>
      <x:c r="AZ117" s="117" t="n">
        <x:f>'ВРИ'!AZ54</x:f>
      </x:c>
      <x:c r="BA117" s="117" t="n">
        <x:f>'ВРИ'!BA54</x:f>
      </x:c>
      <x:c r="BB117" s="117" t="n">
        <x:f>'ВРИ'!BB54</x:f>
      </x:c>
      <x:c r="BC117" s="117" t="n">
        <x:f>'ВРИ'!BC54</x:f>
      </x:c>
      <x:c r="BD117" s="117" t="n">
        <x:f>'ВРИ'!BD54</x:f>
      </x:c>
      <x:c r="BE117" s="117" t="n">
        <x:f>'ВРИ'!BE54</x:f>
      </x:c>
      <x:c r="BF117" s="117" t="n">
        <x:f>'ВРИ'!BF54</x:f>
      </x:c>
      <x:c r="BG117" s="117" t="n">
        <x:f>'ВРИ'!BG54</x:f>
      </x:c>
      <x:c r="BH117" s="117" t="n">
        <x:f>'ВРИ'!BH54</x:f>
      </x:c>
      <x:c r="BI117" s="117" t="n">
        <x:f>'ВРИ'!BI54</x:f>
      </x:c>
      <x:c r="BJ117" s="117" t="n">
        <x:f>'ВРИ'!BJ54</x:f>
      </x:c>
      <x:c r="BK117" s="117" t="n">
        <x:f>'ВРИ'!BK54</x:f>
      </x:c>
      <x:c r="BL117" s="117" t="n">
        <x:f>'ВРИ'!BL54</x:f>
      </x:c>
      <x:c r="BM117" s="117" t="n">
        <x:f>'ВРИ'!BM54</x:f>
      </x:c>
      <x:c r="BN117" s="117" t="n">
        <x:f>'ВРИ'!BN54</x:f>
      </x:c>
      <x:c r="BO117" s="117" t="n">
        <x:f>'ВРИ'!BO54</x:f>
      </x:c>
      <x:c r="BP117" s="117" t="n">
        <x:f>'ВРИ'!BP54</x:f>
      </x:c>
      <x:c r="BQ117" s="117" t="n">
        <x:f>'ВРИ'!BQ54</x:f>
      </x:c>
      <x:c r="BR117" s="117" t="n">
        <x:f>'ВРИ'!BR54</x:f>
      </x:c>
      <x:c r="BS117" s="117" t="n">
        <x:f>'ВРИ'!BS54</x:f>
      </x:c>
      <x:c r="BT117" s="117" t="n">
        <x:f>'ВРИ'!BT54</x:f>
      </x:c>
      <x:c r="BU117" s="117" t="n">
        <x:f>'ВРИ'!BU54</x:f>
      </x:c>
      <x:c r="BV117" s="117" t="n">
        <x:f>'ВРИ'!BV54</x:f>
      </x:c>
      <x:c r="BW117" s="117" t="n">
        <x:f>'ВРИ'!BW54</x:f>
      </x:c>
      <x:c r="BX117" s="117" t="n">
        <x:f>'ВРИ'!BX54</x:f>
      </x:c>
      <x:c r="BY117" s="117" t="n">
        <x:f>'ВРИ'!BY54</x:f>
      </x:c>
      <x:c r="BZ117" s="117" t="n">
        <x:f>'ВРИ'!BZ54</x:f>
      </x:c>
      <x:c r="CA117" s="117" t="n">
        <x:f>'ВРИ'!CA54</x:f>
      </x:c>
      <x:c r="CB117" s="117" t="n">
        <x:f>'ВРИ'!CB54</x:f>
      </x:c>
      <x:c r="CC117" s="117" t="n">
        <x:f>'ВРИ'!CC54</x:f>
      </x:c>
      <x:c r="CD117" s="117" t="n">
        <x:f>'ВРИ'!CD54</x:f>
      </x:c>
      <x:c r="CE117" s="117" t="n">
        <x:f>'ВРИ'!CE54</x:f>
      </x:c>
      <x:c r="CF117" s="117" t="n">
        <x:f>'ВРИ'!CF54</x:f>
      </x:c>
      <x:c r="CG117" s="117" t="n">
        <x:f>'ВРИ'!CG54</x:f>
      </x:c>
      <x:c r="CH117" s="117" t="n">
        <x:f>'ВРИ'!CH54</x:f>
      </x:c>
      <x:c r="CI117" s="117" t="n">
        <x:f>'ВРИ'!CI54</x:f>
      </x:c>
      <x:c r="CJ117" s="117" t="n">
        <x:f>'ВРИ'!CJ54</x:f>
      </x:c>
      <x:c r="CK117" s="117" t="n">
        <x:f>'ВРИ'!CK54</x:f>
      </x:c>
      <x:c r="CL117" s="117" t="n">
        <x:f>'ВРИ'!CL54</x:f>
      </x:c>
      <x:c r="CM117" s="117" t="n">
        <x:f>'ВРИ'!CM54</x:f>
      </x:c>
      <x:c r="CN117" s="117" t="n">
        <x:f>'ВРИ'!CN54</x:f>
      </x:c>
      <x:c r="CO117" s="117" t="n">
        <x:f>'ВРИ'!CO54</x:f>
      </x:c>
      <x:c r="CP117" s="117" t="n">
        <x:f>'ВРИ'!CP54</x:f>
      </x:c>
      <x:c r="CQ117" s="117" t="n">
        <x:f>'ВРИ'!CQ54</x:f>
      </x:c>
      <x:c r="CR117" s="117" t="n">
        <x:f>'ВРИ'!CR54</x:f>
      </x:c>
      <x:c r="CS117" s="117" t="n">
        <x:f>'ВРИ'!CS54</x:f>
      </x:c>
      <x:c r="CT117" s="117" t="n">
        <x:f>'ВРИ'!CT54</x:f>
      </x:c>
      <x:c r="CU117" s="117" t="n">
        <x:f>'ВРИ'!CU54</x:f>
      </x:c>
      <x:c r="CV117" s="117" t="n">
        <x:f>'ВРИ'!CV54</x:f>
      </x:c>
      <x:c r="CW117" s="117" t="n">
        <x:f>'ВРИ'!CW54</x:f>
      </x:c>
      <x:c r="CX117" s="117" t="n">
        <x:f>'ВРИ'!CX54</x:f>
      </x:c>
      <x:c r="CY117" s="117" t="n">
        <x:f>'ВРИ'!CY54</x:f>
      </x:c>
      <x:c r="CZ117" s="117" t="n">
        <x:f>'ВРИ'!CZ54</x:f>
      </x:c>
      <x:c r="DA117" s="117" t="n">
        <x:f>'ВРИ'!DA54</x:f>
      </x:c>
      <x:c r="DB117" s="117" t="n">
        <x:f>'ВРИ'!DB54</x:f>
      </x:c>
      <x:c r="DC117" s="117" t="n">
        <x:f>'ВРИ'!DC54</x:f>
      </x:c>
      <x:c r="DD117" s="117" t="n">
        <x:f>'ВРИ'!DD54</x:f>
      </x:c>
      <x:c r="DE117" s="117" t="n">
        <x:f>'ВРИ'!DE54</x:f>
      </x:c>
      <x:c r="DF117" s="117" t="n">
        <x:f>'ВРИ'!DF54</x:f>
      </x:c>
      <x:c r="DG117" s="117" t="n">
        <x:f>'ВРИ'!DG54</x:f>
      </x:c>
      <x:c r="DH117" s="117" t="n">
        <x:f>'ВРИ'!DH54</x:f>
      </x:c>
      <x:c r="DI117" s="117" t="n">
        <x:f>'ВРИ'!DI54</x:f>
      </x:c>
      <x:c r="DJ117" s="117" t="n">
        <x:f>'ВРИ'!DJ54</x:f>
      </x:c>
      <x:c r="DK117" s="117" t="n">
        <x:f>'ВРИ'!DK54</x:f>
      </x:c>
      <x:c r="DL117" s="117" t="n">
        <x:f>'ВРИ'!DL54</x:f>
      </x:c>
      <x:c r="DM117" s="117" t="n">
        <x:f>'ВРИ'!DM54</x:f>
      </x:c>
      <x:c r="DN117" s="117" t="n">
        <x:f>'ВРИ'!DN54</x:f>
      </x:c>
      <x:c r="DO117" s="117" t="n">
        <x:f>'ВРИ'!DO54</x:f>
      </x:c>
      <x:c r="DP117" s="117" t="n">
        <x:f>'ВРИ'!DP54</x:f>
      </x:c>
      <x:c r="DQ117" s="117" t="n">
        <x:f>'ВРИ'!DQ54</x:f>
      </x:c>
      <x:c r="DR117" s="117" t="n">
        <x:f>'ВРИ'!DR54</x:f>
      </x:c>
      <x:c r="DS117" s="117" t="n">
        <x:f>'ВРИ'!DS54</x:f>
      </x:c>
      <x:c r="DT117" s="117" t="n">
        <x:f>'ВРИ'!DT54</x:f>
      </x:c>
      <x:c r="DU117" s="117" t="n">
        <x:f>'ВРИ'!DU54</x:f>
      </x:c>
      <x:c r="DV117" s="117" t="n">
        <x:f>'ВРИ'!DV54</x:f>
      </x:c>
      <x:c r="DW117" s="117" t="n">
        <x:f>'ВРИ'!DW54</x:f>
      </x:c>
      <x:c r="DX117" s="117" t="n">
        <x:f>'ВРИ'!DX54</x:f>
      </x:c>
      <x:c r="DY117" s="117" t="n">
        <x:f>'ВРИ'!DY54</x:f>
      </x:c>
      <x:c r="DZ117" s="117" t="n">
        <x:f>'ВРИ'!DZ54</x:f>
      </x:c>
      <x:c r="EA117" s="117" t="n">
        <x:f>'ВРИ'!EA54</x:f>
      </x:c>
      <x:c r="EB117" s="117" t="n">
        <x:f>'ВРИ'!EB54</x:f>
      </x:c>
      <x:c r="EC117" s="117" t="n">
        <x:f>'ВРИ'!EC54</x:f>
      </x:c>
      <x:c r="ED117" s="117" t="n">
        <x:f>'ВРИ'!ED54</x:f>
      </x:c>
      <x:c r="EE117" s="117" t="n">
        <x:f>'ВРИ'!EE54</x:f>
      </x:c>
      <x:c r="EF117" s="117" t="n">
        <x:f>'ВРИ'!EF54</x:f>
      </x:c>
      <x:c r="EG117" s="117" t="n">
        <x:f>'ВРИ'!EG54</x:f>
      </x:c>
      <x:c r="EH117" s="117" t="n">
        <x:f>'ВРИ'!EH54</x:f>
      </x:c>
      <x:c r="EI117" s="117" t="n">
        <x:f>'ВРИ'!EI54</x:f>
      </x:c>
      <x:c r="EJ117" s="117" t="n">
        <x:f>'ВРИ'!EJ54</x:f>
      </x:c>
      <x:c r="EK117" s="117" t="n">
        <x:f>'ВРИ'!EK54</x:f>
      </x:c>
      <x:c r="EL117" s="117" t="n">
        <x:f>'ВРИ'!EL54</x:f>
      </x:c>
      <x:c r="EM117" s="117" t="n">
        <x:f>'ВРИ'!EM54</x:f>
      </x:c>
      <x:c r="EN117" s="117" t="n">
        <x:f>'ВРИ'!EN54</x:f>
      </x:c>
      <x:c r="EO117" s="117" t="n">
        <x:f>'ВРИ'!EO54</x:f>
      </x:c>
      <x:c r="EP117" s="117" t="n">
        <x:f>'ВРИ'!EP54</x:f>
      </x:c>
      <x:c r="EQ117" s="117" t="n">
        <x:f>'ВРИ'!EQ54</x:f>
      </x:c>
      <x:c r="ER117" s="117" t="n">
        <x:f>'ВРИ'!ER54</x:f>
      </x:c>
      <x:c r="ES117" s="117" t="n">
        <x:f>'ВРИ'!ES54</x:f>
      </x:c>
      <x:c r="ET117" s="117" t="n">
        <x:f>'ВРИ'!ET54</x:f>
      </x:c>
      <x:c r="EU117" s="117" t="n">
        <x:f>'ВРИ'!EU54</x:f>
      </x:c>
      <x:c r="EV117" s="117" t="n">
        <x:f>'ВРИ'!EV54</x:f>
      </x:c>
      <x:c r="EW117" s="117" t="n">
        <x:f>'ВРИ'!EW54</x:f>
      </x:c>
      <x:c r="EX117" s="117" t="n">
        <x:f>'ВРИ'!EX54</x:f>
      </x:c>
      <x:c r="EY117" s="117" t="n">
        <x:f>'ВРИ'!EY54</x:f>
      </x:c>
      <x:c r="EZ117" s="117" t="n">
        <x:f>'ВРИ'!EZ54</x:f>
      </x:c>
      <x:c r="FA117" s="117" t="n">
        <x:f>'ВРИ'!FA54</x:f>
      </x:c>
      <x:c r="FB117" s="117" t="n">
        <x:f>'ВРИ'!FB54</x:f>
      </x:c>
      <x:c r="FC117" s="117" t="n">
        <x:f>'ВРИ'!FC54</x:f>
      </x:c>
      <x:c r="FD117" s="117" t="n">
        <x:f>'ВРИ'!FD54</x:f>
      </x:c>
      <x:c r="FE117" s="117" t="n">
        <x:f>'ВРИ'!FE54</x:f>
      </x:c>
      <x:c r="FF117" s="117" t="n">
        <x:f>'ВРИ'!FF54</x:f>
      </x:c>
      <x:c r="FG117" s="117" t="n">
        <x:f>'ВРИ'!FG54</x:f>
      </x:c>
      <x:c r="FH117" s="117" t="n">
        <x:f>'ВРИ'!FH54</x:f>
      </x:c>
      <x:c r="FI117" s="117" t="n">
        <x:f>'ВРИ'!FI54</x:f>
      </x:c>
      <x:c r="FJ117" s="117" t="n">
        <x:f>'ВРИ'!FJ54</x:f>
      </x:c>
      <x:c r="FK117" s="117" t="n">
        <x:f>'ВРИ'!FK54</x:f>
      </x:c>
      <x:c r="FL117" s="117" t="n">
        <x:f>'ВРИ'!FL54</x:f>
      </x:c>
      <x:c r="FM117" s="117" t="n">
        <x:f>'ВРИ'!FM54</x:f>
      </x:c>
      <x:c r="FN117" s="117" t="n">
        <x:f>'ВРИ'!FN54</x:f>
      </x:c>
      <x:c r="FO117" s="117" t="n">
        <x:f>'ВРИ'!FO54</x:f>
      </x:c>
      <x:c r="FP117" s="117" t="n">
        <x:f>'ВРИ'!FP54</x:f>
      </x:c>
      <x:c r="FQ117" s="117" t="n">
        <x:f>'ВРИ'!FQ54</x:f>
      </x:c>
      <x:c r="FR117" s="117" t="n">
        <x:f>'ВРИ'!FR54</x:f>
      </x:c>
      <x:c r="FS117" s="117" t="n">
        <x:f>'ВРИ'!FS54</x:f>
      </x:c>
      <x:c r="FT117" s="117" t="n">
        <x:f>'ВРИ'!FT54</x:f>
      </x:c>
      <x:c r="FU117" s="117" t="n">
        <x:f>'ВРИ'!FU54</x:f>
      </x:c>
      <x:c r="FV117" s="117" t="n">
        <x:f>'ВРИ'!FV54</x:f>
      </x:c>
      <x:c r="FW117" s="117" t="n">
        <x:f>'ВРИ'!FW54</x:f>
      </x:c>
      <x:c r="FX117" s="117" t="n">
        <x:f>'ВРИ'!FX54</x:f>
      </x:c>
      <x:c r="FY117" s="117" t="n">
        <x:f>'ВРИ'!FY54</x:f>
      </x:c>
      <x:c r="FZ117" s="117" t="n">
        <x:f>'ВРИ'!FZ54</x:f>
      </x:c>
      <x:c r="GA117" s="117" t="n">
        <x:f>'ВРИ'!GA54</x:f>
      </x:c>
    </x:row>
    <x:row r="118">
      <x:c r="A118" t="str">
        <x:v>ИРД и согласования</x:v>
      </x:c>
      <x:c r="B118" s="107" t="n">
        <x:f>(('Вводные'!$I$91+'Вводные'!$J$91+'Вводные'!$K$91)*'Вводные'!$B$40/1000*'Вводные'!$H$6*'Вводные'!$T$91*--('Вводные'!$B$91="Да"))*'Вводные'!$AH$91</x:f>
      </x:c>
      <x:c r="C118" t="str">
        <x:v>млн ₽</x:v>
      </x:c>
      <x:c r="D118" s="117" t="n">
        <x:f>IF(AND(D$3&gt;=EDATE($B$109,-'Вводные'!$E$91),D$3&lt;$B$109),$B$118/MAX(1,'Вводные'!$E$91),0)</x:f>
      </x:c>
      <x:c r="E118" s="117" t="n">
        <x:f>IF(AND(E$3&gt;=EDATE($B$109,-'Вводные'!$E$91),E$3&lt;$B$109),$B$118/MAX(1,'Вводные'!$E$91),0)</x:f>
      </x:c>
      <x:c r="F118" s="117" t="n">
        <x:f>IF(AND(F$3&gt;=EDATE($B$109,-'Вводные'!$E$91),F$3&lt;$B$109),$B$118/MAX(1,'Вводные'!$E$91),0)</x:f>
      </x:c>
      <x:c r="G118" s="117" t="n">
        <x:f>IF(AND(G$3&gt;=EDATE($B$109,-'Вводные'!$E$91),G$3&lt;$B$109),$B$118/MAX(1,'Вводные'!$E$91),0)</x:f>
      </x:c>
      <x:c r="H118" s="117" t="n">
        <x:f>IF(AND(H$3&gt;=EDATE($B$109,-'Вводные'!$E$91),H$3&lt;$B$109),$B$118/MAX(1,'Вводные'!$E$91),0)</x:f>
      </x:c>
      <x:c r="I118" s="117" t="n">
        <x:f>IF(AND(I$3&gt;=EDATE($B$109,-'Вводные'!$E$91),I$3&lt;$B$109),$B$118/MAX(1,'Вводные'!$E$91),0)</x:f>
      </x:c>
      <x:c r="J118" s="117" t="n">
        <x:f>IF(AND(J$3&gt;=EDATE($B$109,-'Вводные'!$E$91),J$3&lt;$B$109),$B$118/MAX(1,'Вводные'!$E$91),0)</x:f>
      </x:c>
      <x:c r="K118" s="117" t="n">
        <x:f>IF(AND(K$3&gt;=EDATE($B$109,-'Вводные'!$E$91),K$3&lt;$B$109),$B$118/MAX(1,'Вводные'!$E$91),0)</x:f>
      </x:c>
      <x:c r="L118" s="117" t="n">
        <x:f>IF(AND(L$3&gt;=EDATE($B$109,-'Вводные'!$E$91),L$3&lt;$B$109),$B$118/MAX(1,'Вводные'!$E$91),0)</x:f>
      </x:c>
      <x:c r="M118" s="117" t="n">
        <x:f>IF(AND(M$3&gt;=EDATE($B$109,-'Вводные'!$E$91),M$3&lt;$B$109),$B$118/MAX(1,'Вводные'!$E$91),0)</x:f>
      </x:c>
      <x:c r="N118" s="117" t="n">
        <x:f>IF(AND(N$3&gt;=EDATE($B$109,-'Вводные'!$E$91),N$3&lt;$B$109),$B$118/MAX(1,'Вводные'!$E$91),0)</x:f>
      </x:c>
      <x:c r="O118" s="117" t="n">
        <x:f>IF(AND(O$3&gt;=EDATE($B$109,-'Вводные'!$E$91),O$3&lt;$B$109),$B$118/MAX(1,'Вводные'!$E$91),0)</x:f>
      </x:c>
      <x:c r="P118" s="117" t="n">
        <x:f>IF(AND(P$3&gt;=EDATE($B$109,-'Вводные'!$E$91),P$3&lt;$B$109),$B$118/MAX(1,'Вводные'!$E$91),0)</x:f>
      </x:c>
      <x:c r="Q118" s="117" t="n">
        <x:f>IF(AND(Q$3&gt;=EDATE($B$109,-'Вводные'!$E$91),Q$3&lt;$B$109),$B$118/MAX(1,'Вводные'!$E$91),0)</x:f>
      </x:c>
      <x:c r="R118" s="117" t="n">
        <x:f>IF(AND(R$3&gt;=EDATE($B$109,-'Вводные'!$E$91),R$3&lt;$B$109),$B$118/MAX(1,'Вводные'!$E$91),0)</x:f>
      </x:c>
      <x:c r="S118" s="117" t="n">
        <x:f>IF(AND(S$3&gt;=EDATE($B$109,-'Вводные'!$E$91),S$3&lt;$B$109),$B$118/MAX(1,'Вводные'!$E$91),0)</x:f>
      </x:c>
      <x:c r="T118" s="117" t="n">
        <x:f>IF(AND(T$3&gt;=EDATE($B$109,-'Вводные'!$E$91),T$3&lt;$B$109),$B$118/MAX(1,'Вводные'!$E$91),0)</x:f>
      </x:c>
      <x:c r="U118" s="117" t="n">
        <x:f>IF(AND(U$3&gt;=EDATE($B$109,-'Вводные'!$E$91),U$3&lt;$B$109),$B$118/MAX(1,'Вводные'!$E$91),0)</x:f>
      </x:c>
      <x:c r="V118" s="117" t="n">
        <x:f>IF(AND(V$3&gt;=EDATE($B$109,-'Вводные'!$E$91),V$3&lt;$B$109),$B$118/MAX(1,'Вводные'!$E$91),0)</x:f>
      </x:c>
      <x:c r="W118" s="117" t="n">
        <x:f>IF(AND(W$3&gt;=EDATE($B$109,-'Вводные'!$E$91),W$3&lt;$B$109),$B$118/MAX(1,'Вводные'!$E$91),0)</x:f>
      </x:c>
      <x:c r="X118" s="117" t="n">
        <x:f>IF(AND(X$3&gt;=EDATE($B$109,-'Вводные'!$E$91),X$3&lt;$B$109),$B$118/MAX(1,'Вводные'!$E$91),0)</x:f>
      </x:c>
      <x:c r="Y118" s="117" t="n">
        <x:f>IF(AND(Y$3&gt;=EDATE($B$109,-'Вводные'!$E$91),Y$3&lt;$B$109),$B$118/MAX(1,'Вводные'!$E$91),0)</x:f>
      </x:c>
      <x:c r="Z118" s="117" t="n">
        <x:f>IF(AND(Z$3&gt;=EDATE($B$109,-'Вводные'!$E$91),Z$3&lt;$B$109),$B$118/MAX(1,'Вводные'!$E$91),0)</x:f>
      </x:c>
      <x:c r="AA118" s="117" t="n">
        <x:f>IF(AND(AA$3&gt;=EDATE($B$109,-'Вводные'!$E$91),AA$3&lt;$B$109),$B$118/MAX(1,'Вводные'!$E$91),0)</x:f>
      </x:c>
      <x:c r="AB118" s="117" t="n">
        <x:f>IF(AND(AB$3&gt;=EDATE($B$109,-'Вводные'!$E$91),AB$3&lt;$B$109),$B$118/MAX(1,'Вводные'!$E$91),0)</x:f>
      </x:c>
      <x:c r="AC118" s="117" t="n">
        <x:f>IF(AND(AC$3&gt;=EDATE($B$109,-'Вводные'!$E$91),AC$3&lt;$B$109),$B$118/MAX(1,'Вводные'!$E$91),0)</x:f>
      </x:c>
      <x:c r="AD118" s="117" t="n">
        <x:f>IF(AND(AD$3&gt;=EDATE($B$109,-'Вводные'!$E$91),AD$3&lt;$B$109),$B$118/MAX(1,'Вводные'!$E$91),0)</x:f>
      </x:c>
      <x:c r="AE118" s="117" t="n">
        <x:f>IF(AND(AE$3&gt;=EDATE($B$109,-'Вводные'!$E$91),AE$3&lt;$B$109),$B$118/MAX(1,'Вводные'!$E$91),0)</x:f>
      </x:c>
      <x:c r="AF118" s="117" t="n">
        <x:f>IF(AND(AF$3&gt;=EDATE($B$109,-'Вводные'!$E$91),AF$3&lt;$B$109),$B$118/MAX(1,'Вводные'!$E$91),0)</x:f>
      </x:c>
      <x:c r="AG118" s="117" t="n">
        <x:f>IF(AND(AG$3&gt;=EDATE($B$109,-'Вводные'!$E$91),AG$3&lt;$B$109),$B$118/MAX(1,'Вводные'!$E$91),0)</x:f>
      </x:c>
      <x:c r="AH118" s="117" t="n">
        <x:f>IF(AND(AH$3&gt;=EDATE($B$109,-'Вводные'!$E$91),AH$3&lt;$B$109),$B$118/MAX(1,'Вводные'!$E$91),0)</x:f>
      </x:c>
      <x:c r="AI118" s="117" t="n">
        <x:f>IF(AND(AI$3&gt;=EDATE($B$109,-'Вводные'!$E$91),AI$3&lt;$B$109),$B$118/MAX(1,'Вводные'!$E$91),0)</x:f>
      </x:c>
      <x:c r="AJ118" s="117" t="n">
        <x:f>IF(AND(AJ$3&gt;=EDATE($B$109,-'Вводные'!$E$91),AJ$3&lt;$B$109),$B$118/MAX(1,'Вводные'!$E$91),0)</x:f>
      </x:c>
      <x:c r="AK118" s="117" t="n">
        <x:f>IF(AND(AK$3&gt;=EDATE($B$109,-'Вводные'!$E$91),AK$3&lt;$B$109),$B$118/MAX(1,'Вводные'!$E$91),0)</x:f>
      </x:c>
      <x:c r="AL118" s="117" t="n">
        <x:f>IF(AND(AL$3&gt;=EDATE($B$109,-'Вводные'!$E$91),AL$3&lt;$B$109),$B$118/MAX(1,'Вводные'!$E$91),0)</x:f>
      </x:c>
      <x:c r="AM118" s="117" t="n">
        <x:f>IF(AND(AM$3&gt;=EDATE($B$109,-'Вводные'!$E$91),AM$3&lt;$B$109),$B$118/MAX(1,'Вводные'!$E$91),0)</x:f>
      </x:c>
      <x:c r="AN118" s="117" t="n">
        <x:f>IF(AND(AN$3&gt;=EDATE($B$109,-'Вводные'!$E$91),AN$3&lt;$B$109),$B$118/MAX(1,'Вводные'!$E$91),0)</x:f>
      </x:c>
      <x:c r="AO118" s="117" t="n">
        <x:f>IF(AND(AO$3&gt;=EDATE($B$109,-'Вводные'!$E$91),AO$3&lt;$B$109),$B$118/MAX(1,'Вводные'!$E$91),0)</x:f>
      </x:c>
      <x:c r="AP118" s="117" t="n">
        <x:f>IF(AND(AP$3&gt;=EDATE($B$109,-'Вводные'!$E$91),AP$3&lt;$B$109),$B$118/MAX(1,'Вводные'!$E$91),0)</x:f>
      </x:c>
      <x:c r="AQ118" s="117" t="n">
        <x:f>IF(AND(AQ$3&gt;=EDATE($B$109,-'Вводные'!$E$91),AQ$3&lt;$B$109),$B$118/MAX(1,'Вводные'!$E$91),0)</x:f>
      </x:c>
      <x:c r="AR118" s="117" t="n">
        <x:f>IF(AND(AR$3&gt;=EDATE($B$109,-'Вводные'!$E$91),AR$3&lt;$B$109),$B$118/MAX(1,'Вводные'!$E$91),0)</x:f>
      </x:c>
      <x:c r="AS118" s="117" t="n">
        <x:f>IF(AND(AS$3&gt;=EDATE($B$109,-'Вводные'!$E$91),AS$3&lt;$B$109),$B$118/MAX(1,'Вводные'!$E$91),0)</x:f>
      </x:c>
      <x:c r="AT118" s="117" t="n">
        <x:f>IF(AND(AT$3&gt;=EDATE($B$109,-'Вводные'!$E$91),AT$3&lt;$B$109),$B$118/MAX(1,'Вводные'!$E$91),0)</x:f>
      </x:c>
      <x:c r="AU118" s="117" t="n">
        <x:f>IF(AND(AU$3&gt;=EDATE($B$109,-'Вводные'!$E$91),AU$3&lt;$B$109),$B$118/MAX(1,'Вводные'!$E$91),0)</x:f>
      </x:c>
      <x:c r="AV118" s="117" t="n">
        <x:f>IF(AND(AV$3&gt;=EDATE($B$109,-'Вводные'!$E$91),AV$3&lt;$B$109),$B$118/MAX(1,'Вводные'!$E$91),0)</x:f>
      </x:c>
      <x:c r="AW118" s="117" t="n">
        <x:f>IF(AND(AW$3&gt;=EDATE($B$109,-'Вводные'!$E$91),AW$3&lt;$B$109),$B$118/MAX(1,'Вводные'!$E$91),0)</x:f>
      </x:c>
      <x:c r="AX118" s="117" t="n">
        <x:f>IF(AND(AX$3&gt;=EDATE($B$109,-'Вводные'!$E$91),AX$3&lt;$B$109),$B$118/MAX(1,'Вводные'!$E$91),0)</x:f>
      </x:c>
      <x:c r="AY118" s="117" t="n">
        <x:f>IF(AND(AY$3&gt;=EDATE($B$109,-'Вводные'!$E$91),AY$3&lt;$B$109),$B$118/MAX(1,'Вводные'!$E$91),0)</x:f>
      </x:c>
      <x:c r="AZ118" s="117" t="n">
        <x:f>IF(AND(AZ$3&gt;=EDATE($B$109,-'Вводные'!$E$91),AZ$3&lt;$B$109),$B$118/MAX(1,'Вводные'!$E$91),0)</x:f>
      </x:c>
      <x:c r="BA118" s="117" t="n">
        <x:f>IF(AND(BA$3&gt;=EDATE($B$109,-'Вводные'!$E$91),BA$3&lt;$B$109),$B$118/MAX(1,'Вводные'!$E$91),0)</x:f>
      </x:c>
      <x:c r="BB118" s="117" t="n">
        <x:f>IF(AND(BB$3&gt;=EDATE($B$109,-'Вводные'!$E$91),BB$3&lt;$B$109),$B$118/MAX(1,'Вводные'!$E$91),0)</x:f>
      </x:c>
      <x:c r="BC118" s="117" t="n">
        <x:f>IF(AND(BC$3&gt;=EDATE($B$109,-'Вводные'!$E$91),BC$3&lt;$B$109),$B$118/MAX(1,'Вводные'!$E$91),0)</x:f>
      </x:c>
      <x:c r="BD118" s="117" t="n">
        <x:f>IF(AND(BD$3&gt;=EDATE($B$109,-'Вводные'!$E$91),BD$3&lt;$B$109),$B$118/MAX(1,'Вводные'!$E$91),0)</x:f>
      </x:c>
      <x:c r="BE118" s="117" t="n">
        <x:f>IF(AND(BE$3&gt;=EDATE($B$109,-'Вводные'!$E$91),BE$3&lt;$B$109),$B$118/MAX(1,'Вводные'!$E$91),0)</x:f>
      </x:c>
      <x:c r="BF118" s="117" t="n">
        <x:f>IF(AND(BF$3&gt;=EDATE($B$109,-'Вводные'!$E$91),BF$3&lt;$B$109),$B$118/MAX(1,'Вводные'!$E$91),0)</x:f>
      </x:c>
      <x:c r="BG118" s="117" t="n">
        <x:f>IF(AND(BG$3&gt;=EDATE($B$109,-'Вводные'!$E$91),BG$3&lt;$B$109),$B$118/MAX(1,'Вводные'!$E$91),0)</x:f>
      </x:c>
      <x:c r="BH118" s="117" t="n">
        <x:f>IF(AND(BH$3&gt;=EDATE($B$109,-'Вводные'!$E$91),BH$3&lt;$B$109),$B$118/MAX(1,'Вводные'!$E$91),0)</x:f>
      </x:c>
      <x:c r="BI118" s="117" t="n">
        <x:f>IF(AND(BI$3&gt;=EDATE($B$109,-'Вводные'!$E$91),BI$3&lt;$B$109),$B$118/MAX(1,'Вводные'!$E$91),0)</x:f>
      </x:c>
      <x:c r="BJ118" s="117" t="n">
        <x:f>IF(AND(BJ$3&gt;=EDATE($B$109,-'Вводные'!$E$91),BJ$3&lt;$B$109),$B$118/MAX(1,'Вводные'!$E$91),0)</x:f>
      </x:c>
      <x:c r="BK118" s="117" t="n">
        <x:f>IF(AND(BK$3&gt;=EDATE($B$109,-'Вводные'!$E$91),BK$3&lt;$B$109),$B$118/MAX(1,'Вводные'!$E$91),0)</x:f>
      </x:c>
      <x:c r="BL118" s="117" t="n">
        <x:f>IF(AND(BL$3&gt;=EDATE($B$109,-'Вводные'!$E$91),BL$3&lt;$B$109),$B$118/MAX(1,'Вводные'!$E$91),0)</x:f>
      </x:c>
      <x:c r="BM118" s="117" t="n">
        <x:f>IF(AND(BM$3&gt;=EDATE($B$109,-'Вводные'!$E$91),BM$3&lt;$B$109),$B$118/MAX(1,'Вводные'!$E$91),0)</x:f>
      </x:c>
      <x:c r="BN118" s="117" t="n">
        <x:f>IF(AND(BN$3&gt;=EDATE($B$109,-'Вводные'!$E$91),BN$3&lt;$B$109),$B$118/MAX(1,'Вводные'!$E$91),0)</x:f>
      </x:c>
      <x:c r="BO118" s="117" t="n">
        <x:f>IF(AND(BO$3&gt;=EDATE($B$109,-'Вводные'!$E$91),BO$3&lt;$B$109),$B$118/MAX(1,'Вводные'!$E$91),0)</x:f>
      </x:c>
      <x:c r="BP118" s="117" t="n">
        <x:f>IF(AND(BP$3&gt;=EDATE($B$109,-'Вводные'!$E$91),BP$3&lt;$B$109),$B$118/MAX(1,'Вводные'!$E$91),0)</x:f>
      </x:c>
      <x:c r="BQ118" s="117" t="n">
        <x:f>IF(AND(BQ$3&gt;=EDATE($B$109,-'Вводные'!$E$91),BQ$3&lt;$B$109),$B$118/MAX(1,'Вводные'!$E$91),0)</x:f>
      </x:c>
      <x:c r="BR118" s="117" t="n">
        <x:f>IF(AND(BR$3&gt;=EDATE($B$109,-'Вводные'!$E$91),BR$3&lt;$B$109),$B$118/MAX(1,'Вводные'!$E$91),0)</x:f>
      </x:c>
      <x:c r="BS118" s="117" t="n">
        <x:f>IF(AND(BS$3&gt;=EDATE($B$109,-'Вводные'!$E$91),BS$3&lt;$B$109),$B$118/MAX(1,'Вводные'!$E$91),0)</x:f>
      </x:c>
      <x:c r="BT118" s="117" t="n">
        <x:f>IF(AND(BT$3&gt;=EDATE($B$109,-'Вводные'!$E$91),BT$3&lt;$B$109),$B$118/MAX(1,'Вводные'!$E$91),0)</x:f>
      </x:c>
      <x:c r="BU118" s="117" t="n">
        <x:f>IF(AND(BU$3&gt;=EDATE($B$109,-'Вводные'!$E$91),BU$3&lt;$B$109),$B$118/MAX(1,'Вводные'!$E$91),0)</x:f>
      </x:c>
      <x:c r="BV118" s="117" t="n">
        <x:f>IF(AND(BV$3&gt;=EDATE($B$109,-'Вводные'!$E$91),BV$3&lt;$B$109),$B$118/MAX(1,'Вводные'!$E$91),0)</x:f>
      </x:c>
      <x:c r="BW118" s="117" t="n">
        <x:f>IF(AND(BW$3&gt;=EDATE($B$109,-'Вводные'!$E$91),BW$3&lt;$B$109),$B$118/MAX(1,'Вводные'!$E$91),0)</x:f>
      </x:c>
      <x:c r="BX118" s="117" t="n">
        <x:f>IF(AND(BX$3&gt;=EDATE($B$109,-'Вводные'!$E$91),BX$3&lt;$B$109),$B$118/MAX(1,'Вводные'!$E$91),0)</x:f>
      </x:c>
      <x:c r="BY118" s="117" t="n">
        <x:f>IF(AND(BY$3&gt;=EDATE($B$109,-'Вводные'!$E$91),BY$3&lt;$B$109),$B$118/MAX(1,'Вводные'!$E$91),0)</x:f>
      </x:c>
      <x:c r="BZ118" s="117" t="n">
        <x:f>IF(AND(BZ$3&gt;=EDATE($B$109,-'Вводные'!$E$91),BZ$3&lt;$B$109),$B$118/MAX(1,'Вводные'!$E$91),0)</x:f>
      </x:c>
      <x:c r="CA118" s="117" t="n">
        <x:f>IF(AND(CA$3&gt;=EDATE($B$109,-'Вводные'!$E$91),CA$3&lt;$B$109),$B$118/MAX(1,'Вводные'!$E$91),0)</x:f>
      </x:c>
      <x:c r="CB118" s="117" t="n">
        <x:f>IF(AND(CB$3&gt;=EDATE($B$109,-'Вводные'!$E$91),CB$3&lt;$B$109),$B$118/MAX(1,'Вводные'!$E$91),0)</x:f>
      </x:c>
      <x:c r="CC118" s="117" t="n">
        <x:f>IF(AND(CC$3&gt;=EDATE($B$109,-'Вводные'!$E$91),CC$3&lt;$B$109),$B$118/MAX(1,'Вводные'!$E$91),0)</x:f>
      </x:c>
      <x:c r="CD118" s="117" t="n">
        <x:f>IF(AND(CD$3&gt;=EDATE($B$109,-'Вводные'!$E$91),CD$3&lt;$B$109),$B$118/MAX(1,'Вводные'!$E$91),0)</x:f>
      </x:c>
      <x:c r="CE118" s="117" t="n">
        <x:f>IF(AND(CE$3&gt;=EDATE($B$109,-'Вводные'!$E$91),CE$3&lt;$B$109),$B$118/MAX(1,'Вводные'!$E$91),0)</x:f>
      </x:c>
      <x:c r="CF118" s="117" t="n">
        <x:f>IF(AND(CF$3&gt;=EDATE($B$109,-'Вводные'!$E$91),CF$3&lt;$B$109),$B$118/MAX(1,'Вводные'!$E$91),0)</x:f>
      </x:c>
      <x:c r="CG118" s="117" t="n">
        <x:f>IF(AND(CG$3&gt;=EDATE($B$109,-'Вводные'!$E$91),CG$3&lt;$B$109),$B$118/MAX(1,'Вводные'!$E$91),0)</x:f>
      </x:c>
      <x:c r="CH118" s="117" t="n">
        <x:f>IF(AND(CH$3&gt;=EDATE($B$109,-'Вводные'!$E$91),CH$3&lt;$B$109),$B$118/MAX(1,'Вводные'!$E$91),0)</x:f>
      </x:c>
      <x:c r="CI118" s="117" t="n">
        <x:f>IF(AND(CI$3&gt;=EDATE($B$109,-'Вводные'!$E$91),CI$3&lt;$B$109),$B$118/MAX(1,'Вводные'!$E$91),0)</x:f>
      </x:c>
      <x:c r="CJ118" s="117" t="n">
        <x:f>IF(AND(CJ$3&gt;=EDATE($B$109,-'Вводные'!$E$91),CJ$3&lt;$B$109),$B$118/MAX(1,'Вводные'!$E$91),0)</x:f>
      </x:c>
      <x:c r="CK118" s="117" t="n">
        <x:f>IF(AND(CK$3&gt;=EDATE($B$109,-'Вводные'!$E$91),CK$3&lt;$B$109),$B$118/MAX(1,'Вводные'!$E$91),0)</x:f>
      </x:c>
      <x:c r="CL118" s="117" t="n">
        <x:f>IF(AND(CL$3&gt;=EDATE($B$109,-'Вводные'!$E$91),CL$3&lt;$B$109),$B$118/MAX(1,'Вводные'!$E$91),0)</x:f>
      </x:c>
      <x:c r="CM118" s="117" t="n">
        <x:f>IF(AND(CM$3&gt;=EDATE($B$109,-'Вводные'!$E$91),CM$3&lt;$B$109),$B$118/MAX(1,'Вводные'!$E$91),0)</x:f>
      </x:c>
      <x:c r="CN118" s="117" t="n">
        <x:f>IF(AND(CN$3&gt;=EDATE($B$109,-'Вводные'!$E$91),CN$3&lt;$B$109),$B$118/MAX(1,'Вводные'!$E$91),0)</x:f>
      </x:c>
      <x:c r="CO118" s="117" t="n">
        <x:f>IF(AND(CO$3&gt;=EDATE($B$109,-'Вводные'!$E$91),CO$3&lt;$B$109),$B$118/MAX(1,'Вводные'!$E$91),0)</x:f>
      </x:c>
      <x:c r="CP118" s="117" t="n">
        <x:f>IF(AND(CP$3&gt;=EDATE($B$109,-'Вводные'!$E$91),CP$3&lt;$B$109),$B$118/MAX(1,'Вводные'!$E$91),0)</x:f>
      </x:c>
      <x:c r="CQ118" s="117" t="n">
        <x:f>IF(AND(CQ$3&gt;=EDATE($B$109,-'Вводные'!$E$91),CQ$3&lt;$B$109),$B$118/MAX(1,'Вводные'!$E$91),0)</x:f>
      </x:c>
      <x:c r="CR118" s="117" t="n">
        <x:f>IF(AND(CR$3&gt;=EDATE($B$109,-'Вводные'!$E$91),CR$3&lt;$B$109),$B$118/MAX(1,'Вводные'!$E$91),0)</x:f>
      </x:c>
      <x:c r="CS118" s="117" t="n">
        <x:f>IF(AND(CS$3&gt;=EDATE($B$109,-'Вводные'!$E$91),CS$3&lt;$B$109),$B$118/MAX(1,'Вводные'!$E$91),0)</x:f>
      </x:c>
      <x:c r="CT118" s="117" t="n">
        <x:f>IF(AND(CT$3&gt;=EDATE($B$109,-'Вводные'!$E$91),CT$3&lt;$B$109),$B$118/MAX(1,'Вводные'!$E$91),0)</x:f>
      </x:c>
      <x:c r="CU118" s="117" t="n">
        <x:f>IF(AND(CU$3&gt;=EDATE($B$109,-'Вводные'!$E$91),CU$3&lt;$B$109),$B$118/MAX(1,'Вводные'!$E$91),0)</x:f>
      </x:c>
      <x:c r="CV118" s="117" t="n">
        <x:f>IF(AND(CV$3&gt;=EDATE($B$109,-'Вводные'!$E$91),CV$3&lt;$B$109),$B$118/MAX(1,'Вводные'!$E$91),0)</x:f>
      </x:c>
      <x:c r="CW118" s="117" t="n">
        <x:f>IF(AND(CW$3&gt;=EDATE($B$109,-'Вводные'!$E$91),CW$3&lt;$B$109),$B$118/MAX(1,'Вводные'!$E$91),0)</x:f>
      </x:c>
      <x:c r="CX118" s="117" t="n">
        <x:f>IF(AND(CX$3&gt;=EDATE($B$109,-'Вводные'!$E$91),CX$3&lt;$B$109),$B$118/MAX(1,'Вводные'!$E$91),0)</x:f>
      </x:c>
      <x:c r="CY118" s="117" t="n">
        <x:f>IF(AND(CY$3&gt;=EDATE($B$109,-'Вводные'!$E$91),CY$3&lt;$B$109),$B$118/MAX(1,'Вводные'!$E$91),0)</x:f>
      </x:c>
      <x:c r="CZ118" s="117" t="n">
        <x:f>IF(AND(CZ$3&gt;=EDATE($B$109,-'Вводные'!$E$91),CZ$3&lt;$B$109),$B$118/MAX(1,'Вводные'!$E$91),0)</x:f>
      </x:c>
      <x:c r="DA118" s="117" t="n">
        <x:f>IF(AND(DA$3&gt;=EDATE($B$109,-'Вводные'!$E$91),DA$3&lt;$B$109),$B$118/MAX(1,'Вводные'!$E$91),0)</x:f>
      </x:c>
      <x:c r="DB118" s="117" t="n">
        <x:f>IF(AND(DB$3&gt;=EDATE($B$109,-'Вводные'!$E$91),DB$3&lt;$B$109),$B$118/MAX(1,'Вводные'!$E$91),0)</x:f>
      </x:c>
      <x:c r="DC118" s="117" t="n">
        <x:f>IF(AND(DC$3&gt;=EDATE($B$109,-'Вводные'!$E$91),DC$3&lt;$B$109),$B$118/MAX(1,'Вводные'!$E$91),0)</x:f>
      </x:c>
      <x:c r="DD118" s="117" t="n">
        <x:f>IF(AND(DD$3&gt;=EDATE($B$109,-'Вводные'!$E$91),DD$3&lt;$B$109),$B$118/MAX(1,'Вводные'!$E$91),0)</x:f>
      </x:c>
      <x:c r="DE118" s="117" t="n">
        <x:f>IF(AND(DE$3&gt;=EDATE($B$109,-'Вводные'!$E$91),DE$3&lt;$B$109),$B$118/MAX(1,'Вводные'!$E$91),0)</x:f>
      </x:c>
      <x:c r="DF118" s="117" t="n">
        <x:f>IF(AND(DF$3&gt;=EDATE($B$109,-'Вводные'!$E$91),DF$3&lt;$B$109),$B$118/MAX(1,'Вводные'!$E$91),0)</x:f>
      </x:c>
      <x:c r="DG118" s="117" t="n">
        <x:f>IF(AND(DG$3&gt;=EDATE($B$109,-'Вводные'!$E$91),DG$3&lt;$B$109),$B$118/MAX(1,'Вводные'!$E$91),0)</x:f>
      </x:c>
      <x:c r="DH118" s="117" t="n">
        <x:f>IF(AND(DH$3&gt;=EDATE($B$109,-'Вводные'!$E$91),DH$3&lt;$B$109),$B$118/MAX(1,'Вводные'!$E$91),0)</x:f>
      </x:c>
      <x:c r="DI118" s="117" t="n">
        <x:f>IF(AND(DI$3&gt;=EDATE($B$109,-'Вводные'!$E$91),DI$3&lt;$B$109),$B$118/MAX(1,'Вводные'!$E$91),0)</x:f>
      </x:c>
      <x:c r="DJ118" s="117" t="n">
        <x:f>IF(AND(DJ$3&gt;=EDATE($B$109,-'Вводные'!$E$91),DJ$3&lt;$B$109),$B$118/MAX(1,'Вводные'!$E$91),0)</x:f>
      </x:c>
      <x:c r="DK118" s="117" t="n">
        <x:f>IF(AND(DK$3&gt;=EDATE($B$109,-'Вводные'!$E$91),DK$3&lt;$B$109),$B$118/MAX(1,'Вводные'!$E$91),0)</x:f>
      </x:c>
      <x:c r="DL118" s="117" t="n">
        <x:f>IF(AND(DL$3&gt;=EDATE($B$109,-'Вводные'!$E$91),DL$3&lt;$B$109),$B$118/MAX(1,'Вводные'!$E$91),0)</x:f>
      </x:c>
      <x:c r="DM118" s="117" t="n">
        <x:f>IF(AND(DM$3&gt;=EDATE($B$109,-'Вводные'!$E$91),DM$3&lt;$B$109),$B$118/MAX(1,'Вводные'!$E$91),0)</x:f>
      </x:c>
      <x:c r="DN118" s="117" t="n">
        <x:f>IF(AND(DN$3&gt;=EDATE($B$109,-'Вводные'!$E$91),DN$3&lt;$B$109),$B$118/MAX(1,'Вводные'!$E$91),0)</x:f>
      </x:c>
      <x:c r="DO118" s="117" t="n">
        <x:f>IF(AND(DO$3&gt;=EDATE($B$109,-'Вводные'!$E$91),DO$3&lt;$B$109),$B$118/MAX(1,'Вводные'!$E$91),0)</x:f>
      </x:c>
      <x:c r="DP118" s="117" t="n">
        <x:f>IF(AND(DP$3&gt;=EDATE($B$109,-'Вводные'!$E$91),DP$3&lt;$B$109),$B$118/MAX(1,'Вводные'!$E$91),0)</x:f>
      </x:c>
      <x:c r="DQ118" s="117" t="n">
        <x:f>IF(AND(DQ$3&gt;=EDATE($B$109,-'Вводные'!$E$91),DQ$3&lt;$B$109),$B$118/MAX(1,'Вводные'!$E$91),0)</x:f>
      </x:c>
      <x:c r="DR118" s="117" t="n">
        <x:f>IF(AND(DR$3&gt;=EDATE($B$109,-'Вводные'!$E$91),DR$3&lt;$B$109),$B$118/MAX(1,'Вводные'!$E$91),0)</x:f>
      </x:c>
      <x:c r="DS118" s="117" t="n">
        <x:f>IF(AND(DS$3&gt;=EDATE($B$109,-'Вводные'!$E$91),DS$3&lt;$B$109),$B$118/MAX(1,'Вводные'!$E$91),0)</x:f>
      </x:c>
      <x:c r="DT118" s="117" t="n">
        <x:f>IF(AND(DT$3&gt;=EDATE($B$109,-'Вводные'!$E$91),DT$3&lt;$B$109),$B$118/MAX(1,'Вводные'!$E$91),0)</x:f>
      </x:c>
      <x:c r="DU118" s="117" t="n">
        <x:f>IF(AND(DU$3&gt;=EDATE($B$109,-'Вводные'!$E$91),DU$3&lt;$B$109),$B$118/MAX(1,'Вводные'!$E$91),0)</x:f>
      </x:c>
      <x:c r="DV118" s="117" t="n">
        <x:f>IF(AND(DV$3&gt;=EDATE($B$109,-'Вводные'!$E$91),DV$3&lt;$B$109),$B$118/MAX(1,'Вводные'!$E$91),0)</x:f>
      </x:c>
      <x:c r="DW118" s="117" t="n">
        <x:f>IF(AND(DW$3&gt;=EDATE($B$109,-'Вводные'!$E$91),DW$3&lt;$B$109),$B$118/MAX(1,'Вводные'!$E$91),0)</x:f>
      </x:c>
      <x:c r="DX118" s="117" t="n">
        <x:f>IF(AND(DX$3&gt;=EDATE($B$109,-'Вводные'!$E$91),DX$3&lt;$B$109),$B$118/MAX(1,'Вводные'!$E$91),0)</x:f>
      </x:c>
      <x:c r="DY118" s="117" t="n">
        <x:f>IF(AND(DY$3&gt;=EDATE($B$109,-'Вводные'!$E$91),DY$3&lt;$B$109),$B$118/MAX(1,'Вводные'!$E$91),0)</x:f>
      </x:c>
      <x:c r="DZ118" s="117" t="n">
        <x:f>IF(AND(DZ$3&gt;=EDATE($B$109,-'Вводные'!$E$91),DZ$3&lt;$B$109),$B$118/MAX(1,'Вводные'!$E$91),0)</x:f>
      </x:c>
      <x:c r="EA118" s="117" t="n">
        <x:f>IF(AND(EA$3&gt;=EDATE($B$109,-'Вводные'!$E$91),EA$3&lt;$B$109),$B$118/MAX(1,'Вводные'!$E$91),0)</x:f>
      </x:c>
      <x:c r="EB118" s="117" t="n">
        <x:f>IF(AND(EB$3&gt;=EDATE($B$109,-'Вводные'!$E$91),EB$3&lt;$B$109),$B$118/MAX(1,'Вводные'!$E$91),0)</x:f>
      </x:c>
      <x:c r="EC118" s="117" t="n">
        <x:f>IF(AND(EC$3&gt;=EDATE($B$109,-'Вводные'!$E$91),EC$3&lt;$B$109),$B$118/MAX(1,'Вводные'!$E$91),0)</x:f>
      </x:c>
      <x:c r="ED118" s="117" t="n">
        <x:f>IF(AND(ED$3&gt;=EDATE($B$109,-'Вводные'!$E$91),ED$3&lt;$B$109),$B$118/MAX(1,'Вводные'!$E$91),0)</x:f>
      </x:c>
      <x:c r="EE118" s="117" t="n">
        <x:f>IF(AND(EE$3&gt;=EDATE($B$109,-'Вводные'!$E$91),EE$3&lt;$B$109),$B$118/MAX(1,'Вводные'!$E$91),0)</x:f>
      </x:c>
      <x:c r="EF118" s="117" t="n">
        <x:f>IF(AND(EF$3&gt;=EDATE($B$109,-'Вводные'!$E$91),EF$3&lt;$B$109),$B$118/MAX(1,'Вводные'!$E$91),0)</x:f>
      </x:c>
      <x:c r="EG118" s="117" t="n">
        <x:f>IF(AND(EG$3&gt;=EDATE($B$109,-'Вводные'!$E$91),EG$3&lt;$B$109),$B$118/MAX(1,'Вводные'!$E$91),0)</x:f>
      </x:c>
      <x:c r="EH118" s="117" t="n">
        <x:f>IF(AND(EH$3&gt;=EDATE($B$109,-'Вводные'!$E$91),EH$3&lt;$B$109),$B$118/MAX(1,'Вводные'!$E$91),0)</x:f>
      </x:c>
      <x:c r="EI118" s="117" t="n">
        <x:f>IF(AND(EI$3&gt;=EDATE($B$109,-'Вводные'!$E$91),EI$3&lt;$B$109),$B$118/MAX(1,'Вводные'!$E$91),0)</x:f>
      </x:c>
      <x:c r="EJ118" s="117" t="n">
        <x:f>IF(AND(EJ$3&gt;=EDATE($B$109,-'Вводные'!$E$91),EJ$3&lt;$B$109),$B$118/MAX(1,'Вводные'!$E$91),0)</x:f>
      </x:c>
      <x:c r="EK118" s="117" t="n">
        <x:f>IF(AND(EK$3&gt;=EDATE($B$109,-'Вводные'!$E$91),EK$3&lt;$B$109),$B$118/MAX(1,'Вводные'!$E$91),0)</x:f>
      </x:c>
      <x:c r="EL118" s="117" t="n">
        <x:f>IF(AND(EL$3&gt;=EDATE($B$109,-'Вводные'!$E$91),EL$3&lt;$B$109),$B$118/MAX(1,'Вводные'!$E$91),0)</x:f>
      </x:c>
      <x:c r="EM118" s="117" t="n">
        <x:f>IF(AND(EM$3&gt;=EDATE($B$109,-'Вводные'!$E$91),EM$3&lt;$B$109),$B$118/MAX(1,'Вводные'!$E$91),0)</x:f>
      </x:c>
      <x:c r="EN118" s="117" t="n">
        <x:f>IF(AND(EN$3&gt;=EDATE($B$109,-'Вводные'!$E$91),EN$3&lt;$B$109),$B$118/MAX(1,'Вводные'!$E$91),0)</x:f>
      </x:c>
      <x:c r="EO118" s="117" t="n">
        <x:f>IF(AND(EO$3&gt;=EDATE($B$109,-'Вводные'!$E$91),EO$3&lt;$B$109),$B$118/MAX(1,'Вводные'!$E$91),0)</x:f>
      </x:c>
      <x:c r="EP118" s="117" t="n">
        <x:f>IF(AND(EP$3&gt;=EDATE($B$109,-'Вводные'!$E$91),EP$3&lt;$B$109),$B$118/MAX(1,'Вводные'!$E$91),0)</x:f>
      </x:c>
      <x:c r="EQ118" s="117" t="n">
        <x:f>IF(AND(EQ$3&gt;=EDATE($B$109,-'Вводные'!$E$91),EQ$3&lt;$B$109),$B$118/MAX(1,'Вводные'!$E$91),0)</x:f>
      </x:c>
      <x:c r="ER118" s="117" t="n">
        <x:f>IF(AND(ER$3&gt;=EDATE($B$109,-'Вводные'!$E$91),ER$3&lt;$B$109),$B$118/MAX(1,'Вводные'!$E$91),0)</x:f>
      </x:c>
      <x:c r="ES118" s="117" t="n">
        <x:f>IF(AND(ES$3&gt;=EDATE($B$109,-'Вводные'!$E$91),ES$3&lt;$B$109),$B$118/MAX(1,'Вводные'!$E$91),0)</x:f>
      </x:c>
      <x:c r="ET118" s="117" t="n">
        <x:f>IF(AND(ET$3&gt;=EDATE($B$109,-'Вводные'!$E$91),ET$3&lt;$B$109),$B$118/MAX(1,'Вводные'!$E$91),0)</x:f>
      </x:c>
      <x:c r="EU118" s="117" t="n">
        <x:f>IF(AND(EU$3&gt;=EDATE($B$109,-'Вводные'!$E$91),EU$3&lt;$B$109),$B$118/MAX(1,'Вводные'!$E$91),0)</x:f>
      </x:c>
      <x:c r="EV118" s="117" t="n">
        <x:f>IF(AND(EV$3&gt;=EDATE($B$109,-'Вводные'!$E$91),EV$3&lt;$B$109),$B$118/MAX(1,'Вводные'!$E$91),0)</x:f>
      </x:c>
      <x:c r="EW118" s="117" t="n">
        <x:f>IF(AND(EW$3&gt;=EDATE($B$109,-'Вводные'!$E$91),EW$3&lt;$B$109),$B$118/MAX(1,'Вводные'!$E$91),0)</x:f>
      </x:c>
      <x:c r="EX118" s="117" t="n">
        <x:f>IF(AND(EX$3&gt;=EDATE($B$109,-'Вводные'!$E$91),EX$3&lt;$B$109),$B$118/MAX(1,'Вводные'!$E$91),0)</x:f>
      </x:c>
      <x:c r="EY118" s="117" t="n">
        <x:f>IF(AND(EY$3&gt;=EDATE($B$109,-'Вводные'!$E$91),EY$3&lt;$B$109),$B$118/MAX(1,'Вводные'!$E$91),0)</x:f>
      </x:c>
      <x:c r="EZ118" s="117" t="n">
        <x:f>IF(AND(EZ$3&gt;=EDATE($B$109,-'Вводные'!$E$91),EZ$3&lt;$B$109),$B$118/MAX(1,'Вводные'!$E$91),0)</x:f>
      </x:c>
      <x:c r="FA118" s="117" t="n">
        <x:f>IF(AND(FA$3&gt;=EDATE($B$109,-'Вводные'!$E$91),FA$3&lt;$B$109),$B$118/MAX(1,'Вводные'!$E$91),0)</x:f>
      </x:c>
      <x:c r="FB118" s="117" t="n">
        <x:f>IF(AND(FB$3&gt;=EDATE($B$109,-'Вводные'!$E$91),FB$3&lt;$B$109),$B$118/MAX(1,'Вводные'!$E$91),0)</x:f>
      </x:c>
      <x:c r="FC118" s="117" t="n">
        <x:f>IF(AND(FC$3&gt;=EDATE($B$109,-'Вводные'!$E$91),FC$3&lt;$B$109),$B$118/MAX(1,'Вводные'!$E$91),0)</x:f>
      </x:c>
      <x:c r="FD118" s="117" t="n">
        <x:f>IF(AND(FD$3&gt;=EDATE($B$109,-'Вводные'!$E$91),FD$3&lt;$B$109),$B$118/MAX(1,'Вводные'!$E$91),0)</x:f>
      </x:c>
      <x:c r="FE118" s="117" t="n">
        <x:f>IF(AND(FE$3&gt;=EDATE($B$109,-'Вводные'!$E$91),FE$3&lt;$B$109),$B$118/MAX(1,'Вводные'!$E$91),0)</x:f>
      </x:c>
      <x:c r="FF118" s="117" t="n">
        <x:f>IF(AND(FF$3&gt;=EDATE($B$109,-'Вводные'!$E$91),FF$3&lt;$B$109),$B$118/MAX(1,'Вводные'!$E$91),0)</x:f>
      </x:c>
      <x:c r="FG118" s="117" t="n">
        <x:f>IF(AND(FG$3&gt;=EDATE($B$109,-'Вводные'!$E$91),FG$3&lt;$B$109),$B$118/MAX(1,'Вводные'!$E$91),0)</x:f>
      </x:c>
      <x:c r="FH118" s="117" t="n">
        <x:f>IF(AND(FH$3&gt;=EDATE($B$109,-'Вводные'!$E$91),FH$3&lt;$B$109),$B$118/MAX(1,'Вводные'!$E$91),0)</x:f>
      </x:c>
      <x:c r="FI118" s="117" t="n">
        <x:f>IF(AND(FI$3&gt;=EDATE($B$109,-'Вводные'!$E$91),FI$3&lt;$B$109),$B$118/MAX(1,'Вводные'!$E$91),0)</x:f>
      </x:c>
      <x:c r="FJ118" s="117" t="n">
        <x:f>IF(AND(FJ$3&gt;=EDATE($B$109,-'Вводные'!$E$91),FJ$3&lt;$B$109),$B$118/MAX(1,'Вводные'!$E$91),0)</x:f>
      </x:c>
      <x:c r="FK118" s="117" t="n">
        <x:f>IF(AND(FK$3&gt;=EDATE($B$109,-'Вводные'!$E$91),FK$3&lt;$B$109),$B$118/MAX(1,'Вводные'!$E$91),0)</x:f>
      </x:c>
      <x:c r="FL118" s="117" t="n">
        <x:f>IF(AND(FL$3&gt;=EDATE($B$109,-'Вводные'!$E$91),FL$3&lt;$B$109),$B$118/MAX(1,'Вводные'!$E$91),0)</x:f>
      </x:c>
      <x:c r="FM118" s="117" t="n">
        <x:f>IF(AND(FM$3&gt;=EDATE($B$109,-'Вводные'!$E$91),FM$3&lt;$B$109),$B$118/MAX(1,'Вводные'!$E$91),0)</x:f>
      </x:c>
      <x:c r="FN118" s="117" t="n">
        <x:f>IF(AND(FN$3&gt;=EDATE($B$109,-'Вводные'!$E$91),FN$3&lt;$B$109),$B$118/MAX(1,'Вводные'!$E$91),0)</x:f>
      </x:c>
      <x:c r="FO118" s="117" t="n">
        <x:f>IF(AND(FO$3&gt;=EDATE($B$109,-'Вводные'!$E$91),FO$3&lt;$B$109),$B$118/MAX(1,'Вводные'!$E$91),0)</x:f>
      </x:c>
      <x:c r="FP118" s="117" t="n">
        <x:f>IF(AND(FP$3&gt;=EDATE($B$109,-'Вводные'!$E$91),FP$3&lt;$B$109),$B$118/MAX(1,'Вводные'!$E$91),0)</x:f>
      </x:c>
      <x:c r="FQ118" s="117" t="n">
        <x:f>IF(AND(FQ$3&gt;=EDATE($B$109,-'Вводные'!$E$91),FQ$3&lt;$B$109),$B$118/MAX(1,'Вводные'!$E$91),0)</x:f>
      </x:c>
      <x:c r="FR118" s="117" t="n">
        <x:f>IF(AND(FR$3&gt;=EDATE($B$109,-'Вводные'!$E$91),FR$3&lt;$B$109),$B$118/MAX(1,'Вводные'!$E$91),0)</x:f>
      </x:c>
      <x:c r="FS118" s="117" t="n">
        <x:f>IF(AND(FS$3&gt;=EDATE($B$109,-'Вводные'!$E$91),FS$3&lt;$B$109),$B$118/MAX(1,'Вводные'!$E$91),0)</x:f>
      </x:c>
      <x:c r="FT118" s="117" t="n">
        <x:f>IF(AND(FT$3&gt;=EDATE($B$109,-'Вводные'!$E$91),FT$3&lt;$B$109),$B$118/MAX(1,'Вводные'!$E$91),0)</x:f>
      </x:c>
      <x:c r="FU118" s="117" t="n">
        <x:f>IF(AND(FU$3&gt;=EDATE($B$109,-'Вводные'!$E$91),FU$3&lt;$B$109),$B$118/MAX(1,'Вводные'!$E$91),0)</x:f>
      </x:c>
      <x:c r="FV118" s="117" t="n">
        <x:f>IF(AND(FV$3&gt;=EDATE($B$109,-'Вводные'!$E$91),FV$3&lt;$B$109),$B$118/MAX(1,'Вводные'!$E$91),0)</x:f>
      </x:c>
      <x:c r="FW118" s="117" t="n">
        <x:f>IF(AND(FW$3&gt;=EDATE($B$109,-'Вводные'!$E$91),FW$3&lt;$B$109),$B$118/MAX(1,'Вводные'!$E$91),0)</x:f>
      </x:c>
      <x:c r="FX118" s="117" t="n">
        <x:f>IF(AND(FX$3&gt;=EDATE($B$109,-'Вводные'!$E$91),FX$3&lt;$B$109),$B$118/MAX(1,'Вводные'!$E$91),0)</x:f>
      </x:c>
      <x:c r="FY118" s="117" t="n">
        <x:f>IF(AND(FY$3&gt;=EDATE($B$109,-'Вводные'!$E$91),FY$3&lt;$B$109),$B$118/MAX(1,'Вводные'!$E$91),0)</x:f>
      </x:c>
      <x:c r="FZ118" s="117" t="n">
        <x:f>IF(AND(FZ$3&gt;=EDATE($B$109,-'Вводные'!$E$91),FZ$3&lt;$B$109),$B$118/MAX(1,'Вводные'!$E$91),0)</x:f>
      </x:c>
      <x:c r="GA118" s="117" t="n">
        <x:f>IF(AND(GA$3&gt;=EDATE($B$109,-'Вводные'!$E$91),GA$3&lt;$B$109),$B$118/MAX(1,'Вводные'!$E$91),0)</x:f>
      </x:c>
    </x:row>
    <x:row r="119">
      <x:c r="A119" t="str">
        <x:v>Проектирование, стадия П</x:v>
      </x:c>
      <x:c r="B119" s="107" t="n">
        <x:f>(('Вводные'!$I$91+'Вводные'!$J$91+'Вводные'!$K$91)*'Вводные'!$B$41/1000*'Вводные'!$H$6*'Вводные'!$T$91*--('Вводные'!$B$91="Да"))*'Вводные'!$AH$91</x:f>
      </x:c>
      <x:c r="C119" t="str">
        <x:v>млн ₽</x:v>
      </x:c>
      <x:c r="D119" s="117" t="n">
        <x:f>IF(AND(D$3&gt;=EDATE($B$109,-MIN(6,'Вводные'!$E$91)),D$3&lt;$B$109),$B$119/MAX(1,MIN(6,'Вводные'!$E$91)),0)</x:f>
      </x:c>
      <x:c r="E119" s="117" t="n">
        <x:f>IF(AND(E$3&gt;=EDATE($B$109,-MIN(6,'Вводные'!$E$91)),E$3&lt;$B$109),$B$119/MAX(1,MIN(6,'Вводные'!$E$91)),0)</x:f>
      </x:c>
      <x:c r="F119" s="117" t="n">
        <x:f>IF(AND(F$3&gt;=EDATE($B$109,-MIN(6,'Вводные'!$E$91)),F$3&lt;$B$109),$B$119/MAX(1,MIN(6,'Вводные'!$E$91)),0)</x:f>
      </x:c>
      <x:c r="G119" s="117" t="n">
        <x:f>IF(AND(G$3&gt;=EDATE($B$109,-MIN(6,'Вводные'!$E$91)),G$3&lt;$B$109),$B$119/MAX(1,MIN(6,'Вводные'!$E$91)),0)</x:f>
      </x:c>
      <x:c r="H119" s="117" t="n">
        <x:f>IF(AND(H$3&gt;=EDATE($B$109,-MIN(6,'Вводные'!$E$91)),H$3&lt;$B$109),$B$119/MAX(1,MIN(6,'Вводные'!$E$91)),0)</x:f>
      </x:c>
      <x:c r="I119" s="117" t="n">
        <x:f>IF(AND(I$3&gt;=EDATE($B$109,-MIN(6,'Вводные'!$E$91)),I$3&lt;$B$109),$B$119/MAX(1,MIN(6,'Вводные'!$E$91)),0)</x:f>
      </x:c>
      <x:c r="J119" s="117" t="n">
        <x:f>IF(AND(J$3&gt;=EDATE($B$109,-MIN(6,'Вводные'!$E$91)),J$3&lt;$B$109),$B$119/MAX(1,MIN(6,'Вводные'!$E$91)),0)</x:f>
      </x:c>
      <x:c r="K119" s="117" t="n">
        <x:f>IF(AND(K$3&gt;=EDATE($B$109,-MIN(6,'Вводные'!$E$91)),K$3&lt;$B$109),$B$119/MAX(1,MIN(6,'Вводные'!$E$91)),0)</x:f>
      </x:c>
      <x:c r="L119" s="117" t="n">
        <x:f>IF(AND(L$3&gt;=EDATE($B$109,-MIN(6,'Вводные'!$E$91)),L$3&lt;$B$109),$B$119/MAX(1,MIN(6,'Вводные'!$E$91)),0)</x:f>
      </x:c>
      <x:c r="M119" s="117" t="n">
        <x:f>IF(AND(M$3&gt;=EDATE($B$109,-MIN(6,'Вводные'!$E$91)),M$3&lt;$B$109),$B$119/MAX(1,MIN(6,'Вводные'!$E$91)),0)</x:f>
      </x:c>
      <x:c r="N119" s="117" t="n">
        <x:f>IF(AND(N$3&gt;=EDATE($B$109,-MIN(6,'Вводные'!$E$91)),N$3&lt;$B$109),$B$119/MAX(1,MIN(6,'Вводные'!$E$91)),0)</x:f>
      </x:c>
      <x:c r="O119" s="117" t="n">
        <x:f>IF(AND(O$3&gt;=EDATE($B$109,-MIN(6,'Вводные'!$E$91)),O$3&lt;$B$109),$B$119/MAX(1,MIN(6,'Вводные'!$E$91)),0)</x:f>
      </x:c>
      <x:c r="P119" s="117" t="n">
        <x:f>IF(AND(P$3&gt;=EDATE($B$109,-MIN(6,'Вводные'!$E$91)),P$3&lt;$B$109),$B$119/MAX(1,MIN(6,'Вводные'!$E$91)),0)</x:f>
      </x:c>
      <x:c r="Q119" s="117" t="n">
        <x:f>IF(AND(Q$3&gt;=EDATE($B$109,-MIN(6,'Вводные'!$E$91)),Q$3&lt;$B$109),$B$119/MAX(1,MIN(6,'Вводные'!$E$91)),0)</x:f>
      </x:c>
      <x:c r="R119" s="117" t="n">
        <x:f>IF(AND(R$3&gt;=EDATE($B$109,-MIN(6,'Вводные'!$E$91)),R$3&lt;$B$109),$B$119/MAX(1,MIN(6,'Вводные'!$E$91)),0)</x:f>
      </x:c>
      <x:c r="S119" s="117" t="n">
        <x:f>IF(AND(S$3&gt;=EDATE($B$109,-MIN(6,'Вводные'!$E$91)),S$3&lt;$B$109),$B$119/MAX(1,MIN(6,'Вводные'!$E$91)),0)</x:f>
      </x:c>
      <x:c r="T119" s="117" t="n">
        <x:f>IF(AND(T$3&gt;=EDATE($B$109,-MIN(6,'Вводные'!$E$91)),T$3&lt;$B$109),$B$119/MAX(1,MIN(6,'Вводные'!$E$91)),0)</x:f>
      </x:c>
      <x:c r="U119" s="117" t="n">
        <x:f>IF(AND(U$3&gt;=EDATE($B$109,-MIN(6,'Вводные'!$E$91)),U$3&lt;$B$109),$B$119/MAX(1,MIN(6,'Вводные'!$E$91)),0)</x:f>
      </x:c>
      <x:c r="V119" s="117" t="n">
        <x:f>IF(AND(V$3&gt;=EDATE($B$109,-MIN(6,'Вводные'!$E$91)),V$3&lt;$B$109),$B$119/MAX(1,MIN(6,'Вводные'!$E$91)),0)</x:f>
      </x:c>
      <x:c r="W119" s="117" t="n">
        <x:f>IF(AND(W$3&gt;=EDATE($B$109,-MIN(6,'Вводные'!$E$91)),W$3&lt;$B$109),$B$119/MAX(1,MIN(6,'Вводные'!$E$91)),0)</x:f>
      </x:c>
      <x:c r="X119" s="117" t="n">
        <x:f>IF(AND(X$3&gt;=EDATE($B$109,-MIN(6,'Вводные'!$E$91)),X$3&lt;$B$109),$B$119/MAX(1,MIN(6,'Вводные'!$E$91)),0)</x:f>
      </x:c>
      <x:c r="Y119" s="117" t="n">
        <x:f>IF(AND(Y$3&gt;=EDATE($B$109,-MIN(6,'Вводные'!$E$91)),Y$3&lt;$B$109),$B$119/MAX(1,MIN(6,'Вводные'!$E$91)),0)</x:f>
      </x:c>
      <x:c r="Z119" s="117" t="n">
        <x:f>IF(AND(Z$3&gt;=EDATE($B$109,-MIN(6,'Вводные'!$E$91)),Z$3&lt;$B$109),$B$119/MAX(1,MIN(6,'Вводные'!$E$91)),0)</x:f>
      </x:c>
      <x:c r="AA119" s="117" t="n">
        <x:f>IF(AND(AA$3&gt;=EDATE($B$109,-MIN(6,'Вводные'!$E$91)),AA$3&lt;$B$109),$B$119/MAX(1,MIN(6,'Вводные'!$E$91)),0)</x:f>
      </x:c>
      <x:c r="AB119" s="117" t="n">
        <x:f>IF(AND(AB$3&gt;=EDATE($B$109,-MIN(6,'Вводные'!$E$91)),AB$3&lt;$B$109),$B$119/MAX(1,MIN(6,'Вводные'!$E$91)),0)</x:f>
      </x:c>
      <x:c r="AC119" s="117" t="n">
        <x:f>IF(AND(AC$3&gt;=EDATE($B$109,-MIN(6,'Вводные'!$E$91)),AC$3&lt;$B$109),$B$119/MAX(1,MIN(6,'Вводные'!$E$91)),0)</x:f>
      </x:c>
      <x:c r="AD119" s="117" t="n">
        <x:f>IF(AND(AD$3&gt;=EDATE($B$109,-MIN(6,'Вводные'!$E$91)),AD$3&lt;$B$109),$B$119/MAX(1,MIN(6,'Вводные'!$E$91)),0)</x:f>
      </x:c>
      <x:c r="AE119" s="117" t="n">
        <x:f>IF(AND(AE$3&gt;=EDATE($B$109,-MIN(6,'Вводные'!$E$91)),AE$3&lt;$B$109),$B$119/MAX(1,MIN(6,'Вводные'!$E$91)),0)</x:f>
      </x:c>
      <x:c r="AF119" s="117" t="n">
        <x:f>IF(AND(AF$3&gt;=EDATE($B$109,-MIN(6,'Вводные'!$E$91)),AF$3&lt;$B$109),$B$119/MAX(1,MIN(6,'Вводные'!$E$91)),0)</x:f>
      </x:c>
      <x:c r="AG119" s="117" t="n">
        <x:f>IF(AND(AG$3&gt;=EDATE($B$109,-MIN(6,'Вводные'!$E$91)),AG$3&lt;$B$109),$B$119/MAX(1,MIN(6,'Вводные'!$E$91)),0)</x:f>
      </x:c>
      <x:c r="AH119" s="117" t="n">
        <x:f>IF(AND(AH$3&gt;=EDATE($B$109,-MIN(6,'Вводные'!$E$91)),AH$3&lt;$B$109),$B$119/MAX(1,MIN(6,'Вводные'!$E$91)),0)</x:f>
      </x:c>
      <x:c r="AI119" s="117" t="n">
        <x:f>IF(AND(AI$3&gt;=EDATE($B$109,-MIN(6,'Вводные'!$E$91)),AI$3&lt;$B$109),$B$119/MAX(1,MIN(6,'Вводные'!$E$91)),0)</x:f>
      </x:c>
      <x:c r="AJ119" s="117" t="n">
        <x:f>IF(AND(AJ$3&gt;=EDATE($B$109,-MIN(6,'Вводные'!$E$91)),AJ$3&lt;$B$109),$B$119/MAX(1,MIN(6,'Вводные'!$E$91)),0)</x:f>
      </x:c>
      <x:c r="AK119" s="117" t="n">
        <x:f>IF(AND(AK$3&gt;=EDATE($B$109,-MIN(6,'Вводные'!$E$91)),AK$3&lt;$B$109),$B$119/MAX(1,MIN(6,'Вводные'!$E$91)),0)</x:f>
      </x:c>
      <x:c r="AL119" s="117" t="n">
        <x:f>IF(AND(AL$3&gt;=EDATE($B$109,-MIN(6,'Вводные'!$E$91)),AL$3&lt;$B$109),$B$119/MAX(1,MIN(6,'Вводные'!$E$91)),0)</x:f>
      </x:c>
      <x:c r="AM119" s="117" t="n">
        <x:f>IF(AND(AM$3&gt;=EDATE($B$109,-MIN(6,'Вводные'!$E$91)),AM$3&lt;$B$109),$B$119/MAX(1,MIN(6,'Вводные'!$E$91)),0)</x:f>
      </x:c>
      <x:c r="AN119" s="117" t="n">
        <x:f>IF(AND(AN$3&gt;=EDATE($B$109,-MIN(6,'Вводные'!$E$91)),AN$3&lt;$B$109),$B$119/MAX(1,MIN(6,'Вводные'!$E$91)),0)</x:f>
      </x:c>
      <x:c r="AO119" s="117" t="n">
        <x:f>IF(AND(AO$3&gt;=EDATE($B$109,-MIN(6,'Вводные'!$E$91)),AO$3&lt;$B$109),$B$119/MAX(1,MIN(6,'Вводные'!$E$91)),0)</x:f>
      </x:c>
      <x:c r="AP119" s="117" t="n">
        <x:f>IF(AND(AP$3&gt;=EDATE($B$109,-MIN(6,'Вводные'!$E$91)),AP$3&lt;$B$109),$B$119/MAX(1,MIN(6,'Вводные'!$E$91)),0)</x:f>
      </x:c>
      <x:c r="AQ119" s="117" t="n">
        <x:f>IF(AND(AQ$3&gt;=EDATE($B$109,-MIN(6,'Вводные'!$E$91)),AQ$3&lt;$B$109),$B$119/MAX(1,MIN(6,'Вводные'!$E$91)),0)</x:f>
      </x:c>
      <x:c r="AR119" s="117" t="n">
        <x:f>IF(AND(AR$3&gt;=EDATE($B$109,-MIN(6,'Вводные'!$E$91)),AR$3&lt;$B$109),$B$119/MAX(1,MIN(6,'Вводные'!$E$91)),0)</x:f>
      </x:c>
      <x:c r="AS119" s="117" t="n">
        <x:f>IF(AND(AS$3&gt;=EDATE($B$109,-MIN(6,'Вводные'!$E$91)),AS$3&lt;$B$109),$B$119/MAX(1,MIN(6,'Вводные'!$E$91)),0)</x:f>
      </x:c>
      <x:c r="AT119" s="117" t="n">
        <x:f>IF(AND(AT$3&gt;=EDATE($B$109,-MIN(6,'Вводные'!$E$91)),AT$3&lt;$B$109),$B$119/MAX(1,MIN(6,'Вводные'!$E$91)),0)</x:f>
      </x:c>
      <x:c r="AU119" s="117" t="n">
        <x:f>IF(AND(AU$3&gt;=EDATE($B$109,-MIN(6,'Вводные'!$E$91)),AU$3&lt;$B$109),$B$119/MAX(1,MIN(6,'Вводные'!$E$91)),0)</x:f>
      </x:c>
      <x:c r="AV119" s="117" t="n">
        <x:f>IF(AND(AV$3&gt;=EDATE($B$109,-MIN(6,'Вводные'!$E$91)),AV$3&lt;$B$109),$B$119/MAX(1,MIN(6,'Вводные'!$E$91)),0)</x:f>
      </x:c>
      <x:c r="AW119" s="117" t="n">
        <x:f>IF(AND(AW$3&gt;=EDATE($B$109,-MIN(6,'Вводные'!$E$91)),AW$3&lt;$B$109),$B$119/MAX(1,MIN(6,'Вводные'!$E$91)),0)</x:f>
      </x:c>
      <x:c r="AX119" s="117" t="n">
        <x:f>IF(AND(AX$3&gt;=EDATE($B$109,-MIN(6,'Вводные'!$E$91)),AX$3&lt;$B$109),$B$119/MAX(1,MIN(6,'Вводные'!$E$91)),0)</x:f>
      </x:c>
      <x:c r="AY119" s="117" t="n">
        <x:f>IF(AND(AY$3&gt;=EDATE($B$109,-MIN(6,'Вводные'!$E$91)),AY$3&lt;$B$109),$B$119/MAX(1,MIN(6,'Вводные'!$E$91)),0)</x:f>
      </x:c>
      <x:c r="AZ119" s="117" t="n">
        <x:f>IF(AND(AZ$3&gt;=EDATE($B$109,-MIN(6,'Вводные'!$E$91)),AZ$3&lt;$B$109),$B$119/MAX(1,MIN(6,'Вводные'!$E$91)),0)</x:f>
      </x:c>
      <x:c r="BA119" s="117" t="n">
        <x:f>IF(AND(BA$3&gt;=EDATE($B$109,-MIN(6,'Вводные'!$E$91)),BA$3&lt;$B$109),$B$119/MAX(1,MIN(6,'Вводные'!$E$91)),0)</x:f>
      </x:c>
      <x:c r="BB119" s="117" t="n">
        <x:f>IF(AND(BB$3&gt;=EDATE($B$109,-MIN(6,'Вводные'!$E$91)),BB$3&lt;$B$109),$B$119/MAX(1,MIN(6,'Вводные'!$E$91)),0)</x:f>
      </x:c>
      <x:c r="BC119" s="117" t="n">
        <x:f>IF(AND(BC$3&gt;=EDATE($B$109,-MIN(6,'Вводные'!$E$91)),BC$3&lt;$B$109),$B$119/MAX(1,MIN(6,'Вводные'!$E$91)),0)</x:f>
      </x:c>
      <x:c r="BD119" s="117" t="n">
        <x:f>IF(AND(BD$3&gt;=EDATE($B$109,-MIN(6,'Вводные'!$E$91)),BD$3&lt;$B$109),$B$119/MAX(1,MIN(6,'Вводные'!$E$91)),0)</x:f>
      </x:c>
      <x:c r="BE119" s="117" t="n">
        <x:f>IF(AND(BE$3&gt;=EDATE($B$109,-MIN(6,'Вводные'!$E$91)),BE$3&lt;$B$109),$B$119/MAX(1,MIN(6,'Вводные'!$E$91)),0)</x:f>
      </x:c>
      <x:c r="BF119" s="117" t="n">
        <x:f>IF(AND(BF$3&gt;=EDATE($B$109,-MIN(6,'Вводные'!$E$91)),BF$3&lt;$B$109),$B$119/MAX(1,MIN(6,'Вводные'!$E$91)),0)</x:f>
      </x:c>
      <x:c r="BG119" s="117" t="n">
        <x:f>IF(AND(BG$3&gt;=EDATE($B$109,-MIN(6,'Вводные'!$E$91)),BG$3&lt;$B$109),$B$119/MAX(1,MIN(6,'Вводные'!$E$91)),0)</x:f>
      </x:c>
      <x:c r="BH119" s="117" t="n">
        <x:f>IF(AND(BH$3&gt;=EDATE($B$109,-MIN(6,'Вводные'!$E$91)),BH$3&lt;$B$109),$B$119/MAX(1,MIN(6,'Вводные'!$E$91)),0)</x:f>
      </x:c>
      <x:c r="BI119" s="117" t="n">
        <x:f>IF(AND(BI$3&gt;=EDATE($B$109,-MIN(6,'Вводные'!$E$91)),BI$3&lt;$B$109),$B$119/MAX(1,MIN(6,'Вводные'!$E$91)),0)</x:f>
      </x:c>
      <x:c r="BJ119" s="117" t="n">
        <x:f>IF(AND(BJ$3&gt;=EDATE($B$109,-MIN(6,'Вводные'!$E$91)),BJ$3&lt;$B$109),$B$119/MAX(1,MIN(6,'Вводные'!$E$91)),0)</x:f>
      </x:c>
      <x:c r="BK119" s="117" t="n">
        <x:f>IF(AND(BK$3&gt;=EDATE($B$109,-MIN(6,'Вводные'!$E$91)),BK$3&lt;$B$109),$B$119/MAX(1,MIN(6,'Вводные'!$E$91)),0)</x:f>
      </x:c>
      <x:c r="BL119" s="117" t="n">
        <x:f>IF(AND(BL$3&gt;=EDATE($B$109,-MIN(6,'Вводные'!$E$91)),BL$3&lt;$B$109),$B$119/MAX(1,MIN(6,'Вводные'!$E$91)),0)</x:f>
      </x:c>
      <x:c r="BM119" s="117" t="n">
        <x:f>IF(AND(BM$3&gt;=EDATE($B$109,-MIN(6,'Вводные'!$E$91)),BM$3&lt;$B$109),$B$119/MAX(1,MIN(6,'Вводные'!$E$91)),0)</x:f>
      </x:c>
      <x:c r="BN119" s="117" t="n">
        <x:f>IF(AND(BN$3&gt;=EDATE($B$109,-MIN(6,'Вводные'!$E$91)),BN$3&lt;$B$109),$B$119/MAX(1,MIN(6,'Вводные'!$E$91)),0)</x:f>
      </x:c>
      <x:c r="BO119" s="117" t="n">
        <x:f>IF(AND(BO$3&gt;=EDATE($B$109,-MIN(6,'Вводные'!$E$91)),BO$3&lt;$B$109),$B$119/MAX(1,MIN(6,'Вводные'!$E$91)),0)</x:f>
      </x:c>
      <x:c r="BP119" s="117" t="n">
        <x:f>IF(AND(BP$3&gt;=EDATE($B$109,-MIN(6,'Вводные'!$E$91)),BP$3&lt;$B$109),$B$119/MAX(1,MIN(6,'Вводные'!$E$91)),0)</x:f>
      </x:c>
      <x:c r="BQ119" s="117" t="n">
        <x:f>IF(AND(BQ$3&gt;=EDATE($B$109,-MIN(6,'Вводные'!$E$91)),BQ$3&lt;$B$109),$B$119/MAX(1,MIN(6,'Вводные'!$E$91)),0)</x:f>
      </x:c>
      <x:c r="BR119" s="117" t="n">
        <x:f>IF(AND(BR$3&gt;=EDATE($B$109,-MIN(6,'Вводные'!$E$91)),BR$3&lt;$B$109),$B$119/MAX(1,MIN(6,'Вводные'!$E$91)),0)</x:f>
      </x:c>
      <x:c r="BS119" s="117" t="n">
        <x:f>IF(AND(BS$3&gt;=EDATE($B$109,-MIN(6,'Вводные'!$E$91)),BS$3&lt;$B$109),$B$119/MAX(1,MIN(6,'Вводные'!$E$91)),0)</x:f>
      </x:c>
      <x:c r="BT119" s="117" t="n">
        <x:f>IF(AND(BT$3&gt;=EDATE($B$109,-MIN(6,'Вводные'!$E$91)),BT$3&lt;$B$109),$B$119/MAX(1,MIN(6,'Вводные'!$E$91)),0)</x:f>
      </x:c>
      <x:c r="BU119" s="117" t="n">
        <x:f>IF(AND(BU$3&gt;=EDATE($B$109,-MIN(6,'Вводные'!$E$91)),BU$3&lt;$B$109),$B$119/MAX(1,MIN(6,'Вводные'!$E$91)),0)</x:f>
      </x:c>
      <x:c r="BV119" s="117" t="n">
        <x:f>IF(AND(BV$3&gt;=EDATE($B$109,-MIN(6,'Вводные'!$E$91)),BV$3&lt;$B$109),$B$119/MAX(1,MIN(6,'Вводные'!$E$91)),0)</x:f>
      </x:c>
      <x:c r="BW119" s="117" t="n">
        <x:f>IF(AND(BW$3&gt;=EDATE($B$109,-MIN(6,'Вводные'!$E$91)),BW$3&lt;$B$109),$B$119/MAX(1,MIN(6,'Вводные'!$E$91)),0)</x:f>
      </x:c>
      <x:c r="BX119" s="117" t="n">
        <x:f>IF(AND(BX$3&gt;=EDATE($B$109,-MIN(6,'Вводные'!$E$91)),BX$3&lt;$B$109),$B$119/MAX(1,MIN(6,'Вводные'!$E$91)),0)</x:f>
      </x:c>
      <x:c r="BY119" s="117" t="n">
        <x:f>IF(AND(BY$3&gt;=EDATE($B$109,-MIN(6,'Вводные'!$E$91)),BY$3&lt;$B$109),$B$119/MAX(1,MIN(6,'Вводные'!$E$91)),0)</x:f>
      </x:c>
      <x:c r="BZ119" s="117" t="n">
        <x:f>IF(AND(BZ$3&gt;=EDATE($B$109,-MIN(6,'Вводные'!$E$91)),BZ$3&lt;$B$109),$B$119/MAX(1,MIN(6,'Вводные'!$E$91)),0)</x:f>
      </x:c>
      <x:c r="CA119" s="117" t="n">
        <x:f>IF(AND(CA$3&gt;=EDATE($B$109,-MIN(6,'Вводные'!$E$91)),CA$3&lt;$B$109),$B$119/MAX(1,MIN(6,'Вводные'!$E$91)),0)</x:f>
      </x:c>
      <x:c r="CB119" s="117" t="n">
        <x:f>IF(AND(CB$3&gt;=EDATE($B$109,-MIN(6,'Вводные'!$E$91)),CB$3&lt;$B$109),$B$119/MAX(1,MIN(6,'Вводные'!$E$91)),0)</x:f>
      </x:c>
      <x:c r="CC119" s="117" t="n">
        <x:f>IF(AND(CC$3&gt;=EDATE($B$109,-MIN(6,'Вводные'!$E$91)),CC$3&lt;$B$109),$B$119/MAX(1,MIN(6,'Вводные'!$E$91)),0)</x:f>
      </x:c>
      <x:c r="CD119" s="117" t="n">
        <x:f>IF(AND(CD$3&gt;=EDATE($B$109,-MIN(6,'Вводные'!$E$91)),CD$3&lt;$B$109),$B$119/MAX(1,MIN(6,'Вводные'!$E$91)),0)</x:f>
      </x:c>
      <x:c r="CE119" s="117" t="n">
        <x:f>IF(AND(CE$3&gt;=EDATE($B$109,-MIN(6,'Вводные'!$E$91)),CE$3&lt;$B$109),$B$119/MAX(1,MIN(6,'Вводные'!$E$91)),0)</x:f>
      </x:c>
      <x:c r="CF119" s="117" t="n">
        <x:f>IF(AND(CF$3&gt;=EDATE($B$109,-MIN(6,'Вводные'!$E$91)),CF$3&lt;$B$109),$B$119/MAX(1,MIN(6,'Вводные'!$E$91)),0)</x:f>
      </x:c>
      <x:c r="CG119" s="117" t="n">
        <x:f>IF(AND(CG$3&gt;=EDATE($B$109,-MIN(6,'Вводные'!$E$91)),CG$3&lt;$B$109),$B$119/MAX(1,MIN(6,'Вводные'!$E$91)),0)</x:f>
      </x:c>
      <x:c r="CH119" s="117" t="n">
        <x:f>IF(AND(CH$3&gt;=EDATE($B$109,-MIN(6,'Вводные'!$E$91)),CH$3&lt;$B$109),$B$119/MAX(1,MIN(6,'Вводные'!$E$91)),0)</x:f>
      </x:c>
      <x:c r="CI119" s="117" t="n">
        <x:f>IF(AND(CI$3&gt;=EDATE($B$109,-MIN(6,'Вводные'!$E$91)),CI$3&lt;$B$109),$B$119/MAX(1,MIN(6,'Вводные'!$E$91)),0)</x:f>
      </x:c>
      <x:c r="CJ119" s="117" t="n">
        <x:f>IF(AND(CJ$3&gt;=EDATE($B$109,-MIN(6,'Вводные'!$E$91)),CJ$3&lt;$B$109),$B$119/MAX(1,MIN(6,'Вводные'!$E$91)),0)</x:f>
      </x:c>
      <x:c r="CK119" s="117" t="n">
        <x:f>IF(AND(CK$3&gt;=EDATE($B$109,-MIN(6,'Вводные'!$E$91)),CK$3&lt;$B$109),$B$119/MAX(1,MIN(6,'Вводные'!$E$91)),0)</x:f>
      </x:c>
      <x:c r="CL119" s="117" t="n">
        <x:f>IF(AND(CL$3&gt;=EDATE($B$109,-MIN(6,'Вводные'!$E$91)),CL$3&lt;$B$109),$B$119/MAX(1,MIN(6,'Вводные'!$E$91)),0)</x:f>
      </x:c>
      <x:c r="CM119" s="117" t="n">
        <x:f>IF(AND(CM$3&gt;=EDATE($B$109,-MIN(6,'Вводные'!$E$91)),CM$3&lt;$B$109),$B$119/MAX(1,MIN(6,'Вводные'!$E$91)),0)</x:f>
      </x:c>
      <x:c r="CN119" s="117" t="n">
        <x:f>IF(AND(CN$3&gt;=EDATE($B$109,-MIN(6,'Вводные'!$E$91)),CN$3&lt;$B$109),$B$119/MAX(1,MIN(6,'Вводные'!$E$91)),0)</x:f>
      </x:c>
      <x:c r="CO119" s="117" t="n">
        <x:f>IF(AND(CO$3&gt;=EDATE($B$109,-MIN(6,'Вводные'!$E$91)),CO$3&lt;$B$109),$B$119/MAX(1,MIN(6,'Вводные'!$E$91)),0)</x:f>
      </x:c>
      <x:c r="CP119" s="117" t="n">
        <x:f>IF(AND(CP$3&gt;=EDATE($B$109,-MIN(6,'Вводные'!$E$91)),CP$3&lt;$B$109),$B$119/MAX(1,MIN(6,'Вводные'!$E$91)),0)</x:f>
      </x:c>
      <x:c r="CQ119" s="117" t="n">
        <x:f>IF(AND(CQ$3&gt;=EDATE($B$109,-MIN(6,'Вводные'!$E$91)),CQ$3&lt;$B$109),$B$119/MAX(1,MIN(6,'Вводные'!$E$91)),0)</x:f>
      </x:c>
      <x:c r="CR119" s="117" t="n">
        <x:f>IF(AND(CR$3&gt;=EDATE($B$109,-MIN(6,'Вводные'!$E$91)),CR$3&lt;$B$109),$B$119/MAX(1,MIN(6,'Вводные'!$E$91)),0)</x:f>
      </x:c>
      <x:c r="CS119" s="117" t="n">
        <x:f>IF(AND(CS$3&gt;=EDATE($B$109,-MIN(6,'Вводные'!$E$91)),CS$3&lt;$B$109),$B$119/MAX(1,MIN(6,'Вводные'!$E$91)),0)</x:f>
      </x:c>
      <x:c r="CT119" s="117" t="n">
        <x:f>IF(AND(CT$3&gt;=EDATE($B$109,-MIN(6,'Вводные'!$E$91)),CT$3&lt;$B$109),$B$119/MAX(1,MIN(6,'Вводные'!$E$91)),0)</x:f>
      </x:c>
      <x:c r="CU119" s="117" t="n">
        <x:f>IF(AND(CU$3&gt;=EDATE($B$109,-MIN(6,'Вводные'!$E$91)),CU$3&lt;$B$109),$B$119/MAX(1,MIN(6,'Вводные'!$E$91)),0)</x:f>
      </x:c>
      <x:c r="CV119" s="117" t="n">
        <x:f>IF(AND(CV$3&gt;=EDATE($B$109,-MIN(6,'Вводные'!$E$91)),CV$3&lt;$B$109),$B$119/MAX(1,MIN(6,'Вводные'!$E$91)),0)</x:f>
      </x:c>
      <x:c r="CW119" s="117" t="n">
        <x:f>IF(AND(CW$3&gt;=EDATE($B$109,-MIN(6,'Вводные'!$E$91)),CW$3&lt;$B$109),$B$119/MAX(1,MIN(6,'Вводные'!$E$91)),0)</x:f>
      </x:c>
      <x:c r="CX119" s="117" t="n">
        <x:f>IF(AND(CX$3&gt;=EDATE($B$109,-MIN(6,'Вводные'!$E$91)),CX$3&lt;$B$109),$B$119/MAX(1,MIN(6,'Вводные'!$E$91)),0)</x:f>
      </x:c>
      <x:c r="CY119" s="117" t="n">
        <x:f>IF(AND(CY$3&gt;=EDATE($B$109,-MIN(6,'Вводные'!$E$91)),CY$3&lt;$B$109),$B$119/MAX(1,MIN(6,'Вводные'!$E$91)),0)</x:f>
      </x:c>
      <x:c r="CZ119" s="117" t="n">
        <x:f>IF(AND(CZ$3&gt;=EDATE($B$109,-MIN(6,'Вводные'!$E$91)),CZ$3&lt;$B$109),$B$119/MAX(1,MIN(6,'Вводные'!$E$91)),0)</x:f>
      </x:c>
      <x:c r="DA119" s="117" t="n">
        <x:f>IF(AND(DA$3&gt;=EDATE($B$109,-MIN(6,'Вводные'!$E$91)),DA$3&lt;$B$109),$B$119/MAX(1,MIN(6,'Вводные'!$E$91)),0)</x:f>
      </x:c>
      <x:c r="DB119" s="117" t="n">
        <x:f>IF(AND(DB$3&gt;=EDATE($B$109,-MIN(6,'Вводные'!$E$91)),DB$3&lt;$B$109),$B$119/MAX(1,MIN(6,'Вводные'!$E$91)),0)</x:f>
      </x:c>
      <x:c r="DC119" s="117" t="n">
        <x:f>IF(AND(DC$3&gt;=EDATE($B$109,-MIN(6,'Вводные'!$E$91)),DC$3&lt;$B$109),$B$119/MAX(1,MIN(6,'Вводные'!$E$91)),0)</x:f>
      </x:c>
      <x:c r="DD119" s="117" t="n">
        <x:f>IF(AND(DD$3&gt;=EDATE($B$109,-MIN(6,'Вводные'!$E$91)),DD$3&lt;$B$109),$B$119/MAX(1,MIN(6,'Вводные'!$E$91)),0)</x:f>
      </x:c>
      <x:c r="DE119" s="117" t="n">
        <x:f>IF(AND(DE$3&gt;=EDATE($B$109,-MIN(6,'Вводные'!$E$91)),DE$3&lt;$B$109),$B$119/MAX(1,MIN(6,'Вводные'!$E$91)),0)</x:f>
      </x:c>
      <x:c r="DF119" s="117" t="n">
        <x:f>IF(AND(DF$3&gt;=EDATE($B$109,-MIN(6,'Вводные'!$E$91)),DF$3&lt;$B$109),$B$119/MAX(1,MIN(6,'Вводные'!$E$91)),0)</x:f>
      </x:c>
      <x:c r="DG119" s="117" t="n">
        <x:f>IF(AND(DG$3&gt;=EDATE($B$109,-MIN(6,'Вводные'!$E$91)),DG$3&lt;$B$109),$B$119/MAX(1,MIN(6,'Вводные'!$E$91)),0)</x:f>
      </x:c>
      <x:c r="DH119" s="117" t="n">
        <x:f>IF(AND(DH$3&gt;=EDATE($B$109,-MIN(6,'Вводные'!$E$91)),DH$3&lt;$B$109),$B$119/MAX(1,MIN(6,'Вводные'!$E$91)),0)</x:f>
      </x:c>
      <x:c r="DI119" s="117" t="n">
        <x:f>IF(AND(DI$3&gt;=EDATE($B$109,-MIN(6,'Вводные'!$E$91)),DI$3&lt;$B$109),$B$119/MAX(1,MIN(6,'Вводные'!$E$91)),0)</x:f>
      </x:c>
      <x:c r="DJ119" s="117" t="n">
        <x:f>IF(AND(DJ$3&gt;=EDATE($B$109,-MIN(6,'Вводные'!$E$91)),DJ$3&lt;$B$109),$B$119/MAX(1,MIN(6,'Вводные'!$E$91)),0)</x:f>
      </x:c>
      <x:c r="DK119" s="117" t="n">
        <x:f>IF(AND(DK$3&gt;=EDATE($B$109,-MIN(6,'Вводные'!$E$91)),DK$3&lt;$B$109),$B$119/MAX(1,MIN(6,'Вводные'!$E$91)),0)</x:f>
      </x:c>
      <x:c r="DL119" s="117" t="n">
        <x:f>IF(AND(DL$3&gt;=EDATE($B$109,-MIN(6,'Вводные'!$E$91)),DL$3&lt;$B$109),$B$119/MAX(1,MIN(6,'Вводные'!$E$91)),0)</x:f>
      </x:c>
      <x:c r="DM119" s="117" t="n">
        <x:f>IF(AND(DM$3&gt;=EDATE($B$109,-MIN(6,'Вводные'!$E$91)),DM$3&lt;$B$109),$B$119/MAX(1,MIN(6,'Вводные'!$E$91)),0)</x:f>
      </x:c>
      <x:c r="DN119" s="117" t="n">
        <x:f>IF(AND(DN$3&gt;=EDATE($B$109,-MIN(6,'Вводные'!$E$91)),DN$3&lt;$B$109),$B$119/MAX(1,MIN(6,'Вводные'!$E$91)),0)</x:f>
      </x:c>
      <x:c r="DO119" s="117" t="n">
        <x:f>IF(AND(DO$3&gt;=EDATE($B$109,-MIN(6,'Вводные'!$E$91)),DO$3&lt;$B$109),$B$119/MAX(1,MIN(6,'Вводные'!$E$91)),0)</x:f>
      </x:c>
      <x:c r="DP119" s="117" t="n">
        <x:f>IF(AND(DP$3&gt;=EDATE($B$109,-MIN(6,'Вводные'!$E$91)),DP$3&lt;$B$109),$B$119/MAX(1,MIN(6,'Вводные'!$E$91)),0)</x:f>
      </x:c>
      <x:c r="DQ119" s="117" t="n">
        <x:f>IF(AND(DQ$3&gt;=EDATE($B$109,-MIN(6,'Вводные'!$E$91)),DQ$3&lt;$B$109),$B$119/MAX(1,MIN(6,'Вводные'!$E$91)),0)</x:f>
      </x:c>
      <x:c r="DR119" s="117" t="n">
        <x:f>IF(AND(DR$3&gt;=EDATE($B$109,-MIN(6,'Вводные'!$E$91)),DR$3&lt;$B$109),$B$119/MAX(1,MIN(6,'Вводные'!$E$91)),0)</x:f>
      </x:c>
      <x:c r="DS119" s="117" t="n">
        <x:f>IF(AND(DS$3&gt;=EDATE($B$109,-MIN(6,'Вводные'!$E$91)),DS$3&lt;$B$109),$B$119/MAX(1,MIN(6,'Вводные'!$E$91)),0)</x:f>
      </x:c>
      <x:c r="DT119" s="117" t="n">
        <x:f>IF(AND(DT$3&gt;=EDATE($B$109,-MIN(6,'Вводные'!$E$91)),DT$3&lt;$B$109),$B$119/MAX(1,MIN(6,'Вводные'!$E$91)),0)</x:f>
      </x:c>
      <x:c r="DU119" s="117" t="n">
        <x:f>IF(AND(DU$3&gt;=EDATE($B$109,-MIN(6,'Вводные'!$E$91)),DU$3&lt;$B$109),$B$119/MAX(1,MIN(6,'Вводные'!$E$91)),0)</x:f>
      </x:c>
      <x:c r="DV119" s="117" t="n">
        <x:f>IF(AND(DV$3&gt;=EDATE($B$109,-MIN(6,'Вводные'!$E$91)),DV$3&lt;$B$109),$B$119/MAX(1,MIN(6,'Вводные'!$E$91)),0)</x:f>
      </x:c>
      <x:c r="DW119" s="117" t="n">
        <x:f>IF(AND(DW$3&gt;=EDATE($B$109,-MIN(6,'Вводные'!$E$91)),DW$3&lt;$B$109),$B$119/MAX(1,MIN(6,'Вводные'!$E$91)),0)</x:f>
      </x:c>
      <x:c r="DX119" s="117" t="n">
        <x:f>IF(AND(DX$3&gt;=EDATE($B$109,-MIN(6,'Вводные'!$E$91)),DX$3&lt;$B$109),$B$119/MAX(1,MIN(6,'Вводные'!$E$91)),0)</x:f>
      </x:c>
      <x:c r="DY119" s="117" t="n">
        <x:f>IF(AND(DY$3&gt;=EDATE($B$109,-MIN(6,'Вводные'!$E$91)),DY$3&lt;$B$109),$B$119/MAX(1,MIN(6,'Вводные'!$E$91)),0)</x:f>
      </x:c>
      <x:c r="DZ119" s="117" t="n">
        <x:f>IF(AND(DZ$3&gt;=EDATE($B$109,-MIN(6,'Вводные'!$E$91)),DZ$3&lt;$B$109),$B$119/MAX(1,MIN(6,'Вводные'!$E$91)),0)</x:f>
      </x:c>
      <x:c r="EA119" s="117" t="n">
        <x:f>IF(AND(EA$3&gt;=EDATE($B$109,-MIN(6,'Вводные'!$E$91)),EA$3&lt;$B$109),$B$119/MAX(1,MIN(6,'Вводные'!$E$91)),0)</x:f>
      </x:c>
      <x:c r="EB119" s="117" t="n">
        <x:f>IF(AND(EB$3&gt;=EDATE($B$109,-MIN(6,'Вводные'!$E$91)),EB$3&lt;$B$109),$B$119/MAX(1,MIN(6,'Вводные'!$E$91)),0)</x:f>
      </x:c>
      <x:c r="EC119" s="117" t="n">
        <x:f>IF(AND(EC$3&gt;=EDATE($B$109,-MIN(6,'Вводные'!$E$91)),EC$3&lt;$B$109),$B$119/MAX(1,MIN(6,'Вводные'!$E$91)),0)</x:f>
      </x:c>
      <x:c r="ED119" s="117" t="n">
        <x:f>IF(AND(ED$3&gt;=EDATE($B$109,-MIN(6,'Вводные'!$E$91)),ED$3&lt;$B$109),$B$119/MAX(1,MIN(6,'Вводные'!$E$91)),0)</x:f>
      </x:c>
      <x:c r="EE119" s="117" t="n">
        <x:f>IF(AND(EE$3&gt;=EDATE($B$109,-MIN(6,'Вводные'!$E$91)),EE$3&lt;$B$109),$B$119/MAX(1,MIN(6,'Вводные'!$E$91)),0)</x:f>
      </x:c>
      <x:c r="EF119" s="117" t="n">
        <x:f>IF(AND(EF$3&gt;=EDATE($B$109,-MIN(6,'Вводные'!$E$91)),EF$3&lt;$B$109),$B$119/MAX(1,MIN(6,'Вводные'!$E$91)),0)</x:f>
      </x:c>
      <x:c r="EG119" s="117" t="n">
        <x:f>IF(AND(EG$3&gt;=EDATE($B$109,-MIN(6,'Вводные'!$E$91)),EG$3&lt;$B$109),$B$119/MAX(1,MIN(6,'Вводные'!$E$91)),0)</x:f>
      </x:c>
      <x:c r="EH119" s="117" t="n">
        <x:f>IF(AND(EH$3&gt;=EDATE($B$109,-MIN(6,'Вводные'!$E$91)),EH$3&lt;$B$109),$B$119/MAX(1,MIN(6,'Вводные'!$E$91)),0)</x:f>
      </x:c>
      <x:c r="EI119" s="117" t="n">
        <x:f>IF(AND(EI$3&gt;=EDATE($B$109,-MIN(6,'Вводные'!$E$91)),EI$3&lt;$B$109),$B$119/MAX(1,MIN(6,'Вводные'!$E$91)),0)</x:f>
      </x:c>
      <x:c r="EJ119" s="117" t="n">
        <x:f>IF(AND(EJ$3&gt;=EDATE($B$109,-MIN(6,'Вводные'!$E$91)),EJ$3&lt;$B$109),$B$119/MAX(1,MIN(6,'Вводные'!$E$91)),0)</x:f>
      </x:c>
      <x:c r="EK119" s="117" t="n">
        <x:f>IF(AND(EK$3&gt;=EDATE($B$109,-MIN(6,'Вводные'!$E$91)),EK$3&lt;$B$109),$B$119/MAX(1,MIN(6,'Вводные'!$E$91)),0)</x:f>
      </x:c>
      <x:c r="EL119" s="117" t="n">
        <x:f>IF(AND(EL$3&gt;=EDATE($B$109,-MIN(6,'Вводные'!$E$91)),EL$3&lt;$B$109),$B$119/MAX(1,MIN(6,'Вводные'!$E$91)),0)</x:f>
      </x:c>
      <x:c r="EM119" s="117" t="n">
        <x:f>IF(AND(EM$3&gt;=EDATE($B$109,-MIN(6,'Вводные'!$E$91)),EM$3&lt;$B$109),$B$119/MAX(1,MIN(6,'Вводные'!$E$91)),0)</x:f>
      </x:c>
      <x:c r="EN119" s="117" t="n">
        <x:f>IF(AND(EN$3&gt;=EDATE($B$109,-MIN(6,'Вводные'!$E$91)),EN$3&lt;$B$109),$B$119/MAX(1,MIN(6,'Вводные'!$E$91)),0)</x:f>
      </x:c>
      <x:c r="EO119" s="117" t="n">
        <x:f>IF(AND(EO$3&gt;=EDATE($B$109,-MIN(6,'Вводные'!$E$91)),EO$3&lt;$B$109),$B$119/MAX(1,MIN(6,'Вводные'!$E$91)),0)</x:f>
      </x:c>
      <x:c r="EP119" s="117" t="n">
        <x:f>IF(AND(EP$3&gt;=EDATE($B$109,-MIN(6,'Вводные'!$E$91)),EP$3&lt;$B$109),$B$119/MAX(1,MIN(6,'Вводные'!$E$91)),0)</x:f>
      </x:c>
      <x:c r="EQ119" s="117" t="n">
        <x:f>IF(AND(EQ$3&gt;=EDATE($B$109,-MIN(6,'Вводные'!$E$91)),EQ$3&lt;$B$109),$B$119/MAX(1,MIN(6,'Вводные'!$E$91)),0)</x:f>
      </x:c>
      <x:c r="ER119" s="117" t="n">
        <x:f>IF(AND(ER$3&gt;=EDATE($B$109,-MIN(6,'Вводные'!$E$91)),ER$3&lt;$B$109),$B$119/MAX(1,MIN(6,'Вводные'!$E$91)),0)</x:f>
      </x:c>
      <x:c r="ES119" s="117" t="n">
        <x:f>IF(AND(ES$3&gt;=EDATE($B$109,-MIN(6,'Вводные'!$E$91)),ES$3&lt;$B$109),$B$119/MAX(1,MIN(6,'Вводные'!$E$91)),0)</x:f>
      </x:c>
      <x:c r="ET119" s="117" t="n">
        <x:f>IF(AND(ET$3&gt;=EDATE($B$109,-MIN(6,'Вводные'!$E$91)),ET$3&lt;$B$109),$B$119/MAX(1,MIN(6,'Вводные'!$E$91)),0)</x:f>
      </x:c>
      <x:c r="EU119" s="117" t="n">
        <x:f>IF(AND(EU$3&gt;=EDATE($B$109,-MIN(6,'Вводные'!$E$91)),EU$3&lt;$B$109),$B$119/MAX(1,MIN(6,'Вводные'!$E$91)),0)</x:f>
      </x:c>
      <x:c r="EV119" s="117" t="n">
        <x:f>IF(AND(EV$3&gt;=EDATE($B$109,-MIN(6,'Вводные'!$E$91)),EV$3&lt;$B$109),$B$119/MAX(1,MIN(6,'Вводные'!$E$91)),0)</x:f>
      </x:c>
      <x:c r="EW119" s="117" t="n">
        <x:f>IF(AND(EW$3&gt;=EDATE($B$109,-MIN(6,'Вводные'!$E$91)),EW$3&lt;$B$109),$B$119/MAX(1,MIN(6,'Вводные'!$E$91)),0)</x:f>
      </x:c>
      <x:c r="EX119" s="117" t="n">
        <x:f>IF(AND(EX$3&gt;=EDATE($B$109,-MIN(6,'Вводные'!$E$91)),EX$3&lt;$B$109),$B$119/MAX(1,MIN(6,'Вводные'!$E$91)),0)</x:f>
      </x:c>
      <x:c r="EY119" s="117" t="n">
        <x:f>IF(AND(EY$3&gt;=EDATE($B$109,-MIN(6,'Вводные'!$E$91)),EY$3&lt;$B$109),$B$119/MAX(1,MIN(6,'Вводные'!$E$91)),0)</x:f>
      </x:c>
      <x:c r="EZ119" s="117" t="n">
        <x:f>IF(AND(EZ$3&gt;=EDATE($B$109,-MIN(6,'Вводные'!$E$91)),EZ$3&lt;$B$109),$B$119/MAX(1,MIN(6,'Вводные'!$E$91)),0)</x:f>
      </x:c>
      <x:c r="FA119" s="117" t="n">
        <x:f>IF(AND(FA$3&gt;=EDATE($B$109,-MIN(6,'Вводные'!$E$91)),FA$3&lt;$B$109),$B$119/MAX(1,MIN(6,'Вводные'!$E$91)),0)</x:f>
      </x:c>
      <x:c r="FB119" s="117" t="n">
        <x:f>IF(AND(FB$3&gt;=EDATE($B$109,-MIN(6,'Вводные'!$E$91)),FB$3&lt;$B$109),$B$119/MAX(1,MIN(6,'Вводные'!$E$91)),0)</x:f>
      </x:c>
      <x:c r="FC119" s="117" t="n">
        <x:f>IF(AND(FC$3&gt;=EDATE($B$109,-MIN(6,'Вводные'!$E$91)),FC$3&lt;$B$109),$B$119/MAX(1,MIN(6,'Вводные'!$E$91)),0)</x:f>
      </x:c>
      <x:c r="FD119" s="117" t="n">
        <x:f>IF(AND(FD$3&gt;=EDATE($B$109,-MIN(6,'Вводные'!$E$91)),FD$3&lt;$B$109),$B$119/MAX(1,MIN(6,'Вводные'!$E$91)),0)</x:f>
      </x:c>
      <x:c r="FE119" s="117" t="n">
        <x:f>IF(AND(FE$3&gt;=EDATE($B$109,-MIN(6,'Вводные'!$E$91)),FE$3&lt;$B$109),$B$119/MAX(1,MIN(6,'Вводные'!$E$91)),0)</x:f>
      </x:c>
      <x:c r="FF119" s="117" t="n">
        <x:f>IF(AND(FF$3&gt;=EDATE($B$109,-MIN(6,'Вводные'!$E$91)),FF$3&lt;$B$109),$B$119/MAX(1,MIN(6,'Вводные'!$E$91)),0)</x:f>
      </x:c>
      <x:c r="FG119" s="117" t="n">
        <x:f>IF(AND(FG$3&gt;=EDATE($B$109,-MIN(6,'Вводные'!$E$91)),FG$3&lt;$B$109),$B$119/MAX(1,MIN(6,'Вводные'!$E$91)),0)</x:f>
      </x:c>
      <x:c r="FH119" s="117" t="n">
        <x:f>IF(AND(FH$3&gt;=EDATE($B$109,-MIN(6,'Вводные'!$E$91)),FH$3&lt;$B$109),$B$119/MAX(1,MIN(6,'Вводные'!$E$91)),0)</x:f>
      </x:c>
      <x:c r="FI119" s="117" t="n">
        <x:f>IF(AND(FI$3&gt;=EDATE($B$109,-MIN(6,'Вводные'!$E$91)),FI$3&lt;$B$109),$B$119/MAX(1,MIN(6,'Вводные'!$E$91)),0)</x:f>
      </x:c>
      <x:c r="FJ119" s="117" t="n">
        <x:f>IF(AND(FJ$3&gt;=EDATE($B$109,-MIN(6,'Вводные'!$E$91)),FJ$3&lt;$B$109),$B$119/MAX(1,MIN(6,'Вводные'!$E$91)),0)</x:f>
      </x:c>
      <x:c r="FK119" s="117" t="n">
        <x:f>IF(AND(FK$3&gt;=EDATE($B$109,-MIN(6,'Вводные'!$E$91)),FK$3&lt;$B$109),$B$119/MAX(1,MIN(6,'Вводные'!$E$91)),0)</x:f>
      </x:c>
      <x:c r="FL119" s="117" t="n">
        <x:f>IF(AND(FL$3&gt;=EDATE($B$109,-MIN(6,'Вводные'!$E$91)),FL$3&lt;$B$109),$B$119/MAX(1,MIN(6,'Вводные'!$E$91)),0)</x:f>
      </x:c>
      <x:c r="FM119" s="117" t="n">
        <x:f>IF(AND(FM$3&gt;=EDATE($B$109,-MIN(6,'Вводные'!$E$91)),FM$3&lt;$B$109),$B$119/MAX(1,MIN(6,'Вводные'!$E$91)),0)</x:f>
      </x:c>
      <x:c r="FN119" s="117" t="n">
        <x:f>IF(AND(FN$3&gt;=EDATE($B$109,-MIN(6,'Вводные'!$E$91)),FN$3&lt;$B$109),$B$119/MAX(1,MIN(6,'Вводные'!$E$91)),0)</x:f>
      </x:c>
      <x:c r="FO119" s="117" t="n">
        <x:f>IF(AND(FO$3&gt;=EDATE($B$109,-MIN(6,'Вводные'!$E$91)),FO$3&lt;$B$109),$B$119/MAX(1,MIN(6,'Вводные'!$E$91)),0)</x:f>
      </x:c>
      <x:c r="FP119" s="117" t="n">
        <x:f>IF(AND(FP$3&gt;=EDATE($B$109,-MIN(6,'Вводные'!$E$91)),FP$3&lt;$B$109),$B$119/MAX(1,MIN(6,'Вводные'!$E$91)),0)</x:f>
      </x:c>
      <x:c r="FQ119" s="117" t="n">
        <x:f>IF(AND(FQ$3&gt;=EDATE($B$109,-MIN(6,'Вводные'!$E$91)),FQ$3&lt;$B$109),$B$119/MAX(1,MIN(6,'Вводные'!$E$91)),0)</x:f>
      </x:c>
      <x:c r="FR119" s="117" t="n">
        <x:f>IF(AND(FR$3&gt;=EDATE($B$109,-MIN(6,'Вводные'!$E$91)),FR$3&lt;$B$109),$B$119/MAX(1,MIN(6,'Вводные'!$E$91)),0)</x:f>
      </x:c>
      <x:c r="FS119" s="117" t="n">
        <x:f>IF(AND(FS$3&gt;=EDATE($B$109,-MIN(6,'Вводные'!$E$91)),FS$3&lt;$B$109),$B$119/MAX(1,MIN(6,'Вводные'!$E$91)),0)</x:f>
      </x:c>
      <x:c r="FT119" s="117" t="n">
        <x:f>IF(AND(FT$3&gt;=EDATE($B$109,-MIN(6,'Вводные'!$E$91)),FT$3&lt;$B$109),$B$119/MAX(1,MIN(6,'Вводные'!$E$91)),0)</x:f>
      </x:c>
      <x:c r="FU119" s="117" t="n">
        <x:f>IF(AND(FU$3&gt;=EDATE($B$109,-MIN(6,'Вводные'!$E$91)),FU$3&lt;$B$109),$B$119/MAX(1,MIN(6,'Вводные'!$E$91)),0)</x:f>
      </x:c>
      <x:c r="FV119" s="117" t="n">
        <x:f>IF(AND(FV$3&gt;=EDATE($B$109,-MIN(6,'Вводные'!$E$91)),FV$3&lt;$B$109),$B$119/MAX(1,MIN(6,'Вводные'!$E$91)),0)</x:f>
      </x:c>
      <x:c r="FW119" s="117" t="n">
        <x:f>IF(AND(FW$3&gt;=EDATE($B$109,-MIN(6,'Вводные'!$E$91)),FW$3&lt;$B$109),$B$119/MAX(1,MIN(6,'Вводные'!$E$91)),0)</x:f>
      </x:c>
      <x:c r="FX119" s="117" t="n">
        <x:f>IF(AND(FX$3&gt;=EDATE($B$109,-MIN(6,'Вводные'!$E$91)),FX$3&lt;$B$109),$B$119/MAX(1,MIN(6,'Вводные'!$E$91)),0)</x:f>
      </x:c>
      <x:c r="FY119" s="117" t="n">
        <x:f>IF(AND(FY$3&gt;=EDATE($B$109,-MIN(6,'Вводные'!$E$91)),FY$3&lt;$B$109),$B$119/MAX(1,MIN(6,'Вводные'!$E$91)),0)</x:f>
      </x:c>
      <x:c r="FZ119" s="117" t="n">
        <x:f>IF(AND(FZ$3&gt;=EDATE($B$109,-MIN(6,'Вводные'!$E$91)),FZ$3&lt;$B$109),$B$119/MAX(1,MIN(6,'Вводные'!$E$91)),0)</x:f>
      </x:c>
      <x:c r="GA119" s="117" t="n">
        <x:f>IF(AND(GA$3&gt;=EDATE($B$109,-MIN(6,'Вводные'!$E$91)),GA$3&lt;$B$109),$B$119/MAX(1,MIN(6,'Вводные'!$E$91)),0)</x:f>
      </x:c>
    </x:row>
    <x:row r="120">
      <x:c r="A120" t="str">
        <x:v>Проектирование, стадия РД</x:v>
      </x:c>
      <x:c r="B120" s="107" t="n">
        <x:f>(('Вводные'!$I$91+'Вводные'!$J$91+'Вводные'!$K$91)*'Вводные'!$B$42/1000*'Вводные'!$H$6*'Вводные'!$T$91*--('Вводные'!$B$91="Да"))*'Вводные'!$AH$91</x:f>
      </x:c>
      <x:c r="C120" t="str">
        <x:v>млн ₽</x:v>
      </x:c>
      <x:c r="D120" s="117" t="n">
        <x:f>IF(AND(D$3&gt;=EDATE($B$109,-MIN(6,'Вводные'!$E$91)),D$3&lt;$B$109),$B$120/MAX(1,MIN(6,'Вводные'!$E$91)),0)</x:f>
      </x:c>
      <x:c r="E120" s="117" t="n">
        <x:f>IF(AND(E$3&gt;=EDATE($B$109,-MIN(6,'Вводные'!$E$91)),E$3&lt;$B$109),$B$120/MAX(1,MIN(6,'Вводные'!$E$91)),0)</x:f>
      </x:c>
      <x:c r="F120" s="117" t="n">
        <x:f>IF(AND(F$3&gt;=EDATE($B$109,-MIN(6,'Вводные'!$E$91)),F$3&lt;$B$109),$B$120/MAX(1,MIN(6,'Вводные'!$E$91)),0)</x:f>
      </x:c>
      <x:c r="G120" s="117" t="n">
        <x:f>IF(AND(G$3&gt;=EDATE($B$109,-MIN(6,'Вводные'!$E$91)),G$3&lt;$B$109),$B$120/MAX(1,MIN(6,'Вводные'!$E$91)),0)</x:f>
      </x:c>
      <x:c r="H120" s="117" t="n">
        <x:f>IF(AND(H$3&gt;=EDATE($B$109,-MIN(6,'Вводные'!$E$91)),H$3&lt;$B$109),$B$120/MAX(1,MIN(6,'Вводные'!$E$91)),0)</x:f>
      </x:c>
      <x:c r="I120" s="117" t="n">
        <x:f>IF(AND(I$3&gt;=EDATE($B$109,-MIN(6,'Вводные'!$E$91)),I$3&lt;$B$109),$B$120/MAX(1,MIN(6,'Вводные'!$E$91)),0)</x:f>
      </x:c>
      <x:c r="J120" s="117" t="n">
        <x:f>IF(AND(J$3&gt;=EDATE($B$109,-MIN(6,'Вводные'!$E$91)),J$3&lt;$B$109),$B$120/MAX(1,MIN(6,'Вводные'!$E$91)),0)</x:f>
      </x:c>
      <x:c r="K120" s="117" t="n">
        <x:f>IF(AND(K$3&gt;=EDATE($B$109,-MIN(6,'Вводные'!$E$91)),K$3&lt;$B$109),$B$120/MAX(1,MIN(6,'Вводные'!$E$91)),0)</x:f>
      </x:c>
      <x:c r="L120" s="117" t="n">
        <x:f>IF(AND(L$3&gt;=EDATE($B$109,-MIN(6,'Вводные'!$E$91)),L$3&lt;$B$109),$B$120/MAX(1,MIN(6,'Вводные'!$E$91)),0)</x:f>
      </x:c>
      <x:c r="M120" s="117" t="n">
        <x:f>IF(AND(M$3&gt;=EDATE($B$109,-MIN(6,'Вводные'!$E$91)),M$3&lt;$B$109),$B$120/MAX(1,MIN(6,'Вводные'!$E$91)),0)</x:f>
      </x:c>
      <x:c r="N120" s="117" t="n">
        <x:f>IF(AND(N$3&gt;=EDATE($B$109,-MIN(6,'Вводные'!$E$91)),N$3&lt;$B$109),$B$120/MAX(1,MIN(6,'Вводные'!$E$91)),0)</x:f>
      </x:c>
      <x:c r="O120" s="117" t="n">
        <x:f>IF(AND(O$3&gt;=EDATE($B$109,-MIN(6,'Вводные'!$E$91)),O$3&lt;$B$109),$B$120/MAX(1,MIN(6,'Вводные'!$E$91)),0)</x:f>
      </x:c>
      <x:c r="P120" s="117" t="n">
        <x:f>IF(AND(P$3&gt;=EDATE($B$109,-MIN(6,'Вводные'!$E$91)),P$3&lt;$B$109),$B$120/MAX(1,MIN(6,'Вводные'!$E$91)),0)</x:f>
      </x:c>
      <x:c r="Q120" s="117" t="n">
        <x:f>IF(AND(Q$3&gt;=EDATE($B$109,-MIN(6,'Вводные'!$E$91)),Q$3&lt;$B$109),$B$120/MAX(1,MIN(6,'Вводные'!$E$91)),0)</x:f>
      </x:c>
      <x:c r="R120" s="117" t="n">
        <x:f>IF(AND(R$3&gt;=EDATE($B$109,-MIN(6,'Вводные'!$E$91)),R$3&lt;$B$109),$B$120/MAX(1,MIN(6,'Вводные'!$E$91)),0)</x:f>
      </x:c>
      <x:c r="S120" s="117" t="n">
        <x:f>IF(AND(S$3&gt;=EDATE($B$109,-MIN(6,'Вводные'!$E$91)),S$3&lt;$B$109),$B$120/MAX(1,MIN(6,'Вводные'!$E$91)),0)</x:f>
      </x:c>
      <x:c r="T120" s="117" t="n">
        <x:f>IF(AND(T$3&gt;=EDATE($B$109,-MIN(6,'Вводные'!$E$91)),T$3&lt;$B$109),$B$120/MAX(1,MIN(6,'Вводные'!$E$91)),0)</x:f>
      </x:c>
      <x:c r="U120" s="117" t="n">
        <x:f>IF(AND(U$3&gt;=EDATE($B$109,-MIN(6,'Вводные'!$E$91)),U$3&lt;$B$109),$B$120/MAX(1,MIN(6,'Вводные'!$E$91)),0)</x:f>
      </x:c>
      <x:c r="V120" s="117" t="n">
        <x:f>IF(AND(V$3&gt;=EDATE($B$109,-MIN(6,'Вводные'!$E$91)),V$3&lt;$B$109),$B$120/MAX(1,MIN(6,'Вводные'!$E$91)),0)</x:f>
      </x:c>
      <x:c r="W120" s="117" t="n">
        <x:f>IF(AND(W$3&gt;=EDATE($B$109,-MIN(6,'Вводные'!$E$91)),W$3&lt;$B$109),$B$120/MAX(1,MIN(6,'Вводные'!$E$91)),0)</x:f>
      </x:c>
      <x:c r="X120" s="117" t="n">
        <x:f>IF(AND(X$3&gt;=EDATE($B$109,-MIN(6,'Вводные'!$E$91)),X$3&lt;$B$109),$B$120/MAX(1,MIN(6,'Вводные'!$E$91)),0)</x:f>
      </x:c>
      <x:c r="Y120" s="117" t="n">
        <x:f>IF(AND(Y$3&gt;=EDATE($B$109,-MIN(6,'Вводные'!$E$91)),Y$3&lt;$B$109),$B$120/MAX(1,MIN(6,'Вводные'!$E$91)),0)</x:f>
      </x:c>
      <x:c r="Z120" s="117" t="n">
        <x:f>IF(AND(Z$3&gt;=EDATE($B$109,-MIN(6,'Вводные'!$E$91)),Z$3&lt;$B$109),$B$120/MAX(1,MIN(6,'Вводные'!$E$91)),0)</x:f>
      </x:c>
      <x:c r="AA120" s="117" t="n">
        <x:f>IF(AND(AA$3&gt;=EDATE($B$109,-MIN(6,'Вводные'!$E$91)),AA$3&lt;$B$109),$B$120/MAX(1,MIN(6,'Вводные'!$E$91)),0)</x:f>
      </x:c>
      <x:c r="AB120" s="117" t="n">
        <x:f>IF(AND(AB$3&gt;=EDATE($B$109,-MIN(6,'Вводные'!$E$91)),AB$3&lt;$B$109),$B$120/MAX(1,MIN(6,'Вводные'!$E$91)),0)</x:f>
      </x:c>
      <x:c r="AC120" s="117" t="n">
        <x:f>IF(AND(AC$3&gt;=EDATE($B$109,-MIN(6,'Вводные'!$E$91)),AC$3&lt;$B$109),$B$120/MAX(1,MIN(6,'Вводные'!$E$91)),0)</x:f>
      </x:c>
      <x:c r="AD120" s="117" t="n">
        <x:f>IF(AND(AD$3&gt;=EDATE($B$109,-MIN(6,'Вводные'!$E$91)),AD$3&lt;$B$109),$B$120/MAX(1,MIN(6,'Вводные'!$E$91)),0)</x:f>
      </x:c>
      <x:c r="AE120" s="117" t="n">
        <x:f>IF(AND(AE$3&gt;=EDATE($B$109,-MIN(6,'Вводные'!$E$91)),AE$3&lt;$B$109),$B$120/MAX(1,MIN(6,'Вводные'!$E$91)),0)</x:f>
      </x:c>
      <x:c r="AF120" s="117" t="n">
        <x:f>IF(AND(AF$3&gt;=EDATE($B$109,-MIN(6,'Вводные'!$E$91)),AF$3&lt;$B$109),$B$120/MAX(1,MIN(6,'Вводные'!$E$91)),0)</x:f>
      </x:c>
      <x:c r="AG120" s="117" t="n">
        <x:f>IF(AND(AG$3&gt;=EDATE($B$109,-MIN(6,'Вводные'!$E$91)),AG$3&lt;$B$109),$B$120/MAX(1,MIN(6,'Вводные'!$E$91)),0)</x:f>
      </x:c>
      <x:c r="AH120" s="117" t="n">
        <x:f>IF(AND(AH$3&gt;=EDATE($B$109,-MIN(6,'Вводные'!$E$91)),AH$3&lt;$B$109),$B$120/MAX(1,MIN(6,'Вводные'!$E$91)),0)</x:f>
      </x:c>
      <x:c r="AI120" s="117" t="n">
        <x:f>IF(AND(AI$3&gt;=EDATE($B$109,-MIN(6,'Вводные'!$E$91)),AI$3&lt;$B$109),$B$120/MAX(1,MIN(6,'Вводные'!$E$91)),0)</x:f>
      </x:c>
      <x:c r="AJ120" s="117" t="n">
        <x:f>IF(AND(AJ$3&gt;=EDATE($B$109,-MIN(6,'Вводные'!$E$91)),AJ$3&lt;$B$109),$B$120/MAX(1,MIN(6,'Вводные'!$E$91)),0)</x:f>
      </x:c>
      <x:c r="AK120" s="117" t="n">
        <x:f>IF(AND(AK$3&gt;=EDATE($B$109,-MIN(6,'Вводные'!$E$91)),AK$3&lt;$B$109),$B$120/MAX(1,MIN(6,'Вводные'!$E$91)),0)</x:f>
      </x:c>
      <x:c r="AL120" s="117" t="n">
        <x:f>IF(AND(AL$3&gt;=EDATE($B$109,-MIN(6,'Вводные'!$E$91)),AL$3&lt;$B$109),$B$120/MAX(1,MIN(6,'Вводные'!$E$91)),0)</x:f>
      </x:c>
      <x:c r="AM120" s="117" t="n">
        <x:f>IF(AND(AM$3&gt;=EDATE($B$109,-MIN(6,'Вводные'!$E$91)),AM$3&lt;$B$109),$B$120/MAX(1,MIN(6,'Вводные'!$E$91)),0)</x:f>
      </x:c>
      <x:c r="AN120" s="117" t="n">
        <x:f>IF(AND(AN$3&gt;=EDATE($B$109,-MIN(6,'Вводные'!$E$91)),AN$3&lt;$B$109),$B$120/MAX(1,MIN(6,'Вводные'!$E$91)),0)</x:f>
      </x:c>
      <x:c r="AO120" s="117" t="n">
        <x:f>IF(AND(AO$3&gt;=EDATE($B$109,-MIN(6,'Вводные'!$E$91)),AO$3&lt;$B$109),$B$120/MAX(1,MIN(6,'Вводные'!$E$91)),0)</x:f>
      </x:c>
      <x:c r="AP120" s="117" t="n">
        <x:f>IF(AND(AP$3&gt;=EDATE($B$109,-MIN(6,'Вводные'!$E$91)),AP$3&lt;$B$109),$B$120/MAX(1,MIN(6,'Вводные'!$E$91)),0)</x:f>
      </x:c>
      <x:c r="AQ120" s="117" t="n">
        <x:f>IF(AND(AQ$3&gt;=EDATE($B$109,-MIN(6,'Вводные'!$E$91)),AQ$3&lt;$B$109),$B$120/MAX(1,MIN(6,'Вводные'!$E$91)),0)</x:f>
      </x:c>
      <x:c r="AR120" s="117" t="n">
        <x:f>IF(AND(AR$3&gt;=EDATE($B$109,-MIN(6,'Вводные'!$E$91)),AR$3&lt;$B$109),$B$120/MAX(1,MIN(6,'Вводные'!$E$91)),0)</x:f>
      </x:c>
      <x:c r="AS120" s="117" t="n">
        <x:f>IF(AND(AS$3&gt;=EDATE($B$109,-MIN(6,'Вводные'!$E$91)),AS$3&lt;$B$109),$B$120/MAX(1,MIN(6,'Вводные'!$E$91)),0)</x:f>
      </x:c>
      <x:c r="AT120" s="117" t="n">
        <x:f>IF(AND(AT$3&gt;=EDATE($B$109,-MIN(6,'Вводные'!$E$91)),AT$3&lt;$B$109),$B$120/MAX(1,MIN(6,'Вводные'!$E$91)),0)</x:f>
      </x:c>
      <x:c r="AU120" s="117" t="n">
        <x:f>IF(AND(AU$3&gt;=EDATE($B$109,-MIN(6,'Вводные'!$E$91)),AU$3&lt;$B$109),$B$120/MAX(1,MIN(6,'Вводные'!$E$91)),0)</x:f>
      </x:c>
      <x:c r="AV120" s="117" t="n">
        <x:f>IF(AND(AV$3&gt;=EDATE($B$109,-MIN(6,'Вводные'!$E$91)),AV$3&lt;$B$109),$B$120/MAX(1,MIN(6,'Вводные'!$E$91)),0)</x:f>
      </x:c>
      <x:c r="AW120" s="117" t="n">
        <x:f>IF(AND(AW$3&gt;=EDATE($B$109,-MIN(6,'Вводные'!$E$91)),AW$3&lt;$B$109),$B$120/MAX(1,MIN(6,'Вводные'!$E$91)),0)</x:f>
      </x:c>
      <x:c r="AX120" s="117" t="n">
        <x:f>IF(AND(AX$3&gt;=EDATE($B$109,-MIN(6,'Вводные'!$E$91)),AX$3&lt;$B$109),$B$120/MAX(1,MIN(6,'Вводные'!$E$91)),0)</x:f>
      </x:c>
      <x:c r="AY120" s="117" t="n">
        <x:f>IF(AND(AY$3&gt;=EDATE($B$109,-MIN(6,'Вводные'!$E$91)),AY$3&lt;$B$109),$B$120/MAX(1,MIN(6,'Вводные'!$E$91)),0)</x:f>
      </x:c>
      <x:c r="AZ120" s="117" t="n">
        <x:f>IF(AND(AZ$3&gt;=EDATE($B$109,-MIN(6,'Вводные'!$E$91)),AZ$3&lt;$B$109),$B$120/MAX(1,MIN(6,'Вводные'!$E$91)),0)</x:f>
      </x:c>
      <x:c r="BA120" s="117" t="n">
        <x:f>IF(AND(BA$3&gt;=EDATE($B$109,-MIN(6,'Вводные'!$E$91)),BA$3&lt;$B$109),$B$120/MAX(1,MIN(6,'Вводные'!$E$91)),0)</x:f>
      </x:c>
      <x:c r="BB120" s="117" t="n">
        <x:f>IF(AND(BB$3&gt;=EDATE($B$109,-MIN(6,'Вводные'!$E$91)),BB$3&lt;$B$109),$B$120/MAX(1,MIN(6,'Вводные'!$E$91)),0)</x:f>
      </x:c>
      <x:c r="BC120" s="117" t="n">
        <x:f>IF(AND(BC$3&gt;=EDATE($B$109,-MIN(6,'Вводные'!$E$91)),BC$3&lt;$B$109),$B$120/MAX(1,MIN(6,'Вводные'!$E$91)),0)</x:f>
      </x:c>
      <x:c r="BD120" s="117" t="n">
        <x:f>IF(AND(BD$3&gt;=EDATE($B$109,-MIN(6,'Вводные'!$E$91)),BD$3&lt;$B$109),$B$120/MAX(1,MIN(6,'Вводные'!$E$91)),0)</x:f>
      </x:c>
      <x:c r="BE120" s="117" t="n">
        <x:f>IF(AND(BE$3&gt;=EDATE($B$109,-MIN(6,'Вводные'!$E$91)),BE$3&lt;$B$109),$B$120/MAX(1,MIN(6,'Вводные'!$E$91)),0)</x:f>
      </x:c>
      <x:c r="BF120" s="117" t="n">
        <x:f>IF(AND(BF$3&gt;=EDATE($B$109,-MIN(6,'Вводные'!$E$91)),BF$3&lt;$B$109),$B$120/MAX(1,MIN(6,'Вводные'!$E$91)),0)</x:f>
      </x:c>
      <x:c r="BG120" s="117" t="n">
        <x:f>IF(AND(BG$3&gt;=EDATE($B$109,-MIN(6,'Вводные'!$E$91)),BG$3&lt;$B$109),$B$120/MAX(1,MIN(6,'Вводные'!$E$91)),0)</x:f>
      </x:c>
      <x:c r="BH120" s="117" t="n">
        <x:f>IF(AND(BH$3&gt;=EDATE($B$109,-MIN(6,'Вводные'!$E$91)),BH$3&lt;$B$109),$B$120/MAX(1,MIN(6,'Вводные'!$E$91)),0)</x:f>
      </x:c>
      <x:c r="BI120" s="117" t="n">
        <x:f>IF(AND(BI$3&gt;=EDATE($B$109,-MIN(6,'Вводные'!$E$91)),BI$3&lt;$B$109),$B$120/MAX(1,MIN(6,'Вводные'!$E$91)),0)</x:f>
      </x:c>
      <x:c r="BJ120" s="117" t="n">
        <x:f>IF(AND(BJ$3&gt;=EDATE($B$109,-MIN(6,'Вводные'!$E$91)),BJ$3&lt;$B$109),$B$120/MAX(1,MIN(6,'Вводные'!$E$91)),0)</x:f>
      </x:c>
      <x:c r="BK120" s="117" t="n">
        <x:f>IF(AND(BK$3&gt;=EDATE($B$109,-MIN(6,'Вводные'!$E$91)),BK$3&lt;$B$109),$B$120/MAX(1,MIN(6,'Вводные'!$E$91)),0)</x:f>
      </x:c>
      <x:c r="BL120" s="117" t="n">
        <x:f>IF(AND(BL$3&gt;=EDATE($B$109,-MIN(6,'Вводные'!$E$91)),BL$3&lt;$B$109),$B$120/MAX(1,MIN(6,'Вводные'!$E$91)),0)</x:f>
      </x:c>
      <x:c r="BM120" s="117" t="n">
        <x:f>IF(AND(BM$3&gt;=EDATE($B$109,-MIN(6,'Вводные'!$E$91)),BM$3&lt;$B$109),$B$120/MAX(1,MIN(6,'Вводные'!$E$91)),0)</x:f>
      </x:c>
      <x:c r="BN120" s="117" t="n">
        <x:f>IF(AND(BN$3&gt;=EDATE($B$109,-MIN(6,'Вводные'!$E$91)),BN$3&lt;$B$109),$B$120/MAX(1,MIN(6,'Вводные'!$E$91)),0)</x:f>
      </x:c>
      <x:c r="BO120" s="117" t="n">
        <x:f>IF(AND(BO$3&gt;=EDATE($B$109,-MIN(6,'Вводные'!$E$91)),BO$3&lt;$B$109),$B$120/MAX(1,MIN(6,'Вводные'!$E$91)),0)</x:f>
      </x:c>
      <x:c r="BP120" s="117" t="n">
        <x:f>IF(AND(BP$3&gt;=EDATE($B$109,-MIN(6,'Вводные'!$E$91)),BP$3&lt;$B$109),$B$120/MAX(1,MIN(6,'Вводные'!$E$91)),0)</x:f>
      </x:c>
      <x:c r="BQ120" s="117" t="n">
        <x:f>IF(AND(BQ$3&gt;=EDATE($B$109,-MIN(6,'Вводные'!$E$91)),BQ$3&lt;$B$109),$B$120/MAX(1,MIN(6,'Вводные'!$E$91)),0)</x:f>
      </x:c>
      <x:c r="BR120" s="117" t="n">
        <x:f>IF(AND(BR$3&gt;=EDATE($B$109,-MIN(6,'Вводные'!$E$91)),BR$3&lt;$B$109),$B$120/MAX(1,MIN(6,'Вводные'!$E$91)),0)</x:f>
      </x:c>
      <x:c r="BS120" s="117" t="n">
        <x:f>IF(AND(BS$3&gt;=EDATE($B$109,-MIN(6,'Вводные'!$E$91)),BS$3&lt;$B$109),$B$120/MAX(1,MIN(6,'Вводные'!$E$91)),0)</x:f>
      </x:c>
      <x:c r="BT120" s="117" t="n">
        <x:f>IF(AND(BT$3&gt;=EDATE($B$109,-MIN(6,'Вводные'!$E$91)),BT$3&lt;$B$109),$B$120/MAX(1,MIN(6,'Вводные'!$E$91)),0)</x:f>
      </x:c>
      <x:c r="BU120" s="117" t="n">
        <x:f>IF(AND(BU$3&gt;=EDATE($B$109,-MIN(6,'Вводные'!$E$91)),BU$3&lt;$B$109),$B$120/MAX(1,MIN(6,'Вводные'!$E$91)),0)</x:f>
      </x:c>
      <x:c r="BV120" s="117" t="n">
        <x:f>IF(AND(BV$3&gt;=EDATE($B$109,-MIN(6,'Вводные'!$E$91)),BV$3&lt;$B$109),$B$120/MAX(1,MIN(6,'Вводные'!$E$91)),0)</x:f>
      </x:c>
      <x:c r="BW120" s="117" t="n">
        <x:f>IF(AND(BW$3&gt;=EDATE($B$109,-MIN(6,'Вводные'!$E$91)),BW$3&lt;$B$109),$B$120/MAX(1,MIN(6,'Вводные'!$E$91)),0)</x:f>
      </x:c>
      <x:c r="BX120" s="117" t="n">
        <x:f>IF(AND(BX$3&gt;=EDATE($B$109,-MIN(6,'Вводные'!$E$91)),BX$3&lt;$B$109),$B$120/MAX(1,MIN(6,'Вводные'!$E$91)),0)</x:f>
      </x:c>
      <x:c r="BY120" s="117" t="n">
        <x:f>IF(AND(BY$3&gt;=EDATE($B$109,-MIN(6,'Вводные'!$E$91)),BY$3&lt;$B$109),$B$120/MAX(1,MIN(6,'Вводные'!$E$91)),0)</x:f>
      </x:c>
      <x:c r="BZ120" s="117" t="n">
        <x:f>IF(AND(BZ$3&gt;=EDATE($B$109,-MIN(6,'Вводные'!$E$91)),BZ$3&lt;$B$109),$B$120/MAX(1,MIN(6,'Вводные'!$E$91)),0)</x:f>
      </x:c>
      <x:c r="CA120" s="117" t="n">
        <x:f>IF(AND(CA$3&gt;=EDATE($B$109,-MIN(6,'Вводные'!$E$91)),CA$3&lt;$B$109),$B$120/MAX(1,MIN(6,'Вводные'!$E$91)),0)</x:f>
      </x:c>
      <x:c r="CB120" s="117" t="n">
        <x:f>IF(AND(CB$3&gt;=EDATE($B$109,-MIN(6,'Вводные'!$E$91)),CB$3&lt;$B$109),$B$120/MAX(1,MIN(6,'Вводные'!$E$91)),0)</x:f>
      </x:c>
      <x:c r="CC120" s="117" t="n">
        <x:f>IF(AND(CC$3&gt;=EDATE($B$109,-MIN(6,'Вводные'!$E$91)),CC$3&lt;$B$109),$B$120/MAX(1,MIN(6,'Вводные'!$E$91)),0)</x:f>
      </x:c>
      <x:c r="CD120" s="117" t="n">
        <x:f>IF(AND(CD$3&gt;=EDATE($B$109,-MIN(6,'Вводные'!$E$91)),CD$3&lt;$B$109),$B$120/MAX(1,MIN(6,'Вводные'!$E$91)),0)</x:f>
      </x:c>
      <x:c r="CE120" s="117" t="n">
        <x:f>IF(AND(CE$3&gt;=EDATE($B$109,-MIN(6,'Вводные'!$E$91)),CE$3&lt;$B$109),$B$120/MAX(1,MIN(6,'Вводные'!$E$91)),0)</x:f>
      </x:c>
      <x:c r="CF120" s="117" t="n">
        <x:f>IF(AND(CF$3&gt;=EDATE($B$109,-MIN(6,'Вводные'!$E$91)),CF$3&lt;$B$109),$B$120/MAX(1,MIN(6,'Вводные'!$E$91)),0)</x:f>
      </x:c>
      <x:c r="CG120" s="117" t="n">
        <x:f>IF(AND(CG$3&gt;=EDATE($B$109,-MIN(6,'Вводные'!$E$91)),CG$3&lt;$B$109),$B$120/MAX(1,MIN(6,'Вводные'!$E$91)),0)</x:f>
      </x:c>
      <x:c r="CH120" s="117" t="n">
        <x:f>IF(AND(CH$3&gt;=EDATE($B$109,-MIN(6,'Вводные'!$E$91)),CH$3&lt;$B$109),$B$120/MAX(1,MIN(6,'Вводные'!$E$91)),0)</x:f>
      </x:c>
      <x:c r="CI120" s="117" t="n">
        <x:f>IF(AND(CI$3&gt;=EDATE($B$109,-MIN(6,'Вводные'!$E$91)),CI$3&lt;$B$109),$B$120/MAX(1,MIN(6,'Вводные'!$E$91)),0)</x:f>
      </x:c>
      <x:c r="CJ120" s="117" t="n">
        <x:f>IF(AND(CJ$3&gt;=EDATE($B$109,-MIN(6,'Вводные'!$E$91)),CJ$3&lt;$B$109),$B$120/MAX(1,MIN(6,'Вводные'!$E$91)),0)</x:f>
      </x:c>
      <x:c r="CK120" s="117" t="n">
        <x:f>IF(AND(CK$3&gt;=EDATE($B$109,-MIN(6,'Вводные'!$E$91)),CK$3&lt;$B$109),$B$120/MAX(1,MIN(6,'Вводные'!$E$91)),0)</x:f>
      </x:c>
      <x:c r="CL120" s="117" t="n">
        <x:f>IF(AND(CL$3&gt;=EDATE($B$109,-MIN(6,'Вводные'!$E$91)),CL$3&lt;$B$109),$B$120/MAX(1,MIN(6,'Вводные'!$E$91)),0)</x:f>
      </x:c>
      <x:c r="CM120" s="117" t="n">
        <x:f>IF(AND(CM$3&gt;=EDATE($B$109,-MIN(6,'Вводные'!$E$91)),CM$3&lt;$B$109),$B$120/MAX(1,MIN(6,'Вводные'!$E$91)),0)</x:f>
      </x:c>
      <x:c r="CN120" s="117" t="n">
        <x:f>IF(AND(CN$3&gt;=EDATE($B$109,-MIN(6,'Вводные'!$E$91)),CN$3&lt;$B$109),$B$120/MAX(1,MIN(6,'Вводные'!$E$91)),0)</x:f>
      </x:c>
      <x:c r="CO120" s="117" t="n">
        <x:f>IF(AND(CO$3&gt;=EDATE($B$109,-MIN(6,'Вводные'!$E$91)),CO$3&lt;$B$109),$B$120/MAX(1,MIN(6,'Вводные'!$E$91)),0)</x:f>
      </x:c>
      <x:c r="CP120" s="117" t="n">
        <x:f>IF(AND(CP$3&gt;=EDATE($B$109,-MIN(6,'Вводные'!$E$91)),CP$3&lt;$B$109),$B$120/MAX(1,MIN(6,'Вводные'!$E$91)),0)</x:f>
      </x:c>
      <x:c r="CQ120" s="117" t="n">
        <x:f>IF(AND(CQ$3&gt;=EDATE($B$109,-MIN(6,'Вводные'!$E$91)),CQ$3&lt;$B$109),$B$120/MAX(1,MIN(6,'Вводные'!$E$91)),0)</x:f>
      </x:c>
      <x:c r="CR120" s="117" t="n">
        <x:f>IF(AND(CR$3&gt;=EDATE($B$109,-MIN(6,'Вводные'!$E$91)),CR$3&lt;$B$109),$B$120/MAX(1,MIN(6,'Вводные'!$E$91)),0)</x:f>
      </x:c>
      <x:c r="CS120" s="117" t="n">
        <x:f>IF(AND(CS$3&gt;=EDATE($B$109,-MIN(6,'Вводные'!$E$91)),CS$3&lt;$B$109),$B$120/MAX(1,MIN(6,'Вводные'!$E$91)),0)</x:f>
      </x:c>
      <x:c r="CT120" s="117" t="n">
        <x:f>IF(AND(CT$3&gt;=EDATE($B$109,-MIN(6,'Вводные'!$E$91)),CT$3&lt;$B$109),$B$120/MAX(1,MIN(6,'Вводные'!$E$91)),0)</x:f>
      </x:c>
      <x:c r="CU120" s="117" t="n">
        <x:f>IF(AND(CU$3&gt;=EDATE($B$109,-MIN(6,'Вводные'!$E$91)),CU$3&lt;$B$109),$B$120/MAX(1,MIN(6,'Вводные'!$E$91)),0)</x:f>
      </x:c>
      <x:c r="CV120" s="117" t="n">
        <x:f>IF(AND(CV$3&gt;=EDATE($B$109,-MIN(6,'Вводные'!$E$91)),CV$3&lt;$B$109),$B$120/MAX(1,MIN(6,'Вводные'!$E$91)),0)</x:f>
      </x:c>
      <x:c r="CW120" s="117" t="n">
        <x:f>IF(AND(CW$3&gt;=EDATE($B$109,-MIN(6,'Вводные'!$E$91)),CW$3&lt;$B$109),$B$120/MAX(1,MIN(6,'Вводные'!$E$91)),0)</x:f>
      </x:c>
      <x:c r="CX120" s="117" t="n">
        <x:f>IF(AND(CX$3&gt;=EDATE($B$109,-MIN(6,'Вводные'!$E$91)),CX$3&lt;$B$109),$B$120/MAX(1,MIN(6,'Вводные'!$E$91)),0)</x:f>
      </x:c>
      <x:c r="CY120" s="117" t="n">
        <x:f>IF(AND(CY$3&gt;=EDATE($B$109,-MIN(6,'Вводные'!$E$91)),CY$3&lt;$B$109),$B$120/MAX(1,MIN(6,'Вводные'!$E$91)),0)</x:f>
      </x:c>
      <x:c r="CZ120" s="117" t="n">
        <x:f>IF(AND(CZ$3&gt;=EDATE($B$109,-MIN(6,'Вводные'!$E$91)),CZ$3&lt;$B$109),$B$120/MAX(1,MIN(6,'Вводные'!$E$91)),0)</x:f>
      </x:c>
      <x:c r="DA120" s="117" t="n">
        <x:f>IF(AND(DA$3&gt;=EDATE($B$109,-MIN(6,'Вводные'!$E$91)),DA$3&lt;$B$109),$B$120/MAX(1,MIN(6,'Вводные'!$E$91)),0)</x:f>
      </x:c>
      <x:c r="DB120" s="117" t="n">
        <x:f>IF(AND(DB$3&gt;=EDATE($B$109,-MIN(6,'Вводные'!$E$91)),DB$3&lt;$B$109),$B$120/MAX(1,MIN(6,'Вводные'!$E$91)),0)</x:f>
      </x:c>
      <x:c r="DC120" s="117" t="n">
        <x:f>IF(AND(DC$3&gt;=EDATE($B$109,-MIN(6,'Вводные'!$E$91)),DC$3&lt;$B$109),$B$120/MAX(1,MIN(6,'Вводные'!$E$91)),0)</x:f>
      </x:c>
      <x:c r="DD120" s="117" t="n">
        <x:f>IF(AND(DD$3&gt;=EDATE($B$109,-MIN(6,'Вводные'!$E$91)),DD$3&lt;$B$109),$B$120/MAX(1,MIN(6,'Вводные'!$E$91)),0)</x:f>
      </x:c>
      <x:c r="DE120" s="117" t="n">
        <x:f>IF(AND(DE$3&gt;=EDATE($B$109,-MIN(6,'Вводные'!$E$91)),DE$3&lt;$B$109),$B$120/MAX(1,MIN(6,'Вводные'!$E$91)),0)</x:f>
      </x:c>
      <x:c r="DF120" s="117" t="n">
        <x:f>IF(AND(DF$3&gt;=EDATE($B$109,-MIN(6,'Вводные'!$E$91)),DF$3&lt;$B$109),$B$120/MAX(1,MIN(6,'Вводные'!$E$91)),0)</x:f>
      </x:c>
      <x:c r="DG120" s="117" t="n">
        <x:f>IF(AND(DG$3&gt;=EDATE($B$109,-MIN(6,'Вводные'!$E$91)),DG$3&lt;$B$109),$B$120/MAX(1,MIN(6,'Вводные'!$E$91)),0)</x:f>
      </x:c>
      <x:c r="DH120" s="117" t="n">
        <x:f>IF(AND(DH$3&gt;=EDATE($B$109,-MIN(6,'Вводные'!$E$91)),DH$3&lt;$B$109),$B$120/MAX(1,MIN(6,'Вводные'!$E$91)),0)</x:f>
      </x:c>
      <x:c r="DI120" s="117" t="n">
        <x:f>IF(AND(DI$3&gt;=EDATE($B$109,-MIN(6,'Вводные'!$E$91)),DI$3&lt;$B$109),$B$120/MAX(1,MIN(6,'Вводные'!$E$91)),0)</x:f>
      </x:c>
      <x:c r="DJ120" s="117" t="n">
        <x:f>IF(AND(DJ$3&gt;=EDATE($B$109,-MIN(6,'Вводные'!$E$91)),DJ$3&lt;$B$109),$B$120/MAX(1,MIN(6,'Вводные'!$E$91)),0)</x:f>
      </x:c>
      <x:c r="DK120" s="117" t="n">
        <x:f>IF(AND(DK$3&gt;=EDATE($B$109,-MIN(6,'Вводные'!$E$91)),DK$3&lt;$B$109),$B$120/MAX(1,MIN(6,'Вводные'!$E$91)),0)</x:f>
      </x:c>
      <x:c r="DL120" s="117" t="n">
        <x:f>IF(AND(DL$3&gt;=EDATE($B$109,-MIN(6,'Вводные'!$E$91)),DL$3&lt;$B$109),$B$120/MAX(1,MIN(6,'Вводные'!$E$91)),0)</x:f>
      </x:c>
      <x:c r="DM120" s="117" t="n">
        <x:f>IF(AND(DM$3&gt;=EDATE($B$109,-MIN(6,'Вводные'!$E$91)),DM$3&lt;$B$109),$B$120/MAX(1,MIN(6,'Вводные'!$E$91)),0)</x:f>
      </x:c>
      <x:c r="DN120" s="117" t="n">
        <x:f>IF(AND(DN$3&gt;=EDATE($B$109,-MIN(6,'Вводные'!$E$91)),DN$3&lt;$B$109),$B$120/MAX(1,MIN(6,'Вводные'!$E$91)),0)</x:f>
      </x:c>
      <x:c r="DO120" s="117" t="n">
        <x:f>IF(AND(DO$3&gt;=EDATE($B$109,-MIN(6,'Вводные'!$E$91)),DO$3&lt;$B$109),$B$120/MAX(1,MIN(6,'Вводные'!$E$91)),0)</x:f>
      </x:c>
      <x:c r="DP120" s="117" t="n">
        <x:f>IF(AND(DP$3&gt;=EDATE($B$109,-MIN(6,'Вводные'!$E$91)),DP$3&lt;$B$109),$B$120/MAX(1,MIN(6,'Вводные'!$E$91)),0)</x:f>
      </x:c>
      <x:c r="DQ120" s="117" t="n">
        <x:f>IF(AND(DQ$3&gt;=EDATE($B$109,-MIN(6,'Вводные'!$E$91)),DQ$3&lt;$B$109),$B$120/MAX(1,MIN(6,'Вводные'!$E$91)),0)</x:f>
      </x:c>
      <x:c r="DR120" s="117" t="n">
        <x:f>IF(AND(DR$3&gt;=EDATE($B$109,-MIN(6,'Вводные'!$E$91)),DR$3&lt;$B$109),$B$120/MAX(1,MIN(6,'Вводные'!$E$91)),0)</x:f>
      </x:c>
      <x:c r="DS120" s="117" t="n">
        <x:f>IF(AND(DS$3&gt;=EDATE($B$109,-MIN(6,'Вводные'!$E$91)),DS$3&lt;$B$109),$B$120/MAX(1,MIN(6,'Вводные'!$E$91)),0)</x:f>
      </x:c>
      <x:c r="DT120" s="117" t="n">
        <x:f>IF(AND(DT$3&gt;=EDATE($B$109,-MIN(6,'Вводные'!$E$91)),DT$3&lt;$B$109),$B$120/MAX(1,MIN(6,'Вводные'!$E$91)),0)</x:f>
      </x:c>
      <x:c r="DU120" s="117" t="n">
        <x:f>IF(AND(DU$3&gt;=EDATE($B$109,-MIN(6,'Вводные'!$E$91)),DU$3&lt;$B$109),$B$120/MAX(1,MIN(6,'Вводные'!$E$91)),0)</x:f>
      </x:c>
      <x:c r="DV120" s="117" t="n">
        <x:f>IF(AND(DV$3&gt;=EDATE($B$109,-MIN(6,'Вводные'!$E$91)),DV$3&lt;$B$109),$B$120/MAX(1,MIN(6,'Вводные'!$E$91)),0)</x:f>
      </x:c>
      <x:c r="DW120" s="117" t="n">
        <x:f>IF(AND(DW$3&gt;=EDATE($B$109,-MIN(6,'Вводные'!$E$91)),DW$3&lt;$B$109),$B$120/MAX(1,MIN(6,'Вводные'!$E$91)),0)</x:f>
      </x:c>
      <x:c r="DX120" s="117" t="n">
        <x:f>IF(AND(DX$3&gt;=EDATE($B$109,-MIN(6,'Вводные'!$E$91)),DX$3&lt;$B$109),$B$120/MAX(1,MIN(6,'Вводные'!$E$91)),0)</x:f>
      </x:c>
      <x:c r="DY120" s="117" t="n">
        <x:f>IF(AND(DY$3&gt;=EDATE($B$109,-MIN(6,'Вводные'!$E$91)),DY$3&lt;$B$109),$B$120/MAX(1,MIN(6,'Вводные'!$E$91)),0)</x:f>
      </x:c>
      <x:c r="DZ120" s="117" t="n">
        <x:f>IF(AND(DZ$3&gt;=EDATE($B$109,-MIN(6,'Вводные'!$E$91)),DZ$3&lt;$B$109),$B$120/MAX(1,MIN(6,'Вводные'!$E$91)),0)</x:f>
      </x:c>
      <x:c r="EA120" s="117" t="n">
        <x:f>IF(AND(EA$3&gt;=EDATE($B$109,-MIN(6,'Вводные'!$E$91)),EA$3&lt;$B$109),$B$120/MAX(1,MIN(6,'Вводные'!$E$91)),0)</x:f>
      </x:c>
      <x:c r="EB120" s="117" t="n">
        <x:f>IF(AND(EB$3&gt;=EDATE($B$109,-MIN(6,'Вводные'!$E$91)),EB$3&lt;$B$109),$B$120/MAX(1,MIN(6,'Вводные'!$E$91)),0)</x:f>
      </x:c>
      <x:c r="EC120" s="117" t="n">
        <x:f>IF(AND(EC$3&gt;=EDATE($B$109,-MIN(6,'Вводные'!$E$91)),EC$3&lt;$B$109),$B$120/MAX(1,MIN(6,'Вводные'!$E$91)),0)</x:f>
      </x:c>
      <x:c r="ED120" s="117" t="n">
        <x:f>IF(AND(ED$3&gt;=EDATE($B$109,-MIN(6,'Вводные'!$E$91)),ED$3&lt;$B$109),$B$120/MAX(1,MIN(6,'Вводные'!$E$91)),0)</x:f>
      </x:c>
      <x:c r="EE120" s="117" t="n">
        <x:f>IF(AND(EE$3&gt;=EDATE($B$109,-MIN(6,'Вводные'!$E$91)),EE$3&lt;$B$109),$B$120/MAX(1,MIN(6,'Вводные'!$E$91)),0)</x:f>
      </x:c>
      <x:c r="EF120" s="117" t="n">
        <x:f>IF(AND(EF$3&gt;=EDATE($B$109,-MIN(6,'Вводные'!$E$91)),EF$3&lt;$B$109),$B$120/MAX(1,MIN(6,'Вводные'!$E$91)),0)</x:f>
      </x:c>
      <x:c r="EG120" s="117" t="n">
        <x:f>IF(AND(EG$3&gt;=EDATE($B$109,-MIN(6,'Вводные'!$E$91)),EG$3&lt;$B$109),$B$120/MAX(1,MIN(6,'Вводные'!$E$91)),0)</x:f>
      </x:c>
      <x:c r="EH120" s="117" t="n">
        <x:f>IF(AND(EH$3&gt;=EDATE($B$109,-MIN(6,'Вводные'!$E$91)),EH$3&lt;$B$109),$B$120/MAX(1,MIN(6,'Вводные'!$E$91)),0)</x:f>
      </x:c>
      <x:c r="EI120" s="117" t="n">
        <x:f>IF(AND(EI$3&gt;=EDATE($B$109,-MIN(6,'Вводные'!$E$91)),EI$3&lt;$B$109),$B$120/MAX(1,MIN(6,'Вводные'!$E$91)),0)</x:f>
      </x:c>
      <x:c r="EJ120" s="117" t="n">
        <x:f>IF(AND(EJ$3&gt;=EDATE($B$109,-MIN(6,'Вводные'!$E$91)),EJ$3&lt;$B$109),$B$120/MAX(1,MIN(6,'Вводные'!$E$91)),0)</x:f>
      </x:c>
      <x:c r="EK120" s="117" t="n">
        <x:f>IF(AND(EK$3&gt;=EDATE($B$109,-MIN(6,'Вводные'!$E$91)),EK$3&lt;$B$109),$B$120/MAX(1,MIN(6,'Вводные'!$E$91)),0)</x:f>
      </x:c>
      <x:c r="EL120" s="117" t="n">
        <x:f>IF(AND(EL$3&gt;=EDATE($B$109,-MIN(6,'Вводные'!$E$91)),EL$3&lt;$B$109),$B$120/MAX(1,MIN(6,'Вводные'!$E$91)),0)</x:f>
      </x:c>
      <x:c r="EM120" s="117" t="n">
        <x:f>IF(AND(EM$3&gt;=EDATE($B$109,-MIN(6,'Вводные'!$E$91)),EM$3&lt;$B$109),$B$120/MAX(1,MIN(6,'Вводные'!$E$91)),0)</x:f>
      </x:c>
      <x:c r="EN120" s="117" t="n">
        <x:f>IF(AND(EN$3&gt;=EDATE($B$109,-MIN(6,'Вводные'!$E$91)),EN$3&lt;$B$109),$B$120/MAX(1,MIN(6,'Вводные'!$E$91)),0)</x:f>
      </x:c>
      <x:c r="EO120" s="117" t="n">
        <x:f>IF(AND(EO$3&gt;=EDATE($B$109,-MIN(6,'Вводные'!$E$91)),EO$3&lt;$B$109),$B$120/MAX(1,MIN(6,'Вводные'!$E$91)),0)</x:f>
      </x:c>
      <x:c r="EP120" s="117" t="n">
        <x:f>IF(AND(EP$3&gt;=EDATE($B$109,-MIN(6,'Вводные'!$E$91)),EP$3&lt;$B$109),$B$120/MAX(1,MIN(6,'Вводные'!$E$91)),0)</x:f>
      </x:c>
      <x:c r="EQ120" s="117" t="n">
        <x:f>IF(AND(EQ$3&gt;=EDATE($B$109,-MIN(6,'Вводные'!$E$91)),EQ$3&lt;$B$109),$B$120/MAX(1,MIN(6,'Вводные'!$E$91)),0)</x:f>
      </x:c>
      <x:c r="ER120" s="117" t="n">
        <x:f>IF(AND(ER$3&gt;=EDATE($B$109,-MIN(6,'Вводные'!$E$91)),ER$3&lt;$B$109),$B$120/MAX(1,MIN(6,'Вводные'!$E$91)),0)</x:f>
      </x:c>
      <x:c r="ES120" s="117" t="n">
        <x:f>IF(AND(ES$3&gt;=EDATE($B$109,-MIN(6,'Вводные'!$E$91)),ES$3&lt;$B$109),$B$120/MAX(1,MIN(6,'Вводные'!$E$91)),0)</x:f>
      </x:c>
      <x:c r="ET120" s="117" t="n">
        <x:f>IF(AND(ET$3&gt;=EDATE($B$109,-MIN(6,'Вводные'!$E$91)),ET$3&lt;$B$109),$B$120/MAX(1,MIN(6,'Вводные'!$E$91)),0)</x:f>
      </x:c>
      <x:c r="EU120" s="117" t="n">
        <x:f>IF(AND(EU$3&gt;=EDATE($B$109,-MIN(6,'Вводные'!$E$91)),EU$3&lt;$B$109),$B$120/MAX(1,MIN(6,'Вводные'!$E$91)),0)</x:f>
      </x:c>
      <x:c r="EV120" s="117" t="n">
        <x:f>IF(AND(EV$3&gt;=EDATE($B$109,-MIN(6,'Вводные'!$E$91)),EV$3&lt;$B$109),$B$120/MAX(1,MIN(6,'Вводные'!$E$91)),0)</x:f>
      </x:c>
      <x:c r="EW120" s="117" t="n">
        <x:f>IF(AND(EW$3&gt;=EDATE($B$109,-MIN(6,'Вводные'!$E$91)),EW$3&lt;$B$109),$B$120/MAX(1,MIN(6,'Вводные'!$E$91)),0)</x:f>
      </x:c>
      <x:c r="EX120" s="117" t="n">
        <x:f>IF(AND(EX$3&gt;=EDATE($B$109,-MIN(6,'Вводные'!$E$91)),EX$3&lt;$B$109),$B$120/MAX(1,MIN(6,'Вводные'!$E$91)),0)</x:f>
      </x:c>
      <x:c r="EY120" s="117" t="n">
        <x:f>IF(AND(EY$3&gt;=EDATE($B$109,-MIN(6,'Вводные'!$E$91)),EY$3&lt;$B$109),$B$120/MAX(1,MIN(6,'Вводные'!$E$91)),0)</x:f>
      </x:c>
      <x:c r="EZ120" s="117" t="n">
        <x:f>IF(AND(EZ$3&gt;=EDATE($B$109,-MIN(6,'Вводные'!$E$91)),EZ$3&lt;$B$109),$B$120/MAX(1,MIN(6,'Вводные'!$E$91)),0)</x:f>
      </x:c>
      <x:c r="FA120" s="117" t="n">
        <x:f>IF(AND(FA$3&gt;=EDATE($B$109,-MIN(6,'Вводные'!$E$91)),FA$3&lt;$B$109),$B$120/MAX(1,MIN(6,'Вводные'!$E$91)),0)</x:f>
      </x:c>
      <x:c r="FB120" s="117" t="n">
        <x:f>IF(AND(FB$3&gt;=EDATE($B$109,-MIN(6,'Вводные'!$E$91)),FB$3&lt;$B$109),$B$120/MAX(1,MIN(6,'Вводные'!$E$91)),0)</x:f>
      </x:c>
      <x:c r="FC120" s="117" t="n">
        <x:f>IF(AND(FC$3&gt;=EDATE($B$109,-MIN(6,'Вводные'!$E$91)),FC$3&lt;$B$109),$B$120/MAX(1,MIN(6,'Вводные'!$E$91)),0)</x:f>
      </x:c>
      <x:c r="FD120" s="117" t="n">
        <x:f>IF(AND(FD$3&gt;=EDATE($B$109,-MIN(6,'Вводные'!$E$91)),FD$3&lt;$B$109),$B$120/MAX(1,MIN(6,'Вводные'!$E$91)),0)</x:f>
      </x:c>
      <x:c r="FE120" s="117" t="n">
        <x:f>IF(AND(FE$3&gt;=EDATE($B$109,-MIN(6,'Вводные'!$E$91)),FE$3&lt;$B$109),$B$120/MAX(1,MIN(6,'Вводные'!$E$91)),0)</x:f>
      </x:c>
      <x:c r="FF120" s="117" t="n">
        <x:f>IF(AND(FF$3&gt;=EDATE($B$109,-MIN(6,'Вводные'!$E$91)),FF$3&lt;$B$109),$B$120/MAX(1,MIN(6,'Вводные'!$E$91)),0)</x:f>
      </x:c>
      <x:c r="FG120" s="117" t="n">
        <x:f>IF(AND(FG$3&gt;=EDATE($B$109,-MIN(6,'Вводные'!$E$91)),FG$3&lt;$B$109),$B$120/MAX(1,MIN(6,'Вводные'!$E$91)),0)</x:f>
      </x:c>
      <x:c r="FH120" s="117" t="n">
        <x:f>IF(AND(FH$3&gt;=EDATE($B$109,-MIN(6,'Вводные'!$E$91)),FH$3&lt;$B$109),$B$120/MAX(1,MIN(6,'Вводные'!$E$91)),0)</x:f>
      </x:c>
      <x:c r="FI120" s="117" t="n">
        <x:f>IF(AND(FI$3&gt;=EDATE($B$109,-MIN(6,'Вводные'!$E$91)),FI$3&lt;$B$109),$B$120/MAX(1,MIN(6,'Вводные'!$E$91)),0)</x:f>
      </x:c>
      <x:c r="FJ120" s="117" t="n">
        <x:f>IF(AND(FJ$3&gt;=EDATE($B$109,-MIN(6,'Вводные'!$E$91)),FJ$3&lt;$B$109),$B$120/MAX(1,MIN(6,'Вводные'!$E$91)),0)</x:f>
      </x:c>
      <x:c r="FK120" s="117" t="n">
        <x:f>IF(AND(FK$3&gt;=EDATE($B$109,-MIN(6,'Вводные'!$E$91)),FK$3&lt;$B$109),$B$120/MAX(1,MIN(6,'Вводные'!$E$91)),0)</x:f>
      </x:c>
      <x:c r="FL120" s="117" t="n">
        <x:f>IF(AND(FL$3&gt;=EDATE($B$109,-MIN(6,'Вводные'!$E$91)),FL$3&lt;$B$109),$B$120/MAX(1,MIN(6,'Вводные'!$E$91)),0)</x:f>
      </x:c>
      <x:c r="FM120" s="117" t="n">
        <x:f>IF(AND(FM$3&gt;=EDATE($B$109,-MIN(6,'Вводные'!$E$91)),FM$3&lt;$B$109),$B$120/MAX(1,MIN(6,'Вводные'!$E$91)),0)</x:f>
      </x:c>
      <x:c r="FN120" s="117" t="n">
        <x:f>IF(AND(FN$3&gt;=EDATE($B$109,-MIN(6,'Вводные'!$E$91)),FN$3&lt;$B$109),$B$120/MAX(1,MIN(6,'Вводные'!$E$91)),0)</x:f>
      </x:c>
      <x:c r="FO120" s="117" t="n">
        <x:f>IF(AND(FO$3&gt;=EDATE($B$109,-MIN(6,'Вводные'!$E$91)),FO$3&lt;$B$109),$B$120/MAX(1,MIN(6,'Вводные'!$E$91)),0)</x:f>
      </x:c>
      <x:c r="FP120" s="117" t="n">
        <x:f>IF(AND(FP$3&gt;=EDATE($B$109,-MIN(6,'Вводные'!$E$91)),FP$3&lt;$B$109),$B$120/MAX(1,MIN(6,'Вводные'!$E$91)),0)</x:f>
      </x:c>
      <x:c r="FQ120" s="117" t="n">
        <x:f>IF(AND(FQ$3&gt;=EDATE($B$109,-MIN(6,'Вводные'!$E$91)),FQ$3&lt;$B$109),$B$120/MAX(1,MIN(6,'Вводные'!$E$91)),0)</x:f>
      </x:c>
      <x:c r="FR120" s="117" t="n">
        <x:f>IF(AND(FR$3&gt;=EDATE($B$109,-MIN(6,'Вводные'!$E$91)),FR$3&lt;$B$109),$B$120/MAX(1,MIN(6,'Вводные'!$E$91)),0)</x:f>
      </x:c>
      <x:c r="FS120" s="117" t="n">
        <x:f>IF(AND(FS$3&gt;=EDATE($B$109,-MIN(6,'Вводные'!$E$91)),FS$3&lt;$B$109),$B$120/MAX(1,MIN(6,'Вводные'!$E$91)),0)</x:f>
      </x:c>
      <x:c r="FT120" s="117" t="n">
        <x:f>IF(AND(FT$3&gt;=EDATE($B$109,-MIN(6,'Вводные'!$E$91)),FT$3&lt;$B$109),$B$120/MAX(1,MIN(6,'Вводные'!$E$91)),0)</x:f>
      </x:c>
      <x:c r="FU120" s="117" t="n">
        <x:f>IF(AND(FU$3&gt;=EDATE($B$109,-MIN(6,'Вводные'!$E$91)),FU$3&lt;$B$109),$B$120/MAX(1,MIN(6,'Вводные'!$E$91)),0)</x:f>
      </x:c>
      <x:c r="FV120" s="117" t="n">
        <x:f>IF(AND(FV$3&gt;=EDATE($B$109,-MIN(6,'Вводные'!$E$91)),FV$3&lt;$B$109),$B$120/MAX(1,MIN(6,'Вводные'!$E$91)),0)</x:f>
      </x:c>
      <x:c r="FW120" s="117" t="n">
        <x:f>IF(AND(FW$3&gt;=EDATE($B$109,-MIN(6,'Вводные'!$E$91)),FW$3&lt;$B$109),$B$120/MAX(1,MIN(6,'Вводные'!$E$91)),0)</x:f>
      </x:c>
      <x:c r="FX120" s="117" t="n">
        <x:f>IF(AND(FX$3&gt;=EDATE($B$109,-MIN(6,'Вводные'!$E$91)),FX$3&lt;$B$109),$B$120/MAX(1,MIN(6,'Вводные'!$E$91)),0)</x:f>
      </x:c>
      <x:c r="FY120" s="117" t="n">
        <x:f>IF(AND(FY$3&gt;=EDATE($B$109,-MIN(6,'Вводные'!$E$91)),FY$3&lt;$B$109),$B$120/MAX(1,MIN(6,'Вводные'!$E$91)),0)</x:f>
      </x:c>
      <x:c r="FZ120" s="117" t="n">
        <x:f>IF(AND(FZ$3&gt;=EDATE($B$109,-MIN(6,'Вводные'!$E$91)),FZ$3&lt;$B$109),$B$120/MAX(1,MIN(6,'Вводные'!$E$91)),0)</x:f>
      </x:c>
      <x:c r="GA120" s="117" t="n">
        <x:f>IF(AND(GA$3&gt;=EDATE($B$109,-MIN(6,'Вводные'!$E$91)),GA$3&lt;$B$109),$B$120/MAX(1,MIN(6,'Вводные'!$E$91)),0)</x:f>
      </x:c>
    </x:row>
    <x:row r="121">
      <x:c r="A121" t="str">
        <x:v>Авторский надзор</x:v>
      </x:c>
      <x:c r="B121" s="107" t="n">
        <x:f>SUM(B119:B120)*'Вводные'!$B$51</x:f>
      </x:c>
      <x:c r="C121" t="str">
        <x:v>млн ₽</x:v>
      </x:c>
      <x:c r="D121" s="117" t="n">
        <x:f>$B$121*D115</x:f>
      </x:c>
      <x:c r="E121" s="117" t="n">
        <x:f>$B$121*E115</x:f>
      </x:c>
      <x:c r="F121" s="117" t="n">
        <x:f>$B$121*F115</x:f>
      </x:c>
      <x:c r="G121" s="117" t="n">
        <x:f>$B$121*G115</x:f>
      </x:c>
      <x:c r="H121" s="117" t="n">
        <x:f>$B$121*H115</x:f>
      </x:c>
      <x:c r="I121" s="117" t="n">
        <x:f>$B$121*I115</x:f>
      </x:c>
      <x:c r="J121" s="117" t="n">
        <x:f>$B$121*J115</x:f>
      </x:c>
      <x:c r="K121" s="117" t="n">
        <x:f>$B$121*K115</x:f>
      </x:c>
      <x:c r="L121" s="117" t="n">
        <x:f>$B$121*L115</x:f>
      </x:c>
      <x:c r="M121" s="117" t="n">
        <x:f>$B$121*M115</x:f>
      </x:c>
      <x:c r="N121" s="117" t="n">
        <x:f>$B$121*N115</x:f>
      </x:c>
      <x:c r="O121" s="117" t="n">
        <x:f>$B$121*O115</x:f>
      </x:c>
      <x:c r="P121" s="117" t="n">
        <x:f>$B$121*P115</x:f>
      </x:c>
      <x:c r="Q121" s="117" t="n">
        <x:f>$B$121*Q115</x:f>
      </x:c>
      <x:c r="R121" s="117" t="n">
        <x:f>$B$121*R115</x:f>
      </x:c>
      <x:c r="S121" s="117" t="n">
        <x:f>$B$121*S115</x:f>
      </x:c>
      <x:c r="T121" s="117" t="n">
        <x:f>$B$121*T115</x:f>
      </x:c>
      <x:c r="U121" s="117" t="n">
        <x:f>$B$121*U115</x:f>
      </x:c>
      <x:c r="V121" s="117" t="n">
        <x:f>$B$121*V115</x:f>
      </x:c>
      <x:c r="W121" s="117" t="n">
        <x:f>$B$121*W115</x:f>
      </x:c>
      <x:c r="X121" s="117" t="n">
        <x:f>$B$121*X115</x:f>
      </x:c>
      <x:c r="Y121" s="117" t="n">
        <x:f>$B$121*Y115</x:f>
      </x:c>
      <x:c r="Z121" s="117" t="n">
        <x:f>$B$121*Z115</x:f>
      </x:c>
      <x:c r="AA121" s="117" t="n">
        <x:f>$B$121*AA115</x:f>
      </x:c>
      <x:c r="AB121" s="117" t="n">
        <x:f>$B$121*AB115</x:f>
      </x:c>
      <x:c r="AC121" s="117" t="n">
        <x:f>$B$121*AC115</x:f>
      </x:c>
      <x:c r="AD121" s="117" t="n">
        <x:f>$B$121*AD115</x:f>
      </x:c>
      <x:c r="AE121" s="117" t="n">
        <x:f>$B$121*AE115</x:f>
      </x:c>
      <x:c r="AF121" s="117" t="n">
        <x:f>$B$121*AF115</x:f>
      </x:c>
      <x:c r="AG121" s="117" t="n">
        <x:f>$B$121*AG115</x:f>
      </x:c>
      <x:c r="AH121" s="117" t="n">
        <x:f>$B$121*AH115</x:f>
      </x:c>
      <x:c r="AI121" s="117" t="n">
        <x:f>$B$121*AI115</x:f>
      </x:c>
      <x:c r="AJ121" s="117" t="n">
        <x:f>$B$121*AJ115</x:f>
      </x:c>
      <x:c r="AK121" s="117" t="n">
        <x:f>$B$121*AK115</x:f>
      </x:c>
      <x:c r="AL121" s="117" t="n">
        <x:f>$B$121*AL115</x:f>
      </x:c>
      <x:c r="AM121" s="117" t="n">
        <x:f>$B$121*AM115</x:f>
      </x:c>
      <x:c r="AN121" s="117" t="n">
        <x:f>$B$121*AN115</x:f>
      </x:c>
      <x:c r="AO121" s="117" t="n">
        <x:f>$B$121*AO115</x:f>
      </x:c>
      <x:c r="AP121" s="117" t="n">
        <x:f>$B$121*AP115</x:f>
      </x:c>
      <x:c r="AQ121" s="117" t="n">
        <x:f>$B$121*AQ115</x:f>
      </x:c>
      <x:c r="AR121" s="117" t="n">
        <x:f>$B$121*AR115</x:f>
      </x:c>
      <x:c r="AS121" s="117" t="n">
        <x:f>$B$121*AS115</x:f>
      </x:c>
      <x:c r="AT121" s="117" t="n">
        <x:f>$B$121*AT115</x:f>
      </x:c>
      <x:c r="AU121" s="117" t="n">
        <x:f>$B$121*AU115</x:f>
      </x:c>
      <x:c r="AV121" s="117" t="n">
        <x:f>$B$121*AV115</x:f>
      </x:c>
      <x:c r="AW121" s="117" t="n">
        <x:f>$B$121*AW115</x:f>
      </x:c>
      <x:c r="AX121" s="117" t="n">
        <x:f>$B$121*AX115</x:f>
      </x:c>
      <x:c r="AY121" s="117" t="n">
        <x:f>$B$121*AY115</x:f>
      </x:c>
      <x:c r="AZ121" s="117" t="n">
        <x:f>$B$121*AZ115</x:f>
      </x:c>
      <x:c r="BA121" s="117" t="n">
        <x:f>$B$121*BA115</x:f>
      </x:c>
      <x:c r="BB121" s="117" t="n">
        <x:f>$B$121*BB115</x:f>
      </x:c>
      <x:c r="BC121" s="117" t="n">
        <x:f>$B$121*BC115</x:f>
      </x:c>
      <x:c r="BD121" s="117" t="n">
        <x:f>$B$121*BD115</x:f>
      </x:c>
      <x:c r="BE121" s="117" t="n">
        <x:f>$B$121*BE115</x:f>
      </x:c>
      <x:c r="BF121" s="117" t="n">
        <x:f>$B$121*BF115</x:f>
      </x:c>
      <x:c r="BG121" s="117" t="n">
        <x:f>$B$121*BG115</x:f>
      </x:c>
      <x:c r="BH121" s="117" t="n">
        <x:f>$B$121*BH115</x:f>
      </x:c>
      <x:c r="BI121" s="117" t="n">
        <x:f>$B$121*BI115</x:f>
      </x:c>
      <x:c r="BJ121" s="117" t="n">
        <x:f>$B$121*BJ115</x:f>
      </x:c>
      <x:c r="BK121" s="117" t="n">
        <x:f>$B$121*BK115</x:f>
      </x:c>
      <x:c r="BL121" s="117" t="n">
        <x:f>$B$121*BL115</x:f>
      </x:c>
      <x:c r="BM121" s="117" t="n">
        <x:f>$B$121*BM115</x:f>
      </x:c>
      <x:c r="BN121" s="117" t="n">
        <x:f>$B$121*BN115</x:f>
      </x:c>
      <x:c r="BO121" s="117" t="n">
        <x:f>$B$121*BO115</x:f>
      </x:c>
      <x:c r="BP121" s="117" t="n">
        <x:f>$B$121*BP115</x:f>
      </x:c>
      <x:c r="BQ121" s="117" t="n">
        <x:f>$B$121*BQ115</x:f>
      </x:c>
      <x:c r="BR121" s="117" t="n">
        <x:f>$B$121*BR115</x:f>
      </x:c>
      <x:c r="BS121" s="117" t="n">
        <x:f>$B$121*BS115</x:f>
      </x:c>
      <x:c r="BT121" s="117" t="n">
        <x:f>$B$121*BT115</x:f>
      </x:c>
      <x:c r="BU121" s="117" t="n">
        <x:f>$B$121*BU115</x:f>
      </x:c>
      <x:c r="BV121" s="117" t="n">
        <x:f>$B$121*BV115</x:f>
      </x:c>
      <x:c r="BW121" s="117" t="n">
        <x:f>$B$121*BW115</x:f>
      </x:c>
      <x:c r="BX121" s="117" t="n">
        <x:f>$B$121*BX115</x:f>
      </x:c>
      <x:c r="BY121" s="117" t="n">
        <x:f>$B$121*BY115</x:f>
      </x:c>
      <x:c r="BZ121" s="117" t="n">
        <x:f>$B$121*BZ115</x:f>
      </x:c>
      <x:c r="CA121" s="117" t="n">
        <x:f>$B$121*CA115</x:f>
      </x:c>
      <x:c r="CB121" s="117" t="n">
        <x:f>$B$121*CB115</x:f>
      </x:c>
      <x:c r="CC121" s="117" t="n">
        <x:f>$B$121*CC115</x:f>
      </x:c>
      <x:c r="CD121" s="117" t="n">
        <x:f>$B$121*CD115</x:f>
      </x:c>
      <x:c r="CE121" s="117" t="n">
        <x:f>$B$121*CE115</x:f>
      </x:c>
      <x:c r="CF121" s="117" t="n">
        <x:f>$B$121*CF115</x:f>
      </x:c>
      <x:c r="CG121" s="117" t="n">
        <x:f>$B$121*CG115</x:f>
      </x:c>
      <x:c r="CH121" s="117" t="n">
        <x:f>$B$121*CH115</x:f>
      </x:c>
      <x:c r="CI121" s="117" t="n">
        <x:f>$B$121*CI115</x:f>
      </x:c>
      <x:c r="CJ121" s="117" t="n">
        <x:f>$B$121*CJ115</x:f>
      </x:c>
      <x:c r="CK121" s="117" t="n">
        <x:f>$B$121*CK115</x:f>
      </x:c>
      <x:c r="CL121" s="117" t="n">
        <x:f>$B$121*CL115</x:f>
      </x:c>
      <x:c r="CM121" s="117" t="n">
        <x:f>$B$121*CM115</x:f>
      </x:c>
      <x:c r="CN121" s="117" t="n">
        <x:f>$B$121*CN115</x:f>
      </x:c>
      <x:c r="CO121" s="117" t="n">
        <x:f>$B$121*CO115</x:f>
      </x:c>
      <x:c r="CP121" s="117" t="n">
        <x:f>$B$121*CP115</x:f>
      </x:c>
      <x:c r="CQ121" s="117" t="n">
        <x:f>$B$121*CQ115</x:f>
      </x:c>
      <x:c r="CR121" s="117" t="n">
        <x:f>$B$121*CR115</x:f>
      </x:c>
      <x:c r="CS121" s="117" t="n">
        <x:f>$B$121*CS115</x:f>
      </x:c>
      <x:c r="CT121" s="117" t="n">
        <x:f>$B$121*CT115</x:f>
      </x:c>
      <x:c r="CU121" s="117" t="n">
        <x:f>$B$121*CU115</x:f>
      </x:c>
      <x:c r="CV121" s="117" t="n">
        <x:f>$B$121*CV115</x:f>
      </x:c>
      <x:c r="CW121" s="117" t="n">
        <x:f>$B$121*CW115</x:f>
      </x:c>
      <x:c r="CX121" s="117" t="n">
        <x:f>$B$121*CX115</x:f>
      </x:c>
      <x:c r="CY121" s="117" t="n">
        <x:f>$B$121*CY115</x:f>
      </x:c>
      <x:c r="CZ121" s="117" t="n">
        <x:f>$B$121*CZ115</x:f>
      </x:c>
      <x:c r="DA121" s="117" t="n">
        <x:f>$B$121*DA115</x:f>
      </x:c>
      <x:c r="DB121" s="117" t="n">
        <x:f>$B$121*DB115</x:f>
      </x:c>
      <x:c r="DC121" s="117" t="n">
        <x:f>$B$121*DC115</x:f>
      </x:c>
      <x:c r="DD121" s="117" t="n">
        <x:f>$B$121*DD115</x:f>
      </x:c>
      <x:c r="DE121" s="117" t="n">
        <x:f>$B$121*DE115</x:f>
      </x:c>
      <x:c r="DF121" s="117" t="n">
        <x:f>$B$121*DF115</x:f>
      </x:c>
      <x:c r="DG121" s="117" t="n">
        <x:f>$B$121*DG115</x:f>
      </x:c>
      <x:c r="DH121" s="117" t="n">
        <x:f>$B$121*DH115</x:f>
      </x:c>
      <x:c r="DI121" s="117" t="n">
        <x:f>$B$121*DI115</x:f>
      </x:c>
      <x:c r="DJ121" s="117" t="n">
        <x:f>$B$121*DJ115</x:f>
      </x:c>
      <x:c r="DK121" s="117" t="n">
        <x:f>$B$121*DK115</x:f>
      </x:c>
      <x:c r="DL121" s="117" t="n">
        <x:f>$B$121*DL115</x:f>
      </x:c>
      <x:c r="DM121" s="117" t="n">
        <x:f>$B$121*DM115</x:f>
      </x:c>
      <x:c r="DN121" s="117" t="n">
        <x:f>$B$121*DN115</x:f>
      </x:c>
      <x:c r="DO121" s="117" t="n">
        <x:f>$B$121*DO115</x:f>
      </x:c>
      <x:c r="DP121" s="117" t="n">
        <x:f>$B$121*DP115</x:f>
      </x:c>
      <x:c r="DQ121" s="117" t="n">
        <x:f>$B$121*DQ115</x:f>
      </x:c>
      <x:c r="DR121" s="117" t="n">
        <x:f>$B$121*DR115</x:f>
      </x:c>
      <x:c r="DS121" s="117" t="n">
        <x:f>$B$121*DS115</x:f>
      </x:c>
      <x:c r="DT121" s="117" t="n">
        <x:f>$B$121*DT115</x:f>
      </x:c>
      <x:c r="DU121" s="117" t="n">
        <x:f>$B$121*DU115</x:f>
      </x:c>
      <x:c r="DV121" s="117" t="n">
        <x:f>$B$121*DV115</x:f>
      </x:c>
      <x:c r="DW121" s="117" t="n">
        <x:f>$B$121*DW115</x:f>
      </x:c>
      <x:c r="DX121" s="117" t="n">
        <x:f>$B$121*DX115</x:f>
      </x:c>
      <x:c r="DY121" s="117" t="n">
        <x:f>$B$121*DY115</x:f>
      </x:c>
      <x:c r="DZ121" s="117" t="n">
        <x:f>$B$121*DZ115</x:f>
      </x:c>
      <x:c r="EA121" s="117" t="n">
        <x:f>$B$121*EA115</x:f>
      </x:c>
      <x:c r="EB121" s="117" t="n">
        <x:f>$B$121*EB115</x:f>
      </x:c>
      <x:c r="EC121" s="117" t="n">
        <x:f>$B$121*EC115</x:f>
      </x:c>
      <x:c r="ED121" s="117" t="n">
        <x:f>$B$121*ED115</x:f>
      </x:c>
      <x:c r="EE121" s="117" t="n">
        <x:f>$B$121*EE115</x:f>
      </x:c>
      <x:c r="EF121" s="117" t="n">
        <x:f>$B$121*EF115</x:f>
      </x:c>
      <x:c r="EG121" s="117" t="n">
        <x:f>$B$121*EG115</x:f>
      </x:c>
      <x:c r="EH121" s="117" t="n">
        <x:f>$B$121*EH115</x:f>
      </x:c>
      <x:c r="EI121" s="117" t="n">
        <x:f>$B$121*EI115</x:f>
      </x:c>
      <x:c r="EJ121" s="117" t="n">
        <x:f>$B$121*EJ115</x:f>
      </x:c>
      <x:c r="EK121" s="117" t="n">
        <x:f>$B$121*EK115</x:f>
      </x:c>
      <x:c r="EL121" s="117" t="n">
        <x:f>$B$121*EL115</x:f>
      </x:c>
      <x:c r="EM121" s="117" t="n">
        <x:f>$B$121*EM115</x:f>
      </x:c>
      <x:c r="EN121" s="117" t="n">
        <x:f>$B$121*EN115</x:f>
      </x:c>
      <x:c r="EO121" s="117" t="n">
        <x:f>$B$121*EO115</x:f>
      </x:c>
      <x:c r="EP121" s="117" t="n">
        <x:f>$B$121*EP115</x:f>
      </x:c>
      <x:c r="EQ121" s="117" t="n">
        <x:f>$B$121*EQ115</x:f>
      </x:c>
      <x:c r="ER121" s="117" t="n">
        <x:f>$B$121*ER115</x:f>
      </x:c>
      <x:c r="ES121" s="117" t="n">
        <x:f>$B$121*ES115</x:f>
      </x:c>
      <x:c r="ET121" s="117" t="n">
        <x:f>$B$121*ET115</x:f>
      </x:c>
      <x:c r="EU121" s="117" t="n">
        <x:f>$B$121*EU115</x:f>
      </x:c>
      <x:c r="EV121" s="117" t="n">
        <x:f>$B$121*EV115</x:f>
      </x:c>
      <x:c r="EW121" s="117" t="n">
        <x:f>$B$121*EW115</x:f>
      </x:c>
      <x:c r="EX121" s="117" t="n">
        <x:f>$B$121*EX115</x:f>
      </x:c>
      <x:c r="EY121" s="117" t="n">
        <x:f>$B$121*EY115</x:f>
      </x:c>
      <x:c r="EZ121" s="117" t="n">
        <x:f>$B$121*EZ115</x:f>
      </x:c>
      <x:c r="FA121" s="117" t="n">
        <x:f>$B$121*FA115</x:f>
      </x:c>
      <x:c r="FB121" s="117" t="n">
        <x:f>$B$121*FB115</x:f>
      </x:c>
      <x:c r="FC121" s="117" t="n">
        <x:f>$B$121*FC115</x:f>
      </x:c>
      <x:c r="FD121" s="117" t="n">
        <x:f>$B$121*FD115</x:f>
      </x:c>
      <x:c r="FE121" s="117" t="n">
        <x:f>$B$121*FE115</x:f>
      </x:c>
      <x:c r="FF121" s="117" t="n">
        <x:f>$B$121*FF115</x:f>
      </x:c>
      <x:c r="FG121" s="117" t="n">
        <x:f>$B$121*FG115</x:f>
      </x:c>
      <x:c r="FH121" s="117" t="n">
        <x:f>$B$121*FH115</x:f>
      </x:c>
      <x:c r="FI121" s="117" t="n">
        <x:f>$B$121*FI115</x:f>
      </x:c>
      <x:c r="FJ121" s="117" t="n">
        <x:f>$B$121*FJ115</x:f>
      </x:c>
      <x:c r="FK121" s="117" t="n">
        <x:f>$B$121*FK115</x:f>
      </x:c>
      <x:c r="FL121" s="117" t="n">
        <x:f>$B$121*FL115</x:f>
      </x:c>
      <x:c r="FM121" s="117" t="n">
        <x:f>$B$121*FM115</x:f>
      </x:c>
      <x:c r="FN121" s="117" t="n">
        <x:f>$B$121*FN115</x:f>
      </x:c>
      <x:c r="FO121" s="117" t="n">
        <x:f>$B$121*FO115</x:f>
      </x:c>
      <x:c r="FP121" s="117" t="n">
        <x:f>$B$121*FP115</x:f>
      </x:c>
      <x:c r="FQ121" s="117" t="n">
        <x:f>$B$121*FQ115</x:f>
      </x:c>
      <x:c r="FR121" s="117" t="n">
        <x:f>$B$121*FR115</x:f>
      </x:c>
      <x:c r="FS121" s="117" t="n">
        <x:f>$B$121*FS115</x:f>
      </x:c>
      <x:c r="FT121" s="117" t="n">
        <x:f>$B$121*FT115</x:f>
      </x:c>
      <x:c r="FU121" s="117" t="n">
        <x:f>$B$121*FU115</x:f>
      </x:c>
      <x:c r="FV121" s="117" t="n">
        <x:f>$B$121*FV115</x:f>
      </x:c>
      <x:c r="FW121" s="117" t="n">
        <x:f>$B$121*FW115</x:f>
      </x:c>
      <x:c r="FX121" s="117" t="n">
        <x:f>$B$121*FX115</x:f>
      </x:c>
      <x:c r="FY121" s="117" t="n">
        <x:f>$B$121*FY115</x:f>
      </x:c>
      <x:c r="FZ121" s="117" t="n">
        <x:f>$B$121*FZ115</x:f>
      </x:c>
      <x:c r="GA121" s="117" t="n">
        <x:f>$B$121*GA115</x:f>
      </x:c>
    </x:row>
    <x:row r="122">
      <x:c r="A122" t="str">
        <x:v>Подготовительные работы</x:v>
      </x:c>
      <x:c r="B122" s="107" t="n">
        <x:f>(('Вводные'!$I$91+'Вводные'!$J$91+'Вводные'!$K$91)*'Вводные'!$B$43/1000*'Вводные'!$H$6*'Вводные'!$T$91*--('Вводные'!$B$91="Да"))*'Вводные'!$AH$91</x:f>
      </x:c>
      <x:c r="C122" t="str">
        <x:v>млн ₽</x:v>
      </x:c>
      <x:c r="D122" s="117" t="n">
        <x:f>IF(AND(D$3&gt;=EDATE($B$109,-MIN(6,'Вводные'!$E$91)),D$3&lt;$B$109),$B$122/MAX(1,MIN(6,'Вводные'!$E$91)),0)</x:f>
      </x:c>
      <x:c r="E122" s="117" t="n">
        <x:f>IF(AND(E$3&gt;=EDATE($B$109,-MIN(6,'Вводные'!$E$91)),E$3&lt;$B$109),$B$122/MAX(1,MIN(6,'Вводные'!$E$91)),0)</x:f>
      </x:c>
      <x:c r="F122" s="117" t="n">
        <x:f>IF(AND(F$3&gt;=EDATE($B$109,-MIN(6,'Вводные'!$E$91)),F$3&lt;$B$109),$B$122/MAX(1,MIN(6,'Вводные'!$E$91)),0)</x:f>
      </x:c>
      <x:c r="G122" s="117" t="n">
        <x:f>IF(AND(G$3&gt;=EDATE($B$109,-MIN(6,'Вводные'!$E$91)),G$3&lt;$B$109),$B$122/MAX(1,MIN(6,'Вводные'!$E$91)),0)</x:f>
      </x:c>
      <x:c r="H122" s="117" t="n">
        <x:f>IF(AND(H$3&gt;=EDATE($B$109,-MIN(6,'Вводные'!$E$91)),H$3&lt;$B$109),$B$122/MAX(1,MIN(6,'Вводные'!$E$91)),0)</x:f>
      </x:c>
      <x:c r="I122" s="117" t="n">
        <x:f>IF(AND(I$3&gt;=EDATE($B$109,-MIN(6,'Вводные'!$E$91)),I$3&lt;$B$109),$B$122/MAX(1,MIN(6,'Вводные'!$E$91)),0)</x:f>
      </x:c>
      <x:c r="J122" s="117" t="n">
        <x:f>IF(AND(J$3&gt;=EDATE($B$109,-MIN(6,'Вводные'!$E$91)),J$3&lt;$B$109),$B$122/MAX(1,MIN(6,'Вводные'!$E$91)),0)</x:f>
      </x:c>
      <x:c r="K122" s="117" t="n">
        <x:f>IF(AND(K$3&gt;=EDATE($B$109,-MIN(6,'Вводные'!$E$91)),K$3&lt;$B$109),$B$122/MAX(1,MIN(6,'Вводные'!$E$91)),0)</x:f>
      </x:c>
      <x:c r="L122" s="117" t="n">
        <x:f>IF(AND(L$3&gt;=EDATE($B$109,-MIN(6,'Вводные'!$E$91)),L$3&lt;$B$109),$B$122/MAX(1,MIN(6,'Вводные'!$E$91)),0)</x:f>
      </x:c>
      <x:c r="M122" s="117" t="n">
        <x:f>IF(AND(M$3&gt;=EDATE($B$109,-MIN(6,'Вводные'!$E$91)),M$3&lt;$B$109),$B$122/MAX(1,MIN(6,'Вводные'!$E$91)),0)</x:f>
      </x:c>
      <x:c r="N122" s="117" t="n">
        <x:f>IF(AND(N$3&gt;=EDATE($B$109,-MIN(6,'Вводные'!$E$91)),N$3&lt;$B$109),$B$122/MAX(1,MIN(6,'Вводные'!$E$91)),0)</x:f>
      </x:c>
      <x:c r="O122" s="117" t="n">
        <x:f>IF(AND(O$3&gt;=EDATE($B$109,-MIN(6,'Вводные'!$E$91)),O$3&lt;$B$109),$B$122/MAX(1,MIN(6,'Вводные'!$E$91)),0)</x:f>
      </x:c>
      <x:c r="P122" s="117" t="n">
        <x:f>IF(AND(P$3&gt;=EDATE($B$109,-MIN(6,'Вводные'!$E$91)),P$3&lt;$B$109),$B$122/MAX(1,MIN(6,'Вводные'!$E$91)),0)</x:f>
      </x:c>
      <x:c r="Q122" s="117" t="n">
        <x:f>IF(AND(Q$3&gt;=EDATE($B$109,-MIN(6,'Вводные'!$E$91)),Q$3&lt;$B$109),$B$122/MAX(1,MIN(6,'Вводные'!$E$91)),0)</x:f>
      </x:c>
      <x:c r="R122" s="117" t="n">
        <x:f>IF(AND(R$3&gt;=EDATE($B$109,-MIN(6,'Вводные'!$E$91)),R$3&lt;$B$109),$B$122/MAX(1,MIN(6,'Вводные'!$E$91)),0)</x:f>
      </x:c>
      <x:c r="S122" s="117" t="n">
        <x:f>IF(AND(S$3&gt;=EDATE($B$109,-MIN(6,'Вводные'!$E$91)),S$3&lt;$B$109),$B$122/MAX(1,MIN(6,'Вводные'!$E$91)),0)</x:f>
      </x:c>
      <x:c r="T122" s="117" t="n">
        <x:f>IF(AND(T$3&gt;=EDATE($B$109,-MIN(6,'Вводные'!$E$91)),T$3&lt;$B$109),$B$122/MAX(1,MIN(6,'Вводные'!$E$91)),0)</x:f>
      </x:c>
      <x:c r="U122" s="117" t="n">
        <x:f>IF(AND(U$3&gt;=EDATE($B$109,-MIN(6,'Вводные'!$E$91)),U$3&lt;$B$109),$B$122/MAX(1,MIN(6,'Вводные'!$E$91)),0)</x:f>
      </x:c>
      <x:c r="V122" s="117" t="n">
        <x:f>IF(AND(V$3&gt;=EDATE($B$109,-MIN(6,'Вводные'!$E$91)),V$3&lt;$B$109),$B$122/MAX(1,MIN(6,'Вводные'!$E$91)),0)</x:f>
      </x:c>
      <x:c r="W122" s="117" t="n">
        <x:f>IF(AND(W$3&gt;=EDATE($B$109,-MIN(6,'Вводные'!$E$91)),W$3&lt;$B$109),$B$122/MAX(1,MIN(6,'Вводные'!$E$91)),0)</x:f>
      </x:c>
      <x:c r="X122" s="117" t="n">
        <x:f>IF(AND(X$3&gt;=EDATE($B$109,-MIN(6,'Вводные'!$E$91)),X$3&lt;$B$109),$B$122/MAX(1,MIN(6,'Вводные'!$E$91)),0)</x:f>
      </x:c>
      <x:c r="Y122" s="117" t="n">
        <x:f>IF(AND(Y$3&gt;=EDATE($B$109,-MIN(6,'Вводные'!$E$91)),Y$3&lt;$B$109),$B$122/MAX(1,MIN(6,'Вводные'!$E$91)),0)</x:f>
      </x:c>
      <x:c r="Z122" s="117" t="n">
        <x:f>IF(AND(Z$3&gt;=EDATE($B$109,-MIN(6,'Вводные'!$E$91)),Z$3&lt;$B$109),$B$122/MAX(1,MIN(6,'Вводные'!$E$91)),0)</x:f>
      </x:c>
      <x:c r="AA122" s="117" t="n">
        <x:f>IF(AND(AA$3&gt;=EDATE($B$109,-MIN(6,'Вводные'!$E$91)),AA$3&lt;$B$109),$B$122/MAX(1,MIN(6,'Вводные'!$E$91)),0)</x:f>
      </x:c>
      <x:c r="AB122" s="117" t="n">
        <x:f>IF(AND(AB$3&gt;=EDATE($B$109,-MIN(6,'Вводные'!$E$91)),AB$3&lt;$B$109),$B$122/MAX(1,MIN(6,'Вводные'!$E$91)),0)</x:f>
      </x:c>
      <x:c r="AC122" s="117" t="n">
        <x:f>IF(AND(AC$3&gt;=EDATE($B$109,-MIN(6,'Вводные'!$E$91)),AC$3&lt;$B$109),$B$122/MAX(1,MIN(6,'Вводные'!$E$91)),0)</x:f>
      </x:c>
      <x:c r="AD122" s="117" t="n">
        <x:f>IF(AND(AD$3&gt;=EDATE($B$109,-MIN(6,'Вводные'!$E$91)),AD$3&lt;$B$109),$B$122/MAX(1,MIN(6,'Вводные'!$E$91)),0)</x:f>
      </x:c>
      <x:c r="AE122" s="117" t="n">
        <x:f>IF(AND(AE$3&gt;=EDATE($B$109,-MIN(6,'Вводные'!$E$91)),AE$3&lt;$B$109),$B$122/MAX(1,MIN(6,'Вводные'!$E$91)),0)</x:f>
      </x:c>
      <x:c r="AF122" s="117" t="n">
        <x:f>IF(AND(AF$3&gt;=EDATE($B$109,-MIN(6,'Вводные'!$E$91)),AF$3&lt;$B$109),$B$122/MAX(1,MIN(6,'Вводные'!$E$91)),0)</x:f>
      </x:c>
      <x:c r="AG122" s="117" t="n">
        <x:f>IF(AND(AG$3&gt;=EDATE($B$109,-MIN(6,'Вводные'!$E$91)),AG$3&lt;$B$109),$B$122/MAX(1,MIN(6,'Вводные'!$E$91)),0)</x:f>
      </x:c>
      <x:c r="AH122" s="117" t="n">
        <x:f>IF(AND(AH$3&gt;=EDATE($B$109,-MIN(6,'Вводные'!$E$91)),AH$3&lt;$B$109),$B$122/MAX(1,MIN(6,'Вводные'!$E$91)),0)</x:f>
      </x:c>
      <x:c r="AI122" s="117" t="n">
        <x:f>IF(AND(AI$3&gt;=EDATE($B$109,-MIN(6,'Вводные'!$E$91)),AI$3&lt;$B$109),$B$122/MAX(1,MIN(6,'Вводные'!$E$91)),0)</x:f>
      </x:c>
      <x:c r="AJ122" s="117" t="n">
        <x:f>IF(AND(AJ$3&gt;=EDATE($B$109,-MIN(6,'Вводные'!$E$91)),AJ$3&lt;$B$109),$B$122/MAX(1,MIN(6,'Вводные'!$E$91)),0)</x:f>
      </x:c>
      <x:c r="AK122" s="117" t="n">
        <x:f>IF(AND(AK$3&gt;=EDATE($B$109,-MIN(6,'Вводные'!$E$91)),AK$3&lt;$B$109),$B$122/MAX(1,MIN(6,'Вводные'!$E$91)),0)</x:f>
      </x:c>
      <x:c r="AL122" s="117" t="n">
        <x:f>IF(AND(AL$3&gt;=EDATE($B$109,-MIN(6,'Вводные'!$E$91)),AL$3&lt;$B$109),$B$122/MAX(1,MIN(6,'Вводные'!$E$91)),0)</x:f>
      </x:c>
      <x:c r="AM122" s="117" t="n">
        <x:f>IF(AND(AM$3&gt;=EDATE($B$109,-MIN(6,'Вводные'!$E$91)),AM$3&lt;$B$109),$B$122/MAX(1,MIN(6,'Вводные'!$E$91)),0)</x:f>
      </x:c>
      <x:c r="AN122" s="117" t="n">
        <x:f>IF(AND(AN$3&gt;=EDATE($B$109,-MIN(6,'Вводные'!$E$91)),AN$3&lt;$B$109),$B$122/MAX(1,MIN(6,'Вводные'!$E$91)),0)</x:f>
      </x:c>
      <x:c r="AO122" s="117" t="n">
        <x:f>IF(AND(AO$3&gt;=EDATE($B$109,-MIN(6,'Вводные'!$E$91)),AO$3&lt;$B$109),$B$122/MAX(1,MIN(6,'Вводные'!$E$91)),0)</x:f>
      </x:c>
      <x:c r="AP122" s="117" t="n">
        <x:f>IF(AND(AP$3&gt;=EDATE($B$109,-MIN(6,'Вводные'!$E$91)),AP$3&lt;$B$109),$B$122/MAX(1,MIN(6,'Вводные'!$E$91)),0)</x:f>
      </x:c>
      <x:c r="AQ122" s="117" t="n">
        <x:f>IF(AND(AQ$3&gt;=EDATE($B$109,-MIN(6,'Вводные'!$E$91)),AQ$3&lt;$B$109),$B$122/MAX(1,MIN(6,'Вводные'!$E$91)),0)</x:f>
      </x:c>
      <x:c r="AR122" s="117" t="n">
        <x:f>IF(AND(AR$3&gt;=EDATE($B$109,-MIN(6,'Вводные'!$E$91)),AR$3&lt;$B$109),$B$122/MAX(1,MIN(6,'Вводные'!$E$91)),0)</x:f>
      </x:c>
      <x:c r="AS122" s="117" t="n">
        <x:f>IF(AND(AS$3&gt;=EDATE($B$109,-MIN(6,'Вводные'!$E$91)),AS$3&lt;$B$109),$B$122/MAX(1,MIN(6,'Вводные'!$E$91)),0)</x:f>
      </x:c>
      <x:c r="AT122" s="117" t="n">
        <x:f>IF(AND(AT$3&gt;=EDATE($B$109,-MIN(6,'Вводные'!$E$91)),AT$3&lt;$B$109),$B$122/MAX(1,MIN(6,'Вводные'!$E$91)),0)</x:f>
      </x:c>
      <x:c r="AU122" s="117" t="n">
        <x:f>IF(AND(AU$3&gt;=EDATE($B$109,-MIN(6,'Вводные'!$E$91)),AU$3&lt;$B$109),$B$122/MAX(1,MIN(6,'Вводные'!$E$91)),0)</x:f>
      </x:c>
      <x:c r="AV122" s="117" t="n">
        <x:f>IF(AND(AV$3&gt;=EDATE($B$109,-MIN(6,'Вводные'!$E$91)),AV$3&lt;$B$109),$B$122/MAX(1,MIN(6,'Вводные'!$E$91)),0)</x:f>
      </x:c>
      <x:c r="AW122" s="117" t="n">
        <x:f>IF(AND(AW$3&gt;=EDATE($B$109,-MIN(6,'Вводные'!$E$91)),AW$3&lt;$B$109),$B$122/MAX(1,MIN(6,'Вводные'!$E$91)),0)</x:f>
      </x:c>
      <x:c r="AX122" s="117" t="n">
        <x:f>IF(AND(AX$3&gt;=EDATE($B$109,-MIN(6,'Вводные'!$E$91)),AX$3&lt;$B$109),$B$122/MAX(1,MIN(6,'Вводные'!$E$91)),0)</x:f>
      </x:c>
      <x:c r="AY122" s="117" t="n">
        <x:f>IF(AND(AY$3&gt;=EDATE($B$109,-MIN(6,'Вводные'!$E$91)),AY$3&lt;$B$109),$B$122/MAX(1,MIN(6,'Вводные'!$E$91)),0)</x:f>
      </x:c>
      <x:c r="AZ122" s="117" t="n">
        <x:f>IF(AND(AZ$3&gt;=EDATE($B$109,-MIN(6,'Вводные'!$E$91)),AZ$3&lt;$B$109),$B$122/MAX(1,MIN(6,'Вводные'!$E$91)),0)</x:f>
      </x:c>
      <x:c r="BA122" s="117" t="n">
        <x:f>IF(AND(BA$3&gt;=EDATE($B$109,-MIN(6,'Вводные'!$E$91)),BA$3&lt;$B$109),$B$122/MAX(1,MIN(6,'Вводные'!$E$91)),0)</x:f>
      </x:c>
      <x:c r="BB122" s="117" t="n">
        <x:f>IF(AND(BB$3&gt;=EDATE($B$109,-MIN(6,'Вводные'!$E$91)),BB$3&lt;$B$109),$B$122/MAX(1,MIN(6,'Вводные'!$E$91)),0)</x:f>
      </x:c>
      <x:c r="BC122" s="117" t="n">
        <x:f>IF(AND(BC$3&gt;=EDATE($B$109,-MIN(6,'Вводные'!$E$91)),BC$3&lt;$B$109),$B$122/MAX(1,MIN(6,'Вводные'!$E$91)),0)</x:f>
      </x:c>
      <x:c r="BD122" s="117" t="n">
        <x:f>IF(AND(BD$3&gt;=EDATE($B$109,-MIN(6,'Вводные'!$E$91)),BD$3&lt;$B$109),$B$122/MAX(1,MIN(6,'Вводные'!$E$91)),0)</x:f>
      </x:c>
      <x:c r="BE122" s="117" t="n">
        <x:f>IF(AND(BE$3&gt;=EDATE($B$109,-MIN(6,'Вводные'!$E$91)),BE$3&lt;$B$109),$B$122/MAX(1,MIN(6,'Вводные'!$E$91)),0)</x:f>
      </x:c>
      <x:c r="BF122" s="117" t="n">
        <x:f>IF(AND(BF$3&gt;=EDATE($B$109,-MIN(6,'Вводные'!$E$91)),BF$3&lt;$B$109),$B$122/MAX(1,MIN(6,'Вводные'!$E$91)),0)</x:f>
      </x:c>
      <x:c r="BG122" s="117" t="n">
        <x:f>IF(AND(BG$3&gt;=EDATE($B$109,-MIN(6,'Вводные'!$E$91)),BG$3&lt;$B$109),$B$122/MAX(1,MIN(6,'Вводные'!$E$91)),0)</x:f>
      </x:c>
      <x:c r="BH122" s="117" t="n">
        <x:f>IF(AND(BH$3&gt;=EDATE($B$109,-MIN(6,'Вводные'!$E$91)),BH$3&lt;$B$109),$B$122/MAX(1,MIN(6,'Вводные'!$E$91)),0)</x:f>
      </x:c>
      <x:c r="BI122" s="117" t="n">
        <x:f>IF(AND(BI$3&gt;=EDATE($B$109,-MIN(6,'Вводные'!$E$91)),BI$3&lt;$B$109),$B$122/MAX(1,MIN(6,'Вводные'!$E$91)),0)</x:f>
      </x:c>
      <x:c r="BJ122" s="117" t="n">
        <x:f>IF(AND(BJ$3&gt;=EDATE($B$109,-MIN(6,'Вводные'!$E$91)),BJ$3&lt;$B$109),$B$122/MAX(1,MIN(6,'Вводные'!$E$91)),0)</x:f>
      </x:c>
      <x:c r="BK122" s="117" t="n">
        <x:f>IF(AND(BK$3&gt;=EDATE($B$109,-MIN(6,'Вводные'!$E$91)),BK$3&lt;$B$109),$B$122/MAX(1,MIN(6,'Вводные'!$E$91)),0)</x:f>
      </x:c>
      <x:c r="BL122" s="117" t="n">
        <x:f>IF(AND(BL$3&gt;=EDATE($B$109,-MIN(6,'Вводные'!$E$91)),BL$3&lt;$B$109),$B$122/MAX(1,MIN(6,'Вводные'!$E$91)),0)</x:f>
      </x:c>
      <x:c r="BM122" s="117" t="n">
        <x:f>IF(AND(BM$3&gt;=EDATE($B$109,-MIN(6,'Вводные'!$E$91)),BM$3&lt;$B$109),$B$122/MAX(1,MIN(6,'Вводные'!$E$91)),0)</x:f>
      </x:c>
      <x:c r="BN122" s="117" t="n">
        <x:f>IF(AND(BN$3&gt;=EDATE($B$109,-MIN(6,'Вводные'!$E$91)),BN$3&lt;$B$109),$B$122/MAX(1,MIN(6,'Вводные'!$E$91)),0)</x:f>
      </x:c>
      <x:c r="BO122" s="117" t="n">
        <x:f>IF(AND(BO$3&gt;=EDATE($B$109,-MIN(6,'Вводные'!$E$91)),BO$3&lt;$B$109),$B$122/MAX(1,MIN(6,'Вводные'!$E$91)),0)</x:f>
      </x:c>
      <x:c r="BP122" s="117" t="n">
        <x:f>IF(AND(BP$3&gt;=EDATE($B$109,-MIN(6,'Вводные'!$E$91)),BP$3&lt;$B$109),$B$122/MAX(1,MIN(6,'Вводные'!$E$91)),0)</x:f>
      </x:c>
      <x:c r="BQ122" s="117" t="n">
        <x:f>IF(AND(BQ$3&gt;=EDATE($B$109,-MIN(6,'Вводные'!$E$91)),BQ$3&lt;$B$109),$B$122/MAX(1,MIN(6,'Вводные'!$E$91)),0)</x:f>
      </x:c>
      <x:c r="BR122" s="117" t="n">
        <x:f>IF(AND(BR$3&gt;=EDATE($B$109,-MIN(6,'Вводные'!$E$91)),BR$3&lt;$B$109),$B$122/MAX(1,MIN(6,'Вводные'!$E$91)),0)</x:f>
      </x:c>
      <x:c r="BS122" s="117" t="n">
        <x:f>IF(AND(BS$3&gt;=EDATE($B$109,-MIN(6,'Вводные'!$E$91)),BS$3&lt;$B$109),$B$122/MAX(1,MIN(6,'Вводные'!$E$91)),0)</x:f>
      </x:c>
      <x:c r="BT122" s="117" t="n">
        <x:f>IF(AND(BT$3&gt;=EDATE($B$109,-MIN(6,'Вводные'!$E$91)),BT$3&lt;$B$109),$B$122/MAX(1,MIN(6,'Вводные'!$E$91)),0)</x:f>
      </x:c>
      <x:c r="BU122" s="117" t="n">
        <x:f>IF(AND(BU$3&gt;=EDATE($B$109,-MIN(6,'Вводные'!$E$91)),BU$3&lt;$B$109),$B$122/MAX(1,MIN(6,'Вводные'!$E$91)),0)</x:f>
      </x:c>
      <x:c r="BV122" s="117" t="n">
        <x:f>IF(AND(BV$3&gt;=EDATE($B$109,-MIN(6,'Вводные'!$E$91)),BV$3&lt;$B$109),$B$122/MAX(1,MIN(6,'Вводные'!$E$91)),0)</x:f>
      </x:c>
      <x:c r="BW122" s="117" t="n">
        <x:f>IF(AND(BW$3&gt;=EDATE($B$109,-MIN(6,'Вводные'!$E$91)),BW$3&lt;$B$109),$B$122/MAX(1,MIN(6,'Вводные'!$E$91)),0)</x:f>
      </x:c>
      <x:c r="BX122" s="117" t="n">
        <x:f>IF(AND(BX$3&gt;=EDATE($B$109,-MIN(6,'Вводные'!$E$91)),BX$3&lt;$B$109),$B$122/MAX(1,MIN(6,'Вводные'!$E$91)),0)</x:f>
      </x:c>
      <x:c r="BY122" s="117" t="n">
        <x:f>IF(AND(BY$3&gt;=EDATE($B$109,-MIN(6,'Вводные'!$E$91)),BY$3&lt;$B$109),$B$122/MAX(1,MIN(6,'Вводные'!$E$91)),0)</x:f>
      </x:c>
      <x:c r="BZ122" s="117" t="n">
        <x:f>IF(AND(BZ$3&gt;=EDATE($B$109,-MIN(6,'Вводные'!$E$91)),BZ$3&lt;$B$109),$B$122/MAX(1,MIN(6,'Вводные'!$E$91)),0)</x:f>
      </x:c>
      <x:c r="CA122" s="117" t="n">
        <x:f>IF(AND(CA$3&gt;=EDATE($B$109,-MIN(6,'Вводные'!$E$91)),CA$3&lt;$B$109),$B$122/MAX(1,MIN(6,'Вводные'!$E$91)),0)</x:f>
      </x:c>
      <x:c r="CB122" s="117" t="n">
        <x:f>IF(AND(CB$3&gt;=EDATE($B$109,-MIN(6,'Вводные'!$E$91)),CB$3&lt;$B$109),$B$122/MAX(1,MIN(6,'Вводные'!$E$91)),0)</x:f>
      </x:c>
      <x:c r="CC122" s="117" t="n">
        <x:f>IF(AND(CC$3&gt;=EDATE($B$109,-MIN(6,'Вводные'!$E$91)),CC$3&lt;$B$109),$B$122/MAX(1,MIN(6,'Вводные'!$E$91)),0)</x:f>
      </x:c>
      <x:c r="CD122" s="117" t="n">
        <x:f>IF(AND(CD$3&gt;=EDATE($B$109,-MIN(6,'Вводные'!$E$91)),CD$3&lt;$B$109),$B$122/MAX(1,MIN(6,'Вводные'!$E$91)),0)</x:f>
      </x:c>
      <x:c r="CE122" s="117" t="n">
        <x:f>IF(AND(CE$3&gt;=EDATE($B$109,-MIN(6,'Вводные'!$E$91)),CE$3&lt;$B$109),$B$122/MAX(1,MIN(6,'Вводные'!$E$91)),0)</x:f>
      </x:c>
      <x:c r="CF122" s="117" t="n">
        <x:f>IF(AND(CF$3&gt;=EDATE($B$109,-MIN(6,'Вводные'!$E$91)),CF$3&lt;$B$109),$B$122/MAX(1,MIN(6,'Вводные'!$E$91)),0)</x:f>
      </x:c>
      <x:c r="CG122" s="117" t="n">
        <x:f>IF(AND(CG$3&gt;=EDATE($B$109,-MIN(6,'Вводные'!$E$91)),CG$3&lt;$B$109),$B$122/MAX(1,MIN(6,'Вводные'!$E$91)),0)</x:f>
      </x:c>
      <x:c r="CH122" s="117" t="n">
        <x:f>IF(AND(CH$3&gt;=EDATE($B$109,-MIN(6,'Вводные'!$E$91)),CH$3&lt;$B$109),$B$122/MAX(1,MIN(6,'Вводные'!$E$91)),0)</x:f>
      </x:c>
      <x:c r="CI122" s="117" t="n">
        <x:f>IF(AND(CI$3&gt;=EDATE($B$109,-MIN(6,'Вводные'!$E$91)),CI$3&lt;$B$109),$B$122/MAX(1,MIN(6,'Вводные'!$E$91)),0)</x:f>
      </x:c>
      <x:c r="CJ122" s="117" t="n">
        <x:f>IF(AND(CJ$3&gt;=EDATE($B$109,-MIN(6,'Вводные'!$E$91)),CJ$3&lt;$B$109),$B$122/MAX(1,MIN(6,'Вводные'!$E$91)),0)</x:f>
      </x:c>
      <x:c r="CK122" s="117" t="n">
        <x:f>IF(AND(CK$3&gt;=EDATE($B$109,-MIN(6,'Вводные'!$E$91)),CK$3&lt;$B$109),$B$122/MAX(1,MIN(6,'Вводные'!$E$91)),0)</x:f>
      </x:c>
      <x:c r="CL122" s="117" t="n">
        <x:f>IF(AND(CL$3&gt;=EDATE($B$109,-MIN(6,'Вводные'!$E$91)),CL$3&lt;$B$109),$B$122/MAX(1,MIN(6,'Вводные'!$E$91)),0)</x:f>
      </x:c>
      <x:c r="CM122" s="117" t="n">
        <x:f>IF(AND(CM$3&gt;=EDATE($B$109,-MIN(6,'Вводные'!$E$91)),CM$3&lt;$B$109),$B$122/MAX(1,MIN(6,'Вводные'!$E$91)),0)</x:f>
      </x:c>
      <x:c r="CN122" s="117" t="n">
        <x:f>IF(AND(CN$3&gt;=EDATE($B$109,-MIN(6,'Вводные'!$E$91)),CN$3&lt;$B$109),$B$122/MAX(1,MIN(6,'Вводные'!$E$91)),0)</x:f>
      </x:c>
      <x:c r="CO122" s="117" t="n">
        <x:f>IF(AND(CO$3&gt;=EDATE($B$109,-MIN(6,'Вводные'!$E$91)),CO$3&lt;$B$109),$B$122/MAX(1,MIN(6,'Вводные'!$E$91)),0)</x:f>
      </x:c>
      <x:c r="CP122" s="117" t="n">
        <x:f>IF(AND(CP$3&gt;=EDATE($B$109,-MIN(6,'Вводные'!$E$91)),CP$3&lt;$B$109),$B$122/MAX(1,MIN(6,'Вводные'!$E$91)),0)</x:f>
      </x:c>
      <x:c r="CQ122" s="117" t="n">
        <x:f>IF(AND(CQ$3&gt;=EDATE($B$109,-MIN(6,'Вводные'!$E$91)),CQ$3&lt;$B$109),$B$122/MAX(1,MIN(6,'Вводные'!$E$91)),0)</x:f>
      </x:c>
      <x:c r="CR122" s="117" t="n">
        <x:f>IF(AND(CR$3&gt;=EDATE($B$109,-MIN(6,'Вводные'!$E$91)),CR$3&lt;$B$109),$B$122/MAX(1,MIN(6,'Вводные'!$E$91)),0)</x:f>
      </x:c>
      <x:c r="CS122" s="117" t="n">
        <x:f>IF(AND(CS$3&gt;=EDATE($B$109,-MIN(6,'Вводные'!$E$91)),CS$3&lt;$B$109),$B$122/MAX(1,MIN(6,'Вводные'!$E$91)),0)</x:f>
      </x:c>
      <x:c r="CT122" s="117" t="n">
        <x:f>IF(AND(CT$3&gt;=EDATE($B$109,-MIN(6,'Вводные'!$E$91)),CT$3&lt;$B$109),$B$122/MAX(1,MIN(6,'Вводные'!$E$91)),0)</x:f>
      </x:c>
      <x:c r="CU122" s="117" t="n">
        <x:f>IF(AND(CU$3&gt;=EDATE($B$109,-MIN(6,'Вводные'!$E$91)),CU$3&lt;$B$109),$B$122/MAX(1,MIN(6,'Вводные'!$E$91)),0)</x:f>
      </x:c>
      <x:c r="CV122" s="117" t="n">
        <x:f>IF(AND(CV$3&gt;=EDATE($B$109,-MIN(6,'Вводные'!$E$91)),CV$3&lt;$B$109),$B$122/MAX(1,MIN(6,'Вводные'!$E$91)),0)</x:f>
      </x:c>
      <x:c r="CW122" s="117" t="n">
        <x:f>IF(AND(CW$3&gt;=EDATE($B$109,-MIN(6,'Вводные'!$E$91)),CW$3&lt;$B$109),$B$122/MAX(1,MIN(6,'Вводные'!$E$91)),0)</x:f>
      </x:c>
      <x:c r="CX122" s="117" t="n">
        <x:f>IF(AND(CX$3&gt;=EDATE($B$109,-MIN(6,'Вводные'!$E$91)),CX$3&lt;$B$109),$B$122/MAX(1,MIN(6,'Вводные'!$E$91)),0)</x:f>
      </x:c>
      <x:c r="CY122" s="117" t="n">
        <x:f>IF(AND(CY$3&gt;=EDATE($B$109,-MIN(6,'Вводные'!$E$91)),CY$3&lt;$B$109),$B$122/MAX(1,MIN(6,'Вводные'!$E$91)),0)</x:f>
      </x:c>
      <x:c r="CZ122" s="117" t="n">
        <x:f>IF(AND(CZ$3&gt;=EDATE($B$109,-MIN(6,'Вводные'!$E$91)),CZ$3&lt;$B$109),$B$122/MAX(1,MIN(6,'Вводные'!$E$91)),0)</x:f>
      </x:c>
      <x:c r="DA122" s="117" t="n">
        <x:f>IF(AND(DA$3&gt;=EDATE($B$109,-MIN(6,'Вводные'!$E$91)),DA$3&lt;$B$109),$B$122/MAX(1,MIN(6,'Вводные'!$E$91)),0)</x:f>
      </x:c>
      <x:c r="DB122" s="117" t="n">
        <x:f>IF(AND(DB$3&gt;=EDATE($B$109,-MIN(6,'Вводные'!$E$91)),DB$3&lt;$B$109),$B$122/MAX(1,MIN(6,'Вводные'!$E$91)),0)</x:f>
      </x:c>
      <x:c r="DC122" s="117" t="n">
        <x:f>IF(AND(DC$3&gt;=EDATE($B$109,-MIN(6,'Вводные'!$E$91)),DC$3&lt;$B$109),$B$122/MAX(1,MIN(6,'Вводные'!$E$91)),0)</x:f>
      </x:c>
      <x:c r="DD122" s="117" t="n">
        <x:f>IF(AND(DD$3&gt;=EDATE($B$109,-MIN(6,'Вводные'!$E$91)),DD$3&lt;$B$109),$B$122/MAX(1,MIN(6,'Вводные'!$E$91)),0)</x:f>
      </x:c>
      <x:c r="DE122" s="117" t="n">
        <x:f>IF(AND(DE$3&gt;=EDATE($B$109,-MIN(6,'Вводные'!$E$91)),DE$3&lt;$B$109),$B$122/MAX(1,MIN(6,'Вводные'!$E$91)),0)</x:f>
      </x:c>
      <x:c r="DF122" s="117" t="n">
        <x:f>IF(AND(DF$3&gt;=EDATE($B$109,-MIN(6,'Вводные'!$E$91)),DF$3&lt;$B$109),$B$122/MAX(1,MIN(6,'Вводные'!$E$91)),0)</x:f>
      </x:c>
      <x:c r="DG122" s="117" t="n">
        <x:f>IF(AND(DG$3&gt;=EDATE($B$109,-MIN(6,'Вводные'!$E$91)),DG$3&lt;$B$109),$B$122/MAX(1,MIN(6,'Вводные'!$E$91)),0)</x:f>
      </x:c>
      <x:c r="DH122" s="117" t="n">
        <x:f>IF(AND(DH$3&gt;=EDATE($B$109,-MIN(6,'Вводные'!$E$91)),DH$3&lt;$B$109),$B$122/MAX(1,MIN(6,'Вводные'!$E$91)),0)</x:f>
      </x:c>
      <x:c r="DI122" s="117" t="n">
        <x:f>IF(AND(DI$3&gt;=EDATE($B$109,-MIN(6,'Вводные'!$E$91)),DI$3&lt;$B$109),$B$122/MAX(1,MIN(6,'Вводные'!$E$91)),0)</x:f>
      </x:c>
      <x:c r="DJ122" s="117" t="n">
        <x:f>IF(AND(DJ$3&gt;=EDATE($B$109,-MIN(6,'Вводные'!$E$91)),DJ$3&lt;$B$109),$B$122/MAX(1,MIN(6,'Вводные'!$E$91)),0)</x:f>
      </x:c>
      <x:c r="DK122" s="117" t="n">
        <x:f>IF(AND(DK$3&gt;=EDATE($B$109,-MIN(6,'Вводные'!$E$91)),DK$3&lt;$B$109),$B$122/MAX(1,MIN(6,'Вводные'!$E$91)),0)</x:f>
      </x:c>
      <x:c r="DL122" s="117" t="n">
        <x:f>IF(AND(DL$3&gt;=EDATE($B$109,-MIN(6,'Вводные'!$E$91)),DL$3&lt;$B$109),$B$122/MAX(1,MIN(6,'Вводные'!$E$91)),0)</x:f>
      </x:c>
      <x:c r="DM122" s="117" t="n">
        <x:f>IF(AND(DM$3&gt;=EDATE($B$109,-MIN(6,'Вводные'!$E$91)),DM$3&lt;$B$109),$B$122/MAX(1,MIN(6,'Вводные'!$E$91)),0)</x:f>
      </x:c>
      <x:c r="DN122" s="117" t="n">
        <x:f>IF(AND(DN$3&gt;=EDATE($B$109,-MIN(6,'Вводные'!$E$91)),DN$3&lt;$B$109),$B$122/MAX(1,MIN(6,'Вводные'!$E$91)),0)</x:f>
      </x:c>
      <x:c r="DO122" s="117" t="n">
        <x:f>IF(AND(DO$3&gt;=EDATE($B$109,-MIN(6,'Вводные'!$E$91)),DO$3&lt;$B$109),$B$122/MAX(1,MIN(6,'Вводные'!$E$91)),0)</x:f>
      </x:c>
      <x:c r="DP122" s="117" t="n">
        <x:f>IF(AND(DP$3&gt;=EDATE($B$109,-MIN(6,'Вводные'!$E$91)),DP$3&lt;$B$109),$B$122/MAX(1,MIN(6,'Вводные'!$E$91)),0)</x:f>
      </x:c>
      <x:c r="DQ122" s="117" t="n">
        <x:f>IF(AND(DQ$3&gt;=EDATE($B$109,-MIN(6,'Вводные'!$E$91)),DQ$3&lt;$B$109),$B$122/MAX(1,MIN(6,'Вводные'!$E$91)),0)</x:f>
      </x:c>
      <x:c r="DR122" s="117" t="n">
        <x:f>IF(AND(DR$3&gt;=EDATE($B$109,-MIN(6,'Вводные'!$E$91)),DR$3&lt;$B$109),$B$122/MAX(1,MIN(6,'Вводные'!$E$91)),0)</x:f>
      </x:c>
      <x:c r="DS122" s="117" t="n">
        <x:f>IF(AND(DS$3&gt;=EDATE($B$109,-MIN(6,'Вводные'!$E$91)),DS$3&lt;$B$109),$B$122/MAX(1,MIN(6,'Вводные'!$E$91)),0)</x:f>
      </x:c>
      <x:c r="DT122" s="117" t="n">
        <x:f>IF(AND(DT$3&gt;=EDATE($B$109,-MIN(6,'Вводные'!$E$91)),DT$3&lt;$B$109),$B$122/MAX(1,MIN(6,'Вводные'!$E$91)),0)</x:f>
      </x:c>
      <x:c r="DU122" s="117" t="n">
        <x:f>IF(AND(DU$3&gt;=EDATE($B$109,-MIN(6,'Вводные'!$E$91)),DU$3&lt;$B$109),$B$122/MAX(1,MIN(6,'Вводные'!$E$91)),0)</x:f>
      </x:c>
      <x:c r="DV122" s="117" t="n">
        <x:f>IF(AND(DV$3&gt;=EDATE($B$109,-MIN(6,'Вводные'!$E$91)),DV$3&lt;$B$109),$B$122/MAX(1,MIN(6,'Вводные'!$E$91)),0)</x:f>
      </x:c>
      <x:c r="DW122" s="117" t="n">
        <x:f>IF(AND(DW$3&gt;=EDATE($B$109,-MIN(6,'Вводные'!$E$91)),DW$3&lt;$B$109),$B$122/MAX(1,MIN(6,'Вводные'!$E$91)),0)</x:f>
      </x:c>
      <x:c r="DX122" s="117" t="n">
        <x:f>IF(AND(DX$3&gt;=EDATE($B$109,-MIN(6,'Вводные'!$E$91)),DX$3&lt;$B$109),$B$122/MAX(1,MIN(6,'Вводные'!$E$91)),0)</x:f>
      </x:c>
      <x:c r="DY122" s="117" t="n">
        <x:f>IF(AND(DY$3&gt;=EDATE($B$109,-MIN(6,'Вводные'!$E$91)),DY$3&lt;$B$109),$B$122/MAX(1,MIN(6,'Вводные'!$E$91)),0)</x:f>
      </x:c>
      <x:c r="DZ122" s="117" t="n">
        <x:f>IF(AND(DZ$3&gt;=EDATE($B$109,-MIN(6,'Вводные'!$E$91)),DZ$3&lt;$B$109),$B$122/MAX(1,MIN(6,'Вводные'!$E$91)),0)</x:f>
      </x:c>
      <x:c r="EA122" s="117" t="n">
        <x:f>IF(AND(EA$3&gt;=EDATE($B$109,-MIN(6,'Вводные'!$E$91)),EA$3&lt;$B$109),$B$122/MAX(1,MIN(6,'Вводные'!$E$91)),0)</x:f>
      </x:c>
      <x:c r="EB122" s="117" t="n">
        <x:f>IF(AND(EB$3&gt;=EDATE($B$109,-MIN(6,'Вводные'!$E$91)),EB$3&lt;$B$109),$B$122/MAX(1,MIN(6,'Вводные'!$E$91)),0)</x:f>
      </x:c>
      <x:c r="EC122" s="117" t="n">
        <x:f>IF(AND(EC$3&gt;=EDATE($B$109,-MIN(6,'Вводные'!$E$91)),EC$3&lt;$B$109),$B$122/MAX(1,MIN(6,'Вводные'!$E$91)),0)</x:f>
      </x:c>
      <x:c r="ED122" s="117" t="n">
        <x:f>IF(AND(ED$3&gt;=EDATE($B$109,-MIN(6,'Вводные'!$E$91)),ED$3&lt;$B$109),$B$122/MAX(1,MIN(6,'Вводные'!$E$91)),0)</x:f>
      </x:c>
      <x:c r="EE122" s="117" t="n">
        <x:f>IF(AND(EE$3&gt;=EDATE($B$109,-MIN(6,'Вводные'!$E$91)),EE$3&lt;$B$109),$B$122/MAX(1,MIN(6,'Вводные'!$E$91)),0)</x:f>
      </x:c>
      <x:c r="EF122" s="117" t="n">
        <x:f>IF(AND(EF$3&gt;=EDATE($B$109,-MIN(6,'Вводные'!$E$91)),EF$3&lt;$B$109),$B$122/MAX(1,MIN(6,'Вводные'!$E$91)),0)</x:f>
      </x:c>
      <x:c r="EG122" s="117" t="n">
        <x:f>IF(AND(EG$3&gt;=EDATE($B$109,-MIN(6,'Вводные'!$E$91)),EG$3&lt;$B$109),$B$122/MAX(1,MIN(6,'Вводные'!$E$91)),0)</x:f>
      </x:c>
      <x:c r="EH122" s="117" t="n">
        <x:f>IF(AND(EH$3&gt;=EDATE($B$109,-MIN(6,'Вводные'!$E$91)),EH$3&lt;$B$109),$B$122/MAX(1,MIN(6,'Вводные'!$E$91)),0)</x:f>
      </x:c>
      <x:c r="EI122" s="117" t="n">
        <x:f>IF(AND(EI$3&gt;=EDATE($B$109,-MIN(6,'Вводные'!$E$91)),EI$3&lt;$B$109),$B$122/MAX(1,MIN(6,'Вводные'!$E$91)),0)</x:f>
      </x:c>
      <x:c r="EJ122" s="117" t="n">
        <x:f>IF(AND(EJ$3&gt;=EDATE($B$109,-MIN(6,'Вводные'!$E$91)),EJ$3&lt;$B$109),$B$122/MAX(1,MIN(6,'Вводные'!$E$91)),0)</x:f>
      </x:c>
      <x:c r="EK122" s="117" t="n">
        <x:f>IF(AND(EK$3&gt;=EDATE($B$109,-MIN(6,'Вводные'!$E$91)),EK$3&lt;$B$109),$B$122/MAX(1,MIN(6,'Вводные'!$E$91)),0)</x:f>
      </x:c>
      <x:c r="EL122" s="117" t="n">
        <x:f>IF(AND(EL$3&gt;=EDATE($B$109,-MIN(6,'Вводные'!$E$91)),EL$3&lt;$B$109),$B$122/MAX(1,MIN(6,'Вводные'!$E$91)),0)</x:f>
      </x:c>
      <x:c r="EM122" s="117" t="n">
        <x:f>IF(AND(EM$3&gt;=EDATE($B$109,-MIN(6,'Вводные'!$E$91)),EM$3&lt;$B$109),$B$122/MAX(1,MIN(6,'Вводные'!$E$91)),0)</x:f>
      </x:c>
      <x:c r="EN122" s="117" t="n">
        <x:f>IF(AND(EN$3&gt;=EDATE($B$109,-MIN(6,'Вводные'!$E$91)),EN$3&lt;$B$109),$B$122/MAX(1,MIN(6,'Вводные'!$E$91)),0)</x:f>
      </x:c>
      <x:c r="EO122" s="117" t="n">
        <x:f>IF(AND(EO$3&gt;=EDATE($B$109,-MIN(6,'Вводные'!$E$91)),EO$3&lt;$B$109),$B$122/MAX(1,MIN(6,'Вводные'!$E$91)),0)</x:f>
      </x:c>
      <x:c r="EP122" s="117" t="n">
        <x:f>IF(AND(EP$3&gt;=EDATE($B$109,-MIN(6,'Вводные'!$E$91)),EP$3&lt;$B$109),$B$122/MAX(1,MIN(6,'Вводные'!$E$91)),0)</x:f>
      </x:c>
      <x:c r="EQ122" s="117" t="n">
        <x:f>IF(AND(EQ$3&gt;=EDATE($B$109,-MIN(6,'Вводные'!$E$91)),EQ$3&lt;$B$109),$B$122/MAX(1,MIN(6,'Вводные'!$E$91)),0)</x:f>
      </x:c>
      <x:c r="ER122" s="117" t="n">
        <x:f>IF(AND(ER$3&gt;=EDATE($B$109,-MIN(6,'Вводные'!$E$91)),ER$3&lt;$B$109),$B$122/MAX(1,MIN(6,'Вводные'!$E$91)),0)</x:f>
      </x:c>
      <x:c r="ES122" s="117" t="n">
        <x:f>IF(AND(ES$3&gt;=EDATE($B$109,-MIN(6,'Вводные'!$E$91)),ES$3&lt;$B$109),$B$122/MAX(1,MIN(6,'Вводные'!$E$91)),0)</x:f>
      </x:c>
      <x:c r="ET122" s="117" t="n">
        <x:f>IF(AND(ET$3&gt;=EDATE($B$109,-MIN(6,'Вводные'!$E$91)),ET$3&lt;$B$109),$B$122/MAX(1,MIN(6,'Вводные'!$E$91)),0)</x:f>
      </x:c>
      <x:c r="EU122" s="117" t="n">
        <x:f>IF(AND(EU$3&gt;=EDATE($B$109,-MIN(6,'Вводные'!$E$91)),EU$3&lt;$B$109),$B$122/MAX(1,MIN(6,'Вводные'!$E$91)),0)</x:f>
      </x:c>
      <x:c r="EV122" s="117" t="n">
        <x:f>IF(AND(EV$3&gt;=EDATE($B$109,-MIN(6,'Вводные'!$E$91)),EV$3&lt;$B$109),$B$122/MAX(1,MIN(6,'Вводные'!$E$91)),0)</x:f>
      </x:c>
      <x:c r="EW122" s="117" t="n">
        <x:f>IF(AND(EW$3&gt;=EDATE($B$109,-MIN(6,'Вводные'!$E$91)),EW$3&lt;$B$109),$B$122/MAX(1,MIN(6,'Вводные'!$E$91)),0)</x:f>
      </x:c>
      <x:c r="EX122" s="117" t="n">
        <x:f>IF(AND(EX$3&gt;=EDATE($B$109,-MIN(6,'Вводные'!$E$91)),EX$3&lt;$B$109),$B$122/MAX(1,MIN(6,'Вводные'!$E$91)),0)</x:f>
      </x:c>
      <x:c r="EY122" s="117" t="n">
        <x:f>IF(AND(EY$3&gt;=EDATE($B$109,-MIN(6,'Вводные'!$E$91)),EY$3&lt;$B$109),$B$122/MAX(1,MIN(6,'Вводные'!$E$91)),0)</x:f>
      </x:c>
      <x:c r="EZ122" s="117" t="n">
        <x:f>IF(AND(EZ$3&gt;=EDATE($B$109,-MIN(6,'Вводные'!$E$91)),EZ$3&lt;$B$109),$B$122/MAX(1,MIN(6,'Вводные'!$E$91)),0)</x:f>
      </x:c>
      <x:c r="FA122" s="117" t="n">
        <x:f>IF(AND(FA$3&gt;=EDATE($B$109,-MIN(6,'Вводные'!$E$91)),FA$3&lt;$B$109),$B$122/MAX(1,MIN(6,'Вводные'!$E$91)),0)</x:f>
      </x:c>
      <x:c r="FB122" s="117" t="n">
        <x:f>IF(AND(FB$3&gt;=EDATE($B$109,-MIN(6,'Вводные'!$E$91)),FB$3&lt;$B$109),$B$122/MAX(1,MIN(6,'Вводные'!$E$91)),0)</x:f>
      </x:c>
      <x:c r="FC122" s="117" t="n">
        <x:f>IF(AND(FC$3&gt;=EDATE($B$109,-MIN(6,'Вводные'!$E$91)),FC$3&lt;$B$109),$B$122/MAX(1,MIN(6,'Вводные'!$E$91)),0)</x:f>
      </x:c>
      <x:c r="FD122" s="117" t="n">
        <x:f>IF(AND(FD$3&gt;=EDATE($B$109,-MIN(6,'Вводные'!$E$91)),FD$3&lt;$B$109),$B$122/MAX(1,MIN(6,'Вводные'!$E$91)),0)</x:f>
      </x:c>
      <x:c r="FE122" s="117" t="n">
        <x:f>IF(AND(FE$3&gt;=EDATE($B$109,-MIN(6,'Вводные'!$E$91)),FE$3&lt;$B$109),$B$122/MAX(1,MIN(6,'Вводные'!$E$91)),0)</x:f>
      </x:c>
      <x:c r="FF122" s="117" t="n">
        <x:f>IF(AND(FF$3&gt;=EDATE($B$109,-MIN(6,'Вводные'!$E$91)),FF$3&lt;$B$109),$B$122/MAX(1,MIN(6,'Вводные'!$E$91)),0)</x:f>
      </x:c>
      <x:c r="FG122" s="117" t="n">
        <x:f>IF(AND(FG$3&gt;=EDATE($B$109,-MIN(6,'Вводные'!$E$91)),FG$3&lt;$B$109),$B$122/MAX(1,MIN(6,'Вводные'!$E$91)),0)</x:f>
      </x:c>
      <x:c r="FH122" s="117" t="n">
        <x:f>IF(AND(FH$3&gt;=EDATE($B$109,-MIN(6,'Вводные'!$E$91)),FH$3&lt;$B$109),$B$122/MAX(1,MIN(6,'Вводные'!$E$91)),0)</x:f>
      </x:c>
      <x:c r="FI122" s="117" t="n">
        <x:f>IF(AND(FI$3&gt;=EDATE($B$109,-MIN(6,'Вводные'!$E$91)),FI$3&lt;$B$109),$B$122/MAX(1,MIN(6,'Вводные'!$E$91)),0)</x:f>
      </x:c>
      <x:c r="FJ122" s="117" t="n">
        <x:f>IF(AND(FJ$3&gt;=EDATE($B$109,-MIN(6,'Вводные'!$E$91)),FJ$3&lt;$B$109),$B$122/MAX(1,MIN(6,'Вводные'!$E$91)),0)</x:f>
      </x:c>
      <x:c r="FK122" s="117" t="n">
        <x:f>IF(AND(FK$3&gt;=EDATE($B$109,-MIN(6,'Вводные'!$E$91)),FK$3&lt;$B$109),$B$122/MAX(1,MIN(6,'Вводные'!$E$91)),0)</x:f>
      </x:c>
      <x:c r="FL122" s="117" t="n">
        <x:f>IF(AND(FL$3&gt;=EDATE($B$109,-MIN(6,'Вводные'!$E$91)),FL$3&lt;$B$109),$B$122/MAX(1,MIN(6,'Вводные'!$E$91)),0)</x:f>
      </x:c>
      <x:c r="FM122" s="117" t="n">
        <x:f>IF(AND(FM$3&gt;=EDATE($B$109,-MIN(6,'Вводные'!$E$91)),FM$3&lt;$B$109),$B$122/MAX(1,MIN(6,'Вводные'!$E$91)),0)</x:f>
      </x:c>
      <x:c r="FN122" s="117" t="n">
        <x:f>IF(AND(FN$3&gt;=EDATE($B$109,-MIN(6,'Вводные'!$E$91)),FN$3&lt;$B$109),$B$122/MAX(1,MIN(6,'Вводные'!$E$91)),0)</x:f>
      </x:c>
      <x:c r="FO122" s="117" t="n">
        <x:f>IF(AND(FO$3&gt;=EDATE($B$109,-MIN(6,'Вводные'!$E$91)),FO$3&lt;$B$109),$B$122/MAX(1,MIN(6,'Вводные'!$E$91)),0)</x:f>
      </x:c>
      <x:c r="FP122" s="117" t="n">
        <x:f>IF(AND(FP$3&gt;=EDATE($B$109,-MIN(6,'Вводные'!$E$91)),FP$3&lt;$B$109),$B$122/MAX(1,MIN(6,'Вводные'!$E$91)),0)</x:f>
      </x:c>
      <x:c r="FQ122" s="117" t="n">
        <x:f>IF(AND(FQ$3&gt;=EDATE($B$109,-MIN(6,'Вводные'!$E$91)),FQ$3&lt;$B$109),$B$122/MAX(1,MIN(6,'Вводные'!$E$91)),0)</x:f>
      </x:c>
      <x:c r="FR122" s="117" t="n">
        <x:f>IF(AND(FR$3&gt;=EDATE($B$109,-MIN(6,'Вводные'!$E$91)),FR$3&lt;$B$109),$B$122/MAX(1,MIN(6,'Вводные'!$E$91)),0)</x:f>
      </x:c>
      <x:c r="FS122" s="117" t="n">
        <x:f>IF(AND(FS$3&gt;=EDATE($B$109,-MIN(6,'Вводные'!$E$91)),FS$3&lt;$B$109),$B$122/MAX(1,MIN(6,'Вводные'!$E$91)),0)</x:f>
      </x:c>
      <x:c r="FT122" s="117" t="n">
        <x:f>IF(AND(FT$3&gt;=EDATE($B$109,-MIN(6,'Вводные'!$E$91)),FT$3&lt;$B$109),$B$122/MAX(1,MIN(6,'Вводные'!$E$91)),0)</x:f>
      </x:c>
      <x:c r="FU122" s="117" t="n">
        <x:f>IF(AND(FU$3&gt;=EDATE($B$109,-MIN(6,'Вводные'!$E$91)),FU$3&lt;$B$109),$B$122/MAX(1,MIN(6,'Вводные'!$E$91)),0)</x:f>
      </x:c>
      <x:c r="FV122" s="117" t="n">
        <x:f>IF(AND(FV$3&gt;=EDATE($B$109,-MIN(6,'Вводные'!$E$91)),FV$3&lt;$B$109),$B$122/MAX(1,MIN(6,'Вводные'!$E$91)),0)</x:f>
      </x:c>
      <x:c r="FW122" s="117" t="n">
        <x:f>IF(AND(FW$3&gt;=EDATE($B$109,-MIN(6,'Вводные'!$E$91)),FW$3&lt;$B$109),$B$122/MAX(1,MIN(6,'Вводные'!$E$91)),0)</x:f>
      </x:c>
      <x:c r="FX122" s="117" t="n">
        <x:f>IF(AND(FX$3&gt;=EDATE($B$109,-MIN(6,'Вводные'!$E$91)),FX$3&lt;$B$109),$B$122/MAX(1,MIN(6,'Вводные'!$E$91)),0)</x:f>
      </x:c>
      <x:c r="FY122" s="117" t="n">
        <x:f>IF(AND(FY$3&gt;=EDATE($B$109,-MIN(6,'Вводные'!$E$91)),FY$3&lt;$B$109),$B$122/MAX(1,MIN(6,'Вводные'!$E$91)),0)</x:f>
      </x:c>
      <x:c r="FZ122" s="117" t="n">
        <x:f>IF(AND(FZ$3&gt;=EDATE($B$109,-MIN(6,'Вводные'!$E$91)),FZ$3&lt;$B$109),$B$122/MAX(1,MIN(6,'Вводные'!$E$91)),0)</x:f>
      </x:c>
      <x:c r="GA122" s="117" t="n">
        <x:f>IF(AND(GA$3&gt;=EDATE($B$109,-MIN(6,'Вводные'!$E$91)),GA$3&lt;$B$109),$B$122/MAX(1,MIN(6,'Вводные'!$E$91)),0)</x:f>
      </x:c>
    </x:row>
    <x:row r="123">
      <x:c r="A123" t="str">
        <x:v>Основное строительство — наземная часть</x:v>
      </x:c>
      <x:c r="B123" s="107" t="n">
        <x:f>(('Вводные'!$I$91+'Вводные'!$J$91)*'Вводные'!$B$44/1000*'Вводные'!$H$6*'Вводные'!$T$91*--('Вводные'!$B$91="Да"))*'Вводные'!$AH$91</x:f>
      </x:c>
      <x:c r="C123" t="str">
        <x:v>млн ₽</x:v>
      </x:c>
      <x:c r="D123" s="117" t="n">
        <x:f>$B$123*D115</x:f>
      </x:c>
      <x:c r="E123" s="117" t="n">
        <x:f>$B$123*E115</x:f>
      </x:c>
      <x:c r="F123" s="117" t="n">
        <x:f>$B$123*F115</x:f>
      </x:c>
      <x:c r="G123" s="117" t="n">
        <x:f>$B$123*G115</x:f>
      </x:c>
      <x:c r="H123" s="117" t="n">
        <x:f>$B$123*H115</x:f>
      </x:c>
      <x:c r="I123" s="117" t="n">
        <x:f>$B$123*I115</x:f>
      </x:c>
      <x:c r="J123" s="117" t="n">
        <x:f>$B$123*J115</x:f>
      </x:c>
      <x:c r="K123" s="117" t="n">
        <x:f>$B$123*K115</x:f>
      </x:c>
      <x:c r="L123" s="117" t="n">
        <x:f>$B$123*L115</x:f>
      </x:c>
      <x:c r="M123" s="117" t="n">
        <x:f>$B$123*M115</x:f>
      </x:c>
      <x:c r="N123" s="117" t="n">
        <x:f>$B$123*N115</x:f>
      </x:c>
      <x:c r="O123" s="117" t="n">
        <x:f>$B$123*O115</x:f>
      </x:c>
      <x:c r="P123" s="117" t="n">
        <x:f>$B$123*P115</x:f>
      </x:c>
      <x:c r="Q123" s="117" t="n">
        <x:f>$B$123*Q115</x:f>
      </x:c>
      <x:c r="R123" s="117" t="n">
        <x:f>$B$123*R115</x:f>
      </x:c>
      <x:c r="S123" s="117" t="n">
        <x:f>$B$123*S115</x:f>
      </x:c>
      <x:c r="T123" s="117" t="n">
        <x:f>$B$123*T115</x:f>
      </x:c>
      <x:c r="U123" s="117" t="n">
        <x:f>$B$123*U115</x:f>
      </x:c>
      <x:c r="V123" s="117" t="n">
        <x:f>$B$123*V115</x:f>
      </x:c>
      <x:c r="W123" s="117" t="n">
        <x:f>$B$123*W115</x:f>
      </x:c>
      <x:c r="X123" s="117" t="n">
        <x:f>$B$123*X115</x:f>
      </x:c>
      <x:c r="Y123" s="117" t="n">
        <x:f>$B$123*Y115</x:f>
      </x:c>
      <x:c r="Z123" s="117" t="n">
        <x:f>$B$123*Z115</x:f>
      </x:c>
      <x:c r="AA123" s="117" t="n">
        <x:f>$B$123*AA115</x:f>
      </x:c>
      <x:c r="AB123" s="117" t="n">
        <x:f>$B$123*AB115</x:f>
      </x:c>
      <x:c r="AC123" s="117" t="n">
        <x:f>$B$123*AC115</x:f>
      </x:c>
      <x:c r="AD123" s="117" t="n">
        <x:f>$B$123*AD115</x:f>
      </x:c>
      <x:c r="AE123" s="117" t="n">
        <x:f>$B$123*AE115</x:f>
      </x:c>
      <x:c r="AF123" s="117" t="n">
        <x:f>$B$123*AF115</x:f>
      </x:c>
      <x:c r="AG123" s="117" t="n">
        <x:f>$B$123*AG115</x:f>
      </x:c>
      <x:c r="AH123" s="117" t="n">
        <x:f>$B$123*AH115</x:f>
      </x:c>
      <x:c r="AI123" s="117" t="n">
        <x:f>$B$123*AI115</x:f>
      </x:c>
      <x:c r="AJ123" s="117" t="n">
        <x:f>$B$123*AJ115</x:f>
      </x:c>
      <x:c r="AK123" s="117" t="n">
        <x:f>$B$123*AK115</x:f>
      </x:c>
      <x:c r="AL123" s="117" t="n">
        <x:f>$B$123*AL115</x:f>
      </x:c>
      <x:c r="AM123" s="117" t="n">
        <x:f>$B$123*AM115</x:f>
      </x:c>
      <x:c r="AN123" s="117" t="n">
        <x:f>$B$123*AN115</x:f>
      </x:c>
      <x:c r="AO123" s="117" t="n">
        <x:f>$B$123*AO115</x:f>
      </x:c>
      <x:c r="AP123" s="117" t="n">
        <x:f>$B$123*AP115</x:f>
      </x:c>
      <x:c r="AQ123" s="117" t="n">
        <x:f>$B$123*AQ115</x:f>
      </x:c>
      <x:c r="AR123" s="117" t="n">
        <x:f>$B$123*AR115</x:f>
      </x:c>
      <x:c r="AS123" s="117" t="n">
        <x:f>$B$123*AS115</x:f>
      </x:c>
      <x:c r="AT123" s="117" t="n">
        <x:f>$B$123*AT115</x:f>
      </x:c>
      <x:c r="AU123" s="117" t="n">
        <x:f>$B$123*AU115</x:f>
      </x:c>
      <x:c r="AV123" s="117" t="n">
        <x:f>$B$123*AV115</x:f>
      </x:c>
      <x:c r="AW123" s="117" t="n">
        <x:f>$B$123*AW115</x:f>
      </x:c>
      <x:c r="AX123" s="117" t="n">
        <x:f>$B$123*AX115</x:f>
      </x:c>
      <x:c r="AY123" s="117" t="n">
        <x:f>$B$123*AY115</x:f>
      </x:c>
      <x:c r="AZ123" s="117" t="n">
        <x:f>$B$123*AZ115</x:f>
      </x:c>
      <x:c r="BA123" s="117" t="n">
        <x:f>$B$123*BA115</x:f>
      </x:c>
      <x:c r="BB123" s="117" t="n">
        <x:f>$B$123*BB115</x:f>
      </x:c>
      <x:c r="BC123" s="117" t="n">
        <x:f>$B$123*BC115</x:f>
      </x:c>
      <x:c r="BD123" s="117" t="n">
        <x:f>$B$123*BD115</x:f>
      </x:c>
      <x:c r="BE123" s="117" t="n">
        <x:f>$B$123*BE115</x:f>
      </x:c>
      <x:c r="BF123" s="117" t="n">
        <x:f>$B$123*BF115</x:f>
      </x:c>
      <x:c r="BG123" s="117" t="n">
        <x:f>$B$123*BG115</x:f>
      </x:c>
      <x:c r="BH123" s="117" t="n">
        <x:f>$B$123*BH115</x:f>
      </x:c>
      <x:c r="BI123" s="117" t="n">
        <x:f>$B$123*BI115</x:f>
      </x:c>
      <x:c r="BJ123" s="117" t="n">
        <x:f>$B$123*BJ115</x:f>
      </x:c>
      <x:c r="BK123" s="117" t="n">
        <x:f>$B$123*BK115</x:f>
      </x:c>
      <x:c r="BL123" s="117" t="n">
        <x:f>$B$123*BL115</x:f>
      </x:c>
      <x:c r="BM123" s="117" t="n">
        <x:f>$B$123*BM115</x:f>
      </x:c>
      <x:c r="BN123" s="117" t="n">
        <x:f>$B$123*BN115</x:f>
      </x:c>
      <x:c r="BO123" s="117" t="n">
        <x:f>$B$123*BO115</x:f>
      </x:c>
      <x:c r="BP123" s="117" t="n">
        <x:f>$B$123*BP115</x:f>
      </x:c>
      <x:c r="BQ123" s="117" t="n">
        <x:f>$B$123*BQ115</x:f>
      </x:c>
      <x:c r="BR123" s="117" t="n">
        <x:f>$B$123*BR115</x:f>
      </x:c>
      <x:c r="BS123" s="117" t="n">
        <x:f>$B$123*BS115</x:f>
      </x:c>
      <x:c r="BT123" s="117" t="n">
        <x:f>$B$123*BT115</x:f>
      </x:c>
      <x:c r="BU123" s="117" t="n">
        <x:f>$B$123*BU115</x:f>
      </x:c>
      <x:c r="BV123" s="117" t="n">
        <x:f>$B$123*BV115</x:f>
      </x:c>
      <x:c r="BW123" s="117" t="n">
        <x:f>$B$123*BW115</x:f>
      </x:c>
      <x:c r="BX123" s="117" t="n">
        <x:f>$B$123*BX115</x:f>
      </x:c>
      <x:c r="BY123" s="117" t="n">
        <x:f>$B$123*BY115</x:f>
      </x:c>
      <x:c r="BZ123" s="117" t="n">
        <x:f>$B$123*BZ115</x:f>
      </x:c>
      <x:c r="CA123" s="117" t="n">
        <x:f>$B$123*CA115</x:f>
      </x:c>
      <x:c r="CB123" s="117" t="n">
        <x:f>$B$123*CB115</x:f>
      </x:c>
      <x:c r="CC123" s="117" t="n">
        <x:f>$B$123*CC115</x:f>
      </x:c>
      <x:c r="CD123" s="117" t="n">
        <x:f>$B$123*CD115</x:f>
      </x:c>
      <x:c r="CE123" s="117" t="n">
        <x:f>$B$123*CE115</x:f>
      </x:c>
      <x:c r="CF123" s="117" t="n">
        <x:f>$B$123*CF115</x:f>
      </x:c>
      <x:c r="CG123" s="117" t="n">
        <x:f>$B$123*CG115</x:f>
      </x:c>
      <x:c r="CH123" s="117" t="n">
        <x:f>$B$123*CH115</x:f>
      </x:c>
      <x:c r="CI123" s="117" t="n">
        <x:f>$B$123*CI115</x:f>
      </x:c>
      <x:c r="CJ123" s="117" t="n">
        <x:f>$B$123*CJ115</x:f>
      </x:c>
      <x:c r="CK123" s="117" t="n">
        <x:f>$B$123*CK115</x:f>
      </x:c>
      <x:c r="CL123" s="117" t="n">
        <x:f>$B$123*CL115</x:f>
      </x:c>
      <x:c r="CM123" s="117" t="n">
        <x:f>$B$123*CM115</x:f>
      </x:c>
      <x:c r="CN123" s="117" t="n">
        <x:f>$B$123*CN115</x:f>
      </x:c>
      <x:c r="CO123" s="117" t="n">
        <x:f>$B$123*CO115</x:f>
      </x:c>
      <x:c r="CP123" s="117" t="n">
        <x:f>$B$123*CP115</x:f>
      </x:c>
      <x:c r="CQ123" s="117" t="n">
        <x:f>$B$123*CQ115</x:f>
      </x:c>
      <x:c r="CR123" s="117" t="n">
        <x:f>$B$123*CR115</x:f>
      </x:c>
      <x:c r="CS123" s="117" t="n">
        <x:f>$B$123*CS115</x:f>
      </x:c>
      <x:c r="CT123" s="117" t="n">
        <x:f>$B$123*CT115</x:f>
      </x:c>
      <x:c r="CU123" s="117" t="n">
        <x:f>$B$123*CU115</x:f>
      </x:c>
      <x:c r="CV123" s="117" t="n">
        <x:f>$B$123*CV115</x:f>
      </x:c>
      <x:c r="CW123" s="117" t="n">
        <x:f>$B$123*CW115</x:f>
      </x:c>
      <x:c r="CX123" s="117" t="n">
        <x:f>$B$123*CX115</x:f>
      </x:c>
      <x:c r="CY123" s="117" t="n">
        <x:f>$B$123*CY115</x:f>
      </x:c>
      <x:c r="CZ123" s="117" t="n">
        <x:f>$B$123*CZ115</x:f>
      </x:c>
      <x:c r="DA123" s="117" t="n">
        <x:f>$B$123*DA115</x:f>
      </x:c>
      <x:c r="DB123" s="117" t="n">
        <x:f>$B$123*DB115</x:f>
      </x:c>
      <x:c r="DC123" s="117" t="n">
        <x:f>$B$123*DC115</x:f>
      </x:c>
      <x:c r="DD123" s="117" t="n">
        <x:f>$B$123*DD115</x:f>
      </x:c>
      <x:c r="DE123" s="117" t="n">
        <x:f>$B$123*DE115</x:f>
      </x:c>
      <x:c r="DF123" s="117" t="n">
        <x:f>$B$123*DF115</x:f>
      </x:c>
      <x:c r="DG123" s="117" t="n">
        <x:f>$B$123*DG115</x:f>
      </x:c>
      <x:c r="DH123" s="117" t="n">
        <x:f>$B$123*DH115</x:f>
      </x:c>
      <x:c r="DI123" s="117" t="n">
        <x:f>$B$123*DI115</x:f>
      </x:c>
      <x:c r="DJ123" s="117" t="n">
        <x:f>$B$123*DJ115</x:f>
      </x:c>
      <x:c r="DK123" s="117" t="n">
        <x:f>$B$123*DK115</x:f>
      </x:c>
      <x:c r="DL123" s="117" t="n">
        <x:f>$B$123*DL115</x:f>
      </x:c>
      <x:c r="DM123" s="117" t="n">
        <x:f>$B$123*DM115</x:f>
      </x:c>
      <x:c r="DN123" s="117" t="n">
        <x:f>$B$123*DN115</x:f>
      </x:c>
      <x:c r="DO123" s="117" t="n">
        <x:f>$B$123*DO115</x:f>
      </x:c>
      <x:c r="DP123" s="117" t="n">
        <x:f>$B$123*DP115</x:f>
      </x:c>
      <x:c r="DQ123" s="117" t="n">
        <x:f>$B$123*DQ115</x:f>
      </x:c>
      <x:c r="DR123" s="117" t="n">
        <x:f>$B$123*DR115</x:f>
      </x:c>
      <x:c r="DS123" s="117" t="n">
        <x:f>$B$123*DS115</x:f>
      </x:c>
      <x:c r="DT123" s="117" t="n">
        <x:f>$B$123*DT115</x:f>
      </x:c>
      <x:c r="DU123" s="117" t="n">
        <x:f>$B$123*DU115</x:f>
      </x:c>
      <x:c r="DV123" s="117" t="n">
        <x:f>$B$123*DV115</x:f>
      </x:c>
      <x:c r="DW123" s="117" t="n">
        <x:f>$B$123*DW115</x:f>
      </x:c>
      <x:c r="DX123" s="117" t="n">
        <x:f>$B$123*DX115</x:f>
      </x:c>
      <x:c r="DY123" s="117" t="n">
        <x:f>$B$123*DY115</x:f>
      </x:c>
      <x:c r="DZ123" s="117" t="n">
        <x:f>$B$123*DZ115</x:f>
      </x:c>
      <x:c r="EA123" s="117" t="n">
        <x:f>$B$123*EA115</x:f>
      </x:c>
      <x:c r="EB123" s="117" t="n">
        <x:f>$B$123*EB115</x:f>
      </x:c>
      <x:c r="EC123" s="117" t="n">
        <x:f>$B$123*EC115</x:f>
      </x:c>
      <x:c r="ED123" s="117" t="n">
        <x:f>$B$123*ED115</x:f>
      </x:c>
      <x:c r="EE123" s="117" t="n">
        <x:f>$B$123*EE115</x:f>
      </x:c>
      <x:c r="EF123" s="117" t="n">
        <x:f>$B$123*EF115</x:f>
      </x:c>
      <x:c r="EG123" s="117" t="n">
        <x:f>$B$123*EG115</x:f>
      </x:c>
      <x:c r="EH123" s="117" t="n">
        <x:f>$B$123*EH115</x:f>
      </x:c>
      <x:c r="EI123" s="117" t="n">
        <x:f>$B$123*EI115</x:f>
      </x:c>
      <x:c r="EJ123" s="117" t="n">
        <x:f>$B$123*EJ115</x:f>
      </x:c>
      <x:c r="EK123" s="117" t="n">
        <x:f>$B$123*EK115</x:f>
      </x:c>
      <x:c r="EL123" s="117" t="n">
        <x:f>$B$123*EL115</x:f>
      </x:c>
      <x:c r="EM123" s="117" t="n">
        <x:f>$B$123*EM115</x:f>
      </x:c>
      <x:c r="EN123" s="117" t="n">
        <x:f>$B$123*EN115</x:f>
      </x:c>
      <x:c r="EO123" s="117" t="n">
        <x:f>$B$123*EO115</x:f>
      </x:c>
      <x:c r="EP123" s="117" t="n">
        <x:f>$B$123*EP115</x:f>
      </x:c>
      <x:c r="EQ123" s="117" t="n">
        <x:f>$B$123*EQ115</x:f>
      </x:c>
      <x:c r="ER123" s="117" t="n">
        <x:f>$B$123*ER115</x:f>
      </x:c>
      <x:c r="ES123" s="117" t="n">
        <x:f>$B$123*ES115</x:f>
      </x:c>
      <x:c r="ET123" s="117" t="n">
        <x:f>$B$123*ET115</x:f>
      </x:c>
      <x:c r="EU123" s="117" t="n">
        <x:f>$B$123*EU115</x:f>
      </x:c>
      <x:c r="EV123" s="117" t="n">
        <x:f>$B$123*EV115</x:f>
      </x:c>
      <x:c r="EW123" s="117" t="n">
        <x:f>$B$123*EW115</x:f>
      </x:c>
      <x:c r="EX123" s="117" t="n">
        <x:f>$B$123*EX115</x:f>
      </x:c>
      <x:c r="EY123" s="117" t="n">
        <x:f>$B$123*EY115</x:f>
      </x:c>
      <x:c r="EZ123" s="117" t="n">
        <x:f>$B$123*EZ115</x:f>
      </x:c>
      <x:c r="FA123" s="117" t="n">
        <x:f>$B$123*FA115</x:f>
      </x:c>
      <x:c r="FB123" s="117" t="n">
        <x:f>$B$123*FB115</x:f>
      </x:c>
      <x:c r="FC123" s="117" t="n">
        <x:f>$B$123*FC115</x:f>
      </x:c>
      <x:c r="FD123" s="117" t="n">
        <x:f>$B$123*FD115</x:f>
      </x:c>
      <x:c r="FE123" s="117" t="n">
        <x:f>$B$123*FE115</x:f>
      </x:c>
      <x:c r="FF123" s="117" t="n">
        <x:f>$B$123*FF115</x:f>
      </x:c>
      <x:c r="FG123" s="117" t="n">
        <x:f>$B$123*FG115</x:f>
      </x:c>
      <x:c r="FH123" s="117" t="n">
        <x:f>$B$123*FH115</x:f>
      </x:c>
      <x:c r="FI123" s="117" t="n">
        <x:f>$B$123*FI115</x:f>
      </x:c>
      <x:c r="FJ123" s="117" t="n">
        <x:f>$B$123*FJ115</x:f>
      </x:c>
      <x:c r="FK123" s="117" t="n">
        <x:f>$B$123*FK115</x:f>
      </x:c>
      <x:c r="FL123" s="117" t="n">
        <x:f>$B$123*FL115</x:f>
      </x:c>
      <x:c r="FM123" s="117" t="n">
        <x:f>$B$123*FM115</x:f>
      </x:c>
      <x:c r="FN123" s="117" t="n">
        <x:f>$B$123*FN115</x:f>
      </x:c>
      <x:c r="FO123" s="117" t="n">
        <x:f>$B$123*FO115</x:f>
      </x:c>
      <x:c r="FP123" s="117" t="n">
        <x:f>$B$123*FP115</x:f>
      </x:c>
      <x:c r="FQ123" s="117" t="n">
        <x:f>$B$123*FQ115</x:f>
      </x:c>
      <x:c r="FR123" s="117" t="n">
        <x:f>$B$123*FR115</x:f>
      </x:c>
      <x:c r="FS123" s="117" t="n">
        <x:f>$B$123*FS115</x:f>
      </x:c>
      <x:c r="FT123" s="117" t="n">
        <x:f>$B$123*FT115</x:f>
      </x:c>
      <x:c r="FU123" s="117" t="n">
        <x:f>$B$123*FU115</x:f>
      </x:c>
      <x:c r="FV123" s="117" t="n">
        <x:f>$B$123*FV115</x:f>
      </x:c>
      <x:c r="FW123" s="117" t="n">
        <x:f>$B$123*FW115</x:f>
      </x:c>
      <x:c r="FX123" s="117" t="n">
        <x:f>$B$123*FX115</x:f>
      </x:c>
      <x:c r="FY123" s="117" t="n">
        <x:f>$B$123*FY115</x:f>
      </x:c>
      <x:c r="FZ123" s="117" t="n">
        <x:f>$B$123*FZ115</x:f>
      </x:c>
      <x:c r="GA123" s="117" t="n">
        <x:f>$B$123*GA115</x:f>
      </x:c>
    </x:row>
    <x:row r="124">
      <x:c r="A124" t="str">
        <x:v>Основное строительство — подземная часть</x:v>
      </x:c>
      <x:c r="B124" s="107" t="n">
        <x:f>('Вводные'!$K$91*'Вводные'!$B$45/1000*'Вводные'!$H$6*'Вводные'!$T$91*--('Вводные'!$B$91="Да"))*'Вводные'!$AH$91</x:f>
      </x:c>
      <x:c r="C124" t="str">
        <x:v>млн ₽</x:v>
      </x:c>
      <x:c r="D124" s="117" t="n">
        <x:f>$B$124*D115</x:f>
      </x:c>
      <x:c r="E124" s="117" t="n">
        <x:f>$B$124*E115</x:f>
      </x:c>
      <x:c r="F124" s="117" t="n">
        <x:f>$B$124*F115</x:f>
      </x:c>
      <x:c r="G124" s="117" t="n">
        <x:f>$B$124*G115</x:f>
      </x:c>
      <x:c r="H124" s="117" t="n">
        <x:f>$B$124*H115</x:f>
      </x:c>
      <x:c r="I124" s="117" t="n">
        <x:f>$B$124*I115</x:f>
      </x:c>
      <x:c r="J124" s="117" t="n">
        <x:f>$B$124*J115</x:f>
      </x:c>
      <x:c r="K124" s="117" t="n">
        <x:f>$B$124*K115</x:f>
      </x:c>
      <x:c r="L124" s="117" t="n">
        <x:f>$B$124*L115</x:f>
      </x:c>
      <x:c r="M124" s="117" t="n">
        <x:f>$B$124*M115</x:f>
      </x:c>
      <x:c r="N124" s="117" t="n">
        <x:f>$B$124*N115</x:f>
      </x:c>
      <x:c r="O124" s="117" t="n">
        <x:f>$B$124*O115</x:f>
      </x:c>
      <x:c r="P124" s="117" t="n">
        <x:f>$B$124*P115</x:f>
      </x:c>
      <x:c r="Q124" s="117" t="n">
        <x:f>$B$124*Q115</x:f>
      </x:c>
      <x:c r="R124" s="117" t="n">
        <x:f>$B$124*R115</x:f>
      </x:c>
      <x:c r="S124" s="117" t="n">
        <x:f>$B$124*S115</x:f>
      </x:c>
      <x:c r="T124" s="117" t="n">
        <x:f>$B$124*T115</x:f>
      </x:c>
      <x:c r="U124" s="117" t="n">
        <x:f>$B$124*U115</x:f>
      </x:c>
      <x:c r="V124" s="117" t="n">
        <x:f>$B$124*V115</x:f>
      </x:c>
      <x:c r="W124" s="117" t="n">
        <x:f>$B$124*W115</x:f>
      </x:c>
      <x:c r="X124" s="117" t="n">
        <x:f>$B$124*X115</x:f>
      </x:c>
      <x:c r="Y124" s="117" t="n">
        <x:f>$B$124*Y115</x:f>
      </x:c>
      <x:c r="Z124" s="117" t="n">
        <x:f>$B$124*Z115</x:f>
      </x:c>
      <x:c r="AA124" s="117" t="n">
        <x:f>$B$124*AA115</x:f>
      </x:c>
      <x:c r="AB124" s="117" t="n">
        <x:f>$B$124*AB115</x:f>
      </x:c>
      <x:c r="AC124" s="117" t="n">
        <x:f>$B$124*AC115</x:f>
      </x:c>
      <x:c r="AD124" s="117" t="n">
        <x:f>$B$124*AD115</x:f>
      </x:c>
      <x:c r="AE124" s="117" t="n">
        <x:f>$B$124*AE115</x:f>
      </x:c>
      <x:c r="AF124" s="117" t="n">
        <x:f>$B$124*AF115</x:f>
      </x:c>
      <x:c r="AG124" s="117" t="n">
        <x:f>$B$124*AG115</x:f>
      </x:c>
      <x:c r="AH124" s="117" t="n">
        <x:f>$B$124*AH115</x:f>
      </x:c>
      <x:c r="AI124" s="117" t="n">
        <x:f>$B$124*AI115</x:f>
      </x:c>
      <x:c r="AJ124" s="117" t="n">
        <x:f>$B$124*AJ115</x:f>
      </x:c>
      <x:c r="AK124" s="117" t="n">
        <x:f>$B$124*AK115</x:f>
      </x:c>
      <x:c r="AL124" s="117" t="n">
        <x:f>$B$124*AL115</x:f>
      </x:c>
      <x:c r="AM124" s="117" t="n">
        <x:f>$B$124*AM115</x:f>
      </x:c>
      <x:c r="AN124" s="117" t="n">
        <x:f>$B$124*AN115</x:f>
      </x:c>
      <x:c r="AO124" s="117" t="n">
        <x:f>$B$124*AO115</x:f>
      </x:c>
      <x:c r="AP124" s="117" t="n">
        <x:f>$B$124*AP115</x:f>
      </x:c>
      <x:c r="AQ124" s="117" t="n">
        <x:f>$B$124*AQ115</x:f>
      </x:c>
      <x:c r="AR124" s="117" t="n">
        <x:f>$B$124*AR115</x:f>
      </x:c>
      <x:c r="AS124" s="117" t="n">
        <x:f>$B$124*AS115</x:f>
      </x:c>
      <x:c r="AT124" s="117" t="n">
        <x:f>$B$124*AT115</x:f>
      </x:c>
      <x:c r="AU124" s="117" t="n">
        <x:f>$B$124*AU115</x:f>
      </x:c>
      <x:c r="AV124" s="117" t="n">
        <x:f>$B$124*AV115</x:f>
      </x:c>
      <x:c r="AW124" s="117" t="n">
        <x:f>$B$124*AW115</x:f>
      </x:c>
      <x:c r="AX124" s="117" t="n">
        <x:f>$B$124*AX115</x:f>
      </x:c>
      <x:c r="AY124" s="117" t="n">
        <x:f>$B$124*AY115</x:f>
      </x:c>
      <x:c r="AZ124" s="117" t="n">
        <x:f>$B$124*AZ115</x:f>
      </x:c>
      <x:c r="BA124" s="117" t="n">
        <x:f>$B$124*BA115</x:f>
      </x:c>
      <x:c r="BB124" s="117" t="n">
        <x:f>$B$124*BB115</x:f>
      </x:c>
      <x:c r="BC124" s="117" t="n">
        <x:f>$B$124*BC115</x:f>
      </x:c>
      <x:c r="BD124" s="117" t="n">
        <x:f>$B$124*BD115</x:f>
      </x:c>
      <x:c r="BE124" s="117" t="n">
        <x:f>$B$124*BE115</x:f>
      </x:c>
      <x:c r="BF124" s="117" t="n">
        <x:f>$B$124*BF115</x:f>
      </x:c>
      <x:c r="BG124" s="117" t="n">
        <x:f>$B$124*BG115</x:f>
      </x:c>
      <x:c r="BH124" s="117" t="n">
        <x:f>$B$124*BH115</x:f>
      </x:c>
      <x:c r="BI124" s="117" t="n">
        <x:f>$B$124*BI115</x:f>
      </x:c>
      <x:c r="BJ124" s="117" t="n">
        <x:f>$B$124*BJ115</x:f>
      </x:c>
      <x:c r="BK124" s="117" t="n">
        <x:f>$B$124*BK115</x:f>
      </x:c>
      <x:c r="BL124" s="117" t="n">
        <x:f>$B$124*BL115</x:f>
      </x:c>
      <x:c r="BM124" s="117" t="n">
        <x:f>$B$124*BM115</x:f>
      </x:c>
      <x:c r="BN124" s="117" t="n">
        <x:f>$B$124*BN115</x:f>
      </x:c>
      <x:c r="BO124" s="117" t="n">
        <x:f>$B$124*BO115</x:f>
      </x:c>
      <x:c r="BP124" s="117" t="n">
        <x:f>$B$124*BP115</x:f>
      </x:c>
      <x:c r="BQ124" s="117" t="n">
        <x:f>$B$124*BQ115</x:f>
      </x:c>
      <x:c r="BR124" s="117" t="n">
        <x:f>$B$124*BR115</x:f>
      </x:c>
      <x:c r="BS124" s="117" t="n">
        <x:f>$B$124*BS115</x:f>
      </x:c>
      <x:c r="BT124" s="117" t="n">
        <x:f>$B$124*BT115</x:f>
      </x:c>
      <x:c r="BU124" s="117" t="n">
        <x:f>$B$124*BU115</x:f>
      </x:c>
      <x:c r="BV124" s="117" t="n">
        <x:f>$B$124*BV115</x:f>
      </x:c>
      <x:c r="BW124" s="117" t="n">
        <x:f>$B$124*BW115</x:f>
      </x:c>
      <x:c r="BX124" s="117" t="n">
        <x:f>$B$124*BX115</x:f>
      </x:c>
      <x:c r="BY124" s="117" t="n">
        <x:f>$B$124*BY115</x:f>
      </x:c>
      <x:c r="BZ124" s="117" t="n">
        <x:f>$B$124*BZ115</x:f>
      </x:c>
      <x:c r="CA124" s="117" t="n">
        <x:f>$B$124*CA115</x:f>
      </x:c>
      <x:c r="CB124" s="117" t="n">
        <x:f>$B$124*CB115</x:f>
      </x:c>
      <x:c r="CC124" s="117" t="n">
        <x:f>$B$124*CC115</x:f>
      </x:c>
      <x:c r="CD124" s="117" t="n">
        <x:f>$B$124*CD115</x:f>
      </x:c>
      <x:c r="CE124" s="117" t="n">
        <x:f>$B$124*CE115</x:f>
      </x:c>
      <x:c r="CF124" s="117" t="n">
        <x:f>$B$124*CF115</x:f>
      </x:c>
      <x:c r="CG124" s="117" t="n">
        <x:f>$B$124*CG115</x:f>
      </x:c>
      <x:c r="CH124" s="117" t="n">
        <x:f>$B$124*CH115</x:f>
      </x:c>
      <x:c r="CI124" s="117" t="n">
        <x:f>$B$124*CI115</x:f>
      </x:c>
      <x:c r="CJ124" s="117" t="n">
        <x:f>$B$124*CJ115</x:f>
      </x:c>
      <x:c r="CK124" s="117" t="n">
        <x:f>$B$124*CK115</x:f>
      </x:c>
      <x:c r="CL124" s="117" t="n">
        <x:f>$B$124*CL115</x:f>
      </x:c>
      <x:c r="CM124" s="117" t="n">
        <x:f>$B$124*CM115</x:f>
      </x:c>
      <x:c r="CN124" s="117" t="n">
        <x:f>$B$124*CN115</x:f>
      </x:c>
      <x:c r="CO124" s="117" t="n">
        <x:f>$B$124*CO115</x:f>
      </x:c>
      <x:c r="CP124" s="117" t="n">
        <x:f>$B$124*CP115</x:f>
      </x:c>
      <x:c r="CQ124" s="117" t="n">
        <x:f>$B$124*CQ115</x:f>
      </x:c>
      <x:c r="CR124" s="117" t="n">
        <x:f>$B$124*CR115</x:f>
      </x:c>
      <x:c r="CS124" s="117" t="n">
        <x:f>$B$124*CS115</x:f>
      </x:c>
      <x:c r="CT124" s="117" t="n">
        <x:f>$B$124*CT115</x:f>
      </x:c>
      <x:c r="CU124" s="117" t="n">
        <x:f>$B$124*CU115</x:f>
      </x:c>
      <x:c r="CV124" s="117" t="n">
        <x:f>$B$124*CV115</x:f>
      </x:c>
      <x:c r="CW124" s="117" t="n">
        <x:f>$B$124*CW115</x:f>
      </x:c>
      <x:c r="CX124" s="117" t="n">
        <x:f>$B$124*CX115</x:f>
      </x:c>
      <x:c r="CY124" s="117" t="n">
        <x:f>$B$124*CY115</x:f>
      </x:c>
      <x:c r="CZ124" s="117" t="n">
        <x:f>$B$124*CZ115</x:f>
      </x:c>
      <x:c r="DA124" s="117" t="n">
        <x:f>$B$124*DA115</x:f>
      </x:c>
      <x:c r="DB124" s="117" t="n">
        <x:f>$B$124*DB115</x:f>
      </x:c>
      <x:c r="DC124" s="117" t="n">
        <x:f>$B$124*DC115</x:f>
      </x:c>
      <x:c r="DD124" s="117" t="n">
        <x:f>$B$124*DD115</x:f>
      </x:c>
      <x:c r="DE124" s="117" t="n">
        <x:f>$B$124*DE115</x:f>
      </x:c>
      <x:c r="DF124" s="117" t="n">
        <x:f>$B$124*DF115</x:f>
      </x:c>
      <x:c r="DG124" s="117" t="n">
        <x:f>$B$124*DG115</x:f>
      </x:c>
      <x:c r="DH124" s="117" t="n">
        <x:f>$B$124*DH115</x:f>
      </x:c>
      <x:c r="DI124" s="117" t="n">
        <x:f>$B$124*DI115</x:f>
      </x:c>
      <x:c r="DJ124" s="117" t="n">
        <x:f>$B$124*DJ115</x:f>
      </x:c>
      <x:c r="DK124" s="117" t="n">
        <x:f>$B$124*DK115</x:f>
      </x:c>
      <x:c r="DL124" s="117" t="n">
        <x:f>$B$124*DL115</x:f>
      </x:c>
      <x:c r="DM124" s="117" t="n">
        <x:f>$B$124*DM115</x:f>
      </x:c>
      <x:c r="DN124" s="117" t="n">
        <x:f>$B$124*DN115</x:f>
      </x:c>
      <x:c r="DO124" s="117" t="n">
        <x:f>$B$124*DO115</x:f>
      </x:c>
      <x:c r="DP124" s="117" t="n">
        <x:f>$B$124*DP115</x:f>
      </x:c>
      <x:c r="DQ124" s="117" t="n">
        <x:f>$B$124*DQ115</x:f>
      </x:c>
      <x:c r="DR124" s="117" t="n">
        <x:f>$B$124*DR115</x:f>
      </x:c>
      <x:c r="DS124" s="117" t="n">
        <x:f>$B$124*DS115</x:f>
      </x:c>
      <x:c r="DT124" s="117" t="n">
        <x:f>$B$124*DT115</x:f>
      </x:c>
      <x:c r="DU124" s="117" t="n">
        <x:f>$B$124*DU115</x:f>
      </x:c>
      <x:c r="DV124" s="117" t="n">
        <x:f>$B$124*DV115</x:f>
      </x:c>
      <x:c r="DW124" s="117" t="n">
        <x:f>$B$124*DW115</x:f>
      </x:c>
      <x:c r="DX124" s="117" t="n">
        <x:f>$B$124*DX115</x:f>
      </x:c>
      <x:c r="DY124" s="117" t="n">
        <x:f>$B$124*DY115</x:f>
      </x:c>
      <x:c r="DZ124" s="117" t="n">
        <x:f>$B$124*DZ115</x:f>
      </x:c>
      <x:c r="EA124" s="117" t="n">
        <x:f>$B$124*EA115</x:f>
      </x:c>
      <x:c r="EB124" s="117" t="n">
        <x:f>$B$124*EB115</x:f>
      </x:c>
      <x:c r="EC124" s="117" t="n">
        <x:f>$B$124*EC115</x:f>
      </x:c>
      <x:c r="ED124" s="117" t="n">
        <x:f>$B$124*ED115</x:f>
      </x:c>
      <x:c r="EE124" s="117" t="n">
        <x:f>$B$124*EE115</x:f>
      </x:c>
      <x:c r="EF124" s="117" t="n">
        <x:f>$B$124*EF115</x:f>
      </x:c>
      <x:c r="EG124" s="117" t="n">
        <x:f>$B$124*EG115</x:f>
      </x:c>
      <x:c r="EH124" s="117" t="n">
        <x:f>$B$124*EH115</x:f>
      </x:c>
      <x:c r="EI124" s="117" t="n">
        <x:f>$B$124*EI115</x:f>
      </x:c>
      <x:c r="EJ124" s="117" t="n">
        <x:f>$B$124*EJ115</x:f>
      </x:c>
      <x:c r="EK124" s="117" t="n">
        <x:f>$B$124*EK115</x:f>
      </x:c>
      <x:c r="EL124" s="117" t="n">
        <x:f>$B$124*EL115</x:f>
      </x:c>
      <x:c r="EM124" s="117" t="n">
        <x:f>$B$124*EM115</x:f>
      </x:c>
      <x:c r="EN124" s="117" t="n">
        <x:f>$B$124*EN115</x:f>
      </x:c>
      <x:c r="EO124" s="117" t="n">
        <x:f>$B$124*EO115</x:f>
      </x:c>
      <x:c r="EP124" s="117" t="n">
        <x:f>$B$124*EP115</x:f>
      </x:c>
      <x:c r="EQ124" s="117" t="n">
        <x:f>$B$124*EQ115</x:f>
      </x:c>
      <x:c r="ER124" s="117" t="n">
        <x:f>$B$124*ER115</x:f>
      </x:c>
      <x:c r="ES124" s="117" t="n">
        <x:f>$B$124*ES115</x:f>
      </x:c>
      <x:c r="ET124" s="117" t="n">
        <x:f>$B$124*ET115</x:f>
      </x:c>
      <x:c r="EU124" s="117" t="n">
        <x:f>$B$124*EU115</x:f>
      </x:c>
      <x:c r="EV124" s="117" t="n">
        <x:f>$B$124*EV115</x:f>
      </x:c>
      <x:c r="EW124" s="117" t="n">
        <x:f>$B$124*EW115</x:f>
      </x:c>
      <x:c r="EX124" s="117" t="n">
        <x:f>$B$124*EX115</x:f>
      </x:c>
      <x:c r="EY124" s="117" t="n">
        <x:f>$B$124*EY115</x:f>
      </x:c>
      <x:c r="EZ124" s="117" t="n">
        <x:f>$B$124*EZ115</x:f>
      </x:c>
      <x:c r="FA124" s="117" t="n">
        <x:f>$B$124*FA115</x:f>
      </x:c>
      <x:c r="FB124" s="117" t="n">
        <x:f>$B$124*FB115</x:f>
      </x:c>
      <x:c r="FC124" s="117" t="n">
        <x:f>$B$124*FC115</x:f>
      </x:c>
      <x:c r="FD124" s="117" t="n">
        <x:f>$B$124*FD115</x:f>
      </x:c>
      <x:c r="FE124" s="117" t="n">
        <x:f>$B$124*FE115</x:f>
      </x:c>
      <x:c r="FF124" s="117" t="n">
        <x:f>$B$124*FF115</x:f>
      </x:c>
      <x:c r="FG124" s="117" t="n">
        <x:f>$B$124*FG115</x:f>
      </x:c>
      <x:c r="FH124" s="117" t="n">
        <x:f>$B$124*FH115</x:f>
      </x:c>
      <x:c r="FI124" s="117" t="n">
        <x:f>$B$124*FI115</x:f>
      </x:c>
      <x:c r="FJ124" s="117" t="n">
        <x:f>$B$124*FJ115</x:f>
      </x:c>
      <x:c r="FK124" s="117" t="n">
        <x:f>$B$124*FK115</x:f>
      </x:c>
      <x:c r="FL124" s="117" t="n">
        <x:f>$B$124*FL115</x:f>
      </x:c>
      <x:c r="FM124" s="117" t="n">
        <x:f>$B$124*FM115</x:f>
      </x:c>
      <x:c r="FN124" s="117" t="n">
        <x:f>$B$124*FN115</x:f>
      </x:c>
      <x:c r="FO124" s="117" t="n">
        <x:f>$B$124*FO115</x:f>
      </x:c>
      <x:c r="FP124" s="117" t="n">
        <x:f>$B$124*FP115</x:f>
      </x:c>
      <x:c r="FQ124" s="117" t="n">
        <x:f>$B$124*FQ115</x:f>
      </x:c>
      <x:c r="FR124" s="117" t="n">
        <x:f>$B$124*FR115</x:f>
      </x:c>
      <x:c r="FS124" s="117" t="n">
        <x:f>$B$124*FS115</x:f>
      </x:c>
      <x:c r="FT124" s="117" t="n">
        <x:f>$B$124*FT115</x:f>
      </x:c>
      <x:c r="FU124" s="117" t="n">
        <x:f>$B$124*FU115</x:f>
      </x:c>
      <x:c r="FV124" s="117" t="n">
        <x:f>$B$124*FV115</x:f>
      </x:c>
      <x:c r="FW124" s="117" t="n">
        <x:f>$B$124*FW115</x:f>
      </x:c>
      <x:c r="FX124" s="117" t="n">
        <x:f>$B$124*FX115</x:f>
      </x:c>
      <x:c r="FY124" s="117" t="n">
        <x:f>$B$124*FY115</x:f>
      </x:c>
      <x:c r="FZ124" s="117" t="n">
        <x:f>$B$124*FZ115</x:f>
      </x:c>
      <x:c r="GA124" s="117" t="n">
        <x:f>$B$124*GA115</x:f>
      </x:c>
    </x:row>
    <x:row r="125">
      <x:c r="A125" t="str">
        <x:v>Наружные инженерные сети</x:v>
      </x:c>
      <x:c r="B125" s="107" t="n">
        <x:f>(('Вводные'!$I$91+'Вводные'!$J$91+'Вводные'!$K$91)*'Вводные'!$B$46/1000*'Вводные'!$H$6*'Вводные'!$T$91*--('Вводные'!$B$91="Да"))*'Вводные'!$AH$91</x:f>
      </x:c>
      <x:c r="C125" t="str">
        <x:v>млн ₽</x:v>
      </x:c>
      <x:c r="D125" s="117" t="n">
        <x:f>$B$125*D115</x:f>
      </x:c>
      <x:c r="E125" s="117" t="n">
        <x:f>$B$125*E115</x:f>
      </x:c>
      <x:c r="F125" s="117" t="n">
        <x:f>$B$125*F115</x:f>
      </x:c>
      <x:c r="G125" s="117" t="n">
        <x:f>$B$125*G115</x:f>
      </x:c>
      <x:c r="H125" s="117" t="n">
        <x:f>$B$125*H115</x:f>
      </x:c>
      <x:c r="I125" s="117" t="n">
        <x:f>$B$125*I115</x:f>
      </x:c>
      <x:c r="J125" s="117" t="n">
        <x:f>$B$125*J115</x:f>
      </x:c>
      <x:c r="K125" s="117" t="n">
        <x:f>$B$125*K115</x:f>
      </x:c>
      <x:c r="L125" s="117" t="n">
        <x:f>$B$125*L115</x:f>
      </x:c>
      <x:c r="M125" s="117" t="n">
        <x:f>$B$125*M115</x:f>
      </x:c>
      <x:c r="N125" s="117" t="n">
        <x:f>$B$125*N115</x:f>
      </x:c>
      <x:c r="O125" s="117" t="n">
        <x:f>$B$125*O115</x:f>
      </x:c>
      <x:c r="P125" s="117" t="n">
        <x:f>$B$125*P115</x:f>
      </x:c>
      <x:c r="Q125" s="117" t="n">
        <x:f>$B$125*Q115</x:f>
      </x:c>
      <x:c r="R125" s="117" t="n">
        <x:f>$B$125*R115</x:f>
      </x:c>
      <x:c r="S125" s="117" t="n">
        <x:f>$B$125*S115</x:f>
      </x:c>
      <x:c r="T125" s="117" t="n">
        <x:f>$B$125*T115</x:f>
      </x:c>
      <x:c r="U125" s="117" t="n">
        <x:f>$B$125*U115</x:f>
      </x:c>
      <x:c r="V125" s="117" t="n">
        <x:f>$B$125*V115</x:f>
      </x:c>
      <x:c r="W125" s="117" t="n">
        <x:f>$B$125*W115</x:f>
      </x:c>
      <x:c r="X125" s="117" t="n">
        <x:f>$B$125*X115</x:f>
      </x:c>
      <x:c r="Y125" s="117" t="n">
        <x:f>$B$125*Y115</x:f>
      </x:c>
      <x:c r="Z125" s="117" t="n">
        <x:f>$B$125*Z115</x:f>
      </x:c>
      <x:c r="AA125" s="117" t="n">
        <x:f>$B$125*AA115</x:f>
      </x:c>
      <x:c r="AB125" s="117" t="n">
        <x:f>$B$125*AB115</x:f>
      </x:c>
      <x:c r="AC125" s="117" t="n">
        <x:f>$B$125*AC115</x:f>
      </x:c>
      <x:c r="AD125" s="117" t="n">
        <x:f>$B$125*AD115</x:f>
      </x:c>
      <x:c r="AE125" s="117" t="n">
        <x:f>$B$125*AE115</x:f>
      </x:c>
      <x:c r="AF125" s="117" t="n">
        <x:f>$B$125*AF115</x:f>
      </x:c>
      <x:c r="AG125" s="117" t="n">
        <x:f>$B$125*AG115</x:f>
      </x:c>
      <x:c r="AH125" s="117" t="n">
        <x:f>$B$125*AH115</x:f>
      </x:c>
      <x:c r="AI125" s="117" t="n">
        <x:f>$B$125*AI115</x:f>
      </x:c>
      <x:c r="AJ125" s="117" t="n">
        <x:f>$B$125*AJ115</x:f>
      </x:c>
      <x:c r="AK125" s="117" t="n">
        <x:f>$B$125*AK115</x:f>
      </x:c>
      <x:c r="AL125" s="117" t="n">
        <x:f>$B$125*AL115</x:f>
      </x:c>
      <x:c r="AM125" s="117" t="n">
        <x:f>$B$125*AM115</x:f>
      </x:c>
      <x:c r="AN125" s="117" t="n">
        <x:f>$B$125*AN115</x:f>
      </x:c>
      <x:c r="AO125" s="117" t="n">
        <x:f>$B$125*AO115</x:f>
      </x:c>
      <x:c r="AP125" s="117" t="n">
        <x:f>$B$125*AP115</x:f>
      </x:c>
      <x:c r="AQ125" s="117" t="n">
        <x:f>$B$125*AQ115</x:f>
      </x:c>
      <x:c r="AR125" s="117" t="n">
        <x:f>$B$125*AR115</x:f>
      </x:c>
      <x:c r="AS125" s="117" t="n">
        <x:f>$B$125*AS115</x:f>
      </x:c>
      <x:c r="AT125" s="117" t="n">
        <x:f>$B$125*AT115</x:f>
      </x:c>
      <x:c r="AU125" s="117" t="n">
        <x:f>$B$125*AU115</x:f>
      </x:c>
      <x:c r="AV125" s="117" t="n">
        <x:f>$B$125*AV115</x:f>
      </x:c>
      <x:c r="AW125" s="117" t="n">
        <x:f>$B$125*AW115</x:f>
      </x:c>
      <x:c r="AX125" s="117" t="n">
        <x:f>$B$125*AX115</x:f>
      </x:c>
      <x:c r="AY125" s="117" t="n">
        <x:f>$B$125*AY115</x:f>
      </x:c>
      <x:c r="AZ125" s="117" t="n">
        <x:f>$B$125*AZ115</x:f>
      </x:c>
      <x:c r="BA125" s="117" t="n">
        <x:f>$B$125*BA115</x:f>
      </x:c>
      <x:c r="BB125" s="117" t="n">
        <x:f>$B$125*BB115</x:f>
      </x:c>
      <x:c r="BC125" s="117" t="n">
        <x:f>$B$125*BC115</x:f>
      </x:c>
      <x:c r="BD125" s="117" t="n">
        <x:f>$B$125*BD115</x:f>
      </x:c>
      <x:c r="BE125" s="117" t="n">
        <x:f>$B$125*BE115</x:f>
      </x:c>
      <x:c r="BF125" s="117" t="n">
        <x:f>$B$125*BF115</x:f>
      </x:c>
      <x:c r="BG125" s="117" t="n">
        <x:f>$B$125*BG115</x:f>
      </x:c>
      <x:c r="BH125" s="117" t="n">
        <x:f>$B$125*BH115</x:f>
      </x:c>
      <x:c r="BI125" s="117" t="n">
        <x:f>$B$125*BI115</x:f>
      </x:c>
      <x:c r="BJ125" s="117" t="n">
        <x:f>$B$125*BJ115</x:f>
      </x:c>
      <x:c r="BK125" s="117" t="n">
        <x:f>$B$125*BK115</x:f>
      </x:c>
      <x:c r="BL125" s="117" t="n">
        <x:f>$B$125*BL115</x:f>
      </x:c>
      <x:c r="BM125" s="117" t="n">
        <x:f>$B$125*BM115</x:f>
      </x:c>
      <x:c r="BN125" s="117" t="n">
        <x:f>$B$125*BN115</x:f>
      </x:c>
      <x:c r="BO125" s="117" t="n">
        <x:f>$B$125*BO115</x:f>
      </x:c>
      <x:c r="BP125" s="117" t="n">
        <x:f>$B$125*BP115</x:f>
      </x:c>
      <x:c r="BQ125" s="117" t="n">
        <x:f>$B$125*BQ115</x:f>
      </x:c>
      <x:c r="BR125" s="117" t="n">
        <x:f>$B$125*BR115</x:f>
      </x:c>
      <x:c r="BS125" s="117" t="n">
        <x:f>$B$125*BS115</x:f>
      </x:c>
      <x:c r="BT125" s="117" t="n">
        <x:f>$B$125*BT115</x:f>
      </x:c>
      <x:c r="BU125" s="117" t="n">
        <x:f>$B$125*BU115</x:f>
      </x:c>
      <x:c r="BV125" s="117" t="n">
        <x:f>$B$125*BV115</x:f>
      </x:c>
      <x:c r="BW125" s="117" t="n">
        <x:f>$B$125*BW115</x:f>
      </x:c>
      <x:c r="BX125" s="117" t="n">
        <x:f>$B$125*BX115</x:f>
      </x:c>
      <x:c r="BY125" s="117" t="n">
        <x:f>$B$125*BY115</x:f>
      </x:c>
      <x:c r="BZ125" s="117" t="n">
        <x:f>$B$125*BZ115</x:f>
      </x:c>
      <x:c r="CA125" s="117" t="n">
        <x:f>$B$125*CA115</x:f>
      </x:c>
      <x:c r="CB125" s="117" t="n">
        <x:f>$B$125*CB115</x:f>
      </x:c>
      <x:c r="CC125" s="117" t="n">
        <x:f>$B$125*CC115</x:f>
      </x:c>
      <x:c r="CD125" s="117" t="n">
        <x:f>$B$125*CD115</x:f>
      </x:c>
      <x:c r="CE125" s="117" t="n">
        <x:f>$B$125*CE115</x:f>
      </x:c>
      <x:c r="CF125" s="117" t="n">
        <x:f>$B$125*CF115</x:f>
      </x:c>
      <x:c r="CG125" s="117" t="n">
        <x:f>$B$125*CG115</x:f>
      </x:c>
      <x:c r="CH125" s="117" t="n">
        <x:f>$B$125*CH115</x:f>
      </x:c>
      <x:c r="CI125" s="117" t="n">
        <x:f>$B$125*CI115</x:f>
      </x:c>
      <x:c r="CJ125" s="117" t="n">
        <x:f>$B$125*CJ115</x:f>
      </x:c>
      <x:c r="CK125" s="117" t="n">
        <x:f>$B$125*CK115</x:f>
      </x:c>
      <x:c r="CL125" s="117" t="n">
        <x:f>$B$125*CL115</x:f>
      </x:c>
      <x:c r="CM125" s="117" t="n">
        <x:f>$B$125*CM115</x:f>
      </x:c>
      <x:c r="CN125" s="117" t="n">
        <x:f>$B$125*CN115</x:f>
      </x:c>
      <x:c r="CO125" s="117" t="n">
        <x:f>$B$125*CO115</x:f>
      </x:c>
      <x:c r="CP125" s="117" t="n">
        <x:f>$B$125*CP115</x:f>
      </x:c>
      <x:c r="CQ125" s="117" t="n">
        <x:f>$B$125*CQ115</x:f>
      </x:c>
      <x:c r="CR125" s="117" t="n">
        <x:f>$B$125*CR115</x:f>
      </x:c>
      <x:c r="CS125" s="117" t="n">
        <x:f>$B$125*CS115</x:f>
      </x:c>
      <x:c r="CT125" s="117" t="n">
        <x:f>$B$125*CT115</x:f>
      </x:c>
      <x:c r="CU125" s="117" t="n">
        <x:f>$B$125*CU115</x:f>
      </x:c>
      <x:c r="CV125" s="117" t="n">
        <x:f>$B$125*CV115</x:f>
      </x:c>
      <x:c r="CW125" s="117" t="n">
        <x:f>$B$125*CW115</x:f>
      </x:c>
      <x:c r="CX125" s="117" t="n">
        <x:f>$B$125*CX115</x:f>
      </x:c>
      <x:c r="CY125" s="117" t="n">
        <x:f>$B$125*CY115</x:f>
      </x:c>
      <x:c r="CZ125" s="117" t="n">
        <x:f>$B$125*CZ115</x:f>
      </x:c>
      <x:c r="DA125" s="117" t="n">
        <x:f>$B$125*DA115</x:f>
      </x:c>
      <x:c r="DB125" s="117" t="n">
        <x:f>$B$125*DB115</x:f>
      </x:c>
      <x:c r="DC125" s="117" t="n">
        <x:f>$B$125*DC115</x:f>
      </x:c>
      <x:c r="DD125" s="117" t="n">
        <x:f>$B$125*DD115</x:f>
      </x:c>
      <x:c r="DE125" s="117" t="n">
        <x:f>$B$125*DE115</x:f>
      </x:c>
      <x:c r="DF125" s="117" t="n">
        <x:f>$B$125*DF115</x:f>
      </x:c>
      <x:c r="DG125" s="117" t="n">
        <x:f>$B$125*DG115</x:f>
      </x:c>
      <x:c r="DH125" s="117" t="n">
        <x:f>$B$125*DH115</x:f>
      </x:c>
      <x:c r="DI125" s="117" t="n">
        <x:f>$B$125*DI115</x:f>
      </x:c>
      <x:c r="DJ125" s="117" t="n">
        <x:f>$B$125*DJ115</x:f>
      </x:c>
      <x:c r="DK125" s="117" t="n">
        <x:f>$B$125*DK115</x:f>
      </x:c>
      <x:c r="DL125" s="117" t="n">
        <x:f>$B$125*DL115</x:f>
      </x:c>
      <x:c r="DM125" s="117" t="n">
        <x:f>$B$125*DM115</x:f>
      </x:c>
      <x:c r="DN125" s="117" t="n">
        <x:f>$B$125*DN115</x:f>
      </x:c>
      <x:c r="DO125" s="117" t="n">
        <x:f>$B$125*DO115</x:f>
      </x:c>
      <x:c r="DP125" s="117" t="n">
        <x:f>$B$125*DP115</x:f>
      </x:c>
      <x:c r="DQ125" s="117" t="n">
        <x:f>$B$125*DQ115</x:f>
      </x:c>
      <x:c r="DR125" s="117" t="n">
        <x:f>$B$125*DR115</x:f>
      </x:c>
      <x:c r="DS125" s="117" t="n">
        <x:f>$B$125*DS115</x:f>
      </x:c>
      <x:c r="DT125" s="117" t="n">
        <x:f>$B$125*DT115</x:f>
      </x:c>
      <x:c r="DU125" s="117" t="n">
        <x:f>$B$125*DU115</x:f>
      </x:c>
      <x:c r="DV125" s="117" t="n">
        <x:f>$B$125*DV115</x:f>
      </x:c>
      <x:c r="DW125" s="117" t="n">
        <x:f>$B$125*DW115</x:f>
      </x:c>
      <x:c r="DX125" s="117" t="n">
        <x:f>$B$125*DX115</x:f>
      </x:c>
      <x:c r="DY125" s="117" t="n">
        <x:f>$B$125*DY115</x:f>
      </x:c>
      <x:c r="DZ125" s="117" t="n">
        <x:f>$B$125*DZ115</x:f>
      </x:c>
      <x:c r="EA125" s="117" t="n">
        <x:f>$B$125*EA115</x:f>
      </x:c>
      <x:c r="EB125" s="117" t="n">
        <x:f>$B$125*EB115</x:f>
      </x:c>
      <x:c r="EC125" s="117" t="n">
        <x:f>$B$125*EC115</x:f>
      </x:c>
      <x:c r="ED125" s="117" t="n">
        <x:f>$B$125*ED115</x:f>
      </x:c>
      <x:c r="EE125" s="117" t="n">
        <x:f>$B$125*EE115</x:f>
      </x:c>
      <x:c r="EF125" s="117" t="n">
        <x:f>$B$125*EF115</x:f>
      </x:c>
      <x:c r="EG125" s="117" t="n">
        <x:f>$B$125*EG115</x:f>
      </x:c>
      <x:c r="EH125" s="117" t="n">
        <x:f>$B$125*EH115</x:f>
      </x:c>
      <x:c r="EI125" s="117" t="n">
        <x:f>$B$125*EI115</x:f>
      </x:c>
      <x:c r="EJ125" s="117" t="n">
        <x:f>$B$125*EJ115</x:f>
      </x:c>
      <x:c r="EK125" s="117" t="n">
        <x:f>$B$125*EK115</x:f>
      </x:c>
      <x:c r="EL125" s="117" t="n">
        <x:f>$B$125*EL115</x:f>
      </x:c>
      <x:c r="EM125" s="117" t="n">
        <x:f>$B$125*EM115</x:f>
      </x:c>
      <x:c r="EN125" s="117" t="n">
        <x:f>$B$125*EN115</x:f>
      </x:c>
      <x:c r="EO125" s="117" t="n">
        <x:f>$B$125*EO115</x:f>
      </x:c>
      <x:c r="EP125" s="117" t="n">
        <x:f>$B$125*EP115</x:f>
      </x:c>
      <x:c r="EQ125" s="117" t="n">
        <x:f>$B$125*EQ115</x:f>
      </x:c>
      <x:c r="ER125" s="117" t="n">
        <x:f>$B$125*ER115</x:f>
      </x:c>
      <x:c r="ES125" s="117" t="n">
        <x:f>$B$125*ES115</x:f>
      </x:c>
      <x:c r="ET125" s="117" t="n">
        <x:f>$B$125*ET115</x:f>
      </x:c>
      <x:c r="EU125" s="117" t="n">
        <x:f>$B$125*EU115</x:f>
      </x:c>
      <x:c r="EV125" s="117" t="n">
        <x:f>$B$125*EV115</x:f>
      </x:c>
      <x:c r="EW125" s="117" t="n">
        <x:f>$B$125*EW115</x:f>
      </x:c>
      <x:c r="EX125" s="117" t="n">
        <x:f>$B$125*EX115</x:f>
      </x:c>
      <x:c r="EY125" s="117" t="n">
        <x:f>$B$125*EY115</x:f>
      </x:c>
      <x:c r="EZ125" s="117" t="n">
        <x:f>$B$125*EZ115</x:f>
      </x:c>
      <x:c r="FA125" s="117" t="n">
        <x:f>$B$125*FA115</x:f>
      </x:c>
      <x:c r="FB125" s="117" t="n">
        <x:f>$B$125*FB115</x:f>
      </x:c>
      <x:c r="FC125" s="117" t="n">
        <x:f>$B$125*FC115</x:f>
      </x:c>
      <x:c r="FD125" s="117" t="n">
        <x:f>$B$125*FD115</x:f>
      </x:c>
      <x:c r="FE125" s="117" t="n">
        <x:f>$B$125*FE115</x:f>
      </x:c>
      <x:c r="FF125" s="117" t="n">
        <x:f>$B$125*FF115</x:f>
      </x:c>
      <x:c r="FG125" s="117" t="n">
        <x:f>$B$125*FG115</x:f>
      </x:c>
      <x:c r="FH125" s="117" t="n">
        <x:f>$B$125*FH115</x:f>
      </x:c>
      <x:c r="FI125" s="117" t="n">
        <x:f>$B$125*FI115</x:f>
      </x:c>
      <x:c r="FJ125" s="117" t="n">
        <x:f>$B$125*FJ115</x:f>
      </x:c>
      <x:c r="FK125" s="117" t="n">
        <x:f>$B$125*FK115</x:f>
      </x:c>
      <x:c r="FL125" s="117" t="n">
        <x:f>$B$125*FL115</x:f>
      </x:c>
      <x:c r="FM125" s="117" t="n">
        <x:f>$B$125*FM115</x:f>
      </x:c>
      <x:c r="FN125" s="117" t="n">
        <x:f>$B$125*FN115</x:f>
      </x:c>
      <x:c r="FO125" s="117" t="n">
        <x:f>$B$125*FO115</x:f>
      </x:c>
      <x:c r="FP125" s="117" t="n">
        <x:f>$B$125*FP115</x:f>
      </x:c>
      <x:c r="FQ125" s="117" t="n">
        <x:f>$B$125*FQ115</x:f>
      </x:c>
      <x:c r="FR125" s="117" t="n">
        <x:f>$B$125*FR115</x:f>
      </x:c>
      <x:c r="FS125" s="117" t="n">
        <x:f>$B$125*FS115</x:f>
      </x:c>
      <x:c r="FT125" s="117" t="n">
        <x:f>$B$125*FT115</x:f>
      </x:c>
      <x:c r="FU125" s="117" t="n">
        <x:f>$B$125*FU115</x:f>
      </x:c>
      <x:c r="FV125" s="117" t="n">
        <x:f>$B$125*FV115</x:f>
      </x:c>
      <x:c r="FW125" s="117" t="n">
        <x:f>$B$125*FW115</x:f>
      </x:c>
      <x:c r="FX125" s="117" t="n">
        <x:f>$B$125*FX115</x:f>
      </x:c>
      <x:c r="FY125" s="117" t="n">
        <x:f>$B$125*FY115</x:f>
      </x:c>
      <x:c r="FZ125" s="117" t="n">
        <x:f>$B$125*FZ115</x:f>
      </x:c>
      <x:c r="GA125" s="117" t="n">
        <x:f>$B$125*GA115</x:f>
      </x:c>
    </x:row>
    <x:row r="126">
      <x:c r="A126" t="str">
        <x:v>Благоустройство</x:v>
      </x:c>
      <x:c r="B126" s="107" t="n">
        <x:f>(('Вводные'!$I$91+'Вводные'!$J$91+'Вводные'!$K$91)*'Вводные'!$B$47/1000*'Вводные'!$H$6*'Вводные'!$T$91*--('Вводные'!$B$91="Да"))*'Вводные'!$AH$91</x:f>
      </x:c>
      <x:c r="C126" t="str">
        <x:v>млн ₽</x:v>
      </x:c>
      <x:c r="D126" s="117" t="n">
        <x:f>IF(AND(D$3&gt;=EDATE($B$110,-3),D$3&lt;$B$110),$B$126/3,0)</x:f>
      </x:c>
      <x:c r="E126" s="117" t="n">
        <x:f>IF(AND(E$3&gt;=EDATE($B$110,-3),E$3&lt;$B$110),$B$126/3,0)</x:f>
      </x:c>
      <x:c r="F126" s="117" t="n">
        <x:f>IF(AND(F$3&gt;=EDATE($B$110,-3),F$3&lt;$B$110),$B$126/3,0)</x:f>
      </x:c>
      <x:c r="G126" s="117" t="n">
        <x:f>IF(AND(G$3&gt;=EDATE($B$110,-3),G$3&lt;$B$110),$B$126/3,0)</x:f>
      </x:c>
      <x:c r="H126" s="117" t="n">
        <x:f>IF(AND(H$3&gt;=EDATE($B$110,-3),H$3&lt;$B$110),$B$126/3,0)</x:f>
      </x:c>
      <x:c r="I126" s="117" t="n">
        <x:f>IF(AND(I$3&gt;=EDATE($B$110,-3),I$3&lt;$B$110),$B$126/3,0)</x:f>
      </x:c>
      <x:c r="J126" s="117" t="n">
        <x:f>IF(AND(J$3&gt;=EDATE($B$110,-3),J$3&lt;$B$110),$B$126/3,0)</x:f>
      </x:c>
      <x:c r="K126" s="117" t="n">
        <x:f>IF(AND(K$3&gt;=EDATE($B$110,-3),K$3&lt;$B$110),$B$126/3,0)</x:f>
      </x:c>
      <x:c r="L126" s="117" t="n">
        <x:f>IF(AND(L$3&gt;=EDATE($B$110,-3),L$3&lt;$B$110),$B$126/3,0)</x:f>
      </x:c>
      <x:c r="M126" s="117" t="n">
        <x:f>IF(AND(M$3&gt;=EDATE($B$110,-3),M$3&lt;$B$110),$B$126/3,0)</x:f>
      </x:c>
      <x:c r="N126" s="117" t="n">
        <x:f>IF(AND(N$3&gt;=EDATE($B$110,-3),N$3&lt;$B$110),$B$126/3,0)</x:f>
      </x:c>
      <x:c r="O126" s="117" t="n">
        <x:f>IF(AND(O$3&gt;=EDATE($B$110,-3),O$3&lt;$B$110),$B$126/3,0)</x:f>
      </x:c>
      <x:c r="P126" s="117" t="n">
        <x:f>IF(AND(P$3&gt;=EDATE($B$110,-3),P$3&lt;$B$110),$B$126/3,0)</x:f>
      </x:c>
      <x:c r="Q126" s="117" t="n">
        <x:f>IF(AND(Q$3&gt;=EDATE($B$110,-3),Q$3&lt;$B$110),$B$126/3,0)</x:f>
      </x:c>
      <x:c r="R126" s="117" t="n">
        <x:f>IF(AND(R$3&gt;=EDATE($B$110,-3),R$3&lt;$B$110),$B$126/3,0)</x:f>
      </x:c>
      <x:c r="S126" s="117" t="n">
        <x:f>IF(AND(S$3&gt;=EDATE($B$110,-3),S$3&lt;$B$110),$B$126/3,0)</x:f>
      </x:c>
      <x:c r="T126" s="117" t="n">
        <x:f>IF(AND(T$3&gt;=EDATE($B$110,-3),T$3&lt;$B$110),$B$126/3,0)</x:f>
      </x:c>
      <x:c r="U126" s="117" t="n">
        <x:f>IF(AND(U$3&gt;=EDATE($B$110,-3),U$3&lt;$B$110),$B$126/3,0)</x:f>
      </x:c>
      <x:c r="V126" s="117" t="n">
        <x:f>IF(AND(V$3&gt;=EDATE($B$110,-3),V$3&lt;$B$110),$B$126/3,0)</x:f>
      </x:c>
      <x:c r="W126" s="117" t="n">
        <x:f>IF(AND(W$3&gt;=EDATE($B$110,-3),W$3&lt;$B$110),$B$126/3,0)</x:f>
      </x:c>
      <x:c r="X126" s="117" t="n">
        <x:f>IF(AND(X$3&gt;=EDATE($B$110,-3),X$3&lt;$B$110),$B$126/3,0)</x:f>
      </x:c>
      <x:c r="Y126" s="117" t="n">
        <x:f>IF(AND(Y$3&gt;=EDATE($B$110,-3),Y$3&lt;$B$110),$B$126/3,0)</x:f>
      </x:c>
      <x:c r="Z126" s="117" t="n">
        <x:f>IF(AND(Z$3&gt;=EDATE($B$110,-3),Z$3&lt;$B$110),$B$126/3,0)</x:f>
      </x:c>
      <x:c r="AA126" s="117" t="n">
        <x:f>IF(AND(AA$3&gt;=EDATE($B$110,-3),AA$3&lt;$B$110),$B$126/3,0)</x:f>
      </x:c>
      <x:c r="AB126" s="117" t="n">
        <x:f>IF(AND(AB$3&gt;=EDATE($B$110,-3),AB$3&lt;$B$110),$B$126/3,0)</x:f>
      </x:c>
      <x:c r="AC126" s="117" t="n">
        <x:f>IF(AND(AC$3&gt;=EDATE($B$110,-3),AC$3&lt;$B$110),$B$126/3,0)</x:f>
      </x:c>
      <x:c r="AD126" s="117" t="n">
        <x:f>IF(AND(AD$3&gt;=EDATE($B$110,-3),AD$3&lt;$B$110),$B$126/3,0)</x:f>
      </x:c>
      <x:c r="AE126" s="117" t="n">
        <x:f>IF(AND(AE$3&gt;=EDATE($B$110,-3),AE$3&lt;$B$110),$B$126/3,0)</x:f>
      </x:c>
      <x:c r="AF126" s="117" t="n">
        <x:f>IF(AND(AF$3&gt;=EDATE($B$110,-3),AF$3&lt;$B$110),$B$126/3,0)</x:f>
      </x:c>
      <x:c r="AG126" s="117" t="n">
        <x:f>IF(AND(AG$3&gt;=EDATE($B$110,-3),AG$3&lt;$B$110),$B$126/3,0)</x:f>
      </x:c>
      <x:c r="AH126" s="117" t="n">
        <x:f>IF(AND(AH$3&gt;=EDATE($B$110,-3),AH$3&lt;$B$110),$B$126/3,0)</x:f>
      </x:c>
      <x:c r="AI126" s="117" t="n">
        <x:f>IF(AND(AI$3&gt;=EDATE($B$110,-3),AI$3&lt;$B$110),$B$126/3,0)</x:f>
      </x:c>
      <x:c r="AJ126" s="117" t="n">
        <x:f>IF(AND(AJ$3&gt;=EDATE($B$110,-3),AJ$3&lt;$B$110),$B$126/3,0)</x:f>
      </x:c>
      <x:c r="AK126" s="117" t="n">
        <x:f>IF(AND(AK$3&gt;=EDATE($B$110,-3),AK$3&lt;$B$110),$B$126/3,0)</x:f>
      </x:c>
      <x:c r="AL126" s="117" t="n">
        <x:f>IF(AND(AL$3&gt;=EDATE($B$110,-3),AL$3&lt;$B$110),$B$126/3,0)</x:f>
      </x:c>
      <x:c r="AM126" s="117" t="n">
        <x:f>IF(AND(AM$3&gt;=EDATE($B$110,-3),AM$3&lt;$B$110),$B$126/3,0)</x:f>
      </x:c>
      <x:c r="AN126" s="117" t="n">
        <x:f>IF(AND(AN$3&gt;=EDATE($B$110,-3),AN$3&lt;$B$110),$B$126/3,0)</x:f>
      </x:c>
      <x:c r="AO126" s="117" t="n">
        <x:f>IF(AND(AO$3&gt;=EDATE($B$110,-3),AO$3&lt;$B$110),$B$126/3,0)</x:f>
      </x:c>
      <x:c r="AP126" s="117" t="n">
        <x:f>IF(AND(AP$3&gt;=EDATE($B$110,-3),AP$3&lt;$B$110),$B$126/3,0)</x:f>
      </x:c>
      <x:c r="AQ126" s="117" t="n">
        <x:f>IF(AND(AQ$3&gt;=EDATE($B$110,-3),AQ$3&lt;$B$110),$B$126/3,0)</x:f>
      </x:c>
      <x:c r="AR126" s="117" t="n">
        <x:f>IF(AND(AR$3&gt;=EDATE($B$110,-3),AR$3&lt;$B$110),$B$126/3,0)</x:f>
      </x:c>
      <x:c r="AS126" s="117" t="n">
        <x:f>IF(AND(AS$3&gt;=EDATE($B$110,-3),AS$3&lt;$B$110),$B$126/3,0)</x:f>
      </x:c>
      <x:c r="AT126" s="117" t="n">
        <x:f>IF(AND(AT$3&gt;=EDATE($B$110,-3),AT$3&lt;$B$110),$B$126/3,0)</x:f>
      </x:c>
      <x:c r="AU126" s="117" t="n">
        <x:f>IF(AND(AU$3&gt;=EDATE($B$110,-3),AU$3&lt;$B$110),$B$126/3,0)</x:f>
      </x:c>
      <x:c r="AV126" s="117" t="n">
        <x:f>IF(AND(AV$3&gt;=EDATE($B$110,-3),AV$3&lt;$B$110),$B$126/3,0)</x:f>
      </x:c>
      <x:c r="AW126" s="117" t="n">
        <x:f>IF(AND(AW$3&gt;=EDATE($B$110,-3),AW$3&lt;$B$110),$B$126/3,0)</x:f>
      </x:c>
      <x:c r="AX126" s="117" t="n">
        <x:f>IF(AND(AX$3&gt;=EDATE($B$110,-3),AX$3&lt;$B$110),$B$126/3,0)</x:f>
      </x:c>
      <x:c r="AY126" s="117" t="n">
        <x:f>IF(AND(AY$3&gt;=EDATE($B$110,-3),AY$3&lt;$B$110),$B$126/3,0)</x:f>
      </x:c>
      <x:c r="AZ126" s="117" t="n">
        <x:f>IF(AND(AZ$3&gt;=EDATE($B$110,-3),AZ$3&lt;$B$110),$B$126/3,0)</x:f>
      </x:c>
      <x:c r="BA126" s="117" t="n">
        <x:f>IF(AND(BA$3&gt;=EDATE($B$110,-3),BA$3&lt;$B$110),$B$126/3,0)</x:f>
      </x:c>
      <x:c r="BB126" s="117" t="n">
        <x:f>IF(AND(BB$3&gt;=EDATE($B$110,-3),BB$3&lt;$B$110),$B$126/3,0)</x:f>
      </x:c>
      <x:c r="BC126" s="117" t="n">
        <x:f>IF(AND(BC$3&gt;=EDATE($B$110,-3),BC$3&lt;$B$110),$B$126/3,0)</x:f>
      </x:c>
      <x:c r="BD126" s="117" t="n">
        <x:f>IF(AND(BD$3&gt;=EDATE($B$110,-3),BD$3&lt;$B$110),$B$126/3,0)</x:f>
      </x:c>
      <x:c r="BE126" s="117" t="n">
        <x:f>IF(AND(BE$3&gt;=EDATE($B$110,-3),BE$3&lt;$B$110),$B$126/3,0)</x:f>
      </x:c>
      <x:c r="BF126" s="117" t="n">
        <x:f>IF(AND(BF$3&gt;=EDATE($B$110,-3),BF$3&lt;$B$110),$B$126/3,0)</x:f>
      </x:c>
      <x:c r="BG126" s="117" t="n">
        <x:f>IF(AND(BG$3&gt;=EDATE($B$110,-3),BG$3&lt;$B$110),$B$126/3,0)</x:f>
      </x:c>
      <x:c r="BH126" s="117" t="n">
        <x:f>IF(AND(BH$3&gt;=EDATE($B$110,-3),BH$3&lt;$B$110),$B$126/3,0)</x:f>
      </x:c>
      <x:c r="BI126" s="117" t="n">
        <x:f>IF(AND(BI$3&gt;=EDATE($B$110,-3),BI$3&lt;$B$110),$B$126/3,0)</x:f>
      </x:c>
      <x:c r="BJ126" s="117" t="n">
        <x:f>IF(AND(BJ$3&gt;=EDATE($B$110,-3),BJ$3&lt;$B$110),$B$126/3,0)</x:f>
      </x:c>
      <x:c r="BK126" s="117" t="n">
        <x:f>IF(AND(BK$3&gt;=EDATE($B$110,-3),BK$3&lt;$B$110),$B$126/3,0)</x:f>
      </x:c>
      <x:c r="BL126" s="117" t="n">
        <x:f>IF(AND(BL$3&gt;=EDATE($B$110,-3),BL$3&lt;$B$110),$B$126/3,0)</x:f>
      </x:c>
      <x:c r="BM126" s="117" t="n">
        <x:f>IF(AND(BM$3&gt;=EDATE($B$110,-3),BM$3&lt;$B$110),$B$126/3,0)</x:f>
      </x:c>
      <x:c r="BN126" s="117" t="n">
        <x:f>IF(AND(BN$3&gt;=EDATE($B$110,-3),BN$3&lt;$B$110),$B$126/3,0)</x:f>
      </x:c>
      <x:c r="BO126" s="117" t="n">
        <x:f>IF(AND(BO$3&gt;=EDATE($B$110,-3),BO$3&lt;$B$110),$B$126/3,0)</x:f>
      </x:c>
      <x:c r="BP126" s="117" t="n">
        <x:f>IF(AND(BP$3&gt;=EDATE($B$110,-3),BP$3&lt;$B$110),$B$126/3,0)</x:f>
      </x:c>
      <x:c r="BQ126" s="117" t="n">
        <x:f>IF(AND(BQ$3&gt;=EDATE($B$110,-3),BQ$3&lt;$B$110),$B$126/3,0)</x:f>
      </x:c>
      <x:c r="BR126" s="117" t="n">
        <x:f>IF(AND(BR$3&gt;=EDATE($B$110,-3),BR$3&lt;$B$110),$B$126/3,0)</x:f>
      </x:c>
      <x:c r="BS126" s="117" t="n">
        <x:f>IF(AND(BS$3&gt;=EDATE($B$110,-3),BS$3&lt;$B$110),$B$126/3,0)</x:f>
      </x:c>
      <x:c r="BT126" s="117" t="n">
        <x:f>IF(AND(BT$3&gt;=EDATE($B$110,-3),BT$3&lt;$B$110),$B$126/3,0)</x:f>
      </x:c>
      <x:c r="BU126" s="117" t="n">
        <x:f>IF(AND(BU$3&gt;=EDATE($B$110,-3),BU$3&lt;$B$110),$B$126/3,0)</x:f>
      </x:c>
      <x:c r="BV126" s="117" t="n">
        <x:f>IF(AND(BV$3&gt;=EDATE($B$110,-3),BV$3&lt;$B$110),$B$126/3,0)</x:f>
      </x:c>
      <x:c r="BW126" s="117" t="n">
        <x:f>IF(AND(BW$3&gt;=EDATE($B$110,-3),BW$3&lt;$B$110),$B$126/3,0)</x:f>
      </x:c>
      <x:c r="BX126" s="117" t="n">
        <x:f>IF(AND(BX$3&gt;=EDATE($B$110,-3),BX$3&lt;$B$110),$B$126/3,0)</x:f>
      </x:c>
      <x:c r="BY126" s="117" t="n">
        <x:f>IF(AND(BY$3&gt;=EDATE($B$110,-3),BY$3&lt;$B$110),$B$126/3,0)</x:f>
      </x:c>
      <x:c r="BZ126" s="117" t="n">
        <x:f>IF(AND(BZ$3&gt;=EDATE($B$110,-3),BZ$3&lt;$B$110),$B$126/3,0)</x:f>
      </x:c>
      <x:c r="CA126" s="117" t="n">
        <x:f>IF(AND(CA$3&gt;=EDATE($B$110,-3),CA$3&lt;$B$110),$B$126/3,0)</x:f>
      </x:c>
      <x:c r="CB126" s="117" t="n">
        <x:f>IF(AND(CB$3&gt;=EDATE($B$110,-3),CB$3&lt;$B$110),$B$126/3,0)</x:f>
      </x:c>
      <x:c r="CC126" s="117" t="n">
        <x:f>IF(AND(CC$3&gt;=EDATE($B$110,-3),CC$3&lt;$B$110),$B$126/3,0)</x:f>
      </x:c>
      <x:c r="CD126" s="117" t="n">
        <x:f>IF(AND(CD$3&gt;=EDATE($B$110,-3),CD$3&lt;$B$110),$B$126/3,0)</x:f>
      </x:c>
      <x:c r="CE126" s="117" t="n">
        <x:f>IF(AND(CE$3&gt;=EDATE($B$110,-3),CE$3&lt;$B$110),$B$126/3,0)</x:f>
      </x:c>
      <x:c r="CF126" s="117" t="n">
        <x:f>IF(AND(CF$3&gt;=EDATE($B$110,-3),CF$3&lt;$B$110),$B$126/3,0)</x:f>
      </x:c>
      <x:c r="CG126" s="117" t="n">
        <x:f>IF(AND(CG$3&gt;=EDATE($B$110,-3),CG$3&lt;$B$110),$B$126/3,0)</x:f>
      </x:c>
      <x:c r="CH126" s="117" t="n">
        <x:f>IF(AND(CH$3&gt;=EDATE($B$110,-3),CH$3&lt;$B$110),$B$126/3,0)</x:f>
      </x:c>
      <x:c r="CI126" s="117" t="n">
        <x:f>IF(AND(CI$3&gt;=EDATE($B$110,-3),CI$3&lt;$B$110),$B$126/3,0)</x:f>
      </x:c>
      <x:c r="CJ126" s="117" t="n">
        <x:f>IF(AND(CJ$3&gt;=EDATE($B$110,-3),CJ$3&lt;$B$110),$B$126/3,0)</x:f>
      </x:c>
      <x:c r="CK126" s="117" t="n">
        <x:f>IF(AND(CK$3&gt;=EDATE($B$110,-3),CK$3&lt;$B$110),$B$126/3,0)</x:f>
      </x:c>
      <x:c r="CL126" s="117" t="n">
        <x:f>IF(AND(CL$3&gt;=EDATE($B$110,-3),CL$3&lt;$B$110),$B$126/3,0)</x:f>
      </x:c>
      <x:c r="CM126" s="117" t="n">
        <x:f>IF(AND(CM$3&gt;=EDATE($B$110,-3),CM$3&lt;$B$110),$B$126/3,0)</x:f>
      </x:c>
      <x:c r="CN126" s="117" t="n">
        <x:f>IF(AND(CN$3&gt;=EDATE($B$110,-3),CN$3&lt;$B$110),$B$126/3,0)</x:f>
      </x:c>
      <x:c r="CO126" s="117" t="n">
        <x:f>IF(AND(CO$3&gt;=EDATE($B$110,-3),CO$3&lt;$B$110),$B$126/3,0)</x:f>
      </x:c>
      <x:c r="CP126" s="117" t="n">
        <x:f>IF(AND(CP$3&gt;=EDATE($B$110,-3),CP$3&lt;$B$110),$B$126/3,0)</x:f>
      </x:c>
      <x:c r="CQ126" s="117" t="n">
        <x:f>IF(AND(CQ$3&gt;=EDATE($B$110,-3),CQ$3&lt;$B$110),$B$126/3,0)</x:f>
      </x:c>
      <x:c r="CR126" s="117" t="n">
        <x:f>IF(AND(CR$3&gt;=EDATE($B$110,-3),CR$3&lt;$B$110),$B$126/3,0)</x:f>
      </x:c>
      <x:c r="CS126" s="117" t="n">
        <x:f>IF(AND(CS$3&gt;=EDATE($B$110,-3),CS$3&lt;$B$110),$B$126/3,0)</x:f>
      </x:c>
      <x:c r="CT126" s="117" t="n">
        <x:f>IF(AND(CT$3&gt;=EDATE($B$110,-3),CT$3&lt;$B$110),$B$126/3,0)</x:f>
      </x:c>
      <x:c r="CU126" s="117" t="n">
        <x:f>IF(AND(CU$3&gt;=EDATE($B$110,-3),CU$3&lt;$B$110),$B$126/3,0)</x:f>
      </x:c>
      <x:c r="CV126" s="117" t="n">
        <x:f>IF(AND(CV$3&gt;=EDATE($B$110,-3),CV$3&lt;$B$110),$B$126/3,0)</x:f>
      </x:c>
      <x:c r="CW126" s="117" t="n">
        <x:f>IF(AND(CW$3&gt;=EDATE($B$110,-3),CW$3&lt;$B$110),$B$126/3,0)</x:f>
      </x:c>
      <x:c r="CX126" s="117" t="n">
        <x:f>IF(AND(CX$3&gt;=EDATE($B$110,-3),CX$3&lt;$B$110),$B$126/3,0)</x:f>
      </x:c>
      <x:c r="CY126" s="117" t="n">
        <x:f>IF(AND(CY$3&gt;=EDATE($B$110,-3),CY$3&lt;$B$110),$B$126/3,0)</x:f>
      </x:c>
      <x:c r="CZ126" s="117" t="n">
        <x:f>IF(AND(CZ$3&gt;=EDATE($B$110,-3),CZ$3&lt;$B$110),$B$126/3,0)</x:f>
      </x:c>
      <x:c r="DA126" s="117" t="n">
        <x:f>IF(AND(DA$3&gt;=EDATE($B$110,-3),DA$3&lt;$B$110),$B$126/3,0)</x:f>
      </x:c>
      <x:c r="DB126" s="117" t="n">
        <x:f>IF(AND(DB$3&gt;=EDATE($B$110,-3),DB$3&lt;$B$110),$B$126/3,0)</x:f>
      </x:c>
      <x:c r="DC126" s="117" t="n">
        <x:f>IF(AND(DC$3&gt;=EDATE($B$110,-3),DC$3&lt;$B$110),$B$126/3,0)</x:f>
      </x:c>
      <x:c r="DD126" s="117" t="n">
        <x:f>IF(AND(DD$3&gt;=EDATE($B$110,-3),DD$3&lt;$B$110),$B$126/3,0)</x:f>
      </x:c>
      <x:c r="DE126" s="117" t="n">
        <x:f>IF(AND(DE$3&gt;=EDATE($B$110,-3),DE$3&lt;$B$110),$B$126/3,0)</x:f>
      </x:c>
      <x:c r="DF126" s="117" t="n">
        <x:f>IF(AND(DF$3&gt;=EDATE($B$110,-3),DF$3&lt;$B$110),$B$126/3,0)</x:f>
      </x:c>
      <x:c r="DG126" s="117" t="n">
        <x:f>IF(AND(DG$3&gt;=EDATE($B$110,-3),DG$3&lt;$B$110),$B$126/3,0)</x:f>
      </x:c>
      <x:c r="DH126" s="117" t="n">
        <x:f>IF(AND(DH$3&gt;=EDATE($B$110,-3),DH$3&lt;$B$110),$B$126/3,0)</x:f>
      </x:c>
      <x:c r="DI126" s="117" t="n">
        <x:f>IF(AND(DI$3&gt;=EDATE($B$110,-3),DI$3&lt;$B$110),$B$126/3,0)</x:f>
      </x:c>
      <x:c r="DJ126" s="117" t="n">
        <x:f>IF(AND(DJ$3&gt;=EDATE($B$110,-3),DJ$3&lt;$B$110),$B$126/3,0)</x:f>
      </x:c>
      <x:c r="DK126" s="117" t="n">
        <x:f>IF(AND(DK$3&gt;=EDATE($B$110,-3),DK$3&lt;$B$110),$B$126/3,0)</x:f>
      </x:c>
      <x:c r="DL126" s="117" t="n">
        <x:f>IF(AND(DL$3&gt;=EDATE($B$110,-3),DL$3&lt;$B$110),$B$126/3,0)</x:f>
      </x:c>
      <x:c r="DM126" s="117" t="n">
        <x:f>IF(AND(DM$3&gt;=EDATE($B$110,-3),DM$3&lt;$B$110),$B$126/3,0)</x:f>
      </x:c>
      <x:c r="DN126" s="117" t="n">
        <x:f>IF(AND(DN$3&gt;=EDATE($B$110,-3),DN$3&lt;$B$110),$B$126/3,0)</x:f>
      </x:c>
      <x:c r="DO126" s="117" t="n">
        <x:f>IF(AND(DO$3&gt;=EDATE($B$110,-3),DO$3&lt;$B$110),$B$126/3,0)</x:f>
      </x:c>
      <x:c r="DP126" s="117" t="n">
        <x:f>IF(AND(DP$3&gt;=EDATE($B$110,-3),DP$3&lt;$B$110),$B$126/3,0)</x:f>
      </x:c>
      <x:c r="DQ126" s="117" t="n">
        <x:f>IF(AND(DQ$3&gt;=EDATE($B$110,-3),DQ$3&lt;$B$110),$B$126/3,0)</x:f>
      </x:c>
      <x:c r="DR126" s="117" t="n">
        <x:f>IF(AND(DR$3&gt;=EDATE($B$110,-3),DR$3&lt;$B$110),$B$126/3,0)</x:f>
      </x:c>
      <x:c r="DS126" s="117" t="n">
        <x:f>IF(AND(DS$3&gt;=EDATE($B$110,-3),DS$3&lt;$B$110),$B$126/3,0)</x:f>
      </x:c>
      <x:c r="DT126" s="117" t="n">
        <x:f>IF(AND(DT$3&gt;=EDATE($B$110,-3),DT$3&lt;$B$110),$B$126/3,0)</x:f>
      </x:c>
      <x:c r="DU126" s="117" t="n">
        <x:f>IF(AND(DU$3&gt;=EDATE($B$110,-3),DU$3&lt;$B$110),$B$126/3,0)</x:f>
      </x:c>
      <x:c r="DV126" s="117" t="n">
        <x:f>IF(AND(DV$3&gt;=EDATE($B$110,-3),DV$3&lt;$B$110),$B$126/3,0)</x:f>
      </x:c>
      <x:c r="DW126" s="117" t="n">
        <x:f>IF(AND(DW$3&gt;=EDATE($B$110,-3),DW$3&lt;$B$110),$B$126/3,0)</x:f>
      </x:c>
      <x:c r="DX126" s="117" t="n">
        <x:f>IF(AND(DX$3&gt;=EDATE($B$110,-3),DX$3&lt;$B$110),$B$126/3,0)</x:f>
      </x:c>
      <x:c r="DY126" s="117" t="n">
        <x:f>IF(AND(DY$3&gt;=EDATE($B$110,-3),DY$3&lt;$B$110),$B$126/3,0)</x:f>
      </x:c>
      <x:c r="DZ126" s="117" t="n">
        <x:f>IF(AND(DZ$3&gt;=EDATE($B$110,-3),DZ$3&lt;$B$110),$B$126/3,0)</x:f>
      </x:c>
      <x:c r="EA126" s="117" t="n">
        <x:f>IF(AND(EA$3&gt;=EDATE($B$110,-3),EA$3&lt;$B$110),$B$126/3,0)</x:f>
      </x:c>
      <x:c r="EB126" s="117" t="n">
        <x:f>IF(AND(EB$3&gt;=EDATE($B$110,-3),EB$3&lt;$B$110),$B$126/3,0)</x:f>
      </x:c>
      <x:c r="EC126" s="117" t="n">
        <x:f>IF(AND(EC$3&gt;=EDATE($B$110,-3),EC$3&lt;$B$110),$B$126/3,0)</x:f>
      </x:c>
      <x:c r="ED126" s="117" t="n">
        <x:f>IF(AND(ED$3&gt;=EDATE($B$110,-3),ED$3&lt;$B$110),$B$126/3,0)</x:f>
      </x:c>
      <x:c r="EE126" s="117" t="n">
        <x:f>IF(AND(EE$3&gt;=EDATE($B$110,-3),EE$3&lt;$B$110),$B$126/3,0)</x:f>
      </x:c>
      <x:c r="EF126" s="117" t="n">
        <x:f>IF(AND(EF$3&gt;=EDATE($B$110,-3),EF$3&lt;$B$110),$B$126/3,0)</x:f>
      </x:c>
      <x:c r="EG126" s="117" t="n">
        <x:f>IF(AND(EG$3&gt;=EDATE($B$110,-3),EG$3&lt;$B$110),$B$126/3,0)</x:f>
      </x:c>
      <x:c r="EH126" s="117" t="n">
        <x:f>IF(AND(EH$3&gt;=EDATE($B$110,-3),EH$3&lt;$B$110),$B$126/3,0)</x:f>
      </x:c>
      <x:c r="EI126" s="117" t="n">
        <x:f>IF(AND(EI$3&gt;=EDATE($B$110,-3),EI$3&lt;$B$110),$B$126/3,0)</x:f>
      </x:c>
      <x:c r="EJ126" s="117" t="n">
        <x:f>IF(AND(EJ$3&gt;=EDATE($B$110,-3),EJ$3&lt;$B$110),$B$126/3,0)</x:f>
      </x:c>
      <x:c r="EK126" s="117" t="n">
        <x:f>IF(AND(EK$3&gt;=EDATE($B$110,-3),EK$3&lt;$B$110),$B$126/3,0)</x:f>
      </x:c>
      <x:c r="EL126" s="117" t="n">
        <x:f>IF(AND(EL$3&gt;=EDATE($B$110,-3),EL$3&lt;$B$110),$B$126/3,0)</x:f>
      </x:c>
      <x:c r="EM126" s="117" t="n">
        <x:f>IF(AND(EM$3&gt;=EDATE($B$110,-3),EM$3&lt;$B$110),$B$126/3,0)</x:f>
      </x:c>
      <x:c r="EN126" s="117" t="n">
        <x:f>IF(AND(EN$3&gt;=EDATE($B$110,-3),EN$3&lt;$B$110),$B$126/3,0)</x:f>
      </x:c>
      <x:c r="EO126" s="117" t="n">
        <x:f>IF(AND(EO$3&gt;=EDATE($B$110,-3),EO$3&lt;$B$110),$B$126/3,0)</x:f>
      </x:c>
      <x:c r="EP126" s="117" t="n">
        <x:f>IF(AND(EP$3&gt;=EDATE($B$110,-3),EP$3&lt;$B$110),$B$126/3,0)</x:f>
      </x:c>
      <x:c r="EQ126" s="117" t="n">
        <x:f>IF(AND(EQ$3&gt;=EDATE($B$110,-3),EQ$3&lt;$B$110),$B$126/3,0)</x:f>
      </x:c>
      <x:c r="ER126" s="117" t="n">
        <x:f>IF(AND(ER$3&gt;=EDATE($B$110,-3),ER$3&lt;$B$110),$B$126/3,0)</x:f>
      </x:c>
      <x:c r="ES126" s="117" t="n">
        <x:f>IF(AND(ES$3&gt;=EDATE($B$110,-3),ES$3&lt;$B$110),$B$126/3,0)</x:f>
      </x:c>
      <x:c r="ET126" s="117" t="n">
        <x:f>IF(AND(ET$3&gt;=EDATE($B$110,-3),ET$3&lt;$B$110),$B$126/3,0)</x:f>
      </x:c>
      <x:c r="EU126" s="117" t="n">
        <x:f>IF(AND(EU$3&gt;=EDATE($B$110,-3),EU$3&lt;$B$110),$B$126/3,0)</x:f>
      </x:c>
      <x:c r="EV126" s="117" t="n">
        <x:f>IF(AND(EV$3&gt;=EDATE($B$110,-3),EV$3&lt;$B$110),$B$126/3,0)</x:f>
      </x:c>
      <x:c r="EW126" s="117" t="n">
        <x:f>IF(AND(EW$3&gt;=EDATE($B$110,-3),EW$3&lt;$B$110),$B$126/3,0)</x:f>
      </x:c>
      <x:c r="EX126" s="117" t="n">
        <x:f>IF(AND(EX$3&gt;=EDATE($B$110,-3),EX$3&lt;$B$110),$B$126/3,0)</x:f>
      </x:c>
      <x:c r="EY126" s="117" t="n">
        <x:f>IF(AND(EY$3&gt;=EDATE($B$110,-3),EY$3&lt;$B$110),$B$126/3,0)</x:f>
      </x:c>
      <x:c r="EZ126" s="117" t="n">
        <x:f>IF(AND(EZ$3&gt;=EDATE($B$110,-3),EZ$3&lt;$B$110),$B$126/3,0)</x:f>
      </x:c>
      <x:c r="FA126" s="117" t="n">
        <x:f>IF(AND(FA$3&gt;=EDATE($B$110,-3),FA$3&lt;$B$110),$B$126/3,0)</x:f>
      </x:c>
      <x:c r="FB126" s="117" t="n">
        <x:f>IF(AND(FB$3&gt;=EDATE($B$110,-3),FB$3&lt;$B$110),$B$126/3,0)</x:f>
      </x:c>
      <x:c r="FC126" s="117" t="n">
        <x:f>IF(AND(FC$3&gt;=EDATE($B$110,-3),FC$3&lt;$B$110),$B$126/3,0)</x:f>
      </x:c>
      <x:c r="FD126" s="117" t="n">
        <x:f>IF(AND(FD$3&gt;=EDATE($B$110,-3),FD$3&lt;$B$110),$B$126/3,0)</x:f>
      </x:c>
      <x:c r="FE126" s="117" t="n">
        <x:f>IF(AND(FE$3&gt;=EDATE($B$110,-3),FE$3&lt;$B$110),$B$126/3,0)</x:f>
      </x:c>
      <x:c r="FF126" s="117" t="n">
        <x:f>IF(AND(FF$3&gt;=EDATE($B$110,-3),FF$3&lt;$B$110),$B$126/3,0)</x:f>
      </x:c>
      <x:c r="FG126" s="117" t="n">
        <x:f>IF(AND(FG$3&gt;=EDATE($B$110,-3),FG$3&lt;$B$110),$B$126/3,0)</x:f>
      </x:c>
      <x:c r="FH126" s="117" t="n">
        <x:f>IF(AND(FH$3&gt;=EDATE($B$110,-3),FH$3&lt;$B$110),$B$126/3,0)</x:f>
      </x:c>
      <x:c r="FI126" s="117" t="n">
        <x:f>IF(AND(FI$3&gt;=EDATE($B$110,-3),FI$3&lt;$B$110),$B$126/3,0)</x:f>
      </x:c>
      <x:c r="FJ126" s="117" t="n">
        <x:f>IF(AND(FJ$3&gt;=EDATE($B$110,-3),FJ$3&lt;$B$110),$B$126/3,0)</x:f>
      </x:c>
      <x:c r="FK126" s="117" t="n">
        <x:f>IF(AND(FK$3&gt;=EDATE($B$110,-3),FK$3&lt;$B$110),$B$126/3,0)</x:f>
      </x:c>
      <x:c r="FL126" s="117" t="n">
        <x:f>IF(AND(FL$3&gt;=EDATE($B$110,-3),FL$3&lt;$B$110),$B$126/3,0)</x:f>
      </x:c>
      <x:c r="FM126" s="117" t="n">
        <x:f>IF(AND(FM$3&gt;=EDATE($B$110,-3),FM$3&lt;$B$110),$B$126/3,0)</x:f>
      </x:c>
      <x:c r="FN126" s="117" t="n">
        <x:f>IF(AND(FN$3&gt;=EDATE($B$110,-3),FN$3&lt;$B$110),$B$126/3,0)</x:f>
      </x:c>
      <x:c r="FO126" s="117" t="n">
        <x:f>IF(AND(FO$3&gt;=EDATE($B$110,-3),FO$3&lt;$B$110),$B$126/3,0)</x:f>
      </x:c>
      <x:c r="FP126" s="117" t="n">
        <x:f>IF(AND(FP$3&gt;=EDATE($B$110,-3),FP$3&lt;$B$110),$B$126/3,0)</x:f>
      </x:c>
      <x:c r="FQ126" s="117" t="n">
        <x:f>IF(AND(FQ$3&gt;=EDATE($B$110,-3),FQ$3&lt;$B$110),$B$126/3,0)</x:f>
      </x:c>
      <x:c r="FR126" s="117" t="n">
        <x:f>IF(AND(FR$3&gt;=EDATE($B$110,-3),FR$3&lt;$B$110),$B$126/3,0)</x:f>
      </x:c>
      <x:c r="FS126" s="117" t="n">
        <x:f>IF(AND(FS$3&gt;=EDATE($B$110,-3),FS$3&lt;$B$110),$B$126/3,0)</x:f>
      </x:c>
      <x:c r="FT126" s="117" t="n">
        <x:f>IF(AND(FT$3&gt;=EDATE($B$110,-3),FT$3&lt;$B$110),$B$126/3,0)</x:f>
      </x:c>
      <x:c r="FU126" s="117" t="n">
        <x:f>IF(AND(FU$3&gt;=EDATE($B$110,-3),FU$3&lt;$B$110),$B$126/3,0)</x:f>
      </x:c>
      <x:c r="FV126" s="117" t="n">
        <x:f>IF(AND(FV$3&gt;=EDATE($B$110,-3),FV$3&lt;$B$110),$B$126/3,0)</x:f>
      </x:c>
      <x:c r="FW126" s="117" t="n">
        <x:f>IF(AND(FW$3&gt;=EDATE($B$110,-3),FW$3&lt;$B$110),$B$126/3,0)</x:f>
      </x:c>
      <x:c r="FX126" s="117" t="n">
        <x:f>IF(AND(FX$3&gt;=EDATE($B$110,-3),FX$3&lt;$B$110),$B$126/3,0)</x:f>
      </x:c>
      <x:c r="FY126" s="117" t="n">
        <x:f>IF(AND(FY$3&gt;=EDATE($B$110,-3),FY$3&lt;$B$110),$B$126/3,0)</x:f>
      </x:c>
      <x:c r="FZ126" s="117" t="n">
        <x:f>IF(AND(FZ$3&gt;=EDATE($B$110,-3),FZ$3&lt;$B$110),$B$126/3,0)</x:f>
      </x:c>
      <x:c r="GA126" s="117" t="n">
        <x:f>IF(AND(GA$3&gt;=EDATE($B$110,-3),GA$3&lt;$B$110),$B$126/3,0)</x:f>
      </x:c>
    </x:row>
    <x:row r="127">
      <x:c r="A127" t="str">
        <x:v>Сдача и ввод</x:v>
      </x:c>
      <x:c r="B127" s="107" t="n">
        <x:f>(('Вводные'!$I$91+'Вводные'!$J$91+'Вводные'!$K$91)*'Вводные'!$B$48/1000*'Вводные'!$H$6*'Вводные'!$T$91*--('Вводные'!$B$91="Да"))*'Вводные'!$AH$91</x:f>
      </x:c>
      <x:c r="C127" t="str">
        <x:v>млн ₽</x:v>
      </x:c>
      <x:c r="D127" s="117" t="n">
        <x:f>IF(AND(D$3&gt;=EDATE($B$110,-3),D$3&lt;$B$110),$B$127/3,0)</x:f>
      </x:c>
      <x:c r="E127" s="117" t="n">
        <x:f>IF(AND(E$3&gt;=EDATE($B$110,-3),E$3&lt;$B$110),$B$127/3,0)</x:f>
      </x:c>
      <x:c r="F127" s="117" t="n">
        <x:f>IF(AND(F$3&gt;=EDATE($B$110,-3),F$3&lt;$B$110),$B$127/3,0)</x:f>
      </x:c>
      <x:c r="G127" s="117" t="n">
        <x:f>IF(AND(G$3&gt;=EDATE($B$110,-3),G$3&lt;$B$110),$B$127/3,0)</x:f>
      </x:c>
      <x:c r="H127" s="117" t="n">
        <x:f>IF(AND(H$3&gt;=EDATE($B$110,-3),H$3&lt;$B$110),$B$127/3,0)</x:f>
      </x:c>
      <x:c r="I127" s="117" t="n">
        <x:f>IF(AND(I$3&gt;=EDATE($B$110,-3),I$3&lt;$B$110),$B$127/3,0)</x:f>
      </x:c>
      <x:c r="J127" s="117" t="n">
        <x:f>IF(AND(J$3&gt;=EDATE($B$110,-3),J$3&lt;$B$110),$B$127/3,0)</x:f>
      </x:c>
      <x:c r="K127" s="117" t="n">
        <x:f>IF(AND(K$3&gt;=EDATE($B$110,-3),K$3&lt;$B$110),$B$127/3,0)</x:f>
      </x:c>
      <x:c r="L127" s="117" t="n">
        <x:f>IF(AND(L$3&gt;=EDATE($B$110,-3),L$3&lt;$B$110),$B$127/3,0)</x:f>
      </x:c>
      <x:c r="M127" s="117" t="n">
        <x:f>IF(AND(M$3&gt;=EDATE($B$110,-3),M$3&lt;$B$110),$B$127/3,0)</x:f>
      </x:c>
      <x:c r="N127" s="117" t="n">
        <x:f>IF(AND(N$3&gt;=EDATE($B$110,-3),N$3&lt;$B$110),$B$127/3,0)</x:f>
      </x:c>
      <x:c r="O127" s="117" t="n">
        <x:f>IF(AND(O$3&gt;=EDATE($B$110,-3),O$3&lt;$B$110),$B$127/3,0)</x:f>
      </x:c>
      <x:c r="P127" s="117" t="n">
        <x:f>IF(AND(P$3&gt;=EDATE($B$110,-3),P$3&lt;$B$110),$B$127/3,0)</x:f>
      </x:c>
      <x:c r="Q127" s="117" t="n">
        <x:f>IF(AND(Q$3&gt;=EDATE($B$110,-3),Q$3&lt;$B$110),$B$127/3,0)</x:f>
      </x:c>
      <x:c r="R127" s="117" t="n">
        <x:f>IF(AND(R$3&gt;=EDATE($B$110,-3),R$3&lt;$B$110),$B$127/3,0)</x:f>
      </x:c>
      <x:c r="S127" s="117" t="n">
        <x:f>IF(AND(S$3&gt;=EDATE($B$110,-3),S$3&lt;$B$110),$B$127/3,0)</x:f>
      </x:c>
      <x:c r="T127" s="117" t="n">
        <x:f>IF(AND(T$3&gt;=EDATE($B$110,-3),T$3&lt;$B$110),$B$127/3,0)</x:f>
      </x:c>
      <x:c r="U127" s="117" t="n">
        <x:f>IF(AND(U$3&gt;=EDATE($B$110,-3),U$3&lt;$B$110),$B$127/3,0)</x:f>
      </x:c>
      <x:c r="V127" s="117" t="n">
        <x:f>IF(AND(V$3&gt;=EDATE($B$110,-3),V$3&lt;$B$110),$B$127/3,0)</x:f>
      </x:c>
      <x:c r="W127" s="117" t="n">
        <x:f>IF(AND(W$3&gt;=EDATE($B$110,-3),W$3&lt;$B$110),$B$127/3,0)</x:f>
      </x:c>
      <x:c r="X127" s="117" t="n">
        <x:f>IF(AND(X$3&gt;=EDATE($B$110,-3),X$3&lt;$B$110),$B$127/3,0)</x:f>
      </x:c>
      <x:c r="Y127" s="117" t="n">
        <x:f>IF(AND(Y$3&gt;=EDATE($B$110,-3),Y$3&lt;$B$110),$B$127/3,0)</x:f>
      </x:c>
      <x:c r="Z127" s="117" t="n">
        <x:f>IF(AND(Z$3&gt;=EDATE($B$110,-3),Z$3&lt;$B$110),$B$127/3,0)</x:f>
      </x:c>
      <x:c r="AA127" s="117" t="n">
        <x:f>IF(AND(AA$3&gt;=EDATE($B$110,-3),AA$3&lt;$B$110),$B$127/3,0)</x:f>
      </x:c>
      <x:c r="AB127" s="117" t="n">
        <x:f>IF(AND(AB$3&gt;=EDATE($B$110,-3),AB$3&lt;$B$110),$B$127/3,0)</x:f>
      </x:c>
      <x:c r="AC127" s="117" t="n">
        <x:f>IF(AND(AC$3&gt;=EDATE($B$110,-3),AC$3&lt;$B$110),$B$127/3,0)</x:f>
      </x:c>
      <x:c r="AD127" s="117" t="n">
        <x:f>IF(AND(AD$3&gt;=EDATE($B$110,-3),AD$3&lt;$B$110),$B$127/3,0)</x:f>
      </x:c>
      <x:c r="AE127" s="117" t="n">
        <x:f>IF(AND(AE$3&gt;=EDATE($B$110,-3),AE$3&lt;$B$110),$B$127/3,0)</x:f>
      </x:c>
      <x:c r="AF127" s="117" t="n">
        <x:f>IF(AND(AF$3&gt;=EDATE($B$110,-3),AF$3&lt;$B$110),$B$127/3,0)</x:f>
      </x:c>
      <x:c r="AG127" s="117" t="n">
        <x:f>IF(AND(AG$3&gt;=EDATE($B$110,-3),AG$3&lt;$B$110),$B$127/3,0)</x:f>
      </x:c>
      <x:c r="AH127" s="117" t="n">
        <x:f>IF(AND(AH$3&gt;=EDATE($B$110,-3),AH$3&lt;$B$110),$B$127/3,0)</x:f>
      </x:c>
      <x:c r="AI127" s="117" t="n">
        <x:f>IF(AND(AI$3&gt;=EDATE($B$110,-3),AI$3&lt;$B$110),$B$127/3,0)</x:f>
      </x:c>
      <x:c r="AJ127" s="117" t="n">
        <x:f>IF(AND(AJ$3&gt;=EDATE($B$110,-3),AJ$3&lt;$B$110),$B$127/3,0)</x:f>
      </x:c>
      <x:c r="AK127" s="117" t="n">
        <x:f>IF(AND(AK$3&gt;=EDATE($B$110,-3),AK$3&lt;$B$110),$B$127/3,0)</x:f>
      </x:c>
      <x:c r="AL127" s="117" t="n">
        <x:f>IF(AND(AL$3&gt;=EDATE($B$110,-3),AL$3&lt;$B$110),$B$127/3,0)</x:f>
      </x:c>
      <x:c r="AM127" s="117" t="n">
        <x:f>IF(AND(AM$3&gt;=EDATE($B$110,-3),AM$3&lt;$B$110),$B$127/3,0)</x:f>
      </x:c>
      <x:c r="AN127" s="117" t="n">
        <x:f>IF(AND(AN$3&gt;=EDATE($B$110,-3),AN$3&lt;$B$110),$B$127/3,0)</x:f>
      </x:c>
      <x:c r="AO127" s="117" t="n">
        <x:f>IF(AND(AO$3&gt;=EDATE($B$110,-3),AO$3&lt;$B$110),$B$127/3,0)</x:f>
      </x:c>
      <x:c r="AP127" s="117" t="n">
        <x:f>IF(AND(AP$3&gt;=EDATE($B$110,-3),AP$3&lt;$B$110),$B$127/3,0)</x:f>
      </x:c>
      <x:c r="AQ127" s="117" t="n">
        <x:f>IF(AND(AQ$3&gt;=EDATE($B$110,-3),AQ$3&lt;$B$110),$B$127/3,0)</x:f>
      </x:c>
      <x:c r="AR127" s="117" t="n">
        <x:f>IF(AND(AR$3&gt;=EDATE($B$110,-3),AR$3&lt;$B$110),$B$127/3,0)</x:f>
      </x:c>
      <x:c r="AS127" s="117" t="n">
        <x:f>IF(AND(AS$3&gt;=EDATE($B$110,-3),AS$3&lt;$B$110),$B$127/3,0)</x:f>
      </x:c>
      <x:c r="AT127" s="117" t="n">
        <x:f>IF(AND(AT$3&gt;=EDATE($B$110,-3),AT$3&lt;$B$110),$B$127/3,0)</x:f>
      </x:c>
      <x:c r="AU127" s="117" t="n">
        <x:f>IF(AND(AU$3&gt;=EDATE($B$110,-3),AU$3&lt;$B$110),$B$127/3,0)</x:f>
      </x:c>
      <x:c r="AV127" s="117" t="n">
        <x:f>IF(AND(AV$3&gt;=EDATE($B$110,-3),AV$3&lt;$B$110),$B$127/3,0)</x:f>
      </x:c>
      <x:c r="AW127" s="117" t="n">
        <x:f>IF(AND(AW$3&gt;=EDATE($B$110,-3),AW$3&lt;$B$110),$B$127/3,0)</x:f>
      </x:c>
      <x:c r="AX127" s="117" t="n">
        <x:f>IF(AND(AX$3&gt;=EDATE($B$110,-3),AX$3&lt;$B$110),$B$127/3,0)</x:f>
      </x:c>
      <x:c r="AY127" s="117" t="n">
        <x:f>IF(AND(AY$3&gt;=EDATE($B$110,-3),AY$3&lt;$B$110),$B$127/3,0)</x:f>
      </x:c>
      <x:c r="AZ127" s="117" t="n">
        <x:f>IF(AND(AZ$3&gt;=EDATE($B$110,-3),AZ$3&lt;$B$110),$B$127/3,0)</x:f>
      </x:c>
      <x:c r="BA127" s="117" t="n">
        <x:f>IF(AND(BA$3&gt;=EDATE($B$110,-3),BA$3&lt;$B$110),$B$127/3,0)</x:f>
      </x:c>
      <x:c r="BB127" s="117" t="n">
        <x:f>IF(AND(BB$3&gt;=EDATE($B$110,-3),BB$3&lt;$B$110),$B$127/3,0)</x:f>
      </x:c>
      <x:c r="BC127" s="117" t="n">
        <x:f>IF(AND(BC$3&gt;=EDATE($B$110,-3),BC$3&lt;$B$110),$B$127/3,0)</x:f>
      </x:c>
      <x:c r="BD127" s="117" t="n">
        <x:f>IF(AND(BD$3&gt;=EDATE($B$110,-3),BD$3&lt;$B$110),$B$127/3,0)</x:f>
      </x:c>
      <x:c r="BE127" s="117" t="n">
        <x:f>IF(AND(BE$3&gt;=EDATE($B$110,-3),BE$3&lt;$B$110),$B$127/3,0)</x:f>
      </x:c>
      <x:c r="BF127" s="117" t="n">
        <x:f>IF(AND(BF$3&gt;=EDATE($B$110,-3),BF$3&lt;$B$110),$B$127/3,0)</x:f>
      </x:c>
      <x:c r="BG127" s="117" t="n">
        <x:f>IF(AND(BG$3&gt;=EDATE($B$110,-3),BG$3&lt;$B$110),$B$127/3,0)</x:f>
      </x:c>
      <x:c r="BH127" s="117" t="n">
        <x:f>IF(AND(BH$3&gt;=EDATE($B$110,-3),BH$3&lt;$B$110),$B$127/3,0)</x:f>
      </x:c>
      <x:c r="BI127" s="117" t="n">
        <x:f>IF(AND(BI$3&gt;=EDATE($B$110,-3),BI$3&lt;$B$110),$B$127/3,0)</x:f>
      </x:c>
      <x:c r="BJ127" s="117" t="n">
        <x:f>IF(AND(BJ$3&gt;=EDATE($B$110,-3),BJ$3&lt;$B$110),$B$127/3,0)</x:f>
      </x:c>
      <x:c r="BK127" s="117" t="n">
        <x:f>IF(AND(BK$3&gt;=EDATE($B$110,-3),BK$3&lt;$B$110),$B$127/3,0)</x:f>
      </x:c>
      <x:c r="BL127" s="117" t="n">
        <x:f>IF(AND(BL$3&gt;=EDATE($B$110,-3),BL$3&lt;$B$110),$B$127/3,0)</x:f>
      </x:c>
      <x:c r="BM127" s="117" t="n">
        <x:f>IF(AND(BM$3&gt;=EDATE($B$110,-3),BM$3&lt;$B$110),$B$127/3,0)</x:f>
      </x:c>
      <x:c r="BN127" s="117" t="n">
        <x:f>IF(AND(BN$3&gt;=EDATE($B$110,-3),BN$3&lt;$B$110),$B$127/3,0)</x:f>
      </x:c>
      <x:c r="BO127" s="117" t="n">
        <x:f>IF(AND(BO$3&gt;=EDATE($B$110,-3),BO$3&lt;$B$110),$B$127/3,0)</x:f>
      </x:c>
      <x:c r="BP127" s="117" t="n">
        <x:f>IF(AND(BP$3&gt;=EDATE($B$110,-3),BP$3&lt;$B$110),$B$127/3,0)</x:f>
      </x:c>
      <x:c r="BQ127" s="117" t="n">
        <x:f>IF(AND(BQ$3&gt;=EDATE($B$110,-3),BQ$3&lt;$B$110),$B$127/3,0)</x:f>
      </x:c>
      <x:c r="BR127" s="117" t="n">
        <x:f>IF(AND(BR$3&gt;=EDATE($B$110,-3),BR$3&lt;$B$110),$B$127/3,0)</x:f>
      </x:c>
      <x:c r="BS127" s="117" t="n">
        <x:f>IF(AND(BS$3&gt;=EDATE($B$110,-3),BS$3&lt;$B$110),$B$127/3,0)</x:f>
      </x:c>
      <x:c r="BT127" s="117" t="n">
        <x:f>IF(AND(BT$3&gt;=EDATE($B$110,-3),BT$3&lt;$B$110),$B$127/3,0)</x:f>
      </x:c>
      <x:c r="BU127" s="117" t="n">
        <x:f>IF(AND(BU$3&gt;=EDATE($B$110,-3),BU$3&lt;$B$110),$B$127/3,0)</x:f>
      </x:c>
      <x:c r="BV127" s="117" t="n">
        <x:f>IF(AND(BV$3&gt;=EDATE($B$110,-3),BV$3&lt;$B$110),$B$127/3,0)</x:f>
      </x:c>
      <x:c r="BW127" s="117" t="n">
        <x:f>IF(AND(BW$3&gt;=EDATE($B$110,-3),BW$3&lt;$B$110),$B$127/3,0)</x:f>
      </x:c>
      <x:c r="BX127" s="117" t="n">
        <x:f>IF(AND(BX$3&gt;=EDATE($B$110,-3),BX$3&lt;$B$110),$B$127/3,0)</x:f>
      </x:c>
      <x:c r="BY127" s="117" t="n">
        <x:f>IF(AND(BY$3&gt;=EDATE($B$110,-3),BY$3&lt;$B$110),$B$127/3,0)</x:f>
      </x:c>
      <x:c r="BZ127" s="117" t="n">
        <x:f>IF(AND(BZ$3&gt;=EDATE($B$110,-3),BZ$3&lt;$B$110),$B$127/3,0)</x:f>
      </x:c>
      <x:c r="CA127" s="117" t="n">
        <x:f>IF(AND(CA$3&gt;=EDATE($B$110,-3),CA$3&lt;$B$110),$B$127/3,0)</x:f>
      </x:c>
      <x:c r="CB127" s="117" t="n">
        <x:f>IF(AND(CB$3&gt;=EDATE($B$110,-3),CB$3&lt;$B$110),$B$127/3,0)</x:f>
      </x:c>
      <x:c r="CC127" s="117" t="n">
        <x:f>IF(AND(CC$3&gt;=EDATE($B$110,-3),CC$3&lt;$B$110),$B$127/3,0)</x:f>
      </x:c>
      <x:c r="CD127" s="117" t="n">
        <x:f>IF(AND(CD$3&gt;=EDATE($B$110,-3),CD$3&lt;$B$110),$B$127/3,0)</x:f>
      </x:c>
      <x:c r="CE127" s="117" t="n">
        <x:f>IF(AND(CE$3&gt;=EDATE($B$110,-3),CE$3&lt;$B$110),$B$127/3,0)</x:f>
      </x:c>
      <x:c r="CF127" s="117" t="n">
        <x:f>IF(AND(CF$3&gt;=EDATE($B$110,-3),CF$3&lt;$B$110),$B$127/3,0)</x:f>
      </x:c>
      <x:c r="CG127" s="117" t="n">
        <x:f>IF(AND(CG$3&gt;=EDATE($B$110,-3),CG$3&lt;$B$110),$B$127/3,0)</x:f>
      </x:c>
      <x:c r="CH127" s="117" t="n">
        <x:f>IF(AND(CH$3&gt;=EDATE($B$110,-3),CH$3&lt;$B$110),$B$127/3,0)</x:f>
      </x:c>
      <x:c r="CI127" s="117" t="n">
        <x:f>IF(AND(CI$3&gt;=EDATE($B$110,-3),CI$3&lt;$B$110),$B$127/3,0)</x:f>
      </x:c>
      <x:c r="CJ127" s="117" t="n">
        <x:f>IF(AND(CJ$3&gt;=EDATE($B$110,-3),CJ$3&lt;$B$110),$B$127/3,0)</x:f>
      </x:c>
      <x:c r="CK127" s="117" t="n">
        <x:f>IF(AND(CK$3&gt;=EDATE($B$110,-3),CK$3&lt;$B$110),$B$127/3,0)</x:f>
      </x:c>
      <x:c r="CL127" s="117" t="n">
        <x:f>IF(AND(CL$3&gt;=EDATE($B$110,-3),CL$3&lt;$B$110),$B$127/3,0)</x:f>
      </x:c>
      <x:c r="CM127" s="117" t="n">
        <x:f>IF(AND(CM$3&gt;=EDATE($B$110,-3),CM$3&lt;$B$110),$B$127/3,0)</x:f>
      </x:c>
      <x:c r="CN127" s="117" t="n">
        <x:f>IF(AND(CN$3&gt;=EDATE($B$110,-3),CN$3&lt;$B$110),$B$127/3,0)</x:f>
      </x:c>
      <x:c r="CO127" s="117" t="n">
        <x:f>IF(AND(CO$3&gt;=EDATE($B$110,-3),CO$3&lt;$B$110),$B$127/3,0)</x:f>
      </x:c>
      <x:c r="CP127" s="117" t="n">
        <x:f>IF(AND(CP$3&gt;=EDATE($B$110,-3),CP$3&lt;$B$110),$B$127/3,0)</x:f>
      </x:c>
      <x:c r="CQ127" s="117" t="n">
        <x:f>IF(AND(CQ$3&gt;=EDATE($B$110,-3),CQ$3&lt;$B$110),$B$127/3,0)</x:f>
      </x:c>
      <x:c r="CR127" s="117" t="n">
        <x:f>IF(AND(CR$3&gt;=EDATE($B$110,-3),CR$3&lt;$B$110),$B$127/3,0)</x:f>
      </x:c>
      <x:c r="CS127" s="117" t="n">
        <x:f>IF(AND(CS$3&gt;=EDATE($B$110,-3),CS$3&lt;$B$110),$B$127/3,0)</x:f>
      </x:c>
      <x:c r="CT127" s="117" t="n">
        <x:f>IF(AND(CT$3&gt;=EDATE($B$110,-3),CT$3&lt;$B$110),$B$127/3,0)</x:f>
      </x:c>
      <x:c r="CU127" s="117" t="n">
        <x:f>IF(AND(CU$3&gt;=EDATE($B$110,-3),CU$3&lt;$B$110),$B$127/3,0)</x:f>
      </x:c>
      <x:c r="CV127" s="117" t="n">
        <x:f>IF(AND(CV$3&gt;=EDATE($B$110,-3),CV$3&lt;$B$110),$B$127/3,0)</x:f>
      </x:c>
      <x:c r="CW127" s="117" t="n">
        <x:f>IF(AND(CW$3&gt;=EDATE($B$110,-3),CW$3&lt;$B$110),$B$127/3,0)</x:f>
      </x:c>
      <x:c r="CX127" s="117" t="n">
        <x:f>IF(AND(CX$3&gt;=EDATE($B$110,-3),CX$3&lt;$B$110),$B$127/3,0)</x:f>
      </x:c>
      <x:c r="CY127" s="117" t="n">
        <x:f>IF(AND(CY$3&gt;=EDATE($B$110,-3),CY$3&lt;$B$110),$B$127/3,0)</x:f>
      </x:c>
      <x:c r="CZ127" s="117" t="n">
        <x:f>IF(AND(CZ$3&gt;=EDATE($B$110,-3),CZ$3&lt;$B$110),$B$127/3,0)</x:f>
      </x:c>
      <x:c r="DA127" s="117" t="n">
        <x:f>IF(AND(DA$3&gt;=EDATE($B$110,-3),DA$3&lt;$B$110),$B$127/3,0)</x:f>
      </x:c>
      <x:c r="DB127" s="117" t="n">
        <x:f>IF(AND(DB$3&gt;=EDATE($B$110,-3),DB$3&lt;$B$110),$B$127/3,0)</x:f>
      </x:c>
      <x:c r="DC127" s="117" t="n">
        <x:f>IF(AND(DC$3&gt;=EDATE($B$110,-3),DC$3&lt;$B$110),$B$127/3,0)</x:f>
      </x:c>
      <x:c r="DD127" s="117" t="n">
        <x:f>IF(AND(DD$3&gt;=EDATE($B$110,-3),DD$3&lt;$B$110),$B$127/3,0)</x:f>
      </x:c>
      <x:c r="DE127" s="117" t="n">
        <x:f>IF(AND(DE$3&gt;=EDATE($B$110,-3),DE$3&lt;$B$110),$B$127/3,0)</x:f>
      </x:c>
      <x:c r="DF127" s="117" t="n">
        <x:f>IF(AND(DF$3&gt;=EDATE($B$110,-3),DF$3&lt;$B$110),$B$127/3,0)</x:f>
      </x:c>
      <x:c r="DG127" s="117" t="n">
        <x:f>IF(AND(DG$3&gt;=EDATE($B$110,-3),DG$3&lt;$B$110),$B$127/3,0)</x:f>
      </x:c>
      <x:c r="DH127" s="117" t="n">
        <x:f>IF(AND(DH$3&gt;=EDATE($B$110,-3),DH$3&lt;$B$110),$B$127/3,0)</x:f>
      </x:c>
      <x:c r="DI127" s="117" t="n">
        <x:f>IF(AND(DI$3&gt;=EDATE($B$110,-3),DI$3&lt;$B$110),$B$127/3,0)</x:f>
      </x:c>
      <x:c r="DJ127" s="117" t="n">
        <x:f>IF(AND(DJ$3&gt;=EDATE($B$110,-3),DJ$3&lt;$B$110),$B$127/3,0)</x:f>
      </x:c>
      <x:c r="DK127" s="117" t="n">
        <x:f>IF(AND(DK$3&gt;=EDATE($B$110,-3),DK$3&lt;$B$110),$B$127/3,0)</x:f>
      </x:c>
      <x:c r="DL127" s="117" t="n">
        <x:f>IF(AND(DL$3&gt;=EDATE($B$110,-3),DL$3&lt;$B$110),$B$127/3,0)</x:f>
      </x:c>
      <x:c r="DM127" s="117" t="n">
        <x:f>IF(AND(DM$3&gt;=EDATE($B$110,-3),DM$3&lt;$B$110),$B$127/3,0)</x:f>
      </x:c>
      <x:c r="DN127" s="117" t="n">
        <x:f>IF(AND(DN$3&gt;=EDATE($B$110,-3),DN$3&lt;$B$110),$B$127/3,0)</x:f>
      </x:c>
      <x:c r="DO127" s="117" t="n">
        <x:f>IF(AND(DO$3&gt;=EDATE($B$110,-3),DO$3&lt;$B$110),$B$127/3,0)</x:f>
      </x:c>
      <x:c r="DP127" s="117" t="n">
        <x:f>IF(AND(DP$3&gt;=EDATE($B$110,-3),DP$3&lt;$B$110),$B$127/3,0)</x:f>
      </x:c>
      <x:c r="DQ127" s="117" t="n">
        <x:f>IF(AND(DQ$3&gt;=EDATE($B$110,-3),DQ$3&lt;$B$110),$B$127/3,0)</x:f>
      </x:c>
      <x:c r="DR127" s="117" t="n">
        <x:f>IF(AND(DR$3&gt;=EDATE($B$110,-3),DR$3&lt;$B$110),$B$127/3,0)</x:f>
      </x:c>
      <x:c r="DS127" s="117" t="n">
        <x:f>IF(AND(DS$3&gt;=EDATE($B$110,-3),DS$3&lt;$B$110),$B$127/3,0)</x:f>
      </x:c>
      <x:c r="DT127" s="117" t="n">
        <x:f>IF(AND(DT$3&gt;=EDATE($B$110,-3),DT$3&lt;$B$110),$B$127/3,0)</x:f>
      </x:c>
      <x:c r="DU127" s="117" t="n">
        <x:f>IF(AND(DU$3&gt;=EDATE($B$110,-3),DU$3&lt;$B$110),$B$127/3,0)</x:f>
      </x:c>
      <x:c r="DV127" s="117" t="n">
        <x:f>IF(AND(DV$3&gt;=EDATE($B$110,-3),DV$3&lt;$B$110),$B$127/3,0)</x:f>
      </x:c>
      <x:c r="DW127" s="117" t="n">
        <x:f>IF(AND(DW$3&gt;=EDATE($B$110,-3),DW$3&lt;$B$110),$B$127/3,0)</x:f>
      </x:c>
      <x:c r="DX127" s="117" t="n">
        <x:f>IF(AND(DX$3&gt;=EDATE($B$110,-3),DX$3&lt;$B$110),$B$127/3,0)</x:f>
      </x:c>
      <x:c r="DY127" s="117" t="n">
        <x:f>IF(AND(DY$3&gt;=EDATE($B$110,-3),DY$3&lt;$B$110),$B$127/3,0)</x:f>
      </x:c>
      <x:c r="DZ127" s="117" t="n">
        <x:f>IF(AND(DZ$3&gt;=EDATE($B$110,-3),DZ$3&lt;$B$110),$B$127/3,0)</x:f>
      </x:c>
      <x:c r="EA127" s="117" t="n">
        <x:f>IF(AND(EA$3&gt;=EDATE($B$110,-3),EA$3&lt;$B$110),$B$127/3,0)</x:f>
      </x:c>
      <x:c r="EB127" s="117" t="n">
        <x:f>IF(AND(EB$3&gt;=EDATE($B$110,-3),EB$3&lt;$B$110),$B$127/3,0)</x:f>
      </x:c>
      <x:c r="EC127" s="117" t="n">
        <x:f>IF(AND(EC$3&gt;=EDATE($B$110,-3),EC$3&lt;$B$110),$B$127/3,0)</x:f>
      </x:c>
      <x:c r="ED127" s="117" t="n">
        <x:f>IF(AND(ED$3&gt;=EDATE($B$110,-3),ED$3&lt;$B$110),$B$127/3,0)</x:f>
      </x:c>
      <x:c r="EE127" s="117" t="n">
        <x:f>IF(AND(EE$3&gt;=EDATE($B$110,-3),EE$3&lt;$B$110),$B$127/3,0)</x:f>
      </x:c>
      <x:c r="EF127" s="117" t="n">
        <x:f>IF(AND(EF$3&gt;=EDATE($B$110,-3),EF$3&lt;$B$110),$B$127/3,0)</x:f>
      </x:c>
      <x:c r="EG127" s="117" t="n">
        <x:f>IF(AND(EG$3&gt;=EDATE($B$110,-3),EG$3&lt;$B$110),$B$127/3,0)</x:f>
      </x:c>
      <x:c r="EH127" s="117" t="n">
        <x:f>IF(AND(EH$3&gt;=EDATE($B$110,-3),EH$3&lt;$B$110),$B$127/3,0)</x:f>
      </x:c>
      <x:c r="EI127" s="117" t="n">
        <x:f>IF(AND(EI$3&gt;=EDATE($B$110,-3),EI$3&lt;$B$110),$B$127/3,0)</x:f>
      </x:c>
      <x:c r="EJ127" s="117" t="n">
        <x:f>IF(AND(EJ$3&gt;=EDATE($B$110,-3),EJ$3&lt;$B$110),$B$127/3,0)</x:f>
      </x:c>
      <x:c r="EK127" s="117" t="n">
        <x:f>IF(AND(EK$3&gt;=EDATE($B$110,-3),EK$3&lt;$B$110),$B$127/3,0)</x:f>
      </x:c>
      <x:c r="EL127" s="117" t="n">
        <x:f>IF(AND(EL$3&gt;=EDATE($B$110,-3),EL$3&lt;$B$110),$B$127/3,0)</x:f>
      </x:c>
      <x:c r="EM127" s="117" t="n">
        <x:f>IF(AND(EM$3&gt;=EDATE($B$110,-3),EM$3&lt;$B$110),$B$127/3,0)</x:f>
      </x:c>
      <x:c r="EN127" s="117" t="n">
        <x:f>IF(AND(EN$3&gt;=EDATE($B$110,-3),EN$3&lt;$B$110),$B$127/3,0)</x:f>
      </x:c>
      <x:c r="EO127" s="117" t="n">
        <x:f>IF(AND(EO$3&gt;=EDATE($B$110,-3),EO$3&lt;$B$110),$B$127/3,0)</x:f>
      </x:c>
      <x:c r="EP127" s="117" t="n">
        <x:f>IF(AND(EP$3&gt;=EDATE($B$110,-3),EP$3&lt;$B$110),$B$127/3,0)</x:f>
      </x:c>
      <x:c r="EQ127" s="117" t="n">
        <x:f>IF(AND(EQ$3&gt;=EDATE($B$110,-3),EQ$3&lt;$B$110),$B$127/3,0)</x:f>
      </x:c>
      <x:c r="ER127" s="117" t="n">
        <x:f>IF(AND(ER$3&gt;=EDATE($B$110,-3),ER$3&lt;$B$110),$B$127/3,0)</x:f>
      </x:c>
      <x:c r="ES127" s="117" t="n">
        <x:f>IF(AND(ES$3&gt;=EDATE($B$110,-3),ES$3&lt;$B$110),$B$127/3,0)</x:f>
      </x:c>
      <x:c r="ET127" s="117" t="n">
        <x:f>IF(AND(ET$3&gt;=EDATE($B$110,-3),ET$3&lt;$B$110),$B$127/3,0)</x:f>
      </x:c>
      <x:c r="EU127" s="117" t="n">
        <x:f>IF(AND(EU$3&gt;=EDATE($B$110,-3),EU$3&lt;$B$110),$B$127/3,0)</x:f>
      </x:c>
      <x:c r="EV127" s="117" t="n">
        <x:f>IF(AND(EV$3&gt;=EDATE($B$110,-3),EV$3&lt;$B$110),$B$127/3,0)</x:f>
      </x:c>
      <x:c r="EW127" s="117" t="n">
        <x:f>IF(AND(EW$3&gt;=EDATE($B$110,-3),EW$3&lt;$B$110),$B$127/3,0)</x:f>
      </x:c>
      <x:c r="EX127" s="117" t="n">
        <x:f>IF(AND(EX$3&gt;=EDATE($B$110,-3),EX$3&lt;$B$110),$B$127/3,0)</x:f>
      </x:c>
      <x:c r="EY127" s="117" t="n">
        <x:f>IF(AND(EY$3&gt;=EDATE($B$110,-3),EY$3&lt;$B$110),$B$127/3,0)</x:f>
      </x:c>
      <x:c r="EZ127" s="117" t="n">
        <x:f>IF(AND(EZ$3&gt;=EDATE($B$110,-3),EZ$3&lt;$B$110),$B$127/3,0)</x:f>
      </x:c>
      <x:c r="FA127" s="117" t="n">
        <x:f>IF(AND(FA$3&gt;=EDATE($B$110,-3),FA$3&lt;$B$110),$B$127/3,0)</x:f>
      </x:c>
      <x:c r="FB127" s="117" t="n">
        <x:f>IF(AND(FB$3&gt;=EDATE($B$110,-3),FB$3&lt;$B$110),$B$127/3,0)</x:f>
      </x:c>
      <x:c r="FC127" s="117" t="n">
        <x:f>IF(AND(FC$3&gt;=EDATE($B$110,-3),FC$3&lt;$B$110),$B$127/3,0)</x:f>
      </x:c>
      <x:c r="FD127" s="117" t="n">
        <x:f>IF(AND(FD$3&gt;=EDATE($B$110,-3),FD$3&lt;$B$110),$B$127/3,0)</x:f>
      </x:c>
      <x:c r="FE127" s="117" t="n">
        <x:f>IF(AND(FE$3&gt;=EDATE($B$110,-3),FE$3&lt;$B$110),$B$127/3,0)</x:f>
      </x:c>
      <x:c r="FF127" s="117" t="n">
        <x:f>IF(AND(FF$3&gt;=EDATE($B$110,-3),FF$3&lt;$B$110),$B$127/3,0)</x:f>
      </x:c>
      <x:c r="FG127" s="117" t="n">
        <x:f>IF(AND(FG$3&gt;=EDATE($B$110,-3),FG$3&lt;$B$110),$B$127/3,0)</x:f>
      </x:c>
      <x:c r="FH127" s="117" t="n">
        <x:f>IF(AND(FH$3&gt;=EDATE($B$110,-3),FH$3&lt;$B$110),$B$127/3,0)</x:f>
      </x:c>
      <x:c r="FI127" s="117" t="n">
        <x:f>IF(AND(FI$3&gt;=EDATE($B$110,-3),FI$3&lt;$B$110),$B$127/3,0)</x:f>
      </x:c>
      <x:c r="FJ127" s="117" t="n">
        <x:f>IF(AND(FJ$3&gt;=EDATE($B$110,-3),FJ$3&lt;$B$110),$B$127/3,0)</x:f>
      </x:c>
      <x:c r="FK127" s="117" t="n">
        <x:f>IF(AND(FK$3&gt;=EDATE($B$110,-3),FK$3&lt;$B$110),$B$127/3,0)</x:f>
      </x:c>
      <x:c r="FL127" s="117" t="n">
        <x:f>IF(AND(FL$3&gt;=EDATE($B$110,-3),FL$3&lt;$B$110),$B$127/3,0)</x:f>
      </x:c>
      <x:c r="FM127" s="117" t="n">
        <x:f>IF(AND(FM$3&gt;=EDATE($B$110,-3),FM$3&lt;$B$110),$B$127/3,0)</x:f>
      </x:c>
      <x:c r="FN127" s="117" t="n">
        <x:f>IF(AND(FN$3&gt;=EDATE($B$110,-3),FN$3&lt;$B$110),$B$127/3,0)</x:f>
      </x:c>
      <x:c r="FO127" s="117" t="n">
        <x:f>IF(AND(FO$3&gt;=EDATE($B$110,-3),FO$3&lt;$B$110),$B$127/3,0)</x:f>
      </x:c>
      <x:c r="FP127" s="117" t="n">
        <x:f>IF(AND(FP$3&gt;=EDATE($B$110,-3),FP$3&lt;$B$110),$B$127/3,0)</x:f>
      </x:c>
      <x:c r="FQ127" s="117" t="n">
        <x:f>IF(AND(FQ$3&gt;=EDATE($B$110,-3),FQ$3&lt;$B$110),$B$127/3,0)</x:f>
      </x:c>
      <x:c r="FR127" s="117" t="n">
        <x:f>IF(AND(FR$3&gt;=EDATE($B$110,-3),FR$3&lt;$B$110),$B$127/3,0)</x:f>
      </x:c>
      <x:c r="FS127" s="117" t="n">
        <x:f>IF(AND(FS$3&gt;=EDATE($B$110,-3),FS$3&lt;$B$110),$B$127/3,0)</x:f>
      </x:c>
      <x:c r="FT127" s="117" t="n">
        <x:f>IF(AND(FT$3&gt;=EDATE($B$110,-3),FT$3&lt;$B$110),$B$127/3,0)</x:f>
      </x:c>
      <x:c r="FU127" s="117" t="n">
        <x:f>IF(AND(FU$3&gt;=EDATE($B$110,-3),FU$3&lt;$B$110),$B$127/3,0)</x:f>
      </x:c>
      <x:c r="FV127" s="117" t="n">
        <x:f>IF(AND(FV$3&gt;=EDATE($B$110,-3),FV$3&lt;$B$110),$B$127/3,0)</x:f>
      </x:c>
      <x:c r="FW127" s="117" t="n">
        <x:f>IF(AND(FW$3&gt;=EDATE($B$110,-3),FW$3&lt;$B$110),$B$127/3,0)</x:f>
      </x:c>
      <x:c r="FX127" s="117" t="n">
        <x:f>IF(AND(FX$3&gt;=EDATE($B$110,-3),FX$3&lt;$B$110),$B$127/3,0)</x:f>
      </x:c>
      <x:c r="FY127" s="117" t="n">
        <x:f>IF(AND(FY$3&gt;=EDATE($B$110,-3),FY$3&lt;$B$110),$B$127/3,0)</x:f>
      </x:c>
      <x:c r="FZ127" s="117" t="n">
        <x:f>IF(AND(FZ$3&gt;=EDATE($B$110,-3),FZ$3&lt;$B$110),$B$127/3,0)</x:f>
      </x:c>
      <x:c r="GA127" s="117" t="n">
        <x:f>IF(AND(GA$3&gt;=EDATE($B$110,-3),GA$3&lt;$B$110),$B$127/3,0)</x:f>
      </x:c>
    </x:row>
    <x:row r="128">
      <x:c r="A128" t="str">
        <x:v>Содержание стройплощадки</x:v>
      </x:c>
      <x:c r="B128" s="107" t="n">
        <x:f>(('Вводные'!$I$91+'Вводные'!$J$91+'Вводные'!$K$91)*'Вводные'!$B$49/1000*'Вводные'!$H$6*'Вводные'!$T$91*--('Вводные'!$B$91="Да"))*'Вводные'!$AH$91</x:f>
      </x:c>
      <x:c r="C128" t="str">
        <x:v>млн ₽</x:v>
      </x:c>
      <x:c r="D128" s="117" t="n">
        <x:f>$B$128*D115</x:f>
      </x:c>
      <x:c r="E128" s="117" t="n">
        <x:f>$B$128*E115</x:f>
      </x:c>
      <x:c r="F128" s="117" t="n">
        <x:f>$B$128*F115</x:f>
      </x:c>
      <x:c r="G128" s="117" t="n">
        <x:f>$B$128*G115</x:f>
      </x:c>
      <x:c r="H128" s="117" t="n">
        <x:f>$B$128*H115</x:f>
      </x:c>
      <x:c r="I128" s="117" t="n">
        <x:f>$B$128*I115</x:f>
      </x:c>
      <x:c r="J128" s="117" t="n">
        <x:f>$B$128*J115</x:f>
      </x:c>
      <x:c r="K128" s="117" t="n">
        <x:f>$B$128*K115</x:f>
      </x:c>
      <x:c r="L128" s="117" t="n">
        <x:f>$B$128*L115</x:f>
      </x:c>
      <x:c r="M128" s="117" t="n">
        <x:f>$B$128*M115</x:f>
      </x:c>
      <x:c r="N128" s="117" t="n">
        <x:f>$B$128*N115</x:f>
      </x:c>
      <x:c r="O128" s="117" t="n">
        <x:f>$B$128*O115</x:f>
      </x:c>
      <x:c r="P128" s="117" t="n">
        <x:f>$B$128*P115</x:f>
      </x:c>
      <x:c r="Q128" s="117" t="n">
        <x:f>$B$128*Q115</x:f>
      </x:c>
      <x:c r="R128" s="117" t="n">
        <x:f>$B$128*R115</x:f>
      </x:c>
      <x:c r="S128" s="117" t="n">
        <x:f>$B$128*S115</x:f>
      </x:c>
      <x:c r="T128" s="117" t="n">
        <x:f>$B$128*T115</x:f>
      </x:c>
      <x:c r="U128" s="117" t="n">
        <x:f>$B$128*U115</x:f>
      </x:c>
      <x:c r="V128" s="117" t="n">
        <x:f>$B$128*V115</x:f>
      </x:c>
      <x:c r="W128" s="117" t="n">
        <x:f>$B$128*W115</x:f>
      </x:c>
      <x:c r="X128" s="117" t="n">
        <x:f>$B$128*X115</x:f>
      </x:c>
      <x:c r="Y128" s="117" t="n">
        <x:f>$B$128*Y115</x:f>
      </x:c>
      <x:c r="Z128" s="117" t="n">
        <x:f>$B$128*Z115</x:f>
      </x:c>
      <x:c r="AA128" s="117" t="n">
        <x:f>$B$128*AA115</x:f>
      </x:c>
      <x:c r="AB128" s="117" t="n">
        <x:f>$B$128*AB115</x:f>
      </x:c>
      <x:c r="AC128" s="117" t="n">
        <x:f>$B$128*AC115</x:f>
      </x:c>
      <x:c r="AD128" s="117" t="n">
        <x:f>$B$128*AD115</x:f>
      </x:c>
      <x:c r="AE128" s="117" t="n">
        <x:f>$B$128*AE115</x:f>
      </x:c>
      <x:c r="AF128" s="117" t="n">
        <x:f>$B$128*AF115</x:f>
      </x:c>
      <x:c r="AG128" s="117" t="n">
        <x:f>$B$128*AG115</x:f>
      </x:c>
      <x:c r="AH128" s="117" t="n">
        <x:f>$B$128*AH115</x:f>
      </x:c>
      <x:c r="AI128" s="117" t="n">
        <x:f>$B$128*AI115</x:f>
      </x:c>
      <x:c r="AJ128" s="117" t="n">
        <x:f>$B$128*AJ115</x:f>
      </x:c>
      <x:c r="AK128" s="117" t="n">
        <x:f>$B$128*AK115</x:f>
      </x:c>
      <x:c r="AL128" s="117" t="n">
        <x:f>$B$128*AL115</x:f>
      </x:c>
      <x:c r="AM128" s="117" t="n">
        <x:f>$B$128*AM115</x:f>
      </x:c>
      <x:c r="AN128" s="117" t="n">
        <x:f>$B$128*AN115</x:f>
      </x:c>
      <x:c r="AO128" s="117" t="n">
        <x:f>$B$128*AO115</x:f>
      </x:c>
      <x:c r="AP128" s="117" t="n">
        <x:f>$B$128*AP115</x:f>
      </x:c>
      <x:c r="AQ128" s="117" t="n">
        <x:f>$B$128*AQ115</x:f>
      </x:c>
      <x:c r="AR128" s="117" t="n">
        <x:f>$B$128*AR115</x:f>
      </x:c>
      <x:c r="AS128" s="117" t="n">
        <x:f>$B$128*AS115</x:f>
      </x:c>
      <x:c r="AT128" s="117" t="n">
        <x:f>$B$128*AT115</x:f>
      </x:c>
      <x:c r="AU128" s="117" t="n">
        <x:f>$B$128*AU115</x:f>
      </x:c>
      <x:c r="AV128" s="117" t="n">
        <x:f>$B$128*AV115</x:f>
      </x:c>
      <x:c r="AW128" s="117" t="n">
        <x:f>$B$128*AW115</x:f>
      </x:c>
      <x:c r="AX128" s="117" t="n">
        <x:f>$B$128*AX115</x:f>
      </x:c>
      <x:c r="AY128" s="117" t="n">
        <x:f>$B$128*AY115</x:f>
      </x:c>
      <x:c r="AZ128" s="117" t="n">
        <x:f>$B$128*AZ115</x:f>
      </x:c>
      <x:c r="BA128" s="117" t="n">
        <x:f>$B$128*BA115</x:f>
      </x:c>
      <x:c r="BB128" s="117" t="n">
        <x:f>$B$128*BB115</x:f>
      </x:c>
      <x:c r="BC128" s="117" t="n">
        <x:f>$B$128*BC115</x:f>
      </x:c>
      <x:c r="BD128" s="117" t="n">
        <x:f>$B$128*BD115</x:f>
      </x:c>
      <x:c r="BE128" s="117" t="n">
        <x:f>$B$128*BE115</x:f>
      </x:c>
      <x:c r="BF128" s="117" t="n">
        <x:f>$B$128*BF115</x:f>
      </x:c>
      <x:c r="BG128" s="117" t="n">
        <x:f>$B$128*BG115</x:f>
      </x:c>
      <x:c r="BH128" s="117" t="n">
        <x:f>$B$128*BH115</x:f>
      </x:c>
      <x:c r="BI128" s="117" t="n">
        <x:f>$B$128*BI115</x:f>
      </x:c>
      <x:c r="BJ128" s="117" t="n">
        <x:f>$B$128*BJ115</x:f>
      </x:c>
      <x:c r="BK128" s="117" t="n">
        <x:f>$B$128*BK115</x:f>
      </x:c>
      <x:c r="BL128" s="117" t="n">
        <x:f>$B$128*BL115</x:f>
      </x:c>
      <x:c r="BM128" s="117" t="n">
        <x:f>$B$128*BM115</x:f>
      </x:c>
      <x:c r="BN128" s="117" t="n">
        <x:f>$B$128*BN115</x:f>
      </x:c>
      <x:c r="BO128" s="117" t="n">
        <x:f>$B$128*BO115</x:f>
      </x:c>
      <x:c r="BP128" s="117" t="n">
        <x:f>$B$128*BP115</x:f>
      </x:c>
      <x:c r="BQ128" s="117" t="n">
        <x:f>$B$128*BQ115</x:f>
      </x:c>
      <x:c r="BR128" s="117" t="n">
        <x:f>$B$128*BR115</x:f>
      </x:c>
      <x:c r="BS128" s="117" t="n">
        <x:f>$B$128*BS115</x:f>
      </x:c>
      <x:c r="BT128" s="117" t="n">
        <x:f>$B$128*BT115</x:f>
      </x:c>
      <x:c r="BU128" s="117" t="n">
        <x:f>$B$128*BU115</x:f>
      </x:c>
      <x:c r="BV128" s="117" t="n">
        <x:f>$B$128*BV115</x:f>
      </x:c>
      <x:c r="BW128" s="117" t="n">
        <x:f>$B$128*BW115</x:f>
      </x:c>
      <x:c r="BX128" s="117" t="n">
        <x:f>$B$128*BX115</x:f>
      </x:c>
      <x:c r="BY128" s="117" t="n">
        <x:f>$B$128*BY115</x:f>
      </x:c>
      <x:c r="BZ128" s="117" t="n">
        <x:f>$B$128*BZ115</x:f>
      </x:c>
      <x:c r="CA128" s="117" t="n">
        <x:f>$B$128*CA115</x:f>
      </x:c>
      <x:c r="CB128" s="117" t="n">
        <x:f>$B$128*CB115</x:f>
      </x:c>
      <x:c r="CC128" s="117" t="n">
        <x:f>$B$128*CC115</x:f>
      </x:c>
      <x:c r="CD128" s="117" t="n">
        <x:f>$B$128*CD115</x:f>
      </x:c>
      <x:c r="CE128" s="117" t="n">
        <x:f>$B$128*CE115</x:f>
      </x:c>
      <x:c r="CF128" s="117" t="n">
        <x:f>$B$128*CF115</x:f>
      </x:c>
      <x:c r="CG128" s="117" t="n">
        <x:f>$B$128*CG115</x:f>
      </x:c>
      <x:c r="CH128" s="117" t="n">
        <x:f>$B$128*CH115</x:f>
      </x:c>
      <x:c r="CI128" s="117" t="n">
        <x:f>$B$128*CI115</x:f>
      </x:c>
      <x:c r="CJ128" s="117" t="n">
        <x:f>$B$128*CJ115</x:f>
      </x:c>
      <x:c r="CK128" s="117" t="n">
        <x:f>$B$128*CK115</x:f>
      </x:c>
      <x:c r="CL128" s="117" t="n">
        <x:f>$B$128*CL115</x:f>
      </x:c>
      <x:c r="CM128" s="117" t="n">
        <x:f>$B$128*CM115</x:f>
      </x:c>
      <x:c r="CN128" s="117" t="n">
        <x:f>$B$128*CN115</x:f>
      </x:c>
      <x:c r="CO128" s="117" t="n">
        <x:f>$B$128*CO115</x:f>
      </x:c>
      <x:c r="CP128" s="117" t="n">
        <x:f>$B$128*CP115</x:f>
      </x:c>
      <x:c r="CQ128" s="117" t="n">
        <x:f>$B$128*CQ115</x:f>
      </x:c>
      <x:c r="CR128" s="117" t="n">
        <x:f>$B$128*CR115</x:f>
      </x:c>
      <x:c r="CS128" s="117" t="n">
        <x:f>$B$128*CS115</x:f>
      </x:c>
      <x:c r="CT128" s="117" t="n">
        <x:f>$B$128*CT115</x:f>
      </x:c>
      <x:c r="CU128" s="117" t="n">
        <x:f>$B$128*CU115</x:f>
      </x:c>
      <x:c r="CV128" s="117" t="n">
        <x:f>$B$128*CV115</x:f>
      </x:c>
      <x:c r="CW128" s="117" t="n">
        <x:f>$B$128*CW115</x:f>
      </x:c>
      <x:c r="CX128" s="117" t="n">
        <x:f>$B$128*CX115</x:f>
      </x:c>
      <x:c r="CY128" s="117" t="n">
        <x:f>$B$128*CY115</x:f>
      </x:c>
      <x:c r="CZ128" s="117" t="n">
        <x:f>$B$128*CZ115</x:f>
      </x:c>
      <x:c r="DA128" s="117" t="n">
        <x:f>$B$128*DA115</x:f>
      </x:c>
      <x:c r="DB128" s="117" t="n">
        <x:f>$B$128*DB115</x:f>
      </x:c>
      <x:c r="DC128" s="117" t="n">
        <x:f>$B$128*DC115</x:f>
      </x:c>
      <x:c r="DD128" s="117" t="n">
        <x:f>$B$128*DD115</x:f>
      </x:c>
      <x:c r="DE128" s="117" t="n">
        <x:f>$B$128*DE115</x:f>
      </x:c>
      <x:c r="DF128" s="117" t="n">
        <x:f>$B$128*DF115</x:f>
      </x:c>
      <x:c r="DG128" s="117" t="n">
        <x:f>$B$128*DG115</x:f>
      </x:c>
      <x:c r="DH128" s="117" t="n">
        <x:f>$B$128*DH115</x:f>
      </x:c>
      <x:c r="DI128" s="117" t="n">
        <x:f>$B$128*DI115</x:f>
      </x:c>
      <x:c r="DJ128" s="117" t="n">
        <x:f>$B$128*DJ115</x:f>
      </x:c>
      <x:c r="DK128" s="117" t="n">
        <x:f>$B$128*DK115</x:f>
      </x:c>
      <x:c r="DL128" s="117" t="n">
        <x:f>$B$128*DL115</x:f>
      </x:c>
      <x:c r="DM128" s="117" t="n">
        <x:f>$B$128*DM115</x:f>
      </x:c>
      <x:c r="DN128" s="117" t="n">
        <x:f>$B$128*DN115</x:f>
      </x:c>
      <x:c r="DO128" s="117" t="n">
        <x:f>$B$128*DO115</x:f>
      </x:c>
      <x:c r="DP128" s="117" t="n">
        <x:f>$B$128*DP115</x:f>
      </x:c>
      <x:c r="DQ128" s="117" t="n">
        <x:f>$B$128*DQ115</x:f>
      </x:c>
      <x:c r="DR128" s="117" t="n">
        <x:f>$B$128*DR115</x:f>
      </x:c>
      <x:c r="DS128" s="117" t="n">
        <x:f>$B$128*DS115</x:f>
      </x:c>
      <x:c r="DT128" s="117" t="n">
        <x:f>$B$128*DT115</x:f>
      </x:c>
      <x:c r="DU128" s="117" t="n">
        <x:f>$B$128*DU115</x:f>
      </x:c>
      <x:c r="DV128" s="117" t="n">
        <x:f>$B$128*DV115</x:f>
      </x:c>
      <x:c r="DW128" s="117" t="n">
        <x:f>$B$128*DW115</x:f>
      </x:c>
      <x:c r="DX128" s="117" t="n">
        <x:f>$B$128*DX115</x:f>
      </x:c>
      <x:c r="DY128" s="117" t="n">
        <x:f>$B$128*DY115</x:f>
      </x:c>
      <x:c r="DZ128" s="117" t="n">
        <x:f>$B$128*DZ115</x:f>
      </x:c>
      <x:c r="EA128" s="117" t="n">
        <x:f>$B$128*EA115</x:f>
      </x:c>
      <x:c r="EB128" s="117" t="n">
        <x:f>$B$128*EB115</x:f>
      </x:c>
      <x:c r="EC128" s="117" t="n">
        <x:f>$B$128*EC115</x:f>
      </x:c>
      <x:c r="ED128" s="117" t="n">
        <x:f>$B$128*ED115</x:f>
      </x:c>
      <x:c r="EE128" s="117" t="n">
        <x:f>$B$128*EE115</x:f>
      </x:c>
      <x:c r="EF128" s="117" t="n">
        <x:f>$B$128*EF115</x:f>
      </x:c>
      <x:c r="EG128" s="117" t="n">
        <x:f>$B$128*EG115</x:f>
      </x:c>
      <x:c r="EH128" s="117" t="n">
        <x:f>$B$128*EH115</x:f>
      </x:c>
      <x:c r="EI128" s="117" t="n">
        <x:f>$B$128*EI115</x:f>
      </x:c>
      <x:c r="EJ128" s="117" t="n">
        <x:f>$B$128*EJ115</x:f>
      </x:c>
      <x:c r="EK128" s="117" t="n">
        <x:f>$B$128*EK115</x:f>
      </x:c>
      <x:c r="EL128" s="117" t="n">
        <x:f>$B$128*EL115</x:f>
      </x:c>
      <x:c r="EM128" s="117" t="n">
        <x:f>$B$128*EM115</x:f>
      </x:c>
      <x:c r="EN128" s="117" t="n">
        <x:f>$B$128*EN115</x:f>
      </x:c>
      <x:c r="EO128" s="117" t="n">
        <x:f>$B$128*EO115</x:f>
      </x:c>
      <x:c r="EP128" s="117" t="n">
        <x:f>$B$128*EP115</x:f>
      </x:c>
      <x:c r="EQ128" s="117" t="n">
        <x:f>$B$128*EQ115</x:f>
      </x:c>
      <x:c r="ER128" s="117" t="n">
        <x:f>$B$128*ER115</x:f>
      </x:c>
      <x:c r="ES128" s="117" t="n">
        <x:f>$B$128*ES115</x:f>
      </x:c>
      <x:c r="ET128" s="117" t="n">
        <x:f>$B$128*ET115</x:f>
      </x:c>
      <x:c r="EU128" s="117" t="n">
        <x:f>$B$128*EU115</x:f>
      </x:c>
      <x:c r="EV128" s="117" t="n">
        <x:f>$B$128*EV115</x:f>
      </x:c>
      <x:c r="EW128" s="117" t="n">
        <x:f>$B$128*EW115</x:f>
      </x:c>
      <x:c r="EX128" s="117" t="n">
        <x:f>$B$128*EX115</x:f>
      </x:c>
      <x:c r="EY128" s="117" t="n">
        <x:f>$B$128*EY115</x:f>
      </x:c>
      <x:c r="EZ128" s="117" t="n">
        <x:f>$B$128*EZ115</x:f>
      </x:c>
      <x:c r="FA128" s="117" t="n">
        <x:f>$B$128*FA115</x:f>
      </x:c>
      <x:c r="FB128" s="117" t="n">
        <x:f>$B$128*FB115</x:f>
      </x:c>
      <x:c r="FC128" s="117" t="n">
        <x:f>$B$128*FC115</x:f>
      </x:c>
      <x:c r="FD128" s="117" t="n">
        <x:f>$B$128*FD115</x:f>
      </x:c>
      <x:c r="FE128" s="117" t="n">
        <x:f>$B$128*FE115</x:f>
      </x:c>
      <x:c r="FF128" s="117" t="n">
        <x:f>$B$128*FF115</x:f>
      </x:c>
      <x:c r="FG128" s="117" t="n">
        <x:f>$B$128*FG115</x:f>
      </x:c>
      <x:c r="FH128" s="117" t="n">
        <x:f>$B$128*FH115</x:f>
      </x:c>
      <x:c r="FI128" s="117" t="n">
        <x:f>$B$128*FI115</x:f>
      </x:c>
      <x:c r="FJ128" s="117" t="n">
        <x:f>$B$128*FJ115</x:f>
      </x:c>
      <x:c r="FK128" s="117" t="n">
        <x:f>$B$128*FK115</x:f>
      </x:c>
      <x:c r="FL128" s="117" t="n">
        <x:f>$B$128*FL115</x:f>
      </x:c>
      <x:c r="FM128" s="117" t="n">
        <x:f>$B$128*FM115</x:f>
      </x:c>
      <x:c r="FN128" s="117" t="n">
        <x:f>$B$128*FN115</x:f>
      </x:c>
      <x:c r="FO128" s="117" t="n">
        <x:f>$B$128*FO115</x:f>
      </x:c>
      <x:c r="FP128" s="117" t="n">
        <x:f>$B$128*FP115</x:f>
      </x:c>
      <x:c r="FQ128" s="117" t="n">
        <x:f>$B$128*FQ115</x:f>
      </x:c>
      <x:c r="FR128" s="117" t="n">
        <x:f>$B$128*FR115</x:f>
      </x:c>
      <x:c r="FS128" s="117" t="n">
        <x:f>$B$128*FS115</x:f>
      </x:c>
      <x:c r="FT128" s="117" t="n">
        <x:f>$B$128*FT115</x:f>
      </x:c>
      <x:c r="FU128" s="117" t="n">
        <x:f>$B$128*FU115</x:f>
      </x:c>
      <x:c r="FV128" s="117" t="n">
        <x:f>$B$128*FV115</x:f>
      </x:c>
      <x:c r="FW128" s="117" t="n">
        <x:f>$B$128*FW115</x:f>
      </x:c>
      <x:c r="FX128" s="117" t="n">
        <x:f>$B$128*FX115</x:f>
      </x:c>
      <x:c r="FY128" s="117" t="n">
        <x:f>$B$128*FY115</x:f>
      </x:c>
      <x:c r="FZ128" s="117" t="n">
        <x:f>$B$128*FZ115</x:f>
      </x:c>
      <x:c r="GA128" s="117" t="n">
        <x:f>$B$128*GA115</x:f>
      </x:c>
    </x:row>
    <x:row r="129">
      <x:c r="A129" t="str">
        <x:v>Техзаказчик / стройконтроль</x:v>
      </x:c>
      <x:c r="B129" s="107" t="n">
        <x:f>(B123+B124+B133+'ОБЪЕКТЫ'!$B$120)*'Вводные'!$B$53</x:f>
      </x:c>
      <x:c r="C129" t="str">
        <x:v>млн ₽</x:v>
      </x:c>
      <x:c r="D129" s="117" t="n">
        <x:f>$B$129*D115</x:f>
      </x:c>
      <x:c r="E129" s="117" t="n">
        <x:f>$B$129*E115</x:f>
      </x:c>
      <x:c r="F129" s="117" t="n">
        <x:f>$B$129*F115</x:f>
      </x:c>
      <x:c r="G129" s="117" t="n">
        <x:f>$B$129*G115</x:f>
      </x:c>
      <x:c r="H129" s="117" t="n">
        <x:f>$B$129*H115</x:f>
      </x:c>
      <x:c r="I129" s="117" t="n">
        <x:f>$B$129*I115</x:f>
      </x:c>
      <x:c r="J129" s="117" t="n">
        <x:f>$B$129*J115</x:f>
      </x:c>
      <x:c r="K129" s="117" t="n">
        <x:f>$B$129*K115</x:f>
      </x:c>
      <x:c r="L129" s="117" t="n">
        <x:f>$B$129*L115</x:f>
      </x:c>
      <x:c r="M129" s="117" t="n">
        <x:f>$B$129*M115</x:f>
      </x:c>
      <x:c r="N129" s="117" t="n">
        <x:f>$B$129*N115</x:f>
      </x:c>
      <x:c r="O129" s="117" t="n">
        <x:f>$B$129*O115</x:f>
      </x:c>
      <x:c r="P129" s="117" t="n">
        <x:f>$B$129*P115</x:f>
      </x:c>
      <x:c r="Q129" s="117" t="n">
        <x:f>$B$129*Q115</x:f>
      </x:c>
      <x:c r="R129" s="117" t="n">
        <x:f>$B$129*R115</x:f>
      </x:c>
      <x:c r="S129" s="117" t="n">
        <x:f>$B$129*S115</x:f>
      </x:c>
      <x:c r="T129" s="117" t="n">
        <x:f>$B$129*T115</x:f>
      </x:c>
      <x:c r="U129" s="117" t="n">
        <x:f>$B$129*U115</x:f>
      </x:c>
      <x:c r="V129" s="117" t="n">
        <x:f>$B$129*V115</x:f>
      </x:c>
      <x:c r="W129" s="117" t="n">
        <x:f>$B$129*W115</x:f>
      </x:c>
      <x:c r="X129" s="117" t="n">
        <x:f>$B$129*X115</x:f>
      </x:c>
      <x:c r="Y129" s="117" t="n">
        <x:f>$B$129*Y115</x:f>
      </x:c>
      <x:c r="Z129" s="117" t="n">
        <x:f>$B$129*Z115</x:f>
      </x:c>
      <x:c r="AA129" s="117" t="n">
        <x:f>$B$129*AA115</x:f>
      </x:c>
      <x:c r="AB129" s="117" t="n">
        <x:f>$B$129*AB115</x:f>
      </x:c>
      <x:c r="AC129" s="117" t="n">
        <x:f>$B$129*AC115</x:f>
      </x:c>
      <x:c r="AD129" s="117" t="n">
        <x:f>$B$129*AD115</x:f>
      </x:c>
      <x:c r="AE129" s="117" t="n">
        <x:f>$B$129*AE115</x:f>
      </x:c>
      <x:c r="AF129" s="117" t="n">
        <x:f>$B$129*AF115</x:f>
      </x:c>
      <x:c r="AG129" s="117" t="n">
        <x:f>$B$129*AG115</x:f>
      </x:c>
      <x:c r="AH129" s="117" t="n">
        <x:f>$B$129*AH115</x:f>
      </x:c>
      <x:c r="AI129" s="117" t="n">
        <x:f>$B$129*AI115</x:f>
      </x:c>
      <x:c r="AJ129" s="117" t="n">
        <x:f>$B$129*AJ115</x:f>
      </x:c>
      <x:c r="AK129" s="117" t="n">
        <x:f>$B$129*AK115</x:f>
      </x:c>
      <x:c r="AL129" s="117" t="n">
        <x:f>$B$129*AL115</x:f>
      </x:c>
      <x:c r="AM129" s="117" t="n">
        <x:f>$B$129*AM115</x:f>
      </x:c>
      <x:c r="AN129" s="117" t="n">
        <x:f>$B$129*AN115</x:f>
      </x:c>
      <x:c r="AO129" s="117" t="n">
        <x:f>$B$129*AO115</x:f>
      </x:c>
      <x:c r="AP129" s="117" t="n">
        <x:f>$B$129*AP115</x:f>
      </x:c>
      <x:c r="AQ129" s="117" t="n">
        <x:f>$B$129*AQ115</x:f>
      </x:c>
      <x:c r="AR129" s="117" t="n">
        <x:f>$B$129*AR115</x:f>
      </x:c>
      <x:c r="AS129" s="117" t="n">
        <x:f>$B$129*AS115</x:f>
      </x:c>
      <x:c r="AT129" s="117" t="n">
        <x:f>$B$129*AT115</x:f>
      </x:c>
      <x:c r="AU129" s="117" t="n">
        <x:f>$B$129*AU115</x:f>
      </x:c>
      <x:c r="AV129" s="117" t="n">
        <x:f>$B$129*AV115</x:f>
      </x:c>
      <x:c r="AW129" s="117" t="n">
        <x:f>$B$129*AW115</x:f>
      </x:c>
      <x:c r="AX129" s="117" t="n">
        <x:f>$B$129*AX115</x:f>
      </x:c>
      <x:c r="AY129" s="117" t="n">
        <x:f>$B$129*AY115</x:f>
      </x:c>
      <x:c r="AZ129" s="117" t="n">
        <x:f>$B$129*AZ115</x:f>
      </x:c>
      <x:c r="BA129" s="117" t="n">
        <x:f>$B$129*BA115</x:f>
      </x:c>
      <x:c r="BB129" s="117" t="n">
        <x:f>$B$129*BB115</x:f>
      </x:c>
      <x:c r="BC129" s="117" t="n">
        <x:f>$B$129*BC115</x:f>
      </x:c>
      <x:c r="BD129" s="117" t="n">
        <x:f>$B$129*BD115</x:f>
      </x:c>
      <x:c r="BE129" s="117" t="n">
        <x:f>$B$129*BE115</x:f>
      </x:c>
      <x:c r="BF129" s="117" t="n">
        <x:f>$B$129*BF115</x:f>
      </x:c>
      <x:c r="BG129" s="117" t="n">
        <x:f>$B$129*BG115</x:f>
      </x:c>
      <x:c r="BH129" s="117" t="n">
        <x:f>$B$129*BH115</x:f>
      </x:c>
      <x:c r="BI129" s="117" t="n">
        <x:f>$B$129*BI115</x:f>
      </x:c>
      <x:c r="BJ129" s="117" t="n">
        <x:f>$B$129*BJ115</x:f>
      </x:c>
      <x:c r="BK129" s="117" t="n">
        <x:f>$B$129*BK115</x:f>
      </x:c>
      <x:c r="BL129" s="117" t="n">
        <x:f>$B$129*BL115</x:f>
      </x:c>
      <x:c r="BM129" s="117" t="n">
        <x:f>$B$129*BM115</x:f>
      </x:c>
      <x:c r="BN129" s="117" t="n">
        <x:f>$B$129*BN115</x:f>
      </x:c>
      <x:c r="BO129" s="117" t="n">
        <x:f>$B$129*BO115</x:f>
      </x:c>
      <x:c r="BP129" s="117" t="n">
        <x:f>$B$129*BP115</x:f>
      </x:c>
      <x:c r="BQ129" s="117" t="n">
        <x:f>$B$129*BQ115</x:f>
      </x:c>
      <x:c r="BR129" s="117" t="n">
        <x:f>$B$129*BR115</x:f>
      </x:c>
      <x:c r="BS129" s="117" t="n">
        <x:f>$B$129*BS115</x:f>
      </x:c>
      <x:c r="BT129" s="117" t="n">
        <x:f>$B$129*BT115</x:f>
      </x:c>
      <x:c r="BU129" s="117" t="n">
        <x:f>$B$129*BU115</x:f>
      </x:c>
      <x:c r="BV129" s="117" t="n">
        <x:f>$B$129*BV115</x:f>
      </x:c>
      <x:c r="BW129" s="117" t="n">
        <x:f>$B$129*BW115</x:f>
      </x:c>
      <x:c r="BX129" s="117" t="n">
        <x:f>$B$129*BX115</x:f>
      </x:c>
      <x:c r="BY129" s="117" t="n">
        <x:f>$B$129*BY115</x:f>
      </x:c>
      <x:c r="BZ129" s="117" t="n">
        <x:f>$B$129*BZ115</x:f>
      </x:c>
      <x:c r="CA129" s="117" t="n">
        <x:f>$B$129*CA115</x:f>
      </x:c>
      <x:c r="CB129" s="117" t="n">
        <x:f>$B$129*CB115</x:f>
      </x:c>
      <x:c r="CC129" s="117" t="n">
        <x:f>$B$129*CC115</x:f>
      </x:c>
      <x:c r="CD129" s="117" t="n">
        <x:f>$B$129*CD115</x:f>
      </x:c>
      <x:c r="CE129" s="117" t="n">
        <x:f>$B$129*CE115</x:f>
      </x:c>
      <x:c r="CF129" s="117" t="n">
        <x:f>$B$129*CF115</x:f>
      </x:c>
      <x:c r="CG129" s="117" t="n">
        <x:f>$B$129*CG115</x:f>
      </x:c>
      <x:c r="CH129" s="117" t="n">
        <x:f>$B$129*CH115</x:f>
      </x:c>
      <x:c r="CI129" s="117" t="n">
        <x:f>$B$129*CI115</x:f>
      </x:c>
      <x:c r="CJ129" s="117" t="n">
        <x:f>$B$129*CJ115</x:f>
      </x:c>
      <x:c r="CK129" s="117" t="n">
        <x:f>$B$129*CK115</x:f>
      </x:c>
      <x:c r="CL129" s="117" t="n">
        <x:f>$B$129*CL115</x:f>
      </x:c>
      <x:c r="CM129" s="117" t="n">
        <x:f>$B$129*CM115</x:f>
      </x:c>
      <x:c r="CN129" s="117" t="n">
        <x:f>$B$129*CN115</x:f>
      </x:c>
      <x:c r="CO129" s="117" t="n">
        <x:f>$B$129*CO115</x:f>
      </x:c>
      <x:c r="CP129" s="117" t="n">
        <x:f>$B$129*CP115</x:f>
      </x:c>
      <x:c r="CQ129" s="117" t="n">
        <x:f>$B$129*CQ115</x:f>
      </x:c>
      <x:c r="CR129" s="117" t="n">
        <x:f>$B$129*CR115</x:f>
      </x:c>
      <x:c r="CS129" s="117" t="n">
        <x:f>$B$129*CS115</x:f>
      </x:c>
      <x:c r="CT129" s="117" t="n">
        <x:f>$B$129*CT115</x:f>
      </x:c>
      <x:c r="CU129" s="117" t="n">
        <x:f>$B$129*CU115</x:f>
      </x:c>
      <x:c r="CV129" s="117" t="n">
        <x:f>$B$129*CV115</x:f>
      </x:c>
      <x:c r="CW129" s="117" t="n">
        <x:f>$B$129*CW115</x:f>
      </x:c>
      <x:c r="CX129" s="117" t="n">
        <x:f>$B$129*CX115</x:f>
      </x:c>
      <x:c r="CY129" s="117" t="n">
        <x:f>$B$129*CY115</x:f>
      </x:c>
      <x:c r="CZ129" s="117" t="n">
        <x:f>$B$129*CZ115</x:f>
      </x:c>
      <x:c r="DA129" s="117" t="n">
        <x:f>$B$129*DA115</x:f>
      </x:c>
      <x:c r="DB129" s="117" t="n">
        <x:f>$B$129*DB115</x:f>
      </x:c>
      <x:c r="DC129" s="117" t="n">
        <x:f>$B$129*DC115</x:f>
      </x:c>
      <x:c r="DD129" s="117" t="n">
        <x:f>$B$129*DD115</x:f>
      </x:c>
      <x:c r="DE129" s="117" t="n">
        <x:f>$B$129*DE115</x:f>
      </x:c>
      <x:c r="DF129" s="117" t="n">
        <x:f>$B$129*DF115</x:f>
      </x:c>
      <x:c r="DG129" s="117" t="n">
        <x:f>$B$129*DG115</x:f>
      </x:c>
      <x:c r="DH129" s="117" t="n">
        <x:f>$B$129*DH115</x:f>
      </x:c>
      <x:c r="DI129" s="117" t="n">
        <x:f>$B$129*DI115</x:f>
      </x:c>
      <x:c r="DJ129" s="117" t="n">
        <x:f>$B$129*DJ115</x:f>
      </x:c>
      <x:c r="DK129" s="117" t="n">
        <x:f>$B$129*DK115</x:f>
      </x:c>
      <x:c r="DL129" s="117" t="n">
        <x:f>$B$129*DL115</x:f>
      </x:c>
      <x:c r="DM129" s="117" t="n">
        <x:f>$B$129*DM115</x:f>
      </x:c>
      <x:c r="DN129" s="117" t="n">
        <x:f>$B$129*DN115</x:f>
      </x:c>
      <x:c r="DO129" s="117" t="n">
        <x:f>$B$129*DO115</x:f>
      </x:c>
      <x:c r="DP129" s="117" t="n">
        <x:f>$B$129*DP115</x:f>
      </x:c>
      <x:c r="DQ129" s="117" t="n">
        <x:f>$B$129*DQ115</x:f>
      </x:c>
      <x:c r="DR129" s="117" t="n">
        <x:f>$B$129*DR115</x:f>
      </x:c>
      <x:c r="DS129" s="117" t="n">
        <x:f>$B$129*DS115</x:f>
      </x:c>
      <x:c r="DT129" s="117" t="n">
        <x:f>$B$129*DT115</x:f>
      </x:c>
      <x:c r="DU129" s="117" t="n">
        <x:f>$B$129*DU115</x:f>
      </x:c>
      <x:c r="DV129" s="117" t="n">
        <x:f>$B$129*DV115</x:f>
      </x:c>
      <x:c r="DW129" s="117" t="n">
        <x:f>$B$129*DW115</x:f>
      </x:c>
      <x:c r="DX129" s="117" t="n">
        <x:f>$B$129*DX115</x:f>
      </x:c>
      <x:c r="DY129" s="117" t="n">
        <x:f>$B$129*DY115</x:f>
      </x:c>
      <x:c r="DZ129" s="117" t="n">
        <x:f>$B$129*DZ115</x:f>
      </x:c>
      <x:c r="EA129" s="117" t="n">
        <x:f>$B$129*EA115</x:f>
      </x:c>
      <x:c r="EB129" s="117" t="n">
        <x:f>$B$129*EB115</x:f>
      </x:c>
      <x:c r="EC129" s="117" t="n">
        <x:f>$B$129*EC115</x:f>
      </x:c>
      <x:c r="ED129" s="117" t="n">
        <x:f>$B$129*ED115</x:f>
      </x:c>
      <x:c r="EE129" s="117" t="n">
        <x:f>$B$129*EE115</x:f>
      </x:c>
      <x:c r="EF129" s="117" t="n">
        <x:f>$B$129*EF115</x:f>
      </x:c>
      <x:c r="EG129" s="117" t="n">
        <x:f>$B$129*EG115</x:f>
      </x:c>
      <x:c r="EH129" s="117" t="n">
        <x:f>$B$129*EH115</x:f>
      </x:c>
      <x:c r="EI129" s="117" t="n">
        <x:f>$B$129*EI115</x:f>
      </x:c>
      <x:c r="EJ129" s="117" t="n">
        <x:f>$B$129*EJ115</x:f>
      </x:c>
      <x:c r="EK129" s="117" t="n">
        <x:f>$B$129*EK115</x:f>
      </x:c>
      <x:c r="EL129" s="117" t="n">
        <x:f>$B$129*EL115</x:f>
      </x:c>
      <x:c r="EM129" s="117" t="n">
        <x:f>$B$129*EM115</x:f>
      </x:c>
      <x:c r="EN129" s="117" t="n">
        <x:f>$B$129*EN115</x:f>
      </x:c>
      <x:c r="EO129" s="117" t="n">
        <x:f>$B$129*EO115</x:f>
      </x:c>
      <x:c r="EP129" s="117" t="n">
        <x:f>$B$129*EP115</x:f>
      </x:c>
      <x:c r="EQ129" s="117" t="n">
        <x:f>$B$129*EQ115</x:f>
      </x:c>
      <x:c r="ER129" s="117" t="n">
        <x:f>$B$129*ER115</x:f>
      </x:c>
      <x:c r="ES129" s="117" t="n">
        <x:f>$B$129*ES115</x:f>
      </x:c>
      <x:c r="ET129" s="117" t="n">
        <x:f>$B$129*ET115</x:f>
      </x:c>
      <x:c r="EU129" s="117" t="n">
        <x:f>$B$129*EU115</x:f>
      </x:c>
      <x:c r="EV129" s="117" t="n">
        <x:f>$B$129*EV115</x:f>
      </x:c>
      <x:c r="EW129" s="117" t="n">
        <x:f>$B$129*EW115</x:f>
      </x:c>
      <x:c r="EX129" s="117" t="n">
        <x:f>$B$129*EX115</x:f>
      </x:c>
      <x:c r="EY129" s="117" t="n">
        <x:f>$B$129*EY115</x:f>
      </x:c>
      <x:c r="EZ129" s="117" t="n">
        <x:f>$B$129*EZ115</x:f>
      </x:c>
      <x:c r="FA129" s="117" t="n">
        <x:f>$B$129*FA115</x:f>
      </x:c>
      <x:c r="FB129" s="117" t="n">
        <x:f>$B$129*FB115</x:f>
      </x:c>
      <x:c r="FC129" s="117" t="n">
        <x:f>$B$129*FC115</x:f>
      </x:c>
      <x:c r="FD129" s="117" t="n">
        <x:f>$B$129*FD115</x:f>
      </x:c>
      <x:c r="FE129" s="117" t="n">
        <x:f>$B$129*FE115</x:f>
      </x:c>
      <x:c r="FF129" s="117" t="n">
        <x:f>$B$129*FF115</x:f>
      </x:c>
      <x:c r="FG129" s="117" t="n">
        <x:f>$B$129*FG115</x:f>
      </x:c>
      <x:c r="FH129" s="117" t="n">
        <x:f>$B$129*FH115</x:f>
      </x:c>
      <x:c r="FI129" s="117" t="n">
        <x:f>$B$129*FI115</x:f>
      </x:c>
      <x:c r="FJ129" s="117" t="n">
        <x:f>$B$129*FJ115</x:f>
      </x:c>
      <x:c r="FK129" s="117" t="n">
        <x:f>$B$129*FK115</x:f>
      </x:c>
      <x:c r="FL129" s="117" t="n">
        <x:f>$B$129*FL115</x:f>
      </x:c>
      <x:c r="FM129" s="117" t="n">
        <x:f>$B$129*FM115</x:f>
      </x:c>
      <x:c r="FN129" s="117" t="n">
        <x:f>$B$129*FN115</x:f>
      </x:c>
      <x:c r="FO129" s="117" t="n">
        <x:f>$B$129*FO115</x:f>
      </x:c>
      <x:c r="FP129" s="117" t="n">
        <x:f>$B$129*FP115</x:f>
      </x:c>
      <x:c r="FQ129" s="117" t="n">
        <x:f>$B$129*FQ115</x:f>
      </x:c>
      <x:c r="FR129" s="117" t="n">
        <x:f>$B$129*FR115</x:f>
      </x:c>
      <x:c r="FS129" s="117" t="n">
        <x:f>$B$129*FS115</x:f>
      </x:c>
      <x:c r="FT129" s="117" t="n">
        <x:f>$B$129*FT115</x:f>
      </x:c>
      <x:c r="FU129" s="117" t="n">
        <x:f>$B$129*FU115</x:f>
      </x:c>
      <x:c r="FV129" s="117" t="n">
        <x:f>$B$129*FV115</x:f>
      </x:c>
      <x:c r="FW129" s="117" t="n">
        <x:f>$B$129*FW115</x:f>
      </x:c>
      <x:c r="FX129" s="117" t="n">
        <x:f>$B$129*FX115</x:f>
      </x:c>
      <x:c r="FY129" s="117" t="n">
        <x:f>$B$129*FY115</x:f>
      </x:c>
      <x:c r="FZ129" s="117" t="n">
        <x:f>$B$129*FZ115</x:f>
      </x:c>
      <x:c r="GA129" s="117" t="n">
        <x:f>$B$129*GA115</x:f>
      </x:c>
    </x:row>
    <x:row r="130">
      <x:c r="A130" t="str">
        <x:v>Управление проектом</x:v>
      </x:c>
      <x:c r="B130" s="107" t="n">
        <x:f>(SUM(B118:B126)+B128)*'Вводные'!$B$52</x:f>
      </x:c>
      <x:c r="C130" t="str">
        <x:v>млн ₽</x:v>
      </x:c>
      <x:c r="D130" s="117" t="n">
        <x:f>$B$130*IFERROR(SUM(D118:D128)/SUM($D$118:$GA$128),0)</x:f>
      </x:c>
      <x:c r="E130" s="117" t="n">
        <x:f>$B$130*IFERROR(SUM(E118:E128)/SUM($D$118:$GA$128),0)</x:f>
      </x:c>
      <x:c r="F130" s="117" t="n">
        <x:f>$B$130*IFERROR(SUM(F118:F128)/SUM($D$118:$GA$128),0)</x:f>
      </x:c>
      <x:c r="G130" s="117" t="n">
        <x:f>$B$130*IFERROR(SUM(G118:G128)/SUM($D$118:$GA$128),0)</x:f>
      </x:c>
      <x:c r="H130" s="117" t="n">
        <x:f>$B$130*IFERROR(SUM(H118:H128)/SUM($D$118:$GA$128),0)</x:f>
      </x:c>
      <x:c r="I130" s="117" t="n">
        <x:f>$B$130*IFERROR(SUM(I118:I128)/SUM($D$118:$GA$128),0)</x:f>
      </x:c>
      <x:c r="J130" s="117" t="n">
        <x:f>$B$130*IFERROR(SUM(J118:J128)/SUM($D$118:$GA$128),0)</x:f>
      </x:c>
      <x:c r="K130" s="117" t="n">
        <x:f>$B$130*IFERROR(SUM(K118:K128)/SUM($D$118:$GA$128),0)</x:f>
      </x:c>
      <x:c r="L130" s="117" t="n">
        <x:f>$B$130*IFERROR(SUM(L118:L128)/SUM($D$118:$GA$128),0)</x:f>
      </x:c>
      <x:c r="M130" s="117" t="n">
        <x:f>$B$130*IFERROR(SUM(M118:M128)/SUM($D$118:$GA$128),0)</x:f>
      </x:c>
      <x:c r="N130" s="117" t="n">
        <x:f>$B$130*IFERROR(SUM(N118:N128)/SUM($D$118:$GA$128),0)</x:f>
      </x:c>
      <x:c r="O130" s="117" t="n">
        <x:f>$B$130*IFERROR(SUM(O118:O128)/SUM($D$118:$GA$128),0)</x:f>
      </x:c>
      <x:c r="P130" s="117" t="n">
        <x:f>$B$130*IFERROR(SUM(P118:P128)/SUM($D$118:$GA$128),0)</x:f>
      </x:c>
      <x:c r="Q130" s="117" t="n">
        <x:f>$B$130*IFERROR(SUM(Q118:Q128)/SUM($D$118:$GA$128),0)</x:f>
      </x:c>
      <x:c r="R130" s="117" t="n">
        <x:f>$B$130*IFERROR(SUM(R118:R128)/SUM($D$118:$GA$128),0)</x:f>
      </x:c>
      <x:c r="S130" s="117" t="n">
        <x:f>$B$130*IFERROR(SUM(S118:S128)/SUM($D$118:$GA$128),0)</x:f>
      </x:c>
      <x:c r="T130" s="117" t="n">
        <x:f>$B$130*IFERROR(SUM(T118:T128)/SUM($D$118:$GA$128),0)</x:f>
      </x:c>
      <x:c r="U130" s="117" t="n">
        <x:f>$B$130*IFERROR(SUM(U118:U128)/SUM($D$118:$GA$128),0)</x:f>
      </x:c>
      <x:c r="V130" s="117" t="n">
        <x:f>$B$130*IFERROR(SUM(V118:V128)/SUM($D$118:$GA$128),0)</x:f>
      </x:c>
      <x:c r="W130" s="117" t="n">
        <x:f>$B$130*IFERROR(SUM(W118:W128)/SUM($D$118:$GA$128),0)</x:f>
      </x:c>
      <x:c r="X130" s="117" t="n">
        <x:f>$B$130*IFERROR(SUM(X118:X128)/SUM($D$118:$GA$128),0)</x:f>
      </x:c>
      <x:c r="Y130" s="117" t="n">
        <x:f>$B$130*IFERROR(SUM(Y118:Y128)/SUM($D$118:$GA$128),0)</x:f>
      </x:c>
      <x:c r="Z130" s="117" t="n">
        <x:f>$B$130*IFERROR(SUM(Z118:Z128)/SUM($D$118:$GA$128),0)</x:f>
      </x:c>
      <x:c r="AA130" s="117" t="n">
        <x:f>$B$130*IFERROR(SUM(AA118:AA128)/SUM($D$118:$GA$128),0)</x:f>
      </x:c>
      <x:c r="AB130" s="117" t="n">
        <x:f>$B$130*IFERROR(SUM(AB118:AB128)/SUM($D$118:$GA$128),0)</x:f>
      </x:c>
      <x:c r="AC130" s="117" t="n">
        <x:f>$B$130*IFERROR(SUM(AC118:AC128)/SUM($D$118:$GA$128),0)</x:f>
      </x:c>
      <x:c r="AD130" s="117" t="n">
        <x:f>$B$130*IFERROR(SUM(AD118:AD128)/SUM($D$118:$GA$128),0)</x:f>
      </x:c>
      <x:c r="AE130" s="117" t="n">
        <x:f>$B$130*IFERROR(SUM(AE118:AE128)/SUM($D$118:$GA$128),0)</x:f>
      </x:c>
      <x:c r="AF130" s="117" t="n">
        <x:f>$B$130*IFERROR(SUM(AF118:AF128)/SUM($D$118:$GA$128),0)</x:f>
      </x:c>
      <x:c r="AG130" s="117" t="n">
        <x:f>$B$130*IFERROR(SUM(AG118:AG128)/SUM($D$118:$GA$128),0)</x:f>
      </x:c>
      <x:c r="AH130" s="117" t="n">
        <x:f>$B$130*IFERROR(SUM(AH118:AH128)/SUM($D$118:$GA$128),0)</x:f>
      </x:c>
      <x:c r="AI130" s="117" t="n">
        <x:f>$B$130*IFERROR(SUM(AI118:AI128)/SUM($D$118:$GA$128),0)</x:f>
      </x:c>
      <x:c r="AJ130" s="117" t="n">
        <x:f>$B$130*IFERROR(SUM(AJ118:AJ128)/SUM($D$118:$GA$128),0)</x:f>
      </x:c>
      <x:c r="AK130" s="117" t="n">
        <x:f>$B$130*IFERROR(SUM(AK118:AK128)/SUM($D$118:$GA$128),0)</x:f>
      </x:c>
      <x:c r="AL130" s="117" t="n">
        <x:f>$B$130*IFERROR(SUM(AL118:AL128)/SUM($D$118:$GA$128),0)</x:f>
      </x:c>
      <x:c r="AM130" s="117" t="n">
        <x:f>$B$130*IFERROR(SUM(AM118:AM128)/SUM($D$118:$GA$128),0)</x:f>
      </x:c>
      <x:c r="AN130" s="117" t="n">
        <x:f>$B$130*IFERROR(SUM(AN118:AN128)/SUM($D$118:$GA$128),0)</x:f>
      </x:c>
      <x:c r="AO130" s="117" t="n">
        <x:f>$B$130*IFERROR(SUM(AO118:AO128)/SUM($D$118:$GA$128),0)</x:f>
      </x:c>
      <x:c r="AP130" s="117" t="n">
        <x:f>$B$130*IFERROR(SUM(AP118:AP128)/SUM($D$118:$GA$128),0)</x:f>
      </x:c>
      <x:c r="AQ130" s="117" t="n">
        <x:f>$B$130*IFERROR(SUM(AQ118:AQ128)/SUM($D$118:$GA$128),0)</x:f>
      </x:c>
      <x:c r="AR130" s="117" t="n">
        <x:f>$B$130*IFERROR(SUM(AR118:AR128)/SUM($D$118:$GA$128),0)</x:f>
      </x:c>
      <x:c r="AS130" s="117" t="n">
        <x:f>$B$130*IFERROR(SUM(AS118:AS128)/SUM($D$118:$GA$128),0)</x:f>
      </x:c>
      <x:c r="AT130" s="117" t="n">
        <x:f>$B$130*IFERROR(SUM(AT118:AT128)/SUM($D$118:$GA$128),0)</x:f>
      </x:c>
      <x:c r="AU130" s="117" t="n">
        <x:f>$B$130*IFERROR(SUM(AU118:AU128)/SUM($D$118:$GA$128),0)</x:f>
      </x:c>
      <x:c r="AV130" s="117" t="n">
        <x:f>$B$130*IFERROR(SUM(AV118:AV128)/SUM($D$118:$GA$128),0)</x:f>
      </x:c>
      <x:c r="AW130" s="117" t="n">
        <x:f>$B$130*IFERROR(SUM(AW118:AW128)/SUM($D$118:$GA$128),0)</x:f>
      </x:c>
      <x:c r="AX130" s="117" t="n">
        <x:f>$B$130*IFERROR(SUM(AX118:AX128)/SUM($D$118:$GA$128),0)</x:f>
      </x:c>
      <x:c r="AY130" s="117" t="n">
        <x:f>$B$130*IFERROR(SUM(AY118:AY128)/SUM($D$118:$GA$128),0)</x:f>
      </x:c>
      <x:c r="AZ130" s="117" t="n">
        <x:f>$B$130*IFERROR(SUM(AZ118:AZ128)/SUM($D$118:$GA$128),0)</x:f>
      </x:c>
      <x:c r="BA130" s="117" t="n">
        <x:f>$B$130*IFERROR(SUM(BA118:BA128)/SUM($D$118:$GA$128),0)</x:f>
      </x:c>
      <x:c r="BB130" s="117" t="n">
        <x:f>$B$130*IFERROR(SUM(BB118:BB128)/SUM($D$118:$GA$128),0)</x:f>
      </x:c>
      <x:c r="BC130" s="117" t="n">
        <x:f>$B$130*IFERROR(SUM(BC118:BC128)/SUM($D$118:$GA$128),0)</x:f>
      </x:c>
      <x:c r="BD130" s="117" t="n">
        <x:f>$B$130*IFERROR(SUM(BD118:BD128)/SUM($D$118:$GA$128),0)</x:f>
      </x:c>
      <x:c r="BE130" s="117" t="n">
        <x:f>$B$130*IFERROR(SUM(BE118:BE128)/SUM($D$118:$GA$128),0)</x:f>
      </x:c>
      <x:c r="BF130" s="117" t="n">
        <x:f>$B$130*IFERROR(SUM(BF118:BF128)/SUM($D$118:$GA$128),0)</x:f>
      </x:c>
      <x:c r="BG130" s="117" t="n">
        <x:f>$B$130*IFERROR(SUM(BG118:BG128)/SUM($D$118:$GA$128),0)</x:f>
      </x:c>
      <x:c r="BH130" s="117" t="n">
        <x:f>$B$130*IFERROR(SUM(BH118:BH128)/SUM($D$118:$GA$128),0)</x:f>
      </x:c>
      <x:c r="BI130" s="117" t="n">
        <x:f>$B$130*IFERROR(SUM(BI118:BI128)/SUM($D$118:$GA$128),0)</x:f>
      </x:c>
      <x:c r="BJ130" s="117" t="n">
        <x:f>$B$130*IFERROR(SUM(BJ118:BJ128)/SUM($D$118:$GA$128),0)</x:f>
      </x:c>
      <x:c r="BK130" s="117" t="n">
        <x:f>$B$130*IFERROR(SUM(BK118:BK128)/SUM($D$118:$GA$128),0)</x:f>
      </x:c>
      <x:c r="BL130" s="117" t="n">
        <x:f>$B$130*IFERROR(SUM(BL118:BL128)/SUM($D$118:$GA$128),0)</x:f>
      </x:c>
      <x:c r="BM130" s="117" t="n">
        <x:f>$B$130*IFERROR(SUM(BM118:BM128)/SUM($D$118:$GA$128),0)</x:f>
      </x:c>
      <x:c r="BN130" s="117" t="n">
        <x:f>$B$130*IFERROR(SUM(BN118:BN128)/SUM($D$118:$GA$128),0)</x:f>
      </x:c>
      <x:c r="BO130" s="117" t="n">
        <x:f>$B$130*IFERROR(SUM(BO118:BO128)/SUM($D$118:$GA$128),0)</x:f>
      </x:c>
      <x:c r="BP130" s="117" t="n">
        <x:f>$B$130*IFERROR(SUM(BP118:BP128)/SUM($D$118:$GA$128),0)</x:f>
      </x:c>
      <x:c r="BQ130" s="117" t="n">
        <x:f>$B$130*IFERROR(SUM(BQ118:BQ128)/SUM($D$118:$GA$128),0)</x:f>
      </x:c>
      <x:c r="BR130" s="117" t="n">
        <x:f>$B$130*IFERROR(SUM(BR118:BR128)/SUM($D$118:$GA$128),0)</x:f>
      </x:c>
      <x:c r="BS130" s="117" t="n">
        <x:f>$B$130*IFERROR(SUM(BS118:BS128)/SUM($D$118:$GA$128),0)</x:f>
      </x:c>
      <x:c r="BT130" s="117" t="n">
        <x:f>$B$130*IFERROR(SUM(BT118:BT128)/SUM($D$118:$GA$128),0)</x:f>
      </x:c>
      <x:c r="BU130" s="117" t="n">
        <x:f>$B$130*IFERROR(SUM(BU118:BU128)/SUM($D$118:$GA$128),0)</x:f>
      </x:c>
      <x:c r="BV130" s="117" t="n">
        <x:f>$B$130*IFERROR(SUM(BV118:BV128)/SUM($D$118:$GA$128),0)</x:f>
      </x:c>
      <x:c r="BW130" s="117" t="n">
        <x:f>$B$130*IFERROR(SUM(BW118:BW128)/SUM($D$118:$GA$128),0)</x:f>
      </x:c>
      <x:c r="BX130" s="117" t="n">
        <x:f>$B$130*IFERROR(SUM(BX118:BX128)/SUM($D$118:$GA$128),0)</x:f>
      </x:c>
      <x:c r="BY130" s="117" t="n">
        <x:f>$B$130*IFERROR(SUM(BY118:BY128)/SUM($D$118:$GA$128),0)</x:f>
      </x:c>
      <x:c r="BZ130" s="117" t="n">
        <x:f>$B$130*IFERROR(SUM(BZ118:BZ128)/SUM($D$118:$GA$128),0)</x:f>
      </x:c>
      <x:c r="CA130" s="117" t="n">
        <x:f>$B$130*IFERROR(SUM(CA118:CA128)/SUM($D$118:$GA$128),0)</x:f>
      </x:c>
      <x:c r="CB130" s="117" t="n">
        <x:f>$B$130*IFERROR(SUM(CB118:CB128)/SUM($D$118:$GA$128),0)</x:f>
      </x:c>
      <x:c r="CC130" s="117" t="n">
        <x:f>$B$130*IFERROR(SUM(CC118:CC128)/SUM($D$118:$GA$128),0)</x:f>
      </x:c>
      <x:c r="CD130" s="117" t="n">
        <x:f>$B$130*IFERROR(SUM(CD118:CD128)/SUM($D$118:$GA$128),0)</x:f>
      </x:c>
      <x:c r="CE130" s="117" t="n">
        <x:f>$B$130*IFERROR(SUM(CE118:CE128)/SUM($D$118:$GA$128),0)</x:f>
      </x:c>
      <x:c r="CF130" s="117" t="n">
        <x:f>$B$130*IFERROR(SUM(CF118:CF128)/SUM($D$118:$GA$128),0)</x:f>
      </x:c>
      <x:c r="CG130" s="117" t="n">
        <x:f>$B$130*IFERROR(SUM(CG118:CG128)/SUM($D$118:$GA$128),0)</x:f>
      </x:c>
      <x:c r="CH130" s="117" t="n">
        <x:f>$B$130*IFERROR(SUM(CH118:CH128)/SUM($D$118:$GA$128),0)</x:f>
      </x:c>
      <x:c r="CI130" s="117" t="n">
        <x:f>$B$130*IFERROR(SUM(CI118:CI128)/SUM($D$118:$GA$128),0)</x:f>
      </x:c>
      <x:c r="CJ130" s="117" t="n">
        <x:f>$B$130*IFERROR(SUM(CJ118:CJ128)/SUM($D$118:$GA$128),0)</x:f>
      </x:c>
      <x:c r="CK130" s="117" t="n">
        <x:f>$B$130*IFERROR(SUM(CK118:CK128)/SUM($D$118:$GA$128),0)</x:f>
      </x:c>
      <x:c r="CL130" s="117" t="n">
        <x:f>$B$130*IFERROR(SUM(CL118:CL128)/SUM($D$118:$GA$128),0)</x:f>
      </x:c>
      <x:c r="CM130" s="117" t="n">
        <x:f>$B$130*IFERROR(SUM(CM118:CM128)/SUM($D$118:$GA$128),0)</x:f>
      </x:c>
      <x:c r="CN130" s="117" t="n">
        <x:f>$B$130*IFERROR(SUM(CN118:CN128)/SUM($D$118:$GA$128),0)</x:f>
      </x:c>
      <x:c r="CO130" s="117" t="n">
        <x:f>$B$130*IFERROR(SUM(CO118:CO128)/SUM($D$118:$GA$128),0)</x:f>
      </x:c>
      <x:c r="CP130" s="117" t="n">
        <x:f>$B$130*IFERROR(SUM(CP118:CP128)/SUM($D$118:$GA$128),0)</x:f>
      </x:c>
      <x:c r="CQ130" s="117" t="n">
        <x:f>$B$130*IFERROR(SUM(CQ118:CQ128)/SUM($D$118:$GA$128),0)</x:f>
      </x:c>
      <x:c r="CR130" s="117" t="n">
        <x:f>$B$130*IFERROR(SUM(CR118:CR128)/SUM($D$118:$GA$128),0)</x:f>
      </x:c>
      <x:c r="CS130" s="117" t="n">
        <x:f>$B$130*IFERROR(SUM(CS118:CS128)/SUM($D$118:$GA$128),0)</x:f>
      </x:c>
      <x:c r="CT130" s="117" t="n">
        <x:f>$B$130*IFERROR(SUM(CT118:CT128)/SUM($D$118:$GA$128),0)</x:f>
      </x:c>
      <x:c r="CU130" s="117" t="n">
        <x:f>$B$130*IFERROR(SUM(CU118:CU128)/SUM($D$118:$GA$128),0)</x:f>
      </x:c>
      <x:c r="CV130" s="117" t="n">
        <x:f>$B$130*IFERROR(SUM(CV118:CV128)/SUM($D$118:$GA$128),0)</x:f>
      </x:c>
      <x:c r="CW130" s="117" t="n">
        <x:f>$B$130*IFERROR(SUM(CW118:CW128)/SUM($D$118:$GA$128),0)</x:f>
      </x:c>
      <x:c r="CX130" s="117" t="n">
        <x:f>$B$130*IFERROR(SUM(CX118:CX128)/SUM($D$118:$GA$128),0)</x:f>
      </x:c>
      <x:c r="CY130" s="117" t="n">
        <x:f>$B$130*IFERROR(SUM(CY118:CY128)/SUM($D$118:$GA$128),0)</x:f>
      </x:c>
      <x:c r="CZ130" s="117" t="n">
        <x:f>$B$130*IFERROR(SUM(CZ118:CZ128)/SUM($D$118:$GA$128),0)</x:f>
      </x:c>
      <x:c r="DA130" s="117" t="n">
        <x:f>$B$130*IFERROR(SUM(DA118:DA128)/SUM($D$118:$GA$128),0)</x:f>
      </x:c>
      <x:c r="DB130" s="117" t="n">
        <x:f>$B$130*IFERROR(SUM(DB118:DB128)/SUM($D$118:$GA$128),0)</x:f>
      </x:c>
      <x:c r="DC130" s="117" t="n">
        <x:f>$B$130*IFERROR(SUM(DC118:DC128)/SUM($D$118:$GA$128),0)</x:f>
      </x:c>
      <x:c r="DD130" s="117" t="n">
        <x:f>$B$130*IFERROR(SUM(DD118:DD128)/SUM($D$118:$GA$128),0)</x:f>
      </x:c>
      <x:c r="DE130" s="117" t="n">
        <x:f>$B$130*IFERROR(SUM(DE118:DE128)/SUM($D$118:$GA$128),0)</x:f>
      </x:c>
      <x:c r="DF130" s="117" t="n">
        <x:f>$B$130*IFERROR(SUM(DF118:DF128)/SUM($D$118:$GA$128),0)</x:f>
      </x:c>
      <x:c r="DG130" s="117" t="n">
        <x:f>$B$130*IFERROR(SUM(DG118:DG128)/SUM($D$118:$GA$128),0)</x:f>
      </x:c>
      <x:c r="DH130" s="117" t="n">
        <x:f>$B$130*IFERROR(SUM(DH118:DH128)/SUM($D$118:$GA$128),0)</x:f>
      </x:c>
      <x:c r="DI130" s="117" t="n">
        <x:f>$B$130*IFERROR(SUM(DI118:DI128)/SUM($D$118:$GA$128),0)</x:f>
      </x:c>
      <x:c r="DJ130" s="117" t="n">
        <x:f>$B$130*IFERROR(SUM(DJ118:DJ128)/SUM($D$118:$GA$128),0)</x:f>
      </x:c>
      <x:c r="DK130" s="117" t="n">
        <x:f>$B$130*IFERROR(SUM(DK118:DK128)/SUM($D$118:$GA$128),0)</x:f>
      </x:c>
      <x:c r="DL130" s="117" t="n">
        <x:f>$B$130*IFERROR(SUM(DL118:DL128)/SUM($D$118:$GA$128),0)</x:f>
      </x:c>
      <x:c r="DM130" s="117" t="n">
        <x:f>$B$130*IFERROR(SUM(DM118:DM128)/SUM($D$118:$GA$128),0)</x:f>
      </x:c>
      <x:c r="DN130" s="117" t="n">
        <x:f>$B$130*IFERROR(SUM(DN118:DN128)/SUM($D$118:$GA$128),0)</x:f>
      </x:c>
      <x:c r="DO130" s="117" t="n">
        <x:f>$B$130*IFERROR(SUM(DO118:DO128)/SUM($D$118:$GA$128),0)</x:f>
      </x:c>
      <x:c r="DP130" s="117" t="n">
        <x:f>$B$130*IFERROR(SUM(DP118:DP128)/SUM($D$118:$GA$128),0)</x:f>
      </x:c>
      <x:c r="DQ130" s="117" t="n">
        <x:f>$B$130*IFERROR(SUM(DQ118:DQ128)/SUM($D$118:$GA$128),0)</x:f>
      </x:c>
      <x:c r="DR130" s="117" t="n">
        <x:f>$B$130*IFERROR(SUM(DR118:DR128)/SUM($D$118:$GA$128),0)</x:f>
      </x:c>
      <x:c r="DS130" s="117" t="n">
        <x:f>$B$130*IFERROR(SUM(DS118:DS128)/SUM($D$118:$GA$128),0)</x:f>
      </x:c>
      <x:c r="DT130" s="117" t="n">
        <x:f>$B$130*IFERROR(SUM(DT118:DT128)/SUM($D$118:$GA$128),0)</x:f>
      </x:c>
      <x:c r="DU130" s="117" t="n">
        <x:f>$B$130*IFERROR(SUM(DU118:DU128)/SUM($D$118:$GA$128),0)</x:f>
      </x:c>
      <x:c r="DV130" s="117" t="n">
        <x:f>$B$130*IFERROR(SUM(DV118:DV128)/SUM($D$118:$GA$128),0)</x:f>
      </x:c>
      <x:c r="DW130" s="117" t="n">
        <x:f>$B$130*IFERROR(SUM(DW118:DW128)/SUM($D$118:$GA$128),0)</x:f>
      </x:c>
      <x:c r="DX130" s="117" t="n">
        <x:f>$B$130*IFERROR(SUM(DX118:DX128)/SUM($D$118:$GA$128),0)</x:f>
      </x:c>
      <x:c r="DY130" s="117" t="n">
        <x:f>$B$130*IFERROR(SUM(DY118:DY128)/SUM($D$118:$GA$128),0)</x:f>
      </x:c>
      <x:c r="DZ130" s="117" t="n">
        <x:f>$B$130*IFERROR(SUM(DZ118:DZ128)/SUM($D$118:$GA$128),0)</x:f>
      </x:c>
      <x:c r="EA130" s="117" t="n">
        <x:f>$B$130*IFERROR(SUM(EA118:EA128)/SUM($D$118:$GA$128),0)</x:f>
      </x:c>
      <x:c r="EB130" s="117" t="n">
        <x:f>$B$130*IFERROR(SUM(EB118:EB128)/SUM($D$118:$GA$128),0)</x:f>
      </x:c>
      <x:c r="EC130" s="117" t="n">
        <x:f>$B$130*IFERROR(SUM(EC118:EC128)/SUM($D$118:$GA$128),0)</x:f>
      </x:c>
      <x:c r="ED130" s="117" t="n">
        <x:f>$B$130*IFERROR(SUM(ED118:ED128)/SUM($D$118:$GA$128),0)</x:f>
      </x:c>
      <x:c r="EE130" s="117" t="n">
        <x:f>$B$130*IFERROR(SUM(EE118:EE128)/SUM($D$118:$GA$128),0)</x:f>
      </x:c>
      <x:c r="EF130" s="117" t="n">
        <x:f>$B$130*IFERROR(SUM(EF118:EF128)/SUM($D$118:$GA$128),0)</x:f>
      </x:c>
      <x:c r="EG130" s="117" t="n">
        <x:f>$B$130*IFERROR(SUM(EG118:EG128)/SUM($D$118:$GA$128),0)</x:f>
      </x:c>
      <x:c r="EH130" s="117" t="n">
        <x:f>$B$130*IFERROR(SUM(EH118:EH128)/SUM($D$118:$GA$128),0)</x:f>
      </x:c>
      <x:c r="EI130" s="117" t="n">
        <x:f>$B$130*IFERROR(SUM(EI118:EI128)/SUM($D$118:$GA$128),0)</x:f>
      </x:c>
      <x:c r="EJ130" s="117" t="n">
        <x:f>$B$130*IFERROR(SUM(EJ118:EJ128)/SUM($D$118:$GA$128),0)</x:f>
      </x:c>
      <x:c r="EK130" s="117" t="n">
        <x:f>$B$130*IFERROR(SUM(EK118:EK128)/SUM($D$118:$GA$128),0)</x:f>
      </x:c>
      <x:c r="EL130" s="117" t="n">
        <x:f>$B$130*IFERROR(SUM(EL118:EL128)/SUM($D$118:$GA$128),0)</x:f>
      </x:c>
      <x:c r="EM130" s="117" t="n">
        <x:f>$B$130*IFERROR(SUM(EM118:EM128)/SUM($D$118:$GA$128),0)</x:f>
      </x:c>
      <x:c r="EN130" s="117" t="n">
        <x:f>$B$130*IFERROR(SUM(EN118:EN128)/SUM($D$118:$GA$128),0)</x:f>
      </x:c>
      <x:c r="EO130" s="117" t="n">
        <x:f>$B$130*IFERROR(SUM(EO118:EO128)/SUM($D$118:$GA$128),0)</x:f>
      </x:c>
      <x:c r="EP130" s="117" t="n">
        <x:f>$B$130*IFERROR(SUM(EP118:EP128)/SUM($D$118:$GA$128),0)</x:f>
      </x:c>
      <x:c r="EQ130" s="117" t="n">
        <x:f>$B$130*IFERROR(SUM(EQ118:EQ128)/SUM($D$118:$GA$128),0)</x:f>
      </x:c>
      <x:c r="ER130" s="117" t="n">
        <x:f>$B$130*IFERROR(SUM(ER118:ER128)/SUM($D$118:$GA$128),0)</x:f>
      </x:c>
      <x:c r="ES130" s="117" t="n">
        <x:f>$B$130*IFERROR(SUM(ES118:ES128)/SUM($D$118:$GA$128),0)</x:f>
      </x:c>
      <x:c r="ET130" s="117" t="n">
        <x:f>$B$130*IFERROR(SUM(ET118:ET128)/SUM($D$118:$GA$128),0)</x:f>
      </x:c>
      <x:c r="EU130" s="117" t="n">
        <x:f>$B$130*IFERROR(SUM(EU118:EU128)/SUM($D$118:$GA$128),0)</x:f>
      </x:c>
      <x:c r="EV130" s="117" t="n">
        <x:f>$B$130*IFERROR(SUM(EV118:EV128)/SUM($D$118:$GA$128),0)</x:f>
      </x:c>
      <x:c r="EW130" s="117" t="n">
        <x:f>$B$130*IFERROR(SUM(EW118:EW128)/SUM($D$118:$GA$128),0)</x:f>
      </x:c>
      <x:c r="EX130" s="117" t="n">
        <x:f>$B$130*IFERROR(SUM(EX118:EX128)/SUM($D$118:$GA$128),0)</x:f>
      </x:c>
      <x:c r="EY130" s="117" t="n">
        <x:f>$B$130*IFERROR(SUM(EY118:EY128)/SUM($D$118:$GA$128),0)</x:f>
      </x:c>
      <x:c r="EZ130" s="117" t="n">
        <x:f>$B$130*IFERROR(SUM(EZ118:EZ128)/SUM($D$118:$GA$128),0)</x:f>
      </x:c>
      <x:c r="FA130" s="117" t="n">
        <x:f>$B$130*IFERROR(SUM(FA118:FA128)/SUM($D$118:$GA$128),0)</x:f>
      </x:c>
      <x:c r="FB130" s="117" t="n">
        <x:f>$B$130*IFERROR(SUM(FB118:FB128)/SUM($D$118:$GA$128),0)</x:f>
      </x:c>
      <x:c r="FC130" s="117" t="n">
        <x:f>$B$130*IFERROR(SUM(FC118:FC128)/SUM($D$118:$GA$128),0)</x:f>
      </x:c>
      <x:c r="FD130" s="117" t="n">
        <x:f>$B$130*IFERROR(SUM(FD118:FD128)/SUM($D$118:$GA$128),0)</x:f>
      </x:c>
      <x:c r="FE130" s="117" t="n">
        <x:f>$B$130*IFERROR(SUM(FE118:FE128)/SUM($D$118:$GA$128),0)</x:f>
      </x:c>
      <x:c r="FF130" s="117" t="n">
        <x:f>$B$130*IFERROR(SUM(FF118:FF128)/SUM($D$118:$GA$128),0)</x:f>
      </x:c>
      <x:c r="FG130" s="117" t="n">
        <x:f>$B$130*IFERROR(SUM(FG118:FG128)/SUM($D$118:$GA$128),0)</x:f>
      </x:c>
      <x:c r="FH130" s="117" t="n">
        <x:f>$B$130*IFERROR(SUM(FH118:FH128)/SUM($D$118:$GA$128),0)</x:f>
      </x:c>
      <x:c r="FI130" s="117" t="n">
        <x:f>$B$130*IFERROR(SUM(FI118:FI128)/SUM($D$118:$GA$128),0)</x:f>
      </x:c>
      <x:c r="FJ130" s="117" t="n">
        <x:f>$B$130*IFERROR(SUM(FJ118:FJ128)/SUM($D$118:$GA$128),0)</x:f>
      </x:c>
      <x:c r="FK130" s="117" t="n">
        <x:f>$B$130*IFERROR(SUM(FK118:FK128)/SUM($D$118:$GA$128),0)</x:f>
      </x:c>
      <x:c r="FL130" s="117" t="n">
        <x:f>$B$130*IFERROR(SUM(FL118:FL128)/SUM($D$118:$GA$128),0)</x:f>
      </x:c>
      <x:c r="FM130" s="117" t="n">
        <x:f>$B$130*IFERROR(SUM(FM118:FM128)/SUM($D$118:$GA$128),0)</x:f>
      </x:c>
      <x:c r="FN130" s="117" t="n">
        <x:f>$B$130*IFERROR(SUM(FN118:FN128)/SUM($D$118:$GA$128),0)</x:f>
      </x:c>
      <x:c r="FO130" s="117" t="n">
        <x:f>$B$130*IFERROR(SUM(FO118:FO128)/SUM($D$118:$GA$128),0)</x:f>
      </x:c>
      <x:c r="FP130" s="117" t="n">
        <x:f>$B$130*IFERROR(SUM(FP118:FP128)/SUM($D$118:$GA$128),0)</x:f>
      </x:c>
      <x:c r="FQ130" s="117" t="n">
        <x:f>$B$130*IFERROR(SUM(FQ118:FQ128)/SUM($D$118:$GA$128),0)</x:f>
      </x:c>
      <x:c r="FR130" s="117" t="n">
        <x:f>$B$130*IFERROR(SUM(FR118:FR128)/SUM($D$118:$GA$128),0)</x:f>
      </x:c>
      <x:c r="FS130" s="117" t="n">
        <x:f>$B$130*IFERROR(SUM(FS118:FS128)/SUM($D$118:$GA$128),0)</x:f>
      </x:c>
      <x:c r="FT130" s="117" t="n">
        <x:f>$B$130*IFERROR(SUM(FT118:FT128)/SUM($D$118:$GA$128),0)</x:f>
      </x:c>
      <x:c r="FU130" s="117" t="n">
        <x:f>$B$130*IFERROR(SUM(FU118:FU128)/SUM($D$118:$GA$128),0)</x:f>
      </x:c>
      <x:c r="FV130" s="117" t="n">
        <x:f>$B$130*IFERROR(SUM(FV118:FV128)/SUM($D$118:$GA$128),0)</x:f>
      </x:c>
      <x:c r="FW130" s="117" t="n">
        <x:f>$B$130*IFERROR(SUM(FW118:FW128)/SUM($D$118:$GA$128),0)</x:f>
      </x:c>
      <x:c r="FX130" s="117" t="n">
        <x:f>$B$130*IFERROR(SUM(FX118:FX128)/SUM($D$118:$GA$128),0)</x:f>
      </x:c>
      <x:c r="FY130" s="117" t="n">
        <x:f>$B$130*IFERROR(SUM(FY118:FY128)/SUM($D$118:$GA$128),0)</x:f>
      </x:c>
      <x:c r="FZ130" s="117" t="n">
        <x:f>$B$130*IFERROR(SUM(FZ118:FZ128)/SUM($D$118:$GA$128),0)</x:f>
      </x:c>
      <x:c r="GA130" s="117" t="n">
        <x:f>$B$130*IFERROR(SUM(GA118:GA128)/SUM($D$118:$GA$128),0)</x:f>
      </x:c>
    </x:row>
    <x:row r="131">
      <x:c r="A131" t="str">
        <x:v>Вознаграждение генподрядчика</x:v>
      </x:c>
      <x:c r="B131" s="107" t="n">
        <x:f>(B123+B124+B133+'ОБЪЕКТЫ'!$B$120)*'Вводные'!$B$50</x:f>
      </x:c>
      <x:c r="C131" t="str">
        <x:v>млн ₽</x:v>
      </x:c>
      <x:c r="D131" s="117" t="n">
        <x:f>$B$131*D115</x:f>
      </x:c>
      <x:c r="E131" s="117" t="n">
        <x:f>$B$131*E115</x:f>
      </x:c>
      <x:c r="F131" s="117" t="n">
        <x:f>$B$131*F115</x:f>
      </x:c>
      <x:c r="G131" s="117" t="n">
        <x:f>$B$131*G115</x:f>
      </x:c>
      <x:c r="H131" s="117" t="n">
        <x:f>$B$131*H115</x:f>
      </x:c>
      <x:c r="I131" s="117" t="n">
        <x:f>$B$131*I115</x:f>
      </x:c>
      <x:c r="J131" s="117" t="n">
        <x:f>$B$131*J115</x:f>
      </x:c>
      <x:c r="K131" s="117" t="n">
        <x:f>$B$131*K115</x:f>
      </x:c>
      <x:c r="L131" s="117" t="n">
        <x:f>$B$131*L115</x:f>
      </x:c>
      <x:c r="M131" s="117" t="n">
        <x:f>$B$131*M115</x:f>
      </x:c>
      <x:c r="N131" s="117" t="n">
        <x:f>$B$131*N115</x:f>
      </x:c>
      <x:c r="O131" s="117" t="n">
        <x:f>$B$131*O115</x:f>
      </x:c>
      <x:c r="P131" s="117" t="n">
        <x:f>$B$131*P115</x:f>
      </x:c>
      <x:c r="Q131" s="117" t="n">
        <x:f>$B$131*Q115</x:f>
      </x:c>
      <x:c r="R131" s="117" t="n">
        <x:f>$B$131*R115</x:f>
      </x:c>
      <x:c r="S131" s="117" t="n">
        <x:f>$B$131*S115</x:f>
      </x:c>
      <x:c r="T131" s="117" t="n">
        <x:f>$B$131*T115</x:f>
      </x:c>
      <x:c r="U131" s="117" t="n">
        <x:f>$B$131*U115</x:f>
      </x:c>
      <x:c r="V131" s="117" t="n">
        <x:f>$B$131*V115</x:f>
      </x:c>
      <x:c r="W131" s="117" t="n">
        <x:f>$B$131*W115</x:f>
      </x:c>
      <x:c r="X131" s="117" t="n">
        <x:f>$B$131*X115</x:f>
      </x:c>
      <x:c r="Y131" s="117" t="n">
        <x:f>$B$131*Y115</x:f>
      </x:c>
      <x:c r="Z131" s="117" t="n">
        <x:f>$B$131*Z115</x:f>
      </x:c>
      <x:c r="AA131" s="117" t="n">
        <x:f>$B$131*AA115</x:f>
      </x:c>
      <x:c r="AB131" s="117" t="n">
        <x:f>$B$131*AB115</x:f>
      </x:c>
      <x:c r="AC131" s="117" t="n">
        <x:f>$B$131*AC115</x:f>
      </x:c>
      <x:c r="AD131" s="117" t="n">
        <x:f>$B$131*AD115</x:f>
      </x:c>
      <x:c r="AE131" s="117" t="n">
        <x:f>$B$131*AE115</x:f>
      </x:c>
      <x:c r="AF131" s="117" t="n">
        <x:f>$B$131*AF115</x:f>
      </x:c>
      <x:c r="AG131" s="117" t="n">
        <x:f>$B$131*AG115</x:f>
      </x:c>
      <x:c r="AH131" s="117" t="n">
        <x:f>$B$131*AH115</x:f>
      </x:c>
      <x:c r="AI131" s="117" t="n">
        <x:f>$B$131*AI115</x:f>
      </x:c>
      <x:c r="AJ131" s="117" t="n">
        <x:f>$B$131*AJ115</x:f>
      </x:c>
      <x:c r="AK131" s="117" t="n">
        <x:f>$B$131*AK115</x:f>
      </x:c>
      <x:c r="AL131" s="117" t="n">
        <x:f>$B$131*AL115</x:f>
      </x:c>
      <x:c r="AM131" s="117" t="n">
        <x:f>$B$131*AM115</x:f>
      </x:c>
      <x:c r="AN131" s="117" t="n">
        <x:f>$B$131*AN115</x:f>
      </x:c>
      <x:c r="AO131" s="117" t="n">
        <x:f>$B$131*AO115</x:f>
      </x:c>
      <x:c r="AP131" s="117" t="n">
        <x:f>$B$131*AP115</x:f>
      </x:c>
      <x:c r="AQ131" s="117" t="n">
        <x:f>$B$131*AQ115</x:f>
      </x:c>
      <x:c r="AR131" s="117" t="n">
        <x:f>$B$131*AR115</x:f>
      </x:c>
      <x:c r="AS131" s="117" t="n">
        <x:f>$B$131*AS115</x:f>
      </x:c>
      <x:c r="AT131" s="117" t="n">
        <x:f>$B$131*AT115</x:f>
      </x:c>
      <x:c r="AU131" s="117" t="n">
        <x:f>$B$131*AU115</x:f>
      </x:c>
      <x:c r="AV131" s="117" t="n">
        <x:f>$B$131*AV115</x:f>
      </x:c>
      <x:c r="AW131" s="117" t="n">
        <x:f>$B$131*AW115</x:f>
      </x:c>
      <x:c r="AX131" s="117" t="n">
        <x:f>$B$131*AX115</x:f>
      </x:c>
      <x:c r="AY131" s="117" t="n">
        <x:f>$B$131*AY115</x:f>
      </x:c>
      <x:c r="AZ131" s="117" t="n">
        <x:f>$B$131*AZ115</x:f>
      </x:c>
      <x:c r="BA131" s="117" t="n">
        <x:f>$B$131*BA115</x:f>
      </x:c>
      <x:c r="BB131" s="117" t="n">
        <x:f>$B$131*BB115</x:f>
      </x:c>
      <x:c r="BC131" s="117" t="n">
        <x:f>$B$131*BC115</x:f>
      </x:c>
      <x:c r="BD131" s="117" t="n">
        <x:f>$B$131*BD115</x:f>
      </x:c>
      <x:c r="BE131" s="117" t="n">
        <x:f>$B$131*BE115</x:f>
      </x:c>
      <x:c r="BF131" s="117" t="n">
        <x:f>$B$131*BF115</x:f>
      </x:c>
      <x:c r="BG131" s="117" t="n">
        <x:f>$B$131*BG115</x:f>
      </x:c>
      <x:c r="BH131" s="117" t="n">
        <x:f>$B$131*BH115</x:f>
      </x:c>
      <x:c r="BI131" s="117" t="n">
        <x:f>$B$131*BI115</x:f>
      </x:c>
      <x:c r="BJ131" s="117" t="n">
        <x:f>$B$131*BJ115</x:f>
      </x:c>
      <x:c r="BK131" s="117" t="n">
        <x:f>$B$131*BK115</x:f>
      </x:c>
      <x:c r="BL131" s="117" t="n">
        <x:f>$B$131*BL115</x:f>
      </x:c>
      <x:c r="BM131" s="117" t="n">
        <x:f>$B$131*BM115</x:f>
      </x:c>
      <x:c r="BN131" s="117" t="n">
        <x:f>$B$131*BN115</x:f>
      </x:c>
      <x:c r="BO131" s="117" t="n">
        <x:f>$B$131*BO115</x:f>
      </x:c>
      <x:c r="BP131" s="117" t="n">
        <x:f>$B$131*BP115</x:f>
      </x:c>
      <x:c r="BQ131" s="117" t="n">
        <x:f>$B$131*BQ115</x:f>
      </x:c>
      <x:c r="BR131" s="117" t="n">
        <x:f>$B$131*BR115</x:f>
      </x:c>
      <x:c r="BS131" s="117" t="n">
        <x:f>$B$131*BS115</x:f>
      </x:c>
      <x:c r="BT131" s="117" t="n">
        <x:f>$B$131*BT115</x:f>
      </x:c>
      <x:c r="BU131" s="117" t="n">
        <x:f>$B$131*BU115</x:f>
      </x:c>
      <x:c r="BV131" s="117" t="n">
        <x:f>$B$131*BV115</x:f>
      </x:c>
      <x:c r="BW131" s="117" t="n">
        <x:f>$B$131*BW115</x:f>
      </x:c>
      <x:c r="BX131" s="117" t="n">
        <x:f>$B$131*BX115</x:f>
      </x:c>
      <x:c r="BY131" s="117" t="n">
        <x:f>$B$131*BY115</x:f>
      </x:c>
      <x:c r="BZ131" s="117" t="n">
        <x:f>$B$131*BZ115</x:f>
      </x:c>
      <x:c r="CA131" s="117" t="n">
        <x:f>$B$131*CA115</x:f>
      </x:c>
      <x:c r="CB131" s="117" t="n">
        <x:f>$B$131*CB115</x:f>
      </x:c>
      <x:c r="CC131" s="117" t="n">
        <x:f>$B$131*CC115</x:f>
      </x:c>
      <x:c r="CD131" s="117" t="n">
        <x:f>$B$131*CD115</x:f>
      </x:c>
      <x:c r="CE131" s="117" t="n">
        <x:f>$B$131*CE115</x:f>
      </x:c>
      <x:c r="CF131" s="117" t="n">
        <x:f>$B$131*CF115</x:f>
      </x:c>
      <x:c r="CG131" s="117" t="n">
        <x:f>$B$131*CG115</x:f>
      </x:c>
      <x:c r="CH131" s="117" t="n">
        <x:f>$B$131*CH115</x:f>
      </x:c>
      <x:c r="CI131" s="117" t="n">
        <x:f>$B$131*CI115</x:f>
      </x:c>
      <x:c r="CJ131" s="117" t="n">
        <x:f>$B$131*CJ115</x:f>
      </x:c>
      <x:c r="CK131" s="117" t="n">
        <x:f>$B$131*CK115</x:f>
      </x:c>
      <x:c r="CL131" s="117" t="n">
        <x:f>$B$131*CL115</x:f>
      </x:c>
      <x:c r="CM131" s="117" t="n">
        <x:f>$B$131*CM115</x:f>
      </x:c>
      <x:c r="CN131" s="117" t="n">
        <x:f>$B$131*CN115</x:f>
      </x:c>
      <x:c r="CO131" s="117" t="n">
        <x:f>$B$131*CO115</x:f>
      </x:c>
      <x:c r="CP131" s="117" t="n">
        <x:f>$B$131*CP115</x:f>
      </x:c>
      <x:c r="CQ131" s="117" t="n">
        <x:f>$B$131*CQ115</x:f>
      </x:c>
      <x:c r="CR131" s="117" t="n">
        <x:f>$B$131*CR115</x:f>
      </x:c>
      <x:c r="CS131" s="117" t="n">
        <x:f>$B$131*CS115</x:f>
      </x:c>
      <x:c r="CT131" s="117" t="n">
        <x:f>$B$131*CT115</x:f>
      </x:c>
      <x:c r="CU131" s="117" t="n">
        <x:f>$B$131*CU115</x:f>
      </x:c>
      <x:c r="CV131" s="117" t="n">
        <x:f>$B$131*CV115</x:f>
      </x:c>
      <x:c r="CW131" s="117" t="n">
        <x:f>$B$131*CW115</x:f>
      </x:c>
      <x:c r="CX131" s="117" t="n">
        <x:f>$B$131*CX115</x:f>
      </x:c>
      <x:c r="CY131" s="117" t="n">
        <x:f>$B$131*CY115</x:f>
      </x:c>
      <x:c r="CZ131" s="117" t="n">
        <x:f>$B$131*CZ115</x:f>
      </x:c>
      <x:c r="DA131" s="117" t="n">
        <x:f>$B$131*DA115</x:f>
      </x:c>
      <x:c r="DB131" s="117" t="n">
        <x:f>$B$131*DB115</x:f>
      </x:c>
      <x:c r="DC131" s="117" t="n">
        <x:f>$B$131*DC115</x:f>
      </x:c>
      <x:c r="DD131" s="117" t="n">
        <x:f>$B$131*DD115</x:f>
      </x:c>
      <x:c r="DE131" s="117" t="n">
        <x:f>$B$131*DE115</x:f>
      </x:c>
      <x:c r="DF131" s="117" t="n">
        <x:f>$B$131*DF115</x:f>
      </x:c>
      <x:c r="DG131" s="117" t="n">
        <x:f>$B$131*DG115</x:f>
      </x:c>
      <x:c r="DH131" s="117" t="n">
        <x:f>$B$131*DH115</x:f>
      </x:c>
      <x:c r="DI131" s="117" t="n">
        <x:f>$B$131*DI115</x:f>
      </x:c>
      <x:c r="DJ131" s="117" t="n">
        <x:f>$B$131*DJ115</x:f>
      </x:c>
      <x:c r="DK131" s="117" t="n">
        <x:f>$B$131*DK115</x:f>
      </x:c>
      <x:c r="DL131" s="117" t="n">
        <x:f>$B$131*DL115</x:f>
      </x:c>
      <x:c r="DM131" s="117" t="n">
        <x:f>$B$131*DM115</x:f>
      </x:c>
      <x:c r="DN131" s="117" t="n">
        <x:f>$B$131*DN115</x:f>
      </x:c>
      <x:c r="DO131" s="117" t="n">
        <x:f>$B$131*DO115</x:f>
      </x:c>
      <x:c r="DP131" s="117" t="n">
        <x:f>$B$131*DP115</x:f>
      </x:c>
      <x:c r="DQ131" s="117" t="n">
        <x:f>$B$131*DQ115</x:f>
      </x:c>
      <x:c r="DR131" s="117" t="n">
        <x:f>$B$131*DR115</x:f>
      </x:c>
      <x:c r="DS131" s="117" t="n">
        <x:f>$B$131*DS115</x:f>
      </x:c>
      <x:c r="DT131" s="117" t="n">
        <x:f>$B$131*DT115</x:f>
      </x:c>
      <x:c r="DU131" s="117" t="n">
        <x:f>$B$131*DU115</x:f>
      </x:c>
      <x:c r="DV131" s="117" t="n">
        <x:f>$B$131*DV115</x:f>
      </x:c>
      <x:c r="DW131" s="117" t="n">
        <x:f>$B$131*DW115</x:f>
      </x:c>
      <x:c r="DX131" s="117" t="n">
        <x:f>$B$131*DX115</x:f>
      </x:c>
      <x:c r="DY131" s="117" t="n">
        <x:f>$B$131*DY115</x:f>
      </x:c>
      <x:c r="DZ131" s="117" t="n">
        <x:f>$B$131*DZ115</x:f>
      </x:c>
      <x:c r="EA131" s="117" t="n">
        <x:f>$B$131*EA115</x:f>
      </x:c>
      <x:c r="EB131" s="117" t="n">
        <x:f>$B$131*EB115</x:f>
      </x:c>
      <x:c r="EC131" s="117" t="n">
        <x:f>$B$131*EC115</x:f>
      </x:c>
      <x:c r="ED131" s="117" t="n">
        <x:f>$B$131*ED115</x:f>
      </x:c>
      <x:c r="EE131" s="117" t="n">
        <x:f>$B$131*EE115</x:f>
      </x:c>
      <x:c r="EF131" s="117" t="n">
        <x:f>$B$131*EF115</x:f>
      </x:c>
      <x:c r="EG131" s="117" t="n">
        <x:f>$B$131*EG115</x:f>
      </x:c>
      <x:c r="EH131" s="117" t="n">
        <x:f>$B$131*EH115</x:f>
      </x:c>
      <x:c r="EI131" s="117" t="n">
        <x:f>$B$131*EI115</x:f>
      </x:c>
      <x:c r="EJ131" s="117" t="n">
        <x:f>$B$131*EJ115</x:f>
      </x:c>
      <x:c r="EK131" s="117" t="n">
        <x:f>$B$131*EK115</x:f>
      </x:c>
      <x:c r="EL131" s="117" t="n">
        <x:f>$B$131*EL115</x:f>
      </x:c>
      <x:c r="EM131" s="117" t="n">
        <x:f>$B$131*EM115</x:f>
      </x:c>
      <x:c r="EN131" s="117" t="n">
        <x:f>$B$131*EN115</x:f>
      </x:c>
      <x:c r="EO131" s="117" t="n">
        <x:f>$B$131*EO115</x:f>
      </x:c>
      <x:c r="EP131" s="117" t="n">
        <x:f>$B$131*EP115</x:f>
      </x:c>
      <x:c r="EQ131" s="117" t="n">
        <x:f>$B$131*EQ115</x:f>
      </x:c>
      <x:c r="ER131" s="117" t="n">
        <x:f>$B$131*ER115</x:f>
      </x:c>
      <x:c r="ES131" s="117" t="n">
        <x:f>$B$131*ES115</x:f>
      </x:c>
      <x:c r="ET131" s="117" t="n">
        <x:f>$B$131*ET115</x:f>
      </x:c>
      <x:c r="EU131" s="117" t="n">
        <x:f>$B$131*EU115</x:f>
      </x:c>
      <x:c r="EV131" s="117" t="n">
        <x:f>$B$131*EV115</x:f>
      </x:c>
      <x:c r="EW131" s="117" t="n">
        <x:f>$B$131*EW115</x:f>
      </x:c>
      <x:c r="EX131" s="117" t="n">
        <x:f>$B$131*EX115</x:f>
      </x:c>
      <x:c r="EY131" s="117" t="n">
        <x:f>$B$131*EY115</x:f>
      </x:c>
      <x:c r="EZ131" s="117" t="n">
        <x:f>$B$131*EZ115</x:f>
      </x:c>
      <x:c r="FA131" s="117" t="n">
        <x:f>$B$131*FA115</x:f>
      </x:c>
      <x:c r="FB131" s="117" t="n">
        <x:f>$B$131*FB115</x:f>
      </x:c>
      <x:c r="FC131" s="117" t="n">
        <x:f>$B$131*FC115</x:f>
      </x:c>
      <x:c r="FD131" s="117" t="n">
        <x:f>$B$131*FD115</x:f>
      </x:c>
      <x:c r="FE131" s="117" t="n">
        <x:f>$B$131*FE115</x:f>
      </x:c>
      <x:c r="FF131" s="117" t="n">
        <x:f>$B$131*FF115</x:f>
      </x:c>
      <x:c r="FG131" s="117" t="n">
        <x:f>$B$131*FG115</x:f>
      </x:c>
      <x:c r="FH131" s="117" t="n">
        <x:f>$B$131*FH115</x:f>
      </x:c>
      <x:c r="FI131" s="117" t="n">
        <x:f>$B$131*FI115</x:f>
      </x:c>
      <x:c r="FJ131" s="117" t="n">
        <x:f>$B$131*FJ115</x:f>
      </x:c>
      <x:c r="FK131" s="117" t="n">
        <x:f>$B$131*FK115</x:f>
      </x:c>
      <x:c r="FL131" s="117" t="n">
        <x:f>$B$131*FL115</x:f>
      </x:c>
      <x:c r="FM131" s="117" t="n">
        <x:f>$B$131*FM115</x:f>
      </x:c>
      <x:c r="FN131" s="117" t="n">
        <x:f>$B$131*FN115</x:f>
      </x:c>
      <x:c r="FO131" s="117" t="n">
        <x:f>$B$131*FO115</x:f>
      </x:c>
      <x:c r="FP131" s="117" t="n">
        <x:f>$B$131*FP115</x:f>
      </x:c>
      <x:c r="FQ131" s="117" t="n">
        <x:f>$B$131*FQ115</x:f>
      </x:c>
      <x:c r="FR131" s="117" t="n">
        <x:f>$B$131*FR115</x:f>
      </x:c>
      <x:c r="FS131" s="117" t="n">
        <x:f>$B$131*FS115</x:f>
      </x:c>
      <x:c r="FT131" s="117" t="n">
        <x:f>$B$131*FT115</x:f>
      </x:c>
      <x:c r="FU131" s="117" t="n">
        <x:f>$B$131*FU115</x:f>
      </x:c>
      <x:c r="FV131" s="117" t="n">
        <x:f>$B$131*FV115</x:f>
      </x:c>
      <x:c r="FW131" s="117" t="n">
        <x:f>$B$131*FW115</x:f>
      </x:c>
      <x:c r="FX131" s="117" t="n">
        <x:f>$B$131*FX115</x:f>
      </x:c>
      <x:c r="FY131" s="117" t="n">
        <x:f>$B$131*FY115</x:f>
      </x:c>
      <x:c r="FZ131" s="117" t="n">
        <x:f>$B$131*FZ115</x:f>
      </x:c>
      <x:c r="GA131" s="117" t="n">
        <x:f>$B$131*GA115</x:f>
      </x:c>
    </x:row>
    <x:row r="132">
      <x:c r="A132" t="str">
        <x:v>Резерв</x:v>
      </x:c>
      <x:c r="B132" s="107" t="n">
        <x:f>(SUM(B117:B131)+B133+'ОБЪЕКТЫ'!$B$120)*'Вводные'!$B$54</x:f>
      </x:c>
      <x:c r="C132" t="str">
        <x:v>млн ₽</x:v>
      </x:c>
      <x:c r="D132" s="117" t="n">
        <x:f>$B$132*D115</x:f>
      </x:c>
      <x:c r="E132" s="117" t="n">
        <x:f>$B$132*E115</x:f>
      </x:c>
      <x:c r="F132" s="117" t="n">
        <x:f>$B$132*F115</x:f>
      </x:c>
      <x:c r="G132" s="117" t="n">
        <x:f>$B$132*G115</x:f>
      </x:c>
      <x:c r="H132" s="117" t="n">
        <x:f>$B$132*H115</x:f>
      </x:c>
      <x:c r="I132" s="117" t="n">
        <x:f>$B$132*I115</x:f>
      </x:c>
      <x:c r="J132" s="117" t="n">
        <x:f>$B$132*J115</x:f>
      </x:c>
      <x:c r="K132" s="117" t="n">
        <x:f>$B$132*K115</x:f>
      </x:c>
      <x:c r="L132" s="117" t="n">
        <x:f>$B$132*L115</x:f>
      </x:c>
      <x:c r="M132" s="117" t="n">
        <x:f>$B$132*M115</x:f>
      </x:c>
      <x:c r="N132" s="117" t="n">
        <x:f>$B$132*N115</x:f>
      </x:c>
      <x:c r="O132" s="117" t="n">
        <x:f>$B$132*O115</x:f>
      </x:c>
      <x:c r="P132" s="117" t="n">
        <x:f>$B$132*P115</x:f>
      </x:c>
      <x:c r="Q132" s="117" t="n">
        <x:f>$B$132*Q115</x:f>
      </x:c>
      <x:c r="R132" s="117" t="n">
        <x:f>$B$132*R115</x:f>
      </x:c>
      <x:c r="S132" s="117" t="n">
        <x:f>$B$132*S115</x:f>
      </x:c>
      <x:c r="T132" s="117" t="n">
        <x:f>$B$132*T115</x:f>
      </x:c>
      <x:c r="U132" s="117" t="n">
        <x:f>$B$132*U115</x:f>
      </x:c>
      <x:c r="V132" s="117" t="n">
        <x:f>$B$132*V115</x:f>
      </x:c>
      <x:c r="W132" s="117" t="n">
        <x:f>$B$132*W115</x:f>
      </x:c>
      <x:c r="X132" s="117" t="n">
        <x:f>$B$132*X115</x:f>
      </x:c>
      <x:c r="Y132" s="117" t="n">
        <x:f>$B$132*Y115</x:f>
      </x:c>
      <x:c r="Z132" s="117" t="n">
        <x:f>$B$132*Z115</x:f>
      </x:c>
      <x:c r="AA132" s="117" t="n">
        <x:f>$B$132*AA115</x:f>
      </x:c>
      <x:c r="AB132" s="117" t="n">
        <x:f>$B$132*AB115</x:f>
      </x:c>
      <x:c r="AC132" s="117" t="n">
        <x:f>$B$132*AC115</x:f>
      </x:c>
      <x:c r="AD132" s="117" t="n">
        <x:f>$B$132*AD115</x:f>
      </x:c>
      <x:c r="AE132" s="117" t="n">
        <x:f>$B$132*AE115</x:f>
      </x:c>
      <x:c r="AF132" s="117" t="n">
        <x:f>$B$132*AF115</x:f>
      </x:c>
      <x:c r="AG132" s="117" t="n">
        <x:f>$B$132*AG115</x:f>
      </x:c>
      <x:c r="AH132" s="117" t="n">
        <x:f>$B$132*AH115</x:f>
      </x:c>
      <x:c r="AI132" s="117" t="n">
        <x:f>$B$132*AI115</x:f>
      </x:c>
      <x:c r="AJ132" s="117" t="n">
        <x:f>$B$132*AJ115</x:f>
      </x:c>
      <x:c r="AK132" s="117" t="n">
        <x:f>$B$132*AK115</x:f>
      </x:c>
      <x:c r="AL132" s="117" t="n">
        <x:f>$B$132*AL115</x:f>
      </x:c>
      <x:c r="AM132" s="117" t="n">
        <x:f>$B$132*AM115</x:f>
      </x:c>
      <x:c r="AN132" s="117" t="n">
        <x:f>$B$132*AN115</x:f>
      </x:c>
      <x:c r="AO132" s="117" t="n">
        <x:f>$B$132*AO115</x:f>
      </x:c>
      <x:c r="AP132" s="117" t="n">
        <x:f>$B$132*AP115</x:f>
      </x:c>
      <x:c r="AQ132" s="117" t="n">
        <x:f>$B$132*AQ115</x:f>
      </x:c>
      <x:c r="AR132" s="117" t="n">
        <x:f>$B$132*AR115</x:f>
      </x:c>
      <x:c r="AS132" s="117" t="n">
        <x:f>$B$132*AS115</x:f>
      </x:c>
      <x:c r="AT132" s="117" t="n">
        <x:f>$B$132*AT115</x:f>
      </x:c>
      <x:c r="AU132" s="117" t="n">
        <x:f>$B$132*AU115</x:f>
      </x:c>
      <x:c r="AV132" s="117" t="n">
        <x:f>$B$132*AV115</x:f>
      </x:c>
      <x:c r="AW132" s="117" t="n">
        <x:f>$B$132*AW115</x:f>
      </x:c>
      <x:c r="AX132" s="117" t="n">
        <x:f>$B$132*AX115</x:f>
      </x:c>
      <x:c r="AY132" s="117" t="n">
        <x:f>$B$132*AY115</x:f>
      </x:c>
      <x:c r="AZ132" s="117" t="n">
        <x:f>$B$132*AZ115</x:f>
      </x:c>
      <x:c r="BA132" s="117" t="n">
        <x:f>$B$132*BA115</x:f>
      </x:c>
      <x:c r="BB132" s="117" t="n">
        <x:f>$B$132*BB115</x:f>
      </x:c>
      <x:c r="BC132" s="117" t="n">
        <x:f>$B$132*BC115</x:f>
      </x:c>
      <x:c r="BD132" s="117" t="n">
        <x:f>$B$132*BD115</x:f>
      </x:c>
      <x:c r="BE132" s="117" t="n">
        <x:f>$B$132*BE115</x:f>
      </x:c>
      <x:c r="BF132" s="117" t="n">
        <x:f>$B$132*BF115</x:f>
      </x:c>
      <x:c r="BG132" s="117" t="n">
        <x:f>$B$132*BG115</x:f>
      </x:c>
      <x:c r="BH132" s="117" t="n">
        <x:f>$B$132*BH115</x:f>
      </x:c>
      <x:c r="BI132" s="117" t="n">
        <x:f>$B$132*BI115</x:f>
      </x:c>
      <x:c r="BJ132" s="117" t="n">
        <x:f>$B$132*BJ115</x:f>
      </x:c>
      <x:c r="BK132" s="117" t="n">
        <x:f>$B$132*BK115</x:f>
      </x:c>
      <x:c r="BL132" s="117" t="n">
        <x:f>$B$132*BL115</x:f>
      </x:c>
      <x:c r="BM132" s="117" t="n">
        <x:f>$B$132*BM115</x:f>
      </x:c>
      <x:c r="BN132" s="117" t="n">
        <x:f>$B$132*BN115</x:f>
      </x:c>
      <x:c r="BO132" s="117" t="n">
        <x:f>$B$132*BO115</x:f>
      </x:c>
      <x:c r="BP132" s="117" t="n">
        <x:f>$B$132*BP115</x:f>
      </x:c>
      <x:c r="BQ132" s="117" t="n">
        <x:f>$B$132*BQ115</x:f>
      </x:c>
      <x:c r="BR132" s="117" t="n">
        <x:f>$B$132*BR115</x:f>
      </x:c>
      <x:c r="BS132" s="117" t="n">
        <x:f>$B$132*BS115</x:f>
      </x:c>
      <x:c r="BT132" s="117" t="n">
        <x:f>$B$132*BT115</x:f>
      </x:c>
      <x:c r="BU132" s="117" t="n">
        <x:f>$B$132*BU115</x:f>
      </x:c>
      <x:c r="BV132" s="117" t="n">
        <x:f>$B$132*BV115</x:f>
      </x:c>
      <x:c r="BW132" s="117" t="n">
        <x:f>$B$132*BW115</x:f>
      </x:c>
      <x:c r="BX132" s="117" t="n">
        <x:f>$B$132*BX115</x:f>
      </x:c>
      <x:c r="BY132" s="117" t="n">
        <x:f>$B$132*BY115</x:f>
      </x:c>
      <x:c r="BZ132" s="117" t="n">
        <x:f>$B$132*BZ115</x:f>
      </x:c>
      <x:c r="CA132" s="117" t="n">
        <x:f>$B$132*CA115</x:f>
      </x:c>
      <x:c r="CB132" s="117" t="n">
        <x:f>$B$132*CB115</x:f>
      </x:c>
      <x:c r="CC132" s="117" t="n">
        <x:f>$B$132*CC115</x:f>
      </x:c>
      <x:c r="CD132" s="117" t="n">
        <x:f>$B$132*CD115</x:f>
      </x:c>
      <x:c r="CE132" s="117" t="n">
        <x:f>$B$132*CE115</x:f>
      </x:c>
      <x:c r="CF132" s="117" t="n">
        <x:f>$B$132*CF115</x:f>
      </x:c>
      <x:c r="CG132" s="117" t="n">
        <x:f>$B$132*CG115</x:f>
      </x:c>
      <x:c r="CH132" s="117" t="n">
        <x:f>$B$132*CH115</x:f>
      </x:c>
      <x:c r="CI132" s="117" t="n">
        <x:f>$B$132*CI115</x:f>
      </x:c>
      <x:c r="CJ132" s="117" t="n">
        <x:f>$B$132*CJ115</x:f>
      </x:c>
      <x:c r="CK132" s="117" t="n">
        <x:f>$B$132*CK115</x:f>
      </x:c>
      <x:c r="CL132" s="117" t="n">
        <x:f>$B$132*CL115</x:f>
      </x:c>
      <x:c r="CM132" s="117" t="n">
        <x:f>$B$132*CM115</x:f>
      </x:c>
      <x:c r="CN132" s="117" t="n">
        <x:f>$B$132*CN115</x:f>
      </x:c>
      <x:c r="CO132" s="117" t="n">
        <x:f>$B$132*CO115</x:f>
      </x:c>
      <x:c r="CP132" s="117" t="n">
        <x:f>$B$132*CP115</x:f>
      </x:c>
      <x:c r="CQ132" s="117" t="n">
        <x:f>$B$132*CQ115</x:f>
      </x:c>
      <x:c r="CR132" s="117" t="n">
        <x:f>$B$132*CR115</x:f>
      </x:c>
      <x:c r="CS132" s="117" t="n">
        <x:f>$B$132*CS115</x:f>
      </x:c>
      <x:c r="CT132" s="117" t="n">
        <x:f>$B$132*CT115</x:f>
      </x:c>
      <x:c r="CU132" s="117" t="n">
        <x:f>$B$132*CU115</x:f>
      </x:c>
      <x:c r="CV132" s="117" t="n">
        <x:f>$B$132*CV115</x:f>
      </x:c>
      <x:c r="CW132" s="117" t="n">
        <x:f>$B$132*CW115</x:f>
      </x:c>
      <x:c r="CX132" s="117" t="n">
        <x:f>$B$132*CX115</x:f>
      </x:c>
      <x:c r="CY132" s="117" t="n">
        <x:f>$B$132*CY115</x:f>
      </x:c>
      <x:c r="CZ132" s="117" t="n">
        <x:f>$B$132*CZ115</x:f>
      </x:c>
      <x:c r="DA132" s="117" t="n">
        <x:f>$B$132*DA115</x:f>
      </x:c>
      <x:c r="DB132" s="117" t="n">
        <x:f>$B$132*DB115</x:f>
      </x:c>
      <x:c r="DC132" s="117" t="n">
        <x:f>$B$132*DC115</x:f>
      </x:c>
      <x:c r="DD132" s="117" t="n">
        <x:f>$B$132*DD115</x:f>
      </x:c>
      <x:c r="DE132" s="117" t="n">
        <x:f>$B$132*DE115</x:f>
      </x:c>
      <x:c r="DF132" s="117" t="n">
        <x:f>$B$132*DF115</x:f>
      </x:c>
      <x:c r="DG132" s="117" t="n">
        <x:f>$B$132*DG115</x:f>
      </x:c>
      <x:c r="DH132" s="117" t="n">
        <x:f>$B$132*DH115</x:f>
      </x:c>
      <x:c r="DI132" s="117" t="n">
        <x:f>$B$132*DI115</x:f>
      </x:c>
      <x:c r="DJ132" s="117" t="n">
        <x:f>$B$132*DJ115</x:f>
      </x:c>
      <x:c r="DK132" s="117" t="n">
        <x:f>$B$132*DK115</x:f>
      </x:c>
      <x:c r="DL132" s="117" t="n">
        <x:f>$B$132*DL115</x:f>
      </x:c>
      <x:c r="DM132" s="117" t="n">
        <x:f>$B$132*DM115</x:f>
      </x:c>
      <x:c r="DN132" s="117" t="n">
        <x:f>$B$132*DN115</x:f>
      </x:c>
      <x:c r="DO132" s="117" t="n">
        <x:f>$B$132*DO115</x:f>
      </x:c>
      <x:c r="DP132" s="117" t="n">
        <x:f>$B$132*DP115</x:f>
      </x:c>
      <x:c r="DQ132" s="117" t="n">
        <x:f>$B$132*DQ115</x:f>
      </x:c>
      <x:c r="DR132" s="117" t="n">
        <x:f>$B$132*DR115</x:f>
      </x:c>
      <x:c r="DS132" s="117" t="n">
        <x:f>$B$132*DS115</x:f>
      </x:c>
      <x:c r="DT132" s="117" t="n">
        <x:f>$B$132*DT115</x:f>
      </x:c>
      <x:c r="DU132" s="117" t="n">
        <x:f>$B$132*DU115</x:f>
      </x:c>
      <x:c r="DV132" s="117" t="n">
        <x:f>$B$132*DV115</x:f>
      </x:c>
      <x:c r="DW132" s="117" t="n">
        <x:f>$B$132*DW115</x:f>
      </x:c>
      <x:c r="DX132" s="117" t="n">
        <x:f>$B$132*DX115</x:f>
      </x:c>
      <x:c r="DY132" s="117" t="n">
        <x:f>$B$132*DY115</x:f>
      </x:c>
      <x:c r="DZ132" s="117" t="n">
        <x:f>$B$132*DZ115</x:f>
      </x:c>
      <x:c r="EA132" s="117" t="n">
        <x:f>$B$132*EA115</x:f>
      </x:c>
      <x:c r="EB132" s="117" t="n">
        <x:f>$B$132*EB115</x:f>
      </x:c>
      <x:c r="EC132" s="117" t="n">
        <x:f>$B$132*EC115</x:f>
      </x:c>
      <x:c r="ED132" s="117" t="n">
        <x:f>$B$132*ED115</x:f>
      </x:c>
      <x:c r="EE132" s="117" t="n">
        <x:f>$B$132*EE115</x:f>
      </x:c>
      <x:c r="EF132" s="117" t="n">
        <x:f>$B$132*EF115</x:f>
      </x:c>
      <x:c r="EG132" s="117" t="n">
        <x:f>$B$132*EG115</x:f>
      </x:c>
      <x:c r="EH132" s="117" t="n">
        <x:f>$B$132*EH115</x:f>
      </x:c>
      <x:c r="EI132" s="117" t="n">
        <x:f>$B$132*EI115</x:f>
      </x:c>
      <x:c r="EJ132" s="117" t="n">
        <x:f>$B$132*EJ115</x:f>
      </x:c>
      <x:c r="EK132" s="117" t="n">
        <x:f>$B$132*EK115</x:f>
      </x:c>
      <x:c r="EL132" s="117" t="n">
        <x:f>$B$132*EL115</x:f>
      </x:c>
      <x:c r="EM132" s="117" t="n">
        <x:f>$B$132*EM115</x:f>
      </x:c>
      <x:c r="EN132" s="117" t="n">
        <x:f>$B$132*EN115</x:f>
      </x:c>
      <x:c r="EO132" s="117" t="n">
        <x:f>$B$132*EO115</x:f>
      </x:c>
      <x:c r="EP132" s="117" t="n">
        <x:f>$B$132*EP115</x:f>
      </x:c>
      <x:c r="EQ132" s="117" t="n">
        <x:f>$B$132*EQ115</x:f>
      </x:c>
      <x:c r="ER132" s="117" t="n">
        <x:f>$B$132*ER115</x:f>
      </x:c>
      <x:c r="ES132" s="117" t="n">
        <x:f>$B$132*ES115</x:f>
      </x:c>
      <x:c r="ET132" s="117" t="n">
        <x:f>$B$132*ET115</x:f>
      </x:c>
      <x:c r="EU132" s="117" t="n">
        <x:f>$B$132*EU115</x:f>
      </x:c>
      <x:c r="EV132" s="117" t="n">
        <x:f>$B$132*EV115</x:f>
      </x:c>
      <x:c r="EW132" s="117" t="n">
        <x:f>$B$132*EW115</x:f>
      </x:c>
      <x:c r="EX132" s="117" t="n">
        <x:f>$B$132*EX115</x:f>
      </x:c>
      <x:c r="EY132" s="117" t="n">
        <x:f>$B$132*EY115</x:f>
      </x:c>
      <x:c r="EZ132" s="117" t="n">
        <x:f>$B$132*EZ115</x:f>
      </x:c>
      <x:c r="FA132" s="117" t="n">
        <x:f>$B$132*FA115</x:f>
      </x:c>
      <x:c r="FB132" s="117" t="n">
        <x:f>$B$132*FB115</x:f>
      </x:c>
      <x:c r="FC132" s="117" t="n">
        <x:f>$B$132*FC115</x:f>
      </x:c>
      <x:c r="FD132" s="117" t="n">
        <x:f>$B$132*FD115</x:f>
      </x:c>
      <x:c r="FE132" s="117" t="n">
        <x:f>$B$132*FE115</x:f>
      </x:c>
      <x:c r="FF132" s="117" t="n">
        <x:f>$B$132*FF115</x:f>
      </x:c>
      <x:c r="FG132" s="117" t="n">
        <x:f>$B$132*FG115</x:f>
      </x:c>
      <x:c r="FH132" s="117" t="n">
        <x:f>$B$132*FH115</x:f>
      </x:c>
      <x:c r="FI132" s="117" t="n">
        <x:f>$B$132*FI115</x:f>
      </x:c>
      <x:c r="FJ132" s="117" t="n">
        <x:f>$B$132*FJ115</x:f>
      </x:c>
      <x:c r="FK132" s="117" t="n">
        <x:f>$B$132*FK115</x:f>
      </x:c>
      <x:c r="FL132" s="117" t="n">
        <x:f>$B$132*FL115</x:f>
      </x:c>
      <x:c r="FM132" s="117" t="n">
        <x:f>$B$132*FM115</x:f>
      </x:c>
      <x:c r="FN132" s="117" t="n">
        <x:f>$B$132*FN115</x:f>
      </x:c>
      <x:c r="FO132" s="117" t="n">
        <x:f>$B$132*FO115</x:f>
      </x:c>
      <x:c r="FP132" s="117" t="n">
        <x:f>$B$132*FP115</x:f>
      </x:c>
      <x:c r="FQ132" s="117" t="n">
        <x:f>$B$132*FQ115</x:f>
      </x:c>
      <x:c r="FR132" s="117" t="n">
        <x:f>$B$132*FR115</x:f>
      </x:c>
      <x:c r="FS132" s="117" t="n">
        <x:f>$B$132*FS115</x:f>
      </x:c>
      <x:c r="FT132" s="117" t="n">
        <x:f>$B$132*FT115</x:f>
      </x:c>
      <x:c r="FU132" s="117" t="n">
        <x:f>$B$132*FU115</x:f>
      </x:c>
      <x:c r="FV132" s="117" t="n">
        <x:f>$B$132*FV115</x:f>
      </x:c>
      <x:c r="FW132" s="117" t="n">
        <x:f>$B$132*FW115</x:f>
      </x:c>
      <x:c r="FX132" s="117" t="n">
        <x:f>$B$132*FX115</x:f>
      </x:c>
      <x:c r="FY132" s="117" t="n">
        <x:f>$B$132*FY115</x:f>
      </x:c>
      <x:c r="FZ132" s="117" t="n">
        <x:f>$B$132*FZ115</x:f>
      </x:c>
      <x:c r="GA132" s="117" t="n">
        <x:f>$B$132*GA115</x:f>
      </x:c>
    </x:row>
    <x:row r="133">
      <x:c r="A133" t="str">
        <x:v>Социальная нагрузка</x:v>
      </x:c>
      <x:c r="B133" s="107" t="n">
        <x:f>'Вводные'!$B$17*'Вводные'!$R$91*'Вводные'!$H$6*--('Вводные'!$B$91="Да")</x:f>
      </x:c>
      <x:c r="C133" t="str">
        <x:v>млн ₽</x:v>
      </x:c>
      <x:c r="D133" s="117" t="n">
        <x:f>IF(AND(D$3&gt;='Вводные'!$B$18,D$3&lt;EDATE('Вводные'!$B$18,MAX(1,'Вводные'!$E$18))),$B$133/MAX(1,'Вводные'!$E$18),0)</x:f>
      </x:c>
      <x:c r="E133" s="117" t="n">
        <x:f>IF(AND(E$3&gt;='Вводные'!$B$18,E$3&lt;EDATE('Вводные'!$B$18,MAX(1,'Вводные'!$E$18))),$B$133/MAX(1,'Вводные'!$E$18),0)</x:f>
      </x:c>
      <x:c r="F133" s="117" t="n">
        <x:f>IF(AND(F$3&gt;='Вводные'!$B$18,F$3&lt;EDATE('Вводные'!$B$18,MAX(1,'Вводные'!$E$18))),$B$133/MAX(1,'Вводные'!$E$18),0)</x:f>
      </x:c>
      <x:c r="G133" s="117" t="n">
        <x:f>IF(AND(G$3&gt;='Вводные'!$B$18,G$3&lt;EDATE('Вводные'!$B$18,MAX(1,'Вводные'!$E$18))),$B$133/MAX(1,'Вводные'!$E$18),0)</x:f>
      </x:c>
      <x:c r="H133" s="117" t="n">
        <x:f>IF(AND(H$3&gt;='Вводные'!$B$18,H$3&lt;EDATE('Вводные'!$B$18,MAX(1,'Вводные'!$E$18))),$B$133/MAX(1,'Вводные'!$E$18),0)</x:f>
      </x:c>
      <x:c r="I133" s="117" t="n">
        <x:f>IF(AND(I$3&gt;='Вводные'!$B$18,I$3&lt;EDATE('Вводные'!$B$18,MAX(1,'Вводные'!$E$18))),$B$133/MAX(1,'Вводные'!$E$18),0)</x:f>
      </x:c>
      <x:c r="J133" s="117" t="n">
        <x:f>IF(AND(J$3&gt;='Вводные'!$B$18,J$3&lt;EDATE('Вводные'!$B$18,MAX(1,'Вводные'!$E$18))),$B$133/MAX(1,'Вводные'!$E$18),0)</x:f>
      </x:c>
      <x:c r="K133" s="117" t="n">
        <x:f>IF(AND(K$3&gt;='Вводные'!$B$18,K$3&lt;EDATE('Вводные'!$B$18,MAX(1,'Вводные'!$E$18))),$B$133/MAX(1,'Вводные'!$E$18),0)</x:f>
      </x:c>
      <x:c r="L133" s="117" t="n">
        <x:f>IF(AND(L$3&gt;='Вводные'!$B$18,L$3&lt;EDATE('Вводные'!$B$18,MAX(1,'Вводные'!$E$18))),$B$133/MAX(1,'Вводные'!$E$18),0)</x:f>
      </x:c>
      <x:c r="M133" s="117" t="n">
        <x:f>IF(AND(M$3&gt;='Вводные'!$B$18,M$3&lt;EDATE('Вводные'!$B$18,MAX(1,'Вводные'!$E$18))),$B$133/MAX(1,'Вводные'!$E$18),0)</x:f>
      </x:c>
      <x:c r="N133" s="117" t="n">
        <x:f>IF(AND(N$3&gt;='Вводные'!$B$18,N$3&lt;EDATE('Вводные'!$B$18,MAX(1,'Вводные'!$E$18))),$B$133/MAX(1,'Вводные'!$E$18),0)</x:f>
      </x:c>
      <x:c r="O133" s="117" t="n">
        <x:f>IF(AND(O$3&gt;='Вводные'!$B$18,O$3&lt;EDATE('Вводные'!$B$18,MAX(1,'Вводные'!$E$18))),$B$133/MAX(1,'Вводные'!$E$18),0)</x:f>
      </x:c>
      <x:c r="P133" s="117" t="n">
        <x:f>IF(AND(P$3&gt;='Вводные'!$B$18,P$3&lt;EDATE('Вводные'!$B$18,MAX(1,'Вводные'!$E$18))),$B$133/MAX(1,'Вводные'!$E$18),0)</x:f>
      </x:c>
      <x:c r="Q133" s="117" t="n">
        <x:f>IF(AND(Q$3&gt;='Вводные'!$B$18,Q$3&lt;EDATE('Вводные'!$B$18,MAX(1,'Вводные'!$E$18))),$B$133/MAX(1,'Вводные'!$E$18),0)</x:f>
      </x:c>
      <x:c r="R133" s="117" t="n">
        <x:f>IF(AND(R$3&gt;='Вводные'!$B$18,R$3&lt;EDATE('Вводные'!$B$18,MAX(1,'Вводные'!$E$18))),$B$133/MAX(1,'Вводные'!$E$18),0)</x:f>
      </x:c>
      <x:c r="S133" s="117" t="n">
        <x:f>IF(AND(S$3&gt;='Вводные'!$B$18,S$3&lt;EDATE('Вводные'!$B$18,MAX(1,'Вводные'!$E$18))),$B$133/MAX(1,'Вводные'!$E$18),0)</x:f>
      </x:c>
      <x:c r="T133" s="117" t="n">
        <x:f>IF(AND(T$3&gt;='Вводные'!$B$18,T$3&lt;EDATE('Вводные'!$B$18,MAX(1,'Вводные'!$E$18))),$B$133/MAX(1,'Вводные'!$E$18),0)</x:f>
      </x:c>
      <x:c r="U133" s="117" t="n">
        <x:f>IF(AND(U$3&gt;='Вводные'!$B$18,U$3&lt;EDATE('Вводные'!$B$18,MAX(1,'Вводные'!$E$18))),$B$133/MAX(1,'Вводные'!$E$18),0)</x:f>
      </x:c>
      <x:c r="V133" s="117" t="n">
        <x:f>IF(AND(V$3&gt;='Вводные'!$B$18,V$3&lt;EDATE('Вводные'!$B$18,MAX(1,'Вводные'!$E$18))),$B$133/MAX(1,'Вводные'!$E$18),0)</x:f>
      </x:c>
      <x:c r="W133" s="117" t="n">
        <x:f>IF(AND(W$3&gt;='Вводные'!$B$18,W$3&lt;EDATE('Вводные'!$B$18,MAX(1,'Вводные'!$E$18))),$B$133/MAX(1,'Вводные'!$E$18),0)</x:f>
      </x:c>
      <x:c r="X133" s="117" t="n">
        <x:f>IF(AND(X$3&gt;='Вводные'!$B$18,X$3&lt;EDATE('Вводные'!$B$18,MAX(1,'Вводные'!$E$18))),$B$133/MAX(1,'Вводные'!$E$18),0)</x:f>
      </x:c>
      <x:c r="Y133" s="117" t="n">
        <x:f>IF(AND(Y$3&gt;='Вводные'!$B$18,Y$3&lt;EDATE('Вводные'!$B$18,MAX(1,'Вводные'!$E$18))),$B$133/MAX(1,'Вводные'!$E$18),0)</x:f>
      </x:c>
      <x:c r="Z133" s="117" t="n">
        <x:f>IF(AND(Z$3&gt;='Вводные'!$B$18,Z$3&lt;EDATE('Вводные'!$B$18,MAX(1,'Вводные'!$E$18))),$B$133/MAX(1,'Вводные'!$E$18),0)</x:f>
      </x:c>
      <x:c r="AA133" s="117" t="n">
        <x:f>IF(AND(AA$3&gt;='Вводные'!$B$18,AA$3&lt;EDATE('Вводные'!$B$18,MAX(1,'Вводные'!$E$18))),$B$133/MAX(1,'Вводные'!$E$18),0)</x:f>
      </x:c>
      <x:c r="AB133" s="117" t="n">
        <x:f>IF(AND(AB$3&gt;='Вводные'!$B$18,AB$3&lt;EDATE('Вводные'!$B$18,MAX(1,'Вводные'!$E$18))),$B$133/MAX(1,'Вводные'!$E$18),0)</x:f>
      </x:c>
      <x:c r="AC133" s="117" t="n">
        <x:f>IF(AND(AC$3&gt;='Вводные'!$B$18,AC$3&lt;EDATE('Вводные'!$B$18,MAX(1,'Вводные'!$E$18))),$B$133/MAX(1,'Вводные'!$E$18),0)</x:f>
      </x:c>
      <x:c r="AD133" s="117" t="n">
        <x:f>IF(AND(AD$3&gt;='Вводные'!$B$18,AD$3&lt;EDATE('Вводные'!$B$18,MAX(1,'Вводные'!$E$18))),$B$133/MAX(1,'Вводные'!$E$18),0)</x:f>
      </x:c>
      <x:c r="AE133" s="117" t="n">
        <x:f>IF(AND(AE$3&gt;='Вводные'!$B$18,AE$3&lt;EDATE('Вводные'!$B$18,MAX(1,'Вводные'!$E$18))),$B$133/MAX(1,'Вводные'!$E$18),0)</x:f>
      </x:c>
      <x:c r="AF133" s="117" t="n">
        <x:f>IF(AND(AF$3&gt;='Вводные'!$B$18,AF$3&lt;EDATE('Вводные'!$B$18,MAX(1,'Вводные'!$E$18))),$B$133/MAX(1,'Вводные'!$E$18),0)</x:f>
      </x:c>
      <x:c r="AG133" s="117" t="n">
        <x:f>IF(AND(AG$3&gt;='Вводные'!$B$18,AG$3&lt;EDATE('Вводные'!$B$18,MAX(1,'Вводные'!$E$18))),$B$133/MAX(1,'Вводные'!$E$18),0)</x:f>
      </x:c>
      <x:c r="AH133" s="117" t="n">
        <x:f>IF(AND(AH$3&gt;='Вводные'!$B$18,AH$3&lt;EDATE('Вводные'!$B$18,MAX(1,'Вводные'!$E$18))),$B$133/MAX(1,'Вводные'!$E$18),0)</x:f>
      </x:c>
      <x:c r="AI133" s="117" t="n">
        <x:f>IF(AND(AI$3&gt;='Вводные'!$B$18,AI$3&lt;EDATE('Вводные'!$B$18,MAX(1,'Вводные'!$E$18))),$B$133/MAX(1,'Вводные'!$E$18),0)</x:f>
      </x:c>
      <x:c r="AJ133" s="117" t="n">
        <x:f>IF(AND(AJ$3&gt;='Вводные'!$B$18,AJ$3&lt;EDATE('Вводные'!$B$18,MAX(1,'Вводные'!$E$18))),$B$133/MAX(1,'Вводные'!$E$18),0)</x:f>
      </x:c>
      <x:c r="AK133" s="117" t="n">
        <x:f>IF(AND(AK$3&gt;='Вводные'!$B$18,AK$3&lt;EDATE('Вводные'!$B$18,MAX(1,'Вводные'!$E$18))),$B$133/MAX(1,'Вводные'!$E$18),0)</x:f>
      </x:c>
      <x:c r="AL133" s="117" t="n">
        <x:f>IF(AND(AL$3&gt;='Вводные'!$B$18,AL$3&lt;EDATE('Вводные'!$B$18,MAX(1,'Вводные'!$E$18))),$B$133/MAX(1,'Вводные'!$E$18),0)</x:f>
      </x:c>
      <x:c r="AM133" s="117" t="n">
        <x:f>IF(AND(AM$3&gt;='Вводные'!$B$18,AM$3&lt;EDATE('Вводные'!$B$18,MAX(1,'Вводные'!$E$18))),$B$133/MAX(1,'Вводные'!$E$18),0)</x:f>
      </x:c>
      <x:c r="AN133" s="117" t="n">
        <x:f>IF(AND(AN$3&gt;='Вводные'!$B$18,AN$3&lt;EDATE('Вводные'!$B$18,MAX(1,'Вводные'!$E$18))),$B$133/MAX(1,'Вводные'!$E$18),0)</x:f>
      </x:c>
      <x:c r="AO133" s="117" t="n">
        <x:f>IF(AND(AO$3&gt;='Вводные'!$B$18,AO$3&lt;EDATE('Вводные'!$B$18,MAX(1,'Вводные'!$E$18))),$B$133/MAX(1,'Вводные'!$E$18),0)</x:f>
      </x:c>
      <x:c r="AP133" s="117" t="n">
        <x:f>IF(AND(AP$3&gt;='Вводные'!$B$18,AP$3&lt;EDATE('Вводные'!$B$18,MAX(1,'Вводные'!$E$18))),$B$133/MAX(1,'Вводные'!$E$18),0)</x:f>
      </x:c>
      <x:c r="AQ133" s="117" t="n">
        <x:f>IF(AND(AQ$3&gt;='Вводные'!$B$18,AQ$3&lt;EDATE('Вводные'!$B$18,MAX(1,'Вводные'!$E$18))),$B$133/MAX(1,'Вводные'!$E$18),0)</x:f>
      </x:c>
      <x:c r="AR133" s="117" t="n">
        <x:f>IF(AND(AR$3&gt;='Вводные'!$B$18,AR$3&lt;EDATE('Вводные'!$B$18,MAX(1,'Вводные'!$E$18))),$B$133/MAX(1,'Вводные'!$E$18),0)</x:f>
      </x:c>
      <x:c r="AS133" s="117" t="n">
        <x:f>IF(AND(AS$3&gt;='Вводные'!$B$18,AS$3&lt;EDATE('Вводные'!$B$18,MAX(1,'Вводные'!$E$18))),$B$133/MAX(1,'Вводные'!$E$18),0)</x:f>
      </x:c>
      <x:c r="AT133" s="117" t="n">
        <x:f>IF(AND(AT$3&gt;='Вводные'!$B$18,AT$3&lt;EDATE('Вводные'!$B$18,MAX(1,'Вводные'!$E$18))),$B$133/MAX(1,'Вводные'!$E$18),0)</x:f>
      </x:c>
      <x:c r="AU133" s="117" t="n">
        <x:f>IF(AND(AU$3&gt;='Вводные'!$B$18,AU$3&lt;EDATE('Вводные'!$B$18,MAX(1,'Вводные'!$E$18))),$B$133/MAX(1,'Вводные'!$E$18),0)</x:f>
      </x:c>
      <x:c r="AV133" s="117" t="n">
        <x:f>IF(AND(AV$3&gt;='Вводные'!$B$18,AV$3&lt;EDATE('Вводные'!$B$18,MAX(1,'Вводные'!$E$18))),$B$133/MAX(1,'Вводные'!$E$18),0)</x:f>
      </x:c>
      <x:c r="AW133" s="117" t="n">
        <x:f>IF(AND(AW$3&gt;='Вводные'!$B$18,AW$3&lt;EDATE('Вводные'!$B$18,MAX(1,'Вводные'!$E$18))),$B$133/MAX(1,'Вводные'!$E$18),0)</x:f>
      </x:c>
      <x:c r="AX133" s="117" t="n">
        <x:f>IF(AND(AX$3&gt;='Вводные'!$B$18,AX$3&lt;EDATE('Вводные'!$B$18,MAX(1,'Вводные'!$E$18))),$B$133/MAX(1,'Вводные'!$E$18),0)</x:f>
      </x:c>
      <x:c r="AY133" s="117" t="n">
        <x:f>IF(AND(AY$3&gt;='Вводные'!$B$18,AY$3&lt;EDATE('Вводные'!$B$18,MAX(1,'Вводные'!$E$18))),$B$133/MAX(1,'Вводные'!$E$18),0)</x:f>
      </x:c>
      <x:c r="AZ133" s="117" t="n">
        <x:f>IF(AND(AZ$3&gt;='Вводные'!$B$18,AZ$3&lt;EDATE('Вводные'!$B$18,MAX(1,'Вводные'!$E$18))),$B$133/MAX(1,'Вводные'!$E$18),0)</x:f>
      </x:c>
      <x:c r="BA133" s="117" t="n">
        <x:f>IF(AND(BA$3&gt;='Вводные'!$B$18,BA$3&lt;EDATE('Вводные'!$B$18,MAX(1,'Вводные'!$E$18))),$B$133/MAX(1,'Вводные'!$E$18),0)</x:f>
      </x:c>
      <x:c r="BB133" s="117" t="n">
        <x:f>IF(AND(BB$3&gt;='Вводные'!$B$18,BB$3&lt;EDATE('Вводные'!$B$18,MAX(1,'Вводные'!$E$18))),$B$133/MAX(1,'Вводные'!$E$18),0)</x:f>
      </x:c>
      <x:c r="BC133" s="117" t="n">
        <x:f>IF(AND(BC$3&gt;='Вводные'!$B$18,BC$3&lt;EDATE('Вводные'!$B$18,MAX(1,'Вводные'!$E$18))),$B$133/MAX(1,'Вводные'!$E$18),0)</x:f>
      </x:c>
      <x:c r="BD133" s="117" t="n">
        <x:f>IF(AND(BD$3&gt;='Вводные'!$B$18,BD$3&lt;EDATE('Вводные'!$B$18,MAX(1,'Вводные'!$E$18))),$B$133/MAX(1,'Вводные'!$E$18),0)</x:f>
      </x:c>
      <x:c r="BE133" s="117" t="n">
        <x:f>IF(AND(BE$3&gt;='Вводные'!$B$18,BE$3&lt;EDATE('Вводные'!$B$18,MAX(1,'Вводные'!$E$18))),$B$133/MAX(1,'Вводные'!$E$18),0)</x:f>
      </x:c>
      <x:c r="BF133" s="117" t="n">
        <x:f>IF(AND(BF$3&gt;='Вводные'!$B$18,BF$3&lt;EDATE('Вводные'!$B$18,MAX(1,'Вводные'!$E$18))),$B$133/MAX(1,'Вводные'!$E$18),0)</x:f>
      </x:c>
      <x:c r="BG133" s="117" t="n">
        <x:f>IF(AND(BG$3&gt;='Вводные'!$B$18,BG$3&lt;EDATE('Вводные'!$B$18,MAX(1,'Вводные'!$E$18))),$B$133/MAX(1,'Вводные'!$E$18),0)</x:f>
      </x:c>
      <x:c r="BH133" s="117" t="n">
        <x:f>IF(AND(BH$3&gt;='Вводные'!$B$18,BH$3&lt;EDATE('Вводные'!$B$18,MAX(1,'Вводные'!$E$18))),$B$133/MAX(1,'Вводные'!$E$18),0)</x:f>
      </x:c>
      <x:c r="BI133" s="117" t="n">
        <x:f>IF(AND(BI$3&gt;='Вводные'!$B$18,BI$3&lt;EDATE('Вводные'!$B$18,MAX(1,'Вводные'!$E$18))),$B$133/MAX(1,'Вводные'!$E$18),0)</x:f>
      </x:c>
      <x:c r="BJ133" s="117" t="n">
        <x:f>IF(AND(BJ$3&gt;='Вводные'!$B$18,BJ$3&lt;EDATE('Вводные'!$B$18,MAX(1,'Вводные'!$E$18))),$B$133/MAX(1,'Вводные'!$E$18),0)</x:f>
      </x:c>
      <x:c r="BK133" s="117" t="n">
        <x:f>IF(AND(BK$3&gt;='Вводные'!$B$18,BK$3&lt;EDATE('Вводные'!$B$18,MAX(1,'Вводные'!$E$18))),$B$133/MAX(1,'Вводные'!$E$18),0)</x:f>
      </x:c>
      <x:c r="BL133" s="117" t="n">
        <x:f>IF(AND(BL$3&gt;='Вводные'!$B$18,BL$3&lt;EDATE('Вводные'!$B$18,MAX(1,'Вводные'!$E$18))),$B$133/MAX(1,'Вводные'!$E$18),0)</x:f>
      </x:c>
      <x:c r="BM133" s="117" t="n">
        <x:f>IF(AND(BM$3&gt;='Вводные'!$B$18,BM$3&lt;EDATE('Вводные'!$B$18,MAX(1,'Вводные'!$E$18))),$B$133/MAX(1,'Вводные'!$E$18),0)</x:f>
      </x:c>
      <x:c r="BN133" s="117" t="n">
        <x:f>IF(AND(BN$3&gt;='Вводные'!$B$18,BN$3&lt;EDATE('Вводные'!$B$18,MAX(1,'Вводные'!$E$18))),$B$133/MAX(1,'Вводные'!$E$18),0)</x:f>
      </x:c>
      <x:c r="BO133" s="117" t="n">
        <x:f>IF(AND(BO$3&gt;='Вводные'!$B$18,BO$3&lt;EDATE('Вводные'!$B$18,MAX(1,'Вводные'!$E$18))),$B$133/MAX(1,'Вводные'!$E$18),0)</x:f>
      </x:c>
      <x:c r="BP133" s="117" t="n">
        <x:f>IF(AND(BP$3&gt;='Вводные'!$B$18,BP$3&lt;EDATE('Вводные'!$B$18,MAX(1,'Вводные'!$E$18))),$B$133/MAX(1,'Вводные'!$E$18),0)</x:f>
      </x:c>
      <x:c r="BQ133" s="117" t="n">
        <x:f>IF(AND(BQ$3&gt;='Вводные'!$B$18,BQ$3&lt;EDATE('Вводные'!$B$18,MAX(1,'Вводные'!$E$18))),$B$133/MAX(1,'Вводные'!$E$18),0)</x:f>
      </x:c>
      <x:c r="BR133" s="117" t="n">
        <x:f>IF(AND(BR$3&gt;='Вводные'!$B$18,BR$3&lt;EDATE('Вводные'!$B$18,MAX(1,'Вводные'!$E$18))),$B$133/MAX(1,'Вводные'!$E$18),0)</x:f>
      </x:c>
      <x:c r="BS133" s="117" t="n">
        <x:f>IF(AND(BS$3&gt;='Вводные'!$B$18,BS$3&lt;EDATE('Вводные'!$B$18,MAX(1,'Вводные'!$E$18))),$B$133/MAX(1,'Вводные'!$E$18),0)</x:f>
      </x:c>
      <x:c r="BT133" s="117" t="n">
        <x:f>IF(AND(BT$3&gt;='Вводные'!$B$18,BT$3&lt;EDATE('Вводные'!$B$18,MAX(1,'Вводные'!$E$18))),$B$133/MAX(1,'Вводные'!$E$18),0)</x:f>
      </x:c>
      <x:c r="BU133" s="117" t="n">
        <x:f>IF(AND(BU$3&gt;='Вводные'!$B$18,BU$3&lt;EDATE('Вводные'!$B$18,MAX(1,'Вводные'!$E$18))),$B$133/MAX(1,'Вводные'!$E$18),0)</x:f>
      </x:c>
      <x:c r="BV133" s="117" t="n">
        <x:f>IF(AND(BV$3&gt;='Вводные'!$B$18,BV$3&lt;EDATE('Вводные'!$B$18,MAX(1,'Вводные'!$E$18))),$B$133/MAX(1,'Вводные'!$E$18),0)</x:f>
      </x:c>
      <x:c r="BW133" s="117" t="n">
        <x:f>IF(AND(BW$3&gt;='Вводные'!$B$18,BW$3&lt;EDATE('Вводные'!$B$18,MAX(1,'Вводные'!$E$18))),$B$133/MAX(1,'Вводные'!$E$18),0)</x:f>
      </x:c>
      <x:c r="BX133" s="117" t="n">
        <x:f>IF(AND(BX$3&gt;='Вводные'!$B$18,BX$3&lt;EDATE('Вводные'!$B$18,MAX(1,'Вводные'!$E$18))),$B$133/MAX(1,'Вводные'!$E$18),0)</x:f>
      </x:c>
      <x:c r="BY133" s="117" t="n">
        <x:f>IF(AND(BY$3&gt;='Вводные'!$B$18,BY$3&lt;EDATE('Вводные'!$B$18,MAX(1,'Вводные'!$E$18))),$B$133/MAX(1,'Вводные'!$E$18),0)</x:f>
      </x:c>
      <x:c r="BZ133" s="117" t="n">
        <x:f>IF(AND(BZ$3&gt;='Вводные'!$B$18,BZ$3&lt;EDATE('Вводные'!$B$18,MAX(1,'Вводные'!$E$18))),$B$133/MAX(1,'Вводные'!$E$18),0)</x:f>
      </x:c>
      <x:c r="CA133" s="117" t="n">
        <x:f>IF(AND(CA$3&gt;='Вводные'!$B$18,CA$3&lt;EDATE('Вводные'!$B$18,MAX(1,'Вводные'!$E$18))),$B$133/MAX(1,'Вводные'!$E$18),0)</x:f>
      </x:c>
      <x:c r="CB133" s="117" t="n">
        <x:f>IF(AND(CB$3&gt;='Вводные'!$B$18,CB$3&lt;EDATE('Вводные'!$B$18,MAX(1,'Вводные'!$E$18))),$B$133/MAX(1,'Вводные'!$E$18),0)</x:f>
      </x:c>
      <x:c r="CC133" s="117" t="n">
        <x:f>IF(AND(CC$3&gt;='Вводные'!$B$18,CC$3&lt;EDATE('Вводные'!$B$18,MAX(1,'Вводные'!$E$18))),$B$133/MAX(1,'Вводные'!$E$18),0)</x:f>
      </x:c>
      <x:c r="CD133" s="117" t="n">
        <x:f>IF(AND(CD$3&gt;='Вводные'!$B$18,CD$3&lt;EDATE('Вводные'!$B$18,MAX(1,'Вводные'!$E$18))),$B$133/MAX(1,'Вводные'!$E$18),0)</x:f>
      </x:c>
      <x:c r="CE133" s="117" t="n">
        <x:f>IF(AND(CE$3&gt;='Вводные'!$B$18,CE$3&lt;EDATE('Вводные'!$B$18,MAX(1,'Вводные'!$E$18))),$B$133/MAX(1,'Вводные'!$E$18),0)</x:f>
      </x:c>
      <x:c r="CF133" s="117" t="n">
        <x:f>IF(AND(CF$3&gt;='Вводные'!$B$18,CF$3&lt;EDATE('Вводные'!$B$18,MAX(1,'Вводные'!$E$18))),$B$133/MAX(1,'Вводные'!$E$18),0)</x:f>
      </x:c>
      <x:c r="CG133" s="117" t="n">
        <x:f>IF(AND(CG$3&gt;='Вводные'!$B$18,CG$3&lt;EDATE('Вводные'!$B$18,MAX(1,'Вводные'!$E$18))),$B$133/MAX(1,'Вводные'!$E$18),0)</x:f>
      </x:c>
      <x:c r="CH133" s="117" t="n">
        <x:f>IF(AND(CH$3&gt;='Вводные'!$B$18,CH$3&lt;EDATE('Вводные'!$B$18,MAX(1,'Вводные'!$E$18))),$B$133/MAX(1,'Вводные'!$E$18),0)</x:f>
      </x:c>
      <x:c r="CI133" s="117" t="n">
        <x:f>IF(AND(CI$3&gt;='Вводные'!$B$18,CI$3&lt;EDATE('Вводные'!$B$18,MAX(1,'Вводные'!$E$18))),$B$133/MAX(1,'Вводные'!$E$18),0)</x:f>
      </x:c>
      <x:c r="CJ133" s="117" t="n">
        <x:f>IF(AND(CJ$3&gt;='Вводные'!$B$18,CJ$3&lt;EDATE('Вводные'!$B$18,MAX(1,'Вводные'!$E$18))),$B$133/MAX(1,'Вводные'!$E$18),0)</x:f>
      </x:c>
      <x:c r="CK133" s="117" t="n">
        <x:f>IF(AND(CK$3&gt;='Вводные'!$B$18,CK$3&lt;EDATE('Вводные'!$B$18,MAX(1,'Вводные'!$E$18))),$B$133/MAX(1,'Вводные'!$E$18),0)</x:f>
      </x:c>
      <x:c r="CL133" s="117" t="n">
        <x:f>IF(AND(CL$3&gt;='Вводные'!$B$18,CL$3&lt;EDATE('Вводные'!$B$18,MAX(1,'Вводные'!$E$18))),$B$133/MAX(1,'Вводные'!$E$18),0)</x:f>
      </x:c>
      <x:c r="CM133" s="117" t="n">
        <x:f>IF(AND(CM$3&gt;='Вводные'!$B$18,CM$3&lt;EDATE('Вводные'!$B$18,MAX(1,'Вводные'!$E$18))),$B$133/MAX(1,'Вводные'!$E$18),0)</x:f>
      </x:c>
      <x:c r="CN133" s="117" t="n">
        <x:f>IF(AND(CN$3&gt;='Вводные'!$B$18,CN$3&lt;EDATE('Вводные'!$B$18,MAX(1,'Вводные'!$E$18))),$B$133/MAX(1,'Вводные'!$E$18),0)</x:f>
      </x:c>
      <x:c r="CO133" s="117" t="n">
        <x:f>IF(AND(CO$3&gt;='Вводные'!$B$18,CO$3&lt;EDATE('Вводные'!$B$18,MAX(1,'Вводные'!$E$18))),$B$133/MAX(1,'Вводные'!$E$18),0)</x:f>
      </x:c>
      <x:c r="CP133" s="117" t="n">
        <x:f>IF(AND(CP$3&gt;='Вводные'!$B$18,CP$3&lt;EDATE('Вводные'!$B$18,MAX(1,'Вводные'!$E$18))),$B$133/MAX(1,'Вводные'!$E$18),0)</x:f>
      </x:c>
      <x:c r="CQ133" s="117" t="n">
        <x:f>IF(AND(CQ$3&gt;='Вводные'!$B$18,CQ$3&lt;EDATE('Вводные'!$B$18,MAX(1,'Вводные'!$E$18))),$B$133/MAX(1,'Вводные'!$E$18),0)</x:f>
      </x:c>
      <x:c r="CR133" s="117" t="n">
        <x:f>IF(AND(CR$3&gt;='Вводные'!$B$18,CR$3&lt;EDATE('Вводные'!$B$18,MAX(1,'Вводные'!$E$18))),$B$133/MAX(1,'Вводные'!$E$18),0)</x:f>
      </x:c>
      <x:c r="CS133" s="117" t="n">
        <x:f>IF(AND(CS$3&gt;='Вводные'!$B$18,CS$3&lt;EDATE('Вводные'!$B$18,MAX(1,'Вводные'!$E$18))),$B$133/MAX(1,'Вводные'!$E$18),0)</x:f>
      </x:c>
      <x:c r="CT133" s="117" t="n">
        <x:f>IF(AND(CT$3&gt;='Вводные'!$B$18,CT$3&lt;EDATE('Вводные'!$B$18,MAX(1,'Вводные'!$E$18))),$B$133/MAX(1,'Вводные'!$E$18),0)</x:f>
      </x:c>
      <x:c r="CU133" s="117" t="n">
        <x:f>IF(AND(CU$3&gt;='Вводные'!$B$18,CU$3&lt;EDATE('Вводные'!$B$18,MAX(1,'Вводные'!$E$18))),$B$133/MAX(1,'Вводные'!$E$18),0)</x:f>
      </x:c>
      <x:c r="CV133" s="117" t="n">
        <x:f>IF(AND(CV$3&gt;='Вводные'!$B$18,CV$3&lt;EDATE('Вводные'!$B$18,MAX(1,'Вводные'!$E$18))),$B$133/MAX(1,'Вводные'!$E$18),0)</x:f>
      </x:c>
      <x:c r="CW133" s="117" t="n">
        <x:f>IF(AND(CW$3&gt;='Вводные'!$B$18,CW$3&lt;EDATE('Вводные'!$B$18,MAX(1,'Вводные'!$E$18))),$B$133/MAX(1,'Вводные'!$E$18),0)</x:f>
      </x:c>
      <x:c r="CX133" s="117" t="n">
        <x:f>IF(AND(CX$3&gt;='Вводные'!$B$18,CX$3&lt;EDATE('Вводные'!$B$18,MAX(1,'Вводные'!$E$18))),$B$133/MAX(1,'Вводные'!$E$18),0)</x:f>
      </x:c>
      <x:c r="CY133" s="117" t="n">
        <x:f>IF(AND(CY$3&gt;='Вводные'!$B$18,CY$3&lt;EDATE('Вводные'!$B$18,MAX(1,'Вводные'!$E$18))),$B$133/MAX(1,'Вводные'!$E$18),0)</x:f>
      </x:c>
      <x:c r="CZ133" s="117" t="n">
        <x:f>IF(AND(CZ$3&gt;='Вводные'!$B$18,CZ$3&lt;EDATE('Вводные'!$B$18,MAX(1,'Вводные'!$E$18))),$B$133/MAX(1,'Вводные'!$E$18),0)</x:f>
      </x:c>
      <x:c r="DA133" s="117" t="n">
        <x:f>IF(AND(DA$3&gt;='Вводные'!$B$18,DA$3&lt;EDATE('Вводные'!$B$18,MAX(1,'Вводные'!$E$18))),$B$133/MAX(1,'Вводные'!$E$18),0)</x:f>
      </x:c>
      <x:c r="DB133" s="117" t="n">
        <x:f>IF(AND(DB$3&gt;='Вводные'!$B$18,DB$3&lt;EDATE('Вводные'!$B$18,MAX(1,'Вводные'!$E$18))),$B$133/MAX(1,'Вводные'!$E$18),0)</x:f>
      </x:c>
      <x:c r="DC133" s="117" t="n">
        <x:f>IF(AND(DC$3&gt;='Вводные'!$B$18,DC$3&lt;EDATE('Вводные'!$B$18,MAX(1,'Вводные'!$E$18))),$B$133/MAX(1,'Вводные'!$E$18),0)</x:f>
      </x:c>
      <x:c r="DD133" s="117" t="n">
        <x:f>IF(AND(DD$3&gt;='Вводные'!$B$18,DD$3&lt;EDATE('Вводные'!$B$18,MAX(1,'Вводные'!$E$18))),$B$133/MAX(1,'Вводные'!$E$18),0)</x:f>
      </x:c>
      <x:c r="DE133" s="117" t="n">
        <x:f>IF(AND(DE$3&gt;='Вводные'!$B$18,DE$3&lt;EDATE('Вводные'!$B$18,MAX(1,'Вводные'!$E$18))),$B$133/MAX(1,'Вводные'!$E$18),0)</x:f>
      </x:c>
      <x:c r="DF133" s="117" t="n">
        <x:f>IF(AND(DF$3&gt;='Вводные'!$B$18,DF$3&lt;EDATE('Вводные'!$B$18,MAX(1,'Вводные'!$E$18))),$B$133/MAX(1,'Вводные'!$E$18),0)</x:f>
      </x:c>
      <x:c r="DG133" s="117" t="n">
        <x:f>IF(AND(DG$3&gt;='Вводные'!$B$18,DG$3&lt;EDATE('Вводные'!$B$18,MAX(1,'Вводные'!$E$18))),$B$133/MAX(1,'Вводные'!$E$18),0)</x:f>
      </x:c>
      <x:c r="DH133" s="117" t="n">
        <x:f>IF(AND(DH$3&gt;='Вводные'!$B$18,DH$3&lt;EDATE('Вводные'!$B$18,MAX(1,'Вводные'!$E$18))),$B$133/MAX(1,'Вводные'!$E$18),0)</x:f>
      </x:c>
      <x:c r="DI133" s="117" t="n">
        <x:f>IF(AND(DI$3&gt;='Вводные'!$B$18,DI$3&lt;EDATE('Вводные'!$B$18,MAX(1,'Вводные'!$E$18))),$B$133/MAX(1,'Вводные'!$E$18),0)</x:f>
      </x:c>
      <x:c r="DJ133" s="117" t="n">
        <x:f>IF(AND(DJ$3&gt;='Вводные'!$B$18,DJ$3&lt;EDATE('Вводные'!$B$18,MAX(1,'Вводные'!$E$18))),$B$133/MAX(1,'Вводные'!$E$18),0)</x:f>
      </x:c>
      <x:c r="DK133" s="117" t="n">
        <x:f>IF(AND(DK$3&gt;='Вводные'!$B$18,DK$3&lt;EDATE('Вводные'!$B$18,MAX(1,'Вводные'!$E$18))),$B$133/MAX(1,'Вводные'!$E$18),0)</x:f>
      </x:c>
      <x:c r="DL133" s="117" t="n">
        <x:f>IF(AND(DL$3&gt;='Вводные'!$B$18,DL$3&lt;EDATE('Вводные'!$B$18,MAX(1,'Вводные'!$E$18))),$B$133/MAX(1,'Вводные'!$E$18),0)</x:f>
      </x:c>
      <x:c r="DM133" s="117" t="n">
        <x:f>IF(AND(DM$3&gt;='Вводные'!$B$18,DM$3&lt;EDATE('Вводные'!$B$18,MAX(1,'Вводные'!$E$18))),$B$133/MAX(1,'Вводные'!$E$18),0)</x:f>
      </x:c>
      <x:c r="DN133" s="117" t="n">
        <x:f>IF(AND(DN$3&gt;='Вводные'!$B$18,DN$3&lt;EDATE('Вводные'!$B$18,MAX(1,'Вводные'!$E$18))),$B$133/MAX(1,'Вводные'!$E$18),0)</x:f>
      </x:c>
      <x:c r="DO133" s="117" t="n">
        <x:f>IF(AND(DO$3&gt;='Вводные'!$B$18,DO$3&lt;EDATE('Вводные'!$B$18,MAX(1,'Вводные'!$E$18))),$B$133/MAX(1,'Вводные'!$E$18),0)</x:f>
      </x:c>
      <x:c r="DP133" s="117" t="n">
        <x:f>IF(AND(DP$3&gt;='Вводные'!$B$18,DP$3&lt;EDATE('Вводные'!$B$18,MAX(1,'Вводные'!$E$18))),$B$133/MAX(1,'Вводные'!$E$18),0)</x:f>
      </x:c>
      <x:c r="DQ133" s="117" t="n">
        <x:f>IF(AND(DQ$3&gt;='Вводные'!$B$18,DQ$3&lt;EDATE('Вводные'!$B$18,MAX(1,'Вводные'!$E$18))),$B$133/MAX(1,'Вводные'!$E$18),0)</x:f>
      </x:c>
      <x:c r="DR133" s="117" t="n">
        <x:f>IF(AND(DR$3&gt;='Вводные'!$B$18,DR$3&lt;EDATE('Вводные'!$B$18,MAX(1,'Вводные'!$E$18))),$B$133/MAX(1,'Вводные'!$E$18),0)</x:f>
      </x:c>
      <x:c r="DS133" s="117" t="n">
        <x:f>IF(AND(DS$3&gt;='Вводные'!$B$18,DS$3&lt;EDATE('Вводные'!$B$18,MAX(1,'Вводные'!$E$18))),$B$133/MAX(1,'Вводные'!$E$18),0)</x:f>
      </x:c>
      <x:c r="DT133" s="117" t="n">
        <x:f>IF(AND(DT$3&gt;='Вводные'!$B$18,DT$3&lt;EDATE('Вводные'!$B$18,MAX(1,'Вводные'!$E$18))),$B$133/MAX(1,'Вводные'!$E$18),0)</x:f>
      </x:c>
      <x:c r="DU133" s="117" t="n">
        <x:f>IF(AND(DU$3&gt;='Вводные'!$B$18,DU$3&lt;EDATE('Вводные'!$B$18,MAX(1,'Вводные'!$E$18))),$B$133/MAX(1,'Вводные'!$E$18),0)</x:f>
      </x:c>
      <x:c r="DV133" s="117" t="n">
        <x:f>IF(AND(DV$3&gt;='Вводные'!$B$18,DV$3&lt;EDATE('Вводные'!$B$18,MAX(1,'Вводные'!$E$18))),$B$133/MAX(1,'Вводные'!$E$18),0)</x:f>
      </x:c>
      <x:c r="DW133" s="117" t="n">
        <x:f>IF(AND(DW$3&gt;='Вводные'!$B$18,DW$3&lt;EDATE('Вводные'!$B$18,MAX(1,'Вводные'!$E$18))),$B$133/MAX(1,'Вводные'!$E$18),0)</x:f>
      </x:c>
      <x:c r="DX133" s="117" t="n">
        <x:f>IF(AND(DX$3&gt;='Вводные'!$B$18,DX$3&lt;EDATE('Вводные'!$B$18,MAX(1,'Вводные'!$E$18))),$B$133/MAX(1,'Вводные'!$E$18),0)</x:f>
      </x:c>
      <x:c r="DY133" s="117" t="n">
        <x:f>IF(AND(DY$3&gt;='Вводные'!$B$18,DY$3&lt;EDATE('Вводные'!$B$18,MAX(1,'Вводные'!$E$18))),$B$133/MAX(1,'Вводные'!$E$18),0)</x:f>
      </x:c>
      <x:c r="DZ133" s="117" t="n">
        <x:f>IF(AND(DZ$3&gt;='Вводные'!$B$18,DZ$3&lt;EDATE('Вводные'!$B$18,MAX(1,'Вводные'!$E$18))),$B$133/MAX(1,'Вводные'!$E$18),0)</x:f>
      </x:c>
      <x:c r="EA133" s="117" t="n">
        <x:f>IF(AND(EA$3&gt;='Вводные'!$B$18,EA$3&lt;EDATE('Вводные'!$B$18,MAX(1,'Вводные'!$E$18))),$B$133/MAX(1,'Вводные'!$E$18),0)</x:f>
      </x:c>
      <x:c r="EB133" s="117" t="n">
        <x:f>IF(AND(EB$3&gt;='Вводные'!$B$18,EB$3&lt;EDATE('Вводные'!$B$18,MAX(1,'Вводные'!$E$18))),$B$133/MAX(1,'Вводные'!$E$18),0)</x:f>
      </x:c>
      <x:c r="EC133" s="117" t="n">
        <x:f>IF(AND(EC$3&gt;='Вводные'!$B$18,EC$3&lt;EDATE('Вводные'!$B$18,MAX(1,'Вводные'!$E$18))),$B$133/MAX(1,'Вводные'!$E$18),0)</x:f>
      </x:c>
      <x:c r="ED133" s="117" t="n">
        <x:f>IF(AND(ED$3&gt;='Вводные'!$B$18,ED$3&lt;EDATE('Вводные'!$B$18,MAX(1,'Вводные'!$E$18))),$B$133/MAX(1,'Вводные'!$E$18),0)</x:f>
      </x:c>
      <x:c r="EE133" s="117" t="n">
        <x:f>IF(AND(EE$3&gt;='Вводные'!$B$18,EE$3&lt;EDATE('Вводные'!$B$18,MAX(1,'Вводные'!$E$18))),$B$133/MAX(1,'Вводные'!$E$18),0)</x:f>
      </x:c>
      <x:c r="EF133" s="117" t="n">
        <x:f>IF(AND(EF$3&gt;='Вводные'!$B$18,EF$3&lt;EDATE('Вводные'!$B$18,MAX(1,'Вводные'!$E$18))),$B$133/MAX(1,'Вводные'!$E$18),0)</x:f>
      </x:c>
      <x:c r="EG133" s="117" t="n">
        <x:f>IF(AND(EG$3&gt;='Вводные'!$B$18,EG$3&lt;EDATE('Вводные'!$B$18,MAX(1,'Вводные'!$E$18))),$B$133/MAX(1,'Вводные'!$E$18),0)</x:f>
      </x:c>
      <x:c r="EH133" s="117" t="n">
        <x:f>IF(AND(EH$3&gt;='Вводные'!$B$18,EH$3&lt;EDATE('Вводные'!$B$18,MAX(1,'Вводные'!$E$18))),$B$133/MAX(1,'Вводные'!$E$18),0)</x:f>
      </x:c>
      <x:c r="EI133" s="117" t="n">
        <x:f>IF(AND(EI$3&gt;='Вводные'!$B$18,EI$3&lt;EDATE('Вводные'!$B$18,MAX(1,'Вводные'!$E$18))),$B$133/MAX(1,'Вводные'!$E$18),0)</x:f>
      </x:c>
      <x:c r="EJ133" s="117" t="n">
        <x:f>IF(AND(EJ$3&gt;='Вводные'!$B$18,EJ$3&lt;EDATE('Вводные'!$B$18,MAX(1,'Вводные'!$E$18))),$B$133/MAX(1,'Вводные'!$E$18),0)</x:f>
      </x:c>
      <x:c r="EK133" s="117" t="n">
        <x:f>IF(AND(EK$3&gt;='Вводные'!$B$18,EK$3&lt;EDATE('Вводные'!$B$18,MAX(1,'Вводные'!$E$18))),$B$133/MAX(1,'Вводные'!$E$18),0)</x:f>
      </x:c>
      <x:c r="EL133" s="117" t="n">
        <x:f>IF(AND(EL$3&gt;='Вводные'!$B$18,EL$3&lt;EDATE('Вводные'!$B$18,MAX(1,'Вводные'!$E$18))),$B$133/MAX(1,'Вводные'!$E$18),0)</x:f>
      </x:c>
      <x:c r="EM133" s="117" t="n">
        <x:f>IF(AND(EM$3&gt;='Вводные'!$B$18,EM$3&lt;EDATE('Вводные'!$B$18,MAX(1,'Вводные'!$E$18))),$B$133/MAX(1,'Вводные'!$E$18),0)</x:f>
      </x:c>
      <x:c r="EN133" s="117" t="n">
        <x:f>IF(AND(EN$3&gt;='Вводные'!$B$18,EN$3&lt;EDATE('Вводные'!$B$18,MAX(1,'Вводные'!$E$18))),$B$133/MAX(1,'Вводные'!$E$18),0)</x:f>
      </x:c>
      <x:c r="EO133" s="117" t="n">
        <x:f>IF(AND(EO$3&gt;='Вводные'!$B$18,EO$3&lt;EDATE('Вводные'!$B$18,MAX(1,'Вводные'!$E$18))),$B$133/MAX(1,'Вводные'!$E$18),0)</x:f>
      </x:c>
      <x:c r="EP133" s="117" t="n">
        <x:f>IF(AND(EP$3&gt;='Вводные'!$B$18,EP$3&lt;EDATE('Вводные'!$B$18,MAX(1,'Вводные'!$E$18))),$B$133/MAX(1,'Вводные'!$E$18),0)</x:f>
      </x:c>
      <x:c r="EQ133" s="117" t="n">
        <x:f>IF(AND(EQ$3&gt;='Вводные'!$B$18,EQ$3&lt;EDATE('Вводные'!$B$18,MAX(1,'Вводные'!$E$18))),$B$133/MAX(1,'Вводные'!$E$18),0)</x:f>
      </x:c>
      <x:c r="ER133" s="117" t="n">
        <x:f>IF(AND(ER$3&gt;='Вводные'!$B$18,ER$3&lt;EDATE('Вводные'!$B$18,MAX(1,'Вводные'!$E$18))),$B$133/MAX(1,'Вводные'!$E$18),0)</x:f>
      </x:c>
      <x:c r="ES133" s="117" t="n">
        <x:f>IF(AND(ES$3&gt;='Вводные'!$B$18,ES$3&lt;EDATE('Вводные'!$B$18,MAX(1,'Вводные'!$E$18))),$B$133/MAX(1,'Вводные'!$E$18),0)</x:f>
      </x:c>
      <x:c r="ET133" s="117" t="n">
        <x:f>IF(AND(ET$3&gt;='Вводные'!$B$18,ET$3&lt;EDATE('Вводные'!$B$18,MAX(1,'Вводные'!$E$18))),$B$133/MAX(1,'Вводные'!$E$18),0)</x:f>
      </x:c>
      <x:c r="EU133" s="117" t="n">
        <x:f>IF(AND(EU$3&gt;='Вводные'!$B$18,EU$3&lt;EDATE('Вводные'!$B$18,MAX(1,'Вводные'!$E$18))),$B$133/MAX(1,'Вводные'!$E$18),0)</x:f>
      </x:c>
      <x:c r="EV133" s="117" t="n">
        <x:f>IF(AND(EV$3&gt;='Вводные'!$B$18,EV$3&lt;EDATE('Вводные'!$B$18,MAX(1,'Вводные'!$E$18))),$B$133/MAX(1,'Вводные'!$E$18),0)</x:f>
      </x:c>
      <x:c r="EW133" s="117" t="n">
        <x:f>IF(AND(EW$3&gt;='Вводные'!$B$18,EW$3&lt;EDATE('Вводные'!$B$18,MAX(1,'Вводные'!$E$18))),$B$133/MAX(1,'Вводные'!$E$18),0)</x:f>
      </x:c>
      <x:c r="EX133" s="117" t="n">
        <x:f>IF(AND(EX$3&gt;='Вводные'!$B$18,EX$3&lt;EDATE('Вводные'!$B$18,MAX(1,'Вводные'!$E$18))),$B$133/MAX(1,'Вводные'!$E$18),0)</x:f>
      </x:c>
      <x:c r="EY133" s="117" t="n">
        <x:f>IF(AND(EY$3&gt;='Вводные'!$B$18,EY$3&lt;EDATE('Вводные'!$B$18,MAX(1,'Вводные'!$E$18))),$B$133/MAX(1,'Вводные'!$E$18),0)</x:f>
      </x:c>
      <x:c r="EZ133" s="117" t="n">
        <x:f>IF(AND(EZ$3&gt;='Вводные'!$B$18,EZ$3&lt;EDATE('Вводные'!$B$18,MAX(1,'Вводные'!$E$18))),$B$133/MAX(1,'Вводные'!$E$18),0)</x:f>
      </x:c>
      <x:c r="FA133" s="117" t="n">
        <x:f>IF(AND(FA$3&gt;='Вводные'!$B$18,FA$3&lt;EDATE('Вводные'!$B$18,MAX(1,'Вводные'!$E$18))),$B$133/MAX(1,'Вводные'!$E$18),0)</x:f>
      </x:c>
      <x:c r="FB133" s="117" t="n">
        <x:f>IF(AND(FB$3&gt;='Вводные'!$B$18,FB$3&lt;EDATE('Вводные'!$B$18,MAX(1,'Вводные'!$E$18))),$B$133/MAX(1,'Вводные'!$E$18),0)</x:f>
      </x:c>
      <x:c r="FC133" s="117" t="n">
        <x:f>IF(AND(FC$3&gt;='Вводные'!$B$18,FC$3&lt;EDATE('Вводные'!$B$18,MAX(1,'Вводные'!$E$18))),$B$133/MAX(1,'Вводные'!$E$18),0)</x:f>
      </x:c>
      <x:c r="FD133" s="117" t="n">
        <x:f>IF(AND(FD$3&gt;='Вводные'!$B$18,FD$3&lt;EDATE('Вводные'!$B$18,MAX(1,'Вводные'!$E$18))),$B$133/MAX(1,'Вводные'!$E$18),0)</x:f>
      </x:c>
      <x:c r="FE133" s="117" t="n">
        <x:f>IF(AND(FE$3&gt;='Вводные'!$B$18,FE$3&lt;EDATE('Вводные'!$B$18,MAX(1,'Вводные'!$E$18))),$B$133/MAX(1,'Вводные'!$E$18),0)</x:f>
      </x:c>
      <x:c r="FF133" s="117" t="n">
        <x:f>IF(AND(FF$3&gt;='Вводные'!$B$18,FF$3&lt;EDATE('Вводные'!$B$18,MAX(1,'Вводные'!$E$18))),$B$133/MAX(1,'Вводные'!$E$18),0)</x:f>
      </x:c>
      <x:c r="FG133" s="117" t="n">
        <x:f>IF(AND(FG$3&gt;='Вводные'!$B$18,FG$3&lt;EDATE('Вводные'!$B$18,MAX(1,'Вводные'!$E$18))),$B$133/MAX(1,'Вводные'!$E$18),0)</x:f>
      </x:c>
      <x:c r="FH133" s="117" t="n">
        <x:f>IF(AND(FH$3&gt;='Вводные'!$B$18,FH$3&lt;EDATE('Вводные'!$B$18,MAX(1,'Вводные'!$E$18))),$B$133/MAX(1,'Вводные'!$E$18),0)</x:f>
      </x:c>
      <x:c r="FI133" s="117" t="n">
        <x:f>IF(AND(FI$3&gt;='Вводные'!$B$18,FI$3&lt;EDATE('Вводные'!$B$18,MAX(1,'Вводные'!$E$18))),$B$133/MAX(1,'Вводные'!$E$18),0)</x:f>
      </x:c>
      <x:c r="FJ133" s="117" t="n">
        <x:f>IF(AND(FJ$3&gt;='Вводные'!$B$18,FJ$3&lt;EDATE('Вводные'!$B$18,MAX(1,'Вводные'!$E$18))),$B$133/MAX(1,'Вводные'!$E$18),0)</x:f>
      </x:c>
      <x:c r="FK133" s="117" t="n">
        <x:f>IF(AND(FK$3&gt;='Вводные'!$B$18,FK$3&lt;EDATE('Вводные'!$B$18,MAX(1,'Вводные'!$E$18))),$B$133/MAX(1,'Вводные'!$E$18),0)</x:f>
      </x:c>
      <x:c r="FL133" s="117" t="n">
        <x:f>IF(AND(FL$3&gt;='Вводные'!$B$18,FL$3&lt;EDATE('Вводные'!$B$18,MAX(1,'Вводные'!$E$18))),$B$133/MAX(1,'Вводные'!$E$18),0)</x:f>
      </x:c>
      <x:c r="FM133" s="117" t="n">
        <x:f>IF(AND(FM$3&gt;='Вводные'!$B$18,FM$3&lt;EDATE('Вводные'!$B$18,MAX(1,'Вводные'!$E$18))),$B$133/MAX(1,'Вводные'!$E$18),0)</x:f>
      </x:c>
      <x:c r="FN133" s="117" t="n">
        <x:f>IF(AND(FN$3&gt;='Вводные'!$B$18,FN$3&lt;EDATE('Вводные'!$B$18,MAX(1,'Вводные'!$E$18))),$B$133/MAX(1,'Вводные'!$E$18),0)</x:f>
      </x:c>
      <x:c r="FO133" s="117" t="n">
        <x:f>IF(AND(FO$3&gt;='Вводные'!$B$18,FO$3&lt;EDATE('Вводные'!$B$18,MAX(1,'Вводные'!$E$18))),$B$133/MAX(1,'Вводные'!$E$18),0)</x:f>
      </x:c>
      <x:c r="FP133" s="117" t="n">
        <x:f>IF(AND(FP$3&gt;='Вводные'!$B$18,FP$3&lt;EDATE('Вводные'!$B$18,MAX(1,'Вводные'!$E$18))),$B$133/MAX(1,'Вводные'!$E$18),0)</x:f>
      </x:c>
      <x:c r="FQ133" s="117" t="n">
        <x:f>IF(AND(FQ$3&gt;='Вводные'!$B$18,FQ$3&lt;EDATE('Вводные'!$B$18,MAX(1,'Вводные'!$E$18))),$B$133/MAX(1,'Вводные'!$E$18),0)</x:f>
      </x:c>
      <x:c r="FR133" s="117" t="n">
        <x:f>IF(AND(FR$3&gt;='Вводные'!$B$18,FR$3&lt;EDATE('Вводные'!$B$18,MAX(1,'Вводные'!$E$18))),$B$133/MAX(1,'Вводные'!$E$18),0)</x:f>
      </x:c>
      <x:c r="FS133" s="117" t="n">
        <x:f>IF(AND(FS$3&gt;='Вводные'!$B$18,FS$3&lt;EDATE('Вводные'!$B$18,MAX(1,'Вводные'!$E$18))),$B$133/MAX(1,'Вводные'!$E$18),0)</x:f>
      </x:c>
      <x:c r="FT133" s="117" t="n">
        <x:f>IF(AND(FT$3&gt;='Вводные'!$B$18,FT$3&lt;EDATE('Вводные'!$B$18,MAX(1,'Вводные'!$E$18))),$B$133/MAX(1,'Вводные'!$E$18),0)</x:f>
      </x:c>
      <x:c r="FU133" s="117" t="n">
        <x:f>IF(AND(FU$3&gt;='Вводные'!$B$18,FU$3&lt;EDATE('Вводные'!$B$18,MAX(1,'Вводные'!$E$18))),$B$133/MAX(1,'Вводные'!$E$18),0)</x:f>
      </x:c>
      <x:c r="FV133" s="117" t="n">
        <x:f>IF(AND(FV$3&gt;='Вводные'!$B$18,FV$3&lt;EDATE('Вводные'!$B$18,MAX(1,'Вводные'!$E$18))),$B$133/MAX(1,'Вводные'!$E$18),0)</x:f>
      </x:c>
      <x:c r="FW133" s="117" t="n">
        <x:f>IF(AND(FW$3&gt;='Вводные'!$B$18,FW$3&lt;EDATE('Вводные'!$B$18,MAX(1,'Вводные'!$E$18))),$B$133/MAX(1,'Вводные'!$E$18),0)</x:f>
      </x:c>
      <x:c r="FX133" s="117" t="n">
        <x:f>IF(AND(FX$3&gt;='Вводные'!$B$18,FX$3&lt;EDATE('Вводные'!$B$18,MAX(1,'Вводные'!$E$18))),$B$133/MAX(1,'Вводные'!$E$18),0)</x:f>
      </x:c>
      <x:c r="FY133" s="117" t="n">
        <x:f>IF(AND(FY$3&gt;='Вводные'!$B$18,FY$3&lt;EDATE('Вводные'!$B$18,MAX(1,'Вводные'!$E$18))),$B$133/MAX(1,'Вводные'!$E$18),0)</x:f>
      </x:c>
      <x:c r="FZ133" s="117" t="n">
        <x:f>IF(AND(FZ$3&gt;='Вводные'!$B$18,FZ$3&lt;EDATE('Вводные'!$B$18,MAX(1,'Вводные'!$E$18))),$B$133/MAX(1,'Вводные'!$E$18),0)</x:f>
      </x:c>
      <x:c r="GA133" s="117" t="n">
        <x:f>IF(AND(GA$3&gt;='Вводные'!$B$18,GA$3&lt;EDATE('Вводные'!$B$18,MAX(1,'Вводные'!$E$18))),$B$133/MAX(1,'Вводные'!$E$18),0)</x:f>
      </x:c>
    </x:row>
    <x:row r="134">
      <x:c r="A134" s="113" t="str">
        <x:v>CAPEX ВСЕГО</x:v>
      </x:c>
      <x:c r="B134" s="113" t="n">
        <x:f>SUM(D134:GA134)</x:f>
      </x:c>
      <x:c r="C134" s="113" t="str">
        <x:v>млн ₽</x:v>
      </x:c>
      <x:c r="D134" s="120" t="n">
        <x:f>SUM(D116:D133)+'ОБЪЕКТЫ'!D120</x:f>
      </x:c>
      <x:c r="E134" s="120" t="n">
        <x:f>SUM(E116:E133)+'ОБЪЕКТЫ'!E120</x:f>
      </x:c>
      <x:c r="F134" s="120" t="n">
        <x:f>SUM(F116:F133)+'ОБЪЕКТЫ'!F120</x:f>
      </x:c>
      <x:c r="G134" s="120" t="n">
        <x:f>SUM(G116:G133)+'ОБЪЕКТЫ'!G120</x:f>
      </x:c>
      <x:c r="H134" s="120" t="n">
        <x:f>SUM(H116:H133)+'ОБЪЕКТЫ'!H120</x:f>
      </x:c>
      <x:c r="I134" s="120" t="n">
        <x:f>SUM(I116:I133)+'ОБЪЕКТЫ'!I120</x:f>
      </x:c>
      <x:c r="J134" s="120" t="n">
        <x:f>SUM(J116:J133)+'ОБЪЕКТЫ'!J120</x:f>
      </x:c>
      <x:c r="K134" s="120" t="n">
        <x:f>SUM(K116:K133)+'ОБЪЕКТЫ'!K120</x:f>
      </x:c>
      <x:c r="L134" s="120" t="n">
        <x:f>SUM(L116:L133)+'ОБЪЕКТЫ'!L120</x:f>
      </x:c>
      <x:c r="M134" s="120" t="n">
        <x:f>SUM(M116:M133)+'ОБЪЕКТЫ'!M120</x:f>
      </x:c>
      <x:c r="N134" s="120" t="n">
        <x:f>SUM(N116:N133)+'ОБЪЕКТЫ'!N120</x:f>
      </x:c>
      <x:c r="O134" s="120" t="n">
        <x:f>SUM(O116:O133)+'ОБЪЕКТЫ'!O120</x:f>
      </x:c>
      <x:c r="P134" s="120" t="n">
        <x:f>SUM(P116:P133)+'ОБЪЕКТЫ'!P120</x:f>
      </x:c>
      <x:c r="Q134" s="120" t="n">
        <x:f>SUM(Q116:Q133)+'ОБЪЕКТЫ'!Q120</x:f>
      </x:c>
      <x:c r="R134" s="120" t="n">
        <x:f>SUM(R116:R133)+'ОБЪЕКТЫ'!R120</x:f>
      </x:c>
      <x:c r="S134" s="120" t="n">
        <x:f>SUM(S116:S133)+'ОБЪЕКТЫ'!S120</x:f>
      </x:c>
      <x:c r="T134" s="120" t="n">
        <x:f>SUM(T116:T133)+'ОБЪЕКТЫ'!T120</x:f>
      </x:c>
      <x:c r="U134" s="120" t="n">
        <x:f>SUM(U116:U133)+'ОБЪЕКТЫ'!U120</x:f>
      </x:c>
      <x:c r="V134" s="120" t="n">
        <x:f>SUM(V116:V133)+'ОБЪЕКТЫ'!V120</x:f>
      </x:c>
      <x:c r="W134" s="120" t="n">
        <x:f>SUM(W116:W133)+'ОБЪЕКТЫ'!W120</x:f>
      </x:c>
      <x:c r="X134" s="120" t="n">
        <x:f>SUM(X116:X133)+'ОБЪЕКТЫ'!X120</x:f>
      </x:c>
      <x:c r="Y134" s="120" t="n">
        <x:f>SUM(Y116:Y133)+'ОБЪЕКТЫ'!Y120</x:f>
      </x:c>
      <x:c r="Z134" s="120" t="n">
        <x:f>SUM(Z116:Z133)+'ОБЪЕКТЫ'!Z120</x:f>
      </x:c>
      <x:c r="AA134" s="120" t="n">
        <x:f>SUM(AA116:AA133)+'ОБЪЕКТЫ'!AA120</x:f>
      </x:c>
      <x:c r="AB134" s="120" t="n">
        <x:f>SUM(AB116:AB133)+'ОБЪЕКТЫ'!AB120</x:f>
      </x:c>
      <x:c r="AC134" s="120" t="n">
        <x:f>SUM(AC116:AC133)+'ОБЪЕКТЫ'!AC120</x:f>
      </x:c>
      <x:c r="AD134" s="120" t="n">
        <x:f>SUM(AD116:AD133)+'ОБЪЕКТЫ'!AD120</x:f>
      </x:c>
      <x:c r="AE134" s="120" t="n">
        <x:f>SUM(AE116:AE133)+'ОБЪЕКТЫ'!AE120</x:f>
      </x:c>
      <x:c r="AF134" s="120" t="n">
        <x:f>SUM(AF116:AF133)+'ОБЪЕКТЫ'!AF120</x:f>
      </x:c>
      <x:c r="AG134" s="120" t="n">
        <x:f>SUM(AG116:AG133)+'ОБЪЕКТЫ'!AG120</x:f>
      </x:c>
      <x:c r="AH134" s="120" t="n">
        <x:f>SUM(AH116:AH133)+'ОБЪЕКТЫ'!AH120</x:f>
      </x:c>
      <x:c r="AI134" s="120" t="n">
        <x:f>SUM(AI116:AI133)+'ОБЪЕКТЫ'!AI120</x:f>
      </x:c>
      <x:c r="AJ134" s="120" t="n">
        <x:f>SUM(AJ116:AJ133)+'ОБЪЕКТЫ'!AJ120</x:f>
      </x:c>
      <x:c r="AK134" s="120" t="n">
        <x:f>SUM(AK116:AK133)+'ОБЪЕКТЫ'!AK120</x:f>
      </x:c>
      <x:c r="AL134" s="120" t="n">
        <x:f>SUM(AL116:AL133)+'ОБЪЕКТЫ'!AL120</x:f>
      </x:c>
      <x:c r="AM134" s="120" t="n">
        <x:f>SUM(AM116:AM133)+'ОБЪЕКТЫ'!AM120</x:f>
      </x:c>
      <x:c r="AN134" s="120" t="n">
        <x:f>SUM(AN116:AN133)+'ОБЪЕКТЫ'!AN120</x:f>
      </x:c>
      <x:c r="AO134" s="120" t="n">
        <x:f>SUM(AO116:AO133)+'ОБЪЕКТЫ'!AO120</x:f>
      </x:c>
      <x:c r="AP134" s="120" t="n">
        <x:f>SUM(AP116:AP133)+'ОБЪЕКТЫ'!AP120</x:f>
      </x:c>
      <x:c r="AQ134" s="120" t="n">
        <x:f>SUM(AQ116:AQ133)+'ОБЪЕКТЫ'!AQ120</x:f>
      </x:c>
      <x:c r="AR134" s="120" t="n">
        <x:f>SUM(AR116:AR133)+'ОБЪЕКТЫ'!AR120</x:f>
      </x:c>
      <x:c r="AS134" s="120" t="n">
        <x:f>SUM(AS116:AS133)+'ОБЪЕКТЫ'!AS120</x:f>
      </x:c>
      <x:c r="AT134" s="120" t="n">
        <x:f>SUM(AT116:AT133)+'ОБЪЕКТЫ'!AT120</x:f>
      </x:c>
      <x:c r="AU134" s="120" t="n">
        <x:f>SUM(AU116:AU133)+'ОБЪЕКТЫ'!AU120</x:f>
      </x:c>
      <x:c r="AV134" s="120" t="n">
        <x:f>SUM(AV116:AV133)+'ОБЪЕКТЫ'!AV120</x:f>
      </x:c>
      <x:c r="AW134" s="120" t="n">
        <x:f>SUM(AW116:AW133)+'ОБЪЕКТЫ'!AW120</x:f>
      </x:c>
      <x:c r="AX134" s="120" t="n">
        <x:f>SUM(AX116:AX133)+'ОБЪЕКТЫ'!AX120</x:f>
      </x:c>
      <x:c r="AY134" s="120" t="n">
        <x:f>SUM(AY116:AY133)+'ОБЪЕКТЫ'!AY120</x:f>
      </x:c>
      <x:c r="AZ134" s="120" t="n">
        <x:f>SUM(AZ116:AZ133)+'ОБЪЕКТЫ'!AZ120</x:f>
      </x:c>
      <x:c r="BA134" s="120" t="n">
        <x:f>SUM(BA116:BA133)+'ОБЪЕКТЫ'!BA120</x:f>
      </x:c>
      <x:c r="BB134" s="120" t="n">
        <x:f>SUM(BB116:BB133)+'ОБЪЕКТЫ'!BB120</x:f>
      </x:c>
      <x:c r="BC134" s="120" t="n">
        <x:f>SUM(BC116:BC133)+'ОБЪЕКТЫ'!BC120</x:f>
      </x:c>
      <x:c r="BD134" s="120" t="n">
        <x:f>SUM(BD116:BD133)+'ОБЪЕКТЫ'!BD120</x:f>
      </x:c>
      <x:c r="BE134" s="120" t="n">
        <x:f>SUM(BE116:BE133)+'ОБЪЕКТЫ'!BE120</x:f>
      </x:c>
      <x:c r="BF134" s="120" t="n">
        <x:f>SUM(BF116:BF133)+'ОБЪЕКТЫ'!BF120</x:f>
      </x:c>
      <x:c r="BG134" s="120" t="n">
        <x:f>SUM(BG116:BG133)+'ОБЪЕКТЫ'!BG120</x:f>
      </x:c>
      <x:c r="BH134" s="120" t="n">
        <x:f>SUM(BH116:BH133)+'ОБЪЕКТЫ'!BH120</x:f>
      </x:c>
      <x:c r="BI134" s="120" t="n">
        <x:f>SUM(BI116:BI133)+'ОБЪЕКТЫ'!BI120</x:f>
      </x:c>
      <x:c r="BJ134" s="120" t="n">
        <x:f>SUM(BJ116:BJ133)+'ОБЪЕКТЫ'!BJ120</x:f>
      </x:c>
      <x:c r="BK134" s="120" t="n">
        <x:f>SUM(BK116:BK133)+'ОБЪЕКТЫ'!BK120</x:f>
      </x:c>
      <x:c r="BL134" s="120" t="n">
        <x:f>SUM(BL116:BL133)+'ОБЪЕКТЫ'!BL120</x:f>
      </x:c>
      <x:c r="BM134" s="120" t="n">
        <x:f>SUM(BM116:BM133)+'ОБЪЕКТЫ'!BM120</x:f>
      </x:c>
      <x:c r="BN134" s="120" t="n">
        <x:f>SUM(BN116:BN133)+'ОБЪЕКТЫ'!BN120</x:f>
      </x:c>
      <x:c r="BO134" s="120" t="n">
        <x:f>SUM(BO116:BO133)+'ОБЪЕКТЫ'!BO120</x:f>
      </x:c>
      <x:c r="BP134" s="120" t="n">
        <x:f>SUM(BP116:BP133)+'ОБЪЕКТЫ'!BP120</x:f>
      </x:c>
      <x:c r="BQ134" s="120" t="n">
        <x:f>SUM(BQ116:BQ133)+'ОБЪЕКТЫ'!BQ120</x:f>
      </x:c>
      <x:c r="BR134" s="120" t="n">
        <x:f>SUM(BR116:BR133)+'ОБЪЕКТЫ'!BR120</x:f>
      </x:c>
      <x:c r="BS134" s="120" t="n">
        <x:f>SUM(BS116:BS133)+'ОБЪЕКТЫ'!BS120</x:f>
      </x:c>
      <x:c r="BT134" s="120" t="n">
        <x:f>SUM(BT116:BT133)+'ОБЪЕКТЫ'!BT120</x:f>
      </x:c>
      <x:c r="BU134" s="120" t="n">
        <x:f>SUM(BU116:BU133)+'ОБЪЕКТЫ'!BU120</x:f>
      </x:c>
      <x:c r="BV134" s="120" t="n">
        <x:f>SUM(BV116:BV133)+'ОБЪЕКТЫ'!BV120</x:f>
      </x:c>
      <x:c r="BW134" s="120" t="n">
        <x:f>SUM(BW116:BW133)+'ОБЪЕКТЫ'!BW120</x:f>
      </x:c>
      <x:c r="BX134" s="120" t="n">
        <x:f>SUM(BX116:BX133)+'ОБЪЕКТЫ'!BX120</x:f>
      </x:c>
      <x:c r="BY134" s="120" t="n">
        <x:f>SUM(BY116:BY133)+'ОБЪЕКТЫ'!BY120</x:f>
      </x:c>
      <x:c r="BZ134" s="120" t="n">
        <x:f>SUM(BZ116:BZ133)+'ОБЪЕКТЫ'!BZ120</x:f>
      </x:c>
      <x:c r="CA134" s="120" t="n">
        <x:f>SUM(CA116:CA133)+'ОБЪЕКТЫ'!CA120</x:f>
      </x:c>
      <x:c r="CB134" s="120" t="n">
        <x:f>SUM(CB116:CB133)+'ОБЪЕКТЫ'!CB120</x:f>
      </x:c>
      <x:c r="CC134" s="120" t="n">
        <x:f>SUM(CC116:CC133)+'ОБЪЕКТЫ'!CC120</x:f>
      </x:c>
      <x:c r="CD134" s="120" t="n">
        <x:f>SUM(CD116:CD133)+'ОБЪЕКТЫ'!CD120</x:f>
      </x:c>
      <x:c r="CE134" s="120" t="n">
        <x:f>SUM(CE116:CE133)+'ОБЪЕКТЫ'!CE120</x:f>
      </x:c>
      <x:c r="CF134" s="120" t="n">
        <x:f>SUM(CF116:CF133)+'ОБЪЕКТЫ'!CF120</x:f>
      </x:c>
      <x:c r="CG134" s="120" t="n">
        <x:f>SUM(CG116:CG133)+'ОБЪЕКТЫ'!CG120</x:f>
      </x:c>
      <x:c r="CH134" s="120" t="n">
        <x:f>SUM(CH116:CH133)+'ОБЪЕКТЫ'!CH120</x:f>
      </x:c>
      <x:c r="CI134" s="120" t="n">
        <x:f>SUM(CI116:CI133)+'ОБЪЕКТЫ'!CI120</x:f>
      </x:c>
      <x:c r="CJ134" s="120" t="n">
        <x:f>SUM(CJ116:CJ133)+'ОБЪЕКТЫ'!CJ120</x:f>
      </x:c>
      <x:c r="CK134" s="120" t="n">
        <x:f>SUM(CK116:CK133)+'ОБЪЕКТЫ'!CK120</x:f>
      </x:c>
      <x:c r="CL134" s="120" t="n">
        <x:f>SUM(CL116:CL133)+'ОБЪЕКТЫ'!CL120</x:f>
      </x:c>
      <x:c r="CM134" s="120" t="n">
        <x:f>SUM(CM116:CM133)+'ОБЪЕКТЫ'!CM120</x:f>
      </x:c>
      <x:c r="CN134" s="120" t="n">
        <x:f>SUM(CN116:CN133)+'ОБЪЕКТЫ'!CN120</x:f>
      </x:c>
      <x:c r="CO134" s="120" t="n">
        <x:f>SUM(CO116:CO133)+'ОБЪЕКТЫ'!CO120</x:f>
      </x:c>
      <x:c r="CP134" s="120" t="n">
        <x:f>SUM(CP116:CP133)+'ОБЪЕКТЫ'!CP120</x:f>
      </x:c>
      <x:c r="CQ134" s="120" t="n">
        <x:f>SUM(CQ116:CQ133)+'ОБЪЕКТЫ'!CQ120</x:f>
      </x:c>
      <x:c r="CR134" s="120" t="n">
        <x:f>SUM(CR116:CR133)+'ОБЪЕКТЫ'!CR120</x:f>
      </x:c>
      <x:c r="CS134" s="120" t="n">
        <x:f>SUM(CS116:CS133)+'ОБЪЕКТЫ'!CS120</x:f>
      </x:c>
      <x:c r="CT134" s="120" t="n">
        <x:f>SUM(CT116:CT133)+'ОБЪЕКТЫ'!CT120</x:f>
      </x:c>
      <x:c r="CU134" s="120" t="n">
        <x:f>SUM(CU116:CU133)+'ОБЪЕКТЫ'!CU120</x:f>
      </x:c>
      <x:c r="CV134" s="120" t="n">
        <x:f>SUM(CV116:CV133)+'ОБЪЕКТЫ'!CV120</x:f>
      </x:c>
      <x:c r="CW134" s="120" t="n">
        <x:f>SUM(CW116:CW133)+'ОБЪЕКТЫ'!CW120</x:f>
      </x:c>
      <x:c r="CX134" s="120" t="n">
        <x:f>SUM(CX116:CX133)+'ОБЪЕКТЫ'!CX120</x:f>
      </x:c>
      <x:c r="CY134" s="120" t="n">
        <x:f>SUM(CY116:CY133)+'ОБЪЕКТЫ'!CY120</x:f>
      </x:c>
      <x:c r="CZ134" s="120" t="n">
        <x:f>SUM(CZ116:CZ133)+'ОБЪЕКТЫ'!CZ120</x:f>
      </x:c>
      <x:c r="DA134" s="120" t="n">
        <x:f>SUM(DA116:DA133)+'ОБЪЕКТЫ'!DA120</x:f>
      </x:c>
      <x:c r="DB134" s="120" t="n">
        <x:f>SUM(DB116:DB133)+'ОБЪЕКТЫ'!DB120</x:f>
      </x:c>
      <x:c r="DC134" s="120" t="n">
        <x:f>SUM(DC116:DC133)+'ОБЪЕКТЫ'!DC120</x:f>
      </x:c>
      <x:c r="DD134" s="120" t="n">
        <x:f>SUM(DD116:DD133)+'ОБЪЕКТЫ'!DD120</x:f>
      </x:c>
      <x:c r="DE134" s="120" t="n">
        <x:f>SUM(DE116:DE133)+'ОБЪЕКТЫ'!DE120</x:f>
      </x:c>
      <x:c r="DF134" s="120" t="n">
        <x:f>SUM(DF116:DF133)+'ОБЪЕКТЫ'!DF120</x:f>
      </x:c>
      <x:c r="DG134" s="120" t="n">
        <x:f>SUM(DG116:DG133)+'ОБЪЕКТЫ'!DG120</x:f>
      </x:c>
      <x:c r="DH134" s="120" t="n">
        <x:f>SUM(DH116:DH133)+'ОБЪЕКТЫ'!DH120</x:f>
      </x:c>
      <x:c r="DI134" s="120" t="n">
        <x:f>SUM(DI116:DI133)+'ОБЪЕКТЫ'!DI120</x:f>
      </x:c>
      <x:c r="DJ134" s="120" t="n">
        <x:f>SUM(DJ116:DJ133)+'ОБЪЕКТЫ'!DJ120</x:f>
      </x:c>
      <x:c r="DK134" s="120" t="n">
        <x:f>SUM(DK116:DK133)+'ОБЪЕКТЫ'!DK120</x:f>
      </x:c>
      <x:c r="DL134" s="120" t="n">
        <x:f>SUM(DL116:DL133)+'ОБЪЕКТЫ'!DL120</x:f>
      </x:c>
      <x:c r="DM134" s="120" t="n">
        <x:f>SUM(DM116:DM133)+'ОБЪЕКТЫ'!DM120</x:f>
      </x:c>
      <x:c r="DN134" s="120" t="n">
        <x:f>SUM(DN116:DN133)+'ОБЪЕКТЫ'!DN120</x:f>
      </x:c>
      <x:c r="DO134" s="120" t="n">
        <x:f>SUM(DO116:DO133)+'ОБЪЕКТЫ'!DO120</x:f>
      </x:c>
      <x:c r="DP134" s="120" t="n">
        <x:f>SUM(DP116:DP133)+'ОБЪЕКТЫ'!DP120</x:f>
      </x:c>
      <x:c r="DQ134" s="120" t="n">
        <x:f>SUM(DQ116:DQ133)+'ОБЪЕКТЫ'!DQ120</x:f>
      </x:c>
      <x:c r="DR134" s="120" t="n">
        <x:f>SUM(DR116:DR133)+'ОБЪЕКТЫ'!DR120</x:f>
      </x:c>
      <x:c r="DS134" s="120" t="n">
        <x:f>SUM(DS116:DS133)+'ОБЪЕКТЫ'!DS120</x:f>
      </x:c>
      <x:c r="DT134" s="120" t="n">
        <x:f>SUM(DT116:DT133)+'ОБЪЕКТЫ'!DT120</x:f>
      </x:c>
      <x:c r="DU134" s="120" t="n">
        <x:f>SUM(DU116:DU133)+'ОБЪЕКТЫ'!DU120</x:f>
      </x:c>
      <x:c r="DV134" s="120" t="n">
        <x:f>SUM(DV116:DV133)+'ОБЪЕКТЫ'!DV120</x:f>
      </x:c>
      <x:c r="DW134" s="120" t="n">
        <x:f>SUM(DW116:DW133)+'ОБЪЕКТЫ'!DW120</x:f>
      </x:c>
      <x:c r="DX134" s="120" t="n">
        <x:f>SUM(DX116:DX133)+'ОБЪЕКТЫ'!DX120</x:f>
      </x:c>
      <x:c r="DY134" s="120" t="n">
        <x:f>SUM(DY116:DY133)+'ОБЪЕКТЫ'!DY120</x:f>
      </x:c>
      <x:c r="DZ134" s="120" t="n">
        <x:f>SUM(DZ116:DZ133)+'ОБЪЕКТЫ'!DZ120</x:f>
      </x:c>
      <x:c r="EA134" s="120" t="n">
        <x:f>SUM(EA116:EA133)+'ОБЪЕКТЫ'!EA120</x:f>
      </x:c>
      <x:c r="EB134" s="120" t="n">
        <x:f>SUM(EB116:EB133)+'ОБЪЕКТЫ'!EB120</x:f>
      </x:c>
      <x:c r="EC134" s="120" t="n">
        <x:f>SUM(EC116:EC133)+'ОБЪЕКТЫ'!EC120</x:f>
      </x:c>
      <x:c r="ED134" s="120" t="n">
        <x:f>SUM(ED116:ED133)+'ОБЪЕКТЫ'!ED120</x:f>
      </x:c>
      <x:c r="EE134" s="120" t="n">
        <x:f>SUM(EE116:EE133)+'ОБЪЕКТЫ'!EE120</x:f>
      </x:c>
      <x:c r="EF134" s="120" t="n">
        <x:f>SUM(EF116:EF133)+'ОБЪЕКТЫ'!EF120</x:f>
      </x:c>
      <x:c r="EG134" s="120" t="n">
        <x:f>SUM(EG116:EG133)+'ОБЪЕКТЫ'!EG120</x:f>
      </x:c>
      <x:c r="EH134" s="120" t="n">
        <x:f>SUM(EH116:EH133)+'ОБЪЕКТЫ'!EH120</x:f>
      </x:c>
      <x:c r="EI134" s="120" t="n">
        <x:f>SUM(EI116:EI133)+'ОБЪЕКТЫ'!EI120</x:f>
      </x:c>
      <x:c r="EJ134" s="120" t="n">
        <x:f>SUM(EJ116:EJ133)+'ОБЪЕКТЫ'!EJ120</x:f>
      </x:c>
      <x:c r="EK134" s="120" t="n">
        <x:f>SUM(EK116:EK133)+'ОБЪЕКТЫ'!EK120</x:f>
      </x:c>
      <x:c r="EL134" s="120" t="n">
        <x:f>SUM(EL116:EL133)+'ОБЪЕКТЫ'!EL120</x:f>
      </x:c>
      <x:c r="EM134" s="120" t="n">
        <x:f>SUM(EM116:EM133)+'ОБЪЕКТЫ'!EM120</x:f>
      </x:c>
      <x:c r="EN134" s="120" t="n">
        <x:f>SUM(EN116:EN133)+'ОБЪЕКТЫ'!EN120</x:f>
      </x:c>
      <x:c r="EO134" s="120" t="n">
        <x:f>SUM(EO116:EO133)+'ОБЪЕКТЫ'!EO120</x:f>
      </x:c>
      <x:c r="EP134" s="120" t="n">
        <x:f>SUM(EP116:EP133)+'ОБЪЕКТЫ'!EP120</x:f>
      </x:c>
      <x:c r="EQ134" s="120" t="n">
        <x:f>SUM(EQ116:EQ133)+'ОБЪЕКТЫ'!EQ120</x:f>
      </x:c>
      <x:c r="ER134" s="120" t="n">
        <x:f>SUM(ER116:ER133)+'ОБЪЕКТЫ'!ER120</x:f>
      </x:c>
      <x:c r="ES134" s="120" t="n">
        <x:f>SUM(ES116:ES133)+'ОБЪЕКТЫ'!ES120</x:f>
      </x:c>
      <x:c r="ET134" s="120" t="n">
        <x:f>SUM(ET116:ET133)+'ОБЪЕКТЫ'!ET120</x:f>
      </x:c>
      <x:c r="EU134" s="120" t="n">
        <x:f>SUM(EU116:EU133)+'ОБЪЕКТЫ'!EU120</x:f>
      </x:c>
      <x:c r="EV134" s="120" t="n">
        <x:f>SUM(EV116:EV133)+'ОБЪЕКТЫ'!EV120</x:f>
      </x:c>
      <x:c r="EW134" s="120" t="n">
        <x:f>SUM(EW116:EW133)+'ОБЪЕКТЫ'!EW120</x:f>
      </x:c>
      <x:c r="EX134" s="120" t="n">
        <x:f>SUM(EX116:EX133)+'ОБЪЕКТЫ'!EX120</x:f>
      </x:c>
      <x:c r="EY134" s="120" t="n">
        <x:f>SUM(EY116:EY133)+'ОБЪЕКТЫ'!EY120</x:f>
      </x:c>
      <x:c r="EZ134" s="120" t="n">
        <x:f>SUM(EZ116:EZ133)+'ОБЪЕКТЫ'!EZ120</x:f>
      </x:c>
      <x:c r="FA134" s="120" t="n">
        <x:f>SUM(FA116:FA133)+'ОБЪЕКТЫ'!FA120</x:f>
      </x:c>
      <x:c r="FB134" s="120" t="n">
        <x:f>SUM(FB116:FB133)+'ОБЪЕКТЫ'!FB120</x:f>
      </x:c>
      <x:c r="FC134" s="120" t="n">
        <x:f>SUM(FC116:FC133)+'ОБЪЕКТЫ'!FC120</x:f>
      </x:c>
      <x:c r="FD134" s="120" t="n">
        <x:f>SUM(FD116:FD133)+'ОБЪЕКТЫ'!FD120</x:f>
      </x:c>
      <x:c r="FE134" s="120" t="n">
        <x:f>SUM(FE116:FE133)+'ОБЪЕКТЫ'!FE120</x:f>
      </x:c>
      <x:c r="FF134" s="120" t="n">
        <x:f>SUM(FF116:FF133)+'ОБЪЕКТЫ'!FF120</x:f>
      </x:c>
      <x:c r="FG134" s="120" t="n">
        <x:f>SUM(FG116:FG133)+'ОБЪЕКТЫ'!FG120</x:f>
      </x:c>
      <x:c r="FH134" s="120" t="n">
        <x:f>SUM(FH116:FH133)+'ОБЪЕКТЫ'!FH120</x:f>
      </x:c>
      <x:c r="FI134" s="120" t="n">
        <x:f>SUM(FI116:FI133)+'ОБЪЕКТЫ'!FI120</x:f>
      </x:c>
      <x:c r="FJ134" s="120" t="n">
        <x:f>SUM(FJ116:FJ133)+'ОБЪЕКТЫ'!FJ120</x:f>
      </x:c>
      <x:c r="FK134" s="120" t="n">
        <x:f>SUM(FK116:FK133)+'ОБЪЕКТЫ'!FK120</x:f>
      </x:c>
      <x:c r="FL134" s="120" t="n">
        <x:f>SUM(FL116:FL133)+'ОБЪЕКТЫ'!FL120</x:f>
      </x:c>
      <x:c r="FM134" s="120" t="n">
        <x:f>SUM(FM116:FM133)+'ОБЪЕКТЫ'!FM120</x:f>
      </x:c>
      <x:c r="FN134" s="120" t="n">
        <x:f>SUM(FN116:FN133)+'ОБЪЕКТЫ'!FN120</x:f>
      </x:c>
      <x:c r="FO134" s="120" t="n">
        <x:f>SUM(FO116:FO133)+'ОБЪЕКТЫ'!FO120</x:f>
      </x:c>
      <x:c r="FP134" s="120" t="n">
        <x:f>SUM(FP116:FP133)+'ОБЪЕКТЫ'!FP120</x:f>
      </x:c>
      <x:c r="FQ134" s="120" t="n">
        <x:f>SUM(FQ116:FQ133)+'ОБЪЕКТЫ'!FQ120</x:f>
      </x:c>
      <x:c r="FR134" s="120" t="n">
        <x:f>SUM(FR116:FR133)+'ОБЪЕКТЫ'!FR120</x:f>
      </x:c>
      <x:c r="FS134" s="120" t="n">
        <x:f>SUM(FS116:FS133)+'ОБЪЕКТЫ'!FS120</x:f>
      </x:c>
      <x:c r="FT134" s="120" t="n">
        <x:f>SUM(FT116:FT133)+'ОБЪЕКТЫ'!FT120</x:f>
      </x:c>
      <x:c r="FU134" s="120" t="n">
        <x:f>SUM(FU116:FU133)+'ОБЪЕКТЫ'!FU120</x:f>
      </x:c>
      <x:c r="FV134" s="120" t="n">
        <x:f>SUM(FV116:FV133)+'ОБЪЕКТЫ'!FV120</x:f>
      </x:c>
      <x:c r="FW134" s="120" t="n">
        <x:f>SUM(FW116:FW133)+'ОБЪЕКТЫ'!FW120</x:f>
      </x:c>
      <x:c r="FX134" s="120" t="n">
        <x:f>SUM(FX116:FX133)+'ОБЪЕКТЫ'!FX120</x:f>
      </x:c>
      <x:c r="FY134" s="120" t="n">
        <x:f>SUM(FY116:FY133)+'ОБЪЕКТЫ'!FY120</x:f>
      </x:c>
      <x:c r="FZ134" s="120" t="n">
        <x:f>SUM(FZ116:FZ133)+'ОБЪЕКТЫ'!FZ120</x:f>
      </x:c>
      <x:c r="GA134" s="120" t="n">
        <x:f>SUM(GA116:GA133)+'ОБЪЕКТЫ'!GA120</x:f>
      </x:c>
    </x:row>
    <x:row r="135">
      <x:c r="A135" t="str">
        <x:v>Маркетинг</x:v>
      </x:c>
      <x:c r="B135" s="107" t="n">
        <x:f>SUM(D135:GA135)</x:f>
      </x:c>
      <x:c r="C135" t="str">
        <x:v>млн ₽</x:v>
      </x:c>
      <x:c r="D135" s="117" t="n">
        <x:f>'Продажи'!D95*'Вводные'!$B$19+'ОБЪЕКТЫ'!D121</x:f>
      </x:c>
      <x:c r="E135" s="117" t="n">
        <x:f>'Продажи'!E95*'Вводные'!$B$19+'ОБЪЕКТЫ'!E121</x:f>
      </x:c>
      <x:c r="F135" s="117" t="n">
        <x:f>'Продажи'!F95*'Вводные'!$B$19+'ОБЪЕКТЫ'!F121</x:f>
      </x:c>
      <x:c r="G135" s="117" t="n">
        <x:f>'Продажи'!G95*'Вводные'!$B$19+'ОБЪЕКТЫ'!G121</x:f>
      </x:c>
      <x:c r="H135" s="117" t="n">
        <x:f>'Продажи'!H95*'Вводные'!$B$19+'ОБЪЕКТЫ'!H121</x:f>
      </x:c>
      <x:c r="I135" s="117" t="n">
        <x:f>'Продажи'!I95*'Вводные'!$B$19+'ОБЪЕКТЫ'!I121</x:f>
      </x:c>
      <x:c r="J135" s="117" t="n">
        <x:f>'Продажи'!J95*'Вводные'!$B$19+'ОБЪЕКТЫ'!J121</x:f>
      </x:c>
      <x:c r="K135" s="117" t="n">
        <x:f>'Продажи'!K95*'Вводные'!$B$19+'ОБЪЕКТЫ'!K121</x:f>
      </x:c>
      <x:c r="L135" s="117" t="n">
        <x:f>'Продажи'!L95*'Вводные'!$B$19+'ОБЪЕКТЫ'!L121</x:f>
      </x:c>
      <x:c r="M135" s="117" t="n">
        <x:f>'Продажи'!M95*'Вводные'!$B$19+'ОБЪЕКТЫ'!M121</x:f>
      </x:c>
      <x:c r="N135" s="117" t="n">
        <x:f>'Продажи'!N95*'Вводные'!$B$19+'ОБЪЕКТЫ'!N121</x:f>
      </x:c>
      <x:c r="O135" s="117" t="n">
        <x:f>'Продажи'!O95*'Вводные'!$B$19+'ОБЪЕКТЫ'!O121</x:f>
      </x:c>
      <x:c r="P135" s="117" t="n">
        <x:f>'Продажи'!P95*'Вводные'!$B$19+'ОБЪЕКТЫ'!P121</x:f>
      </x:c>
      <x:c r="Q135" s="117" t="n">
        <x:f>'Продажи'!Q95*'Вводные'!$B$19+'ОБЪЕКТЫ'!Q121</x:f>
      </x:c>
      <x:c r="R135" s="117" t="n">
        <x:f>'Продажи'!R95*'Вводные'!$B$19+'ОБЪЕКТЫ'!R121</x:f>
      </x:c>
      <x:c r="S135" s="117" t="n">
        <x:f>'Продажи'!S95*'Вводные'!$B$19+'ОБЪЕКТЫ'!S121</x:f>
      </x:c>
      <x:c r="T135" s="117" t="n">
        <x:f>'Продажи'!T95*'Вводные'!$B$19+'ОБЪЕКТЫ'!T121</x:f>
      </x:c>
      <x:c r="U135" s="117" t="n">
        <x:f>'Продажи'!U95*'Вводные'!$B$19+'ОБЪЕКТЫ'!U121</x:f>
      </x:c>
      <x:c r="V135" s="117" t="n">
        <x:f>'Продажи'!V95*'Вводные'!$B$19+'ОБЪЕКТЫ'!V121</x:f>
      </x:c>
      <x:c r="W135" s="117" t="n">
        <x:f>'Продажи'!W95*'Вводные'!$B$19+'ОБЪЕКТЫ'!W121</x:f>
      </x:c>
      <x:c r="X135" s="117" t="n">
        <x:f>'Продажи'!X95*'Вводные'!$B$19+'ОБЪЕКТЫ'!X121</x:f>
      </x:c>
      <x:c r="Y135" s="117" t="n">
        <x:f>'Продажи'!Y95*'Вводные'!$B$19+'ОБЪЕКТЫ'!Y121</x:f>
      </x:c>
      <x:c r="Z135" s="117" t="n">
        <x:f>'Продажи'!Z95*'Вводные'!$B$19+'ОБЪЕКТЫ'!Z121</x:f>
      </x:c>
      <x:c r="AA135" s="117" t="n">
        <x:f>'Продажи'!AA95*'Вводные'!$B$19+'ОБЪЕКТЫ'!AA121</x:f>
      </x:c>
      <x:c r="AB135" s="117" t="n">
        <x:f>'Продажи'!AB95*'Вводные'!$B$19+'ОБЪЕКТЫ'!AB121</x:f>
      </x:c>
      <x:c r="AC135" s="117" t="n">
        <x:f>'Продажи'!AC95*'Вводные'!$B$19+'ОБЪЕКТЫ'!AC121</x:f>
      </x:c>
      <x:c r="AD135" s="117" t="n">
        <x:f>'Продажи'!AD95*'Вводные'!$B$19+'ОБЪЕКТЫ'!AD121</x:f>
      </x:c>
      <x:c r="AE135" s="117" t="n">
        <x:f>'Продажи'!AE95*'Вводные'!$B$19+'ОБЪЕКТЫ'!AE121</x:f>
      </x:c>
      <x:c r="AF135" s="117" t="n">
        <x:f>'Продажи'!AF95*'Вводные'!$B$19+'ОБЪЕКТЫ'!AF121</x:f>
      </x:c>
      <x:c r="AG135" s="117" t="n">
        <x:f>'Продажи'!AG95*'Вводные'!$B$19+'ОБЪЕКТЫ'!AG121</x:f>
      </x:c>
      <x:c r="AH135" s="117" t="n">
        <x:f>'Продажи'!AH95*'Вводные'!$B$19+'ОБЪЕКТЫ'!AH121</x:f>
      </x:c>
      <x:c r="AI135" s="117" t="n">
        <x:f>'Продажи'!AI95*'Вводные'!$B$19+'ОБЪЕКТЫ'!AI121</x:f>
      </x:c>
      <x:c r="AJ135" s="117" t="n">
        <x:f>'Продажи'!AJ95*'Вводные'!$B$19+'ОБЪЕКТЫ'!AJ121</x:f>
      </x:c>
      <x:c r="AK135" s="117" t="n">
        <x:f>'Продажи'!AK95*'Вводные'!$B$19+'ОБЪЕКТЫ'!AK121</x:f>
      </x:c>
      <x:c r="AL135" s="117" t="n">
        <x:f>'Продажи'!AL95*'Вводные'!$B$19+'ОБЪЕКТЫ'!AL121</x:f>
      </x:c>
      <x:c r="AM135" s="117" t="n">
        <x:f>'Продажи'!AM95*'Вводные'!$B$19+'ОБЪЕКТЫ'!AM121</x:f>
      </x:c>
      <x:c r="AN135" s="117" t="n">
        <x:f>'Продажи'!AN95*'Вводные'!$B$19+'ОБЪЕКТЫ'!AN121</x:f>
      </x:c>
      <x:c r="AO135" s="117" t="n">
        <x:f>'Продажи'!AO95*'Вводные'!$B$19+'ОБЪЕКТЫ'!AO121</x:f>
      </x:c>
      <x:c r="AP135" s="117" t="n">
        <x:f>'Продажи'!AP95*'Вводные'!$B$19+'ОБЪЕКТЫ'!AP121</x:f>
      </x:c>
      <x:c r="AQ135" s="117" t="n">
        <x:f>'Продажи'!AQ95*'Вводные'!$B$19+'ОБЪЕКТЫ'!AQ121</x:f>
      </x:c>
      <x:c r="AR135" s="117" t="n">
        <x:f>'Продажи'!AR95*'Вводные'!$B$19+'ОБЪЕКТЫ'!AR121</x:f>
      </x:c>
      <x:c r="AS135" s="117" t="n">
        <x:f>'Продажи'!AS95*'Вводные'!$B$19+'ОБЪЕКТЫ'!AS121</x:f>
      </x:c>
      <x:c r="AT135" s="117" t="n">
        <x:f>'Продажи'!AT95*'Вводные'!$B$19+'ОБЪЕКТЫ'!AT121</x:f>
      </x:c>
      <x:c r="AU135" s="117" t="n">
        <x:f>'Продажи'!AU95*'Вводные'!$B$19+'ОБЪЕКТЫ'!AU121</x:f>
      </x:c>
      <x:c r="AV135" s="117" t="n">
        <x:f>'Продажи'!AV95*'Вводные'!$B$19+'ОБЪЕКТЫ'!AV121</x:f>
      </x:c>
      <x:c r="AW135" s="117" t="n">
        <x:f>'Продажи'!AW95*'Вводные'!$B$19+'ОБЪЕКТЫ'!AW121</x:f>
      </x:c>
      <x:c r="AX135" s="117" t="n">
        <x:f>'Продажи'!AX95*'Вводные'!$B$19+'ОБЪЕКТЫ'!AX121</x:f>
      </x:c>
      <x:c r="AY135" s="117" t="n">
        <x:f>'Продажи'!AY95*'Вводные'!$B$19+'ОБЪЕКТЫ'!AY121</x:f>
      </x:c>
      <x:c r="AZ135" s="117" t="n">
        <x:f>'Продажи'!AZ95*'Вводные'!$B$19+'ОБЪЕКТЫ'!AZ121</x:f>
      </x:c>
      <x:c r="BA135" s="117" t="n">
        <x:f>'Продажи'!BA95*'Вводные'!$B$19+'ОБЪЕКТЫ'!BA121</x:f>
      </x:c>
      <x:c r="BB135" s="117" t="n">
        <x:f>'Продажи'!BB95*'Вводные'!$B$19+'ОБЪЕКТЫ'!BB121</x:f>
      </x:c>
      <x:c r="BC135" s="117" t="n">
        <x:f>'Продажи'!BC95*'Вводные'!$B$19+'ОБЪЕКТЫ'!BC121</x:f>
      </x:c>
      <x:c r="BD135" s="117" t="n">
        <x:f>'Продажи'!BD95*'Вводные'!$B$19+'ОБЪЕКТЫ'!BD121</x:f>
      </x:c>
      <x:c r="BE135" s="117" t="n">
        <x:f>'Продажи'!BE95*'Вводные'!$B$19+'ОБЪЕКТЫ'!BE121</x:f>
      </x:c>
      <x:c r="BF135" s="117" t="n">
        <x:f>'Продажи'!BF95*'Вводные'!$B$19+'ОБЪЕКТЫ'!BF121</x:f>
      </x:c>
      <x:c r="BG135" s="117" t="n">
        <x:f>'Продажи'!BG95*'Вводные'!$B$19+'ОБЪЕКТЫ'!BG121</x:f>
      </x:c>
      <x:c r="BH135" s="117" t="n">
        <x:f>'Продажи'!BH95*'Вводные'!$B$19+'ОБЪЕКТЫ'!BH121</x:f>
      </x:c>
      <x:c r="BI135" s="117" t="n">
        <x:f>'Продажи'!BI95*'Вводные'!$B$19+'ОБЪЕКТЫ'!BI121</x:f>
      </x:c>
      <x:c r="BJ135" s="117" t="n">
        <x:f>'Продажи'!BJ95*'Вводные'!$B$19+'ОБЪЕКТЫ'!BJ121</x:f>
      </x:c>
      <x:c r="BK135" s="117" t="n">
        <x:f>'Продажи'!BK95*'Вводные'!$B$19+'ОБЪЕКТЫ'!BK121</x:f>
      </x:c>
      <x:c r="BL135" s="117" t="n">
        <x:f>'Продажи'!BL95*'Вводные'!$B$19+'ОБЪЕКТЫ'!BL121</x:f>
      </x:c>
      <x:c r="BM135" s="117" t="n">
        <x:f>'Продажи'!BM95*'Вводные'!$B$19+'ОБЪЕКТЫ'!BM121</x:f>
      </x:c>
      <x:c r="BN135" s="117" t="n">
        <x:f>'Продажи'!BN95*'Вводные'!$B$19+'ОБЪЕКТЫ'!BN121</x:f>
      </x:c>
      <x:c r="BO135" s="117" t="n">
        <x:f>'Продажи'!BO95*'Вводные'!$B$19+'ОБЪЕКТЫ'!BO121</x:f>
      </x:c>
      <x:c r="BP135" s="117" t="n">
        <x:f>'Продажи'!BP95*'Вводные'!$B$19+'ОБЪЕКТЫ'!BP121</x:f>
      </x:c>
      <x:c r="BQ135" s="117" t="n">
        <x:f>'Продажи'!BQ95*'Вводные'!$B$19+'ОБЪЕКТЫ'!BQ121</x:f>
      </x:c>
      <x:c r="BR135" s="117" t="n">
        <x:f>'Продажи'!BR95*'Вводные'!$B$19+'ОБЪЕКТЫ'!BR121</x:f>
      </x:c>
      <x:c r="BS135" s="117" t="n">
        <x:f>'Продажи'!BS95*'Вводные'!$B$19+'ОБЪЕКТЫ'!BS121</x:f>
      </x:c>
      <x:c r="BT135" s="117" t="n">
        <x:f>'Продажи'!BT95*'Вводные'!$B$19+'ОБЪЕКТЫ'!BT121</x:f>
      </x:c>
      <x:c r="BU135" s="117" t="n">
        <x:f>'Продажи'!BU95*'Вводные'!$B$19+'ОБЪЕКТЫ'!BU121</x:f>
      </x:c>
      <x:c r="BV135" s="117" t="n">
        <x:f>'Продажи'!BV95*'Вводные'!$B$19+'ОБЪЕКТЫ'!BV121</x:f>
      </x:c>
      <x:c r="BW135" s="117" t="n">
        <x:f>'Продажи'!BW95*'Вводные'!$B$19+'ОБЪЕКТЫ'!BW121</x:f>
      </x:c>
      <x:c r="BX135" s="117" t="n">
        <x:f>'Продажи'!BX95*'Вводные'!$B$19+'ОБЪЕКТЫ'!BX121</x:f>
      </x:c>
      <x:c r="BY135" s="117" t="n">
        <x:f>'Продажи'!BY95*'Вводные'!$B$19+'ОБЪЕКТЫ'!BY121</x:f>
      </x:c>
      <x:c r="BZ135" s="117" t="n">
        <x:f>'Продажи'!BZ95*'Вводные'!$B$19+'ОБЪЕКТЫ'!BZ121</x:f>
      </x:c>
      <x:c r="CA135" s="117" t="n">
        <x:f>'Продажи'!CA95*'Вводные'!$B$19+'ОБЪЕКТЫ'!CA121</x:f>
      </x:c>
      <x:c r="CB135" s="117" t="n">
        <x:f>'Продажи'!CB95*'Вводные'!$B$19+'ОБЪЕКТЫ'!CB121</x:f>
      </x:c>
      <x:c r="CC135" s="117" t="n">
        <x:f>'Продажи'!CC95*'Вводные'!$B$19+'ОБЪЕКТЫ'!CC121</x:f>
      </x:c>
      <x:c r="CD135" s="117" t="n">
        <x:f>'Продажи'!CD95*'Вводные'!$B$19+'ОБЪЕКТЫ'!CD121</x:f>
      </x:c>
      <x:c r="CE135" s="117" t="n">
        <x:f>'Продажи'!CE95*'Вводные'!$B$19+'ОБЪЕКТЫ'!CE121</x:f>
      </x:c>
      <x:c r="CF135" s="117" t="n">
        <x:f>'Продажи'!CF95*'Вводные'!$B$19+'ОБЪЕКТЫ'!CF121</x:f>
      </x:c>
      <x:c r="CG135" s="117" t="n">
        <x:f>'Продажи'!CG95*'Вводные'!$B$19+'ОБЪЕКТЫ'!CG121</x:f>
      </x:c>
      <x:c r="CH135" s="117" t="n">
        <x:f>'Продажи'!CH95*'Вводные'!$B$19+'ОБЪЕКТЫ'!CH121</x:f>
      </x:c>
      <x:c r="CI135" s="117" t="n">
        <x:f>'Продажи'!CI95*'Вводные'!$B$19+'ОБЪЕКТЫ'!CI121</x:f>
      </x:c>
      <x:c r="CJ135" s="117" t="n">
        <x:f>'Продажи'!CJ95*'Вводные'!$B$19+'ОБЪЕКТЫ'!CJ121</x:f>
      </x:c>
      <x:c r="CK135" s="117" t="n">
        <x:f>'Продажи'!CK95*'Вводные'!$B$19+'ОБЪЕКТЫ'!CK121</x:f>
      </x:c>
      <x:c r="CL135" s="117" t="n">
        <x:f>'Продажи'!CL95*'Вводные'!$B$19+'ОБЪЕКТЫ'!CL121</x:f>
      </x:c>
      <x:c r="CM135" s="117" t="n">
        <x:f>'Продажи'!CM95*'Вводные'!$B$19+'ОБЪЕКТЫ'!CM121</x:f>
      </x:c>
      <x:c r="CN135" s="117" t="n">
        <x:f>'Продажи'!CN95*'Вводные'!$B$19+'ОБЪЕКТЫ'!CN121</x:f>
      </x:c>
      <x:c r="CO135" s="117" t="n">
        <x:f>'Продажи'!CO95*'Вводные'!$B$19+'ОБЪЕКТЫ'!CO121</x:f>
      </x:c>
      <x:c r="CP135" s="117" t="n">
        <x:f>'Продажи'!CP95*'Вводные'!$B$19+'ОБЪЕКТЫ'!CP121</x:f>
      </x:c>
      <x:c r="CQ135" s="117" t="n">
        <x:f>'Продажи'!CQ95*'Вводные'!$B$19+'ОБЪЕКТЫ'!CQ121</x:f>
      </x:c>
      <x:c r="CR135" s="117" t="n">
        <x:f>'Продажи'!CR95*'Вводные'!$B$19+'ОБЪЕКТЫ'!CR121</x:f>
      </x:c>
      <x:c r="CS135" s="117" t="n">
        <x:f>'Продажи'!CS95*'Вводные'!$B$19+'ОБЪЕКТЫ'!CS121</x:f>
      </x:c>
      <x:c r="CT135" s="117" t="n">
        <x:f>'Продажи'!CT95*'Вводные'!$B$19+'ОБЪЕКТЫ'!CT121</x:f>
      </x:c>
      <x:c r="CU135" s="117" t="n">
        <x:f>'Продажи'!CU95*'Вводные'!$B$19+'ОБЪЕКТЫ'!CU121</x:f>
      </x:c>
      <x:c r="CV135" s="117" t="n">
        <x:f>'Продажи'!CV95*'Вводные'!$B$19+'ОБЪЕКТЫ'!CV121</x:f>
      </x:c>
      <x:c r="CW135" s="117" t="n">
        <x:f>'Продажи'!CW95*'Вводные'!$B$19+'ОБЪЕКТЫ'!CW121</x:f>
      </x:c>
      <x:c r="CX135" s="117" t="n">
        <x:f>'Продажи'!CX95*'Вводные'!$B$19+'ОБЪЕКТЫ'!CX121</x:f>
      </x:c>
      <x:c r="CY135" s="117" t="n">
        <x:f>'Продажи'!CY95*'Вводные'!$B$19+'ОБЪЕКТЫ'!CY121</x:f>
      </x:c>
      <x:c r="CZ135" s="117" t="n">
        <x:f>'Продажи'!CZ95*'Вводные'!$B$19+'ОБЪЕКТЫ'!CZ121</x:f>
      </x:c>
      <x:c r="DA135" s="117" t="n">
        <x:f>'Продажи'!DA95*'Вводные'!$B$19+'ОБЪЕКТЫ'!DA121</x:f>
      </x:c>
      <x:c r="DB135" s="117" t="n">
        <x:f>'Продажи'!DB95*'Вводные'!$B$19+'ОБЪЕКТЫ'!DB121</x:f>
      </x:c>
      <x:c r="DC135" s="117" t="n">
        <x:f>'Продажи'!DC95*'Вводные'!$B$19+'ОБЪЕКТЫ'!DC121</x:f>
      </x:c>
      <x:c r="DD135" s="117" t="n">
        <x:f>'Продажи'!DD95*'Вводные'!$B$19+'ОБЪЕКТЫ'!DD121</x:f>
      </x:c>
      <x:c r="DE135" s="117" t="n">
        <x:f>'Продажи'!DE95*'Вводные'!$B$19+'ОБЪЕКТЫ'!DE121</x:f>
      </x:c>
      <x:c r="DF135" s="117" t="n">
        <x:f>'Продажи'!DF95*'Вводные'!$B$19+'ОБЪЕКТЫ'!DF121</x:f>
      </x:c>
      <x:c r="DG135" s="117" t="n">
        <x:f>'Продажи'!DG95*'Вводные'!$B$19+'ОБЪЕКТЫ'!DG121</x:f>
      </x:c>
      <x:c r="DH135" s="117" t="n">
        <x:f>'Продажи'!DH95*'Вводные'!$B$19+'ОБЪЕКТЫ'!DH121</x:f>
      </x:c>
      <x:c r="DI135" s="117" t="n">
        <x:f>'Продажи'!DI95*'Вводные'!$B$19+'ОБЪЕКТЫ'!DI121</x:f>
      </x:c>
      <x:c r="DJ135" s="117" t="n">
        <x:f>'Продажи'!DJ95*'Вводные'!$B$19+'ОБЪЕКТЫ'!DJ121</x:f>
      </x:c>
      <x:c r="DK135" s="117" t="n">
        <x:f>'Продажи'!DK95*'Вводные'!$B$19+'ОБЪЕКТЫ'!DK121</x:f>
      </x:c>
      <x:c r="DL135" s="117" t="n">
        <x:f>'Продажи'!DL95*'Вводные'!$B$19+'ОБЪЕКТЫ'!DL121</x:f>
      </x:c>
      <x:c r="DM135" s="117" t="n">
        <x:f>'Продажи'!DM95*'Вводные'!$B$19+'ОБЪЕКТЫ'!DM121</x:f>
      </x:c>
      <x:c r="DN135" s="117" t="n">
        <x:f>'Продажи'!DN95*'Вводные'!$B$19+'ОБЪЕКТЫ'!DN121</x:f>
      </x:c>
      <x:c r="DO135" s="117" t="n">
        <x:f>'Продажи'!DO95*'Вводные'!$B$19+'ОБЪЕКТЫ'!DO121</x:f>
      </x:c>
      <x:c r="DP135" s="117" t="n">
        <x:f>'Продажи'!DP95*'Вводные'!$B$19+'ОБЪЕКТЫ'!DP121</x:f>
      </x:c>
      <x:c r="DQ135" s="117" t="n">
        <x:f>'Продажи'!DQ95*'Вводные'!$B$19+'ОБЪЕКТЫ'!DQ121</x:f>
      </x:c>
      <x:c r="DR135" s="117" t="n">
        <x:f>'Продажи'!DR95*'Вводные'!$B$19+'ОБЪЕКТЫ'!DR121</x:f>
      </x:c>
      <x:c r="DS135" s="117" t="n">
        <x:f>'Продажи'!DS95*'Вводные'!$B$19+'ОБЪЕКТЫ'!DS121</x:f>
      </x:c>
      <x:c r="DT135" s="117" t="n">
        <x:f>'Продажи'!DT95*'Вводные'!$B$19+'ОБЪЕКТЫ'!DT121</x:f>
      </x:c>
      <x:c r="DU135" s="117" t="n">
        <x:f>'Продажи'!DU95*'Вводные'!$B$19+'ОБЪЕКТЫ'!DU121</x:f>
      </x:c>
      <x:c r="DV135" s="117" t="n">
        <x:f>'Продажи'!DV95*'Вводные'!$B$19+'ОБЪЕКТЫ'!DV121</x:f>
      </x:c>
      <x:c r="DW135" s="117" t="n">
        <x:f>'Продажи'!DW95*'Вводные'!$B$19+'ОБЪЕКТЫ'!DW121</x:f>
      </x:c>
      <x:c r="DX135" s="117" t="n">
        <x:f>'Продажи'!DX95*'Вводные'!$B$19+'ОБЪЕКТЫ'!DX121</x:f>
      </x:c>
      <x:c r="DY135" s="117" t="n">
        <x:f>'Продажи'!DY95*'Вводные'!$B$19+'ОБЪЕКТЫ'!DY121</x:f>
      </x:c>
      <x:c r="DZ135" s="117" t="n">
        <x:f>'Продажи'!DZ95*'Вводные'!$B$19+'ОБЪЕКТЫ'!DZ121</x:f>
      </x:c>
      <x:c r="EA135" s="117" t="n">
        <x:f>'Продажи'!EA95*'Вводные'!$B$19+'ОБЪЕКТЫ'!EA121</x:f>
      </x:c>
      <x:c r="EB135" s="117" t="n">
        <x:f>'Продажи'!EB95*'Вводные'!$B$19+'ОБЪЕКТЫ'!EB121</x:f>
      </x:c>
      <x:c r="EC135" s="117" t="n">
        <x:f>'Продажи'!EC95*'Вводные'!$B$19+'ОБЪЕКТЫ'!EC121</x:f>
      </x:c>
      <x:c r="ED135" s="117" t="n">
        <x:f>'Продажи'!ED95*'Вводные'!$B$19+'ОБЪЕКТЫ'!ED121</x:f>
      </x:c>
      <x:c r="EE135" s="117" t="n">
        <x:f>'Продажи'!EE95*'Вводные'!$B$19+'ОБЪЕКТЫ'!EE121</x:f>
      </x:c>
      <x:c r="EF135" s="117" t="n">
        <x:f>'Продажи'!EF95*'Вводные'!$B$19+'ОБЪЕКТЫ'!EF121</x:f>
      </x:c>
      <x:c r="EG135" s="117" t="n">
        <x:f>'Продажи'!EG95*'Вводные'!$B$19+'ОБЪЕКТЫ'!EG121</x:f>
      </x:c>
      <x:c r="EH135" s="117" t="n">
        <x:f>'Продажи'!EH95*'Вводные'!$B$19+'ОБЪЕКТЫ'!EH121</x:f>
      </x:c>
      <x:c r="EI135" s="117" t="n">
        <x:f>'Продажи'!EI95*'Вводные'!$B$19+'ОБЪЕКТЫ'!EI121</x:f>
      </x:c>
      <x:c r="EJ135" s="117" t="n">
        <x:f>'Продажи'!EJ95*'Вводные'!$B$19+'ОБЪЕКТЫ'!EJ121</x:f>
      </x:c>
      <x:c r="EK135" s="117" t="n">
        <x:f>'Продажи'!EK95*'Вводные'!$B$19+'ОБЪЕКТЫ'!EK121</x:f>
      </x:c>
      <x:c r="EL135" s="117" t="n">
        <x:f>'Продажи'!EL95*'Вводные'!$B$19+'ОБЪЕКТЫ'!EL121</x:f>
      </x:c>
      <x:c r="EM135" s="117" t="n">
        <x:f>'Продажи'!EM95*'Вводные'!$B$19+'ОБЪЕКТЫ'!EM121</x:f>
      </x:c>
      <x:c r="EN135" s="117" t="n">
        <x:f>'Продажи'!EN95*'Вводные'!$B$19+'ОБЪЕКТЫ'!EN121</x:f>
      </x:c>
      <x:c r="EO135" s="117" t="n">
        <x:f>'Продажи'!EO95*'Вводные'!$B$19+'ОБЪЕКТЫ'!EO121</x:f>
      </x:c>
      <x:c r="EP135" s="117" t="n">
        <x:f>'Продажи'!EP95*'Вводные'!$B$19+'ОБЪЕКТЫ'!EP121</x:f>
      </x:c>
      <x:c r="EQ135" s="117" t="n">
        <x:f>'Продажи'!EQ95*'Вводные'!$B$19+'ОБЪЕКТЫ'!EQ121</x:f>
      </x:c>
      <x:c r="ER135" s="117" t="n">
        <x:f>'Продажи'!ER95*'Вводные'!$B$19+'ОБЪЕКТЫ'!ER121</x:f>
      </x:c>
      <x:c r="ES135" s="117" t="n">
        <x:f>'Продажи'!ES95*'Вводные'!$B$19+'ОБЪЕКТЫ'!ES121</x:f>
      </x:c>
      <x:c r="ET135" s="117" t="n">
        <x:f>'Продажи'!ET95*'Вводные'!$B$19+'ОБЪЕКТЫ'!ET121</x:f>
      </x:c>
      <x:c r="EU135" s="117" t="n">
        <x:f>'Продажи'!EU95*'Вводные'!$B$19+'ОБЪЕКТЫ'!EU121</x:f>
      </x:c>
      <x:c r="EV135" s="117" t="n">
        <x:f>'Продажи'!EV95*'Вводные'!$B$19+'ОБЪЕКТЫ'!EV121</x:f>
      </x:c>
      <x:c r="EW135" s="117" t="n">
        <x:f>'Продажи'!EW95*'Вводные'!$B$19+'ОБЪЕКТЫ'!EW121</x:f>
      </x:c>
      <x:c r="EX135" s="117" t="n">
        <x:f>'Продажи'!EX95*'Вводные'!$B$19+'ОБЪЕКТЫ'!EX121</x:f>
      </x:c>
      <x:c r="EY135" s="117" t="n">
        <x:f>'Продажи'!EY95*'Вводные'!$B$19+'ОБЪЕКТЫ'!EY121</x:f>
      </x:c>
      <x:c r="EZ135" s="117" t="n">
        <x:f>'Продажи'!EZ95*'Вводные'!$B$19+'ОБЪЕКТЫ'!EZ121</x:f>
      </x:c>
      <x:c r="FA135" s="117" t="n">
        <x:f>'Продажи'!FA95*'Вводные'!$B$19+'ОБЪЕКТЫ'!FA121</x:f>
      </x:c>
      <x:c r="FB135" s="117" t="n">
        <x:f>'Продажи'!FB95*'Вводные'!$B$19+'ОБЪЕКТЫ'!FB121</x:f>
      </x:c>
      <x:c r="FC135" s="117" t="n">
        <x:f>'Продажи'!FC95*'Вводные'!$B$19+'ОБЪЕКТЫ'!FC121</x:f>
      </x:c>
      <x:c r="FD135" s="117" t="n">
        <x:f>'Продажи'!FD95*'Вводные'!$B$19+'ОБЪЕКТЫ'!FD121</x:f>
      </x:c>
      <x:c r="FE135" s="117" t="n">
        <x:f>'Продажи'!FE95*'Вводные'!$B$19+'ОБЪЕКТЫ'!FE121</x:f>
      </x:c>
      <x:c r="FF135" s="117" t="n">
        <x:f>'Продажи'!FF95*'Вводные'!$B$19+'ОБЪЕКТЫ'!FF121</x:f>
      </x:c>
      <x:c r="FG135" s="117" t="n">
        <x:f>'Продажи'!FG95*'Вводные'!$B$19+'ОБЪЕКТЫ'!FG121</x:f>
      </x:c>
      <x:c r="FH135" s="117" t="n">
        <x:f>'Продажи'!FH95*'Вводные'!$B$19+'ОБЪЕКТЫ'!FH121</x:f>
      </x:c>
      <x:c r="FI135" s="117" t="n">
        <x:f>'Продажи'!FI95*'Вводные'!$B$19+'ОБЪЕКТЫ'!FI121</x:f>
      </x:c>
      <x:c r="FJ135" s="117" t="n">
        <x:f>'Продажи'!FJ95*'Вводные'!$B$19+'ОБЪЕКТЫ'!FJ121</x:f>
      </x:c>
      <x:c r="FK135" s="117" t="n">
        <x:f>'Продажи'!FK95*'Вводные'!$B$19+'ОБЪЕКТЫ'!FK121</x:f>
      </x:c>
      <x:c r="FL135" s="117" t="n">
        <x:f>'Продажи'!FL95*'Вводные'!$B$19+'ОБЪЕКТЫ'!FL121</x:f>
      </x:c>
      <x:c r="FM135" s="117" t="n">
        <x:f>'Продажи'!FM95*'Вводные'!$B$19+'ОБЪЕКТЫ'!FM121</x:f>
      </x:c>
      <x:c r="FN135" s="117" t="n">
        <x:f>'Продажи'!FN95*'Вводные'!$B$19+'ОБЪЕКТЫ'!FN121</x:f>
      </x:c>
      <x:c r="FO135" s="117" t="n">
        <x:f>'Продажи'!FO95*'Вводные'!$B$19+'ОБЪЕКТЫ'!FO121</x:f>
      </x:c>
      <x:c r="FP135" s="117" t="n">
        <x:f>'Продажи'!FP95*'Вводные'!$B$19+'ОБЪЕКТЫ'!FP121</x:f>
      </x:c>
      <x:c r="FQ135" s="117" t="n">
        <x:f>'Продажи'!FQ95*'Вводные'!$B$19+'ОБЪЕКТЫ'!FQ121</x:f>
      </x:c>
      <x:c r="FR135" s="117" t="n">
        <x:f>'Продажи'!FR95*'Вводные'!$B$19+'ОБЪЕКТЫ'!FR121</x:f>
      </x:c>
      <x:c r="FS135" s="117" t="n">
        <x:f>'Продажи'!FS95*'Вводные'!$B$19+'ОБЪЕКТЫ'!FS121</x:f>
      </x:c>
      <x:c r="FT135" s="117" t="n">
        <x:f>'Продажи'!FT95*'Вводные'!$B$19+'ОБЪЕКТЫ'!FT121</x:f>
      </x:c>
      <x:c r="FU135" s="117" t="n">
        <x:f>'Продажи'!FU95*'Вводные'!$B$19+'ОБЪЕКТЫ'!FU121</x:f>
      </x:c>
      <x:c r="FV135" s="117" t="n">
        <x:f>'Продажи'!FV95*'Вводные'!$B$19+'ОБЪЕКТЫ'!FV121</x:f>
      </x:c>
      <x:c r="FW135" s="117" t="n">
        <x:f>'Продажи'!FW95*'Вводные'!$B$19+'ОБЪЕКТЫ'!FW121</x:f>
      </x:c>
      <x:c r="FX135" s="117" t="n">
        <x:f>'Продажи'!FX95*'Вводные'!$B$19+'ОБЪЕКТЫ'!FX121</x:f>
      </x:c>
      <x:c r="FY135" s="117" t="n">
        <x:f>'Продажи'!FY95*'Вводные'!$B$19+'ОБЪЕКТЫ'!FY121</x:f>
      </x:c>
      <x:c r="FZ135" s="117" t="n">
        <x:f>'Продажи'!FZ95*'Вводные'!$B$19+'ОБЪЕКТЫ'!FZ121</x:f>
      </x:c>
      <x:c r="GA135" s="117" t="n">
        <x:f>'Продажи'!GA95*'Вводные'!$B$19+'ОБЪЕКТЫ'!GA121</x:f>
      </x:c>
    </x:row>
    <x:row r="136">
      <x:c r="A136" t="str">
        <x:v>Расходы на продажи</x:v>
      </x:c>
      <x:c r="B136" s="107" t="n">
        <x:f>SUM(D136:GA136)</x:f>
      </x:c>
      <x:c r="C136" t="str">
        <x:v>млн ₽</x:v>
      </x:c>
      <x:c r="D136" s="117" t="n">
        <x:f>'Продажи'!D95*'Вводные'!$B$20+'ОБЪЕКТЫ'!D122</x:f>
      </x:c>
      <x:c r="E136" s="117" t="n">
        <x:f>'Продажи'!E95*'Вводные'!$B$20+'ОБЪЕКТЫ'!E122</x:f>
      </x:c>
      <x:c r="F136" s="117" t="n">
        <x:f>'Продажи'!F95*'Вводные'!$B$20+'ОБЪЕКТЫ'!F122</x:f>
      </x:c>
      <x:c r="G136" s="117" t="n">
        <x:f>'Продажи'!G95*'Вводные'!$B$20+'ОБЪЕКТЫ'!G122</x:f>
      </x:c>
      <x:c r="H136" s="117" t="n">
        <x:f>'Продажи'!H95*'Вводные'!$B$20+'ОБЪЕКТЫ'!H122</x:f>
      </x:c>
      <x:c r="I136" s="117" t="n">
        <x:f>'Продажи'!I95*'Вводные'!$B$20+'ОБЪЕКТЫ'!I122</x:f>
      </x:c>
      <x:c r="J136" s="117" t="n">
        <x:f>'Продажи'!J95*'Вводные'!$B$20+'ОБЪЕКТЫ'!J122</x:f>
      </x:c>
      <x:c r="K136" s="117" t="n">
        <x:f>'Продажи'!K95*'Вводные'!$B$20+'ОБЪЕКТЫ'!K122</x:f>
      </x:c>
      <x:c r="L136" s="117" t="n">
        <x:f>'Продажи'!L95*'Вводные'!$B$20+'ОБЪЕКТЫ'!L122</x:f>
      </x:c>
      <x:c r="M136" s="117" t="n">
        <x:f>'Продажи'!M95*'Вводные'!$B$20+'ОБЪЕКТЫ'!M122</x:f>
      </x:c>
      <x:c r="N136" s="117" t="n">
        <x:f>'Продажи'!N95*'Вводные'!$B$20+'ОБЪЕКТЫ'!N122</x:f>
      </x:c>
      <x:c r="O136" s="117" t="n">
        <x:f>'Продажи'!O95*'Вводные'!$B$20+'ОБЪЕКТЫ'!O122</x:f>
      </x:c>
      <x:c r="P136" s="117" t="n">
        <x:f>'Продажи'!P95*'Вводные'!$B$20+'ОБЪЕКТЫ'!P122</x:f>
      </x:c>
      <x:c r="Q136" s="117" t="n">
        <x:f>'Продажи'!Q95*'Вводные'!$B$20+'ОБЪЕКТЫ'!Q122</x:f>
      </x:c>
      <x:c r="R136" s="117" t="n">
        <x:f>'Продажи'!R95*'Вводные'!$B$20+'ОБЪЕКТЫ'!R122</x:f>
      </x:c>
      <x:c r="S136" s="117" t="n">
        <x:f>'Продажи'!S95*'Вводные'!$B$20+'ОБЪЕКТЫ'!S122</x:f>
      </x:c>
      <x:c r="T136" s="117" t="n">
        <x:f>'Продажи'!T95*'Вводные'!$B$20+'ОБЪЕКТЫ'!T122</x:f>
      </x:c>
      <x:c r="U136" s="117" t="n">
        <x:f>'Продажи'!U95*'Вводные'!$B$20+'ОБЪЕКТЫ'!U122</x:f>
      </x:c>
      <x:c r="V136" s="117" t="n">
        <x:f>'Продажи'!V95*'Вводные'!$B$20+'ОБЪЕКТЫ'!V122</x:f>
      </x:c>
      <x:c r="W136" s="117" t="n">
        <x:f>'Продажи'!W95*'Вводные'!$B$20+'ОБЪЕКТЫ'!W122</x:f>
      </x:c>
      <x:c r="X136" s="117" t="n">
        <x:f>'Продажи'!X95*'Вводные'!$B$20+'ОБЪЕКТЫ'!X122</x:f>
      </x:c>
      <x:c r="Y136" s="117" t="n">
        <x:f>'Продажи'!Y95*'Вводные'!$B$20+'ОБЪЕКТЫ'!Y122</x:f>
      </x:c>
      <x:c r="Z136" s="117" t="n">
        <x:f>'Продажи'!Z95*'Вводные'!$B$20+'ОБЪЕКТЫ'!Z122</x:f>
      </x:c>
      <x:c r="AA136" s="117" t="n">
        <x:f>'Продажи'!AA95*'Вводные'!$B$20+'ОБЪЕКТЫ'!AA122</x:f>
      </x:c>
      <x:c r="AB136" s="117" t="n">
        <x:f>'Продажи'!AB95*'Вводные'!$B$20+'ОБЪЕКТЫ'!AB122</x:f>
      </x:c>
      <x:c r="AC136" s="117" t="n">
        <x:f>'Продажи'!AC95*'Вводные'!$B$20+'ОБЪЕКТЫ'!AC122</x:f>
      </x:c>
      <x:c r="AD136" s="117" t="n">
        <x:f>'Продажи'!AD95*'Вводные'!$B$20+'ОБЪЕКТЫ'!AD122</x:f>
      </x:c>
      <x:c r="AE136" s="117" t="n">
        <x:f>'Продажи'!AE95*'Вводные'!$B$20+'ОБЪЕКТЫ'!AE122</x:f>
      </x:c>
      <x:c r="AF136" s="117" t="n">
        <x:f>'Продажи'!AF95*'Вводные'!$B$20+'ОБЪЕКТЫ'!AF122</x:f>
      </x:c>
      <x:c r="AG136" s="117" t="n">
        <x:f>'Продажи'!AG95*'Вводные'!$B$20+'ОБЪЕКТЫ'!AG122</x:f>
      </x:c>
      <x:c r="AH136" s="117" t="n">
        <x:f>'Продажи'!AH95*'Вводные'!$B$20+'ОБЪЕКТЫ'!AH122</x:f>
      </x:c>
      <x:c r="AI136" s="117" t="n">
        <x:f>'Продажи'!AI95*'Вводные'!$B$20+'ОБЪЕКТЫ'!AI122</x:f>
      </x:c>
      <x:c r="AJ136" s="117" t="n">
        <x:f>'Продажи'!AJ95*'Вводные'!$B$20+'ОБЪЕКТЫ'!AJ122</x:f>
      </x:c>
      <x:c r="AK136" s="117" t="n">
        <x:f>'Продажи'!AK95*'Вводные'!$B$20+'ОБЪЕКТЫ'!AK122</x:f>
      </x:c>
      <x:c r="AL136" s="117" t="n">
        <x:f>'Продажи'!AL95*'Вводные'!$B$20+'ОБЪЕКТЫ'!AL122</x:f>
      </x:c>
      <x:c r="AM136" s="117" t="n">
        <x:f>'Продажи'!AM95*'Вводные'!$B$20+'ОБЪЕКТЫ'!AM122</x:f>
      </x:c>
      <x:c r="AN136" s="117" t="n">
        <x:f>'Продажи'!AN95*'Вводные'!$B$20+'ОБЪЕКТЫ'!AN122</x:f>
      </x:c>
      <x:c r="AO136" s="117" t="n">
        <x:f>'Продажи'!AO95*'Вводные'!$B$20+'ОБЪЕКТЫ'!AO122</x:f>
      </x:c>
      <x:c r="AP136" s="117" t="n">
        <x:f>'Продажи'!AP95*'Вводные'!$B$20+'ОБЪЕКТЫ'!AP122</x:f>
      </x:c>
      <x:c r="AQ136" s="117" t="n">
        <x:f>'Продажи'!AQ95*'Вводные'!$B$20+'ОБЪЕКТЫ'!AQ122</x:f>
      </x:c>
      <x:c r="AR136" s="117" t="n">
        <x:f>'Продажи'!AR95*'Вводные'!$B$20+'ОБЪЕКТЫ'!AR122</x:f>
      </x:c>
      <x:c r="AS136" s="117" t="n">
        <x:f>'Продажи'!AS95*'Вводные'!$B$20+'ОБЪЕКТЫ'!AS122</x:f>
      </x:c>
      <x:c r="AT136" s="117" t="n">
        <x:f>'Продажи'!AT95*'Вводные'!$B$20+'ОБЪЕКТЫ'!AT122</x:f>
      </x:c>
      <x:c r="AU136" s="117" t="n">
        <x:f>'Продажи'!AU95*'Вводные'!$B$20+'ОБЪЕКТЫ'!AU122</x:f>
      </x:c>
      <x:c r="AV136" s="117" t="n">
        <x:f>'Продажи'!AV95*'Вводные'!$B$20+'ОБЪЕКТЫ'!AV122</x:f>
      </x:c>
      <x:c r="AW136" s="117" t="n">
        <x:f>'Продажи'!AW95*'Вводные'!$B$20+'ОБЪЕКТЫ'!AW122</x:f>
      </x:c>
      <x:c r="AX136" s="117" t="n">
        <x:f>'Продажи'!AX95*'Вводные'!$B$20+'ОБЪЕКТЫ'!AX122</x:f>
      </x:c>
      <x:c r="AY136" s="117" t="n">
        <x:f>'Продажи'!AY95*'Вводные'!$B$20+'ОБЪЕКТЫ'!AY122</x:f>
      </x:c>
      <x:c r="AZ136" s="117" t="n">
        <x:f>'Продажи'!AZ95*'Вводные'!$B$20+'ОБЪЕКТЫ'!AZ122</x:f>
      </x:c>
      <x:c r="BA136" s="117" t="n">
        <x:f>'Продажи'!BA95*'Вводные'!$B$20+'ОБЪЕКТЫ'!BA122</x:f>
      </x:c>
      <x:c r="BB136" s="117" t="n">
        <x:f>'Продажи'!BB95*'Вводные'!$B$20+'ОБЪЕКТЫ'!BB122</x:f>
      </x:c>
      <x:c r="BC136" s="117" t="n">
        <x:f>'Продажи'!BC95*'Вводные'!$B$20+'ОБЪЕКТЫ'!BC122</x:f>
      </x:c>
      <x:c r="BD136" s="117" t="n">
        <x:f>'Продажи'!BD95*'Вводные'!$B$20+'ОБЪЕКТЫ'!BD122</x:f>
      </x:c>
      <x:c r="BE136" s="117" t="n">
        <x:f>'Продажи'!BE95*'Вводные'!$B$20+'ОБЪЕКТЫ'!BE122</x:f>
      </x:c>
      <x:c r="BF136" s="117" t="n">
        <x:f>'Продажи'!BF95*'Вводные'!$B$20+'ОБЪЕКТЫ'!BF122</x:f>
      </x:c>
      <x:c r="BG136" s="117" t="n">
        <x:f>'Продажи'!BG95*'Вводные'!$B$20+'ОБЪЕКТЫ'!BG122</x:f>
      </x:c>
      <x:c r="BH136" s="117" t="n">
        <x:f>'Продажи'!BH95*'Вводные'!$B$20+'ОБЪЕКТЫ'!BH122</x:f>
      </x:c>
      <x:c r="BI136" s="117" t="n">
        <x:f>'Продажи'!BI95*'Вводные'!$B$20+'ОБЪЕКТЫ'!BI122</x:f>
      </x:c>
      <x:c r="BJ136" s="117" t="n">
        <x:f>'Продажи'!BJ95*'Вводные'!$B$20+'ОБЪЕКТЫ'!BJ122</x:f>
      </x:c>
      <x:c r="BK136" s="117" t="n">
        <x:f>'Продажи'!BK95*'Вводные'!$B$20+'ОБЪЕКТЫ'!BK122</x:f>
      </x:c>
      <x:c r="BL136" s="117" t="n">
        <x:f>'Продажи'!BL95*'Вводные'!$B$20+'ОБЪЕКТЫ'!BL122</x:f>
      </x:c>
      <x:c r="BM136" s="117" t="n">
        <x:f>'Продажи'!BM95*'Вводные'!$B$20+'ОБЪЕКТЫ'!BM122</x:f>
      </x:c>
      <x:c r="BN136" s="117" t="n">
        <x:f>'Продажи'!BN95*'Вводные'!$B$20+'ОБЪЕКТЫ'!BN122</x:f>
      </x:c>
      <x:c r="BO136" s="117" t="n">
        <x:f>'Продажи'!BO95*'Вводные'!$B$20+'ОБЪЕКТЫ'!BO122</x:f>
      </x:c>
      <x:c r="BP136" s="117" t="n">
        <x:f>'Продажи'!BP95*'Вводные'!$B$20+'ОБЪЕКТЫ'!BP122</x:f>
      </x:c>
      <x:c r="BQ136" s="117" t="n">
        <x:f>'Продажи'!BQ95*'Вводные'!$B$20+'ОБЪЕКТЫ'!BQ122</x:f>
      </x:c>
      <x:c r="BR136" s="117" t="n">
        <x:f>'Продажи'!BR95*'Вводные'!$B$20+'ОБЪЕКТЫ'!BR122</x:f>
      </x:c>
      <x:c r="BS136" s="117" t="n">
        <x:f>'Продажи'!BS95*'Вводные'!$B$20+'ОБЪЕКТЫ'!BS122</x:f>
      </x:c>
      <x:c r="BT136" s="117" t="n">
        <x:f>'Продажи'!BT95*'Вводные'!$B$20+'ОБЪЕКТЫ'!BT122</x:f>
      </x:c>
      <x:c r="BU136" s="117" t="n">
        <x:f>'Продажи'!BU95*'Вводные'!$B$20+'ОБЪЕКТЫ'!BU122</x:f>
      </x:c>
      <x:c r="BV136" s="117" t="n">
        <x:f>'Продажи'!BV95*'Вводные'!$B$20+'ОБЪЕКТЫ'!BV122</x:f>
      </x:c>
      <x:c r="BW136" s="117" t="n">
        <x:f>'Продажи'!BW95*'Вводные'!$B$20+'ОБЪЕКТЫ'!BW122</x:f>
      </x:c>
      <x:c r="BX136" s="117" t="n">
        <x:f>'Продажи'!BX95*'Вводные'!$B$20+'ОБЪЕКТЫ'!BX122</x:f>
      </x:c>
      <x:c r="BY136" s="117" t="n">
        <x:f>'Продажи'!BY95*'Вводные'!$B$20+'ОБЪЕКТЫ'!BY122</x:f>
      </x:c>
      <x:c r="BZ136" s="117" t="n">
        <x:f>'Продажи'!BZ95*'Вводные'!$B$20+'ОБЪЕКТЫ'!BZ122</x:f>
      </x:c>
      <x:c r="CA136" s="117" t="n">
        <x:f>'Продажи'!CA95*'Вводные'!$B$20+'ОБЪЕКТЫ'!CA122</x:f>
      </x:c>
      <x:c r="CB136" s="117" t="n">
        <x:f>'Продажи'!CB95*'Вводные'!$B$20+'ОБЪЕКТЫ'!CB122</x:f>
      </x:c>
      <x:c r="CC136" s="117" t="n">
        <x:f>'Продажи'!CC95*'Вводные'!$B$20+'ОБЪЕКТЫ'!CC122</x:f>
      </x:c>
      <x:c r="CD136" s="117" t="n">
        <x:f>'Продажи'!CD95*'Вводные'!$B$20+'ОБЪЕКТЫ'!CD122</x:f>
      </x:c>
      <x:c r="CE136" s="117" t="n">
        <x:f>'Продажи'!CE95*'Вводные'!$B$20+'ОБЪЕКТЫ'!CE122</x:f>
      </x:c>
      <x:c r="CF136" s="117" t="n">
        <x:f>'Продажи'!CF95*'Вводные'!$B$20+'ОБЪЕКТЫ'!CF122</x:f>
      </x:c>
      <x:c r="CG136" s="117" t="n">
        <x:f>'Продажи'!CG95*'Вводные'!$B$20+'ОБЪЕКТЫ'!CG122</x:f>
      </x:c>
      <x:c r="CH136" s="117" t="n">
        <x:f>'Продажи'!CH95*'Вводные'!$B$20+'ОБЪЕКТЫ'!CH122</x:f>
      </x:c>
      <x:c r="CI136" s="117" t="n">
        <x:f>'Продажи'!CI95*'Вводные'!$B$20+'ОБЪЕКТЫ'!CI122</x:f>
      </x:c>
      <x:c r="CJ136" s="117" t="n">
        <x:f>'Продажи'!CJ95*'Вводные'!$B$20+'ОБЪЕКТЫ'!CJ122</x:f>
      </x:c>
      <x:c r="CK136" s="117" t="n">
        <x:f>'Продажи'!CK95*'Вводные'!$B$20+'ОБЪЕКТЫ'!CK122</x:f>
      </x:c>
      <x:c r="CL136" s="117" t="n">
        <x:f>'Продажи'!CL95*'Вводные'!$B$20+'ОБЪЕКТЫ'!CL122</x:f>
      </x:c>
      <x:c r="CM136" s="117" t="n">
        <x:f>'Продажи'!CM95*'Вводные'!$B$20+'ОБЪЕКТЫ'!CM122</x:f>
      </x:c>
      <x:c r="CN136" s="117" t="n">
        <x:f>'Продажи'!CN95*'Вводные'!$B$20+'ОБЪЕКТЫ'!CN122</x:f>
      </x:c>
      <x:c r="CO136" s="117" t="n">
        <x:f>'Продажи'!CO95*'Вводные'!$B$20+'ОБЪЕКТЫ'!CO122</x:f>
      </x:c>
      <x:c r="CP136" s="117" t="n">
        <x:f>'Продажи'!CP95*'Вводные'!$B$20+'ОБЪЕКТЫ'!CP122</x:f>
      </x:c>
      <x:c r="CQ136" s="117" t="n">
        <x:f>'Продажи'!CQ95*'Вводные'!$B$20+'ОБЪЕКТЫ'!CQ122</x:f>
      </x:c>
      <x:c r="CR136" s="117" t="n">
        <x:f>'Продажи'!CR95*'Вводные'!$B$20+'ОБЪЕКТЫ'!CR122</x:f>
      </x:c>
      <x:c r="CS136" s="117" t="n">
        <x:f>'Продажи'!CS95*'Вводные'!$B$20+'ОБЪЕКТЫ'!CS122</x:f>
      </x:c>
      <x:c r="CT136" s="117" t="n">
        <x:f>'Продажи'!CT95*'Вводные'!$B$20+'ОБЪЕКТЫ'!CT122</x:f>
      </x:c>
      <x:c r="CU136" s="117" t="n">
        <x:f>'Продажи'!CU95*'Вводные'!$B$20+'ОБЪЕКТЫ'!CU122</x:f>
      </x:c>
      <x:c r="CV136" s="117" t="n">
        <x:f>'Продажи'!CV95*'Вводные'!$B$20+'ОБЪЕКТЫ'!CV122</x:f>
      </x:c>
      <x:c r="CW136" s="117" t="n">
        <x:f>'Продажи'!CW95*'Вводные'!$B$20+'ОБЪЕКТЫ'!CW122</x:f>
      </x:c>
      <x:c r="CX136" s="117" t="n">
        <x:f>'Продажи'!CX95*'Вводные'!$B$20+'ОБЪЕКТЫ'!CX122</x:f>
      </x:c>
      <x:c r="CY136" s="117" t="n">
        <x:f>'Продажи'!CY95*'Вводные'!$B$20+'ОБЪЕКТЫ'!CY122</x:f>
      </x:c>
      <x:c r="CZ136" s="117" t="n">
        <x:f>'Продажи'!CZ95*'Вводные'!$B$20+'ОБЪЕКТЫ'!CZ122</x:f>
      </x:c>
      <x:c r="DA136" s="117" t="n">
        <x:f>'Продажи'!DA95*'Вводные'!$B$20+'ОБЪЕКТЫ'!DA122</x:f>
      </x:c>
      <x:c r="DB136" s="117" t="n">
        <x:f>'Продажи'!DB95*'Вводные'!$B$20+'ОБЪЕКТЫ'!DB122</x:f>
      </x:c>
      <x:c r="DC136" s="117" t="n">
        <x:f>'Продажи'!DC95*'Вводные'!$B$20+'ОБЪЕКТЫ'!DC122</x:f>
      </x:c>
      <x:c r="DD136" s="117" t="n">
        <x:f>'Продажи'!DD95*'Вводные'!$B$20+'ОБЪЕКТЫ'!DD122</x:f>
      </x:c>
      <x:c r="DE136" s="117" t="n">
        <x:f>'Продажи'!DE95*'Вводные'!$B$20+'ОБЪЕКТЫ'!DE122</x:f>
      </x:c>
      <x:c r="DF136" s="117" t="n">
        <x:f>'Продажи'!DF95*'Вводные'!$B$20+'ОБЪЕКТЫ'!DF122</x:f>
      </x:c>
      <x:c r="DG136" s="117" t="n">
        <x:f>'Продажи'!DG95*'Вводные'!$B$20+'ОБЪЕКТЫ'!DG122</x:f>
      </x:c>
      <x:c r="DH136" s="117" t="n">
        <x:f>'Продажи'!DH95*'Вводные'!$B$20+'ОБЪЕКТЫ'!DH122</x:f>
      </x:c>
      <x:c r="DI136" s="117" t="n">
        <x:f>'Продажи'!DI95*'Вводные'!$B$20+'ОБЪЕКТЫ'!DI122</x:f>
      </x:c>
      <x:c r="DJ136" s="117" t="n">
        <x:f>'Продажи'!DJ95*'Вводные'!$B$20+'ОБЪЕКТЫ'!DJ122</x:f>
      </x:c>
      <x:c r="DK136" s="117" t="n">
        <x:f>'Продажи'!DK95*'Вводные'!$B$20+'ОБЪЕКТЫ'!DK122</x:f>
      </x:c>
      <x:c r="DL136" s="117" t="n">
        <x:f>'Продажи'!DL95*'Вводные'!$B$20+'ОБЪЕКТЫ'!DL122</x:f>
      </x:c>
      <x:c r="DM136" s="117" t="n">
        <x:f>'Продажи'!DM95*'Вводные'!$B$20+'ОБЪЕКТЫ'!DM122</x:f>
      </x:c>
      <x:c r="DN136" s="117" t="n">
        <x:f>'Продажи'!DN95*'Вводные'!$B$20+'ОБЪЕКТЫ'!DN122</x:f>
      </x:c>
      <x:c r="DO136" s="117" t="n">
        <x:f>'Продажи'!DO95*'Вводные'!$B$20+'ОБЪЕКТЫ'!DO122</x:f>
      </x:c>
      <x:c r="DP136" s="117" t="n">
        <x:f>'Продажи'!DP95*'Вводные'!$B$20+'ОБЪЕКТЫ'!DP122</x:f>
      </x:c>
      <x:c r="DQ136" s="117" t="n">
        <x:f>'Продажи'!DQ95*'Вводные'!$B$20+'ОБЪЕКТЫ'!DQ122</x:f>
      </x:c>
      <x:c r="DR136" s="117" t="n">
        <x:f>'Продажи'!DR95*'Вводные'!$B$20+'ОБЪЕКТЫ'!DR122</x:f>
      </x:c>
      <x:c r="DS136" s="117" t="n">
        <x:f>'Продажи'!DS95*'Вводные'!$B$20+'ОБЪЕКТЫ'!DS122</x:f>
      </x:c>
      <x:c r="DT136" s="117" t="n">
        <x:f>'Продажи'!DT95*'Вводные'!$B$20+'ОБЪЕКТЫ'!DT122</x:f>
      </x:c>
      <x:c r="DU136" s="117" t="n">
        <x:f>'Продажи'!DU95*'Вводные'!$B$20+'ОБЪЕКТЫ'!DU122</x:f>
      </x:c>
      <x:c r="DV136" s="117" t="n">
        <x:f>'Продажи'!DV95*'Вводные'!$B$20+'ОБЪЕКТЫ'!DV122</x:f>
      </x:c>
      <x:c r="DW136" s="117" t="n">
        <x:f>'Продажи'!DW95*'Вводные'!$B$20+'ОБЪЕКТЫ'!DW122</x:f>
      </x:c>
      <x:c r="DX136" s="117" t="n">
        <x:f>'Продажи'!DX95*'Вводные'!$B$20+'ОБЪЕКТЫ'!DX122</x:f>
      </x:c>
      <x:c r="DY136" s="117" t="n">
        <x:f>'Продажи'!DY95*'Вводные'!$B$20+'ОБЪЕКТЫ'!DY122</x:f>
      </x:c>
      <x:c r="DZ136" s="117" t="n">
        <x:f>'Продажи'!DZ95*'Вводные'!$B$20+'ОБЪЕКТЫ'!DZ122</x:f>
      </x:c>
      <x:c r="EA136" s="117" t="n">
        <x:f>'Продажи'!EA95*'Вводные'!$B$20+'ОБЪЕКТЫ'!EA122</x:f>
      </x:c>
      <x:c r="EB136" s="117" t="n">
        <x:f>'Продажи'!EB95*'Вводные'!$B$20+'ОБЪЕКТЫ'!EB122</x:f>
      </x:c>
      <x:c r="EC136" s="117" t="n">
        <x:f>'Продажи'!EC95*'Вводные'!$B$20+'ОБЪЕКТЫ'!EC122</x:f>
      </x:c>
      <x:c r="ED136" s="117" t="n">
        <x:f>'Продажи'!ED95*'Вводные'!$B$20+'ОБЪЕКТЫ'!ED122</x:f>
      </x:c>
      <x:c r="EE136" s="117" t="n">
        <x:f>'Продажи'!EE95*'Вводные'!$B$20+'ОБЪЕКТЫ'!EE122</x:f>
      </x:c>
      <x:c r="EF136" s="117" t="n">
        <x:f>'Продажи'!EF95*'Вводные'!$B$20+'ОБЪЕКТЫ'!EF122</x:f>
      </x:c>
      <x:c r="EG136" s="117" t="n">
        <x:f>'Продажи'!EG95*'Вводные'!$B$20+'ОБЪЕКТЫ'!EG122</x:f>
      </x:c>
      <x:c r="EH136" s="117" t="n">
        <x:f>'Продажи'!EH95*'Вводные'!$B$20+'ОБЪЕКТЫ'!EH122</x:f>
      </x:c>
      <x:c r="EI136" s="117" t="n">
        <x:f>'Продажи'!EI95*'Вводные'!$B$20+'ОБЪЕКТЫ'!EI122</x:f>
      </x:c>
      <x:c r="EJ136" s="117" t="n">
        <x:f>'Продажи'!EJ95*'Вводные'!$B$20+'ОБЪЕКТЫ'!EJ122</x:f>
      </x:c>
      <x:c r="EK136" s="117" t="n">
        <x:f>'Продажи'!EK95*'Вводные'!$B$20+'ОБЪЕКТЫ'!EK122</x:f>
      </x:c>
      <x:c r="EL136" s="117" t="n">
        <x:f>'Продажи'!EL95*'Вводные'!$B$20+'ОБЪЕКТЫ'!EL122</x:f>
      </x:c>
      <x:c r="EM136" s="117" t="n">
        <x:f>'Продажи'!EM95*'Вводные'!$B$20+'ОБЪЕКТЫ'!EM122</x:f>
      </x:c>
      <x:c r="EN136" s="117" t="n">
        <x:f>'Продажи'!EN95*'Вводные'!$B$20+'ОБЪЕКТЫ'!EN122</x:f>
      </x:c>
      <x:c r="EO136" s="117" t="n">
        <x:f>'Продажи'!EO95*'Вводные'!$B$20+'ОБЪЕКТЫ'!EO122</x:f>
      </x:c>
      <x:c r="EP136" s="117" t="n">
        <x:f>'Продажи'!EP95*'Вводные'!$B$20+'ОБЪЕКТЫ'!EP122</x:f>
      </x:c>
      <x:c r="EQ136" s="117" t="n">
        <x:f>'Продажи'!EQ95*'Вводные'!$B$20+'ОБЪЕКТЫ'!EQ122</x:f>
      </x:c>
      <x:c r="ER136" s="117" t="n">
        <x:f>'Продажи'!ER95*'Вводные'!$B$20+'ОБЪЕКТЫ'!ER122</x:f>
      </x:c>
      <x:c r="ES136" s="117" t="n">
        <x:f>'Продажи'!ES95*'Вводные'!$B$20+'ОБЪЕКТЫ'!ES122</x:f>
      </x:c>
      <x:c r="ET136" s="117" t="n">
        <x:f>'Продажи'!ET95*'Вводные'!$B$20+'ОБЪЕКТЫ'!ET122</x:f>
      </x:c>
      <x:c r="EU136" s="117" t="n">
        <x:f>'Продажи'!EU95*'Вводные'!$B$20+'ОБЪЕКТЫ'!EU122</x:f>
      </x:c>
      <x:c r="EV136" s="117" t="n">
        <x:f>'Продажи'!EV95*'Вводные'!$B$20+'ОБЪЕКТЫ'!EV122</x:f>
      </x:c>
      <x:c r="EW136" s="117" t="n">
        <x:f>'Продажи'!EW95*'Вводные'!$B$20+'ОБЪЕКТЫ'!EW122</x:f>
      </x:c>
      <x:c r="EX136" s="117" t="n">
        <x:f>'Продажи'!EX95*'Вводные'!$B$20+'ОБЪЕКТЫ'!EX122</x:f>
      </x:c>
      <x:c r="EY136" s="117" t="n">
        <x:f>'Продажи'!EY95*'Вводные'!$B$20+'ОБЪЕКТЫ'!EY122</x:f>
      </x:c>
      <x:c r="EZ136" s="117" t="n">
        <x:f>'Продажи'!EZ95*'Вводные'!$B$20+'ОБЪЕКТЫ'!EZ122</x:f>
      </x:c>
      <x:c r="FA136" s="117" t="n">
        <x:f>'Продажи'!FA95*'Вводные'!$B$20+'ОБЪЕКТЫ'!FA122</x:f>
      </x:c>
      <x:c r="FB136" s="117" t="n">
        <x:f>'Продажи'!FB95*'Вводные'!$B$20+'ОБЪЕКТЫ'!FB122</x:f>
      </x:c>
      <x:c r="FC136" s="117" t="n">
        <x:f>'Продажи'!FC95*'Вводные'!$B$20+'ОБЪЕКТЫ'!FC122</x:f>
      </x:c>
      <x:c r="FD136" s="117" t="n">
        <x:f>'Продажи'!FD95*'Вводные'!$B$20+'ОБЪЕКТЫ'!FD122</x:f>
      </x:c>
      <x:c r="FE136" s="117" t="n">
        <x:f>'Продажи'!FE95*'Вводные'!$B$20+'ОБЪЕКТЫ'!FE122</x:f>
      </x:c>
      <x:c r="FF136" s="117" t="n">
        <x:f>'Продажи'!FF95*'Вводные'!$B$20+'ОБЪЕКТЫ'!FF122</x:f>
      </x:c>
      <x:c r="FG136" s="117" t="n">
        <x:f>'Продажи'!FG95*'Вводные'!$B$20+'ОБЪЕКТЫ'!FG122</x:f>
      </x:c>
      <x:c r="FH136" s="117" t="n">
        <x:f>'Продажи'!FH95*'Вводные'!$B$20+'ОБЪЕКТЫ'!FH122</x:f>
      </x:c>
      <x:c r="FI136" s="117" t="n">
        <x:f>'Продажи'!FI95*'Вводные'!$B$20+'ОБЪЕКТЫ'!FI122</x:f>
      </x:c>
      <x:c r="FJ136" s="117" t="n">
        <x:f>'Продажи'!FJ95*'Вводные'!$B$20+'ОБЪЕКТЫ'!FJ122</x:f>
      </x:c>
      <x:c r="FK136" s="117" t="n">
        <x:f>'Продажи'!FK95*'Вводные'!$B$20+'ОБЪЕКТЫ'!FK122</x:f>
      </x:c>
      <x:c r="FL136" s="117" t="n">
        <x:f>'Продажи'!FL95*'Вводные'!$B$20+'ОБЪЕКТЫ'!FL122</x:f>
      </x:c>
      <x:c r="FM136" s="117" t="n">
        <x:f>'Продажи'!FM95*'Вводные'!$B$20+'ОБЪЕКТЫ'!FM122</x:f>
      </x:c>
      <x:c r="FN136" s="117" t="n">
        <x:f>'Продажи'!FN95*'Вводные'!$B$20+'ОБЪЕКТЫ'!FN122</x:f>
      </x:c>
      <x:c r="FO136" s="117" t="n">
        <x:f>'Продажи'!FO95*'Вводные'!$B$20+'ОБЪЕКТЫ'!FO122</x:f>
      </x:c>
      <x:c r="FP136" s="117" t="n">
        <x:f>'Продажи'!FP95*'Вводные'!$B$20+'ОБЪЕКТЫ'!FP122</x:f>
      </x:c>
      <x:c r="FQ136" s="117" t="n">
        <x:f>'Продажи'!FQ95*'Вводные'!$B$20+'ОБЪЕКТЫ'!FQ122</x:f>
      </x:c>
      <x:c r="FR136" s="117" t="n">
        <x:f>'Продажи'!FR95*'Вводные'!$B$20+'ОБЪЕКТЫ'!FR122</x:f>
      </x:c>
      <x:c r="FS136" s="117" t="n">
        <x:f>'Продажи'!FS95*'Вводные'!$B$20+'ОБЪЕКТЫ'!FS122</x:f>
      </x:c>
      <x:c r="FT136" s="117" t="n">
        <x:f>'Продажи'!FT95*'Вводные'!$B$20+'ОБЪЕКТЫ'!FT122</x:f>
      </x:c>
      <x:c r="FU136" s="117" t="n">
        <x:f>'Продажи'!FU95*'Вводные'!$B$20+'ОБЪЕКТЫ'!FU122</x:f>
      </x:c>
      <x:c r="FV136" s="117" t="n">
        <x:f>'Продажи'!FV95*'Вводные'!$B$20+'ОБЪЕКТЫ'!FV122</x:f>
      </x:c>
      <x:c r="FW136" s="117" t="n">
        <x:f>'Продажи'!FW95*'Вводные'!$B$20+'ОБЪЕКТЫ'!FW122</x:f>
      </x:c>
      <x:c r="FX136" s="117" t="n">
        <x:f>'Продажи'!FX95*'Вводные'!$B$20+'ОБЪЕКТЫ'!FX122</x:f>
      </x:c>
      <x:c r="FY136" s="117" t="n">
        <x:f>'Продажи'!FY95*'Вводные'!$B$20+'ОБЪЕКТЫ'!FY122</x:f>
      </x:c>
      <x:c r="FZ136" s="117" t="n">
        <x:f>'Продажи'!FZ95*'Вводные'!$B$20+'ОБЪЕКТЫ'!FZ122</x:f>
      </x:c>
      <x:c r="GA136" s="117" t="n">
        <x:f>'Продажи'!GA95*'Вводные'!$B$20+'ОБЪЕКТЫ'!GA122</x:f>
      </x:c>
    </x:row>
    <x:row r="137">
      <x:c r="A137" s="113" t="str">
        <x:v>РАСХОДЫ ПРОЕКТА ВСЕГО</x:v>
      </x:c>
      <x:c r="B137" s="113" t="n">
        <x:f>SUM(D137:GA137)</x:f>
      </x:c>
      <x:c r="C137" s="113" t="str">
        <x:v>млн ₽</x:v>
      </x:c>
      <x:c r="D137" s="120" t="n">
        <x:f>SUM(D134:D136)</x:f>
      </x:c>
      <x:c r="E137" s="120" t="n">
        <x:f>SUM(E134:E136)</x:f>
      </x:c>
      <x:c r="F137" s="120" t="n">
        <x:f>SUM(F134:F136)</x:f>
      </x:c>
      <x:c r="G137" s="120" t="n">
        <x:f>SUM(G134:G136)</x:f>
      </x:c>
      <x:c r="H137" s="120" t="n">
        <x:f>SUM(H134:H136)</x:f>
      </x:c>
      <x:c r="I137" s="120" t="n">
        <x:f>SUM(I134:I136)</x:f>
      </x:c>
      <x:c r="J137" s="120" t="n">
        <x:f>SUM(J134:J136)</x:f>
      </x:c>
      <x:c r="K137" s="120" t="n">
        <x:f>SUM(K134:K136)</x:f>
      </x:c>
      <x:c r="L137" s="120" t="n">
        <x:f>SUM(L134:L136)</x:f>
      </x:c>
      <x:c r="M137" s="120" t="n">
        <x:f>SUM(M134:M136)</x:f>
      </x:c>
      <x:c r="N137" s="120" t="n">
        <x:f>SUM(N134:N136)</x:f>
      </x:c>
      <x:c r="O137" s="120" t="n">
        <x:f>SUM(O134:O136)</x:f>
      </x:c>
      <x:c r="P137" s="120" t="n">
        <x:f>SUM(P134:P136)</x:f>
      </x:c>
      <x:c r="Q137" s="120" t="n">
        <x:f>SUM(Q134:Q136)</x:f>
      </x:c>
      <x:c r="R137" s="120" t="n">
        <x:f>SUM(R134:R136)</x:f>
      </x:c>
      <x:c r="S137" s="120" t="n">
        <x:f>SUM(S134:S136)</x:f>
      </x:c>
      <x:c r="T137" s="120" t="n">
        <x:f>SUM(T134:T136)</x:f>
      </x:c>
      <x:c r="U137" s="120" t="n">
        <x:f>SUM(U134:U136)</x:f>
      </x:c>
      <x:c r="V137" s="120" t="n">
        <x:f>SUM(V134:V136)</x:f>
      </x:c>
      <x:c r="W137" s="120" t="n">
        <x:f>SUM(W134:W136)</x:f>
      </x:c>
      <x:c r="X137" s="120" t="n">
        <x:f>SUM(X134:X136)</x:f>
      </x:c>
      <x:c r="Y137" s="120" t="n">
        <x:f>SUM(Y134:Y136)</x:f>
      </x:c>
      <x:c r="Z137" s="120" t="n">
        <x:f>SUM(Z134:Z136)</x:f>
      </x:c>
      <x:c r="AA137" s="120" t="n">
        <x:f>SUM(AA134:AA136)</x:f>
      </x:c>
      <x:c r="AB137" s="120" t="n">
        <x:f>SUM(AB134:AB136)</x:f>
      </x:c>
      <x:c r="AC137" s="120" t="n">
        <x:f>SUM(AC134:AC136)</x:f>
      </x:c>
      <x:c r="AD137" s="120" t="n">
        <x:f>SUM(AD134:AD136)</x:f>
      </x:c>
      <x:c r="AE137" s="120" t="n">
        <x:f>SUM(AE134:AE136)</x:f>
      </x:c>
      <x:c r="AF137" s="120" t="n">
        <x:f>SUM(AF134:AF136)</x:f>
      </x:c>
      <x:c r="AG137" s="120" t="n">
        <x:f>SUM(AG134:AG136)</x:f>
      </x:c>
      <x:c r="AH137" s="120" t="n">
        <x:f>SUM(AH134:AH136)</x:f>
      </x:c>
      <x:c r="AI137" s="120" t="n">
        <x:f>SUM(AI134:AI136)</x:f>
      </x:c>
      <x:c r="AJ137" s="120" t="n">
        <x:f>SUM(AJ134:AJ136)</x:f>
      </x:c>
      <x:c r="AK137" s="120" t="n">
        <x:f>SUM(AK134:AK136)</x:f>
      </x:c>
      <x:c r="AL137" s="120" t="n">
        <x:f>SUM(AL134:AL136)</x:f>
      </x:c>
      <x:c r="AM137" s="120" t="n">
        <x:f>SUM(AM134:AM136)</x:f>
      </x:c>
      <x:c r="AN137" s="120" t="n">
        <x:f>SUM(AN134:AN136)</x:f>
      </x:c>
      <x:c r="AO137" s="120" t="n">
        <x:f>SUM(AO134:AO136)</x:f>
      </x:c>
      <x:c r="AP137" s="120" t="n">
        <x:f>SUM(AP134:AP136)</x:f>
      </x:c>
      <x:c r="AQ137" s="120" t="n">
        <x:f>SUM(AQ134:AQ136)</x:f>
      </x:c>
      <x:c r="AR137" s="120" t="n">
        <x:f>SUM(AR134:AR136)</x:f>
      </x:c>
      <x:c r="AS137" s="120" t="n">
        <x:f>SUM(AS134:AS136)</x:f>
      </x:c>
      <x:c r="AT137" s="120" t="n">
        <x:f>SUM(AT134:AT136)</x:f>
      </x:c>
      <x:c r="AU137" s="120" t="n">
        <x:f>SUM(AU134:AU136)</x:f>
      </x:c>
      <x:c r="AV137" s="120" t="n">
        <x:f>SUM(AV134:AV136)</x:f>
      </x:c>
      <x:c r="AW137" s="120" t="n">
        <x:f>SUM(AW134:AW136)</x:f>
      </x:c>
      <x:c r="AX137" s="120" t="n">
        <x:f>SUM(AX134:AX136)</x:f>
      </x:c>
      <x:c r="AY137" s="120" t="n">
        <x:f>SUM(AY134:AY136)</x:f>
      </x:c>
      <x:c r="AZ137" s="120" t="n">
        <x:f>SUM(AZ134:AZ136)</x:f>
      </x:c>
      <x:c r="BA137" s="120" t="n">
        <x:f>SUM(BA134:BA136)</x:f>
      </x:c>
      <x:c r="BB137" s="120" t="n">
        <x:f>SUM(BB134:BB136)</x:f>
      </x:c>
      <x:c r="BC137" s="120" t="n">
        <x:f>SUM(BC134:BC136)</x:f>
      </x:c>
      <x:c r="BD137" s="120" t="n">
        <x:f>SUM(BD134:BD136)</x:f>
      </x:c>
      <x:c r="BE137" s="120" t="n">
        <x:f>SUM(BE134:BE136)</x:f>
      </x:c>
      <x:c r="BF137" s="120" t="n">
        <x:f>SUM(BF134:BF136)</x:f>
      </x:c>
      <x:c r="BG137" s="120" t="n">
        <x:f>SUM(BG134:BG136)</x:f>
      </x:c>
      <x:c r="BH137" s="120" t="n">
        <x:f>SUM(BH134:BH136)</x:f>
      </x:c>
      <x:c r="BI137" s="120" t="n">
        <x:f>SUM(BI134:BI136)</x:f>
      </x:c>
      <x:c r="BJ137" s="120" t="n">
        <x:f>SUM(BJ134:BJ136)</x:f>
      </x:c>
      <x:c r="BK137" s="120" t="n">
        <x:f>SUM(BK134:BK136)</x:f>
      </x:c>
      <x:c r="BL137" s="120" t="n">
        <x:f>SUM(BL134:BL136)</x:f>
      </x:c>
      <x:c r="BM137" s="120" t="n">
        <x:f>SUM(BM134:BM136)</x:f>
      </x:c>
      <x:c r="BN137" s="120" t="n">
        <x:f>SUM(BN134:BN136)</x:f>
      </x:c>
      <x:c r="BO137" s="120" t="n">
        <x:f>SUM(BO134:BO136)</x:f>
      </x:c>
      <x:c r="BP137" s="120" t="n">
        <x:f>SUM(BP134:BP136)</x:f>
      </x:c>
      <x:c r="BQ137" s="120" t="n">
        <x:f>SUM(BQ134:BQ136)</x:f>
      </x:c>
      <x:c r="BR137" s="120" t="n">
        <x:f>SUM(BR134:BR136)</x:f>
      </x:c>
      <x:c r="BS137" s="120" t="n">
        <x:f>SUM(BS134:BS136)</x:f>
      </x:c>
      <x:c r="BT137" s="120" t="n">
        <x:f>SUM(BT134:BT136)</x:f>
      </x:c>
      <x:c r="BU137" s="120" t="n">
        <x:f>SUM(BU134:BU136)</x:f>
      </x:c>
      <x:c r="BV137" s="120" t="n">
        <x:f>SUM(BV134:BV136)</x:f>
      </x:c>
      <x:c r="BW137" s="120" t="n">
        <x:f>SUM(BW134:BW136)</x:f>
      </x:c>
      <x:c r="BX137" s="120" t="n">
        <x:f>SUM(BX134:BX136)</x:f>
      </x:c>
      <x:c r="BY137" s="120" t="n">
        <x:f>SUM(BY134:BY136)</x:f>
      </x:c>
      <x:c r="BZ137" s="120" t="n">
        <x:f>SUM(BZ134:BZ136)</x:f>
      </x:c>
      <x:c r="CA137" s="120" t="n">
        <x:f>SUM(CA134:CA136)</x:f>
      </x:c>
      <x:c r="CB137" s="120" t="n">
        <x:f>SUM(CB134:CB136)</x:f>
      </x:c>
      <x:c r="CC137" s="120" t="n">
        <x:f>SUM(CC134:CC136)</x:f>
      </x:c>
      <x:c r="CD137" s="120" t="n">
        <x:f>SUM(CD134:CD136)</x:f>
      </x:c>
      <x:c r="CE137" s="120" t="n">
        <x:f>SUM(CE134:CE136)</x:f>
      </x:c>
      <x:c r="CF137" s="120" t="n">
        <x:f>SUM(CF134:CF136)</x:f>
      </x:c>
      <x:c r="CG137" s="120" t="n">
        <x:f>SUM(CG134:CG136)</x:f>
      </x:c>
      <x:c r="CH137" s="120" t="n">
        <x:f>SUM(CH134:CH136)</x:f>
      </x:c>
      <x:c r="CI137" s="120" t="n">
        <x:f>SUM(CI134:CI136)</x:f>
      </x:c>
      <x:c r="CJ137" s="120" t="n">
        <x:f>SUM(CJ134:CJ136)</x:f>
      </x:c>
      <x:c r="CK137" s="120" t="n">
        <x:f>SUM(CK134:CK136)</x:f>
      </x:c>
      <x:c r="CL137" s="120" t="n">
        <x:f>SUM(CL134:CL136)</x:f>
      </x:c>
      <x:c r="CM137" s="120" t="n">
        <x:f>SUM(CM134:CM136)</x:f>
      </x:c>
      <x:c r="CN137" s="120" t="n">
        <x:f>SUM(CN134:CN136)</x:f>
      </x:c>
      <x:c r="CO137" s="120" t="n">
        <x:f>SUM(CO134:CO136)</x:f>
      </x:c>
      <x:c r="CP137" s="120" t="n">
        <x:f>SUM(CP134:CP136)</x:f>
      </x:c>
      <x:c r="CQ137" s="120" t="n">
        <x:f>SUM(CQ134:CQ136)</x:f>
      </x:c>
      <x:c r="CR137" s="120" t="n">
        <x:f>SUM(CR134:CR136)</x:f>
      </x:c>
      <x:c r="CS137" s="120" t="n">
        <x:f>SUM(CS134:CS136)</x:f>
      </x:c>
      <x:c r="CT137" s="120" t="n">
        <x:f>SUM(CT134:CT136)</x:f>
      </x:c>
      <x:c r="CU137" s="120" t="n">
        <x:f>SUM(CU134:CU136)</x:f>
      </x:c>
      <x:c r="CV137" s="120" t="n">
        <x:f>SUM(CV134:CV136)</x:f>
      </x:c>
      <x:c r="CW137" s="120" t="n">
        <x:f>SUM(CW134:CW136)</x:f>
      </x:c>
      <x:c r="CX137" s="120" t="n">
        <x:f>SUM(CX134:CX136)</x:f>
      </x:c>
      <x:c r="CY137" s="120" t="n">
        <x:f>SUM(CY134:CY136)</x:f>
      </x:c>
      <x:c r="CZ137" s="120" t="n">
        <x:f>SUM(CZ134:CZ136)</x:f>
      </x:c>
      <x:c r="DA137" s="120" t="n">
        <x:f>SUM(DA134:DA136)</x:f>
      </x:c>
      <x:c r="DB137" s="120" t="n">
        <x:f>SUM(DB134:DB136)</x:f>
      </x:c>
      <x:c r="DC137" s="120" t="n">
        <x:f>SUM(DC134:DC136)</x:f>
      </x:c>
      <x:c r="DD137" s="120" t="n">
        <x:f>SUM(DD134:DD136)</x:f>
      </x:c>
      <x:c r="DE137" s="120" t="n">
        <x:f>SUM(DE134:DE136)</x:f>
      </x:c>
      <x:c r="DF137" s="120" t="n">
        <x:f>SUM(DF134:DF136)</x:f>
      </x:c>
      <x:c r="DG137" s="120" t="n">
        <x:f>SUM(DG134:DG136)</x:f>
      </x:c>
      <x:c r="DH137" s="120" t="n">
        <x:f>SUM(DH134:DH136)</x:f>
      </x:c>
      <x:c r="DI137" s="120" t="n">
        <x:f>SUM(DI134:DI136)</x:f>
      </x:c>
      <x:c r="DJ137" s="120" t="n">
        <x:f>SUM(DJ134:DJ136)</x:f>
      </x:c>
      <x:c r="DK137" s="120" t="n">
        <x:f>SUM(DK134:DK136)</x:f>
      </x:c>
      <x:c r="DL137" s="120" t="n">
        <x:f>SUM(DL134:DL136)</x:f>
      </x:c>
      <x:c r="DM137" s="120" t="n">
        <x:f>SUM(DM134:DM136)</x:f>
      </x:c>
      <x:c r="DN137" s="120" t="n">
        <x:f>SUM(DN134:DN136)</x:f>
      </x:c>
      <x:c r="DO137" s="120" t="n">
        <x:f>SUM(DO134:DO136)</x:f>
      </x:c>
      <x:c r="DP137" s="120" t="n">
        <x:f>SUM(DP134:DP136)</x:f>
      </x:c>
      <x:c r="DQ137" s="120" t="n">
        <x:f>SUM(DQ134:DQ136)</x:f>
      </x:c>
      <x:c r="DR137" s="120" t="n">
        <x:f>SUM(DR134:DR136)</x:f>
      </x:c>
      <x:c r="DS137" s="120" t="n">
        <x:f>SUM(DS134:DS136)</x:f>
      </x:c>
      <x:c r="DT137" s="120" t="n">
        <x:f>SUM(DT134:DT136)</x:f>
      </x:c>
      <x:c r="DU137" s="120" t="n">
        <x:f>SUM(DU134:DU136)</x:f>
      </x:c>
      <x:c r="DV137" s="120" t="n">
        <x:f>SUM(DV134:DV136)</x:f>
      </x:c>
      <x:c r="DW137" s="120" t="n">
        <x:f>SUM(DW134:DW136)</x:f>
      </x:c>
      <x:c r="DX137" s="120" t="n">
        <x:f>SUM(DX134:DX136)</x:f>
      </x:c>
      <x:c r="DY137" s="120" t="n">
        <x:f>SUM(DY134:DY136)</x:f>
      </x:c>
      <x:c r="DZ137" s="120" t="n">
        <x:f>SUM(DZ134:DZ136)</x:f>
      </x:c>
      <x:c r="EA137" s="120" t="n">
        <x:f>SUM(EA134:EA136)</x:f>
      </x:c>
      <x:c r="EB137" s="120" t="n">
        <x:f>SUM(EB134:EB136)</x:f>
      </x:c>
      <x:c r="EC137" s="120" t="n">
        <x:f>SUM(EC134:EC136)</x:f>
      </x:c>
      <x:c r="ED137" s="120" t="n">
        <x:f>SUM(ED134:ED136)</x:f>
      </x:c>
      <x:c r="EE137" s="120" t="n">
        <x:f>SUM(EE134:EE136)</x:f>
      </x:c>
      <x:c r="EF137" s="120" t="n">
        <x:f>SUM(EF134:EF136)</x:f>
      </x:c>
      <x:c r="EG137" s="120" t="n">
        <x:f>SUM(EG134:EG136)</x:f>
      </x:c>
      <x:c r="EH137" s="120" t="n">
        <x:f>SUM(EH134:EH136)</x:f>
      </x:c>
      <x:c r="EI137" s="120" t="n">
        <x:f>SUM(EI134:EI136)</x:f>
      </x:c>
      <x:c r="EJ137" s="120" t="n">
        <x:f>SUM(EJ134:EJ136)</x:f>
      </x:c>
      <x:c r="EK137" s="120" t="n">
        <x:f>SUM(EK134:EK136)</x:f>
      </x:c>
      <x:c r="EL137" s="120" t="n">
        <x:f>SUM(EL134:EL136)</x:f>
      </x:c>
      <x:c r="EM137" s="120" t="n">
        <x:f>SUM(EM134:EM136)</x:f>
      </x:c>
      <x:c r="EN137" s="120" t="n">
        <x:f>SUM(EN134:EN136)</x:f>
      </x:c>
      <x:c r="EO137" s="120" t="n">
        <x:f>SUM(EO134:EO136)</x:f>
      </x:c>
      <x:c r="EP137" s="120" t="n">
        <x:f>SUM(EP134:EP136)</x:f>
      </x:c>
      <x:c r="EQ137" s="120" t="n">
        <x:f>SUM(EQ134:EQ136)</x:f>
      </x:c>
      <x:c r="ER137" s="120" t="n">
        <x:f>SUM(ER134:ER136)</x:f>
      </x:c>
      <x:c r="ES137" s="120" t="n">
        <x:f>SUM(ES134:ES136)</x:f>
      </x:c>
      <x:c r="ET137" s="120" t="n">
        <x:f>SUM(ET134:ET136)</x:f>
      </x:c>
      <x:c r="EU137" s="120" t="n">
        <x:f>SUM(EU134:EU136)</x:f>
      </x:c>
      <x:c r="EV137" s="120" t="n">
        <x:f>SUM(EV134:EV136)</x:f>
      </x:c>
      <x:c r="EW137" s="120" t="n">
        <x:f>SUM(EW134:EW136)</x:f>
      </x:c>
      <x:c r="EX137" s="120" t="n">
        <x:f>SUM(EX134:EX136)</x:f>
      </x:c>
      <x:c r="EY137" s="120" t="n">
        <x:f>SUM(EY134:EY136)</x:f>
      </x:c>
      <x:c r="EZ137" s="120" t="n">
        <x:f>SUM(EZ134:EZ136)</x:f>
      </x:c>
      <x:c r="FA137" s="120" t="n">
        <x:f>SUM(FA134:FA136)</x:f>
      </x:c>
      <x:c r="FB137" s="120" t="n">
        <x:f>SUM(FB134:FB136)</x:f>
      </x:c>
      <x:c r="FC137" s="120" t="n">
        <x:f>SUM(FC134:FC136)</x:f>
      </x:c>
      <x:c r="FD137" s="120" t="n">
        <x:f>SUM(FD134:FD136)</x:f>
      </x:c>
      <x:c r="FE137" s="120" t="n">
        <x:f>SUM(FE134:FE136)</x:f>
      </x:c>
      <x:c r="FF137" s="120" t="n">
        <x:f>SUM(FF134:FF136)</x:f>
      </x:c>
      <x:c r="FG137" s="120" t="n">
        <x:f>SUM(FG134:FG136)</x:f>
      </x:c>
      <x:c r="FH137" s="120" t="n">
        <x:f>SUM(FH134:FH136)</x:f>
      </x:c>
      <x:c r="FI137" s="120" t="n">
        <x:f>SUM(FI134:FI136)</x:f>
      </x:c>
      <x:c r="FJ137" s="120" t="n">
        <x:f>SUM(FJ134:FJ136)</x:f>
      </x:c>
      <x:c r="FK137" s="120" t="n">
        <x:f>SUM(FK134:FK136)</x:f>
      </x:c>
      <x:c r="FL137" s="120" t="n">
        <x:f>SUM(FL134:FL136)</x:f>
      </x:c>
      <x:c r="FM137" s="120" t="n">
        <x:f>SUM(FM134:FM136)</x:f>
      </x:c>
      <x:c r="FN137" s="120" t="n">
        <x:f>SUM(FN134:FN136)</x:f>
      </x:c>
      <x:c r="FO137" s="120" t="n">
        <x:f>SUM(FO134:FO136)</x:f>
      </x:c>
      <x:c r="FP137" s="120" t="n">
        <x:f>SUM(FP134:FP136)</x:f>
      </x:c>
      <x:c r="FQ137" s="120" t="n">
        <x:f>SUM(FQ134:FQ136)</x:f>
      </x:c>
      <x:c r="FR137" s="120" t="n">
        <x:f>SUM(FR134:FR136)</x:f>
      </x:c>
      <x:c r="FS137" s="120" t="n">
        <x:f>SUM(FS134:FS136)</x:f>
      </x:c>
      <x:c r="FT137" s="120" t="n">
        <x:f>SUM(FT134:FT136)</x:f>
      </x:c>
      <x:c r="FU137" s="120" t="n">
        <x:f>SUM(FU134:FU136)</x:f>
      </x:c>
      <x:c r="FV137" s="120" t="n">
        <x:f>SUM(FV134:FV136)</x:f>
      </x:c>
      <x:c r="FW137" s="120" t="n">
        <x:f>SUM(FW134:FW136)</x:f>
      </x:c>
      <x:c r="FX137" s="120" t="n">
        <x:f>SUM(FX134:FX136)</x:f>
      </x:c>
      <x:c r="FY137" s="120" t="n">
        <x:f>SUM(FY134:FY136)</x:f>
      </x:c>
      <x:c r="FZ137" s="120" t="n">
        <x:f>SUM(FZ134:FZ136)</x:f>
      </x:c>
      <x:c r="GA137" s="120" t="n">
        <x:f>SUM(GA134:GA136)</x:f>
      </x:c>
    </x:row>
  </x:sheetData>
  <x:mergeCells>
    <x:mergeCell ref="A1:GA1"/>
    <x:mergeCell ref="A6:GA6"/>
    <x:mergeCell ref="A40:GA40"/>
    <x:mergeCell ref="A74:GA74"/>
    <x:mergeCell ref="A108:GA10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5" hidden="0" customWidth="1"/>
    <x:col min="3" max="3" width="12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  <x:col min="45" max="45" width="11" hidden="0" customWidth="1"/>
    <x:col min="46" max="46" width="11" hidden="0" customWidth="1"/>
    <x:col min="47" max="47" width="11" hidden="0" customWidth="1"/>
    <x:col min="48" max="48" width="11" hidden="0" customWidth="1"/>
    <x:col min="49" max="49" width="11" hidden="0" customWidth="1"/>
    <x:col min="50" max="50" width="11" hidden="0" customWidth="1"/>
    <x:col min="51" max="51" width="11" hidden="0" customWidth="1"/>
    <x:col min="52" max="52" width="11" hidden="0" customWidth="1"/>
    <x:col min="53" max="53" width="11" hidden="0" customWidth="1"/>
    <x:col min="54" max="54" width="11" hidden="0" customWidth="1"/>
    <x:col min="55" max="55" width="11" hidden="0" customWidth="1"/>
    <x:col min="56" max="56" width="11" hidden="0" customWidth="1"/>
    <x:col min="57" max="57" width="11" hidden="0" customWidth="1"/>
    <x:col min="58" max="58" width="11" hidden="0" customWidth="1"/>
    <x:col min="59" max="59" width="11" hidden="0" customWidth="1"/>
    <x:col min="60" max="60" width="11" hidden="0" customWidth="1"/>
    <x:col min="61" max="61" width="11" hidden="0" customWidth="1"/>
    <x:col min="62" max="62" width="11" hidden="0" customWidth="1"/>
    <x:col min="63" max="63" width="11" hidden="0" customWidth="1"/>
    <x:col min="64" max="64" width="11" hidden="0" customWidth="1"/>
    <x:col min="65" max="65" width="11" hidden="0" customWidth="1"/>
    <x:col min="66" max="66" width="11" hidden="0" customWidth="1"/>
    <x:col min="67" max="67" width="11" hidden="0" customWidth="1"/>
    <x:col min="68" max="68" width="11" hidden="0" customWidth="1"/>
    <x:col min="69" max="69" width="11" hidden="0" customWidth="1"/>
    <x:col min="70" max="70" width="11" hidden="0" customWidth="1"/>
    <x:col min="71" max="71" width="11" hidden="0" customWidth="1"/>
    <x:col min="72" max="72" width="11" hidden="0" customWidth="1"/>
    <x:col min="73" max="73" width="11" hidden="0" customWidth="1"/>
    <x:col min="74" max="74" width="11" hidden="0" customWidth="1"/>
    <x:col min="75" max="75" width="11" hidden="0" customWidth="1"/>
    <x:col min="76" max="76" width="11" hidden="0" customWidth="1"/>
    <x:col min="77" max="77" width="11" hidden="0" customWidth="1"/>
    <x:col min="78" max="78" width="11" hidden="0" customWidth="1"/>
    <x:col min="79" max="79" width="11" hidden="0" customWidth="1"/>
    <x:col min="80" max="80" width="11" hidden="0" customWidth="1"/>
    <x:col min="81" max="81" width="11" hidden="0" customWidth="1"/>
    <x:col min="82" max="82" width="11" hidden="0" customWidth="1"/>
    <x:col min="83" max="83" width="11" hidden="0" customWidth="1"/>
    <x:col min="84" max="84" width="11" hidden="0" customWidth="1"/>
    <x:col min="85" max="85" width="11" hidden="0" customWidth="1"/>
    <x:col min="86" max="86" width="11" hidden="0" customWidth="1"/>
    <x:col min="87" max="87" width="11" hidden="0" customWidth="1"/>
    <x:col min="88" max="88" width="11" hidden="0" customWidth="1"/>
    <x:col min="89" max="89" width="11" hidden="0" customWidth="1"/>
    <x:col min="90" max="90" width="11" hidden="0" customWidth="1"/>
    <x:col min="91" max="91" width="11" hidden="0" customWidth="1"/>
    <x:col min="92" max="92" width="11" hidden="0" customWidth="1"/>
    <x:col min="93" max="93" width="11" hidden="0" customWidth="1"/>
    <x:col min="94" max="94" width="11" hidden="0" customWidth="1"/>
    <x:col min="95" max="95" width="11" hidden="0" customWidth="1"/>
    <x:col min="96" max="96" width="11" hidden="0" customWidth="1"/>
    <x:col min="97" max="97" width="11" hidden="0" customWidth="1"/>
    <x:col min="98" max="98" width="11" hidden="0" customWidth="1"/>
    <x:col min="99" max="99" width="11" hidden="0" customWidth="1"/>
    <x:col min="100" max="100" width="11" hidden="0" customWidth="1"/>
    <x:col min="101" max="101" width="11" hidden="0" customWidth="1"/>
    <x:col min="102" max="102" width="11" hidden="0" customWidth="1"/>
    <x:col min="103" max="103" width="11" hidden="0" customWidth="1"/>
    <x:col min="104" max="104" width="11" hidden="0" customWidth="1"/>
    <x:col min="105" max="105" width="11" hidden="0" customWidth="1"/>
    <x:col min="106" max="106" width="11" hidden="0" customWidth="1"/>
    <x:col min="107" max="107" width="11" hidden="0" customWidth="1"/>
    <x:col min="108" max="108" width="11" hidden="0" customWidth="1"/>
    <x:col min="109" max="109" width="11" hidden="0" customWidth="1"/>
    <x:col min="110" max="110" width="11" hidden="0" customWidth="1"/>
    <x:col min="111" max="111" width="11" hidden="0" customWidth="1"/>
    <x:col min="112" max="112" width="11" hidden="0" customWidth="1"/>
    <x:col min="113" max="113" width="11" hidden="0" customWidth="1"/>
    <x:col min="114" max="114" width="11" hidden="0" customWidth="1"/>
    <x:col min="115" max="115" width="11" hidden="0" customWidth="1"/>
    <x:col min="116" max="116" width="11" hidden="0" customWidth="1"/>
    <x:col min="117" max="117" width="11" hidden="0" customWidth="1"/>
    <x:col min="118" max="118" width="11" hidden="0" customWidth="1"/>
    <x:col min="119" max="119" width="11" hidden="0" customWidth="1"/>
    <x:col min="120" max="120" width="11" hidden="0" customWidth="1"/>
    <x:col min="121" max="121" width="11" hidden="0" customWidth="1"/>
    <x:col min="122" max="122" width="11" hidden="0" customWidth="1"/>
    <x:col min="123" max="123" width="11" hidden="0" customWidth="1"/>
    <x:col min="124" max="124" width="11" hidden="0" customWidth="1"/>
    <x:col min="125" max="125" width="11" hidden="0" customWidth="1"/>
    <x:col min="126" max="126" width="11" hidden="0" customWidth="1"/>
    <x:col min="127" max="127" width="11" hidden="0" customWidth="1"/>
    <x:col min="128" max="128" width="11" hidden="0" customWidth="1"/>
    <x:col min="129" max="129" width="11" hidden="0" customWidth="1"/>
    <x:col min="130" max="130" width="11" hidden="0" customWidth="1"/>
    <x:col min="131" max="131" width="11" hidden="0" customWidth="1"/>
    <x:col min="132" max="132" width="11" hidden="0" customWidth="1"/>
    <x:col min="133" max="133" width="11" hidden="0" customWidth="1"/>
    <x:col min="134" max="134" width="11" hidden="0" customWidth="1"/>
    <x:col min="135" max="135" width="11" hidden="0" customWidth="1"/>
    <x:col min="136" max="136" width="11" hidden="0" customWidth="1"/>
    <x:col min="137" max="137" width="11" hidden="0" customWidth="1"/>
    <x:col min="138" max="138" width="11" hidden="0" customWidth="1"/>
    <x:col min="139" max="139" width="11" hidden="0" customWidth="1"/>
    <x:col min="140" max="140" width="11" hidden="0" customWidth="1"/>
    <x:col min="141" max="141" width="11" hidden="0" customWidth="1"/>
    <x:col min="142" max="142" width="11" hidden="0" customWidth="1"/>
    <x:col min="143" max="143" width="11" hidden="0" customWidth="1"/>
    <x:col min="144" max="144" width="11" hidden="0" customWidth="1"/>
    <x:col min="145" max="145" width="11" hidden="0" customWidth="1"/>
    <x:col min="146" max="146" width="11" hidden="0" customWidth="1"/>
    <x:col min="147" max="147" width="11" hidden="0" customWidth="1"/>
    <x:col min="148" max="148" width="11" hidden="0" customWidth="1"/>
    <x:col min="149" max="149" width="11" hidden="0" customWidth="1"/>
    <x:col min="150" max="150" width="11" hidden="0" customWidth="1"/>
    <x:col min="151" max="151" width="11" hidden="0" customWidth="1"/>
    <x:col min="152" max="152" width="11" hidden="0" customWidth="1"/>
    <x:col min="153" max="153" width="11" hidden="0" customWidth="1"/>
    <x:col min="154" max="154" width="11" hidden="0" customWidth="1"/>
    <x:col min="155" max="155" width="11" hidden="0" customWidth="1"/>
    <x:col min="156" max="156" width="11" hidden="0" customWidth="1"/>
    <x:col min="157" max="157" width="11" hidden="0" customWidth="1"/>
    <x:col min="158" max="158" width="11" hidden="0" customWidth="1"/>
    <x:col min="159" max="159" width="11" hidden="0" customWidth="1"/>
    <x:col min="160" max="160" width="11" hidden="0" customWidth="1"/>
    <x:col min="161" max="161" width="11" hidden="0" customWidth="1"/>
    <x:col min="162" max="162" width="11" hidden="0" customWidth="1"/>
    <x:col min="163" max="163" width="11" hidden="0" customWidth="1"/>
    <x:col min="164" max="164" width="11" hidden="0" customWidth="1"/>
    <x:col min="165" max="165" width="11" hidden="0" customWidth="1"/>
    <x:col min="166" max="166" width="11" hidden="0" customWidth="1"/>
    <x:col min="167" max="167" width="11" hidden="0" customWidth="1"/>
    <x:col min="168" max="168" width="11" hidden="0" customWidth="1"/>
    <x:col min="169" max="169" width="11" hidden="0" customWidth="1"/>
    <x:col min="170" max="170" width="11" hidden="0" customWidth="1"/>
    <x:col min="171" max="171" width="11" hidden="0" customWidth="1"/>
    <x:col min="172" max="172" width="11" hidden="0" customWidth="1"/>
    <x:col min="173" max="173" width="11" hidden="0" customWidth="1"/>
    <x:col min="174" max="174" width="11" hidden="0" customWidth="1"/>
    <x:col min="175" max="175" width="11" hidden="0" customWidth="1"/>
    <x:col min="176" max="176" width="11" hidden="0" customWidth="1"/>
    <x:col min="177" max="177" width="11" hidden="0" customWidth="1"/>
    <x:col min="178" max="178" width="11" hidden="0" customWidth="1"/>
    <x:col min="179" max="179" width="11" hidden="0" customWidth="1"/>
    <x:col min="180" max="180" width="11" hidden="0" customWidth="1"/>
    <x:col min="181" max="181" width="11" hidden="0" customWidth="1"/>
    <x:col min="182" max="182" width="11" hidden="0" customWidth="1"/>
    <x:col min="183" max="183" width="11" hidden="0" customWidth="1"/>
  </x:cols>
  <x:sheetData>
    <x:row r="1" ht="28" customHeight="1">
      <x:c r="A1" s="4" t="str">
        <x:v>ДЕНЕЖНЫЙ ПОТОК · ОЧЕРЕДЬ 1</x:v>
      </x:c>
      <x:c r="B1" s="4" t="str">
        <x:v>ДЕНЕЖНЫЙ ПОТОК · ОЧЕРЕДЬ 1</x:v>
      </x:c>
      <x:c r="C1" s="4" t="str">
        <x:v>ДЕНЕЖНЫЙ ПОТОК · ОЧЕРЕДЬ 1</x:v>
      </x:c>
      <x:c r="D1" s="4" t="str">
        <x:v>ДЕНЕЖНЫЙ ПОТОК · ОЧЕРЕДЬ 1</x:v>
      </x:c>
      <x:c r="E1" s="4" t="str">
        <x:v>ДЕНЕЖНЫЙ ПОТОК · ОЧЕРЕДЬ 1</x:v>
      </x:c>
      <x:c r="F1" s="4" t="str">
        <x:v>ДЕНЕЖНЫЙ ПОТОК · ОЧЕРЕДЬ 1</x:v>
      </x:c>
      <x:c r="G1" s="4" t="str">
        <x:v>ДЕНЕЖНЫЙ ПОТОК · ОЧЕРЕДЬ 1</x:v>
      </x:c>
      <x:c r="H1" s="4" t="str">
        <x:v>ДЕНЕЖНЫЙ ПОТОК · ОЧЕРЕДЬ 1</x:v>
      </x:c>
      <x:c r="I1" s="4" t="str">
        <x:v>ДЕНЕЖНЫЙ ПОТОК · ОЧЕРЕДЬ 1</x:v>
      </x:c>
      <x:c r="J1" s="4" t="str">
        <x:v>ДЕНЕЖНЫЙ ПОТОК · ОЧЕРЕДЬ 1</x:v>
      </x:c>
      <x:c r="K1" s="4" t="str">
        <x:v>ДЕНЕЖНЫЙ ПОТОК · ОЧЕРЕДЬ 1</x:v>
      </x:c>
      <x:c r="L1" s="4" t="str">
        <x:v>ДЕНЕЖНЫЙ ПОТОК · ОЧЕРЕДЬ 1</x:v>
      </x:c>
      <x:c r="M1" s="4" t="str">
        <x:v>ДЕНЕЖНЫЙ ПОТОК · ОЧЕРЕДЬ 1</x:v>
      </x:c>
      <x:c r="N1" s="4" t="str">
        <x:v>ДЕНЕЖНЫЙ ПОТОК · ОЧЕРЕДЬ 1</x:v>
      </x:c>
      <x:c r="O1" s="4" t="str">
        <x:v>ДЕНЕЖНЫЙ ПОТОК · ОЧЕРЕДЬ 1</x:v>
      </x:c>
      <x:c r="P1" s="4" t="str">
        <x:v>ДЕНЕЖНЫЙ ПОТОК · ОЧЕРЕДЬ 1</x:v>
      </x:c>
      <x:c r="Q1" s="4" t="str">
        <x:v>ДЕНЕЖНЫЙ ПОТОК · ОЧЕРЕДЬ 1</x:v>
      </x:c>
      <x:c r="R1" s="4" t="str">
        <x:v>ДЕНЕЖНЫЙ ПОТОК · ОЧЕРЕДЬ 1</x:v>
      </x:c>
      <x:c r="S1" s="4" t="str">
        <x:v>ДЕНЕЖНЫЙ ПОТОК · ОЧЕРЕДЬ 1</x:v>
      </x:c>
      <x:c r="T1" s="4" t="str">
        <x:v>ДЕНЕЖНЫЙ ПОТОК · ОЧЕРЕДЬ 1</x:v>
      </x:c>
      <x:c r="U1" s="4" t="str">
        <x:v>ДЕНЕЖНЫЙ ПОТОК · ОЧЕРЕДЬ 1</x:v>
      </x:c>
      <x:c r="V1" s="4" t="str">
        <x:v>ДЕНЕЖНЫЙ ПОТОК · ОЧЕРЕДЬ 1</x:v>
      </x:c>
      <x:c r="W1" s="4" t="str">
        <x:v>ДЕНЕЖНЫЙ ПОТОК · ОЧЕРЕДЬ 1</x:v>
      </x:c>
      <x:c r="X1" s="4" t="str">
        <x:v>ДЕНЕЖНЫЙ ПОТОК · ОЧЕРЕДЬ 1</x:v>
      </x:c>
      <x:c r="Y1" s="4" t="str">
        <x:v>ДЕНЕЖНЫЙ ПОТОК · ОЧЕРЕДЬ 1</x:v>
      </x:c>
      <x:c r="Z1" s="4" t="str">
        <x:v>ДЕНЕЖНЫЙ ПОТОК · ОЧЕРЕДЬ 1</x:v>
      </x:c>
      <x:c r="AA1" s="4" t="str">
        <x:v>ДЕНЕЖНЫЙ ПОТОК · ОЧЕРЕДЬ 1</x:v>
      </x:c>
      <x:c r="AB1" s="4" t="str">
        <x:v>ДЕНЕЖНЫЙ ПОТОК · ОЧЕРЕДЬ 1</x:v>
      </x:c>
      <x:c r="AC1" s="4" t="str">
        <x:v>ДЕНЕЖНЫЙ ПОТОК · ОЧЕРЕДЬ 1</x:v>
      </x:c>
      <x:c r="AD1" s="4" t="str">
        <x:v>ДЕНЕЖНЫЙ ПОТОК · ОЧЕРЕДЬ 1</x:v>
      </x:c>
      <x:c r="AE1" s="4" t="str">
        <x:v>ДЕНЕЖНЫЙ ПОТОК · ОЧЕРЕДЬ 1</x:v>
      </x:c>
      <x:c r="AF1" s="4" t="str">
        <x:v>ДЕНЕЖНЫЙ ПОТОК · ОЧЕРЕДЬ 1</x:v>
      </x:c>
      <x:c r="AG1" s="4" t="str">
        <x:v>ДЕНЕЖНЫЙ ПОТОК · ОЧЕРЕДЬ 1</x:v>
      </x:c>
      <x:c r="AH1" s="4" t="str">
        <x:v>ДЕНЕЖНЫЙ ПОТОК · ОЧЕРЕДЬ 1</x:v>
      </x:c>
      <x:c r="AI1" s="4" t="str">
        <x:v>ДЕНЕЖНЫЙ ПОТОК · ОЧЕРЕДЬ 1</x:v>
      </x:c>
      <x:c r="AJ1" s="4" t="str">
        <x:v>ДЕНЕЖНЫЙ ПОТОК · ОЧЕРЕДЬ 1</x:v>
      </x:c>
      <x:c r="AK1" s="4" t="str">
        <x:v>ДЕНЕЖНЫЙ ПОТОК · ОЧЕРЕДЬ 1</x:v>
      </x:c>
      <x:c r="AL1" s="4" t="str">
        <x:v>ДЕНЕЖНЫЙ ПОТОК · ОЧЕРЕДЬ 1</x:v>
      </x:c>
      <x:c r="AM1" s="4" t="str">
        <x:v>ДЕНЕЖНЫЙ ПОТОК · ОЧЕРЕДЬ 1</x:v>
      </x:c>
      <x:c r="AN1" s="4" t="str">
        <x:v>ДЕНЕЖНЫЙ ПОТОК · ОЧЕРЕДЬ 1</x:v>
      </x:c>
      <x:c r="AO1" s="4" t="str">
        <x:v>ДЕНЕЖНЫЙ ПОТОК · ОЧЕРЕДЬ 1</x:v>
      </x:c>
      <x:c r="AP1" s="4" t="str">
        <x:v>ДЕНЕЖНЫЙ ПОТОК · ОЧЕРЕДЬ 1</x:v>
      </x:c>
      <x:c r="AQ1" s="4" t="str">
        <x:v>ДЕНЕЖНЫЙ ПОТОК · ОЧЕРЕДЬ 1</x:v>
      </x:c>
      <x:c r="AR1" s="4" t="str">
        <x:v>ДЕНЕЖНЫЙ ПОТОК · ОЧЕРЕДЬ 1</x:v>
      </x:c>
      <x:c r="AS1" s="4" t="str">
        <x:v>ДЕНЕЖНЫЙ ПОТОК · ОЧЕРЕДЬ 1</x:v>
      </x:c>
      <x:c r="AT1" s="4" t="str">
        <x:v>ДЕНЕЖНЫЙ ПОТОК · ОЧЕРЕДЬ 1</x:v>
      </x:c>
      <x:c r="AU1" s="4" t="str">
        <x:v>ДЕНЕЖНЫЙ ПОТОК · ОЧЕРЕДЬ 1</x:v>
      </x:c>
      <x:c r="AV1" s="4" t="str">
        <x:v>ДЕНЕЖНЫЙ ПОТОК · ОЧЕРЕДЬ 1</x:v>
      </x:c>
      <x:c r="AW1" s="4" t="str">
        <x:v>ДЕНЕЖНЫЙ ПОТОК · ОЧЕРЕДЬ 1</x:v>
      </x:c>
      <x:c r="AX1" s="4" t="str">
        <x:v>ДЕНЕЖНЫЙ ПОТОК · ОЧЕРЕДЬ 1</x:v>
      </x:c>
      <x:c r="AY1" s="4" t="str">
        <x:v>ДЕНЕЖНЫЙ ПОТОК · ОЧЕРЕДЬ 1</x:v>
      </x:c>
      <x:c r="AZ1" s="4" t="str">
        <x:v>ДЕНЕЖНЫЙ ПОТОК · ОЧЕРЕДЬ 1</x:v>
      </x:c>
      <x:c r="BA1" s="4" t="str">
        <x:v>ДЕНЕЖНЫЙ ПОТОК · ОЧЕРЕДЬ 1</x:v>
      </x:c>
      <x:c r="BB1" s="4" t="str">
        <x:v>ДЕНЕЖНЫЙ ПОТОК · ОЧЕРЕДЬ 1</x:v>
      </x:c>
      <x:c r="BC1" s="4" t="str">
        <x:v>ДЕНЕЖНЫЙ ПОТОК · ОЧЕРЕДЬ 1</x:v>
      </x:c>
      <x:c r="BD1" s="4" t="str">
        <x:v>ДЕНЕЖНЫЙ ПОТОК · ОЧЕРЕДЬ 1</x:v>
      </x:c>
      <x:c r="BE1" s="4" t="str">
        <x:v>ДЕНЕЖНЫЙ ПОТОК · ОЧЕРЕДЬ 1</x:v>
      </x:c>
      <x:c r="BF1" s="4" t="str">
        <x:v>ДЕНЕЖНЫЙ ПОТОК · ОЧЕРЕДЬ 1</x:v>
      </x:c>
      <x:c r="BG1" s="4" t="str">
        <x:v>ДЕНЕЖНЫЙ ПОТОК · ОЧЕРЕДЬ 1</x:v>
      </x:c>
      <x:c r="BH1" s="4" t="str">
        <x:v>ДЕНЕЖНЫЙ ПОТОК · ОЧЕРЕДЬ 1</x:v>
      </x:c>
      <x:c r="BI1" s="4" t="str">
        <x:v>ДЕНЕЖНЫЙ ПОТОК · ОЧЕРЕДЬ 1</x:v>
      </x:c>
      <x:c r="BJ1" s="4" t="str">
        <x:v>ДЕНЕЖНЫЙ ПОТОК · ОЧЕРЕДЬ 1</x:v>
      </x:c>
      <x:c r="BK1" s="4" t="str">
        <x:v>ДЕНЕЖНЫЙ ПОТОК · ОЧЕРЕДЬ 1</x:v>
      </x:c>
      <x:c r="BL1" s="4" t="str">
        <x:v>ДЕНЕЖНЫЙ ПОТОК · ОЧЕРЕДЬ 1</x:v>
      </x:c>
      <x:c r="BM1" s="4" t="str">
        <x:v>ДЕНЕЖНЫЙ ПОТОК · ОЧЕРЕДЬ 1</x:v>
      </x:c>
      <x:c r="BN1" s="4" t="str">
        <x:v>ДЕНЕЖНЫЙ ПОТОК · ОЧЕРЕДЬ 1</x:v>
      </x:c>
      <x:c r="BO1" s="4" t="str">
        <x:v>ДЕНЕЖНЫЙ ПОТОК · ОЧЕРЕДЬ 1</x:v>
      </x:c>
      <x:c r="BP1" s="4" t="str">
        <x:v>ДЕНЕЖНЫЙ ПОТОК · ОЧЕРЕДЬ 1</x:v>
      </x:c>
      <x:c r="BQ1" s="4" t="str">
        <x:v>ДЕНЕЖНЫЙ ПОТОК · ОЧЕРЕДЬ 1</x:v>
      </x:c>
      <x:c r="BR1" s="4" t="str">
        <x:v>ДЕНЕЖНЫЙ ПОТОК · ОЧЕРЕДЬ 1</x:v>
      </x:c>
      <x:c r="BS1" s="4" t="str">
        <x:v>ДЕНЕЖНЫЙ ПОТОК · ОЧЕРЕДЬ 1</x:v>
      </x:c>
      <x:c r="BT1" s="4" t="str">
        <x:v>ДЕНЕЖНЫЙ ПОТОК · ОЧЕРЕДЬ 1</x:v>
      </x:c>
      <x:c r="BU1" s="4" t="str">
        <x:v>ДЕНЕЖНЫЙ ПОТОК · ОЧЕРЕДЬ 1</x:v>
      </x:c>
      <x:c r="BV1" s="4" t="str">
        <x:v>ДЕНЕЖНЫЙ ПОТОК · ОЧЕРЕДЬ 1</x:v>
      </x:c>
      <x:c r="BW1" s="4" t="str">
        <x:v>ДЕНЕЖНЫЙ ПОТОК · ОЧЕРЕДЬ 1</x:v>
      </x:c>
      <x:c r="BX1" s="4" t="str">
        <x:v>ДЕНЕЖНЫЙ ПОТОК · ОЧЕРЕДЬ 1</x:v>
      </x:c>
      <x:c r="BY1" s="4" t="str">
        <x:v>ДЕНЕЖНЫЙ ПОТОК · ОЧЕРЕДЬ 1</x:v>
      </x:c>
      <x:c r="BZ1" s="4" t="str">
        <x:v>ДЕНЕЖНЫЙ ПОТОК · ОЧЕРЕДЬ 1</x:v>
      </x:c>
      <x:c r="CA1" s="4" t="str">
        <x:v>ДЕНЕЖНЫЙ ПОТОК · ОЧЕРЕДЬ 1</x:v>
      </x:c>
      <x:c r="CB1" s="4" t="str">
        <x:v>ДЕНЕЖНЫЙ ПОТОК · ОЧЕРЕДЬ 1</x:v>
      </x:c>
      <x:c r="CC1" s="4" t="str">
        <x:v>ДЕНЕЖНЫЙ ПОТОК · ОЧЕРЕДЬ 1</x:v>
      </x:c>
      <x:c r="CD1" s="4" t="str">
        <x:v>ДЕНЕЖНЫЙ ПОТОК · ОЧЕРЕДЬ 1</x:v>
      </x:c>
      <x:c r="CE1" s="4" t="str">
        <x:v>ДЕНЕЖНЫЙ ПОТОК · ОЧЕРЕДЬ 1</x:v>
      </x:c>
      <x:c r="CF1" s="4" t="str">
        <x:v>ДЕНЕЖНЫЙ ПОТОК · ОЧЕРЕДЬ 1</x:v>
      </x:c>
      <x:c r="CG1" s="4" t="str">
        <x:v>ДЕНЕЖНЫЙ ПОТОК · ОЧЕРЕДЬ 1</x:v>
      </x:c>
      <x:c r="CH1" s="4" t="str">
        <x:v>ДЕНЕЖНЫЙ ПОТОК · ОЧЕРЕДЬ 1</x:v>
      </x:c>
      <x:c r="CI1" s="4" t="str">
        <x:v>ДЕНЕЖНЫЙ ПОТОК · ОЧЕРЕДЬ 1</x:v>
      </x:c>
      <x:c r="CJ1" s="4" t="str">
        <x:v>ДЕНЕЖНЫЙ ПОТОК · ОЧЕРЕДЬ 1</x:v>
      </x:c>
      <x:c r="CK1" s="4" t="str">
        <x:v>ДЕНЕЖНЫЙ ПОТОК · ОЧЕРЕДЬ 1</x:v>
      </x:c>
      <x:c r="CL1" s="4" t="str">
        <x:v>ДЕНЕЖНЫЙ ПОТОК · ОЧЕРЕДЬ 1</x:v>
      </x:c>
      <x:c r="CM1" s="4" t="str">
        <x:v>ДЕНЕЖНЫЙ ПОТОК · ОЧЕРЕДЬ 1</x:v>
      </x:c>
      <x:c r="CN1" s="4" t="str">
        <x:v>ДЕНЕЖНЫЙ ПОТОК · ОЧЕРЕДЬ 1</x:v>
      </x:c>
      <x:c r="CO1" s="4" t="str">
        <x:v>ДЕНЕЖНЫЙ ПОТОК · ОЧЕРЕДЬ 1</x:v>
      </x:c>
      <x:c r="CP1" s="4" t="str">
        <x:v>ДЕНЕЖНЫЙ ПОТОК · ОЧЕРЕДЬ 1</x:v>
      </x:c>
      <x:c r="CQ1" s="4" t="str">
        <x:v>ДЕНЕЖНЫЙ ПОТОК · ОЧЕРЕДЬ 1</x:v>
      </x:c>
      <x:c r="CR1" s="4" t="str">
        <x:v>ДЕНЕЖНЫЙ ПОТОК · ОЧЕРЕДЬ 1</x:v>
      </x:c>
      <x:c r="CS1" s="4" t="str">
        <x:v>ДЕНЕЖНЫЙ ПОТОК · ОЧЕРЕДЬ 1</x:v>
      </x:c>
      <x:c r="CT1" s="4" t="str">
        <x:v>ДЕНЕЖНЫЙ ПОТОК · ОЧЕРЕДЬ 1</x:v>
      </x:c>
      <x:c r="CU1" s="4" t="str">
        <x:v>ДЕНЕЖНЫЙ ПОТОК · ОЧЕРЕДЬ 1</x:v>
      </x:c>
      <x:c r="CV1" s="4" t="str">
        <x:v>ДЕНЕЖНЫЙ ПОТОК · ОЧЕРЕДЬ 1</x:v>
      </x:c>
      <x:c r="CW1" s="4" t="str">
        <x:v>ДЕНЕЖНЫЙ ПОТОК · ОЧЕРЕДЬ 1</x:v>
      </x:c>
      <x:c r="CX1" s="4" t="str">
        <x:v>ДЕНЕЖНЫЙ ПОТОК · ОЧЕРЕДЬ 1</x:v>
      </x:c>
      <x:c r="CY1" s="4" t="str">
        <x:v>ДЕНЕЖНЫЙ ПОТОК · ОЧЕРЕДЬ 1</x:v>
      </x:c>
      <x:c r="CZ1" s="4" t="str">
        <x:v>ДЕНЕЖНЫЙ ПОТОК · ОЧЕРЕДЬ 1</x:v>
      </x:c>
      <x:c r="DA1" s="4" t="str">
        <x:v>ДЕНЕЖНЫЙ ПОТОК · ОЧЕРЕДЬ 1</x:v>
      </x:c>
      <x:c r="DB1" s="4" t="str">
        <x:v>ДЕНЕЖНЫЙ ПОТОК · ОЧЕРЕДЬ 1</x:v>
      </x:c>
      <x:c r="DC1" s="4" t="str">
        <x:v>ДЕНЕЖНЫЙ ПОТОК · ОЧЕРЕДЬ 1</x:v>
      </x:c>
      <x:c r="DD1" s="4" t="str">
        <x:v>ДЕНЕЖНЫЙ ПОТОК · ОЧЕРЕДЬ 1</x:v>
      </x:c>
      <x:c r="DE1" s="4" t="str">
        <x:v>ДЕНЕЖНЫЙ ПОТОК · ОЧЕРЕДЬ 1</x:v>
      </x:c>
      <x:c r="DF1" s="4" t="str">
        <x:v>ДЕНЕЖНЫЙ ПОТОК · ОЧЕРЕДЬ 1</x:v>
      </x:c>
      <x:c r="DG1" s="4" t="str">
        <x:v>ДЕНЕЖНЫЙ ПОТОК · ОЧЕРЕДЬ 1</x:v>
      </x:c>
      <x:c r="DH1" s="4" t="str">
        <x:v>ДЕНЕЖНЫЙ ПОТОК · ОЧЕРЕДЬ 1</x:v>
      </x:c>
      <x:c r="DI1" s="4" t="str">
        <x:v>ДЕНЕЖНЫЙ ПОТОК · ОЧЕРЕДЬ 1</x:v>
      </x:c>
      <x:c r="DJ1" s="4" t="str">
        <x:v>ДЕНЕЖНЫЙ ПОТОК · ОЧЕРЕДЬ 1</x:v>
      </x:c>
      <x:c r="DK1" s="4" t="str">
        <x:v>ДЕНЕЖНЫЙ ПОТОК · ОЧЕРЕДЬ 1</x:v>
      </x:c>
      <x:c r="DL1" s="4" t="str">
        <x:v>ДЕНЕЖНЫЙ ПОТОК · ОЧЕРЕДЬ 1</x:v>
      </x:c>
      <x:c r="DM1" s="4" t="str">
        <x:v>ДЕНЕЖНЫЙ ПОТОК · ОЧЕРЕДЬ 1</x:v>
      </x:c>
      <x:c r="DN1" s="4" t="str">
        <x:v>ДЕНЕЖНЫЙ ПОТОК · ОЧЕРЕДЬ 1</x:v>
      </x:c>
      <x:c r="DO1" s="4" t="str">
        <x:v>ДЕНЕЖНЫЙ ПОТОК · ОЧЕРЕДЬ 1</x:v>
      </x:c>
      <x:c r="DP1" s="4" t="str">
        <x:v>ДЕНЕЖНЫЙ ПОТОК · ОЧЕРЕДЬ 1</x:v>
      </x:c>
      <x:c r="DQ1" s="4" t="str">
        <x:v>ДЕНЕЖНЫЙ ПОТОК · ОЧЕРЕДЬ 1</x:v>
      </x:c>
      <x:c r="DR1" s="4" t="str">
        <x:v>ДЕНЕЖНЫЙ ПОТОК · ОЧЕРЕДЬ 1</x:v>
      </x:c>
      <x:c r="DS1" s="4" t="str">
        <x:v>ДЕНЕЖНЫЙ ПОТОК · ОЧЕРЕДЬ 1</x:v>
      </x:c>
      <x:c r="DT1" s="4" t="str"/>
      <x:c r="DU1" s="4" t="str"/>
      <x:c r="DV1" s="4" t="str"/>
      <x:c r="DW1" s="4" t="str"/>
      <x:c r="DX1" s="4" t="str"/>
      <x:c r="DY1" s="4" t="str"/>
      <x:c r="DZ1" s="4" t="str"/>
      <x:c r="EA1" s="4" t="str"/>
      <x:c r="EB1" s="4" t="str"/>
      <x:c r="EC1" s="4" t="str"/>
      <x:c r="ED1" s="4" t="str"/>
      <x:c r="EE1" s="4" t="str"/>
      <x:c r="EF1" s="4" t="str"/>
      <x:c r="EG1" s="4" t="str"/>
      <x:c r="EH1" s="4" t="str"/>
      <x:c r="EI1" s="4" t="str"/>
      <x:c r="EJ1" s="4" t="str"/>
      <x:c r="EK1" s="4" t="str"/>
      <x:c r="EL1" s="4" t="str"/>
      <x:c r="EM1" s="4" t="str"/>
      <x:c r="EN1" s="4" t="str"/>
      <x:c r="EO1" s="4" t="str"/>
      <x:c r="EP1" s="4" t="str"/>
      <x:c r="EQ1" s="4" t="str"/>
      <x:c r="ER1" s="4" t="str"/>
      <x:c r="ES1" s="4" t="str"/>
      <x:c r="ET1" s="4" t="str"/>
      <x:c r="EU1" s="4" t="str"/>
      <x:c r="EV1" s="4" t="str"/>
      <x:c r="EW1" s="4" t="str"/>
      <x:c r="EX1" s="4" t="str"/>
      <x:c r="EY1" s="4" t="str"/>
      <x:c r="EZ1" s="4" t="str"/>
      <x:c r="FA1" s="4" t="str"/>
      <x:c r="FB1" s="4" t="str"/>
      <x:c r="FC1" s="4" t="str"/>
      <x:c r="FD1" s="4" t="str"/>
      <x:c r="FE1" s="4" t="str"/>
      <x:c r="FF1" s="4" t="str"/>
      <x:c r="FG1" s="4" t="str"/>
      <x:c r="FH1" s="4" t="str"/>
      <x:c r="FI1" s="4" t="str"/>
      <x:c r="FJ1" s="4" t="str"/>
      <x:c r="FK1" s="4" t="str"/>
      <x:c r="FL1" s="4" t="str"/>
      <x:c r="FM1" s="4" t="str"/>
      <x:c r="FN1" s="4" t="str"/>
      <x:c r="FO1" s="4" t="str"/>
      <x:c r="FP1" s="4" t="str"/>
      <x:c r="FQ1" s="4" t="str"/>
      <x:c r="FR1" s="4" t="str"/>
      <x:c r="FS1" s="4" t="str"/>
      <x:c r="FT1" s="4" t="str"/>
      <x:c r="FU1" s="4" t="str"/>
      <x:c r="FV1" s="4" t="str"/>
      <x:c r="FW1" s="4" t="str"/>
      <x:c r="FX1" s="4" t="str"/>
      <x:c r="FY1" s="4" t="str"/>
      <x:c r="FZ1" s="4" t="str"/>
      <x:c r="GA1" s="4" t="str"/>
    </x:row>
    <x:row r="3">
      <x:c r="A3" s="23" t="str">
        <x:v>Показатель</x:v>
      </x:c>
      <x:c r="B3" s="23" t="str">
        <x:v>Итого / значение</x:v>
      </x:c>
      <x:c r="C3" s="23" t="str">
        <x:v>Ед.</x:v>
      </x:c>
      <x:c r="D3" s="102" t="n">
        <x:f>'Ставки'!$D$3</x:f>
      </x:c>
      <x:c r="E3" s="102" t="n">
        <x:f>'Ставки'!$E$3</x:f>
      </x:c>
      <x:c r="F3" s="102" t="n">
        <x:f>'Ставки'!$F$3</x:f>
      </x:c>
      <x:c r="G3" s="102" t="n">
        <x:f>'Ставки'!$G$3</x:f>
      </x:c>
      <x:c r="H3" s="102" t="n">
        <x:f>'Ставки'!$H$3</x:f>
      </x:c>
      <x:c r="I3" s="102" t="n">
        <x:f>'Ставки'!$I$3</x:f>
      </x:c>
      <x:c r="J3" s="102" t="n">
        <x:f>'Ставки'!$J$3</x:f>
      </x:c>
      <x:c r="K3" s="102" t="n">
        <x:f>'Ставки'!$K$3</x:f>
      </x:c>
      <x:c r="L3" s="102" t="n">
        <x:f>'Ставки'!$L$3</x:f>
      </x:c>
      <x:c r="M3" s="102" t="n">
        <x:f>'Ставки'!$M$3</x:f>
      </x:c>
      <x:c r="N3" s="102" t="n">
        <x:f>'Ставки'!$N$3</x:f>
      </x:c>
      <x:c r="O3" s="102" t="n">
        <x:f>'Ставки'!$O$3</x:f>
      </x:c>
      <x:c r="P3" s="102" t="n">
        <x:f>'Ставки'!$P$3</x:f>
      </x:c>
      <x:c r="Q3" s="102" t="n">
        <x:f>'Ставки'!$Q$3</x:f>
      </x:c>
      <x:c r="R3" s="102" t="n">
        <x:f>'Ставки'!$R$3</x:f>
      </x:c>
      <x:c r="S3" s="102" t="n">
        <x:f>'Ставки'!$S$3</x:f>
      </x:c>
      <x:c r="T3" s="102" t="n">
        <x:f>'Ставки'!$T$3</x:f>
      </x:c>
      <x:c r="U3" s="102" t="n">
        <x:f>'Ставки'!$U$3</x:f>
      </x:c>
      <x:c r="V3" s="102" t="n">
        <x:f>'Ставки'!$V$3</x:f>
      </x:c>
      <x:c r="W3" s="102" t="n">
        <x:f>'Ставки'!$W$3</x:f>
      </x:c>
      <x:c r="X3" s="102" t="n">
        <x:f>'Ставки'!$X$3</x:f>
      </x:c>
      <x:c r="Y3" s="102" t="n">
        <x:f>'Ставки'!$Y$3</x:f>
      </x:c>
      <x:c r="Z3" s="102" t="n">
        <x:f>'Ставки'!$Z$3</x:f>
      </x:c>
      <x:c r="AA3" s="102" t="n">
        <x:f>'Ставки'!$AA$3</x:f>
      </x:c>
      <x:c r="AB3" s="102" t="n">
        <x:f>'Ставки'!$AB$3</x:f>
      </x:c>
      <x:c r="AC3" s="102" t="n">
        <x:f>'Ставки'!$AC$3</x:f>
      </x:c>
      <x:c r="AD3" s="102" t="n">
        <x:f>'Ставки'!$AD$3</x:f>
      </x:c>
      <x:c r="AE3" s="102" t="n">
        <x:f>'Ставки'!$AE$3</x:f>
      </x:c>
      <x:c r="AF3" s="102" t="n">
        <x:f>'Ставки'!$AF$3</x:f>
      </x:c>
      <x:c r="AG3" s="102" t="n">
        <x:f>'Ставки'!$AG$3</x:f>
      </x:c>
      <x:c r="AH3" s="102" t="n">
        <x:f>'Ставки'!$AH$3</x:f>
      </x:c>
      <x:c r="AI3" s="102" t="n">
        <x:f>'Ставки'!$AI$3</x:f>
      </x:c>
      <x:c r="AJ3" s="102" t="n">
        <x:f>'Ставки'!$AJ$3</x:f>
      </x:c>
      <x:c r="AK3" s="102" t="n">
        <x:f>'Ставки'!$AK$3</x:f>
      </x:c>
      <x:c r="AL3" s="102" t="n">
        <x:f>'Ставки'!$AL$3</x:f>
      </x:c>
      <x:c r="AM3" s="102" t="n">
        <x:f>'Ставки'!$AM$3</x:f>
      </x:c>
      <x:c r="AN3" s="102" t="n">
        <x:f>'Ставки'!$AN$3</x:f>
      </x:c>
      <x:c r="AO3" s="102" t="n">
        <x:f>'Ставки'!$AO$3</x:f>
      </x:c>
      <x:c r="AP3" s="102" t="n">
        <x:f>'Ставки'!$AP$3</x:f>
      </x:c>
      <x:c r="AQ3" s="102" t="n">
        <x:f>'Ставки'!$AQ$3</x:f>
      </x:c>
      <x:c r="AR3" s="102" t="n">
        <x:f>'Ставки'!$AR$3</x:f>
      </x:c>
      <x:c r="AS3" s="102" t="n">
        <x:f>'Ставки'!$AS$3</x:f>
      </x:c>
      <x:c r="AT3" s="102" t="n">
        <x:f>'Ставки'!$AT$3</x:f>
      </x:c>
      <x:c r="AU3" s="102" t="n">
        <x:f>'Ставки'!$AU$3</x:f>
      </x:c>
      <x:c r="AV3" s="102" t="n">
        <x:f>'Ставки'!$AV$3</x:f>
      </x:c>
      <x:c r="AW3" s="102" t="n">
        <x:f>'Ставки'!$AW$3</x:f>
      </x:c>
      <x:c r="AX3" s="102" t="n">
        <x:f>'Ставки'!$AX$3</x:f>
      </x:c>
      <x:c r="AY3" s="102" t="n">
        <x:f>'Ставки'!$AY$3</x:f>
      </x:c>
      <x:c r="AZ3" s="102" t="n">
        <x:f>'Ставки'!$AZ$3</x:f>
      </x:c>
      <x:c r="BA3" s="102" t="n">
        <x:f>'Ставки'!$BA$3</x:f>
      </x:c>
      <x:c r="BB3" s="102" t="n">
        <x:f>'Ставки'!$BB$3</x:f>
      </x:c>
      <x:c r="BC3" s="102" t="n">
        <x:f>'Ставки'!$BC$3</x:f>
      </x:c>
      <x:c r="BD3" s="102" t="n">
        <x:f>'Ставки'!$BD$3</x:f>
      </x:c>
      <x:c r="BE3" s="102" t="n">
        <x:f>'Ставки'!$BE$3</x:f>
      </x:c>
      <x:c r="BF3" s="102" t="n">
        <x:f>'Ставки'!$BF$3</x:f>
      </x:c>
      <x:c r="BG3" s="102" t="n">
        <x:f>'Ставки'!$BG$3</x:f>
      </x:c>
      <x:c r="BH3" s="102" t="n">
        <x:f>'Ставки'!$BH$3</x:f>
      </x:c>
      <x:c r="BI3" s="102" t="n">
        <x:f>'Ставки'!$BI$3</x:f>
      </x:c>
      <x:c r="BJ3" s="102" t="n">
        <x:f>'Ставки'!$BJ$3</x:f>
      </x:c>
      <x:c r="BK3" s="102" t="n">
        <x:f>'Ставки'!$BK$3</x:f>
      </x:c>
      <x:c r="BL3" s="102" t="n">
        <x:f>'Ставки'!$BL$3</x:f>
      </x:c>
      <x:c r="BM3" s="102" t="n">
        <x:f>'Ставки'!$BM$3</x:f>
      </x:c>
      <x:c r="BN3" s="102" t="n">
        <x:f>'Ставки'!$BN$3</x:f>
      </x:c>
      <x:c r="BO3" s="102" t="n">
        <x:f>'Ставки'!$BO$3</x:f>
      </x:c>
      <x:c r="BP3" s="102" t="n">
        <x:f>'Ставки'!$BP$3</x:f>
      </x:c>
      <x:c r="BQ3" s="102" t="n">
        <x:f>'Ставки'!$BQ$3</x:f>
      </x:c>
      <x:c r="BR3" s="102" t="n">
        <x:f>'Ставки'!$BR$3</x:f>
      </x:c>
      <x:c r="BS3" s="102" t="n">
        <x:f>'Ставки'!$BS$3</x:f>
      </x:c>
      <x:c r="BT3" s="102" t="n">
        <x:f>'Ставки'!$BT$3</x:f>
      </x:c>
      <x:c r="BU3" s="102" t="n">
        <x:f>'Ставки'!$BU$3</x:f>
      </x:c>
      <x:c r="BV3" s="102" t="n">
        <x:f>'Ставки'!$BV$3</x:f>
      </x:c>
      <x:c r="BW3" s="102" t="n">
        <x:f>'Ставки'!$BW$3</x:f>
      </x:c>
      <x:c r="BX3" s="102" t="n">
        <x:f>'Ставки'!$BX$3</x:f>
      </x:c>
      <x:c r="BY3" s="102" t="n">
        <x:f>'Ставки'!$BY$3</x:f>
      </x:c>
      <x:c r="BZ3" s="102" t="n">
        <x:f>'Ставки'!$BZ$3</x:f>
      </x:c>
      <x:c r="CA3" s="102" t="n">
        <x:f>'Ставки'!$CA$3</x:f>
      </x:c>
      <x:c r="CB3" s="102" t="n">
        <x:f>'Ставки'!$CB$3</x:f>
      </x:c>
      <x:c r="CC3" s="102" t="n">
        <x:f>'Ставки'!$CC$3</x:f>
      </x:c>
      <x:c r="CD3" s="102" t="n">
        <x:f>'Ставки'!$CD$3</x:f>
      </x:c>
      <x:c r="CE3" s="102" t="n">
        <x:f>'Ставки'!$CE$3</x:f>
      </x:c>
      <x:c r="CF3" s="102" t="n">
        <x:f>'Ставки'!$CF$3</x:f>
      </x:c>
      <x:c r="CG3" s="102" t="n">
        <x:f>'Ставки'!$CG$3</x:f>
      </x:c>
      <x:c r="CH3" s="102" t="n">
        <x:f>'Ставки'!$CH$3</x:f>
      </x:c>
      <x:c r="CI3" s="102" t="n">
        <x:f>'Ставки'!$CI$3</x:f>
      </x:c>
      <x:c r="CJ3" s="102" t="n">
        <x:f>'Ставки'!$CJ$3</x:f>
      </x:c>
      <x:c r="CK3" s="102" t="n">
        <x:f>'Ставки'!$CK$3</x:f>
      </x:c>
      <x:c r="CL3" s="102" t="n">
        <x:f>'Ставки'!$CL$3</x:f>
      </x:c>
      <x:c r="CM3" s="102" t="n">
        <x:f>'Ставки'!$CM$3</x:f>
      </x:c>
      <x:c r="CN3" s="102" t="n">
        <x:f>'Ставки'!$CN$3</x:f>
      </x:c>
      <x:c r="CO3" s="102" t="n">
        <x:f>'Ставки'!$CO$3</x:f>
      </x:c>
      <x:c r="CP3" s="102" t="n">
        <x:f>'Ставки'!$CP$3</x:f>
      </x:c>
      <x:c r="CQ3" s="102" t="n">
        <x:f>'Ставки'!$CQ$3</x:f>
      </x:c>
      <x:c r="CR3" s="102" t="n">
        <x:f>'Ставки'!$CR$3</x:f>
      </x:c>
      <x:c r="CS3" s="102" t="n">
        <x:f>'Ставки'!$CS$3</x:f>
      </x:c>
      <x:c r="CT3" s="102" t="n">
        <x:f>'Ставки'!$CT$3</x:f>
      </x:c>
      <x:c r="CU3" s="102" t="n">
        <x:f>'Ставки'!$CU$3</x:f>
      </x:c>
      <x:c r="CV3" s="102" t="n">
        <x:f>'Ставки'!$CV$3</x:f>
      </x:c>
      <x:c r="CW3" s="102" t="n">
        <x:f>'Ставки'!$CW$3</x:f>
      </x:c>
      <x:c r="CX3" s="102" t="n">
        <x:f>'Ставки'!$CX$3</x:f>
      </x:c>
      <x:c r="CY3" s="102" t="n">
        <x:f>'Ставки'!$CY$3</x:f>
      </x:c>
      <x:c r="CZ3" s="102" t="n">
        <x:f>'Ставки'!$CZ$3</x:f>
      </x:c>
      <x:c r="DA3" s="102" t="n">
        <x:f>'Ставки'!$DA$3</x:f>
      </x:c>
      <x:c r="DB3" s="102" t="n">
        <x:f>'Ставки'!$DB$3</x:f>
      </x:c>
      <x:c r="DC3" s="102" t="n">
        <x:f>'Ставки'!$DC$3</x:f>
      </x:c>
      <x:c r="DD3" s="102" t="n">
        <x:f>'Ставки'!$DD$3</x:f>
      </x:c>
      <x:c r="DE3" s="102" t="n">
        <x:f>'Ставки'!$DE$3</x:f>
      </x:c>
      <x:c r="DF3" s="102" t="n">
        <x:f>'Ставки'!$DF$3</x:f>
      </x:c>
      <x:c r="DG3" s="102" t="n">
        <x:f>'Ставки'!$DG$3</x:f>
      </x:c>
      <x:c r="DH3" s="102" t="n">
        <x:f>'Ставки'!$DH$3</x:f>
      </x:c>
      <x:c r="DI3" s="102" t="n">
        <x:f>'Ставки'!$DI$3</x:f>
      </x:c>
      <x:c r="DJ3" s="102" t="n">
        <x:f>'Ставки'!$DJ$3</x:f>
      </x:c>
      <x:c r="DK3" s="102" t="n">
        <x:f>'Ставки'!$DK$3</x:f>
      </x:c>
      <x:c r="DL3" s="102" t="n">
        <x:f>'Ставки'!$DL$3</x:f>
      </x:c>
      <x:c r="DM3" s="102" t="n">
        <x:f>'Ставки'!$DM$3</x:f>
      </x:c>
      <x:c r="DN3" s="102" t="n">
        <x:f>'Ставки'!$DN$3</x:f>
      </x:c>
      <x:c r="DO3" s="102" t="n">
        <x:f>'Ставки'!$DO$3</x:f>
      </x:c>
      <x:c r="DP3" s="102" t="n">
        <x:f>'Ставки'!$DP$3</x:f>
      </x:c>
      <x:c r="DQ3" s="102" t="n">
        <x:f>'Ставки'!$DQ$3</x:f>
      </x:c>
      <x:c r="DR3" s="102" t="n">
        <x:f>'Ставки'!$DR$3</x:f>
      </x:c>
      <x:c r="DS3" s="102" t="n">
        <x:f>'Ставки'!$DS$3</x:f>
      </x:c>
      <x:c r="DT3" s="102" t="n">
        <x:f>'Ставки'!$DT$3</x:f>
      </x:c>
      <x:c r="DU3" s="102" t="n">
        <x:f>'Ставки'!$DU$3</x:f>
      </x:c>
      <x:c r="DV3" s="102" t="n">
        <x:f>'Ставки'!$DV$3</x:f>
      </x:c>
      <x:c r="DW3" s="102" t="n">
        <x:f>'Ставки'!$DW$3</x:f>
      </x:c>
      <x:c r="DX3" s="102" t="n">
        <x:f>'Ставки'!$DX$3</x:f>
      </x:c>
      <x:c r="DY3" s="102" t="n">
        <x:f>'Ставки'!$DY$3</x:f>
      </x:c>
      <x:c r="DZ3" s="102" t="n">
        <x:f>'Ставки'!$DZ$3</x:f>
      </x:c>
      <x:c r="EA3" s="102" t="n">
        <x:f>'Ставки'!$EA$3</x:f>
      </x:c>
      <x:c r="EB3" s="102" t="n">
        <x:f>'Ставки'!$EB$3</x:f>
      </x:c>
      <x:c r="EC3" s="102" t="n">
        <x:f>'Ставки'!$EC$3</x:f>
      </x:c>
      <x:c r="ED3" s="102" t="n">
        <x:f>'Ставки'!$ED$3</x:f>
      </x:c>
      <x:c r="EE3" s="102" t="n">
        <x:f>'Ставки'!$EE$3</x:f>
      </x:c>
      <x:c r="EF3" s="102" t="n">
        <x:f>'Ставки'!$EF$3</x:f>
      </x:c>
      <x:c r="EG3" s="102" t="n">
        <x:f>'Ставки'!$EG$3</x:f>
      </x:c>
      <x:c r="EH3" s="102" t="n">
        <x:f>'Ставки'!$EH$3</x:f>
      </x:c>
      <x:c r="EI3" s="102" t="n">
        <x:f>'Ставки'!$EI$3</x:f>
      </x:c>
      <x:c r="EJ3" s="102" t="n">
        <x:f>'Ставки'!$EJ$3</x:f>
      </x:c>
      <x:c r="EK3" s="102" t="n">
        <x:f>'Ставки'!$EK$3</x:f>
      </x:c>
      <x:c r="EL3" s="102" t="n">
        <x:f>'Ставки'!$EL$3</x:f>
      </x:c>
      <x:c r="EM3" s="102" t="n">
        <x:f>'Ставки'!$EM$3</x:f>
      </x:c>
      <x:c r="EN3" s="102" t="n">
        <x:f>'Ставки'!$EN$3</x:f>
      </x:c>
      <x:c r="EO3" s="102" t="n">
        <x:f>'Ставки'!$EO$3</x:f>
      </x:c>
      <x:c r="EP3" s="102" t="n">
        <x:f>'Ставки'!$EP$3</x:f>
      </x:c>
      <x:c r="EQ3" s="102" t="n">
        <x:f>'Ставки'!$EQ$3</x:f>
      </x:c>
      <x:c r="ER3" s="102" t="n">
        <x:f>'Ставки'!$ER$3</x:f>
      </x:c>
      <x:c r="ES3" s="102" t="n">
        <x:f>'Ставки'!$ES$3</x:f>
      </x:c>
      <x:c r="ET3" s="102" t="n">
        <x:f>'Ставки'!$ET$3</x:f>
      </x:c>
      <x:c r="EU3" s="102" t="n">
        <x:f>'Ставки'!$EU$3</x:f>
      </x:c>
      <x:c r="EV3" s="102" t="n">
        <x:f>'Ставки'!$EV$3</x:f>
      </x:c>
      <x:c r="EW3" s="102" t="n">
        <x:f>'Ставки'!$EW$3</x:f>
      </x:c>
      <x:c r="EX3" s="102" t="n">
        <x:f>'Ставки'!$EX$3</x:f>
      </x:c>
      <x:c r="EY3" s="102" t="n">
        <x:f>'Ставки'!$EY$3</x:f>
      </x:c>
      <x:c r="EZ3" s="102" t="n">
        <x:f>'Ставки'!$EZ$3</x:f>
      </x:c>
      <x:c r="FA3" s="102" t="n">
        <x:f>'Ставки'!$FA$3</x:f>
      </x:c>
      <x:c r="FB3" s="102" t="n">
        <x:f>'Ставки'!$FB$3</x:f>
      </x:c>
      <x:c r="FC3" s="102" t="n">
        <x:f>'Ставки'!$FC$3</x:f>
      </x:c>
      <x:c r="FD3" s="102" t="n">
        <x:f>'Ставки'!$FD$3</x:f>
      </x:c>
      <x:c r="FE3" s="102" t="n">
        <x:f>'Ставки'!$FE$3</x:f>
      </x:c>
      <x:c r="FF3" s="102" t="n">
        <x:f>'Ставки'!$FF$3</x:f>
      </x:c>
      <x:c r="FG3" s="102" t="n">
        <x:f>'Ставки'!$FG$3</x:f>
      </x:c>
      <x:c r="FH3" s="102" t="n">
        <x:f>'Ставки'!$FH$3</x:f>
      </x:c>
      <x:c r="FI3" s="102" t="n">
        <x:f>'Ставки'!$FI$3</x:f>
      </x:c>
      <x:c r="FJ3" s="102" t="n">
        <x:f>'Ставки'!$FJ$3</x:f>
      </x:c>
      <x:c r="FK3" s="102" t="n">
        <x:f>'Ставки'!$FK$3</x:f>
      </x:c>
      <x:c r="FL3" s="102" t="n">
        <x:f>'Ставки'!$FL$3</x:f>
      </x:c>
      <x:c r="FM3" s="102" t="n">
        <x:f>'Ставки'!$FM$3</x:f>
      </x:c>
      <x:c r="FN3" s="102" t="n">
        <x:f>'Ставки'!$FN$3</x:f>
      </x:c>
      <x:c r="FO3" s="102" t="n">
        <x:f>'Ставки'!$FO$3</x:f>
      </x:c>
      <x:c r="FP3" s="102" t="n">
        <x:f>'Ставки'!$FP$3</x:f>
      </x:c>
      <x:c r="FQ3" s="102" t="n">
        <x:f>'Ставки'!$FQ$3</x:f>
      </x:c>
      <x:c r="FR3" s="102" t="n">
        <x:f>'Ставки'!$FR$3</x:f>
      </x:c>
      <x:c r="FS3" s="102" t="n">
        <x:f>'Ставки'!$FS$3</x:f>
      </x:c>
      <x:c r="FT3" s="102" t="n">
        <x:f>'Ставки'!$FT$3</x:f>
      </x:c>
      <x:c r="FU3" s="102" t="n">
        <x:f>'Ставки'!$FU$3</x:f>
      </x:c>
      <x:c r="FV3" s="102" t="n">
        <x:f>'Ставки'!$FV$3</x:f>
      </x:c>
      <x:c r="FW3" s="102" t="n">
        <x:f>'Ставки'!$FW$3</x:f>
      </x:c>
      <x:c r="FX3" s="102" t="n">
        <x:f>'Ставки'!$FX$3</x:f>
      </x:c>
      <x:c r="FY3" s="102" t="n">
        <x:f>'Ставки'!$FY$3</x:f>
      </x:c>
      <x:c r="FZ3" s="102" t="n">
        <x:f>'Ставки'!$FZ$3</x:f>
      </x:c>
      <x:c r="GA3" s="102" t="n">
        <x:f>'Ставки'!$GA$3</x:f>
      </x:c>
    </x:row>
    <x:row r="4">
      <x:c r="A4" t="str">
        <x:v>Период</x:v>
      </x:c>
      <x:c r="B4"/>
      <x:c r="C4" t="str">
        <x:v>№</x:v>
      </x:c>
      <x:c r="D4" s="104" t="n">
        <x:f>1</x:f>
      </x:c>
      <x:c r="E4" s="104" t="n">
        <x:f>2</x:f>
      </x:c>
      <x:c r="F4" s="104" t="n">
        <x:f>3</x:f>
      </x:c>
      <x:c r="G4" s="104" t="n">
        <x:f>4</x:f>
      </x:c>
      <x:c r="H4" s="104" t="n">
        <x:f>5</x:f>
      </x:c>
      <x:c r="I4" s="104" t="n">
        <x:f>6</x:f>
      </x:c>
      <x:c r="J4" s="104" t="n">
        <x:f>7</x:f>
      </x:c>
      <x:c r="K4" s="104" t="n">
        <x:f>8</x:f>
      </x:c>
      <x:c r="L4" s="104" t="n">
        <x:f>9</x:f>
      </x:c>
      <x:c r="M4" s="104" t="n">
        <x:f>10</x:f>
      </x:c>
      <x:c r="N4" s="104" t="n">
        <x:f>11</x:f>
      </x:c>
      <x:c r="O4" s="104" t="n">
        <x:f>12</x:f>
      </x:c>
      <x:c r="P4" s="104" t="n">
        <x:f>13</x:f>
      </x:c>
      <x:c r="Q4" s="104" t="n">
        <x:f>14</x:f>
      </x:c>
      <x:c r="R4" s="104" t="n">
        <x:f>15</x:f>
      </x:c>
      <x:c r="S4" s="104" t="n">
        <x:f>16</x:f>
      </x:c>
      <x:c r="T4" s="104" t="n">
        <x:f>17</x:f>
      </x:c>
      <x:c r="U4" s="104" t="n">
        <x:f>18</x:f>
      </x:c>
      <x:c r="V4" s="104" t="n">
        <x:f>19</x:f>
      </x:c>
      <x:c r="W4" s="104" t="n">
        <x:f>20</x:f>
      </x:c>
      <x:c r="X4" s="104" t="n">
        <x:f>21</x:f>
      </x:c>
      <x:c r="Y4" s="104" t="n">
        <x:f>22</x:f>
      </x:c>
      <x:c r="Z4" s="104" t="n">
        <x:f>23</x:f>
      </x:c>
      <x:c r="AA4" s="104" t="n">
        <x:f>24</x:f>
      </x:c>
      <x:c r="AB4" s="104" t="n">
        <x:f>25</x:f>
      </x:c>
      <x:c r="AC4" s="104" t="n">
        <x:f>26</x:f>
      </x:c>
      <x:c r="AD4" s="104" t="n">
        <x:f>27</x:f>
      </x:c>
      <x:c r="AE4" s="104" t="n">
        <x:f>28</x:f>
      </x:c>
      <x:c r="AF4" s="104" t="n">
        <x:f>29</x:f>
      </x:c>
      <x:c r="AG4" s="104" t="n">
        <x:f>30</x:f>
      </x:c>
      <x:c r="AH4" s="104" t="n">
        <x:f>31</x:f>
      </x:c>
      <x:c r="AI4" s="104" t="n">
        <x:f>32</x:f>
      </x:c>
      <x:c r="AJ4" s="104" t="n">
        <x:f>33</x:f>
      </x:c>
      <x:c r="AK4" s="104" t="n">
        <x:f>34</x:f>
      </x:c>
      <x:c r="AL4" s="104" t="n">
        <x:f>35</x:f>
      </x:c>
      <x:c r="AM4" s="104" t="n">
        <x:f>36</x:f>
      </x:c>
      <x:c r="AN4" s="104" t="n">
        <x:f>37</x:f>
      </x:c>
      <x:c r="AO4" s="104" t="n">
        <x:f>38</x:f>
      </x:c>
      <x:c r="AP4" s="104" t="n">
        <x:f>39</x:f>
      </x:c>
      <x:c r="AQ4" s="104" t="n">
        <x:f>40</x:f>
      </x:c>
      <x:c r="AR4" s="104" t="n">
        <x:f>41</x:f>
      </x:c>
      <x:c r="AS4" s="104" t="n">
        <x:f>42</x:f>
      </x:c>
      <x:c r="AT4" s="104" t="n">
        <x:f>43</x:f>
      </x:c>
      <x:c r="AU4" s="104" t="n">
        <x:f>44</x:f>
      </x:c>
      <x:c r="AV4" s="104" t="n">
        <x:f>45</x:f>
      </x:c>
      <x:c r="AW4" s="104" t="n">
        <x:f>46</x:f>
      </x:c>
      <x:c r="AX4" s="104" t="n">
        <x:f>47</x:f>
      </x:c>
      <x:c r="AY4" s="104" t="n">
        <x:f>48</x:f>
      </x:c>
      <x:c r="AZ4" s="104" t="n">
        <x:f>49</x:f>
      </x:c>
      <x:c r="BA4" s="104" t="n">
        <x:f>50</x:f>
      </x:c>
      <x:c r="BB4" s="104" t="n">
        <x:f>51</x:f>
      </x:c>
      <x:c r="BC4" s="104" t="n">
        <x:f>52</x:f>
      </x:c>
      <x:c r="BD4" s="104" t="n">
        <x:f>53</x:f>
      </x:c>
      <x:c r="BE4" s="104" t="n">
        <x:f>54</x:f>
      </x:c>
      <x:c r="BF4" s="104" t="n">
        <x:f>55</x:f>
      </x:c>
      <x:c r="BG4" s="104" t="n">
        <x:f>56</x:f>
      </x:c>
      <x:c r="BH4" s="104" t="n">
        <x:f>57</x:f>
      </x:c>
      <x:c r="BI4" s="104" t="n">
        <x:f>58</x:f>
      </x:c>
      <x:c r="BJ4" s="104" t="n">
        <x:f>59</x:f>
      </x:c>
      <x:c r="BK4" s="104" t="n">
        <x:f>60</x:f>
      </x:c>
      <x:c r="BL4" s="104" t="n">
        <x:f>61</x:f>
      </x:c>
      <x:c r="BM4" s="104" t="n">
        <x:f>62</x:f>
      </x:c>
      <x:c r="BN4" s="104" t="n">
        <x:f>63</x:f>
      </x:c>
      <x:c r="BO4" s="104" t="n">
        <x:f>64</x:f>
      </x:c>
      <x:c r="BP4" s="104" t="n">
        <x:f>65</x:f>
      </x:c>
      <x:c r="BQ4" s="104" t="n">
        <x:f>66</x:f>
      </x:c>
      <x:c r="BR4" s="104" t="n">
        <x:f>67</x:f>
      </x:c>
      <x:c r="BS4" s="104" t="n">
        <x:f>68</x:f>
      </x:c>
      <x:c r="BT4" s="104" t="n">
        <x:f>69</x:f>
      </x:c>
      <x:c r="BU4" s="104" t="n">
        <x:f>70</x:f>
      </x:c>
      <x:c r="BV4" s="104" t="n">
        <x:f>71</x:f>
      </x:c>
      <x:c r="BW4" s="104" t="n">
        <x:f>72</x:f>
      </x:c>
      <x:c r="BX4" s="104" t="n">
        <x:f>73</x:f>
      </x:c>
      <x:c r="BY4" s="104" t="n">
        <x:f>74</x:f>
      </x:c>
      <x:c r="BZ4" s="104" t="n">
        <x:f>75</x:f>
      </x:c>
      <x:c r="CA4" s="104" t="n">
        <x:f>76</x:f>
      </x:c>
      <x:c r="CB4" s="104" t="n">
        <x:f>77</x:f>
      </x:c>
      <x:c r="CC4" s="104" t="n">
        <x:f>78</x:f>
      </x:c>
      <x:c r="CD4" s="104" t="n">
        <x:f>79</x:f>
      </x:c>
      <x:c r="CE4" s="104" t="n">
        <x:f>80</x:f>
      </x:c>
      <x:c r="CF4" s="104" t="n">
        <x:f>81</x:f>
      </x:c>
      <x:c r="CG4" s="104" t="n">
        <x:f>82</x:f>
      </x:c>
      <x:c r="CH4" s="104" t="n">
        <x:f>83</x:f>
      </x:c>
      <x:c r="CI4" s="104" t="n">
        <x:f>84</x:f>
      </x:c>
      <x:c r="CJ4" s="104" t="n">
        <x:f>85</x:f>
      </x:c>
      <x:c r="CK4" s="104" t="n">
        <x:f>86</x:f>
      </x:c>
      <x:c r="CL4" s="104" t="n">
        <x:f>87</x:f>
      </x:c>
      <x:c r="CM4" s="104" t="n">
        <x:f>88</x:f>
      </x:c>
      <x:c r="CN4" s="104" t="n">
        <x:f>89</x:f>
      </x:c>
      <x:c r="CO4" s="104" t="n">
        <x:f>90</x:f>
      </x:c>
      <x:c r="CP4" s="104" t="n">
        <x:f>91</x:f>
      </x:c>
      <x:c r="CQ4" s="104" t="n">
        <x:f>92</x:f>
      </x:c>
      <x:c r="CR4" s="104" t="n">
        <x:f>93</x:f>
      </x:c>
      <x:c r="CS4" s="104" t="n">
        <x:f>94</x:f>
      </x:c>
      <x:c r="CT4" s="104" t="n">
        <x:f>95</x:f>
      </x:c>
      <x:c r="CU4" s="104" t="n">
        <x:f>96</x:f>
      </x:c>
      <x:c r="CV4" s="104" t="n">
        <x:f>97</x:f>
      </x:c>
      <x:c r="CW4" s="104" t="n">
        <x:f>98</x:f>
      </x:c>
      <x:c r="CX4" s="104" t="n">
        <x:f>99</x:f>
      </x:c>
      <x:c r="CY4" s="104" t="n">
        <x:f>100</x:f>
      </x:c>
      <x:c r="CZ4" s="104" t="n">
        <x:f>101</x:f>
      </x:c>
      <x:c r="DA4" s="104" t="n">
        <x:f>102</x:f>
      </x:c>
      <x:c r="DB4" s="104" t="n">
        <x:f>103</x:f>
      </x:c>
      <x:c r="DC4" s="104" t="n">
        <x:f>104</x:f>
      </x:c>
      <x:c r="DD4" s="104" t="n">
        <x:f>105</x:f>
      </x:c>
      <x:c r="DE4" s="104" t="n">
        <x:f>106</x:f>
      </x:c>
      <x:c r="DF4" s="104" t="n">
        <x:f>107</x:f>
      </x:c>
      <x:c r="DG4" s="104" t="n">
        <x:f>108</x:f>
      </x:c>
      <x:c r="DH4" s="104" t="n">
        <x:f>109</x:f>
      </x:c>
      <x:c r="DI4" s="104" t="n">
        <x:f>110</x:f>
      </x:c>
      <x:c r="DJ4" s="104" t="n">
        <x:f>111</x:f>
      </x:c>
      <x:c r="DK4" s="104" t="n">
        <x:f>112</x:f>
      </x:c>
      <x:c r="DL4" s="104" t="n">
        <x:f>113</x:f>
      </x:c>
      <x:c r="DM4" s="104" t="n">
        <x:f>114</x:f>
      </x:c>
      <x:c r="DN4" s="104" t="n">
        <x:f>115</x:f>
      </x:c>
      <x:c r="DO4" s="104" t="n">
        <x:f>116</x:f>
      </x:c>
      <x:c r="DP4" s="104" t="n">
        <x:f>117</x:f>
      </x:c>
      <x:c r="DQ4" s="104" t="n">
        <x:f>118</x:f>
      </x:c>
      <x:c r="DR4" s="104" t="n">
        <x:f>119</x:f>
      </x:c>
      <x:c r="DS4" s="104" t="n">
        <x:f>120</x:f>
      </x:c>
      <x:c r="DT4" s="104" t="n">
        <x:f>121</x:f>
      </x:c>
      <x:c r="DU4" s="104" t="n">
        <x:f>122</x:f>
      </x:c>
      <x:c r="DV4" s="104" t="n">
        <x:f>123</x:f>
      </x:c>
      <x:c r="DW4" s="104" t="n">
        <x:f>124</x:f>
      </x:c>
      <x:c r="DX4" s="104" t="n">
        <x:f>125</x:f>
      </x:c>
      <x:c r="DY4" s="104" t="n">
        <x:f>126</x:f>
      </x:c>
      <x:c r="DZ4" s="104" t="n">
        <x:f>127</x:f>
      </x:c>
      <x:c r="EA4" s="104" t="n">
        <x:f>128</x:f>
      </x:c>
      <x:c r="EB4" s="104" t="n">
        <x:f>129</x:f>
      </x:c>
      <x:c r="EC4" s="104" t="n">
        <x:f>130</x:f>
      </x:c>
      <x:c r="ED4" s="104" t="n">
        <x:f>131</x:f>
      </x:c>
      <x:c r="EE4" s="104" t="n">
        <x:f>132</x:f>
      </x:c>
      <x:c r="EF4" s="104" t="n">
        <x:f>133</x:f>
      </x:c>
      <x:c r="EG4" s="104" t="n">
        <x:f>134</x:f>
      </x:c>
      <x:c r="EH4" s="104" t="n">
        <x:f>135</x:f>
      </x:c>
      <x:c r="EI4" s="104" t="n">
        <x:f>136</x:f>
      </x:c>
      <x:c r="EJ4" s="104" t="n">
        <x:f>137</x:f>
      </x:c>
      <x:c r="EK4" s="104" t="n">
        <x:f>138</x:f>
      </x:c>
      <x:c r="EL4" s="104" t="n">
        <x:f>139</x:f>
      </x:c>
      <x:c r="EM4" s="104" t="n">
        <x:f>140</x:f>
      </x:c>
      <x:c r="EN4" s="104" t="n">
        <x:f>141</x:f>
      </x:c>
      <x:c r="EO4" s="104" t="n">
        <x:f>142</x:f>
      </x:c>
      <x:c r="EP4" s="104" t="n">
        <x:f>143</x:f>
      </x:c>
      <x:c r="EQ4" s="104" t="n">
        <x:f>144</x:f>
      </x:c>
      <x:c r="ER4" s="104" t="n">
        <x:f>145</x:f>
      </x:c>
      <x:c r="ES4" s="104" t="n">
        <x:f>146</x:f>
      </x:c>
      <x:c r="ET4" s="104" t="n">
        <x:f>147</x:f>
      </x:c>
      <x:c r="EU4" s="104" t="n">
        <x:f>148</x:f>
      </x:c>
      <x:c r="EV4" s="104" t="n">
        <x:f>149</x:f>
      </x:c>
      <x:c r="EW4" s="104" t="n">
        <x:f>150</x:f>
      </x:c>
      <x:c r="EX4" s="104" t="n">
        <x:f>151</x:f>
      </x:c>
      <x:c r="EY4" s="104" t="n">
        <x:f>152</x:f>
      </x:c>
      <x:c r="EZ4" s="104" t="n">
        <x:f>153</x:f>
      </x:c>
      <x:c r="FA4" s="104" t="n">
        <x:f>154</x:f>
      </x:c>
      <x:c r="FB4" s="104" t="n">
        <x:f>155</x:f>
      </x:c>
      <x:c r="FC4" s="104" t="n">
        <x:f>156</x:f>
      </x:c>
      <x:c r="FD4" s="104" t="n">
        <x:f>157</x:f>
      </x:c>
      <x:c r="FE4" s="104" t="n">
        <x:f>158</x:f>
      </x:c>
      <x:c r="FF4" s="104" t="n">
        <x:f>159</x:f>
      </x:c>
      <x:c r="FG4" s="104" t="n">
        <x:f>160</x:f>
      </x:c>
      <x:c r="FH4" s="104" t="n">
        <x:f>161</x:f>
      </x:c>
      <x:c r="FI4" s="104" t="n">
        <x:f>162</x:f>
      </x:c>
      <x:c r="FJ4" s="104" t="n">
        <x:f>163</x:f>
      </x:c>
      <x:c r="FK4" s="104" t="n">
        <x:f>164</x:f>
      </x:c>
      <x:c r="FL4" s="104" t="n">
        <x:f>165</x:f>
      </x:c>
      <x:c r="FM4" s="104" t="n">
        <x:f>166</x:f>
      </x:c>
      <x:c r="FN4" s="104" t="n">
        <x:f>167</x:f>
      </x:c>
      <x:c r="FO4" s="104" t="n">
        <x:f>168</x:f>
      </x:c>
      <x:c r="FP4" s="104" t="n">
        <x:f>169</x:f>
      </x:c>
      <x:c r="FQ4" s="104" t="n">
        <x:f>170</x:f>
      </x:c>
      <x:c r="FR4" s="104" t="n">
        <x:f>171</x:f>
      </x:c>
      <x:c r="FS4" s="104" t="n">
        <x:f>172</x:f>
      </x:c>
      <x:c r="FT4" s="104" t="n">
        <x:f>173</x:f>
      </x:c>
      <x:c r="FU4" s="104" t="n">
        <x:f>174</x:f>
      </x:c>
      <x:c r="FV4" s="104" t="n">
        <x:f>175</x:f>
      </x:c>
      <x:c r="FW4" s="104" t="n">
        <x:f>176</x:f>
      </x:c>
      <x:c r="FX4" s="104" t="n">
        <x:f>177</x:f>
      </x:c>
      <x:c r="FY4" s="104" t="n">
        <x:f>178</x:f>
      </x:c>
      <x:c r="FZ4" s="104" t="n">
        <x:f>179</x:f>
      </x:c>
      <x:c r="GA4" s="104" t="n">
        <x:f>180</x:f>
      </x:c>
    </x:row>
    <x:row r="5">
      <x:c r="A5" t="str">
        <x:v>Очередь включена</x:v>
      </x:c>
      <x:c r="B5" t="n">
        <x:f>--('Вводные'!$B$88="Да")</x:f>
      </x:c>
      <x:c r="C5" t="str">
        <x:v>0/1</x:v>
      </x:c>
      <x:c r="D5" t="n">
        <x:f>$B$5</x:f>
      </x:c>
      <x:c r="E5" t="n">
        <x:f>$B$5</x:f>
      </x:c>
      <x:c r="F5" t="n">
        <x:f>$B$5</x:f>
      </x:c>
      <x:c r="G5" t="n">
        <x:f>$B$5</x:f>
      </x:c>
      <x:c r="H5" t="n">
        <x:f>$B$5</x:f>
      </x:c>
      <x:c r="I5" t="n">
        <x:f>$B$5</x:f>
      </x:c>
      <x:c r="J5" t="n">
        <x:f>$B$5</x:f>
      </x:c>
      <x:c r="K5" t="n">
        <x:f>$B$5</x:f>
      </x:c>
      <x:c r="L5" t="n">
        <x:f>$B$5</x:f>
      </x:c>
      <x:c r="M5" t="n">
        <x:f>$B$5</x:f>
      </x:c>
      <x:c r="N5" t="n">
        <x:f>$B$5</x:f>
      </x:c>
      <x:c r="O5" t="n">
        <x:f>$B$5</x:f>
      </x:c>
      <x:c r="P5" t="n">
        <x:f>$B$5</x:f>
      </x:c>
      <x:c r="Q5" t="n">
        <x:f>$B$5</x:f>
      </x:c>
      <x:c r="R5" t="n">
        <x:f>$B$5</x:f>
      </x:c>
      <x:c r="S5" t="n">
        <x:f>$B$5</x:f>
      </x:c>
      <x:c r="T5" t="n">
        <x:f>$B$5</x:f>
      </x:c>
      <x:c r="U5" t="n">
        <x:f>$B$5</x:f>
      </x:c>
      <x:c r="V5" t="n">
        <x:f>$B$5</x:f>
      </x:c>
      <x:c r="W5" t="n">
        <x:f>$B$5</x:f>
      </x:c>
      <x:c r="X5" t="n">
        <x:f>$B$5</x:f>
      </x:c>
      <x:c r="Y5" t="n">
        <x:f>$B$5</x:f>
      </x:c>
      <x:c r="Z5" t="n">
        <x:f>$B$5</x:f>
      </x:c>
      <x:c r="AA5" t="n">
        <x:f>$B$5</x:f>
      </x:c>
      <x:c r="AB5" t="n">
        <x:f>$B$5</x:f>
      </x:c>
      <x:c r="AC5" t="n">
        <x:f>$B$5</x:f>
      </x:c>
      <x:c r="AD5" t="n">
        <x:f>$B$5</x:f>
      </x:c>
      <x:c r="AE5" t="n">
        <x:f>$B$5</x:f>
      </x:c>
      <x:c r="AF5" t="n">
        <x:f>$B$5</x:f>
      </x:c>
      <x:c r="AG5" t="n">
        <x:f>$B$5</x:f>
      </x:c>
      <x:c r="AH5" t="n">
        <x:f>$B$5</x:f>
      </x:c>
      <x:c r="AI5" t="n">
        <x:f>$B$5</x:f>
      </x:c>
      <x:c r="AJ5" t="n">
        <x:f>$B$5</x:f>
      </x:c>
      <x:c r="AK5" t="n">
        <x:f>$B$5</x:f>
      </x:c>
      <x:c r="AL5" t="n">
        <x:f>$B$5</x:f>
      </x:c>
      <x:c r="AM5" t="n">
        <x:f>$B$5</x:f>
      </x:c>
      <x:c r="AN5" t="n">
        <x:f>$B$5</x:f>
      </x:c>
      <x:c r="AO5" t="n">
        <x:f>$B$5</x:f>
      </x:c>
      <x:c r="AP5" t="n">
        <x:f>$B$5</x:f>
      </x:c>
      <x:c r="AQ5" t="n">
        <x:f>$B$5</x:f>
      </x:c>
      <x:c r="AR5" t="n">
        <x:f>$B$5</x:f>
      </x:c>
      <x:c r="AS5" t="n">
        <x:f>$B$5</x:f>
      </x:c>
      <x:c r="AT5" t="n">
        <x:f>$B$5</x:f>
      </x:c>
      <x:c r="AU5" t="n">
        <x:f>$B$5</x:f>
      </x:c>
      <x:c r="AV5" t="n">
        <x:f>$B$5</x:f>
      </x:c>
      <x:c r="AW5" t="n">
        <x:f>$B$5</x:f>
      </x:c>
      <x:c r="AX5" t="n">
        <x:f>$B$5</x:f>
      </x:c>
      <x:c r="AY5" t="n">
        <x:f>$B$5</x:f>
      </x:c>
      <x:c r="AZ5" t="n">
        <x:f>$B$5</x:f>
      </x:c>
      <x:c r="BA5" t="n">
        <x:f>$B$5</x:f>
      </x:c>
      <x:c r="BB5" t="n">
        <x:f>$B$5</x:f>
      </x:c>
      <x:c r="BC5" t="n">
        <x:f>$B$5</x:f>
      </x:c>
      <x:c r="BD5" t="n">
        <x:f>$B$5</x:f>
      </x:c>
      <x:c r="BE5" t="n">
        <x:f>$B$5</x:f>
      </x:c>
      <x:c r="BF5" t="n">
        <x:f>$B$5</x:f>
      </x:c>
      <x:c r="BG5" t="n">
        <x:f>$B$5</x:f>
      </x:c>
      <x:c r="BH5" t="n">
        <x:f>$B$5</x:f>
      </x:c>
      <x:c r="BI5" t="n">
        <x:f>$B$5</x:f>
      </x:c>
      <x:c r="BJ5" t="n">
        <x:f>$B$5</x:f>
      </x:c>
      <x:c r="BK5" t="n">
        <x:f>$B$5</x:f>
      </x:c>
      <x:c r="BL5" t="n">
        <x:f>$B$5</x:f>
      </x:c>
      <x:c r="BM5" t="n">
        <x:f>$B$5</x:f>
      </x:c>
      <x:c r="BN5" t="n">
        <x:f>$B$5</x:f>
      </x:c>
      <x:c r="BO5" t="n">
        <x:f>$B$5</x:f>
      </x:c>
      <x:c r="BP5" t="n">
        <x:f>$B$5</x:f>
      </x:c>
      <x:c r="BQ5" t="n">
        <x:f>$B$5</x:f>
      </x:c>
      <x:c r="BR5" t="n">
        <x:f>$B$5</x:f>
      </x:c>
      <x:c r="BS5" t="n">
        <x:f>$B$5</x:f>
      </x:c>
      <x:c r="BT5" t="n">
        <x:f>$B$5</x:f>
      </x:c>
      <x:c r="BU5" t="n">
        <x:f>$B$5</x:f>
      </x:c>
      <x:c r="BV5" t="n">
        <x:f>$B$5</x:f>
      </x:c>
      <x:c r="BW5" t="n">
        <x:f>$B$5</x:f>
      </x:c>
      <x:c r="BX5" t="n">
        <x:f>$B$5</x:f>
      </x:c>
      <x:c r="BY5" t="n">
        <x:f>$B$5</x:f>
      </x:c>
      <x:c r="BZ5" t="n">
        <x:f>$B$5</x:f>
      </x:c>
      <x:c r="CA5" t="n">
        <x:f>$B$5</x:f>
      </x:c>
      <x:c r="CB5" t="n">
        <x:f>$B$5</x:f>
      </x:c>
      <x:c r="CC5" t="n">
        <x:f>$B$5</x:f>
      </x:c>
      <x:c r="CD5" t="n">
        <x:f>$B$5</x:f>
      </x:c>
      <x:c r="CE5" t="n">
        <x:f>$B$5</x:f>
      </x:c>
      <x:c r="CF5" t="n">
        <x:f>$B$5</x:f>
      </x:c>
      <x:c r="CG5" t="n">
        <x:f>$B$5</x:f>
      </x:c>
      <x:c r="CH5" t="n">
        <x:f>$B$5</x:f>
      </x:c>
      <x:c r="CI5" t="n">
        <x:f>$B$5</x:f>
      </x:c>
      <x:c r="CJ5" t="n">
        <x:f>$B$5</x:f>
      </x:c>
      <x:c r="CK5" t="n">
        <x:f>$B$5</x:f>
      </x:c>
      <x:c r="CL5" t="n">
        <x:f>$B$5</x:f>
      </x:c>
      <x:c r="CM5" t="n">
        <x:f>$B$5</x:f>
      </x:c>
      <x:c r="CN5" t="n">
        <x:f>$B$5</x:f>
      </x:c>
      <x:c r="CO5" t="n">
        <x:f>$B$5</x:f>
      </x:c>
      <x:c r="CP5" t="n">
        <x:f>$B$5</x:f>
      </x:c>
      <x:c r="CQ5" t="n">
        <x:f>$B$5</x:f>
      </x:c>
      <x:c r="CR5" t="n">
        <x:f>$B$5</x:f>
      </x:c>
      <x:c r="CS5" t="n">
        <x:f>$B$5</x:f>
      </x:c>
      <x:c r="CT5" t="n">
        <x:f>$B$5</x:f>
      </x:c>
      <x:c r="CU5" t="n">
        <x:f>$B$5</x:f>
      </x:c>
      <x:c r="CV5" t="n">
        <x:f>$B$5</x:f>
      </x:c>
      <x:c r="CW5" t="n">
        <x:f>$B$5</x:f>
      </x:c>
      <x:c r="CX5" t="n">
        <x:f>$B$5</x:f>
      </x:c>
      <x:c r="CY5" t="n">
        <x:f>$B$5</x:f>
      </x:c>
      <x:c r="CZ5" t="n">
        <x:f>$B$5</x:f>
      </x:c>
      <x:c r="DA5" t="n">
        <x:f>$B$5</x:f>
      </x:c>
      <x:c r="DB5" t="n">
        <x:f>$B$5</x:f>
      </x:c>
      <x:c r="DC5" t="n">
        <x:f>$B$5</x:f>
      </x:c>
      <x:c r="DD5" t="n">
        <x:f>$B$5</x:f>
      </x:c>
      <x:c r="DE5" t="n">
        <x:f>$B$5</x:f>
      </x:c>
      <x:c r="DF5" t="n">
        <x:f>$B$5</x:f>
      </x:c>
      <x:c r="DG5" t="n">
        <x:f>$B$5</x:f>
      </x:c>
      <x:c r="DH5" t="n">
        <x:f>$B$5</x:f>
      </x:c>
      <x:c r="DI5" t="n">
        <x:f>$B$5</x:f>
      </x:c>
      <x:c r="DJ5" t="n">
        <x:f>$B$5</x:f>
      </x:c>
      <x:c r="DK5" t="n">
        <x:f>$B$5</x:f>
      </x:c>
      <x:c r="DL5" t="n">
        <x:f>$B$5</x:f>
      </x:c>
      <x:c r="DM5" t="n">
        <x:f>$B$5</x:f>
      </x:c>
      <x:c r="DN5" t="n">
        <x:f>$B$5</x:f>
      </x:c>
      <x:c r="DO5" t="n">
        <x:f>$B$5</x:f>
      </x:c>
      <x:c r="DP5" t="n">
        <x:f>$B$5</x:f>
      </x:c>
      <x:c r="DQ5" t="n">
        <x:f>$B$5</x:f>
      </x:c>
      <x:c r="DR5" t="n">
        <x:f>$B$5</x:f>
      </x:c>
      <x:c r="DS5" t="n">
        <x:f>$B$5</x:f>
      </x:c>
      <x:c r="DT5" t="n">
        <x:f>$B$5</x:f>
      </x:c>
      <x:c r="DU5" t="n">
        <x:f>$B$5</x:f>
      </x:c>
      <x:c r="DV5" t="n">
        <x:f>$B$5</x:f>
      </x:c>
      <x:c r="DW5" t="n">
        <x:f>$B$5</x:f>
      </x:c>
      <x:c r="DX5" t="n">
        <x:f>$B$5</x:f>
      </x:c>
      <x:c r="DY5" t="n">
        <x:f>$B$5</x:f>
      </x:c>
      <x:c r="DZ5" t="n">
        <x:f>$B$5</x:f>
      </x:c>
      <x:c r="EA5" t="n">
        <x:f>$B$5</x:f>
      </x:c>
      <x:c r="EB5" t="n">
        <x:f>$B$5</x:f>
      </x:c>
      <x:c r="EC5" t="n">
        <x:f>$B$5</x:f>
      </x:c>
      <x:c r="ED5" t="n">
        <x:f>$B$5</x:f>
      </x:c>
      <x:c r="EE5" t="n">
        <x:f>$B$5</x:f>
      </x:c>
      <x:c r="EF5" t="n">
        <x:f>$B$5</x:f>
      </x:c>
      <x:c r="EG5" t="n">
        <x:f>$B$5</x:f>
      </x:c>
      <x:c r="EH5" t="n">
        <x:f>$B$5</x:f>
      </x:c>
      <x:c r="EI5" t="n">
        <x:f>$B$5</x:f>
      </x:c>
      <x:c r="EJ5" t="n">
        <x:f>$B$5</x:f>
      </x:c>
      <x:c r="EK5" t="n">
        <x:f>$B$5</x:f>
      </x:c>
      <x:c r="EL5" t="n">
        <x:f>$B$5</x:f>
      </x:c>
      <x:c r="EM5" t="n">
        <x:f>$B$5</x:f>
      </x:c>
      <x:c r="EN5" t="n">
        <x:f>$B$5</x:f>
      </x:c>
      <x:c r="EO5" t="n">
        <x:f>$B$5</x:f>
      </x:c>
      <x:c r="EP5" t="n">
        <x:f>$B$5</x:f>
      </x:c>
      <x:c r="EQ5" t="n">
        <x:f>$B$5</x:f>
      </x:c>
      <x:c r="ER5" t="n">
        <x:f>$B$5</x:f>
      </x:c>
      <x:c r="ES5" t="n">
        <x:f>$B$5</x:f>
      </x:c>
      <x:c r="ET5" t="n">
        <x:f>$B$5</x:f>
      </x:c>
      <x:c r="EU5" t="n">
        <x:f>$B$5</x:f>
      </x:c>
      <x:c r="EV5" t="n">
        <x:f>$B$5</x:f>
      </x:c>
      <x:c r="EW5" t="n">
        <x:f>$B$5</x:f>
      </x:c>
      <x:c r="EX5" t="n">
        <x:f>$B$5</x:f>
      </x:c>
      <x:c r="EY5" t="n">
        <x:f>$B$5</x:f>
      </x:c>
      <x:c r="EZ5" t="n">
        <x:f>$B$5</x:f>
      </x:c>
      <x:c r="FA5" t="n">
        <x:f>$B$5</x:f>
      </x:c>
      <x:c r="FB5" t="n">
        <x:f>$B$5</x:f>
      </x:c>
      <x:c r="FC5" t="n">
        <x:f>$B$5</x:f>
      </x:c>
      <x:c r="FD5" t="n">
        <x:f>$B$5</x:f>
      </x:c>
      <x:c r="FE5" t="n">
        <x:f>$B$5</x:f>
      </x:c>
      <x:c r="FF5" t="n">
        <x:f>$B$5</x:f>
      </x:c>
      <x:c r="FG5" t="n">
        <x:f>$B$5</x:f>
      </x:c>
      <x:c r="FH5" t="n">
        <x:f>$B$5</x:f>
      </x:c>
      <x:c r="FI5" t="n">
        <x:f>$B$5</x:f>
      </x:c>
      <x:c r="FJ5" t="n">
        <x:f>$B$5</x:f>
      </x:c>
      <x:c r="FK5" t="n">
        <x:f>$B$5</x:f>
      </x:c>
      <x:c r="FL5" t="n">
        <x:f>$B$5</x:f>
      </x:c>
      <x:c r="FM5" t="n">
        <x:f>$B$5</x:f>
      </x:c>
      <x:c r="FN5" t="n">
        <x:f>$B$5</x:f>
      </x:c>
      <x:c r="FO5" t="n">
        <x:f>$B$5</x:f>
      </x:c>
      <x:c r="FP5" t="n">
        <x:f>$B$5</x:f>
      </x:c>
      <x:c r="FQ5" t="n">
        <x:f>$B$5</x:f>
      </x:c>
      <x:c r="FR5" t="n">
        <x:f>$B$5</x:f>
      </x:c>
      <x:c r="FS5" t="n">
        <x:f>$B$5</x:f>
      </x:c>
      <x:c r="FT5" t="n">
        <x:f>$B$5</x:f>
      </x:c>
      <x:c r="FU5" t="n">
        <x:f>$B$5</x:f>
      </x:c>
      <x:c r="FV5" t="n">
        <x:f>$B$5</x:f>
      </x:c>
      <x:c r="FW5" t="n">
        <x:f>$B$5</x:f>
      </x:c>
      <x:c r="FX5" t="n">
        <x:f>$B$5</x:f>
      </x:c>
      <x:c r="FY5" t="n">
        <x:f>$B$5</x:f>
      </x:c>
      <x:c r="FZ5" t="n">
        <x:f>$B$5</x:f>
      </x:c>
      <x:c r="GA5" t="n">
        <x:f>$B$5</x:f>
      </x:c>
    </x:row>
    <x:row r="6">
      <x:c r="A6" t="str">
        <x:v>Начало очереди</x:v>
      </x:c>
      <x:c r="B6" s="106" t="n">
        <x:f>EDATE('Вводные'!$D$88,'Вводные'!$H$9)</x:f>
      </x:c>
      <x:c r="C6" t="str">
        <x:v>дата</x:v>
      </x:c>
    </x:row>
    <x:row r="7">
      <x:c r="A7" t="str">
        <x:v>РнС / открытие ПФ</x:v>
      </x:c>
      <x:c r="B7" s="106" t="n">
        <x:f>EDATE(B6,'Вводные'!$E$88)</x:f>
      </x:c>
      <x:c r="C7" t="str">
        <x:v>дата</x:v>
      </x:c>
    </x:row>
    <x:row r="8">
      <x:c r="A8" t="str">
        <x:v>РВЭ</x:v>
      </x:c>
      <x:c r="B8" s="106" t="n">
        <x:f>EDATE(B7,'Вводные'!$F$88)</x:f>
      </x:c>
      <x:c r="C8" t="str">
        <x:v>дата</x:v>
      </x:c>
    </x:row>
    <x:row r="9">
      <x:c r="A9"/>
      <x:c r="B9"/>
      <x:c r="C9"/>
    </x:row>
    <x:row r="10">
      <x:c r="A10" t="str">
        <x:v>Продажи по договорам</x:v>
      </x:c>
      <x:c r="B10" t="n">
        <x:f>SUM(D10:GA10)</x:f>
      </x:c>
      <x:c r="C10" t="str">
        <x:v>млн ₽</x:v>
      </x:c>
      <x:c r="D10" s="117" t="n">
        <x:f>'Продажи'!D26+'ОБЪЕКТЫ'!D92</x:f>
      </x:c>
      <x:c r="E10" s="117" t="n">
        <x:f>'Продажи'!E26+'ОБЪЕКТЫ'!E92</x:f>
      </x:c>
      <x:c r="F10" s="117" t="n">
        <x:f>'Продажи'!F26+'ОБЪЕКТЫ'!F92</x:f>
      </x:c>
      <x:c r="G10" s="117" t="n">
        <x:f>'Продажи'!G26+'ОБЪЕКТЫ'!G92</x:f>
      </x:c>
      <x:c r="H10" s="117" t="n">
        <x:f>'Продажи'!H26+'ОБЪЕКТЫ'!H92</x:f>
      </x:c>
      <x:c r="I10" s="117" t="n">
        <x:f>'Продажи'!I26+'ОБЪЕКТЫ'!I92</x:f>
      </x:c>
      <x:c r="J10" s="117" t="n">
        <x:f>'Продажи'!J26+'ОБЪЕКТЫ'!J92</x:f>
      </x:c>
      <x:c r="K10" s="117" t="n">
        <x:f>'Продажи'!K26+'ОБЪЕКТЫ'!K92</x:f>
      </x:c>
      <x:c r="L10" s="117" t="n">
        <x:f>'Продажи'!L26+'ОБЪЕКТЫ'!L92</x:f>
      </x:c>
      <x:c r="M10" s="117" t="n">
        <x:f>'Продажи'!M26+'ОБЪЕКТЫ'!M92</x:f>
      </x:c>
      <x:c r="N10" s="117" t="n">
        <x:f>'Продажи'!N26+'ОБЪЕКТЫ'!N92</x:f>
      </x:c>
      <x:c r="O10" s="117" t="n">
        <x:f>'Продажи'!O26+'ОБЪЕКТЫ'!O92</x:f>
      </x:c>
      <x:c r="P10" s="117" t="n">
        <x:f>'Продажи'!P26+'ОБЪЕКТЫ'!P92</x:f>
      </x:c>
      <x:c r="Q10" s="117" t="n">
        <x:f>'Продажи'!Q26+'ОБЪЕКТЫ'!Q92</x:f>
      </x:c>
      <x:c r="R10" s="117" t="n">
        <x:f>'Продажи'!R26+'ОБЪЕКТЫ'!R92</x:f>
      </x:c>
      <x:c r="S10" s="117" t="n">
        <x:f>'Продажи'!S26+'ОБЪЕКТЫ'!S92</x:f>
      </x:c>
      <x:c r="T10" s="117" t="n">
        <x:f>'Продажи'!T26+'ОБЪЕКТЫ'!T92</x:f>
      </x:c>
      <x:c r="U10" s="117" t="n">
        <x:f>'Продажи'!U26+'ОБЪЕКТЫ'!U92</x:f>
      </x:c>
      <x:c r="V10" s="117" t="n">
        <x:f>'Продажи'!V26+'ОБЪЕКТЫ'!V92</x:f>
      </x:c>
      <x:c r="W10" s="117" t="n">
        <x:f>'Продажи'!W26+'ОБЪЕКТЫ'!W92</x:f>
      </x:c>
      <x:c r="X10" s="117" t="n">
        <x:f>'Продажи'!X26+'ОБЪЕКТЫ'!X92</x:f>
      </x:c>
      <x:c r="Y10" s="117" t="n">
        <x:f>'Продажи'!Y26+'ОБЪЕКТЫ'!Y92</x:f>
      </x:c>
      <x:c r="Z10" s="117" t="n">
        <x:f>'Продажи'!Z26+'ОБЪЕКТЫ'!Z92</x:f>
      </x:c>
      <x:c r="AA10" s="117" t="n">
        <x:f>'Продажи'!AA26+'ОБЪЕКТЫ'!AA92</x:f>
      </x:c>
      <x:c r="AB10" s="117" t="n">
        <x:f>'Продажи'!AB26+'ОБЪЕКТЫ'!AB92</x:f>
      </x:c>
      <x:c r="AC10" s="117" t="n">
        <x:f>'Продажи'!AC26+'ОБЪЕКТЫ'!AC92</x:f>
      </x:c>
      <x:c r="AD10" s="117" t="n">
        <x:f>'Продажи'!AD26+'ОБЪЕКТЫ'!AD92</x:f>
      </x:c>
      <x:c r="AE10" s="117" t="n">
        <x:f>'Продажи'!AE26+'ОБЪЕКТЫ'!AE92</x:f>
      </x:c>
      <x:c r="AF10" s="117" t="n">
        <x:f>'Продажи'!AF26+'ОБЪЕКТЫ'!AF92</x:f>
      </x:c>
      <x:c r="AG10" s="117" t="n">
        <x:f>'Продажи'!AG26+'ОБЪЕКТЫ'!AG92</x:f>
      </x:c>
      <x:c r="AH10" s="117" t="n">
        <x:f>'Продажи'!AH26+'ОБЪЕКТЫ'!AH92</x:f>
      </x:c>
      <x:c r="AI10" s="117" t="n">
        <x:f>'Продажи'!AI26+'ОБЪЕКТЫ'!AI92</x:f>
      </x:c>
      <x:c r="AJ10" s="117" t="n">
        <x:f>'Продажи'!AJ26+'ОБЪЕКТЫ'!AJ92</x:f>
      </x:c>
      <x:c r="AK10" s="117" t="n">
        <x:f>'Продажи'!AK26+'ОБЪЕКТЫ'!AK92</x:f>
      </x:c>
      <x:c r="AL10" s="117" t="n">
        <x:f>'Продажи'!AL26+'ОБЪЕКТЫ'!AL92</x:f>
      </x:c>
      <x:c r="AM10" s="117" t="n">
        <x:f>'Продажи'!AM26+'ОБЪЕКТЫ'!AM92</x:f>
      </x:c>
      <x:c r="AN10" s="117" t="n">
        <x:f>'Продажи'!AN26+'ОБЪЕКТЫ'!AN92</x:f>
      </x:c>
      <x:c r="AO10" s="117" t="n">
        <x:f>'Продажи'!AO26+'ОБЪЕКТЫ'!AO92</x:f>
      </x:c>
      <x:c r="AP10" s="117" t="n">
        <x:f>'Продажи'!AP26+'ОБЪЕКТЫ'!AP92</x:f>
      </x:c>
      <x:c r="AQ10" s="117" t="n">
        <x:f>'Продажи'!AQ26+'ОБЪЕКТЫ'!AQ92</x:f>
      </x:c>
      <x:c r="AR10" s="117" t="n">
        <x:f>'Продажи'!AR26+'ОБЪЕКТЫ'!AR92</x:f>
      </x:c>
      <x:c r="AS10" s="117" t="n">
        <x:f>'Продажи'!AS26+'ОБЪЕКТЫ'!AS92</x:f>
      </x:c>
      <x:c r="AT10" s="117" t="n">
        <x:f>'Продажи'!AT26+'ОБЪЕКТЫ'!AT92</x:f>
      </x:c>
      <x:c r="AU10" s="117" t="n">
        <x:f>'Продажи'!AU26+'ОБЪЕКТЫ'!AU92</x:f>
      </x:c>
      <x:c r="AV10" s="117" t="n">
        <x:f>'Продажи'!AV26+'ОБЪЕКТЫ'!AV92</x:f>
      </x:c>
      <x:c r="AW10" s="117" t="n">
        <x:f>'Продажи'!AW26+'ОБЪЕКТЫ'!AW92</x:f>
      </x:c>
      <x:c r="AX10" s="117" t="n">
        <x:f>'Продажи'!AX26+'ОБЪЕКТЫ'!AX92</x:f>
      </x:c>
      <x:c r="AY10" s="117" t="n">
        <x:f>'Продажи'!AY26+'ОБЪЕКТЫ'!AY92</x:f>
      </x:c>
      <x:c r="AZ10" s="117" t="n">
        <x:f>'Продажи'!AZ26+'ОБЪЕКТЫ'!AZ92</x:f>
      </x:c>
      <x:c r="BA10" s="117" t="n">
        <x:f>'Продажи'!BA26+'ОБЪЕКТЫ'!BA92</x:f>
      </x:c>
      <x:c r="BB10" s="117" t="n">
        <x:f>'Продажи'!BB26+'ОБЪЕКТЫ'!BB92</x:f>
      </x:c>
      <x:c r="BC10" s="117" t="n">
        <x:f>'Продажи'!BC26+'ОБЪЕКТЫ'!BC92</x:f>
      </x:c>
      <x:c r="BD10" s="117" t="n">
        <x:f>'Продажи'!BD26+'ОБЪЕКТЫ'!BD92</x:f>
      </x:c>
      <x:c r="BE10" s="117" t="n">
        <x:f>'Продажи'!BE26+'ОБЪЕКТЫ'!BE92</x:f>
      </x:c>
      <x:c r="BF10" s="117" t="n">
        <x:f>'Продажи'!BF26+'ОБЪЕКТЫ'!BF92</x:f>
      </x:c>
      <x:c r="BG10" s="117" t="n">
        <x:f>'Продажи'!BG26+'ОБЪЕКТЫ'!BG92</x:f>
      </x:c>
      <x:c r="BH10" s="117" t="n">
        <x:f>'Продажи'!BH26+'ОБЪЕКТЫ'!BH92</x:f>
      </x:c>
      <x:c r="BI10" s="117" t="n">
        <x:f>'Продажи'!BI26+'ОБЪЕКТЫ'!BI92</x:f>
      </x:c>
      <x:c r="BJ10" s="117" t="n">
        <x:f>'Продажи'!BJ26+'ОБЪЕКТЫ'!BJ92</x:f>
      </x:c>
      <x:c r="BK10" s="117" t="n">
        <x:f>'Продажи'!BK26+'ОБЪЕКТЫ'!BK92</x:f>
      </x:c>
      <x:c r="BL10" s="117" t="n">
        <x:f>'Продажи'!BL26+'ОБЪЕКТЫ'!BL92</x:f>
      </x:c>
      <x:c r="BM10" s="117" t="n">
        <x:f>'Продажи'!BM26+'ОБЪЕКТЫ'!BM92</x:f>
      </x:c>
      <x:c r="BN10" s="117" t="n">
        <x:f>'Продажи'!BN26+'ОБЪЕКТЫ'!BN92</x:f>
      </x:c>
      <x:c r="BO10" s="117" t="n">
        <x:f>'Продажи'!BO26+'ОБЪЕКТЫ'!BO92</x:f>
      </x:c>
      <x:c r="BP10" s="117" t="n">
        <x:f>'Продажи'!BP26+'ОБЪЕКТЫ'!BP92</x:f>
      </x:c>
      <x:c r="BQ10" s="117" t="n">
        <x:f>'Продажи'!BQ26+'ОБЪЕКТЫ'!BQ92</x:f>
      </x:c>
      <x:c r="BR10" s="117" t="n">
        <x:f>'Продажи'!BR26+'ОБЪЕКТЫ'!BR92</x:f>
      </x:c>
      <x:c r="BS10" s="117" t="n">
        <x:f>'Продажи'!BS26+'ОБЪЕКТЫ'!BS92</x:f>
      </x:c>
      <x:c r="BT10" s="117" t="n">
        <x:f>'Продажи'!BT26+'ОБЪЕКТЫ'!BT92</x:f>
      </x:c>
      <x:c r="BU10" s="117" t="n">
        <x:f>'Продажи'!BU26+'ОБЪЕКТЫ'!BU92</x:f>
      </x:c>
      <x:c r="BV10" s="117" t="n">
        <x:f>'Продажи'!BV26+'ОБЪЕКТЫ'!BV92</x:f>
      </x:c>
      <x:c r="BW10" s="117" t="n">
        <x:f>'Продажи'!BW26+'ОБЪЕКТЫ'!BW92</x:f>
      </x:c>
      <x:c r="BX10" s="117" t="n">
        <x:f>'Продажи'!BX26+'ОБЪЕКТЫ'!BX92</x:f>
      </x:c>
      <x:c r="BY10" s="117" t="n">
        <x:f>'Продажи'!BY26+'ОБЪЕКТЫ'!BY92</x:f>
      </x:c>
      <x:c r="BZ10" s="117" t="n">
        <x:f>'Продажи'!BZ26+'ОБЪЕКТЫ'!BZ92</x:f>
      </x:c>
      <x:c r="CA10" s="117" t="n">
        <x:f>'Продажи'!CA26+'ОБЪЕКТЫ'!CA92</x:f>
      </x:c>
      <x:c r="CB10" s="117" t="n">
        <x:f>'Продажи'!CB26+'ОБЪЕКТЫ'!CB92</x:f>
      </x:c>
      <x:c r="CC10" s="117" t="n">
        <x:f>'Продажи'!CC26+'ОБЪЕКТЫ'!CC92</x:f>
      </x:c>
      <x:c r="CD10" s="117" t="n">
        <x:f>'Продажи'!CD26+'ОБЪЕКТЫ'!CD92</x:f>
      </x:c>
      <x:c r="CE10" s="117" t="n">
        <x:f>'Продажи'!CE26+'ОБЪЕКТЫ'!CE92</x:f>
      </x:c>
      <x:c r="CF10" s="117" t="n">
        <x:f>'Продажи'!CF26+'ОБЪЕКТЫ'!CF92</x:f>
      </x:c>
      <x:c r="CG10" s="117" t="n">
        <x:f>'Продажи'!CG26+'ОБЪЕКТЫ'!CG92</x:f>
      </x:c>
      <x:c r="CH10" s="117" t="n">
        <x:f>'Продажи'!CH26+'ОБЪЕКТЫ'!CH92</x:f>
      </x:c>
      <x:c r="CI10" s="117" t="n">
        <x:f>'Продажи'!CI26+'ОБЪЕКТЫ'!CI92</x:f>
      </x:c>
      <x:c r="CJ10" s="117" t="n">
        <x:f>'Продажи'!CJ26+'ОБЪЕКТЫ'!CJ92</x:f>
      </x:c>
      <x:c r="CK10" s="117" t="n">
        <x:f>'Продажи'!CK26+'ОБЪЕКТЫ'!CK92</x:f>
      </x:c>
      <x:c r="CL10" s="117" t="n">
        <x:f>'Продажи'!CL26+'ОБЪЕКТЫ'!CL92</x:f>
      </x:c>
      <x:c r="CM10" s="117" t="n">
        <x:f>'Продажи'!CM26+'ОБЪЕКТЫ'!CM92</x:f>
      </x:c>
      <x:c r="CN10" s="117" t="n">
        <x:f>'Продажи'!CN26+'ОБЪЕКТЫ'!CN92</x:f>
      </x:c>
      <x:c r="CO10" s="117" t="n">
        <x:f>'Продажи'!CO26+'ОБЪЕКТЫ'!CO92</x:f>
      </x:c>
      <x:c r="CP10" s="117" t="n">
        <x:f>'Продажи'!CP26+'ОБЪЕКТЫ'!CP92</x:f>
      </x:c>
      <x:c r="CQ10" s="117" t="n">
        <x:f>'Продажи'!CQ26+'ОБЪЕКТЫ'!CQ92</x:f>
      </x:c>
      <x:c r="CR10" s="117" t="n">
        <x:f>'Продажи'!CR26+'ОБЪЕКТЫ'!CR92</x:f>
      </x:c>
      <x:c r="CS10" s="117" t="n">
        <x:f>'Продажи'!CS26+'ОБЪЕКТЫ'!CS92</x:f>
      </x:c>
      <x:c r="CT10" s="117" t="n">
        <x:f>'Продажи'!CT26+'ОБЪЕКТЫ'!CT92</x:f>
      </x:c>
      <x:c r="CU10" s="117" t="n">
        <x:f>'Продажи'!CU26+'ОБЪЕКТЫ'!CU92</x:f>
      </x:c>
      <x:c r="CV10" s="117" t="n">
        <x:f>'Продажи'!CV26+'ОБЪЕКТЫ'!CV92</x:f>
      </x:c>
      <x:c r="CW10" s="117" t="n">
        <x:f>'Продажи'!CW26+'ОБЪЕКТЫ'!CW92</x:f>
      </x:c>
      <x:c r="CX10" s="117" t="n">
        <x:f>'Продажи'!CX26+'ОБЪЕКТЫ'!CX92</x:f>
      </x:c>
      <x:c r="CY10" s="117" t="n">
        <x:f>'Продажи'!CY26+'ОБЪЕКТЫ'!CY92</x:f>
      </x:c>
      <x:c r="CZ10" s="117" t="n">
        <x:f>'Продажи'!CZ26+'ОБЪЕКТЫ'!CZ92</x:f>
      </x:c>
      <x:c r="DA10" s="117" t="n">
        <x:f>'Продажи'!DA26+'ОБЪЕКТЫ'!DA92</x:f>
      </x:c>
      <x:c r="DB10" s="117" t="n">
        <x:f>'Продажи'!DB26+'ОБЪЕКТЫ'!DB92</x:f>
      </x:c>
      <x:c r="DC10" s="117" t="n">
        <x:f>'Продажи'!DC26+'ОБЪЕКТЫ'!DC92</x:f>
      </x:c>
      <x:c r="DD10" s="117" t="n">
        <x:f>'Продажи'!DD26+'ОБЪЕКТЫ'!DD92</x:f>
      </x:c>
      <x:c r="DE10" s="117" t="n">
        <x:f>'Продажи'!DE26+'ОБЪЕКТЫ'!DE92</x:f>
      </x:c>
      <x:c r="DF10" s="117" t="n">
        <x:f>'Продажи'!DF26+'ОБЪЕКТЫ'!DF92</x:f>
      </x:c>
      <x:c r="DG10" s="117" t="n">
        <x:f>'Продажи'!DG26+'ОБЪЕКТЫ'!DG92</x:f>
      </x:c>
      <x:c r="DH10" s="117" t="n">
        <x:f>'Продажи'!DH26+'ОБЪЕКТЫ'!DH92</x:f>
      </x:c>
      <x:c r="DI10" s="117" t="n">
        <x:f>'Продажи'!DI26+'ОБЪЕКТЫ'!DI92</x:f>
      </x:c>
      <x:c r="DJ10" s="117" t="n">
        <x:f>'Продажи'!DJ26+'ОБЪЕКТЫ'!DJ92</x:f>
      </x:c>
      <x:c r="DK10" s="117" t="n">
        <x:f>'Продажи'!DK26+'ОБЪЕКТЫ'!DK92</x:f>
      </x:c>
      <x:c r="DL10" s="117" t="n">
        <x:f>'Продажи'!DL26+'ОБЪЕКТЫ'!DL92</x:f>
      </x:c>
      <x:c r="DM10" s="117" t="n">
        <x:f>'Продажи'!DM26+'ОБЪЕКТЫ'!DM92</x:f>
      </x:c>
      <x:c r="DN10" s="117" t="n">
        <x:f>'Продажи'!DN26+'ОБЪЕКТЫ'!DN92</x:f>
      </x:c>
      <x:c r="DO10" s="117" t="n">
        <x:f>'Продажи'!DO26+'ОБЪЕКТЫ'!DO92</x:f>
      </x:c>
      <x:c r="DP10" s="117" t="n">
        <x:f>'Продажи'!DP26+'ОБЪЕКТЫ'!DP92</x:f>
      </x:c>
      <x:c r="DQ10" s="117" t="n">
        <x:f>'Продажи'!DQ26+'ОБЪЕКТЫ'!DQ92</x:f>
      </x:c>
      <x:c r="DR10" s="117" t="n">
        <x:f>'Продажи'!DR26+'ОБЪЕКТЫ'!DR92</x:f>
      </x:c>
      <x:c r="DS10" s="117" t="n">
        <x:f>'Продажи'!DS26+'ОБЪЕКТЫ'!DS92</x:f>
      </x:c>
      <x:c r="DT10" s="117" t="n">
        <x:f>'Продажи'!DT26+'ОБЪЕКТЫ'!DT92</x:f>
      </x:c>
      <x:c r="DU10" s="117" t="n">
        <x:f>'Продажи'!DU26+'ОБЪЕКТЫ'!DU92</x:f>
      </x:c>
      <x:c r="DV10" s="117" t="n">
        <x:f>'Продажи'!DV26+'ОБЪЕКТЫ'!DV92</x:f>
      </x:c>
      <x:c r="DW10" s="117" t="n">
        <x:f>'Продажи'!DW26+'ОБЪЕКТЫ'!DW92</x:f>
      </x:c>
      <x:c r="DX10" s="117" t="n">
        <x:f>'Продажи'!DX26+'ОБЪЕКТЫ'!DX92</x:f>
      </x:c>
      <x:c r="DY10" s="117" t="n">
        <x:f>'Продажи'!DY26+'ОБЪЕКТЫ'!DY92</x:f>
      </x:c>
      <x:c r="DZ10" s="117" t="n">
        <x:f>'Продажи'!DZ26+'ОБЪЕКТЫ'!DZ92</x:f>
      </x:c>
      <x:c r="EA10" s="117" t="n">
        <x:f>'Продажи'!EA26+'ОБЪЕКТЫ'!EA92</x:f>
      </x:c>
      <x:c r="EB10" s="117" t="n">
        <x:f>'Продажи'!EB26+'ОБЪЕКТЫ'!EB92</x:f>
      </x:c>
      <x:c r="EC10" s="117" t="n">
        <x:f>'Продажи'!EC26+'ОБЪЕКТЫ'!EC92</x:f>
      </x:c>
      <x:c r="ED10" s="117" t="n">
        <x:f>'Продажи'!ED26+'ОБЪЕКТЫ'!ED92</x:f>
      </x:c>
      <x:c r="EE10" s="117" t="n">
        <x:f>'Продажи'!EE26+'ОБЪЕКТЫ'!EE92</x:f>
      </x:c>
      <x:c r="EF10" s="117" t="n">
        <x:f>'Продажи'!EF26+'ОБЪЕКТЫ'!EF92</x:f>
      </x:c>
      <x:c r="EG10" s="117" t="n">
        <x:f>'Продажи'!EG26+'ОБЪЕКТЫ'!EG92</x:f>
      </x:c>
      <x:c r="EH10" s="117" t="n">
        <x:f>'Продажи'!EH26+'ОБЪЕКТЫ'!EH92</x:f>
      </x:c>
      <x:c r="EI10" s="117" t="n">
        <x:f>'Продажи'!EI26+'ОБЪЕКТЫ'!EI92</x:f>
      </x:c>
      <x:c r="EJ10" s="117" t="n">
        <x:f>'Продажи'!EJ26+'ОБЪЕКТЫ'!EJ92</x:f>
      </x:c>
      <x:c r="EK10" s="117" t="n">
        <x:f>'Продажи'!EK26+'ОБЪЕКТЫ'!EK92</x:f>
      </x:c>
      <x:c r="EL10" s="117" t="n">
        <x:f>'Продажи'!EL26+'ОБЪЕКТЫ'!EL92</x:f>
      </x:c>
      <x:c r="EM10" s="117" t="n">
        <x:f>'Продажи'!EM26+'ОБЪЕКТЫ'!EM92</x:f>
      </x:c>
      <x:c r="EN10" s="117" t="n">
        <x:f>'Продажи'!EN26+'ОБЪЕКТЫ'!EN92</x:f>
      </x:c>
      <x:c r="EO10" s="117" t="n">
        <x:f>'Продажи'!EO26+'ОБЪЕКТЫ'!EO92</x:f>
      </x:c>
      <x:c r="EP10" s="117" t="n">
        <x:f>'Продажи'!EP26+'ОБЪЕКТЫ'!EP92</x:f>
      </x:c>
      <x:c r="EQ10" s="117" t="n">
        <x:f>'Продажи'!EQ26+'ОБЪЕКТЫ'!EQ92</x:f>
      </x:c>
      <x:c r="ER10" s="117" t="n">
        <x:f>'Продажи'!ER26+'ОБЪЕКТЫ'!ER92</x:f>
      </x:c>
      <x:c r="ES10" s="117" t="n">
        <x:f>'Продажи'!ES26+'ОБЪЕКТЫ'!ES92</x:f>
      </x:c>
      <x:c r="ET10" s="117" t="n">
        <x:f>'Продажи'!ET26+'ОБЪЕКТЫ'!ET92</x:f>
      </x:c>
      <x:c r="EU10" s="117" t="n">
        <x:f>'Продажи'!EU26+'ОБЪЕКТЫ'!EU92</x:f>
      </x:c>
      <x:c r="EV10" s="117" t="n">
        <x:f>'Продажи'!EV26+'ОБЪЕКТЫ'!EV92</x:f>
      </x:c>
      <x:c r="EW10" s="117" t="n">
        <x:f>'Продажи'!EW26+'ОБЪЕКТЫ'!EW92</x:f>
      </x:c>
      <x:c r="EX10" s="117" t="n">
        <x:f>'Продажи'!EX26+'ОБЪЕКТЫ'!EX92</x:f>
      </x:c>
      <x:c r="EY10" s="117" t="n">
        <x:f>'Продажи'!EY26+'ОБЪЕКТЫ'!EY92</x:f>
      </x:c>
      <x:c r="EZ10" s="117" t="n">
        <x:f>'Продажи'!EZ26+'ОБЪЕКТЫ'!EZ92</x:f>
      </x:c>
      <x:c r="FA10" s="117" t="n">
        <x:f>'Продажи'!FA26+'ОБЪЕКТЫ'!FA92</x:f>
      </x:c>
      <x:c r="FB10" s="117" t="n">
        <x:f>'Продажи'!FB26+'ОБЪЕКТЫ'!FB92</x:f>
      </x:c>
      <x:c r="FC10" s="117" t="n">
        <x:f>'Продажи'!FC26+'ОБЪЕКТЫ'!FC92</x:f>
      </x:c>
      <x:c r="FD10" s="117" t="n">
        <x:f>'Продажи'!FD26+'ОБЪЕКТЫ'!FD92</x:f>
      </x:c>
      <x:c r="FE10" s="117" t="n">
        <x:f>'Продажи'!FE26+'ОБЪЕКТЫ'!FE92</x:f>
      </x:c>
      <x:c r="FF10" s="117" t="n">
        <x:f>'Продажи'!FF26+'ОБЪЕКТЫ'!FF92</x:f>
      </x:c>
      <x:c r="FG10" s="117" t="n">
        <x:f>'Продажи'!FG26+'ОБЪЕКТЫ'!FG92</x:f>
      </x:c>
      <x:c r="FH10" s="117" t="n">
        <x:f>'Продажи'!FH26+'ОБЪЕКТЫ'!FH92</x:f>
      </x:c>
      <x:c r="FI10" s="117" t="n">
        <x:f>'Продажи'!FI26+'ОБЪЕКТЫ'!FI92</x:f>
      </x:c>
      <x:c r="FJ10" s="117" t="n">
        <x:f>'Продажи'!FJ26+'ОБЪЕКТЫ'!FJ92</x:f>
      </x:c>
      <x:c r="FK10" s="117" t="n">
        <x:f>'Продажи'!FK26+'ОБЪЕКТЫ'!FK92</x:f>
      </x:c>
      <x:c r="FL10" s="117" t="n">
        <x:f>'Продажи'!FL26+'ОБЪЕКТЫ'!FL92</x:f>
      </x:c>
      <x:c r="FM10" s="117" t="n">
        <x:f>'Продажи'!FM26+'ОБЪЕКТЫ'!FM92</x:f>
      </x:c>
      <x:c r="FN10" s="117" t="n">
        <x:f>'Продажи'!FN26+'ОБЪЕКТЫ'!FN92</x:f>
      </x:c>
      <x:c r="FO10" s="117" t="n">
        <x:f>'Продажи'!FO26+'ОБЪЕКТЫ'!FO92</x:f>
      </x:c>
      <x:c r="FP10" s="117" t="n">
        <x:f>'Продажи'!FP26+'ОБЪЕКТЫ'!FP92</x:f>
      </x:c>
      <x:c r="FQ10" s="117" t="n">
        <x:f>'Продажи'!FQ26+'ОБЪЕКТЫ'!FQ92</x:f>
      </x:c>
      <x:c r="FR10" s="117" t="n">
        <x:f>'Продажи'!FR26+'ОБЪЕКТЫ'!FR92</x:f>
      </x:c>
      <x:c r="FS10" s="117" t="n">
        <x:f>'Продажи'!FS26+'ОБЪЕКТЫ'!FS92</x:f>
      </x:c>
      <x:c r="FT10" s="117" t="n">
        <x:f>'Продажи'!FT26+'ОБЪЕКТЫ'!FT92</x:f>
      </x:c>
      <x:c r="FU10" s="117" t="n">
        <x:f>'Продажи'!FU26+'ОБЪЕКТЫ'!FU92</x:f>
      </x:c>
      <x:c r="FV10" s="117" t="n">
        <x:f>'Продажи'!FV26+'ОБЪЕКТЫ'!FV92</x:f>
      </x:c>
      <x:c r="FW10" s="117" t="n">
        <x:f>'Продажи'!FW26+'ОБЪЕКТЫ'!FW92</x:f>
      </x:c>
      <x:c r="FX10" s="117" t="n">
        <x:f>'Продажи'!FX26+'ОБЪЕКТЫ'!FX92</x:f>
      </x:c>
      <x:c r="FY10" s="117" t="n">
        <x:f>'Продажи'!FY26+'ОБЪЕКТЫ'!FY92</x:f>
      </x:c>
      <x:c r="FZ10" s="117" t="n">
        <x:f>'Продажи'!FZ26+'ОБЪЕКТЫ'!FZ92</x:f>
      </x:c>
      <x:c r="GA10" s="117" t="n">
        <x:f>'Продажи'!GA26+'ОБЪЕКТЫ'!GA92</x:f>
      </x:c>
    </x:row>
    <x:row r="11">
      <x:c r="A11" t="str">
        <x:v>Поступления на эскроу</x:v>
      </x:c>
      <x:c r="B11" t="n">
        <x:f>SUM(D11:GA11)</x:f>
      </x:c>
      <x:c r="C11" t="str">
        <x:v>млн ₽</x:v>
      </x:c>
      <x:c r="D11" s="117" t="n">
        <x:f>IF(D$3&lt;$B$8,'Продажи'!D26,0)+'ОБЪЕКТЫ'!D93</x:f>
      </x:c>
      <x:c r="E11" s="117" t="n">
        <x:f>IF(E$3&lt;$B$8,'Продажи'!E26,0)+'ОБЪЕКТЫ'!E93</x:f>
      </x:c>
      <x:c r="F11" s="117" t="n">
        <x:f>IF(F$3&lt;$B$8,'Продажи'!F26,0)+'ОБЪЕКТЫ'!F93</x:f>
      </x:c>
      <x:c r="G11" s="117" t="n">
        <x:f>IF(G$3&lt;$B$8,'Продажи'!G26,0)+'ОБЪЕКТЫ'!G93</x:f>
      </x:c>
      <x:c r="H11" s="117" t="n">
        <x:f>IF(H$3&lt;$B$8,'Продажи'!H26,0)+'ОБЪЕКТЫ'!H93</x:f>
      </x:c>
      <x:c r="I11" s="117" t="n">
        <x:f>IF(I$3&lt;$B$8,'Продажи'!I26,0)+'ОБЪЕКТЫ'!I93</x:f>
      </x:c>
      <x:c r="J11" s="117" t="n">
        <x:f>IF(J$3&lt;$B$8,'Продажи'!J26,0)+'ОБЪЕКТЫ'!J93</x:f>
      </x:c>
      <x:c r="K11" s="117" t="n">
        <x:f>IF(K$3&lt;$B$8,'Продажи'!K26,0)+'ОБЪЕКТЫ'!K93</x:f>
      </x:c>
      <x:c r="L11" s="117" t="n">
        <x:f>IF(L$3&lt;$B$8,'Продажи'!L26,0)+'ОБЪЕКТЫ'!L93</x:f>
      </x:c>
      <x:c r="M11" s="117" t="n">
        <x:f>IF(M$3&lt;$B$8,'Продажи'!M26,0)+'ОБЪЕКТЫ'!M93</x:f>
      </x:c>
      <x:c r="N11" s="117" t="n">
        <x:f>IF(N$3&lt;$B$8,'Продажи'!N26,0)+'ОБЪЕКТЫ'!N93</x:f>
      </x:c>
      <x:c r="O11" s="117" t="n">
        <x:f>IF(O$3&lt;$B$8,'Продажи'!O26,0)+'ОБЪЕКТЫ'!O93</x:f>
      </x:c>
      <x:c r="P11" s="117" t="n">
        <x:f>IF(P$3&lt;$B$8,'Продажи'!P26,0)+'ОБЪЕКТЫ'!P93</x:f>
      </x:c>
      <x:c r="Q11" s="117" t="n">
        <x:f>IF(Q$3&lt;$B$8,'Продажи'!Q26,0)+'ОБЪЕКТЫ'!Q93</x:f>
      </x:c>
      <x:c r="R11" s="117" t="n">
        <x:f>IF(R$3&lt;$B$8,'Продажи'!R26,0)+'ОБЪЕКТЫ'!R93</x:f>
      </x:c>
      <x:c r="S11" s="117" t="n">
        <x:f>IF(S$3&lt;$B$8,'Продажи'!S26,0)+'ОБЪЕКТЫ'!S93</x:f>
      </x:c>
      <x:c r="T11" s="117" t="n">
        <x:f>IF(T$3&lt;$B$8,'Продажи'!T26,0)+'ОБЪЕКТЫ'!T93</x:f>
      </x:c>
      <x:c r="U11" s="117" t="n">
        <x:f>IF(U$3&lt;$B$8,'Продажи'!U26,0)+'ОБЪЕКТЫ'!U93</x:f>
      </x:c>
      <x:c r="V11" s="117" t="n">
        <x:f>IF(V$3&lt;$B$8,'Продажи'!V26,0)+'ОБЪЕКТЫ'!V93</x:f>
      </x:c>
      <x:c r="W11" s="117" t="n">
        <x:f>IF(W$3&lt;$B$8,'Продажи'!W26,0)+'ОБЪЕКТЫ'!W93</x:f>
      </x:c>
      <x:c r="X11" s="117" t="n">
        <x:f>IF(X$3&lt;$B$8,'Продажи'!X26,0)+'ОБЪЕКТЫ'!X93</x:f>
      </x:c>
      <x:c r="Y11" s="117" t="n">
        <x:f>IF(Y$3&lt;$B$8,'Продажи'!Y26,0)+'ОБЪЕКТЫ'!Y93</x:f>
      </x:c>
      <x:c r="Z11" s="117" t="n">
        <x:f>IF(Z$3&lt;$B$8,'Продажи'!Z26,0)+'ОБЪЕКТЫ'!Z93</x:f>
      </x:c>
      <x:c r="AA11" s="117" t="n">
        <x:f>IF(AA$3&lt;$B$8,'Продажи'!AA26,0)+'ОБЪЕКТЫ'!AA93</x:f>
      </x:c>
      <x:c r="AB11" s="117" t="n">
        <x:f>IF(AB$3&lt;$B$8,'Продажи'!AB26,0)+'ОБЪЕКТЫ'!AB93</x:f>
      </x:c>
      <x:c r="AC11" s="117" t="n">
        <x:f>IF(AC$3&lt;$B$8,'Продажи'!AC26,0)+'ОБЪЕКТЫ'!AC93</x:f>
      </x:c>
      <x:c r="AD11" s="117" t="n">
        <x:f>IF(AD$3&lt;$B$8,'Продажи'!AD26,0)+'ОБЪЕКТЫ'!AD93</x:f>
      </x:c>
      <x:c r="AE11" s="117" t="n">
        <x:f>IF(AE$3&lt;$B$8,'Продажи'!AE26,0)+'ОБЪЕКТЫ'!AE93</x:f>
      </x:c>
      <x:c r="AF11" s="117" t="n">
        <x:f>IF(AF$3&lt;$B$8,'Продажи'!AF26,0)+'ОБЪЕКТЫ'!AF93</x:f>
      </x:c>
      <x:c r="AG11" s="117" t="n">
        <x:f>IF(AG$3&lt;$B$8,'Продажи'!AG26,0)+'ОБЪЕКТЫ'!AG93</x:f>
      </x:c>
      <x:c r="AH11" s="117" t="n">
        <x:f>IF(AH$3&lt;$B$8,'Продажи'!AH26,0)+'ОБЪЕКТЫ'!AH93</x:f>
      </x:c>
      <x:c r="AI11" s="117" t="n">
        <x:f>IF(AI$3&lt;$B$8,'Продажи'!AI26,0)+'ОБЪЕКТЫ'!AI93</x:f>
      </x:c>
      <x:c r="AJ11" s="117" t="n">
        <x:f>IF(AJ$3&lt;$B$8,'Продажи'!AJ26,0)+'ОБЪЕКТЫ'!AJ93</x:f>
      </x:c>
      <x:c r="AK11" s="117" t="n">
        <x:f>IF(AK$3&lt;$B$8,'Продажи'!AK26,0)+'ОБЪЕКТЫ'!AK93</x:f>
      </x:c>
      <x:c r="AL11" s="117" t="n">
        <x:f>IF(AL$3&lt;$B$8,'Продажи'!AL26,0)+'ОБЪЕКТЫ'!AL93</x:f>
      </x:c>
      <x:c r="AM11" s="117" t="n">
        <x:f>IF(AM$3&lt;$B$8,'Продажи'!AM26,0)+'ОБЪЕКТЫ'!AM93</x:f>
      </x:c>
      <x:c r="AN11" s="117" t="n">
        <x:f>IF(AN$3&lt;$B$8,'Продажи'!AN26,0)+'ОБЪЕКТЫ'!AN93</x:f>
      </x:c>
      <x:c r="AO11" s="117" t="n">
        <x:f>IF(AO$3&lt;$B$8,'Продажи'!AO26,0)+'ОБЪЕКТЫ'!AO93</x:f>
      </x:c>
      <x:c r="AP11" s="117" t="n">
        <x:f>IF(AP$3&lt;$B$8,'Продажи'!AP26,0)+'ОБЪЕКТЫ'!AP93</x:f>
      </x:c>
      <x:c r="AQ11" s="117" t="n">
        <x:f>IF(AQ$3&lt;$B$8,'Продажи'!AQ26,0)+'ОБЪЕКТЫ'!AQ93</x:f>
      </x:c>
      <x:c r="AR11" s="117" t="n">
        <x:f>IF(AR$3&lt;$B$8,'Продажи'!AR26,0)+'ОБЪЕКТЫ'!AR93</x:f>
      </x:c>
      <x:c r="AS11" s="117" t="n">
        <x:f>IF(AS$3&lt;$B$8,'Продажи'!AS26,0)+'ОБЪЕКТЫ'!AS93</x:f>
      </x:c>
      <x:c r="AT11" s="117" t="n">
        <x:f>IF(AT$3&lt;$B$8,'Продажи'!AT26,0)+'ОБЪЕКТЫ'!AT93</x:f>
      </x:c>
      <x:c r="AU11" s="117" t="n">
        <x:f>IF(AU$3&lt;$B$8,'Продажи'!AU26,0)+'ОБЪЕКТЫ'!AU93</x:f>
      </x:c>
      <x:c r="AV11" s="117" t="n">
        <x:f>IF(AV$3&lt;$B$8,'Продажи'!AV26,0)+'ОБЪЕКТЫ'!AV93</x:f>
      </x:c>
      <x:c r="AW11" s="117" t="n">
        <x:f>IF(AW$3&lt;$B$8,'Продажи'!AW26,0)+'ОБЪЕКТЫ'!AW93</x:f>
      </x:c>
      <x:c r="AX11" s="117" t="n">
        <x:f>IF(AX$3&lt;$B$8,'Продажи'!AX26,0)+'ОБЪЕКТЫ'!AX93</x:f>
      </x:c>
      <x:c r="AY11" s="117" t="n">
        <x:f>IF(AY$3&lt;$B$8,'Продажи'!AY26,0)+'ОБЪЕКТЫ'!AY93</x:f>
      </x:c>
      <x:c r="AZ11" s="117" t="n">
        <x:f>IF(AZ$3&lt;$B$8,'Продажи'!AZ26,0)+'ОБЪЕКТЫ'!AZ93</x:f>
      </x:c>
      <x:c r="BA11" s="117" t="n">
        <x:f>IF(BA$3&lt;$B$8,'Продажи'!BA26,0)+'ОБЪЕКТЫ'!BA93</x:f>
      </x:c>
      <x:c r="BB11" s="117" t="n">
        <x:f>IF(BB$3&lt;$B$8,'Продажи'!BB26,0)+'ОБЪЕКТЫ'!BB93</x:f>
      </x:c>
      <x:c r="BC11" s="117" t="n">
        <x:f>IF(BC$3&lt;$B$8,'Продажи'!BC26,0)+'ОБЪЕКТЫ'!BC93</x:f>
      </x:c>
      <x:c r="BD11" s="117" t="n">
        <x:f>IF(BD$3&lt;$B$8,'Продажи'!BD26,0)+'ОБЪЕКТЫ'!BD93</x:f>
      </x:c>
      <x:c r="BE11" s="117" t="n">
        <x:f>IF(BE$3&lt;$B$8,'Продажи'!BE26,0)+'ОБЪЕКТЫ'!BE93</x:f>
      </x:c>
      <x:c r="BF11" s="117" t="n">
        <x:f>IF(BF$3&lt;$B$8,'Продажи'!BF26,0)+'ОБЪЕКТЫ'!BF93</x:f>
      </x:c>
      <x:c r="BG11" s="117" t="n">
        <x:f>IF(BG$3&lt;$B$8,'Продажи'!BG26,0)+'ОБЪЕКТЫ'!BG93</x:f>
      </x:c>
      <x:c r="BH11" s="117" t="n">
        <x:f>IF(BH$3&lt;$B$8,'Продажи'!BH26,0)+'ОБЪЕКТЫ'!BH93</x:f>
      </x:c>
      <x:c r="BI11" s="117" t="n">
        <x:f>IF(BI$3&lt;$B$8,'Продажи'!BI26,0)+'ОБЪЕКТЫ'!BI93</x:f>
      </x:c>
      <x:c r="BJ11" s="117" t="n">
        <x:f>IF(BJ$3&lt;$B$8,'Продажи'!BJ26,0)+'ОБЪЕКТЫ'!BJ93</x:f>
      </x:c>
      <x:c r="BK11" s="117" t="n">
        <x:f>IF(BK$3&lt;$B$8,'Продажи'!BK26,0)+'ОБЪЕКТЫ'!BK93</x:f>
      </x:c>
      <x:c r="BL11" s="117" t="n">
        <x:f>IF(BL$3&lt;$B$8,'Продажи'!BL26,0)+'ОБЪЕКТЫ'!BL93</x:f>
      </x:c>
      <x:c r="BM11" s="117" t="n">
        <x:f>IF(BM$3&lt;$B$8,'Продажи'!BM26,0)+'ОБЪЕКТЫ'!BM93</x:f>
      </x:c>
      <x:c r="BN11" s="117" t="n">
        <x:f>IF(BN$3&lt;$B$8,'Продажи'!BN26,0)+'ОБЪЕКТЫ'!BN93</x:f>
      </x:c>
      <x:c r="BO11" s="117" t="n">
        <x:f>IF(BO$3&lt;$B$8,'Продажи'!BO26,0)+'ОБЪЕКТЫ'!BO93</x:f>
      </x:c>
      <x:c r="BP11" s="117" t="n">
        <x:f>IF(BP$3&lt;$B$8,'Продажи'!BP26,0)+'ОБЪЕКТЫ'!BP93</x:f>
      </x:c>
      <x:c r="BQ11" s="117" t="n">
        <x:f>IF(BQ$3&lt;$B$8,'Продажи'!BQ26,0)+'ОБЪЕКТЫ'!BQ93</x:f>
      </x:c>
      <x:c r="BR11" s="117" t="n">
        <x:f>IF(BR$3&lt;$B$8,'Продажи'!BR26,0)+'ОБЪЕКТЫ'!BR93</x:f>
      </x:c>
      <x:c r="BS11" s="117" t="n">
        <x:f>IF(BS$3&lt;$B$8,'Продажи'!BS26,0)+'ОБЪЕКТЫ'!BS93</x:f>
      </x:c>
      <x:c r="BT11" s="117" t="n">
        <x:f>IF(BT$3&lt;$B$8,'Продажи'!BT26,0)+'ОБЪЕКТЫ'!BT93</x:f>
      </x:c>
      <x:c r="BU11" s="117" t="n">
        <x:f>IF(BU$3&lt;$B$8,'Продажи'!BU26,0)+'ОБЪЕКТЫ'!BU93</x:f>
      </x:c>
      <x:c r="BV11" s="117" t="n">
        <x:f>IF(BV$3&lt;$B$8,'Продажи'!BV26,0)+'ОБЪЕКТЫ'!BV93</x:f>
      </x:c>
      <x:c r="BW11" s="117" t="n">
        <x:f>IF(BW$3&lt;$B$8,'Продажи'!BW26,0)+'ОБЪЕКТЫ'!BW93</x:f>
      </x:c>
      <x:c r="BX11" s="117" t="n">
        <x:f>IF(BX$3&lt;$B$8,'Продажи'!BX26,0)+'ОБЪЕКТЫ'!BX93</x:f>
      </x:c>
      <x:c r="BY11" s="117" t="n">
        <x:f>IF(BY$3&lt;$B$8,'Продажи'!BY26,0)+'ОБЪЕКТЫ'!BY93</x:f>
      </x:c>
      <x:c r="BZ11" s="117" t="n">
        <x:f>IF(BZ$3&lt;$B$8,'Продажи'!BZ26,0)+'ОБЪЕКТЫ'!BZ93</x:f>
      </x:c>
      <x:c r="CA11" s="117" t="n">
        <x:f>IF(CA$3&lt;$B$8,'Продажи'!CA26,0)+'ОБЪЕКТЫ'!CA93</x:f>
      </x:c>
      <x:c r="CB11" s="117" t="n">
        <x:f>IF(CB$3&lt;$B$8,'Продажи'!CB26,0)+'ОБЪЕКТЫ'!CB93</x:f>
      </x:c>
      <x:c r="CC11" s="117" t="n">
        <x:f>IF(CC$3&lt;$B$8,'Продажи'!CC26,0)+'ОБЪЕКТЫ'!CC93</x:f>
      </x:c>
      <x:c r="CD11" s="117" t="n">
        <x:f>IF(CD$3&lt;$B$8,'Продажи'!CD26,0)+'ОБЪЕКТЫ'!CD93</x:f>
      </x:c>
      <x:c r="CE11" s="117" t="n">
        <x:f>IF(CE$3&lt;$B$8,'Продажи'!CE26,0)+'ОБЪЕКТЫ'!CE93</x:f>
      </x:c>
      <x:c r="CF11" s="117" t="n">
        <x:f>IF(CF$3&lt;$B$8,'Продажи'!CF26,0)+'ОБЪЕКТЫ'!CF93</x:f>
      </x:c>
      <x:c r="CG11" s="117" t="n">
        <x:f>IF(CG$3&lt;$B$8,'Продажи'!CG26,0)+'ОБЪЕКТЫ'!CG93</x:f>
      </x:c>
      <x:c r="CH11" s="117" t="n">
        <x:f>IF(CH$3&lt;$B$8,'Продажи'!CH26,0)+'ОБЪЕКТЫ'!CH93</x:f>
      </x:c>
      <x:c r="CI11" s="117" t="n">
        <x:f>IF(CI$3&lt;$B$8,'Продажи'!CI26,0)+'ОБЪЕКТЫ'!CI93</x:f>
      </x:c>
      <x:c r="CJ11" s="117" t="n">
        <x:f>IF(CJ$3&lt;$B$8,'Продажи'!CJ26,0)+'ОБЪЕКТЫ'!CJ93</x:f>
      </x:c>
      <x:c r="CK11" s="117" t="n">
        <x:f>IF(CK$3&lt;$B$8,'Продажи'!CK26,0)+'ОБЪЕКТЫ'!CK93</x:f>
      </x:c>
      <x:c r="CL11" s="117" t="n">
        <x:f>IF(CL$3&lt;$B$8,'Продажи'!CL26,0)+'ОБЪЕКТЫ'!CL93</x:f>
      </x:c>
      <x:c r="CM11" s="117" t="n">
        <x:f>IF(CM$3&lt;$B$8,'Продажи'!CM26,0)+'ОБЪЕКТЫ'!CM93</x:f>
      </x:c>
      <x:c r="CN11" s="117" t="n">
        <x:f>IF(CN$3&lt;$B$8,'Продажи'!CN26,0)+'ОБЪЕКТЫ'!CN93</x:f>
      </x:c>
      <x:c r="CO11" s="117" t="n">
        <x:f>IF(CO$3&lt;$B$8,'Продажи'!CO26,0)+'ОБЪЕКТЫ'!CO93</x:f>
      </x:c>
      <x:c r="CP11" s="117" t="n">
        <x:f>IF(CP$3&lt;$B$8,'Продажи'!CP26,0)+'ОБЪЕКТЫ'!CP93</x:f>
      </x:c>
      <x:c r="CQ11" s="117" t="n">
        <x:f>IF(CQ$3&lt;$B$8,'Продажи'!CQ26,0)+'ОБЪЕКТЫ'!CQ93</x:f>
      </x:c>
      <x:c r="CR11" s="117" t="n">
        <x:f>IF(CR$3&lt;$B$8,'Продажи'!CR26,0)+'ОБЪЕКТЫ'!CR93</x:f>
      </x:c>
      <x:c r="CS11" s="117" t="n">
        <x:f>IF(CS$3&lt;$B$8,'Продажи'!CS26,0)+'ОБЪЕКТЫ'!CS93</x:f>
      </x:c>
      <x:c r="CT11" s="117" t="n">
        <x:f>IF(CT$3&lt;$B$8,'Продажи'!CT26,0)+'ОБЪЕКТЫ'!CT93</x:f>
      </x:c>
      <x:c r="CU11" s="117" t="n">
        <x:f>IF(CU$3&lt;$B$8,'Продажи'!CU26,0)+'ОБЪЕКТЫ'!CU93</x:f>
      </x:c>
      <x:c r="CV11" s="117" t="n">
        <x:f>IF(CV$3&lt;$B$8,'Продажи'!CV26,0)+'ОБЪЕКТЫ'!CV93</x:f>
      </x:c>
      <x:c r="CW11" s="117" t="n">
        <x:f>IF(CW$3&lt;$B$8,'Продажи'!CW26,0)+'ОБЪЕКТЫ'!CW93</x:f>
      </x:c>
      <x:c r="CX11" s="117" t="n">
        <x:f>IF(CX$3&lt;$B$8,'Продажи'!CX26,0)+'ОБЪЕКТЫ'!CX93</x:f>
      </x:c>
      <x:c r="CY11" s="117" t="n">
        <x:f>IF(CY$3&lt;$B$8,'Продажи'!CY26,0)+'ОБЪЕКТЫ'!CY93</x:f>
      </x:c>
      <x:c r="CZ11" s="117" t="n">
        <x:f>IF(CZ$3&lt;$B$8,'Продажи'!CZ26,0)+'ОБЪЕКТЫ'!CZ93</x:f>
      </x:c>
      <x:c r="DA11" s="117" t="n">
        <x:f>IF(DA$3&lt;$B$8,'Продажи'!DA26,0)+'ОБЪЕКТЫ'!DA93</x:f>
      </x:c>
      <x:c r="DB11" s="117" t="n">
        <x:f>IF(DB$3&lt;$B$8,'Продажи'!DB26,0)+'ОБЪЕКТЫ'!DB93</x:f>
      </x:c>
      <x:c r="DC11" s="117" t="n">
        <x:f>IF(DC$3&lt;$B$8,'Продажи'!DC26,0)+'ОБЪЕКТЫ'!DC93</x:f>
      </x:c>
      <x:c r="DD11" s="117" t="n">
        <x:f>IF(DD$3&lt;$B$8,'Продажи'!DD26,0)+'ОБЪЕКТЫ'!DD93</x:f>
      </x:c>
      <x:c r="DE11" s="117" t="n">
        <x:f>IF(DE$3&lt;$B$8,'Продажи'!DE26,0)+'ОБЪЕКТЫ'!DE93</x:f>
      </x:c>
      <x:c r="DF11" s="117" t="n">
        <x:f>IF(DF$3&lt;$B$8,'Продажи'!DF26,0)+'ОБЪЕКТЫ'!DF93</x:f>
      </x:c>
      <x:c r="DG11" s="117" t="n">
        <x:f>IF(DG$3&lt;$B$8,'Продажи'!DG26,0)+'ОБЪЕКТЫ'!DG93</x:f>
      </x:c>
      <x:c r="DH11" s="117" t="n">
        <x:f>IF(DH$3&lt;$B$8,'Продажи'!DH26,0)+'ОБЪЕКТЫ'!DH93</x:f>
      </x:c>
      <x:c r="DI11" s="117" t="n">
        <x:f>IF(DI$3&lt;$B$8,'Продажи'!DI26,0)+'ОБЪЕКТЫ'!DI93</x:f>
      </x:c>
      <x:c r="DJ11" s="117" t="n">
        <x:f>IF(DJ$3&lt;$B$8,'Продажи'!DJ26,0)+'ОБЪЕКТЫ'!DJ93</x:f>
      </x:c>
      <x:c r="DK11" s="117" t="n">
        <x:f>IF(DK$3&lt;$B$8,'Продажи'!DK26,0)+'ОБЪЕКТЫ'!DK93</x:f>
      </x:c>
      <x:c r="DL11" s="117" t="n">
        <x:f>IF(DL$3&lt;$B$8,'Продажи'!DL26,0)+'ОБЪЕКТЫ'!DL93</x:f>
      </x:c>
      <x:c r="DM11" s="117" t="n">
        <x:f>IF(DM$3&lt;$B$8,'Продажи'!DM26,0)+'ОБЪЕКТЫ'!DM93</x:f>
      </x:c>
      <x:c r="DN11" s="117" t="n">
        <x:f>IF(DN$3&lt;$B$8,'Продажи'!DN26,0)+'ОБЪЕКТЫ'!DN93</x:f>
      </x:c>
      <x:c r="DO11" s="117" t="n">
        <x:f>IF(DO$3&lt;$B$8,'Продажи'!DO26,0)+'ОБЪЕКТЫ'!DO93</x:f>
      </x:c>
      <x:c r="DP11" s="117" t="n">
        <x:f>IF(DP$3&lt;$B$8,'Продажи'!DP26,0)+'ОБЪЕКТЫ'!DP93</x:f>
      </x:c>
      <x:c r="DQ11" s="117" t="n">
        <x:f>IF(DQ$3&lt;$B$8,'Продажи'!DQ26,0)+'ОБЪЕКТЫ'!DQ93</x:f>
      </x:c>
      <x:c r="DR11" s="117" t="n">
        <x:f>IF(DR$3&lt;$B$8,'Продажи'!DR26,0)+'ОБЪЕКТЫ'!DR93</x:f>
      </x:c>
      <x:c r="DS11" s="117" t="n">
        <x:f>IF(DS$3&lt;$B$8,'Продажи'!DS26,0)+'ОБЪЕКТЫ'!DS93</x:f>
      </x:c>
      <x:c r="DT11" s="117" t="n">
        <x:f>IF(DT$3&lt;$B$8,'Продажи'!DT26,0)+'ОБЪЕКТЫ'!DT93</x:f>
      </x:c>
      <x:c r="DU11" s="117" t="n">
        <x:f>IF(DU$3&lt;$B$8,'Продажи'!DU26,0)+'ОБЪЕКТЫ'!DU93</x:f>
      </x:c>
      <x:c r="DV11" s="117" t="n">
        <x:f>IF(DV$3&lt;$B$8,'Продажи'!DV26,0)+'ОБЪЕКТЫ'!DV93</x:f>
      </x:c>
      <x:c r="DW11" s="117" t="n">
        <x:f>IF(DW$3&lt;$B$8,'Продажи'!DW26,0)+'ОБЪЕКТЫ'!DW93</x:f>
      </x:c>
      <x:c r="DX11" s="117" t="n">
        <x:f>IF(DX$3&lt;$B$8,'Продажи'!DX26,0)+'ОБЪЕКТЫ'!DX93</x:f>
      </x:c>
      <x:c r="DY11" s="117" t="n">
        <x:f>IF(DY$3&lt;$B$8,'Продажи'!DY26,0)+'ОБЪЕКТЫ'!DY93</x:f>
      </x:c>
      <x:c r="DZ11" s="117" t="n">
        <x:f>IF(DZ$3&lt;$B$8,'Продажи'!DZ26,0)+'ОБЪЕКТЫ'!DZ93</x:f>
      </x:c>
      <x:c r="EA11" s="117" t="n">
        <x:f>IF(EA$3&lt;$B$8,'Продажи'!EA26,0)+'ОБЪЕКТЫ'!EA93</x:f>
      </x:c>
      <x:c r="EB11" s="117" t="n">
        <x:f>IF(EB$3&lt;$B$8,'Продажи'!EB26,0)+'ОБЪЕКТЫ'!EB93</x:f>
      </x:c>
      <x:c r="EC11" s="117" t="n">
        <x:f>IF(EC$3&lt;$B$8,'Продажи'!EC26,0)+'ОБЪЕКТЫ'!EC93</x:f>
      </x:c>
      <x:c r="ED11" s="117" t="n">
        <x:f>IF(ED$3&lt;$B$8,'Продажи'!ED26,0)+'ОБЪЕКТЫ'!ED93</x:f>
      </x:c>
      <x:c r="EE11" s="117" t="n">
        <x:f>IF(EE$3&lt;$B$8,'Продажи'!EE26,0)+'ОБЪЕКТЫ'!EE93</x:f>
      </x:c>
      <x:c r="EF11" s="117" t="n">
        <x:f>IF(EF$3&lt;$B$8,'Продажи'!EF26,0)+'ОБЪЕКТЫ'!EF93</x:f>
      </x:c>
      <x:c r="EG11" s="117" t="n">
        <x:f>IF(EG$3&lt;$B$8,'Продажи'!EG26,0)+'ОБЪЕКТЫ'!EG93</x:f>
      </x:c>
      <x:c r="EH11" s="117" t="n">
        <x:f>IF(EH$3&lt;$B$8,'Продажи'!EH26,0)+'ОБЪЕКТЫ'!EH93</x:f>
      </x:c>
      <x:c r="EI11" s="117" t="n">
        <x:f>IF(EI$3&lt;$B$8,'Продажи'!EI26,0)+'ОБЪЕКТЫ'!EI93</x:f>
      </x:c>
      <x:c r="EJ11" s="117" t="n">
        <x:f>IF(EJ$3&lt;$B$8,'Продажи'!EJ26,0)+'ОБЪЕКТЫ'!EJ93</x:f>
      </x:c>
      <x:c r="EK11" s="117" t="n">
        <x:f>IF(EK$3&lt;$B$8,'Продажи'!EK26,0)+'ОБЪЕКТЫ'!EK93</x:f>
      </x:c>
      <x:c r="EL11" s="117" t="n">
        <x:f>IF(EL$3&lt;$B$8,'Продажи'!EL26,0)+'ОБЪЕКТЫ'!EL93</x:f>
      </x:c>
      <x:c r="EM11" s="117" t="n">
        <x:f>IF(EM$3&lt;$B$8,'Продажи'!EM26,0)+'ОБЪЕКТЫ'!EM93</x:f>
      </x:c>
      <x:c r="EN11" s="117" t="n">
        <x:f>IF(EN$3&lt;$B$8,'Продажи'!EN26,0)+'ОБЪЕКТЫ'!EN93</x:f>
      </x:c>
      <x:c r="EO11" s="117" t="n">
        <x:f>IF(EO$3&lt;$B$8,'Продажи'!EO26,0)+'ОБЪЕКТЫ'!EO93</x:f>
      </x:c>
      <x:c r="EP11" s="117" t="n">
        <x:f>IF(EP$3&lt;$B$8,'Продажи'!EP26,0)+'ОБЪЕКТЫ'!EP93</x:f>
      </x:c>
      <x:c r="EQ11" s="117" t="n">
        <x:f>IF(EQ$3&lt;$B$8,'Продажи'!EQ26,0)+'ОБЪЕКТЫ'!EQ93</x:f>
      </x:c>
      <x:c r="ER11" s="117" t="n">
        <x:f>IF(ER$3&lt;$B$8,'Продажи'!ER26,0)+'ОБЪЕКТЫ'!ER93</x:f>
      </x:c>
      <x:c r="ES11" s="117" t="n">
        <x:f>IF(ES$3&lt;$B$8,'Продажи'!ES26,0)+'ОБЪЕКТЫ'!ES93</x:f>
      </x:c>
      <x:c r="ET11" s="117" t="n">
        <x:f>IF(ET$3&lt;$B$8,'Продажи'!ET26,0)+'ОБЪЕКТЫ'!ET93</x:f>
      </x:c>
      <x:c r="EU11" s="117" t="n">
        <x:f>IF(EU$3&lt;$B$8,'Продажи'!EU26,0)+'ОБЪЕКТЫ'!EU93</x:f>
      </x:c>
      <x:c r="EV11" s="117" t="n">
        <x:f>IF(EV$3&lt;$B$8,'Продажи'!EV26,0)+'ОБЪЕКТЫ'!EV93</x:f>
      </x:c>
      <x:c r="EW11" s="117" t="n">
        <x:f>IF(EW$3&lt;$B$8,'Продажи'!EW26,0)+'ОБЪЕКТЫ'!EW93</x:f>
      </x:c>
      <x:c r="EX11" s="117" t="n">
        <x:f>IF(EX$3&lt;$B$8,'Продажи'!EX26,0)+'ОБЪЕКТЫ'!EX93</x:f>
      </x:c>
      <x:c r="EY11" s="117" t="n">
        <x:f>IF(EY$3&lt;$B$8,'Продажи'!EY26,0)+'ОБЪЕКТЫ'!EY93</x:f>
      </x:c>
      <x:c r="EZ11" s="117" t="n">
        <x:f>IF(EZ$3&lt;$B$8,'Продажи'!EZ26,0)+'ОБЪЕКТЫ'!EZ93</x:f>
      </x:c>
      <x:c r="FA11" s="117" t="n">
        <x:f>IF(FA$3&lt;$B$8,'Продажи'!FA26,0)+'ОБЪЕКТЫ'!FA93</x:f>
      </x:c>
      <x:c r="FB11" s="117" t="n">
        <x:f>IF(FB$3&lt;$B$8,'Продажи'!FB26,0)+'ОБЪЕКТЫ'!FB93</x:f>
      </x:c>
      <x:c r="FC11" s="117" t="n">
        <x:f>IF(FC$3&lt;$B$8,'Продажи'!FC26,0)+'ОБЪЕКТЫ'!FC93</x:f>
      </x:c>
      <x:c r="FD11" s="117" t="n">
        <x:f>IF(FD$3&lt;$B$8,'Продажи'!FD26,0)+'ОБЪЕКТЫ'!FD93</x:f>
      </x:c>
      <x:c r="FE11" s="117" t="n">
        <x:f>IF(FE$3&lt;$B$8,'Продажи'!FE26,0)+'ОБЪЕКТЫ'!FE93</x:f>
      </x:c>
      <x:c r="FF11" s="117" t="n">
        <x:f>IF(FF$3&lt;$B$8,'Продажи'!FF26,0)+'ОБЪЕКТЫ'!FF93</x:f>
      </x:c>
      <x:c r="FG11" s="117" t="n">
        <x:f>IF(FG$3&lt;$B$8,'Продажи'!FG26,0)+'ОБЪЕКТЫ'!FG93</x:f>
      </x:c>
      <x:c r="FH11" s="117" t="n">
        <x:f>IF(FH$3&lt;$B$8,'Продажи'!FH26,0)+'ОБЪЕКТЫ'!FH93</x:f>
      </x:c>
      <x:c r="FI11" s="117" t="n">
        <x:f>IF(FI$3&lt;$B$8,'Продажи'!FI26,0)+'ОБЪЕКТЫ'!FI93</x:f>
      </x:c>
      <x:c r="FJ11" s="117" t="n">
        <x:f>IF(FJ$3&lt;$B$8,'Продажи'!FJ26,0)+'ОБЪЕКТЫ'!FJ93</x:f>
      </x:c>
      <x:c r="FK11" s="117" t="n">
        <x:f>IF(FK$3&lt;$B$8,'Продажи'!FK26,0)+'ОБЪЕКТЫ'!FK93</x:f>
      </x:c>
      <x:c r="FL11" s="117" t="n">
        <x:f>IF(FL$3&lt;$B$8,'Продажи'!FL26,0)+'ОБЪЕКТЫ'!FL93</x:f>
      </x:c>
      <x:c r="FM11" s="117" t="n">
        <x:f>IF(FM$3&lt;$B$8,'Продажи'!FM26,0)+'ОБЪЕКТЫ'!FM93</x:f>
      </x:c>
      <x:c r="FN11" s="117" t="n">
        <x:f>IF(FN$3&lt;$B$8,'Продажи'!FN26,0)+'ОБЪЕКТЫ'!FN93</x:f>
      </x:c>
      <x:c r="FO11" s="117" t="n">
        <x:f>IF(FO$3&lt;$B$8,'Продажи'!FO26,0)+'ОБЪЕКТЫ'!FO93</x:f>
      </x:c>
      <x:c r="FP11" s="117" t="n">
        <x:f>IF(FP$3&lt;$B$8,'Продажи'!FP26,0)+'ОБЪЕКТЫ'!FP93</x:f>
      </x:c>
      <x:c r="FQ11" s="117" t="n">
        <x:f>IF(FQ$3&lt;$B$8,'Продажи'!FQ26,0)+'ОБЪЕКТЫ'!FQ93</x:f>
      </x:c>
      <x:c r="FR11" s="117" t="n">
        <x:f>IF(FR$3&lt;$B$8,'Продажи'!FR26,0)+'ОБЪЕКТЫ'!FR93</x:f>
      </x:c>
      <x:c r="FS11" s="117" t="n">
        <x:f>IF(FS$3&lt;$B$8,'Продажи'!FS26,0)+'ОБЪЕКТЫ'!FS93</x:f>
      </x:c>
      <x:c r="FT11" s="117" t="n">
        <x:f>IF(FT$3&lt;$B$8,'Продажи'!FT26,0)+'ОБЪЕКТЫ'!FT93</x:f>
      </x:c>
      <x:c r="FU11" s="117" t="n">
        <x:f>IF(FU$3&lt;$B$8,'Продажи'!FU26,0)+'ОБЪЕКТЫ'!FU93</x:f>
      </x:c>
      <x:c r="FV11" s="117" t="n">
        <x:f>IF(FV$3&lt;$B$8,'Продажи'!FV26,0)+'ОБЪЕКТЫ'!FV93</x:f>
      </x:c>
      <x:c r="FW11" s="117" t="n">
        <x:f>IF(FW$3&lt;$B$8,'Продажи'!FW26,0)+'ОБЪЕКТЫ'!FW93</x:f>
      </x:c>
      <x:c r="FX11" s="117" t="n">
        <x:f>IF(FX$3&lt;$B$8,'Продажи'!FX26,0)+'ОБЪЕКТЫ'!FX93</x:f>
      </x:c>
      <x:c r="FY11" s="117" t="n">
        <x:f>IF(FY$3&lt;$B$8,'Продажи'!FY26,0)+'ОБЪЕКТЫ'!FY93</x:f>
      </x:c>
      <x:c r="FZ11" s="117" t="n">
        <x:f>IF(FZ$3&lt;$B$8,'Продажи'!FZ26,0)+'ОБЪЕКТЫ'!FZ93</x:f>
      </x:c>
      <x:c r="GA11" s="117" t="n">
        <x:f>IF(GA$3&lt;$B$8,'Продажи'!GA26,0)+'ОБЪЕКТЫ'!GA93</x:f>
      </x:c>
    </x:row>
    <x:row r="12">
      <x:c r="A12" t="str">
        <x:v>Прямые поступления после РВЭ</x:v>
      </x:c>
      <x:c r="B12" t="n">
        <x:f>SUM(D12:GA12)</x:f>
      </x:c>
      <x:c r="C12" t="str">
        <x:v>млн ₽</x:v>
      </x:c>
      <x:c r="D12" s="117" t="n">
        <x:f>IF(D$3&gt;=$B$8,'Продажи'!D26,0)+'ОБЪЕКТЫ'!D94</x:f>
      </x:c>
      <x:c r="E12" s="117" t="n">
        <x:f>IF(E$3&gt;=$B$8,'Продажи'!E26,0)+'ОБЪЕКТЫ'!E94</x:f>
      </x:c>
      <x:c r="F12" s="117" t="n">
        <x:f>IF(F$3&gt;=$B$8,'Продажи'!F26,0)+'ОБЪЕКТЫ'!F94</x:f>
      </x:c>
      <x:c r="G12" s="117" t="n">
        <x:f>IF(G$3&gt;=$B$8,'Продажи'!G26,0)+'ОБЪЕКТЫ'!G94</x:f>
      </x:c>
      <x:c r="H12" s="117" t="n">
        <x:f>IF(H$3&gt;=$B$8,'Продажи'!H26,0)+'ОБЪЕКТЫ'!H94</x:f>
      </x:c>
      <x:c r="I12" s="117" t="n">
        <x:f>IF(I$3&gt;=$B$8,'Продажи'!I26,0)+'ОБЪЕКТЫ'!I94</x:f>
      </x:c>
      <x:c r="J12" s="117" t="n">
        <x:f>IF(J$3&gt;=$B$8,'Продажи'!J26,0)+'ОБЪЕКТЫ'!J94</x:f>
      </x:c>
      <x:c r="K12" s="117" t="n">
        <x:f>IF(K$3&gt;=$B$8,'Продажи'!K26,0)+'ОБЪЕКТЫ'!K94</x:f>
      </x:c>
      <x:c r="L12" s="117" t="n">
        <x:f>IF(L$3&gt;=$B$8,'Продажи'!L26,0)+'ОБЪЕКТЫ'!L94</x:f>
      </x:c>
      <x:c r="M12" s="117" t="n">
        <x:f>IF(M$3&gt;=$B$8,'Продажи'!M26,0)+'ОБЪЕКТЫ'!M94</x:f>
      </x:c>
      <x:c r="N12" s="117" t="n">
        <x:f>IF(N$3&gt;=$B$8,'Продажи'!N26,0)+'ОБЪЕКТЫ'!N94</x:f>
      </x:c>
      <x:c r="O12" s="117" t="n">
        <x:f>IF(O$3&gt;=$B$8,'Продажи'!O26,0)+'ОБЪЕКТЫ'!O94</x:f>
      </x:c>
      <x:c r="P12" s="117" t="n">
        <x:f>IF(P$3&gt;=$B$8,'Продажи'!P26,0)+'ОБЪЕКТЫ'!P94</x:f>
      </x:c>
      <x:c r="Q12" s="117" t="n">
        <x:f>IF(Q$3&gt;=$B$8,'Продажи'!Q26,0)+'ОБЪЕКТЫ'!Q94</x:f>
      </x:c>
      <x:c r="R12" s="117" t="n">
        <x:f>IF(R$3&gt;=$B$8,'Продажи'!R26,0)+'ОБЪЕКТЫ'!R94</x:f>
      </x:c>
      <x:c r="S12" s="117" t="n">
        <x:f>IF(S$3&gt;=$B$8,'Продажи'!S26,0)+'ОБЪЕКТЫ'!S94</x:f>
      </x:c>
      <x:c r="T12" s="117" t="n">
        <x:f>IF(T$3&gt;=$B$8,'Продажи'!T26,0)+'ОБЪЕКТЫ'!T94</x:f>
      </x:c>
      <x:c r="U12" s="117" t="n">
        <x:f>IF(U$3&gt;=$B$8,'Продажи'!U26,0)+'ОБЪЕКТЫ'!U94</x:f>
      </x:c>
      <x:c r="V12" s="117" t="n">
        <x:f>IF(V$3&gt;=$B$8,'Продажи'!V26,0)+'ОБЪЕКТЫ'!V94</x:f>
      </x:c>
      <x:c r="W12" s="117" t="n">
        <x:f>IF(W$3&gt;=$B$8,'Продажи'!W26,0)+'ОБЪЕКТЫ'!W94</x:f>
      </x:c>
      <x:c r="X12" s="117" t="n">
        <x:f>IF(X$3&gt;=$B$8,'Продажи'!X26,0)+'ОБЪЕКТЫ'!X94</x:f>
      </x:c>
      <x:c r="Y12" s="117" t="n">
        <x:f>IF(Y$3&gt;=$B$8,'Продажи'!Y26,0)+'ОБЪЕКТЫ'!Y94</x:f>
      </x:c>
      <x:c r="Z12" s="117" t="n">
        <x:f>IF(Z$3&gt;=$B$8,'Продажи'!Z26,0)+'ОБЪЕКТЫ'!Z94</x:f>
      </x:c>
      <x:c r="AA12" s="117" t="n">
        <x:f>IF(AA$3&gt;=$B$8,'Продажи'!AA26,0)+'ОБЪЕКТЫ'!AA94</x:f>
      </x:c>
      <x:c r="AB12" s="117" t="n">
        <x:f>IF(AB$3&gt;=$B$8,'Продажи'!AB26,0)+'ОБЪЕКТЫ'!AB94</x:f>
      </x:c>
      <x:c r="AC12" s="117" t="n">
        <x:f>IF(AC$3&gt;=$B$8,'Продажи'!AC26,0)+'ОБЪЕКТЫ'!AC94</x:f>
      </x:c>
      <x:c r="AD12" s="117" t="n">
        <x:f>IF(AD$3&gt;=$B$8,'Продажи'!AD26,0)+'ОБЪЕКТЫ'!AD94</x:f>
      </x:c>
      <x:c r="AE12" s="117" t="n">
        <x:f>IF(AE$3&gt;=$B$8,'Продажи'!AE26,0)+'ОБЪЕКТЫ'!AE94</x:f>
      </x:c>
      <x:c r="AF12" s="117" t="n">
        <x:f>IF(AF$3&gt;=$B$8,'Продажи'!AF26,0)+'ОБЪЕКТЫ'!AF94</x:f>
      </x:c>
      <x:c r="AG12" s="117" t="n">
        <x:f>IF(AG$3&gt;=$B$8,'Продажи'!AG26,0)+'ОБЪЕКТЫ'!AG94</x:f>
      </x:c>
      <x:c r="AH12" s="117" t="n">
        <x:f>IF(AH$3&gt;=$B$8,'Продажи'!AH26,0)+'ОБЪЕКТЫ'!AH94</x:f>
      </x:c>
      <x:c r="AI12" s="117" t="n">
        <x:f>IF(AI$3&gt;=$B$8,'Продажи'!AI26,0)+'ОБЪЕКТЫ'!AI94</x:f>
      </x:c>
      <x:c r="AJ12" s="117" t="n">
        <x:f>IF(AJ$3&gt;=$B$8,'Продажи'!AJ26,0)+'ОБЪЕКТЫ'!AJ94</x:f>
      </x:c>
      <x:c r="AK12" s="117" t="n">
        <x:f>IF(AK$3&gt;=$B$8,'Продажи'!AK26,0)+'ОБЪЕКТЫ'!AK94</x:f>
      </x:c>
      <x:c r="AL12" s="117" t="n">
        <x:f>IF(AL$3&gt;=$B$8,'Продажи'!AL26,0)+'ОБЪЕКТЫ'!AL94</x:f>
      </x:c>
      <x:c r="AM12" s="117" t="n">
        <x:f>IF(AM$3&gt;=$B$8,'Продажи'!AM26,0)+'ОБЪЕКТЫ'!AM94</x:f>
      </x:c>
      <x:c r="AN12" s="117" t="n">
        <x:f>IF(AN$3&gt;=$B$8,'Продажи'!AN26,0)+'ОБЪЕКТЫ'!AN94</x:f>
      </x:c>
      <x:c r="AO12" s="117" t="n">
        <x:f>IF(AO$3&gt;=$B$8,'Продажи'!AO26,0)+'ОБЪЕКТЫ'!AO94</x:f>
      </x:c>
      <x:c r="AP12" s="117" t="n">
        <x:f>IF(AP$3&gt;=$B$8,'Продажи'!AP26,0)+'ОБЪЕКТЫ'!AP94</x:f>
      </x:c>
      <x:c r="AQ12" s="117" t="n">
        <x:f>IF(AQ$3&gt;=$B$8,'Продажи'!AQ26,0)+'ОБЪЕКТЫ'!AQ94</x:f>
      </x:c>
      <x:c r="AR12" s="117" t="n">
        <x:f>IF(AR$3&gt;=$B$8,'Продажи'!AR26,0)+'ОБЪЕКТЫ'!AR94</x:f>
      </x:c>
      <x:c r="AS12" s="117" t="n">
        <x:f>IF(AS$3&gt;=$B$8,'Продажи'!AS26,0)+'ОБЪЕКТЫ'!AS94</x:f>
      </x:c>
      <x:c r="AT12" s="117" t="n">
        <x:f>IF(AT$3&gt;=$B$8,'Продажи'!AT26,0)+'ОБЪЕКТЫ'!AT94</x:f>
      </x:c>
      <x:c r="AU12" s="117" t="n">
        <x:f>IF(AU$3&gt;=$B$8,'Продажи'!AU26,0)+'ОБЪЕКТЫ'!AU94</x:f>
      </x:c>
      <x:c r="AV12" s="117" t="n">
        <x:f>IF(AV$3&gt;=$B$8,'Продажи'!AV26,0)+'ОБЪЕКТЫ'!AV94</x:f>
      </x:c>
      <x:c r="AW12" s="117" t="n">
        <x:f>IF(AW$3&gt;=$B$8,'Продажи'!AW26,0)+'ОБЪЕКТЫ'!AW94</x:f>
      </x:c>
      <x:c r="AX12" s="117" t="n">
        <x:f>IF(AX$3&gt;=$B$8,'Продажи'!AX26,0)+'ОБЪЕКТЫ'!AX94</x:f>
      </x:c>
      <x:c r="AY12" s="117" t="n">
        <x:f>IF(AY$3&gt;=$B$8,'Продажи'!AY26,0)+'ОБЪЕКТЫ'!AY94</x:f>
      </x:c>
      <x:c r="AZ12" s="117" t="n">
        <x:f>IF(AZ$3&gt;=$B$8,'Продажи'!AZ26,0)+'ОБЪЕКТЫ'!AZ94</x:f>
      </x:c>
      <x:c r="BA12" s="117" t="n">
        <x:f>IF(BA$3&gt;=$B$8,'Продажи'!BA26,0)+'ОБЪЕКТЫ'!BA94</x:f>
      </x:c>
      <x:c r="BB12" s="117" t="n">
        <x:f>IF(BB$3&gt;=$B$8,'Продажи'!BB26,0)+'ОБЪЕКТЫ'!BB94</x:f>
      </x:c>
      <x:c r="BC12" s="117" t="n">
        <x:f>IF(BC$3&gt;=$B$8,'Продажи'!BC26,0)+'ОБЪЕКТЫ'!BC94</x:f>
      </x:c>
      <x:c r="BD12" s="117" t="n">
        <x:f>IF(BD$3&gt;=$B$8,'Продажи'!BD26,0)+'ОБЪЕКТЫ'!BD94</x:f>
      </x:c>
      <x:c r="BE12" s="117" t="n">
        <x:f>IF(BE$3&gt;=$B$8,'Продажи'!BE26,0)+'ОБЪЕКТЫ'!BE94</x:f>
      </x:c>
      <x:c r="BF12" s="117" t="n">
        <x:f>IF(BF$3&gt;=$B$8,'Продажи'!BF26,0)+'ОБЪЕКТЫ'!BF94</x:f>
      </x:c>
      <x:c r="BG12" s="117" t="n">
        <x:f>IF(BG$3&gt;=$B$8,'Продажи'!BG26,0)+'ОБЪЕКТЫ'!BG94</x:f>
      </x:c>
      <x:c r="BH12" s="117" t="n">
        <x:f>IF(BH$3&gt;=$B$8,'Продажи'!BH26,0)+'ОБЪЕКТЫ'!BH94</x:f>
      </x:c>
      <x:c r="BI12" s="117" t="n">
        <x:f>IF(BI$3&gt;=$B$8,'Продажи'!BI26,0)+'ОБЪЕКТЫ'!BI94</x:f>
      </x:c>
      <x:c r="BJ12" s="117" t="n">
        <x:f>IF(BJ$3&gt;=$B$8,'Продажи'!BJ26,0)+'ОБЪЕКТЫ'!BJ94</x:f>
      </x:c>
      <x:c r="BK12" s="117" t="n">
        <x:f>IF(BK$3&gt;=$B$8,'Продажи'!BK26,0)+'ОБЪЕКТЫ'!BK94</x:f>
      </x:c>
      <x:c r="BL12" s="117" t="n">
        <x:f>IF(BL$3&gt;=$B$8,'Продажи'!BL26,0)+'ОБЪЕКТЫ'!BL94</x:f>
      </x:c>
      <x:c r="BM12" s="117" t="n">
        <x:f>IF(BM$3&gt;=$B$8,'Продажи'!BM26,0)+'ОБЪЕКТЫ'!BM94</x:f>
      </x:c>
      <x:c r="BN12" s="117" t="n">
        <x:f>IF(BN$3&gt;=$B$8,'Продажи'!BN26,0)+'ОБЪЕКТЫ'!BN94</x:f>
      </x:c>
      <x:c r="BO12" s="117" t="n">
        <x:f>IF(BO$3&gt;=$B$8,'Продажи'!BO26,0)+'ОБЪЕКТЫ'!BO94</x:f>
      </x:c>
      <x:c r="BP12" s="117" t="n">
        <x:f>IF(BP$3&gt;=$B$8,'Продажи'!BP26,0)+'ОБЪЕКТЫ'!BP94</x:f>
      </x:c>
      <x:c r="BQ12" s="117" t="n">
        <x:f>IF(BQ$3&gt;=$B$8,'Продажи'!BQ26,0)+'ОБЪЕКТЫ'!BQ94</x:f>
      </x:c>
      <x:c r="BR12" s="117" t="n">
        <x:f>IF(BR$3&gt;=$B$8,'Продажи'!BR26,0)+'ОБЪЕКТЫ'!BR94</x:f>
      </x:c>
      <x:c r="BS12" s="117" t="n">
        <x:f>IF(BS$3&gt;=$B$8,'Продажи'!BS26,0)+'ОБЪЕКТЫ'!BS94</x:f>
      </x:c>
      <x:c r="BT12" s="117" t="n">
        <x:f>IF(BT$3&gt;=$B$8,'Продажи'!BT26,0)+'ОБЪЕКТЫ'!BT94</x:f>
      </x:c>
      <x:c r="BU12" s="117" t="n">
        <x:f>IF(BU$3&gt;=$B$8,'Продажи'!BU26,0)+'ОБЪЕКТЫ'!BU94</x:f>
      </x:c>
      <x:c r="BV12" s="117" t="n">
        <x:f>IF(BV$3&gt;=$B$8,'Продажи'!BV26,0)+'ОБЪЕКТЫ'!BV94</x:f>
      </x:c>
      <x:c r="BW12" s="117" t="n">
        <x:f>IF(BW$3&gt;=$B$8,'Продажи'!BW26,0)+'ОБЪЕКТЫ'!BW94</x:f>
      </x:c>
      <x:c r="BX12" s="117" t="n">
        <x:f>IF(BX$3&gt;=$B$8,'Продажи'!BX26,0)+'ОБЪЕКТЫ'!BX94</x:f>
      </x:c>
      <x:c r="BY12" s="117" t="n">
        <x:f>IF(BY$3&gt;=$B$8,'Продажи'!BY26,0)+'ОБЪЕКТЫ'!BY94</x:f>
      </x:c>
      <x:c r="BZ12" s="117" t="n">
        <x:f>IF(BZ$3&gt;=$B$8,'Продажи'!BZ26,0)+'ОБЪЕКТЫ'!BZ94</x:f>
      </x:c>
      <x:c r="CA12" s="117" t="n">
        <x:f>IF(CA$3&gt;=$B$8,'Продажи'!CA26,0)+'ОБЪЕКТЫ'!CA94</x:f>
      </x:c>
      <x:c r="CB12" s="117" t="n">
        <x:f>IF(CB$3&gt;=$B$8,'Продажи'!CB26,0)+'ОБЪЕКТЫ'!CB94</x:f>
      </x:c>
      <x:c r="CC12" s="117" t="n">
        <x:f>IF(CC$3&gt;=$B$8,'Продажи'!CC26,0)+'ОБЪЕКТЫ'!CC94</x:f>
      </x:c>
      <x:c r="CD12" s="117" t="n">
        <x:f>IF(CD$3&gt;=$B$8,'Продажи'!CD26,0)+'ОБЪЕКТЫ'!CD94</x:f>
      </x:c>
      <x:c r="CE12" s="117" t="n">
        <x:f>IF(CE$3&gt;=$B$8,'Продажи'!CE26,0)+'ОБЪЕКТЫ'!CE94</x:f>
      </x:c>
      <x:c r="CF12" s="117" t="n">
        <x:f>IF(CF$3&gt;=$B$8,'Продажи'!CF26,0)+'ОБЪЕКТЫ'!CF94</x:f>
      </x:c>
      <x:c r="CG12" s="117" t="n">
        <x:f>IF(CG$3&gt;=$B$8,'Продажи'!CG26,0)+'ОБЪЕКТЫ'!CG94</x:f>
      </x:c>
      <x:c r="CH12" s="117" t="n">
        <x:f>IF(CH$3&gt;=$B$8,'Продажи'!CH26,0)+'ОБЪЕКТЫ'!CH94</x:f>
      </x:c>
      <x:c r="CI12" s="117" t="n">
        <x:f>IF(CI$3&gt;=$B$8,'Продажи'!CI26,0)+'ОБЪЕКТЫ'!CI94</x:f>
      </x:c>
      <x:c r="CJ12" s="117" t="n">
        <x:f>IF(CJ$3&gt;=$B$8,'Продажи'!CJ26,0)+'ОБЪЕКТЫ'!CJ94</x:f>
      </x:c>
      <x:c r="CK12" s="117" t="n">
        <x:f>IF(CK$3&gt;=$B$8,'Продажи'!CK26,0)+'ОБЪЕКТЫ'!CK94</x:f>
      </x:c>
      <x:c r="CL12" s="117" t="n">
        <x:f>IF(CL$3&gt;=$B$8,'Продажи'!CL26,0)+'ОБЪЕКТЫ'!CL94</x:f>
      </x:c>
      <x:c r="CM12" s="117" t="n">
        <x:f>IF(CM$3&gt;=$B$8,'Продажи'!CM26,0)+'ОБЪЕКТЫ'!CM94</x:f>
      </x:c>
      <x:c r="CN12" s="117" t="n">
        <x:f>IF(CN$3&gt;=$B$8,'Продажи'!CN26,0)+'ОБЪЕКТЫ'!CN94</x:f>
      </x:c>
      <x:c r="CO12" s="117" t="n">
        <x:f>IF(CO$3&gt;=$B$8,'Продажи'!CO26,0)+'ОБЪЕКТЫ'!CO94</x:f>
      </x:c>
      <x:c r="CP12" s="117" t="n">
        <x:f>IF(CP$3&gt;=$B$8,'Продажи'!CP26,0)+'ОБЪЕКТЫ'!CP94</x:f>
      </x:c>
      <x:c r="CQ12" s="117" t="n">
        <x:f>IF(CQ$3&gt;=$B$8,'Продажи'!CQ26,0)+'ОБЪЕКТЫ'!CQ94</x:f>
      </x:c>
      <x:c r="CR12" s="117" t="n">
        <x:f>IF(CR$3&gt;=$B$8,'Продажи'!CR26,0)+'ОБЪЕКТЫ'!CR94</x:f>
      </x:c>
      <x:c r="CS12" s="117" t="n">
        <x:f>IF(CS$3&gt;=$B$8,'Продажи'!CS26,0)+'ОБЪЕКТЫ'!CS94</x:f>
      </x:c>
      <x:c r="CT12" s="117" t="n">
        <x:f>IF(CT$3&gt;=$B$8,'Продажи'!CT26,0)+'ОБЪЕКТЫ'!CT94</x:f>
      </x:c>
      <x:c r="CU12" s="117" t="n">
        <x:f>IF(CU$3&gt;=$B$8,'Продажи'!CU26,0)+'ОБЪЕКТЫ'!CU94</x:f>
      </x:c>
      <x:c r="CV12" s="117" t="n">
        <x:f>IF(CV$3&gt;=$B$8,'Продажи'!CV26,0)+'ОБЪЕКТЫ'!CV94</x:f>
      </x:c>
      <x:c r="CW12" s="117" t="n">
        <x:f>IF(CW$3&gt;=$B$8,'Продажи'!CW26,0)+'ОБЪЕКТЫ'!CW94</x:f>
      </x:c>
      <x:c r="CX12" s="117" t="n">
        <x:f>IF(CX$3&gt;=$B$8,'Продажи'!CX26,0)+'ОБЪЕКТЫ'!CX94</x:f>
      </x:c>
      <x:c r="CY12" s="117" t="n">
        <x:f>IF(CY$3&gt;=$B$8,'Продажи'!CY26,0)+'ОБЪЕКТЫ'!CY94</x:f>
      </x:c>
      <x:c r="CZ12" s="117" t="n">
        <x:f>IF(CZ$3&gt;=$B$8,'Продажи'!CZ26,0)+'ОБЪЕКТЫ'!CZ94</x:f>
      </x:c>
      <x:c r="DA12" s="117" t="n">
        <x:f>IF(DA$3&gt;=$B$8,'Продажи'!DA26,0)+'ОБЪЕКТЫ'!DA94</x:f>
      </x:c>
      <x:c r="DB12" s="117" t="n">
        <x:f>IF(DB$3&gt;=$B$8,'Продажи'!DB26,0)+'ОБЪЕКТЫ'!DB94</x:f>
      </x:c>
      <x:c r="DC12" s="117" t="n">
        <x:f>IF(DC$3&gt;=$B$8,'Продажи'!DC26,0)+'ОБЪЕКТЫ'!DC94</x:f>
      </x:c>
      <x:c r="DD12" s="117" t="n">
        <x:f>IF(DD$3&gt;=$B$8,'Продажи'!DD26,0)+'ОБЪЕКТЫ'!DD94</x:f>
      </x:c>
      <x:c r="DE12" s="117" t="n">
        <x:f>IF(DE$3&gt;=$B$8,'Продажи'!DE26,0)+'ОБЪЕКТЫ'!DE94</x:f>
      </x:c>
      <x:c r="DF12" s="117" t="n">
        <x:f>IF(DF$3&gt;=$B$8,'Продажи'!DF26,0)+'ОБЪЕКТЫ'!DF94</x:f>
      </x:c>
      <x:c r="DG12" s="117" t="n">
        <x:f>IF(DG$3&gt;=$B$8,'Продажи'!DG26,0)+'ОБЪЕКТЫ'!DG94</x:f>
      </x:c>
      <x:c r="DH12" s="117" t="n">
        <x:f>IF(DH$3&gt;=$B$8,'Продажи'!DH26,0)+'ОБЪЕКТЫ'!DH94</x:f>
      </x:c>
      <x:c r="DI12" s="117" t="n">
        <x:f>IF(DI$3&gt;=$B$8,'Продажи'!DI26,0)+'ОБЪЕКТЫ'!DI94</x:f>
      </x:c>
      <x:c r="DJ12" s="117" t="n">
        <x:f>IF(DJ$3&gt;=$B$8,'Продажи'!DJ26,0)+'ОБЪЕКТЫ'!DJ94</x:f>
      </x:c>
      <x:c r="DK12" s="117" t="n">
        <x:f>IF(DK$3&gt;=$B$8,'Продажи'!DK26,0)+'ОБЪЕКТЫ'!DK94</x:f>
      </x:c>
      <x:c r="DL12" s="117" t="n">
        <x:f>IF(DL$3&gt;=$B$8,'Продажи'!DL26,0)+'ОБЪЕКТЫ'!DL94</x:f>
      </x:c>
      <x:c r="DM12" s="117" t="n">
        <x:f>IF(DM$3&gt;=$B$8,'Продажи'!DM26,0)+'ОБЪЕКТЫ'!DM94</x:f>
      </x:c>
      <x:c r="DN12" s="117" t="n">
        <x:f>IF(DN$3&gt;=$B$8,'Продажи'!DN26,0)+'ОБЪЕКТЫ'!DN94</x:f>
      </x:c>
      <x:c r="DO12" s="117" t="n">
        <x:f>IF(DO$3&gt;=$B$8,'Продажи'!DO26,0)+'ОБЪЕКТЫ'!DO94</x:f>
      </x:c>
      <x:c r="DP12" s="117" t="n">
        <x:f>IF(DP$3&gt;=$B$8,'Продажи'!DP26,0)+'ОБЪЕКТЫ'!DP94</x:f>
      </x:c>
      <x:c r="DQ12" s="117" t="n">
        <x:f>IF(DQ$3&gt;=$B$8,'Продажи'!DQ26,0)+'ОБЪЕКТЫ'!DQ94</x:f>
      </x:c>
      <x:c r="DR12" s="117" t="n">
        <x:f>IF(DR$3&gt;=$B$8,'Продажи'!DR26,0)+'ОБЪЕКТЫ'!DR94</x:f>
      </x:c>
      <x:c r="DS12" s="117" t="n">
        <x:f>IF(DS$3&gt;=$B$8,'Продажи'!DS26,0)+'ОБЪЕКТЫ'!DS94</x:f>
      </x:c>
      <x:c r="DT12" s="117" t="n">
        <x:f>IF(DT$3&gt;=$B$8,'Продажи'!DT26,0)+'ОБЪЕКТЫ'!DT94</x:f>
      </x:c>
      <x:c r="DU12" s="117" t="n">
        <x:f>IF(DU$3&gt;=$B$8,'Продажи'!DU26,0)+'ОБЪЕКТЫ'!DU94</x:f>
      </x:c>
      <x:c r="DV12" s="117" t="n">
        <x:f>IF(DV$3&gt;=$B$8,'Продажи'!DV26,0)+'ОБЪЕКТЫ'!DV94</x:f>
      </x:c>
      <x:c r="DW12" s="117" t="n">
        <x:f>IF(DW$3&gt;=$B$8,'Продажи'!DW26,0)+'ОБЪЕКТЫ'!DW94</x:f>
      </x:c>
      <x:c r="DX12" s="117" t="n">
        <x:f>IF(DX$3&gt;=$B$8,'Продажи'!DX26,0)+'ОБЪЕКТЫ'!DX94</x:f>
      </x:c>
      <x:c r="DY12" s="117" t="n">
        <x:f>IF(DY$3&gt;=$B$8,'Продажи'!DY26,0)+'ОБЪЕКТЫ'!DY94</x:f>
      </x:c>
      <x:c r="DZ12" s="117" t="n">
        <x:f>IF(DZ$3&gt;=$B$8,'Продажи'!DZ26,0)+'ОБЪЕКТЫ'!DZ94</x:f>
      </x:c>
      <x:c r="EA12" s="117" t="n">
        <x:f>IF(EA$3&gt;=$B$8,'Продажи'!EA26,0)+'ОБЪЕКТЫ'!EA94</x:f>
      </x:c>
      <x:c r="EB12" s="117" t="n">
        <x:f>IF(EB$3&gt;=$B$8,'Продажи'!EB26,0)+'ОБЪЕКТЫ'!EB94</x:f>
      </x:c>
      <x:c r="EC12" s="117" t="n">
        <x:f>IF(EC$3&gt;=$B$8,'Продажи'!EC26,0)+'ОБЪЕКТЫ'!EC94</x:f>
      </x:c>
      <x:c r="ED12" s="117" t="n">
        <x:f>IF(ED$3&gt;=$B$8,'Продажи'!ED26,0)+'ОБЪЕКТЫ'!ED94</x:f>
      </x:c>
      <x:c r="EE12" s="117" t="n">
        <x:f>IF(EE$3&gt;=$B$8,'Продажи'!EE26,0)+'ОБЪЕКТЫ'!EE94</x:f>
      </x:c>
      <x:c r="EF12" s="117" t="n">
        <x:f>IF(EF$3&gt;=$B$8,'Продажи'!EF26,0)+'ОБЪЕКТЫ'!EF94</x:f>
      </x:c>
      <x:c r="EG12" s="117" t="n">
        <x:f>IF(EG$3&gt;=$B$8,'Продажи'!EG26,0)+'ОБЪЕКТЫ'!EG94</x:f>
      </x:c>
      <x:c r="EH12" s="117" t="n">
        <x:f>IF(EH$3&gt;=$B$8,'Продажи'!EH26,0)+'ОБЪЕКТЫ'!EH94</x:f>
      </x:c>
      <x:c r="EI12" s="117" t="n">
        <x:f>IF(EI$3&gt;=$B$8,'Продажи'!EI26,0)+'ОБЪЕКТЫ'!EI94</x:f>
      </x:c>
      <x:c r="EJ12" s="117" t="n">
        <x:f>IF(EJ$3&gt;=$B$8,'Продажи'!EJ26,0)+'ОБЪЕКТЫ'!EJ94</x:f>
      </x:c>
      <x:c r="EK12" s="117" t="n">
        <x:f>IF(EK$3&gt;=$B$8,'Продажи'!EK26,0)+'ОБЪЕКТЫ'!EK94</x:f>
      </x:c>
      <x:c r="EL12" s="117" t="n">
        <x:f>IF(EL$3&gt;=$B$8,'Продажи'!EL26,0)+'ОБЪЕКТЫ'!EL94</x:f>
      </x:c>
      <x:c r="EM12" s="117" t="n">
        <x:f>IF(EM$3&gt;=$B$8,'Продажи'!EM26,0)+'ОБЪЕКТЫ'!EM94</x:f>
      </x:c>
      <x:c r="EN12" s="117" t="n">
        <x:f>IF(EN$3&gt;=$B$8,'Продажи'!EN26,0)+'ОБЪЕКТЫ'!EN94</x:f>
      </x:c>
      <x:c r="EO12" s="117" t="n">
        <x:f>IF(EO$3&gt;=$B$8,'Продажи'!EO26,0)+'ОБЪЕКТЫ'!EO94</x:f>
      </x:c>
      <x:c r="EP12" s="117" t="n">
        <x:f>IF(EP$3&gt;=$B$8,'Продажи'!EP26,0)+'ОБЪЕКТЫ'!EP94</x:f>
      </x:c>
      <x:c r="EQ12" s="117" t="n">
        <x:f>IF(EQ$3&gt;=$B$8,'Продажи'!EQ26,0)+'ОБЪЕКТЫ'!EQ94</x:f>
      </x:c>
      <x:c r="ER12" s="117" t="n">
        <x:f>IF(ER$3&gt;=$B$8,'Продажи'!ER26,0)+'ОБЪЕКТЫ'!ER94</x:f>
      </x:c>
      <x:c r="ES12" s="117" t="n">
        <x:f>IF(ES$3&gt;=$B$8,'Продажи'!ES26,0)+'ОБЪЕКТЫ'!ES94</x:f>
      </x:c>
      <x:c r="ET12" s="117" t="n">
        <x:f>IF(ET$3&gt;=$B$8,'Продажи'!ET26,0)+'ОБЪЕКТЫ'!ET94</x:f>
      </x:c>
      <x:c r="EU12" s="117" t="n">
        <x:f>IF(EU$3&gt;=$B$8,'Продажи'!EU26,0)+'ОБЪЕКТЫ'!EU94</x:f>
      </x:c>
      <x:c r="EV12" s="117" t="n">
        <x:f>IF(EV$3&gt;=$B$8,'Продажи'!EV26,0)+'ОБЪЕКТЫ'!EV94</x:f>
      </x:c>
      <x:c r="EW12" s="117" t="n">
        <x:f>IF(EW$3&gt;=$B$8,'Продажи'!EW26,0)+'ОБЪЕКТЫ'!EW94</x:f>
      </x:c>
      <x:c r="EX12" s="117" t="n">
        <x:f>IF(EX$3&gt;=$B$8,'Продажи'!EX26,0)+'ОБЪЕКТЫ'!EX94</x:f>
      </x:c>
      <x:c r="EY12" s="117" t="n">
        <x:f>IF(EY$3&gt;=$B$8,'Продажи'!EY26,0)+'ОБЪЕКТЫ'!EY94</x:f>
      </x:c>
      <x:c r="EZ12" s="117" t="n">
        <x:f>IF(EZ$3&gt;=$B$8,'Продажи'!EZ26,0)+'ОБЪЕКТЫ'!EZ94</x:f>
      </x:c>
      <x:c r="FA12" s="117" t="n">
        <x:f>IF(FA$3&gt;=$B$8,'Продажи'!FA26,0)+'ОБЪЕКТЫ'!FA94</x:f>
      </x:c>
      <x:c r="FB12" s="117" t="n">
        <x:f>IF(FB$3&gt;=$B$8,'Продажи'!FB26,0)+'ОБЪЕКТЫ'!FB94</x:f>
      </x:c>
      <x:c r="FC12" s="117" t="n">
        <x:f>IF(FC$3&gt;=$B$8,'Продажи'!FC26,0)+'ОБЪЕКТЫ'!FC94</x:f>
      </x:c>
      <x:c r="FD12" s="117" t="n">
        <x:f>IF(FD$3&gt;=$B$8,'Продажи'!FD26,0)+'ОБЪЕКТЫ'!FD94</x:f>
      </x:c>
      <x:c r="FE12" s="117" t="n">
        <x:f>IF(FE$3&gt;=$B$8,'Продажи'!FE26,0)+'ОБЪЕКТЫ'!FE94</x:f>
      </x:c>
      <x:c r="FF12" s="117" t="n">
        <x:f>IF(FF$3&gt;=$B$8,'Продажи'!FF26,0)+'ОБЪЕКТЫ'!FF94</x:f>
      </x:c>
      <x:c r="FG12" s="117" t="n">
        <x:f>IF(FG$3&gt;=$B$8,'Продажи'!FG26,0)+'ОБЪЕКТЫ'!FG94</x:f>
      </x:c>
      <x:c r="FH12" s="117" t="n">
        <x:f>IF(FH$3&gt;=$B$8,'Продажи'!FH26,0)+'ОБЪЕКТЫ'!FH94</x:f>
      </x:c>
      <x:c r="FI12" s="117" t="n">
        <x:f>IF(FI$3&gt;=$B$8,'Продажи'!FI26,0)+'ОБЪЕКТЫ'!FI94</x:f>
      </x:c>
      <x:c r="FJ12" s="117" t="n">
        <x:f>IF(FJ$3&gt;=$B$8,'Продажи'!FJ26,0)+'ОБЪЕКТЫ'!FJ94</x:f>
      </x:c>
      <x:c r="FK12" s="117" t="n">
        <x:f>IF(FK$3&gt;=$B$8,'Продажи'!FK26,0)+'ОБЪЕКТЫ'!FK94</x:f>
      </x:c>
      <x:c r="FL12" s="117" t="n">
        <x:f>IF(FL$3&gt;=$B$8,'Продажи'!FL26,0)+'ОБЪЕКТЫ'!FL94</x:f>
      </x:c>
      <x:c r="FM12" s="117" t="n">
        <x:f>IF(FM$3&gt;=$B$8,'Продажи'!FM26,0)+'ОБЪЕКТЫ'!FM94</x:f>
      </x:c>
      <x:c r="FN12" s="117" t="n">
        <x:f>IF(FN$3&gt;=$B$8,'Продажи'!FN26,0)+'ОБЪЕКТЫ'!FN94</x:f>
      </x:c>
      <x:c r="FO12" s="117" t="n">
        <x:f>IF(FO$3&gt;=$B$8,'Продажи'!FO26,0)+'ОБЪЕКТЫ'!FO94</x:f>
      </x:c>
      <x:c r="FP12" s="117" t="n">
        <x:f>IF(FP$3&gt;=$B$8,'Продажи'!FP26,0)+'ОБЪЕКТЫ'!FP94</x:f>
      </x:c>
      <x:c r="FQ12" s="117" t="n">
        <x:f>IF(FQ$3&gt;=$B$8,'Продажи'!FQ26,0)+'ОБЪЕКТЫ'!FQ94</x:f>
      </x:c>
      <x:c r="FR12" s="117" t="n">
        <x:f>IF(FR$3&gt;=$B$8,'Продажи'!FR26,0)+'ОБЪЕКТЫ'!FR94</x:f>
      </x:c>
      <x:c r="FS12" s="117" t="n">
        <x:f>IF(FS$3&gt;=$B$8,'Продажи'!FS26,0)+'ОБЪЕКТЫ'!FS94</x:f>
      </x:c>
      <x:c r="FT12" s="117" t="n">
        <x:f>IF(FT$3&gt;=$B$8,'Продажи'!FT26,0)+'ОБЪЕКТЫ'!FT94</x:f>
      </x:c>
      <x:c r="FU12" s="117" t="n">
        <x:f>IF(FU$3&gt;=$B$8,'Продажи'!FU26,0)+'ОБЪЕКТЫ'!FU94</x:f>
      </x:c>
      <x:c r="FV12" s="117" t="n">
        <x:f>IF(FV$3&gt;=$B$8,'Продажи'!FV26,0)+'ОБЪЕКТЫ'!FV94</x:f>
      </x:c>
      <x:c r="FW12" s="117" t="n">
        <x:f>IF(FW$3&gt;=$B$8,'Продажи'!FW26,0)+'ОБЪЕКТЫ'!FW94</x:f>
      </x:c>
      <x:c r="FX12" s="117" t="n">
        <x:f>IF(FX$3&gt;=$B$8,'Продажи'!FX26,0)+'ОБЪЕКТЫ'!FX94</x:f>
      </x:c>
      <x:c r="FY12" s="117" t="n">
        <x:f>IF(FY$3&gt;=$B$8,'Продажи'!FY26,0)+'ОБЪЕКТЫ'!FY94</x:f>
      </x:c>
      <x:c r="FZ12" s="117" t="n">
        <x:f>IF(FZ$3&gt;=$B$8,'Продажи'!FZ26,0)+'ОБЪЕКТЫ'!FZ94</x:f>
      </x:c>
      <x:c r="GA12" s="117" t="n">
        <x:f>IF(GA$3&gt;=$B$8,'Продажи'!GA26,0)+'ОБЪЕКТЫ'!GA94</x:f>
      </x:c>
    </x:row>
    <x:row r="13">
      <x:c r="A13" t="str">
        <x:v>Эскроу на начало</x:v>
      </x:c>
      <x:c r="B13"/>
      <x:c r="C13" t="str">
        <x:v>млн ₽</x:v>
      </x:c>
      <x:c r="D13" s="117" t="n">
        <x:f>0</x:f>
      </x:c>
      <x:c r="E13" s="117" t="n">
        <x:f>D15</x:f>
      </x:c>
      <x:c r="F13" s="117" t="n">
        <x:f>E15</x:f>
      </x:c>
      <x:c r="G13" s="117" t="n">
        <x:f>F15</x:f>
      </x:c>
      <x:c r="H13" s="117" t="n">
        <x:f>G15</x:f>
      </x:c>
      <x:c r="I13" s="117" t="n">
        <x:f>H15</x:f>
      </x:c>
      <x:c r="J13" s="117" t="n">
        <x:f>I15</x:f>
      </x:c>
      <x:c r="K13" s="117" t="n">
        <x:f>J15</x:f>
      </x:c>
      <x:c r="L13" s="117" t="n">
        <x:f>K15</x:f>
      </x:c>
      <x:c r="M13" s="117" t="n">
        <x:f>L15</x:f>
      </x:c>
      <x:c r="N13" s="117" t="n">
        <x:f>M15</x:f>
      </x:c>
      <x:c r="O13" s="117" t="n">
        <x:f>N15</x:f>
      </x:c>
      <x:c r="P13" s="117" t="n">
        <x:f>O15</x:f>
      </x:c>
      <x:c r="Q13" s="117" t="n">
        <x:f>P15</x:f>
      </x:c>
      <x:c r="R13" s="117" t="n">
        <x:f>Q15</x:f>
      </x:c>
      <x:c r="S13" s="117" t="n">
        <x:f>R15</x:f>
      </x:c>
      <x:c r="T13" s="117" t="n">
        <x:f>S15</x:f>
      </x:c>
      <x:c r="U13" s="117" t="n">
        <x:f>T15</x:f>
      </x:c>
      <x:c r="V13" s="117" t="n">
        <x:f>U15</x:f>
      </x:c>
      <x:c r="W13" s="117" t="n">
        <x:f>V15</x:f>
      </x:c>
      <x:c r="X13" s="117" t="n">
        <x:f>W15</x:f>
      </x:c>
      <x:c r="Y13" s="117" t="n">
        <x:f>X15</x:f>
      </x:c>
      <x:c r="Z13" s="117" t="n">
        <x:f>Y15</x:f>
      </x:c>
      <x:c r="AA13" s="117" t="n">
        <x:f>Z15</x:f>
      </x:c>
      <x:c r="AB13" s="117" t="n">
        <x:f>AA15</x:f>
      </x:c>
      <x:c r="AC13" s="117" t="n">
        <x:f>AB15</x:f>
      </x:c>
      <x:c r="AD13" s="117" t="n">
        <x:f>AC15</x:f>
      </x:c>
      <x:c r="AE13" s="117" t="n">
        <x:f>AD15</x:f>
      </x:c>
      <x:c r="AF13" s="117" t="n">
        <x:f>AE15</x:f>
      </x:c>
      <x:c r="AG13" s="117" t="n">
        <x:f>AF15</x:f>
      </x:c>
      <x:c r="AH13" s="117" t="n">
        <x:f>AG15</x:f>
      </x:c>
      <x:c r="AI13" s="117" t="n">
        <x:f>AH15</x:f>
      </x:c>
      <x:c r="AJ13" s="117" t="n">
        <x:f>AI15</x:f>
      </x:c>
      <x:c r="AK13" s="117" t="n">
        <x:f>AJ15</x:f>
      </x:c>
      <x:c r="AL13" s="117" t="n">
        <x:f>AK15</x:f>
      </x:c>
      <x:c r="AM13" s="117" t="n">
        <x:f>AL15</x:f>
      </x:c>
      <x:c r="AN13" s="117" t="n">
        <x:f>AM15</x:f>
      </x:c>
      <x:c r="AO13" s="117" t="n">
        <x:f>AN15</x:f>
      </x:c>
      <x:c r="AP13" s="117" t="n">
        <x:f>AO15</x:f>
      </x:c>
      <x:c r="AQ13" s="117" t="n">
        <x:f>AP15</x:f>
      </x:c>
      <x:c r="AR13" s="117" t="n">
        <x:f>AQ15</x:f>
      </x:c>
      <x:c r="AS13" s="117" t="n">
        <x:f>AR15</x:f>
      </x:c>
      <x:c r="AT13" s="117" t="n">
        <x:f>AS15</x:f>
      </x:c>
      <x:c r="AU13" s="117" t="n">
        <x:f>AT15</x:f>
      </x:c>
      <x:c r="AV13" s="117" t="n">
        <x:f>AU15</x:f>
      </x:c>
      <x:c r="AW13" s="117" t="n">
        <x:f>AV15</x:f>
      </x:c>
      <x:c r="AX13" s="117" t="n">
        <x:f>AW15</x:f>
      </x:c>
      <x:c r="AY13" s="117" t="n">
        <x:f>AX15</x:f>
      </x:c>
      <x:c r="AZ13" s="117" t="n">
        <x:f>AY15</x:f>
      </x:c>
      <x:c r="BA13" s="117" t="n">
        <x:f>AZ15</x:f>
      </x:c>
      <x:c r="BB13" s="117" t="n">
        <x:f>BA15</x:f>
      </x:c>
      <x:c r="BC13" s="117" t="n">
        <x:f>BB15</x:f>
      </x:c>
      <x:c r="BD13" s="117" t="n">
        <x:f>BC15</x:f>
      </x:c>
      <x:c r="BE13" s="117" t="n">
        <x:f>BD15</x:f>
      </x:c>
      <x:c r="BF13" s="117" t="n">
        <x:f>BE15</x:f>
      </x:c>
      <x:c r="BG13" s="117" t="n">
        <x:f>BF15</x:f>
      </x:c>
      <x:c r="BH13" s="117" t="n">
        <x:f>BG15</x:f>
      </x:c>
      <x:c r="BI13" s="117" t="n">
        <x:f>BH15</x:f>
      </x:c>
      <x:c r="BJ13" s="117" t="n">
        <x:f>BI15</x:f>
      </x:c>
      <x:c r="BK13" s="117" t="n">
        <x:f>BJ15</x:f>
      </x:c>
      <x:c r="BL13" s="117" t="n">
        <x:f>BK15</x:f>
      </x:c>
      <x:c r="BM13" s="117" t="n">
        <x:f>BL15</x:f>
      </x:c>
      <x:c r="BN13" s="117" t="n">
        <x:f>BM15</x:f>
      </x:c>
      <x:c r="BO13" s="117" t="n">
        <x:f>BN15</x:f>
      </x:c>
      <x:c r="BP13" s="117" t="n">
        <x:f>BO15</x:f>
      </x:c>
      <x:c r="BQ13" s="117" t="n">
        <x:f>BP15</x:f>
      </x:c>
      <x:c r="BR13" s="117" t="n">
        <x:f>BQ15</x:f>
      </x:c>
      <x:c r="BS13" s="117" t="n">
        <x:f>BR15</x:f>
      </x:c>
      <x:c r="BT13" s="117" t="n">
        <x:f>BS15</x:f>
      </x:c>
      <x:c r="BU13" s="117" t="n">
        <x:f>BT15</x:f>
      </x:c>
      <x:c r="BV13" s="117" t="n">
        <x:f>BU15</x:f>
      </x:c>
      <x:c r="BW13" s="117" t="n">
        <x:f>BV15</x:f>
      </x:c>
      <x:c r="BX13" s="117" t="n">
        <x:f>BW15</x:f>
      </x:c>
      <x:c r="BY13" s="117" t="n">
        <x:f>BX15</x:f>
      </x:c>
      <x:c r="BZ13" s="117" t="n">
        <x:f>BY15</x:f>
      </x:c>
      <x:c r="CA13" s="117" t="n">
        <x:f>BZ15</x:f>
      </x:c>
      <x:c r="CB13" s="117" t="n">
        <x:f>CA15</x:f>
      </x:c>
      <x:c r="CC13" s="117" t="n">
        <x:f>CB15</x:f>
      </x:c>
      <x:c r="CD13" s="117" t="n">
        <x:f>CC15</x:f>
      </x:c>
      <x:c r="CE13" s="117" t="n">
        <x:f>CD15</x:f>
      </x:c>
      <x:c r="CF13" s="117" t="n">
        <x:f>CE15</x:f>
      </x:c>
      <x:c r="CG13" s="117" t="n">
        <x:f>CF15</x:f>
      </x:c>
      <x:c r="CH13" s="117" t="n">
        <x:f>CG15</x:f>
      </x:c>
      <x:c r="CI13" s="117" t="n">
        <x:f>CH15</x:f>
      </x:c>
      <x:c r="CJ13" s="117" t="n">
        <x:f>CI15</x:f>
      </x:c>
      <x:c r="CK13" s="117" t="n">
        <x:f>CJ15</x:f>
      </x:c>
      <x:c r="CL13" s="117" t="n">
        <x:f>CK15</x:f>
      </x:c>
      <x:c r="CM13" s="117" t="n">
        <x:f>CL15</x:f>
      </x:c>
      <x:c r="CN13" s="117" t="n">
        <x:f>CM15</x:f>
      </x:c>
      <x:c r="CO13" s="117" t="n">
        <x:f>CN15</x:f>
      </x:c>
      <x:c r="CP13" s="117" t="n">
        <x:f>CO15</x:f>
      </x:c>
      <x:c r="CQ13" s="117" t="n">
        <x:f>CP15</x:f>
      </x:c>
      <x:c r="CR13" s="117" t="n">
        <x:f>CQ15</x:f>
      </x:c>
      <x:c r="CS13" s="117" t="n">
        <x:f>CR15</x:f>
      </x:c>
      <x:c r="CT13" s="117" t="n">
        <x:f>CS15</x:f>
      </x:c>
      <x:c r="CU13" s="117" t="n">
        <x:f>CT15</x:f>
      </x:c>
      <x:c r="CV13" s="117" t="n">
        <x:f>CU15</x:f>
      </x:c>
      <x:c r="CW13" s="117" t="n">
        <x:f>CV15</x:f>
      </x:c>
      <x:c r="CX13" s="117" t="n">
        <x:f>CW15</x:f>
      </x:c>
      <x:c r="CY13" s="117" t="n">
        <x:f>CX15</x:f>
      </x:c>
      <x:c r="CZ13" s="117" t="n">
        <x:f>CY15</x:f>
      </x:c>
      <x:c r="DA13" s="117" t="n">
        <x:f>CZ15</x:f>
      </x:c>
      <x:c r="DB13" s="117" t="n">
        <x:f>DA15</x:f>
      </x:c>
      <x:c r="DC13" s="117" t="n">
        <x:f>DB15</x:f>
      </x:c>
      <x:c r="DD13" s="117" t="n">
        <x:f>DC15</x:f>
      </x:c>
      <x:c r="DE13" s="117" t="n">
        <x:f>DD15</x:f>
      </x:c>
      <x:c r="DF13" s="117" t="n">
        <x:f>DE15</x:f>
      </x:c>
      <x:c r="DG13" s="117" t="n">
        <x:f>DF15</x:f>
      </x:c>
      <x:c r="DH13" s="117" t="n">
        <x:f>DG15</x:f>
      </x:c>
      <x:c r="DI13" s="117" t="n">
        <x:f>DH15</x:f>
      </x:c>
      <x:c r="DJ13" s="117" t="n">
        <x:f>DI15</x:f>
      </x:c>
      <x:c r="DK13" s="117" t="n">
        <x:f>DJ15</x:f>
      </x:c>
      <x:c r="DL13" s="117" t="n">
        <x:f>DK15</x:f>
      </x:c>
      <x:c r="DM13" s="117" t="n">
        <x:f>DL15</x:f>
      </x:c>
      <x:c r="DN13" s="117" t="n">
        <x:f>DM15</x:f>
      </x:c>
      <x:c r="DO13" s="117" t="n">
        <x:f>DN15</x:f>
      </x:c>
      <x:c r="DP13" s="117" t="n">
        <x:f>DO15</x:f>
      </x:c>
      <x:c r="DQ13" s="117" t="n">
        <x:f>DP15</x:f>
      </x:c>
      <x:c r="DR13" s="117" t="n">
        <x:f>DQ15</x:f>
      </x:c>
      <x:c r="DS13" s="117" t="n">
        <x:f>DR15</x:f>
      </x:c>
      <x:c r="DT13" s="117" t="n">
        <x:f>DS15</x:f>
      </x:c>
      <x:c r="DU13" s="117" t="n">
        <x:f>DT15</x:f>
      </x:c>
      <x:c r="DV13" s="117" t="n">
        <x:f>DU15</x:f>
      </x:c>
      <x:c r="DW13" s="117" t="n">
        <x:f>DV15</x:f>
      </x:c>
      <x:c r="DX13" s="117" t="n">
        <x:f>DW15</x:f>
      </x:c>
      <x:c r="DY13" s="117" t="n">
        <x:f>DX15</x:f>
      </x:c>
      <x:c r="DZ13" s="117" t="n">
        <x:f>DY15</x:f>
      </x:c>
      <x:c r="EA13" s="117" t="n">
        <x:f>DZ15</x:f>
      </x:c>
      <x:c r="EB13" s="117" t="n">
        <x:f>EA15</x:f>
      </x:c>
      <x:c r="EC13" s="117" t="n">
        <x:f>EB15</x:f>
      </x:c>
      <x:c r="ED13" s="117" t="n">
        <x:f>EC15</x:f>
      </x:c>
      <x:c r="EE13" s="117" t="n">
        <x:f>ED15</x:f>
      </x:c>
      <x:c r="EF13" s="117" t="n">
        <x:f>EE15</x:f>
      </x:c>
      <x:c r="EG13" s="117" t="n">
        <x:f>EF15</x:f>
      </x:c>
      <x:c r="EH13" s="117" t="n">
        <x:f>EG15</x:f>
      </x:c>
      <x:c r="EI13" s="117" t="n">
        <x:f>EH15</x:f>
      </x:c>
      <x:c r="EJ13" s="117" t="n">
        <x:f>EI15</x:f>
      </x:c>
      <x:c r="EK13" s="117" t="n">
        <x:f>EJ15</x:f>
      </x:c>
      <x:c r="EL13" s="117" t="n">
        <x:f>EK15</x:f>
      </x:c>
      <x:c r="EM13" s="117" t="n">
        <x:f>EL15</x:f>
      </x:c>
      <x:c r="EN13" s="117" t="n">
        <x:f>EM15</x:f>
      </x:c>
      <x:c r="EO13" s="117" t="n">
        <x:f>EN15</x:f>
      </x:c>
      <x:c r="EP13" s="117" t="n">
        <x:f>EO15</x:f>
      </x:c>
      <x:c r="EQ13" s="117" t="n">
        <x:f>EP15</x:f>
      </x:c>
      <x:c r="ER13" s="117" t="n">
        <x:f>EQ15</x:f>
      </x:c>
      <x:c r="ES13" s="117" t="n">
        <x:f>ER15</x:f>
      </x:c>
      <x:c r="ET13" s="117" t="n">
        <x:f>ES15</x:f>
      </x:c>
      <x:c r="EU13" s="117" t="n">
        <x:f>ET15</x:f>
      </x:c>
      <x:c r="EV13" s="117" t="n">
        <x:f>EU15</x:f>
      </x:c>
      <x:c r="EW13" s="117" t="n">
        <x:f>EV15</x:f>
      </x:c>
      <x:c r="EX13" s="117" t="n">
        <x:f>EW15</x:f>
      </x:c>
      <x:c r="EY13" s="117" t="n">
        <x:f>EX15</x:f>
      </x:c>
      <x:c r="EZ13" s="117" t="n">
        <x:f>EY15</x:f>
      </x:c>
      <x:c r="FA13" s="117" t="n">
        <x:f>EZ15</x:f>
      </x:c>
      <x:c r="FB13" s="117" t="n">
        <x:f>FA15</x:f>
      </x:c>
      <x:c r="FC13" s="117" t="n">
        <x:f>FB15</x:f>
      </x:c>
      <x:c r="FD13" s="117" t="n">
        <x:f>FC15</x:f>
      </x:c>
      <x:c r="FE13" s="117" t="n">
        <x:f>FD15</x:f>
      </x:c>
      <x:c r="FF13" s="117" t="n">
        <x:f>FE15</x:f>
      </x:c>
      <x:c r="FG13" s="117" t="n">
        <x:f>FF15</x:f>
      </x:c>
      <x:c r="FH13" s="117" t="n">
        <x:f>FG15</x:f>
      </x:c>
      <x:c r="FI13" s="117" t="n">
        <x:f>FH15</x:f>
      </x:c>
      <x:c r="FJ13" s="117" t="n">
        <x:f>FI15</x:f>
      </x:c>
      <x:c r="FK13" s="117" t="n">
        <x:f>FJ15</x:f>
      </x:c>
      <x:c r="FL13" s="117" t="n">
        <x:f>FK15</x:f>
      </x:c>
      <x:c r="FM13" s="117" t="n">
        <x:f>FL15</x:f>
      </x:c>
      <x:c r="FN13" s="117" t="n">
        <x:f>FM15</x:f>
      </x:c>
      <x:c r="FO13" s="117" t="n">
        <x:f>FN15</x:f>
      </x:c>
      <x:c r="FP13" s="117" t="n">
        <x:f>FO15</x:f>
      </x:c>
      <x:c r="FQ13" s="117" t="n">
        <x:f>FP15</x:f>
      </x:c>
      <x:c r="FR13" s="117" t="n">
        <x:f>FQ15</x:f>
      </x:c>
      <x:c r="FS13" s="117" t="n">
        <x:f>FR15</x:f>
      </x:c>
      <x:c r="FT13" s="117" t="n">
        <x:f>FS15</x:f>
      </x:c>
      <x:c r="FU13" s="117" t="n">
        <x:f>FT15</x:f>
      </x:c>
      <x:c r="FV13" s="117" t="n">
        <x:f>FU15</x:f>
      </x:c>
      <x:c r="FW13" s="117" t="n">
        <x:f>FV15</x:f>
      </x:c>
      <x:c r="FX13" s="117" t="n">
        <x:f>FW15</x:f>
      </x:c>
      <x:c r="FY13" s="117" t="n">
        <x:f>FX15</x:f>
      </x:c>
      <x:c r="FZ13" s="117" t="n">
        <x:f>FY15</x:f>
      </x:c>
      <x:c r="GA13" s="117" t="n">
        <x:f>FZ15</x:f>
      </x:c>
    </x:row>
    <x:row r="14">
      <x:c r="A14" t="str">
        <x:v>Раскрытие эскроу</x:v>
      </x:c>
      <x:c r="B14" t="n">
        <x:f>SUM(D14:GA14)</x:f>
      </x:c>
      <x:c r="C14" t="str">
        <x:v>млн ₽</x:v>
      </x:c>
      <x:c r="D14" s="117" t="n">
        <x:f>0+'ОБЪЕКТЫ'!D95</x:f>
      </x:c>
      <x:c r="E14" s="117" t="n">
        <x:f>IF(AND(YEAR(E$3)=YEAR($B$8),MONTH(E$3)=MONTH($B$8)),SUM('Продажи'!$D$26:'Продажи'!D$26),0)+'ОБЪЕКТЫ'!E95</x:f>
      </x:c>
      <x:c r="F14" s="117" t="n">
        <x:f>IF(AND(YEAR(F$3)=YEAR($B$8),MONTH(F$3)=MONTH($B$8)),SUM('Продажи'!$D$26:'Продажи'!E$26),0)+'ОБЪЕКТЫ'!F95</x:f>
      </x:c>
      <x:c r="G14" s="117" t="n">
        <x:f>IF(AND(YEAR(G$3)=YEAR($B$8),MONTH(G$3)=MONTH($B$8)),SUM('Продажи'!$D$26:'Продажи'!F$26),0)+'ОБЪЕКТЫ'!G95</x:f>
      </x:c>
      <x:c r="H14" s="117" t="n">
        <x:f>IF(AND(YEAR(H$3)=YEAR($B$8),MONTH(H$3)=MONTH($B$8)),SUM('Продажи'!$D$26:'Продажи'!G$26),0)+'ОБЪЕКТЫ'!H95</x:f>
      </x:c>
      <x:c r="I14" s="117" t="n">
        <x:f>IF(AND(YEAR(I$3)=YEAR($B$8),MONTH(I$3)=MONTH($B$8)),SUM('Продажи'!$D$26:'Продажи'!H$26),0)+'ОБЪЕКТЫ'!I95</x:f>
      </x:c>
      <x:c r="J14" s="117" t="n">
        <x:f>IF(AND(YEAR(J$3)=YEAR($B$8),MONTH(J$3)=MONTH($B$8)),SUM('Продажи'!$D$26:'Продажи'!I$26),0)+'ОБЪЕКТЫ'!J95</x:f>
      </x:c>
      <x:c r="K14" s="117" t="n">
        <x:f>IF(AND(YEAR(K$3)=YEAR($B$8),MONTH(K$3)=MONTH($B$8)),SUM('Продажи'!$D$26:'Продажи'!J$26),0)+'ОБЪЕКТЫ'!K95</x:f>
      </x:c>
      <x:c r="L14" s="117" t="n">
        <x:f>IF(AND(YEAR(L$3)=YEAR($B$8),MONTH(L$3)=MONTH($B$8)),SUM('Продажи'!$D$26:'Продажи'!K$26),0)+'ОБЪЕКТЫ'!L95</x:f>
      </x:c>
      <x:c r="M14" s="117" t="n">
        <x:f>IF(AND(YEAR(M$3)=YEAR($B$8),MONTH(M$3)=MONTH($B$8)),SUM('Продажи'!$D$26:'Продажи'!L$26),0)+'ОБЪЕКТЫ'!M95</x:f>
      </x:c>
      <x:c r="N14" s="117" t="n">
        <x:f>IF(AND(YEAR(N$3)=YEAR($B$8),MONTH(N$3)=MONTH($B$8)),SUM('Продажи'!$D$26:'Продажи'!M$26),0)+'ОБЪЕКТЫ'!N95</x:f>
      </x:c>
      <x:c r="O14" s="117" t="n">
        <x:f>IF(AND(YEAR(O$3)=YEAR($B$8),MONTH(O$3)=MONTH($B$8)),SUM('Продажи'!$D$26:'Продажи'!N$26),0)+'ОБЪЕКТЫ'!O95</x:f>
      </x:c>
      <x:c r="P14" s="117" t="n">
        <x:f>IF(AND(YEAR(P$3)=YEAR($B$8),MONTH(P$3)=MONTH($B$8)),SUM('Продажи'!$D$26:'Продажи'!O$26),0)+'ОБЪЕКТЫ'!P95</x:f>
      </x:c>
      <x:c r="Q14" s="117" t="n">
        <x:f>IF(AND(YEAR(Q$3)=YEAR($B$8),MONTH(Q$3)=MONTH($B$8)),SUM('Продажи'!$D$26:'Продажи'!P$26),0)+'ОБЪЕКТЫ'!Q95</x:f>
      </x:c>
      <x:c r="R14" s="117" t="n">
        <x:f>IF(AND(YEAR(R$3)=YEAR($B$8),MONTH(R$3)=MONTH($B$8)),SUM('Продажи'!$D$26:'Продажи'!Q$26),0)+'ОБЪЕКТЫ'!R95</x:f>
      </x:c>
      <x:c r="S14" s="117" t="n">
        <x:f>IF(AND(YEAR(S$3)=YEAR($B$8),MONTH(S$3)=MONTH($B$8)),SUM('Продажи'!$D$26:'Продажи'!R$26),0)+'ОБЪЕКТЫ'!S95</x:f>
      </x:c>
      <x:c r="T14" s="117" t="n">
        <x:f>IF(AND(YEAR(T$3)=YEAR($B$8),MONTH(T$3)=MONTH($B$8)),SUM('Продажи'!$D$26:'Продажи'!S$26),0)+'ОБЪЕКТЫ'!T95</x:f>
      </x:c>
      <x:c r="U14" s="117" t="n">
        <x:f>IF(AND(YEAR(U$3)=YEAR($B$8),MONTH(U$3)=MONTH($B$8)),SUM('Продажи'!$D$26:'Продажи'!T$26),0)+'ОБЪЕКТЫ'!U95</x:f>
      </x:c>
      <x:c r="V14" s="117" t="n">
        <x:f>IF(AND(YEAR(V$3)=YEAR($B$8),MONTH(V$3)=MONTH($B$8)),SUM('Продажи'!$D$26:'Продажи'!U$26),0)+'ОБЪЕКТЫ'!V95</x:f>
      </x:c>
      <x:c r="W14" s="117" t="n">
        <x:f>IF(AND(YEAR(W$3)=YEAR($B$8),MONTH(W$3)=MONTH($B$8)),SUM('Продажи'!$D$26:'Продажи'!V$26),0)+'ОБЪЕКТЫ'!W95</x:f>
      </x:c>
      <x:c r="X14" s="117" t="n">
        <x:f>IF(AND(YEAR(X$3)=YEAR($B$8),MONTH(X$3)=MONTH($B$8)),SUM('Продажи'!$D$26:'Продажи'!W$26),0)+'ОБЪЕКТЫ'!X95</x:f>
      </x:c>
      <x:c r="Y14" s="117" t="n">
        <x:f>IF(AND(YEAR(Y$3)=YEAR($B$8),MONTH(Y$3)=MONTH($B$8)),SUM('Продажи'!$D$26:'Продажи'!X$26),0)+'ОБЪЕКТЫ'!Y95</x:f>
      </x:c>
      <x:c r="Z14" s="117" t="n">
        <x:f>IF(AND(YEAR(Z$3)=YEAR($B$8),MONTH(Z$3)=MONTH($B$8)),SUM('Продажи'!$D$26:'Продажи'!Y$26),0)+'ОБЪЕКТЫ'!Z95</x:f>
      </x:c>
      <x:c r="AA14" s="117" t="n">
        <x:f>IF(AND(YEAR(AA$3)=YEAR($B$8),MONTH(AA$3)=MONTH($B$8)),SUM('Продажи'!$D$26:'Продажи'!Z$26),0)+'ОБЪЕКТЫ'!AA95</x:f>
      </x:c>
      <x:c r="AB14" s="117" t="n">
        <x:f>IF(AND(YEAR(AB$3)=YEAR($B$8),MONTH(AB$3)=MONTH($B$8)),SUM('Продажи'!$D$26:'Продажи'!AA$26),0)+'ОБЪЕКТЫ'!AB95</x:f>
      </x:c>
      <x:c r="AC14" s="117" t="n">
        <x:f>IF(AND(YEAR(AC$3)=YEAR($B$8),MONTH(AC$3)=MONTH($B$8)),SUM('Продажи'!$D$26:'Продажи'!AB$26),0)+'ОБЪЕКТЫ'!AC95</x:f>
      </x:c>
      <x:c r="AD14" s="117" t="n">
        <x:f>IF(AND(YEAR(AD$3)=YEAR($B$8),MONTH(AD$3)=MONTH($B$8)),SUM('Продажи'!$D$26:'Продажи'!AC$26),0)+'ОБЪЕКТЫ'!AD95</x:f>
      </x:c>
      <x:c r="AE14" s="117" t="n">
        <x:f>IF(AND(YEAR(AE$3)=YEAR($B$8),MONTH(AE$3)=MONTH($B$8)),SUM('Продажи'!$D$26:'Продажи'!AD$26),0)+'ОБЪЕКТЫ'!AE95</x:f>
      </x:c>
      <x:c r="AF14" s="117" t="n">
        <x:f>IF(AND(YEAR(AF$3)=YEAR($B$8),MONTH(AF$3)=MONTH($B$8)),SUM('Продажи'!$D$26:'Продажи'!AE$26),0)+'ОБЪЕКТЫ'!AF95</x:f>
      </x:c>
      <x:c r="AG14" s="117" t="n">
        <x:f>IF(AND(YEAR(AG$3)=YEAR($B$8),MONTH(AG$3)=MONTH($B$8)),SUM('Продажи'!$D$26:'Продажи'!AF$26),0)+'ОБЪЕКТЫ'!AG95</x:f>
      </x:c>
      <x:c r="AH14" s="117" t="n">
        <x:f>IF(AND(YEAR(AH$3)=YEAR($B$8),MONTH(AH$3)=MONTH($B$8)),SUM('Продажи'!$D$26:'Продажи'!AG$26),0)+'ОБЪЕКТЫ'!AH95</x:f>
      </x:c>
      <x:c r="AI14" s="117" t="n">
        <x:f>IF(AND(YEAR(AI$3)=YEAR($B$8),MONTH(AI$3)=MONTH($B$8)),SUM('Продажи'!$D$26:'Продажи'!AH$26),0)+'ОБЪЕКТЫ'!AI95</x:f>
      </x:c>
      <x:c r="AJ14" s="117" t="n">
        <x:f>IF(AND(YEAR(AJ$3)=YEAR($B$8),MONTH(AJ$3)=MONTH($B$8)),SUM('Продажи'!$D$26:'Продажи'!AI$26),0)+'ОБЪЕКТЫ'!AJ95</x:f>
      </x:c>
      <x:c r="AK14" s="117" t="n">
        <x:f>IF(AND(YEAR(AK$3)=YEAR($B$8),MONTH(AK$3)=MONTH($B$8)),SUM('Продажи'!$D$26:'Продажи'!AJ$26),0)+'ОБЪЕКТЫ'!AK95</x:f>
      </x:c>
      <x:c r="AL14" s="117" t="n">
        <x:f>IF(AND(YEAR(AL$3)=YEAR($B$8),MONTH(AL$3)=MONTH($B$8)),SUM('Продажи'!$D$26:'Продажи'!AK$26),0)+'ОБЪЕКТЫ'!AL95</x:f>
      </x:c>
      <x:c r="AM14" s="117" t="n">
        <x:f>IF(AND(YEAR(AM$3)=YEAR($B$8),MONTH(AM$3)=MONTH($B$8)),SUM('Продажи'!$D$26:'Продажи'!AL$26),0)+'ОБЪЕКТЫ'!AM95</x:f>
      </x:c>
      <x:c r="AN14" s="117" t="n">
        <x:f>IF(AND(YEAR(AN$3)=YEAR($B$8),MONTH(AN$3)=MONTH($B$8)),SUM('Продажи'!$D$26:'Продажи'!AM$26),0)+'ОБЪЕКТЫ'!AN95</x:f>
      </x:c>
      <x:c r="AO14" s="117" t="n">
        <x:f>IF(AND(YEAR(AO$3)=YEAR($B$8),MONTH(AO$3)=MONTH($B$8)),SUM('Продажи'!$D$26:'Продажи'!AN$26),0)+'ОБЪЕКТЫ'!AO95</x:f>
      </x:c>
      <x:c r="AP14" s="117" t="n">
        <x:f>IF(AND(YEAR(AP$3)=YEAR($B$8),MONTH(AP$3)=MONTH($B$8)),SUM('Продажи'!$D$26:'Продажи'!AO$26),0)+'ОБЪЕКТЫ'!AP95</x:f>
      </x:c>
      <x:c r="AQ14" s="117" t="n">
        <x:f>IF(AND(YEAR(AQ$3)=YEAR($B$8),MONTH(AQ$3)=MONTH($B$8)),SUM('Продажи'!$D$26:'Продажи'!AP$26),0)+'ОБЪЕКТЫ'!AQ95</x:f>
      </x:c>
      <x:c r="AR14" s="117" t="n">
        <x:f>IF(AND(YEAR(AR$3)=YEAR($B$8),MONTH(AR$3)=MONTH($B$8)),SUM('Продажи'!$D$26:'Продажи'!AQ$26),0)+'ОБЪЕКТЫ'!AR95</x:f>
      </x:c>
      <x:c r="AS14" s="117" t="n">
        <x:f>IF(AND(YEAR(AS$3)=YEAR($B$8),MONTH(AS$3)=MONTH($B$8)),SUM('Продажи'!$D$26:'Продажи'!AR$26),0)+'ОБЪЕКТЫ'!AS95</x:f>
      </x:c>
      <x:c r="AT14" s="117" t="n">
        <x:f>IF(AND(YEAR(AT$3)=YEAR($B$8),MONTH(AT$3)=MONTH($B$8)),SUM('Продажи'!$D$26:'Продажи'!AS$26),0)+'ОБЪЕКТЫ'!AT95</x:f>
      </x:c>
      <x:c r="AU14" s="117" t="n">
        <x:f>IF(AND(YEAR(AU$3)=YEAR($B$8),MONTH(AU$3)=MONTH($B$8)),SUM('Продажи'!$D$26:'Продажи'!AT$26),0)+'ОБЪЕКТЫ'!AU95</x:f>
      </x:c>
      <x:c r="AV14" s="117" t="n">
        <x:f>IF(AND(YEAR(AV$3)=YEAR($B$8),MONTH(AV$3)=MONTH($B$8)),SUM('Продажи'!$D$26:'Продажи'!AU$26),0)+'ОБЪЕКТЫ'!AV95</x:f>
      </x:c>
      <x:c r="AW14" s="117" t="n">
        <x:f>IF(AND(YEAR(AW$3)=YEAR($B$8),MONTH(AW$3)=MONTH($B$8)),SUM('Продажи'!$D$26:'Продажи'!AV$26),0)+'ОБЪЕКТЫ'!AW95</x:f>
      </x:c>
      <x:c r="AX14" s="117" t="n">
        <x:f>IF(AND(YEAR(AX$3)=YEAR($B$8),MONTH(AX$3)=MONTH($B$8)),SUM('Продажи'!$D$26:'Продажи'!AW$26),0)+'ОБЪЕКТЫ'!AX95</x:f>
      </x:c>
      <x:c r="AY14" s="117" t="n">
        <x:f>IF(AND(YEAR(AY$3)=YEAR($B$8),MONTH(AY$3)=MONTH($B$8)),SUM('Продажи'!$D$26:'Продажи'!AX$26),0)+'ОБЪЕКТЫ'!AY95</x:f>
      </x:c>
      <x:c r="AZ14" s="117" t="n">
        <x:f>IF(AND(YEAR(AZ$3)=YEAR($B$8),MONTH(AZ$3)=MONTH($B$8)),SUM('Продажи'!$D$26:'Продажи'!AY$26),0)+'ОБЪЕКТЫ'!AZ95</x:f>
      </x:c>
      <x:c r="BA14" s="117" t="n">
        <x:f>IF(AND(YEAR(BA$3)=YEAR($B$8),MONTH(BA$3)=MONTH($B$8)),SUM('Продажи'!$D$26:'Продажи'!AZ$26),0)+'ОБЪЕКТЫ'!BA95</x:f>
      </x:c>
      <x:c r="BB14" s="117" t="n">
        <x:f>IF(AND(YEAR(BB$3)=YEAR($B$8),MONTH(BB$3)=MONTH($B$8)),SUM('Продажи'!$D$26:'Продажи'!BA$26),0)+'ОБЪЕКТЫ'!BB95</x:f>
      </x:c>
      <x:c r="BC14" s="117" t="n">
        <x:f>IF(AND(YEAR(BC$3)=YEAR($B$8),MONTH(BC$3)=MONTH($B$8)),SUM('Продажи'!$D$26:'Продажи'!BB$26),0)+'ОБЪЕКТЫ'!BC95</x:f>
      </x:c>
      <x:c r="BD14" s="117" t="n">
        <x:f>IF(AND(YEAR(BD$3)=YEAR($B$8),MONTH(BD$3)=MONTH($B$8)),SUM('Продажи'!$D$26:'Продажи'!BC$26),0)+'ОБЪЕКТЫ'!BD95</x:f>
      </x:c>
      <x:c r="BE14" s="117" t="n">
        <x:f>IF(AND(YEAR(BE$3)=YEAR($B$8),MONTH(BE$3)=MONTH($B$8)),SUM('Продажи'!$D$26:'Продажи'!BD$26),0)+'ОБЪЕКТЫ'!BE95</x:f>
      </x:c>
      <x:c r="BF14" s="117" t="n">
        <x:f>IF(AND(YEAR(BF$3)=YEAR($B$8),MONTH(BF$3)=MONTH($B$8)),SUM('Продажи'!$D$26:'Продажи'!BE$26),0)+'ОБЪЕКТЫ'!BF95</x:f>
      </x:c>
      <x:c r="BG14" s="117" t="n">
        <x:f>IF(AND(YEAR(BG$3)=YEAR($B$8),MONTH(BG$3)=MONTH($B$8)),SUM('Продажи'!$D$26:'Продажи'!BF$26),0)+'ОБЪЕКТЫ'!BG95</x:f>
      </x:c>
      <x:c r="BH14" s="117" t="n">
        <x:f>IF(AND(YEAR(BH$3)=YEAR($B$8),MONTH(BH$3)=MONTH($B$8)),SUM('Продажи'!$D$26:'Продажи'!BG$26),0)+'ОБЪЕКТЫ'!BH95</x:f>
      </x:c>
      <x:c r="BI14" s="117" t="n">
        <x:f>IF(AND(YEAR(BI$3)=YEAR($B$8),MONTH(BI$3)=MONTH($B$8)),SUM('Продажи'!$D$26:'Продажи'!BH$26),0)+'ОБЪЕКТЫ'!BI95</x:f>
      </x:c>
      <x:c r="BJ14" s="117" t="n">
        <x:f>IF(AND(YEAR(BJ$3)=YEAR($B$8),MONTH(BJ$3)=MONTH($B$8)),SUM('Продажи'!$D$26:'Продажи'!BI$26),0)+'ОБЪЕКТЫ'!BJ95</x:f>
      </x:c>
      <x:c r="BK14" s="117" t="n">
        <x:f>IF(AND(YEAR(BK$3)=YEAR($B$8),MONTH(BK$3)=MONTH($B$8)),SUM('Продажи'!$D$26:'Продажи'!BJ$26),0)+'ОБЪЕКТЫ'!BK95</x:f>
      </x:c>
      <x:c r="BL14" s="117" t="n">
        <x:f>IF(AND(YEAR(BL$3)=YEAR($B$8),MONTH(BL$3)=MONTH($B$8)),SUM('Продажи'!$D$26:'Продажи'!BK$26),0)+'ОБЪЕКТЫ'!BL95</x:f>
      </x:c>
      <x:c r="BM14" s="117" t="n">
        <x:f>IF(AND(YEAR(BM$3)=YEAR($B$8),MONTH(BM$3)=MONTH($B$8)),SUM('Продажи'!$D$26:'Продажи'!BL$26),0)+'ОБЪЕКТЫ'!BM95</x:f>
      </x:c>
      <x:c r="BN14" s="117" t="n">
        <x:f>IF(AND(YEAR(BN$3)=YEAR($B$8),MONTH(BN$3)=MONTH($B$8)),SUM('Продажи'!$D$26:'Продажи'!BM$26),0)+'ОБЪЕКТЫ'!BN95</x:f>
      </x:c>
      <x:c r="BO14" s="117" t="n">
        <x:f>IF(AND(YEAR(BO$3)=YEAR($B$8),MONTH(BO$3)=MONTH($B$8)),SUM('Продажи'!$D$26:'Продажи'!BN$26),0)+'ОБЪЕКТЫ'!BO95</x:f>
      </x:c>
      <x:c r="BP14" s="117" t="n">
        <x:f>IF(AND(YEAR(BP$3)=YEAR($B$8),MONTH(BP$3)=MONTH($B$8)),SUM('Продажи'!$D$26:'Продажи'!BO$26),0)+'ОБЪЕКТЫ'!BP95</x:f>
      </x:c>
      <x:c r="BQ14" s="117" t="n">
        <x:f>IF(AND(YEAR(BQ$3)=YEAR($B$8),MONTH(BQ$3)=MONTH($B$8)),SUM('Продажи'!$D$26:'Продажи'!BP$26),0)+'ОБЪЕКТЫ'!BQ95</x:f>
      </x:c>
      <x:c r="BR14" s="117" t="n">
        <x:f>IF(AND(YEAR(BR$3)=YEAR($B$8),MONTH(BR$3)=MONTH($B$8)),SUM('Продажи'!$D$26:'Продажи'!BQ$26),0)+'ОБЪЕКТЫ'!BR95</x:f>
      </x:c>
      <x:c r="BS14" s="117" t="n">
        <x:f>IF(AND(YEAR(BS$3)=YEAR($B$8),MONTH(BS$3)=MONTH($B$8)),SUM('Продажи'!$D$26:'Продажи'!BR$26),0)+'ОБЪЕКТЫ'!BS95</x:f>
      </x:c>
      <x:c r="BT14" s="117" t="n">
        <x:f>IF(AND(YEAR(BT$3)=YEAR($B$8),MONTH(BT$3)=MONTH($B$8)),SUM('Продажи'!$D$26:'Продажи'!BS$26),0)+'ОБЪЕКТЫ'!BT95</x:f>
      </x:c>
      <x:c r="BU14" s="117" t="n">
        <x:f>IF(AND(YEAR(BU$3)=YEAR($B$8),MONTH(BU$3)=MONTH($B$8)),SUM('Продажи'!$D$26:'Продажи'!BT$26),0)+'ОБЪЕКТЫ'!BU95</x:f>
      </x:c>
      <x:c r="BV14" s="117" t="n">
        <x:f>IF(AND(YEAR(BV$3)=YEAR($B$8),MONTH(BV$3)=MONTH($B$8)),SUM('Продажи'!$D$26:'Продажи'!BU$26),0)+'ОБЪЕКТЫ'!BV95</x:f>
      </x:c>
      <x:c r="BW14" s="117" t="n">
        <x:f>IF(AND(YEAR(BW$3)=YEAR($B$8),MONTH(BW$3)=MONTH($B$8)),SUM('Продажи'!$D$26:'Продажи'!BV$26),0)+'ОБЪЕКТЫ'!BW95</x:f>
      </x:c>
      <x:c r="BX14" s="117" t="n">
        <x:f>IF(AND(YEAR(BX$3)=YEAR($B$8),MONTH(BX$3)=MONTH($B$8)),SUM('Продажи'!$D$26:'Продажи'!BW$26),0)+'ОБЪЕКТЫ'!BX95</x:f>
      </x:c>
      <x:c r="BY14" s="117" t="n">
        <x:f>IF(AND(YEAR(BY$3)=YEAR($B$8),MONTH(BY$3)=MONTH($B$8)),SUM('Продажи'!$D$26:'Продажи'!BX$26),0)+'ОБЪЕКТЫ'!BY95</x:f>
      </x:c>
      <x:c r="BZ14" s="117" t="n">
        <x:f>IF(AND(YEAR(BZ$3)=YEAR($B$8),MONTH(BZ$3)=MONTH($B$8)),SUM('Продажи'!$D$26:'Продажи'!BY$26),0)+'ОБЪЕКТЫ'!BZ95</x:f>
      </x:c>
      <x:c r="CA14" s="117" t="n">
        <x:f>IF(AND(YEAR(CA$3)=YEAR($B$8),MONTH(CA$3)=MONTH($B$8)),SUM('Продажи'!$D$26:'Продажи'!BZ$26),0)+'ОБЪЕКТЫ'!CA95</x:f>
      </x:c>
      <x:c r="CB14" s="117" t="n">
        <x:f>IF(AND(YEAR(CB$3)=YEAR($B$8),MONTH(CB$3)=MONTH($B$8)),SUM('Продажи'!$D$26:'Продажи'!CA$26),0)+'ОБЪЕКТЫ'!CB95</x:f>
      </x:c>
      <x:c r="CC14" s="117" t="n">
        <x:f>IF(AND(YEAR(CC$3)=YEAR($B$8),MONTH(CC$3)=MONTH($B$8)),SUM('Продажи'!$D$26:'Продажи'!CB$26),0)+'ОБЪЕКТЫ'!CC95</x:f>
      </x:c>
      <x:c r="CD14" s="117" t="n">
        <x:f>IF(AND(YEAR(CD$3)=YEAR($B$8),MONTH(CD$3)=MONTH($B$8)),SUM('Продажи'!$D$26:'Продажи'!CC$26),0)+'ОБЪЕКТЫ'!CD95</x:f>
      </x:c>
      <x:c r="CE14" s="117" t="n">
        <x:f>IF(AND(YEAR(CE$3)=YEAR($B$8),MONTH(CE$3)=MONTH($B$8)),SUM('Продажи'!$D$26:'Продажи'!CD$26),0)+'ОБЪЕКТЫ'!CE95</x:f>
      </x:c>
      <x:c r="CF14" s="117" t="n">
        <x:f>IF(AND(YEAR(CF$3)=YEAR($B$8),MONTH(CF$3)=MONTH($B$8)),SUM('Продажи'!$D$26:'Продажи'!CE$26),0)+'ОБЪЕКТЫ'!CF95</x:f>
      </x:c>
      <x:c r="CG14" s="117" t="n">
        <x:f>IF(AND(YEAR(CG$3)=YEAR($B$8),MONTH(CG$3)=MONTH($B$8)),SUM('Продажи'!$D$26:'Продажи'!CF$26),0)+'ОБЪЕКТЫ'!CG95</x:f>
      </x:c>
      <x:c r="CH14" s="117" t="n">
        <x:f>IF(AND(YEAR(CH$3)=YEAR($B$8),MONTH(CH$3)=MONTH($B$8)),SUM('Продажи'!$D$26:'Продажи'!CG$26),0)+'ОБЪЕКТЫ'!CH95</x:f>
      </x:c>
      <x:c r="CI14" s="117" t="n">
        <x:f>IF(AND(YEAR(CI$3)=YEAR($B$8),MONTH(CI$3)=MONTH($B$8)),SUM('Продажи'!$D$26:'Продажи'!CH$26),0)+'ОБЪЕКТЫ'!CI95</x:f>
      </x:c>
      <x:c r="CJ14" s="117" t="n">
        <x:f>IF(AND(YEAR(CJ$3)=YEAR($B$8),MONTH(CJ$3)=MONTH($B$8)),SUM('Продажи'!$D$26:'Продажи'!CI$26),0)+'ОБЪЕКТЫ'!CJ95</x:f>
      </x:c>
      <x:c r="CK14" s="117" t="n">
        <x:f>IF(AND(YEAR(CK$3)=YEAR($B$8),MONTH(CK$3)=MONTH($B$8)),SUM('Продажи'!$D$26:'Продажи'!CJ$26),0)+'ОБЪЕКТЫ'!CK95</x:f>
      </x:c>
      <x:c r="CL14" s="117" t="n">
        <x:f>IF(AND(YEAR(CL$3)=YEAR($B$8),MONTH(CL$3)=MONTH($B$8)),SUM('Продажи'!$D$26:'Продажи'!CK$26),0)+'ОБЪЕКТЫ'!CL95</x:f>
      </x:c>
      <x:c r="CM14" s="117" t="n">
        <x:f>IF(AND(YEAR(CM$3)=YEAR($B$8),MONTH(CM$3)=MONTH($B$8)),SUM('Продажи'!$D$26:'Продажи'!CL$26),0)+'ОБЪЕКТЫ'!CM95</x:f>
      </x:c>
      <x:c r="CN14" s="117" t="n">
        <x:f>IF(AND(YEAR(CN$3)=YEAR($B$8),MONTH(CN$3)=MONTH($B$8)),SUM('Продажи'!$D$26:'Продажи'!CM$26),0)+'ОБЪЕКТЫ'!CN95</x:f>
      </x:c>
      <x:c r="CO14" s="117" t="n">
        <x:f>IF(AND(YEAR(CO$3)=YEAR($B$8),MONTH(CO$3)=MONTH($B$8)),SUM('Продажи'!$D$26:'Продажи'!CN$26),0)+'ОБЪЕКТЫ'!CO95</x:f>
      </x:c>
      <x:c r="CP14" s="117" t="n">
        <x:f>IF(AND(YEAR(CP$3)=YEAR($B$8),MONTH(CP$3)=MONTH($B$8)),SUM('Продажи'!$D$26:'Продажи'!CO$26),0)+'ОБЪЕКТЫ'!CP95</x:f>
      </x:c>
      <x:c r="CQ14" s="117" t="n">
        <x:f>IF(AND(YEAR(CQ$3)=YEAR($B$8),MONTH(CQ$3)=MONTH($B$8)),SUM('Продажи'!$D$26:'Продажи'!CP$26),0)+'ОБЪЕКТЫ'!CQ95</x:f>
      </x:c>
      <x:c r="CR14" s="117" t="n">
        <x:f>IF(AND(YEAR(CR$3)=YEAR($B$8),MONTH(CR$3)=MONTH($B$8)),SUM('Продажи'!$D$26:'Продажи'!CQ$26),0)+'ОБЪЕКТЫ'!CR95</x:f>
      </x:c>
      <x:c r="CS14" s="117" t="n">
        <x:f>IF(AND(YEAR(CS$3)=YEAR($B$8),MONTH(CS$3)=MONTH($B$8)),SUM('Продажи'!$D$26:'Продажи'!CR$26),0)+'ОБЪЕКТЫ'!CS95</x:f>
      </x:c>
      <x:c r="CT14" s="117" t="n">
        <x:f>IF(AND(YEAR(CT$3)=YEAR($B$8),MONTH(CT$3)=MONTH($B$8)),SUM('Продажи'!$D$26:'Продажи'!CS$26),0)+'ОБЪЕКТЫ'!CT95</x:f>
      </x:c>
      <x:c r="CU14" s="117" t="n">
        <x:f>IF(AND(YEAR(CU$3)=YEAR($B$8),MONTH(CU$3)=MONTH($B$8)),SUM('Продажи'!$D$26:'Продажи'!CT$26),0)+'ОБЪЕКТЫ'!CU95</x:f>
      </x:c>
      <x:c r="CV14" s="117" t="n">
        <x:f>IF(AND(YEAR(CV$3)=YEAR($B$8),MONTH(CV$3)=MONTH($B$8)),SUM('Продажи'!$D$26:'Продажи'!CU$26),0)+'ОБЪЕКТЫ'!CV95</x:f>
      </x:c>
      <x:c r="CW14" s="117" t="n">
        <x:f>IF(AND(YEAR(CW$3)=YEAR($B$8),MONTH(CW$3)=MONTH($B$8)),SUM('Продажи'!$D$26:'Продажи'!CV$26),0)+'ОБЪЕКТЫ'!CW95</x:f>
      </x:c>
      <x:c r="CX14" s="117" t="n">
        <x:f>IF(AND(YEAR(CX$3)=YEAR($B$8),MONTH(CX$3)=MONTH($B$8)),SUM('Продажи'!$D$26:'Продажи'!CW$26),0)+'ОБЪЕКТЫ'!CX95</x:f>
      </x:c>
      <x:c r="CY14" s="117" t="n">
        <x:f>IF(AND(YEAR(CY$3)=YEAR($B$8),MONTH(CY$3)=MONTH($B$8)),SUM('Продажи'!$D$26:'Продажи'!CX$26),0)+'ОБЪЕКТЫ'!CY95</x:f>
      </x:c>
      <x:c r="CZ14" s="117" t="n">
        <x:f>IF(AND(YEAR(CZ$3)=YEAR($B$8),MONTH(CZ$3)=MONTH($B$8)),SUM('Продажи'!$D$26:'Продажи'!CY$26),0)+'ОБЪЕКТЫ'!CZ95</x:f>
      </x:c>
      <x:c r="DA14" s="117" t="n">
        <x:f>IF(AND(YEAR(DA$3)=YEAR($B$8),MONTH(DA$3)=MONTH($B$8)),SUM('Продажи'!$D$26:'Продажи'!CZ$26),0)+'ОБЪЕКТЫ'!DA95</x:f>
      </x:c>
      <x:c r="DB14" s="117" t="n">
        <x:f>IF(AND(YEAR(DB$3)=YEAR($B$8),MONTH(DB$3)=MONTH($B$8)),SUM('Продажи'!$D$26:'Продажи'!DA$26),0)+'ОБЪЕКТЫ'!DB95</x:f>
      </x:c>
      <x:c r="DC14" s="117" t="n">
        <x:f>IF(AND(YEAR(DC$3)=YEAR($B$8),MONTH(DC$3)=MONTH($B$8)),SUM('Продажи'!$D$26:'Продажи'!DB$26),0)+'ОБЪЕКТЫ'!DC95</x:f>
      </x:c>
      <x:c r="DD14" s="117" t="n">
        <x:f>IF(AND(YEAR(DD$3)=YEAR($B$8),MONTH(DD$3)=MONTH($B$8)),SUM('Продажи'!$D$26:'Продажи'!DC$26),0)+'ОБЪЕКТЫ'!DD95</x:f>
      </x:c>
      <x:c r="DE14" s="117" t="n">
        <x:f>IF(AND(YEAR(DE$3)=YEAR($B$8),MONTH(DE$3)=MONTH($B$8)),SUM('Продажи'!$D$26:'Продажи'!DD$26),0)+'ОБЪЕКТЫ'!DE95</x:f>
      </x:c>
      <x:c r="DF14" s="117" t="n">
        <x:f>IF(AND(YEAR(DF$3)=YEAR($B$8),MONTH(DF$3)=MONTH($B$8)),SUM('Продажи'!$D$26:'Продажи'!DE$26),0)+'ОБЪЕКТЫ'!DF95</x:f>
      </x:c>
      <x:c r="DG14" s="117" t="n">
        <x:f>IF(AND(YEAR(DG$3)=YEAR($B$8),MONTH(DG$3)=MONTH($B$8)),SUM('Продажи'!$D$26:'Продажи'!DF$26),0)+'ОБЪЕКТЫ'!DG95</x:f>
      </x:c>
      <x:c r="DH14" s="117" t="n">
        <x:f>IF(AND(YEAR(DH$3)=YEAR($B$8),MONTH(DH$3)=MONTH($B$8)),SUM('Продажи'!$D$26:'Продажи'!DG$26),0)+'ОБЪЕКТЫ'!DH95</x:f>
      </x:c>
      <x:c r="DI14" s="117" t="n">
        <x:f>IF(AND(YEAR(DI$3)=YEAR($B$8),MONTH(DI$3)=MONTH($B$8)),SUM('Продажи'!$D$26:'Продажи'!DH$26),0)+'ОБЪЕКТЫ'!DI95</x:f>
      </x:c>
      <x:c r="DJ14" s="117" t="n">
        <x:f>IF(AND(YEAR(DJ$3)=YEAR($B$8),MONTH(DJ$3)=MONTH($B$8)),SUM('Продажи'!$D$26:'Продажи'!DI$26),0)+'ОБЪЕКТЫ'!DJ95</x:f>
      </x:c>
      <x:c r="DK14" s="117" t="n">
        <x:f>IF(AND(YEAR(DK$3)=YEAR($B$8),MONTH(DK$3)=MONTH($B$8)),SUM('Продажи'!$D$26:'Продажи'!DJ$26),0)+'ОБЪЕКТЫ'!DK95</x:f>
      </x:c>
      <x:c r="DL14" s="117" t="n">
        <x:f>IF(AND(YEAR(DL$3)=YEAR($B$8),MONTH(DL$3)=MONTH($B$8)),SUM('Продажи'!$D$26:'Продажи'!DK$26),0)+'ОБЪЕКТЫ'!DL95</x:f>
      </x:c>
      <x:c r="DM14" s="117" t="n">
        <x:f>IF(AND(YEAR(DM$3)=YEAR($B$8),MONTH(DM$3)=MONTH($B$8)),SUM('Продажи'!$D$26:'Продажи'!DL$26),0)+'ОБЪЕКТЫ'!DM95</x:f>
      </x:c>
      <x:c r="DN14" s="117" t="n">
        <x:f>IF(AND(YEAR(DN$3)=YEAR($B$8),MONTH(DN$3)=MONTH($B$8)),SUM('Продажи'!$D$26:'Продажи'!DM$26),0)+'ОБЪЕКТЫ'!DN95</x:f>
      </x:c>
      <x:c r="DO14" s="117" t="n">
        <x:f>IF(AND(YEAR(DO$3)=YEAR($B$8),MONTH(DO$3)=MONTH($B$8)),SUM('Продажи'!$D$26:'Продажи'!DN$26),0)+'ОБЪЕКТЫ'!DO95</x:f>
      </x:c>
      <x:c r="DP14" s="117" t="n">
        <x:f>IF(AND(YEAR(DP$3)=YEAR($B$8),MONTH(DP$3)=MONTH($B$8)),SUM('Продажи'!$D$26:'Продажи'!DO$26),0)+'ОБЪЕКТЫ'!DP95</x:f>
      </x:c>
      <x:c r="DQ14" s="117" t="n">
        <x:f>IF(AND(YEAR(DQ$3)=YEAR($B$8),MONTH(DQ$3)=MONTH($B$8)),SUM('Продажи'!$D$26:'Продажи'!DP$26),0)+'ОБЪЕКТЫ'!DQ95</x:f>
      </x:c>
      <x:c r="DR14" s="117" t="n">
        <x:f>IF(AND(YEAR(DR$3)=YEAR($B$8),MONTH(DR$3)=MONTH($B$8)),SUM('Продажи'!$D$26:'Продажи'!DQ$26),0)+'ОБЪЕКТЫ'!DR95</x:f>
      </x:c>
      <x:c r="DS14" s="117" t="n">
        <x:f>IF(AND(YEAR(DS$3)=YEAR($B$8),MONTH(DS$3)=MONTH($B$8)),SUM('Продажи'!$D$26:'Продажи'!DR$26),0)+'ОБЪЕКТЫ'!DS95</x:f>
      </x:c>
      <x:c r="DT14" s="117" t="n">
        <x:f>IF(AND(YEAR(DT$3)=YEAR($B$8),MONTH(DT$3)=MONTH($B$8)),SUM('Продажи'!$D$26:'Продажи'!GA$26),0)+'ОБЪЕКТЫ'!DT95</x:f>
      </x:c>
      <x:c r="DU14" s="117" t="n">
        <x:f>IF(AND(YEAR(DU$3)=YEAR($B$8),MONTH(DU$3)=MONTH($B$8)),SUM('Продажи'!$D$26:'Продажи'!DT$26),0)+'ОБЪЕКТЫ'!DU95</x:f>
      </x:c>
      <x:c r="DV14" s="117" t="n">
        <x:f>IF(AND(YEAR(DV$3)=YEAR($B$8),MONTH(DV$3)=MONTH($B$8)),SUM('Продажи'!$D$26:'Продажи'!DU$26),0)+'ОБЪЕКТЫ'!DV95</x:f>
      </x:c>
      <x:c r="DW14" s="117" t="n">
        <x:f>IF(AND(YEAR(DW$3)=YEAR($B$8),MONTH(DW$3)=MONTH($B$8)),SUM('Продажи'!$D$26:'Продажи'!DV$26),0)+'ОБЪЕКТЫ'!DW95</x:f>
      </x:c>
      <x:c r="DX14" s="117" t="n">
        <x:f>IF(AND(YEAR(DX$3)=YEAR($B$8),MONTH(DX$3)=MONTH($B$8)),SUM('Продажи'!$D$26:'Продажи'!DW$26),0)+'ОБЪЕКТЫ'!DX95</x:f>
      </x:c>
      <x:c r="DY14" s="117" t="n">
        <x:f>IF(AND(YEAR(DY$3)=YEAR($B$8),MONTH(DY$3)=MONTH($B$8)),SUM('Продажи'!$D$26:'Продажи'!DX$26),0)+'ОБЪЕКТЫ'!DY95</x:f>
      </x:c>
      <x:c r="DZ14" s="117" t="n">
        <x:f>IF(AND(YEAR(DZ$3)=YEAR($B$8),MONTH(DZ$3)=MONTH($B$8)),SUM('Продажи'!$D$26:'Продажи'!DY$26),0)+'ОБЪЕКТЫ'!DZ95</x:f>
      </x:c>
      <x:c r="EA14" s="117" t="n">
        <x:f>IF(AND(YEAR(EA$3)=YEAR($B$8),MONTH(EA$3)=MONTH($B$8)),SUM('Продажи'!$D$26:'Продажи'!DZ$26),0)+'ОБЪЕКТЫ'!EA95</x:f>
      </x:c>
      <x:c r="EB14" s="117" t="n">
        <x:f>IF(AND(YEAR(EB$3)=YEAR($B$8),MONTH(EB$3)=MONTH($B$8)),SUM('Продажи'!$D$26:'Продажи'!EA$26),0)+'ОБЪЕКТЫ'!EB95</x:f>
      </x:c>
      <x:c r="EC14" s="117" t="n">
        <x:f>IF(AND(YEAR(EC$3)=YEAR($B$8),MONTH(EC$3)=MONTH($B$8)),SUM('Продажи'!$D$26:'Продажи'!EB$26),0)+'ОБЪЕКТЫ'!EC95</x:f>
      </x:c>
      <x:c r="ED14" s="117" t="n">
        <x:f>IF(AND(YEAR(ED$3)=YEAR($B$8),MONTH(ED$3)=MONTH($B$8)),SUM('Продажи'!$D$26:'Продажи'!EC$26),0)+'ОБЪЕКТЫ'!ED95</x:f>
      </x:c>
      <x:c r="EE14" s="117" t="n">
        <x:f>IF(AND(YEAR(EE$3)=YEAR($B$8),MONTH(EE$3)=MONTH($B$8)),SUM('Продажи'!$D$26:'Продажи'!ED$26),0)+'ОБЪЕКТЫ'!EE95</x:f>
      </x:c>
      <x:c r="EF14" s="117" t="n">
        <x:f>IF(AND(YEAR(EF$3)=YEAR($B$8),MONTH(EF$3)=MONTH($B$8)),SUM('Продажи'!$D$26:'Продажи'!EE$26),0)+'ОБЪЕКТЫ'!EF95</x:f>
      </x:c>
      <x:c r="EG14" s="117" t="n">
        <x:f>IF(AND(YEAR(EG$3)=YEAR($B$8),MONTH(EG$3)=MONTH($B$8)),SUM('Продажи'!$D$26:'Продажи'!EF$26),0)+'ОБЪЕКТЫ'!EG95</x:f>
      </x:c>
      <x:c r="EH14" s="117" t="n">
        <x:f>IF(AND(YEAR(EH$3)=YEAR($B$8),MONTH(EH$3)=MONTH($B$8)),SUM('Продажи'!$D$26:'Продажи'!EG$26),0)+'ОБЪЕКТЫ'!EH95</x:f>
      </x:c>
      <x:c r="EI14" s="117" t="n">
        <x:f>IF(AND(YEAR(EI$3)=YEAR($B$8),MONTH(EI$3)=MONTH($B$8)),SUM('Продажи'!$D$26:'Продажи'!EH$26),0)+'ОБЪЕКТЫ'!EI95</x:f>
      </x:c>
      <x:c r="EJ14" s="117" t="n">
        <x:f>IF(AND(YEAR(EJ$3)=YEAR($B$8),MONTH(EJ$3)=MONTH($B$8)),SUM('Продажи'!$D$26:'Продажи'!EI$26),0)+'ОБЪЕКТЫ'!EJ95</x:f>
      </x:c>
      <x:c r="EK14" s="117" t="n">
        <x:f>IF(AND(YEAR(EK$3)=YEAR($B$8),MONTH(EK$3)=MONTH($B$8)),SUM('Продажи'!$D$26:'Продажи'!EJ$26),0)+'ОБЪЕКТЫ'!EK95</x:f>
      </x:c>
      <x:c r="EL14" s="117" t="n">
        <x:f>IF(AND(YEAR(EL$3)=YEAR($B$8),MONTH(EL$3)=MONTH($B$8)),SUM('Продажи'!$D$26:'Продажи'!EK$26),0)+'ОБЪЕКТЫ'!EL95</x:f>
      </x:c>
      <x:c r="EM14" s="117" t="n">
        <x:f>IF(AND(YEAR(EM$3)=YEAR($B$8),MONTH(EM$3)=MONTH($B$8)),SUM('Продажи'!$D$26:'Продажи'!EL$26),0)+'ОБЪЕКТЫ'!EM95</x:f>
      </x:c>
      <x:c r="EN14" s="117" t="n">
        <x:f>IF(AND(YEAR(EN$3)=YEAR($B$8),MONTH(EN$3)=MONTH($B$8)),SUM('Продажи'!$D$26:'Продажи'!EM$26),0)+'ОБЪЕКТЫ'!EN95</x:f>
      </x:c>
      <x:c r="EO14" s="117" t="n">
        <x:f>IF(AND(YEAR(EO$3)=YEAR($B$8),MONTH(EO$3)=MONTH($B$8)),SUM('Продажи'!$D$26:'Продажи'!EN$26),0)+'ОБЪЕКТЫ'!EO95</x:f>
      </x:c>
      <x:c r="EP14" s="117" t="n">
        <x:f>IF(AND(YEAR(EP$3)=YEAR($B$8),MONTH(EP$3)=MONTH($B$8)),SUM('Продажи'!$D$26:'Продажи'!EO$26),0)+'ОБЪЕКТЫ'!EP95</x:f>
      </x:c>
      <x:c r="EQ14" s="117" t="n">
        <x:f>IF(AND(YEAR(EQ$3)=YEAR($B$8),MONTH(EQ$3)=MONTH($B$8)),SUM('Продажи'!$D$26:'Продажи'!EP$26),0)+'ОБЪЕКТЫ'!EQ95</x:f>
      </x:c>
      <x:c r="ER14" s="117" t="n">
        <x:f>IF(AND(YEAR(ER$3)=YEAR($B$8),MONTH(ER$3)=MONTH($B$8)),SUM('Продажи'!$D$26:'Продажи'!EQ$26),0)+'ОБЪЕКТЫ'!ER95</x:f>
      </x:c>
      <x:c r="ES14" s="117" t="n">
        <x:f>IF(AND(YEAR(ES$3)=YEAR($B$8),MONTH(ES$3)=MONTH($B$8)),SUM('Продажи'!$D$26:'Продажи'!ER$26),0)+'ОБЪЕКТЫ'!ES95</x:f>
      </x:c>
      <x:c r="ET14" s="117" t="n">
        <x:f>IF(AND(YEAR(ET$3)=YEAR($B$8),MONTH(ET$3)=MONTH($B$8)),SUM('Продажи'!$D$26:'Продажи'!ES$26),0)+'ОБЪЕКТЫ'!ET95</x:f>
      </x:c>
      <x:c r="EU14" s="117" t="n">
        <x:f>IF(AND(YEAR(EU$3)=YEAR($B$8),MONTH(EU$3)=MONTH($B$8)),SUM('Продажи'!$D$26:'Продажи'!ET$26),0)+'ОБЪЕКТЫ'!EU95</x:f>
      </x:c>
      <x:c r="EV14" s="117" t="n">
        <x:f>IF(AND(YEAR(EV$3)=YEAR($B$8),MONTH(EV$3)=MONTH($B$8)),SUM('Продажи'!$D$26:'Продажи'!EU$26),0)+'ОБЪЕКТЫ'!EV95</x:f>
      </x:c>
      <x:c r="EW14" s="117" t="n">
        <x:f>IF(AND(YEAR(EW$3)=YEAR($B$8),MONTH(EW$3)=MONTH($B$8)),SUM('Продажи'!$D$26:'Продажи'!EV$26),0)+'ОБЪЕКТЫ'!EW95</x:f>
      </x:c>
      <x:c r="EX14" s="117" t="n">
        <x:f>IF(AND(YEAR(EX$3)=YEAR($B$8),MONTH(EX$3)=MONTH($B$8)),SUM('Продажи'!$D$26:'Продажи'!EW$26),0)+'ОБЪЕКТЫ'!EX95</x:f>
      </x:c>
      <x:c r="EY14" s="117" t="n">
        <x:f>IF(AND(YEAR(EY$3)=YEAR($B$8),MONTH(EY$3)=MONTH($B$8)),SUM('Продажи'!$D$26:'Продажи'!EX$26),0)+'ОБЪЕКТЫ'!EY95</x:f>
      </x:c>
      <x:c r="EZ14" s="117" t="n">
        <x:f>IF(AND(YEAR(EZ$3)=YEAR($B$8),MONTH(EZ$3)=MONTH($B$8)),SUM('Продажи'!$D$26:'Продажи'!EY$26),0)+'ОБЪЕКТЫ'!EZ95</x:f>
      </x:c>
      <x:c r="FA14" s="117" t="n">
        <x:f>IF(AND(YEAR(FA$3)=YEAR($B$8),MONTH(FA$3)=MONTH($B$8)),SUM('Продажи'!$D$26:'Продажи'!EZ$26),0)+'ОБЪЕКТЫ'!FA95</x:f>
      </x:c>
      <x:c r="FB14" s="117" t="n">
        <x:f>IF(AND(YEAR(FB$3)=YEAR($B$8),MONTH(FB$3)=MONTH($B$8)),SUM('Продажи'!$D$26:'Продажи'!FA$26),0)+'ОБЪЕКТЫ'!FB95</x:f>
      </x:c>
      <x:c r="FC14" s="117" t="n">
        <x:f>IF(AND(YEAR(FC$3)=YEAR($B$8),MONTH(FC$3)=MONTH($B$8)),SUM('Продажи'!$D$26:'Продажи'!FB$26),0)+'ОБЪЕКТЫ'!FC95</x:f>
      </x:c>
      <x:c r="FD14" s="117" t="n">
        <x:f>IF(AND(YEAR(FD$3)=YEAR($B$8),MONTH(FD$3)=MONTH($B$8)),SUM('Продажи'!$D$26:'Продажи'!FC$26),0)+'ОБЪЕКТЫ'!FD95</x:f>
      </x:c>
      <x:c r="FE14" s="117" t="n">
        <x:f>IF(AND(YEAR(FE$3)=YEAR($B$8),MONTH(FE$3)=MONTH($B$8)),SUM('Продажи'!$D$26:'Продажи'!FD$26),0)+'ОБЪЕКТЫ'!FE95</x:f>
      </x:c>
      <x:c r="FF14" s="117" t="n">
        <x:f>IF(AND(YEAR(FF$3)=YEAR($B$8),MONTH(FF$3)=MONTH($B$8)),SUM('Продажи'!$D$26:'Продажи'!FE$26),0)+'ОБЪЕКТЫ'!FF95</x:f>
      </x:c>
      <x:c r="FG14" s="117" t="n">
        <x:f>IF(AND(YEAR(FG$3)=YEAR($B$8),MONTH(FG$3)=MONTH($B$8)),SUM('Продажи'!$D$26:'Продажи'!FF$26),0)+'ОБЪЕКТЫ'!FG95</x:f>
      </x:c>
      <x:c r="FH14" s="117" t="n">
        <x:f>IF(AND(YEAR(FH$3)=YEAR($B$8),MONTH(FH$3)=MONTH($B$8)),SUM('Продажи'!$D$26:'Продажи'!FG$26),0)+'ОБЪЕКТЫ'!FH95</x:f>
      </x:c>
      <x:c r="FI14" s="117" t="n">
        <x:f>IF(AND(YEAR(FI$3)=YEAR($B$8),MONTH(FI$3)=MONTH($B$8)),SUM('Продажи'!$D$26:'Продажи'!FH$26),0)+'ОБЪЕКТЫ'!FI95</x:f>
      </x:c>
      <x:c r="FJ14" s="117" t="n">
        <x:f>IF(AND(YEAR(FJ$3)=YEAR($B$8),MONTH(FJ$3)=MONTH($B$8)),SUM('Продажи'!$D$26:'Продажи'!FI$26),0)+'ОБЪЕКТЫ'!FJ95</x:f>
      </x:c>
      <x:c r="FK14" s="117" t="n">
        <x:f>IF(AND(YEAR(FK$3)=YEAR($B$8),MONTH(FK$3)=MONTH($B$8)),SUM('Продажи'!$D$26:'Продажи'!FJ$26),0)+'ОБЪЕКТЫ'!FK95</x:f>
      </x:c>
      <x:c r="FL14" s="117" t="n">
        <x:f>IF(AND(YEAR(FL$3)=YEAR($B$8),MONTH(FL$3)=MONTH($B$8)),SUM('Продажи'!$D$26:'Продажи'!FK$26),0)+'ОБЪЕКТЫ'!FL95</x:f>
      </x:c>
      <x:c r="FM14" s="117" t="n">
        <x:f>IF(AND(YEAR(FM$3)=YEAR($B$8),MONTH(FM$3)=MONTH($B$8)),SUM('Продажи'!$D$26:'Продажи'!FL$26),0)+'ОБЪЕКТЫ'!FM95</x:f>
      </x:c>
      <x:c r="FN14" s="117" t="n">
        <x:f>IF(AND(YEAR(FN$3)=YEAR($B$8),MONTH(FN$3)=MONTH($B$8)),SUM('Продажи'!$D$26:'Продажи'!FM$26),0)+'ОБЪЕКТЫ'!FN95</x:f>
      </x:c>
      <x:c r="FO14" s="117" t="n">
        <x:f>IF(AND(YEAR(FO$3)=YEAR($B$8),MONTH(FO$3)=MONTH($B$8)),SUM('Продажи'!$D$26:'Продажи'!FN$26),0)+'ОБЪЕКТЫ'!FO95</x:f>
      </x:c>
      <x:c r="FP14" s="117" t="n">
        <x:f>IF(AND(YEAR(FP$3)=YEAR($B$8),MONTH(FP$3)=MONTH($B$8)),SUM('Продажи'!$D$26:'Продажи'!FO$26),0)+'ОБЪЕКТЫ'!FP95</x:f>
      </x:c>
      <x:c r="FQ14" s="117" t="n">
        <x:f>IF(AND(YEAR(FQ$3)=YEAR($B$8),MONTH(FQ$3)=MONTH($B$8)),SUM('Продажи'!$D$26:'Продажи'!FP$26),0)+'ОБЪЕКТЫ'!FQ95</x:f>
      </x:c>
      <x:c r="FR14" s="117" t="n">
        <x:f>IF(AND(YEAR(FR$3)=YEAR($B$8),MONTH(FR$3)=MONTH($B$8)),SUM('Продажи'!$D$26:'Продажи'!FQ$26),0)+'ОБЪЕКТЫ'!FR95</x:f>
      </x:c>
      <x:c r="FS14" s="117" t="n">
        <x:f>IF(AND(YEAR(FS$3)=YEAR($B$8),MONTH(FS$3)=MONTH($B$8)),SUM('Продажи'!$D$26:'Продажи'!FR$26),0)+'ОБЪЕКТЫ'!FS95</x:f>
      </x:c>
      <x:c r="FT14" s="117" t="n">
        <x:f>IF(AND(YEAR(FT$3)=YEAR($B$8),MONTH(FT$3)=MONTH($B$8)),SUM('Продажи'!$D$26:'Продажи'!FS$26),0)+'ОБЪЕКТЫ'!FT95</x:f>
      </x:c>
      <x:c r="FU14" s="117" t="n">
        <x:f>IF(AND(YEAR(FU$3)=YEAR($B$8),MONTH(FU$3)=MONTH($B$8)),SUM('Продажи'!$D$26:'Продажи'!FT$26),0)+'ОБЪЕКТЫ'!FU95</x:f>
      </x:c>
      <x:c r="FV14" s="117" t="n">
        <x:f>IF(AND(YEAR(FV$3)=YEAR($B$8),MONTH(FV$3)=MONTH($B$8)),SUM('Продажи'!$D$26:'Продажи'!FU$26),0)+'ОБЪЕКТЫ'!FV95</x:f>
      </x:c>
      <x:c r="FW14" s="117" t="n">
        <x:f>IF(AND(YEAR(FW$3)=YEAR($B$8),MONTH(FW$3)=MONTH($B$8)),SUM('Продажи'!$D$26:'Продажи'!FV$26),0)+'ОБЪЕКТЫ'!FW95</x:f>
      </x:c>
      <x:c r="FX14" s="117" t="n">
        <x:f>IF(AND(YEAR(FX$3)=YEAR($B$8),MONTH(FX$3)=MONTH($B$8)),SUM('Продажи'!$D$26:'Продажи'!FW$26),0)+'ОБЪЕКТЫ'!FX95</x:f>
      </x:c>
      <x:c r="FY14" s="117" t="n">
        <x:f>IF(AND(YEAR(FY$3)=YEAR($B$8),MONTH(FY$3)=MONTH($B$8)),SUM('Продажи'!$D$26:'Продажи'!FX$26),0)+'ОБЪЕКТЫ'!FY95</x:f>
      </x:c>
      <x:c r="FZ14" s="117" t="n">
        <x:f>IF(AND(YEAR(FZ$3)=YEAR($B$8),MONTH(FZ$3)=MONTH($B$8)),SUM('Продажи'!$D$26:'Продажи'!FY$26),0)+'ОБЪЕКТЫ'!FZ95</x:f>
      </x:c>
      <x:c r="GA14" s="117" t="n">
        <x:f>IF(AND(YEAR(GA$3)=YEAR($B$8),MONTH(GA$3)=MONTH($B$8)),SUM('Продажи'!$D$26:'Продажи'!FZ$26),0)+'ОБЪЕКТЫ'!GA95</x:f>
      </x:c>
    </x:row>
    <x:row r="15">
      <x:c r="A15" t="str">
        <x:v>Эскроу на конец</x:v>
      </x:c>
      <x:c r="B15" t="n">
        <x:f>GA15</x:f>
      </x:c>
      <x:c r="C15" t="str">
        <x:v>млн ₽</x:v>
      </x:c>
      <x:c r="D15" s="117" t="n">
        <x:f>MAX(0,D13+D11-D14)</x:f>
      </x:c>
      <x:c r="E15" s="117" t="n">
        <x:f>MAX(0,E13+E11-E14)</x:f>
      </x:c>
      <x:c r="F15" s="117" t="n">
        <x:f>MAX(0,F13+F11-F14)</x:f>
      </x:c>
      <x:c r="G15" s="117" t="n">
        <x:f>MAX(0,G13+G11-G14)</x:f>
      </x:c>
      <x:c r="H15" s="117" t="n">
        <x:f>MAX(0,H13+H11-H14)</x:f>
      </x:c>
      <x:c r="I15" s="117" t="n">
        <x:f>MAX(0,I13+I11-I14)</x:f>
      </x:c>
      <x:c r="J15" s="117" t="n">
        <x:f>MAX(0,J13+J11-J14)</x:f>
      </x:c>
      <x:c r="K15" s="117" t="n">
        <x:f>MAX(0,K13+K11-K14)</x:f>
      </x:c>
      <x:c r="L15" s="117" t="n">
        <x:f>MAX(0,L13+L11-L14)</x:f>
      </x:c>
      <x:c r="M15" s="117" t="n">
        <x:f>MAX(0,M13+M11-M14)</x:f>
      </x:c>
      <x:c r="N15" s="117" t="n">
        <x:f>MAX(0,N13+N11-N14)</x:f>
      </x:c>
      <x:c r="O15" s="117" t="n">
        <x:f>MAX(0,O13+O11-O14)</x:f>
      </x:c>
      <x:c r="P15" s="117" t="n">
        <x:f>MAX(0,P13+P11-P14)</x:f>
      </x:c>
      <x:c r="Q15" s="117" t="n">
        <x:f>MAX(0,Q13+Q11-Q14)</x:f>
      </x:c>
      <x:c r="R15" s="117" t="n">
        <x:f>MAX(0,R13+R11-R14)</x:f>
      </x:c>
      <x:c r="S15" s="117" t="n">
        <x:f>MAX(0,S13+S11-S14)</x:f>
      </x:c>
      <x:c r="T15" s="117" t="n">
        <x:f>MAX(0,T13+T11-T14)</x:f>
      </x:c>
      <x:c r="U15" s="117" t="n">
        <x:f>MAX(0,U13+U11-U14)</x:f>
      </x:c>
      <x:c r="V15" s="117" t="n">
        <x:f>MAX(0,V13+V11-V14)</x:f>
      </x:c>
      <x:c r="W15" s="117" t="n">
        <x:f>MAX(0,W13+W11-W14)</x:f>
      </x:c>
      <x:c r="X15" s="117" t="n">
        <x:f>MAX(0,X13+X11-X14)</x:f>
      </x:c>
      <x:c r="Y15" s="117" t="n">
        <x:f>MAX(0,Y13+Y11-Y14)</x:f>
      </x:c>
      <x:c r="Z15" s="117" t="n">
        <x:f>MAX(0,Z13+Z11-Z14)</x:f>
      </x:c>
      <x:c r="AA15" s="117" t="n">
        <x:f>MAX(0,AA13+AA11-AA14)</x:f>
      </x:c>
      <x:c r="AB15" s="117" t="n">
        <x:f>MAX(0,AB13+AB11-AB14)</x:f>
      </x:c>
      <x:c r="AC15" s="117" t="n">
        <x:f>MAX(0,AC13+AC11-AC14)</x:f>
      </x:c>
      <x:c r="AD15" s="117" t="n">
        <x:f>MAX(0,AD13+AD11-AD14)</x:f>
      </x:c>
      <x:c r="AE15" s="117" t="n">
        <x:f>MAX(0,AE13+AE11-AE14)</x:f>
      </x:c>
      <x:c r="AF15" s="117" t="n">
        <x:f>MAX(0,AF13+AF11-AF14)</x:f>
      </x:c>
      <x:c r="AG15" s="117" t="n">
        <x:f>MAX(0,AG13+AG11-AG14)</x:f>
      </x:c>
      <x:c r="AH15" s="117" t="n">
        <x:f>MAX(0,AH13+AH11-AH14)</x:f>
      </x:c>
      <x:c r="AI15" s="117" t="n">
        <x:f>MAX(0,AI13+AI11-AI14)</x:f>
      </x:c>
      <x:c r="AJ15" s="117" t="n">
        <x:f>MAX(0,AJ13+AJ11-AJ14)</x:f>
      </x:c>
      <x:c r="AK15" s="117" t="n">
        <x:f>MAX(0,AK13+AK11-AK14)</x:f>
      </x:c>
      <x:c r="AL15" s="117" t="n">
        <x:f>MAX(0,AL13+AL11-AL14)</x:f>
      </x:c>
      <x:c r="AM15" s="117" t="n">
        <x:f>MAX(0,AM13+AM11-AM14)</x:f>
      </x:c>
      <x:c r="AN15" s="117" t="n">
        <x:f>MAX(0,AN13+AN11-AN14)</x:f>
      </x:c>
      <x:c r="AO15" s="117" t="n">
        <x:f>MAX(0,AO13+AO11-AO14)</x:f>
      </x:c>
      <x:c r="AP15" s="117" t="n">
        <x:f>MAX(0,AP13+AP11-AP14)</x:f>
      </x:c>
      <x:c r="AQ15" s="117" t="n">
        <x:f>MAX(0,AQ13+AQ11-AQ14)</x:f>
      </x:c>
      <x:c r="AR15" s="117" t="n">
        <x:f>MAX(0,AR13+AR11-AR14)</x:f>
      </x:c>
      <x:c r="AS15" s="117" t="n">
        <x:f>MAX(0,AS13+AS11-AS14)</x:f>
      </x:c>
      <x:c r="AT15" s="117" t="n">
        <x:f>MAX(0,AT13+AT11-AT14)</x:f>
      </x:c>
      <x:c r="AU15" s="117" t="n">
        <x:f>MAX(0,AU13+AU11-AU14)</x:f>
      </x:c>
      <x:c r="AV15" s="117" t="n">
        <x:f>MAX(0,AV13+AV11-AV14)</x:f>
      </x:c>
      <x:c r="AW15" s="117" t="n">
        <x:f>MAX(0,AW13+AW11-AW14)</x:f>
      </x:c>
      <x:c r="AX15" s="117" t="n">
        <x:f>MAX(0,AX13+AX11-AX14)</x:f>
      </x:c>
      <x:c r="AY15" s="117" t="n">
        <x:f>MAX(0,AY13+AY11-AY14)</x:f>
      </x:c>
      <x:c r="AZ15" s="117" t="n">
        <x:f>MAX(0,AZ13+AZ11-AZ14)</x:f>
      </x:c>
      <x:c r="BA15" s="117" t="n">
        <x:f>MAX(0,BA13+BA11-BA14)</x:f>
      </x:c>
      <x:c r="BB15" s="117" t="n">
        <x:f>MAX(0,BB13+BB11-BB14)</x:f>
      </x:c>
      <x:c r="BC15" s="117" t="n">
        <x:f>MAX(0,BC13+BC11-BC14)</x:f>
      </x:c>
      <x:c r="BD15" s="117" t="n">
        <x:f>MAX(0,BD13+BD11-BD14)</x:f>
      </x:c>
      <x:c r="BE15" s="117" t="n">
        <x:f>MAX(0,BE13+BE11-BE14)</x:f>
      </x:c>
      <x:c r="BF15" s="117" t="n">
        <x:f>MAX(0,BF13+BF11-BF14)</x:f>
      </x:c>
      <x:c r="BG15" s="117" t="n">
        <x:f>MAX(0,BG13+BG11-BG14)</x:f>
      </x:c>
      <x:c r="BH15" s="117" t="n">
        <x:f>MAX(0,BH13+BH11-BH14)</x:f>
      </x:c>
      <x:c r="BI15" s="117" t="n">
        <x:f>MAX(0,BI13+BI11-BI14)</x:f>
      </x:c>
      <x:c r="BJ15" s="117" t="n">
        <x:f>MAX(0,BJ13+BJ11-BJ14)</x:f>
      </x:c>
      <x:c r="BK15" s="117" t="n">
        <x:f>MAX(0,BK13+BK11-BK14)</x:f>
      </x:c>
      <x:c r="BL15" s="117" t="n">
        <x:f>MAX(0,BL13+BL11-BL14)</x:f>
      </x:c>
      <x:c r="BM15" s="117" t="n">
        <x:f>MAX(0,BM13+BM11-BM14)</x:f>
      </x:c>
      <x:c r="BN15" s="117" t="n">
        <x:f>MAX(0,BN13+BN11-BN14)</x:f>
      </x:c>
      <x:c r="BO15" s="117" t="n">
        <x:f>MAX(0,BO13+BO11-BO14)</x:f>
      </x:c>
      <x:c r="BP15" s="117" t="n">
        <x:f>MAX(0,BP13+BP11-BP14)</x:f>
      </x:c>
      <x:c r="BQ15" s="117" t="n">
        <x:f>MAX(0,BQ13+BQ11-BQ14)</x:f>
      </x:c>
      <x:c r="BR15" s="117" t="n">
        <x:f>MAX(0,BR13+BR11-BR14)</x:f>
      </x:c>
      <x:c r="BS15" s="117" t="n">
        <x:f>MAX(0,BS13+BS11-BS14)</x:f>
      </x:c>
      <x:c r="BT15" s="117" t="n">
        <x:f>MAX(0,BT13+BT11-BT14)</x:f>
      </x:c>
      <x:c r="BU15" s="117" t="n">
        <x:f>MAX(0,BU13+BU11-BU14)</x:f>
      </x:c>
      <x:c r="BV15" s="117" t="n">
        <x:f>MAX(0,BV13+BV11-BV14)</x:f>
      </x:c>
      <x:c r="BW15" s="117" t="n">
        <x:f>MAX(0,BW13+BW11-BW14)</x:f>
      </x:c>
      <x:c r="BX15" s="117" t="n">
        <x:f>MAX(0,BX13+BX11-BX14)</x:f>
      </x:c>
      <x:c r="BY15" s="117" t="n">
        <x:f>MAX(0,BY13+BY11-BY14)</x:f>
      </x:c>
      <x:c r="BZ15" s="117" t="n">
        <x:f>MAX(0,BZ13+BZ11-BZ14)</x:f>
      </x:c>
      <x:c r="CA15" s="117" t="n">
        <x:f>MAX(0,CA13+CA11-CA14)</x:f>
      </x:c>
      <x:c r="CB15" s="117" t="n">
        <x:f>MAX(0,CB13+CB11-CB14)</x:f>
      </x:c>
      <x:c r="CC15" s="117" t="n">
        <x:f>MAX(0,CC13+CC11-CC14)</x:f>
      </x:c>
      <x:c r="CD15" s="117" t="n">
        <x:f>MAX(0,CD13+CD11-CD14)</x:f>
      </x:c>
      <x:c r="CE15" s="117" t="n">
        <x:f>MAX(0,CE13+CE11-CE14)</x:f>
      </x:c>
      <x:c r="CF15" s="117" t="n">
        <x:f>MAX(0,CF13+CF11-CF14)</x:f>
      </x:c>
      <x:c r="CG15" s="117" t="n">
        <x:f>MAX(0,CG13+CG11-CG14)</x:f>
      </x:c>
      <x:c r="CH15" s="117" t="n">
        <x:f>MAX(0,CH13+CH11-CH14)</x:f>
      </x:c>
      <x:c r="CI15" s="117" t="n">
        <x:f>MAX(0,CI13+CI11-CI14)</x:f>
      </x:c>
      <x:c r="CJ15" s="117" t="n">
        <x:f>MAX(0,CJ13+CJ11-CJ14)</x:f>
      </x:c>
      <x:c r="CK15" s="117" t="n">
        <x:f>MAX(0,CK13+CK11-CK14)</x:f>
      </x:c>
      <x:c r="CL15" s="117" t="n">
        <x:f>MAX(0,CL13+CL11-CL14)</x:f>
      </x:c>
      <x:c r="CM15" s="117" t="n">
        <x:f>MAX(0,CM13+CM11-CM14)</x:f>
      </x:c>
      <x:c r="CN15" s="117" t="n">
        <x:f>MAX(0,CN13+CN11-CN14)</x:f>
      </x:c>
      <x:c r="CO15" s="117" t="n">
        <x:f>MAX(0,CO13+CO11-CO14)</x:f>
      </x:c>
      <x:c r="CP15" s="117" t="n">
        <x:f>MAX(0,CP13+CP11-CP14)</x:f>
      </x:c>
      <x:c r="CQ15" s="117" t="n">
        <x:f>MAX(0,CQ13+CQ11-CQ14)</x:f>
      </x:c>
      <x:c r="CR15" s="117" t="n">
        <x:f>MAX(0,CR13+CR11-CR14)</x:f>
      </x:c>
      <x:c r="CS15" s="117" t="n">
        <x:f>MAX(0,CS13+CS11-CS14)</x:f>
      </x:c>
      <x:c r="CT15" s="117" t="n">
        <x:f>MAX(0,CT13+CT11-CT14)</x:f>
      </x:c>
      <x:c r="CU15" s="117" t="n">
        <x:f>MAX(0,CU13+CU11-CU14)</x:f>
      </x:c>
      <x:c r="CV15" s="117" t="n">
        <x:f>MAX(0,CV13+CV11-CV14)</x:f>
      </x:c>
      <x:c r="CW15" s="117" t="n">
        <x:f>MAX(0,CW13+CW11-CW14)</x:f>
      </x:c>
      <x:c r="CX15" s="117" t="n">
        <x:f>MAX(0,CX13+CX11-CX14)</x:f>
      </x:c>
      <x:c r="CY15" s="117" t="n">
        <x:f>MAX(0,CY13+CY11-CY14)</x:f>
      </x:c>
      <x:c r="CZ15" s="117" t="n">
        <x:f>MAX(0,CZ13+CZ11-CZ14)</x:f>
      </x:c>
      <x:c r="DA15" s="117" t="n">
        <x:f>MAX(0,DA13+DA11-DA14)</x:f>
      </x:c>
      <x:c r="DB15" s="117" t="n">
        <x:f>MAX(0,DB13+DB11-DB14)</x:f>
      </x:c>
      <x:c r="DC15" s="117" t="n">
        <x:f>MAX(0,DC13+DC11-DC14)</x:f>
      </x:c>
      <x:c r="DD15" s="117" t="n">
        <x:f>MAX(0,DD13+DD11-DD14)</x:f>
      </x:c>
      <x:c r="DE15" s="117" t="n">
        <x:f>MAX(0,DE13+DE11-DE14)</x:f>
      </x:c>
      <x:c r="DF15" s="117" t="n">
        <x:f>MAX(0,DF13+DF11-DF14)</x:f>
      </x:c>
      <x:c r="DG15" s="117" t="n">
        <x:f>MAX(0,DG13+DG11-DG14)</x:f>
      </x:c>
      <x:c r="DH15" s="117" t="n">
        <x:f>MAX(0,DH13+DH11-DH14)</x:f>
      </x:c>
      <x:c r="DI15" s="117" t="n">
        <x:f>MAX(0,DI13+DI11-DI14)</x:f>
      </x:c>
      <x:c r="DJ15" s="117" t="n">
        <x:f>MAX(0,DJ13+DJ11-DJ14)</x:f>
      </x:c>
      <x:c r="DK15" s="117" t="n">
        <x:f>MAX(0,DK13+DK11-DK14)</x:f>
      </x:c>
      <x:c r="DL15" s="117" t="n">
        <x:f>MAX(0,DL13+DL11-DL14)</x:f>
      </x:c>
      <x:c r="DM15" s="117" t="n">
        <x:f>MAX(0,DM13+DM11-DM14)</x:f>
      </x:c>
      <x:c r="DN15" s="117" t="n">
        <x:f>MAX(0,DN13+DN11-DN14)</x:f>
      </x:c>
      <x:c r="DO15" s="117" t="n">
        <x:f>MAX(0,DO13+DO11-DO14)</x:f>
      </x:c>
      <x:c r="DP15" s="117" t="n">
        <x:f>MAX(0,DP13+DP11-DP14)</x:f>
      </x:c>
      <x:c r="DQ15" s="117" t="n">
        <x:f>MAX(0,DQ13+DQ11-DQ14)</x:f>
      </x:c>
      <x:c r="DR15" s="117" t="n">
        <x:f>MAX(0,DR13+DR11-DR14)</x:f>
      </x:c>
      <x:c r="DS15" s="117" t="n">
        <x:f>MAX(0,DS13+DS11-DS14)</x:f>
      </x:c>
      <x:c r="DT15" s="117" t="n">
        <x:f>MAX(0,DT13+DT11-DT14)</x:f>
      </x:c>
      <x:c r="DU15" s="117" t="n">
        <x:f>MAX(0,DU13+DU11-DU14)</x:f>
      </x:c>
      <x:c r="DV15" s="117" t="n">
        <x:f>MAX(0,DV13+DV11-DV14)</x:f>
      </x:c>
      <x:c r="DW15" s="117" t="n">
        <x:f>MAX(0,DW13+DW11-DW14)</x:f>
      </x:c>
      <x:c r="DX15" s="117" t="n">
        <x:f>MAX(0,DX13+DX11-DX14)</x:f>
      </x:c>
      <x:c r="DY15" s="117" t="n">
        <x:f>MAX(0,DY13+DY11-DY14)</x:f>
      </x:c>
      <x:c r="DZ15" s="117" t="n">
        <x:f>MAX(0,DZ13+DZ11-DZ14)</x:f>
      </x:c>
      <x:c r="EA15" s="117" t="n">
        <x:f>MAX(0,EA13+EA11-EA14)</x:f>
      </x:c>
      <x:c r="EB15" s="117" t="n">
        <x:f>MAX(0,EB13+EB11-EB14)</x:f>
      </x:c>
      <x:c r="EC15" s="117" t="n">
        <x:f>MAX(0,EC13+EC11-EC14)</x:f>
      </x:c>
      <x:c r="ED15" s="117" t="n">
        <x:f>MAX(0,ED13+ED11-ED14)</x:f>
      </x:c>
      <x:c r="EE15" s="117" t="n">
        <x:f>MAX(0,EE13+EE11-EE14)</x:f>
      </x:c>
      <x:c r="EF15" s="117" t="n">
        <x:f>MAX(0,EF13+EF11-EF14)</x:f>
      </x:c>
      <x:c r="EG15" s="117" t="n">
        <x:f>MAX(0,EG13+EG11-EG14)</x:f>
      </x:c>
      <x:c r="EH15" s="117" t="n">
        <x:f>MAX(0,EH13+EH11-EH14)</x:f>
      </x:c>
      <x:c r="EI15" s="117" t="n">
        <x:f>MAX(0,EI13+EI11-EI14)</x:f>
      </x:c>
      <x:c r="EJ15" s="117" t="n">
        <x:f>MAX(0,EJ13+EJ11-EJ14)</x:f>
      </x:c>
      <x:c r="EK15" s="117" t="n">
        <x:f>MAX(0,EK13+EK11-EK14)</x:f>
      </x:c>
      <x:c r="EL15" s="117" t="n">
        <x:f>MAX(0,EL13+EL11-EL14)</x:f>
      </x:c>
      <x:c r="EM15" s="117" t="n">
        <x:f>MAX(0,EM13+EM11-EM14)</x:f>
      </x:c>
      <x:c r="EN15" s="117" t="n">
        <x:f>MAX(0,EN13+EN11-EN14)</x:f>
      </x:c>
      <x:c r="EO15" s="117" t="n">
        <x:f>MAX(0,EO13+EO11-EO14)</x:f>
      </x:c>
      <x:c r="EP15" s="117" t="n">
        <x:f>MAX(0,EP13+EP11-EP14)</x:f>
      </x:c>
      <x:c r="EQ15" s="117" t="n">
        <x:f>MAX(0,EQ13+EQ11-EQ14)</x:f>
      </x:c>
      <x:c r="ER15" s="117" t="n">
        <x:f>MAX(0,ER13+ER11-ER14)</x:f>
      </x:c>
      <x:c r="ES15" s="117" t="n">
        <x:f>MAX(0,ES13+ES11-ES14)</x:f>
      </x:c>
      <x:c r="ET15" s="117" t="n">
        <x:f>MAX(0,ET13+ET11-ET14)</x:f>
      </x:c>
      <x:c r="EU15" s="117" t="n">
        <x:f>MAX(0,EU13+EU11-EU14)</x:f>
      </x:c>
      <x:c r="EV15" s="117" t="n">
        <x:f>MAX(0,EV13+EV11-EV14)</x:f>
      </x:c>
      <x:c r="EW15" s="117" t="n">
        <x:f>MAX(0,EW13+EW11-EW14)</x:f>
      </x:c>
      <x:c r="EX15" s="117" t="n">
        <x:f>MAX(0,EX13+EX11-EX14)</x:f>
      </x:c>
      <x:c r="EY15" s="117" t="n">
        <x:f>MAX(0,EY13+EY11-EY14)</x:f>
      </x:c>
      <x:c r="EZ15" s="117" t="n">
        <x:f>MAX(0,EZ13+EZ11-EZ14)</x:f>
      </x:c>
      <x:c r="FA15" s="117" t="n">
        <x:f>MAX(0,FA13+FA11-FA14)</x:f>
      </x:c>
      <x:c r="FB15" s="117" t="n">
        <x:f>MAX(0,FB13+FB11-FB14)</x:f>
      </x:c>
      <x:c r="FC15" s="117" t="n">
        <x:f>MAX(0,FC13+FC11-FC14)</x:f>
      </x:c>
      <x:c r="FD15" s="117" t="n">
        <x:f>MAX(0,FD13+FD11-FD14)</x:f>
      </x:c>
      <x:c r="FE15" s="117" t="n">
        <x:f>MAX(0,FE13+FE11-FE14)</x:f>
      </x:c>
      <x:c r="FF15" s="117" t="n">
        <x:f>MAX(0,FF13+FF11-FF14)</x:f>
      </x:c>
      <x:c r="FG15" s="117" t="n">
        <x:f>MAX(0,FG13+FG11-FG14)</x:f>
      </x:c>
      <x:c r="FH15" s="117" t="n">
        <x:f>MAX(0,FH13+FH11-FH14)</x:f>
      </x:c>
      <x:c r="FI15" s="117" t="n">
        <x:f>MAX(0,FI13+FI11-FI14)</x:f>
      </x:c>
      <x:c r="FJ15" s="117" t="n">
        <x:f>MAX(0,FJ13+FJ11-FJ14)</x:f>
      </x:c>
      <x:c r="FK15" s="117" t="n">
        <x:f>MAX(0,FK13+FK11-FK14)</x:f>
      </x:c>
      <x:c r="FL15" s="117" t="n">
        <x:f>MAX(0,FL13+FL11-FL14)</x:f>
      </x:c>
      <x:c r="FM15" s="117" t="n">
        <x:f>MAX(0,FM13+FM11-FM14)</x:f>
      </x:c>
      <x:c r="FN15" s="117" t="n">
        <x:f>MAX(0,FN13+FN11-FN14)</x:f>
      </x:c>
      <x:c r="FO15" s="117" t="n">
        <x:f>MAX(0,FO13+FO11-FO14)</x:f>
      </x:c>
      <x:c r="FP15" s="117" t="n">
        <x:f>MAX(0,FP13+FP11-FP14)</x:f>
      </x:c>
      <x:c r="FQ15" s="117" t="n">
        <x:f>MAX(0,FQ13+FQ11-FQ14)</x:f>
      </x:c>
      <x:c r="FR15" s="117" t="n">
        <x:f>MAX(0,FR13+FR11-FR14)</x:f>
      </x:c>
      <x:c r="FS15" s="117" t="n">
        <x:f>MAX(0,FS13+FS11-FS14)</x:f>
      </x:c>
      <x:c r="FT15" s="117" t="n">
        <x:f>MAX(0,FT13+FT11-FT14)</x:f>
      </x:c>
      <x:c r="FU15" s="117" t="n">
        <x:f>MAX(0,FU13+FU11-FU14)</x:f>
      </x:c>
      <x:c r="FV15" s="117" t="n">
        <x:f>MAX(0,FV13+FV11-FV14)</x:f>
      </x:c>
      <x:c r="FW15" s="117" t="n">
        <x:f>MAX(0,FW13+FW11-FW14)</x:f>
      </x:c>
      <x:c r="FX15" s="117" t="n">
        <x:f>MAX(0,FX13+FX11-FX14)</x:f>
      </x:c>
      <x:c r="FY15" s="117" t="n">
        <x:f>MAX(0,FY13+FY11-FY14)</x:f>
      </x:c>
      <x:c r="FZ15" s="117" t="n">
        <x:f>MAX(0,FZ13+FZ11-FZ14)</x:f>
      </x:c>
      <x:c r="GA15" s="117" t="n">
        <x:f>MAX(0,GA13+GA11-GA14)</x:f>
      </x:c>
    </x:row>
    <x:row r="16">
      <x:c r="A16"/>
      <x:c r="B16"/>
      <x:c r="C16"/>
      <x:c r="D16" s="117"/>
      <x:c r="E16" s="117"/>
      <x:c r="F16" s="117"/>
      <x:c r="G16" s="117"/>
      <x:c r="H16" s="117"/>
      <x:c r="I16" s="117"/>
      <x:c r="J16" s="117"/>
      <x:c r="K16" s="117"/>
      <x:c r="L16" s="117"/>
      <x:c r="M16" s="117"/>
      <x:c r="N16" s="117"/>
      <x:c r="O16" s="117"/>
      <x:c r="P16" s="117"/>
      <x:c r="Q16" s="117"/>
      <x:c r="R16" s="117"/>
      <x:c r="S16" s="117"/>
      <x:c r="T16" s="117"/>
      <x:c r="U16" s="117"/>
      <x:c r="V16" s="117"/>
      <x:c r="W16" s="117"/>
      <x:c r="X16" s="117"/>
      <x:c r="Y16" s="117"/>
      <x:c r="Z16" s="117"/>
      <x:c r="AA16" s="117"/>
      <x:c r="AB16" s="117"/>
      <x:c r="AC16" s="117"/>
      <x:c r="AD16" s="117"/>
      <x:c r="AE16" s="117"/>
      <x:c r="AF16" s="117"/>
      <x:c r="AG16" s="117"/>
      <x:c r="AH16" s="117"/>
      <x:c r="AI16" s="117"/>
      <x:c r="AJ16" s="117"/>
      <x:c r="AK16" s="117"/>
      <x:c r="AL16" s="117"/>
      <x:c r="AM16" s="117"/>
      <x:c r="AN16" s="117"/>
      <x:c r="AO16" s="117"/>
      <x:c r="AP16" s="117"/>
      <x:c r="AQ16" s="117"/>
      <x:c r="AR16" s="117"/>
      <x:c r="AS16" s="117"/>
      <x:c r="AT16" s="117"/>
      <x:c r="AU16" s="117"/>
      <x:c r="AV16" s="117"/>
      <x:c r="AW16" s="117"/>
      <x:c r="AX16" s="117"/>
      <x:c r="AY16" s="117"/>
      <x:c r="AZ16" s="117"/>
      <x:c r="BA16" s="117"/>
      <x:c r="BB16" s="117"/>
      <x:c r="BC16" s="117"/>
      <x:c r="BD16" s="117"/>
      <x:c r="BE16" s="117"/>
      <x:c r="BF16" s="117"/>
      <x:c r="BG16" s="117"/>
      <x:c r="BH16" s="117"/>
      <x:c r="BI16" s="117"/>
      <x:c r="BJ16" s="117"/>
      <x:c r="BK16" s="117"/>
      <x:c r="BL16" s="117"/>
      <x:c r="BM16" s="117"/>
      <x:c r="BN16" s="117"/>
      <x:c r="BO16" s="117"/>
      <x:c r="BP16" s="117"/>
      <x:c r="BQ16" s="117"/>
      <x:c r="BR16" s="117"/>
      <x:c r="BS16" s="117"/>
      <x:c r="BT16" s="117"/>
      <x:c r="BU16" s="117"/>
      <x:c r="BV16" s="117"/>
      <x:c r="BW16" s="117"/>
      <x:c r="BX16" s="117"/>
      <x:c r="BY16" s="117"/>
      <x:c r="BZ16" s="117"/>
      <x:c r="CA16" s="117"/>
      <x:c r="CB16" s="117"/>
      <x:c r="CC16" s="117"/>
      <x:c r="CD16" s="117"/>
      <x:c r="CE16" s="117"/>
      <x:c r="CF16" s="117"/>
      <x:c r="CG16" s="117"/>
      <x:c r="CH16" s="117"/>
      <x:c r="CI16" s="117"/>
      <x:c r="CJ16" s="117"/>
      <x:c r="CK16" s="117"/>
      <x:c r="CL16" s="117"/>
      <x:c r="CM16" s="117"/>
      <x:c r="CN16" s="117"/>
      <x:c r="CO16" s="117"/>
      <x:c r="CP16" s="117"/>
      <x:c r="CQ16" s="117"/>
      <x:c r="CR16" s="117"/>
      <x:c r="CS16" s="117"/>
      <x:c r="CT16" s="117"/>
      <x:c r="CU16" s="117"/>
      <x:c r="CV16" s="117"/>
      <x:c r="CW16" s="117"/>
      <x:c r="CX16" s="117"/>
      <x:c r="CY16" s="117"/>
      <x:c r="CZ16" s="117"/>
      <x:c r="DA16" s="117"/>
      <x:c r="DB16" s="117"/>
      <x:c r="DC16" s="117"/>
      <x:c r="DD16" s="117"/>
      <x:c r="DE16" s="117"/>
      <x:c r="DF16" s="117"/>
      <x:c r="DG16" s="117"/>
      <x:c r="DH16" s="117"/>
      <x:c r="DI16" s="117"/>
      <x:c r="DJ16" s="117"/>
      <x:c r="DK16" s="117"/>
      <x:c r="DL16" s="117"/>
      <x:c r="DM16" s="117"/>
      <x:c r="DN16" s="117"/>
      <x:c r="DO16" s="117"/>
      <x:c r="DP16" s="117"/>
      <x:c r="DQ16" s="117"/>
      <x:c r="DR16" s="117"/>
      <x:c r="DS16" s="117"/>
      <x:c r="DT16" s="117"/>
      <x:c r="DU16" s="117"/>
      <x:c r="DV16" s="117"/>
      <x:c r="DW16" s="117"/>
      <x:c r="DX16" s="117"/>
      <x:c r="DY16" s="117"/>
      <x:c r="DZ16" s="117"/>
      <x:c r="EA16" s="117"/>
      <x:c r="EB16" s="117"/>
      <x:c r="EC16" s="117"/>
      <x:c r="ED16" s="117"/>
      <x:c r="EE16" s="117"/>
      <x:c r="EF16" s="117"/>
      <x:c r="EG16" s="117"/>
      <x:c r="EH16" s="117"/>
      <x:c r="EI16" s="117"/>
      <x:c r="EJ16" s="117"/>
      <x:c r="EK16" s="117"/>
      <x:c r="EL16" s="117"/>
      <x:c r="EM16" s="117"/>
      <x:c r="EN16" s="117"/>
      <x:c r="EO16" s="117"/>
      <x:c r="EP16" s="117"/>
      <x:c r="EQ16" s="117"/>
      <x:c r="ER16" s="117"/>
      <x:c r="ES16" s="117"/>
      <x:c r="ET16" s="117"/>
      <x:c r="EU16" s="117"/>
      <x:c r="EV16" s="117"/>
      <x:c r="EW16" s="117"/>
      <x:c r="EX16" s="117"/>
      <x:c r="EY16" s="117"/>
      <x:c r="EZ16" s="117"/>
      <x:c r="FA16" s="117"/>
      <x:c r="FB16" s="117"/>
      <x:c r="FC16" s="117"/>
      <x:c r="FD16" s="117"/>
      <x:c r="FE16" s="117"/>
      <x:c r="FF16" s="117"/>
      <x:c r="FG16" s="117"/>
      <x:c r="FH16" s="117"/>
      <x:c r="FI16" s="117"/>
      <x:c r="FJ16" s="117"/>
      <x:c r="FK16" s="117"/>
      <x:c r="FL16" s="117"/>
      <x:c r="FM16" s="117"/>
      <x:c r="FN16" s="117"/>
      <x:c r="FO16" s="117"/>
      <x:c r="FP16" s="117"/>
      <x:c r="FQ16" s="117"/>
      <x:c r="FR16" s="117"/>
      <x:c r="FS16" s="117"/>
      <x:c r="FT16" s="117"/>
      <x:c r="FU16" s="117"/>
      <x:c r="FV16" s="117"/>
      <x:c r="FW16" s="117"/>
      <x:c r="FX16" s="117"/>
      <x:c r="FY16" s="117"/>
      <x:c r="FZ16" s="117"/>
      <x:c r="GA16" s="117"/>
    </x:row>
    <x:row r="17">
      <x:c r="A17" t="str">
        <x:v>CAPEX</x:v>
      </x:c>
      <x:c r="B17" t="n">
        <x:f>SUM(D17:GA17)</x:f>
      </x:c>
      <x:c r="C17" t="str">
        <x:v>млн ₽</x:v>
      </x:c>
      <x:c r="D17" s="117" t="n">
        <x:f>'CAPEX'!D32</x:f>
      </x:c>
      <x:c r="E17" s="117" t="n">
        <x:f>'CAPEX'!E32</x:f>
      </x:c>
      <x:c r="F17" s="117" t="n">
        <x:f>'CAPEX'!F32</x:f>
      </x:c>
      <x:c r="G17" s="117" t="n">
        <x:f>'CAPEX'!G32</x:f>
      </x:c>
      <x:c r="H17" s="117" t="n">
        <x:f>'CAPEX'!H32</x:f>
      </x:c>
      <x:c r="I17" s="117" t="n">
        <x:f>'CAPEX'!I32</x:f>
      </x:c>
      <x:c r="J17" s="117" t="n">
        <x:f>'CAPEX'!J32</x:f>
      </x:c>
      <x:c r="K17" s="117" t="n">
        <x:f>'CAPEX'!K32</x:f>
      </x:c>
      <x:c r="L17" s="117" t="n">
        <x:f>'CAPEX'!L32</x:f>
      </x:c>
      <x:c r="M17" s="117" t="n">
        <x:f>'CAPEX'!M32</x:f>
      </x:c>
      <x:c r="N17" s="117" t="n">
        <x:f>'CAPEX'!N32</x:f>
      </x:c>
      <x:c r="O17" s="117" t="n">
        <x:f>'CAPEX'!O32</x:f>
      </x:c>
      <x:c r="P17" s="117" t="n">
        <x:f>'CAPEX'!P32</x:f>
      </x:c>
      <x:c r="Q17" s="117" t="n">
        <x:f>'CAPEX'!Q32</x:f>
      </x:c>
      <x:c r="R17" s="117" t="n">
        <x:f>'CAPEX'!R32</x:f>
      </x:c>
      <x:c r="S17" s="117" t="n">
        <x:f>'CAPEX'!S32</x:f>
      </x:c>
      <x:c r="T17" s="117" t="n">
        <x:f>'CAPEX'!T32</x:f>
      </x:c>
      <x:c r="U17" s="117" t="n">
        <x:f>'CAPEX'!U32</x:f>
      </x:c>
      <x:c r="V17" s="117" t="n">
        <x:f>'CAPEX'!V32</x:f>
      </x:c>
      <x:c r="W17" s="117" t="n">
        <x:f>'CAPEX'!W32</x:f>
      </x:c>
      <x:c r="X17" s="117" t="n">
        <x:f>'CAPEX'!X32</x:f>
      </x:c>
      <x:c r="Y17" s="117" t="n">
        <x:f>'CAPEX'!Y32</x:f>
      </x:c>
      <x:c r="Z17" s="117" t="n">
        <x:f>'CAPEX'!Z32</x:f>
      </x:c>
      <x:c r="AA17" s="117" t="n">
        <x:f>'CAPEX'!AA32</x:f>
      </x:c>
      <x:c r="AB17" s="117" t="n">
        <x:f>'CAPEX'!AB32</x:f>
      </x:c>
      <x:c r="AC17" s="117" t="n">
        <x:f>'CAPEX'!AC32</x:f>
      </x:c>
      <x:c r="AD17" s="117" t="n">
        <x:f>'CAPEX'!AD32</x:f>
      </x:c>
      <x:c r="AE17" s="117" t="n">
        <x:f>'CAPEX'!AE32</x:f>
      </x:c>
      <x:c r="AF17" s="117" t="n">
        <x:f>'CAPEX'!AF32</x:f>
      </x:c>
      <x:c r="AG17" s="117" t="n">
        <x:f>'CAPEX'!AG32</x:f>
      </x:c>
      <x:c r="AH17" s="117" t="n">
        <x:f>'CAPEX'!AH32</x:f>
      </x:c>
      <x:c r="AI17" s="117" t="n">
        <x:f>'CAPEX'!AI32</x:f>
      </x:c>
      <x:c r="AJ17" s="117" t="n">
        <x:f>'CAPEX'!AJ32</x:f>
      </x:c>
      <x:c r="AK17" s="117" t="n">
        <x:f>'CAPEX'!AK32</x:f>
      </x:c>
      <x:c r="AL17" s="117" t="n">
        <x:f>'CAPEX'!AL32</x:f>
      </x:c>
      <x:c r="AM17" s="117" t="n">
        <x:f>'CAPEX'!AM32</x:f>
      </x:c>
      <x:c r="AN17" s="117" t="n">
        <x:f>'CAPEX'!AN32</x:f>
      </x:c>
      <x:c r="AO17" s="117" t="n">
        <x:f>'CAPEX'!AO32</x:f>
      </x:c>
      <x:c r="AP17" s="117" t="n">
        <x:f>'CAPEX'!AP32</x:f>
      </x:c>
      <x:c r="AQ17" s="117" t="n">
        <x:f>'CAPEX'!AQ32</x:f>
      </x:c>
      <x:c r="AR17" s="117" t="n">
        <x:f>'CAPEX'!AR32</x:f>
      </x:c>
      <x:c r="AS17" s="117" t="n">
        <x:f>'CAPEX'!AS32</x:f>
      </x:c>
      <x:c r="AT17" s="117" t="n">
        <x:f>'CAPEX'!AT32</x:f>
      </x:c>
      <x:c r="AU17" s="117" t="n">
        <x:f>'CAPEX'!AU32</x:f>
      </x:c>
      <x:c r="AV17" s="117" t="n">
        <x:f>'CAPEX'!AV32</x:f>
      </x:c>
      <x:c r="AW17" s="117" t="n">
        <x:f>'CAPEX'!AW32</x:f>
      </x:c>
      <x:c r="AX17" s="117" t="n">
        <x:f>'CAPEX'!AX32</x:f>
      </x:c>
      <x:c r="AY17" s="117" t="n">
        <x:f>'CAPEX'!AY32</x:f>
      </x:c>
      <x:c r="AZ17" s="117" t="n">
        <x:f>'CAPEX'!AZ32</x:f>
      </x:c>
      <x:c r="BA17" s="117" t="n">
        <x:f>'CAPEX'!BA32</x:f>
      </x:c>
      <x:c r="BB17" s="117" t="n">
        <x:f>'CAPEX'!BB32</x:f>
      </x:c>
      <x:c r="BC17" s="117" t="n">
        <x:f>'CAPEX'!BC32</x:f>
      </x:c>
      <x:c r="BD17" s="117" t="n">
        <x:f>'CAPEX'!BD32</x:f>
      </x:c>
      <x:c r="BE17" s="117" t="n">
        <x:f>'CAPEX'!BE32</x:f>
      </x:c>
      <x:c r="BF17" s="117" t="n">
        <x:f>'CAPEX'!BF32</x:f>
      </x:c>
      <x:c r="BG17" s="117" t="n">
        <x:f>'CAPEX'!BG32</x:f>
      </x:c>
      <x:c r="BH17" s="117" t="n">
        <x:f>'CAPEX'!BH32</x:f>
      </x:c>
      <x:c r="BI17" s="117" t="n">
        <x:f>'CAPEX'!BI32</x:f>
      </x:c>
      <x:c r="BJ17" s="117" t="n">
        <x:f>'CAPEX'!BJ32</x:f>
      </x:c>
      <x:c r="BK17" s="117" t="n">
        <x:f>'CAPEX'!BK32</x:f>
      </x:c>
      <x:c r="BL17" s="117" t="n">
        <x:f>'CAPEX'!BL32</x:f>
      </x:c>
      <x:c r="BM17" s="117" t="n">
        <x:f>'CAPEX'!BM32</x:f>
      </x:c>
      <x:c r="BN17" s="117" t="n">
        <x:f>'CAPEX'!BN32</x:f>
      </x:c>
      <x:c r="BO17" s="117" t="n">
        <x:f>'CAPEX'!BO32</x:f>
      </x:c>
      <x:c r="BP17" s="117" t="n">
        <x:f>'CAPEX'!BP32</x:f>
      </x:c>
      <x:c r="BQ17" s="117" t="n">
        <x:f>'CAPEX'!BQ32</x:f>
      </x:c>
      <x:c r="BR17" s="117" t="n">
        <x:f>'CAPEX'!BR32</x:f>
      </x:c>
      <x:c r="BS17" s="117" t="n">
        <x:f>'CAPEX'!BS32</x:f>
      </x:c>
      <x:c r="BT17" s="117" t="n">
        <x:f>'CAPEX'!BT32</x:f>
      </x:c>
      <x:c r="BU17" s="117" t="n">
        <x:f>'CAPEX'!BU32</x:f>
      </x:c>
      <x:c r="BV17" s="117" t="n">
        <x:f>'CAPEX'!BV32</x:f>
      </x:c>
      <x:c r="BW17" s="117" t="n">
        <x:f>'CAPEX'!BW32</x:f>
      </x:c>
      <x:c r="BX17" s="117" t="n">
        <x:f>'CAPEX'!BX32</x:f>
      </x:c>
      <x:c r="BY17" s="117" t="n">
        <x:f>'CAPEX'!BY32</x:f>
      </x:c>
      <x:c r="BZ17" s="117" t="n">
        <x:f>'CAPEX'!BZ32</x:f>
      </x:c>
      <x:c r="CA17" s="117" t="n">
        <x:f>'CAPEX'!CA32</x:f>
      </x:c>
      <x:c r="CB17" s="117" t="n">
        <x:f>'CAPEX'!CB32</x:f>
      </x:c>
      <x:c r="CC17" s="117" t="n">
        <x:f>'CAPEX'!CC32</x:f>
      </x:c>
      <x:c r="CD17" s="117" t="n">
        <x:f>'CAPEX'!CD32</x:f>
      </x:c>
      <x:c r="CE17" s="117" t="n">
        <x:f>'CAPEX'!CE32</x:f>
      </x:c>
      <x:c r="CF17" s="117" t="n">
        <x:f>'CAPEX'!CF32</x:f>
      </x:c>
      <x:c r="CG17" s="117" t="n">
        <x:f>'CAPEX'!CG32</x:f>
      </x:c>
      <x:c r="CH17" s="117" t="n">
        <x:f>'CAPEX'!CH32</x:f>
      </x:c>
      <x:c r="CI17" s="117" t="n">
        <x:f>'CAPEX'!CI32</x:f>
      </x:c>
      <x:c r="CJ17" s="117" t="n">
        <x:f>'CAPEX'!CJ32</x:f>
      </x:c>
      <x:c r="CK17" s="117" t="n">
        <x:f>'CAPEX'!CK32</x:f>
      </x:c>
      <x:c r="CL17" s="117" t="n">
        <x:f>'CAPEX'!CL32</x:f>
      </x:c>
      <x:c r="CM17" s="117" t="n">
        <x:f>'CAPEX'!CM32</x:f>
      </x:c>
      <x:c r="CN17" s="117" t="n">
        <x:f>'CAPEX'!CN32</x:f>
      </x:c>
      <x:c r="CO17" s="117" t="n">
        <x:f>'CAPEX'!CO32</x:f>
      </x:c>
      <x:c r="CP17" s="117" t="n">
        <x:f>'CAPEX'!CP32</x:f>
      </x:c>
      <x:c r="CQ17" s="117" t="n">
        <x:f>'CAPEX'!CQ32</x:f>
      </x:c>
      <x:c r="CR17" s="117" t="n">
        <x:f>'CAPEX'!CR32</x:f>
      </x:c>
      <x:c r="CS17" s="117" t="n">
        <x:f>'CAPEX'!CS32</x:f>
      </x:c>
      <x:c r="CT17" s="117" t="n">
        <x:f>'CAPEX'!CT32</x:f>
      </x:c>
      <x:c r="CU17" s="117" t="n">
        <x:f>'CAPEX'!CU32</x:f>
      </x:c>
      <x:c r="CV17" s="117" t="n">
        <x:f>'CAPEX'!CV32</x:f>
      </x:c>
      <x:c r="CW17" s="117" t="n">
        <x:f>'CAPEX'!CW32</x:f>
      </x:c>
      <x:c r="CX17" s="117" t="n">
        <x:f>'CAPEX'!CX32</x:f>
      </x:c>
      <x:c r="CY17" s="117" t="n">
        <x:f>'CAPEX'!CY32</x:f>
      </x:c>
      <x:c r="CZ17" s="117" t="n">
        <x:f>'CAPEX'!CZ32</x:f>
      </x:c>
      <x:c r="DA17" s="117" t="n">
        <x:f>'CAPEX'!DA32</x:f>
      </x:c>
      <x:c r="DB17" s="117" t="n">
        <x:f>'CAPEX'!DB32</x:f>
      </x:c>
      <x:c r="DC17" s="117" t="n">
        <x:f>'CAPEX'!DC32</x:f>
      </x:c>
      <x:c r="DD17" s="117" t="n">
        <x:f>'CAPEX'!DD32</x:f>
      </x:c>
      <x:c r="DE17" s="117" t="n">
        <x:f>'CAPEX'!DE32</x:f>
      </x:c>
      <x:c r="DF17" s="117" t="n">
        <x:f>'CAPEX'!DF32</x:f>
      </x:c>
      <x:c r="DG17" s="117" t="n">
        <x:f>'CAPEX'!DG32</x:f>
      </x:c>
      <x:c r="DH17" s="117" t="n">
        <x:f>'CAPEX'!DH32</x:f>
      </x:c>
      <x:c r="DI17" s="117" t="n">
        <x:f>'CAPEX'!DI32</x:f>
      </x:c>
      <x:c r="DJ17" s="117" t="n">
        <x:f>'CAPEX'!DJ32</x:f>
      </x:c>
      <x:c r="DK17" s="117" t="n">
        <x:f>'CAPEX'!DK32</x:f>
      </x:c>
      <x:c r="DL17" s="117" t="n">
        <x:f>'CAPEX'!DL32</x:f>
      </x:c>
      <x:c r="DM17" s="117" t="n">
        <x:f>'CAPEX'!DM32</x:f>
      </x:c>
      <x:c r="DN17" s="117" t="n">
        <x:f>'CAPEX'!DN32</x:f>
      </x:c>
      <x:c r="DO17" s="117" t="n">
        <x:f>'CAPEX'!DO32</x:f>
      </x:c>
      <x:c r="DP17" s="117" t="n">
        <x:f>'CAPEX'!DP32</x:f>
      </x:c>
      <x:c r="DQ17" s="117" t="n">
        <x:f>'CAPEX'!DQ32</x:f>
      </x:c>
      <x:c r="DR17" s="117" t="n">
        <x:f>'CAPEX'!DR32</x:f>
      </x:c>
      <x:c r="DS17" s="117" t="n">
        <x:f>'CAPEX'!DS32</x:f>
      </x:c>
      <x:c r="DT17" s="117" t="n">
        <x:f>'CAPEX'!DT32</x:f>
      </x:c>
      <x:c r="DU17" s="117" t="n">
        <x:f>'CAPEX'!DU32</x:f>
      </x:c>
      <x:c r="DV17" s="117" t="n">
        <x:f>'CAPEX'!DV32</x:f>
      </x:c>
      <x:c r="DW17" s="117" t="n">
        <x:f>'CAPEX'!DW32</x:f>
      </x:c>
      <x:c r="DX17" s="117" t="n">
        <x:f>'CAPEX'!DX32</x:f>
      </x:c>
      <x:c r="DY17" s="117" t="n">
        <x:f>'CAPEX'!DY32</x:f>
      </x:c>
      <x:c r="DZ17" s="117" t="n">
        <x:f>'CAPEX'!DZ32</x:f>
      </x:c>
      <x:c r="EA17" s="117" t="n">
        <x:f>'CAPEX'!EA32</x:f>
      </x:c>
      <x:c r="EB17" s="117" t="n">
        <x:f>'CAPEX'!EB32</x:f>
      </x:c>
      <x:c r="EC17" s="117" t="n">
        <x:f>'CAPEX'!EC32</x:f>
      </x:c>
      <x:c r="ED17" s="117" t="n">
        <x:f>'CAPEX'!ED32</x:f>
      </x:c>
      <x:c r="EE17" s="117" t="n">
        <x:f>'CAPEX'!EE32</x:f>
      </x:c>
      <x:c r="EF17" s="117" t="n">
        <x:f>'CAPEX'!EF32</x:f>
      </x:c>
      <x:c r="EG17" s="117" t="n">
        <x:f>'CAPEX'!EG32</x:f>
      </x:c>
      <x:c r="EH17" s="117" t="n">
        <x:f>'CAPEX'!EH32</x:f>
      </x:c>
      <x:c r="EI17" s="117" t="n">
        <x:f>'CAPEX'!EI32</x:f>
      </x:c>
      <x:c r="EJ17" s="117" t="n">
        <x:f>'CAPEX'!EJ32</x:f>
      </x:c>
      <x:c r="EK17" s="117" t="n">
        <x:f>'CAPEX'!EK32</x:f>
      </x:c>
      <x:c r="EL17" s="117" t="n">
        <x:f>'CAPEX'!EL32</x:f>
      </x:c>
      <x:c r="EM17" s="117" t="n">
        <x:f>'CAPEX'!EM32</x:f>
      </x:c>
      <x:c r="EN17" s="117" t="n">
        <x:f>'CAPEX'!EN32</x:f>
      </x:c>
      <x:c r="EO17" s="117" t="n">
        <x:f>'CAPEX'!EO32</x:f>
      </x:c>
      <x:c r="EP17" s="117" t="n">
        <x:f>'CAPEX'!EP32</x:f>
      </x:c>
      <x:c r="EQ17" s="117" t="n">
        <x:f>'CAPEX'!EQ32</x:f>
      </x:c>
      <x:c r="ER17" s="117" t="n">
        <x:f>'CAPEX'!ER32</x:f>
      </x:c>
      <x:c r="ES17" s="117" t="n">
        <x:f>'CAPEX'!ES32</x:f>
      </x:c>
      <x:c r="ET17" s="117" t="n">
        <x:f>'CAPEX'!ET32</x:f>
      </x:c>
      <x:c r="EU17" s="117" t="n">
        <x:f>'CAPEX'!EU32</x:f>
      </x:c>
      <x:c r="EV17" s="117" t="n">
        <x:f>'CAPEX'!EV32</x:f>
      </x:c>
      <x:c r="EW17" s="117" t="n">
        <x:f>'CAPEX'!EW32</x:f>
      </x:c>
      <x:c r="EX17" s="117" t="n">
        <x:f>'CAPEX'!EX32</x:f>
      </x:c>
      <x:c r="EY17" s="117" t="n">
        <x:f>'CAPEX'!EY32</x:f>
      </x:c>
      <x:c r="EZ17" s="117" t="n">
        <x:f>'CAPEX'!EZ32</x:f>
      </x:c>
      <x:c r="FA17" s="117" t="n">
        <x:f>'CAPEX'!FA32</x:f>
      </x:c>
      <x:c r="FB17" s="117" t="n">
        <x:f>'CAPEX'!FB32</x:f>
      </x:c>
      <x:c r="FC17" s="117" t="n">
        <x:f>'CAPEX'!FC32</x:f>
      </x:c>
      <x:c r="FD17" s="117" t="n">
        <x:f>'CAPEX'!FD32</x:f>
      </x:c>
      <x:c r="FE17" s="117" t="n">
        <x:f>'CAPEX'!FE32</x:f>
      </x:c>
      <x:c r="FF17" s="117" t="n">
        <x:f>'CAPEX'!FF32</x:f>
      </x:c>
      <x:c r="FG17" s="117" t="n">
        <x:f>'CAPEX'!FG32</x:f>
      </x:c>
      <x:c r="FH17" s="117" t="n">
        <x:f>'CAPEX'!FH32</x:f>
      </x:c>
      <x:c r="FI17" s="117" t="n">
        <x:f>'CAPEX'!FI32</x:f>
      </x:c>
      <x:c r="FJ17" s="117" t="n">
        <x:f>'CAPEX'!FJ32</x:f>
      </x:c>
      <x:c r="FK17" s="117" t="n">
        <x:f>'CAPEX'!FK32</x:f>
      </x:c>
      <x:c r="FL17" s="117" t="n">
        <x:f>'CAPEX'!FL32</x:f>
      </x:c>
      <x:c r="FM17" s="117" t="n">
        <x:f>'CAPEX'!FM32</x:f>
      </x:c>
      <x:c r="FN17" s="117" t="n">
        <x:f>'CAPEX'!FN32</x:f>
      </x:c>
      <x:c r="FO17" s="117" t="n">
        <x:f>'CAPEX'!FO32</x:f>
      </x:c>
      <x:c r="FP17" s="117" t="n">
        <x:f>'CAPEX'!FP32</x:f>
      </x:c>
      <x:c r="FQ17" s="117" t="n">
        <x:f>'CAPEX'!FQ32</x:f>
      </x:c>
      <x:c r="FR17" s="117" t="n">
        <x:f>'CAPEX'!FR32</x:f>
      </x:c>
      <x:c r="FS17" s="117" t="n">
        <x:f>'CAPEX'!FS32</x:f>
      </x:c>
      <x:c r="FT17" s="117" t="n">
        <x:f>'CAPEX'!FT32</x:f>
      </x:c>
      <x:c r="FU17" s="117" t="n">
        <x:f>'CAPEX'!FU32</x:f>
      </x:c>
      <x:c r="FV17" s="117" t="n">
        <x:f>'CAPEX'!FV32</x:f>
      </x:c>
      <x:c r="FW17" s="117" t="n">
        <x:f>'CAPEX'!FW32</x:f>
      </x:c>
      <x:c r="FX17" s="117" t="n">
        <x:f>'CAPEX'!FX32</x:f>
      </x:c>
      <x:c r="FY17" s="117" t="n">
        <x:f>'CAPEX'!FY32</x:f>
      </x:c>
      <x:c r="FZ17" s="117" t="n">
        <x:f>'CAPEX'!FZ32</x:f>
      </x:c>
      <x:c r="GA17" s="117" t="n">
        <x:f>'CAPEX'!GA32</x:f>
      </x:c>
    </x:row>
    <x:row r="18">
      <x:c r="A18" t="str">
        <x:v>Маркетинг</x:v>
      </x:c>
      <x:c r="B18" t="n">
        <x:f>SUM(D18:GA18)</x:f>
      </x:c>
      <x:c r="C18" t="str">
        <x:v>млн ₽</x:v>
      </x:c>
      <x:c r="D18" s="117" t="n">
        <x:f>'CAPEX'!D33</x:f>
      </x:c>
      <x:c r="E18" s="117" t="n">
        <x:f>'CAPEX'!E33</x:f>
      </x:c>
      <x:c r="F18" s="117" t="n">
        <x:f>'CAPEX'!F33</x:f>
      </x:c>
      <x:c r="G18" s="117" t="n">
        <x:f>'CAPEX'!G33</x:f>
      </x:c>
      <x:c r="H18" s="117" t="n">
        <x:f>'CAPEX'!H33</x:f>
      </x:c>
      <x:c r="I18" s="117" t="n">
        <x:f>'CAPEX'!I33</x:f>
      </x:c>
      <x:c r="J18" s="117" t="n">
        <x:f>'CAPEX'!J33</x:f>
      </x:c>
      <x:c r="K18" s="117" t="n">
        <x:f>'CAPEX'!K33</x:f>
      </x:c>
      <x:c r="L18" s="117" t="n">
        <x:f>'CAPEX'!L33</x:f>
      </x:c>
      <x:c r="M18" s="117" t="n">
        <x:f>'CAPEX'!M33</x:f>
      </x:c>
      <x:c r="N18" s="117" t="n">
        <x:f>'CAPEX'!N33</x:f>
      </x:c>
      <x:c r="O18" s="117" t="n">
        <x:f>'CAPEX'!O33</x:f>
      </x:c>
      <x:c r="P18" s="117" t="n">
        <x:f>'CAPEX'!P33</x:f>
      </x:c>
      <x:c r="Q18" s="117" t="n">
        <x:f>'CAPEX'!Q33</x:f>
      </x:c>
      <x:c r="R18" s="117" t="n">
        <x:f>'CAPEX'!R33</x:f>
      </x:c>
      <x:c r="S18" s="117" t="n">
        <x:f>'CAPEX'!S33</x:f>
      </x:c>
      <x:c r="T18" s="117" t="n">
        <x:f>'CAPEX'!T33</x:f>
      </x:c>
      <x:c r="U18" s="117" t="n">
        <x:f>'CAPEX'!U33</x:f>
      </x:c>
      <x:c r="V18" s="117" t="n">
        <x:f>'CAPEX'!V33</x:f>
      </x:c>
      <x:c r="W18" s="117" t="n">
        <x:f>'CAPEX'!W33</x:f>
      </x:c>
      <x:c r="X18" s="117" t="n">
        <x:f>'CAPEX'!X33</x:f>
      </x:c>
      <x:c r="Y18" s="117" t="n">
        <x:f>'CAPEX'!Y33</x:f>
      </x:c>
      <x:c r="Z18" s="117" t="n">
        <x:f>'CAPEX'!Z33</x:f>
      </x:c>
      <x:c r="AA18" s="117" t="n">
        <x:f>'CAPEX'!AA33</x:f>
      </x:c>
      <x:c r="AB18" s="117" t="n">
        <x:f>'CAPEX'!AB33</x:f>
      </x:c>
      <x:c r="AC18" s="117" t="n">
        <x:f>'CAPEX'!AC33</x:f>
      </x:c>
      <x:c r="AD18" s="117" t="n">
        <x:f>'CAPEX'!AD33</x:f>
      </x:c>
      <x:c r="AE18" s="117" t="n">
        <x:f>'CAPEX'!AE33</x:f>
      </x:c>
      <x:c r="AF18" s="117" t="n">
        <x:f>'CAPEX'!AF33</x:f>
      </x:c>
      <x:c r="AG18" s="117" t="n">
        <x:f>'CAPEX'!AG33</x:f>
      </x:c>
      <x:c r="AH18" s="117" t="n">
        <x:f>'CAPEX'!AH33</x:f>
      </x:c>
      <x:c r="AI18" s="117" t="n">
        <x:f>'CAPEX'!AI33</x:f>
      </x:c>
      <x:c r="AJ18" s="117" t="n">
        <x:f>'CAPEX'!AJ33</x:f>
      </x:c>
      <x:c r="AK18" s="117" t="n">
        <x:f>'CAPEX'!AK33</x:f>
      </x:c>
      <x:c r="AL18" s="117" t="n">
        <x:f>'CAPEX'!AL33</x:f>
      </x:c>
      <x:c r="AM18" s="117" t="n">
        <x:f>'CAPEX'!AM33</x:f>
      </x:c>
      <x:c r="AN18" s="117" t="n">
        <x:f>'CAPEX'!AN33</x:f>
      </x:c>
      <x:c r="AO18" s="117" t="n">
        <x:f>'CAPEX'!AO33</x:f>
      </x:c>
      <x:c r="AP18" s="117" t="n">
        <x:f>'CAPEX'!AP33</x:f>
      </x:c>
      <x:c r="AQ18" s="117" t="n">
        <x:f>'CAPEX'!AQ33</x:f>
      </x:c>
      <x:c r="AR18" s="117" t="n">
        <x:f>'CAPEX'!AR33</x:f>
      </x:c>
      <x:c r="AS18" s="117" t="n">
        <x:f>'CAPEX'!AS33</x:f>
      </x:c>
      <x:c r="AT18" s="117" t="n">
        <x:f>'CAPEX'!AT33</x:f>
      </x:c>
      <x:c r="AU18" s="117" t="n">
        <x:f>'CAPEX'!AU33</x:f>
      </x:c>
      <x:c r="AV18" s="117" t="n">
        <x:f>'CAPEX'!AV33</x:f>
      </x:c>
      <x:c r="AW18" s="117" t="n">
        <x:f>'CAPEX'!AW33</x:f>
      </x:c>
      <x:c r="AX18" s="117" t="n">
        <x:f>'CAPEX'!AX33</x:f>
      </x:c>
      <x:c r="AY18" s="117" t="n">
        <x:f>'CAPEX'!AY33</x:f>
      </x:c>
      <x:c r="AZ18" s="117" t="n">
        <x:f>'CAPEX'!AZ33</x:f>
      </x:c>
      <x:c r="BA18" s="117" t="n">
        <x:f>'CAPEX'!BA33</x:f>
      </x:c>
      <x:c r="BB18" s="117" t="n">
        <x:f>'CAPEX'!BB33</x:f>
      </x:c>
      <x:c r="BC18" s="117" t="n">
        <x:f>'CAPEX'!BC33</x:f>
      </x:c>
      <x:c r="BD18" s="117" t="n">
        <x:f>'CAPEX'!BD33</x:f>
      </x:c>
      <x:c r="BE18" s="117" t="n">
        <x:f>'CAPEX'!BE33</x:f>
      </x:c>
      <x:c r="BF18" s="117" t="n">
        <x:f>'CAPEX'!BF33</x:f>
      </x:c>
      <x:c r="BG18" s="117" t="n">
        <x:f>'CAPEX'!BG33</x:f>
      </x:c>
      <x:c r="BH18" s="117" t="n">
        <x:f>'CAPEX'!BH33</x:f>
      </x:c>
      <x:c r="BI18" s="117" t="n">
        <x:f>'CAPEX'!BI33</x:f>
      </x:c>
      <x:c r="BJ18" s="117" t="n">
        <x:f>'CAPEX'!BJ33</x:f>
      </x:c>
      <x:c r="BK18" s="117" t="n">
        <x:f>'CAPEX'!BK33</x:f>
      </x:c>
      <x:c r="BL18" s="117" t="n">
        <x:f>'CAPEX'!BL33</x:f>
      </x:c>
      <x:c r="BM18" s="117" t="n">
        <x:f>'CAPEX'!BM33</x:f>
      </x:c>
      <x:c r="BN18" s="117" t="n">
        <x:f>'CAPEX'!BN33</x:f>
      </x:c>
      <x:c r="BO18" s="117" t="n">
        <x:f>'CAPEX'!BO33</x:f>
      </x:c>
      <x:c r="BP18" s="117" t="n">
        <x:f>'CAPEX'!BP33</x:f>
      </x:c>
      <x:c r="BQ18" s="117" t="n">
        <x:f>'CAPEX'!BQ33</x:f>
      </x:c>
      <x:c r="BR18" s="117" t="n">
        <x:f>'CAPEX'!BR33</x:f>
      </x:c>
      <x:c r="BS18" s="117" t="n">
        <x:f>'CAPEX'!BS33</x:f>
      </x:c>
      <x:c r="BT18" s="117" t="n">
        <x:f>'CAPEX'!BT33</x:f>
      </x:c>
      <x:c r="BU18" s="117" t="n">
        <x:f>'CAPEX'!BU33</x:f>
      </x:c>
      <x:c r="BV18" s="117" t="n">
        <x:f>'CAPEX'!BV33</x:f>
      </x:c>
      <x:c r="BW18" s="117" t="n">
        <x:f>'CAPEX'!BW33</x:f>
      </x:c>
      <x:c r="BX18" s="117" t="n">
        <x:f>'CAPEX'!BX33</x:f>
      </x:c>
      <x:c r="BY18" s="117" t="n">
        <x:f>'CAPEX'!BY33</x:f>
      </x:c>
      <x:c r="BZ18" s="117" t="n">
        <x:f>'CAPEX'!BZ33</x:f>
      </x:c>
      <x:c r="CA18" s="117" t="n">
        <x:f>'CAPEX'!CA33</x:f>
      </x:c>
      <x:c r="CB18" s="117" t="n">
        <x:f>'CAPEX'!CB33</x:f>
      </x:c>
      <x:c r="CC18" s="117" t="n">
        <x:f>'CAPEX'!CC33</x:f>
      </x:c>
      <x:c r="CD18" s="117" t="n">
        <x:f>'CAPEX'!CD33</x:f>
      </x:c>
      <x:c r="CE18" s="117" t="n">
        <x:f>'CAPEX'!CE33</x:f>
      </x:c>
      <x:c r="CF18" s="117" t="n">
        <x:f>'CAPEX'!CF33</x:f>
      </x:c>
      <x:c r="CG18" s="117" t="n">
        <x:f>'CAPEX'!CG33</x:f>
      </x:c>
      <x:c r="CH18" s="117" t="n">
        <x:f>'CAPEX'!CH33</x:f>
      </x:c>
      <x:c r="CI18" s="117" t="n">
        <x:f>'CAPEX'!CI33</x:f>
      </x:c>
      <x:c r="CJ18" s="117" t="n">
        <x:f>'CAPEX'!CJ33</x:f>
      </x:c>
      <x:c r="CK18" s="117" t="n">
        <x:f>'CAPEX'!CK33</x:f>
      </x:c>
      <x:c r="CL18" s="117" t="n">
        <x:f>'CAPEX'!CL33</x:f>
      </x:c>
      <x:c r="CM18" s="117" t="n">
        <x:f>'CAPEX'!CM33</x:f>
      </x:c>
      <x:c r="CN18" s="117" t="n">
        <x:f>'CAPEX'!CN33</x:f>
      </x:c>
      <x:c r="CO18" s="117" t="n">
        <x:f>'CAPEX'!CO33</x:f>
      </x:c>
      <x:c r="CP18" s="117" t="n">
        <x:f>'CAPEX'!CP33</x:f>
      </x:c>
      <x:c r="CQ18" s="117" t="n">
        <x:f>'CAPEX'!CQ33</x:f>
      </x:c>
      <x:c r="CR18" s="117" t="n">
        <x:f>'CAPEX'!CR33</x:f>
      </x:c>
      <x:c r="CS18" s="117" t="n">
        <x:f>'CAPEX'!CS33</x:f>
      </x:c>
      <x:c r="CT18" s="117" t="n">
        <x:f>'CAPEX'!CT33</x:f>
      </x:c>
      <x:c r="CU18" s="117" t="n">
        <x:f>'CAPEX'!CU33</x:f>
      </x:c>
      <x:c r="CV18" s="117" t="n">
        <x:f>'CAPEX'!CV33</x:f>
      </x:c>
      <x:c r="CW18" s="117" t="n">
        <x:f>'CAPEX'!CW33</x:f>
      </x:c>
      <x:c r="CX18" s="117" t="n">
        <x:f>'CAPEX'!CX33</x:f>
      </x:c>
      <x:c r="CY18" s="117" t="n">
        <x:f>'CAPEX'!CY33</x:f>
      </x:c>
      <x:c r="CZ18" s="117" t="n">
        <x:f>'CAPEX'!CZ33</x:f>
      </x:c>
      <x:c r="DA18" s="117" t="n">
        <x:f>'CAPEX'!DA33</x:f>
      </x:c>
      <x:c r="DB18" s="117" t="n">
        <x:f>'CAPEX'!DB33</x:f>
      </x:c>
      <x:c r="DC18" s="117" t="n">
        <x:f>'CAPEX'!DC33</x:f>
      </x:c>
      <x:c r="DD18" s="117" t="n">
        <x:f>'CAPEX'!DD33</x:f>
      </x:c>
      <x:c r="DE18" s="117" t="n">
        <x:f>'CAPEX'!DE33</x:f>
      </x:c>
      <x:c r="DF18" s="117" t="n">
        <x:f>'CAPEX'!DF33</x:f>
      </x:c>
      <x:c r="DG18" s="117" t="n">
        <x:f>'CAPEX'!DG33</x:f>
      </x:c>
      <x:c r="DH18" s="117" t="n">
        <x:f>'CAPEX'!DH33</x:f>
      </x:c>
      <x:c r="DI18" s="117" t="n">
        <x:f>'CAPEX'!DI33</x:f>
      </x:c>
      <x:c r="DJ18" s="117" t="n">
        <x:f>'CAPEX'!DJ33</x:f>
      </x:c>
      <x:c r="DK18" s="117" t="n">
        <x:f>'CAPEX'!DK33</x:f>
      </x:c>
      <x:c r="DL18" s="117" t="n">
        <x:f>'CAPEX'!DL33</x:f>
      </x:c>
      <x:c r="DM18" s="117" t="n">
        <x:f>'CAPEX'!DM33</x:f>
      </x:c>
      <x:c r="DN18" s="117" t="n">
        <x:f>'CAPEX'!DN33</x:f>
      </x:c>
      <x:c r="DO18" s="117" t="n">
        <x:f>'CAPEX'!DO33</x:f>
      </x:c>
      <x:c r="DP18" s="117" t="n">
        <x:f>'CAPEX'!DP33</x:f>
      </x:c>
      <x:c r="DQ18" s="117" t="n">
        <x:f>'CAPEX'!DQ33</x:f>
      </x:c>
      <x:c r="DR18" s="117" t="n">
        <x:f>'CAPEX'!DR33</x:f>
      </x:c>
      <x:c r="DS18" s="117" t="n">
        <x:f>'CAPEX'!DS33</x:f>
      </x:c>
      <x:c r="DT18" s="117" t="n">
        <x:f>'CAPEX'!DT33</x:f>
      </x:c>
      <x:c r="DU18" s="117" t="n">
        <x:f>'CAPEX'!DU33</x:f>
      </x:c>
      <x:c r="DV18" s="117" t="n">
        <x:f>'CAPEX'!DV33</x:f>
      </x:c>
      <x:c r="DW18" s="117" t="n">
        <x:f>'CAPEX'!DW33</x:f>
      </x:c>
      <x:c r="DX18" s="117" t="n">
        <x:f>'CAPEX'!DX33</x:f>
      </x:c>
      <x:c r="DY18" s="117" t="n">
        <x:f>'CAPEX'!DY33</x:f>
      </x:c>
      <x:c r="DZ18" s="117" t="n">
        <x:f>'CAPEX'!DZ33</x:f>
      </x:c>
      <x:c r="EA18" s="117" t="n">
        <x:f>'CAPEX'!EA33</x:f>
      </x:c>
      <x:c r="EB18" s="117" t="n">
        <x:f>'CAPEX'!EB33</x:f>
      </x:c>
      <x:c r="EC18" s="117" t="n">
        <x:f>'CAPEX'!EC33</x:f>
      </x:c>
      <x:c r="ED18" s="117" t="n">
        <x:f>'CAPEX'!ED33</x:f>
      </x:c>
      <x:c r="EE18" s="117" t="n">
        <x:f>'CAPEX'!EE33</x:f>
      </x:c>
      <x:c r="EF18" s="117" t="n">
        <x:f>'CAPEX'!EF33</x:f>
      </x:c>
      <x:c r="EG18" s="117" t="n">
        <x:f>'CAPEX'!EG33</x:f>
      </x:c>
      <x:c r="EH18" s="117" t="n">
        <x:f>'CAPEX'!EH33</x:f>
      </x:c>
      <x:c r="EI18" s="117" t="n">
        <x:f>'CAPEX'!EI33</x:f>
      </x:c>
      <x:c r="EJ18" s="117" t="n">
        <x:f>'CAPEX'!EJ33</x:f>
      </x:c>
      <x:c r="EK18" s="117" t="n">
        <x:f>'CAPEX'!EK33</x:f>
      </x:c>
      <x:c r="EL18" s="117" t="n">
        <x:f>'CAPEX'!EL33</x:f>
      </x:c>
      <x:c r="EM18" s="117" t="n">
        <x:f>'CAPEX'!EM33</x:f>
      </x:c>
      <x:c r="EN18" s="117" t="n">
        <x:f>'CAPEX'!EN33</x:f>
      </x:c>
      <x:c r="EO18" s="117" t="n">
        <x:f>'CAPEX'!EO33</x:f>
      </x:c>
      <x:c r="EP18" s="117" t="n">
        <x:f>'CAPEX'!EP33</x:f>
      </x:c>
      <x:c r="EQ18" s="117" t="n">
        <x:f>'CAPEX'!EQ33</x:f>
      </x:c>
      <x:c r="ER18" s="117" t="n">
        <x:f>'CAPEX'!ER33</x:f>
      </x:c>
      <x:c r="ES18" s="117" t="n">
        <x:f>'CAPEX'!ES33</x:f>
      </x:c>
      <x:c r="ET18" s="117" t="n">
        <x:f>'CAPEX'!ET33</x:f>
      </x:c>
      <x:c r="EU18" s="117" t="n">
        <x:f>'CAPEX'!EU33</x:f>
      </x:c>
      <x:c r="EV18" s="117" t="n">
        <x:f>'CAPEX'!EV33</x:f>
      </x:c>
      <x:c r="EW18" s="117" t="n">
        <x:f>'CAPEX'!EW33</x:f>
      </x:c>
      <x:c r="EX18" s="117" t="n">
        <x:f>'CAPEX'!EX33</x:f>
      </x:c>
      <x:c r="EY18" s="117" t="n">
        <x:f>'CAPEX'!EY33</x:f>
      </x:c>
      <x:c r="EZ18" s="117" t="n">
        <x:f>'CAPEX'!EZ33</x:f>
      </x:c>
      <x:c r="FA18" s="117" t="n">
        <x:f>'CAPEX'!FA33</x:f>
      </x:c>
      <x:c r="FB18" s="117" t="n">
        <x:f>'CAPEX'!FB33</x:f>
      </x:c>
      <x:c r="FC18" s="117" t="n">
        <x:f>'CAPEX'!FC33</x:f>
      </x:c>
      <x:c r="FD18" s="117" t="n">
        <x:f>'CAPEX'!FD33</x:f>
      </x:c>
      <x:c r="FE18" s="117" t="n">
        <x:f>'CAPEX'!FE33</x:f>
      </x:c>
      <x:c r="FF18" s="117" t="n">
        <x:f>'CAPEX'!FF33</x:f>
      </x:c>
      <x:c r="FG18" s="117" t="n">
        <x:f>'CAPEX'!FG33</x:f>
      </x:c>
      <x:c r="FH18" s="117" t="n">
        <x:f>'CAPEX'!FH33</x:f>
      </x:c>
      <x:c r="FI18" s="117" t="n">
        <x:f>'CAPEX'!FI33</x:f>
      </x:c>
      <x:c r="FJ18" s="117" t="n">
        <x:f>'CAPEX'!FJ33</x:f>
      </x:c>
      <x:c r="FK18" s="117" t="n">
        <x:f>'CAPEX'!FK33</x:f>
      </x:c>
      <x:c r="FL18" s="117" t="n">
        <x:f>'CAPEX'!FL33</x:f>
      </x:c>
      <x:c r="FM18" s="117" t="n">
        <x:f>'CAPEX'!FM33</x:f>
      </x:c>
      <x:c r="FN18" s="117" t="n">
        <x:f>'CAPEX'!FN33</x:f>
      </x:c>
      <x:c r="FO18" s="117" t="n">
        <x:f>'CAPEX'!FO33</x:f>
      </x:c>
      <x:c r="FP18" s="117" t="n">
        <x:f>'CAPEX'!FP33</x:f>
      </x:c>
      <x:c r="FQ18" s="117" t="n">
        <x:f>'CAPEX'!FQ33</x:f>
      </x:c>
      <x:c r="FR18" s="117" t="n">
        <x:f>'CAPEX'!FR33</x:f>
      </x:c>
      <x:c r="FS18" s="117" t="n">
        <x:f>'CAPEX'!FS33</x:f>
      </x:c>
      <x:c r="FT18" s="117" t="n">
        <x:f>'CAPEX'!FT33</x:f>
      </x:c>
      <x:c r="FU18" s="117" t="n">
        <x:f>'CAPEX'!FU33</x:f>
      </x:c>
      <x:c r="FV18" s="117" t="n">
        <x:f>'CAPEX'!FV33</x:f>
      </x:c>
      <x:c r="FW18" s="117" t="n">
        <x:f>'CAPEX'!FW33</x:f>
      </x:c>
      <x:c r="FX18" s="117" t="n">
        <x:f>'CAPEX'!FX33</x:f>
      </x:c>
      <x:c r="FY18" s="117" t="n">
        <x:f>'CAPEX'!FY33</x:f>
      </x:c>
      <x:c r="FZ18" s="117" t="n">
        <x:f>'CAPEX'!FZ33</x:f>
      </x:c>
      <x:c r="GA18" s="117" t="n">
        <x:f>'CAPEX'!GA33</x:f>
      </x:c>
    </x:row>
    <x:row r="19">
      <x:c r="A19" t="str">
        <x:v>Расходы на продажи</x:v>
      </x:c>
      <x:c r="B19" t="n">
        <x:f>SUM(D19:GA19)</x:f>
      </x:c>
      <x:c r="C19" t="str">
        <x:v>млн ₽</x:v>
      </x:c>
      <x:c r="D19" s="117" t="n">
        <x:f>'CAPEX'!D34</x:f>
      </x:c>
      <x:c r="E19" s="117" t="n">
        <x:f>'CAPEX'!E34</x:f>
      </x:c>
      <x:c r="F19" s="117" t="n">
        <x:f>'CAPEX'!F34</x:f>
      </x:c>
      <x:c r="G19" s="117" t="n">
        <x:f>'CAPEX'!G34</x:f>
      </x:c>
      <x:c r="H19" s="117" t="n">
        <x:f>'CAPEX'!H34</x:f>
      </x:c>
      <x:c r="I19" s="117" t="n">
        <x:f>'CAPEX'!I34</x:f>
      </x:c>
      <x:c r="J19" s="117" t="n">
        <x:f>'CAPEX'!J34</x:f>
      </x:c>
      <x:c r="K19" s="117" t="n">
        <x:f>'CAPEX'!K34</x:f>
      </x:c>
      <x:c r="L19" s="117" t="n">
        <x:f>'CAPEX'!L34</x:f>
      </x:c>
      <x:c r="M19" s="117" t="n">
        <x:f>'CAPEX'!M34</x:f>
      </x:c>
      <x:c r="N19" s="117" t="n">
        <x:f>'CAPEX'!N34</x:f>
      </x:c>
      <x:c r="O19" s="117" t="n">
        <x:f>'CAPEX'!O34</x:f>
      </x:c>
      <x:c r="P19" s="117" t="n">
        <x:f>'CAPEX'!P34</x:f>
      </x:c>
      <x:c r="Q19" s="117" t="n">
        <x:f>'CAPEX'!Q34</x:f>
      </x:c>
      <x:c r="R19" s="117" t="n">
        <x:f>'CAPEX'!R34</x:f>
      </x:c>
      <x:c r="S19" s="117" t="n">
        <x:f>'CAPEX'!S34</x:f>
      </x:c>
      <x:c r="T19" s="117" t="n">
        <x:f>'CAPEX'!T34</x:f>
      </x:c>
      <x:c r="U19" s="117" t="n">
        <x:f>'CAPEX'!U34</x:f>
      </x:c>
      <x:c r="V19" s="117" t="n">
        <x:f>'CAPEX'!V34</x:f>
      </x:c>
      <x:c r="W19" s="117" t="n">
        <x:f>'CAPEX'!W34</x:f>
      </x:c>
      <x:c r="X19" s="117" t="n">
        <x:f>'CAPEX'!X34</x:f>
      </x:c>
      <x:c r="Y19" s="117" t="n">
        <x:f>'CAPEX'!Y34</x:f>
      </x:c>
      <x:c r="Z19" s="117" t="n">
        <x:f>'CAPEX'!Z34</x:f>
      </x:c>
      <x:c r="AA19" s="117" t="n">
        <x:f>'CAPEX'!AA34</x:f>
      </x:c>
      <x:c r="AB19" s="117" t="n">
        <x:f>'CAPEX'!AB34</x:f>
      </x:c>
      <x:c r="AC19" s="117" t="n">
        <x:f>'CAPEX'!AC34</x:f>
      </x:c>
      <x:c r="AD19" s="117" t="n">
        <x:f>'CAPEX'!AD34</x:f>
      </x:c>
      <x:c r="AE19" s="117" t="n">
        <x:f>'CAPEX'!AE34</x:f>
      </x:c>
      <x:c r="AF19" s="117" t="n">
        <x:f>'CAPEX'!AF34</x:f>
      </x:c>
      <x:c r="AG19" s="117" t="n">
        <x:f>'CAPEX'!AG34</x:f>
      </x:c>
      <x:c r="AH19" s="117" t="n">
        <x:f>'CAPEX'!AH34</x:f>
      </x:c>
      <x:c r="AI19" s="117" t="n">
        <x:f>'CAPEX'!AI34</x:f>
      </x:c>
      <x:c r="AJ19" s="117" t="n">
        <x:f>'CAPEX'!AJ34</x:f>
      </x:c>
      <x:c r="AK19" s="117" t="n">
        <x:f>'CAPEX'!AK34</x:f>
      </x:c>
      <x:c r="AL19" s="117" t="n">
        <x:f>'CAPEX'!AL34</x:f>
      </x:c>
      <x:c r="AM19" s="117" t="n">
        <x:f>'CAPEX'!AM34</x:f>
      </x:c>
      <x:c r="AN19" s="117" t="n">
        <x:f>'CAPEX'!AN34</x:f>
      </x:c>
      <x:c r="AO19" s="117" t="n">
        <x:f>'CAPEX'!AO34</x:f>
      </x:c>
      <x:c r="AP19" s="117" t="n">
        <x:f>'CAPEX'!AP34</x:f>
      </x:c>
      <x:c r="AQ19" s="117" t="n">
        <x:f>'CAPEX'!AQ34</x:f>
      </x:c>
      <x:c r="AR19" s="117" t="n">
        <x:f>'CAPEX'!AR34</x:f>
      </x:c>
      <x:c r="AS19" s="117" t="n">
        <x:f>'CAPEX'!AS34</x:f>
      </x:c>
      <x:c r="AT19" s="117" t="n">
        <x:f>'CAPEX'!AT34</x:f>
      </x:c>
      <x:c r="AU19" s="117" t="n">
        <x:f>'CAPEX'!AU34</x:f>
      </x:c>
      <x:c r="AV19" s="117" t="n">
        <x:f>'CAPEX'!AV34</x:f>
      </x:c>
      <x:c r="AW19" s="117" t="n">
        <x:f>'CAPEX'!AW34</x:f>
      </x:c>
      <x:c r="AX19" s="117" t="n">
        <x:f>'CAPEX'!AX34</x:f>
      </x:c>
      <x:c r="AY19" s="117" t="n">
        <x:f>'CAPEX'!AY34</x:f>
      </x:c>
      <x:c r="AZ19" s="117" t="n">
        <x:f>'CAPEX'!AZ34</x:f>
      </x:c>
      <x:c r="BA19" s="117" t="n">
        <x:f>'CAPEX'!BA34</x:f>
      </x:c>
      <x:c r="BB19" s="117" t="n">
        <x:f>'CAPEX'!BB34</x:f>
      </x:c>
      <x:c r="BC19" s="117" t="n">
        <x:f>'CAPEX'!BC34</x:f>
      </x:c>
      <x:c r="BD19" s="117" t="n">
        <x:f>'CAPEX'!BD34</x:f>
      </x:c>
      <x:c r="BE19" s="117" t="n">
        <x:f>'CAPEX'!BE34</x:f>
      </x:c>
      <x:c r="BF19" s="117" t="n">
        <x:f>'CAPEX'!BF34</x:f>
      </x:c>
      <x:c r="BG19" s="117" t="n">
        <x:f>'CAPEX'!BG34</x:f>
      </x:c>
      <x:c r="BH19" s="117" t="n">
        <x:f>'CAPEX'!BH34</x:f>
      </x:c>
      <x:c r="BI19" s="117" t="n">
        <x:f>'CAPEX'!BI34</x:f>
      </x:c>
      <x:c r="BJ19" s="117" t="n">
        <x:f>'CAPEX'!BJ34</x:f>
      </x:c>
      <x:c r="BK19" s="117" t="n">
        <x:f>'CAPEX'!BK34</x:f>
      </x:c>
      <x:c r="BL19" s="117" t="n">
        <x:f>'CAPEX'!BL34</x:f>
      </x:c>
      <x:c r="BM19" s="117" t="n">
        <x:f>'CAPEX'!BM34</x:f>
      </x:c>
      <x:c r="BN19" s="117" t="n">
        <x:f>'CAPEX'!BN34</x:f>
      </x:c>
      <x:c r="BO19" s="117" t="n">
        <x:f>'CAPEX'!BO34</x:f>
      </x:c>
      <x:c r="BP19" s="117" t="n">
        <x:f>'CAPEX'!BP34</x:f>
      </x:c>
      <x:c r="BQ19" s="117" t="n">
        <x:f>'CAPEX'!BQ34</x:f>
      </x:c>
      <x:c r="BR19" s="117" t="n">
        <x:f>'CAPEX'!BR34</x:f>
      </x:c>
      <x:c r="BS19" s="117" t="n">
        <x:f>'CAPEX'!BS34</x:f>
      </x:c>
      <x:c r="BT19" s="117" t="n">
        <x:f>'CAPEX'!BT34</x:f>
      </x:c>
      <x:c r="BU19" s="117" t="n">
        <x:f>'CAPEX'!BU34</x:f>
      </x:c>
      <x:c r="BV19" s="117" t="n">
        <x:f>'CAPEX'!BV34</x:f>
      </x:c>
      <x:c r="BW19" s="117" t="n">
        <x:f>'CAPEX'!BW34</x:f>
      </x:c>
      <x:c r="BX19" s="117" t="n">
        <x:f>'CAPEX'!BX34</x:f>
      </x:c>
      <x:c r="BY19" s="117" t="n">
        <x:f>'CAPEX'!BY34</x:f>
      </x:c>
      <x:c r="BZ19" s="117" t="n">
        <x:f>'CAPEX'!BZ34</x:f>
      </x:c>
      <x:c r="CA19" s="117" t="n">
        <x:f>'CAPEX'!CA34</x:f>
      </x:c>
      <x:c r="CB19" s="117" t="n">
        <x:f>'CAPEX'!CB34</x:f>
      </x:c>
      <x:c r="CC19" s="117" t="n">
        <x:f>'CAPEX'!CC34</x:f>
      </x:c>
      <x:c r="CD19" s="117" t="n">
        <x:f>'CAPEX'!CD34</x:f>
      </x:c>
      <x:c r="CE19" s="117" t="n">
        <x:f>'CAPEX'!CE34</x:f>
      </x:c>
      <x:c r="CF19" s="117" t="n">
        <x:f>'CAPEX'!CF34</x:f>
      </x:c>
      <x:c r="CG19" s="117" t="n">
        <x:f>'CAPEX'!CG34</x:f>
      </x:c>
      <x:c r="CH19" s="117" t="n">
        <x:f>'CAPEX'!CH34</x:f>
      </x:c>
      <x:c r="CI19" s="117" t="n">
        <x:f>'CAPEX'!CI34</x:f>
      </x:c>
      <x:c r="CJ19" s="117" t="n">
        <x:f>'CAPEX'!CJ34</x:f>
      </x:c>
      <x:c r="CK19" s="117" t="n">
        <x:f>'CAPEX'!CK34</x:f>
      </x:c>
      <x:c r="CL19" s="117" t="n">
        <x:f>'CAPEX'!CL34</x:f>
      </x:c>
      <x:c r="CM19" s="117" t="n">
        <x:f>'CAPEX'!CM34</x:f>
      </x:c>
      <x:c r="CN19" s="117" t="n">
        <x:f>'CAPEX'!CN34</x:f>
      </x:c>
      <x:c r="CO19" s="117" t="n">
        <x:f>'CAPEX'!CO34</x:f>
      </x:c>
      <x:c r="CP19" s="117" t="n">
        <x:f>'CAPEX'!CP34</x:f>
      </x:c>
      <x:c r="CQ19" s="117" t="n">
        <x:f>'CAPEX'!CQ34</x:f>
      </x:c>
      <x:c r="CR19" s="117" t="n">
        <x:f>'CAPEX'!CR34</x:f>
      </x:c>
      <x:c r="CS19" s="117" t="n">
        <x:f>'CAPEX'!CS34</x:f>
      </x:c>
      <x:c r="CT19" s="117" t="n">
        <x:f>'CAPEX'!CT34</x:f>
      </x:c>
      <x:c r="CU19" s="117" t="n">
        <x:f>'CAPEX'!CU34</x:f>
      </x:c>
      <x:c r="CV19" s="117" t="n">
        <x:f>'CAPEX'!CV34</x:f>
      </x:c>
      <x:c r="CW19" s="117" t="n">
        <x:f>'CAPEX'!CW34</x:f>
      </x:c>
      <x:c r="CX19" s="117" t="n">
        <x:f>'CAPEX'!CX34</x:f>
      </x:c>
      <x:c r="CY19" s="117" t="n">
        <x:f>'CAPEX'!CY34</x:f>
      </x:c>
      <x:c r="CZ19" s="117" t="n">
        <x:f>'CAPEX'!CZ34</x:f>
      </x:c>
      <x:c r="DA19" s="117" t="n">
        <x:f>'CAPEX'!DA34</x:f>
      </x:c>
      <x:c r="DB19" s="117" t="n">
        <x:f>'CAPEX'!DB34</x:f>
      </x:c>
      <x:c r="DC19" s="117" t="n">
        <x:f>'CAPEX'!DC34</x:f>
      </x:c>
      <x:c r="DD19" s="117" t="n">
        <x:f>'CAPEX'!DD34</x:f>
      </x:c>
      <x:c r="DE19" s="117" t="n">
        <x:f>'CAPEX'!DE34</x:f>
      </x:c>
      <x:c r="DF19" s="117" t="n">
        <x:f>'CAPEX'!DF34</x:f>
      </x:c>
      <x:c r="DG19" s="117" t="n">
        <x:f>'CAPEX'!DG34</x:f>
      </x:c>
      <x:c r="DH19" s="117" t="n">
        <x:f>'CAPEX'!DH34</x:f>
      </x:c>
      <x:c r="DI19" s="117" t="n">
        <x:f>'CAPEX'!DI34</x:f>
      </x:c>
      <x:c r="DJ19" s="117" t="n">
        <x:f>'CAPEX'!DJ34</x:f>
      </x:c>
      <x:c r="DK19" s="117" t="n">
        <x:f>'CAPEX'!DK34</x:f>
      </x:c>
      <x:c r="DL19" s="117" t="n">
        <x:f>'CAPEX'!DL34</x:f>
      </x:c>
      <x:c r="DM19" s="117" t="n">
        <x:f>'CAPEX'!DM34</x:f>
      </x:c>
      <x:c r="DN19" s="117" t="n">
        <x:f>'CAPEX'!DN34</x:f>
      </x:c>
      <x:c r="DO19" s="117" t="n">
        <x:f>'CAPEX'!DO34</x:f>
      </x:c>
      <x:c r="DP19" s="117" t="n">
        <x:f>'CAPEX'!DP34</x:f>
      </x:c>
      <x:c r="DQ19" s="117" t="n">
        <x:f>'CAPEX'!DQ34</x:f>
      </x:c>
      <x:c r="DR19" s="117" t="n">
        <x:f>'CAPEX'!DR34</x:f>
      </x:c>
      <x:c r="DS19" s="117" t="n">
        <x:f>'CAPEX'!DS34</x:f>
      </x:c>
      <x:c r="DT19" s="117" t="n">
        <x:f>'CAPEX'!DT34</x:f>
      </x:c>
      <x:c r="DU19" s="117" t="n">
        <x:f>'CAPEX'!DU34</x:f>
      </x:c>
      <x:c r="DV19" s="117" t="n">
        <x:f>'CAPEX'!DV34</x:f>
      </x:c>
      <x:c r="DW19" s="117" t="n">
        <x:f>'CAPEX'!DW34</x:f>
      </x:c>
      <x:c r="DX19" s="117" t="n">
        <x:f>'CAPEX'!DX34</x:f>
      </x:c>
      <x:c r="DY19" s="117" t="n">
        <x:f>'CAPEX'!DY34</x:f>
      </x:c>
      <x:c r="DZ19" s="117" t="n">
        <x:f>'CAPEX'!DZ34</x:f>
      </x:c>
      <x:c r="EA19" s="117" t="n">
        <x:f>'CAPEX'!EA34</x:f>
      </x:c>
      <x:c r="EB19" s="117" t="n">
        <x:f>'CAPEX'!EB34</x:f>
      </x:c>
      <x:c r="EC19" s="117" t="n">
        <x:f>'CAPEX'!EC34</x:f>
      </x:c>
      <x:c r="ED19" s="117" t="n">
        <x:f>'CAPEX'!ED34</x:f>
      </x:c>
      <x:c r="EE19" s="117" t="n">
        <x:f>'CAPEX'!EE34</x:f>
      </x:c>
      <x:c r="EF19" s="117" t="n">
        <x:f>'CAPEX'!EF34</x:f>
      </x:c>
      <x:c r="EG19" s="117" t="n">
        <x:f>'CAPEX'!EG34</x:f>
      </x:c>
      <x:c r="EH19" s="117" t="n">
        <x:f>'CAPEX'!EH34</x:f>
      </x:c>
      <x:c r="EI19" s="117" t="n">
        <x:f>'CAPEX'!EI34</x:f>
      </x:c>
      <x:c r="EJ19" s="117" t="n">
        <x:f>'CAPEX'!EJ34</x:f>
      </x:c>
      <x:c r="EK19" s="117" t="n">
        <x:f>'CAPEX'!EK34</x:f>
      </x:c>
      <x:c r="EL19" s="117" t="n">
        <x:f>'CAPEX'!EL34</x:f>
      </x:c>
      <x:c r="EM19" s="117" t="n">
        <x:f>'CAPEX'!EM34</x:f>
      </x:c>
      <x:c r="EN19" s="117" t="n">
        <x:f>'CAPEX'!EN34</x:f>
      </x:c>
      <x:c r="EO19" s="117" t="n">
        <x:f>'CAPEX'!EO34</x:f>
      </x:c>
      <x:c r="EP19" s="117" t="n">
        <x:f>'CAPEX'!EP34</x:f>
      </x:c>
      <x:c r="EQ19" s="117" t="n">
        <x:f>'CAPEX'!EQ34</x:f>
      </x:c>
      <x:c r="ER19" s="117" t="n">
        <x:f>'CAPEX'!ER34</x:f>
      </x:c>
      <x:c r="ES19" s="117" t="n">
        <x:f>'CAPEX'!ES34</x:f>
      </x:c>
      <x:c r="ET19" s="117" t="n">
        <x:f>'CAPEX'!ET34</x:f>
      </x:c>
      <x:c r="EU19" s="117" t="n">
        <x:f>'CAPEX'!EU34</x:f>
      </x:c>
      <x:c r="EV19" s="117" t="n">
        <x:f>'CAPEX'!EV34</x:f>
      </x:c>
      <x:c r="EW19" s="117" t="n">
        <x:f>'CAPEX'!EW34</x:f>
      </x:c>
      <x:c r="EX19" s="117" t="n">
        <x:f>'CAPEX'!EX34</x:f>
      </x:c>
      <x:c r="EY19" s="117" t="n">
        <x:f>'CAPEX'!EY34</x:f>
      </x:c>
      <x:c r="EZ19" s="117" t="n">
        <x:f>'CAPEX'!EZ34</x:f>
      </x:c>
      <x:c r="FA19" s="117" t="n">
        <x:f>'CAPEX'!FA34</x:f>
      </x:c>
      <x:c r="FB19" s="117" t="n">
        <x:f>'CAPEX'!FB34</x:f>
      </x:c>
      <x:c r="FC19" s="117" t="n">
        <x:f>'CAPEX'!FC34</x:f>
      </x:c>
      <x:c r="FD19" s="117" t="n">
        <x:f>'CAPEX'!FD34</x:f>
      </x:c>
      <x:c r="FE19" s="117" t="n">
        <x:f>'CAPEX'!FE34</x:f>
      </x:c>
      <x:c r="FF19" s="117" t="n">
        <x:f>'CAPEX'!FF34</x:f>
      </x:c>
      <x:c r="FG19" s="117" t="n">
        <x:f>'CAPEX'!FG34</x:f>
      </x:c>
      <x:c r="FH19" s="117" t="n">
        <x:f>'CAPEX'!FH34</x:f>
      </x:c>
      <x:c r="FI19" s="117" t="n">
        <x:f>'CAPEX'!FI34</x:f>
      </x:c>
      <x:c r="FJ19" s="117" t="n">
        <x:f>'CAPEX'!FJ34</x:f>
      </x:c>
      <x:c r="FK19" s="117" t="n">
        <x:f>'CAPEX'!FK34</x:f>
      </x:c>
      <x:c r="FL19" s="117" t="n">
        <x:f>'CAPEX'!FL34</x:f>
      </x:c>
      <x:c r="FM19" s="117" t="n">
        <x:f>'CAPEX'!FM34</x:f>
      </x:c>
      <x:c r="FN19" s="117" t="n">
        <x:f>'CAPEX'!FN34</x:f>
      </x:c>
      <x:c r="FO19" s="117" t="n">
        <x:f>'CAPEX'!FO34</x:f>
      </x:c>
      <x:c r="FP19" s="117" t="n">
        <x:f>'CAPEX'!FP34</x:f>
      </x:c>
      <x:c r="FQ19" s="117" t="n">
        <x:f>'CAPEX'!FQ34</x:f>
      </x:c>
      <x:c r="FR19" s="117" t="n">
        <x:f>'CAPEX'!FR34</x:f>
      </x:c>
      <x:c r="FS19" s="117" t="n">
        <x:f>'CAPEX'!FS34</x:f>
      </x:c>
      <x:c r="FT19" s="117" t="n">
        <x:f>'CAPEX'!FT34</x:f>
      </x:c>
      <x:c r="FU19" s="117" t="n">
        <x:f>'CAPEX'!FU34</x:f>
      </x:c>
      <x:c r="FV19" s="117" t="n">
        <x:f>'CAPEX'!FV34</x:f>
      </x:c>
      <x:c r="FW19" s="117" t="n">
        <x:f>'CAPEX'!FW34</x:f>
      </x:c>
      <x:c r="FX19" s="117" t="n">
        <x:f>'CAPEX'!FX34</x:f>
      </x:c>
      <x:c r="FY19" s="117" t="n">
        <x:f>'CAPEX'!FY34</x:f>
      </x:c>
      <x:c r="FZ19" s="117" t="n">
        <x:f>'CAPEX'!FZ34</x:f>
      </x:c>
      <x:c r="GA19" s="117" t="n">
        <x:f>'CAPEX'!GA34</x:f>
      </x:c>
    </x:row>
    <x:row r="20">
      <x:c r="A20" s="113" t="str">
        <x:v>Расходы проекта всего</x:v>
      </x:c>
      <x:c r="B20" s="113" t="n">
        <x:f>SUM(D20:GA20)</x:f>
      </x:c>
      <x:c r="C20" s="113" t="str">
        <x:v>млн ₽</x:v>
      </x:c>
      <x:c r="D20" s="120" t="n">
        <x:f>SUM(D17:D19)</x:f>
      </x:c>
      <x:c r="E20" s="120" t="n">
        <x:f>SUM(E17:E19)</x:f>
      </x:c>
      <x:c r="F20" s="120" t="n">
        <x:f>SUM(F17:F19)</x:f>
      </x:c>
      <x:c r="G20" s="120" t="n">
        <x:f>SUM(G17:G19)</x:f>
      </x:c>
      <x:c r="H20" s="120" t="n">
        <x:f>SUM(H17:H19)</x:f>
      </x:c>
      <x:c r="I20" s="120" t="n">
        <x:f>SUM(I17:I19)</x:f>
      </x:c>
      <x:c r="J20" s="120" t="n">
        <x:f>SUM(J17:J19)</x:f>
      </x:c>
      <x:c r="K20" s="120" t="n">
        <x:f>SUM(K17:K19)</x:f>
      </x:c>
      <x:c r="L20" s="120" t="n">
        <x:f>SUM(L17:L19)</x:f>
      </x:c>
      <x:c r="M20" s="120" t="n">
        <x:f>SUM(M17:M19)</x:f>
      </x:c>
      <x:c r="N20" s="120" t="n">
        <x:f>SUM(N17:N19)</x:f>
      </x:c>
      <x:c r="O20" s="120" t="n">
        <x:f>SUM(O17:O19)</x:f>
      </x:c>
      <x:c r="P20" s="120" t="n">
        <x:f>SUM(P17:P19)</x:f>
      </x:c>
      <x:c r="Q20" s="120" t="n">
        <x:f>SUM(Q17:Q19)</x:f>
      </x:c>
      <x:c r="R20" s="120" t="n">
        <x:f>SUM(R17:R19)</x:f>
      </x:c>
      <x:c r="S20" s="120" t="n">
        <x:f>SUM(S17:S19)</x:f>
      </x:c>
      <x:c r="T20" s="120" t="n">
        <x:f>SUM(T17:T19)</x:f>
      </x:c>
      <x:c r="U20" s="120" t="n">
        <x:f>SUM(U17:U19)</x:f>
      </x:c>
      <x:c r="V20" s="120" t="n">
        <x:f>SUM(V17:V19)</x:f>
      </x:c>
      <x:c r="W20" s="120" t="n">
        <x:f>SUM(W17:W19)</x:f>
      </x:c>
      <x:c r="X20" s="120" t="n">
        <x:f>SUM(X17:X19)</x:f>
      </x:c>
      <x:c r="Y20" s="120" t="n">
        <x:f>SUM(Y17:Y19)</x:f>
      </x:c>
      <x:c r="Z20" s="120" t="n">
        <x:f>SUM(Z17:Z19)</x:f>
      </x:c>
      <x:c r="AA20" s="120" t="n">
        <x:f>SUM(AA17:AA19)</x:f>
      </x:c>
      <x:c r="AB20" s="120" t="n">
        <x:f>SUM(AB17:AB19)</x:f>
      </x:c>
      <x:c r="AC20" s="120" t="n">
        <x:f>SUM(AC17:AC19)</x:f>
      </x:c>
      <x:c r="AD20" s="120" t="n">
        <x:f>SUM(AD17:AD19)</x:f>
      </x:c>
      <x:c r="AE20" s="120" t="n">
        <x:f>SUM(AE17:AE19)</x:f>
      </x:c>
      <x:c r="AF20" s="120" t="n">
        <x:f>SUM(AF17:AF19)</x:f>
      </x:c>
      <x:c r="AG20" s="120" t="n">
        <x:f>SUM(AG17:AG19)</x:f>
      </x:c>
      <x:c r="AH20" s="120" t="n">
        <x:f>SUM(AH17:AH19)</x:f>
      </x:c>
      <x:c r="AI20" s="120" t="n">
        <x:f>SUM(AI17:AI19)</x:f>
      </x:c>
      <x:c r="AJ20" s="120" t="n">
        <x:f>SUM(AJ17:AJ19)</x:f>
      </x:c>
      <x:c r="AK20" s="120" t="n">
        <x:f>SUM(AK17:AK19)</x:f>
      </x:c>
      <x:c r="AL20" s="120" t="n">
        <x:f>SUM(AL17:AL19)</x:f>
      </x:c>
      <x:c r="AM20" s="120" t="n">
        <x:f>SUM(AM17:AM19)</x:f>
      </x:c>
      <x:c r="AN20" s="120" t="n">
        <x:f>SUM(AN17:AN19)</x:f>
      </x:c>
      <x:c r="AO20" s="120" t="n">
        <x:f>SUM(AO17:AO19)</x:f>
      </x:c>
      <x:c r="AP20" s="120" t="n">
        <x:f>SUM(AP17:AP19)</x:f>
      </x:c>
      <x:c r="AQ20" s="120" t="n">
        <x:f>SUM(AQ17:AQ19)</x:f>
      </x:c>
      <x:c r="AR20" s="120" t="n">
        <x:f>SUM(AR17:AR19)</x:f>
      </x:c>
      <x:c r="AS20" s="120" t="n">
        <x:f>SUM(AS17:AS19)</x:f>
      </x:c>
      <x:c r="AT20" s="120" t="n">
        <x:f>SUM(AT17:AT19)</x:f>
      </x:c>
      <x:c r="AU20" s="120" t="n">
        <x:f>SUM(AU17:AU19)</x:f>
      </x:c>
      <x:c r="AV20" s="120" t="n">
        <x:f>SUM(AV17:AV19)</x:f>
      </x:c>
      <x:c r="AW20" s="120" t="n">
        <x:f>SUM(AW17:AW19)</x:f>
      </x:c>
      <x:c r="AX20" s="120" t="n">
        <x:f>SUM(AX17:AX19)</x:f>
      </x:c>
      <x:c r="AY20" s="120" t="n">
        <x:f>SUM(AY17:AY19)</x:f>
      </x:c>
      <x:c r="AZ20" s="120" t="n">
        <x:f>SUM(AZ17:AZ19)</x:f>
      </x:c>
      <x:c r="BA20" s="120" t="n">
        <x:f>SUM(BA17:BA19)</x:f>
      </x:c>
      <x:c r="BB20" s="120" t="n">
        <x:f>SUM(BB17:BB19)</x:f>
      </x:c>
      <x:c r="BC20" s="120" t="n">
        <x:f>SUM(BC17:BC19)</x:f>
      </x:c>
      <x:c r="BD20" s="120" t="n">
        <x:f>SUM(BD17:BD19)</x:f>
      </x:c>
      <x:c r="BE20" s="120" t="n">
        <x:f>SUM(BE17:BE19)</x:f>
      </x:c>
      <x:c r="BF20" s="120" t="n">
        <x:f>SUM(BF17:BF19)</x:f>
      </x:c>
      <x:c r="BG20" s="120" t="n">
        <x:f>SUM(BG17:BG19)</x:f>
      </x:c>
      <x:c r="BH20" s="120" t="n">
        <x:f>SUM(BH17:BH19)</x:f>
      </x:c>
      <x:c r="BI20" s="120" t="n">
        <x:f>SUM(BI17:BI19)</x:f>
      </x:c>
      <x:c r="BJ20" s="120" t="n">
        <x:f>SUM(BJ17:BJ19)</x:f>
      </x:c>
      <x:c r="BK20" s="120" t="n">
        <x:f>SUM(BK17:BK19)</x:f>
      </x:c>
      <x:c r="BL20" s="120" t="n">
        <x:f>SUM(BL17:BL19)</x:f>
      </x:c>
      <x:c r="BM20" s="120" t="n">
        <x:f>SUM(BM17:BM19)</x:f>
      </x:c>
      <x:c r="BN20" s="120" t="n">
        <x:f>SUM(BN17:BN19)</x:f>
      </x:c>
      <x:c r="BO20" s="120" t="n">
        <x:f>SUM(BO17:BO19)</x:f>
      </x:c>
      <x:c r="BP20" s="120" t="n">
        <x:f>SUM(BP17:BP19)</x:f>
      </x:c>
      <x:c r="BQ20" s="120" t="n">
        <x:f>SUM(BQ17:BQ19)</x:f>
      </x:c>
      <x:c r="BR20" s="120" t="n">
        <x:f>SUM(BR17:BR19)</x:f>
      </x:c>
      <x:c r="BS20" s="120" t="n">
        <x:f>SUM(BS17:BS19)</x:f>
      </x:c>
      <x:c r="BT20" s="120" t="n">
        <x:f>SUM(BT17:BT19)</x:f>
      </x:c>
      <x:c r="BU20" s="120" t="n">
        <x:f>SUM(BU17:BU19)</x:f>
      </x:c>
      <x:c r="BV20" s="120" t="n">
        <x:f>SUM(BV17:BV19)</x:f>
      </x:c>
      <x:c r="BW20" s="120" t="n">
        <x:f>SUM(BW17:BW19)</x:f>
      </x:c>
      <x:c r="BX20" s="120" t="n">
        <x:f>SUM(BX17:BX19)</x:f>
      </x:c>
      <x:c r="BY20" s="120" t="n">
        <x:f>SUM(BY17:BY19)</x:f>
      </x:c>
      <x:c r="BZ20" s="120" t="n">
        <x:f>SUM(BZ17:BZ19)</x:f>
      </x:c>
      <x:c r="CA20" s="120" t="n">
        <x:f>SUM(CA17:CA19)</x:f>
      </x:c>
      <x:c r="CB20" s="120" t="n">
        <x:f>SUM(CB17:CB19)</x:f>
      </x:c>
      <x:c r="CC20" s="120" t="n">
        <x:f>SUM(CC17:CC19)</x:f>
      </x:c>
      <x:c r="CD20" s="120" t="n">
        <x:f>SUM(CD17:CD19)</x:f>
      </x:c>
      <x:c r="CE20" s="120" t="n">
        <x:f>SUM(CE17:CE19)</x:f>
      </x:c>
      <x:c r="CF20" s="120" t="n">
        <x:f>SUM(CF17:CF19)</x:f>
      </x:c>
      <x:c r="CG20" s="120" t="n">
        <x:f>SUM(CG17:CG19)</x:f>
      </x:c>
      <x:c r="CH20" s="120" t="n">
        <x:f>SUM(CH17:CH19)</x:f>
      </x:c>
      <x:c r="CI20" s="120" t="n">
        <x:f>SUM(CI17:CI19)</x:f>
      </x:c>
      <x:c r="CJ20" s="120" t="n">
        <x:f>SUM(CJ17:CJ19)</x:f>
      </x:c>
      <x:c r="CK20" s="120" t="n">
        <x:f>SUM(CK17:CK19)</x:f>
      </x:c>
      <x:c r="CL20" s="120" t="n">
        <x:f>SUM(CL17:CL19)</x:f>
      </x:c>
      <x:c r="CM20" s="120" t="n">
        <x:f>SUM(CM17:CM19)</x:f>
      </x:c>
      <x:c r="CN20" s="120" t="n">
        <x:f>SUM(CN17:CN19)</x:f>
      </x:c>
      <x:c r="CO20" s="120" t="n">
        <x:f>SUM(CO17:CO19)</x:f>
      </x:c>
      <x:c r="CP20" s="120" t="n">
        <x:f>SUM(CP17:CP19)</x:f>
      </x:c>
      <x:c r="CQ20" s="120" t="n">
        <x:f>SUM(CQ17:CQ19)</x:f>
      </x:c>
      <x:c r="CR20" s="120" t="n">
        <x:f>SUM(CR17:CR19)</x:f>
      </x:c>
      <x:c r="CS20" s="120" t="n">
        <x:f>SUM(CS17:CS19)</x:f>
      </x:c>
      <x:c r="CT20" s="120" t="n">
        <x:f>SUM(CT17:CT19)</x:f>
      </x:c>
      <x:c r="CU20" s="120" t="n">
        <x:f>SUM(CU17:CU19)</x:f>
      </x:c>
      <x:c r="CV20" s="120" t="n">
        <x:f>SUM(CV17:CV19)</x:f>
      </x:c>
      <x:c r="CW20" s="120" t="n">
        <x:f>SUM(CW17:CW19)</x:f>
      </x:c>
      <x:c r="CX20" s="120" t="n">
        <x:f>SUM(CX17:CX19)</x:f>
      </x:c>
      <x:c r="CY20" s="120" t="n">
        <x:f>SUM(CY17:CY19)</x:f>
      </x:c>
      <x:c r="CZ20" s="120" t="n">
        <x:f>SUM(CZ17:CZ19)</x:f>
      </x:c>
      <x:c r="DA20" s="120" t="n">
        <x:f>SUM(DA17:DA19)</x:f>
      </x:c>
      <x:c r="DB20" s="120" t="n">
        <x:f>SUM(DB17:DB19)</x:f>
      </x:c>
      <x:c r="DC20" s="120" t="n">
        <x:f>SUM(DC17:DC19)</x:f>
      </x:c>
      <x:c r="DD20" s="120" t="n">
        <x:f>SUM(DD17:DD19)</x:f>
      </x:c>
      <x:c r="DE20" s="120" t="n">
        <x:f>SUM(DE17:DE19)</x:f>
      </x:c>
      <x:c r="DF20" s="120" t="n">
        <x:f>SUM(DF17:DF19)</x:f>
      </x:c>
      <x:c r="DG20" s="120" t="n">
        <x:f>SUM(DG17:DG19)</x:f>
      </x:c>
      <x:c r="DH20" s="120" t="n">
        <x:f>SUM(DH17:DH19)</x:f>
      </x:c>
      <x:c r="DI20" s="120" t="n">
        <x:f>SUM(DI17:DI19)</x:f>
      </x:c>
      <x:c r="DJ20" s="120" t="n">
        <x:f>SUM(DJ17:DJ19)</x:f>
      </x:c>
      <x:c r="DK20" s="120" t="n">
        <x:f>SUM(DK17:DK19)</x:f>
      </x:c>
      <x:c r="DL20" s="120" t="n">
        <x:f>SUM(DL17:DL19)</x:f>
      </x:c>
      <x:c r="DM20" s="120" t="n">
        <x:f>SUM(DM17:DM19)</x:f>
      </x:c>
      <x:c r="DN20" s="120" t="n">
        <x:f>SUM(DN17:DN19)</x:f>
      </x:c>
      <x:c r="DO20" s="120" t="n">
        <x:f>SUM(DO17:DO19)</x:f>
      </x:c>
      <x:c r="DP20" s="120" t="n">
        <x:f>SUM(DP17:DP19)</x:f>
      </x:c>
      <x:c r="DQ20" s="120" t="n">
        <x:f>SUM(DQ17:DQ19)</x:f>
      </x:c>
      <x:c r="DR20" s="120" t="n">
        <x:f>SUM(DR17:DR19)</x:f>
      </x:c>
      <x:c r="DS20" s="120" t="n">
        <x:f>SUM(DS17:DS19)</x:f>
      </x:c>
      <x:c r="DT20" s="120" t="n">
        <x:f>SUM(DT17:DT19)</x:f>
      </x:c>
      <x:c r="DU20" s="120" t="n">
        <x:f>SUM(DU17:DU19)</x:f>
      </x:c>
      <x:c r="DV20" s="120" t="n">
        <x:f>SUM(DV17:DV19)</x:f>
      </x:c>
      <x:c r="DW20" s="120" t="n">
        <x:f>SUM(DW17:DW19)</x:f>
      </x:c>
      <x:c r="DX20" s="120" t="n">
        <x:f>SUM(DX17:DX19)</x:f>
      </x:c>
      <x:c r="DY20" s="120" t="n">
        <x:f>SUM(DY17:DY19)</x:f>
      </x:c>
      <x:c r="DZ20" s="120" t="n">
        <x:f>SUM(DZ17:DZ19)</x:f>
      </x:c>
      <x:c r="EA20" s="120" t="n">
        <x:f>SUM(EA17:EA19)</x:f>
      </x:c>
      <x:c r="EB20" s="120" t="n">
        <x:f>SUM(EB17:EB19)</x:f>
      </x:c>
      <x:c r="EC20" s="120" t="n">
        <x:f>SUM(EC17:EC19)</x:f>
      </x:c>
      <x:c r="ED20" s="120" t="n">
        <x:f>SUM(ED17:ED19)</x:f>
      </x:c>
      <x:c r="EE20" s="120" t="n">
        <x:f>SUM(EE17:EE19)</x:f>
      </x:c>
      <x:c r="EF20" s="120" t="n">
        <x:f>SUM(EF17:EF19)</x:f>
      </x:c>
      <x:c r="EG20" s="120" t="n">
        <x:f>SUM(EG17:EG19)</x:f>
      </x:c>
      <x:c r="EH20" s="120" t="n">
        <x:f>SUM(EH17:EH19)</x:f>
      </x:c>
      <x:c r="EI20" s="120" t="n">
        <x:f>SUM(EI17:EI19)</x:f>
      </x:c>
      <x:c r="EJ20" s="120" t="n">
        <x:f>SUM(EJ17:EJ19)</x:f>
      </x:c>
      <x:c r="EK20" s="120" t="n">
        <x:f>SUM(EK17:EK19)</x:f>
      </x:c>
      <x:c r="EL20" s="120" t="n">
        <x:f>SUM(EL17:EL19)</x:f>
      </x:c>
      <x:c r="EM20" s="120" t="n">
        <x:f>SUM(EM17:EM19)</x:f>
      </x:c>
      <x:c r="EN20" s="120" t="n">
        <x:f>SUM(EN17:EN19)</x:f>
      </x:c>
      <x:c r="EO20" s="120" t="n">
        <x:f>SUM(EO17:EO19)</x:f>
      </x:c>
      <x:c r="EP20" s="120" t="n">
        <x:f>SUM(EP17:EP19)</x:f>
      </x:c>
      <x:c r="EQ20" s="120" t="n">
        <x:f>SUM(EQ17:EQ19)</x:f>
      </x:c>
      <x:c r="ER20" s="120" t="n">
        <x:f>SUM(ER17:ER19)</x:f>
      </x:c>
      <x:c r="ES20" s="120" t="n">
        <x:f>SUM(ES17:ES19)</x:f>
      </x:c>
      <x:c r="ET20" s="120" t="n">
        <x:f>SUM(ET17:ET19)</x:f>
      </x:c>
      <x:c r="EU20" s="120" t="n">
        <x:f>SUM(EU17:EU19)</x:f>
      </x:c>
      <x:c r="EV20" s="120" t="n">
        <x:f>SUM(EV17:EV19)</x:f>
      </x:c>
      <x:c r="EW20" s="120" t="n">
        <x:f>SUM(EW17:EW19)</x:f>
      </x:c>
      <x:c r="EX20" s="120" t="n">
        <x:f>SUM(EX17:EX19)</x:f>
      </x:c>
      <x:c r="EY20" s="120" t="n">
        <x:f>SUM(EY17:EY19)</x:f>
      </x:c>
      <x:c r="EZ20" s="120" t="n">
        <x:f>SUM(EZ17:EZ19)</x:f>
      </x:c>
      <x:c r="FA20" s="120" t="n">
        <x:f>SUM(FA17:FA19)</x:f>
      </x:c>
      <x:c r="FB20" s="120" t="n">
        <x:f>SUM(FB17:FB19)</x:f>
      </x:c>
      <x:c r="FC20" s="120" t="n">
        <x:f>SUM(FC17:FC19)</x:f>
      </x:c>
      <x:c r="FD20" s="120" t="n">
        <x:f>SUM(FD17:FD19)</x:f>
      </x:c>
      <x:c r="FE20" s="120" t="n">
        <x:f>SUM(FE17:FE19)</x:f>
      </x:c>
      <x:c r="FF20" s="120" t="n">
        <x:f>SUM(FF17:FF19)</x:f>
      </x:c>
      <x:c r="FG20" s="120" t="n">
        <x:f>SUM(FG17:FG19)</x:f>
      </x:c>
      <x:c r="FH20" s="120" t="n">
        <x:f>SUM(FH17:FH19)</x:f>
      </x:c>
      <x:c r="FI20" s="120" t="n">
        <x:f>SUM(FI17:FI19)</x:f>
      </x:c>
      <x:c r="FJ20" s="120" t="n">
        <x:f>SUM(FJ17:FJ19)</x:f>
      </x:c>
      <x:c r="FK20" s="120" t="n">
        <x:f>SUM(FK17:FK19)</x:f>
      </x:c>
      <x:c r="FL20" s="120" t="n">
        <x:f>SUM(FL17:FL19)</x:f>
      </x:c>
      <x:c r="FM20" s="120" t="n">
        <x:f>SUM(FM17:FM19)</x:f>
      </x:c>
      <x:c r="FN20" s="120" t="n">
        <x:f>SUM(FN17:FN19)</x:f>
      </x:c>
      <x:c r="FO20" s="120" t="n">
        <x:f>SUM(FO17:FO19)</x:f>
      </x:c>
      <x:c r="FP20" s="120" t="n">
        <x:f>SUM(FP17:FP19)</x:f>
      </x:c>
      <x:c r="FQ20" s="120" t="n">
        <x:f>SUM(FQ17:FQ19)</x:f>
      </x:c>
      <x:c r="FR20" s="120" t="n">
        <x:f>SUM(FR17:FR19)</x:f>
      </x:c>
      <x:c r="FS20" s="120" t="n">
        <x:f>SUM(FS17:FS19)</x:f>
      </x:c>
      <x:c r="FT20" s="120" t="n">
        <x:f>SUM(FT17:FT19)</x:f>
      </x:c>
      <x:c r="FU20" s="120" t="n">
        <x:f>SUM(FU17:FU19)</x:f>
      </x:c>
      <x:c r="FV20" s="120" t="n">
        <x:f>SUM(FV17:FV19)</x:f>
      </x:c>
      <x:c r="FW20" s="120" t="n">
        <x:f>SUM(FW17:FW19)</x:f>
      </x:c>
      <x:c r="FX20" s="120" t="n">
        <x:f>SUM(FX17:FX19)</x:f>
      </x:c>
      <x:c r="FY20" s="120" t="n">
        <x:f>SUM(FY17:FY19)</x:f>
      </x:c>
      <x:c r="FZ20" s="120" t="n">
        <x:f>SUM(FZ17:FZ19)</x:f>
      </x:c>
      <x:c r="GA20" s="120" t="n">
        <x:f>SUM(GA17:GA19)</x:f>
      </x:c>
    </x:row>
    <x:row r="21">
      <x:c r="A21" t="str">
        <x:v>НДС к уплате</x:v>
      </x:c>
      <x:c r="B21" t="n">
        <x:f>SUM(D21:GA21)</x:f>
      </x:c>
      <x:c r="C21" t="str">
        <x:v>млн ₽</x:v>
      </x:c>
      <x:c r="D21" s="117" t="n">
        <x:f>IF(D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E21" s="117" t="n">
        <x:f>IF(E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F21" s="117" t="n">
        <x:f>IF(F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G21" s="117" t="n">
        <x:f>IF(G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H21" s="117" t="n">
        <x:f>IF(H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I21" s="117" t="n">
        <x:f>IF(I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J21" s="117" t="n">
        <x:f>IF(J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K21" s="117" t="n">
        <x:f>IF(K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L21" s="117" t="n">
        <x:f>IF(L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M21" s="117" t="n">
        <x:f>IF(M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N21" s="117" t="n">
        <x:f>IF(N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O21" s="117" t="n">
        <x:f>IF(O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P21" s="117" t="n">
        <x:f>IF(P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Q21" s="117" t="n">
        <x:f>IF(Q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R21" s="117" t="n">
        <x:f>IF(R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S21" s="117" t="n">
        <x:f>IF(S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T21" s="117" t="n">
        <x:f>IF(T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U21" s="117" t="n">
        <x:f>IF(U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V21" s="117" t="n">
        <x:f>IF(V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W21" s="117" t="n">
        <x:f>IF(W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X21" s="117" t="n">
        <x:f>IF(X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Y21" s="117" t="n">
        <x:f>IF(Y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Z21" s="117" t="n">
        <x:f>IF(Z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AA21" s="117" t="n">
        <x:f>IF(AA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AB21" s="117" t="n">
        <x:f>IF(AB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AC21" s="117" t="n">
        <x:f>IF(AC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AD21" s="117" t="n">
        <x:f>IF(AD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AE21" s="117" t="n">
        <x:f>IF(AE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AF21" s="117" t="n">
        <x:f>IF(AF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AG21" s="117" t="n">
        <x:f>IF(AG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AH21" s="117" t="n">
        <x:f>IF(AH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AI21" s="117" t="n">
        <x:f>IF(AI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AJ21" s="117" t="n">
        <x:f>IF(AJ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AK21" s="117" t="n">
        <x:f>IF(AK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AL21" s="117" t="n">
        <x:f>IF(AL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AM21" s="117" t="n">
        <x:f>IF(AM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AN21" s="117" t="n">
        <x:f>IF(AN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AO21" s="117" t="n">
        <x:f>IF(AO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AP21" s="117" t="n">
        <x:f>IF(AP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AQ21" s="117" t="n">
        <x:f>IF(AQ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AR21" s="117" t="n">
        <x:f>IF(AR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AS21" s="117" t="n">
        <x:f>IF(AS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AT21" s="117" t="n">
        <x:f>IF(AT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AU21" s="117" t="n">
        <x:f>IF(AU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AV21" s="117" t="n">
        <x:f>IF(AV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AW21" s="117" t="n">
        <x:f>IF(AW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AX21" s="117" t="n">
        <x:f>IF(AX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AY21" s="117" t="n">
        <x:f>IF(AY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AZ21" s="117" t="n">
        <x:f>IF(AZ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BA21" s="117" t="n">
        <x:f>IF(BA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BB21" s="117" t="n">
        <x:f>IF(BB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BC21" s="117" t="n">
        <x:f>IF(BC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BD21" s="117" t="n">
        <x:f>IF(BD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BE21" s="117" t="n">
        <x:f>IF(BE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BF21" s="117" t="n">
        <x:f>IF(BF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BG21" s="117" t="n">
        <x:f>IF(BG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BH21" s="117" t="n">
        <x:f>IF(BH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BI21" s="117" t="n">
        <x:f>IF(BI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BJ21" s="117" t="n">
        <x:f>IF(BJ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BK21" s="117" t="n">
        <x:f>IF(BK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BL21" s="117" t="n">
        <x:f>IF(BL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BM21" s="117" t="n">
        <x:f>IF(BM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BN21" s="117" t="n">
        <x:f>IF(BN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BO21" s="117" t="n">
        <x:f>IF(BO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BP21" s="117" t="n">
        <x:f>IF(BP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BQ21" s="117" t="n">
        <x:f>IF(BQ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BR21" s="117" t="n">
        <x:f>IF(BR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BS21" s="117" t="n">
        <x:f>IF(BS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BT21" s="117" t="n">
        <x:f>IF(BT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BU21" s="117" t="n">
        <x:f>IF(BU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BV21" s="117" t="n">
        <x:f>IF(BV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BW21" s="117" t="n">
        <x:f>IF(BW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BX21" s="117" t="n">
        <x:f>IF(BX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BY21" s="117" t="n">
        <x:f>IF(BY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BZ21" s="117" t="n">
        <x:f>IF(BZ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CA21" s="117" t="n">
        <x:f>IF(CA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CB21" s="117" t="n">
        <x:f>IF(CB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CC21" s="117" t="n">
        <x:f>IF(CC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CD21" s="117" t="n">
        <x:f>IF(CD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CE21" s="117" t="n">
        <x:f>IF(CE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CF21" s="117" t="n">
        <x:f>IF(CF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CG21" s="117" t="n">
        <x:f>IF(CG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CH21" s="117" t="n">
        <x:f>IF(CH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CI21" s="117" t="n">
        <x:f>IF(CI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CJ21" s="117" t="n">
        <x:f>IF(CJ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CK21" s="117" t="n">
        <x:f>IF(CK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CL21" s="117" t="n">
        <x:f>IF(CL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CM21" s="117" t="n">
        <x:f>IF(CM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CN21" s="117" t="n">
        <x:f>IF(CN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CO21" s="117" t="n">
        <x:f>IF(CO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CP21" s="117" t="n">
        <x:f>IF(CP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CQ21" s="117" t="n">
        <x:f>IF(CQ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CR21" s="117" t="n">
        <x:f>IF(CR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CS21" s="117" t="n">
        <x:f>IF(CS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CT21" s="117" t="n">
        <x:f>IF(CT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CU21" s="117" t="n">
        <x:f>IF(CU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CV21" s="117" t="n">
        <x:f>IF(CV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CW21" s="117" t="n">
        <x:f>IF(CW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CX21" s="117" t="n">
        <x:f>IF(CX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CY21" s="117" t="n">
        <x:f>IF(CY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CZ21" s="117" t="n">
        <x:f>IF(CZ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DA21" s="117" t="n">
        <x:f>IF(DA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DB21" s="117" t="n">
        <x:f>IF(DB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DC21" s="117" t="n">
        <x:f>IF(DC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DD21" s="117" t="n">
        <x:f>IF(DD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DE21" s="117" t="n">
        <x:f>IF(DE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DF21" s="117" t="n">
        <x:f>IF(DF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DG21" s="117" t="n">
        <x:f>IF(DG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DH21" s="117" t="n">
        <x:f>IF(DH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DI21" s="117" t="n">
        <x:f>IF(DI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DJ21" s="117" t="n">
        <x:f>IF(DJ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DK21" s="117" t="n">
        <x:f>IF(DK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DL21" s="117" t="n">
        <x:f>IF(DL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DM21" s="117" t="n">
        <x:f>IF(DM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DN21" s="117" t="n">
        <x:f>IF(DN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DO21" s="117" t="n">
        <x:f>IF(DO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DP21" s="117" t="n">
        <x:f>IF(DP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DQ21" s="117" t="n">
        <x:f>IF(DQ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DR21" s="117" t="n">
        <x:f>IF(DR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DS21" s="117" t="n">
        <x:f>IF(DS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DT21" s="117" t="n">
        <x:f>IF(DT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DU21" s="117" t="n">
        <x:f>IF(DU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DV21" s="117" t="n">
        <x:f>IF(DV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DW21" s="117" t="n">
        <x:f>IF(DW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DX21" s="117" t="n">
        <x:f>IF(DX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DY21" s="117" t="n">
        <x:f>IF(DY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DZ21" s="117" t="n">
        <x:f>IF(DZ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EA21" s="117" t="n">
        <x:f>IF(EA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EB21" s="117" t="n">
        <x:f>IF(EB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EC21" s="117" t="n">
        <x:f>IF(EC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ED21" s="117" t="n">
        <x:f>IF(ED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EE21" s="117" t="n">
        <x:f>IF(EE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EF21" s="117" t="n">
        <x:f>IF(EF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EG21" s="117" t="n">
        <x:f>IF(EG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EH21" s="117" t="n">
        <x:f>IF(EH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EI21" s="117" t="n">
        <x:f>IF(EI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EJ21" s="117" t="n">
        <x:f>IF(EJ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EK21" s="117" t="n">
        <x:f>IF(EK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EL21" s="117" t="n">
        <x:f>IF(EL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EM21" s="117" t="n">
        <x:f>IF(EM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EN21" s="117" t="n">
        <x:f>IF(EN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EO21" s="117" t="n">
        <x:f>IF(EO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EP21" s="117" t="n">
        <x:f>IF(EP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EQ21" s="117" t="n">
        <x:f>IF(EQ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ER21" s="117" t="n">
        <x:f>IF(ER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ES21" s="117" t="n">
        <x:f>IF(ES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ET21" s="117" t="n">
        <x:f>IF(ET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EU21" s="117" t="n">
        <x:f>IF(EU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EV21" s="117" t="n">
        <x:f>IF(EV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EW21" s="117" t="n">
        <x:f>IF(EW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EX21" s="117" t="n">
        <x:f>IF(EX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EY21" s="117" t="n">
        <x:f>IF(EY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EZ21" s="117" t="n">
        <x:f>IF(EZ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FA21" s="117" t="n">
        <x:f>IF(FA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FB21" s="117" t="n">
        <x:f>IF(FB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FC21" s="117" t="n">
        <x:f>IF(FC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FD21" s="117" t="n">
        <x:f>IF(FD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FE21" s="117" t="n">
        <x:f>IF(FE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FF21" s="117" t="n">
        <x:f>IF(FF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FG21" s="117" t="n">
        <x:f>IF(FG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FH21" s="117" t="n">
        <x:f>IF(FH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FI21" s="117" t="n">
        <x:f>IF(FI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FJ21" s="117" t="n">
        <x:f>IF(FJ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FK21" s="117" t="n">
        <x:f>IF(FK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FL21" s="117" t="n">
        <x:f>IF(FL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FM21" s="117" t="n">
        <x:f>IF(FM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FN21" s="117" t="n">
        <x:f>IF(FN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FO21" s="117" t="n">
        <x:f>IF(FO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FP21" s="117" t="n">
        <x:f>IF(FP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FQ21" s="117" t="n">
        <x:f>IF(FQ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FR21" s="117" t="n">
        <x:f>IF(FR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FS21" s="117" t="n">
        <x:f>IF(FS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FT21" s="117" t="n">
        <x:f>IF(FT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FU21" s="117" t="n">
        <x:f>IF(FU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FV21" s="117" t="n">
        <x:f>IF(FV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FW21" s="117" t="n">
        <x:f>IF(FW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FX21" s="117" t="n">
        <x:f>IF(FX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FY21" s="117" t="n">
        <x:f>IF(FY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FZ21" s="117" t="n">
        <x:f>IF(FZ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  <x:c r="GA21" s="117" t="n">
        <x:f>IF(GA$3=$B$8,MAX(0,(SUM($D$10:$GA$10)-SUM('Продажи'!$D$16:$GA$16))*('Вводные'!$B$22/(1+'Вводные'!$B$22))-(SUM($D$20:$GA$20)-'Вводные'!$B$15*'Вводные'!$P$88-'Вводные'!$B$16*'Вводные'!$Q$88)*('Вводные'!$B$22/(1+'Вводные'!$B$22))*IFERROR((SUM($D$10:$GA$10)-SUM('Продажи'!$D$16:$GA$16))/SUM($D$10:$GA$10),0)),0)</x:f>
      </x:c>
    </x:row>
    <x:row r="22">
      <x:c r="A22" t="str">
        <x:v>Налоговая прибыль текущего месяца</x:v>
      </x:c>
      <x:c r="B22"/>
      <x:c r="C22" t="str">
        <x:v>млн ₽</x:v>
      </x:c>
      <x:c r="D22" s="117">
        <x:f>D10-IFERROR((SUM($D$20:$GA$20)-'ОБЪЕКТЫ'!$B$96)*('Продажи'!D14+'Продажи'!D17+'Продажи'!D20+'Продажи'!D23)/(SUM('Продажи'!$D$14:$GA$14)+SUM('Продажи'!$D$17:$GA$17)+SUM('Продажи'!$D$20:$GA$20)+SUM('Продажи'!$D$23:$GA$23)),0)-IF('ОБЪЕКТЫ'!$B$8=1,IFERROR('ОБЪЕКТЫ'!$B$28*'ОБЪЕКТЫ'!D22/'ОБЪЕКТЫ'!$B$22,0),0)-IF('ОБЪЕКТЫ'!$B$36=1,IFERROR('ОБЪЕКТЫ'!$B$56*'ОБЪЕКТЫ'!D50/'ОБЪЕКТЫ'!$B$50,0),0)-IF('ОБЪЕКТЫ'!$B$64=1,IFERROR('ОБЪЕКТЫ'!$B$84*'ОБЪЕКТЫ'!D78/'ОБЪЕКТЫ'!$B$78,0),0)-D53-D57-D21</x:f>
      </x:c>
      <x:c r="E22" s="117">
        <x:f>E10-IFERROR((SUM($D$20:$GA$20)-'ОБЪЕКТЫ'!$B$96)*('Продажи'!E14+'Продажи'!E17+'Продажи'!E20+'Продажи'!E23)/(SUM('Продажи'!$D$14:$GA$14)+SUM('Продажи'!$D$17:$GA$17)+SUM('Продажи'!$D$20:$GA$20)+SUM('Продажи'!$D$23:$GA$23)),0)-IF('ОБЪЕКТЫ'!$B$8=1,IFERROR('ОБЪЕКТЫ'!$B$28*'ОБЪЕКТЫ'!E22/'ОБЪЕКТЫ'!$B$22,0),0)-IF('ОБЪЕКТЫ'!$B$36=1,IFERROR('ОБЪЕКТЫ'!$B$56*'ОБЪЕКТЫ'!E50/'ОБЪЕКТЫ'!$B$50,0),0)-IF('ОБЪЕКТЫ'!$B$64=1,IFERROR('ОБЪЕКТЫ'!$B$84*'ОБЪЕКТЫ'!E78/'ОБЪЕКТЫ'!$B$78,0),0)-E53-E57-E21</x:f>
      </x:c>
      <x:c r="F22" s="117">
        <x:f>F10-IFERROR((SUM($D$20:$GA$20)-'ОБЪЕКТЫ'!$B$96)*('Продажи'!F14+'Продажи'!F17+'Продажи'!F20+'Продажи'!F23)/(SUM('Продажи'!$D$14:$GA$14)+SUM('Продажи'!$D$17:$GA$17)+SUM('Продажи'!$D$20:$GA$20)+SUM('Продажи'!$D$23:$GA$23)),0)-IF('ОБЪЕКТЫ'!$B$8=1,IFERROR('ОБЪЕКТЫ'!$B$28*'ОБЪЕКТЫ'!F22/'ОБЪЕКТЫ'!$B$22,0),0)-IF('ОБЪЕКТЫ'!$B$36=1,IFERROR('ОБЪЕКТЫ'!$B$56*'ОБЪЕКТЫ'!F50/'ОБЪЕКТЫ'!$B$50,0),0)-IF('ОБЪЕКТЫ'!$B$64=1,IFERROR('ОБЪЕКТЫ'!$B$84*'ОБЪЕКТЫ'!F78/'ОБЪЕКТЫ'!$B$78,0),0)-F53-F57-F21</x:f>
      </x:c>
      <x:c r="G22" s="117">
        <x:f>G10-IFERROR((SUM($D$20:$GA$20)-'ОБЪЕКТЫ'!$B$96)*('Продажи'!G14+'Продажи'!G17+'Продажи'!G20+'Продажи'!G23)/(SUM('Продажи'!$D$14:$GA$14)+SUM('Продажи'!$D$17:$GA$17)+SUM('Продажи'!$D$20:$GA$20)+SUM('Продажи'!$D$23:$GA$23)),0)-IF('ОБЪЕКТЫ'!$B$8=1,IFERROR('ОБЪЕКТЫ'!$B$28*'ОБЪЕКТЫ'!G22/'ОБЪЕКТЫ'!$B$22,0),0)-IF('ОБЪЕКТЫ'!$B$36=1,IFERROR('ОБЪЕКТЫ'!$B$56*'ОБЪЕКТЫ'!G50/'ОБЪЕКТЫ'!$B$50,0),0)-IF('ОБЪЕКТЫ'!$B$64=1,IFERROR('ОБЪЕКТЫ'!$B$84*'ОБЪЕКТЫ'!G78/'ОБЪЕКТЫ'!$B$78,0),0)-G53-G57-G21</x:f>
      </x:c>
      <x:c r="H22" s="117">
        <x:f>H10-IFERROR((SUM($D$20:$GA$20)-'ОБЪЕКТЫ'!$B$96)*('Продажи'!H14+'Продажи'!H17+'Продажи'!H20+'Продажи'!H23)/(SUM('Продажи'!$D$14:$GA$14)+SUM('Продажи'!$D$17:$GA$17)+SUM('Продажи'!$D$20:$GA$20)+SUM('Продажи'!$D$23:$GA$23)),0)-IF('ОБЪЕКТЫ'!$B$8=1,IFERROR('ОБЪЕКТЫ'!$B$28*'ОБЪЕКТЫ'!H22/'ОБЪЕКТЫ'!$B$22,0),0)-IF('ОБЪЕКТЫ'!$B$36=1,IFERROR('ОБЪЕКТЫ'!$B$56*'ОБЪЕКТЫ'!H50/'ОБЪЕКТЫ'!$B$50,0),0)-IF('ОБЪЕКТЫ'!$B$64=1,IFERROR('ОБЪЕКТЫ'!$B$84*'ОБЪЕКТЫ'!H78/'ОБЪЕКТЫ'!$B$78,0),0)-H53-H57-H21</x:f>
      </x:c>
      <x:c r="I22" s="117">
        <x:f>I10-IFERROR((SUM($D$20:$GA$20)-'ОБЪЕКТЫ'!$B$96)*('Продажи'!I14+'Продажи'!I17+'Продажи'!I20+'Продажи'!I23)/(SUM('Продажи'!$D$14:$GA$14)+SUM('Продажи'!$D$17:$GA$17)+SUM('Продажи'!$D$20:$GA$20)+SUM('Продажи'!$D$23:$GA$23)),0)-IF('ОБЪЕКТЫ'!$B$8=1,IFERROR('ОБЪЕКТЫ'!$B$28*'ОБЪЕКТЫ'!I22/'ОБЪЕКТЫ'!$B$22,0),0)-IF('ОБЪЕКТЫ'!$B$36=1,IFERROR('ОБЪЕКТЫ'!$B$56*'ОБЪЕКТЫ'!I50/'ОБЪЕКТЫ'!$B$50,0),0)-IF('ОБЪЕКТЫ'!$B$64=1,IFERROR('ОБЪЕКТЫ'!$B$84*'ОБЪЕКТЫ'!I78/'ОБЪЕКТЫ'!$B$78,0),0)-I53-I57-I21</x:f>
      </x:c>
      <x:c r="J22" s="117">
        <x:f>J10-IFERROR((SUM($D$20:$GA$20)-'ОБЪЕКТЫ'!$B$96)*('Продажи'!J14+'Продажи'!J17+'Продажи'!J20+'Продажи'!J23)/(SUM('Продажи'!$D$14:$GA$14)+SUM('Продажи'!$D$17:$GA$17)+SUM('Продажи'!$D$20:$GA$20)+SUM('Продажи'!$D$23:$GA$23)),0)-IF('ОБЪЕКТЫ'!$B$8=1,IFERROR('ОБЪЕКТЫ'!$B$28*'ОБЪЕКТЫ'!J22/'ОБЪЕКТЫ'!$B$22,0),0)-IF('ОБЪЕКТЫ'!$B$36=1,IFERROR('ОБЪЕКТЫ'!$B$56*'ОБЪЕКТЫ'!J50/'ОБЪЕКТЫ'!$B$50,0),0)-IF('ОБЪЕКТЫ'!$B$64=1,IFERROR('ОБЪЕКТЫ'!$B$84*'ОБЪЕКТЫ'!J78/'ОБЪЕКТЫ'!$B$78,0),0)-J53-J57-J21</x:f>
      </x:c>
      <x:c r="K22" s="117">
        <x:f>K10-IFERROR((SUM($D$20:$GA$20)-'ОБЪЕКТЫ'!$B$96)*('Продажи'!K14+'Продажи'!K17+'Продажи'!K20+'Продажи'!K23)/(SUM('Продажи'!$D$14:$GA$14)+SUM('Продажи'!$D$17:$GA$17)+SUM('Продажи'!$D$20:$GA$20)+SUM('Продажи'!$D$23:$GA$23)),0)-IF('ОБЪЕКТЫ'!$B$8=1,IFERROR('ОБЪЕКТЫ'!$B$28*'ОБЪЕКТЫ'!K22/'ОБЪЕКТЫ'!$B$22,0),0)-IF('ОБЪЕКТЫ'!$B$36=1,IFERROR('ОБЪЕКТЫ'!$B$56*'ОБЪЕКТЫ'!K50/'ОБЪЕКТЫ'!$B$50,0),0)-IF('ОБЪЕКТЫ'!$B$64=1,IFERROR('ОБЪЕКТЫ'!$B$84*'ОБЪЕКТЫ'!K78/'ОБЪЕКТЫ'!$B$78,0),0)-K53-K57-K21</x:f>
      </x:c>
      <x:c r="L22" s="117">
        <x:f>L10-IFERROR((SUM($D$20:$GA$20)-'ОБЪЕКТЫ'!$B$96)*('Продажи'!L14+'Продажи'!L17+'Продажи'!L20+'Продажи'!L23)/(SUM('Продажи'!$D$14:$GA$14)+SUM('Продажи'!$D$17:$GA$17)+SUM('Продажи'!$D$20:$GA$20)+SUM('Продажи'!$D$23:$GA$23)),0)-IF('ОБЪЕКТЫ'!$B$8=1,IFERROR('ОБЪЕКТЫ'!$B$28*'ОБЪЕКТЫ'!L22/'ОБЪЕКТЫ'!$B$22,0),0)-IF('ОБЪЕКТЫ'!$B$36=1,IFERROR('ОБЪЕКТЫ'!$B$56*'ОБЪЕКТЫ'!L50/'ОБЪЕКТЫ'!$B$50,0),0)-IF('ОБЪЕКТЫ'!$B$64=1,IFERROR('ОБЪЕКТЫ'!$B$84*'ОБЪЕКТЫ'!L78/'ОБЪЕКТЫ'!$B$78,0),0)-L53-L57-L21</x:f>
      </x:c>
      <x:c r="M22" s="117">
        <x:f>M10-IFERROR((SUM($D$20:$GA$20)-'ОБЪЕКТЫ'!$B$96)*('Продажи'!M14+'Продажи'!M17+'Продажи'!M20+'Продажи'!M23)/(SUM('Продажи'!$D$14:$GA$14)+SUM('Продажи'!$D$17:$GA$17)+SUM('Продажи'!$D$20:$GA$20)+SUM('Продажи'!$D$23:$GA$23)),0)-IF('ОБЪЕКТЫ'!$B$8=1,IFERROR('ОБЪЕКТЫ'!$B$28*'ОБЪЕКТЫ'!M22/'ОБЪЕКТЫ'!$B$22,0),0)-IF('ОБЪЕКТЫ'!$B$36=1,IFERROR('ОБЪЕКТЫ'!$B$56*'ОБЪЕКТЫ'!M50/'ОБЪЕКТЫ'!$B$50,0),0)-IF('ОБЪЕКТЫ'!$B$64=1,IFERROR('ОБЪЕКТЫ'!$B$84*'ОБЪЕКТЫ'!M78/'ОБЪЕКТЫ'!$B$78,0),0)-M53-M57-M21</x:f>
      </x:c>
      <x:c r="N22" s="117">
        <x:f>N10-IFERROR((SUM($D$20:$GA$20)-'ОБЪЕКТЫ'!$B$96)*('Продажи'!N14+'Продажи'!N17+'Продажи'!N20+'Продажи'!N23)/(SUM('Продажи'!$D$14:$GA$14)+SUM('Продажи'!$D$17:$GA$17)+SUM('Продажи'!$D$20:$GA$20)+SUM('Продажи'!$D$23:$GA$23)),0)-IF('ОБЪЕКТЫ'!$B$8=1,IFERROR('ОБЪЕКТЫ'!$B$28*'ОБЪЕКТЫ'!N22/'ОБЪЕКТЫ'!$B$22,0),0)-IF('ОБЪЕКТЫ'!$B$36=1,IFERROR('ОБЪЕКТЫ'!$B$56*'ОБЪЕКТЫ'!N50/'ОБЪЕКТЫ'!$B$50,0),0)-IF('ОБЪЕКТЫ'!$B$64=1,IFERROR('ОБЪЕКТЫ'!$B$84*'ОБЪЕКТЫ'!N78/'ОБЪЕКТЫ'!$B$78,0),0)-N53-N57-N21</x:f>
      </x:c>
      <x:c r="O22" s="117">
        <x:f>O10-IFERROR((SUM($D$20:$GA$20)-'ОБЪЕКТЫ'!$B$96)*('Продажи'!O14+'Продажи'!O17+'Продажи'!O20+'Продажи'!O23)/(SUM('Продажи'!$D$14:$GA$14)+SUM('Продажи'!$D$17:$GA$17)+SUM('Продажи'!$D$20:$GA$20)+SUM('Продажи'!$D$23:$GA$23)),0)-IF('ОБЪЕКТЫ'!$B$8=1,IFERROR('ОБЪЕКТЫ'!$B$28*'ОБЪЕКТЫ'!O22/'ОБЪЕКТЫ'!$B$22,0),0)-IF('ОБЪЕКТЫ'!$B$36=1,IFERROR('ОБЪЕКТЫ'!$B$56*'ОБЪЕКТЫ'!O50/'ОБЪЕКТЫ'!$B$50,0),0)-IF('ОБЪЕКТЫ'!$B$64=1,IFERROR('ОБЪЕКТЫ'!$B$84*'ОБЪЕКТЫ'!O78/'ОБЪЕКТЫ'!$B$78,0),0)-O53-O57-O21</x:f>
      </x:c>
      <x:c r="P22" s="117">
        <x:f>P10-IFERROR((SUM($D$20:$GA$20)-'ОБЪЕКТЫ'!$B$96)*('Продажи'!P14+'Продажи'!P17+'Продажи'!P20+'Продажи'!P23)/(SUM('Продажи'!$D$14:$GA$14)+SUM('Продажи'!$D$17:$GA$17)+SUM('Продажи'!$D$20:$GA$20)+SUM('Продажи'!$D$23:$GA$23)),0)-IF('ОБЪЕКТЫ'!$B$8=1,IFERROR('ОБЪЕКТЫ'!$B$28*'ОБЪЕКТЫ'!P22/'ОБЪЕКТЫ'!$B$22,0),0)-IF('ОБЪЕКТЫ'!$B$36=1,IFERROR('ОБЪЕКТЫ'!$B$56*'ОБЪЕКТЫ'!P50/'ОБЪЕКТЫ'!$B$50,0),0)-IF('ОБЪЕКТЫ'!$B$64=1,IFERROR('ОБЪЕКТЫ'!$B$84*'ОБЪЕКТЫ'!P78/'ОБЪЕКТЫ'!$B$78,0),0)-P53-P57-P21</x:f>
      </x:c>
      <x:c r="Q22" s="117">
        <x:f>Q10-IFERROR((SUM($D$20:$GA$20)-'ОБЪЕКТЫ'!$B$96)*('Продажи'!Q14+'Продажи'!Q17+'Продажи'!Q20+'Продажи'!Q23)/(SUM('Продажи'!$D$14:$GA$14)+SUM('Продажи'!$D$17:$GA$17)+SUM('Продажи'!$D$20:$GA$20)+SUM('Продажи'!$D$23:$GA$23)),0)-IF('ОБЪЕКТЫ'!$B$8=1,IFERROR('ОБЪЕКТЫ'!$B$28*'ОБЪЕКТЫ'!Q22/'ОБЪЕКТЫ'!$B$22,0),0)-IF('ОБЪЕКТЫ'!$B$36=1,IFERROR('ОБЪЕКТЫ'!$B$56*'ОБЪЕКТЫ'!Q50/'ОБЪЕКТЫ'!$B$50,0),0)-IF('ОБЪЕКТЫ'!$B$64=1,IFERROR('ОБЪЕКТЫ'!$B$84*'ОБЪЕКТЫ'!Q78/'ОБЪЕКТЫ'!$B$78,0),0)-Q53-Q57-Q21</x:f>
      </x:c>
      <x:c r="R22" s="117">
        <x:f>R10-IFERROR((SUM($D$20:$GA$20)-'ОБЪЕКТЫ'!$B$96)*('Продажи'!R14+'Продажи'!R17+'Продажи'!R20+'Продажи'!R23)/(SUM('Продажи'!$D$14:$GA$14)+SUM('Продажи'!$D$17:$GA$17)+SUM('Продажи'!$D$20:$GA$20)+SUM('Продажи'!$D$23:$GA$23)),0)-IF('ОБЪЕКТЫ'!$B$8=1,IFERROR('ОБЪЕКТЫ'!$B$28*'ОБЪЕКТЫ'!R22/'ОБЪЕКТЫ'!$B$22,0),0)-IF('ОБЪЕКТЫ'!$B$36=1,IFERROR('ОБЪЕКТЫ'!$B$56*'ОБЪЕКТЫ'!R50/'ОБЪЕКТЫ'!$B$50,0),0)-IF('ОБЪЕКТЫ'!$B$64=1,IFERROR('ОБЪЕКТЫ'!$B$84*'ОБЪЕКТЫ'!R78/'ОБЪЕКТЫ'!$B$78,0),0)-R53-R57-R21</x:f>
      </x:c>
      <x:c r="S22" s="117">
        <x:f>S10-IFERROR((SUM($D$20:$GA$20)-'ОБЪЕКТЫ'!$B$96)*('Продажи'!S14+'Продажи'!S17+'Продажи'!S20+'Продажи'!S23)/(SUM('Продажи'!$D$14:$GA$14)+SUM('Продажи'!$D$17:$GA$17)+SUM('Продажи'!$D$20:$GA$20)+SUM('Продажи'!$D$23:$GA$23)),0)-IF('ОБЪЕКТЫ'!$B$8=1,IFERROR('ОБЪЕКТЫ'!$B$28*'ОБЪЕКТЫ'!S22/'ОБЪЕКТЫ'!$B$22,0),0)-IF('ОБЪЕКТЫ'!$B$36=1,IFERROR('ОБЪЕКТЫ'!$B$56*'ОБЪЕКТЫ'!S50/'ОБЪЕКТЫ'!$B$50,0),0)-IF('ОБЪЕКТЫ'!$B$64=1,IFERROR('ОБЪЕКТЫ'!$B$84*'ОБЪЕКТЫ'!S78/'ОБЪЕКТЫ'!$B$78,0),0)-S53-S57-S21</x:f>
      </x:c>
      <x:c r="T22" s="117">
        <x:f>T10-IFERROR((SUM($D$20:$GA$20)-'ОБЪЕКТЫ'!$B$96)*('Продажи'!T14+'Продажи'!T17+'Продажи'!T20+'Продажи'!T23)/(SUM('Продажи'!$D$14:$GA$14)+SUM('Продажи'!$D$17:$GA$17)+SUM('Продажи'!$D$20:$GA$20)+SUM('Продажи'!$D$23:$GA$23)),0)-IF('ОБЪЕКТЫ'!$B$8=1,IFERROR('ОБЪЕКТЫ'!$B$28*'ОБЪЕКТЫ'!T22/'ОБЪЕКТЫ'!$B$22,0),0)-IF('ОБЪЕКТЫ'!$B$36=1,IFERROR('ОБЪЕКТЫ'!$B$56*'ОБЪЕКТЫ'!T50/'ОБЪЕКТЫ'!$B$50,0),0)-IF('ОБЪЕКТЫ'!$B$64=1,IFERROR('ОБЪЕКТЫ'!$B$84*'ОБЪЕКТЫ'!T78/'ОБЪЕКТЫ'!$B$78,0),0)-T53-T57-T21</x:f>
      </x:c>
      <x:c r="U22" s="117">
        <x:f>U10-IFERROR((SUM($D$20:$GA$20)-'ОБЪЕКТЫ'!$B$96)*('Продажи'!U14+'Продажи'!U17+'Продажи'!U20+'Продажи'!U23)/(SUM('Продажи'!$D$14:$GA$14)+SUM('Продажи'!$D$17:$GA$17)+SUM('Продажи'!$D$20:$GA$20)+SUM('Продажи'!$D$23:$GA$23)),0)-IF('ОБЪЕКТЫ'!$B$8=1,IFERROR('ОБЪЕКТЫ'!$B$28*'ОБЪЕКТЫ'!U22/'ОБЪЕКТЫ'!$B$22,0),0)-IF('ОБЪЕКТЫ'!$B$36=1,IFERROR('ОБЪЕКТЫ'!$B$56*'ОБЪЕКТЫ'!U50/'ОБЪЕКТЫ'!$B$50,0),0)-IF('ОБЪЕКТЫ'!$B$64=1,IFERROR('ОБЪЕКТЫ'!$B$84*'ОБЪЕКТЫ'!U78/'ОБЪЕКТЫ'!$B$78,0),0)-U53-U57-U21</x:f>
      </x:c>
      <x:c r="V22" s="117">
        <x:f>V10-IFERROR((SUM($D$20:$GA$20)-'ОБЪЕКТЫ'!$B$96)*('Продажи'!V14+'Продажи'!V17+'Продажи'!V20+'Продажи'!V23)/(SUM('Продажи'!$D$14:$GA$14)+SUM('Продажи'!$D$17:$GA$17)+SUM('Продажи'!$D$20:$GA$20)+SUM('Продажи'!$D$23:$GA$23)),0)-IF('ОБЪЕКТЫ'!$B$8=1,IFERROR('ОБЪЕКТЫ'!$B$28*'ОБЪЕКТЫ'!V22/'ОБЪЕКТЫ'!$B$22,0),0)-IF('ОБЪЕКТЫ'!$B$36=1,IFERROR('ОБЪЕКТЫ'!$B$56*'ОБЪЕКТЫ'!V50/'ОБЪЕКТЫ'!$B$50,0),0)-IF('ОБЪЕКТЫ'!$B$64=1,IFERROR('ОБЪЕКТЫ'!$B$84*'ОБЪЕКТЫ'!V78/'ОБЪЕКТЫ'!$B$78,0),0)-V53-V57-V21</x:f>
      </x:c>
      <x:c r="W22" s="117">
        <x:f>W10-IFERROR((SUM($D$20:$GA$20)-'ОБЪЕКТЫ'!$B$96)*('Продажи'!W14+'Продажи'!W17+'Продажи'!W20+'Продажи'!W23)/(SUM('Продажи'!$D$14:$GA$14)+SUM('Продажи'!$D$17:$GA$17)+SUM('Продажи'!$D$20:$GA$20)+SUM('Продажи'!$D$23:$GA$23)),0)-IF('ОБЪЕКТЫ'!$B$8=1,IFERROR('ОБЪЕКТЫ'!$B$28*'ОБЪЕКТЫ'!W22/'ОБЪЕКТЫ'!$B$22,0),0)-IF('ОБЪЕКТЫ'!$B$36=1,IFERROR('ОБЪЕКТЫ'!$B$56*'ОБЪЕКТЫ'!W50/'ОБЪЕКТЫ'!$B$50,0),0)-IF('ОБЪЕКТЫ'!$B$64=1,IFERROR('ОБЪЕКТЫ'!$B$84*'ОБЪЕКТЫ'!W78/'ОБЪЕКТЫ'!$B$78,0),0)-W53-W57-W21</x:f>
      </x:c>
      <x:c r="X22" s="117">
        <x:f>X10-IFERROR((SUM($D$20:$GA$20)-'ОБЪЕКТЫ'!$B$96)*('Продажи'!X14+'Продажи'!X17+'Продажи'!X20+'Продажи'!X23)/(SUM('Продажи'!$D$14:$GA$14)+SUM('Продажи'!$D$17:$GA$17)+SUM('Продажи'!$D$20:$GA$20)+SUM('Продажи'!$D$23:$GA$23)),0)-IF('ОБЪЕКТЫ'!$B$8=1,IFERROR('ОБЪЕКТЫ'!$B$28*'ОБЪЕКТЫ'!X22/'ОБЪЕКТЫ'!$B$22,0),0)-IF('ОБЪЕКТЫ'!$B$36=1,IFERROR('ОБЪЕКТЫ'!$B$56*'ОБЪЕКТЫ'!X50/'ОБЪЕКТЫ'!$B$50,0),0)-IF('ОБЪЕКТЫ'!$B$64=1,IFERROR('ОБЪЕКТЫ'!$B$84*'ОБЪЕКТЫ'!X78/'ОБЪЕКТЫ'!$B$78,0),0)-X53-X57-X21</x:f>
      </x:c>
      <x:c r="Y22" s="117">
        <x:f>Y10-IFERROR((SUM($D$20:$GA$20)-'ОБЪЕКТЫ'!$B$96)*('Продажи'!Y14+'Продажи'!Y17+'Продажи'!Y20+'Продажи'!Y23)/(SUM('Продажи'!$D$14:$GA$14)+SUM('Продажи'!$D$17:$GA$17)+SUM('Продажи'!$D$20:$GA$20)+SUM('Продажи'!$D$23:$GA$23)),0)-IF('ОБЪЕКТЫ'!$B$8=1,IFERROR('ОБЪЕКТЫ'!$B$28*'ОБЪЕКТЫ'!Y22/'ОБЪЕКТЫ'!$B$22,0),0)-IF('ОБЪЕКТЫ'!$B$36=1,IFERROR('ОБЪЕКТЫ'!$B$56*'ОБЪЕКТЫ'!Y50/'ОБЪЕКТЫ'!$B$50,0),0)-IF('ОБЪЕКТЫ'!$B$64=1,IFERROR('ОБЪЕКТЫ'!$B$84*'ОБЪЕКТЫ'!Y78/'ОБЪЕКТЫ'!$B$78,0),0)-Y53-Y57-Y21</x:f>
      </x:c>
      <x:c r="Z22" s="117">
        <x:f>Z10-IFERROR((SUM($D$20:$GA$20)-'ОБЪЕКТЫ'!$B$96)*('Продажи'!Z14+'Продажи'!Z17+'Продажи'!Z20+'Продажи'!Z23)/(SUM('Продажи'!$D$14:$GA$14)+SUM('Продажи'!$D$17:$GA$17)+SUM('Продажи'!$D$20:$GA$20)+SUM('Продажи'!$D$23:$GA$23)),0)-IF('ОБЪЕКТЫ'!$B$8=1,IFERROR('ОБЪЕКТЫ'!$B$28*'ОБЪЕКТЫ'!Z22/'ОБЪЕКТЫ'!$B$22,0),0)-IF('ОБЪЕКТЫ'!$B$36=1,IFERROR('ОБЪЕКТЫ'!$B$56*'ОБЪЕКТЫ'!Z50/'ОБЪЕКТЫ'!$B$50,0),0)-IF('ОБЪЕКТЫ'!$B$64=1,IFERROR('ОБЪЕКТЫ'!$B$84*'ОБЪЕКТЫ'!Z78/'ОБЪЕКТЫ'!$B$78,0),0)-Z53-Z57-Z21</x:f>
      </x:c>
      <x:c r="AA22" s="117">
        <x:f>AA10-IFERROR((SUM($D$20:$GA$20)-'ОБЪЕКТЫ'!$B$96)*('Продажи'!AA14+'Продажи'!AA17+'Продажи'!AA20+'Продажи'!AA23)/(SUM('Продажи'!$D$14:$GA$14)+SUM('Продажи'!$D$17:$GA$17)+SUM('Продажи'!$D$20:$GA$20)+SUM('Продажи'!$D$23:$GA$23)),0)-IF('ОБЪЕКТЫ'!$B$8=1,IFERROR('ОБЪЕКТЫ'!$B$28*'ОБЪЕКТЫ'!AA22/'ОБЪЕКТЫ'!$B$22,0),0)-IF('ОБЪЕКТЫ'!$B$36=1,IFERROR('ОБЪЕКТЫ'!$B$56*'ОБЪЕКТЫ'!AA50/'ОБЪЕКТЫ'!$B$50,0),0)-IF('ОБЪЕКТЫ'!$B$64=1,IFERROR('ОБЪЕКТЫ'!$B$84*'ОБЪЕКТЫ'!AA78/'ОБЪЕКТЫ'!$B$78,0),0)-AA53-AA57-AA21</x:f>
      </x:c>
      <x:c r="AB22" s="117">
        <x:f>AB10-IFERROR((SUM($D$20:$GA$20)-'ОБЪЕКТЫ'!$B$96)*('Продажи'!AB14+'Продажи'!AB17+'Продажи'!AB20+'Продажи'!AB23)/(SUM('Продажи'!$D$14:$GA$14)+SUM('Продажи'!$D$17:$GA$17)+SUM('Продажи'!$D$20:$GA$20)+SUM('Продажи'!$D$23:$GA$23)),0)-IF('ОБЪЕКТЫ'!$B$8=1,IFERROR('ОБЪЕКТЫ'!$B$28*'ОБЪЕКТЫ'!AB22/'ОБЪЕКТЫ'!$B$22,0),0)-IF('ОБЪЕКТЫ'!$B$36=1,IFERROR('ОБЪЕКТЫ'!$B$56*'ОБЪЕКТЫ'!AB50/'ОБЪЕКТЫ'!$B$50,0),0)-IF('ОБЪЕКТЫ'!$B$64=1,IFERROR('ОБЪЕКТЫ'!$B$84*'ОБЪЕКТЫ'!AB78/'ОБЪЕКТЫ'!$B$78,0),0)-AB53-AB57-AB21</x:f>
      </x:c>
      <x:c r="AC22" s="117">
        <x:f>AC10-IFERROR((SUM($D$20:$GA$20)-'ОБЪЕКТЫ'!$B$96)*('Продажи'!AC14+'Продажи'!AC17+'Продажи'!AC20+'Продажи'!AC23)/(SUM('Продажи'!$D$14:$GA$14)+SUM('Продажи'!$D$17:$GA$17)+SUM('Продажи'!$D$20:$GA$20)+SUM('Продажи'!$D$23:$GA$23)),0)-IF('ОБЪЕКТЫ'!$B$8=1,IFERROR('ОБЪЕКТЫ'!$B$28*'ОБЪЕКТЫ'!AC22/'ОБЪЕКТЫ'!$B$22,0),0)-IF('ОБЪЕКТЫ'!$B$36=1,IFERROR('ОБЪЕКТЫ'!$B$56*'ОБЪЕКТЫ'!AC50/'ОБЪЕКТЫ'!$B$50,0),0)-IF('ОБЪЕКТЫ'!$B$64=1,IFERROR('ОБЪЕКТЫ'!$B$84*'ОБЪЕКТЫ'!AC78/'ОБЪЕКТЫ'!$B$78,0),0)-AC53-AC57-AC21</x:f>
      </x:c>
      <x:c r="AD22" s="117">
        <x:f>AD10-IFERROR((SUM($D$20:$GA$20)-'ОБЪЕКТЫ'!$B$96)*('Продажи'!AD14+'Продажи'!AD17+'Продажи'!AD20+'Продажи'!AD23)/(SUM('Продажи'!$D$14:$GA$14)+SUM('Продажи'!$D$17:$GA$17)+SUM('Продажи'!$D$20:$GA$20)+SUM('Продажи'!$D$23:$GA$23)),0)-IF('ОБЪЕКТЫ'!$B$8=1,IFERROR('ОБЪЕКТЫ'!$B$28*'ОБЪЕКТЫ'!AD22/'ОБЪЕКТЫ'!$B$22,0),0)-IF('ОБЪЕКТЫ'!$B$36=1,IFERROR('ОБЪЕКТЫ'!$B$56*'ОБЪЕКТЫ'!AD50/'ОБЪЕКТЫ'!$B$50,0),0)-IF('ОБЪЕКТЫ'!$B$64=1,IFERROR('ОБЪЕКТЫ'!$B$84*'ОБЪЕКТЫ'!AD78/'ОБЪЕКТЫ'!$B$78,0),0)-AD53-AD57-AD21</x:f>
      </x:c>
      <x:c r="AE22" s="117">
        <x:f>AE10-IFERROR((SUM($D$20:$GA$20)-'ОБЪЕКТЫ'!$B$96)*('Продажи'!AE14+'Продажи'!AE17+'Продажи'!AE20+'Продажи'!AE23)/(SUM('Продажи'!$D$14:$GA$14)+SUM('Продажи'!$D$17:$GA$17)+SUM('Продажи'!$D$20:$GA$20)+SUM('Продажи'!$D$23:$GA$23)),0)-IF('ОБЪЕКТЫ'!$B$8=1,IFERROR('ОБЪЕКТЫ'!$B$28*'ОБЪЕКТЫ'!AE22/'ОБЪЕКТЫ'!$B$22,0),0)-IF('ОБЪЕКТЫ'!$B$36=1,IFERROR('ОБЪЕКТЫ'!$B$56*'ОБЪЕКТЫ'!AE50/'ОБЪЕКТЫ'!$B$50,0),0)-IF('ОБЪЕКТЫ'!$B$64=1,IFERROR('ОБЪЕКТЫ'!$B$84*'ОБЪЕКТЫ'!AE78/'ОБЪЕКТЫ'!$B$78,0),0)-AE53-AE57-AE21</x:f>
      </x:c>
      <x:c r="AF22" s="117">
        <x:f>AF10-IFERROR((SUM($D$20:$GA$20)-'ОБЪЕКТЫ'!$B$96)*('Продажи'!AF14+'Продажи'!AF17+'Продажи'!AF20+'Продажи'!AF23)/(SUM('Продажи'!$D$14:$GA$14)+SUM('Продажи'!$D$17:$GA$17)+SUM('Продажи'!$D$20:$GA$20)+SUM('Продажи'!$D$23:$GA$23)),0)-IF('ОБЪЕКТЫ'!$B$8=1,IFERROR('ОБЪЕКТЫ'!$B$28*'ОБЪЕКТЫ'!AF22/'ОБЪЕКТЫ'!$B$22,0),0)-IF('ОБЪЕКТЫ'!$B$36=1,IFERROR('ОБЪЕКТЫ'!$B$56*'ОБЪЕКТЫ'!AF50/'ОБЪЕКТЫ'!$B$50,0),0)-IF('ОБЪЕКТЫ'!$B$64=1,IFERROR('ОБЪЕКТЫ'!$B$84*'ОБЪЕКТЫ'!AF78/'ОБЪЕКТЫ'!$B$78,0),0)-AF53-AF57-AF21</x:f>
      </x:c>
      <x:c r="AG22" s="117">
        <x:f>AG10-IFERROR((SUM($D$20:$GA$20)-'ОБЪЕКТЫ'!$B$96)*('Продажи'!AG14+'Продажи'!AG17+'Продажи'!AG20+'Продажи'!AG23)/(SUM('Продажи'!$D$14:$GA$14)+SUM('Продажи'!$D$17:$GA$17)+SUM('Продажи'!$D$20:$GA$20)+SUM('Продажи'!$D$23:$GA$23)),0)-IF('ОБЪЕКТЫ'!$B$8=1,IFERROR('ОБЪЕКТЫ'!$B$28*'ОБЪЕКТЫ'!AG22/'ОБЪЕКТЫ'!$B$22,0),0)-IF('ОБЪЕКТЫ'!$B$36=1,IFERROR('ОБЪЕКТЫ'!$B$56*'ОБЪЕКТЫ'!AG50/'ОБЪЕКТЫ'!$B$50,0),0)-IF('ОБЪЕКТЫ'!$B$64=1,IFERROR('ОБЪЕКТЫ'!$B$84*'ОБЪЕКТЫ'!AG78/'ОБЪЕКТЫ'!$B$78,0),0)-AG53-AG57-AG21</x:f>
      </x:c>
      <x:c r="AH22" s="117">
        <x:f>AH10-IFERROR((SUM($D$20:$GA$20)-'ОБЪЕКТЫ'!$B$96)*('Продажи'!AH14+'Продажи'!AH17+'Продажи'!AH20+'Продажи'!AH23)/(SUM('Продажи'!$D$14:$GA$14)+SUM('Продажи'!$D$17:$GA$17)+SUM('Продажи'!$D$20:$GA$20)+SUM('Продажи'!$D$23:$GA$23)),0)-IF('ОБЪЕКТЫ'!$B$8=1,IFERROR('ОБЪЕКТЫ'!$B$28*'ОБЪЕКТЫ'!AH22/'ОБЪЕКТЫ'!$B$22,0),0)-IF('ОБЪЕКТЫ'!$B$36=1,IFERROR('ОБЪЕКТЫ'!$B$56*'ОБЪЕКТЫ'!AH50/'ОБЪЕКТЫ'!$B$50,0),0)-IF('ОБЪЕКТЫ'!$B$64=1,IFERROR('ОБЪЕКТЫ'!$B$84*'ОБЪЕКТЫ'!AH78/'ОБЪЕКТЫ'!$B$78,0),0)-AH53-AH57-AH21</x:f>
      </x:c>
      <x:c r="AI22" s="117">
        <x:f>AI10-IFERROR((SUM($D$20:$GA$20)-'ОБЪЕКТЫ'!$B$96)*('Продажи'!AI14+'Продажи'!AI17+'Продажи'!AI20+'Продажи'!AI23)/(SUM('Продажи'!$D$14:$GA$14)+SUM('Продажи'!$D$17:$GA$17)+SUM('Продажи'!$D$20:$GA$20)+SUM('Продажи'!$D$23:$GA$23)),0)-IF('ОБЪЕКТЫ'!$B$8=1,IFERROR('ОБЪЕКТЫ'!$B$28*'ОБЪЕКТЫ'!AI22/'ОБЪЕКТЫ'!$B$22,0),0)-IF('ОБЪЕКТЫ'!$B$36=1,IFERROR('ОБЪЕКТЫ'!$B$56*'ОБЪЕКТЫ'!AI50/'ОБЪЕКТЫ'!$B$50,0),0)-IF('ОБЪЕКТЫ'!$B$64=1,IFERROR('ОБЪЕКТЫ'!$B$84*'ОБЪЕКТЫ'!AI78/'ОБЪЕКТЫ'!$B$78,0),0)-AI53-AI57-AI21</x:f>
      </x:c>
      <x:c r="AJ22" s="117">
        <x:f>AJ10-IFERROR((SUM($D$20:$GA$20)-'ОБЪЕКТЫ'!$B$96)*('Продажи'!AJ14+'Продажи'!AJ17+'Продажи'!AJ20+'Продажи'!AJ23)/(SUM('Продажи'!$D$14:$GA$14)+SUM('Продажи'!$D$17:$GA$17)+SUM('Продажи'!$D$20:$GA$20)+SUM('Продажи'!$D$23:$GA$23)),0)-IF('ОБЪЕКТЫ'!$B$8=1,IFERROR('ОБЪЕКТЫ'!$B$28*'ОБЪЕКТЫ'!AJ22/'ОБЪЕКТЫ'!$B$22,0),0)-IF('ОБЪЕКТЫ'!$B$36=1,IFERROR('ОБЪЕКТЫ'!$B$56*'ОБЪЕКТЫ'!AJ50/'ОБЪЕКТЫ'!$B$50,0),0)-IF('ОБЪЕКТЫ'!$B$64=1,IFERROR('ОБЪЕКТЫ'!$B$84*'ОБЪЕКТЫ'!AJ78/'ОБЪЕКТЫ'!$B$78,0),0)-AJ53-AJ57-AJ21</x:f>
      </x:c>
      <x:c r="AK22" s="117">
        <x:f>AK10-IFERROR((SUM($D$20:$GA$20)-'ОБЪЕКТЫ'!$B$96)*('Продажи'!AK14+'Продажи'!AK17+'Продажи'!AK20+'Продажи'!AK23)/(SUM('Продажи'!$D$14:$GA$14)+SUM('Продажи'!$D$17:$GA$17)+SUM('Продажи'!$D$20:$GA$20)+SUM('Продажи'!$D$23:$GA$23)),0)-IF('ОБЪЕКТЫ'!$B$8=1,IFERROR('ОБЪЕКТЫ'!$B$28*'ОБЪЕКТЫ'!AK22/'ОБЪЕКТЫ'!$B$22,0),0)-IF('ОБЪЕКТЫ'!$B$36=1,IFERROR('ОБЪЕКТЫ'!$B$56*'ОБЪЕКТЫ'!AK50/'ОБЪЕКТЫ'!$B$50,0),0)-IF('ОБЪЕКТЫ'!$B$64=1,IFERROR('ОБЪЕКТЫ'!$B$84*'ОБЪЕКТЫ'!AK78/'ОБЪЕКТЫ'!$B$78,0),0)-AK53-AK57-AK21</x:f>
      </x:c>
      <x:c r="AL22" s="117">
        <x:f>AL10-IFERROR((SUM($D$20:$GA$20)-'ОБЪЕКТЫ'!$B$96)*('Продажи'!AL14+'Продажи'!AL17+'Продажи'!AL20+'Продажи'!AL23)/(SUM('Продажи'!$D$14:$GA$14)+SUM('Продажи'!$D$17:$GA$17)+SUM('Продажи'!$D$20:$GA$20)+SUM('Продажи'!$D$23:$GA$23)),0)-IF('ОБЪЕКТЫ'!$B$8=1,IFERROR('ОБЪЕКТЫ'!$B$28*'ОБЪЕКТЫ'!AL22/'ОБЪЕКТЫ'!$B$22,0),0)-IF('ОБЪЕКТЫ'!$B$36=1,IFERROR('ОБЪЕКТЫ'!$B$56*'ОБЪЕКТЫ'!AL50/'ОБЪЕКТЫ'!$B$50,0),0)-IF('ОБЪЕКТЫ'!$B$64=1,IFERROR('ОБЪЕКТЫ'!$B$84*'ОБЪЕКТЫ'!AL78/'ОБЪЕКТЫ'!$B$78,0),0)-AL53-AL57-AL21</x:f>
      </x:c>
      <x:c r="AM22" s="117">
        <x:f>AM10-IFERROR((SUM($D$20:$GA$20)-'ОБЪЕКТЫ'!$B$96)*('Продажи'!AM14+'Продажи'!AM17+'Продажи'!AM20+'Продажи'!AM23)/(SUM('Продажи'!$D$14:$GA$14)+SUM('Продажи'!$D$17:$GA$17)+SUM('Продажи'!$D$20:$GA$20)+SUM('Продажи'!$D$23:$GA$23)),0)-IF('ОБЪЕКТЫ'!$B$8=1,IFERROR('ОБЪЕКТЫ'!$B$28*'ОБЪЕКТЫ'!AM22/'ОБЪЕКТЫ'!$B$22,0),0)-IF('ОБЪЕКТЫ'!$B$36=1,IFERROR('ОБЪЕКТЫ'!$B$56*'ОБЪЕКТЫ'!AM50/'ОБЪЕКТЫ'!$B$50,0),0)-IF('ОБЪЕКТЫ'!$B$64=1,IFERROR('ОБЪЕКТЫ'!$B$84*'ОБЪЕКТЫ'!AM78/'ОБЪЕКТЫ'!$B$78,0),0)-AM53-AM57-AM21</x:f>
      </x:c>
      <x:c r="AN22" s="117">
        <x:f>AN10-IFERROR((SUM($D$20:$GA$20)-'ОБЪЕКТЫ'!$B$96)*('Продажи'!AN14+'Продажи'!AN17+'Продажи'!AN20+'Продажи'!AN23)/(SUM('Продажи'!$D$14:$GA$14)+SUM('Продажи'!$D$17:$GA$17)+SUM('Продажи'!$D$20:$GA$20)+SUM('Продажи'!$D$23:$GA$23)),0)-IF('ОБЪЕКТЫ'!$B$8=1,IFERROR('ОБЪЕКТЫ'!$B$28*'ОБЪЕКТЫ'!AN22/'ОБЪЕКТЫ'!$B$22,0),0)-IF('ОБЪЕКТЫ'!$B$36=1,IFERROR('ОБЪЕКТЫ'!$B$56*'ОБЪЕКТЫ'!AN50/'ОБЪЕКТЫ'!$B$50,0),0)-IF('ОБЪЕКТЫ'!$B$64=1,IFERROR('ОБЪЕКТЫ'!$B$84*'ОБЪЕКТЫ'!AN78/'ОБЪЕКТЫ'!$B$78,0),0)-AN53-AN57-AN21</x:f>
      </x:c>
      <x:c r="AO22" s="117">
        <x:f>AO10-IFERROR((SUM($D$20:$GA$20)-'ОБЪЕКТЫ'!$B$96)*('Продажи'!AO14+'Продажи'!AO17+'Продажи'!AO20+'Продажи'!AO23)/(SUM('Продажи'!$D$14:$GA$14)+SUM('Продажи'!$D$17:$GA$17)+SUM('Продажи'!$D$20:$GA$20)+SUM('Продажи'!$D$23:$GA$23)),0)-IF('ОБЪЕКТЫ'!$B$8=1,IFERROR('ОБЪЕКТЫ'!$B$28*'ОБЪЕКТЫ'!AO22/'ОБЪЕКТЫ'!$B$22,0),0)-IF('ОБЪЕКТЫ'!$B$36=1,IFERROR('ОБЪЕКТЫ'!$B$56*'ОБЪЕКТЫ'!AO50/'ОБЪЕКТЫ'!$B$50,0),0)-IF('ОБЪЕКТЫ'!$B$64=1,IFERROR('ОБЪЕКТЫ'!$B$84*'ОБЪЕКТЫ'!AO78/'ОБЪЕКТЫ'!$B$78,0),0)-AO53-AO57-AO21</x:f>
      </x:c>
      <x:c r="AP22" s="117">
        <x:f>AP10-IFERROR((SUM($D$20:$GA$20)-'ОБЪЕКТЫ'!$B$96)*('Продажи'!AP14+'Продажи'!AP17+'Продажи'!AP20+'Продажи'!AP23)/(SUM('Продажи'!$D$14:$GA$14)+SUM('Продажи'!$D$17:$GA$17)+SUM('Продажи'!$D$20:$GA$20)+SUM('Продажи'!$D$23:$GA$23)),0)-IF('ОБЪЕКТЫ'!$B$8=1,IFERROR('ОБЪЕКТЫ'!$B$28*'ОБЪЕКТЫ'!AP22/'ОБЪЕКТЫ'!$B$22,0),0)-IF('ОБЪЕКТЫ'!$B$36=1,IFERROR('ОБЪЕКТЫ'!$B$56*'ОБЪЕКТЫ'!AP50/'ОБЪЕКТЫ'!$B$50,0),0)-IF('ОБЪЕКТЫ'!$B$64=1,IFERROR('ОБЪЕКТЫ'!$B$84*'ОБЪЕКТЫ'!AP78/'ОБЪЕКТЫ'!$B$78,0),0)-AP53-AP57-AP21</x:f>
      </x:c>
      <x:c r="AQ22" s="117">
        <x:f>AQ10-IFERROR((SUM($D$20:$GA$20)-'ОБЪЕКТЫ'!$B$96)*('Продажи'!AQ14+'Продажи'!AQ17+'Продажи'!AQ20+'Продажи'!AQ23)/(SUM('Продажи'!$D$14:$GA$14)+SUM('Продажи'!$D$17:$GA$17)+SUM('Продажи'!$D$20:$GA$20)+SUM('Продажи'!$D$23:$GA$23)),0)-IF('ОБЪЕКТЫ'!$B$8=1,IFERROR('ОБЪЕКТЫ'!$B$28*'ОБЪЕКТЫ'!AQ22/'ОБЪЕКТЫ'!$B$22,0),0)-IF('ОБЪЕКТЫ'!$B$36=1,IFERROR('ОБЪЕКТЫ'!$B$56*'ОБЪЕКТЫ'!AQ50/'ОБЪЕКТЫ'!$B$50,0),0)-IF('ОБЪЕКТЫ'!$B$64=1,IFERROR('ОБЪЕКТЫ'!$B$84*'ОБЪЕКТЫ'!AQ78/'ОБЪЕКТЫ'!$B$78,0),0)-AQ53-AQ57-AQ21</x:f>
      </x:c>
      <x:c r="AR22" s="117">
        <x:f>AR10-IFERROR((SUM($D$20:$GA$20)-'ОБЪЕКТЫ'!$B$96)*('Продажи'!AR14+'Продажи'!AR17+'Продажи'!AR20+'Продажи'!AR23)/(SUM('Продажи'!$D$14:$GA$14)+SUM('Продажи'!$D$17:$GA$17)+SUM('Продажи'!$D$20:$GA$20)+SUM('Продажи'!$D$23:$GA$23)),0)-IF('ОБЪЕКТЫ'!$B$8=1,IFERROR('ОБЪЕКТЫ'!$B$28*'ОБЪЕКТЫ'!AR22/'ОБЪЕКТЫ'!$B$22,0),0)-IF('ОБЪЕКТЫ'!$B$36=1,IFERROR('ОБЪЕКТЫ'!$B$56*'ОБЪЕКТЫ'!AR50/'ОБЪЕКТЫ'!$B$50,0),0)-IF('ОБЪЕКТЫ'!$B$64=1,IFERROR('ОБЪЕКТЫ'!$B$84*'ОБЪЕКТЫ'!AR78/'ОБЪЕКТЫ'!$B$78,0),0)-AR53-AR57-AR21</x:f>
      </x:c>
      <x:c r="AS22" s="117">
        <x:f>AS10-IFERROR((SUM($D$20:$GA$20)-'ОБЪЕКТЫ'!$B$96)*('Продажи'!AS14+'Продажи'!AS17+'Продажи'!AS20+'Продажи'!AS23)/(SUM('Продажи'!$D$14:$GA$14)+SUM('Продажи'!$D$17:$GA$17)+SUM('Продажи'!$D$20:$GA$20)+SUM('Продажи'!$D$23:$GA$23)),0)-IF('ОБЪЕКТЫ'!$B$8=1,IFERROR('ОБЪЕКТЫ'!$B$28*'ОБЪЕКТЫ'!AS22/'ОБЪЕКТЫ'!$B$22,0),0)-IF('ОБЪЕКТЫ'!$B$36=1,IFERROR('ОБЪЕКТЫ'!$B$56*'ОБЪЕКТЫ'!AS50/'ОБЪЕКТЫ'!$B$50,0),0)-IF('ОБЪЕКТЫ'!$B$64=1,IFERROR('ОБЪЕКТЫ'!$B$84*'ОБЪЕКТЫ'!AS78/'ОБЪЕКТЫ'!$B$78,0),0)-AS53-AS57-AS21</x:f>
      </x:c>
      <x:c r="AT22" s="117">
        <x:f>AT10-IFERROR((SUM($D$20:$GA$20)-'ОБЪЕКТЫ'!$B$96)*('Продажи'!AT14+'Продажи'!AT17+'Продажи'!AT20+'Продажи'!AT23)/(SUM('Продажи'!$D$14:$GA$14)+SUM('Продажи'!$D$17:$GA$17)+SUM('Продажи'!$D$20:$GA$20)+SUM('Продажи'!$D$23:$GA$23)),0)-IF('ОБЪЕКТЫ'!$B$8=1,IFERROR('ОБЪЕКТЫ'!$B$28*'ОБЪЕКТЫ'!AT22/'ОБЪЕКТЫ'!$B$22,0),0)-IF('ОБЪЕКТЫ'!$B$36=1,IFERROR('ОБЪЕКТЫ'!$B$56*'ОБЪЕКТЫ'!AT50/'ОБЪЕКТЫ'!$B$50,0),0)-IF('ОБЪЕКТЫ'!$B$64=1,IFERROR('ОБЪЕКТЫ'!$B$84*'ОБЪЕКТЫ'!AT78/'ОБЪЕКТЫ'!$B$78,0),0)-AT53-AT57-AT21</x:f>
      </x:c>
      <x:c r="AU22" s="117">
        <x:f>AU10-IFERROR((SUM($D$20:$GA$20)-'ОБЪЕКТЫ'!$B$96)*('Продажи'!AU14+'Продажи'!AU17+'Продажи'!AU20+'Продажи'!AU23)/(SUM('Продажи'!$D$14:$GA$14)+SUM('Продажи'!$D$17:$GA$17)+SUM('Продажи'!$D$20:$GA$20)+SUM('Продажи'!$D$23:$GA$23)),0)-IF('ОБЪЕКТЫ'!$B$8=1,IFERROR('ОБЪЕКТЫ'!$B$28*'ОБЪЕКТЫ'!AU22/'ОБЪЕКТЫ'!$B$22,0),0)-IF('ОБЪЕКТЫ'!$B$36=1,IFERROR('ОБЪЕКТЫ'!$B$56*'ОБЪЕКТЫ'!AU50/'ОБЪЕКТЫ'!$B$50,0),0)-IF('ОБЪЕКТЫ'!$B$64=1,IFERROR('ОБЪЕКТЫ'!$B$84*'ОБЪЕКТЫ'!AU78/'ОБЪЕКТЫ'!$B$78,0),0)-AU53-AU57-AU21</x:f>
      </x:c>
      <x:c r="AV22" s="117">
        <x:f>AV10-IFERROR((SUM($D$20:$GA$20)-'ОБЪЕКТЫ'!$B$96)*('Продажи'!AV14+'Продажи'!AV17+'Продажи'!AV20+'Продажи'!AV23)/(SUM('Продажи'!$D$14:$GA$14)+SUM('Продажи'!$D$17:$GA$17)+SUM('Продажи'!$D$20:$GA$20)+SUM('Продажи'!$D$23:$GA$23)),0)-IF('ОБЪЕКТЫ'!$B$8=1,IFERROR('ОБЪЕКТЫ'!$B$28*'ОБЪЕКТЫ'!AV22/'ОБЪЕКТЫ'!$B$22,0),0)-IF('ОБЪЕКТЫ'!$B$36=1,IFERROR('ОБЪЕКТЫ'!$B$56*'ОБЪЕКТЫ'!AV50/'ОБЪЕКТЫ'!$B$50,0),0)-IF('ОБЪЕКТЫ'!$B$64=1,IFERROR('ОБЪЕКТЫ'!$B$84*'ОБЪЕКТЫ'!AV78/'ОБЪЕКТЫ'!$B$78,0),0)-AV53-AV57-AV21</x:f>
      </x:c>
      <x:c r="AW22" s="117">
        <x:f>AW10-IFERROR((SUM($D$20:$GA$20)-'ОБЪЕКТЫ'!$B$96)*('Продажи'!AW14+'Продажи'!AW17+'Продажи'!AW20+'Продажи'!AW23)/(SUM('Продажи'!$D$14:$GA$14)+SUM('Продажи'!$D$17:$GA$17)+SUM('Продажи'!$D$20:$GA$20)+SUM('Продажи'!$D$23:$GA$23)),0)-IF('ОБЪЕКТЫ'!$B$8=1,IFERROR('ОБЪЕКТЫ'!$B$28*'ОБЪЕКТЫ'!AW22/'ОБЪЕКТЫ'!$B$22,0),0)-IF('ОБЪЕКТЫ'!$B$36=1,IFERROR('ОБЪЕКТЫ'!$B$56*'ОБЪЕКТЫ'!AW50/'ОБЪЕКТЫ'!$B$50,0),0)-IF('ОБЪЕКТЫ'!$B$64=1,IFERROR('ОБЪЕКТЫ'!$B$84*'ОБЪЕКТЫ'!AW78/'ОБЪЕКТЫ'!$B$78,0),0)-AW53-AW57-AW21</x:f>
      </x:c>
      <x:c r="AX22" s="117">
        <x:f>AX10-IFERROR((SUM($D$20:$GA$20)-'ОБЪЕКТЫ'!$B$96)*('Продажи'!AX14+'Продажи'!AX17+'Продажи'!AX20+'Продажи'!AX23)/(SUM('Продажи'!$D$14:$GA$14)+SUM('Продажи'!$D$17:$GA$17)+SUM('Продажи'!$D$20:$GA$20)+SUM('Продажи'!$D$23:$GA$23)),0)-IF('ОБЪЕКТЫ'!$B$8=1,IFERROR('ОБЪЕКТЫ'!$B$28*'ОБЪЕКТЫ'!AX22/'ОБЪЕКТЫ'!$B$22,0),0)-IF('ОБЪЕКТЫ'!$B$36=1,IFERROR('ОБЪЕКТЫ'!$B$56*'ОБЪЕКТЫ'!AX50/'ОБЪЕКТЫ'!$B$50,0),0)-IF('ОБЪЕКТЫ'!$B$64=1,IFERROR('ОБЪЕКТЫ'!$B$84*'ОБЪЕКТЫ'!AX78/'ОБЪЕКТЫ'!$B$78,0),0)-AX53-AX57-AX21</x:f>
      </x:c>
      <x:c r="AY22" s="117">
        <x:f>AY10-IFERROR((SUM($D$20:$GA$20)-'ОБЪЕКТЫ'!$B$96)*('Продажи'!AY14+'Продажи'!AY17+'Продажи'!AY20+'Продажи'!AY23)/(SUM('Продажи'!$D$14:$GA$14)+SUM('Продажи'!$D$17:$GA$17)+SUM('Продажи'!$D$20:$GA$20)+SUM('Продажи'!$D$23:$GA$23)),0)-IF('ОБЪЕКТЫ'!$B$8=1,IFERROR('ОБЪЕКТЫ'!$B$28*'ОБЪЕКТЫ'!AY22/'ОБЪЕКТЫ'!$B$22,0),0)-IF('ОБЪЕКТЫ'!$B$36=1,IFERROR('ОБЪЕКТЫ'!$B$56*'ОБЪЕКТЫ'!AY50/'ОБЪЕКТЫ'!$B$50,0),0)-IF('ОБЪЕКТЫ'!$B$64=1,IFERROR('ОБЪЕКТЫ'!$B$84*'ОБЪЕКТЫ'!AY78/'ОБЪЕКТЫ'!$B$78,0),0)-AY53-AY57-AY21</x:f>
      </x:c>
      <x:c r="AZ22" s="117">
        <x:f>AZ10-IFERROR((SUM($D$20:$GA$20)-'ОБЪЕКТЫ'!$B$96)*('Продажи'!AZ14+'Продажи'!AZ17+'Продажи'!AZ20+'Продажи'!AZ23)/(SUM('Продажи'!$D$14:$GA$14)+SUM('Продажи'!$D$17:$GA$17)+SUM('Продажи'!$D$20:$GA$20)+SUM('Продажи'!$D$23:$GA$23)),0)-IF('ОБЪЕКТЫ'!$B$8=1,IFERROR('ОБЪЕКТЫ'!$B$28*'ОБЪЕКТЫ'!AZ22/'ОБЪЕКТЫ'!$B$22,0),0)-IF('ОБЪЕКТЫ'!$B$36=1,IFERROR('ОБЪЕКТЫ'!$B$56*'ОБЪЕКТЫ'!AZ50/'ОБЪЕКТЫ'!$B$50,0),0)-IF('ОБЪЕКТЫ'!$B$64=1,IFERROR('ОБЪЕКТЫ'!$B$84*'ОБЪЕКТЫ'!AZ78/'ОБЪЕКТЫ'!$B$78,0),0)-AZ53-AZ57-AZ21</x:f>
      </x:c>
      <x:c r="BA22" s="117">
        <x:f>BA10-IFERROR((SUM($D$20:$GA$20)-'ОБЪЕКТЫ'!$B$96)*('Продажи'!BA14+'Продажи'!BA17+'Продажи'!BA20+'Продажи'!BA23)/(SUM('Продажи'!$D$14:$GA$14)+SUM('Продажи'!$D$17:$GA$17)+SUM('Продажи'!$D$20:$GA$20)+SUM('Продажи'!$D$23:$GA$23)),0)-IF('ОБЪЕКТЫ'!$B$8=1,IFERROR('ОБЪЕКТЫ'!$B$28*'ОБЪЕКТЫ'!BA22/'ОБЪЕКТЫ'!$B$22,0),0)-IF('ОБЪЕКТЫ'!$B$36=1,IFERROR('ОБЪЕКТЫ'!$B$56*'ОБЪЕКТЫ'!BA50/'ОБЪЕКТЫ'!$B$50,0),0)-IF('ОБЪЕКТЫ'!$B$64=1,IFERROR('ОБЪЕКТЫ'!$B$84*'ОБЪЕКТЫ'!BA78/'ОБЪЕКТЫ'!$B$78,0),0)-BA53-BA57-BA21</x:f>
      </x:c>
      <x:c r="BB22" s="117">
        <x:f>BB10-IFERROR((SUM($D$20:$GA$20)-'ОБЪЕКТЫ'!$B$96)*('Продажи'!BB14+'Продажи'!BB17+'Продажи'!BB20+'Продажи'!BB23)/(SUM('Продажи'!$D$14:$GA$14)+SUM('Продажи'!$D$17:$GA$17)+SUM('Продажи'!$D$20:$GA$20)+SUM('Продажи'!$D$23:$GA$23)),0)-IF('ОБЪЕКТЫ'!$B$8=1,IFERROR('ОБЪЕКТЫ'!$B$28*'ОБЪЕКТЫ'!BB22/'ОБЪЕКТЫ'!$B$22,0),0)-IF('ОБЪЕКТЫ'!$B$36=1,IFERROR('ОБЪЕКТЫ'!$B$56*'ОБЪЕКТЫ'!BB50/'ОБЪЕКТЫ'!$B$50,0),0)-IF('ОБЪЕКТЫ'!$B$64=1,IFERROR('ОБЪЕКТЫ'!$B$84*'ОБЪЕКТЫ'!BB78/'ОБЪЕКТЫ'!$B$78,0),0)-BB53-BB57-BB21</x:f>
      </x:c>
      <x:c r="BC22" s="117">
        <x:f>BC10-IFERROR((SUM($D$20:$GA$20)-'ОБЪЕКТЫ'!$B$96)*('Продажи'!BC14+'Продажи'!BC17+'Продажи'!BC20+'Продажи'!BC23)/(SUM('Продажи'!$D$14:$GA$14)+SUM('Продажи'!$D$17:$GA$17)+SUM('Продажи'!$D$20:$GA$20)+SUM('Продажи'!$D$23:$GA$23)),0)-IF('ОБЪЕКТЫ'!$B$8=1,IFERROR('ОБЪЕКТЫ'!$B$28*'ОБЪЕКТЫ'!BC22/'ОБЪЕКТЫ'!$B$22,0),0)-IF('ОБЪЕКТЫ'!$B$36=1,IFERROR('ОБЪЕКТЫ'!$B$56*'ОБЪЕКТЫ'!BC50/'ОБЪЕКТЫ'!$B$50,0),0)-IF('ОБЪЕКТЫ'!$B$64=1,IFERROR('ОБЪЕКТЫ'!$B$84*'ОБЪЕКТЫ'!BC78/'ОБЪЕКТЫ'!$B$78,0),0)-BC53-BC57-BC21</x:f>
      </x:c>
      <x:c r="BD22" s="117">
        <x:f>BD10-IFERROR((SUM($D$20:$GA$20)-'ОБЪЕКТЫ'!$B$96)*('Продажи'!BD14+'Продажи'!BD17+'Продажи'!BD20+'Продажи'!BD23)/(SUM('Продажи'!$D$14:$GA$14)+SUM('Продажи'!$D$17:$GA$17)+SUM('Продажи'!$D$20:$GA$20)+SUM('Продажи'!$D$23:$GA$23)),0)-IF('ОБЪЕКТЫ'!$B$8=1,IFERROR('ОБЪЕКТЫ'!$B$28*'ОБЪЕКТЫ'!BD22/'ОБЪЕКТЫ'!$B$22,0),0)-IF('ОБЪЕКТЫ'!$B$36=1,IFERROR('ОБЪЕКТЫ'!$B$56*'ОБЪЕКТЫ'!BD50/'ОБЪЕКТЫ'!$B$50,0),0)-IF('ОБЪЕКТЫ'!$B$64=1,IFERROR('ОБЪЕКТЫ'!$B$84*'ОБЪЕКТЫ'!BD78/'ОБЪЕКТЫ'!$B$78,0),0)-BD53-BD57-BD21</x:f>
      </x:c>
      <x:c r="BE22" s="117">
        <x:f>BE10-IFERROR((SUM($D$20:$GA$20)-'ОБЪЕКТЫ'!$B$96)*('Продажи'!BE14+'Продажи'!BE17+'Продажи'!BE20+'Продажи'!BE23)/(SUM('Продажи'!$D$14:$GA$14)+SUM('Продажи'!$D$17:$GA$17)+SUM('Продажи'!$D$20:$GA$20)+SUM('Продажи'!$D$23:$GA$23)),0)-IF('ОБЪЕКТЫ'!$B$8=1,IFERROR('ОБЪЕКТЫ'!$B$28*'ОБЪЕКТЫ'!BE22/'ОБЪЕКТЫ'!$B$22,0),0)-IF('ОБЪЕКТЫ'!$B$36=1,IFERROR('ОБЪЕКТЫ'!$B$56*'ОБЪЕКТЫ'!BE50/'ОБЪЕКТЫ'!$B$50,0),0)-IF('ОБЪЕКТЫ'!$B$64=1,IFERROR('ОБЪЕКТЫ'!$B$84*'ОБЪЕКТЫ'!BE78/'ОБЪЕКТЫ'!$B$78,0),0)-BE53-BE57-BE21</x:f>
      </x:c>
      <x:c r="BF22" s="117">
        <x:f>BF10-IFERROR((SUM($D$20:$GA$20)-'ОБЪЕКТЫ'!$B$96)*('Продажи'!BF14+'Продажи'!BF17+'Продажи'!BF20+'Продажи'!BF23)/(SUM('Продажи'!$D$14:$GA$14)+SUM('Продажи'!$D$17:$GA$17)+SUM('Продажи'!$D$20:$GA$20)+SUM('Продажи'!$D$23:$GA$23)),0)-IF('ОБЪЕКТЫ'!$B$8=1,IFERROR('ОБЪЕКТЫ'!$B$28*'ОБЪЕКТЫ'!BF22/'ОБЪЕКТЫ'!$B$22,0),0)-IF('ОБЪЕКТЫ'!$B$36=1,IFERROR('ОБЪЕКТЫ'!$B$56*'ОБЪЕКТЫ'!BF50/'ОБЪЕКТЫ'!$B$50,0),0)-IF('ОБЪЕКТЫ'!$B$64=1,IFERROR('ОБЪЕКТЫ'!$B$84*'ОБЪЕКТЫ'!BF78/'ОБЪЕКТЫ'!$B$78,0),0)-BF53-BF57-BF21</x:f>
      </x:c>
      <x:c r="BG22" s="117">
        <x:f>BG10-IFERROR((SUM($D$20:$GA$20)-'ОБЪЕКТЫ'!$B$96)*('Продажи'!BG14+'Продажи'!BG17+'Продажи'!BG20+'Продажи'!BG23)/(SUM('Продажи'!$D$14:$GA$14)+SUM('Продажи'!$D$17:$GA$17)+SUM('Продажи'!$D$20:$GA$20)+SUM('Продажи'!$D$23:$GA$23)),0)-IF('ОБЪЕКТЫ'!$B$8=1,IFERROR('ОБЪЕКТЫ'!$B$28*'ОБЪЕКТЫ'!BG22/'ОБЪЕКТЫ'!$B$22,0),0)-IF('ОБЪЕКТЫ'!$B$36=1,IFERROR('ОБЪЕКТЫ'!$B$56*'ОБЪЕКТЫ'!BG50/'ОБЪЕКТЫ'!$B$50,0),0)-IF('ОБЪЕКТЫ'!$B$64=1,IFERROR('ОБЪЕКТЫ'!$B$84*'ОБЪЕКТЫ'!BG78/'ОБЪЕКТЫ'!$B$78,0),0)-BG53-BG57-BG21</x:f>
      </x:c>
      <x:c r="BH22" s="117">
        <x:f>BH10-IFERROR((SUM($D$20:$GA$20)-'ОБЪЕКТЫ'!$B$96)*('Продажи'!BH14+'Продажи'!BH17+'Продажи'!BH20+'Продажи'!BH23)/(SUM('Продажи'!$D$14:$GA$14)+SUM('Продажи'!$D$17:$GA$17)+SUM('Продажи'!$D$20:$GA$20)+SUM('Продажи'!$D$23:$GA$23)),0)-IF('ОБЪЕКТЫ'!$B$8=1,IFERROR('ОБЪЕКТЫ'!$B$28*'ОБЪЕКТЫ'!BH22/'ОБЪЕКТЫ'!$B$22,0),0)-IF('ОБЪЕКТЫ'!$B$36=1,IFERROR('ОБЪЕКТЫ'!$B$56*'ОБЪЕКТЫ'!BH50/'ОБЪЕКТЫ'!$B$50,0),0)-IF('ОБЪЕКТЫ'!$B$64=1,IFERROR('ОБЪЕКТЫ'!$B$84*'ОБЪЕКТЫ'!BH78/'ОБЪЕКТЫ'!$B$78,0),0)-BH53-BH57-BH21</x:f>
      </x:c>
      <x:c r="BI22" s="117">
        <x:f>BI10-IFERROR((SUM($D$20:$GA$20)-'ОБЪЕКТЫ'!$B$96)*('Продажи'!BI14+'Продажи'!BI17+'Продажи'!BI20+'Продажи'!BI23)/(SUM('Продажи'!$D$14:$GA$14)+SUM('Продажи'!$D$17:$GA$17)+SUM('Продажи'!$D$20:$GA$20)+SUM('Продажи'!$D$23:$GA$23)),0)-IF('ОБЪЕКТЫ'!$B$8=1,IFERROR('ОБЪЕКТЫ'!$B$28*'ОБЪЕКТЫ'!BI22/'ОБЪЕКТЫ'!$B$22,0),0)-IF('ОБЪЕКТЫ'!$B$36=1,IFERROR('ОБЪЕКТЫ'!$B$56*'ОБЪЕКТЫ'!BI50/'ОБЪЕКТЫ'!$B$50,0),0)-IF('ОБЪЕКТЫ'!$B$64=1,IFERROR('ОБЪЕКТЫ'!$B$84*'ОБЪЕКТЫ'!BI78/'ОБЪЕКТЫ'!$B$78,0),0)-BI53-BI57-BI21</x:f>
      </x:c>
      <x:c r="BJ22" s="117">
        <x:f>BJ10-IFERROR((SUM($D$20:$GA$20)-'ОБЪЕКТЫ'!$B$96)*('Продажи'!BJ14+'Продажи'!BJ17+'Продажи'!BJ20+'Продажи'!BJ23)/(SUM('Продажи'!$D$14:$GA$14)+SUM('Продажи'!$D$17:$GA$17)+SUM('Продажи'!$D$20:$GA$20)+SUM('Продажи'!$D$23:$GA$23)),0)-IF('ОБЪЕКТЫ'!$B$8=1,IFERROR('ОБЪЕКТЫ'!$B$28*'ОБЪЕКТЫ'!BJ22/'ОБЪЕКТЫ'!$B$22,0),0)-IF('ОБЪЕКТЫ'!$B$36=1,IFERROR('ОБЪЕКТЫ'!$B$56*'ОБЪЕКТЫ'!BJ50/'ОБЪЕКТЫ'!$B$50,0),0)-IF('ОБЪЕКТЫ'!$B$64=1,IFERROR('ОБЪЕКТЫ'!$B$84*'ОБЪЕКТЫ'!BJ78/'ОБЪЕКТЫ'!$B$78,0),0)-BJ53-BJ57-BJ21</x:f>
      </x:c>
      <x:c r="BK22" s="117">
        <x:f>BK10-IFERROR((SUM($D$20:$GA$20)-'ОБЪЕКТЫ'!$B$96)*('Продажи'!BK14+'Продажи'!BK17+'Продажи'!BK20+'Продажи'!BK23)/(SUM('Продажи'!$D$14:$GA$14)+SUM('Продажи'!$D$17:$GA$17)+SUM('Продажи'!$D$20:$GA$20)+SUM('Продажи'!$D$23:$GA$23)),0)-IF('ОБЪЕКТЫ'!$B$8=1,IFERROR('ОБЪЕКТЫ'!$B$28*'ОБЪЕКТЫ'!BK22/'ОБЪЕКТЫ'!$B$22,0),0)-IF('ОБЪЕКТЫ'!$B$36=1,IFERROR('ОБЪЕКТЫ'!$B$56*'ОБЪЕКТЫ'!BK50/'ОБЪЕКТЫ'!$B$50,0),0)-IF('ОБЪЕКТЫ'!$B$64=1,IFERROR('ОБЪЕКТЫ'!$B$84*'ОБЪЕКТЫ'!BK78/'ОБЪЕКТЫ'!$B$78,0),0)-BK53-BK57-BK21</x:f>
      </x:c>
      <x:c r="BL22" s="117">
        <x:f>BL10-IFERROR((SUM($D$20:$GA$20)-'ОБЪЕКТЫ'!$B$96)*('Продажи'!BL14+'Продажи'!BL17+'Продажи'!BL20+'Продажи'!BL23)/(SUM('Продажи'!$D$14:$GA$14)+SUM('Продажи'!$D$17:$GA$17)+SUM('Продажи'!$D$20:$GA$20)+SUM('Продажи'!$D$23:$GA$23)),0)-IF('ОБЪЕКТЫ'!$B$8=1,IFERROR('ОБЪЕКТЫ'!$B$28*'ОБЪЕКТЫ'!BL22/'ОБЪЕКТЫ'!$B$22,0),0)-IF('ОБЪЕКТЫ'!$B$36=1,IFERROR('ОБЪЕКТЫ'!$B$56*'ОБЪЕКТЫ'!BL50/'ОБЪЕКТЫ'!$B$50,0),0)-IF('ОБЪЕКТЫ'!$B$64=1,IFERROR('ОБЪЕКТЫ'!$B$84*'ОБЪЕКТЫ'!BL78/'ОБЪЕКТЫ'!$B$78,0),0)-BL53-BL57-BL21</x:f>
      </x:c>
      <x:c r="BM22" s="117">
        <x:f>BM10-IFERROR((SUM($D$20:$GA$20)-'ОБЪЕКТЫ'!$B$96)*('Продажи'!BM14+'Продажи'!BM17+'Продажи'!BM20+'Продажи'!BM23)/(SUM('Продажи'!$D$14:$GA$14)+SUM('Продажи'!$D$17:$GA$17)+SUM('Продажи'!$D$20:$GA$20)+SUM('Продажи'!$D$23:$GA$23)),0)-IF('ОБЪЕКТЫ'!$B$8=1,IFERROR('ОБЪЕКТЫ'!$B$28*'ОБЪЕКТЫ'!BM22/'ОБЪЕКТЫ'!$B$22,0),0)-IF('ОБЪЕКТЫ'!$B$36=1,IFERROR('ОБЪЕКТЫ'!$B$56*'ОБЪЕКТЫ'!BM50/'ОБЪЕКТЫ'!$B$50,0),0)-IF('ОБЪЕКТЫ'!$B$64=1,IFERROR('ОБЪЕКТЫ'!$B$84*'ОБЪЕКТЫ'!BM78/'ОБЪЕКТЫ'!$B$78,0),0)-BM53-BM57-BM21</x:f>
      </x:c>
      <x:c r="BN22" s="117">
        <x:f>BN10-IFERROR((SUM($D$20:$GA$20)-'ОБЪЕКТЫ'!$B$96)*('Продажи'!BN14+'Продажи'!BN17+'Продажи'!BN20+'Продажи'!BN23)/(SUM('Продажи'!$D$14:$GA$14)+SUM('Продажи'!$D$17:$GA$17)+SUM('Продажи'!$D$20:$GA$20)+SUM('Продажи'!$D$23:$GA$23)),0)-IF('ОБЪЕКТЫ'!$B$8=1,IFERROR('ОБЪЕКТЫ'!$B$28*'ОБЪЕКТЫ'!BN22/'ОБЪЕКТЫ'!$B$22,0),0)-IF('ОБЪЕКТЫ'!$B$36=1,IFERROR('ОБЪЕКТЫ'!$B$56*'ОБЪЕКТЫ'!BN50/'ОБЪЕКТЫ'!$B$50,0),0)-IF('ОБЪЕКТЫ'!$B$64=1,IFERROR('ОБЪЕКТЫ'!$B$84*'ОБЪЕКТЫ'!BN78/'ОБЪЕКТЫ'!$B$78,0),0)-BN53-BN57-BN21</x:f>
      </x:c>
      <x:c r="BO22" s="117">
        <x:f>BO10-IFERROR((SUM($D$20:$GA$20)-'ОБЪЕКТЫ'!$B$96)*('Продажи'!BO14+'Продажи'!BO17+'Продажи'!BO20+'Продажи'!BO23)/(SUM('Продажи'!$D$14:$GA$14)+SUM('Продажи'!$D$17:$GA$17)+SUM('Продажи'!$D$20:$GA$20)+SUM('Продажи'!$D$23:$GA$23)),0)-IF('ОБЪЕКТЫ'!$B$8=1,IFERROR('ОБЪЕКТЫ'!$B$28*'ОБЪЕКТЫ'!BO22/'ОБЪЕКТЫ'!$B$22,0),0)-IF('ОБЪЕКТЫ'!$B$36=1,IFERROR('ОБЪЕКТЫ'!$B$56*'ОБЪЕКТЫ'!BO50/'ОБЪЕКТЫ'!$B$50,0),0)-IF('ОБЪЕКТЫ'!$B$64=1,IFERROR('ОБЪЕКТЫ'!$B$84*'ОБЪЕКТЫ'!BO78/'ОБЪЕКТЫ'!$B$78,0),0)-BO53-BO57-BO21</x:f>
      </x:c>
      <x:c r="BP22" s="117">
        <x:f>BP10-IFERROR((SUM($D$20:$GA$20)-'ОБЪЕКТЫ'!$B$96)*('Продажи'!BP14+'Продажи'!BP17+'Продажи'!BP20+'Продажи'!BP23)/(SUM('Продажи'!$D$14:$GA$14)+SUM('Продажи'!$D$17:$GA$17)+SUM('Продажи'!$D$20:$GA$20)+SUM('Продажи'!$D$23:$GA$23)),0)-IF('ОБЪЕКТЫ'!$B$8=1,IFERROR('ОБЪЕКТЫ'!$B$28*'ОБЪЕКТЫ'!BP22/'ОБЪЕКТЫ'!$B$22,0),0)-IF('ОБЪЕКТЫ'!$B$36=1,IFERROR('ОБЪЕКТЫ'!$B$56*'ОБЪЕКТЫ'!BP50/'ОБЪЕКТЫ'!$B$50,0),0)-IF('ОБЪЕКТЫ'!$B$64=1,IFERROR('ОБЪЕКТЫ'!$B$84*'ОБЪЕКТЫ'!BP78/'ОБЪЕКТЫ'!$B$78,0),0)-BP53-BP57-BP21</x:f>
      </x:c>
      <x:c r="BQ22" s="117">
        <x:f>BQ10-IFERROR((SUM($D$20:$GA$20)-'ОБЪЕКТЫ'!$B$96)*('Продажи'!BQ14+'Продажи'!BQ17+'Продажи'!BQ20+'Продажи'!BQ23)/(SUM('Продажи'!$D$14:$GA$14)+SUM('Продажи'!$D$17:$GA$17)+SUM('Продажи'!$D$20:$GA$20)+SUM('Продажи'!$D$23:$GA$23)),0)-IF('ОБЪЕКТЫ'!$B$8=1,IFERROR('ОБЪЕКТЫ'!$B$28*'ОБЪЕКТЫ'!BQ22/'ОБЪЕКТЫ'!$B$22,0),0)-IF('ОБЪЕКТЫ'!$B$36=1,IFERROR('ОБЪЕКТЫ'!$B$56*'ОБЪЕКТЫ'!BQ50/'ОБЪЕКТЫ'!$B$50,0),0)-IF('ОБЪЕКТЫ'!$B$64=1,IFERROR('ОБЪЕКТЫ'!$B$84*'ОБЪЕКТЫ'!BQ78/'ОБЪЕКТЫ'!$B$78,0),0)-BQ53-BQ57-BQ21</x:f>
      </x:c>
      <x:c r="BR22" s="117">
        <x:f>BR10-IFERROR((SUM($D$20:$GA$20)-'ОБЪЕКТЫ'!$B$96)*('Продажи'!BR14+'Продажи'!BR17+'Продажи'!BR20+'Продажи'!BR23)/(SUM('Продажи'!$D$14:$GA$14)+SUM('Продажи'!$D$17:$GA$17)+SUM('Продажи'!$D$20:$GA$20)+SUM('Продажи'!$D$23:$GA$23)),0)-IF('ОБЪЕКТЫ'!$B$8=1,IFERROR('ОБЪЕКТЫ'!$B$28*'ОБЪЕКТЫ'!BR22/'ОБЪЕКТЫ'!$B$22,0),0)-IF('ОБЪЕКТЫ'!$B$36=1,IFERROR('ОБЪЕКТЫ'!$B$56*'ОБЪЕКТЫ'!BR50/'ОБЪЕКТЫ'!$B$50,0),0)-IF('ОБЪЕКТЫ'!$B$64=1,IFERROR('ОБЪЕКТЫ'!$B$84*'ОБЪЕКТЫ'!BR78/'ОБЪЕКТЫ'!$B$78,0),0)-BR53-BR57-BR21</x:f>
      </x:c>
      <x:c r="BS22" s="117">
        <x:f>BS10-IFERROR((SUM($D$20:$GA$20)-'ОБЪЕКТЫ'!$B$96)*('Продажи'!BS14+'Продажи'!BS17+'Продажи'!BS20+'Продажи'!BS23)/(SUM('Продажи'!$D$14:$GA$14)+SUM('Продажи'!$D$17:$GA$17)+SUM('Продажи'!$D$20:$GA$20)+SUM('Продажи'!$D$23:$GA$23)),0)-IF('ОБЪЕКТЫ'!$B$8=1,IFERROR('ОБЪЕКТЫ'!$B$28*'ОБЪЕКТЫ'!BS22/'ОБЪЕКТЫ'!$B$22,0),0)-IF('ОБЪЕКТЫ'!$B$36=1,IFERROR('ОБЪЕКТЫ'!$B$56*'ОБЪЕКТЫ'!BS50/'ОБЪЕКТЫ'!$B$50,0),0)-IF('ОБЪЕКТЫ'!$B$64=1,IFERROR('ОБЪЕКТЫ'!$B$84*'ОБЪЕКТЫ'!BS78/'ОБЪЕКТЫ'!$B$78,0),0)-BS53-BS57-BS21</x:f>
      </x:c>
      <x:c r="BT22" s="117">
        <x:f>BT10-IFERROR((SUM($D$20:$GA$20)-'ОБЪЕКТЫ'!$B$96)*('Продажи'!BT14+'Продажи'!BT17+'Продажи'!BT20+'Продажи'!BT23)/(SUM('Продажи'!$D$14:$GA$14)+SUM('Продажи'!$D$17:$GA$17)+SUM('Продажи'!$D$20:$GA$20)+SUM('Продажи'!$D$23:$GA$23)),0)-IF('ОБЪЕКТЫ'!$B$8=1,IFERROR('ОБЪЕКТЫ'!$B$28*'ОБЪЕКТЫ'!BT22/'ОБЪЕКТЫ'!$B$22,0),0)-IF('ОБЪЕКТЫ'!$B$36=1,IFERROR('ОБЪЕКТЫ'!$B$56*'ОБЪЕКТЫ'!BT50/'ОБЪЕКТЫ'!$B$50,0),0)-IF('ОБЪЕКТЫ'!$B$64=1,IFERROR('ОБЪЕКТЫ'!$B$84*'ОБЪЕКТЫ'!BT78/'ОБЪЕКТЫ'!$B$78,0),0)-BT53-BT57-BT21</x:f>
      </x:c>
      <x:c r="BU22" s="117">
        <x:f>BU10-IFERROR((SUM($D$20:$GA$20)-'ОБЪЕКТЫ'!$B$96)*('Продажи'!BU14+'Продажи'!BU17+'Продажи'!BU20+'Продажи'!BU23)/(SUM('Продажи'!$D$14:$GA$14)+SUM('Продажи'!$D$17:$GA$17)+SUM('Продажи'!$D$20:$GA$20)+SUM('Продажи'!$D$23:$GA$23)),0)-IF('ОБЪЕКТЫ'!$B$8=1,IFERROR('ОБЪЕКТЫ'!$B$28*'ОБЪЕКТЫ'!BU22/'ОБЪЕКТЫ'!$B$22,0),0)-IF('ОБЪЕКТЫ'!$B$36=1,IFERROR('ОБЪЕКТЫ'!$B$56*'ОБЪЕКТЫ'!BU50/'ОБЪЕКТЫ'!$B$50,0),0)-IF('ОБЪЕКТЫ'!$B$64=1,IFERROR('ОБЪЕКТЫ'!$B$84*'ОБЪЕКТЫ'!BU78/'ОБЪЕКТЫ'!$B$78,0),0)-BU53-BU57-BU21</x:f>
      </x:c>
      <x:c r="BV22" s="117">
        <x:f>BV10-IFERROR((SUM($D$20:$GA$20)-'ОБЪЕКТЫ'!$B$96)*('Продажи'!BV14+'Продажи'!BV17+'Продажи'!BV20+'Продажи'!BV23)/(SUM('Продажи'!$D$14:$GA$14)+SUM('Продажи'!$D$17:$GA$17)+SUM('Продажи'!$D$20:$GA$20)+SUM('Продажи'!$D$23:$GA$23)),0)-IF('ОБЪЕКТЫ'!$B$8=1,IFERROR('ОБЪЕКТЫ'!$B$28*'ОБЪЕКТЫ'!BV22/'ОБЪЕКТЫ'!$B$22,0),0)-IF('ОБЪЕКТЫ'!$B$36=1,IFERROR('ОБЪЕКТЫ'!$B$56*'ОБЪЕКТЫ'!BV50/'ОБЪЕКТЫ'!$B$50,0),0)-IF('ОБЪЕКТЫ'!$B$64=1,IFERROR('ОБЪЕКТЫ'!$B$84*'ОБЪЕКТЫ'!BV78/'ОБЪЕКТЫ'!$B$78,0),0)-BV53-BV57-BV21</x:f>
      </x:c>
      <x:c r="BW22" s="117">
        <x:f>BW10-IFERROR((SUM($D$20:$GA$20)-'ОБЪЕКТЫ'!$B$96)*('Продажи'!BW14+'Продажи'!BW17+'Продажи'!BW20+'Продажи'!BW23)/(SUM('Продажи'!$D$14:$GA$14)+SUM('Продажи'!$D$17:$GA$17)+SUM('Продажи'!$D$20:$GA$20)+SUM('Продажи'!$D$23:$GA$23)),0)-IF('ОБЪЕКТЫ'!$B$8=1,IFERROR('ОБЪЕКТЫ'!$B$28*'ОБЪЕКТЫ'!BW22/'ОБЪЕКТЫ'!$B$22,0),0)-IF('ОБЪЕКТЫ'!$B$36=1,IFERROR('ОБЪЕКТЫ'!$B$56*'ОБЪЕКТЫ'!BW50/'ОБЪЕКТЫ'!$B$50,0),0)-IF('ОБЪЕКТЫ'!$B$64=1,IFERROR('ОБЪЕКТЫ'!$B$84*'ОБЪЕКТЫ'!BW78/'ОБЪЕКТЫ'!$B$78,0),0)-BW53-BW57-BW21</x:f>
      </x:c>
      <x:c r="BX22" s="117">
        <x:f>BX10-IFERROR((SUM($D$20:$GA$20)-'ОБЪЕКТЫ'!$B$96)*('Продажи'!BX14+'Продажи'!BX17+'Продажи'!BX20+'Продажи'!BX23)/(SUM('Продажи'!$D$14:$GA$14)+SUM('Продажи'!$D$17:$GA$17)+SUM('Продажи'!$D$20:$GA$20)+SUM('Продажи'!$D$23:$GA$23)),0)-IF('ОБЪЕКТЫ'!$B$8=1,IFERROR('ОБЪЕКТЫ'!$B$28*'ОБЪЕКТЫ'!BX22/'ОБЪЕКТЫ'!$B$22,0),0)-IF('ОБЪЕКТЫ'!$B$36=1,IFERROR('ОБЪЕКТЫ'!$B$56*'ОБЪЕКТЫ'!BX50/'ОБЪЕКТЫ'!$B$50,0),0)-IF('ОБЪЕКТЫ'!$B$64=1,IFERROR('ОБЪЕКТЫ'!$B$84*'ОБЪЕКТЫ'!BX78/'ОБЪЕКТЫ'!$B$78,0),0)-BX53-BX57-BX21</x:f>
      </x:c>
      <x:c r="BY22" s="117">
        <x:f>BY10-IFERROR((SUM($D$20:$GA$20)-'ОБЪЕКТЫ'!$B$96)*('Продажи'!BY14+'Продажи'!BY17+'Продажи'!BY20+'Продажи'!BY23)/(SUM('Продажи'!$D$14:$GA$14)+SUM('Продажи'!$D$17:$GA$17)+SUM('Продажи'!$D$20:$GA$20)+SUM('Продажи'!$D$23:$GA$23)),0)-IF('ОБЪЕКТЫ'!$B$8=1,IFERROR('ОБЪЕКТЫ'!$B$28*'ОБЪЕКТЫ'!BY22/'ОБЪЕКТЫ'!$B$22,0),0)-IF('ОБЪЕКТЫ'!$B$36=1,IFERROR('ОБЪЕКТЫ'!$B$56*'ОБЪЕКТЫ'!BY50/'ОБЪЕКТЫ'!$B$50,0),0)-IF('ОБЪЕКТЫ'!$B$64=1,IFERROR('ОБЪЕКТЫ'!$B$84*'ОБЪЕКТЫ'!BY78/'ОБЪЕКТЫ'!$B$78,0),0)-BY53-BY57-BY21</x:f>
      </x:c>
      <x:c r="BZ22" s="117">
        <x:f>BZ10-IFERROR((SUM($D$20:$GA$20)-'ОБЪЕКТЫ'!$B$96)*('Продажи'!BZ14+'Продажи'!BZ17+'Продажи'!BZ20+'Продажи'!BZ23)/(SUM('Продажи'!$D$14:$GA$14)+SUM('Продажи'!$D$17:$GA$17)+SUM('Продажи'!$D$20:$GA$20)+SUM('Продажи'!$D$23:$GA$23)),0)-IF('ОБЪЕКТЫ'!$B$8=1,IFERROR('ОБЪЕКТЫ'!$B$28*'ОБЪЕКТЫ'!BZ22/'ОБЪЕКТЫ'!$B$22,0),0)-IF('ОБЪЕКТЫ'!$B$36=1,IFERROR('ОБЪЕКТЫ'!$B$56*'ОБЪЕКТЫ'!BZ50/'ОБЪЕКТЫ'!$B$50,0),0)-IF('ОБЪЕКТЫ'!$B$64=1,IFERROR('ОБЪЕКТЫ'!$B$84*'ОБЪЕКТЫ'!BZ78/'ОБЪЕКТЫ'!$B$78,0),0)-BZ53-BZ57-BZ21</x:f>
      </x:c>
      <x:c r="CA22" s="117">
        <x:f>CA10-IFERROR((SUM($D$20:$GA$20)-'ОБЪЕКТЫ'!$B$96)*('Продажи'!CA14+'Продажи'!CA17+'Продажи'!CA20+'Продажи'!CA23)/(SUM('Продажи'!$D$14:$GA$14)+SUM('Продажи'!$D$17:$GA$17)+SUM('Продажи'!$D$20:$GA$20)+SUM('Продажи'!$D$23:$GA$23)),0)-IF('ОБЪЕКТЫ'!$B$8=1,IFERROR('ОБЪЕКТЫ'!$B$28*'ОБЪЕКТЫ'!CA22/'ОБЪЕКТЫ'!$B$22,0),0)-IF('ОБЪЕКТЫ'!$B$36=1,IFERROR('ОБЪЕКТЫ'!$B$56*'ОБЪЕКТЫ'!CA50/'ОБЪЕКТЫ'!$B$50,0),0)-IF('ОБЪЕКТЫ'!$B$64=1,IFERROR('ОБЪЕКТЫ'!$B$84*'ОБЪЕКТЫ'!CA78/'ОБЪЕКТЫ'!$B$78,0),0)-CA53-CA57-CA21</x:f>
      </x:c>
      <x:c r="CB22" s="117">
        <x:f>CB10-IFERROR((SUM($D$20:$GA$20)-'ОБЪЕКТЫ'!$B$96)*('Продажи'!CB14+'Продажи'!CB17+'Продажи'!CB20+'Продажи'!CB23)/(SUM('Продажи'!$D$14:$GA$14)+SUM('Продажи'!$D$17:$GA$17)+SUM('Продажи'!$D$20:$GA$20)+SUM('Продажи'!$D$23:$GA$23)),0)-IF('ОБЪЕКТЫ'!$B$8=1,IFERROR('ОБЪЕКТЫ'!$B$28*'ОБЪЕКТЫ'!CB22/'ОБЪЕКТЫ'!$B$22,0),0)-IF('ОБЪЕКТЫ'!$B$36=1,IFERROR('ОБЪЕКТЫ'!$B$56*'ОБЪЕКТЫ'!CB50/'ОБЪЕКТЫ'!$B$50,0),0)-IF('ОБЪЕКТЫ'!$B$64=1,IFERROR('ОБЪЕКТЫ'!$B$84*'ОБЪЕКТЫ'!CB78/'ОБЪЕКТЫ'!$B$78,0),0)-CB53-CB57-CB21</x:f>
      </x:c>
      <x:c r="CC22" s="117">
        <x:f>CC10-IFERROR((SUM($D$20:$GA$20)-'ОБЪЕКТЫ'!$B$96)*('Продажи'!CC14+'Продажи'!CC17+'Продажи'!CC20+'Продажи'!CC23)/(SUM('Продажи'!$D$14:$GA$14)+SUM('Продажи'!$D$17:$GA$17)+SUM('Продажи'!$D$20:$GA$20)+SUM('Продажи'!$D$23:$GA$23)),0)-IF('ОБЪЕКТЫ'!$B$8=1,IFERROR('ОБЪЕКТЫ'!$B$28*'ОБЪЕКТЫ'!CC22/'ОБЪЕКТЫ'!$B$22,0),0)-IF('ОБЪЕКТЫ'!$B$36=1,IFERROR('ОБЪЕКТЫ'!$B$56*'ОБЪЕКТЫ'!CC50/'ОБЪЕКТЫ'!$B$50,0),0)-IF('ОБЪЕКТЫ'!$B$64=1,IFERROR('ОБЪЕКТЫ'!$B$84*'ОБЪЕКТЫ'!CC78/'ОБЪЕКТЫ'!$B$78,0),0)-CC53-CC57-CC21</x:f>
      </x:c>
      <x:c r="CD22" s="117">
        <x:f>CD10-IFERROR((SUM($D$20:$GA$20)-'ОБЪЕКТЫ'!$B$96)*('Продажи'!CD14+'Продажи'!CD17+'Продажи'!CD20+'Продажи'!CD23)/(SUM('Продажи'!$D$14:$GA$14)+SUM('Продажи'!$D$17:$GA$17)+SUM('Продажи'!$D$20:$GA$20)+SUM('Продажи'!$D$23:$GA$23)),0)-IF('ОБЪЕКТЫ'!$B$8=1,IFERROR('ОБЪЕКТЫ'!$B$28*'ОБЪЕКТЫ'!CD22/'ОБЪЕКТЫ'!$B$22,0),0)-IF('ОБЪЕКТЫ'!$B$36=1,IFERROR('ОБЪЕКТЫ'!$B$56*'ОБЪЕКТЫ'!CD50/'ОБЪЕКТЫ'!$B$50,0),0)-IF('ОБЪЕКТЫ'!$B$64=1,IFERROR('ОБЪЕКТЫ'!$B$84*'ОБЪЕКТЫ'!CD78/'ОБЪЕКТЫ'!$B$78,0),0)-CD53-CD57-CD21</x:f>
      </x:c>
      <x:c r="CE22" s="117">
        <x:f>CE10-IFERROR((SUM($D$20:$GA$20)-'ОБЪЕКТЫ'!$B$96)*('Продажи'!CE14+'Продажи'!CE17+'Продажи'!CE20+'Продажи'!CE23)/(SUM('Продажи'!$D$14:$GA$14)+SUM('Продажи'!$D$17:$GA$17)+SUM('Продажи'!$D$20:$GA$20)+SUM('Продажи'!$D$23:$GA$23)),0)-IF('ОБЪЕКТЫ'!$B$8=1,IFERROR('ОБЪЕКТЫ'!$B$28*'ОБЪЕКТЫ'!CE22/'ОБЪЕКТЫ'!$B$22,0),0)-IF('ОБЪЕКТЫ'!$B$36=1,IFERROR('ОБЪЕКТЫ'!$B$56*'ОБЪЕКТЫ'!CE50/'ОБЪЕКТЫ'!$B$50,0),0)-IF('ОБЪЕКТЫ'!$B$64=1,IFERROR('ОБЪЕКТЫ'!$B$84*'ОБЪЕКТЫ'!CE78/'ОБЪЕКТЫ'!$B$78,0),0)-CE53-CE57-CE21</x:f>
      </x:c>
      <x:c r="CF22" s="117">
        <x:f>CF10-IFERROR((SUM($D$20:$GA$20)-'ОБЪЕКТЫ'!$B$96)*('Продажи'!CF14+'Продажи'!CF17+'Продажи'!CF20+'Продажи'!CF23)/(SUM('Продажи'!$D$14:$GA$14)+SUM('Продажи'!$D$17:$GA$17)+SUM('Продажи'!$D$20:$GA$20)+SUM('Продажи'!$D$23:$GA$23)),0)-IF('ОБЪЕКТЫ'!$B$8=1,IFERROR('ОБЪЕКТЫ'!$B$28*'ОБЪЕКТЫ'!CF22/'ОБЪЕКТЫ'!$B$22,0),0)-IF('ОБЪЕКТЫ'!$B$36=1,IFERROR('ОБЪЕКТЫ'!$B$56*'ОБЪЕКТЫ'!CF50/'ОБЪЕКТЫ'!$B$50,0),0)-IF('ОБЪЕКТЫ'!$B$64=1,IFERROR('ОБЪЕКТЫ'!$B$84*'ОБЪЕКТЫ'!CF78/'ОБЪЕКТЫ'!$B$78,0),0)-CF53-CF57-CF21</x:f>
      </x:c>
      <x:c r="CG22" s="117">
        <x:f>CG10-IFERROR((SUM($D$20:$GA$20)-'ОБЪЕКТЫ'!$B$96)*('Продажи'!CG14+'Продажи'!CG17+'Продажи'!CG20+'Продажи'!CG23)/(SUM('Продажи'!$D$14:$GA$14)+SUM('Продажи'!$D$17:$GA$17)+SUM('Продажи'!$D$20:$GA$20)+SUM('Продажи'!$D$23:$GA$23)),0)-IF('ОБЪЕКТЫ'!$B$8=1,IFERROR('ОБЪЕКТЫ'!$B$28*'ОБЪЕКТЫ'!CG22/'ОБЪЕКТЫ'!$B$22,0),0)-IF('ОБЪЕКТЫ'!$B$36=1,IFERROR('ОБЪЕКТЫ'!$B$56*'ОБЪЕКТЫ'!CG50/'ОБЪЕКТЫ'!$B$50,0),0)-IF('ОБЪЕКТЫ'!$B$64=1,IFERROR('ОБЪЕКТЫ'!$B$84*'ОБЪЕКТЫ'!CG78/'ОБЪЕКТЫ'!$B$78,0),0)-CG53-CG57-CG21</x:f>
      </x:c>
      <x:c r="CH22" s="117">
        <x:f>CH10-IFERROR((SUM($D$20:$GA$20)-'ОБЪЕКТЫ'!$B$96)*('Продажи'!CH14+'Продажи'!CH17+'Продажи'!CH20+'Продажи'!CH23)/(SUM('Продажи'!$D$14:$GA$14)+SUM('Продажи'!$D$17:$GA$17)+SUM('Продажи'!$D$20:$GA$20)+SUM('Продажи'!$D$23:$GA$23)),0)-IF('ОБЪЕКТЫ'!$B$8=1,IFERROR('ОБЪЕКТЫ'!$B$28*'ОБЪЕКТЫ'!CH22/'ОБЪЕКТЫ'!$B$22,0),0)-IF('ОБЪЕКТЫ'!$B$36=1,IFERROR('ОБЪЕКТЫ'!$B$56*'ОБЪЕКТЫ'!CH50/'ОБЪЕКТЫ'!$B$50,0),0)-IF('ОБЪЕКТЫ'!$B$64=1,IFERROR('ОБЪЕКТЫ'!$B$84*'ОБЪЕКТЫ'!CH78/'ОБЪЕКТЫ'!$B$78,0),0)-CH53-CH57-CH21</x:f>
      </x:c>
      <x:c r="CI22" s="117">
        <x:f>CI10-IFERROR((SUM($D$20:$GA$20)-'ОБЪЕКТЫ'!$B$96)*('Продажи'!CI14+'Продажи'!CI17+'Продажи'!CI20+'Продажи'!CI23)/(SUM('Продажи'!$D$14:$GA$14)+SUM('Продажи'!$D$17:$GA$17)+SUM('Продажи'!$D$20:$GA$20)+SUM('Продажи'!$D$23:$GA$23)),0)-IF('ОБЪЕКТЫ'!$B$8=1,IFERROR('ОБЪЕКТЫ'!$B$28*'ОБЪЕКТЫ'!CI22/'ОБЪЕКТЫ'!$B$22,0),0)-IF('ОБЪЕКТЫ'!$B$36=1,IFERROR('ОБЪЕКТЫ'!$B$56*'ОБЪЕКТЫ'!CI50/'ОБЪЕКТЫ'!$B$50,0),0)-IF('ОБЪЕКТЫ'!$B$64=1,IFERROR('ОБЪЕКТЫ'!$B$84*'ОБЪЕКТЫ'!CI78/'ОБЪЕКТЫ'!$B$78,0),0)-CI53-CI57-CI21</x:f>
      </x:c>
      <x:c r="CJ22" s="117">
        <x:f>CJ10-IFERROR((SUM($D$20:$GA$20)-'ОБЪЕКТЫ'!$B$96)*('Продажи'!CJ14+'Продажи'!CJ17+'Продажи'!CJ20+'Продажи'!CJ23)/(SUM('Продажи'!$D$14:$GA$14)+SUM('Продажи'!$D$17:$GA$17)+SUM('Продажи'!$D$20:$GA$20)+SUM('Продажи'!$D$23:$GA$23)),0)-IF('ОБЪЕКТЫ'!$B$8=1,IFERROR('ОБЪЕКТЫ'!$B$28*'ОБЪЕКТЫ'!CJ22/'ОБЪЕКТЫ'!$B$22,0),0)-IF('ОБЪЕКТЫ'!$B$36=1,IFERROR('ОБЪЕКТЫ'!$B$56*'ОБЪЕКТЫ'!CJ50/'ОБЪЕКТЫ'!$B$50,0),0)-IF('ОБЪЕКТЫ'!$B$64=1,IFERROR('ОБЪЕКТЫ'!$B$84*'ОБЪЕКТЫ'!CJ78/'ОБЪЕКТЫ'!$B$78,0),0)-CJ53-CJ57-CJ21</x:f>
      </x:c>
      <x:c r="CK22" s="117">
        <x:f>CK10-IFERROR((SUM($D$20:$GA$20)-'ОБЪЕКТЫ'!$B$96)*('Продажи'!CK14+'Продажи'!CK17+'Продажи'!CK20+'Продажи'!CK23)/(SUM('Продажи'!$D$14:$GA$14)+SUM('Продажи'!$D$17:$GA$17)+SUM('Продажи'!$D$20:$GA$20)+SUM('Продажи'!$D$23:$GA$23)),0)-IF('ОБЪЕКТЫ'!$B$8=1,IFERROR('ОБЪЕКТЫ'!$B$28*'ОБЪЕКТЫ'!CK22/'ОБЪЕКТЫ'!$B$22,0),0)-IF('ОБЪЕКТЫ'!$B$36=1,IFERROR('ОБЪЕКТЫ'!$B$56*'ОБЪЕКТЫ'!CK50/'ОБЪЕКТЫ'!$B$50,0),0)-IF('ОБЪЕКТЫ'!$B$64=1,IFERROR('ОБЪЕКТЫ'!$B$84*'ОБЪЕКТЫ'!CK78/'ОБЪЕКТЫ'!$B$78,0),0)-CK53-CK57-CK21</x:f>
      </x:c>
      <x:c r="CL22" s="117">
        <x:f>CL10-IFERROR((SUM($D$20:$GA$20)-'ОБЪЕКТЫ'!$B$96)*('Продажи'!CL14+'Продажи'!CL17+'Продажи'!CL20+'Продажи'!CL23)/(SUM('Продажи'!$D$14:$GA$14)+SUM('Продажи'!$D$17:$GA$17)+SUM('Продажи'!$D$20:$GA$20)+SUM('Продажи'!$D$23:$GA$23)),0)-IF('ОБЪЕКТЫ'!$B$8=1,IFERROR('ОБЪЕКТЫ'!$B$28*'ОБЪЕКТЫ'!CL22/'ОБЪЕКТЫ'!$B$22,0),0)-IF('ОБЪЕКТЫ'!$B$36=1,IFERROR('ОБЪЕКТЫ'!$B$56*'ОБЪЕКТЫ'!CL50/'ОБЪЕКТЫ'!$B$50,0),0)-IF('ОБЪЕКТЫ'!$B$64=1,IFERROR('ОБЪЕКТЫ'!$B$84*'ОБЪЕКТЫ'!CL78/'ОБЪЕКТЫ'!$B$78,0),0)-CL53-CL57-CL21</x:f>
      </x:c>
      <x:c r="CM22" s="117">
        <x:f>CM10-IFERROR((SUM($D$20:$GA$20)-'ОБЪЕКТЫ'!$B$96)*('Продажи'!CM14+'Продажи'!CM17+'Продажи'!CM20+'Продажи'!CM23)/(SUM('Продажи'!$D$14:$GA$14)+SUM('Продажи'!$D$17:$GA$17)+SUM('Продажи'!$D$20:$GA$20)+SUM('Продажи'!$D$23:$GA$23)),0)-IF('ОБЪЕКТЫ'!$B$8=1,IFERROR('ОБЪЕКТЫ'!$B$28*'ОБЪЕКТЫ'!CM22/'ОБЪЕКТЫ'!$B$22,0),0)-IF('ОБЪЕКТЫ'!$B$36=1,IFERROR('ОБЪЕКТЫ'!$B$56*'ОБЪЕКТЫ'!CM50/'ОБЪЕКТЫ'!$B$50,0),0)-IF('ОБЪЕКТЫ'!$B$64=1,IFERROR('ОБЪЕКТЫ'!$B$84*'ОБЪЕКТЫ'!CM78/'ОБЪЕКТЫ'!$B$78,0),0)-CM53-CM57-CM21</x:f>
      </x:c>
      <x:c r="CN22" s="117">
        <x:f>CN10-IFERROR((SUM($D$20:$GA$20)-'ОБЪЕКТЫ'!$B$96)*('Продажи'!CN14+'Продажи'!CN17+'Продажи'!CN20+'Продажи'!CN23)/(SUM('Продажи'!$D$14:$GA$14)+SUM('Продажи'!$D$17:$GA$17)+SUM('Продажи'!$D$20:$GA$20)+SUM('Продажи'!$D$23:$GA$23)),0)-IF('ОБЪЕКТЫ'!$B$8=1,IFERROR('ОБЪЕКТЫ'!$B$28*'ОБЪЕКТЫ'!CN22/'ОБЪЕКТЫ'!$B$22,0),0)-IF('ОБЪЕКТЫ'!$B$36=1,IFERROR('ОБЪЕКТЫ'!$B$56*'ОБЪЕКТЫ'!CN50/'ОБЪЕКТЫ'!$B$50,0),0)-IF('ОБЪЕКТЫ'!$B$64=1,IFERROR('ОБЪЕКТЫ'!$B$84*'ОБЪЕКТЫ'!CN78/'ОБЪЕКТЫ'!$B$78,0),0)-CN53-CN57-CN21</x:f>
      </x:c>
      <x:c r="CO22" s="117">
        <x:f>CO10-IFERROR((SUM($D$20:$GA$20)-'ОБЪЕКТЫ'!$B$96)*('Продажи'!CO14+'Продажи'!CO17+'Продажи'!CO20+'Продажи'!CO23)/(SUM('Продажи'!$D$14:$GA$14)+SUM('Продажи'!$D$17:$GA$17)+SUM('Продажи'!$D$20:$GA$20)+SUM('Продажи'!$D$23:$GA$23)),0)-IF('ОБЪЕКТЫ'!$B$8=1,IFERROR('ОБЪЕКТЫ'!$B$28*'ОБЪЕКТЫ'!CO22/'ОБЪЕКТЫ'!$B$22,0),0)-IF('ОБЪЕКТЫ'!$B$36=1,IFERROR('ОБЪЕКТЫ'!$B$56*'ОБЪЕКТЫ'!CO50/'ОБЪЕКТЫ'!$B$50,0),0)-IF('ОБЪЕКТЫ'!$B$64=1,IFERROR('ОБЪЕКТЫ'!$B$84*'ОБЪЕКТЫ'!CO78/'ОБЪЕКТЫ'!$B$78,0),0)-CO53-CO57-CO21</x:f>
      </x:c>
      <x:c r="CP22" s="117">
        <x:f>CP10-IFERROR((SUM($D$20:$GA$20)-'ОБЪЕКТЫ'!$B$96)*('Продажи'!CP14+'Продажи'!CP17+'Продажи'!CP20+'Продажи'!CP23)/(SUM('Продажи'!$D$14:$GA$14)+SUM('Продажи'!$D$17:$GA$17)+SUM('Продажи'!$D$20:$GA$20)+SUM('Продажи'!$D$23:$GA$23)),0)-IF('ОБЪЕКТЫ'!$B$8=1,IFERROR('ОБЪЕКТЫ'!$B$28*'ОБЪЕКТЫ'!CP22/'ОБЪЕКТЫ'!$B$22,0),0)-IF('ОБЪЕКТЫ'!$B$36=1,IFERROR('ОБЪЕКТЫ'!$B$56*'ОБЪЕКТЫ'!CP50/'ОБЪЕКТЫ'!$B$50,0),0)-IF('ОБЪЕКТЫ'!$B$64=1,IFERROR('ОБЪЕКТЫ'!$B$84*'ОБЪЕКТЫ'!CP78/'ОБЪЕКТЫ'!$B$78,0),0)-CP53-CP57-CP21</x:f>
      </x:c>
      <x:c r="CQ22" s="117">
        <x:f>CQ10-IFERROR((SUM($D$20:$GA$20)-'ОБЪЕКТЫ'!$B$96)*('Продажи'!CQ14+'Продажи'!CQ17+'Продажи'!CQ20+'Продажи'!CQ23)/(SUM('Продажи'!$D$14:$GA$14)+SUM('Продажи'!$D$17:$GA$17)+SUM('Продажи'!$D$20:$GA$20)+SUM('Продажи'!$D$23:$GA$23)),0)-IF('ОБЪЕКТЫ'!$B$8=1,IFERROR('ОБЪЕКТЫ'!$B$28*'ОБЪЕКТЫ'!CQ22/'ОБЪЕКТЫ'!$B$22,0),0)-IF('ОБЪЕКТЫ'!$B$36=1,IFERROR('ОБЪЕКТЫ'!$B$56*'ОБЪЕКТЫ'!CQ50/'ОБЪЕКТЫ'!$B$50,0),0)-IF('ОБЪЕКТЫ'!$B$64=1,IFERROR('ОБЪЕКТЫ'!$B$84*'ОБЪЕКТЫ'!CQ78/'ОБЪЕКТЫ'!$B$78,0),0)-CQ53-CQ57-CQ21</x:f>
      </x:c>
      <x:c r="CR22" s="117">
        <x:f>CR10-IFERROR((SUM($D$20:$GA$20)-'ОБЪЕКТЫ'!$B$96)*('Продажи'!CR14+'Продажи'!CR17+'Продажи'!CR20+'Продажи'!CR23)/(SUM('Продажи'!$D$14:$GA$14)+SUM('Продажи'!$D$17:$GA$17)+SUM('Продажи'!$D$20:$GA$20)+SUM('Продажи'!$D$23:$GA$23)),0)-IF('ОБЪЕКТЫ'!$B$8=1,IFERROR('ОБЪЕКТЫ'!$B$28*'ОБЪЕКТЫ'!CR22/'ОБЪЕКТЫ'!$B$22,0),0)-IF('ОБЪЕКТЫ'!$B$36=1,IFERROR('ОБЪЕКТЫ'!$B$56*'ОБЪЕКТЫ'!CR50/'ОБЪЕКТЫ'!$B$50,0),0)-IF('ОБЪЕКТЫ'!$B$64=1,IFERROR('ОБЪЕКТЫ'!$B$84*'ОБЪЕКТЫ'!CR78/'ОБЪЕКТЫ'!$B$78,0),0)-CR53-CR57-CR21</x:f>
      </x:c>
      <x:c r="CS22" s="117">
        <x:f>CS10-IFERROR((SUM($D$20:$GA$20)-'ОБЪЕКТЫ'!$B$96)*('Продажи'!CS14+'Продажи'!CS17+'Продажи'!CS20+'Продажи'!CS23)/(SUM('Продажи'!$D$14:$GA$14)+SUM('Продажи'!$D$17:$GA$17)+SUM('Продажи'!$D$20:$GA$20)+SUM('Продажи'!$D$23:$GA$23)),0)-IF('ОБЪЕКТЫ'!$B$8=1,IFERROR('ОБЪЕКТЫ'!$B$28*'ОБЪЕКТЫ'!CS22/'ОБЪЕКТЫ'!$B$22,0),0)-IF('ОБЪЕКТЫ'!$B$36=1,IFERROR('ОБЪЕКТЫ'!$B$56*'ОБЪЕКТЫ'!CS50/'ОБЪЕКТЫ'!$B$50,0),0)-IF('ОБЪЕКТЫ'!$B$64=1,IFERROR('ОБЪЕКТЫ'!$B$84*'ОБЪЕКТЫ'!CS78/'ОБЪЕКТЫ'!$B$78,0),0)-CS53-CS57-CS21</x:f>
      </x:c>
      <x:c r="CT22" s="117">
        <x:f>CT10-IFERROR((SUM($D$20:$GA$20)-'ОБЪЕКТЫ'!$B$96)*('Продажи'!CT14+'Продажи'!CT17+'Продажи'!CT20+'Продажи'!CT23)/(SUM('Продажи'!$D$14:$GA$14)+SUM('Продажи'!$D$17:$GA$17)+SUM('Продажи'!$D$20:$GA$20)+SUM('Продажи'!$D$23:$GA$23)),0)-IF('ОБЪЕКТЫ'!$B$8=1,IFERROR('ОБЪЕКТЫ'!$B$28*'ОБЪЕКТЫ'!CT22/'ОБЪЕКТЫ'!$B$22,0),0)-IF('ОБЪЕКТЫ'!$B$36=1,IFERROR('ОБЪЕКТЫ'!$B$56*'ОБЪЕКТЫ'!CT50/'ОБЪЕКТЫ'!$B$50,0),0)-IF('ОБЪЕКТЫ'!$B$64=1,IFERROR('ОБЪЕКТЫ'!$B$84*'ОБЪЕКТЫ'!CT78/'ОБЪЕКТЫ'!$B$78,0),0)-CT53-CT57-CT21</x:f>
      </x:c>
      <x:c r="CU22" s="117">
        <x:f>CU10-IFERROR((SUM($D$20:$GA$20)-'ОБЪЕКТЫ'!$B$96)*('Продажи'!CU14+'Продажи'!CU17+'Продажи'!CU20+'Продажи'!CU23)/(SUM('Продажи'!$D$14:$GA$14)+SUM('Продажи'!$D$17:$GA$17)+SUM('Продажи'!$D$20:$GA$20)+SUM('Продажи'!$D$23:$GA$23)),0)-IF('ОБЪЕКТЫ'!$B$8=1,IFERROR('ОБЪЕКТЫ'!$B$28*'ОБЪЕКТЫ'!CU22/'ОБЪЕКТЫ'!$B$22,0),0)-IF('ОБЪЕКТЫ'!$B$36=1,IFERROR('ОБЪЕКТЫ'!$B$56*'ОБЪЕКТЫ'!CU50/'ОБЪЕКТЫ'!$B$50,0),0)-IF('ОБЪЕКТЫ'!$B$64=1,IFERROR('ОБЪЕКТЫ'!$B$84*'ОБЪЕКТЫ'!CU78/'ОБЪЕКТЫ'!$B$78,0),0)-CU53-CU57-CU21</x:f>
      </x:c>
      <x:c r="CV22" s="117">
        <x:f>CV10-IFERROR((SUM($D$20:$GA$20)-'ОБЪЕКТЫ'!$B$96)*('Продажи'!CV14+'Продажи'!CV17+'Продажи'!CV20+'Продажи'!CV23)/(SUM('Продажи'!$D$14:$GA$14)+SUM('Продажи'!$D$17:$GA$17)+SUM('Продажи'!$D$20:$GA$20)+SUM('Продажи'!$D$23:$GA$23)),0)-IF('ОБЪЕКТЫ'!$B$8=1,IFERROR('ОБЪЕКТЫ'!$B$28*'ОБЪЕКТЫ'!CV22/'ОБЪЕКТЫ'!$B$22,0),0)-IF('ОБЪЕКТЫ'!$B$36=1,IFERROR('ОБЪЕКТЫ'!$B$56*'ОБЪЕКТЫ'!CV50/'ОБЪЕКТЫ'!$B$50,0),0)-IF('ОБЪЕКТЫ'!$B$64=1,IFERROR('ОБЪЕКТЫ'!$B$84*'ОБЪЕКТЫ'!CV78/'ОБЪЕКТЫ'!$B$78,0),0)-CV53-CV57-CV21</x:f>
      </x:c>
      <x:c r="CW22" s="117">
        <x:f>CW10-IFERROR((SUM($D$20:$GA$20)-'ОБЪЕКТЫ'!$B$96)*('Продажи'!CW14+'Продажи'!CW17+'Продажи'!CW20+'Продажи'!CW23)/(SUM('Продажи'!$D$14:$GA$14)+SUM('Продажи'!$D$17:$GA$17)+SUM('Продажи'!$D$20:$GA$20)+SUM('Продажи'!$D$23:$GA$23)),0)-IF('ОБЪЕКТЫ'!$B$8=1,IFERROR('ОБЪЕКТЫ'!$B$28*'ОБЪЕКТЫ'!CW22/'ОБЪЕКТЫ'!$B$22,0),0)-IF('ОБЪЕКТЫ'!$B$36=1,IFERROR('ОБЪЕКТЫ'!$B$56*'ОБЪЕКТЫ'!CW50/'ОБЪЕКТЫ'!$B$50,0),0)-IF('ОБЪЕКТЫ'!$B$64=1,IFERROR('ОБЪЕКТЫ'!$B$84*'ОБЪЕКТЫ'!CW78/'ОБЪЕКТЫ'!$B$78,0),0)-CW53-CW57-CW21</x:f>
      </x:c>
      <x:c r="CX22" s="117">
        <x:f>CX10-IFERROR((SUM($D$20:$GA$20)-'ОБЪЕКТЫ'!$B$96)*('Продажи'!CX14+'Продажи'!CX17+'Продажи'!CX20+'Продажи'!CX23)/(SUM('Продажи'!$D$14:$GA$14)+SUM('Продажи'!$D$17:$GA$17)+SUM('Продажи'!$D$20:$GA$20)+SUM('Продажи'!$D$23:$GA$23)),0)-IF('ОБЪЕКТЫ'!$B$8=1,IFERROR('ОБЪЕКТЫ'!$B$28*'ОБЪЕКТЫ'!CX22/'ОБЪЕКТЫ'!$B$22,0),0)-IF('ОБЪЕКТЫ'!$B$36=1,IFERROR('ОБЪЕКТЫ'!$B$56*'ОБЪЕКТЫ'!CX50/'ОБЪЕКТЫ'!$B$50,0),0)-IF('ОБЪЕКТЫ'!$B$64=1,IFERROR('ОБЪЕКТЫ'!$B$84*'ОБЪЕКТЫ'!CX78/'ОБЪЕКТЫ'!$B$78,0),0)-CX53-CX57-CX21</x:f>
      </x:c>
      <x:c r="CY22" s="117">
        <x:f>CY10-IFERROR((SUM($D$20:$GA$20)-'ОБЪЕКТЫ'!$B$96)*('Продажи'!CY14+'Продажи'!CY17+'Продажи'!CY20+'Продажи'!CY23)/(SUM('Продажи'!$D$14:$GA$14)+SUM('Продажи'!$D$17:$GA$17)+SUM('Продажи'!$D$20:$GA$20)+SUM('Продажи'!$D$23:$GA$23)),0)-IF('ОБЪЕКТЫ'!$B$8=1,IFERROR('ОБЪЕКТЫ'!$B$28*'ОБЪЕКТЫ'!CY22/'ОБЪЕКТЫ'!$B$22,0),0)-IF('ОБЪЕКТЫ'!$B$36=1,IFERROR('ОБЪЕКТЫ'!$B$56*'ОБЪЕКТЫ'!CY50/'ОБЪЕКТЫ'!$B$50,0),0)-IF('ОБЪЕКТЫ'!$B$64=1,IFERROR('ОБЪЕКТЫ'!$B$84*'ОБЪЕКТЫ'!CY78/'ОБЪЕКТЫ'!$B$78,0),0)-CY53-CY57-CY21</x:f>
      </x:c>
      <x:c r="CZ22" s="117">
        <x:f>CZ10-IFERROR((SUM($D$20:$GA$20)-'ОБЪЕКТЫ'!$B$96)*('Продажи'!CZ14+'Продажи'!CZ17+'Продажи'!CZ20+'Продажи'!CZ23)/(SUM('Продажи'!$D$14:$GA$14)+SUM('Продажи'!$D$17:$GA$17)+SUM('Продажи'!$D$20:$GA$20)+SUM('Продажи'!$D$23:$GA$23)),0)-IF('ОБЪЕКТЫ'!$B$8=1,IFERROR('ОБЪЕКТЫ'!$B$28*'ОБЪЕКТЫ'!CZ22/'ОБЪЕКТЫ'!$B$22,0),0)-IF('ОБЪЕКТЫ'!$B$36=1,IFERROR('ОБЪЕКТЫ'!$B$56*'ОБЪЕКТЫ'!CZ50/'ОБЪЕКТЫ'!$B$50,0),0)-IF('ОБЪЕКТЫ'!$B$64=1,IFERROR('ОБЪЕКТЫ'!$B$84*'ОБЪЕКТЫ'!CZ78/'ОБЪЕКТЫ'!$B$78,0),0)-CZ53-CZ57-CZ21</x:f>
      </x:c>
      <x:c r="DA22" s="117">
        <x:f>DA10-IFERROR((SUM($D$20:$GA$20)-'ОБЪЕКТЫ'!$B$96)*('Продажи'!DA14+'Продажи'!DA17+'Продажи'!DA20+'Продажи'!DA23)/(SUM('Продажи'!$D$14:$GA$14)+SUM('Продажи'!$D$17:$GA$17)+SUM('Продажи'!$D$20:$GA$20)+SUM('Продажи'!$D$23:$GA$23)),0)-IF('ОБЪЕКТЫ'!$B$8=1,IFERROR('ОБЪЕКТЫ'!$B$28*'ОБЪЕКТЫ'!DA22/'ОБЪЕКТЫ'!$B$22,0),0)-IF('ОБЪЕКТЫ'!$B$36=1,IFERROR('ОБЪЕКТЫ'!$B$56*'ОБЪЕКТЫ'!DA50/'ОБЪЕКТЫ'!$B$50,0),0)-IF('ОБЪЕКТЫ'!$B$64=1,IFERROR('ОБЪЕКТЫ'!$B$84*'ОБЪЕКТЫ'!DA78/'ОБЪЕКТЫ'!$B$78,0),0)-DA53-DA57-DA21</x:f>
      </x:c>
      <x:c r="DB22" s="117">
        <x:f>DB10-IFERROR((SUM($D$20:$GA$20)-'ОБЪЕКТЫ'!$B$96)*('Продажи'!DB14+'Продажи'!DB17+'Продажи'!DB20+'Продажи'!DB23)/(SUM('Продажи'!$D$14:$GA$14)+SUM('Продажи'!$D$17:$GA$17)+SUM('Продажи'!$D$20:$GA$20)+SUM('Продажи'!$D$23:$GA$23)),0)-IF('ОБЪЕКТЫ'!$B$8=1,IFERROR('ОБЪЕКТЫ'!$B$28*'ОБЪЕКТЫ'!DB22/'ОБЪЕКТЫ'!$B$22,0),0)-IF('ОБЪЕКТЫ'!$B$36=1,IFERROR('ОБЪЕКТЫ'!$B$56*'ОБЪЕКТЫ'!DB50/'ОБЪЕКТЫ'!$B$50,0),0)-IF('ОБЪЕКТЫ'!$B$64=1,IFERROR('ОБЪЕКТЫ'!$B$84*'ОБЪЕКТЫ'!DB78/'ОБЪЕКТЫ'!$B$78,0),0)-DB53-DB57-DB21</x:f>
      </x:c>
      <x:c r="DC22" s="117">
        <x:f>DC10-IFERROR((SUM($D$20:$GA$20)-'ОБЪЕКТЫ'!$B$96)*('Продажи'!DC14+'Продажи'!DC17+'Продажи'!DC20+'Продажи'!DC23)/(SUM('Продажи'!$D$14:$GA$14)+SUM('Продажи'!$D$17:$GA$17)+SUM('Продажи'!$D$20:$GA$20)+SUM('Продажи'!$D$23:$GA$23)),0)-IF('ОБЪЕКТЫ'!$B$8=1,IFERROR('ОБЪЕКТЫ'!$B$28*'ОБЪЕКТЫ'!DC22/'ОБЪЕКТЫ'!$B$22,0),0)-IF('ОБЪЕКТЫ'!$B$36=1,IFERROR('ОБЪЕКТЫ'!$B$56*'ОБЪЕКТЫ'!DC50/'ОБЪЕКТЫ'!$B$50,0),0)-IF('ОБЪЕКТЫ'!$B$64=1,IFERROR('ОБЪЕКТЫ'!$B$84*'ОБЪЕКТЫ'!DC78/'ОБЪЕКТЫ'!$B$78,0),0)-DC53-DC57-DC21</x:f>
      </x:c>
      <x:c r="DD22" s="117">
        <x:f>DD10-IFERROR((SUM($D$20:$GA$20)-'ОБЪЕКТЫ'!$B$96)*('Продажи'!DD14+'Продажи'!DD17+'Продажи'!DD20+'Продажи'!DD23)/(SUM('Продажи'!$D$14:$GA$14)+SUM('Продажи'!$D$17:$GA$17)+SUM('Продажи'!$D$20:$GA$20)+SUM('Продажи'!$D$23:$GA$23)),0)-IF('ОБЪЕКТЫ'!$B$8=1,IFERROR('ОБЪЕКТЫ'!$B$28*'ОБЪЕКТЫ'!DD22/'ОБЪЕКТЫ'!$B$22,0),0)-IF('ОБЪЕКТЫ'!$B$36=1,IFERROR('ОБЪЕКТЫ'!$B$56*'ОБЪЕКТЫ'!DD50/'ОБЪЕКТЫ'!$B$50,0),0)-IF('ОБЪЕКТЫ'!$B$64=1,IFERROR('ОБЪЕКТЫ'!$B$84*'ОБЪЕКТЫ'!DD78/'ОБЪЕКТЫ'!$B$78,0),0)-DD53-DD57-DD21</x:f>
      </x:c>
      <x:c r="DE22" s="117">
        <x:f>DE10-IFERROR((SUM($D$20:$GA$20)-'ОБЪЕКТЫ'!$B$96)*('Продажи'!DE14+'Продажи'!DE17+'Продажи'!DE20+'Продажи'!DE23)/(SUM('Продажи'!$D$14:$GA$14)+SUM('Продажи'!$D$17:$GA$17)+SUM('Продажи'!$D$20:$GA$20)+SUM('Продажи'!$D$23:$GA$23)),0)-IF('ОБЪЕКТЫ'!$B$8=1,IFERROR('ОБЪЕКТЫ'!$B$28*'ОБЪЕКТЫ'!DE22/'ОБЪЕКТЫ'!$B$22,0),0)-IF('ОБЪЕКТЫ'!$B$36=1,IFERROR('ОБЪЕКТЫ'!$B$56*'ОБЪЕКТЫ'!DE50/'ОБЪЕКТЫ'!$B$50,0),0)-IF('ОБЪЕКТЫ'!$B$64=1,IFERROR('ОБЪЕКТЫ'!$B$84*'ОБЪЕКТЫ'!DE78/'ОБЪЕКТЫ'!$B$78,0),0)-DE53-DE57-DE21</x:f>
      </x:c>
      <x:c r="DF22" s="117">
        <x:f>DF10-IFERROR((SUM($D$20:$GA$20)-'ОБЪЕКТЫ'!$B$96)*('Продажи'!DF14+'Продажи'!DF17+'Продажи'!DF20+'Продажи'!DF23)/(SUM('Продажи'!$D$14:$GA$14)+SUM('Продажи'!$D$17:$GA$17)+SUM('Продажи'!$D$20:$GA$20)+SUM('Продажи'!$D$23:$GA$23)),0)-IF('ОБЪЕКТЫ'!$B$8=1,IFERROR('ОБЪЕКТЫ'!$B$28*'ОБЪЕКТЫ'!DF22/'ОБЪЕКТЫ'!$B$22,0),0)-IF('ОБЪЕКТЫ'!$B$36=1,IFERROR('ОБЪЕКТЫ'!$B$56*'ОБЪЕКТЫ'!DF50/'ОБЪЕКТЫ'!$B$50,0),0)-IF('ОБЪЕКТЫ'!$B$64=1,IFERROR('ОБЪЕКТЫ'!$B$84*'ОБЪЕКТЫ'!DF78/'ОБЪЕКТЫ'!$B$78,0),0)-DF53-DF57-DF21</x:f>
      </x:c>
      <x:c r="DG22" s="117">
        <x:f>DG10-IFERROR((SUM($D$20:$GA$20)-'ОБЪЕКТЫ'!$B$96)*('Продажи'!DG14+'Продажи'!DG17+'Продажи'!DG20+'Продажи'!DG23)/(SUM('Продажи'!$D$14:$GA$14)+SUM('Продажи'!$D$17:$GA$17)+SUM('Продажи'!$D$20:$GA$20)+SUM('Продажи'!$D$23:$GA$23)),0)-IF('ОБЪЕКТЫ'!$B$8=1,IFERROR('ОБЪЕКТЫ'!$B$28*'ОБЪЕКТЫ'!DG22/'ОБЪЕКТЫ'!$B$22,0),0)-IF('ОБЪЕКТЫ'!$B$36=1,IFERROR('ОБЪЕКТЫ'!$B$56*'ОБЪЕКТЫ'!DG50/'ОБЪЕКТЫ'!$B$50,0),0)-IF('ОБЪЕКТЫ'!$B$64=1,IFERROR('ОБЪЕКТЫ'!$B$84*'ОБЪЕКТЫ'!DG78/'ОБЪЕКТЫ'!$B$78,0),0)-DG53-DG57-DG21</x:f>
      </x:c>
      <x:c r="DH22" s="117">
        <x:f>DH10-IFERROR((SUM($D$20:$GA$20)-'ОБЪЕКТЫ'!$B$96)*('Продажи'!DH14+'Продажи'!DH17+'Продажи'!DH20+'Продажи'!DH23)/(SUM('Продажи'!$D$14:$GA$14)+SUM('Продажи'!$D$17:$GA$17)+SUM('Продажи'!$D$20:$GA$20)+SUM('Продажи'!$D$23:$GA$23)),0)-IF('ОБЪЕКТЫ'!$B$8=1,IFERROR('ОБЪЕКТЫ'!$B$28*'ОБЪЕКТЫ'!DH22/'ОБЪЕКТЫ'!$B$22,0),0)-IF('ОБЪЕКТЫ'!$B$36=1,IFERROR('ОБЪЕКТЫ'!$B$56*'ОБЪЕКТЫ'!DH50/'ОБЪЕКТЫ'!$B$50,0),0)-IF('ОБЪЕКТЫ'!$B$64=1,IFERROR('ОБЪЕКТЫ'!$B$84*'ОБЪЕКТЫ'!DH78/'ОБЪЕКТЫ'!$B$78,0),0)-DH53-DH57-DH21</x:f>
      </x:c>
      <x:c r="DI22" s="117">
        <x:f>DI10-IFERROR((SUM($D$20:$GA$20)-'ОБЪЕКТЫ'!$B$96)*('Продажи'!DI14+'Продажи'!DI17+'Продажи'!DI20+'Продажи'!DI23)/(SUM('Продажи'!$D$14:$GA$14)+SUM('Продажи'!$D$17:$GA$17)+SUM('Продажи'!$D$20:$GA$20)+SUM('Продажи'!$D$23:$GA$23)),0)-IF('ОБЪЕКТЫ'!$B$8=1,IFERROR('ОБЪЕКТЫ'!$B$28*'ОБЪЕКТЫ'!DI22/'ОБЪЕКТЫ'!$B$22,0),0)-IF('ОБЪЕКТЫ'!$B$36=1,IFERROR('ОБЪЕКТЫ'!$B$56*'ОБЪЕКТЫ'!DI50/'ОБЪЕКТЫ'!$B$50,0),0)-IF('ОБЪЕКТЫ'!$B$64=1,IFERROR('ОБЪЕКТЫ'!$B$84*'ОБЪЕКТЫ'!DI78/'ОБЪЕКТЫ'!$B$78,0),0)-DI53-DI57-DI21</x:f>
      </x:c>
      <x:c r="DJ22" s="117">
        <x:f>DJ10-IFERROR((SUM($D$20:$GA$20)-'ОБЪЕКТЫ'!$B$96)*('Продажи'!DJ14+'Продажи'!DJ17+'Продажи'!DJ20+'Продажи'!DJ23)/(SUM('Продажи'!$D$14:$GA$14)+SUM('Продажи'!$D$17:$GA$17)+SUM('Продажи'!$D$20:$GA$20)+SUM('Продажи'!$D$23:$GA$23)),0)-IF('ОБЪЕКТЫ'!$B$8=1,IFERROR('ОБЪЕКТЫ'!$B$28*'ОБЪЕКТЫ'!DJ22/'ОБЪЕКТЫ'!$B$22,0),0)-IF('ОБЪЕКТЫ'!$B$36=1,IFERROR('ОБЪЕКТЫ'!$B$56*'ОБЪЕКТЫ'!DJ50/'ОБЪЕКТЫ'!$B$50,0),0)-IF('ОБЪЕКТЫ'!$B$64=1,IFERROR('ОБЪЕКТЫ'!$B$84*'ОБЪЕКТЫ'!DJ78/'ОБЪЕКТЫ'!$B$78,0),0)-DJ53-DJ57-DJ21</x:f>
      </x:c>
      <x:c r="DK22" s="117">
        <x:f>DK10-IFERROR((SUM($D$20:$GA$20)-'ОБЪЕКТЫ'!$B$96)*('Продажи'!DK14+'Продажи'!DK17+'Продажи'!DK20+'Продажи'!DK23)/(SUM('Продажи'!$D$14:$GA$14)+SUM('Продажи'!$D$17:$GA$17)+SUM('Продажи'!$D$20:$GA$20)+SUM('Продажи'!$D$23:$GA$23)),0)-IF('ОБЪЕКТЫ'!$B$8=1,IFERROR('ОБЪЕКТЫ'!$B$28*'ОБЪЕКТЫ'!DK22/'ОБЪЕКТЫ'!$B$22,0),0)-IF('ОБЪЕКТЫ'!$B$36=1,IFERROR('ОБЪЕКТЫ'!$B$56*'ОБЪЕКТЫ'!DK50/'ОБЪЕКТЫ'!$B$50,0),0)-IF('ОБЪЕКТЫ'!$B$64=1,IFERROR('ОБЪЕКТЫ'!$B$84*'ОБЪЕКТЫ'!DK78/'ОБЪЕКТЫ'!$B$78,0),0)-DK53-DK57-DK21</x:f>
      </x:c>
      <x:c r="DL22" s="117">
        <x:f>DL10-IFERROR((SUM($D$20:$GA$20)-'ОБЪЕКТЫ'!$B$96)*('Продажи'!DL14+'Продажи'!DL17+'Продажи'!DL20+'Продажи'!DL23)/(SUM('Продажи'!$D$14:$GA$14)+SUM('Продажи'!$D$17:$GA$17)+SUM('Продажи'!$D$20:$GA$20)+SUM('Продажи'!$D$23:$GA$23)),0)-IF('ОБЪЕКТЫ'!$B$8=1,IFERROR('ОБЪЕКТЫ'!$B$28*'ОБЪЕКТЫ'!DL22/'ОБЪЕКТЫ'!$B$22,0),0)-IF('ОБЪЕКТЫ'!$B$36=1,IFERROR('ОБЪЕКТЫ'!$B$56*'ОБЪЕКТЫ'!DL50/'ОБЪЕКТЫ'!$B$50,0),0)-IF('ОБЪЕКТЫ'!$B$64=1,IFERROR('ОБЪЕКТЫ'!$B$84*'ОБЪЕКТЫ'!DL78/'ОБЪЕКТЫ'!$B$78,0),0)-DL53-DL57-DL21</x:f>
      </x:c>
      <x:c r="DM22" s="117">
        <x:f>DM10-IFERROR((SUM($D$20:$GA$20)-'ОБЪЕКТЫ'!$B$96)*('Продажи'!DM14+'Продажи'!DM17+'Продажи'!DM20+'Продажи'!DM23)/(SUM('Продажи'!$D$14:$GA$14)+SUM('Продажи'!$D$17:$GA$17)+SUM('Продажи'!$D$20:$GA$20)+SUM('Продажи'!$D$23:$GA$23)),0)-IF('ОБЪЕКТЫ'!$B$8=1,IFERROR('ОБЪЕКТЫ'!$B$28*'ОБЪЕКТЫ'!DM22/'ОБЪЕКТЫ'!$B$22,0),0)-IF('ОБЪЕКТЫ'!$B$36=1,IFERROR('ОБЪЕКТЫ'!$B$56*'ОБЪЕКТЫ'!DM50/'ОБЪЕКТЫ'!$B$50,0),0)-IF('ОБЪЕКТЫ'!$B$64=1,IFERROR('ОБЪЕКТЫ'!$B$84*'ОБЪЕКТЫ'!DM78/'ОБЪЕКТЫ'!$B$78,0),0)-DM53-DM57-DM21</x:f>
      </x:c>
      <x:c r="DN22" s="117">
        <x:f>DN10-IFERROR((SUM($D$20:$GA$20)-'ОБЪЕКТЫ'!$B$96)*('Продажи'!DN14+'Продажи'!DN17+'Продажи'!DN20+'Продажи'!DN23)/(SUM('Продажи'!$D$14:$GA$14)+SUM('Продажи'!$D$17:$GA$17)+SUM('Продажи'!$D$20:$GA$20)+SUM('Продажи'!$D$23:$GA$23)),0)-IF('ОБЪЕКТЫ'!$B$8=1,IFERROR('ОБЪЕКТЫ'!$B$28*'ОБЪЕКТЫ'!DN22/'ОБЪЕКТЫ'!$B$22,0),0)-IF('ОБЪЕКТЫ'!$B$36=1,IFERROR('ОБЪЕКТЫ'!$B$56*'ОБЪЕКТЫ'!DN50/'ОБЪЕКТЫ'!$B$50,0),0)-IF('ОБЪЕКТЫ'!$B$64=1,IFERROR('ОБЪЕКТЫ'!$B$84*'ОБЪЕКТЫ'!DN78/'ОБЪЕКТЫ'!$B$78,0),0)-DN53-DN57-DN21</x:f>
      </x:c>
      <x:c r="DO22" s="117">
        <x:f>DO10-IFERROR((SUM($D$20:$GA$20)-'ОБЪЕКТЫ'!$B$96)*('Продажи'!DO14+'Продажи'!DO17+'Продажи'!DO20+'Продажи'!DO23)/(SUM('Продажи'!$D$14:$GA$14)+SUM('Продажи'!$D$17:$GA$17)+SUM('Продажи'!$D$20:$GA$20)+SUM('Продажи'!$D$23:$GA$23)),0)-IF('ОБЪЕКТЫ'!$B$8=1,IFERROR('ОБЪЕКТЫ'!$B$28*'ОБЪЕКТЫ'!DO22/'ОБЪЕКТЫ'!$B$22,0),0)-IF('ОБЪЕКТЫ'!$B$36=1,IFERROR('ОБЪЕКТЫ'!$B$56*'ОБЪЕКТЫ'!DO50/'ОБЪЕКТЫ'!$B$50,0),0)-IF('ОБЪЕКТЫ'!$B$64=1,IFERROR('ОБЪЕКТЫ'!$B$84*'ОБЪЕКТЫ'!DO78/'ОБЪЕКТЫ'!$B$78,0),0)-DO53-DO57-DO21</x:f>
      </x:c>
      <x:c r="DP22" s="117">
        <x:f>DP10-IFERROR((SUM($D$20:$GA$20)-'ОБЪЕКТЫ'!$B$96)*('Продажи'!DP14+'Продажи'!DP17+'Продажи'!DP20+'Продажи'!DP23)/(SUM('Продажи'!$D$14:$GA$14)+SUM('Продажи'!$D$17:$GA$17)+SUM('Продажи'!$D$20:$GA$20)+SUM('Продажи'!$D$23:$GA$23)),0)-IF('ОБЪЕКТЫ'!$B$8=1,IFERROR('ОБЪЕКТЫ'!$B$28*'ОБЪЕКТЫ'!DP22/'ОБЪЕКТЫ'!$B$22,0),0)-IF('ОБЪЕКТЫ'!$B$36=1,IFERROR('ОБЪЕКТЫ'!$B$56*'ОБЪЕКТЫ'!DP50/'ОБЪЕКТЫ'!$B$50,0),0)-IF('ОБЪЕКТЫ'!$B$64=1,IFERROR('ОБЪЕКТЫ'!$B$84*'ОБЪЕКТЫ'!DP78/'ОБЪЕКТЫ'!$B$78,0),0)-DP53-DP57-DP21</x:f>
      </x:c>
      <x:c r="DQ22" s="117">
        <x:f>DQ10-IFERROR((SUM($D$20:$GA$20)-'ОБЪЕКТЫ'!$B$96)*('Продажи'!DQ14+'Продажи'!DQ17+'Продажи'!DQ20+'Продажи'!DQ23)/(SUM('Продажи'!$D$14:$GA$14)+SUM('Продажи'!$D$17:$GA$17)+SUM('Продажи'!$D$20:$GA$20)+SUM('Продажи'!$D$23:$GA$23)),0)-IF('ОБЪЕКТЫ'!$B$8=1,IFERROR('ОБЪЕКТЫ'!$B$28*'ОБЪЕКТЫ'!DQ22/'ОБЪЕКТЫ'!$B$22,0),0)-IF('ОБЪЕКТЫ'!$B$36=1,IFERROR('ОБЪЕКТЫ'!$B$56*'ОБЪЕКТЫ'!DQ50/'ОБЪЕКТЫ'!$B$50,0),0)-IF('ОБЪЕКТЫ'!$B$64=1,IFERROR('ОБЪЕКТЫ'!$B$84*'ОБЪЕКТЫ'!DQ78/'ОБЪЕКТЫ'!$B$78,0),0)-DQ53-DQ57-DQ21</x:f>
      </x:c>
      <x:c r="DR22" s="117">
        <x:f>DR10-IFERROR((SUM($D$20:$GA$20)-'ОБЪЕКТЫ'!$B$96)*('Продажи'!DR14+'Продажи'!DR17+'Продажи'!DR20+'Продажи'!DR23)/(SUM('Продажи'!$D$14:$GA$14)+SUM('Продажи'!$D$17:$GA$17)+SUM('Продажи'!$D$20:$GA$20)+SUM('Продажи'!$D$23:$GA$23)),0)-IF('ОБЪЕКТЫ'!$B$8=1,IFERROR('ОБЪЕКТЫ'!$B$28*'ОБЪЕКТЫ'!DR22/'ОБЪЕКТЫ'!$B$22,0),0)-IF('ОБЪЕКТЫ'!$B$36=1,IFERROR('ОБЪЕКТЫ'!$B$56*'ОБЪЕКТЫ'!DR50/'ОБЪЕКТЫ'!$B$50,0),0)-IF('ОБЪЕКТЫ'!$B$64=1,IFERROR('ОБЪЕКТЫ'!$B$84*'ОБЪЕКТЫ'!DR78/'ОБЪЕКТЫ'!$B$78,0),0)-DR53-DR57-DR21</x:f>
      </x:c>
      <x:c r="DS22" s="117">
        <x:f>DS10-IFERROR((SUM($D$20:$GA$20)-'ОБЪЕКТЫ'!$B$96)*('Продажи'!DS14+'Продажи'!DS17+'Продажи'!DS20+'Продажи'!DS23)/(SUM('Продажи'!$D$14:$GA$14)+SUM('Продажи'!$D$17:$GA$17)+SUM('Продажи'!$D$20:$GA$20)+SUM('Продажи'!$D$23:$GA$23)),0)-IF('ОБЪЕКТЫ'!$B$8=1,IFERROR('ОБЪЕКТЫ'!$B$28*'ОБЪЕКТЫ'!DS22/'ОБЪЕКТЫ'!$B$22,0),0)-IF('ОБЪЕКТЫ'!$B$36=1,IFERROR('ОБЪЕКТЫ'!$B$56*'ОБЪЕКТЫ'!DS50/'ОБЪЕКТЫ'!$B$50,0),0)-IF('ОБЪЕКТЫ'!$B$64=1,IFERROR('ОБЪЕКТЫ'!$B$84*'ОБЪЕКТЫ'!DS78/'ОБЪЕКТЫ'!$B$78,0),0)-DS53-DS57-DS21</x:f>
      </x:c>
      <x:c r="DT22" s="117">
        <x:f>DT10-IFERROR((SUM($D$20:$GA$20)-'ОБЪЕКТЫ'!$B$96)*('Продажи'!DT14+'Продажи'!DT17+'Продажи'!DT20+'Продажи'!DT23)/(SUM('Продажи'!$D$14:$GA$14)+SUM('Продажи'!$D$17:$GA$17)+SUM('Продажи'!$D$20:$GA$20)+SUM('Продажи'!$D$23:$GA$23)),0)-IF('ОБЪЕКТЫ'!$B$8=1,IFERROR('ОБЪЕКТЫ'!$B$28*'ОБЪЕКТЫ'!DT22/'ОБЪЕКТЫ'!$B$22,0),0)-IF('ОБЪЕКТЫ'!$B$36=1,IFERROR('ОБЪЕКТЫ'!$B$56*'ОБЪЕКТЫ'!DT50/'ОБЪЕКТЫ'!$B$50,0),0)-IF('ОБЪЕКТЫ'!$B$64=1,IFERROR('ОБЪЕКТЫ'!$B$84*'ОБЪЕКТЫ'!DT78/'ОБЪЕКТЫ'!$B$78,0),0)-DT53-DT57-DT21</x:f>
      </x:c>
      <x:c r="DU22" s="117">
        <x:f>DU10-IFERROR((SUM($D$20:$GA$20)-'ОБЪЕКТЫ'!$B$96)*('Продажи'!DU14+'Продажи'!DU17+'Продажи'!DU20+'Продажи'!DU23)/(SUM('Продажи'!$D$14:$GA$14)+SUM('Продажи'!$D$17:$GA$17)+SUM('Продажи'!$D$20:$GA$20)+SUM('Продажи'!$D$23:$GA$23)),0)-IF('ОБЪЕКТЫ'!$B$8=1,IFERROR('ОБЪЕКТЫ'!$B$28*'ОБЪЕКТЫ'!DU22/'ОБЪЕКТЫ'!$B$22,0),0)-IF('ОБЪЕКТЫ'!$B$36=1,IFERROR('ОБЪЕКТЫ'!$B$56*'ОБЪЕКТЫ'!DU50/'ОБЪЕКТЫ'!$B$50,0),0)-IF('ОБЪЕКТЫ'!$B$64=1,IFERROR('ОБЪЕКТЫ'!$B$84*'ОБЪЕКТЫ'!DU78/'ОБЪЕКТЫ'!$B$78,0),0)-DU53-DU57-DU21</x:f>
      </x:c>
      <x:c r="DV22" s="117">
        <x:f>DV10-IFERROR((SUM($D$20:$GA$20)-'ОБЪЕКТЫ'!$B$96)*('Продажи'!DV14+'Продажи'!DV17+'Продажи'!DV20+'Продажи'!DV23)/(SUM('Продажи'!$D$14:$GA$14)+SUM('Продажи'!$D$17:$GA$17)+SUM('Продажи'!$D$20:$GA$20)+SUM('Продажи'!$D$23:$GA$23)),0)-IF('ОБЪЕКТЫ'!$B$8=1,IFERROR('ОБЪЕКТЫ'!$B$28*'ОБЪЕКТЫ'!DV22/'ОБЪЕКТЫ'!$B$22,0),0)-IF('ОБЪЕКТЫ'!$B$36=1,IFERROR('ОБЪЕКТЫ'!$B$56*'ОБЪЕКТЫ'!DV50/'ОБЪЕКТЫ'!$B$50,0),0)-IF('ОБЪЕКТЫ'!$B$64=1,IFERROR('ОБЪЕКТЫ'!$B$84*'ОБЪЕКТЫ'!DV78/'ОБЪЕКТЫ'!$B$78,0),0)-DV53-DV57-DV21</x:f>
      </x:c>
      <x:c r="DW22" s="117">
        <x:f>DW10-IFERROR((SUM($D$20:$GA$20)-'ОБЪЕКТЫ'!$B$96)*('Продажи'!DW14+'Продажи'!DW17+'Продажи'!DW20+'Продажи'!DW23)/(SUM('Продажи'!$D$14:$GA$14)+SUM('Продажи'!$D$17:$GA$17)+SUM('Продажи'!$D$20:$GA$20)+SUM('Продажи'!$D$23:$GA$23)),0)-IF('ОБЪЕКТЫ'!$B$8=1,IFERROR('ОБЪЕКТЫ'!$B$28*'ОБЪЕКТЫ'!DW22/'ОБЪЕКТЫ'!$B$22,0),0)-IF('ОБЪЕКТЫ'!$B$36=1,IFERROR('ОБЪЕКТЫ'!$B$56*'ОБЪЕКТЫ'!DW50/'ОБЪЕКТЫ'!$B$50,0),0)-IF('ОБЪЕКТЫ'!$B$64=1,IFERROR('ОБЪЕКТЫ'!$B$84*'ОБЪЕКТЫ'!DW78/'ОБЪЕКТЫ'!$B$78,0),0)-DW53-DW57-DW21</x:f>
      </x:c>
      <x:c r="DX22" s="117">
        <x:f>DX10-IFERROR((SUM($D$20:$GA$20)-'ОБЪЕКТЫ'!$B$96)*('Продажи'!DX14+'Продажи'!DX17+'Продажи'!DX20+'Продажи'!DX23)/(SUM('Продажи'!$D$14:$GA$14)+SUM('Продажи'!$D$17:$GA$17)+SUM('Продажи'!$D$20:$GA$20)+SUM('Продажи'!$D$23:$GA$23)),0)-IF('ОБЪЕКТЫ'!$B$8=1,IFERROR('ОБЪЕКТЫ'!$B$28*'ОБЪЕКТЫ'!DX22/'ОБЪЕКТЫ'!$B$22,0),0)-IF('ОБЪЕКТЫ'!$B$36=1,IFERROR('ОБЪЕКТЫ'!$B$56*'ОБЪЕКТЫ'!DX50/'ОБЪЕКТЫ'!$B$50,0),0)-IF('ОБЪЕКТЫ'!$B$64=1,IFERROR('ОБЪЕКТЫ'!$B$84*'ОБЪЕКТЫ'!DX78/'ОБЪЕКТЫ'!$B$78,0),0)-DX53-DX57-DX21</x:f>
      </x:c>
      <x:c r="DY22" s="117">
        <x:f>DY10-IFERROR((SUM($D$20:$GA$20)-'ОБЪЕКТЫ'!$B$96)*('Продажи'!DY14+'Продажи'!DY17+'Продажи'!DY20+'Продажи'!DY23)/(SUM('Продажи'!$D$14:$GA$14)+SUM('Продажи'!$D$17:$GA$17)+SUM('Продажи'!$D$20:$GA$20)+SUM('Продажи'!$D$23:$GA$23)),0)-IF('ОБЪЕКТЫ'!$B$8=1,IFERROR('ОБЪЕКТЫ'!$B$28*'ОБЪЕКТЫ'!DY22/'ОБЪЕКТЫ'!$B$22,0),0)-IF('ОБЪЕКТЫ'!$B$36=1,IFERROR('ОБЪЕКТЫ'!$B$56*'ОБЪЕКТЫ'!DY50/'ОБЪЕКТЫ'!$B$50,0),0)-IF('ОБЪЕКТЫ'!$B$64=1,IFERROR('ОБЪЕКТЫ'!$B$84*'ОБЪЕКТЫ'!DY78/'ОБЪЕКТЫ'!$B$78,0),0)-DY53-DY57-DY21</x:f>
      </x:c>
      <x:c r="DZ22" s="117">
        <x:f>DZ10-IFERROR((SUM($D$20:$GA$20)-'ОБЪЕКТЫ'!$B$96)*('Продажи'!DZ14+'Продажи'!DZ17+'Продажи'!DZ20+'Продажи'!DZ23)/(SUM('Продажи'!$D$14:$GA$14)+SUM('Продажи'!$D$17:$GA$17)+SUM('Продажи'!$D$20:$GA$20)+SUM('Продажи'!$D$23:$GA$23)),0)-IF('ОБЪЕКТЫ'!$B$8=1,IFERROR('ОБЪЕКТЫ'!$B$28*'ОБЪЕКТЫ'!DZ22/'ОБЪЕКТЫ'!$B$22,0),0)-IF('ОБЪЕКТЫ'!$B$36=1,IFERROR('ОБЪЕКТЫ'!$B$56*'ОБЪЕКТЫ'!DZ50/'ОБЪЕКТЫ'!$B$50,0),0)-IF('ОБЪЕКТЫ'!$B$64=1,IFERROR('ОБЪЕКТЫ'!$B$84*'ОБЪЕКТЫ'!DZ78/'ОБЪЕКТЫ'!$B$78,0),0)-DZ53-DZ57-DZ21</x:f>
      </x:c>
      <x:c r="EA22" s="117">
        <x:f>EA10-IFERROR((SUM($D$20:$GA$20)-'ОБЪЕКТЫ'!$B$96)*('Продажи'!EA14+'Продажи'!EA17+'Продажи'!EA20+'Продажи'!EA23)/(SUM('Продажи'!$D$14:$GA$14)+SUM('Продажи'!$D$17:$GA$17)+SUM('Продажи'!$D$20:$GA$20)+SUM('Продажи'!$D$23:$GA$23)),0)-IF('ОБЪЕКТЫ'!$B$8=1,IFERROR('ОБЪЕКТЫ'!$B$28*'ОБЪЕКТЫ'!EA22/'ОБЪЕКТЫ'!$B$22,0),0)-IF('ОБЪЕКТЫ'!$B$36=1,IFERROR('ОБЪЕКТЫ'!$B$56*'ОБЪЕКТЫ'!EA50/'ОБЪЕКТЫ'!$B$50,0),0)-IF('ОБЪЕКТЫ'!$B$64=1,IFERROR('ОБЪЕКТЫ'!$B$84*'ОБЪЕКТЫ'!EA78/'ОБЪЕКТЫ'!$B$78,0),0)-EA53-EA57-EA21</x:f>
      </x:c>
      <x:c r="EB22" s="117">
        <x:f>EB10-IFERROR((SUM($D$20:$GA$20)-'ОБЪЕКТЫ'!$B$96)*('Продажи'!EB14+'Продажи'!EB17+'Продажи'!EB20+'Продажи'!EB23)/(SUM('Продажи'!$D$14:$GA$14)+SUM('Продажи'!$D$17:$GA$17)+SUM('Продажи'!$D$20:$GA$20)+SUM('Продажи'!$D$23:$GA$23)),0)-IF('ОБЪЕКТЫ'!$B$8=1,IFERROR('ОБЪЕКТЫ'!$B$28*'ОБЪЕКТЫ'!EB22/'ОБЪЕКТЫ'!$B$22,0),0)-IF('ОБЪЕКТЫ'!$B$36=1,IFERROR('ОБЪЕКТЫ'!$B$56*'ОБЪЕКТЫ'!EB50/'ОБЪЕКТЫ'!$B$50,0),0)-IF('ОБЪЕКТЫ'!$B$64=1,IFERROR('ОБЪЕКТЫ'!$B$84*'ОБЪЕКТЫ'!EB78/'ОБЪЕКТЫ'!$B$78,0),0)-EB53-EB57-EB21</x:f>
      </x:c>
      <x:c r="EC22" s="117">
        <x:f>EC10-IFERROR((SUM($D$20:$GA$20)-'ОБЪЕКТЫ'!$B$96)*('Продажи'!EC14+'Продажи'!EC17+'Продажи'!EC20+'Продажи'!EC23)/(SUM('Продажи'!$D$14:$GA$14)+SUM('Продажи'!$D$17:$GA$17)+SUM('Продажи'!$D$20:$GA$20)+SUM('Продажи'!$D$23:$GA$23)),0)-IF('ОБЪЕКТЫ'!$B$8=1,IFERROR('ОБЪЕКТЫ'!$B$28*'ОБЪЕКТЫ'!EC22/'ОБЪЕКТЫ'!$B$22,0),0)-IF('ОБЪЕКТЫ'!$B$36=1,IFERROR('ОБЪЕКТЫ'!$B$56*'ОБЪЕКТЫ'!EC50/'ОБЪЕКТЫ'!$B$50,0),0)-IF('ОБЪЕКТЫ'!$B$64=1,IFERROR('ОБЪЕКТЫ'!$B$84*'ОБЪЕКТЫ'!EC78/'ОБЪЕКТЫ'!$B$78,0),0)-EC53-EC57-EC21</x:f>
      </x:c>
      <x:c r="ED22" s="117">
        <x:f>ED10-IFERROR((SUM($D$20:$GA$20)-'ОБЪЕКТЫ'!$B$96)*('Продажи'!ED14+'Продажи'!ED17+'Продажи'!ED20+'Продажи'!ED23)/(SUM('Продажи'!$D$14:$GA$14)+SUM('Продажи'!$D$17:$GA$17)+SUM('Продажи'!$D$20:$GA$20)+SUM('Продажи'!$D$23:$GA$23)),0)-IF('ОБЪЕКТЫ'!$B$8=1,IFERROR('ОБЪЕКТЫ'!$B$28*'ОБЪЕКТЫ'!ED22/'ОБЪЕКТЫ'!$B$22,0),0)-IF('ОБЪЕКТЫ'!$B$36=1,IFERROR('ОБЪЕКТЫ'!$B$56*'ОБЪЕКТЫ'!ED50/'ОБЪЕКТЫ'!$B$50,0),0)-IF('ОБЪЕКТЫ'!$B$64=1,IFERROR('ОБЪЕКТЫ'!$B$84*'ОБЪЕКТЫ'!ED78/'ОБЪЕКТЫ'!$B$78,0),0)-ED53-ED57-ED21</x:f>
      </x:c>
      <x:c r="EE22" s="117">
        <x:f>EE10-IFERROR((SUM($D$20:$GA$20)-'ОБЪЕКТЫ'!$B$96)*('Продажи'!EE14+'Продажи'!EE17+'Продажи'!EE20+'Продажи'!EE23)/(SUM('Продажи'!$D$14:$GA$14)+SUM('Продажи'!$D$17:$GA$17)+SUM('Продажи'!$D$20:$GA$20)+SUM('Продажи'!$D$23:$GA$23)),0)-IF('ОБЪЕКТЫ'!$B$8=1,IFERROR('ОБЪЕКТЫ'!$B$28*'ОБЪЕКТЫ'!EE22/'ОБЪЕКТЫ'!$B$22,0),0)-IF('ОБЪЕКТЫ'!$B$36=1,IFERROR('ОБЪЕКТЫ'!$B$56*'ОБЪЕКТЫ'!EE50/'ОБЪЕКТЫ'!$B$50,0),0)-IF('ОБЪЕКТЫ'!$B$64=1,IFERROR('ОБЪЕКТЫ'!$B$84*'ОБЪЕКТЫ'!EE78/'ОБЪЕКТЫ'!$B$78,0),0)-EE53-EE57-EE21</x:f>
      </x:c>
      <x:c r="EF22" s="117">
        <x:f>EF10-IFERROR((SUM($D$20:$GA$20)-'ОБЪЕКТЫ'!$B$96)*('Продажи'!EF14+'Продажи'!EF17+'Продажи'!EF20+'Продажи'!EF23)/(SUM('Продажи'!$D$14:$GA$14)+SUM('Продажи'!$D$17:$GA$17)+SUM('Продажи'!$D$20:$GA$20)+SUM('Продажи'!$D$23:$GA$23)),0)-IF('ОБЪЕКТЫ'!$B$8=1,IFERROR('ОБЪЕКТЫ'!$B$28*'ОБЪЕКТЫ'!EF22/'ОБЪЕКТЫ'!$B$22,0),0)-IF('ОБЪЕКТЫ'!$B$36=1,IFERROR('ОБЪЕКТЫ'!$B$56*'ОБЪЕКТЫ'!EF50/'ОБЪЕКТЫ'!$B$50,0),0)-IF('ОБЪЕКТЫ'!$B$64=1,IFERROR('ОБЪЕКТЫ'!$B$84*'ОБЪЕКТЫ'!EF78/'ОБЪЕКТЫ'!$B$78,0),0)-EF53-EF57-EF21</x:f>
      </x:c>
      <x:c r="EG22" s="117">
        <x:f>EG10-IFERROR((SUM($D$20:$GA$20)-'ОБЪЕКТЫ'!$B$96)*('Продажи'!EG14+'Продажи'!EG17+'Продажи'!EG20+'Продажи'!EG23)/(SUM('Продажи'!$D$14:$GA$14)+SUM('Продажи'!$D$17:$GA$17)+SUM('Продажи'!$D$20:$GA$20)+SUM('Продажи'!$D$23:$GA$23)),0)-IF('ОБЪЕКТЫ'!$B$8=1,IFERROR('ОБЪЕКТЫ'!$B$28*'ОБЪЕКТЫ'!EG22/'ОБЪЕКТЫ'!$B$22,0),0)-IF('ОБЪЕКТЫ'!$B$36=1,IFERROR('ОБЪЕКТЫ'!$B$56*'ОБЪЕКТЫ'!EG50/'ОБЪЕКТЫ'!$B$50,0),0)-IF('ОБЪЕКТЫ'!$B$64=1,IFERROR('ОБЪЕКТЫ'!$B$84*'ОБЪЕКТЫ'!EG78/'ОБЪЕКТЫ'!$B$78,0),0)-EG53-EG57-EG21</x:f>
      </x:c>
      <x:c r="EH22" s="117">
        <x:f>EH10-IFERROR((SUM($D$20:$GA$20)-'ОБЪЕКТЫ'!$B$96)*('Продажи'!EH14+'Продажи'!EH17+'Продажи'!EH20+'Продажи'!EH23)/(SUM('Продажи'!$D$14:$GA$14)+SUM('Продажи'!$D$17:$GA$17)+SUM('Продажи'!$D$20:$GA$20)+SUM('Продажи'!$D$23:$GA$23)),0)-IF('ОБЪЕКТЫ'!$B$8=1,IFERROR('ОБЪЕКТЫ'!$B$28*'ОБЪЕКТЫ'!EH22/'ОБЪЕКТЫ'!$B$22,0),0)-IF('ОБЪЕКТЫ'!$B$36=1,IFERROR('ОБЪЕКТЫ'!$B$56*'ОБЪЕКТЫ'!EH50/'ОБЪЕКТЫ'!$B$50,0),0)-IF('ОБЪЕКТЫ'!$B$64=1,IFERROR('ОБЪЕКТЫ'!$B$84*'ОБЪЕКТЫ'!EH78/'ОБЪЕКТЫ'!$B$78,0),0)-EH53-EH57-EH21</x:f>
      </x:c>
      <x:c r="EI22" s="117">
        <x:f>EI10-IFERROR((SUM($D$20:$GA$20)-'ОБЪЕКТЫ'!$B$96)*('Продажи'!EI14+'Продажи'!EI17+'Продажи'!EI20+'Продажи'!EI23)/(SUM('Продажи'!$D$14:$GA$14)+SUM('Продажи'!$D$17:$GA$17)+SUM('Продажи'!$D$20:$GA$20)+SUM('Продажи'!$D$23:$GA$23)),0)-IF('ОБЪЕКТЫ'!$B$8=1,IFERROR('ОБЪЕКТЫ'!$B$28*'ОБЪЕКТЫ'!EI22/'ОБЪЕКТЫ'!$B$22,0),0)-IF('ОБЪЕКТЫ'!$B$36=1,IFERROR('ОБЪЕКТЫ'!$B$56*'ОБЪЕКТЫ'!EI50/'ОБЪЕКТЫ'!$B$50,0),0)-IF('ОБЪЕКТЫ'!$B$64=1,IFERROR('ОБЪЕКТЫ'!$B$84*'ОБЪЕКТЫ'!EI78/'ОБЪЕКТЫ'!$B$78,0),0)-EI53-EI57-EI21</x:f>
      </x:c>
      <x:c r="EJ22" s="117">
        <x:f>EJ10-IFERROR((SUM($D$20:$GA$20)-'ОБЪЕКТЫ'!$B$96)*('Продажи'!EJ14+'Продажи'!EJ17+'Продажи'!EJ20+'Продажи'!EJ23)/(SUM('Продажи'!$D$14:$GA$14)+SUM('Продажи'!$D$17:$GA$17)+SUM('Продажи'!$D$20:$GA$20)+SUM('Продажи'!$D$23:$GA$23)),0)-IF('ОБЪЕКТЫ'!$B$8=1,IFERROR('ОБЪЕКТЫ'!$B$28*'ОБЪЕКТЫ'!EJ22/'ОБЪЕКТЫ'!$B$22,0),0)-IF('ОБЪЕКТЫ'!$B$36=1,IFERROR('ОБЪЕКТЫ'!$B$56*'ОБЪЕКТЫ'!EJ50/'ОБЪЕКТЫ'!$B$50,0),0)-IF('ОБЪЕКТЫ'!$B$64=1,IFERROR('ОБЪЕКТЫ'!$B$84*'ОБЪЕКТЫ'!EJ78/'ОБЪЕКТЫ'!$B$78,0),0)-EJ53-EJ57-EJ21</x:f>
      </x:c>
      <x:c r="EK22" s="117">
        <x:f>EK10-IFERROR((SUM($D$20:$GA$20)-'ОБЪЕКТЫ'!$B$96)*('Продажи'!EK14+'Продажи'!EK17+'Продажи'!EK20+'Продажи'!EK23)/(SUM('Продажи'!$D$14:$GA$14)+SUM('Продажи'!$D$17:$GA$17)+SUM('Продажи'!$D$20:$GA$20)+SUM('Продажи'!$D$23:$GA$23)),0)-IF('ОБЪЕКТЫ'!$B$8=1,IFERROR('ОБЪЕКТЫ'!$B$28*'ОБЪЕКТЫ'!EK22/'ОБЪЕКТЫ'!$B$22,0),0)-IF('ОБЪЕКТЫ'!$B$36=1,IFERROR('ОБЪЕКТЫ'!$B$56*'ОБЪЕКТЫ'!EK50/'ОБЪЕКТЫ'!$B$50,0),0)-IF('ОБЪЕКТЫ'!$B$64=1,IFERROR('ОБЪЕКТЫ'!$B$84*'ОБЪЕКТЫ'!EK78/'ОБЪЕКТЫ'!$B$78,0),0)-EK53-EK57-EK21</x:f>
      </x:c>
      <x:c r="EL22" s="117">
        <x:f>EL10-IFERROR((SUM($D$20:$GA$20)-'ОБЪЕКТЫ'!$B$96)*('Продажи'!EL14+'Продажи'!EL17+'Продажи'!EL20+'Продажи'!EL23)/(SUM('Продажи'!$D$14:$GA$14)+SUM('Продажи'!$D$17:$GA$17)+SUM('Продажи'!$D$20:$GA$20)+SUM('Продажи'!$D$23:$GA$23)),0)-IF('ОБЪЕКТЫ'!$B$8=1,IFERROR('ОБЪЕКТЫ'!$B$28*'ОБЪЕКТЫ'!EL22/'ОБЪЕКТЫ'!$B$22,0),0)-IF('ОБЪЕКТЫ'!$B$36=1,IFERROR('ОБЪЕКТЫ'!$B$56*'ОБЪЕКТЫ'!EL50/'ОБЪЕКТЫ'!$B$50,0),0)-IF('ОБЪЕКТЫ'!$B$64=1,IFERROR('ОБЪЕКТЫ'!$B$84*'ОБЪЕКТЫ'!EL78/'ОБЪЕКТЫ'!$B$78,0),0)-EL53-EL57-EL21</x:f>
      </x:c>
      <x:c r="EM22" s="117">
        <x:f>EM10-IFERROR((SUM($D$20:$GA$20)-'ОБЪЕКТЫ'!$B$96)*('Продажи'!EM14+'Продажи'!EM17+'Продажи'!EM20+'Продажи'!EM23)/(SUM('Продажи'!$D$14:$GA$14)+SUM('Продажи'!$D$17:$GA$17)+SUM('Продажи'!$D$20:$GA$20)+SUM('Продажи'!$D$23:$GA$23)),0)-IF('ОБЪЕКТЫ'!$B$8=1,IFERROR('ОБЪЕКТЫ'!$B$28*'ОБЪЕКТЫ'!EM22/'ОБЪЕКТЫ'!$B$22,0),0)-IF('ОБЪЕКТЫ'!$B$36=1,IFERROR('ОБЪЕКТЫ'!$B$56*'ОБЪЕКТЫ'!EM50/'ОБЪЕКТЫ'!$B$50,0),0)-IF('ОБЪЕКТЫ'!$B$64=1,IFERROR('ОБЪЕКТЫ'!$B$84*'ОБЪЕКТЫ'!EM78/'ОБЪЕКТЫ'!$B$78,0),0)-EM53-EM57-EM21</x:f>
      </x:c>
      <x:c r="EN22" s="117">
        <x:f>EN10-IFERROR((SUM($D$20:$GA$20)-'ОБЪЕКТЫ'!$B$96)*('Продажи'!EN14+'Продажи'!EN17+'Продажи'!EN20+'Продажи'!EN23)/(SUM('Продажи'!$D$14:$GA$14)+SUM('Продажи'!$D$17:$GA$17)+SUM('Продажи'!$D$20:$GA$20)+SUM('Продажи'!$D$23:$GA$23)),0)-IF('ОБЪЕКТЫ'!$B$8=1,IFERROR('ОБЪЕКТЫ'!$B$28*'ОБЪЕКТЫ'!EN22/'ОБЪЕКТЫ'!$B$22,0),0)-IF('ОБЪЕКТЫ'!$B$36=1,IFERROR('ОБЪЕКТЫ'!$B$56*'ОБЪЕКТЫ'!EN50/'ОБЪЕКТЫ'!$B$50,0),0)-IF('ОБЪЕКТЫ'!$B$64=1,IFERROR('ОБЪЕКТЫ'!$B$84*'ОБЪЕКТЫ'!EN78/'ОБЪЕКТЫ'!$B$78,0),0)-EN53-EN57-EN21</x:f>
      </x:c>
      <x:c r="EO22" s="117">
        <x:f>EO10-IFERROR((SUM($D$20:$GA$20)-'ОБЪЕКТЫ'!$B$96)*('Продажи'!EO14+'Продажи'!EO17+'Продажи'!EO20+'Продажи'!EO23)/(SUM('Продажи'!$D$14:$GA$14)+SUM('Продажи'!$D$17:$GA$17)+SUM('Продажи'!$D$20:$GA$20)+SUM('Продажи'!$D$23:$GA$23)),0)-IF('ОБЪЕКТЫ'!$B$8=1,IFERROR('ОБЪЕКТЫ'!$B$28*'ОБЪЕКТЫ'!EO22/'ОБЪЕКТЫ'!$B$22,0),0)-IF('ОБЪЕКТЫ'!$B$36=1,IFERROR('ОБЪЕКТЫ'!$B$56*'ОБЪЕКТЫ'!EO50/'ОБЪЕКТЫ'!$B$50,0),0)-IF('ОБЪЕКТЫ'!$B$64=1,IFERROR('ОБЪЕКТЫ'!$B$84*'ОБЪЕКТЫ'!EO78/'ОБЪЕКТЫ'!$B$78,0),0)-EO53-EO57-EO21</x:f>
      </x:c>
      <x:c r="EP22" s="117">
        <x:f>EP10-IFERROR((SUM($D$20:$GA$20)-'ОБЪЕКТЫ'!$B$96)*('Продажи'!EP14+'Продажи'!EP17+'Продажи'!EP20+'Продажи'!EP23)/(SUM('Продажи'!$D$14:$GA$14)+SUM('Продажи'!$D$17:$GA$17)+SUM('Продажи'!$D$20:$GA$20)+SUM('Продажи'!$D$23:$GA$23)),0)-IF('ОБЪЕКТЫ'!$B$8=1,IFERROR('ОБЪЕКТЫ'!$B$28*'ОБЪЕКТЫ'!EP22/'ОБЪЕКТЫ'!$B$22,0),0)-IF('ОБЪЕКТЫ'!$B$36=1,IFERROR('ОБЪЕКТЫ'!$B$56*'ОБЪЕКТЫ'!EP50/'ОБЪЕКТЫ'!$B$50,0),0)-IF('ОБЪЕКТЫ'!$B$64=1,IFERROR('ОБЪЕКТЫ'!$B$84*'ОБЪЕКТЫ'!EP78/'ОБЪЕКТЫ'!$B$78,0),0)-EP53-EP57-EP21</x:f>
      </x:c>
      <x:c r="EQ22" s="117">
        <x:f>EQ10-IFERROR((SUM($D$20:$GA$20)-'ОБЪЕКТЫ'!$B$96)*('Продажи'!EQ14+'Продажи'!EQ17+'Продажи'!EQ20+'Продажи'!EQ23)/(SUM('Продажи'!$D$14:$GA$14)+SUM('Продажи'!$D$17:$GA$17)+SUM('Продажи'!$D$20:$GA$20)+SUM('Продажи'!$D$23:$GA$23)),0)-IF('ОБЪЕКТЫ'!$B$8=1,IFERROR('ОБЪЕКТЫ'!$B$28*'ОБЪЕКТЫ'!EQ22/'ОБЪЕКТЫ'!$B$22,0),0)-IF('ОБЪЕКТЫ'!$B$36=1,IFERROR('ОБЪЕКТЫ'!$B$56*'ОБЪЕКТЫ'!EQ50/'ОБЪЕКТЫ'!$B$50,0),0)-IF('ОБЪЕКТЫ'!$B$64=1,IFERROR('ОБЪЕКТЫ'!$B$84*'ОБЪЕКТЫ'!EQ78/'ОБЪЕКТЫ'!$B$78,0),0)-EQ53-EQ57-EQ21</x:f>
      </x:c>
      <x:c r="ER22" s="117">
        <x:f>ER10-IFERROR((SUM($D$20:$GA$20)-'ОБЪЕКТЫ'!$B$96)*('Продажи'!ER14+'Продажи'!ER17+'Продажи'!ER20+'Продажи'!ER23)/(SUM('Продажи'!$D$14:$GA$14)+SUM('Продажи'!$D$17:$GA$17)+SUM('Продажи'!$D$20:$GA$20)+SUM('Продажи'!$D$23:$GA$23)),0)-IF('ОБЪЕКТЫ'!$B$8=1,IFERROR('ОБЪЕКТЫ'!$B$28*'ОБЪЕКТЫ'!ER22/'ОБЪЕКТЫ'!$B$22,0),0)-IF('ОБЪЕКТЫ'!$B$36=1,IFERROR('ОБЪЕКТЫ'!$B$56*'ОБЪЕКТЫ'!ER50/'ОБЪЕКТЫ'!$B$50,0),0)-IF('ОБЪЕКТЫ'!$B$64=1,IFERROR('ОБЪЕКТЫ'!$B$84*'ОБЪЕКТЫ'!ER78/'ОБЪЕКТЫ'!$B$78,0),0)-ER53-ER57-ER21</x:f>
      </x:c>
      <x:c r="ES22" s="117">
        <x:f>ES10-IFERROR((SUM($D$20:$GA$20)-'ОБЪЕКТЫ'!$B$96)*('Продажи'!ES14+'Продажи'!ES17+'Продажи'!ES20+'Продажи'!ES23)/(SUM('Продажи'!$D$14:$GA$14)+SUM('Продажи'!$D$17:$GA$17)+SUM('Продажи'!$D$20:$GA$20)+SUM('Продажи'!$D$23:$GA$23)),0)-IF('ОБЪЕКТЫ'!$B$8=1,IFERROR('ОБЪЕКТЫ'!$B$28*'ОБЪЕКТЫ'!ES22/'ОБЪЕКТЫ'!$B$22,0),0)-IF('ОБЪЕКТЫ'!$B$36=1,IFERROR('ОБЪЕКТЫ'!$B$56*'ОБЪЕКТЫ'!ES50/'ОБЪЕКТЫ'!$B$50,0),0)-IF('ОБЪЕКТЫ'!$B$64=1,IFERROR('ОБЪЕКТЫ'!$B$84*'ОБЪЕКТЫ'!ES78/'ОБЪЕКТЫ'!$B$78,0),0)-ES53-ES57-ES21</x:f>
      </x:c>
      <x:c r="ET22" s="117">
        <x:f>ET10-IFERROR((SUM($D$20:$GA$20)-'ОБЪЕКТЫ'!$B$96)*('Продажи'!ET14+'Продажи'!ET17+'Продажи'!ET20+'Продажи'!ET23)/(SUM('Продажи'!$D$14:$GA$14)+SUM('Продажи'!$D$17:$GA$17)+SUM('Продажи'!$D$20:$GA$20)+SUM('Продажи'!$D$23:$GA$23)),0)-IF('ОБЪЕКТЫ'!$B$8=1,IFERROR('ОБЪЕКТЫ'!$B$28*'ОБЪЕКТЫ'!ET22/'ОБЪЕКТЫ'!$B$22,0),0)-IF('ОБЪЕКТЫ'!$B$36=1,IFERROR('ОБЪЕКТЫ'!$B$56*'ОБЪЕКТЫ'!ET50/'ОБЪЕКТЫ'!$B$50,0),0)-IF('ОБЪЕКТЫ'!$B$64=1,IFERROR('ОБЪЕКТЫ'!$B$84*'ОБЪЕКТЫ'!ET78/'ОБЪЕКТЫ'!$B$78,0),0)-ET53-ET57-ET21</x:f>
      </x:c>
      <x:c r="EU22" s="117">
        <x:f>EU10-IFERROR((SUM($D$20:$GA$20)-'ОБЪЕКТЫ'!$B$96)*('Продажи'!EU14+'Продажи'!EU17+'Продажи'!EU20+'Продажи'!EU23)/(SUM('Продажи'!$D$14:$GA$14)+SUM('Продажи'!$D$17:$GA$17)+SUM('Продажи'!$D$20:$GA$20)+SUM('Продажи'!$D$23:$GA$23)),0)-IF('ОБЪЕКТЫ'!$B$8=1,IFERROR('ОБЪЕКТЫ'!$B$28*'ОБЪЕКТЫ'!EU22/'ОБЪЕКТЫ'!$B$22,0),0)-IF('ОБЪЕКТЫ'!$B$36=1,IFERROR('ОБЪЕКТЫ'!$B$56*'ОБЪЕКТЫ'!EU50/'ОБЪЕКТЫ'!$B$50,0),0)-IF('ОБЪЕКТЫ'!$B$64=1,IFERROR('ОБЪЕКТЫ'!$B$84*'ОБЪЕКТЫ'!EU78/'ОБЪЕКТЫ'!$B$78,0),0)-EU53-EU57-EU21</x:f>
      </x:c>
      <x:c r="EV22" s="117">
        <x:f>EV10-IFERROR((SUM($D$20:$GA$20)-'ОБЪЕКТЫ'!$B$96)*('Продажи'!EV14+'Продажи'!EV17+'Продажи'!EV20+'Продажи'!EV23)/(SUM('Продажи'!$D$14:$GA$14)+SUM('Продажи'!$D$17:$GA$17)+SUM('Продажи'!$D$20:$GA$20)+SUM('Продажи'!$D$23:$GA$23)),0)-IF('ОБЪЕКТЫ'!$B$8=1,IFERROR('ОБЪЕКТЫ'!$B$28*'ОБЪЕКТЫ'!EV22/'ОБЪЕКТЫ'!$B$22,0),0)-IF('ОБЪЕКТЫ'!$B$36=1,IFERROR('ОБЪЕКТЫ'!$B$56*'ОБЪЕКТЫ'!EV50/'ОБЪЕКТЫ'!$B$50,0),0)-IF('ОБЪЕКТЫ'!$B$64=1,IFERROR('ОБЪЕКТЫ'!$B$84*'ОБЪЕКТЫ'!EV78/'ОБЪЕКТЫ'!$B$78,0),0)-EV53-EV57-EV21</x:f>
      </x:c>
      <x:c r="EW22" s="117">
        <x:f>EW10-IFERROR((SUM($D$20:$GA$20)-'ОБЪЕКТЫ'!$B$96)*('Продажи'!EW14+'Продажи'!EW17+'Продажи'!EW20+'Продажи'!EW23)/(SUM('Продажи'!$D$14:$GA$14)+SUM('Продажи'!$D$17:$GA$17)+SUM('Продажи'!$D$20:$GA$20)+SUM('Продажи'!$D$23:$GA$23)),0)-IF('ОБЪЕКТЫ'!$B$8=1,IFERROR('ОБЪЕКТЫ'!$B$28*'ОБЪЕКТЫ'!EW22/'ОБЪЕКТЫ'!$B$22,0),0)-IF('ОБЪЕКТЫ'!$B$36=1,IFERROR('ОБЪЕКТЫ'!$B$56*'ОБЪЕКТЫ'!EW50/'ОБЪЕКТЫ'!$B$50,0),0)-IF('ОБЪЕКТЫ'!$B$64=1,IFERROR('ОБЪЕКТЫ'!$B$84*'ОБЪЕКТЫ'!EW78/'ОБЪЕКТЫ'!$B$78,0),0)-EW53-EW57-EW21</x:f>
      </x:c>
      <x:c r="EX22" s="117">
        <x:f>EX10-IFERROR((SUM($D$20:$GA$20)-'ОБЪЕКТЫ'!$B$96)*('Продажи'!EX14+'Продажи'!EX17+'Продажи'!EX20+'Продажи'!EX23)/(SUM('Продажи'!$D$14:$GA$14)+SUM('Продажи'!$D$17:$GA$17)+SUM('Продажи'!$D$20:$GA$20)+SUM('Продажи'!$D$23:$GA$23)),0)-IF('ОБЪЕКТЫ'!$B$8=1,IFERROR('ОБЪЕКТЫ'!$B$28*'ОБЪЕКТЫ'!EX22/'ОБЪЕКТЫ'!$B$22,0),0)-IF('ОБЪЕКТЫ'!$B$36=1,IFERROR('ОБЪЕКТЫ'!$B$56*'ОБЪЕКТЫ'!EX50/'ОБЪЕКТЫ'!$B$50,0),0)-IF('ОБЪЕКТЫ'!$B$64=1,IFERROR('ОБЪЕКТЫ'!$B$84*'ОБЪЕКТЫ'!EX78/'ОБЪЕКТЫ'!$B$78,0),0)-EX53-EX57-EX21</x:f>
      </x:c>
      <x:c r="EY22" s="117">
        <x:f>EY10-IFERROR((SUM($D$20:$GA$20)-'ОБЪЕКТЫ'!$B$96)*('Продажи'!EY14+'Продажи'!EY17+'Продажи'!EY20+'Продажи'!EY23)/(SUM('Продажи'!$D$14:$GA$14)+SUM('Продажи'!$D$17:$GA$17)+SUM('Продажи'!$D$20:$GA$20)+SUM('Продажи'!$D$23:$GA$23)),0)-IF('ОБЪЕКТЫ'!$B$8=1,IFERROR('ОБЪЕКТЫ'!$B$28*'ОБЪЕКТЫ'!EY22/'ОБЪЕКТЫ'!$B$22,0),0)-IF('ОБЪЕКТЫ'!$B$36=1,IFERROR('ОБЪЕКТЫ'!$B$56*'ОБЪЕКТЫ'!EY50/'ОБЪЕКТЫ'!$B$50,0),0)-IF('ОБЪЕКТЫ'!$B$64=1,IFERROR('ОБЪЕКТЫ'!$B$84*'ОБЪЕКТЫ'!EY78/'ОБЪЕКТЫ'!$B$78,0),0)-EY53-EY57-EY21</x:f>
      </x:c>
      <x:c r="EZ22" s="117">
        <x:f>EZ10-IFERROR((SUM($D$20:$GA$20)-'ОБЪЕКТЫ'!$B$96)*('Продажи'!EZ14+'Продажи'!EZ17+'Продажи'!EZ20+'Продажи'!EZ23)/(SUM('Продажи'!$D$14:$GA$14)+SUM('Продажи'!$D$17:$GA$17)+SUM('Продажи'!$D$20:$GA$20)+SUM('Продажи'!$D$23:$GA$23)),0)-IF('ОБЪЕКТЫ'!$B$8=1,IFERROR('ОБЪЕКТЫ'!$B$28*'ОБЪЕКТЫ'!EZ22/'ОБЪЕКТЫ'!$B$22,0),0)-IF('ОБЪЕКТЫ'!$B$36=1,IFERROR('ОБЪЕКТЫ'!$B$56*'ОБЪЕКТЫ'!EZ50/'ОБЪЕКТЫ'!$B$50,0),0)-IF('ОБЪЕКТЫ'!$B$64=1,IFERROR('ОБЪЕКТЫ'!$B$84*'ОБЪЕКТЫ'!EZ78/'ОБЪЕКТЫ'!$B$78,0),0)-EZ53-EZ57-EZ21</x:f>
      </x:c>
      <x:c r="FA22" s="117">
        <x:f>FA10-IFERROR((SUM($D$20:$GA$20)-'ОБЪЕКТЫ'!$B$96)*('Продажи'!FA14+'Продажи'!FA17+'Продажи'!FA20+'Продажи'!FA23)/(SUM('Продажи'!$D$14:$GA$14)+SUM('Продажи'!$D$17:$GA$17)+SUM('Продажи'!$D$20:$GA$20)+SUM('Продажи'!$D$23:$GA$23)),0)-IF('ОБЪЕКТЫ'!$B$8=1,IFERROR('ОБЪЕКТЫ'!$B$28*'ОБЪЕКТЫ'!FA22/'ОБЪЕКТЫ'!$B$22,0),0)-IF('ОБЪЕКТЫ'!$B$36=1,IFERROR('ОБЪЕКТЫ'!$B$56*'ОБЪЕКТЫ'!FA50/'ОБЪЕКТЫ'!$B$50,0),0)-IF('ОБЪЕКТЫ'!$B$64=1,IFERROR('ОБЪЕКТЫ'!$B$84*'ОБЪЕКТЫ'!FA78/'ОБЪЕКТЫ'!$B$78,0),0)-FA53-FA57-FA21</x:f>
      </x:c>
      <x:c r="FB22" s="117">
        <x:f>FB10-IFERROR((SUM($D$20:$GA$20)-'ОБЪЕКТЫ'!$B$96)*('Продажи'!FB14+'Продажи'!FB17+'Продажи'!FB20+'Продажи'!FB23)/(SUM('Продажи'!$D$14:$GA$14)+SUM('Продажи'!$D$17:$GA$17)+SUM('Продажи'!$D$20:$GA$20)+SUM('Продажи'!$D$23:$GA$23)),0)-IF('ОБЪЕКТЫ'!$B$8=1,IFERROR('ОБЪЕКТЫ'!$B$28*'ОБЪЕКТЫ'!FB22/'ОБЪЕКТЫ'!$B$22,0),0)-IF('ОБЪЕКТЫ'!$B$36=1,IFERROR('ОБЪЕКТЫ'!$B$56*'ОБЪЕКТЫ'!FB50/'ОБЪЕКТЫ'!$B$50,0),0)-IF('ОБЪЕКТЫ'!$B$64=1,IFERROR('ОБЪЕКТЫ'!$B$84*'ОБЪЕКТЫ'!FB78/'ОБЪЕКТЫ'!$B$78,0),0)-FB53-FB57-FB21</x:f>
      </x:c>
      <x:c r="FC22" s="117">
        <x:f>FC10-IFERROR((SUM($D$20:$GA$20)-'ОБЪЕКТЫ'!$B$96)*('Продажи'!FC14+'Продажи'!FC17+'Продажи'!FC20+'Продажи'!FC23)/(SUM('Продажи'!$D$14:$GA$14)+SUM('Продажи'!$D$17:$GA$17)+SUM('Продажи'!$D$20:$GA$20)+SUM('Продажи'!$D$23:$GA$23)),0)-IF('ОБЪЕКТЫ'!$B$8=1,IFERROR('ОБЪЕКТЫ'!$B$28*'ОБЪЕКТЫ'!FC22/'ОБЪЕКТЫ'!$B$22,0),0)-IF('ОБЪЕКТЫ'!$B$36=1,IFERROR('ОБЪЕКТЫ'!$B$56*'ОБЪЕКТЫ'!FC50/'ОБЪЕКТЫ'!$B$50,0),0)-IF('ОБЪЕКТЫ'!$B$64=1,IFERROR('ОБЪЕКТЫ'!$B$84*'ОБЪЕКТЫ'!FC78/'ОБЪЕКТЫ'!$B$78,0),0)-FC53-FC57-FC21</x:f>
      </x:c>
      <x:c r="FD22" s="117">
        <x:f>FD10-IFERROR((SUM($D$20:$GA$20)-'ОБЪЕКТЫ'!$B$96)*('Продажи'!FD14+'Продажи'!FD17+'Продажи'!FD20+'Продажи'!FD23)/(SUM('Продажи'!$D$14:$GA$14)+SUM('Продажи'!$D$17:$GA$17)+SUM('Продажи'!$D$20:$GA$20)+SUM('Продажи'!$D$23:$GA$23)),0)-IF('ОБЪЕКТЫ'!$B$8=1,IFERROR('ОБЪЕКТЫ'!$B$28*'ОБЪЕКТЫ'!FD22/'ОБЪЕКТЫ'!$B$22,0),0)-IF('ОБЪЕКТЫ'!$B$36=1,IFERROR('ОБЪЕКТЫ'!$B$56*'ОБЪЕКТЫ'!FD50/'ОБЪЕКТЫ'!$B$50,0),0)-IF('ОБЪЕКТЫ'!$B$64=1,IFERROR('ОБЪЕКТЫ'!$B$84*'ОБЪЕКТЫ'!FD78/'ОБЪЕКТЫ'!$B$78,0),0)-FD53-FD57-FD21</x:f>
      </x:c>
      <x:c r="FE22" s="117">
        <x:f>FE10-IFERROR((SUM($D$20:$GA$20)-'ОБЪЕКТЫ'!$B$96)*('Продажи'!FE14+'Продажи'!FE17+'Продажи'!FE20+'Продажи'!FE23)/(SUM('Продажи'!$D$14:$GA$14)+SUM('Продажи'!$D$17:$GA$17)+SUM('Продажи'!$D$20:$GA$20)+SUM('Продажи'!$D$23:$GA$23)),0)-IF('ОБЪЕКТЫ'!$B$8=1,IFERROR('ОБЪЕКТЫ'!$B$28*'ОБЪЕКТЫ'!FE22/'ОБЪЕКТЫ'!$B$22,0),0)-IF('ОБЪЕКТЫ'!$B$36=1,IFERROR('ОБЪЕКТЫ'!$B$56*'ОБЪЕКТЫ'!FE50/'ОБЪЕКТЫ'!$B$50,0),0)-IF('ОБЪЕКТЫ'!$B$64=1,IFERROR('ОБЪЕКТЫ'!$B$84*'ОБЪЕКТЫ'!FE78/'ОБЪЕКТЫ'!$B$78,0),0)-FE53-FE57-FE21</x:f>
      </x:c>
      <x:c r="FF22" s="117">
        <x:f>FF10-IFERROR((SUM($D$20:$GA$20)-'ОБЪЕКТЫ'!$B$96)*('Продажи'!FF14+'Продажи'!FF17+'Продажи'!FF20+'Продажи'!FF23)/(SUM('Продажи'!$D$14:$GA$14)+SUM('Продажи'!$D$17:$GA$17)+SUM('Продажи'!$D$20:$GA$20)+SUM('Продажи'!$D$23:$GA$23)),0)-IF('ОБЪЕКТЫ'!$B$8=1,IFERROR('ОБЪЕКТЫ'!$B$28*'ОБЪЕКТЫ'!FF22/'ОБЪЕКТЫ'!$B$22,0),0)-IF('ОБЪЕКТЫ'!$B$36=1,IFERROR('ОБЪЕКТЫ'!$B$56*'ОБЪЕКТЫ'!FF50/'ОБЪЕКТЫ'!$B$50,0),0)-IF('ОБЪЕКТЫ'!$B$64=1,IFERROR('ОБЪЕКТЫ'!$B$84*'ОБЪЕКТЫ'!FF78/'ОБЪЕКТЫ'!$B$78,0),0)-FF53-FF57-FF21</x:f>
      </x:c>
      <x:c r="FG22" s="117">
        <x:f>FG10-IFERROR((SUM($D$20:$GA$20)-'ОБЪЕКТЫ'!$B$96)*('Продажи'!FG14+'Продажи'!FG17+'Продажи'!FG20+'Продажи'!FG23)/(SUM('Продажи'!$D$14:$GA$14)+SUM('Продажи'!$D$17:$GA$17)+SUM('Продажи'!$D$20:$GA$20)+SUM('Продажи'!$D$23:$GA$23)),0)-IF('ОБЪЕКТЫ'!$B$8=1,IFERROR('ОБЪЕКТЫ'!$B$28*'ОБЪЕКТЫ'!FG22/'ОБЪЕКТЫ'!$B$22,0),0)-IF('ОБЪЕКТЫ'!$B$36=1,IFERROR('ОБЪЕКТЫ'!$B$56*'ОБЪЕКТЫ'!FG50/'ОБЪЕКТЫ'!$B$50,0),0)-IF('ОБЪЕКТЫ'!$B$64=1,IFERROR('ОБЪЕКТЫ'!$B$84*'ОБЪЕКТЫ'!FG78/'ОБЪЕКТЫ'!$B$78,0),0)-FG53-FG57-FG21</x:f>
      </x:c>
      <x:c r="FH22" s="117">
        <x:f>FH10-IFERROR((SUM($D$20:$GA$20)-'ОБЪЕКТЫ'!$B$96)*('Продажи'!FH14+'Продажи'!FH17+'Продажи'!FH20+'Продажи'!FH23)/(SUM('Продажи'!$D$14:$GA$14)+SUM('Продажи'!$D$17:$GA$17)+SUM('Продажи'!$D$20:$GA$20)+SUM('Продажи'!$D$23:$GA$23)),0)-IF('ОБЪЕКТЫ'!$B$8=1,IFERROR('ОБЪЕКТЫ'!$B$28*'ОБЪЕКТЫ'!FH22/'ОБЪЕКТЫ'!$B$22,0),0)-IF('ОБЪЕКТЫ'!$B$36=1,IFERROR('ОБЪЕКТЫ'!$B$56*'ОБЪЕКТЫ'!FH50/'ОБЪЕКТЫ'!$B$50,0),0)-IF('ОБЪЕКТЫ'!$B$64=1,IFERROR('ОБЪЕКТЫ'!$B$84*'ОБЪЕКТЫ'!FH78/'ОБЪЕКТЫ'!$B$78,0),0)-FH53-FH57-FH21</x:f>
      </x:c>
      <x:c r="FI22" s="117">
        <x:f>FI10-IFERROR((SUM($D$20:$GA$20)-'ОБЪЕКТЫ'!$B$96)*('Продажи'!FI14+'Продажи'!FI17+'Продажи'!FI20+'Продажи'!FI23)/(SUM('Продажи'!$D$14:$GA$14)+SUM('Продажи'!$D$17:$GA$17)+SUM('Продажи'!$D$20:$GA$20)+SUM('Продажи'!$D$23:$GA$23)),0)-IF('ОБЪЕКТЫ'!$B$8=1,IFERROR('ОБЪЕКТЫ'!$B$28*'ОБЪЕКТЫ'!FI22/'ОБЪЕКТЫ'!$B$22,0),0)-IF('ОБЪЕКТЫ'!$B$36=1,IFERROR('ОБЪЕКТЫ'!$B$56*'ОБЪЕКТЫ'!FI50/'ОБЪЕКТЫ'!$B$50,0),0)-IF('ОБЪЕКТЫ'!$B$64=1,IFERROR('ОБЪЕКТЫ'!$B$84*'ОБЪЕКТЫ'!FI78/'ОБЪЕКТЫ'!$B$78,0),0)-FI53-FI57-FI21</x:f>
      </x:c>
      <x:c r="FJ22" s="117">
        <x:f>FJ10-IFERROR((SUM($D$20:$GA$20)-'ОБЪЕКТЫ'!$B$96)*('Продажи'!FJ14+'Продажи'!FJ17+'Продажи'!FJ20+'Продажи'!FJ23)/(SUM('Продажи'!$D$14:$GA$14)+SUM('Продажи'!$D$17:$GA$17)+SUM('Продажи'!$D$20:$GA$20)+SUM('Продажи'!$D$23:$GA$23)),0)-IF('ОБЪЕКТЫ'!$B$8=1,IFERROR('ОБЪЕКТЫ'!$B$28*'ОБЪЕКТЫ'!FJ22/'ОБЪЕКТЫ'!$B$22,0),0)-IF('ОБЪЕКТЫ'!$B$36=1,IFERROR('ОБЪЕКТЫ'!$B$56*'ОБЪЕКТЫ'!FJ50/'ОБЪЕКТЫ'!$B$50,0),0)-IF('ОБЪЕКТЫ'!$B$64=1,IFERROR('ОБЪЕКТЫ'!$B$84*'ОБЪЕКТЫ'!FJ78/'ОБЪЕКТЫ'!$B$78,0),0)-FJ53-FJ57-FJ21</x:f>
      </x:c>
      <x:c r="FK22" s="117">
        <x:f>FK10-IFERROR((SUM($D$20:$GA$20)-'ОБЪЕКТЫ'!$B$96)*('Продажи'!FK14+'Продажи'!FK17+'Продажи'!FK20+'Продажи'!FK23)/(SUM('Продажи'!$D$14:$GA$14)+SUM('Продажи'!$D$17:$GA$17)+SUM('Продажи'!$D$20:$GA$20)+SUM('Продажи'!$D$23:$GA$23)),0)-IF('ОБЪЕКТЫ'!$B$8=1,IFERROR('ОБЪЕКТЫ'!$B$28*'ОБЪЕКТЫ'!FK22/'ОБЪЕКТЫ'!$B$22,0),0)-IF('ОБЪЕКТЫ'!$B$36=1,IFERROR('ОБЪЕКТЫ'!$B$56*'ОБЪЕКТЫ'!FK50/'ОБЪЕКТЫ'!$B$50,0),0)-IF('ОБЪЕКТЫ'!$B$64=1,IFERROR('ОБЪЕКТЫ'!$B$84*'ОБЪЕКТЫ'!FK78/'ОБЪЕКТЫ'!$B$78,0),0)-FK53-FK57-FK21</x:f>
      </x:c>
      <x:c r="FL22" s="117">
        <x:f>FL10-IFERROR((SUM($D$20:$GA$20)-'ОБЪЕКТЫ'!$B$96)*('Продажи'!FL14+'Продажи'!FL17+'Продажи'!FL20+'Продажи'!FL23)/(SUM('Продажи'!$D$14:$GA$14)+SUM('Продажи'!$D$17:$GA$17)+SUM('Продажи'!$D$20:$GA$20)+SUM('Продажи'!$D$23:$GA$23)),0)-IF('ОБЪЕКТЫ'!$B$8=1,IFERROR('ОБЪЕКТЫ'!$B$28*'ОБЪЕКТЫ'!FL22/'ОБЪЕКТЫ'!$B$22,0),0)-IF('ОБЪЕКТЫ'!$B$36=1,IFERROR('ОБЪЕКТЫ'!$B$56*'ОБЪЕКТЫ'!FL50/'ОБЪЕКТЫ'!$B$50,0),0)-IF('ОБЪЕКТЫ'!$B$64=1,IFERROR('ОБЪЕКТЫ'!$B$84*'ОБЪЕКТЫ'!FL78/'ОБЪЕКТЫ'!$B$78,0),0)-FL53-FL57-FL21</x:f>
      </x:c>
      <x:c r="FM22" s="117">
        <x:f>FM10-IFERROR((SUM($D$20:$GA$20)-'ОБЪЕКТЫ'!$B$96)*('Продажи'!FM14+'Продажи'!FM17+'Продажи'!FM20+'Продажи'!FM23)/(SUM('Продажи'!$D$14:$GA$14)+SUM('Продажи'!$D$17:$GA$17)+SUM('Продажи'!$D$20:$GA$20)+SUM('Продажи'!$D$23:$GA$23)),0)-IF('ОБЪЕКТЫ'!$B$8=1,IFERROR('ОБЪЕКТЫ'!$B$28*'ОБЪЕКТЫ'!FM22/'ОБЪЕКТЫ'!$B$22,0),0)-IF('ОБЪЕКТЫ'!$B$36=1,IFERROR('ОБЪЕКТЫ'!$B$56*'ОБЪЕКТЫ'!FM50/'ОБЪЕКТЫ'!$B$50,0),0)-IF('ОБЪЕКТЫ'!$B$64=1,IFERROR('ОБЪЕКТЫ'!$B$84*'ОБЪЕКТЫ'!FM78/'ОБЪЕКТЫ'!$B$78,0),0)-FM53-FM57-FM21</x:f>
      </x:c>
      <x:c r="FN22" s="117">
        <x:f>FN10-IFERROR((SUM($D$20:$GA$20)-'ОБЪЕКТЫ'!$B$96)*('Продажи'!FN14+'Продажи'!FN17+'Продажи'!FN20+'Продажи'!FN23)/(SUM('Продажи'!$D$14:$GA$14)+SUM('Продажи'!$D$17:$GA$17)+SUM('Продажи'!$D$20:$GA$20)+SUM('Продажи'!$D$23:$GA$23)),0)-IF('ОБЪЕКТЫ'!$B$8=1,IFERROR('ОБЪЕКТЫ'!$B$28*'ОБЪЕКТЫ'!FN22/'ОБЪЕКТЫ'!$B$22,0),0)-IF('ОБЪЕКТЫ'!$B$36=1,IFERROR('ОБЪЕКТЫ'!$B$56*'ОБЪЕКТЫ'!FN50/'ОБЪЕКТЫ'!$B$50,0),0)-IF('ОБЪЕКТЫ'!$B$64=1,IFERROR('ОБЪЕКТЫ'!$B$84*'ОБЪЕКТЫ'!FN78/'ОБЪЕКТЫ'!$B$78,0),0)-FN53-FN57-FN21</x:f>
      </x:c>
      <x:c r="FO22" s="117">
        <x:f>FO10-IFERROR((SUM($D$20:$GA$20)-'ОБЪЕКТЫ'!$B$96)*('Продажи'!FO14+'Продажи'!FO17+'Продажи'!FO20+'Продажи'!FO23)/(SUM('Продажи'!$D$14:$GA$14)+SUM('Продажи'!$D$17:$GA$17)+SUM('Продажи'!$D$20:$GA$20)+SUM('Продажи'!$D$23:$GA$23)),0)-IF('ОБЪЕКТЫ'!$B$8=1,IFERROR('ОБЪЕКТЫ'!$B$28*'ОБЪЕКТЫ'!FO22/'ОБЪЕКТЫ'!$B$22,0),0)-IF('ОБЪЕКТЫ'!$B$36=1,IFERROR('ОБЪЕКТЫ'!$B$56*'ОБЪЕКТЫ'!FO50/'ОБЪЕКТЫ'!$B$50,0),0)-IF('ОБЪЕКТЫ'!$B$64=1,IFERROR('ОБЪЕКТЫ'!$B$84*'ОБЪЕКТЫ'!FO78/'ОБЪЕКТЫ'!$B$78,0),0)-FO53-FO57-FO21</x:f>
      </x:c>
      <x:c r="FP22" s="117">
        <x:f>FP10-IFERROR((SUM($D$20:$GA$20)-'ОБЪЕКТЫ'!$B$96)*('Продажи'!FP14+'Продажи'!FP17+'Продажи'!FP20+'Продажи'!FP23)/(SUM('Продажи'!$D$14:$GA$14)+SUM('Продажи'!$D$17:$GA$17)+SUM('Продажи'!$D$20:$GA$20)+SUM('Продажи'!$D$23:$GA$23)),0)-IF('ОБЪЕКТЫ'!$B$8=1,IFERROR('ОБЪЕКТЫ'!$B$28*'ОБЪЕКТЫ'!FP22/'ОБЪЕКТЫ'!$B$22,0),0)-IF('ОБЪЕКТЫ'!$B$36=1,IFERROR('ОБЪЕКТЫ'!$B$56*'ОБЪЕКТЫ'!FP50/'ОБЪЕКТЫ'!$B$50,0),0)-IF('ОБЪЕКТЫ'!$B$64=1,IFERROR('ОБЪЕКТЫ'!$B$84*'ОБЪЕКТЫ'!FP78/'ОБЪЕКТЫ'!$B$78,0),0)-FP53-FP57-FP21</x:f>
      </x:c>
      <x:c r="FQ22" s="117">
        <x:f>FQ10-IFERROR((SUM($D$20:$GA$20)-'ОБЪЕКТЫ'!$B$96)*('Продажи'!FQ14+'Продажи'!FQ17+'Продажи'!FQ20+'Продажи'!FQ23)/(SUM('Продажи'!$D$14:$GA$14)+SUM('Продажи'!$D$17:$GA$17)+SUM('Продажи'!$D$20:$GA$20)+SUM('Продажи'!$D$23:$GA$23)),0)-IF('ОБЪЕКТЫ'!$B$8=1,IFERROR('ОБЪЕКТЫ'!$B$28*'ОБЪЕКТЫ'!FQ22/'ОБЪЕКТЫ'!$B$22,0),0)-IF('ОБЪЕКТЫ'!$B$36=1,IFERROR('ОБЪЕКТЫ'!$B$56*'ОБЪЕКТЫ'!FQ50/'ОБЪЕКТЫ'!$B$50,0),0)-IF('ОБЪЕКТЫ'!$B$64=1,IFERROR('ОБЪЕКТЫ'!$B$84*'ОБЪЕКТЫ'!FQ78/'ОБЪЕКТЫ'!$B$78,0),0)-FQ53-FQ57-FQ21</x:f>
      </x:c>
      <x:c r="FR22" s="117">
        <x:f>FR10-IFERROR((SUM($D$20:$GA$20)-'ОБЪЕКТЫ'!$B$96)*('Продажи'!FR14+'Продажи'!FR17+'Продажи'!FR20+'Продажи'!FR23)/(SUM('Продажи'!$D$14:$GA$14)+SUM('Продажи'!$D$17:$GA$17)+SUM('Продажи'!$D$20:$GA$20)+SUM('Продажи'!$D$23:$GA$23)),0)-IF('ОБЪЕКТЫ'!$B$8=1,IFERROR('ОБЪЕКТЫ'!$B$28*'ОБЪЕКТЫ'!FR22/'ОБЪЕКТЫ'!$B$22,0),0)-IF('ОБЪЕКТЫ'!$B$36=1,IFERROR('ОБЪЕКТЫ'!$B$56*'ОБЪЕКТЫ'!FR50/'ОБЪЕКТЫ'!$B$50,0),0)-IF('ОБЪЕКТЫ'!$B$64=1,IFERROR('ОБЪЕКТЫ'!$B$84*'ОБЪЕКТЫ'!FR78/'ОБЪЕКТЫ'!$B$78,0),0)-FR53-FR57-FR21</x:f>
      </x:c>
      <x:c r="FS22" s="117">
        <x:f>FS10-IFERROR((SUM($D$20:$GA$20)-'ОБЪЕКТЫ'!$B$96)*('Продажи'!FS14+'Продажи'!FS17+'Продажи'!FS20+'Продажи'!FS23)/(SUM('Продажи'!$D$14:$GA$14)+SUM('Продажи'!$D$17:$GA$17)+SUM('Продажи'!$D$20:$GA$20)+SUM('Продажи'!$D$23:$GA$23)),0)-IF('ОБЪЕКТЫ'!$B$8=1,IFERROR('ОБЪЕКТЫ'!$B$28*'ОБЪЕКТЫ'!FS22/'ОБЪЕКТЫ'!$B$22,0),0)-IF('ОБЪЕКТЫ'!$B$36=1,IFERROR('ОБЪЕКТЫ'!$B$56*'ОБЪЕКТЫ'!FS50/'ОБЪЕКТЫ'!$B$50,0),0)-IF('ОБЪЕКТЫ'!$B$64=1,IFERROR('ОБЪЕКТЫ'!$B$84*'ОБЪЕКТЫ'!FS78/'ОБЪЕКТЫ'!$B$78,0),0)-FS53-FS57-FS21</x:f>
      </x:c>
      <x:c r="FT22" s="117">
        <x:f>FT10-IFERROR((SUM($D$20:$GA$20)-'ОБЪЕКТЫ'!$B$96)*('Продажи'!FT14+'Продажи'!FT17+'Продажи'!FT20+'Продажи'!FT23)/(SUM('Продажи'!$D$14:$GA$14)+SUM('Продажи'!$D$17:$GA$17)+SUM('Продажи'!$D$20:$GA$20)+SUM('Продажи'!$D$23:$GA$23)),0)-IF('ОБЪЕКТЫ'!$B$8=1,IFERROR('ОБЪЕКТЫ'!$B$28*'ОБЪЕКТЫ'!FT22/'ОБЪЕКТЫ'!$B$22,0),0)-IF('ОБЪЕКТЫ'!$B$36=1,IFERROR('ОБЪЕКТЫ'!$B$56*'ОБЪЕКТЫ'!FT50/'ОБЪЕКТЫ'!$B$50,0),0)-IF('ОБЪЕКТЫ'!$B$64=1,IFERROR('ОБЪЕКТЫ'!$B$84*'ОБЪЕКТЫ'!FT78/'ОБЪЕКТЫ'!$B$78,0),0)-FT53-FT57-FT21</x:f>
      </x:c>
      <x:c r="FU22" s="117">
        <x:f>FU10-IFERROR((SUM($D$20:$GA$20)-'ОБЪЕКТЫ'!$B$96)*('Продажи'!FU14+'Продажи'!FU17+'Продажи'!FU20+'Продажи'!FU23)/(SUM('Продажи'!$D$14:$GA$14)+SUM('Продажи'!$D$17:$GA$17)+SUM('Продажи'!$D$20:$GA$20)+SUM('Продажи'!$D$23:$GA$23)),0)-IF('ОБЪЕКТЫ'!$B$8=1,IFERROR('ОБЪЕКТЫ'!$B$28*'ОБЪЕКТЫ'!FU22/'ОБЪЕКТЫ'!$B$22,0),0)-IF('ОБЪЕКТЫ'!$B$36=1,IFERROR('ОБЪЕКТЫ'!$B$56*'ОБЪЕКТЫ'!FU50/'ОБЪЕКТЫ'!$B$50,0),0)-IF('ОБЪЕКТЫ'!$B$64=1,IFERROR('ОБЪЕКТЫ'!$B$84*'ОБЪЕКТЫ'!FU78/'ОБЪЕКТЫ'!$B$78,0),0)-FU53-FU57-FU21</x:f>
      </x:c>
      <x:c r="FV22" s="117">
        <x:f>FV10-IFERROR((SUM($D$20:$GA$20)-'ОБЪЕКТЫ'!$B$96)*('Продажи'!FV14+'Продажи'!FV17+'Продажи'!FV20+'Продажи'!FV23)/(SUM('Продажи'!$D$14:$GA$14)+SUM('Продажи'!$D$17:$GA$17)+SUM('Продажи'!$D$20:$GA$20)+SUM('Продажи'!$D$23:$GA$23)),0)-IF('ОБЪЕКТЫ'!$B$8=1,IFERROR('ОБЪЕКТЫ'!$B$28*'ОБЪЕКТЫ'!FV22/'ОБЪЕКТЫ'!$B$22,0),0)-IF('ОБЪЕКТЫ'!$B$36=1,IFERROR('ОБЪЕКТЫ'!$B$56*'ОБЪЕКТЫ'!FV50/'ОБЪЕКТЫ'!$B$50,0),0)-IF('ОБЪЕКТЫ'!$B$64=1,IFERROR('ОБЪЕКТЫ'!$B$84*'ОБЪЕКТЫ'!FV78/'ОБЪЕКТЫ'!$B$78,0),0)-FV53-FV57-FV21</x:f>
      </x:c>
      <x:c r="FW22" s="117">
        <x:f>FW10-IFERROR((SUM($D$20:$GA$20)-'ОБЪЕКТЫ'!$B$96)*('Продажи'!FW14+'Продажи'!FW17+'Продажи'!FW20+'Продажи'!FW23)/(SUM('Продажи'!$D$14:$GA$14)+SUM('Продажи'!$D$17:$GA$17)+SUM('Продажи'!$D$20:$GA$20)+SUM('Продажи'!$D$23:$GA$23)),0)-IF('ОБЪЕКТЫ'!$B$8=1,IFERROR('ОБЪЕКТЫ'!$B$28*'ОБЪЕКТЫ'!FW22/'ОБЪЕКТЫ'!$B$22,0),0)-IF('ОБЪЕКТЫ'!$B$36=1,IFERROR('ОБЪЕКТЫ'!$B$56*'ОБЪЕКТЫ'!FW50/'ОБЪЕКТЫ'!$B$50,0),0)-IF('ОБЪЕКТЫ'!$B$64=1,IFERROR('ОБЪЕКТЫ'!$B$84*'ОБЪЕКТЫ'!FW78/'ОБЪЕКТЫ'!$B$78,0),0)-FW53-FW57-FW21</x:f>
      </x:c>
      <x:c r="FX22" s="117">
        <x:f>FX10-IFERROR((SUM($D$20:$GA$20)-'ОБЪЕКТЫ'!$B$96)*('Продажи'!FX14+'Продажи'!FX17+'Продажи'!FX20+'Продажи'!FX23)/(SUM('Продажи'!$D$14:$GA$14)+SUM('Продажи'!$D$17:$GA$17)+SUM('Продажи'!$D$20:$GA$20)+SUM('Продажи'!$D$23:$GA$23)),0)-IF('ОБЪЕКТЫ'!$B$8=1,IFERROR('ОБЪЕКТЫ'!$B$28*'ОБЪЕКТЫ'!FX22/'ОБЪЕКТЫ'!$B$22,0),0)-IF('ОБЪЕКТЫ'!$B$36=1,IFERROR('ОБЪЕКТЫ'!$B$56*'ОБЪЕКТЫ'!FX50/'ОБЪЕКТЫ'!$B$50,0),0)-IF('ОБЪЕКТЫ'!$B$64=1,IFERROR('ОБЪЕКТЫ'!$B$84*'ОБЪЕКТЫ'!FX78/'ОБЪЕКТЫ'!$B$78,0),0)-FX53-FX57-FX21</x:f>
      </x:c>
      <x:c r="FY22" s="117">
        <x:f>FY10-IFERROR((SUM($D$20:$GA$20)-'ОБЪЕКТЫ'!$B$96)*('Продажи'!FY14+'Продажи'!FY17+'Продажи'!FY20+'Продажи'!FY23)/(SUM('Продажи'!$D$14:$GA$14)+SUM('Продажи'!$D$17:$GA$17)+SUM('Продажи'!$D$20:$GA$20)+SUM('Продажи'!$D$23:$GA$23)),0)-IF('ОБЪЕКТЫ'!$B$8=1,IFERROR('ОБЪЕКТЫ'!$B$28*'ОБЪЕКТЫ'!FY22/'ОБЪЕКТЫ'!$B$22,0),0)-IF('ОБЪЕКТЫ'!$B$36=1,IFERROR('ОБЪЕКТЫ'!$B$56*'ОБЪЕКТЫ'!FY50/'ОБЪЕКТЫ'!$B$50,0),0)-IF('ОБЪЕКТЫ'!$B$64=1,IFERROR('ОБЪЕКТЫ'!$B$84*'ОБЪЕКТЫ'!FY78/'ОБЪЕКТЫ'!$B$78,0),0)-FY53-FY57-FY21</x:f>
      </x:c>
      <x:c r="FZ22" s="117">
        <x:f>FZ10-IFERROR((SUM($D$20:$GA$20)-'ОБЪЕКТЫ'!$B$96)*('Продажи'!FZ14+'Продажи'!FZ17+'Продажи'!FZ20+'Продажи'!FZ23)/(SUM('Продажи'!$D$14:$GA$14)+SUM('Продажи'!$D$17:$GA$17)+SUM('Продажи'!$D$20:$GA$20)+SUM('Продажи'!$D$23:$GA$23)),0)-IF('ОБЪЕКТЫ'!$B$8=1,IFERROR('ОБЪЕКТЫ'!$B$28*'ОБЪЕКТЫ'!FZ22/'ОБЪЕКТЫ'!$B$22,0),0)-IF('ОБЪЕКТЫ'!$B$36=1,IFERROR('ОБЪЕКТЫ'!$B$56*'ОБЪЕКТЫ'!FZ50/'ОБЪЕКТЫ'!$B$50,0),0)-IF('ОБЪЕКТЫ'!$B$64=1,IFERROR('ОБЪЕКТЫ'!$B$84*'ОБЪЕКТЫ'!FZ78/'ОБЪЕКТЫ'!$B$78,0),0)-FZ53-FZ57-FZ21</x:f>
      </x:c>
      <x:c r="GA22" s="117">
        <x:f>GA10-IFERROR((SUM($D$20:$GA$20)-'ОБЪЕКТЫ'!$B$96)*('Продажи'!GA14+'Продажи'!GA17+'Продажи'!GA20+'Продажи'!GA23)/(SUM('Продажи'!$D$14:$GA$14)+SUM('Продажи'!$D$17:$GA$17)+SUM('Продажи'!$D$20:$GA$20)+SUM('Продажи'!$D$23:$GA$23)),0)-IF('ОБЪЕКТЫ'!$B$8=1,IFERROR('ОБЪЕКТЫ'!$B$28*'ОБЪЕКТЫ'!GA22/'ОБЪЕКТЫ'!$B$22,0),0)-IF('ОБЪЕКТЫ'!$B$36=1,IFERROR('ОБЪЕКТЫ'!$B$56*'ОБЪЕКТЫ'!GA50/'ОБЪЕКТЫ'!$B$50,0),0)-IF('ОБЪЕКТЫ'!$B$64=1,IFERROR('ОБЪЕКТЫ'!$B$84*'ОБЪЕКТЫ'!GA78/'ОБЪЕКТЫ'!$B$78,0),0)-GA53-GA57-GA21</x:f>
      </x:c>
    </x:row>
    <x:row r="23">
      <x:c r="A23" t="str">
        <x:v>Накопленная налоговая база</x:v>
      </x:c>
      <x:c r="B23"/>
      <x:c r="C23" t="str">
        <x:v>млн ₽</x:v>
      </x:c>
      <x:c r="D23" s="117" t="n">
        <x:f>D22</x:f>
      </x:c>
      <x:c r="E23" s="117" t="n">
        <x:f>D23+E22</x:f>
      </x:c>
      <x:c r="F23" s="117" t="n">
        <x:f>E23+F22</x:f>
      </x:c>
      <x:c r="G23" s="117" t="n">
        <x:f>F23+G22</x:f>
      </x:c>
      <x:c r="H23" s="117" t="n">
        <x:f>G23+H22</x:f>
      </x:c>
      <x:c r="I23" s="117" t="n">
        <x:f>H23+I22</x:f>
      </x:c>
      <x:c r="J23" s="117" t="n">
        <x:f>I23+J22</x:f>
      </x:c>
      <x:c r="K23" s="117" t="n">
        <x:f>J23+K22</x:f>
      </x:c>
      <x:c r="L23" s="117" t="n">
        <x:f>K23+L22</x:f>
      </x:c>
      <x:c r="M23" s="117" t="n">
        <x:f>L23+M22</x:f>
      </x:c>
      <x:c r="N23" s="117" t="n">
        <x:f>M23+N22</x:f>
      </x:c>
      <x:c r="O23" s="117" t="n">
        <x:f>N23+O22</x:f>
      </x:c>
      <x:c r="P23" s="117" t="n">
        <x:f>O23+P22</x:f>
      </x:c>
      <x:c r="Q23" s="117" t="n">
        <x:f>P23+Q22</x:f>
      </x:c>
      <x:c r="R23" s="117" t="n">
        <x:f>Q23+R22</x:f>
      </x:c>
      <x:c r="S23" s="117" t="n">
        <x:f>R23+S22</x:f>
      </x:c>
      <x:c r="T23" s="117" t="n">
        <x:f>S23+T22</x:f>
      </x:c>
      <x:c r="U23" s="117" t="n">
        <x:f>T23+U22</x:f>
      </x:c>
      <x:c r="V23" s="117" t="n">
        <x:f>U23+V22</x:f>
      </x:c>
      <x:c r="W23" s="117" t="n">
        <x:f>V23+W22</x:f>
      </x:c>
      <x:c r="X23" s="117" t="n">
        <x:f>W23+X22</x:f>
      </x:c>
      <x:c r="Y23" s="117" t="n">
        <x:f>X23+Y22</x:f>
      </x:c>
      <x:c r="Z23" s="117" t="n">
        <x:f>Y23+Z22</x:f>
      </x:c>
      <x:c r="AA23" s="117" t="n">
        <x:f>Z23+AA22</x:f>
      </x:c>
      <x:c r="AB23" s="117" t="n">
        <x:f>AA23+AB22</x:f>
      </x:c>
      <x:c r="AC23" s="117" t="n">
        <x:f>AB23+AC22</x:f>
      </x:c>
      <x:c r="AD23" s="117" t="n">
        <x:f>AC23+AD22</x:f>
      </x:c>
      <x:c r="AE23" s="117" t="n">
        <x:f>AD23+AE22</x:f>
      </x:c>
      <x:c r="AF23" s="117" t="n">
        <x:f>AE23+AF22</x:f>
      </x:c>
      <x:c r="AG23" s="117" t="n">
        <x:f>AF23+AG22</x:f>
      </x:c>
      <x:c r="AH23" s="117" t="n">
        <x:f>AG23+AH22</x:f>
      </x:c>
      <x:c r="AI23" s="117" t="n">
        <x:f>AH23+AI22</x:f>
      </x:c>
      <x:c r="AJ23" s="117" t="n">
        <x:f>AI23+AJ22</x:f>
      </x:c>
      <x:c r="AK23" s="117" t="n">
        <x:f>AJ23+AK22</x:f>
      </x:c>
      <x:c r="AL23" s="117" t="n">
        <x:f>AK23+AL22</x:f>
      </x:c>
      <x:c r="AM23" s="117" t="n">
        <x:f>AL23+AM22</x:f>
      </x:c>
      <x:c r="AN23" s="117" t="n">
        <x:f>AM23+AN22</x:f>
      </x:c>
      <x:c r="AO23" s="117" t="n">
        <x:f>AN23+AO22</x:f>
      </x:c>
      <x:c r="AP23" s="117" t="n">
        <x:f>AO23+AP22</x:f>
      </x:c>
      <x:c r="AQ23" s="117" t="n">
        <x:f>AP23+AQ22</x:f>
      </x:c>
      <x:c r="AR23" s="117" t="n">
        <x:f>AQ23+AR22</x:f>
      </x:c>
      <x:c r="AS23" s="117" t="n">
        <x:f>AR23+AS22</x:f>
      </x:c>
      <x:c r="AT23" s="117" t="n">
        <x:f>AS23+AT22</x:f>
      </x:c>
      <x:c r="AU23" s="117" t="n">
        <x:f>AT23+AU22</x:f>
      </x:c>
      <x:c r="AV23" s="117" t="n">
        <x:f>AU23+AV22</x:f>
      </x:c>
      <x:c r="AW23" s="117" t="n">
        <x:f>AV23+AW22</x:f>
      </x:c>
      <x:c r="AX23" s="117" t="n">
        <x:f>AW23+AX22</x:f>
      </x:c>
      <x:c r="AY23" s="117" t="n">
        <x:f>AX23+AY22</x:f>
      </x:c>
      <x:c r="AZ23" s="117" t="n">
        <x:f>AY23+AZ22</x:f>
      </x:c>
      <x:c r="BA23" s="117" t="n">
        <x:f>AZ23+BA22</x:f>
      </x:c>
      <x:c r="BB23" s="117" t="n">
        <x:f>BA23+BB22</x:f>
      </x:c>
      <x:c r="BC23" s="117" t="n">
        <x:f>BB23+BC22</x:f>
      </x:c>
      <x:c r="BD23" s="117" t="n">
        <x:f>BC23+BD22</x:f>
      </x:c>
      <x:c r="BE23" s="117" t="n">
        <x:f>BD23+BE22</x:f>
      </x:c>
      <x:c r="BF23" s="117" t="n">
        <x:f>BE23+BF22</x:f>
      </x:c>
      <x:c r="BG23" s="117" t="n">
        <x:f>BF23+BG22</x:f>
      </x:c>
      <x:c r="BH23" s="117" t="n">
        <x:f>BG23+BH22</x:f>
      </x:c>
      <x:c r="BI23" s="117" t="n">
        <x:f>BH23+BI22</x:f>
      </x:c>
      <x:c r="BJ23" s="117" t="n">
        <x:f>BI23+BJ22</x:f>
      </x:c>
      <x:c r="BK23" s="117" t="n">
        <x:f>BJ23+BK22</x:f>
      </x:c>
      <x:c r="BL23" s="117" t="n">
        <x:f>BK23+BL22</x:f>
      </x:c>
      <x:c r="BM23" s="117" t="n">
        <x:f>BL23+BM22</x:f>
      </x:c>
      <x:c r="BN23" s="117" t="n">
        <x:f>BM23+BN22</x:f>
      </x:c>
      <x:c r="BO23" s="117" t="n">
        <x:f>BN23+BO22</x:f>
      </x:c>
      <x:c r="BP23" s="117" t="n">
        <x:f>BO23+BP22</x:f>
      </x:c>
      <x:c r="BQ23" s="117" t="n">
        <x:f>BP23+BQ22</x:f>
      </x:c>
      <x:c r="BR23" s="117" t="n">
        <x:f>BQ23+BR22</x:f>
      </x:c>
      <x:c r="BS23" s="117" t="n">
        <x:f>BR23+BS22</x:f>
      </x:c>
      <x:c r="BT23" s="117" t="n">
        <x:f>BS23+BT22</x:f>
      </x:c>
      <x:c r="BU23" s="117" t="n">
        <x:f>BT23+BU22</x:f>
      </x:c>
      <x:c r="BV23" s="117" t="n">
        <x:f>BU23+BV22</x:f>
      </x:c>
      <x:c r="BW23" s="117" t="n">
        <x:f>BV23+BW22</x:f>
      </x:c>
      <x:c r="BX23" s="117" t="n">
        <x:f>BW23+BX22</x:f>
      </x:c>
      <x:c r="BY23" s="117" t="n">
        <x:f>BX23+BY22</x:f>
      </x:c>
      <x:c r="BZ23" s="117" t="n">
        <x:f>BY23+BZ22</x:f>
      </x:c>
      <x:c r="CA23" s="117" t="n">
        <x:f>BZ23+CA22</x:f>
      </x:c>
      <x:c r="CB23" s="117" t="n">
        <x:f>CA23+CB22</x:f>
      </x:c>
      <x:c r="CC23" s="117" t="n">
        <x:f>CB23+CC22</x:f>
      </x:c>
      <x:c r="CD23" s="117" t="n">
        <x:f>CC23+CD22</x:f>
      </x:c>
      <x:c r="CE23" s="117" t="n">
        <x:f>CD23+CE22</x:f>
      </x:c>
      <x:c r="CF23" s="117" t="n">
        <x:f>CE23+CF22</x:f>
      </x:c>
      <x:c r="CG23" s="117" t="n">
        <x:f>CF23+CG22</x:f>
      </x:c>
      <x:c r="CH23" s="117" t="n">
        <x:f>CG23+CH22</x:f>
      </x:c>
      <x:c r="CI23" s="117" t="n">
        <x:f>CH23+CI22</x:f>
      </x:c>
      <x:c r="CJ23" s="117" t="n">
        <x:f>CI23+CJ22</x:f>
      </x:c>
      <x:c r="CK23" s="117" t="n">
        <x:f>CJ23+CK22</x:f>
      </x:c>
      <x:c r="CL23" s="117" t="n">
        <x:f>CK23+CL22</x:f>
      </x:c>
      <x:c r="CM23" s="117" t="n">
        <x:f>CL23+CM22</x:f>
      </x:c>
      <x:c r="CN23" s="117" t="n">
        <x:f>CM23+CN22</x:f>
      </x:c>
      <x:c r="CO23" s="117" t="n">
        <x:f>CN23+CO22</x:f>
      </x:c>
      <x:c r="CP23" s="117" t="n">
        <x:f>CO23+CP22</x:f>
      </x:c>
      <x:c r="CQ23" s="117" t="n">
        <x:f>CP23+CQ22</x:f>
      </x:c>
      <x:c r="CR23" s="117" t="n">
        <x:f>CQ23+CR22</x:f>
      </x:c>
      <x:c r="CS23" s="117" t="n">
        <x:f>CR23+CS22</x:f>
      </x:c>
      <x:c r="CT23" s="117" t="n">
        <x:f>CS23+CT22</x:f>
      </x:c>
      <x:c r="CU23" s="117" t="n">
        <x:f>CT23+CU22</x:f>
      </x:c>
      <x:c r="CV23" s="117" t="n">
        <x:f>CU23+CV22</x:f>
      </x:c>
      <x:c r="CW23" s="117" t="n">
        <x:f>CV23+CW22</x:f>
      </x:c>
      <x:c r="CX23" s="117" t="n">
        <x:f>CW23+CX22</x:f>
      </x:c>
      <x:c r="CY23" s="117" t="n">
        <x:f>CX23+CY22</x:f>
      </x:c>
      <x:c r="CZ23" s="117" t="n">
        <x:f>CY23+CZ22</x:f>
      </x:c>
      <x:c r="DA23" s="117" t="n">
        <x:f>CZ23+DA22</x:f>
      </x:c>
      <x:c r="DB23" s="117" t="n">
        <x:f>DA23+DB22</x:f>
      </x:c>
      <x:c r="DC23" s="117" t="n">
        <x:f>DB23+DC22</x:f>
      </x:c>
      <x:c r="DD23" s="117" t="n">
        <x:f>DC23+DD22</x:f>
      </x:c>
      <x:c r="DE23" s="117" t="n">
        <x:f>DD23+DE22</x:f>
      </x:c>
      <x:c r="DF23" s="117" t="n">
        <x:f>DE23+DF22</x:f>
      </x:c>
      <x:c r="DG23" s="117" t="n">
        <x:f>DF23+DG22</x:f>
      </x:c>
      <x:c r="DH23" s="117" t="n">
        <x:f>DG23+DH22</x:f>
      </x:c>
      <x:c r="DI23" s="117" t="n">
        <x:f>DH23+DI22</x:f>
      </x:c>
      <x:c r="DJ23" s="117" t="n">
        <x:f>DI23+DJ22</x:f>
      </x:c>
      <x:c r="DK23" s="117" t="n">
        <x:f>DJ23+DK22</x:f>
      </x:c>
      <x:c r="DL23" s="117" t="n">
        <x:f>DK23+DL22</x:f>
      </x:c>
      <x:c r="DM23" s="117" t="n">
        <x:f>DL23+DM22</x:f>
      </x:c>
      <x:c r="DN23" s="117" t="n">
        <x:f>DM23+DN22</x:f>
      </x:c>
      <x:c r="DO23" s="117" t="n">
        <x:f>DN23+DO22</x:f>
      </x:c>
      <x:c r="DP23" s="117" t="n">
        <x:f>DO23+DP22</x:f>
      </x:c>
      <x:c r="DQ23" s="117" t="n">
        <x:f>DP23+DQ22</x:f>
      </x:c>
      <x:c r="DR23" s="117" t="n">
        <x:f>DQ23+DR22</x:f>
      </x:c>
      <x:c r="DS23" s="117" t="n">
        <x:f>DR23+DS22</x:f>
      </x:c>
      <x:c r="DT23" s="117" t="n">
        <x:f>DS23+DT22</x:f>
      </x:c>
      <x:c r="DU23" s="117" t="n">
        <x:f>DT23+DU22</x:f>
      </x:c>
      <x:c r="DV23" s="117" t="n">
        <x:f>DU23+DV22</x:f>
      </x:c>
      <x:c r="DW23" s="117" t="n">
        <x:f>DV23+DW22</x:f>
      </x:c>
      <x:c r="DX23" s="117" t="n">
        <x:f>DW23+DX22</x:f>
      </x:c>
      <x:c r="DY23" s="117" t="n">
        <x:f>DX23+DY22</x:f>
      </x:c>
      <x:c r="DZ23" s="117" t="n">
        <x:f>DY23+DZ22</x:f>
      </x:c>
      <x:c r="EA23" s="117" t="n">
        <x:f>DZ23+EA22</x:f>
      </x:c>
      <x:c r="EB23" s="117" t="n">
        <x:f>EA23+EB22</x:f>
      </x:c>
      <x:c r="EC23" s="117" t="n">
        <x:f>EB23+EC22</x:f>
      </x:c>
      <x:c r="ED23" s="117" t="n">
        <x:f>EC23+ED22</x:f>
      </x:c>
      <x:c r="EE23" s="117" t="n">
        <x:f>ED23+EE22</x:f>
      </x:c>
      <x:c r="EF23" s="117" t="n">
        <x:f>EE23+EF22</x:f>
      </x:c>
      <x:c r="EG23" s="117" t="n">
        <x:f>EF23+EG22</x:f>
      </x:c>
      <x:c r="EH23" s="117" t="n">
        <x:f>EG23+EH22</x:f>
      </x:c>
      <x:c r="EI23" s="117" t="n">
        <x:f>EH23+EI22</x:f>
      </x:c>
      <x:c r="EJ23" s="117" t="n">
        <x:f>EI23+EJ22</x:f>
      </x:c>
      <x:c r="EK23" s="117" t="n">
        <x:f>EJ23+EK22</x:f>
      </x:c>
      <x:c r="EL23" s="117" t="n">
        <x:f>EK23+EL22</x:f>
      </x:c>
      <x:c r="EM23" s="117" t="n">
        <x:f>EL23+EM22</x:f>
      </x:c>
      <x:c r="EN23" s="117" t="n">
        <x:f>EM23+EN22</x:f>
      </x:c>
      <x:c r="EO23" s="117" t="n">
        <x:f>EN23+EO22</x:f>
      </x:c>
      <x:c r="EP23" s="117" t="n">
        <x:f>EO23+EP22</x:f>
      </x:c>
      <x:c r="EQ23" s="117" t="n">
        <x:f>EP23+EQ22</x:f>
      </x:c>
      <x:c r="ER23" s="117" t="n">
        <x:f>EQ23+ER22</x:f>
      </x:c>
      <x:c r="ES23" s="117" t="n">
        <x:f>ER23+ES22</x:f>
      </x:c>
      <x:c r="ET23" s="117" t="n">
        <x:f>ES23+ET22</x:f>
      </x:c>
      <x:c r="EU23" s="117" t="n">
        <x:f>ET23+EU22</x:f>
      </x:c>
      <x:c r="EV23" s="117" t="n">
        <x:f>EU23+EV22</x:f>
      </x:c>
      <x:c r="EW23" s="117" t="n">
        <x:f>EV23+EW22</x:f>
      </x:c>
      <x:c r="EX23" s="117" t="n">
        <x:f>EW23+EX22</x:f>
      </x:c>
      <x:c r="EY23" s="117" t="n">
        <x:f>EX23+EY22</x:f>
      </x:c>
      <x:c r="EZ23" s="117" t="n">
        <x:f>EY23+EZ22</x:f>
      </x:c>
      <x:c r="FA23" s="117" t="n">
        <x:f>EZ23+FA22</x:f>
      </x:c>
      <x:c r="FB23" s="117" t="n">
        <x:f>FA23+FB22</x:f>
      </x:c>
      <x:c r="FC23" s="117" t="n">
        <x:f>FB23+FC22</x:f>
      </x:c>
      <x:c r="FD23" s="117" t="n">
        <x:f>FC23+FD22</x:f>
      </x:c>
      <x:c r="FE23" s="117" t="n">
        <x:f>FD23+FE22</x:f>
      </x:c>
      <x:c r="FF23" s="117" t="n">
        <x:f>FE23+FF22</x:f>
      </x:c>
      <x:c r="FG23" s="117" t="n">
        <x:f>FF23+FG22</x:f>
      </x:c>
      <x:c r="FH23" s="117" t="n">
        <x:f>FG23+FH22</x:f>
      </x:c>
      <x:c r="FI23" s="117" t="n">
        <x:f>FH23+FI22</x:f>
      </x:c>
      <x:c r="FJ23" s="117" t="n">
        <x:f>FI23+FJ22</x:f>
      </x:c>
      <x:c r="FK23" s="117" t="n">
        <x:f>FJ23+FK22</x:f>
      </x:c>
      <x:c r="FL23" s="117" t="n">
        <x:f>FK23+FL22</x:f>
      </x:c>
      <x:c r="FM23" s="117" t="n">
        <x:f>FL23+FM22</x:f>
      </x:c>
      <x:c r="FN23" s="117" t="n">
        <x:f>FM23+FN22</x:f>
      </x:c>
      <x:c r="FO23" s="117" t="n">
        <x:f>FN23+FO22</x:f>
      </x:c>
      <x:c r="FP23" s="117" t="n">
        <x:f>FO23+FP22</x:f>
      </x:c>
      <x:c r="FQ23" s="117" t="n">
        <x:f>FP23+FQ22</x:f>
      </x:c>
      <x:c r="FR23" s="117" t="n">
        <x:f>FQ23+FR22</x:f>
      </x:c>
      <x:c r="FS23" s="117" t="n">
        <x:f>FR23+FS22</x:f>
      </x:c>
      <x:c r="FT23" s="117" t="n">
        <x:f>FS23+FT22</x:f>
      </x:c>
      <x:c r="FU23" s="117" t="n">
        <x:f>FT23+FU22</x:f>
      </x:c>
      <x:c r="FV23" s="117" t="n">
        <x:f>FU23+FV22</x:f>
      </x:c>
      <x:c r="FW23" s="117" t="n">
        <x:f>FV23+FW22</x:f>
      </x:c>
      <x:c r="FX23" s="117" t="n">
        <x:f>FW23+FX22</x:f>
      </x:c>
      <x:c r="FY23" s="117" t="n">
        <x:f>FX23+FY22</x:f>
      </x:c>
      <x:c r="FZ23" s="117" t="n">
        <x:f>FY23+FZ22</x:f>
      </x:c>
      <x:c r="GA23" s="117" t="n">
        <x:f>FZ23+GA22</x:f>
      </x:c>
    </x:row>
    <x:row r="24">
      <x:c r="A24" t="str">
        <x:v>Налог на прибыль</x:v>
      </x:c>
      <x:c r="B24" t="n">
        <x:f>SUM(D24:GA24)</x:f>
      </x:c>
      <x:c r="C24" t="str">
        <x:v>млн ₽</x:v>
      </x:c>
      <x:c r="D24" s="117" t="n">
        <x:f>IF(D$3&gt;=$B$8,MAX(0,MAX(0,D23)*'Вводные'!$B$21-0),0)</x:f>
      </x:c>
      <x:c r="E24" s="117" t="n">
        <x:f>IF(E$3&gt;=$B$8,MAX(0,MAX(0,E23)*'Вводные'!$B$21-D25),0)</x:f>
      </x:c>
      <x:c r="F24" s="117" t="n">
        <x:f>IF(F$3&gt;=$B$8,MAX(0,MAX(0,F23)*'Вводные'!$B$21-E25),0)</x:f>
      </x:c>
      <x:c r="G24" s="117" t="n">
        <x:f>IF(G$3&gt;=$B$8,MAX(0,MAX(0,G23)*'Вводные'!$B$21-F25),0)</x:f>
      </x:c>
      <x:c r="H24" s="117" t="n">
        <x:f>IF(H$3&gt;=$B$8,MAX(0,MAX(0,H23)*'Вводные'!$B$21-G25),0)</x:f>
      </x:c>
      <x:c r="I24" s="117" t="n">
        <x:f>IF(I$3&gt;=$B$8,MAX(0,MAX(0,I23)*'Вводные'!$B$21-H25),0)</x:f>
      </x:c>
      <x:c r="J24" s="117" t="n">
        <x:f>IF(J$3&gt;=$B$8,MAX(0,MAX(0,J23)*'Вводные'!$B$21-I25),0)</x:f>
      </x:c>
      <x:c r="K24" s="117" t="n">
        <x:f>IF(K$3&gt;=$B$8,MAX(0,MAX(0,K23)*'Вводные'!$B$21-J25),0)</x:f>
      </x:c>
      <x:c r="L24" s="117" t="n">
        <x:f>IF(L$3&gt;=$B$8,MAX(0,MAX(0,L23)*'Вводные'!$B$21-K25),0)</x:f>
      </x:c>
      <x:c r="M24" s="117" t="n">
        <x:f>IF(M$3&gt;=$B$8,MAX(0,MAX(0,M23)*'Вводные'!$B$21-L25),0)</x:f>
      </x:c>
      <x:c r="N24" s="117" t="n">
        <x:f>IF(N$3&gt;=$B$8,MAX(0,MAX(0,N23)*'Вводные'!$B$21-M25),0)</x:f>
      </x:c>
      <x:c r="O24" s="117" t="n">
        <x:f>IF(O$3&gt;=$B$8,MAX(0,MAX(0,O23)*'Вводные'!$B$21-N25),0)</x:f>
      </x:c>
      <x:c r="P24" s="117" t="n">
        <x:f>IF(P$3&gt;=$B$8,MAX(0,MAX(0,P23)*'Вводные'!$B$21-O25),0)</x:f>
      </x:c>
      <x:c r="Q24" s="117" t="n">
        <x:f>IF(Q$3&gt;=$B$8,MAX(0,MAX(0,Q23)*'Вводные'!$B$21-P25),0)</x:f>
      </x:c>
      <x:c r="R24" s="117" t="n">
        <x:f>IF(R$3&gt;=$B$8,MAX(0,MAX(0,R23)*'Вводные'!$B$21-Q25),0)</x:f>
      </x:c>
      <x:c r="S24" s="117" t="n">
        <x:f>IF(S$3&gt;=$B$8,MAX(0,MAX(0,S23)*'Вводные'!$B$21-R25),0)</x:f>
      </x:c>
      <x:c r="T24" s="117" t="n">
        <x:f>IF(T$3&gt;=$B$8,MAX(0,MAX(0,T23)*'Вводные'!$B$21-S25),0)</x:f>
      </x:c>
      <x:c r="U24" s="117" t="n">
        <x:f>IF(U$3&gt;=$B$8,MAX(0,MAX(0,U23)*'Вводные'!$B$21-T25),0)</x:f>
      </x:c>
      <x:c r="V24" s="117" t="n">
        <x:f>IF(V$3&gt;=$B$8,MAX(0,MAX(0,V23)*'Вводные'!$B$21-U25),0)</x:f>
      </x:c>
      <x:c r="W24" s="117" t="n">
        <x:f>IF(W$3&gt;=$B$8,MAX(0,MAX(0,W23)*'Вводные'!$B$21-V25),0)</x:f>
      </x:c>
      <x:c r="X24" s="117" t="n">
        <x:f>IF(X$3&gt;=$B$8,MAX(0,MAX(0,X23)*'Вводные'!$B$21-W25),0)</x:f>
      </x:c>
      <x:c r="Y24" s="117" t="n">
        <x:f>IF(Y$3&gt;=$B$8,MAX(0,MAX(0,Y23)*'Вводные'!$B$21-X25),0)</x:f>
      </x:c>
      <x:c r="Z24" s="117" t="n">
        <x:f>IF(Z$3&gt;=$B$8,MAX(0,MAX(0,Z23)*'Вводные'!$B$21-Y25),0)</x:f>
      </x:c>
      <x:c r="AA24" s="117" t="n">
        <x:f>IF(AA$3&gt;=$B$8,MAX(0,MAX(0,AA23)*'Вводные'!$B$21-Z25),0)</x:f>
      </x:c>
      <x:c r="AB24" s="117" t="n">
        <x:f>IF(AB$3&gt;=$B$8,MAX(0,MAX(0,AB23)*'Вводные'!$B$21-AA25),0)</x:f>
      </x:c>
      <x:c r="AC24" s="117" t="n">
        <x:f>IF(AC$3&gt;=$B$8,MAX(0,MAX(0,AC23)*'Вводные'!$B$21-AB25),0)</x:f>
      </x:c>
      <x:c r="AD24" s="117" t="n">
        <x:f>IF(AD$3&gt;=$B$8,MAX(0,MAX(0,AD23)*'Вводные'!$B$21-AC25),0)</x:f>
      </x:c>
      <x:c r="AE24" s="117" t="n">
        <x:f>IF(AE$3&gt;=$B$8,MAX(0,MAX(0,AE23)*'Вводные'!$B$21-AD25),0)</x:f>
      </x:c>
      <x:c r="AF24" s="117" t="n">
        <x:f>IF(AF$3&gt;=$B$8,MAX(0,MAX(0,AF23)*'Вводные'!$B$21-AE25),0)</x:f>
      </x:c>
      <x:c r="AG24" s="117" t="n">
        <x:f>IF(AG$3&gt;=$B$8,MAX(0,MAX(0,AG23)*'Вводные'!$B$21-AF25),0)</x:f>
      </x:c>
      <x:c r="AH24" s="117" t="n">
        <x:f>IF(AH$3&gt;=$B$8,MAX(0,MAX(0,AH23)*'Вводные'!$B$21-AG25),0)</x:f>
      </x:c>
      <x:c r="AI24" s="117" t="n">
        <x:f>IF(AI$3&gt;=$B$8,MAX(0,MAX(0,AI23)*'Вводные'!$B$21-AH25),0)</x:f>
      </x:c>
      <x:c r="AJ24" s="117" t="n">
        <x:f>IF(AJ$3&gt;=$B$8,MAX(0,MAX(0,AJ23)*'Вводные'!$B$21-AI25),0)</x:f>
      </x:c>
      <x:c r="AK24" s="117" t="n">
        <x:f>IF(AK$3&gt;=$B$8,MAX(0,MAX(0,AK23)*'Вводные'!$B$21-AJ25),0)</x:f>
      </x:c>
      <x:c r="AL24" s="117" t="n">
        <x:f>IF(AL$3&gt;=$B$8,MAX(0,MAX(0,AL23)*'Вводные'!$B$21-AK25),0)</x:f>
      </x:c>
      <x:c r="AM24" s="117" t="n">
        <x:f>IF(AM$3&gt;=$B$8,MAX(0,MAX(0,AM23)*'Вводные'!$B$21-AL25),0)</x:f>
      </x:c>
      <x:c r="AN24" s="117" t="n">
        <x:f>IF(AN$3&gt;=$B$8,MAX(0,MAX(0,AN23)*'Вводные'!$B$21-AM25),0)</x:f>
      </x:c>
      <x:c r="AO24" s="117" t="n">
        <x:f>IF(AO$3&gt;=$B$8,MAX(0,MAX(0,AO23)*'Вводные'!$B$21-AN25),0)</x:f>
      </x:c>
      <x:c r="AP24" s="117" t="n">
        <x:f>IF(AP$3&gt;=$B$8,MAX(0,MAX(0,AP23)*'Вводные'!$B$21-AO25),0)</x:f>
      </x:c>
      <x:c r="AQ24" s="117" t="n">
        <x:f>IF(AQ$3&gt;=$B$8,MAX(0,MAX(0,AQ23)*'Вводные'!$B$21-AP25),0)</x:f>
      </x:c>
      <x:c r="AR24" s="117" t="n">
        <x:f>IF(AR$3&gt;=$B$8,MAX(0,MAX(0,AR23)*'Вводные'!$B$21-AQ25),0)</x:f>
      </x:c>
      <x:c r="AS24" s="117" t="n">
        <x:f>IF(AS$3&gt;=$B$8,MAX(0,MAX(0,AS23)*'Вводные'!$B$21-AR25),0)</x:f>
      </x:c>
      <x:c r="AT24" s="117" t="n">
        <x:f>IF(AT$3&gt;=$B$8,MAX(0,MAX(0,AT23)*'Вводные'!$B$21-AS25),0)</x:f>
      </x:c>
      <x:c r="AU24" s="117" t="n">
        <x:f>IF(AU$3&gt;=$B$8,MAX(0,MAX(0,AU23)*'Вводные'!$B$21-AT25),0)</x:f>
      </x:c>
      <x:c r="AV24" s="117" t="n">
        <x:f>IF(AV$3&gt;=$B$8,MAX(0,MAX(0,AV23)*'Вводные'!$B$21-AU25),0)</x:f>
      </x:c>
      <x:c r="AW24" s="117" t="n">
        <x:f>IF(AW$3&gt;=$B$8,MAX(0,MAX(0,AW23)*'Вводные'!$B$21-AV25),0)</x:f>
      </x:c>
      <x:c r="AX24" s="117" t="n">
        <x:f>IF(AX$3&gt;=$B$8,MAX(0,MAX(0,AX23)*'Вводные'!$B$21-AW25),0)</x:f>
      </x:c>
      <x:c r="AY24" s="117" t="n">
        <x:f>IF(AY$3&gt;=$B$8,MAX(0,MAX(0,AY23)*'Вводные'!$B$21-AX25),0)</x:f>
      </x:c>
      <x:c r="AZ24" s="117" t="n">
        <x:f>IF(AZ$3&gt;=$B$8,MAX(0,MAX(0,AZ23)*'Вводные'!$B$21-AY25),0)</x:f>
      </x:c>
      <x:c r="BA24" s="117" t="n">
        <x:f>IF(BA$3&gt;=$B$8,MAX(0,MAX(0,BA23)*'Вводные'!$B$21-AZ25),0)</x:f>
      </x:c>
      <x:c r="BB24" s="117" t="n">
        <x:f>IF(BB$3&gt;=$B$8,MAX(0,MAX(0,BB23)*'Вводные'!$B$21-BA25),0)</x:f>
      </x:c>
      <x:c r="BC24" s="117" t="n">
        <x:f>IF(BC$3&gt;=$B$8,MAX(0,MAX(0,BC23)*'Вводные'!$B$21-BB25),0)</x:f>
      </x:c>
      <x:c r="BD24" s="117" t="n">
        <x:f>IF(BD$3&gt;=$B$8,MAX(0,MAX(0,BD23)*'Вводные'!$B$21-BC25),0)</x:f>
      </x:c>
      <x:c r="BE24" s="117" t="n">
        <x:f>IF(BE$3&gt;=$B$8,MAX(0,MAX(0,BE23)*'Вводные'!$B$21-BD25),0)</x:f>
      </x:c>
      <x:c r="BF24" s="117" t="n">
        <x:f>IF(BF$3&gt;=$B$8,MAX(0,MAX(0,BF23)*'Вводные'!$B$21-BE25),0)</x:f>
      </x:c>
      <x:c r="BG24" s="117" t="n">
        <x:f>IF(BG$3&gt;=$B$8,MAX(0,MAX(0,BG23)*'Вводные'!$B$21-BF25),0)</x:f>
      </x:c>
      <x:c r="BH24" s="117" t="n">
        <x:f>IF(BH$3&gt;=$B$8,MAX(0,MAX(0,BH23)*'Вводные'!$B$21-BG25),0)</x:f>
      </x:c>
      <x:c r="BI24" s="117" t="n">
        <x:f>IF(BI$3&gt;=$B$8,MAX(0,MAX(0,BI23)*'Вводные'!$B$21-BH25),0)</x:f>
      </x:c>
      <x:c r="BJ24" s="117" t="n">
        <x:f>IF(BJ$3&gt;=$B$8,MAX(0,MAX(0,BJ23)*'Вводные'!$B$21-BI25),0)</x:f>
      </x:c>
      <x:c r="BK24" s="117" t="n">
        <x:f>IF(BK$3&gt;=$B$8,MAX(0,MAX(0,BK23)*'Вводные'!$B$21-BJ25),0)</x:f>
      </x:c>
      <x:c r="BL24" s="117" t="n">
        <x:f>IF(BL$3&gt;=$B$8,MAX(0,MAX(0,BL23)*'Вводные'!$B$21-BK25),0)</x:f>
      </x:c>
      <x:c r="BM24" s="117" t="n">
        <x:f>IF(BM$3&gt;=$B$8,MAX(0,MAX(0,BM23)*'Вводные'!$B$21-BL25),0)</x:f>
      </x:c>
      <x:c r="BN24" s="117" t="n">
        <x:f>IF(BN$3&gt;=$B$8,MAX(0,MAX(0,BN23)*'Вводные'!$B$21-BM25),0)</x:f>
      </x:c>
      <x:c r="BO24" s="117" t="n">
        <x:f>IF(BO$3&gt;=$B$8,MAX(0,MAX(0,BO23)*'Вводные'!$B$21-BN25),0)</x:f>
      </x:c>
      <x:c r="BP24" s="117" t="n">
        <x:f>IF(BP$3&gt;=$B$8,MAX(0,MAX(0,BP23)*'Вводные'!$B$21-BO25),0)</x:f>
      </x:c>
      <x:c r="BQ24" s="117" t="n">
        <x:f>IF(BQ$3&gt;=$B$8,MAX(0,MAX(0,BQ23)*'Вводные'!$B$21-BP25),0)</x:f>
      </x:c>
      <x:c r="BR24" s="117" t="n">
        <x:f>IF(BR$3&gt;=$B$8,MAX(0,MAX(0,BR23)*'Вводные'!$B$21-BQ25),0)</x:f>
      </x:c>
      <x:c r="BS24" s="117" t="n">
        <x:f>IF(BS$3&gt;=$B$8,MAX(0,MAX(0,BS23)*'Вводные'!$B$21-BR25),0)</x:f>
      </x:c>
      <x:c r="BT24" s="117" t="n">
        <x:f>IF(BT$3&gt;=$B$8,MAX(0,MAX(0,BT23)*'Вводные'!$B$21-BS25),0)</x:f>
      </x:c>
      <x:c r="BU24" s="117" t="n">
        <x:f>IF(BU$3&gt;=$B$8,MAX(0,MAX(0,BU23)*'Вводные'!$B$21-BT25),0)</x:f>
      </x:c>
      <x:c r="BV24" s="117" t="n">
        <x:f>IF(BV$3&gt;=$B$8,MAX(0,MAX(0,BV23)*'Вводные'!$B$21-BU25),0)</x:f>
      </x:c>
      <x:c r="BW24" s="117" t="n">
        <x:f>IF(BW$3&gt;=$B$8,MAX(0,MAX(0,BW23)*'Вводные'!$B$21-BV25),0)</x:f>
      </x:c>
      <x:c r="BX24" s="117" t="n">
        <x:f>IF(BX$3&gt;=$B$8,MAX(0,MAX(0,BX23)*'Вводные'!$B$21-BW25),0)</x:f>
      </x:c>
      <x:c r="BY24" s="117" t="n">
        <x:f>IF(BY$3&gt;=$B$8,MAX(0,MAX(0,BY23)*'Вводные'!$B$21-BX25),0)</x:f>
      </x:c>
      <x:c r="BZ24" s="117" t="n">
        <x:f>IF(BZ$3&gt;=$B$8,MAX(0,MAX(0,BZ23)*'Вводные'!$B$21-BY25),0)</x:f>
      </x:c>
      <x:c r="CA24" s="117" t="n">
        <x:f>IF(CA$3&gt;=$B$8,MAX(0,MAX(0,CA23)*'Вводные'!$B$21-BZ25),0)</x:f>
      </x:c>
      <x:c r="CB24" s="117" t="n">
        <x:f>IF(CB$3&gt;=$B$8,MAX(0,MAX(0,CB23)*'Вводные'!$B$21-CA25),0)</x:f>
      </x:c>
      <x:c r="CC24" s="117" t="n">
        <x:f>IF(CC$3&gt;=$B$8,MAX(0,MAX(0,CC23)*'Вводные'!$B$21-CB25),0)</x:f>
      </x:c>
      <x:c r="CD24" s="117" t="n">
        <x:f>IF(CD$3&gt;=$B$8,MAX(0,MAX(0,CD23)*'Вводные'!$B$21-CC25),0)</x:f>
      </x:c>
      <x:c r="CE24" s="117" t="n">
        <x:f>IF(CE$3&gt;=$B$8,MAX(0,MAX(0,CE23)*'Вводные'!$B$21-CD25),0)</x:f>
      </x:c>
      <x:c r="CF24" s="117" t="n">
        <x:f>IF(CF$3&gt;=$B$8,MAX(0,MAX(0,CF23)*'Вводные'!$B$21-CE25),0)</x:f>
      </x:c>
      <x:c r="CG24" s="117" t="n">
        <x:f>IF(CG$3&gt;=$B$8,MAX(0,MAX(0,CG23)*'Вводные'!$B$21-CF25),0)</x:f>
      </x:c>
      <x:c r="CH24" s="117" t="n">
        <x:f>IF(CH$3&gt;=$B$8,MAX(0,MAX(0,CH23)*'Вводные'!$B$21-CG25),0)</x:f>
      </x:c>
      <x:c r="CI24" s="117" t="n">
        <x:f>IF(CI$3&gt;=$B$8,MAX(0,MAX(0,CI23)*'Вводные'!$B$21-CH25),0)</x:f>
      </x:c>
      <x:c r="CJ24" s="117" t="n">
        <x:f>IF(CJ$3&gt;=$B$8,MAX(0,MAX(0,CJ23)*'Вводные'!$B$21-CI25),0)</x:f>
      </x:c>
      <x:c r="CK24" s="117" t="n">
        <x:f>IF(CK$3&gt;=$B$8,MAX(0,MAX(0,CK23)*'Вводные'!$B$21-CJ25),0)</x:f>
      </x:c>
      <x:c r="CL24" s="117" t="n">
        <x:f>IF(CL$3&gt;=$B$8,MAX(0,MAX(0,CL23)*'Вводные'!$B$21-CK25),0)</x:f>
      </x:c>
      <x:c r="CM24" s="117" t="n">
        <x:f>IF(CM$3&gt;=$B$8,MAX(0,MAX(0,CM23)*'Вводные'!$B$21-CL25),0)</x:f>
      </x:c>
      <x:c r="CN24" s="117" t="n">
        <x:f>IF(CN$3&gt;=$B$8,MAX(0,MAX(0,CN23)*'Вводные'!$B$21-CM25),0)</x:f>
      </x:c>
      <x:c r="CO24" s="117" t="n">
        <x:f>IF(CO$3&gt;=$B$8,MAX(0,MAX(0,CO23)*'Вводные'!$B$21-CN25),0)</x:f>
      </x:c>
      <x:c r="CP24" s="117" t="n">
        <x:f>IF(CP$3&gt;=$B$8,MAX(0,MAX(0,CP23)*'Вводные'!$B$21-CO25),0)</x:f>
      </x:c>
      <x:c r="CQ24" s="117" t="n">
        <x:f>IF(CQ$3&gt;=$B$8,MAX(0,MAX(0,CQ23)*'Вводные'!$B$21-CP25),0)</x:f>
      </x:c>
      <x:c r="CR24" s="117" t="n">
        <x:f>IF(CR$3&gt;=$B$8,MAX(0,MAX(0,CR23)*'Вводные'!$B$21-CQ25),0)</x:f>
      </x:c>
      <x:c r="CS24" s="117" t="n">
        <x:f>IF(CS$3&gt;=$B$8,MAX(0,MAX(0,CS23)*'Вводные'!$B$21-CR25),0)</x:f>
      </x:c>
      <x:c r="CT24" s="117" t="n">
        <x:f>IF(CT$3&gt;=$B$8,MAX(0,MAX(0,CT23)*'Вводные'!$B$21-CS25),0)</x:f>
      </x:c>
      <x:c r="CU24" s="117" t="n">
        <x:f>IF(CU$3&gt;=$B$8,MAX(0,MAX(0,CU23)*'Вводные'!$B$21-CT25),0)</x:f>
      </x:c>
      <x:c r="CV24" s="117" t="n">
        <x:f>IF(CV$3&gt;=$B$8,MAX(0,MAX(0,CV23)*'Вводные'!$B$21-CU25),0)</x:f>
      </x:c>
      <x:c r="CW24" s="117" t="n">
        <x:f>IF(CW$3&gt;=$B$8,MAX(0,MAX(0,CW23)*'Вводные'!$B$21-CV25),0)</x:f>
      </x:c>
      <x:c r="CX24" s="117" t="n">
        <x:f>IF(CX$3&gt;=$B$8,MAX(0,MAX(0,CX23)*'Вводные'!$B$21-CW25),0)</x:f>
      </x:c>
      <x:c r="CY24" s="117" t="n">
        <x:f>IF(CY$3&gt;=$B$8,MAX(0,MAX(0,CY23)*'Вводные'!$B$21-CX25),0)</x:f>
      </x:c>
      <x:c r="CZ24" s="117" t="n">
        <x:f>IF(CZ$3&gt;=$B$8,MAX(0,MAX(0,CZ23)*'Вводные'!$B$21-CY25),0)</x:f>
      </x:c>
      <x:c r="DA24" s="117" t="n">
        <x:f>IF(DA$3&gt;=$B$8,MAX(0,MAX(0,DA23)*'Вводные'!$B$21-CZ25),0)</x:f>
      </x:c>
      <x:c r="DB24" s="117" t="n">
        <x:f>IF(DB$3&gt;=$B$8,MAX(0,MAX(0,DB23)*'Вводные'!$B$21-DA25),0)</x:f>
      </x:c>
      <x:c r="DC24" s="117" t="n">
        <x:f>IF(DC$3&gt;=$B$8,MAX(0,MAX(0,DC23)*'Вводные'!$B$21-DB25),0)</x:f>
      </x:c>
      <x:c r="DD24" s="117" t="n">
        <x:f>IF(DD$3&gt;=$B$8,MAX(0,MAX(0,DD23)*'Вводные'!$B$21-DC25),0)</x:f>
      </x:c>
      <x:c r="DE24" s="117" t="n">
        <x:f>IF(DE$3&gt;=$B$8,MAX(0,MAX(0,DE23)*'Вводные'!$B$21-DD25),0)</x:f>
      </x:c>
      <x:c r="DF24" s="117" t="n">
        <x:f>IF(DF$3&gt;=$B$8,MAX(0,MAX(0,DF23)*'Вводные'!$B$21-DE25),0)</x:f>
      </x:c>
      <x:c r="DG24" s="117" t="n">
        <x:f>IF(DG$3&gt;=$B$8,MAX(0,MAX(0,DG23)*'Вводные'!$B$21-DF25),0)</x:f>
      </x:c>
      <x:c r="DH24" s="117" t="n">
        <x:f>IF(DH$3&gt;=$B$8,MAX(0,MAX(0,DH23)*'Вводные'!$B$21-DG25),0)</x:f>
      </x:c>
      <x:c r="DI24" s="117" t="n">
        <x:f>IF(DI$3&gt;=$B$8,MAX(0,MAX(0,DI23)*'Вводные'!$B$21-DH25),0)</x:f>
      </x:c>
      <x:c r="DJ24" s="117" t="n">
        <x:f>IF(DJ$3&gt;=$B$8,MAX(0,MAX(0,DJ23)*'Вводные'!$B$21-DI25),0)</x:f>
      </x:c>
      <x:c r="DK24" s="117" t="n">
        <x:f>IF(DK$3&gt;=$B$8,MAX(0,MAX(0,DK23)*'Вводные'!$B$21-DJ25),0)</x:f>
      </x:c>
      <x:c r="DL24" s="117" t="n">
        <x:f>IF(DL$3&gt;=$B$8,MAX(0,MAX(0,DL23)*'Вводные'!$B$21-DK25),0)</x:f>
      </x:c>
      <x:c r="DM24" s="117" t="n">
        <x:f>IF(DM$3&gt;=$B$8,MAX(0,MAX(0,DM23)*'Вводные'!$B$21-DL25),0)</x:f>
      </x:c>
      <x:c r="DN24" s="117" t="n">
        <x:f>IF(DN$3&gt;=$B$8,MAX(0,MAX(0,DN23)*'Вводные'!$B$21-DM25),0)</x:f>
      </x:c>
      <x:c r="DO24" s="117" t="n">
        <x:f>IF(DO$3&gt;=$B$8,MAX(0,MAX(0,DO23)*'Вводные'!$B$21-DN25),0)</x:f>
      </x:c>
      <x:c r="DP24" s="117" t="n">
        <x:f>IF(DP$3&gt;=$B$8,MAX(0,MAX(0,DP23)*'Вводные'!$B$21-DO25),0)</x:f>
      </x:c>
      <x:c r="DQ24" s="117" t="n">
        <x:f>IF(DQ$3&gt;=$B$8,MAX(0,MAX(0,DQ23)*'Вводные'!$B$21-DP25),0)</x:f>
      </x:c>
      <x:c r="DR24" s="117" t="n">
        <x:f>IF(DR$3&gt;=$B$8,MAX(0,MAX(0,DR23)*'Вводные'!$B$21-DQ25),0)</x:f>
      </x:c>
      <x:c r="DS24" s="117" t="n">
        <x:f>IF(DS$3&gt;=$B$8,MAX(0,MAX(0,DS23)*'Вводные'!$B$21-DR25),0)</x:f>
      </x:c>
      <x:c r="DT24" s="117" t="n">
        <x:f>IF(DT$3&gt;=$B$8,MAX(0,MAX(0,DT23)*'Вводные'!$B$21-DS25),0)</x:f>
      </x:c>
      <x:c r="DU24" s="117" t="n">
        <x:f>IF(DU$3&gt;=$B$8,MAX(0,MAX(0,DU23)*'Вводные'!$B$21-DT25),0)</x:f>
      </x:c>
      <x:c r="DV24" s="117" t="n">
        <x:f>IF(DV$3&gt;=$B$8,MAX(0,MAX(0,DV23)*'Вводные'!$B$21-DU25),0)</x:f>
      </x:c>
      <x:c r="DW24" s="117" t="n">
        <x:f>IF(DW$3&gt;=$B$8,MAX(0,MAX(0,DW23)*'Вводные'!$B$21-DV25),0)</x:f>
      </x:c>
      <x:c r="DX24" s="117" t="n">
        <x:f>IF(DX$3&gt;=$B$8,MAX(0,MAX(0,DX23)*'Вводные'!$B$21-DW25),0)</x:f>
      </x:c>
      <x:c r="DY24" s="117" t="n">
        <x:f>IF(DY$3&gt;=$B$8,MAX(0,MAX(0,DY23)*'Вводные'!$B$21-DX25),0)</x:f>
      </x:c>
      <x:c r="DZ24" s="117" t="n">
        <x:f>IF(DZ$3&gt;=$B$8,MAX(0,MAX(0,DZ23)*'Вводные'!$B$21-DY25),0)</x:f>
      </x:c>
      <x:c r="EA24" s="117" t="n">
        <x:f>IF(EA$3&gt;=$B$8,MAX(0,MAX(0,EA23)*'Вводные'!$B$21-DZ25),0)</x:f>
      </x:c>
      <x:c r="EB24" s="117" t="n">
        <x:f>IF(EB$3&gt;=$B$8,MAX(0,MAX(0,EB23)*'Вводные'!$B$21-EA25),0)</x:f>
      </x:c>
      <x:c r="EC24" s="117" t="n">
        <x:f>IF(EC$3&gt;=$B$8,MAX(0,MAX(0,EC23)*'Вводные'!$B$21-EB25),0)</x:f>
      </x:c>
      <x:c r="ED24" s="117" t="n">
        <x:f>IF(ED$3&gt;=$B$8,MAX(0,MAX(0,ED23)*'Вводные'!$B$21-EC25),0)</x:f>
      </x:c>
      <x:c r="EE24" s="117" t="n">
        <x:f>IF(EE$3&gt;=$B$8,MAX(0,MAX(0,EE23)*'Вводные'!$B$21-ED25),0)</x:f>
      </x:c>
      <x:c r="EF24" s="117" t="n">
        <x:f>IF(EF$3&gt;=$B$8,MAX(0,MAX(0,EF23)*'Вводные'!$B$21-EE25),0)</x:f>
      </x:c>
      <x:c r="EG24" s="117" t="n">
        <x:f>IF(EG$3&gt;=$B$8,MAX(0,MAX(0,EG23)*'Вводные'!$B$21-EF25),0)</x:f>
      </x:c>
      <x:c r="EH24" s="117" t="n">
        <x:f>IF(EH$3&gt;=$B$8,MAX(0,MAX(0,EH23)*'Вводные'!$B$21-EG25),0)</x:f>
      </x:c>
      <x:c r="EI24" s="117" t="n">
        <x:f>IF(EI$3&gt;=$B$8,MAX(0,MAX(0,EI23)*'Вводные'!$B$21-EH25),0)</x:f>
      </x:c>
      <x:c r="EJ24" s="117" t="n">
        <x:f>IF(EJ$3&gt;=$B$8,MAX(0,MAX(0,EJ23)*'Вводные'!$B$21-EI25),0)</x:f>
      </x:c>
      <x:c r="EK24" s="117" t="n">
        <x:f>IF(EK$3&gt;=$B$8,MAX(0,MAX(0,EK23)*'Вводные'!$B$21-EJ25),0)</x:f>
      </x:c>
      <x:c r="EL24" s="117" t="n">
        <x:f>IF(EL$3&gt;=$B$8,MAX(0,MAX(0,EL23)*'Вводные'!$B$21-EK25),0)</x:f>
      </x:c>
      <x:c r="EM24" s="117" t="n">
        <x:f>IF(EM$3&gt;=$B$8,MAX(0,MAX(0,EM23)*'Вводные'!$B$21-EL25),0)</x:f>
      </x:c>
      <x:c r="EN24" s="117" t="n">
        <x:f>IF(EN$3&gt;=$B$8,MAX(0,MAX(0,EN23)*'Вводные'!$B$21-EM25),0)</x:f>
      </x:c>
      <x:c r="EO24" s="117" t="n">
        <x:f>IF(EO$3&gt;=$B$8,MAX(0,MAX(0,EO23)*'Вводные'!$B$21-EN25),0)</x:f>
      </x:c>
      <x:c r="EP24" s="117" t="n">
        <x:f>IF(EP$3&gt;=$B$8,MAX(0,MAX(0,EP23)*'Вводные'!$B$21-EO25),0)</x:f>
      </x:c>
      <x:c r="EQ24" s="117" t="n">
        <x:f>IF(EQ$3&gt;=$B$8,MAX(0,MAX(0,EQ23)*'Вводные'!$B$21-EP25),0)</x:f>
      </x:c>
      <x:c r="ER24" s="117" t="n">
        <x:f>IF(ER$3&gt;=$B$8,MAX(0,MAX(0,ER23)*'Вводные'!$B$21-EQ25),0)</x:f>
      </x:c>
      <x:c r="ES24" s="117" t="n">
        <x:f>IF(ES$3&gt;=$B$8,MAX(0,MAX(0,ES23)*'Вводные'!$B$21-ER25),0)</x:f>
      </x:c>
      <x:c r="ET24" s="117" t="n">
        <x:f>IF(ET$3&gt;=$B$8,MAX(0,MAX(0,ET23)*'Вводные'!$B$21-ES25),0)</x:f>
      </x:c>
      <x:c r="EU24" s="117" t="n">
        <x:f>IF(EU$3&gt;=$B$8,MAX(0,MAX(0,EU23)*'Вводные'!$B$21-ET25),0)</x:f>
      </x:c>
      <x:c r="EV24" s="117" t="n">
        <x:f>IF(EV$3&gt;=$B$8,MAX(0,MAX(0,EV23)*'Вводные'!$B$21-EU25),0)</x:f>
      </x:c>
      <x:c r="EW24" s="117" t="n">
        <x:f>IF(EW$3&gt;=$B$8,MAX(0,MAX(0,EW23)*'Вводные'!$B$21-EV25),0)</x:f>
      </x:c>
      <x:c r="EX24" s="117" t="n">
        <x:f>IF(EX$3&gt;=$B$8,MAX(0,MAX(0,EX23)*'Вводные'!$B$21-EW25),0)</x:f>
      </x:c>
      <x:c r="EY24" s="117" t="n">
        <x:f>IF(EY$3&gt;=$B$8,MAX(0,MAX(0,EY23)*'Вводные'!$B$21-EX25),0)</x:f>
      </x:c>
      <x:c r="EZ24" s="117" t="n">
        <x:f>IF(EZ$3&gt;=$B$8,MAX(0,MAX(0,EZ23)*'Вводные'!$B$21-EY25),0)</x:f>
      </x:c>
      <x:c r="FA24" s="117" t="n">
        <x:f>IF(FA$3&gt;=$B$8,MAX(0,MAX(0,FA23)*'Вводные'!$B$21-EZ25),0)</x:f>
      </x:c>
      <x:c r="FB24" s="117" t="n">
        <x:f>IF(FB$3&gt;=$B$8,MAX(0,MAX(0,FB23)*'Вводные'!$B$21-FA25),0)</x:f>
      </x:c>
      <x:c r="FC24" s="117" t="n">
        <x:f>IF(FC$3&gt;=$B$8,MAX(0,MAX(0,FC23)*'Вводные'!$B$21-FB25),0)</x:f>
      </x:c>
      <x:c r="FD24" s="117" t="n">
        <x:f>IF(FD$3&gt;=$B$8,MAX(0,MAX(0,FD23)*'Вводные'!$B$21-FC25),0)</x:f>
      </x:c>
      <x:c r="FE24" s="117" t="n">
        <x:f>IF(FE$3&gt;=$B$8,MAX(0,MAX(0,FE23)*'Вводные'!$B$21-FD25),0)</x:f>
      </x:c>
      <x:c r="FF24" s="117" t="n">
        <x:f>IF(FF$3&gt;=$B$8,MAX(0,MAX(0,FF23)*'Вводные'!$B$21-FE25),0)</x:f>
      </x:c>
      <x:c r="FG24" s="117" t="n">
        <x:f>IF(FG$3&gt;=$B$8,MAX(0,MAX(0,FG23)*'Вводные'!$B$21-FF25),0)</x:f>
      </x:c>
      <x:c r="FH24" s="117" t="n">
        <x:f>IF(FH$3&gt;=$B$8,MAX(0,MAX(0,FH23)*'Вводные'!$B$21-FG25),0)</x:f>
      </x:c>
      <x:c r="FI24" s="117" t="n">
        <x:f>IF(FI$3&gt;=$B$8,MAX(0,MAX(0,FI23)*'Вводные'!$B$21-FH25),0)</x:f>
      </x:c>
      <x:c r="FJ24" s="117" t="n">
        <x:f>IF(FJ$3&gt;=$B$8,MAX(0,MAX(0,FJ23)*'Вводные'!$B$21-FI25),0)</x:f>
      </x:c>
      <x:c r="FK24" s="117" t="n">
        <x:f>IF(FK$3&gt;=$B$8,MAX(0,MAX(0,FK23)*'Вводные'!$B$21-FJ25),0)</x:f>
      </x:c>
      <x:c r="FL24" s="117" t="n">
        <x:f>IF(FL$3&gt;=$B$8,MAX(0,MAX(0,FL23)*'Вводные'!$B$21-FK25),0)</x:f>
      </x:c>
      <x:c r="FM24" s="117" t="n">
        <x:f>IF(FM$3&gt;=$B$8,MAX(0,MAX(0,FM23)*'Вводные'!$B$21-FL25),0)</x:f>
      </x:c>
      <x:c r="FN24" s="117" t="n">
        <x:f>IF(FN$3&gt;=$B$8,MAX(0,MAX(0,FN23)*'Вводные'!$B$21-FM25),0)</x:f>
      </x:c>
      <x:c r="FO24" s="117" t="n">
        <x:f>IF(FO$3&gt;=$B$8,MAX(0,MAX(0,FO23)*'Вводные'!$B$21-FN25),0)</x:f>
      </x:c>
      <x:c r="FP24" s="117" t="n">
        <x:f>IF(FP$3&gt;=$B$8,MAX(0,MAX(0,FP23)*'Вводные'!$B$21-FO25),0)</x:f>
      </x:c>
      <x:c r="FQ24" s="117" t="n">
        <x:f>IF(FQ$3&gt;=$B$8,MAX(0,MAX(0,FQ23)*'Вводные'!$B$21-FP25),0)</x:f>
      </x:c>
      <x:c r="FR24" s="117" t="n">
        <x:f>IF(FR$3&gt;=$B$8,MAX(0,MAX(0,FR23)*'Вводные'!$B$21-FQ25),0)</x:f>
      </x:c>
      <x:c r="FS24" s="117" t="n">
        <x:f>IF(FS$3&gt;=$B$8,MAX(0,MAX(0,FS23)*'Вводные'!$B$21-FR25),0)</x:f>
      </x:c>
      <x:c r="FT24" s="117" t="n">
        <x:f>IF(FT$3&gt;=$B$8,MAX(0,MAX(0,FT23)*'Вводные'!$B$21-FS25),0)</x:f>
      </x:c>
      <x:c r="FU24" s="117" t="n">
        <x:f>IF(FU$3&gt;=$B$8,MAX(0,MAX(0,FU23)*'Вводные'!$B$21-FT25),0)</x:f>
      </x:c>
      <x:c r="FV24" s="117" t="n">
        <x:f>IF(FV$3&gt;=$B$8,MAX(0,MAX(0,FV23)*'Вводные'!$B$21-FU25),0)</x:f>
      </x:c>
      <x:c r="FW24" s="117" t="n">
        <x:f>IF(FW$3&gt;=$B$8,MAX(0,MAX(0,FW23)*'Вводные'!$B$21-FV25),0)</x:f>
      </x:c>
      <x:c r="FX24" s="117" t="n">
        <x:f>IF(FX$3&gt;=$B$8,MAX(0,MAX(0,FX23)*'Вводные'!$B$21-FW25),0)</x:f>
      </x:c>
      <x:c r="FY24" s="117" t="n">
        <x:f>IF(FY$3&gt;=$B$8,MAX(0,MAX(0,FY23)*'Вводные'!$B$21-FX25),0)</x:f>
      </x:c>
      <x:c r="FZ24" s="117" t="n">
        <x:f>IF(FZ$3&gt;=$B$8,MAX(0,MAX(0,FZ23)*'Вводные'!$B$21-FY25),0)</x:f>
      </x:c>
      <x:c r="GA24" s="117" t="n">
        <x:f>IF(GA$3&gt;=$B$8,MAX(0,MAX(0,GA23)*'Вводные'!$B$21-FZ25),0)</x:f>
      </x:c>
    </x:row>
    <x:row r="25">
      <x:c r="A25" t="str">
        <x:v>Налог уплачен накопленно</x:v>
      </x:c>
      <x:c r="B25" t="n">
        <x:f>GA25</x:f>
      </x:c>
      <x:c r="C25" t="str">
        <x:v>млн ₽</x:v>
      </x:c>
      <x:c r="D25" s="117" t="n">
        <x:f>D24</x:f>
      </x:c>
      <x:c r="E25" s="117" t="n">
        <x:f>D25+E24</x:f>
      </x:c>
      <x:c r="F25" s="117" t="n">
        <x:f>E25+F24</x:f>
      </x:c>
      <x:c r="G25" s="117" t="n">
        <x:f>F25+G24</x:f>
      </x:c>
      <x:c r="H25" s="117" t="n">
        <x:f>G25+H24</x:f>
      </x:c>
      <x:c r="I25" s="117" t="n">
        <x:f>H25+I24</x:f>
      </x:c>
      <x:c r="J25" s="117" t="n">
        <x:f>I25+J24</x:f>
      </x:c>
      <x:c r="K25" s="117" t="n">
        <x:f>J25+K24</x:f>
      </x:c>
      <x:c r="L25" s="117" t="n">
        <x:f>K25+L24</x:f>
      </x:c>
      <x:c r="M25" s="117" t="n">
        <x:f>L25+M24</x:f>
      </x:c>
      <x:c r="N25" s="117" t="n">
        <x:f>M25+N24</x:f>
      </x:c>
      <x:c r="O25" s="117" t="n">
        <x:f>N25+O24</x:f>
      </x:c>
      <x:c r="P25" s="117" t="n">
        <x:f>O25+P24</x:f>
      </x:c>
      <x:c r="Q25" s="117" t="n">
        <x:f>P25+Q24</x:f>
      </x:c>
      <x:c r="R25" s="117" t="n">
        <x:f>Q25+R24</x:f>
      </x:c>
      <x:c r="S25" s="117" t="n">
        <x:f>R25+S24</x:f>
      </x:c>
      <x:c r="T25" s="117" t="n">
        <x:f>S25+T24</x:f>
      </x:c>
      <x:c r="U25" s="117" t="n">
        <x:f>T25+U24</x:f>
      </x:c>
      <x:c r="V25" s="117" t="n">
        <x:f>U25+V24</x:f>
      </x:c>
      <x:c r="W25" s="117" t="n">
        <x:f>V25+W24</x:f>
      </x:c>
      <x:c r="X25" s="117" t="n">
        <x:f>W25+X24</x:f>
      </x:c>
      <x:c r="Y25" s="117" t="n">
        <x:f>X25+Y24</x:f>
      </x:c>
      <x:c r="Z25" s="117" t="n">
        <x:f>Y25+Z24</x:f>
      </x:c>
      <x:c r="AA25" s="117" t="n">
        <x:f>Z25+AA24</x:f>
      </x:c>
      <x:c r="AB25" s="117" t="n">
        <x:f>AA25+AB24</x:f>
      </x:c>
      <x:c r="AC25" s="117" t="n">
        <x:f>AB25+AC24</x:f>
      </x:c>
      <x:c r="AD25" s="117" t="n">
        <x:f>AC25+AD24</x:f>
      </x:c>
      <x:c r="AE25" s="117" t="n">
        <x:f>AD25+AE24</x:f>
      </x:c>
      <x:c r="AF25" s="117" t="n">
        <x:f>AE25+AF24</x:f>
      </x:c>
      <x:c r="AG25" s="117" t="n">
        <x:f>AF25+AG24</x:f>
      </x:c>
      <x:c r="AH25" s="117" t="n">
        <x:f>AG25+AH24</x:f>
      </x:c>
      <x:c r="AI25" s="117" t="n">
        <x:f>AH25+AI24</x:f>
      </x:c>
      <x:c r="AJ25" s="117" t="n">
        <x:f>AI25+AJ24</x:f>
      </x:c>
      <x:c r="AK25" s="117" t="n">
        <x:f>AJ25+AK24</x:f>
      </x:c>
      <x:c r="AL25" s="117" t="n">
        <x:f>AK25+AL24</x:f>
      </x:c>
      <x:c r="AM25" s="117" t="n">
        <x:f>AL25+AM24</x:f>
      </x:c>
      <x:c r="AN25" s="117" t="n">
        <x:f>AM25+AN24</x:f>
      </x:c>
      <x:c r="AO25" s="117" t="n">
        <x:f>AN25+AO24</x:f>
      </x:c>
      <x:c r="AP25" s="117" t="n">
        <x:f>AO25+AP24</x:f>
      </x:c>
      <x:c r="AQ25" s="117" t="n">
        <x:f>AP25+AQ24</x:f>
      </x:c>
      <x:c r="AR25" s="117" t="n">
        <x:f>AQ25+AR24</x:f>
      </x:c>
      <x:c r="AS25" s="117" t="n">
        <x:f>AR25+AS24</x:f>
      </x:c>
      <x:c r="AT25" s="117" t="n">
        <x:f>AS25+AT24</x:f>
      </x:c>
      <x:c r="AU25" s="117" t="n">
        <x:f>AT25+AU24</x:f>
      </x:c>
      <x:c r="AV25" s="117" t="n">
        <x:f>AU25+AV24</x:f>
      </x:c>
      <x:c r="AW25" s="117" t="n">
        <x:f>AV25+AW24</x:f>
      </x:c>
      <x:c r="AX25" s="117" t="n">
        <x:f>AW25+AX24</x:f>
      </x:c>
      <x:c r="AY25" s="117" t="n">
        <x:f>AX25+AY24</x:f>
      </x:c>
      <x:c r="AZ25" s="117" t="n">
        <x:f>AY25+AZ24</x:f>
      </x:c>
      <x:c r="BA25" s="117" t="n">
        <x:f>AZ25+BA24</x:f>
      </x:c>
      <x:c r="BB25" s="117" t="n">
        <x:f>BA25+BB24</x:f>
      </x:c>
      <x:c r="BC25" s="117" t="n">
        <x:f>BB25+BC24</x:f>
      </x:c>
      <x:c r="BD25" s="117" t="n">
        <x:f>BC25+BD24</x:f>
      </x:c>
      <x:c r="BE25" s="117" t="n">
        <x:f>BD25+BE24</x:f>
      </x:c>
      <x:c r="BF25" s="117" t="n">
        <x:f>BE25+BF24</x:f>
      </x:c>
      <x:c r="BG25" s="117" t="n">
        <x:f>BF25+BG24</x:f>
      </x:c>
      <x:c r="BH25" s="117" t="n">
        <x:f>BG25+BH24</x:f>
      </x:c>
      <x:c r="BI25" s="117" t="n">
        <x:f>BH25+BI24</x:f>
      </x:c>
      <x:c r="BJ25" s="117" t="n">
        <x:f>BI25+BJ24</x:f>
      </x:c>
      <x:c r="BK25" s="117" t="n">
        <x:f>BJ25+BK24</x:f>
      </x:c>
      <x:c r="BL25" s="117" t="n">
        <x:f>BK25+BL24</x:f>
      </x:c>
      <x:c r="BM25" s="117" t="n">
        <x:f>BL25+BM24</x:f>
      </x:c>
      <x:c r="BN25" s="117" t="n">
        <x:f>BM25+BN24</x:f>
      </x:c>
      <x:c r="BO25" s="117" t="n">
        <x:f>BN25+BO24</x:f>
      </x:c>
      <x:c r="BP25" s="117" t="n">
        <x:f>BO25+BP24</x:f>
      </x:c>
      <x:c r="BQ25" s="117" t="n">
        <x:f>BP25+BQ24</x:f>
      </x:c>
      <x:c r="BR25" s="117" t="n">
        <x:f>BQ25+BR24</x:f>
      </x:c>
      <x:c r="BS25" s="117" t="n">
        <x:f>BR25+BS24</x:f>
      </x:c>
      <x:c r="BT25" s="117" t="n">
        <x:f>BS25+BT24</x:f>
      </x:c>
      <x:c r="BU25" s="117" t="n">
        <x:f>BT25+BU24</x:f>
      </x:c>
      <x:c r="BV25" s="117" t="n">
        <x:f>BU25+BV24</x:f>
      </x:c>
      <x:c r="BW25" s="117" t="n">
        <x:f>BV25+BW24</x:f>
      </x:c>
      <x:c r="BX25" s="117" t="n">
        <x:f>BW25+BX24</x:f>
      </x:c>
      <x:c r="BY25" s="117" t="n">
        <x:f>BX25+BY24</x:f>
      </x:c>
      <x:c r="BZ25" s="117" t="n">
        <x:f>BY25+BZ24</x:f>
      </x:c>
      <x:c r="CA25" s="117" t="n">
        <x:f>BZ25+CA24</x:f>
      </x:c>
      <x:c r="CB25" s="117" t="n">
        <x:f>CA25+CB24</x:f>
      </x:c>
      <x:c r="CC25" s="117" t="n">
        <x:f>CB25+CC24</x:f>
      </x:c>
      <x:c r="CD25" s="117" t="n">
        <x:f>CC25+CD24</x:f>
      </x:c>
      <x:c r="CE25" s="117" t="n">
        <x:f>CD25+CE24</x:f>
      </x:c>
      <x:c r="CF25" s="117" t="n">
        <x:f>CE25+CF24</x:f>
      </x:c>
      <x:c r="CG25" s="117" t="n">
        <x:f>CF25+CG24</x:f>
      </x:c>
      <x:c r="CH25" s="117" t="n">
        <x:f>CG25+CH24</x:f>
      </x:c>
      <x:c r="CI25" s="117" t="n">
        <x:f>CH25+CI24</x:f>
      </x:c>
      <x:c r="CJ25" s="117" t="n">
        <x:f>CI25+CJ24</x:f>
      </x:c>
      <x:c r="CK25" s="117" t="n">
        <x:f>CJ25+CK24</x:f>
      </x:c>
      <x:c r="CL25" s="117" t="n">
        <x:f>CK25+CL24</x:f>
      </x:c>
      <x:c r="CM25" s="117" t="n">
        <x:f>CL25+CM24</x:f>
      </x:c>
      <x:c r="CN25" s="117" t="n">
        <x:f>CM25+CN24</x:f>
      </x:c>
      <x:c r="CO25" s="117" t="n">
        <x:f>CN25+CO24</x:f>
      </x:c>
      <x:c r="CP25" s="117" t="n">
        <x:f>CO25+CP24</x:f>
      </x:c>
      <x:c r="CQ25" s="117" t="n">
        <x:f>CP25+CQ24</x:f>
      </x:c>
      <x:c r="CR25" s="117" t="n">
        <x:f>CQ25+CR24</x:f>
      </x:c>
      <x:c r="CS25" s="117" t="n">
        <x:f>CR25+CS24</x:f>
      </x:c>
      <x:c r="CT25" s="117" t="n">
        <x:f>CS25+CT24</x:f>
      </x:c>
      <x:c r="CU25" s="117" t="n">
        <x:f>CT25+CU24</x:f>
      </x:c>
      <x:c r="CV25" s="117" t="n">
        <x:f>CU25+CV24</x:f>
      </x:c>
      <x:c r="CW25" s="117" t="n">
        <x:f>CV25+CW24</x:f>
      </x:c>
      <x:c r="CX25" s="117" t="n">
        <x:f>CW25+CX24</x:f>
      </x:c>
      <x:c r="CY25" s="117" t="n">
        <x:f>CX25+CY24</x:f>
      </x:c>
      <x:c r="CZ25" s="117" t="n">
        <x:f>CY25+CZ24</x:f>
      </x:c>
      <x:c r="DA25" s="117" t="n">
        <x:f>CZ25+DA24</x:f>
      </x:c>
      <x:c r="DB25" s="117" t="n">
        <x:f>DA25+DB24</x:f>
      </x:c>
      <x:c r="DC25" s="117" t="n">
        <x:f>DB25+DC24</x:f>
      </x:c>
      <x:c r="DD25" s="117" t="n">
        <x:f>DC25+DD24</x:f>
      </x:c>
      <x:c r="DE25" s="117" t="n">
        <x:f>DD25+DE24</x:f>
      </x:c>
      <x:c r="DF25" s="117" t="n">
        <x:f>DE25+DF24</x:f>
      </x:c>
      <x:c r="DG25" s="117" t="n">
        <x:f>DF25+DG24</x:f>
      </x:c>
      <x:c r="DH25" s="117" t="n">
        <x:f>DG25+DH24</x:f>
      </x:c>
      <x:c r="DI25" s="117" t="n">
        <x:f>DH25+DI24</x:f>
      </x:c>
      <x:c r="DJ25" s="117" t="n">
        <x:f>DI25+DJ24</x:f>
      </x:c>
      <x:c r="DK25" s="117" t="n">
        <x:f>DJ25+DK24</x:f>
      </x:c>
      <x:c r="DL25" s="117" t="n">
        <x:f>DK25+DL24</x:f>
      </x:c>
      <x:c r="DM25" s="117" t="n">
        <x:f>DL25+DM24</x:f>
      </x:c>
      <x:c r="DN25" s="117" t="n">
        <x:f>DM25+DN24</x:f>
      </x:c>
      <x:c r="DO25" s="117" t="n">
        <x:f>DN25+DO24</x:f>
      </x:c>
      <x:c r="DP25" s="117" t="n">
        <x:f>DO25+DP24</x:f>
      </x:c>
      <x:c r="DQ25" s="117" t="n">
        <x:f>DP25+DQ24</x:f>
      </x:c>
      <x:c r="DR25" s="117" t="n">
        <x:f>DQ25+DR24</x:f>
      </x:c>
      <x:c r="DS25" s="117" t="n">
        <x:f>DR25+DS24</x:f>
      </x:c>
      <x:c r="DT25" s="117" t="n">
        <x:f>DS25+DT24</x:f>
      </x:c>
      <x:c r="DU25" s="117" t="n">
        <x:f>DT25+DU24</x:f>
      </x:c>
      <x:c r="DV25" s="117" t="n">
        <x:f>DU25+DV24</x:f>
      </x:c>
      <x:c r="DW25" s="117" t="n">
        <x:f>DV25+DW24</x:f>
      </x:c>
      <x:c r="DX25" s="117" t="n">
        <x:f>DW25+DX24</x:f>
      </x:c>
      <x:c r="DY25" s="117" t="n">
        <x:f>DX25+DY24</x:f>
      </x:c>
      <x:c r="DZ25" s="117" t="n">
        <x:f>DY25+DZ24</x:f>
      </x:c>
      <x:c r="EA25" s="117" t="n">
        <x:f>DZ25+EA24</x:f>
      </x:c>
      <x:c r="EB25" s="117" t="n">
        <x:f>EA25+EB24</x:f>
      </x:c>
      <x:c r="EC25" s="117" t="n">
        <x:f>EB25+EC24</x:f>
      </x:c>
      <x:c r="ED25" s="117" t="n">
        <x:f>EC25+ED24</x:f>
      </x:c>
      <x:c r="EE25" s="117" t="n">
        <x:f>ED25+EE24</x:f>
      </x:c>
      <x:c r="EF25" s="117" t="n">
        <x:f>EE25+EF24</x:f>
      </x:c>
      <x:c r="EG25" s="117" t="n">
        <x:f>EF25+EG24</x:f>
      </x:c>
      <x:c r="EH25" s="117" t="n">
        <x:f>EG25+EH24</x:f>
      </x:c>
      <x:c r="EI25" s="117" t="n">
        <x:f>EH25+EI24</x:f>
      </x:c>
      <x:c r="EJ25" s="117" t="n">
        <x:f>EI25+EJ24</x:f>
      </x:c>
      <x:c r="EK25" s="117" t="n">
        <x:f>EJ25+EK24</x:f>
      </x:c>
      <x:c r="EL25" s="117" t="n">
        <x:f>EK25+EL24</x:f>
      </x:c>
      <x:c r="EM25" s="117" t="n">
        <x:f>EL25+EM24</x:f>
      </x:c>
      <x:c r="EN25" s="117" t="n">
        <x:f>EM25+EN24</x:f>
      </x:c>
      <x:c r="EO25" s="117" t="n">
        <x:f>EN25+EO24</x:f>
      </x:c>
      <x:c r="EP25" s="117" t="n">
        <x:f>EO25+EP24</x:f>
      </x:c>
      <x:c r="EQ25" s="117" t="n">
        <x:f>EP25+EQ24</x:f>
      </x:c>
      <x:c r="ER25" s="117" t="n">
        <x:f>EQ25+ER24</x:f>
      </x:c>
      <x:c r="ES25" s="117" t="n">
        <x:f>ER25+ES24</x:f>
      </x:c>
      <x:c r="ET25" s="117" t="n">
        <x:f>ES25+ET24</x:f>
      </x:c>
      <x:c r="EU25" s="117" t="n">
        <x:f>ET25+EU24</x:f>
      </x:c>
      <x:c r="EV25" s="117" t="n">
        <x:f>EU25+EV24</x:f>
      </x:c>
      <x:c r="EW25" s="117" t="n">
        <x:f>EV25+EW24</x:f>
      </x:c>
      <x:c r="EX25" s="117" t="n">
        <x:f>EW25+EX24</x:f>
      </x:c>
      <x:c r="EY25" s="117" t="n">
        <x:f>EX25+EY24</x:f>
      </x:c>
      <x:c r="EZ25" s="117" t="n">
        <x:f>EY25+EZ24</x:f>
      </x:c>
      <x:c r="FA25" s="117" t="n">
        <x:f>EZ25+FA24</x:f>
      </x:c>
      <x:c r="FB25" s="117" t="n">
        <x:f>FA25+FB24</x:f>
      </x:c>
      <x:c r="FC25" s="117" t="n">
        <x:f>FB25+FC24</x:f>
      </x:c>
      <x:c r="FD25" s="117" t="n">
        <x:f>FC25+FD24</x:f>
      </x:c>
      <x:c r="FE25" s="117" t="n">
        <x:f>FD25+FE24</x:f>
      </x:c>
      <x:c r="FF25" s="117" t="n">
        <x:f>FE25+FF24</x:f>
      </x:c>
      <x:c r="FG25" s="117" t="n">
        <x:f>FF25+FG24</x:f>
      </x:c>
      <x:c r="FH25" s="117" t="n">
        <x:f>FG25+FH24</x:f>
      </x:c>
      <x:c r="FI25" s="117" t="n">
        <x:f>FH25+FI24</x:f>
      </x:c>
      <x:c r="FJ25" s="117" t="n">
        <x:f>FI25+FJ24</x:f>
      </x:c>
      <x:c r="FK25" s="117" t="n">
        <x:f>FJ25+FK24</x:f>
      </x:c>
      <x:c r="FL25" s="117" t="n">
        <x:f>FK25+FL24</x:f>
      </x:c>
      <x:c r="FM25" s="117" t="n">
        <x:f>FL25+FM24</x:f>
      </x:c>
      <x:c r="FN25" s="117" t="n">
        <x:f>FM25+FN24</x:f>
      </x:c>
      <x:c r="FO25" s="117" t="n">
        <x:f>FN25+FO24</x:f>
      </x:c>
      <x:c r="FP25" s="117" t="n">
        <x:f>FO25+FP24</x:f>
      </x:c>
      <x:c r="FQ25" s="117" t="n">
        <x:f>FP25+FQ24</x:f>
      </x:c>
      <x:c r="FR25" s="117" t="n">
        <x:f>FQ25+FR24</x:f>
      </x:c>
      <x:c r="FS25" s="117" t="n">
        <x:f>FR25+FS24</x:f>
      </x:c>
      <x:c r="FT25" s="117" t="n">
        <x:f>FS25+FT24</x:f>
      </x:c>
      <x:c r="FU25" s="117" t="n">
        <x:f>FT25+FU24</x:f>
      </x:c>
      <x:c r="FV25" s="117" t="n">
        <x:f>FU25+FV24</x:f>
      </x:c>
      <x:c r="FW25" s="117" t="n">
        <x:f>FV25+FW24</x:f>
      </x:c>
      <x:c r="FX25" s="117" t="n">
        <x:f>FW25+FX24</x:f>
      </x:c>
      <x:c r="FY25" s="117" t="n">
        <x:f>FX25+FY24</x:f>
      </x:c>
      <x:c r="FZ25" s="117" t="n">
        <x:f>FY25+FZ24</x:f>
      </x:c>
      <x:c r="GA25" s="117" t="n">
        <x:f>FZ25+GA24</x:f>
      </x:c>
    </x:row>
    <x:row r="26">
      <x:c r="A26"/>
      <x:c r="B26"/>
      <x:c r="C26"/>
      <x:c r="D26" s="117"/>
      <x:c r="E26" s="117"/>
      <x:c r="F26" s="117"/>
      <x:c r="G26" s="117"/>
      <x:c r="H26" s="117"/>
      <x:c r="I26" s="117"/>
      <x:c r="J26" s="117"/>
      <x:c r="K26" s="117"/>
      <x:c r="L26" s="117"/>
      <x:c r="M26" s="117"/>
      <x:c r="N26" s="117"/>
      <x:c r="O26" s="117"/>
      <x:c r="P26" s="117"/>
      <x:c r="Q26" s="117"/>
      <x:c r="R26" s="117"/>
      <x:c r="S26" s="117"/>
      <x:c r="T26" s="117"/>
      <x:c r="U26" s="117"/>
      <x:c r="V26" s="117"/>
      <x:c r="W26" s="117"/>
      <x:c r="X26" s="117"/>
      <x:c r="Y26" s="117"/>
      <x:c r="Z26" s="117"/>
      <x:c r="AA26" s="117"/>
      <x:c r="AB26" s="117"/>
      <x:c r="AC26" s="117"/>
      <x:c r="AD26" s="117"/>
      <x:c r="AE26" s="117"/>
      <x:c r="AF26" s="117"/>
      <x:c r="AG26" s="117"/>
      <x:c r="AH26" s="117"/>
      <x:c r="AI26" s="117"/>
      <x:c r="AJ26" s="117"/>
      <x:c r="AK26" s="117"/>
      <x:c r="AL26" s="117"/>
      <x:c r="AM26" s="117"/>
      <x:c r="AN26" s="117"/>
      <x:c r="AO26" s="117"/>
      <x:c r="AP26" s="117"/>
      <x:c r="AQ26" s="117"/>
      <x:c r="AR26" s="117"/>
      <x:c r="AS26" s="117"/>
      <x:c r="AT26" s="117"/>
      <x:c r="AU26" s="117"/>
      <x:c r="AV26" s="117"/>
      <x:c r="AW26" s="117"/>
      <x:c r="AX26" s="117"/>
      <x:c r="AY26" s="117"/>
      <x:c r="AZ26" s="117"/>
      <x:c r="BA26" s="117"/>
      <x:c r="BB26" s="117"/>
      <x:c r="BC26" s="117"/>
      <x:c r="BD26" s="117"/>
      <x:c r="BE26" s="117"/>
      <x:c r="BF26" s="117"/>
      <x:c r="BG26" s="117"/>
      <x:c r="BH26" s="117"/>
      <x:c r="BI26" s="117"/>
      <x:c r="BJ26" s="117"/>
      <x:c r="BK26" s="117"/>
      <x:c r="BL26" s="117"/>
      <x:c r="BM26" s="117"/>
      <x:c r="BN26" s="117"/>
      <x:c r="BO26" s="117"/>
      <x:c r="BP26" s="117"/>
      <x:c r="BQ26" s="117"/>
      <x:c r="BR26" s="117"/>
      <x:c r="BS26" s="117"/>
      <x:c r="BT26" s="117"/>
      <x:c r="BU26" s="117"/>
      <x:c r="BV26" s="117"/>
      <x:c r="BW26" s="117"/>
      <x:c r="BX26" s="117"/>
      <x:c r="BY26" s="117"/>
      <x:c r="BZ26" s="117"/>
      <x:c r="CA26" s="117"/>
      <x:c r="CB26" s="117"/>
      <x:c r="CC26" s="117"/>
      <x:c r="CD26" s="117"/>
      <x:c r="CE26" s="117"/>
      <x:c r="CF26" s="117"/>
      <x:c r="CG26" s="117"/>
      <x:c r="CH26" s="117"/>
      <x:c r="CI26" s="117"/>
      <x:c r="CJ26" s="117"/>
      <x:c r="CK26" s="117"/>
      <x:c r="CL26" s="117"/>
      <x:c r="CM26" s="117"/>
      <x:c r="CN26" s="117"/>
      <x:c r="CO26" s="117"/>
      <x:c r="CP26" s="117"/>
      <x:c r="CQ26" s="117"/>
      <x:c r="CR26" s="117"/>
      <x:c r="CS26" s="117"/>
      <x:c r="CT26" s="117"/>
      <x:c r="CU26" s="117"/>
      <x:c r="CV26" s="117"/>
      <x:c r="CW26" s="117"/>
      <x:c r="CX26" s="117"/>
      <x:c r="CY26" s="117"/>
      <x:c r="CZ26" s="117"/>
      <x:c r="DA26" s="117"/>
      <x:c r="DB26" s="117"/>
      <x:c r="DC26" s="117"/>
      <x:c r="DD26" s="117"/>
      <x:c r="DE26" s="117"/>
      <x:c r="DF26" s="117"/>
      <x:c r="DG26" s="117"/>
      <x:c r="DH26" s="117"/>
      <x:c r="DI26" s="117"/>
      <x:c r="DJ26" s="117"/>
      <x:c r="DK26" s="117"/>
      <x:c r="DL26" s="117"/>
      <x:c r="DM26" s="117"/>
      <x:c r="DN26" s="117"/>
      <x:c r="DO26" s="117"/>
      <x:c r="DP26" s="117"/>
      <x:c r="DQ26" s="117"/>
      <x:c r="DR26" s="117"/>
      <x:c r="DS26" s="117"/>
      <x:c r="DT26" s="117"/>
      <x:c r="DU26" s="117"/>
      <x:c r="DV26" s="117"/>
      <x:c r="DW26" s="117"/>
      <x:c r="DX26" s="117"/>
      <x:c r="DY26" s="117"/>
      <x:c r="DZ26" s="117"/>
      <x:c r="EA26" s="117"/>
      <x:c r="EB26" s="117"/>
      <x:c r="EC26" s="117"/>
      <x:c r="ED26" s="117"/>
      <x:c r="EE26" s="117"/>
      <x:c r="EF26" s="117"/>
      <x:c r="EG26" s="117"/>
      <x:c r="EH26" s="117"/>
      <x:c r="EI26" s="117"/>
      <x:c r="EJ26" s="117"/>
      <x:c r="EK26" s="117"/>
      <x:c r="EL26" s="117"/>
      <x:c r="EM26" s="117"/>
      <x:c r="EN26" s="117"/>
      <x:c r="EO26" s="117"/>
      <x:c r="EP26" s="117"/>
      <x:c r="EQ26" s="117"/>
      <x:c r="ER26" s="117"/>
      <x:c r="ES26" s="117"/>
      <x:c r="ET26" s="117"/>
      <x:c r="EU26" s="117"/>
      <x:c r="EV26" s="117"/>
      <x:c r="EW26" s="117"/>
      <x:c r="EX26" s="117"/>
      <x:c r="EY26" s="117"/>
      <x:c r="EZ26" s="117"/>
      <x:c r="FA26" s="117"/>
      <x:c r="FB26" s="117"/>
      <x:c r="FC26" s="117"/>
      <x:c r="FD26" s="117"/>
      <x:c r="FE26" s="117"/>
      <x:c r="FF26" s="117"/>
      <x:c r="FG26" s="117"/>
      <x:c r="FH26" s="117"/>
      <x:c r="FI26" s="117"/>
      <x:c r="FJ26" s="117"/>
      <x:c r="FK26" s="117"/>
      <x:c r="FL26" s="117"/>
      <x:c r="FM26" s="117"/>
      <x:c r="FN26" s="117"/>
      <x:c r="FO26" s="117"/>
      <x:c r="FP26" s="117"/>
      <x:c r="FQ26" s="117"/>
      <x:c r="FR26" s="117"/>
      <x:c r="FS26" s="117"/>
      <x:c r="FT26" s="117"/>
      <x:c r="FU26" s="117"/>
      <x:c r="FV26" s="117"/>
      <x:c r="FW26" s="117"/>
      <x:c r="FX26" s="117"/>
      <x:c r="FY26" s="117"/>
      <x:c r="FZ26" s="117"/>
      <x:c r="GA26" s="117"/>
    </x:row>
    <x:row r="27">
      <x:c r="A27" t="str">
        <x:v>Доступный денежный поток</x:v>
      </x:c>
      <x:c r="B27" t="n">
        <x:f>SUM(D27:GA27)</x:f>
      </x:c>
      <x:c r="C27" t="str">
        <x:v>млн ₽</x:v>
      </x:c>
      <x:c r="D27" s="117" t="n">
        <x:f>SUM(D14,D12)</x:f>
      </x:c>
      <x:c r="E27" s="117" t="n">
        <x:f>SUM(E14,E12)</x:f>
      </x:c>
      <x:c r="F27" s="117" t="n">
        <x:f>SUM(F14,F12)</x:f>
      </x:c>
      <x:c r="G27" s="117" t="n">
        <x:f>SUM(G14,G12)</x:f>
      </x:c>
      <x:c r="H27" s="117" t="n">
        <x:f>SUM(H14,H12)</x:f>
      </x:c>
      <x:c r="I27" s="117" t="n">
        <x:f>SUM(I14,I12)</x:f>
      </x:c>
      <x:c r="J27" s="117" t="n">
        <x:f>SUM(J14,J12)</x:f>
      </x:c>
      <x:c r="K27" s="117" t="n">
        <x:f>SUM(K14,K12)</x:f>
      </x:c>
      <x:c r="L27" s="117" t="n">
        <x:f>SUM(L14,L12)</x:f>
      </x:c>
      <x:c r="M27" s="117" t="n">
        <x:f>SUM(M14,M12)</x:f>
      </x:c>
      <x:c r="N27" s="117" t="n">
        <x:f>SUM(N14,N12)</x:f>
      </x:c>
      <x:c r="O27" s="117" t="n">
        <x:f>SUM(O14,O12)</x:f>
      </x:c>
      <x:c r="P27" s="117" t="n">
        <x:f>SUM(P14,P12)</x:f>
      </x:c>
      <x:c r="Q27" s="117" t="n">
        <x:f>SUM(Q14,Q12)</x:f>
      </x:c>
      <x:c r="R27" s="117" t="n">
        <x:f>SUM(R14,R12)</x:f>
      </x:c>
      <x:c r="S27" s="117" t="n">
        <x:f>SUM(S14,S12)</x:f>
      </x:c>
      <x:c r="T27" s="117" t="n">
        <x:f>SUM(T14,T12)</x:f>
      </x:c>
      <x:c r="U27" s="117" t="n">
        <x:f>SUM(U14,U12)</x:f>
      </x:c>
      <x:c r="V27" s="117" t="n">
        <x:f>SUM(V14,V12)</x:f>
      </x:c>
      <x:c r="W27" s="117" t="n">
        <x:f>SUM(W14,W12)</x:f>
      </x:c>
      <x:c r="X27" s="117" t="n">
        <x:f>SUM(X14,X12)</x:f>
      </x:c>
      <x:c r="Y27" s="117" t="n">
        <x:f>SUM(Y14,Y12)</x:f>
      </x:c>
      <x:c r="Z27" s="117" t="n">
        <x:f>SUM(Z14,Z12)</x:f>
      </x:c>
      <x:c r="AA27" s="117" t="n">
        <x:f>SUM(AA14,AA12)</x:f>
      </x:c>
      <x:c r="AB27" s="117" t="n">
        <x:f>SUM(AB14,AB12)</x:f>
      </x:c>
      <x:c r="AC27" s="117" t="n">
        <x:f>SUM(AC14,AC12)</x:f>
      </x:c>
      <x:c r="AD27" s="117" t="n">
        <x:f>SUM(AD14,AD12)</x:f>
      </x:c>
      <x:c r="AE27" s="117" t="n">
        <x:f>SUM(AE14,AE12)</x:f>
      </x:c>
      <x:c r="AF27" s="117" t="n">
        <x:f>SUM(AF14,AF12)</x:f>
      </x:c>
      <x:c r="AG27" s="117" t="n">
        <x:f>SUM(AG14,AG12)</x:f>
      </x:c>
      <x:c r="AH27" s="117" t="n">
        <x:f>SUM(AH14,AH12)</x:f>
      </x:c>
      <x:c r="AI27" s="117" t="n">
        <x:f>SUM(AI14,AI12)</x:f>
      </x:c>
      <x:c r="AJ27" s="117" t="n">
        <x:f>SUM(AJ14,AJ12)</x:f>
      </x:c>
      <x:c r="AK27" s="117" t="n">
        <x:f>SUM(AK14,AK12)</x:f>
      </x:c>
      <x:c r="AL27" s="117" t="n">
        <x:f>SUM(AL14,AL12)</x:f>
      </x:c>
      <x:c r="AM27" s="117" t="n">
        <x:f>SUM(AM14,AM12)</x:f>
      </x:c>
      <x:c r="AN27" s="117" t="n">
        <x:f>SUM(AN14,AN12)</x:f>
      </x:c>
      <x:c r="AO27" s="117" t="n">
        <x:f>SUM(AO14,AO12)</x:f>
      </x:c>
      <x:c r="AP27" s="117" t="n">
        <x:f>SUM(AP14,AP12)</x:f>
      </x:c>
      <x:c r="AQ27" s="117" t="n">
        <x:f>SUM(AQ14,AQ12)</x:f>
      </x:c>
      <x:c r="AR27" s="117" t="n">
        <x:f>SUM(AR14,AR12)</x:f>
      </x:c>
      <x:c r="AS27" s="117" t="n">
        <x:f>SUM(AS14,AS12)</x:f>
      </x:c>
      <x:c r="AT27" s="117" t="n">
        <x:f>SUM(AT14,AT12)</x:f>
      </x:c>
      <x:c r="AU27" s="117" t="n">
        <x:f>SUM(AU14,AU12)</x:f>
      </x:c>
      <x:c r="AV27" s="117" t="n">
        <x:f>SUM(AV14,AV12)</x:f>
      </x:c>
      <x:c r="AW27" s="117" t="n">
        <x:f>SUM(AW14,AW12)</x:f>
      </x:c>
      <x:c r="AX27" s="117" t="n">
        <x:f>SUM(AX14,AX12)</x:f>
      </x:c>
      <x:c r="AY27" s="117" t="n">
        <x:f>SUM(AY14,AY12)</x:f>
      </x:c>
      <x:c r="AZ27" s="117" t="n">
        <x:f>SUM(AZ14,AZ12)</x:f>
      </x:c>
      <x:c r="BA27" s="117" t="n">
        <x:f>SUM(BA14,BA12)</x:f>
      </x:c>
      <x:c r="BB27" s="117" t="n">
        <x:f>SUM(BB14,BB12)</x:f>
      </x:c>
      <x:c r="BC27" s="117" t="n">
        <x:f>SUM(BC14,BC12)</x:f>
      </x:c>
      <x:c r="BD27" s="117" t="n">
        <x:f>SUM(BD14,BD12)</x:f>
      </x:c>
      <x:c r="BE27" s="117" t="n">
        <x:f>SUM(BE14,BE12)</x:f>
      </x:c>
      <x:c r="BF27" s="117" t="n">
        <x:f>SUM(BF14,BF12)</x:f>
      </x:c>
      <x:c r="BG27" s="117" t="n">
        <x:f>SUM(BG14,BG12)</x:f>
      </x:c>
      <x:c r="BH27" s="117" t="n">
        <x:f>SUM(BH14,BH12)</x:f>
      </x:c>
      <x:c r="BI27" s="117" t="n">
        <x:f>SUM(BI14,BI12)</x:f>
      </x:c>
      <x:c r="BJ27" s="117" t="n">
        <x:f>SUM(BJ14,BJ12)</x:f>
      </x:c>
      <x:c r="BK27" s="117" t="n">
        <x:f>SUM(BK14,BK12)</x:f>
      </x:c>
      <x:c r="BL27" s="117" t="n">
        <x:f>SUM(BL14,BL12)</x:f>
      </x:c>
      <x:c r="BM27" s="117" t="n">
        <x:f>SUM(BM14,BM12)</x:f>
      </x:c>
      <x:c r="BN27" s="117" t="n">
        <x:f>SUM(BN14,BN12)</x:f>
      </x:c>
      <x:c r="BO27" s="117" t="n">
        <x:f>SUM(BO14,BO12)</x:f>
      </x:c>
      <x:c r="BP27" s="117" t="n">
        <x:f>SUM(BP14,BP12)</x:f>
      </x:c>
      <x:c r="BQ27" s="117" t="n">
        <x:f>SUM(BQ14,BQ12)</x:f>
      </x:c>
      <x:c r="BR27" s="117" t="n">
        <x:f>SUM(BR14,BR12)</x:f>
      </x:c>
      <x:c r="BS27" s="117" t="n">
        <x:f>SUM(BS14,BS12)</x:f>
      </x:c>
      <x:c r="BT27" s="117" t="n">
        <x:f>SUM(BT14,BT12)</x:f>
      </x:c>
      <x:c r="BU27" s="117" t="n">
        <x:f>SUM(BU14,BU12)</x:f>
      </x:c>
      <x:c r="BV27" s="117" t="n">
        <x:f>SUM(BV14,BV12)</x:f>
      </x:c>
      <x:c r="BW27" s="117" t="n">
        <x:f>SUM(BW14,BW12)</x:f>
      </x:c>
      <x:c r="BX27" s="117" t="n">
        <x:f>SUM(BX14,BX12)</x:f>
      </x:c>
      <x:c r="BY27" s="117" t="n">
        <x:f>SUM(BY14,BY12)</x:f>
      </x:c>
      <x:c r="BZ27" s="117" t="n">
        <x:f>SUM(BZ14,BZ12)</x:f>
      </x:c>
      <x:c r="CA27" s="117" t="n">
        <x:f>SUM(CA14,CA12)</x:f>
      </x:c>
      <x:c r="CB27" s="117" t="n">
        <x:f>SUM(CB14,CB12)</x:f>
      </x:c>
      <x:c r="CC27" s="117" t="n">
        <x:f>SUM(CC14,CC12)</x:f>
      </x:c>
      <x:c r="CD27" s="117" t="n">
        <x:f>SUM(CD14,CD12)</x:f>
      </x:c>
      <x:c r="CE27" s="117" t="n">
        <x:f>SUM(CE14,CE12)</x:f>
      </x:c>
      <x:c r="CF27" s="117" t="n">
        <x:f>SUM(CF14,CF12)</x:f>
      </x:c>
      <x:c r="CG27" s="117" t="n">
        <x:f>SUM(CG14,CG12)</x:f>
      </x:c>
      <x:c r="CH27" s="117" t="n">
        <x:f>SUM(CH14,CH12)</x:f>
      </x:c>
      <x:c r="CI27" s="117" t="n">
        <x:f>SUM(CI14,CI12)</x:f>
      </x:c>
      <x:c r="CJ27" s="117" t="n">
        <x:f>SUM(CJ14,CJ12)</x:f>
      </x:c>
      <x:c r="CK27" s="117" t="n">
        <x:f>SUM(CK14,CK12)</x:f>
      </x:c>
      <x:c r="CL27" s="117" t="n">
        <x:f>SUM(CL14,CL12)</x:f>
      </x:c>
      <x:c r="CM27" s="117" t="n">
        <x:f>SUM(CM14,CM12)</x:f>
      </x:c>
      <x:c r="CN27" s="117" t="n">
        <x:f>SUM(CN14,CN12)</x:f>
      </x:c>
      <x:c r="CO27" s="117" t="n">
        <x:f>SUM(CO14,CO12)</x:f>
      </x:c>
      <x:c r="CP27" s="117" t="n">
        <x:f>SUM(CP14,CP12)</x:f>
      </x:c>
      <x:c r="CQ27" s="117" t="n">
        <x:f>SUM(CQ14,CQ12)</x:f>
      </x:c>
      <x:c r="CR27" s="117" t="n">
        <x:f>SUM(CR14,CR12)</x:f>
      </x:c>
      <x:c r="CS27" s="117" t="n">
        <x:f>SUM(CS14,CS12)</x:f>
      </x:c>
      <x:c r="CT27" s="117" t="n">
        <x:f>SUM(CT14,CT12)</x:f>
      </x:c>
      <x:c r="CU27" s="117" t="n">
        <x:f>SUM(CU14,CU12)</x:f>
      </x:c>
      <x:c r="CV27" s="117" t="n">
        <x:f>SUM(CV14,CV12)</x:f>
      </x:c>
      <x:c r="CW27" s="117" t="n">
        <x:f>SUM(CW14,CW12)</x:f>
      </x:c>
      <x:c r="CX27" s="117" t="n">
        <x:f>SUM(CX14,CX12)</x:f>
      </x:c>
      <x:c r="CY27" s="117" t="n">
        <x:f>SUM(CY14,CY12)</x:f>
      </x:c>
      <x:c r="CZ27" s="117" t="n">
        <x:f>SUM(CZ14,CZ12)</x:f>
      </x:c>
      <x:c r="DA27" s="117" t="n">
        <x:f>SUM(DA14,DA12)</x:f>
      </x:c>
      <x:c r="DB27" s="117" t="n">
        <x:f>SUM(DB14,DB12)</x:f>
      </x:c>
      <x:c r="DC27" s="117" t="n">
        <x:f>SUM(DC14,DC12)</x:f>
      </x:c>
      <x:c r="DD27" s="117" t="n">
        <x:f>SUM(DD14,DD12)</x:f>
      </x:c>
      <x:c r="DE27" s="117" t="n">
        <x:f>SUM(DE14,DE12)</x:f>
      </x:c>
      <x:c r="DF27" s="117" t="n">
        <x:f>SUM(DF14,DF12)</x:f>
      </x:c>
      <x:c r="DG27" s="117" t="n">
        <x:f>SUM(DG14,DG12)</x:f>
      </x:c>
      <x:c r="DH27" s="117" t="n">
        <x:f>SUM(DH14,DH12)</x:f>
      </x:c>
      <x:c r="DI27" s="117" t="n">
        <x:f>SUM(DI14,DI12)</x:f>
      </x:c>
      <x:c r="DJ27" s="117" t="n">
        <x:f>SUM(DJ14,DJ12)</x:f>
      </x:c>
      <x:c r="DK27" s="117" t="n">
        <x:f>SUM(DK14,DK12)</x:f>
      </x:c>
      <x:c r="DL27" s="117" t="n">
        <x:f>SUM(DL14,DL12)</x:f>
      </x:c>
      <x:c r="DM27" s="117" t="n">
        <x:f>SUM(DM14,DM12)</x:f>
      </x:c>
      <x:c r="DN27" s="117" t="n">
        <x:f>SUM(DN14,DN12)</x:f>
      </x:c>
      <x:c r="DO27" s="117" t="n">
        <x:f>SUM(DO14,DO12)</x:f>
      </x:c>
      <x:c r="DP27" s="117" t="n">
        <x:f>SUM(DP14,DP12)</x:f>
      </x:c>
      <x:c r="DQ27" s="117" t="n">
        <x:f>SUM(DQ14,DQ12)</x:f>
      </x:c>
      <x:c r="DR27" s="117" t="n">
        <x:f>SUM(DR14,DR12)</x:f>
      </x:c>
      <x:c r="DS27" s="117" t="n">
        <x:f>SUM(DS14,DS12)</x:f>
      </x:c>
      <x:c r="DT27" s="117" t="n">
        <x:f>SUM(DT14,DT12)</x:f>
      </x:c>
      <x:c r="DU27" s="117" t="n">
        <x:f>SUM(DU14,DU12)</x:f>
      </x:c>
      <x:c r="DV27" s="117" t="n">
        <x:f>SUM(DV14,DV12)</x:f>
      </x:c>
      <x:c r="DW27" s="117" t="n">
        <x:f>SUM(DW14,DW12)</x:f>
      </x:c>
      <x:c r="DX27" s="117" t="n">
        <x:f>SUM(DX14,DX12)</x:f>
      </x:c>
      <x:c r="DY27" s="117" t="n">
        <x:f>SUM(DY14,DY12)</x:f>
      </x:c>
      <x:c r="DZ27" s="117" t="n">
        <x:f>SUM(DZ14,DZ12)</x:f>
      </x:c>
      <x:c r="EA27" s="117" t="n">
        <x:f>SUM(EA14,EA12)</x:f>
      </x:c>
      <x:c r="EB27" s="117" t="n">
        <x:f>SUM(EB14,EB12)</x:f>
      </x:c>
      <x:c r="EC27" s="117" t="n">
        <x:f>SUM(EC14,EC12)</x:f>
      </x:c>
      <x:c r="ED27" s="117" t="n">
        <x:f>SUM(ED14,ED12)</x:f>
      </x:c>
      <x:c r="EE27" s="117" t="n">
        <x:f>SUM(EE14,EE12)</x:f>
      </x:c>
      <x:c r="EF27" s="117" t="n">
        <x:f>SUM(EF14,EF12)</x:f>
      </x:c>
      <x:c r="EG27" s="117" t="n">
        <x:f>SUM(EG14,EG12)</x:f>
      </x:c>
      <x:c r="EH27" s="117" t="n">
        <x:f>SUM(EH14,EH12)</x:f>
      </x:c>
      <x:c r="EI27" s="117" t="n">
        <x:f>SUM(EI14,EI12)</x:f>
      </x:c>
      <x:c r="EJ27" s="117" t="n">
        <x:f>SUM(EJ14,EJ12)</x:f>
      </x:c>
      <x:c r="EK27" s="117" t="n">
        <x:f>SUM(EK14,EK12)</x:f>
      </x:c>
      <x:c r="EL27" s="117" t="n">
        <x:f>SUM(EL14,EL12)</x:f>
      </x:c>
      <x:c r="EM27" s="117" t="n">
        <x:f>SUM(EM14,EM12)</x:f>
      </x:c>
      <x:c r="EN27" s="117" t="n">
        <x:f>SUM(EN14,EN12)</x:f>
      </x:c>
      <x:c r="EO27" s="117" t="n">
        <x:f>SUM(EO14,EO12)</x:f>
      </x:c>
      <x:c r="EP27" s="117" t="n">
        <x:f>SUM(EP14,EP12)</x:f>
      </x:c>
      <x:c r="EQ27" s="117" t="n">
        <x:f>SUM(EQ14,EQ12)</x:f>
      </x:c>
      <x:c r="ER27" s="117" t="n">
        <x:f>SUM(ER14,ER12)</x:f>
      </x:c>
      <x:c r="ES27" s="117" t="n">
        <x:f>SUM(ES14,ES12)</x:f>
      </x:c>
      <x:c r="ET27" s="117" t="n">
        <x:f>SUM(ET14,ET12)</x:f>
      </x:c>
      <x:c r="EU27" s="117" t="n">
        <x:f>SUM(EU14,EU12)</x:f>
      </x:c>
      <x:c r="EV27" s="117" t="n">
        <x:f>SUM(EV14,EV12)</x:f>
      </x:c>
      <x:c r="EW27" s="117" t="n">
        <x:f>SUM(EW14,EW12)</x:f>
      </x:c>
      <x:c r="EX27" s="117" t="n">
        <x:f>SUM(EX14,EX12)</x:f>
      </x:c>
      <x:c r="EY27" s="117" t="n">
        <x:f>SUM(EY14,EY12)</x:f>
      </x:c>
      <x:c r="EZ27" s="117" t="n">
        <x:f>SUM(EZ14,EZ12)</x:f>
      </x:c>
      <x:c r="FA27" s="117" t="n">
        <x:f>SUM(FA14,FA12)</x:f>
      </x:c>
      <x:c r="FB27" s="117" t="n">
        <x:f>SUM(FB14,FB12)</x:f>
      </x:c>
      <x:c r="FC27" s="117" t="n">
        <x:f>SUM(FC14,FC12)</x:f>
      </x:c>
      <x:c r="FD27" s="117" t="n">
        <x:f>SUM(FD14,FD12)</x:f>
      </x:c>
      <x:c r="FE27" s="117" t="n">
        <x:f>SUM(FE14,FE12)</x:f>
      </x:c>
      <x:c r="FF27" s="117" t="n">
        <x:f>SUM(FF14,FF12)</x:f>
      </x:c>
      <x:c r="FG27" s="117" t="n">
        <x:f>SUM(FG14,FG12)</x:f>
      </x:c>
      <x:c r="FH27" s="117" t="n">
        <x:f>SUM(FH14,FH12)</x:f>
      </x:c>
      <x:c r="FI27" s="117" t="n">
        <x:f>SUM(FI14,FI12)</x:f>
      </x:c>
      <x:c r="FJ27" s="117" t="n">
        <x:f>SUM(FJ14,FJ12)</x:f>
      </x:c>
      <x:c r="FK27" s="117" t="n">
        <x:f>SUM(FK14,FK12)</x:f>
      </x:c>
      <x:c r="FL27" s="117" t="n">
        <x:f>SUM(FL14,FL12)</x:f>
      </x:c>
      <x:c r="FM27" s="117" t="n">
        <x:f>SUM(FM14,FM12)</x:f>
      </x:c>
      <x:c r="FN27" s="117" t="n">
        <x:f>SUM(FN14,FN12)</x:f>
      </x:c>
      <x:c r="FO27" s="117" t="n">
        <x:f>SUM(FO14,FO12)</x:f>
      </x:c>
      <x:c r="FP27" s="117" t="n">
        <x:f>SUM(FP14,FP12)</x:f>
      </x:c>
      <x:c r="FQ27" s="117" t="n">
        <x:f>SUM(FQ14,FQ12)</x:f>
      </x:c>
      <x:c r="FR27" s="117" t="n">
        <x:f>SUM(FR14,FR12)</x:f>
      </x:c>
      <x:c r="FS27" s="117" t="n">
        <x:f>SUM(FS14,FS12)</x:f>
      </x:c>
      <x:c r="FT27" s="117" t="n">
        <x:f>SUM(FT14,FT12)</x:f>
      </x:c>
      <x:c r="FU27" s="117" t="n">
        <x:f>SUM(FU14,FU12)</x:f>
      </x:c>
      <x:c r="FV27" s="117" t="n">
        <x:f>SUM(FV14,FV12)</x:f>
      </x:c>
      <x:c r="FW27" s="117" t="n">
        <x:f>SUM(FW14,FW12)</x:f>
      </x:c>
      <x:c r="FX27" s="117" t="n">
        <x:f>SUM(FX14,FX12)</x:f>
      </x:c>
      <x:c r="FY27" s="117" t="n">
        <x:f>SUM(FY14,FY12)</x:f>
      </x:c>
      <x:c r="FZ27" s="117" t="n">
        <x:f>SUM(FZ14,FZ12)</x:f>
      </x:c>
      <x:c r="GA27" s="117" t="n">
        <x:f>SUM(GA14,GA12)</x:f>
      </x:c>
    </x:row>
    <x:row r="28">
      <x:c r="A28" s="113" t="str">
        <x:v>CFADS после налога</x:v>
      </x:c>
      <x:c r="B28" s="113" t="n">
        <x:f>SUM(D28:GA28)</x:f>
      </x:c>
      <x:c r="C28" s="113" t="str">
        <x:v>млн ₽</x:v>
      </x:c>
      <x:c r="D28" s="120" t="n">
        <x:f>D27-D20-D24</x:f>
      </x:c>
      <x:c r="E28" s="120" t="n">
        <x:f>E27-E20-E24</x:f>
      </x:c>
      <x:c r="F28" s="120" t="n">
        <x:f>F27-F20-F24</x:f>
      </x:c>
      <x:c r="G28" s="120" t="n">
        <x:f>G27-G20-G24</x:f>
      </x:c>
      <x:c r="H28" s="120" t="n">
        <x:f>H27-H20-H24</x:f>
      </x:c>
      <x:c r="I28" s="120" t="n">
        <x:f>I27-I20-I24</x:f>
      </x:c>
      <x:c r="J28" s="120" t="n">
        <x:f>J27-J20-J24</x:f>
      </x:c>
      <x:c r="K28" s="120" t="n">
        <x:f>K27-K20-K24</x:f>
      </x:c>
      <x:c r="L28" s="120" t="n">
        <x:f>L27-L20-L24</x:f>
      </x:c>
      <x:c r="M28" s="120" t="n">
        <x:f>M27-M20-M24</x:f>
      </x:c>
      <x:c r="N28" s="120" t="n">
        <x:f>N27-N20-N24</x:f>
      </x:c>
      <x:c r="O28" s="120" t="n">
        <x:f>O27-O20-O24</x:f>
      </x:c>
      <x:c r="P28" s="120" t="n">
        <x:f>P27-P20-P24</x:f>
      </x:c>
      <x:c r="Q28" s="120" t="n">
        <x:f>Q27-Q20-Q24</x:f>
      </x:c>
      <x:c r="R28" s="120" t="n">
        <x:f>R27-R20-R24</x:f>
      </x:c>
      <x:c r="S28" s="120" t="n">
        <x:f>S27-S20-S24</x:f>
      </x:c>
      <x:c r="T28" s="120" t="n">
        <x:f>T27-T20-T24</x:f>
      </x:c>
      <x:c r="U28" s="120" t="n">
        <x:f>U27-U20-U24</x:f>
      </x:c>
      <x:c r="V28" s="120" t="n">
        <x:f>V27-V20-V24</x:f>
      </x:c>
      <x:c r="W28" s="120" t="n">
        <x:f>W27-W20-W24</x:f>
      </x:c>
      <x:c r="X28" s="120" t="n">
        <x:f>X27-X20-X24</x:f>
      </x:c>
      <x:c r="Y28" s="120" t="n">
        <x:f>Y27-Y20-Y24</x:f>
      </x:c>
      <x:c r="Z28" s="120" t="n">
        <x:f>Z27-Z20-Z24</x:f>
      </x:c>
      <x:c r="AA28" s="120" t="n">
        <x:f>AA27-AA20-AA24</x:f>
      </x:c>
      <x:c r="AB28" s="120" t="n">
        <x:f>AB27-AB20-AB24</x:f>
      </x:c>
      <x:c r="AC28" s="120" t="n">
        <x:f>AC27-AC20-AC24</x:f>
      </x:c>
      <x:c r="AD28" s="120" t="n">
        <x:f>AD27-AD20-AD24</x:f>
      </x:c>
      <x:c r="AE28" s="120" t="n">
        <x:f>AE27-AE20-AE24</x:f>
      </x:c>
      <x:c r="AF28" s="120" t="n">
        <x:f>AF27-AF20-AF24</x:f>
      </x:c>
      <x:c r="AG28" s="120" t="n">
        <x:f>AG27-AG20-AG24</x:f>
      </x:c>
      <x:c r="AH28" s="120" t="n">
        <x:f>AH27-AH20-AH24</x:f>
      </x:c>
      <x:c r="AI28" s="120" t="n">
        <x:f>AI27-AI20-AI24</x:f>
      </x:c>
      <x:c r="AJ28" s="120" t="n">
        <x:f>AJ27-AJ20-AJ24</x:f>
      </x:c>
      <x:c r="AK28" s="120" t="n">
        <x:f>AK27-AK20-AK24</x:f>
      </x:c>
      <x:c r="AL28" s="120" t="n">
        <x:f>AL27-AL20-AL24</x:f>
      </x:c>
      <x:c r="AM28" s="120" t="n">
        <x:f>AM27-AM20-AM24</x:f>
      </x:c>
      <x:c r="AN28" s="120" t="n">
        <x:f>AN27-AN20-AN24</x:f>
      </x:c>
      <x:c r="AO28" s="120" t="n">
        <x:f>AO27-AO20-AO24</x:f>
      </x:c>
      <x:c r="AP28" s="120" t="n">
        <x:f>AP27-AP20-AP24</x:f>
      </x:c>
      <x:c r="AQ28" s="120" t="n">
        <x:f>AQ27-AQ20-AQ24</x:f>
      </x:c>
      <x:c r="AR28" s="120" t="n">
        <x:f>AR27-AR20-AR24</x:f>
      </x:c>
      <x:c r="AS28" s="120" t="n">
        <x:f>AS27-AS20-AS24</x:f>
      </x:c>
      <x:c r="AT28" s="120" t="n">
        <x:f>AT27-AT20-AT24</x:f>
      </x:c>
      <x:c r="AU28" s="120" t="n">
        <x:f>AU27-AU20-AU24</x:f>
      </x:c>
      <x:c r="AV28" s="120" t="n">
        <x:f>AV27-AV20-AV24</x:f>
      </x:c>
      <x:c r="AW28" s="120" t="n">
        <x:f>AW27-AW20-AW24</x:f>
      </x:c>
      <x:c r="AX28" s="120" t="n">
        <x:f>AX27-AX20-AX24</x:f>
      </x:c>
      <x:c r="AY28" s="120" t="n">
        <x:f>AY27-AY20-AY24</x:f>
      </x:c>
      <x:c r="AZ28" s="120" t="n">
        <x:f>AZ27-AZ20-AZ24</x:f>
      </x:c>
      <x:c r="BA28" s="120" t="n">
        <x:f>BA27-BA20-BA24</x:f>
      </x:c>
      <x:c r="BB28" s="120" t="n">
        <x:f>BB27-BB20-BB24</x:f>
      </x:c>
      <x:c r="BC28" s="120" t="n">
        <x:f>BC27-BC20-BC24</x:f>
      </x:c>
      <x:c r="BD28" s="120" t="n">
        <x:f>BD27-BD20-BD24</x:f>
      </x:c>
      <x:c r="BE28" s="120" t="n">
        <x:f>BE27-BE20-BE24</x:f>
      </x:c>
      <x:c r="BF28" s="120" t="n">
        <x:f>BF27-BF20-BF24</x:f>
      </x:c>
      <x:c r="BG28" s="120" t="n">
        <x:f>BG27-BG20-BG24</x:f>
      </x:c>
      <x:c r="BH28" s="120" t="n">
        <x:f>BH27-BH20-BH24</x:f>
      </x:c>
      <x:c r="BI28" s="120" t="n">
        <x:f>BI27-BI20-BI24</x:f>
      </x:c>
      <x:c r="BJ28" s="120" t="n">
        <x:f>BJ27-BJ20-BJ24</x:f>
      </x:c>
      <x:c r="BK28" s="120" t="n">
        <x:f>BK27-BK20-BK24</x:f>
      </x:c>
      <x:c r="BL28" s="120" t="n">
        <x:f>BL27-BL20-BL24</x:f>
      </x:c>
      <x:c r="BM28" s="120" t="n">
        <x:f>BM27-BM20-BM24</x:f>
      </x:c>
      <x:c r="BN28" s="120" t="n">
        <x:f>BN27-BN20-BN24</x:f>
      </x:c>
      <x:c r="BO28" s="120" t="n">
        <x:f>BO27-BO20-BO24</x:f>
      </x:c>
      <x:c r="BP28" s="120" t="n">
        <x:f>BP27-BP20-BP24</x:f>
      </x:c>
      <x:c r="BQ28" s="120" t="n">
        <x:f>BQ27-BQ20-BQ24</x:f>
      </x:c>
      <x:c r="BR28" s="120" t="n">
        <x:f>BR27-BR20-BR24</x:f>
      </x:c>
      <x:c r="BS28" s="120" t="n">
        <x:f>BS27-BS20-BS24</x:f>
      </x:c>
      <x:c r="BT28" s="120" t="n">
        <x:f>BT27-BT20-BT24</x:f>
      </x:c>
      <x:c r="BU28" s="120" t="n">
        <x:f>BU27-BU20-BU24</x:f>
      </x:c>
      <x:c r="BV28" s="120" t="n">
        <x:f>BV27-BV20-BV24</x:f>
      </x:c>
      <x:c r="BW28" s="120" t="n">
        <x:f>BW27-BW20-BW24</x:f>
      </x:c>
      <x:c r="BX28" s="120" t="n">
        <x:f>BX27-BX20-BX24</x:f>
      </x:c>
      <x:c r="BY28" s="120" t="n">
        <x:f>BY27-BY20-BY24</x:f>
      </x:c>
      <x:c r="BZ28" s="120" t="n">
        <x:f>BZ27-BZ20-BZ24</x:f>
      </x:c>
      <x:c r="CA28" s="120" t="n">
        <x:f>CA27-CA20-CA24</x:f>
      </x:c>
      <x:c r="CB28" s="120" t="n">
        <x:f>CB27-CB20-CB24</x:f>
      </x:c>
      <x:c r="CC28" s="120" t="n">
        <x:f>CC27-CC20-CC24</x:f>
      </x:c>
      <x:c r="CD28" s="120" t="n">
        <x:f>CD27-CD20-CD24</x:f>
      </x:c>
      <x:c r="CE28" s="120" t="n">
        <x:f>CE27-CE20-CE24</x:f>
      </x:c>
      <x:c r="CF28" s="120" t="n">
        <x:f>CF27-CF20-CF24</x:f>
      </x:c>
      <x:c r="CG28" s="120" t="n">
        <x:f>CG27-CG20-CG24</x:f>
      </x:c>
      <x:c r="CH28" s="120" t="n">
        <x:f>CH27-CH20-CH24</x:f>
      </x:c>
      <x:c r="CI28" s="120" t="n">
        <x:f>CI27-CI20-CI24</x:f>
      </x:c>
      <x:c r="CJ28" s="120" t="n">
        <x:f>CJ27-CJ20-CJ24</x:f>
      </x:c>
      <x:c r="CK28" s="120" t="n">
        <x:f>CK27-CK20-CK24</x:f>
      </x:c>
      <x:c r="CL28" s="120" t="n">
        <x:f>CL27-CL20-CL24</x:f>
      </x:c>
      <x:c r="CM28" s="120" t="n">
        <x:f>CM27-CM20-CM24</x:f>
      </x:c>
      <x:c r="CN28" s="120" t="n">
        <x:f>CN27-CN20-CN24</x:f>
      </x:c>
      <x:c r="CO28" s="120" t="n">
        <x:f>CO27-CO20-CO24</x:f>
      </x:c>
      <x:c r="CP28" s="120" t="n">
        <x:f>CP27-CP20-CP24</x:f>
      </x:c>
      <x:c r="CQ28" s="120" t="n">
        <x:f>CQ27-CQ20-CQ24</x:f>
      </x:c>
      <x:c r="CR28" s="120" t="n">
        <x:f>CR27-CR20-CR24</x:f>
      </x:c>
      <x:c r="CS28" s="120" t="n">
        <x:f>CS27-CS20-CS24</x:f>
      </x:c>
      <x:c r="CT28" s="120" t="n">
        <x:f>CT27-CT20-CT24</x:f>
      </x:c>
      <x:c r="CU28" s="120" t="n">
        <x:f>CU27-CU20-CU24</x:f>
      </x:c>
      <x:c r="CV28" s="120" t="n">
        <x:f>CV27-CV20-CV24</x:f>
      </x:c>
      <x:c r="CW28" s="120" t="n">
        <x:f>CW27-CW20-CW24</x:f>
      </x:c>
      <x:c r="CX28" s="120" t="n">
        <x:f>CX27-CX20-CX24</x:f>
      </x:c>
      <x:c r="CY28" s="120" t="n">
        <x:f>CY27-CY20-CY24</x:f>
      </x:c>
      <x:c r="CZ28" s="120" t="n">
        <x:f>CZ27-CZ20-CZ24</x:f>
      </x:c>
      <x:c r="DA28" s="120" t="n">
        <x:f>DA27-DA20-DA24</x:f>
      </x:c>
      <x:c r="DB28" s="120" t="n">
        <x:f>DB27-DB20-DB24</x:f>
      </x:c>
      <x:c r="DC28" s="120" t="n">
        <x:f>DC27-DC20-DC24</x:f>
      </x:c>
      <x:c r="DD28" s="120" t="n">
        <x:f>DD27-DD20-DD24</x:f>
      </x:c>
      <x:c r="DE28" s="120" t="n">
        <x:f>DE27-DE20-DE24</x:f>
      </x:c>
      <x:c r="DF28" s="120" t="n">
        <x:f>DF27-DF20-DF24</x:f>
      </x:c>
      <x:c r="DG28" s="120" t="n">
        <x:f>DG27-DG20-DG24</x:f>
      </x:c>
      <x:c r="DH28" s="120" t="n">
        <x:f>DH27-DH20-DH24</x:f>
      </x:c>
      <x:c r="DI28" s="120" t="n">
        <x:f>DI27-DI20-DI24</x:f>
      </x:c>
      <x:c r="DJ28" s="120" t="n">
        <x:f>DJ27-DJ20-DJ24</x:f>
      </x:c>
      <x:c r="DK28" s="120" t="n">
        <x:f>DK27-DK20-DK24</x:f>
      </x:c>
      <x:c r="DL28" s="120" t="n">
        <x:f>DL27-DL20-DL24</x:f>
      </x:c>
      <x:c r="DM28" s="120" t="n">
        <x:f>DM27-DM20-DM24</x:f>
      </x:c>
      <x:c r="DN28" s="120" t="n">
        <x:f>DN27-DN20-DN24</x:f>
      </x:c>
      <x:c r="DO28" s="120" t="n">
        <x:f>DO27-DO20-DO24</x:f>
      </x:c>
      <x:c r="DP28" s="120" t="n">
        <x:f>DP27-DP20-DP24</x:f>
      </x:c>
      <x:c r="DQ28" s="120" t="n">
        <x:f>DQ27-DQ20-DQ24</x:f>
      </x:c>
      <x:c r="DR28" s="120" t="n">
        <x:f>DR27-DR20-DR24</x:f>
      </x:c>
      <x:c r="DS28" s="120" t="n">
        <x:f>DS27-DS20-DS24</x:f>
      </x:c>
      <x:c r="DT28" s="120" t="n">
        <x:f>DT27-DT20-DT24</x:f>
      </x:c>
      <x:c r="DU28" s="120" t="n">
        <x:f>DU27-DU20-DU24</x:f>
      </x:c>
      <x:c r="DV28" s="120" t="n">
        <x:f>DV27-DV20-DV24</x:f>
      </x:c>
      <x:c r="DW28" s="120" t="n">
        <x:f>DW27-DW20-DW24</x:f>
      </x:c>
      <x:c r="DX28" s="120" t="n">
        <x:f>DX27-DX20-DX24</x:f>
      </x:c>
      <x:c r="DY28" s="120" t="n">
        <x:f>DY27-DY20-DY24</x:f>
      </x:c>
      <x:c r="DZ28" s="120" t="n">
        <x:f>DZ27-DZ20-DZ24</x:f>
      </x:c>
      <x:c r="EA28" s="120" t="n">
        <x:f>EA27-EA20-EA24</x:f>
      </x:c>
      <x:c r="EB28" s="120" t="n">
        <x:f>EB27-EB20-EB24</x:f>
      </x:c>
      <x:c r="EC28" s="120" t="n">
        <x:f>EC27-EC20-EC24</x:f>
      </x:c>
      <x:c r="ED28" s="120" t="n">
        <x:f>ED27-ED20-ED24</x:f>
      </x:c>
      <x:c r="EE28" s="120" t="n">
        <x:f>EE27-EE20-EE24</x:f>
      </x:c>
      <x:c r="EF28" s="120" t="n">
        <x:f>EF27-EF20-EF24</x:f>
      </x:c>
      <x:c r="EG28" s="120" t="n">
        <x:f>EG27-EG20-EG24</x:f>
      </x:c>
      <x:c r="EH28" s="120" t="n">
        <x:f>EH27-EH20-EH24</x:f>
      </x:c>
      <x:c r="EI28" s="120" t="n">
        <x:f>EI27-EI20-EI24</x:f>
      </x:c>
      <x:c r="EJ28" s="120" t="n">
        <x:f>EJ27-EJ20-EJ24</x:f>
      </x:c>
      <x:c r="EK28" s="120" t="n">
        <x:f>EK27-EK20-EK24</x:f>
      </x:c>
      <x:c r="EL28" s="120" t="n">
        <x:f>EL27-EL20-EL24</x:f>
      </x:c>
      <x:c r="EM28" s="120" t="n">
        <x:f>EM27-EM20-EM24</x:f>
      </x:c>
      <x:c r="EN28" s="120" t="n">
        <x:f>EN27-EN20-EN24</x:f>
      </x:c>
      <x:c r="EO28" s="120" t="n">
        <x:f>EO27-EO20-EO24</x:f>
      </x:c>
      <x:c r="EP28" s="120" t="n">
        <x:f>EP27-EP20-EP24</x:f>
      </x:c>
      <x:c r="EQ28" s="120" t="n">
        <x:f>EQ27-EQ20-EQ24</x:f>
      </x:c>
      <x:c r="ER28" s="120" t="n">
        <x:f>ER27-ER20-ER24</x:f>
      </x:c>
      <x:c r="ES28" s="120" t="n">
        <x:f>ES27-ES20-ES24</x:f>
      </x:c>
      <x:c r="ET28" s="120" t="n">
        <x:f>ET27-ET20-ET24</x:f>
      </x:c>
      <x:c r="EU28" s="120" t="n">
        <x:f>EU27-EU20-EU24</x:f>
      </x:c>
      <x:c r="EV28" s="120" t="n">
        <x:f>EV27-EV20-EV24</x:f>
      </x:c>
      <x:c r="EW28" s="120" t="n">
        <x:f>EW27-EW20-EW24</x:f>
      </x:c>
      <x:c r="EX28" s="120" t="n">
        <x:f>EX27-EX20-EX24</x:f>
      </x:c>
      <x:c r="EY28" s="120" t="n">
        <x:f>EY27-EY20-EY24</x:f>
      </x:c>
      <x:c r="EZ28" s="120" t="n">
        <x:f>EZ27-EZ20-EZ24</x:f>
      </x:c>
      <x:c r="FA28" s="120" t="n">
        <x:f>FA27-FA20-FA24</x:f>
      </x:c>
      <x:c r="FB28" s="120" t="n">
        <x:f>FB27-FB20-FB24</x:f>
      </x:c>
      <x:c r="FC28" s="120" t="n">
        <x:f>FC27-FC20-FC24</x:f>
      </x:c>
      <x:c r="FD28" s="120" t="n">
        <x:f>FD27-FD20-FD24</x:f>
      </x:c>
      <x:c r="FE28" s="120" t="n">
        <x:f>FE27-FE20-FE24</x:f>
      </x:c>
      <x:c r="FF28" s="120" t="n">
        <x:f>FF27-FF20-FF24</x:f>
      </x:c>
      <x:c r="FG28" s="120" t="n">
        <x:f>FG27-FG20-FG24</x:f>
      </x:c>
      <x:c r="FH28" s="120" t="n">
        <x:f>FH27-FH20-FH24</x:f>
      </x:c>
      <x:c r="FI28" s="120" t="n">
        <x:f>FI27-FI20-FI24</x:f>
      </x:c>
      <x:c r="FJ28" s="120" t="n">
        <x:f>FJ27-FJ20-FJ24</x:f>
      </x:c>
      <x:c r="FK28" s="120" t="n">
        <x:f>FK27-FK20-FK24</x:f>
      </x:c>
      <x:c r="FL28" s="120" t="n">
        <x:f>FL27-FL20-FL24</x:f>
      </x:c>
      <x:c r="FM28" s="120" t="n">
        <x:f>FM27-FM20-FM24</x:f>
      </x:c>
      <x:c r="FN28" s="120" t="n">
        <x:f>FN27-FN20-FN24</x:f>
      </x:c>
      <x:c r="FO28" s="120" t="n">
        <x:f>FO27-FO20-FO24</x:f>
      </x:c>
      <x:c r="FP28" s="120" t="n">
        <x:f>FP27-FP20-FP24</x:f>
      </x:c>
      <x:c r="FQ28" s="120" t="n">
        <x:f>FQ27-FQ20-FQ24</x:f>
      </x:c>
      <x:c r="FR28" s="120" t="n">
        <x:f>FR27-FR20-FR24</x:f>
      </x:c>
      <x:c r="FS28" s="120" t="n">
        <x:f>FS27-FS20-FS24</x:f>
      </x:c>
      <x:c r="FT28" s="120" t="n">
        <x:f>FT27-FT20-FT24</x:f>
      </x:c>
      <x:c r="FU28" s="120" t="n">
        <x:f>FU27-FU20-FU24</x:f>
      </x:c>
      <x:c r="FV28" s="120" t="n">
        <x:f>FV27-FV20-FV24</x:f>
      </x:c>
      <x:c r="FW28" s="120" t="n">
        <x:f>FW27-FW20-FW24</x:f>
      </x:c>
      <x:c r="FX28" s="120" t="n">
        <x:f>FX27-FX20-FX24</x:f>
      </x:c>
      <x:c r="FY28" s="120" t="n">
        <x:f>FY27-FY20-FY24</x:f>
      </x:c>
      <x:c r="FZ28" s="120" t="n">
        <x:f>FZ27-FZ20-FZ24</x:f>
      </x:c>
      <x:c r="GA28" s="120" t="n">
        <x:f>GA27-GA20-GA24</x:f>
      </x:c>
    </x:row>
    <x:row r="29">
      <x:c r="A29"/>
      <x:c r="B29"/>
      <x:c r="C29"/>
      <x:c r="D29" s="117"/>
      <x:c r="E29" s="117"/>
      <x:c r="F29" s="117"/>
      <x:c r="G29" s="117"/>
      <x:c r="H29" s="117"/>
      <x:c r="I29" s="117"/>
      <x:c r="J29" s="117"/>
      <x:c r="K29" s="117"/>
      <x:c r="L29" s="117"/>
      <x:c r="M29" s="117"/>
      <x:c r="N29" s="117"/>
      <x:c r="O29" s="117"/>
      <x:c r="P29" s="117"/>
      <x:c r="Q29" s="117"/>
      <x:c r="R29" s="117"/>
      <x:c r="S29" s="117"/>
      <x:c r="T29" s="117"/>
      <x:c r="U29" s="117"/>
      <x:c r="V29" s="117"/>
      <x:c r="W29" s="117"/>
      <x:c r="X29" s="117"/>
      <x:c r="Y29" s="117"/>
      <x:c r="Z29" s="117"/>
      <x:c r="AA29" s="117"/>
      <x:c r="AB29" s="117"/>
      <x:c r="AC29" s="117"/>
      <x:c r="AD29" s="117"/>
      <x:c r="AE29" s="117"/>
      <x:c r="AF29" s="117"/>
      <x:c r="AG29" s="117"/>
      <x:c r="AH29" s="117"/>
      <x:c r="AI29" s="117"/>
      <x:c r="AJ29" s="117"/>
      <x:c r="AK29" s="117"/>
      <x:c r="AL29" s="117"/>
      <x:c r="AM29" s="117"/>
      <x:c r="AN29" s="117"/>
      <x:c r="AO29" s="117"/>
      <x:c r="AP29" s="117"/>
      <x:c r="AQ29" s="117"/>
      <x:c r="AR29" s="117"/>
      <x:c r="AS29" s="117"/>
      <x:c r="AT29" s="117"/>
      <x:c r="AU29" s="117"/>
      <x:c r="AV29" s="117"/>
      <x:c r="AW29" s="117"/>
      <x:c r="AX29" s="117"/>
      <x:c r="AY29" s="117"/>
      <x:c r="AZ29" s="117"/>
      <x:c r="BA29" s="117"/>
      <x:c r="BB29" s="117"/>
      <x:c r="BC29" s="117"/>
      <x:c r="BD29" s="117"/>
      <x:c r="BE29" s="117"/>
      <x:c r="BF29" s="117"/>
      <x:c r="BG29" s="117"/>
      <x:c r="BH29" s="117"/>
      <x:c r="BI29" s="117"/>
      <x:c r="BJ29" s="117"/>
      <x:c r="BK29" s="117"/>
      <x:c r="BL29" s="117"/>
      <x:c r="BM29" s="117"/>
      <x:c r="BN29" s="117"/>
      <x:c r="BO29" s="117"/>
      <x:c r="BP29" s="117"/>
      <x:c r="BQ29" s="117"/>
      <x:c r="BR29" s="117"/>
      <x:c r="BS29" s="117"/>
      <x:c r="BT29" s="117"/>
      <x:c r="BU29" s="117"/>
      <x:c r="BV29" s="117"/>
      <x:c r="BW29" s="117"/>
      <x:c r="BX29" s="117"/>
      <x:c r="BY29" s="117"/>
      <x:c r="BZ29" s="117"/>
      <x:c r="CA29" s="117"/>
      <x:c r="CB29" s="117"/>
      <x:c r="CC29" s="117"/>
      <x:c r="CD29" s="117"/>
      <x:c r="CE29" s="117"/>
      <x:c r="CF29" s="117"/>
      <x:c r="CG29" s="117"/>
      <x:c r="CH29" s="117"/>
      <x:c r="CI29" s="117"/>
      <x:c r="CJ29" s="117"/>
      <x:c r="CK29" s="117"/>
      <x:c r="CL29" s="117"/>
      <x:c r="CM29" s="117"/>
      <x:c r="CN29" s="117"/>
      <x:c r="CO29" s="117"/>
      <x:c r="CP29" s="117"/>
      <x:c r="CQ29" s="117"/>
      <x:c r="CR29" s="117"/>
      <x:c r="CS29" s="117"/>
      <x:c r="CT29" s="117"/>
      <x:c r="CU29" s="117"/>
      <x:c r="CV29" s="117"/>
      <x:c r="CW29" s="117"/>
      <x:c r="CX29" s="117"/>
      <x:c r="CY29" s="117"/>
      <x:c r="CZ29" s="117"/>
      <x:c r="DA29" s="117"/>
      <x:c r="DB29" s="117"/>
      <x:c r="DC29" s="117"/>
      <x:c r="DD29" s="117"/>
      <x:c r="DE29" s="117"/>
      <x:c r="DF29" s="117"/>
      <x:c r="DG29" s="117"/>
      <x:c r="DH29" s="117"/>
      <x:c r="DI29" s="117"/>
      <x:c r="DJ29" s="117"/>
      <x:c r="DK29" s="117"/>
      <x:c r="DL29" s="117"/>
      <x:c r="DM29" s="117"/>
      <x:c r="DN29" s="117"/>
      <x:c r="DO29" s="117"/>
      <x:c r="DP29" s="117"/>
      <x:c r="DQ29" s="117"/>
      <x:c r="DR29" s="117"/>
      <x:c r="DS29" s="117"/>
      <x:c r="DT29" s="117"/>
      <x:c r="DU29" s="117"/>
      <x:c r="DV29" s="117"/>
      <x:c r="DW29" s="117"/>
      <x:c r="DX29" s="117"/>
      <x:c r="DY29" s="117"/>
      <x:c r="DZ29" s="117"/>
      <x:c r="EA29" s="117"/>
      <x:c r="EB29" s="117"/>
      <x:c r="EC29" s="117"/>
      <x:c r="ED29" s="117"/>
      <x:c r="EE29" s="117"/>
      <x:c r="EF29" s="117"/>
      <x:c r="EG29" s="117"/>
      <x:c r="EH29" s="117"/>
      <x:c r="EI29" s="117"/>
      <x:c r="EJ29" s="117"/>
      <x:c r="EK29" s="117"/>
      <x:c r="EL29" s="117"/>
      <x:c r="EM29" s="117"/>
      <x:c r="EN29" s="117"/>
      <x:c r="EO29" s="117"/>
      <x:c r="EP29" s="117"/>
      <x:c r="EQ29" s="117"/>
      <x:c r="ER29" s="117"/>
      <x:c r="ES29" s="117"/>
      <x:c r="ET29" s="117"/>
      <x:c r="EU29" s="117"/>
      <x:c r="EV29" s="117"/>
      <x:c r="EW29" s="117"/>
      <x:c r="EX29" s="117"/>
      <x:c r="EY29" s="117"/>
      <x:c r="EZ29" s="117"/>
      <x:c r="FA29" s="117"/>
      <x:c r="FB29" s="117"/>
      <x:c r="FC29" s="117"/>
      <x:c r="FD29" s="117"/>
      <x:c r="FE29" s="117"/>
      <x:c r="FF29" s="117"/>
      <x:c r="FG29" s="117"/>
      <x:c r="FH29" s="117"/>
      <x:c r="FI29" s="117"/>
      <x:c r="FJ29" s="117"/>
      <x:c r="FK29" s="117"/>
      <x:c r="FL29" s="117"/>
      <x:c r="FM29" s="117"/>
      <x:c r="FN29" s="117"/>
      <x:c r="FO29" s="117"/>
      <x:c r="FP29" s="117"/>
      <x:c r="FQ29" s="117"/>
      <x:c r="FR29" s="117"/>
      <x:c r="FS29" s="117"/>
      <x:c r="FT29" s="117"/>
      <x:c r="FU29" s="117"/>
      <x:c r="FV29" s="117"/>
      <x:c r="FW29" s="117"/>
      <x:c r="FX29" s="117"/>
      <x:c r="FY29" s="117"/>
      <x:c r="FZ29" s="117"/>
      <x:c r="GA29" s="117"/>
    </x:row>
    <x:row r="30">
      <x:c r="A30" t="str">
        <x:v>БРИДЖ — долг на начало</x:v>
      </x:c>
      <x:c r="B30"/>
      <x:c r="C30" t="str">
        <x:v>млн ₽</x:v>
      </x:c>
      <x:c r="D30" s="117" t="n">
        <x:f>0</x:f>
      </x:c>
      <x:c r="E30" s="117" t="n">
        <x:f>D36</x:f>
      </x:c>
      <x:c r="F30" s="117" t="n">
        <x:f>E36</x:f>
      </x:c>
      <x:c r="G30" s="117" t="n">
        <x:f>F36</x:f>
      </x:c>
      <x:c r="H30" s="117" t="n">
        <x:f>G36</x:f>
      </x:c>
      <x:c r="I30" s="117" t="n">
        <x:f>H36</x:f>
      </x:c>
      <x:c r="J30" s="117" t="n">
        <x:f>I36</x:f>
      </x:c>
      <x:c r="K30" s="117" t="n">
        <x:f>J36</x:f>
      </x:c>
      <x:c r="L30" s="117" t="n">
        <x:f>K36</x:f>
      </x:c>
      <x:c r="M30" s="117" t="n">
        <x:f>L36</x:f>
      </x:c>
      <x:c r="N30" s="117" t="n">
        <x:f>M36</x:f>
      </x:c>
      <x:c r="O30" s="117" t="n">
        <x:f>N36</x:f>
      </x:c>
      <x:c r="P30" s="117" t="n">
        <x:f>O36</x:f>
      </x:c>
      <x:c r="Q30" s="117" t="n">
        <x:f>P36</x:f>
      </x:c>
      <x:c r="R30" s="117" t="n">
        <x:f>Q36</x:f>
      </x:c>
      <x:c r="S30" s="117" t="n">
        <x:f>R36</x:f>
      </x:c>
      <x:c r="T30" s="117" t="n">
        <x:f>S36</x:f>
      </x:c>
      <x:c r="U30" s="117" t="n">
        <x:f>T36</x:f>
      </x:c>
      <x:c r="V30" s="117" t="n">
        <x:f>U36</x:f>
      </x:c>
      <x:c r="W30" s="117" t="n">
        <x:f>V36</x:f>
      </x:c>
      <x:c r="X30" s="117" t="n">
        <x:f>W36</x:f>
      </x:c>
      <x:c r="Y30" s="117" t="n">
        <x:f>X36</x:f>
      </x:c>
      <x:c r="Z30" s="117" t="n">
        <x:f>Y36</x:f>
      </x:c>
      <x:c r="AA30" s="117" t="n">
        <x:f>Z36</x:f>
      </x:c>
      <x:c r="AB30" s="117" t="n">
        <x:f>AA36</x:f>
      </x:c>
      <x:c r="AC30" s="117" t="n">
        <x:f>AB36</x:f>
      </x:c>
      <x:c r="AD30" s="117" t="n">
        <x:f>AC36</x:f>
      </x:c>
      <x:c r="AE30" s="117" t="n">
        <x:f>AD36</x:f>
      </x:c>
      <x:c r="AF30" s="117" t="n">
        <x:f>AE36</x:f>
      </x:c>
      <x:c r="AG30" s="117" t="n">
        <x:f>AF36</x:f>
      </x:c>
      <x:c r="AH30" s="117" t="n">
        <x:f>AG36</x:f>
      </x:c>
      <x:c r="AI30" s="117" t="n">
        <x:f>AH36</x:f>
      </x:c>
      <x:c r="AJ30" s="117" t="n">
        <x:f>AI36</x:f>
      </x:c>
      <x:c r="AK30" s="117" t="n">
        <x:f>AJ36</x:f>
      </x:c>
      <x:c r="AL30" s="117" t="n">
        <x:f>AK36</x:f>
      </x:c>
      <x:c r="AM30" s="117" t="n">
        <x:f>AL36</x:f>
      </x:c>
      <x:c r="AN30" s="117" t="n">
        <x:f>AM36</x:f>
      </x:c>
      <x:c r="AO30" s="117" t="n">
        <x:f>AN36</x:f>
      </x:c>
      <x:c r="AP30" s="117" t="n">
        <x:f>AO36</x:f>
      </x:c>
      <x:c r="AQ30" s="117" t="n">
        <x:f>AP36</x:f>
      </x:c>
      <x:c r="AR30" s="117" t="n">
        <x:f>AQ36</x:f>
      </x:c>
      <x:c r="AS30" s="117" t="n">
        <x:f>AR36</x:f>
      </x:c>
      <x:c r="AT30" s="117" t="n">
        <x:f>AS36</x:f>
      </x:c>
      <x:c r="AU30" s="117" t="n">
        <x:f>AT36</x:f>
      </x:c>
      <x:c r="AV30" s="117" t="n">
        <x:f>AU36</x:f>
      </x:c>
      <x:c r="AW30" s="117" t="n">
        <x:f>AV36</x:f>
      </x:c>
      <x:c r="AX30" s="117" t="n">
        <x:f>AW36</x:f>
      </x:c>
      <x:c r="AY30" s="117" t="n">
        <x:f>AX36</x:f>
      </x:c>
      <x:c r="AZ30" s="117" t="n">
        <x:f>AY36</x:f>
      </x:c>
      <x:c r="BA30" s="117" t="n">
        <x:f>AZ36</x:f>
      </x:c>
      <x:c r="BB30" s="117" t="n">
        <x:f>BA36</x:f>
      </x:c>
      <x:c r="BC30" s="117" t="n">
        <x:f>BB36</x:f>
      </x:c>
      <x:c r="BD30" s="117" t="n">
        <x:f>BC36</x:f>
      </x:c>
      <x:c r="BE30" s="117" t="n">
        <x:f>BD36</x:f>
      </x:c>
      <x:c r="BF30" s="117" t="n">
        <x:f>BE36</x:f>
      </x:c>
      <x:c r="BG30" s="117" t="n">
        <x:f>BF36</x:f>
      </x:c>
      <x:c r="BH30" s="117" t="n">
        <x:f>BG36</x:f>
      </x:c>
      <x:c r="BI30" s="117" t="n">
        <x:f>BH36</x:f>
      </x:c>
      <x:c r="BJ30" s="117" t="n">
        <x:f>BI36</x:f>
      </x:c>
      <x:c r="BK30" s="117" t="n">
        <x:f>BJ36</x:f>
      </x:c>
      <x:c r="BL30" s="117" t="n">
        <x:f>BK36</x:f>
      </x:c>
      <x:c r="BM30" s="117" t="n">
        <x:f>BL36</x:f>
      </x:c>
      <x:c r="BN30" s="117" t="n">
        <x:f>BM36</x:f>
      </x:c>
      <x:c r="BO30" s="117" t="n">
        <x:f>BN36</x:f>
      </x:c>
      <x:c r="BP30" s="117" t="n">
        <x:f>BO36</x:f>
      </x:c>
      <x:c r="BQ30" s="117" t="n">
        <x:f>BP36</x:f>
      </x:c>
      <x:c r="BR30" s="117" t="n">
        <x:f>BQ36</x:f>
      </x:c>
      <x:c r="BS30" s="117" t="n">
        <x:f>BR36</x:f>
      </x:c>
      <x:c r="BT30" s="117" t="n">
        <x:f>BS36</x:f>
      </x:c>
      <x:c r="BU30" s="117" t="n">
        <x:f>BT36</x:f>
      </x:c>
      <x:c r="BV30" s="117" t="n">
        <x:f>BU36</x:f>
      </x:c>
      <x:c r="BW30" s="117" t="n">
        <x:f>BV36</x:f>
      </x:c>
      <x:c r="BX30" s="117" t="n">
        <x:f>BW36</x:f>
      </x:c>
      <x:c r="BY30" s="117" t="n">
        <x:f>BX36</x:f>
      </x:c>
      <x:c r="BZ30" s="117" t="n">
        <x:f>BY36</x:f>
      </x:c>
      <x:c r="CA30" s="117" t="n">
        <x:f>BZ36</x:f>
      </x:c>
      <x:c r="CB30" s="117" t="n">
        <x:f>CA36</x:f>
      </x:c>
      <x:c r="CC30" s="117" t="n">
        <x:f>CB36</x:f>
      </x:c>
      <x:c r="CD30" s="117" t="n">
        <x:f>CC36</x:f>
      </x:c>
      <x:c r="CE30" s="117" t="n">
        <x:f>CD36</x:f>
      </x:c>
      <x:c r="CF30" s="117" t="n">
        <x:f>CE36</x:f>
      </x:c>
      <x:c r="CG30" s="117" t="n">
        <x:f>CF36</x:f>
      </x:c>
      <x:c r="CH30" s="117" t="n">
        <x:f>CG36</x:f>
      </x:c>
      <x:c r="CI30" s="117" t="n">
        <x:f>CH36</x:f>
      </x:c>
      <x:c r="CJ30" s="117" t="n">
        <x:f>CI36</x:f>
      </x:c>
      <x:c r="CK30" s="117" t="n">
        <x:f>CJ36</x:f>
      </x:c>
      <x:c r="CL30" s="117" t="n">
        <x:f>CK36</x:f>
      </x:c>
      <x:c r="CM30" s="117" t="n">
        <x:f>CL36</x:f>
      </x:c>
      <x:c r="CN30" s="117" t="n">
        <x:f>CM36</x:f>
      </x:c>
      <x:c r="CO30" s="117" t="n">
        <x:f>CN36</x:f>
      </x:c>
      <x:c r="CP30" s="117" t="n">
        <x:f>CO36</x:f>
      </x:c>
      <x:c r="CQ30" s="117" t="n">
        <x:f>CP36</x:f>
      </x:c>
      <x:c r="CR30" s="117" t="n">
        <x:f>CQ36</x:f>
      </x:c>
      <x:c r="CS30" s="117" t="n">
        <x:f>CR36</x:f>
      </x:c>
      <x:c r="CT30" s="117" t="n">
        <x:f>CS36</x:f>
      </x:c>
      <x:c r="CU30" s="117" t="n">
        <x:f>CT36</x:f>
      </x:c>
      <x:c r="CV30" s="117" t="n">
        <x:f>CU36</x:f>
      </x:c>
      <x:c r="CW30" s="117" t="n">
        <x:f>CV36</x:f>
      </x:c>
      <x:c r="CX30" s="117" t="n">
        <x:f>CW36</x:f>
      </x:c>
      <x:c r="CY30" s="117" t="n">
        <x:f>CX36</x:f>
      </x:c>
      <x:c r="CZ30" s="117" t="n">
        <x:f>CY36</x:f>
      </x:c>
      <x:c r="DA30" s="117" t="n">
        <x:f>CZ36</x:f>
      </x:c>
      <x:c r="DB30" s="117" t="n">
        <x:f>DA36</x:f>
      </x:c>
      <x:c r="DC30" s="117" t="n">
        <x:f>DB36</x:f>
      </x:c>
      <x:c r="DD30" s="117" t="n">
        <x:f>DC36</x:f>
      </x:c>
      <x:c r="DE30" s="117" t="n">
        <x:f>DD36</x:f>
      </x:c>
      <x:c r="DF30" s="117" t="n">
        <x:f>DE36</x:f>
      </x:c>
      <x:c r="DG30" s="117" t="n">
        <x:f>DF36</x:f>
      </x:c>
      <x:c r="DH30" s="117" t="n">
        <x:f>DG36</x:f>
      </x:c>
      <x:c r="DI30" s="117" t="n">
        <x:f>DH36</x:f>
      </x:c>
      <x:c r="DJ30" s="117" t="n">
        <x:f>DI36</x:f>
      </x:c>
      <x:c r="DK30" s="117" t="n">
        <x:f>DJ36</x:f>
      </x:c>
      <x:c r="DL30" s="117" t="n">
        <x:f>DK36</x:f>
      </x:c>
      <x:c r="DM30" s="117" t="n">
        <x:f>DL36</x:f>
      </x:c>
      <x:c r="DN30" s="117" t="n">
        <x:f>DM36</x:f>
      </x:c>
      <x:c r="DO30" s="117" t="n">
        <x:f>DN36</x:f>
      </x:c>
      <x:c r="DP30" s="117" t="n">
        <x:f>DO36</x:f>
      </x:c>
      <x:c r="DQ30" s="117" t="n">
        <x:f>DP36</x:f>
      </x:c>
      <x:c r="DR30" s="117" t="n">
        <x:f>DQ36</x:f>
      </x:c>
      <x:c r="DS30" s="117" t="n">
        <x:f>DR36</x:f>
      </x:c>
      <x:c r="DT30" s="117" t="n">
        <x:f>DS36</x:f>
      </x:c>
      <x:c r="DU30" s="117" t="n">
        <x:f>DT36</x:f>
      </x:c>
      <x:c r="DV30" s="117" t="n">
        <x:f>DU36</x:f>
      </x:c>
      <x:c r="DW30" s="117" t="n">
        <x:f>DV36</x:f>
      </x:c>
      <x:c r="DX30" s="117" t="n">
        <x:f>DW36</x:f>
      </x:c>
      <x:c r="DY30" s="117" t="n">
        <x:f>DX36</x:f>
      </x:c>
      <x:c r="DZ30" s="117" t="n">
        <x:f>DY36</x:f>
      </x:c>
      <x:c r="EA30" s="117" t="n">
        <x:f>DZ36</x:f>
      </x:c>
      <x:c r="EB30" s="117" t="n">
        <x:f>EA36</x:f>
      </x:c>
      <x:c r="EC30" s="117" t="n">
        <x:f>EB36</x:f>
      </x:c>
      <x:c r="ED30" s="117" t="n">
        <x:f>EC36</x:f>
      </x:c>
      <x:c r="EE30" s="117" t="n">
        <x:f>ED36</x:f>
      </x:c>
      <x:c r="EF30" s="117" t="n">
        <x:f>EE36</x:f>
      </x:c>
      <x:c r="EG30" s="117" t="n">
        <x:f>EF36</x:f>
      </x:c>
      <x:c r="EH30" s="117" t="n">
        <x:f>EG36</x:f>
      </x:c>
      <x:c r="EI30" s="117" t="n">
        <x:f>EH36</x:f>
      </x:c>
      <x:c r="EJ30" s="117" t="n">
        <x:f>EI36</x:f>
      </x:c>
      <x:c r="EK30" s="117" t="n">
        <x:f>EJ36</x:f>
      </x:c>
      <x:c r="EL30" s="117" t="n">
        <x:f>EK36</x:f>
      </x:c>
      <x:c r="EM30" s="117" t="n">
        <x:f>EL36</x:f>
      </x:c>
      <x:c r="EN30" s="117" t="n">
        <x:f>EM36</x:f>
      </x:c>
      <x:c r="EO30" s="117" t="n">
        <x:f>EN36</x:f>
      </x:c>
      <x:c r="EP30" s="117" t="n">
        <x:f>EO36</x:f>
      </x:c>
      <x:c r="EQ30" s="117" t="n">
        <x:f>EP36</x:f>
      </x:c>
      <x:c r="ER30" s="117" t="n">
        <x:f>EQ36</x:f>
      </x:c>
      <x:c r="ES30" s="117" t="n">
        <x:f>ER36</x:f>
      </x:c>
      <x:c r="ET30" s="117" t="n">
        <x:f>ES36</x:f>
      </x:c>
      <x:c r="EU30" s="117" t="n">
        <x:f>ET36</x:f>
      </x:c>
      <x:c r="EV30" s="117" t="n">
        <x:f>EU36</x:f>
      </x:c>
      <x:c r="EW30" s="117" t="n">
        <x:f>EV36</x:f>
      </x:c>
      <x:c r="EX30" s="117" t="n">
        <x:f>EW36</x:f>
      </x:c>
      <x:c r="EY30" s="117" t="n">
        <x:f>EX36</x:f>
      </x:c>
      <x:c r="EZ30" s="117" t="n">
        <x:f>EY36</x:f>
      </x:c>
      <x:c r="FA30" s="117" t="n">
        <x:f>EZ36</x:f>
      </x:c>
      <x:c r="FB30" s="117" t="n">
        <x:f>FA36</x:f>
      </x:c>
      <x:c r="FC30" s="117" t="n">
        <x:f>FB36</x:f>
      </x:c>
      <x:c r="FD30" s="117" t="n">
        <x:f>FC36</x:f>
      </x:c>
      <x:c r="FE30" s="117" t="n">
        <x:f>FD36</x:f>
      </x:c>
      <x:c r="FF30" s="117" t="n">
        <x:f>FE36</x:f>
      </x:c>
      <x:c r="FG30" s="117" t="n">
        <x:f>FF36</x:f>
      </x:c>
      <x:c r="FH30" s="117" t="n">
        <x:f>FG36</x:f>
      </x:c>
      <x:c r="FI30" s="117" t="n">
        <x:f>FH36</x:f>
      </x:c>
      <x:c r="FJ30" s="117" t="n">
        <x:f>FI36</x:f>
      </x:c>
      <x:c r="FK30" s="117" t="n">
        <x:f>FJ36</x:f>
      </x:c>
      <x:c r="FL30" s="117" t="n">
        <x:f>FK36</x:f>
      </x:c>
      <x:c r="FM30" s="117" t="n">
        <x:f>FL36</x:f>
      </x:c>
      <x:c r="FN30" s="117" t="n">
        <x:f>FM36</x:f>
      </x:c>
      <x:c r="FO30" s="117" t="n">
        <x:f>FN36</x:f>
      </x:c>
      <x:c r="FP30" s="117" t="n">
        <x:f>FO36</x:f>
      </x:c>
      <x:c r="FQ30" s="117" t="n">
        <x:f>FP36</x:f>
      </x:c>
      <x:c r="FR30" s="117" t="n">
        <x:f>FQ36</x:f>
      </x:c>
      <x:c r="FS30" s="117" t="n">
        <x:f>FR36</x:f>
      </x:c>
      <x:c r="FT30" s="117" t="n">
        <x:f>FS36</x:f>
      </x:c>
      <x:c r="FU30" s="117" t="n">
        <x:f>FT36</x:f>
      </x:c>
      <x:c r="FV30" s="117" t="n">
        <x:f>FU36</x:f>
      </x:c>
      <x:c r="FW30" s="117" t="n">
        <x:f>FV36</x:f>
      </x:c>
      <x:c r="FX30" s="117" t="n">
        <x:f>FW36</x:f>
      </x:c>
      <x:c r="FY30" s="117" t="n">
        <x:f>FX36</x:f>
      </x:c>
      <x:c r="FZ30" s="117" t="n">
        <x:f>FY36</x:f>
      </x:c>
      <x:c r="GA30" s="117" t="n">
        <x:f>FZ36</x:f>
      </x:c>
    </x:row>
    <x:row r="31">
      <x:c r="A31" t="str">
        <x:v>БРИДЖ — ставка</x:v>
      </x:c>
      <x:c r="B31" t="n">
        <x:f>IFERROR(SUMPRODUCT(D31:GA31,--(D30:GA30&gt;0))/COUNTIF(D30:GA30,"&gt;0"),0)</x:f>
      </x:c>
      <x:c r="C31" t="str">
        <x:v>% год</x:v>
      </x:c>
      <x:c r="D31" s="121" t="n">
        <x:f>'Ставки'!D$6</x:f>
      </x:c>
      <x:c r="E31" s="121" t="n">
        <x:f>'Ставки'!E$6</x:f>
      </x:c>
      <x:c r="F31" s="121" t="n">
        <x:f>'Ставки'!F$6</x:f>
      </x:c>
      <x:c r="G31" s="121" t="n">
        <x:f>'Ставки'!G$6</x:f>
      </x:c>
      <x:c r="H31" s="121" t="n">
        <x:f>'Ставки'!H$6</x:f>
      </x:c>
      <x:c r="I31" s="121" t="n">
        <x:f>'Ставки'!I$6</x:f>
      </x:c>
      <x:c r="J31" s="121" t="n">
        <x:f>'Ставки'!J$6</x:f>
      </x:c>
      <x:c r="K31" s="121" t="n">
        <x:f>'Ставки'!K$6</x:f>
      </x:c>
      <x:c r="L31" s="121" t="n">
        <x:f>'Ставки'!L$6</x:f>
      </x:c>
      <x:c r="M31" s="121" t="n">
        <x:f>'Ставки'!M$6</x:f>
      </x:c>
      <x:c r="N31" s="121" t="n">
        <x:f>'Ставки'!N$6</x:f>
      </x:c>
      <x:c r="O31" s="121" t="n">
        <x:f>'Ставки'!O$6</x:f>
      </x:c>
      <x:c r="P31" s="121" t="n">
        <x:f>'Ставки'!P$6</x:f>
      </x:c>
      <x:c r="Q31" s="121" t="n">
        <x:f>'Ставки'!Q$6</x:f>
      </x:c>
      <x:c r="R31" s="121" t="n">
        <x:f>'Ставки'!R$6</x:f>
      </x:c>
      <x:c r="S31" s="121" t="n">
        <x:f>'Ставки'!S$6</x:f>
      </x:c>
      <x:c r="T31" s="121" t="n">
        <x:f>'Ставки'!T$6</x:f>
      </x:c>
      <x:c r="U31" s="121" t="n">
        <x:f>'Ставки'!U$6</x:f>
      </x:c>
      <x:c r="V31" s="121" t="n">
        <x:f>'Ставки'!V$6</x:f>
      </x:c>
      <x:c r="W31" s="121" t="n">
        <x:f>'Ставки'!W$6</x:f>
      </x:c>
      <x:c r="X31" s="121" t="n">
        <x:f>'Ставки'!X$6</x:f>
      </x:c>
      <x:c r="Y31" s="121" t="n">
        <x:f>'Ставки'!Y$6</x:f>
      </x:c>
      <x:c r="Z31" s="121" t="n">
        <x:f>'Ставки'!Z$6</x:f>
      </x:c>
      <x:c r="AA31" s="121" t="n">
        <x:f>'Ставки'!AA$6</x:f>
      </x:c>
      <x:c r="AB31" s="121" t="n">
        <x:f>'Ставки'!AB$6</x:f>
      </x:c>
      <x:c r="AC31" s="121" t="n">
        <x:f>'Ставки'!AC$6</x:f>
      </x:c>
      <x:c r="AD31" s="121" t="n">
        <x:f>'Ставки'!AD$6</x:f>
      </x:c>
      <x:c r="AE31" s="121" t="n">
        <x:f>'Ставки'!AE$6</x:f>
      </x:c>
      <x:c r="AF31" s="121" t="n">
        <x:f>'Ставки'!AF$6</x:f>
      </x:c>
      <x:c r="AG31" s="121" t="n">
        <x:f>'Ставки'!AG$6</x:f>
      </x:c>
      <x:c r="AH31" s="121" t="n">
        <x:f>'Ставки'!AH$6</x:f>
      </x:c>
      <x:c r="AI31" s="121" t="n">
        <x:f>'Ставки'!AI$6</x:f>
      </x:c>
      <x:c r="AJ31" s="121" t="n">
        <x:f>'Ставки'!AJ$6</x:f>
      </x:c>
      <x:c r="AK31" s="121" t="n">
        <x:f>'Ставки'!AK$6</x:f>
      </x:c>
      <x:c r="AL31" s="121" t="n">
        <x:f>'Ставки'!AL$6</x:f>
      </x:c>
      <x:c r="AM31" s="121" t="n">
        <x:f>'Ставки'!AM$6</x:f>
      </x:c>
      <x:c r="AN31" s="121" t="n">
        <x:f>'Ставки'!AN$6</x:f>
      </x:c>
      <x:c r="AO31" s="121" t="n">
        <x:f>'Ставки'!AO$6</x:f>
      </x:c>
      <x:c r="AP31" s="121" t="n">
        <x:f>'Ставки'!AP$6</x:f>
      </x:c>
      <x:c r="AQ31" s="121" t="n">
        <x:f>'Ставки'!AQ$6</x:f>
      </x:c>
      <x:c r="AR31" s="121" t="n">
        <x:f>'Ставки'!AR$6</x:f>
      </x:c>
      <x:c r="AS31" s="121" t="n">
        <x:f>'Ставки'!AS$6</x:f>
      </x:c>
      <x:c r="AT31" s="121" t="n">
        <x:f>'Ставки'!AT$6</x:f>
      </x:c>
      <x:c r="AU31" s="121" t="n">
        <x:f>'Ставки'!AU$6</x:f>
      </x:c>
      <x:c r="AV31" s="121" t="n">
        <x:f>'Ставки'!AV$6</x:f>
      </x:c>
      <x:c r="AW31" s="121" t="n">
        <x:f>'Ставки'!AW$6</x:f>
      </x:c>
      <x:c r="AX31" s="121" t="n">
        <x:f>'Ставки'!AX$6</x:f>
      </x:c>
      <x:c r="AY31" s="121" t="n">
        <x:f>'Ставки'!AY$6</x:f>
      </x:c>
      <x:c r="AZ31" s="121" t="n">
        <x:f>'Ставки'!AZ$6</x:f>
      </x:c>
      <x:c r="BA31" s="121" t="n">
        <x:f>'Ставки'!BA$6</x:f>
      </x:c>
      <x:c r="BB31" s="121" t="n">
        <x:f>'Ставки'!BB$6</x:f>
      </x:c>
      <x:c r="BC31" s="121" t="n">
        <x:f>'Ставки'!BC$6</x:f>
      </x:c>
      <x:c r="BD31" s="121" t="n">
        <x:f>'Ставки'!BD$6</x:f>
      </x:c>
      <x:c r="BE31" s="121" t="n">
        <x:f>'Ставки'!BE$6</x:f>
      </x:c>
      <x:c r="BF31" s="121" t="n">
        <x:f>'Ставки'!BF$6</x:f>
      </x:c>
      <x:c r="BG31" s="121" t="n">
        <x:f>'Ставки'!BG$6</x:f>
      </x:c>
      <x:c r="BH31" s="121" t="n">
        <x:f>'Ставки'!BH$6</x:f>
      </x:c>
      <x:c r="BI31" s="121" t="n">
        <x:f>'Ставки'!BI$6</x:f>
      </x:c>
      <x:c r="BJ31" s="121" t="n">
        <x:f>'Ставки'!BJ$6</x:f>
      </x:c>
      <x:c r="BK31" s="121" t="n">
        <x:f>'Ставки'!BK$6</x:f>
      </x:c>
      <x:c r="BL31" s="121" t="n">
        <x:f>'Ставки'!BL$6</x:f>
      </x:c>
      <x:c r="BM31" s="121" t="n">
        <x:f>'Ставки'!BM$6</x:f>
      </x:c>
      <x:c r="BN31" s="121" t="n">
        <x:f>'Ставки'!BN$6</x:f>
      </x:c>
      <x:c r="BO31" s="121" t="n">
        <x:f>'Ставки'!BO$6</x:f>
      </x:c>
      <x:c r="BP31" s="121" t="n">
        <x:f>'Ставки'!BP$6</x:f>
      </x:c>
      <x:c r="BQ31" s="121" t="n">
        <x:f>'Ставки'!BQ$6</x:f>
      </x:c>
      <x:c r="BR31" s="121" t="n">
        <x:f>'Ставки'!BR$6</x:f>
      </x:c>
      <x:c r="BS31" s="121" t="n">
        <x:f>'Ставки'!BS$6</x:f>
      </x:c>
      <x:c r="BT31" s="121" t="n">
        <x:f>'Ставки'!BT$6</x:f>
      </x:c>
      <x:c r="BU31" s="121" t="n">
        <x:f>'Ставки'!BU$6</x:f>
      </x:c>
      <x:c r="BV31" s="121" t="n">
        <x:f>'Ставки'!BV$6</x:f>
      </x:c>
      <x:c r="BW31" s="121" t="n">
        <x:f>'Ставки'!BW$6</x:f>
      </x:c>
      <x:c r="BX31" s="121" t="n">
        <x:f>'Ставки'!BX$6</x:f>
      </x:c>
      <x:c r="BY31" s="121" t="n">
        <x:f>'Ставки'!BY$6</x:f>
      </x:c>
      <x:c r="BZ31" s="121" t="n">
        <x:f>'Ставки'!BZ$6</x:f>
      </x:c>
      <x:c r="CA31" s="121" t="n">
        <x:f>'Ставки'!CA$6</x:f>
      </x:c>
      <x:c r="CB31" s="121" t="n">
        <x:f>'Ставки'!CB$6</x:f>
      </x:c>
      <x:c r="CC31" s="121" t="n">
        <x:f>'Ставки'!CC$6</x:f>
      </x:c>
      <x:c r="CD31" s="121" t="n">
        <x:f>'Ставки'!CD$6</x:f>
      </x:c>
      <x:c r="CE31" s="121" t="n">
        <x:f>'Ставки'!CE$6</x:f>
      </x:c>
      <x:c r="CF31" s="121" t="n">
        <x:f>'Ставки'!CF$6</x:f>
      </x:c>
      <x:c r="CG31" s="121" t="n">
        <x:f>'Ставки'!CG$6</x:f>
      </x:c>
      <x:c r="CH31" s="121" t="n">
        <x:f>'Ставки'!CH$6</x:f>
      </x:c>
      <x:c r="CI31" s="121" t="n">
        <x:f>'Ставки'!CI$6</x:f>
      </x:c>
      <x:c r="CJ31" s="121" t="n">
        <x:f>'Ставки'!CJ$6</x:f>
      </x:c>
      <x:c r="CK31" s="121" t="n">
        <x:f>'Ставки'!CK$6</x:f>
      </x:c>
      <x:c r="CL31" s="121" t="n">
        <x:f>'Ставки'!CL$6</x:f>
      </x:c>
      <x:c r="CM31" s="121" t="n">
        <x:f>'Ставки'!CM$6</x:f>
      </x:c>
      <x:c r="CN31" s="121" t="n">
        <x:f>'Ставки'!CN$6</x:f>
      </x:c>
      <x:c r="CO31" s="121" t="n">
        <x:f>'Ставки'!CO$6</x:f>
      </x:c>
      <x:c r="CP31" s="121" t="n">
        <x:f>'Ставки'!CP$6</x:f>
      </x:c>
      <x:c r="CQ31" s="121" t="n">
        <x:f>'Ставки'!CQ$6</x:f>
      </x:c>
      <x:c r="CR31" s="121" t="n">
        <x:f>'Ставки'!CR$6</x:f>
      </x:c>
      <x:c r="CS31" s="121" t="n">
        <x:f>'Ставки'!CS$6</x:f>
      </x:c>
      <x:c r="CT31" s="121" t="n">
        <x:f>'Ставки'!CT$6</x:f>
      </x:c>
      <x:c r="CU31" s="121" t="n">
        <x:f>'Ставки'!CU$6</x:f>
      </x:c>
      <x:c r="CV31" s="121" t="n">
        <x:f>'Ставки'!CV$6</x:f>
      </x:c>
      <x:c r="CW31" s="121" t="n">
        <x:f>'Ставки'!CW$6</x:f>
      </x:c>
      <x:c r="CX31" s="121" t="n">
        <x:f>'Ставки'!CX$6</x:f>
      </x:c>
      <x:c r="CY31" s="121" t="n">
        <x:f>'Ставки'!CY$6</x:f>
      </x:c>
      <x:c r="CZ31" s="121" t="n">
        <x:f>'Ставки'!CZ$6</x:f>
      </x:c>
      <x:c r="DA31" s="121" t="n">
        <x:f>'Ставки'!DA$6</x:f>
      </x:c>
      <x:c r="DB31" s="121" t="n">
        <x:f>'Ставки'!DB$6</x:f>
      </x:c>
      <x:c r="DC31" s="121" t="n">
        <x:f>'Ставки'!DC$6</x:f>
      </x:c>
      <x:c r="DD31" s="121" t="n">
        <x:f>'Ставки'!DD$6</x:f>
      </x:c>
      <x:c r="DE31" s="121" t="n">
        <x:f>'Ставки'!DE$6</x:f>
      </x:c>
      <x:c r="DF31" s="121" t="n">
        <x:f>'Ставки'!DF$6</x:f>
      </x:c>
      <x:c r="DG31" s="121" t="n">
        <x:f>'Ставки'!DG$6</x:f>
      </x:c>
      <x:c r="DH31" s="121" t="n">
        <x:f>'Ставки'!DH$6</x:f>
      </x:c>
      <x:c r="DI31" s="121" t="n">
        <x:f>'Ставки'!DI$6</x:f>
      </x:c>
      <x:c r="DJ31" s="121" t="n">
        <x:f>'Ставки'!DJ$6</x:f>
      </x:c>
      <x:c r="DK31" s="121" t="n">
        <x:f>'Ставки'!DK$6</x:f>
      </x:c>
      <x:c r="DL31" s="121" t="n">
        <x:f>'Ставки'!DL$6</x:f>
      </x:c>
      <x:c r="DM31" s="121" t="n">
        <x:f>'Ставки'!DM$6</x:f>
      </x:c>
      <x:c r="DN31" s="121" t="n">
        <x:f>'Ставки'!DN$6</x:f>
      </x:c>
      <x:c r="DO31" s="121" t="n">
        <x:f>'Ставки'!DO$6</x:f>
      </x:c>
      <x:c r="DP31" s="121" t="n">
        <x:f>'Ставки'!DP$6</x:f>
      </x:c>
      <x:c r="DQ31" s="121" t="n">
        <x:f>'Ставки'!DQ$6</x:f>
      </x:c>
      <x:c r="DR31" s="121" t="n">
        <x:f>'Ставки'!DR$6</x:f>
      </x:c>
      <x:c r="DS31" s="121" t="n">
        <x:f>'Ставки'!DS$6</x:f>
      </x:c>
      <x:c r="DT31" s="121" t="n">
        <x:f>'Ставки'!DT$6</x:f>
      </x:c>
      <x:c r="DU31" s="121" t="n">
        <x:f>'Ставки'!DU$6</x:f>
      </x:c>
      <x:c r="DV31" s="121" t="n">
        <x:f>'Ставки'!DV$6</x:f>
      </x:c>
      <x:c r="DW31" s="121" t="n">
        <x:f>'Ставки'!DW$6</x:f>
      </x:c>
      <x:c r="DX31" s="121" t="n">
        <x:f>'Ставки'!DX$6</x:f>
      </x:c>
      <x:c r="DY31" s="121" t="n">
        <x:f>'Ставки'!DY$6</x:f>
      </x:c>
      <x:c r="DZ31" s="121" t="n">
        <x:f>'Ставки'!DZ$6</x:f>
      </x:c>
      <x:c r="EA31" s="121" t="n">
        <x:f>'Ставки'!EA$6</x:f>
      </x:c>
      <x:c r="EB31" s="121" t="n">
        <x:f>'Ставки'!EB$6</x:f>
      </x:c>
      <x:c r="EC31" s="121" t="n">
        <x:f>'Ставки'!EC$6</x:f>
      </x:c>
      <x:c r="ED31" s="121" t="n">
        <x:f>'Ставки'!ED$6</x:f>
      </x:c>
      <x:c r="EE31" s="121" t="n">
        <x:f>'Ставки'!EE$6</x:f>
      </x:c>
      <x:c r="EF31" s="121" t="n">
        <x:f>'Ставки'!EF$6</x:f>
      </x:c>
      <x:c r="EG31" s="121" t="n">
        <x:f>'Ставки'!EG$6</x:f>
      </x:c>
      <x:c r="EH31" s="121" t="n">
        <x:f>'Ставки'!EH$6</x:f>
      </x:c>
      <x:c r="EI31" s="121" t="n">
        <x:f>'Ставки'!EI$6</x:f>
      </x:c>
      <x:c r="EJ31" s="121" t="n">
        <x:f>'Ставки'!EJ$6</x:f>
      </x:c>
      <x:c r="EK31" s="121" t="n">
        <x:f>'Ставки'!EK$6</x:f>
      </x:c>
      <x:c r="EL31" s="121" t="n">
        <x:f>'Ставки'!EL$6</x:f>
      </x:c>
      <x:c r="EM31" s="121" t="n">
        <x:f>'Ставки'!EM$6</x:f>
      </x:c>
      <x:c r="EN31" s="121" t="n">
        <x:f>'Ставки'!EN$6</x:f>
      </x:c>
      <x:c r="EO31" s="121" t="n">
        <x:f>'Ставки'!EO$6</x:f>
      </x:c>
      <x:c r="EP31" s="121" t="n">
        <x:f>'Ставки'!EP$6</x:f>
      </x:c>
      <x:c r="EQ31" s="121" t="n">
        <x:f>'Ставки'!EQ$6</x:f>
      </x:c>
      <x:c r="ER31" s="121" t="n">
        <x:f>'Ставки'!ER$6</x:f>
      </x:c>
      <x:c r="ES31" s="121" t="n">
        <x:f>'Ставки'!ES$6</x:f>
      </x:c>
      <x:c r="ET31" s="121" t="n">
        <x:f>'Ставки'!ET$6</x:f>
      </x:c>
      <x:c r="EU31" s="121" t="n">
        <x:f>'Ставки'!EU$6</x:f>
      </x:c>
      <x:c r="EV31" s="121" t="n">
        <x:f>'Ставки'!EV$6</x:f>
      </x:c>
      <x:c r="EW31" s="121" t="n">
        <x:f>'Ставки'!EW$6</x:f>
      </x:c>
      <x:c r="EX31" s="121" t="n">
        <x:f>'Ставки'!EX$6</x:f>
      </x:c>
      <x:c r="EY31" s="121" t="n">
        <x:f>'Ставки'!EY$6</x:f>
      </x:c>
      <x:c r="EZ31" s="121" t="n">
        <x:f>'Ставки'!EZ$6</x:f>
      </x:c>
      <x:c r="FA31" s="121" t="n">
        <x:f>'Ставки'!FA$6</x:f>
      </x:c>
      <x:c r="FB31" s="121" t="n">
        <x:f>'Ставки'!FB$6</x:f>
      </x:c>
      <x:c r="FC31" s="121" t="n">
        <x:f>'Ставки'!FC$6</x:f>
      </x:c>
      <x:c r="FD31" s="121" t="n">
        <x:f>'Ставки'!FD$6</x:f>
      </x:c>
      <x:c r="FE31" s="121" t="n">
        <x:f>'Ставки'!FE$6</x:f>
      </x:c>
      <x:c r="FF31" s="121" t="n">
        <x:f>'Ставки'!FF$6</x:f>
      </x:c>
      <x:c r="FG31" s="121" t="n">
        <x:f>'Ставки'!FG$6</x:f>
      </x:c>
      <x:c r="FH31" s="121" t="n">
        <x:f>'Ставки'!FH$6</x:f>
      </x:c>
      <x:c r="FI31" s="121" t="n">
        <x:f>'Ставки'!FI$6</x:f>
      </x:c>
      <x:c r="FJ31" s="121" t="n">
        <x:f>'Ставки'!FJ$6</x:f>
      </x:c>
      <x:c r="FK31" s="121" t="n">
        <x:f>'Ставки'!FK$6</x:f>
      </x:c>
      <x:c r="FL31" s="121" t="n">
        <x:f>'Ставки'!FL$6</x:f>
      </x:c>
      <x:c r="FM31" s="121" t="n">
        <x:f>'Ставки'!FM$6</x:f>
      </x:c>
      <x:c r="FN31" s="121" t="n">
        <x:f>'Ставки'!FN$6</x:f>
      </x:c>
      <x:c r="FO31" s="121" t="n">
        <x:f>'Ставки'!FO$6</x:f>
      </x:c>
      <x:c r="FP31" s="121" t="n">
        <x:f>'Ставки'!FP$6</x:f>
      </x:c>
      <x:c r="FQ31" s="121" t="n">
        <x:f>'Ставки'!FQ$6</x:f>
      </x:c>
      <x:c r="FR31" s="121" t="n">
        <x:f>'Ставки'!FR$6</x:f>
      </x:c>
      <x:c r="FS31" s="121" t="n">
        <x:f>'Ставки'!FS$6</x:f>
      </x:c>
      <x:c r="FT31" s="121" t="n">
        <x:f>'Ставки'!FT$6</x:f>
      </x:c>
      <x:c r="FU31" s="121" t="n">
        <x:f>'Ставки'!FU$6</x:f>
      </x:c>
      <x:c r="FV31" s="121" t="n">
        <x:f>'Ставки'!FV$6</x:f>
      </x:c>
      <x:c r="FW31" s="121" t="n">
        <x:f>'Ставки'!FW$6</x:f>
      </x:c>
      <x:c r="FX31" s="121" t="n">
        <x:f>'Ставки'!FX$6</x:f>
      </x:c>
      <x:c r="FY31" s="121" t="n">
        <x:f>'Ставки'!FY$6</x:f>
      </x:c>
      <x:c r="FZ31" s="121" t="n">
        <x:f>'Ставки'!FZ$6</x:f>
      </x:c>
      <x:c r="GA31" s="121" t="n">
        <x:f>'Ставки'!GA$6</x:f>
      </x:c>
    </x:row>
    <x:row r="32">
      <x:c r="A32" t="str">
        <x:v>БРИДЖ — проценты</x:v>
      </x:c>
      <x:c r="B32" t="n">
        <x:f>SUM(D32:GA32)</x:f>
      </x:c>
      <x:c r="C32" t="str">
        <x:v>млн ₽</x:v>
      </x:c>
      <x:c r="D32" s="117">
        <x:f>IF(AND(D$3&lt;$B$7,$B$5=1),(D30+D34)*D31/12,0)</x:f>
      </x:c>
      <x:c r="E32" s="117">
        <x:f>IF(AND(E$3&lt;$B$7,$B$5=1),(E30+E34)*E31/12,0)</x:f>
      </x:c>
      <x:c r="F32" s="117">
        <x:f>IF(AND(F$3&lt;$B$7,$B$5=1),(F30+F34)*F31/12,0)</x:f>
      </x:c>
      <x:c r="G32" s="117">
        <x:f>IF(AND(G$3&lt;$B$7,$B$5=1),(G30+G34)*G31/12,0)</x:f>
      </x:c>
      <x:c r="H32" s="117">
        <x:f>IF(AND(H$3&lt;$B$7,$B$5=1),(H30+H34)*H31/12,0)</x:f>
      </x:c>
      <x:c r="I32" s="117">
        <x:f>IF(AND(I$3&lt;$B$7,$B$5=1),(I30+I34)*I31/12,0)</x:f>
      </x:c>
      <x:c r="J32" s="117">
        <x:f>IF(AND(J$3&lt;$B$7,$B$5=1),(J30+J34)*J31/12,0)</x:f>
      </x:c>
      <x:c r="K32" s="117">
        <x:f>IF(AND(K$3&lt;$B$7,$B$5=1),(K30+K34)*K31/12,0)</x:f>
      </x:c>
      <x:c r="L32" s="117">
        <x:f>IF(AND(L$3&lt;$B$7,$B$5=1),(L30+L34)*L31/12,0)</x:f>
      </x:c>
      <x:c r="M32" s="117">
        <x:f>IF(AND(M$3&lt;$B$7,$B$5=1),(M30+M34)*M31/12,0)</x:f>
      </x:c>
      <x:c r="N32" s="117">
        <x:f>IF(AND(N$3&lt;$B$7,$B$5=1),(N30+N34)*N31/12,0)</x:f>
      </x:c>
      <x:c r="O32" s="117">
        <x:f>IF(AND(O$3&lt;$B$7,$B$5=1),(O30+O34)*O31/12,0)</x:f>
      </x:c>
      <x:c r="P32" s="117">
        <x:f>IF(AND(P$3&lt;$B$7,$B$5=1),(P30+P34)*P31/12,0)</x:f>
      </x:c>
      <x:c r="Q32" s="117">
        <x:f>IF(AND(Q$3&lt;$B$7,$B$5=1),(Q30+Q34)*Q31/12,0)</x:f>
      </x:c>
      <x:c r="R32" s="117">
        <x:f>IF(AND(R$3&lt;$B$7,$B$5=1),(R30+R34)*R31/12,0)</x:f>
      </x:c>
      <x:c r="S32" s="117">
        <x:f>IF(AND(S$3&lt;$B$7,$B$5=1),(S30+S34)*S31/12,0)</x:f>
      </x:c>
      <x:c r="T32" s="117">
        <x:f>IF(AND(T$3&lt;$B$7,$B$5=1),(T30+T34)*T31/12,0)</x:f>
      </x:c>
      <x:c r="U32" s="117">
        <x:f>IF(AND(U$3&lt;$B$7,$B$5=1),(U30+U34)*U31/12,0)</x:f>
      </x:c>
      <x:c r="V32" s="117">
        <x:f>IF(AND(V$3&lt;$B$7,$B$5=1),(V30+V34)*V31/12,0)</x:f>
      </x:c>
      <x:c r="W32" s="117">
        <x:f>IF(AND(W$3&lt;$B$7,$B$5=1),(W30+W34)*W31/12,0)</x:f>
      </x:c>
      <x:c r="X32" s="117">
        <x:f>IF(AND(X$3&lt;$B$7,$B$5=1),(X30+X34)*X31/12,0)</x:f>
      </x:c>
      <x:c r="Y32" s="117">
        <x:f>IF(AND(Y$3&lt;$B$7,$B$5=1),(Y30+Y34)*Y31/12,0)</x:f>
      </x:c>
      <x:c r="Z32" s="117">
        <x:f>IF(AND(Z$3&lt;$B$7,$B$5=1),(Z30+Z34)*Z31/12,0)</x:f>
      </x:c>
      <x:c r="AA32" s="117">
        <x:f>IF(AND(AA$3&lt;$B$7,$B$5=1),(AA30+AA34)*AA31/12,0)</x:f>
      </x:c>
      <x:c r="AB32" s="117">
        <x:f>IF(AND(AB$3&lt;$B$7,$B$5=1),(AB30+AB34)*AB31/12,0)</x:f>
      </x:c>
      <x:c r="AC32" s="117">
        <x:f>IF(AND(AC$3&lt;$B$7,$B$5=1),(AC30+AC34)*AC31/12,0)</x:f>
      </x:c>
      <x:c r="AD32" s="117">
        <x:f>IF(AND(AD$3&lt;$B$7,$B$5=1),(AD30+AD34)*AD31/12,0)</x:f>
      </x:c>
      <x:c r="AE32" s="117">
        <x:f>IF(AND(AE$3&lt;$B$7,$B$5=1),(AE30+AE34)*AE31/12,0)</x:f>
      </x:c>
      <x:c r="AF32" s="117">
        <x:f>IF(AND(AF$3&lt;$B$7,$B$5=1),(AF30+AF34)*AF31/12,0)</x:f>
      </x:c>
      <x:c r="AG32" s="117">
        <x:f>IF(AND(AG$3&lt;$B$7,$B$5=1),(AG30+AG34)*AG31/12,0)</x:f>
      </x:c>
      <x:c r="AH32" s="117">
        <x:f>IF(AND(AH$3&lt;$B$7,$B$5=1),(AH30+AH34)*AH31/12,0)</x:f>
      </x:c>
      <x:c r="AI32" s="117">
        <x:f>IF(AND(AI$3&lt;$B$7,$B$5=1),(AI30+AI34)*AI31/12,0)</x:f>
      </x:c>
      <x:c r="AJ32" s="117">
        <x:f>IF(AND(AJ$3&lt;$B$7,$B$5=1),(AJ30+AJ34)*AJ31/12,0)</x:f>
      </x:c>
      <x:c r="AK32" s="117">
        <x:f>IF(AND(AK$3&lt;$B$7,$B$5=1),(AK30+AK34)*AK31/12,0)</x:f>
      </x:c>
      <x:c r="AL32" s="117">
        <x:f>IF(AND(AL$3&lt;$B$7,$B$5=1),(AL30+AL34)*AL31/12,0)</x:f>
      </x:c>
      <x:c r="AM32" s="117">
        <x:f>IF(AND(AM$3&lt;$B$7,$B$5=1),(AM30+AM34)*AM31/12,0)</x:f>
      </x:c>
      <x:c r="AN32" s="117">
        <x:f>IF(AND(AN$3&lt;$B$7,$B$5=1),(AN30+AN34)*AN31/12,0)</x:f>
      </x:c>
      <x:c r="AO32" s="117">
        <x:f>IF(AND(AO$3&lt;$B$7,$B$5=1),(AO30+AO34)*AO31/12,0)</x:f>
      </x:c>
      <x:c r="AP32" s="117">
        <x:f>IF(AND(AP$3&lt;$B$7,$B$5=1),(AP30+AP34)*AP31/12,0)</x:f>
      </x:c>
      <x:c r="AQ32" s="117">
        <x:f>IF(AND(AQ$3&lt;$B$7,$B$5=1),(AQ30+AQ34)*AQ31/12,0)</x:f>
      </x:c>
      <x:c r="AR32" s="117">
        <x:f>IF(AND(AR$3&lt;$B$7,$B$5=1),(AR30+AR34)*AR31/12,0)</x:f>
      </x:c>
      <x:c r="AS32" s="117">
        <x:f>IF(AND(AS$3&lt;$B$7,$B$5=1),(AS30+AS34)*AS31/12,0)</x:f>
      </x:c>
      <x:c r="AT32" s="117">
        <x:f>IF(AND(AT$3&lt;$B$7,$B$5=1),(AT30+AT34)*AT31/12,0)</x:f>
      </x:c>
      <x:c r="AU32" s="117">
        <x:f>IF(AND(AU$3&lt;$B$7,$B$5=1),(AU30+AU34)*AU31/12,0)</x:f>
      </x:c>
      <x:c r="AV32" s="117">
        <x:f>IF(AND(AV$3&lt;$B$7,$B$5=1),(AV30+AV34)*AV31/12,0)</x:f>
      </x:c>
      <x:c r="AW32" s="117">
        <x:f>IF(AND(AW$3&lt;$B$7,$B$5=1),(AW30+AW34)*AW31/12,0)</x:f>
      </x:c>
      <x:c r="AX32" s="117">
        <x:f>IF(AND(AX$3&lt;$B$7,$B$5=1),(AX30+AX34)*AX31/12,0)</x:f>
      </x:c>
      <x:c r="AY32" s="117">
        <x:f>IF(AND(AY$3&lt;$B$7,$B$5=1),(AY30+AY34)*AY31/12,0)</x:f>
      </x:c>
      <x:c r="AZ32" s="117">
        <x:f>IF(AND(AZ$3&lt;$B$7,$B$5=1),(AZ30+AZ34)*AZ31/12,0)</x:f>
      </x:c>
      <x:c r="BA32" s="117">
        <x:f>IF(AND(BA$3&lt;$B$7,$B$5=1),(BA30+BA34)*BA31/12,0)</x:f>
      </x:c>
      <x:c r="BB32" s="117">
        <x:f>IF(AND(BB$3&lt;$B$7,$B$5=1),(BB30+BB34)*BB31/12,0)</x:f>
      </x:c>
      <x:c r="BC32" s="117">
        <x:f>IF(AND(BC$3&lt;$B$7,$B$5=1),(BC30+BC34)*BC31/12,0)</x:f>
      </x:c>
      <x:c r="BD32" s="117">
        <x:f>IF(AND(BD$3&lt;$B$7,$B$5=1),(BD30+BD34)*BD31/12,0)</x:f>
      </x:c>
      <x:c r="BE32" s="117">
        <x:f>IF(AND(BE$3&lt;$B$7,$B$5=1),(BE30+BE34)*BE31/12,0)</x:f>
      </x:c>
      <x:c r="BF32" s="117">
        <x:f>IF(AND(BF$3&lt;$B$7,$B$5=1),(BF30+BF34)*BF31/12,0)</x:f>
      </x:c>
      <x:c r="BG32" s="117">
        <x:f>IF(AND(BG$3&lt;$B$7,$B$5=1),(BG30+BG34)*BG31/12,0)</x:f>
      </x:c>
      <x:c r="BH32" s="117">
        <x:f>IF(AND(BH$3&lt;$B$7,$B$5=1),(BH30+BH34)*BH31/12,0)</x:f>
      </x:c>
      <x:c r="BI32" s="117">
        <x:f>IF(AND(BI$3&lt;$B$7,$B$5=1),(BI30+BI34)*BI31/12,0)</x:f>
      </x:c>
      <x:c r="BJ32" s="117">
        <x:f>IF(AND(BJ$3&lt;$B$7,$B$5=1),(BJ30+BJ34)*BJ31/12,0)</x:f>
      </x:c>
      <x:c r="BK32" s="117">
        <x:f>IF(AND(BK$3&lt;$B$7,$B$5=1),(BK30+BK34)*BK31/12,0)</x:f>
      </x:c>
      <x:c r="BL32" s="117">
        <x:f>IF(AND(BL$3&lt;$B$7,$B$5=1),(BL30+BL34)*BL31/12,0)</x:f>
      </x:c>
      <x:c r="BM32" s="117">
        <x:f>IF(AND(BM$3&lt;$B$7,$B$5=1),(BM30+BM34)*BM31/12,0)</x:f>
      </x:c>
      <x:c r="BN32" s="117">
        <x:f>IF(AND(BN$3&lt;$B$7,$B$5=1),(BN30+BN34)*BN31/12,0)</x:f>
      </x:c>
      <x:c r="BO32" s="117">
        <x:f>IF(AND(BO$3&lt;$B$7,$B$5=1),(BO30+BO34)*BO31/12,0)</x:f>
      </x:c>
      <x:c r="BP32" s="117">
        <x:f>IF(AND(BP$3&lt;$B$7,$B$5=1),(BP30+BP34)*BP31/12,0)</x:f>
      </x:c>
      <x:c r="BQ32" s="117">
        <x:f>IF(AND(BQ$3&lt;$B$7,$B$5=1),(BQ30+BQ34)*BQ31/12,0)</x:f>
      </x:c>
      <x:c r="BR32" s="117">
        <x:f>IF(AND(BR$3&lt;$B$7,$B$5=1),(BR30+BR34)*BR31/12,0)</x:f>
      </x:c>
      <x:c r="BS32" s="117">
        <x:f>IF(AND(BS$3&lt;$B$7,$B$5=1),(BS30+BS34)*BS31/12,0)</x:f>
      </x:c>
      <x:c r="BT32" s="117">
        <x:f>IF(AND(BT$3&lt;$B$7,$B$5=1),(BT30+BT34)*BT31/12,0)</x:f>
      </x:c>
      <x:c r="BU32" s="117">
        <x:f>IF(AND(BU$3&lt;$B$7,$B$5=1),(BU30+BU34)*BU31/12,0)</x:f>
      </x:c>
      <x:c r="BV32" s="117">
        <x:f>IF(AND(BV$3&lt;$B$7,$B$5=1),(BV30+BV34)*BV31/12,0)</x:f>
      </x:c>
      <x:c r="BW32" s="117">
        <x:f>IF(AND(BW$3&lt;$B$7,$B$5=1),(BW30+BW34)*BW31/12,0)</x:f>
      </x:c>
      <x:c r="BX32" s="117">
        <x:f>IF(AND(BX$3&lt;$B$7,$B$5=1),(BX30+BX34)*BX31/12,0)</x:f>
      </x:c>
      <x:c r="BY32" s="117">
        <x:f>IF(AND(BY$3&lt;$B$7,$B$5=1),(BY30+BY34)*BY31/12,0)</x:f>
      </x:c>
      <x:c r="BZ32" s="117">
        <x:f>IF(AND(BZ$3&lt;$B$7,$B$5=1),(BZ30+BZ34)*BZ31/12,0)</x:f>
      </x:c>
      <x:c r="CA32" s="117">
        <x:f>IF(AND(CA$3&lt;$B$7,$B$5=1),(CA30+CA34)*CA31/12,0)</x:f>
      </x:c>
      <x:c r="CB32" s="117">
        <x:f>IF(AND(CB$3&lt;$B$7,$B$5=1),(CB30+CB34)*CB31/12,0)</x:f>
      </x:c>
      <x:c r="CC32" s="117">
        <x:f>IF(AND(CC$3&lt;$B$7,$B$5=1),(CC30+CC34)*CC31/12,0)</x:f>
      </x:c>
      <x:c r="CD32" s="117">
        <x:f>IF(AND(CD$3&lt;$B$7,$B$5=1),(CD30+CD34)*CD31/12,0)</x:f>
      </x:c>
      <x:c r="CE32" s="117">
        <x:f>IF(AND(CE$3&lt;$B$7,$B$5=1),(CE30+CE34)*CE31/12,0)</x:f>
      </x:c>
      <x:c r="CF32" s="117">
        <x:f>IF(AND(CF$3&lt;$B$7,$B$5=1),(CF30+CF34)*CF31/12,0)</x:f>
      </x:c>
      <x:c r="CG32" s="117">
        <x:f>IF(AND(CG$3&lt;$B$7,$B$5=1),(CG30+CG34)*CG31/12,0)</x:f>
      </x:c>
      <x:c r="CH32" s="117">
        <x:f>IF(AND(CH$3&lt;$B$7,$B$5=1),(CH30+CH34)*CH31/12,0)</x:f>
      </x:c>
      <x:c r="CI32" s="117">
        <x:f>IF(AND(CI$3&lt;$B$7,$B$5=1),(CI30+CI34)*CI31/12,0)</x:f>
      </x:c>
      <x:c r="CJ32" s="117">
        <x:f>IF(AND(CJ$3&lt;$B$7,$B$5=1),(CJ30+CJ34)*CJ31/12,0)</x:f>
      </x:c>
      <x:c r="CK32" s="117">
        <x:f>IF(AND(CK$3&lt;$B$7,$B$5=1),(CK30+CK34)*CK31/12,0)</x:f>
      </x:c>
      <x:c r="CL32" s="117">
        <x:f>IF(AND(CL$3&lt;$B$7,$B$5=1),(CL30+CL34)*CL31/12,0)</x:f>
      </x:c>
      <x:c r="CM32" s="117">
        <x:f>IF(AND(CM$3&lt;$B$7,$B$5=1),(CM30+CM34)*CM31/12,0)</x:f>
      </x:c>
      <x:c r="CN32" s="117">
        <x:f>IF(AND(CN$3&lt;$B$7,$B$5=1),(CN30+CN34)*CN31/12,0)</x:f>
      </x:c>
      <x:c r="CO32" s="117">
        <x:f>IF(AND(CO$3&lt;$B$7,$B$5=1),(CO30+CO34)*CO31/12,0)</x:f>
      </x:c>
      <x:c r="CP32" s="117">
        <x:f>IF(AND(CP$3&lt;$B$7,$B$5=1),(CP30+CP34)*CP31/12,0)</x:f>
      </x:c>
      <x:c r="CQ32" s="117">
        <x:f>IF(AND(CQ$3&lt;$B$7,$B$5=1),(CQ30+CQ34)*CQ31/12,0)</x:f>
      </x:c>
      <x:c r="CR32" s="117">
        <x:f>IF(AND(CR$3&lt;$B$7,$B$5=1),(CR30+CR34)*CR31/12,0)</x:f>
      </x:c>
      <x:c r="CS32" s="117">
        <x:f>IF(AND(CS$3&lt;$B$7,$B$5=1),(CS30+CS34)*CS31/12,0)</x:f>
      </x:c>
      <x:c r="CT32" s="117">
        <x:f>IF(AND(CT$3&lt;$B$7,$B$5=1),(CT30+CT34)*CT31/12,0)</x:f>
      </x:c>
      <x:c r="CU32" s="117">
        <x:f>IF(AND(CU$3&lt;$B$7,$B$5=1),(CU30+CU34)*CU31/12,0)</x:f>
      </x:c>
      <x:c r="CV32" s="117">
        <x:f>IF(AND(CV$3&lt;$B$7,$B$5=1),(CV30+CV34)*CV31/12,0)</x:f>
      </x:c>
      <x:c r="CW32" s="117">
        <x:f>IF(AND(CW$3&lt;$B$7,$B$5=1),(CW30+CW34)*CW31/12,0)</x:f>
      </x:c>
      <x:c r="CX32" s="117">
        <x:f>IF(AND(CX$3&lt;$B$7,$B$5=1),(CX30+CX34)*CX31/12,0)</x:f>
      </x:c>
      <x:c r="CY32" s="117">
        <x:f>IF(AND(CY$3&lt;$B$7,$B$5=1),(CY30+CY34)*CY31/12,0)</x:f>
      </x:c>
      <x:c r="CZ32" s="117">
        <x:f>IF(AND(CZ$3&lt;$B$7,$B$5=1),(CZ30+CZ34)*CZ31/12,0)</x:f>
      </x:c>
      <x:c r="DA32" s="117">
        <x:f>IF(AND(DA$3&lt;$B$7,$B$5=1),(DA30+DA34)*DA31/12,0)</x:f>
      </x:c>
      <x:c r="DB32" s="117">
        <x:f>IF(AND(DB$3&lt;$B$7,$B$5=1),(DB30+DB34)*DB31/12,0)</x:f>
      </x:c>
      <x:c r="DC32" s="117">
        <x:f>IF(AND(DC$3&lt;$B$7,$B$5=1),(DC30+DC34)*DC31/12,0)</x:f>
      </x:c>
      <x:c r="DD32" s="117">
        <x:f>IF(AND(DD$3&lt;$B$7,$B$5=1),(DD30+DD34)*DD31/12,0)</x:f>
      </x:c>
      <x:c r="DE32" s="117">
        <x:f>IF(AND(DE$3&lt;$B$7,$B$5=1),(DE30+DE34)*DE31/12,0)</x:f>
      </x:c>
      <x:c r="DF32" s="117">
        <x:f>IF(AND(DF$3&lt;$B$7,$B$5=1),(DF30+DF34)*DF31/12,0)</x:f>
      </x:c>
      <x:c r="DG32" s="117">
        <x:f>IF(AND(DG$3&lt;$B$7,$B$5=1),(DG30+DG34)*DG31/12,0)</x:f>
      </x:c>
      <x:c r="DH32" s="117">
        <x:f>IF(AND(DH$3&lt;$B$7,$B$5=1),(DH30+DH34)*DH31/12,0)</x:f>
      </x:c>
      <x:c r="DI32" s="117">
        <x:f>IF(AND(DI$3&lt;$B$7,$B$5=1),(DI30+DI34)*DI31/12,0)</x:f>
      </x:c>
      <x:c r="DJ32" s="117">
        <x:f>IF(AND(DJ$3&lt;$B$7,$B$5=1),(DJ30+DJ34)*DJ31/12,0)</x:f>
      </x:c>
      <x:c r="DK32" s="117">
        <x:f>IF(AND(DK$3&lt;$B$7,$B$5=1),(DK30+DK34)*DK31/12,0)</x:f>
      </x:c>
      <x:c r="DL32" s="117">
        <x:f>IF(AND(DL$3&lt;$B$7,$B$5=1),(DL30+DL34)*DL31/12,0)</x:f>
      </x:c>
      <x:c r="DM32" s="117">
        <x:f>IF(AND(DM$3&lt;$B$7,$B$5=1),(DM30+DM34)*DM31/12,0)</x:f>
      </x:c>
      <x:c r="DN32" s="117">
        <x:f>IF(AND(DN$3&lt;$B$7,$B$5=1),(DN30+DN34)*DN31/12,0)</x:f>
      </x:c>
      <x:c r="DO32" s="117">
        <x:f>IF(AND(DO$3&lt;$B$7,$B$5=1),(DO30+DO34)*DO31/12,0)</x:f>
      </x:c>
      <x:c r="DP32" s="117">
        <x:f>IF(AND(DP$3&lt;$B$7,$B$5=1),(DP30+DP34)*DP31/12,0)</x:f>
      </x:c>
      <x:c r="DQ32" s="117">
        <x:f>IF(AND(DQ$3&lt;$B$7,$B$5=1),(DQ30+DQ34)*DQ31/12,0)</x:f>
      </x:c>
      <x:c r="DR32" s="117">
        <x:f>IF(AND(DR$3&lt;$B$7,$B$5=1),(DR30+DR34)*DR31/12,0)</x:f>
      </x:c>
      <x:c r="DS32" s="117">
        <x:f>IF(AND(DS$3&lt;$B$7,$B$5=1),(DS30+DS34)*DS31/12,0)</x:f>
      </x:c>
      <x:c r="DT32" s="117">
        <x:f>IF(AND(DT$3&lt;$B$7,$B$5=1),(DT30+DT34)*DT31/12,0)</x:f>
      </x:c>
      <x:c r="DU32" s="117">
        <x:f>IF(AND(DU$3&lt;$B$7,$B$5=1),(DU30+DU34)*DU31/12,0)</x:f>
      </x:c>
      <x:c r="DV32" s="117">
        <x:f>IF(AND(DV$3&lt;$B$7,$B$5=1),(DV30+DV34)*DV31/12,0)</x:f>
      </x:c>
      <x:c r="DW32" s="117">
        <x:f>IF(AND(DW$3&lt;$B$7,$B$5=1),(DW30+DW34)*DW31/12,0)</x:f>
      </x:c>
      <x:c r="DX32" s="117">
        <x:f>IF(AND(DX$3&lt;$B$7,$B$5=1),(DX30+DX34)*DX31/12,0)</x:f>
      </x:c>
      <x:c r="DY32" s="117">
        <x:f>IF(AND(DY$3&lt;$B$7,$B$5=1),(DY30+DY34)*DY31/12,0)</x:f>
      </x:c>
      <x:c r="DZ32" s="117">
        <x:f>IF(AND(DZ$3&lt;$B$7,$B$5=1),(DZ30+DZ34)*DZ31/12,0)</x:f>
      </x:c>
      <x:c r="EA32" s="117">
        <x:f>IF(AND(EA$3&lt;$B$7,$B$5=1),(EA30+EA34)*EA31/12,0)</x:f>
      </x:c>
      <x:c r="EB32" s="117">
        <x:f>IF(AND(EB$3&lt;$B$7,$B$5=1),(EB30+EB34)*EB31/12,0)</x:f>
      </x:c>
      <x:c r="EC32" s="117">
        <x:f>IF(AND(EC$3&lt;$B$7,$B$5=1),(EC30+EC34)*EC31/12,0)</x:f>
      </x:c>
      <x:c r="ED32" s="117">
        <x:f>IF(AND(ED$3&lt;$B$7,$B$5=1),(ED30+ED34)*ED31/12,0)</x:f>
      </x:c>
      <x:c r="EE32" s="117">
        <x:f>IF(AND(EE$3&lt;$B$7,$B$5=1),(EE30+EE34)*EE31/12,0)</x:f>
      </x:c>
      <x:c r="EF32" s="117">
        <x:f>IF(AND(EF$3&lt;$B$7,$B$5=1),(EF30+EF34)*EF31/12,0)</x:f>
      </x:c>
      <x:c r="EG32" s="117">
        <x:f>IF(AND(EG$3&lt;$B$7,$B$5=1),(EG30+EG34)*EG31/12,0)</x:f>
      </x:c>
      <x:c r="EH32" s="117">
        <x:f>IF(AND(EH$3&lt;$B$7,$B$5=1),(EH30+EH34)*EH31/12,0)</x:f>
      </x:c>
      <x:c r="EI32" s="117">
        <x:f>IF(AND(EI$3&lt;$B$7,$B$5=1),(EI30+EI34)*EI31/12,0)</x:f>
      </x:c>
      <x:c r="EJ32" s="117">
        <x:f>IF(AND(EJ$3&lt;$B$7,$B$5=1),(EJ30+EJ34)*EJ31/12,0)</x:f>
      </x:c>
      <x:c r="EK32" s="117">
        <x:f>IF(AND(EK$3&lt;$B$7,$B$5=1),(EK30+EK34)*EK31/12,0)</x:f>
      </x:c>
      <x:c r="EL32" s="117">
        <x:f>IF(AND(EL$3&lt;$B$7,$B$5=1),(EL30+EL34)*EL31/12,0)</x:f>
      </x:c>
      <x:c r="EM32" s="117">
        <x:f>IF(AND(EM$3&lt;$B$7,$B$5=1),(EM30+EM34)*EM31/12,0)</x:f>
      </x:c>
      <x:c r="EN32" s="117">
        <x:f>IF(AND(EN$3&lt;$B$7,$B$5=1),(EN30+EN34)*EN31/12,0)</x:f>
      </x:c>
      <x:c r="EO32" s="117">
        <x:f>IF(AND(EO$3&lt;$B$7,$B$5=1),(EO30+EO34)*EO31/12,0)</x:f>
      </x:c>
      <x:c r="EP32" s="117">
        <x:f>IF(AND(EP$3&lt;$B$7,$B$5=1),(EP30+EP34)*EP31/12,0)</x:f>
      </x:c>
      <x:c r="EQ32" s="117">
        <x:f>IF(AND(EQ$3&lt;$B$7,$B$5=1),(EQ30+EQ34)*EQ31/12,0)</x:f>
      </x:c>
      <x:c r="ER32" s="117">
        <x:f>IF(AND(ER$3&lt;$B$7,$B$5=1),(ER30+ER34)*ER31/12,0)</x:f>
      </x:c>
      <x:c r="ES32" s="117">
        <x:f>IF(AND(ES$3&lt;$B$7,$B$5=1),(ES30+ES34)*ES31/12,0)</x:f>
      </x:c>
      <x:c r="ET32" s="117">
        <x:f>IF(AND(ET$3&lt;$B$7,$B$5=1),(ET30+ET34)*ET31/12,0)</x:f>
      </x:c>
      <x:c r="EU32" s="117">
        <x:f>IF(AND(EU$3&lt;$B$7,$B$5=1),(EU30+EU34)*EU31/12,0)</x:f>
      </x:c>
      <x:c r="EV32" s="117">
        <x:f>IF(AND(EV$3&lt;$B$7,$B$5=1),(EV30+EV34)*EV31/12,0)</x:f>
      </x:c>
      <x:c r="EW32" s="117">
        <x:f>IF(AND(EW$3&lt;$B$7,$B$5=1),(EW30+EW34)*EW31/12,0)</x:f>
      </x:c>
      <x:c r="EX32" s="117">
        <x:f>IF(AND(EX$3&lt;$B$7,$B$5=1),(EX30+EX34)*EX31/12,0)</x:f>
      </x:c>
      <x:c r="EY32" s="117">
        <x:f>IF(AND(EY$3&lt;$B$7,$B$5=1),(EY30+EY34)*EY31/12,0)</x:f>
      </x:c>
      <x:c r="EZ32" s="117">
        <x:f>IF(AND(EZ$3&lt;$B$7,$B$5=1),(EZ30+EZ34)*EZ31/12,0)</x:f>
      </x:c>
      <x:c r="FA32" s="117">
        <x:f>IF(AND(FA$3&lt;$B$7,$B$5=1),(FA30+FA34)*FA31/12,0)</x:f>
      </x:c>
      <x:c r="FB32" s="117">
        <x:f>IF(AND(FB$3&lt;$B$7,$B$5=1),(FB30+FB34)*FB31/12,0)</x:f>
      </x:c>
      <x:c r="FC32" s="117">
        <x:f>IF(AND(FC$3&lt;$B$7,$B$5=1),(FC30+FC34)*FC31/12,0)</x:f>
      </x:c>
      <x:c r="FD32" s="117">
        <x:f>IF(AND(FD$3&lt;$B$7,$B$5=1),(FD30+FD34)*FD31/12,0)</x:f>
      </x:c>
      <x:c r="FE32" s="117">
        <x:f>IF(AND(FE$3&lt;$B$7,$B$5=1),(FE30+FE34)*FE31/12,0)</x:f>
      </x:c>
      <x:c r="FF32" s="117">
        <x:f>IF(AND(FF$3&lt;$B$7,$B$5=1),(FF30+FF34)*FF31/12,0)</x:f>
      </x:c>
      <x:c r="FG32" s="117">
        <x:f>IF(AND(FG$3&lt;$B$7,$B$5=1),(FG30+FG34)*FG31/12,0)</x:f>
      </x:c>
      <x:c r="FH32" s="117">
        <x:f>IF(AND(FH$3&lt;$B$7,$B$5=1),(FH30+FH34)*FH31/12,0)</x:f>
      </x:c>
      <x:c r="FI32" s="117">
        <x:f>IF(AND(FI$3&lt;$B$7,$B$5=1),(FI30+FI34)*FI31/12,0)</x:f>
      </x:c>
      <x:c r="FJ32" s="117">
        <x:f>IF(AND(FJ$3&lt;$B$7,$B$5=1),(FJ30+FJ34)*FJ31/12,0)</x:f>
      </x:c>
      <x:c r="FK32" s="117">
        <x:f>IF(AND(FK$3&lt;$B$7,$B$5=1),(FK30+FK34)*FK31/12,0)</x:f>
      </x:c>
      <x:c r="FL32" s="117">
        <x:f>IF(AND(FL$3&lt;$B$7,$B$5=1),(FL30+FL34)*FL31/12,0)</x:f>
      </x:c>
      <x:c r="FM32" s="117">
        <x:f>IF(AND(FM$3&lt;$B$7,$B$5=1),(FM30+FM34)*FM31/12,0)</x:f>
      </x:c>
      <x:c r="FN32" s="117">
        <x:f>IF(AND(FN$3&lt;$B$7,$B$5=1),(FN30+FN34)*FN31/12,0)</x:f>
      </x:c>
      <x:c r="FO32" s="117">
        <x:f>IF(AND(FO$3&lt;$B$7,$B$5=1),(FO30+FO34)*FO31/12,0)</x:f>
      </x:c>
      <x:c r="FP32" s="117">
        <x:f>IF(AND(FP$3&lt;$B$7,$B$5=1),(FP30+FP34)*FP31/12,0)</x:f>
      </x:c>
      <x:c r="FQ32" s="117">
        <x:f>IF(AND(FQ$3&lt;$B$7,$B$5=1),(FQ30+FQ34)*FQ31/12,0)</x:f>
      </x:c>
      <x:c r="FR32" s="117">
        <x:f>IF(AND(FR$3&lt;$B$7,$B$5=1),(FR30+FR34)*FR31/12,0)</x:f>
      </x:c>
      <x:c r="FS32" s="117">
        <x:f>IF(AND(FS$3&lt;$B$7,$B$5=1),(FS30+FS34)*FS31/12,0)</x:f>
      </x:c>
      <x:c r="FT32" s="117">
        <x:f>IF(AND(FT$3&lt;$B$7,$B$5=1),(FT30+FT34)*FT31/12,0)</x:f>
      </x:c>
      <x:c r="FU32" s="117">
        <x:f>IF(AND(FU$3&lt;$B$7,$B$5=1),(FU30+FU34)*FU31/12,0)</x:f>
      </x:c>
      <x:c r="FV32" s="117">
        <x:f>IF(AND(FV$3&lt;$B$7,$B$5=1),(FV30+FV34)*FV31/12,0)</x:f>
      </x:c>
      <x:c r="FW32" s="117">
        <x:f>IF(AND(FW$3&lt;$B$7,$B$5=1),(FW30+FW34)*FW31/12,0)</x:f>
      </x:c>
      <x:c r="FX32" s="117">
        <x:f>IF(AND(FX$3&lt;$B$7,$B$5=1),(FX30+FX34)*FX31/12,0)</x:f>
      </x:c>
      <x:c r="FY32" s="117">
        <x:f>IF(AND(FY$3&lt;$B$7,$B$5=1),(FY30+FY34)*FY31/12,0)</x:f>
      </x:c>
      <x:c r="FZ32" s="117">
        <x:f>IF(AND(FZ$3&lt;$B$7,$B$5=1),(FZ30+FZ34)*FZ31/12,0)</x:f>
      </x:c>
      <x:c r="GA32" s="117">
        <x:f>IF(AND(GA$3&lt;$B$7,$B$5=1),(GA30+GA34)*GA31/12,0)</x:f>
      </x:c>
    </x:row>
    <x:row r="33">
      <x:c r="A33" t="str">
        <x:v>БРИДЖ — потребность</x:v>
      </x:c>
      <x:c r="B33"/>
      <x:c r="C33" t="str">
        <x:v>млн ₽</x:v>
      </x:c>
      <x:c r="D33" s="117">
        <x:f>IF(D$3&lt;$B$7,MAX(0,D20+D24-D27),0)</x:f>
      </x:c>
      <x:c r="E33" s="117">
        <x:f>IF(E$3&lt;$B$7,MAX(0,E20+E24-E27),0)</x:f>
      </x:c>
      <x:c r="F33" s="117">
        <x:f>IF(F$3&lt;$B$7,MAX(0,F20+F24-F27),0)</x:f>
      </x:c>
      <x:c r="G33" s="117">
        <x:f>IF(G$3&lt;$B$7,MAX(0,G20+G24-G27),0)</x:f>
      </x:c>
      <x:c r="H33" s="117">
        <x:f>IF(H$3&lt;$B$7,MAX(0,H20+H24-H27),0)</x:f>
      </x:c>
      <x:c r="I33" s="117">
        <x:f>IF(I$3&lt;$B$7,MAX(0,I20+I24-I27),0)</x:f>
      </x:c>
      <x:c r="J33" s="117">
        <x:f>IF(J$3&lt;$B$7,MAX(0,J20+J24-J27),0)</x:f>
      </x:c>
      <x:c r="K33" s="117">
        <x:f>IF(K$3&lt;$B$7,MAX(0,K20+K24-K27),0)</x:f>
      </x:c>
      <x:c r="L33" s="117">
        <x:f>IF(L$3&lt;$B$7,MAX(0,L20+L24-L27),0)</x:f>
      </x:c>
      <x:c r="M33" s="117">
        <x:f>IF(M$3&lt;$B$7,MAX(0,M20+M24-M27),0)</x:f>
      </x:c>
      <x:c r="N33" s="117">
        <x:f>IF(N$3&lt;$B$7,MAX(0,N20+N24-N27),0)</x:f>
      </x:c>
      <x:c r="O33" s="117">
        <x:f>IF(O$3&lt;$B$7,MAX(0,O20+O24-O27),0)</x:f>
      </x:c>
      <x:c r="P33" s="117">
        <x:f>IF(P$3&lt;$B$7,MAX(0,P20+P24-P27),0)</x:f>
      </x:c>
      <x:c r="Q33" s="117">
        <x:f>IF(Q$3&lt;$B$7,MAX(0,Q20+Q24-Q27),0)</x:f>
      </x:c>
      <x:c r="R33" s="117">
        <x:f>IF(R$3&lt;$B$7,MAX(0,R20+R24-R27),0)</x:f>
      </x:c>
      <x:c r="S33" s="117">
        <x:f>IF(S$3&lt;$B$7,MAX(0,S20+S24-S27),0)</x:f>
      </x:c>
      <x:c r="T33" s="117">
        <x:f>IF(T$3&lt;$B$7,MAX(0,T20+T24-T27),0)</x:f>
      </x:c>
      <x:c r="U33" s="117">
        <x:f>IF(U$3&lt;$B$7,MAX(0,U20+U24-U27),0)</x:f>
      </x:c>
      <x:c r="V33" s="117">
        <x:f>IF(V$3&lt;$B$7,MAX(0,V20+V24-V27),0)</x:f>
      </x:c>
      <x:c r="W33" s="117">
        <x:f>IF(W$3&lt;$B$7,MAX(0,W20+W24-W27),0)</x:f>
      </x:c>
      <x:c r="X33" s="117">
        <x:f>IF(X$3&lt;$B$7,MAX(0,X20+X24-X27),0)</x:f>
      </x:c>
      <x:c r="Y33" s="117">
        <x:f>IF(Y$3&lt;$B$7,MAX(0,Y20+Y24-Y27),0)</x:f>
      </x:c>
      <x:c r="Z33" s="117">
        <x:f>IF(Z$3&lt;$B$7,MAX(0,Z20+Z24-Z27),0)</x:f>
      </x:c>
      <x:c r="AA33" s="117">
        <x:f>IF(AA$3&lt;$B$7,MAX(0,AA20+AA24-AA27),0)</x:f>
      </x:c>
      <x:c r="AB33" s="117">
        <x:f>IF(AB$3&lt;$B$7,MAX(0,AB20+AB24-AB27),0)</x:f>
      </x:c>
      <x:c r="AC33" s="117">
        <x:f>IF(AC$3&lt;$B$7,MAX(0,AC20+AC24-AC27),0)</x:f>
      </x:c>
      <x:c r="AD33" s="117">
        <x:f>IF(AD$3&lt;$B$7,MAX(0,AD20+AD24-AD27),0)</x:f>
      </x:c>
      <x:c r="AE33" s="117">
        <x:f>IF(AE$3&lt;$B$7,MAX(0,AE20+AE24-AE27),0)</x:f>
      </x:c>
      <x:c r="AF33" s="117">
        <x:f>IF(AF$3&lt;$B$7,MAX(0,AF20+AF24-AF27),0)</x:f>
      </x:c>
      <x:c r="AG33" s="117">
        <x:f>IF(AG$3&lt;$B$7,MAX(0,AG20+AG24-AG27),0)</x:f>
      </x:c>
      <x:c r="AH33" s="117">
        <x:f>IF(AH$3&lt;$B$7,MAX(0,AH20+AH24-AH27),0)</x:f>
      </x:c>
      <x:c r="AI33" s="117">
        <x:f>IF(AI$3&lt;$B$7,MAX(0,AI20+AI24-AI27),0)</x:f>
      </x:c>
      <x:c r="AJ33" s="117">
        <x:f>IF(AJ$3&lt;$B$7,MAX(0,AJ20+AJ24-AJ27),0)</x:f>
      </x:c>
      <x:c r="AK33" s="117">
        <x:f>IF(AK$3&lt;$B$7,MAX(0,AK20+AK24-AK27),0)</x:f>
      </x:c>
      <x:c r="AL33" s="117">
        <x:f>IF(AL$3&lt;$B$7,MAX(0,AL20+AL24-AL27),0)</x:f>
      </x:c>
      <x:c r="AM33" s="117">
        <x:f>IF(AM$3&lt;$B$7,MAX(0,AM20+AM24-AM27),0)</x:f>
      </x:c>
      <x:c r="AN33" s="117">
        <x:f>IF(AN$3&lt;$B$7,MAX(0,AN20+AN24-AN27),0)</x:f>
      </x:c>
      <x:c r="AO33" s="117">
        <x:f>IF(AO$3&lt;$B$7,MAX(0,AO20+AO24-AO27),0)</x:f>
      </x:c>
      <x:c r="AP33" s="117">
        <x:f>IF(AP$3&lt;$B$7,MAX(0,AP20+AP24-AP27),0)</x:f>
      </x:c>
      <x:c r="AQ33" s="117">
        <x:f>IF(AQ$3&lt;$B$7,MAX(0,AQ20+AQ24-AQ27),0)</x:f>
      </x:c>
      <x:c r="AR33" s="117">
        <x:f>IF(AR$3&lt;$B$7,MAX(0,AR20+AR24-AR27),0)</x:f>
      </x:c>
      <x:c r="AS33" s="117">
        <x:f>IF(AS$3&lt;$B$7,MAX(0,AS20+AS24-AS27),0)</x:f>
      </x:c>
      <x:c r="AT33" s="117">
        <x:f>IF(AT$3&lt;$B$7,MAX(0,AT20+AT24-AT27),0)</x:f>
      </x:c>
      <x:c r="AU33" s="117">
        <x:f>IF(AU$3&lt;$B$7,MAX(0,AU20+AU24-AU27),0)</x:f>
      </x:c>
      <x:c r="AV33" s="117">
        <x:f>IF(AV$3&lt;$B$7,MAX(0,AV20+AV24-AV27),0)</x:f>
      </x:c>
      <x:c r="AW33" s="117">
        <x:f>IF(AW$3&lt;$B$7,MAX(0,AW20+AW24-AW27),0)</x:f>
      </x:c>
      <x:c r="AX33" s="117">
        <x:f>IF(AX$3&lt;$B$7,MAX(0,AX20+AX24-AX27),0)</x:f>
      </x:c>
      <x:c r="AY33" s="117">
        <x:f>IF(AY$3&lt;$B$7,MAX(0,AY20+AY24-AY27),0)</x:f>
      </x:c>
      <x:c r="AZ33" s="117">
        <x:f>IF(AZ$3&lt;$B$7,MAX(0,AZ20+AZ24-AZ27),0)</x:f>
      </x:c>
      <x:c r="BA33" s="117">
        <x:f>IF(BA$3&lt;$B$7,MAX(0,BA20+BA24-BA27),0)</x:f>
      </x:c>
      <x:c r="BB33" s="117">
        <x:f>IF(BB$3&lt;$B$7,MAX(0,BB20+BB24-BB27),0)</x:f>
      </x:c>
      <x:c r="BC33" s="117">
        <x:f>IF(BC$3&lt;$B$7,MAX(0,BC20+BC24-BC27),0)</x:f>
      </x:c>
      <x:c r="BD33" s="117">
        <x:f>IF(BD$3&lt;$B$7,MAX(0,BD20+BD24-BD27),0)</x:f>
      </x:c>
      <x:c r="BE33" s="117">
        <x:f>IF(BE$3&lt;$B$7,MAX(0,BE20+BE24-BE27),0)</x:f>
      </x:c>
      <x:c r="BF33" s="117">
        <x:f>IF(BF$3&lt;$B$7,MAX(0,BF20+BF24-BF27),0)</x:f>
      </x:c>
      <x:c r="BG33" s="117">
        <x:f>IF(BG$3&lt;$B$7,MAX(0,BG20+BG24-BG27),0)</x:f>
      </x:c>
      <x:c r="BH33" s="117">
        <x:f>IF(BH$3&lt;$B$7,MAX(0,BH20+BH24-BH27),0)</x:f>
      </x:c>
      <x:c r="BI33" s="117">
        <x:f>IF(BI$3&lt;$B$7,MAX(0,BI20+BI24-BI27),0)</x:f>
      </x:c>
      <x:c r="BJ33" s="117">
        <x:f>IF(BJ$3&lt;$B$7,MAX(0,BJ20+BJ24-BJ27),0)</x:f>
      </x:c>
      <x:c r="BK33" s="117">
        <x:f>IF(BK$3&lt;$B$7,MAX(0,BK20+BK24-BK27),0)</x:f>
      </x:c>
      <x:c r="BL33" s="117">
        <x:f>IF(BL$3&lt;$B$7,MAX(0,BL20+BL24-BL27),0)</x:f>
      </x:c>
      <x:c r="BM33" s="117">
        <x:f>IF(BM$3&lt;$B$7,MAX(0,BM20+BM24-BM27),0)</x:f>
      </x:c>
      <x:c r="BN33" s="117">
        <x:f>IF(BN$3&lt;$B$7,MAX(0,BN20+BN24-BN27),0)</x:f>
      </x:c>
      <x:c r="BO33" s="117">
        <x:f>IF(BO$3&lt;$B$7,MAX(0,BO20+BO24-BO27),0)</x:f>
      </x:c>
      <x:c r="BP33" s="117">
        <x:f>IF(BP$3&lt;$B$7,MAX(0,BP20+BP24-BP27),0)</x:f>
      </x:c>
      <x:c r="BQ33" s="117">
        <x:f>IF(BQ$3&lt;$B$7,MAX(0,BQ20+BQ24-BQ27),0)</x:f>
      </x:c>
      <x:c r="BR33" s="117">
        <x:f>IF(BR$3&lt;$B$7,MAX(0,BR20+BR24-BR27),0)</x:f>
      </x:c>
      <x:c r="BS33" s="117">
        <x:f>IF(BS$3&lt;$B$7,MAX(0,BS20+BS24-BS27),0)</x:f>
      </x:c>
      <x:c r="BT33" s="117">
        <x:f>IF(BT$3&lt;$B$7,MAX(0,BT20+BT24-BT27),0)</x:f>
      </x:c>
      <x:c r="BU33" s="117">
        <x:f>IF(BU$3&lt;$B$7,MAX(0,BU20+BU24-BU27),0)</x:f>
      </x:c>
      <x:c r="BV33" s="117">
        <x:f>IF(BV$3&lt;$B$7,MAX(0,BV20+BV24-BV27),0)</x:f>
      </x:c>
      <x:c r="BW33" s="117">
        <x:f>IF(BW$3&lt;$B$7,MAX(0,BW20+BW24-BW27),0)</x:f>
      </x:c>
      <x:c r="BX33" s="117">
        <x:f>IF(BX$3&lt;$B$7,MAX(0,BX20+BX24-BX27),0)</x:f>
      </x:c>
      <x:c r="BY33" s="117">
        <x:f>IF(BY$3&lt;$B$7,MAX(0,BY20+BY24-BY27),0)</x:f>
      </x:c>
      <x:c r="BZ33" s="117">
        <x:f>IF(BZ$3&lt;$B$7,MAX(0,BZ20+BZ24-BZ27),0)</x:f>
      </x:c>
      <x:c r="CA33" s="117">
        <x:f>IF(CA$3&lt;$B$7,MAX(0,CA20+CA24-CA27),0)</x:f>
      </x:c>
      <x:c r="CB33" s="117">
        <x:f>IF(CB$3&lt;$B$7,MAX(0,CB20+CB24-CB27),0)</x:f>
      </x:c>
      <x:c r="CC33" s="117">
        <x:f>IF(CC$3&lt;$B$7,MAX(0,CC20+CC24-CC27),0)</x:f>
      </x:c>
      <x:c r="CD33" s="117">
        <x:f>IF(CD$3&lt;$B$7,MAX(0,CD20+CD24-CD27),0)</x:f>
      </x:c>
      <x:c r="CE33" s="117">
        <x:f>IF(CE$3&lt;$B$7,MAX(0,CE20+CE24-CE27),0)</x:f>
      </x:c>
      <x:c r="CF33" s="117">
        <x:f>IF(CF$3&lt;$B$7,MAX(0,CF20+CF24-CF27),0)</x:f>
      </x:c>
      <x:c r="CG33" s="117">
        <x:f>IF(CG$3&lt;$B$7,MAX(0,CG20+CG24-CG27),0)</x:f>
      </x:c>
      <x:c r="CH33" s="117">
        <x:f>IF(CH$3&lt;$B$7,MAX(0,CH20+CH24-CH27),0)</x:f>
      </x:c>
      <x:c r="CI33" s="117">
        <x:f>IF(CI$3&lt;$B$7,MAX(0,CI20+CI24-CI27),0)</x:f>
      </x:c>
      <x:c r="CJ33" s="117">
        <x:f>IF(CJ$3&lt;$B$7,MAX(0,CJ20+CJ24-CJ27),0)</x:f>
      </x:c>
      <x:c r="CK33" s="117">
        <x:f>IF(CK$3&lt;$B$7,MAX(0,CK20+CK24-CK27),0)</x:f>
      </x:c>
      <x:c r="CL33" s="117">
        <x:f>IF(CL$3&lt;$B$7,MAX(0,CL20+CL24-CL27),0)</x:f>
      </x:c>
      <x:c r="CM33" s="117">
        <x:f>IF(CM$3&lt;$B$7,MAX(0,CM20+CM24-CM27),0)</x:f>
      </x:c>
      <x:c r="CN33" s="117">
        <x:f>IF(CN$3&lt;$B$7,MAX(0,CN20+CN24-CN27),0)</x:f>
      </x:c>
      <x:c r="CO33" s="117">
        <x:f>IF(CO$3&lt;$B$7,MAX(0,CO20+CO24-CO27),0)</x:f>
      </x:c>
      <x:c r="CP33" s="117">
        <x:f>IF(CP$3&lt;$B$7,MAX(0,CP20+CP24-CP27),0)</x:f>
      </x:c>
      <x:c r="CQ33" s="117">
        <x:f>IF(CQ$3&lt;$B$7,MAX(0,CQ20+CQ24-CQ27),0)</x:f>
      </x:c>
      <x:c r="CR33" s="117">
        <x:f>IF(CR$3&lt;$B$7,MAX(0,CR20+CR24-CR27),0)</x:f>
      </x:c>
      <x:c r="CS33" s="117">
        <x:f>IF(CS$3&lt;$B$7,MAX(0,CS20+CS24-CS27),0)</x:f>
      </x:c>
      <x:c r="CT33" s="117">
        <x:f>IF(CT$3&lt;$B$7,MAX(0,CT20+CT24-CT27),0)</x:f>
      </x:c>
      <x:c r="CU33" s="117">
        <x:f>IF(CU$3&lt;$B$7,MAX(0,CU20+CU24-CU27),0)</x:f>
      </x:c>
      <x:c r="CV33" s="117">
        <x:f>IF(CV$3&lt;$B$7,MAX(0,CV20+CV24-CV27),0)</x:f>
      </x:c>
      <x:c r="CW33" s="117">
        <x:f>IF(CW$3&lt;$B$7,MAX(0,CW20+CW24-CW27),0)</x:f>
      </x:c>
      <x:c r="CX33" s="117">
        <x:f>IF(CX$3&lt;$B$7,MAX(0,CX20+CX24-CX27),0)</x:f>
      </x:c>
      <x:c r="CY33" s="117">
        <x:f>IF(CY$3&lt;$B$7,MAX(0,CY20+CY24-CY27),0)</x:f>
      </x:c>
      <x:c r="CZ33" s="117">
        <x:f>IF(CZ$3&lt;$B$7,MAX(0,CZ20+CZ24-CZ27),0)</x:f>
      </x:c>
      <x:c r="DA33" s="117">
        <x:f>IF(DA$3&lt;$B$7,MAX(0,DA20+DA24-DA27),0)</x:f>
      </x:c>
      <x:c r="DB33" s="117">
        <x:f>IF(DB$3&lt;$B$7,MAX(0,DB20+DB24-DB27),0)</x:f>
      </x:c>
      <x:c r="DC33" s="117">
        <x:f>IF(DC$3&lt;$B$7,MAX(0,DC20+DC24-DC27),0)</x:f>
      </x:c>
      <x:c r="DD33" s="117">
        <x:f>IF(DD$3&lt;$B$7,MAX(0,DD20+DD24-DD27),0)</x:f>
      </x:c>
      <x:c r="DE33" s="117">
        <x:f>IF(DE$3&lt;$B$7,MAX(0,DE20+DE24-DE27),0)</x:f>
      </x:c>
      <x:c r="DF33" s="117">
        <x:f>IF(DF$3&lt;$B$7,MAX(0,DF20+DF24-DF27),0)</x:f>
      </x:c>
      <x:c r="DG33" s="117">
        <x:f>IF(DG$3&lt;$B$7,MAX(0,DG20+DG24-DG27),0)</x:f>
      </x:c>
      <x:c r="DH33" s="117">
        <x:f>IF(DH$3&lt;$B$7,MAX(0,DH20+DH24-DH27),0)</x:f>
      </x:c>
      <x:c r="DI33" s="117">
        <x:f>IF(DI$3&lt;$B$7,MAX(0,DI20+DI24-DI27),0)</x:f>
      </x:c>
      <x:c r="DJ33" s="117">
        <x:f>IF(DJ$3&lt;$B$7,MAX(0,DJ20+DJ24-DJ27),0)</x:f>
      </x:c>
      <x:c r="DK33" s="117">
        <x:f>IF(DK$3&lt;$B$7,MAX(0,DK20+DK24-DK27),0)</x:f>
      </x:c>
      <x:c r="DL33" s="117">
        <x:f>IF(DL$3&lt;$B$7,MAX(0,DL20+DL24-DL27),0)</x:f>
      </x:c>
      <x:c r="DM33" s="117">
        <x:f>IF(DM$3&lt;$B$7,MAX(0,DM20+DM24-DM27),0)</x:f>
      </x:c>
      <x:c r="DN33" s="117">
        <x:f>IF(DN$3&lt;$B$7,MAX(0,DN20+DN24-DN27),0)</x:f>
      </x:c>
      <x:c r="DO33" s="117">
        <x:f>IF(DO$3&lt;$B$7,MAX(0,DO20+DO24-DO27),0)</x:f>
      </x:c>
      <x:c r="DP33" s="117">
        <x:f>IF(DP$3&lt;$B$7,MAX(0,DP20+DP24-DP27),0)</x:f>
      </x:c>
      <x:c r="DQ33" s="117">
        <x:f>IF(DQ$3&lt;$B$7,MAX(0,DQ20+DQ24-DQ27),0)</x:f>
      </x:c>
      <x:c r="DR33" s="117">
        <x:f>IF(DR$3&lt;$B$7,MAX(0,DR20+DR24-DR27),0)</x:f>
      </x:c>
      <x:c r="DS33" s="117">
        <x:f>IF(DS$3&lt;$B$7,MAX(0,DS20+DS24-DS27),0)</x:f>
      </x:c>
      <x:c r="DT33" s="117">
        <x:f>IF(DT$3&lt;$B$7,MAX(0,DT20+DT24-DT27),0)</x:f>
      </x:c>
      <x:c r="DU33" s="117">
        <x:f>IF(DU$3&lt;$B$7,MAX(0,DU20+DU24-DU27),0)</x:f>
      </x:c>
      <x:c r="DV33" s="117">
        <x:f>IF(DV$3&lt;$B$7,MAX(0,DV20+DV24-DV27),0)</x:f>
      </x:c>
      <x:c r="DW33" s="117">
        <x:f>IF(DW$3&lt;$B$7,MAX(0,DW20+DW24-DW27),0)</x:f>
      </x:c>
      <x:c r="DX33" s="117">
        <x:f>IF(DX$3&lt;$B$7,MAX(0,DX20+DX24-DX27),0)</x:f>
      </x:c>
      <x:c r="DY33" s="117">
        <x:f>IF(DY$3&lt;$B$7,MAX(0,DY20+DY24-DY27),0)</x:f>
      </x:c>
      <x:c r="DZ33" s="117">
        <x:f>IF(DZ$3&lt;$B$7,MAX(0,DZ20+DZ24-DZ27),0)</x:f>
      </x:c>
      <x:c r="EA33" s="117">
        <x:f>IF(EA$3&lt;$B$7,MAX(0,EA20+EA24-EA27),0)</x:f>
      </x:c>
      <x:c r="EB33" s="117">
        <x:f>IF(EB$3&lt;$B$7,MAX(0,EB20+EB24-EB27),0)</x:f>
      </x:c>
      <x:c r="EC33" s="117">
        <x:f>IF(EC$3&lt;$B$7,MAX(0,EC20+EC24-EC27),0)</x:f>
      </x:c>
      <x:c r="ED33" s="117">
        <x:f>IF(ED$3&lt;$B$7,MAX(0,ED20+ED24-ED27),0)</x:f>
      </x:c>
      <x:c r="EE33" s="117">
        <x:f>IF(EE$3&lt;$B$7,MAX(0,EE20+EE24-EE27),0)</x:f>
      </x:c>
      <x:c r="EF33" s="117">
        <x:f>IF(EF$3&lt;$B$7,MAX(0,EF20+EF24-EF27),0)</x:f>
      </x:c>
      <x:c r="EG33" s="117">
        <x:f>IF(EG$3&lt;$B$7,MAX(0,EG20+EG24-EG27),0)</x:f>
      </x:c>
      <x:c r="EH33" s="117">
        <x:f>IF(EH$3&lt;$B$7,MAX(0,EH20+EH24-EH27),0)</x:f>
      </x:c>
      <x:c r="EI33" s="117">
        <x:f>IF(EI$3&lt;$B$7,MAX(0,EI20+EI24-EI27),0)</x:f>
      </x:c>
      <x:c r="EJ33" s="117">
        <x:f>IF(EJ$3&lt;$B$7,MAX(0,EJ20+EJ24-EJ27),0)</x:f>
      </x:c>
      <x:c r="EK33" s="117">
        <x:f>IF(EK$3&lt;$B$7,MAX(0,EK20+EK24-EK27),0)</x:f>
      </x:c>
      <x:c r="EL33" s="117">
        <x:f>IF(EL$3&lt;$B$7,MAX(0,EL20+EL24-EL27),0)</x:f>
      </x:c>
      <x:c r="EM33" s="117">
        <x:f>IF(EM$3&lt;$B$7,MAX(0,EM20+EM24-EM27),0)</x:f>
      </x:c>
      <x:c r="EN33" s="117">
        <x:f>IF(EN$3&lt;$B$7,MAX(0,EN20+EN24-EN27),0)</x:f>
      </x:c>
      <x:c r="EO33" s="117">
        <x:f>IF(EO$3&lt;$B$7,MAX(0,EO20+EO24-EO27),0)</x:f>
      </x:c>
      <x:c r="EP33" s="117">
        <x:f>IF(EP$3&lt;$B$7,MAX(0,EP20+EP24-EP27),0)</x:f>
      </x:c>
      <x:c r="EQ33" s="117">
        <x:f>IF(EQ$3&lt;$B$7,MAX(0,EQ20+EQ24-EQ27),0)</x:f>
      </x:c>
      <x:c r="ER33" s="117">
        <x:f>IF(ER$3&lt;$B$7,MAX(0,ER20+ER24-ER27),0)</x:f>
      </x:c>
      <x:c r="ES33" s="117">
        <x:f>IF(ES$3&lt;$B$7,MAX(0,ES20+ES24-ES27),0)</x:f>
      </x:c>
      <x:c r="ET33" s="117">
        <x:f>IF(ET$3&lt;$B$7,MAX(0,ET20+ET24-ET27),0)</x:f>
      </x:c>
      <x:c r="EU33" s="117">
        <x:f>IF(EU$3&lt;$B$7,MAX(0,EU20+EU24-EU27),0)</x:f>
      </x:c>
      <x:c r="EV33" s="117">
        <x:f>IF(EV$3&lt;$B$7,MAX(0,EV20+EV24-EV27),0)</x:f>
      </x:c>
      <x:c r="EW33" s="117">
        <x:f>IF(EW$3&lt;$B$7,MAX(0,EW20+EW24-EW27),0)</x:f>
      </x:c>
      <x:c r="EX33" s="117">
        <x:f>IF(EX$3&lt;$B$7,MAX(0,EX20+EX24-EX27),0)</x:f>
      </x:c>
      <x:c r="EY33" s="117">
        <x:f>IF(EY$3&lt;$B$7,MAX(0,EY20+EY24-EY27),0)</x:f>
      </x:c>
      <x:c r="EZ33" s="117">
        <x:f>IF(EZ$3&lt;$B$7,MAX(0,EZ20+EZ24-EZ27),0)</x:f>
      </x:c>
      <x:c r="FA33" s="117">
        <x:f>IF(FA$3&lt;$B$7,MAX(0,FA20+FA24-FA27),0)</x:f>
      </x:c>
      <x:c r="FB33" s="117">
        <x:f>IF(FB$3&lt;$B$7,MAX(0,FB20+FB24-FB27),0)</x:f>
      </x:c>
      <x:c r="FC33" s="117">
        <x:f>IF(FC$3&lt;$B$7,MAX(0,FC20+FC24-FC27),0)</x:f>
      </x:c>
      <x:c r="FD33" s="117">
        <x:f>IF(FD$3&lt;$B$7,MAX(0,FD20+FD24-FD27),0)</x:f>
      </x:c>
      <x:c r="FE33" s="117">
        <x:f>IF(FE$3&lt;$B$7,MAX(0,FE20+FE24-FE27),0)</x:f>
      </x:c>
      <x:c r="FF33" s="117">
        <x:f>IF(FF$3&lt;$B$7,MAX(0,FF20+FF24-FF27),0)</x:f>
      </x:c>
      <x:c r="FG33" s="117">
        <x:f>IF(FG$3&lt;$B$7,MAX(0,FG20+FG24-FG27),0)</x:f>
      </x:c>
      <x:c r="FH33" s="117">
        <x:f>IF(FH$3&lt;$B$7,MAX(0,FH20+FH24-FH27),0)</x:f>
      </x:c>
      <x:c r="FI33" s="117">
        <x:f>IF(FI$3&lt;$B$7,MAX(0,FI20+FI24-FI27),0)</x:f>
      </x:c>
      <x:c r="FJ33" s="117">
        <x:f>IF(FJ$3&lt;$B$7,MAX(0,FJ20+FJ24-FJ27),0)</x:f>
      </x:c>
      <x:c r="FK33" s="117">
        <x:f>IF(FK$3&lt;$B$7,MAX(0,FK20+FK24-FK27),0)</x:f>
      </x:c>
      <x:c r="FL33" s="117">
        <x:f>IF(FL$3&lt;$B$7,MAX(0,FL20+FL24-FL27),0)</x:f>
      </x:c>
      <x:c r="FM33" s="117">
        <x:f>IF(FM$3&lt;$B$7,MAX(0,FM20+FM24-FM27),0)</x:f>
      </x:c>
      <x:c r="FN33" s="117">
        <x:f>IF(FN$3&lt;$B$7,MAX(0,FN20+FN24-FN27),0)</x:f>
      </x:c>
      <x:c r="FO33" s="117">
        <x:f>IF(FO$3&lt;$B$7,MAX(0,FO20+FO24-FO27),0)</x:f>
      </x:c>
      <x:c r="FP33" s="117">
        <x:f>IF(FP$3&lt;$B$7,MAX(0,FP20+FP24-FP27),0)</x:f>
      </x:c>
      <x:c r="FQ33" s="117">
        <x:f>IF(FQ$3&lt;$B$7,MAX(0,FQ20+FQ24-FQ27),0)</x:f>
      </x:c>
      <x:c r="FR33" s="117">
        <x:f>IF(FR$3&lt;$B$7,MAX(0,FR20+FR24-FR27),0)</x:f>
      </x:c>
      <x:c r="FS33" s="117">
        <x:f>IF(FS$3&lt;$B$7,MAX(0,FS20+FS24-FS27),0)</x:f>
      </x:c>
      <x:c r="FT33" s="117">
        <x:f>IF(FT$3&lt;$B$7,MAX(0,FT20+FT24-FT27),0)</x:f>
      </x:c>
      <x:c r="FU33" s="117">
        <x:f>IF(FU$3&lt;$B$7,MAX(0,FU20+FU24-FU27),0)</x:f>
      </x:c>
      <x:c r="FV33" s="117">
        <x:f>IF(FV$3&lt;$B$7,MAX(0,FV20+FV24-FV27),0)</x:f>
      </x:c>
      <x:c r="FW33" s="117">
        <x:f>IF(FW$3&lt;$B$7,MAX(0,FW20+FW24-FW27),0)</x:f>
      </x:c>
      <x:c r="FX33" s="117">
        <x:f>IF(FX$3&lt;$B$7,MAX(0,FX20+FX24-FX27),0)</x:f>
      </x:c>
      <x:c r="FY33" s="117">
        <x:f>IF(FY$3&lt;$B$7,MAX(0,FY20+FY24-FY27),0)</x:f>
      </x:c>
      <x:c r="FZ33" s="117">
        <x:f>IF(FZ$3&lt;$B$7,MAX(0,FZ20+FZ24-FZ27),0)</x:f>
      </x:c>
      <x:c r="GA33" s="117">
        <x:f>IF(GA$3&lt;$B$7,MAX(0,GA20+GA24-GA27),0)</x:f>
      </x:c>
    </x:row>
    <x:row r="34">
      <x:c r="A34" t="str">
        <x:v>БРИДЖ — выборка</x:v>
      </x:c>
      <x:c r="B34" t="n">
        <x:f>SUM(D34:GA34)</x:f>
      </x:c>
      <x:c r="C34" t="str">
        <x:v>млн ₽</x:v>
      </x:c>
      <x:c r="D34" s="117">
        <x:f>MAX(0,D33-D56)</x:f>
      </x:c>
      <x:c r="E34" s="117">
        <x:f>MAX(0,E33-E56)</x:f>
      </x:c>
      <x:c r="F34" s="117">
        <x:f>MAX(0,F33-F56)</x:f>
      </x:c>
      <x:c r="G34" s="117">
        <x:f>MAX(0,G33-G56)</x:f>
      </x:c>
      <x:c r="H34" s="117">
        <x:f>MAX(0,H33-H56)</x:f>
      </x:c>
      <x:c r="I34" s="117">
        <x:f>MAX(0,I33-I56)</x:f>
      </x:c>
      <x:c r="J34" s="117">
        <x:f>MAX(0,J33-J56)</x:f>
      </x:c>
      <x:c r="K34" s="117">
        <x:f>MAX(0,K33-K56)</x:f>
      </x:c>
      <x:c r="L34" s="117">
        <x:f>MAX(0,L33-L56)</x:f>
      </x:c>
      <x:c r="M34" s="117">
        <x:f>MAX(0,M33-M56)</x:f>
      </x:c>
      <x:c r="N34" s="117">
        <x:f>MAX(0,N33-N56)</x:f>
      </x:c>
      <x:c r="O34" s="117">
        <x:f>MAX(0,O33-O56)</x:f>
      </x:c>
      <x:c r="P34" s="117">
        <x:f>MAX(0,P33-P56)</x:f>
      </x:c>
      <x:c r="Q34" s="117">
        <x:f>MAX(0,Q33-Q56)</x:f>
      </x:c>
      <x:c r="R34" s="117">
        <x:f>MAX(0,R33-R56)</x:f>
      </x:c>
      <x:c r="S34" s="117">
        <x:f>MAX(0,S33-S56)</x:f>
      </x:c>
      <x:c r="T34" s="117">
        <x:f>MAX(0,T33-T56)</x:f>
      </x:c>
      <x:c r="U34" s="117">
        <x:f>MAX(0,U33-U56)</x:f>
      </x:c>
      <x:c r="V34" s="117">
        <x:f>MAX(0,V33-V56)</x:f>
      </x:c>
      <x:c r="W34" s="117">
        <x:f>MAX(0,W33-W56)</x:f>
      </x:c>
      <x:c r="X34" s="117">
        <x:f>MAX(0,X33-X56)</x:f>
      </x:c>
      <x:c r="Y34" s="117">
        <x:f>MAX(0,Y33-Y56)</x:f>
      </x:c>
      <x:c r="Z34" s="117">
        <x:f>MAX(0,Z33-Z56)</x:f>
      </x:c>
      <x:c r="AA34" s="117">
        <x:f>MAX(0,AA33-AA56)</x:f>
      </x:c>
      <x:c r="AB34" s="117">
        <x:f>MAX(0,AB33-AB56)</x:f>
      </x:c>
      <x:c r="AC34" s="117">
        <x:f>MAX(0,AC33-AC56)</x:f>
      </x:c>
      <x:c r="AD34" s="117">
        <x:f>MAX(0,AD33-AD56)</x:f>
      </x:c>
      <x:c r="AE34" s="117">
        <x:f>MAX(0,AE33-AE56)</x:f>
      </x:c>
      <x:c r="AF34" s="117">
        <x:f>MAX(0,AF33-AF56)</x:f>
      </x:c>
      <x:c r="AG34" s="117">
        <x:f>MAX(0,AG33-AG56)</x:f>
      </x:c>
      <x:c r="AH34" s="117">
        <x:f>MAX(0,AH33-AH56)</x:f>
      </x:c>
      <x:c r="AI34" s="117">
        <x:f>MAX(0,AI33-AI56)</x:f>
      </x:c>
      <x:c r="AJ34" s="117">
        <x:f>MAX(0,AJ33-AJ56)</x:f>
      </x:c>
      <x:c r="AK34" s="117">
        <x:f>MAX(0,AK33-AK56)</x:f>
      </x:c>
      <x:c r="AL34" s="117">
        <x:f>MAX(0,AL33-AL56)</x:f>
      </x:c>
      <x:c r="AM34" s="117">
        <x:f>MAX(0,AM33-AM56)</x:f>
      </x:c>
      <x:c r="AN34" s="117">
        <x:f>MAX(0,AN33-AN56)</x:f>
      </x:c>
      <x:c r="AO34" s="117">
        <x:f>MAX(0,AO33-AO56)</x:f>
      </x:c>
      <x:c r="AP34" s="117">
        <x:f>MAX(0,AP33-AP56)</x:f>
      </x:c>
      <x:c r="AQ34" s="117">
        <x:f>MAX(0,AQ33-AQ56)</x:f>
      </x:c>
      <x:c r="AR34" s="117">
        <x:f>MAX(0,AR33-AR56)</x:f>
      </x:c>
      <x:c r="AS34" s="117">
        <x:f>MAX(0,AS33-AS56)</x:f>
      </x:c>
      <x:c r="AT34" s="117">
        <x:f>MAX(0,AT33-AT56)</x:f>
      </x:c>
      <x:c r="AU34" s="117">
        <x:f>MAX(0,AU33-AU56)</x:f>
      </x:c>
      <x:c r="AV34" s="117">
        <x:f>MAX(0,AV33-AV56)</x:f>
      </x:c>
      <x:c r="AW34" s="117">
        <x:f>MAX(0,AW33-AW56)</x:f>
      </x:c>
      <x:c r="AX34" s="117">
        <x:f>MAX(0,AX33-AX56)</x:f>
      </x:c>
      <x:c r="AY34" s="117">
        <x:f>MAX(0,AY33-AY56)</x:f>
      </x:c>
      <x:c r="AZ34" s="117">
        <x:f>MAX(0,AZ33-AZ56)</x:f>
      </x:c>
      <x:c r="BA34" s="117">
        <x:f>MAX(0,BA33-BA56)</x:f>
      </x:c>
      <x:c r="BB34" s="117">
        <x:f>MAX(0,BB33-BB56)</x:f>
      </x:c>
      <x:c r="BC34" s="117">
        <x:f>MAX(0,BC33-BC56)</x:f>
      </x:c>
      <x:c r="BD34" s="117">
        <x:f>MAX(0,BD33-BD56)</x:f>
      </x:c>
      <x:c r="BE34" s="117">
        <x:f>MAX(0,BE33-BE56)</x:f>
      </x:c>
      <x:c r="BF34" s="117">
        <x:f>MAX(0,BF33-BF56)</x:f>
      </x:c>
      <x:c r="BG34" s="117">
        <x:f>MAX(0,BG33-BG56)</x:f>
      </x:c>
      <x:c r="BH34" s="117">
        <x:f>MAX(0,BH33-BH56)</x:f>
      </x:c>
      <x:c r="BI34" s="117">
        <x:f>MAX(0,BI33-BI56)</x:f>
      </x:c>
      <x:c r="BJ34" s="117">
        <x:f>MAX(0,BJ33-BJ56)</x:f>
      </x:c>
      <x:c r="BK34" s="117">
        <x:f>MAX(0,BK33-BK56)</x:f>
      </x:c>
      <x:c r="BL34" s="117">
        <x:f>MAX(0,BL33-BL56)</x:f>
      </x:c>
      <x:c r="BM34" s="117">
        <x:f>MAX(0,BM33-BM56)</x:f>
      </x:c>
      <x:c r="BN34" s="117">
        <x:f>MAX(0,BN33-BN56)</x:f>
      </x:c>
      <x:c r="BO34" s="117">
        <x:f>MAX(0,BO33-BO56)</x:f>
      </x:c>
      <x:c r="BP34" s="117">
        <x:f>MAX(0,BP33-BP56)</x:f>
      </x:c>
      <x:c r="BQ34" s="117">
        <x:f>MAX(0,BQ33-BQ56)</x:f>
      </x:c>
      <x:c r="BR34" s="117">
        <x:f>MAX(0,BR33-BR56)</x:f>
      </x:c>
      <x:c r="BS34" s="117">
        <x:f>MAX(0,BS33-BS56)</x:f>
      </x:c>
      <x:c r="BT34" s="117">
        <x:f>MAX(0,BT33-BT56)</x:f>
      </x:c>
      <x:c r="BU34" s="117">
        <x:f>MAX(0,BU33-BU56)</x:f>
      </x:c>
      <x:c r="BV34" s="117">
        <x:f>MAX(0,BV33-BV56)</x:f>
      </x:c>
      <x:c r="BW34" s="117">
        <x:f>MAX(0,BW33-BW56)</x:f>
      </x:c>
      <x:c r="BX34" s="117">
        <x:f>MAX(0,BX33-BX56)</x:f>
      </x:c>
      <x:c r="BY34" s="117">
        <x:f>MAX(0,BY33-BY56)</x:f>
      </x:c>
      <x:c r="BZ34" s="117">
        <x:f>MAX(0,BZ33-BZ56)</x:f>
      </x:c>
      <x:c r="CA34" s="117">
        <x:f>MAX(0,CA33-CA56)</x:f>
      </x:c>
      <x:c r="CB34" s="117">
        <x:f>MAX(0,CB33-CB56)</x:f>
      </x:c>
      <x:c r="CC34" s="117">
        <x:f>MAX(0,CC33-CC56)</x:f>
      </x:c>
      <x:c r="CD34" s="117">
        <x:f>MAX(0,CD33-CD56)</x:f>
      </x:c>
      <x:c r="CE34" s="117">
        <x:f>MAX(0,CE33-CE56)</x:f>
      </x:c>
      <x:c r="CF34" s="117">
        <x:f>MAX(0,CF33-CF56)</x:f>
      </x:c>
      <x:c r="CG34" s="117">
        <x:f>MAX(0,CG33-CG56)</x:f>
      </x:c>
      <x:c r="CH34" s="117">
        <x:f>MAX(0,CH33-CH56)</x:f>
      </x:c>
      <x:c r="CI34" s="117">
        <x:f>MAX(0,CI33-CI56)</x:f>
      </x:c>
      <x:c r="CJ34" s="117">
        <x:f>MAX(0,CJ33-CJ56)</x:f>
      </x:c>
      <x:c r="CK34" s="117">
        <x:f>MAX(0,CK33-CK56)</x:f>
      </x:c>
      <x:c r="CL34" s="117">
        <x:f>MAX(0,CL33-CL56)</x:f>
      </x:c>
      <x:c r="CM34" s="117">
        <x:f>MAX(0,CM33-CM56)</x:f>
      </x:c>
      <x:c r="CN34" s="117">
        <x:f>MAX(0,CN33-CN56)</x:f>
      </x:c>
      <x:c r="CO34" s="117">
        <x:f>MAX(0,CO33-CO56)</x:f>
      </x:c>
      <x:c r="CP34" s="117">
        <x:f>MAX(0,CP33-CP56)</x:f>
      </x:c>
      <x:c r="CQ34" s="117">
        <x:f>MAX(0,CQ33-CQ56)</x:f>
      </x:c>
      <x:c r="CR34" s="117">
        <x:f>MAX(0,CR33-CR56)</x:f>
      </x:c>
      <x:c r="CS34" s="117">
        <x:f>MAX(0,CS33-CS56)</x:f>
      </x:c>
      <x:c r="CT34" s="117">
        <x:f>MAX(0,CT33-CT56)</x:f>
      </x:c>
      <x:c r="CU34" s="117">
        <x:f>MAX(0,CU33-CU56)</x:f>
      </x:c>
      <x:c r="CV34" s="117">
        <x:f>MAX(0,CV33-CV56)</x:f>
      </x:c>
      <x:c r="CW34" s="117">
        <x:f>MAX(0,CW33-CW56)</x:f>
      </x:c>
      <x:c r="CX34" s="117">
        <x:f>MAX(0,CX33-CX56)</x:f>
      </x:c>
      <x:c r="CY34" s="117">
        <x:f>MAX(0,CY33-CY56)</x:f>
      </x:c>
      <x:c r="CZ34" s="117">
        <x:f>MAX(0,CZ33-CZ56)</x:f>
      </x:c>
      <x:c r="DA34" s="117">
        <x:f>MAX(0,DA33-DA56)</x:f>
      </x:c>
      <x:c r="DB34" s="117">
        <x:f>MAX(0,DB33-DB56)</x:f>
      </x:c>
      <x:c r="DC34" s="117">
        <x:f>MAX(0,DC33-DC56)</x:f>
      </x:c>
      <x:c r="DD34" s="117">
        <x:f>MAX(0,DD33-DD56)</x:f>
      </x:c>
      <x:c r="DE34" s="117">
        <x:f>MAX(0,DE33-DE56)</x:f>
      </x:c>
      <x:c r="DF34" s="117">
        <x:f>MAX(0,DF33-DF56)</x:f>
      </x:c>
      <x:c r="DG34" s="117">
        <x:f>MAX(0,DG33-DG56)</x:f>
      </x:c>
      <x:c r="DH34" s="117">
        <x:f>MAX(0,DH33-DH56)</x:f>
      </x:c>
      <x:c r="DI34" s="117">
        <x:f>MAX(0,DI33-DI56)</x:f>
      </x:c>
      <x:c r="DJ34" s="117">
        <x:f>MAX(0,DJ33-DJ56)</x:f>
      </x:c>
      <x:c r="DK34" s="117">
        <x:f>MAX(0,DK33-DK56)</x:f>
      </x:c>
      <x:c r="DL34" s="117">
        <x:f>MAX(0,DL33-DL56)</x:f>
      </x:c>
      <x:c r="DM34" s="117">
        <x:f>MAX(0,DM33-DM56)</x:f>
      </x:c>
      <x:c r="DN34" s="117">
        <x:f>MAX(0,DN33-DN56)</x:f>
      </x:c>
      <x:c r="DO34" s="117">
        <x:f>MAX(0,DO33-DO56)</x:f>
      </x:c>
      <x:c r="DP34" s="117">
        <x:f>MAX(0,DP33-DP56)</x:f>
      </x:c>
      <x:c r="DQ34" s="117">
        <x:f>MAX(0,DQ33-DQ56)</x:f>
      </x:c>
      <x:c r="DR34" s="117">
        <x:f>MAX(0,DR33-DR56)</x:f>
      </x:c>
      <x:c r="DS34" s="117">
        <x:f>MAX(0,DS33-DS56)</x:f>
      </x:c>
      <x:c r="DT34" s="117">
        <x:f>MAX(0,DT33-DT56)</x:f>
      </x:c>
      <x:c r="DU34" s="117">
        <x:f>MAX(0,DU33-DU56)</x:f>
      </x:c>
      <x:c r="DV34" s="117">
        <x:f>MAX(0,DV33-DV56)</x:f>
      </x:c>
      <x:c r="DW34" s="117">
        <x:f>MAX(0,DW33-DW56)</x:f>
      </x:c>
      <x:c r="DX34" s="117">
        <x:f>MAX(0,DX33-DX56)</x:f>
      </x:c>
      <x:c r="DY34" s="117">
        <x:f>MAX(0,DY33-DY56)</x:f>
      </x:c>
      <x:c r="DZ34" s="117">
        <x:f>MAX(0,DZ33-DZ56)</x:f>
      </x:c>
      <x:c r="EA34" s="117">
        <x:f>MAX(0,EA33-EA56)</x:f>
      </x:c>
      <x:c r="EB34" s="117">
        <x:f>MAX(0,EB33-EB56)</x:f>
      </x:c>
      <x:c r="EC34" s="117">
        <x:f>MAX(0,EC33-EC56)</x:f>
      </x:c>
      <x:c r="ED34" s="117">
        <x:f>MAX(0,ED33-ED56)</x:f>
      </x:c>
      <x:c r="EE34" s="117">
        <x:f>MAX(0,EE33-EE56)</x:f>
      </x:c>
      <x:c r="EF34" s="117">
        <x:f>MAX(0,EF33-EF56)</x:f>
      </x:c>
      <x:c r="EG34" s="117">
        <x:f>MAX(0,EG33-EG56)</x:f>
      </x:c>
      <x:c r="EH34" s="117">
        <x:f>MAX(0,EH33-EH56)</x:f>
      </x:c>
      <x:c r="EI34" s="117">
        <x:f>MAX(0,EI33-EI56)</x:f>
      </x:c>
      <x:c r="EJ34" s="117">
        <x:f>MAX(0,EJ33-EJ56)</x:f>
      </x:c>
      <x:c r="EK34" s="117">
        <x:f>MAX(0,EK33-EK56)</x:f>
      </x:c>
      <x:c r="EL34" s="117">
        <x:f>MAX(0,EL33-EL56)</x:f>
      </x:c>
      <x:c r="EM34" s="117">
        <x:f>MAX(0,EM33-EM56)</x:f>
      </x:c>
      <x:c r="EN34" s="117">
        <x:f>MAX(0,EN33-EN56)</x:f>
      </x:c>
      <x:c r="EO34" s="117">
        <x:f>MAX(0,EO33-EO56)</x:f>
      </x:c>
      <x:c r="EP34" s="117">
        <x:f>MAX(0,EP33-EP56)</x:f>
      </x:c>
      <x:c r="EQ34" s="117">
        <x:f>MAX(0,EQ33-EQ56)</x:f>
      </x:c>
      <x:c r="ER34" s="117">
        <x:f>MAX(0,ER33-ER56)</x:f>
      </x:c>
      <x:c r="ES34" s="117">
        <x:f>MAX(0,ES33-ES56)</x:f>
      </x:c>
      <x:c r="ET34" s="117">
        <x:f>MAX(0,ET33-ET56)</x:f>
      </x:c>
      <x:c r="EU34" s="117">
        <x:f>MAX(0,EU33-EU56)</x:f>
      </x:c>
      <x:c r="EV34" s="117">
        <x:f>MAX(0,EV33-EV56)</x:f>
      </x:c>
      <x:c r="EW34" s="117">
        <x:f>MAX(0,EW33-EW56)</x:f>
      </x:c>
      <x:c r="EX34" s="117">
        <x:f>MAX(0,EX33-EX56)</x:f>
      </x:c>
      <x:c r="EY34" s="117">
        <x:f>MAX(0,EY33-EY56)</x:f>
      </x:c>
      <x:c r="EZ34" s="117">
        <x:f>MAX(0,EZ33-EZ56)</x:f>
      </x:c>
      <x:c r="FA34" s="117">
        <x:f>MAX(0,FA33-FA56)</x:f>
      </x:c>
      <x:c r="FB34" s="117">
        <x:f>MAX(0,FB33-FB56)</x:f>
      </x:c>
      <x:c r="FC34" s="117">
        <x:f>MAX(0,FC33-FC56)</x:f>
      </x:c>
      <x:c r="FD34" s="117">
        <x:f>MAX(0,FD33-FD56)</x:f>
      </x:c>
      <x:c r="FE34" s="117">
        <x:f>MAX(0,FE33-FE56)</x:f>
      </x:c>
      <x:c r="FF34" s="117">
        <x:f>MAX(0,FF33-FF56)</x:f>
      </x:c>
      <x:c r="FG34" s="117">
        <x:f>MAX(0,FG33-FG56)</x:f>
      </x:c>
      <x:c r="FH34" s="117">
        <x:f>MAX(0,FH33-FH56)</x:f>
      </x:c>
      <x:c r="FI34" s="117">
        <x:f>MAX(0,FI33-FI56)</x:f>
      </x:c>
      <x:c r="FJ34" s="117">
        <x:f>MAX(0,FJ33-FJ56)</x:f>
      </x:c>
      <x:c r="FK34" s="117">
        <x:f>MAX(0,FK33-FK56)</x:f>
      </x:c>
      <x:c r="FL34" s="117">
        <x:f>MAX(0,FL33-FL56)</x:f>
      </x:c>
      <x:c r="FM34" s="117">
        <x:f>MAX(0,FM33-FM56)</x:f>
      </x:c>
      <x:c r="FN34" s="117">
        <x:f>MAX(0,FN33-FN56)</x:f>
      </x:c>
      <x:c r="FO34" s="117">
        <x:f>MAX(0,FO33-FO56)</x:f>
      </x:c>
      <x:c r="FP34" s="117">
        <x:f>MAX(0,FP33-FP56)</x:f>
      </x:c>
      <x:c r="FQ34" s="117">
        <x:f>MAX(0,FQ33-FQ56)</x:f>
      </x:c>
      <x:c r="FR34" s="117">
        <x:f>MAX(0,FR33-FR56)</x:f>
      </x:c>
      <x:c r="FS34" s="117">
        <x:f>MAX(0,FS33-FS56)</x:f>
      </x:c>
      <x:c r="FT34" s="117">
        <x:f>MAX(0,FT33-FT56)</x:f>
      </x:c>
      <x:c r="FU34" s="117">
        <x:f>MAX(0,FU33-FU56)</x:f>
      </x:c>
      <x:c r="FV34" s="117">
        <x:f>MAX(0,FV33-FV56)</x:f>
      </x:c>
      <x:c r="FW34" s="117">
        <x:f>MAX(0,FW33-FW56)</x:f>
      </x:c>
      <x:c r="FX34" s="117">
        <x:f>MAX(0,FX33-FX56)</x:f>
      </x:c>
      <x:c r="FY34" s="117">
        <x:f>MAX(0,FY33-FY56)</x:f>
      </x:c>
      <x:c r="FZ34" s="117">
        <x:f>MAX(0,FZ33-FZ56)</x:f>
      </x:c>
      <x:c r="GA34" s="117">
        <x:f>MAX(0,GA33-GA56)</x:f>
      </x:c>
    </x:row>
    <x:row r="35">
      <x:c r="A35" t="str">
        <x:v>БРИДЖ — погашение</x:v>
      </x:c>
      <x:c r="B35" t="n">
        <x:f>SUM(D35:GA35)</x:f>
      </x:c>
      <x:c r="C35" t="str">
        <x:v>млн ₽</x:v>
      </x:c>
      <x:c r="D35" s="117">
        <x:f>IF(AND(YEAR(D$3)=YEAR($B$7),MONTH(D$3)=MONTH($B$7)),D30,0)</x:f>
      </x:c>
      <x:c r="E35" s="117">
        <x:f>IF(AND(YEAR(E$3)=YEAR($B$7),MONTH(E$3)=MONTH($B$7)),E30,0)</x:f>
      </x:c>
      <x:c r="F35" s="117">
        <x:f>IF(AND(YEAR(F$3)=YEAR($B$7),MONTH(F$3)=MONTH($B$7)),F30,0)</x:f>
      </x:c>
      <x:c r="G35" s="117">
        <x:f>IF(AND(YEAR(G$3)=YEAR($B$7),MONTH(G$3)=MONTH($B$7)),G30,0)</x:f>
      </x:c>
      <x:c r="H35" s="117">
        <x:f>IF(AND(YEAR(H$3)=YEAR($B$7),MONTH(H$3)=MONTH($B$7)),H30,0)</x:f>
      </x:c>
      <x:c r="I35" s="117">
        <x:f>IF(AND(YEAR(I$3)=YEAR($B$7),MONTH(I$3)=MONTH($B$7)),I30,0)</x:f>
      </x:c>
      <x:c r="J35" s="117">
        <x:f>IF(AND(YEAR(J$3)=YEAR($B$7),MONTH(J$3)=MONTH($B$7)),J30,0)</x:f>
      </x:c>
      <x:c r="K35" s="117">
        <x:f>IF(AND(YEAR(K$3)=YEAR($B$7),MONTH(K$3)=MONTH($B$7)),K30,0)</x:f>
      </x:c>
      <x:c r="L35" s="117">
        <x:f>IF(AND(YEAR(L$3)=YEAR($B$7),MONTH(L$3)=MONTH($B$7)),L30,0)</x:f>
      </x:c>
      <x:c r="M35" s="117">
        <x:f>IF(AND(YEAR(M$3)=YEAR($B$7),MONTH(M$3)=MONTH($B$7)),M30,0)</x:f>
      </x:c>
      <x:c r="N35" s="117">
        <x:f>IF(AND(YEAR(N$3)=YEAR($B$7),MONTH(N$3)=MONTH($B$7)),N30,0)</x:f>
      </x:c>
      <x:c r="O35" s="117">
        <x:f>IF(AND(YEAR(O$3)=YEAR($B$7),MONTH(O$3)=MONTH($B$7)),O30,0)</x:f>
      </x:c>
      <x:c r="P35" s="117">
        <x:f>IF(AND(YEAR(P$3)=YEAR($B$7),MONTH(P$3)=MONTH($B$7)),P30,0)</x:f>
      </x:c>
      <x:c r="Q35" s="117">
        <x:f>IF(AND(YEAR(Q$3)=YEAR($B$7),MONTH(Q$3)=MONTH($B$7)),Q30,0)</x:f>
      </x:c>
      <x:c r="R35" s="117">
        <x:f>IF(AND(YEAR(R$3)=YEAR($B$7),MONTH(R$3)=MONTH($B$7)),R30,0)</x:f>
      </x:c>
      <x:c r="S35" s="117">
        <x:f>IF(AND(YEAR(S$3)=YEAR($B$7),MONTH(S$3)=MONTH($B$7)),S30,0)</x:f>
      </x:c>
      <x:c r="T35" s="117">
        <x:f>IF(AND(YEAR(T$3)=YEAR($B$7),MONTH(T$3)=MONTH($B$7)),T30,0)</x:f>
      </x:c>
      <x:c r="U35" s="117">
        <x:f>IF(AND(YEAR(U$3)=YEAR($B$7),MONTH(U$3)=MONTH($B$7)),U30,0)</x:f>
      </x:c>
      <x:c r="V35" s="117">
        <x:f>IF(AND(YEAR(V$3)=YEAR($B$7),MONTH(V$3)=MONTH($B$7)),V30,0)</x:f>
      </x:c>
      <x:c r="W35" s="117">
        <x:f>IF(AND(YEAR(W$3)=YEAR($B$7),MONTH(W$3)=MONTH($B$7)),W30,0)</x:f>
      </x:c>
      <x:c r="X35" s="117">
        <x:f>IF(AND(YEAR(X$3)=YEAR($B$7),MONTH(X$3)=MONTH($B$7)),X30,0)</x:f>
      </x:c>
      <x:c r="Y35" s="117">
        <x:f>IF(AND(YEAR(Y$3)=YEAR($B$7),MONTH(Y$3)=MONTH($B$7)),Y30,0)</x:f>
      </x:c>
      <x:c r="Z35" s="117">
        <x:f>IF(AND(YEAR(Z$3)=YEAR($B$7),MONTH(Z$3)=MONTH($B$7)),Z30,0)</x:f>
      </x:c>
      <x:c r="AA35" s="117">
        <x:f>IF(AND(YEAR(AA$3)=YEAR($B$7),MONTH(AA$3)=MONTH($B$7)),AA30,0)</x:f>
      </x:c>
      <x:c r="AB35" s="117">
        <x:f>IF(AND(YEAR(AB$3)=YEAR($B$7),MONTH(AB$3)=MONTH($B$7)),AB30,0)</x:f>
      </x:c>
      <x:c r="AC35" s="117">
        <x:f>IF(AND(YEAR(AC$3)=YEAR($B$7),MONTH(AC$3)=MONTH($B$7)),AC30,0)</x:f>
      </x:c>
      <x:c r="AD35" s="117">
        <x:f>IF(AND(YEAR(AD$3)=YEAR($B$7),MONTH(AD$3)=MONTH($B$7)),AD30,0)</x:f>
      </x:c>
      <x:c r="AE35" s="117">
        <x:f>IF(AND(YEAR(AE$3)=YEAR($B$7),MONTH(AE$3)=MONTH($B$7)),AE30,0)</x:f>
      </x:c>
      <x:c r="AF35" s="117">
        <x:f>IF(AND(YEAR(AF$3)=YEAR($B$7),MONTH(AF$3)=MONTH($B$7)),AF30,0)</x:f>
      </x:c>
      <x:c r="AG35" s="117">
        <x:f>IF(AND(YEAR(AG$3)=YEAR($B$7),MONTH(AG$3)=MONTH($B$7)),AG30,0)</x:f>
      </x:c>
      <x:c r="AH35" s="117">
        <x:f>IF(AND(YEAR(AH$3)=YEAR($B$7),MONTH(AH$3)=MONTH($B$7)),AH30,0)</x:f>
      </x:c>
      <x:c r="AI35" s="117">
        <x:f>IF(AND(YEAR(AI$3)=YEAR($B$7),MONTH(AI$3)=MONTH($B$7)),AI30,0)</x:f>
      </x:c>
      <x:c r="AJ35" s="117">
        <x:f>IF(AND(YEAR(AJ$3)=YEAR($B$7),MONTH(AJ$3)=MONTH($B$7)),AJ30,0)</x:f>
      </x:c>
      <x:c r="AK35" s="117">
        <x:f>IF(AND(YEAR(AK$3)=YEAR($B$7),MONTH(AK$3)=MONTH($B$7)),AK30,0)</x:f>
      </x:c>
      <x:c r="AL35" s="117">
        <x:f>IF(AND(YEAR(AL$3)=YEAR($B$7),MONTH(AL$3)=MONTH($B$7)),AL30,0)</x:f>
      </x:c>
      <x:c r="AM35" s="117">
        <x:f>IF(AND(YEAR(AM$3)=YEAR($B$7),MONTH(AM$3)=MONTH($B$7)),AM30,0)</x:f>
      </x:c>
      <x:c r="AN35" s="117">
        <x:f>IF(AND(YEAR(AN$3)=YEAR($B$7),MONTH(AN$3)=MONTH($B$7)),AN30,0)</x:f>
      </x:c>
      <x:c r="AO35" s="117">
        <x:f>IF(AND(YEAR(AO$3)=YEAR($B$7),MONTH(AO$3)=MONTH($B$7)),AO30,0)</x:f>
      </x:c>
      <x:c r="AP35" s="117">
        <x:f>IF(AND(YEAR(AP$3)=YEAR($B$7),MONTH(AP$3)=MONTH($B$7)),AP30,0)</x:f>
      </x:c>
      <x:c r="AQ35" s="117">
        <x:f>IF(AND(YEAR(AQ$3)=YEAR($B$7),MONTH(AQ$3)=MONTH($B$7)),AQ30,0)</x:f>
      </x:c>
      <x:c r="AR35" s="117">
        <x:f>IF(AND(YEAR(AR$3)=YEAR($B$7),MONTH(AR$3)=MONTH($B$7)),AR30,0)</x:f>
      </x:c>
      <x:c r="AS35" s="117">
        <x:f>IF(AND(YEAR(AS$3)=YEAR($B$7),MONTH(AS$3)=MONTH($B$7)),AS30,0)</x:f>
      </x:c>
      <x:c r="AT35" s="117">
        <x:f>IF(AND(YEAR(AT$3)=YEAR($B$7),MONTH(AT$3)=MONTH($B$7)),AT30,0)</x:f>
      </x:c>
      <x:c r="AU35" s="117">
        <x:f>IF(AND(YEAR(AU$3)=YEAR($B$7),MONTH(AU$3)=MONTH($B$7)),AU30,0)</x:f>
      </x:c>
      <x:c r="AV35" s="117">
        <x:f>IF(AND(YEAR(AV$3)=YEAR($B$7),MONTH(AV$3)=MONTH($B$7)),AV30,0)</x:f>
      </x:c>
      <x:c r="AW35" s="117">
        <x:f>IF(AND(YEAR(AW$3)=YEAR($B$7),MONTH(AW$3)=MONTH($B$7)),AW30,0)</x:f>
      </x:c>
      <x:c r="AX35" s="117">
        <x:f>IF(AND(YEAR(AX$3)=YEAR($B$7),MONTH(AX$3)=MONTH($B$7)),AX30,0)</x:f>
      </x:c>
      <x:c r="AY35" s="117">
        <x:f>IF(AND(YEAR(AY$3)=YEAR($B$7),MONTH(AY$3)=MONTH($B$7)),AY30,0)</x:f>
      </x:c>
      <x:c r="AZ35" s="117">
        <x:f>IF(AND(YEAR(AZ$3)=YEAR($B$7),MONTH(AZ$3)=MONTH($B$7)),AZ30,0)</x:f>
      </x:c>
      <x:c r="BA35" s="117">
        <x:f>IF(AND(YEAR(BA$3)=YEAR($B$7),MONTH(BA$3)=MONTH($B$7)),BA30,0)</x:f>
      </x:c>
      <x:c r="BB35" s="117">
        <x:f>IF(AND(YEAR(BB$3)=YEAR($B$7),MONTH(BB$3)=MONTH($B$7)),BB30,0)</x:f>
      </x:c>
      <x:c r="BC35" s="117">
        <x:f>IF(AND(YEAR(BC$3)=YEAR($B$7),MONTH(BC$3)=MONTH($B$7)),BC30,0)</x:f>
      </x:c>
      <x:c r="BD35" s="117">
        <x:f>IF(AND(YEAR(BD$3)=YEAR($B$7),MONTH(BD$3)=MONTH($B$7)),BD30,0)</x:f>
      </x:c>
      <x:c r="BE35" s="117">
        <x:f>IF(AND(YEAR(BE$3)=YEAR($B$7),MONTH(BE$3)=MONTH($B$7)),BE30,0)</x:f>
      </x:c>
      <x:c r="BF35" s="117">
        <x:f>IF(AND(YEAR(BF$3)=YEAR($B$7),MONTH(BF$3)=MONTH($B$7)),BF30,0)</x:f>
      </x:c>
      <x:c r="BG35" s="117">
        <x:f>IF(AND(YEAR(BG$3)=YEAR($B$7),MONTH(BG$3)=MONTH($B$7)),BG30,0)</x:f>
      </x:c>
      <x:c r="BH35" s="117">
        <x:f>IF(AND(YEAR(BH$3)=YEAR($B$7),MONTH(BH$3)=MONTH($B$7)),BH30,0)</x:f>
      </x:c>
      <x:c r="BI35" s="117">
        <x:f>IF(AND(YEAR(BI$3)=YEAR($B$7),MONTH(BI$3)=MONTH($B$7)),BI30,0)</x:f>
      </x:c>
      <x:c r="BJ35" s="117">
        <x:f>IF(AND(YEAR(BJ$3)=YEAR($B$7),MONTH(BJ$3)=MONTH($B$7)),BJ30,0)</x:f>
      </x:c>
      <x:c r="BK35" s="117">
        <x:f>IF(AND(YEAR(BK$3)=YEAR($B$7),MONTH(BK$3)=MONTH($B$7)),BK30,0)</x:f>
      </x:c>
      <x:c r="BL35" s="117">
        <x:f>IF(AND(YEAR(BL$3)=YEAR($B$7),MONTH(BL$3)=MONTH($B$7)),BL30,0)</x:f>
      </x:c>
      <x:c r="BM35" s="117">
        <x:f>IF(AND(YEAR(BM$3)=YEAR($B$7),MONTH(BM$3)=MONTH($B$7)),BM30,0)</x:f>
      </x:c>
      <x:c r="BN35" s="117">
        <x:f>IF(AND(YEAR(BN$3)=YEAR($B$7),MONTH(BN$3)=MONTH($B$7)),BN30,0)</x:f>
      </x:c>
      <x:c r="BO35" s="117">
        <x:f>IF(AND(YEAR(BO$3)=YEAR($B$7),MONTH(BO$3)=MONTH($B$7)),BO30,0)</x:f>
      </x:c>
      <x:c r="BP35" s="117">
        <x:f>IF(AND(YEAR(BP$3)=YEAR($B$7),MONTH(BP$3)=MONTH($B$7)),BP30,0)</x:f>
      </x:c>
      <x:c r="BQ35" s="117">
        <x:f>IF(AND(YEAR(BQ$3)=YEAR($B$7),MONTH(BQ$3)=MONTH($B$7)),BQ30,0)</x:f>
      </x:c>
      <x:c r="BR35" s="117">
        <x:f>IF(AND(YEAR(BR$3)=YEAR($B$7),MONTH(BR$3)=MONTH($B$7)),BR30,0)</x:f>
      </x:c>
      <x:c r="BS35" s="117">
        <x:f>IF(AND(YEAR(BS$3)=YEAR($B$7),MONTH(BS$3)=MONTH($B$7)),BS30,0)</x:f>
      </x:c>
      <x:c r="BT35" s="117">
        <x:f>IF(AND(YEAR(BT$3)=YEAR($B$7),MONTH(BT$3)=MONTH($B$7)),BT30,0)</x:f>
      </x:c>
      <x:c r="BU35" s="117">
        <x:f>IF(AND(YEAR(BU$3)=YEAR($B$7),MONTH(BU$3)=MONTH($B$7)),BU30,0)</x:f>
      </x:c>
      <x:c r="BV35" s="117">
        <x:f>IF(AND(YEAR(BV$3)=YEAR($B$7),MONTH(BV$3)=MONTH($B$7)),BV30,0)</x:f>
      </x:c>
      <x:c r="BW35" s="117">
        <x:f>IF(AND(YEAR(BW$3)=YEAR($B$7),MONTH(BW$3)=MONTH($B$7)),BW30,0)</x:f>
      </x:c>
      <x:c r="BX35" s="117">
        <x:f>IF(AND(YEAR(BX$3)=YEAR($B$7),MONTH(BX$3)=MONTH($B$7)),BX30,0)</x:f>
      </x:c>
      <x:c r="BY35" s="117">
        <x:f>IF(AND(YEAR(BY$3)=YEAR($B$7),MONTH(BY$3)=MONTH($B$7)),BY30,0)</x:f>
      </x:c>
      <x:c r="BZ35" s="117">
        <x:f>IF(AND(YEAR(BZ$3)=YEAR($B$7),MONTH(BZ$3)=MONTH($B$7)),BZ30,0)</x:f>
      </x:c>
      <x:c r="CA35" s="117">
        <x:f>IF(AND(YEAR(CA$3)=YEAR($B$7),MONTH(CA$3)=MONTH($B$7)),CA30,0)</x:f>
      </x:c>
      <x:c r="CB35" s="117">
        <x:f>IF(AND(YEAR(CB$3)=YEAR($B$7),MONTH(CB$3)=MONTH($B$7)),CB30,0)</x:f>
      </x:c>
      <x:c r="CC35" s="117">
        <x:f>IF(AND(YEAR(CC$3)=YEAR($B$7),MONTH(CC$3)=MONTH($B$7)),CC30,0)</x:f>
      </x:c>
      <x:c r="CD35" s="117">
        <x:f>IF(AND(YEAR(CD$3)=YEAR($B$7),MONTH(CD$3)=MONTH($B$7)),CD30,0)</x:f>
      </x:c>
      <x:c r="CE35" s="117">
        <x:f>IF(AND(YEAR(CE$3)=YEAR($B$7),MONTH(CE$3)=MONTH($B$7)),CE30,0)</x:f>
      </x:c>
      <x:c r="CF35" s="117">
        <x:f>IF(AND(YEAR(CF$3)=YEAR($B$7),MONTH(CF$3)=MONTH($B$7)),CF30,0)</x:f>
      </x:c>
      <x:c r="CG35" s="117">
        <x:f>IF(AND(YEAR(CG$3)=YEAR($B$7),MONTH(CG$3)=MONTH($B$7)),CG30,0)</x:f>
      </x:c>
      <x:c r="CH35" s="117">
        <x:f>IF(AND(YEAR(CH$3)=YEAR($B$7),MONTH(CH$3)=MONTH($B$7)),CH30,0)</x:f>
      </x:c>
      <x:c r="CI35" s="117">
        <x:f>IF(AND(YEAR(CI$3)=YEAR($B$7),MONTH(CI$3)=MONTH($B$7)),CI30,0)</x:f>
      </x:c>
      <x:c r="CJ35" s="117">
        <x:f>IF(AND(YEAR(CJ$3)=YEAR($B$7),MONTH(CJ$3)=MONTH($B$7)),CJ30,0)</x:f>
      </x:c>
      <x:c r="CK35" s="117">
        <x:f>IF(AND(YEAR(CK$3)=YEAR($B$7),MONTH(CK$3)=MONTH($B$7)),CK30,0)</x:f>
      </x:c>
      <x:c r="CL35" s="117">
        <x:f>IF(AND(YEAR(CL$3)=YEAR($B$7),MONTH(CL$3)=MONTH($B$7)),CL30,0)</x:f>
      </x:c>
      <x:c r="CM35" s="117">
        <x:f>IF(AND(YEAR(CM$3)=YEAR($B$7),MONTH(CM$3)=MONTH($B$7)),CM30,0)</x:f>
      </x:c>
      <x:c r="CN35" s="117">
        <x:f>IF(AND(YEAR(CN$3)=YEAR($B$7),MONTH(CN$3)=MONTH($B$7)),CN30,0)</x:f>
      </x:c>
      <x:c r="CO35" s="117">
        <x:f>IF(AND(YEAR(CO$3)=YEAR($B$7),MONTH(CO$3)=MONTH($B$7)),CO30,0)</x:f>
      </x:c>
      <x:c r="CP35" s="117">
        <x:f>IF(AND(YEAR(CP$3)=YEAR($B$7),MONTH(CP$3)=MONTH($B$7)),CP30,0)</x:f>
      </x:c>
      <x:c r="CQ35" s="117">
        <x:f>IF(AND(YEAR(CQ$3)=YEAR($B$7),MONTH(CQ$3)=MONTH($B$7)),CQ30,0)</x:f>
      </x:c>
      <x:c r="CR35" s="117">
        <x:f>IF(AND(YEAR(CR$3)=YEAR($B$7),MONTH(CR$3)=MONTH($B$7)),CR30,0)</x:f>
      </x:c>
      <x:c r="CS35" s="117">
        <x:f>IF(AND(YEAR(CS$3)=YEAR($B$7),MONTH(CS$3)=MONTH($B$7)),CS30,0)</x:f>
      </x:c>
      <x:c r="CT35" s="117">
        <x:f>IF(AND(YEAR(CT$3)=YEAR($B$7),MONTH(CT$3)=MONTH($B$7)),CT30,0)</x:f>
      </x:c>
      <x:c r="CU35" s="117">
        <x:f>IF(AND(YEAR(CU$3)=YEAR($B$7),MONTH(CU$3)=MONTH($B$7)),CU30,0)</x:f>
      </x:c>
      <x:c r="CV35" s="117">
        <x:f>IF(AND(YEAR(CV$3)=YEAR($B$7),MONTH(CV$3)=MONTH($B$7)),CV30,0)</x:f>
      </x:c>
      <x:c r="CW35" s="117">
        <x:f>IF(AND(YEAR(CW$3)=YEAR($B$7),MONTH(CW$3)=MONTH($B$7)),CW30,0)</x:f>
      </x:c>
      <x:c r="CX35" s="117">
        <x:f>IF(AND(YEAR(CX$3)=YEAR($B$7),MONTH(CX$3)=MONTH($B$7)),CX30,0)</x:f>
      </x:c>
      <x:c r="CY35" s="117">
        <x:f>IF(AND(YEAR(CY$3)=YEAR($B$7),MONTH(CY$3)=MONTH($B$7)),CY30,0)</x:f>
      </x:c>
      <x:c r="CZ35" s="117">
        <x:f>IF(AND(YEAR(CZ$3)=YEAR($B$7),MONTH(CZ$3)=MONTH($B$7)),CZ30,0)</x:f>
      </x:c>
      <x:c r="DA35" s="117">
        <x:f>IF(AND(YEAR(DA$3)=YEAR($B$7),MONTH(DA$3)=MONTH($B$7)),DA30,0)</x:f>
      </x:c>
      <x:c r="DB35" s="117">
        <x:f>IF(AND(YEAR(DB$3)=YEAR($B$7),MONTH(DB$3)=MONTH($B$7)),DB30,0)</x:f>
      </x:c>
      <x:c r="DC35" s="117">
        <x:f>IF(AND(YEAR(DC$3)=YEAR($B$7),MONTH(DC$3)=MONTH($B$7)),DC30,0)</x:f>
      </x:c>
      <x:c r="DD35" s="117">
        <x:f>IF(AND(YEAR(DD$3)=YEAR($B$7),MONTH(DD$3)=MONTH($B$7)),DD30,0)</x:f>
      </x:c>
      <x:c r="DE35" s="117">
        <x:f>IF(AND(YEAR(DE$3)=YEAR($B$7),MONTH(DE$3)=MONTH($B$7)),DE30,0)</x:f>
      </x:c>
      <x:c r="DF35" s="117">
        <x:f>IF(AND(YEAR(DF$3)=YEAR($B$7),MONTH(DF$3)=MONTH($B$7)),DF30,0)</x:f>
      </x:c>
      <x:c r="DG35" s="117">
        <x:f>IF(AND(YEAR(DG$3)=YEAR($B$7),MONTH(DG$3)=MONTH($B$7)),DG30,0)</x:f>
      </x:c>
      <x:c r="DH35" s="117">
        <x:f>IF(AND(YEAR(DH$3)=YEAR($B$7),MONTH(DH$3)=MONTH($B$7)),DH30,0)</x:f>
      </x:c>
      <x:c r="DI35" s="117">
        <x:f>IF(AND(YEAR(DI$3)=YEAR($B$7),MONTH(DI$3)=MONTH($B$7)),DI30,0)</x:f>
      </x:c>
      <x:c r="DJ35" s="117">
        <x:f>IF(AND(YEAR(DJ$3)=YEAR($B$7),MONTH(DJ$3)=MONTH($B$7)),DJ30,0)</x:f>
      </x:c>
      <x:c r="DK35" s="117">
        <x:f>IF(AND(YEAR(DK$3)=YEAR($B$7),MONTH(DK$3)=MONTH($B$7)),DK30,0)</x:f>
      </x:c>
      <x:c r="DL35" s="117">
        <x:f>IF(AND(YEAR(DL$3)=YEAR($B$7),MONTH(DL$3)=MONTH($B$7)),DL30,0)</x:f>
      </x:c>
      <x:c r="DM35" s="117">
        <x:f>IF(AND(YEAR(DM$3)=YEAR($B$7),MONTH(DM$3)=MONTH($B$7)),DM30,0)</x:f>
      </x:c>
      <x:c r="DN35" s="117">
        <x:f>IF(AND(YEAR(DN$3)=YEAR($B$7),MONTH(DN$3)=MONTH($B$7)),DN30,0)</x:f>
      </x:c>
      <x:c r="DO35" s="117">
        <x:f>IF(AND(YEAR(DO$3)=YEAR($B$7),MONTH(DO$3)=MONTH($B$7)),DO30,0)</x:f>
      </x:c>
      <x:c r="DP35" s="117">
        <x:f>IF(AND(YEAR(DP$3)=YEAR($B$7),MONTH(DP$3)=MONTH($B$7)),DP30,0)</x:f>
      </x:c>
      <x:c r="DQ35" s="117">
        <x:f>IF(AND(YEAR(DQ$3)=YEAR($B$7),MONTH(DQ$3)=MONTH($B$7)),DQ30,0)</x:f>
      </x:c>
      <x:c r="DR35" s="117">
        <x:f>IF(AND(YEAR(DR$3)=YEAR($B$7),MONTH(DR$3)=MONTH($B$7)),DR30,0)</x:f>
      </x:c>
      <x:c r="DS35" s="117">
        <x:f>IF(AND(YEAR(DS$3)=YEAR($B$7),MONTH(DS$3)=MONTH($B$7)),DS30,0)</x:f>
      </x:c>
      <x:c r="DT35" s="117">
        <x:f>IF(AND(YEAR(DT$3)=YEAR($B$7),MONTH(DT$3)=MONTH($B$7)),DT30,0)</x:f>
      </x:c>
      <x:c r="DU35" s="117">
        <x:f>IF(AND(YEAR(DU$3)=YEAR($B$7),MONTH(DU$3)=MONTH($B$7)),DU30,0)</x:f>
      </x:c>
      <x:c r="DV35" s="117">
        <x:f>IF(AND(YEAR(DV$3)=YEAR($B$7),MONTH(DV$3)=MONTH($B$7)),DV30,0)</x:f>
      </x:c>
      <x:c r="DW35" s="117">
        <x:f>IF(AND(YEAR(DW$3)=YEAR($B$7),MONTH(DW$3)=MONTH($B$7)),DW30,0)</x:f>
      </x:c>
      <x:c r="DX35" s="117">
        <x:f>IF(AND(YEAR(DX$3)=YEAR($B$7),MONTH(DX$3)=MONTH($B$7)),DX30,0)</x:f>
      </x:c>
      <x:c r="DY35" s="117">
        <x:f>IF(AND(YEAR(DY$3)=YEAR($B$7),MONTH(DY$3)=MONTH($B$7)),DY30,0)</x:f>
      </x:c>
      <x:c r="DZ35" s="117">
        <x:f>IF(AND(YEAR(DZ$3)=YEAR($B$7),MONTH(DZ$3)=MONTH($B$7)),DZ30,0)</x:f>
      </x:c>
      <x:c r="EA35" s="117">
        <x:f>IF(AND(YEAR(EA$3)=YEAR($B$7),MONTH(EA$3)=MONTH($B$7)),EA30,0)</x:f>
      </x:c>
      <x:c r="EB35" s="117">
        <x:f>IF(AND(YEAR(EB$3)=YEAR($B$7),MONTH(EB$3)=MONTH($B$7)),EB30,0)</x:f>
      </x:c>
      <x:c r="EC35" s="117">
        <x:f>IF(AND(YEAR(EC$3)=YEAR($B$7),MONTH(EC$3)=MONTH($B$7)),EC30,0)</x:f>
      </x:c>
      <x:c r="ED35" s="117">
        <x:f>IF(AND(YEAR(ED$3)=YEAR($B$7),MONTH(ED$3)=MONTH($B$7)),ED30,0)</x:f>
      </x:c>
      <x:c r="EE35" s="117">
        <x:f>IF(AND(YEAR(EE$3)=YEAR($B$7),MONTH(EE$3)=MONTH($B$7)),EE30,0)</x:f>
      </x:c>
      <x:c r="EF35" s="117">
        <x:f>IF(AND(YEAR(EF$3)=YEAR($B$7),MONTH(EF$3)=MONTH($B$7)),EF30,0)</x:f>
      </x:c>
      <x:c r="EG35" s="117">
        <x:f>IF(AND(YEAR(EG$3)=YEAR($B$7),MONTH(EG$3)=MONTH($B$7)),EG30,0)</x:f>
      </x:c>
      <x:c r="EH35" s="117">
        <x:f>IF(AND(YEAR(EH$3)=YEAR($B$7),MONTH(EH$3)=MONTH($B$7)),EH30,0)</x:f>
      </x:c>
      <x:c r="EI35" s="117">
        <x:f>IF(AND(YEAR(EI$3)=YEAR($B$7),MONTH(EI$3)=MONTH($B$7)),EI30,0)</x:f>
      </x:c>
      <x:c r="EJ35" s="117">
        <x:f>IF(AND(YEAR(EJ$3)=YEAR($B$7),MONTH(EJ$3)=MONTH($B$7)),EJ30,0)</x:f>
      </x:c>
      <x:c r="EK35" s="117">
        <x:f>IF(AND(YEAR(EK$3)=YEAR($B$7),MONTH(EK$3)=MONTH($B$7)),EK30,0)</x:f>
      </x:c>
      <x:c r="EL35" s="117">
        <x:f>IF(AND(YEAR(EL$3)=YEAR($B$7),MONTH(EL$3)=MONTH($B$7)),EL30,0)</x:f>
      </x:c>
      <x:c r="EM35" s="117">
        <x:f>IF(AND(YEAR(EM$3)=YEAR($B$7),MONTH(EM$3)=MONTH($B$7)),EM30,0)</x:f>
      </x:c>
      <x:c r="EN35" s="117">
        <x:f>IF(AND(YEAR(EN$3)=YEAR($B$7),MONTH(EN$3)=MONTH($B$7)),EN30,0)</x:f>
      </x:c>
      <x:c r="EO35" s="117">
        <x:f>IF(AND(YEAR(EO$3)=YEAR($B$7),MONTH(EO$3)=MONTH($B$7)),EO30,0)</x:f>
      </x:c>
      <x:c r="EP35" s="117">
        <x:f>IF(AND(YEAR(EP$3)=YEAR($B$7),MONTH(EP$3)=MONTH($B$7)),EP30,0)</x:f>
      </x:c>
      <x:c r="EQ35" s="117">
        <x:f>IF(AND(YEAR(EQ$3)=YEAR($B$7),MONTH(EQ$3)=MONTH($B$7)),EQ30,0)</x:f>
      </x:c>
      <x:c r="ER35" s="117">
        <x:f>IF(AND(YEAR(ER$3)=YEAR($B$7),MONTH(ER$3)=MONTH($B$7)),ER30,0)</x:f>
      </x:c>
      <x:c r="ES35" s="117">
        <x:f>IF(AND(YEAR(ES$3)=YEAR($B$7),MONTH(ES$3)=MONTH($B$7)),ES30,0)</x:f>
      </x:c>
      <x:c r="ET35" s="117">
        <x:f>IF(AND(YEAR(ET$3)=YEAR($B$7),MONTH(ET$3)=MONTH($B$7)),ET30,0)</x:f>
      </x:c>
      <x:c r="EU35" s="117">
        <x:f>IF(AND(YEAR(EU$3)=YEAR($B$7),MONTH(EU$3)=MONTH($B$7)),EU30,0)</x:f>
      </x:c>
      <x:c r="EV35" s="117">
        <x:f>IF(AND(YEAR(EV$3)=YEAR($B$7),MONTH(EV$3)=MONTH($B$7)),EV30,0)</x:f>
      </x:c>
      <x:c r="EW35" s="117">
        <x:f>IF(AND(YEAR(EW$3)=YEAR($B$7),MONTH(EW$3)=MONTH($B$7)),EW30,0)</x:f>
      </x:c>
      <x:c r="EX35" s="117">
        <x:f>IF(AND(YEAR(EX$3)=YEAR($B$7),MONTH(EX$3)=MONTH($B$7)),EX30,0)</x:f>
      </x:c>
      <x:c r="EY35" s="117">
        <x:f>IF(AND(YEAR(EY$3)=YEAR($B$7),MONTH(EY$3)=MONTH($B$7)),EY30,0)</x:f>
      </x:c>
      <x:c r="EZ35" s="117">
        <x:f>IF(AND(YEAR(EZ$3)=YEAR($B$7),MONTH(EZ$3)=MONTH($B$7)),EZ30,0)</x:f>
      </x:c>
      <x:c r="FA35" s="117">
        <x:f>IF(AND(YEAR(FA$3)=YEAR($B$7),MONTH(FA$3)=MONTH($B$7)),FA30,0)</x:f>
      </x:c>
      <x:c r="FB35" s="117">
        <x:f>IF(AND(YEAR(FB$3)=YEAR($B$7),MONTH(FB$3)=MONTH($B$7)),FB30,0)</x:f>
      </x:c>
      <x:c r="FC35" s="117">
        <x:f>IF(AND(YEAR(FC$3)=YEAR($B$7),MONTH(FC$3)=MONTH($B$7)),FC30,0)</x:f>
      </x:c>
      <x:c r="FD35" s="117">
        <x:f>IF(AND(YEAR(FD$3)=YEAR($B$7),MONTH(FD$3)=MONTH($B$7)),FD30,0)</x:f>
      </x:c>
      <x:c r="FE35" s="117">
        <x:f>IF(AND(YEAR(FE$3)=YEAR($B$7),MONTH(FE$3)=MONTH($B$7)),FE30,0)</x:f>
      </x:c>
      <x:c r="FF35" s="117">
        <x:f>IF(AND(YEAR(FF$3)=YEAR($B$7),MONTH(FF$3)=MONTH($B$7)),FF30,0)</x:f>
      </x:c>
      <x:c r="FG35" s="117">
        <x:f>IF(AND(YEAR(FG$3)=YEAR($B$7),MONTH(FG$3)=MONTH($B$7)),FG30,0)</x:f>
      </x:c>
      <x:c r="FH35" s="117">
        <x:f>IF(AND(YEAR(FH$3)=YEAR($B$7),MONTH(FH$3)=MONTH($B$7)),FH30,0)</x:f>
      </x:c>
      <x:c r="FI35" s="117">
        <x:f>IF(AND(YEAR(FI$3)=YEAR($B$7),MONTH(FI$3)=MONTH($B$7)),FI30,0)</x:f>
      </x:c>
      <x:c r="FJ35" s="117">
        <x:f>IF(AND(YEAR(FJ$3)=YEAR($B$7),MONTH(FJ$3)=MONTH($B$7)),FJ30,0)</x:f>
      </x:c>
      <x:c r="FK35" s="117">
        <x:f>IF(AND(YEAR(FK$3)=YEAR($B$7),MONTH(FK$3)=MONTH($B$7)),FK30,0)</x:f>
      </x:c>
      <x:c r="FL35" s="117">
        <x:f>IF(AND(YEAR(FL$3)=YEAR($B$7),MONTH(FL$3)=MONTH($B$7)),FL30,0)</x:f>
      </x:c>
      <x:c r="FM35" s="117">
        <x:f>IF(AND(YEAR(FM$3)=YEAR($B$7),MONTH(FM$3)=MONTH($B$7)),FM30,0)</x:f>
      </x:c>
      <x:c r="FN35" s="117">
        <x:f>IF(AND(YEAR(FN$3)=YEAR($B$7),MONTH(FN$3)=MONTH($B$7)),FN30,0)</x:f>
      </x:c>
      <x:c r="FO35" s="117">
        <x:f>IF(AND(YEAR(FO$3)=YEAR($B$7),MONTH(FO$3)=MONTH($B$7)),FO30,0)</x:f>
      </x:c>
      <x:c r="FP35" s="117">
        <x:f>IF(AND(YEAR(FP$3)=YEAR($B$7),MONTH(FP$3)=MONTH($B$7)),FP30,0)</x:f>
      </x:c>
      <x:c r="FQ35" s="117">
        <x:f>IF(AND(YEAR(FQ$3)=YEAR($B$7),MONTH(FQ$3)=MONTH($B$7)),FQ30,0)</x:f>
      </x:c>
      <x:c r="FR35" s="117">
        <x:f>IF(AND(YEAR(FR$3)=YEAR($B$7),MONTH(FR$3)=MONTH($B$7)),FR30,0)</x:f>
      </x:c>
      <x:c r="FS35" s="117">
        <x:f>IF(AND(YEAR(FS$3)=YEAR($B$7),MONTH(FS$3)=MONTH($B$7)),FS30,0)</x:f>
      </x:c>
      <x:c r="FT35" s="117">
        <x:f>IF(AND(YEAR(FT$3)=YEAR($B$7),MONTH(FT$3)=MONTH($B$7)),FT30,0)</x:f>
      </x:c>
      <x:c r="FU35" s="117">
        <x:f>IF(AND(YEAR(FU$3)=YEAR($B$7),MONTH(FU$3)=MONTH($B$7)),FU30,0)</x:f>
      </x:c>
      <x:c r="FV35" s="117">
        <x:f>IF(AND(YEAR(FV$3)=YEAR($B$7),MONTH(FV$3)=MONTH($B$7)),FV30,0)</x:f>
      </x:c>
      <x:c r="FW35" s="117">
        <x:f>IF(AND(YEAR(FW$3)=YEAR($B$7),MONTH(FW$3)=MONTH($B$7)),FW30,0)</x:f>
      </x:c>
      <x:c r="FX35" s="117">
        <x:f>IF(AND(YEAR(FX$3)=YEAR($B$7),MONTH(FX$3)=MONTH($B$7)),FX30,0)</x:f>
      </x:c>
      <x:c r="FY35" s="117">
        <x:f>IF(AND(YEAR(FY$3)=YEAR($B$7),MONTH(FY$3)=MONTH($B$7)),FY30,0)</x:f>
      </x:c>
      <x:c r="FZ35" s="117">
        <x:f>IF(AND(YEAR(FZ$3)=YEAR($B$7),MONTH(FZ$3)=MONTH($B$7)),FZ30,0)</x:f>
      </x:c>
      <x:c r="GA35" s="117">
        <x:f>IF(AND(YEAR(GA$3)=YEAR($B$7),MONTH(GA$3)=MONTH($B$7)),GA30,0)</x:f>
      </x:c>
    </x:row>
    <x:row r="36">
      <x:c r="A36" s="113" t="str">
        <x:v>БРИДЖ — долг на конец</x:v>
      </x:c>
      <x:c r="B36" s="113" t="n">
        <x:f>GA36</x:f>
      </x:c>
      <x:c r="C36" s="113" t="str">
        <x:v>млн ₽</x:v>
      </x:c>
      <x:c r="D36" s="120">
        <x:f>MAX(0,D30+D34-D35)</x:f>
      </x:c>
      <x:c r="E36" s="120">
        <x:f>MAX(0,E30+E34-E35)</x:f>
      </x:c>
      <x:c r="F36" s="120">
        <x:f>MAX(0,F30+F34-F35)</x:f>
      </x:c>
      <x:c r="G36" s="120">
        <x:f>MAX(0,G30+G34-G35)</x:f>
      </x:c>
      <x:c r="H36" s="120">
        <x:f>MAX(0,H30+H34-H35)</x:f>
      </x:c>
      <x:c r="I36" s="120">
        <x:f>MAX(0,I30+I34-I35)</x:f>
      </x:c>
      <x:c r="J36" s="120">
        <x:f>MAX(0,J30+J34-J35)</x:f>
      </x:c>
      <x:c r="K36" s="120">
        <x:f>MAX(0,K30+K34-K35)</x:f>
      </x:c>
      <x:c r="L36" s="120">
        <x:f>MAX(0,L30+L34-L35)</x:f>
      </x:c>
      <x:c r="M36" s="120">
        <x:f>MAX(0,M30+M34-M35)</x:f>
      </x:c>
      <x:c r="N36" s="120">
        <x:f>MAX(0,N30+N34-N35)</x:f>
      </x:c>
      <x:c r="O36" s="120">
        <x:f>MAX(0,O30+O34-O35)</x:f>
      </x:c>
      <x:c r="P36" s="120">
        <x:f>MAX(0,P30+P34-P35)</x:f>
      </x:c>
      <x:c r="Q36" s="120">
        <x:f>MAX(0,Q30+Q34-Q35)</x:f>
      </x:c>
      <x:c r="R36" s="120">
        <x:f>MAX(0,R30+R34-R35)</x:f>
      </x:c>
      <x:c r="S36" s="120">
        <x:f>MAX(0,S30+S34-S35)</x:f>
      </x:c>
      <x:c r="T36" s="120">
        <x:f>MAX(0,T30+T34-T35)</x:f>
      </x:c>
      <x:c r="U36" s="120">
        <x:f>MAX(0,U30+U34-U35)</x:f>
      </x:c>
      <x:c r="V36" s="120">
        <x:f>MAX(0,V30+V34-V35)</x:f>
      </x:c>
      <x:c r="W36" s="120">
        <x:f>MAX(0,W30+W34-W35)</x:f>
      </x:c>
      <x:c r="X36" s="120">
        <x:f>MAX(0,X30+X34-X35)</x:f>
      </x:c>
      <x:c r="Y36" s="120">
        <x:f>MAX(0,Y30+Y34-Y35)</x:f>
      </x:c>
      <x:c r="Z36" s="120">
        <x:f>MAX(0,Z30+Z34-Z35)</x:f>
      </x:c>
      <x:c r="AA36" s="120">
        <x:f>MAX(0,AA30+AA34-AA35)</x:f>
      </x:c>
      <x:c r="AB36" s="120">
        <x:f>MAX(0,AB30+AB34-AB35)</x:f>
      </x:c>
      <x:c r="AC36" s="120">
        <x:f>MAX(0,AC30+AC34-AC35)</x:f>
      </x:c>
      <x:c r="AD36" s="120">
        <x:f>MAX(0,AD30+AD34-AD35)</x:f>
      </x:c>
      <x:c r="AE36" s="120">
        <x:f>MAX(0,AE30+AE34-AE35)</x:f>
      </x:c>
      <x:c r="AF36" s="120">
        <x:f>MAX(0,AF30+AF34-AF35)</x:f>
      </x:c>
      <x:c r="AG36" s="120">
        <x:f>MAX(0,AG30+AG34-AG35)</x:f>
      </x:c>
      <x:c r="AH36" s="120">
        <x:f>MAX(0,AH30+AH34-AH35)</x:f>
      </x:c>
      <x:c r="AI36" s="120">
        <x:f>MAX(0,AI30+AI34-AI35)</x:f>
      </x:c>
      <x:c r="AJ36" s="120">
        <x:f>MAX(0,AJ30+AJ34-AJ35)</x:f>
      </x:c>
      <x:c r="AK36" s="120">
        <x:f>MAX(0,AK30+AK34-AK35)</x:f>
      </x:c>
      <x:c r="AL36" s="120">
        <x:f>MAX(0,AL30+AL34-AL35)</x:f>
      </x:c>
      <x:c r="AM36" s="120">
        <x:f>MAX(0,AM30+AM34-AM35)</x:f>
      </x:c>
      <x:c r="AN36" s="120">
        <x:f>MAX(0,AN30+AN34-AN35)</x:f>
      </x:c>
      <x:c r="AO36" s="120">
        <x:f>MAX(0,AO30+AO34-AO35)</x:f>
      </x:c>
      <x:c r="AP36" s="120">
        <x:f>MAX(0,AP30+AP34-AP35)</x:f>
      </x:c>
      <x:c r="AQ36" s="120">
        <x:f>MAX(0,AQ30+AQ34-AQ35)</x:f>
      </x:c>
      <x:c r="AR36" s="120">
        <x:f>MAX(0,AR30+AR34-AR35)</x:f>
      </x:c>
      <x:c r="AS36" s="120">
        <x:f>MAX(0,AS30+AS34-AS35)</x:f>
      </x:c>
      <x:c r="AT36" s="120">
        <x:f>MAX(0,AT30+AT34-AT35)</x:f>
      </x:c>
      <x:c r="AU36" s="120">
        <x:f>MAX(0,AU30+AU34-AU35)</x:f>
      </x:c>
      <x:c r="AV36" s="120">
        <x:f>MAX(0,AV30+AV34-AV35)</x:f>
      </x:c>
      <x:c r="AW36" s="120">
        <x:f>MAX(0,AW30+AW34-AW35)</x:f>
      </x:c>
      <x:c r="AX36" s="120">
        <x:f>MAX(0,AX30+AX34-AX35)</x:f>
      </x:c>
      <x:c r="AY36" s="120">
        <x:f>MAX(0,AY30+AY34-AY35)</x:f>
      </x:c>
      <x:c r="AZ36" s="120">
        <x:f>MAX(0,AZ30+AZ34-AZ35)</x:f>
      </x:c>
      <x:c r="BA36" s="120">
        <x:f>MAX(0,BA30+BA34-BA35)</x:f>
      </x:c>
      <x:c r="BB36" s="120">
        <x:f>MAX(0,BB30+BB34-BB35)</x:f>
      </x:c>
      <x:c r="BC36" s="120">
        <x:f>MAX(0,BC30+BC34-BC35)</x:f>
      </x:c>
      <x:c r="BD36" s="120">
        <x:f>MAX(0,BD30+BD34-BD35)</x:f>
      </x:c>
      <x:c r="BE36" s="120">
        <x:f>MAX(0,BE30+BE34-BE35)</x:f>
      </x:c>
      <x:c r="BF36" s="120">
        <x:f>MAX(0,BF30+BF34-BF35)</x:f>
      </x:c>
      <x:c r="BG36" s="120">
        <x:f>MAX(0,BG30+BG34-BG35)</x:f>
      </x:c>
      <x:c r="BH36" s="120">
        <x:f>MAX(0,BH30+BH34-BH35)</x:f>
      </x:c>
      <x:c r="BI36" s="120">
        <x:f>MAX(0,BI30+BI34-BI35)</x:f>
      </x:c>
      <x:c r="BJ36" s="120">
        <x:f>MAX(0,BJ30+BJ34-BJ35)</x:f>
      </x:c>
      <x:c r="BK36" s="120">
        <x:f>MAX(0,BK30+BK34-BK35)</x:f>
      </x:c>
      <x:c r="BL36" s="120">
        <x:f>MAX(0,BL30+BL34-BL35)</x:f>
      </x:c>
      <x:c r="BM36" s="120">
        <x:f>MAX(0,BM30+BM34-BM35)</x:f>
      </x:c>
      <x:c r="BN36" s="120">
        <x:f>MAX(0,BN30+BN34-BN35)</x:f>
      </x:c>
      <x:c r="BO36" s="120">
        <x:f>MAX(0,BO30+BO34-BO35)</x:f>
      </x:c>
      <x:c r="BP36" s="120">
        <x:f>MAX(0,BP30+BP34-BP35)</x:f>
      </x:c>
      <x:c r="BQ36" s="120">
        <x:f>MAX(0,BQ30+BQ34-BQ35)</x:f>
      </x:c>
      <x:c r="BR36" s="120">
        <x:f>MAX(0,BR30+BR34-BR35)</x:f>
      </x:c>
      <x:c r="BS36" s="120">
        <x:f>MAX(0,BS30+BS34-BS35)</x:f>
      </x:c>
      <x:c r="BT36" s="120">
        <x:f>MAX(0,BT30+BT34-BT35)</x:f>
      </x:c>
      <x:c r="BU36" s="120">
        <x:f>MAX(0,BU30+BU34-BU35)</x:f>
      </x:c>
      <x:c r="BV36" s="120">
        <x:f>MAX(0,BV30+BV34-BV35)</x:f>
      </x:c>
      <x:c r="BW36" s="120">
        <x:f>MAX(0,BW30+BW34-BW35)</x:f>
      </x:c>
      <x:c r="BX36" s="120">
        <x:f>MAX(0,BX30+BX34-BX35)</x:f>
      </x:c>
      <x:c r="BY36" s="120">
        <x:f>MAX(0,BY30+BY34-BY35)</x:f>
      </x:c>
      <x:c r="BZ36" s="120">
        <x:f>MAX(0,BZ30+BZ34-BZ35)</x:f>
      </x:c>
      <x:c r="CA36" s="120">
        <x:f>MAX(0,CA30+CA34-CA35)</x:f>
      </x:c>
      <x:c r="CB36" s="120">
        <x:f>MAX(0,CB30+CB34-CB35)</x:f>
      </x:c>
      <x:c r="CC36" s="120">
        <x:f>MAX(0,CC30+CC34-CC35)</x:f>
      </x:c>
      <x:c r="CD36" s="120">
        <x:f>MAX(0,CD30+CD34-CD35)</x:f>
      </x:c>
      <x:c r="CE36" s="120">
        <x:f>MAX(0,CE30+CE34-CE35)</x:f>
      </x:c>
      <x:c r="CF36" s="120">
        <x:f>MAX(0,CF30+CF34-CF35)</x:f>
      </x:c>
      <x:c r="CG36" s="120">
        <x:f>MAX(0,CG30+CG34-CG35)</x:f>
      </x:c>
      <x:c r="CH36" s="120">
        <x:f>MAX(0,CH30+CH34-CH35)</x:f>
      </x:c>
      <x:c r="CI36" s="120">
        <x:f>MAX(0,CI30+CI34-CI35)</x:f>
      </x:c>
      <x:c r="CJ36" s="120">
        <x:f>MAX(0,CJ30+CJ34-CJ35)</x:f>
      </x:c>
      <x:c r="CK36" s="120">
        <x:f>MAX(0,CK30+CK34-CK35)</x:f>
      </x:c>
      <x:c r="CL36" s="120">
        <x:f>MAX(0,CL30+CL34-CL35)</x:f>
      </x:c>
      <x:c r="CM36" s="120">
        <x:f>MAX(0,CM30+CM34-CM35)</x:f>
      </x:c>
      <x:c r="CN36" s="120">
        <x:f>MAX(0,CN30+CN34-CN35)</x:f>
      </x:c>
      <x:c r="CO36" s="120">
        <x:f>MAX(0,CO30+CO34-CO35)</x:f>
      </x:c>
      <x:c r="CP36" s="120">
        <x:f>MAX(0,CP30+CP34-CP35)</x:f>
      </x:c>
      <x:c r="CQ36" s="120">
        <x:f>MAX(0,CQ30+CQ34-CQ35)</x:f>
      </x:c>
      <x:c r="CR36" s="120">
        <x:f>MAX(0,CR30+CR34-CR35)</x:f>
      </x:c>
      <x:c r="CS36" s="120">
        <x:f>MAX(0,CS30+CS34-CS35)</x:f>
      </x:c>
      <x:c r="CT36" s="120">
        <x:f>MAX(0,CT30+CT34-CT35)</x:f>
      </x:c>
      <x:c r="CU36" s="120">
        <x:f>MAX(0,CU30+CU34-CU35)</x:f>
      </x:c>
      <x:c r="CV36" s="120">
        <x:f>MAX(0,CV30+CV34-CV35)</x:f>
      </x:c>
      <x:c r="CW36" s="120">
        <x:f>MAX(0,CW30+CW34-CW35)</x:f>
      </x:c>
      <x:c r="CX36" s="120">
        <x:f>MAX(0,CX30+CX34-CX35)</x:f>
      </x:c>
      <x:c r="CY36" s="120">
        <x:f>MAX(0,CY30+CY34-CY35)</x:f>
      </x:c>
      <x:c r="CZ36" s="120">
        <x:f>MAX(0,CZ30+CZ34-CZ35)</x:f>
      </x:c>
      <x:c r="DA36" s="120">
        <x:f>MAX(0,DA30+DA34-DA35)</x:f>
      </x:c>
      <x:c r="DB36" s="120">
        <x:f>MAX(0,DB30+DB34-DB35)</x:f>
      </x:c>
      <x:c r="DC36" s="120">
        <x:f>MAX(0,DC30+DC34-DC35)</x:f>
      </x:c>
      <x:c r="DD36" s="120">
        <x:f>MAX(0,DD30+DD34-DD35)</x:f>
      </x:c>
      <x:c r="DE36" s="120">
        <x:f>MAX(0,DE30+DE34-DE35)</x:f>
      </x:c>
      <x:c r="DF36" s="120">
        <x:f>MAX(0,DF30+DF34-DF35)</x:f>
      </x:c>
      <x:c r="DG36" s="120">
        <x:f>MAX(0,DG30+DG34-DG35)</x:f>
      </x:c>
      <x:c r="DH36" s="120">
        <x:f>MAX(0,DH30+DH34-DH35)</x:f>
      </x:c>
      <x:c r="DI36" s="120">
        <x:f>MAX(0,DI30+DI34-DI35)</x:f>
      </x:c>
      <x:c r="DJ36" s="120">
        <x:f>MAX(0,DJ30+DJ34-DJ35)</x:f>
      </x:c>
      <x:c r="DK36" s="120">
        <x:f>MAX(0,DK30+DK34-DK35)</x:f>
      </x:c>
      <x:c r="DL36" s="120">
        <x:f>MAX(0,DL30+DL34-DL35)</x:f>
      </x:c>
      <x:c r="DM36" s="120">
        <x:f>MAX(0,DM30+DM34-DM35)</x:f>
      </x:c>
      <x:c r="DN36" s="120">
        <x:f>MAX(0,DN30+DN34-DN35)</x:f>
      </x:c>
      <x:c r="DO36" s="120">
        <x:f>MAX(0,DO30+DO34-DO35)</x:f>
      </x:c>
      <x:c r="DP36" s="120">
        <x:f>MAX(0,DP30+DP34-DP35)</x:f>
      </x:c>
      <x:c r="DQ36" s="120">
        <x:f>MAX(0,DQ30+DQ34-DQ35)</x:f>
      </x:c>
      <x:c r="DR36" s="120">
        <x:f>MAX(0,DR30+DR34-DR35)</x:f>
      </x:c>
      <x:c r="DS36" s="120">
        <x:f>MAX(0,DS30+DS34-DS35)</x:f>
      </x:c>
      <x:c r="DT36" s="120">
        <x:f>MAX(0,DT30+DT34-DT35)</x:f>
      </x:c>
      <x:c r="DU36" s="120">
        <x:f>MAX(0,DU30+DU34-DU35)</x:f>
      </x:c>
      <x:c r="DV36" s="120">
        <x:f>MAX(0,DV30+DV34-DV35)</x:f>
      </x:c>
      <x:c r="DW36" s="120">
        <x:f>MAX(0,DW30+DW34-DW35)</x:f>
      </x:c>
      <x:c r="DX36" s="120">
        <x:f>MAX(0,DX30+DX34-DX35)</x:f>
      </x:c>
      <x:c r="DY36" s="120">
        <x:f>MAX(0,DY30+DY34-DY35)</x:f>
      </x:c>
      <x:c r="DZ36" s="120">
        <x:f>MAX(0,DZ30+DZ34-DZ35)</x:f>
      </x:c>
      <x:c r="EA36" s="120">
        <x:f>MAX(0,EA30+EA34-EA35)</x:f>
      </x:c>
      <x:c r="EB36" s="120">
        <x:f>MAX(0,EB30+EB34-EB35)</x:f>
      </x:c>
      <x:c r="EC36" s="120">
        <x:f>MAX(0,EC30+EC34-EC35)</x:f>
      </x:c>
      <x:c r="ED36" s="120">
        <x:f>MAX(0,ED30+ED34-ED35)</x:f>
      </x:c>
      <x:c r="EE36" s="120">
        <x:f>MAX(0,EE30+EE34-EE35)</x:f>
      </x:c>
      <x:c r="EF36" s="120">
        <x:f>MAX(0,EF30+EF34-EF35)</x:f>
      </x:c>
      <x:c r="EG36" s="120">
        <x:f>MAX(0,EG30+EG34-EG35)</x:f>
      </x:c>
      <x:c r="EH36" s="120">
        <x:f>MAX(0,EH30+EH34-EH35)</x:f>
      </x:c>
      <x:c r="EI36" s="120">
        <x:f>MAX(0,EI30+EI34-EI35)</x:f>
      </x:c>
      <x:c r="EJ36" s="120">
        <x:f>MAX(0,EJ30+EJ34-EJ35)</x:f>
      </x:c>
      <x:c r="EK36" s="120">
        <x:f>MAX(0,EK30+EK34-EK35)</x:f>
      </x:c>
      <x:c r="EL36" s="120">
        <x:f>MAX(0,EL30+EL34-EL35)</x:f>
      </x:c>
      <x:c r="EM36" s="120">
        <x:f>MAX(0,EM30+EM34-EM35)</x:f>
      </x:c>
      <x:c r="EN36" s="120">
        <x:f>MAX(0,EN30+EN34-EN35)</x:f>
      </x:c>
      <x:c r="EO36" s="120">
        <x:f>MAX(0,EO30+EO34-EO35)</x:f>
      </x:c>
      <x:c r="EP36" s="120">
        <x:f>MAX(0,EP30+EP34-EP35)</x:f>
      </x:c>
      <x:c r="EQ36" s="120">
        <x:f>MAX(0,EQ30+EQ34-EQ35)</x:f>
      </x:c>
      <x:c r="ER36" s="120">
        <x:f>MAX(0,ER30+ER34-ER35)</x:f>
      </x:c>
      <x:c r="ES36" s="120">
        <x:f>MAX(0,ES30+ES34-ES35)</x:f>
      </x:c>
      <x:c r="ET36" s="120">
        <x:f>MAX(0,ET30+ET34-ET35)</x:f>
      </x:c>
      <x:c r="EU36" s="120">
        <x:f>MAX(0,EU30+EU34-EU35)</x:f>
      </x:c>
      <x:c r="EV36" s="120">
        <x:f>MAX(0,EV30+EV34-EV35)</x:f>
      </x:c>
      <x:c r="EW36" s="120">
        <x:f>MAX(0,EW30+EW34-EW35)</x:f>
      </x:c>
      <x:c r="EX36" s="120">
        <x:f>MAX(0,EX30+EX34-EX35)</x:f>
      </x:c>
      <x:c r="EY36" s="120">
        <x:f>MAX(0,EY30+EY34-EY35)</x:f>
      </x:c>
      <x:c r="EZ36" s="120">
        <x:f>MAX(0,EZ30+EZ34-EZ35)</x:f>
      </x:c>
      <x:c r="FA36" s="120">
        <x:f>MAX(0,FA30+FA34-FA35)</x:f>
      </x:c>
      <x:c r="FB36" s="120">
        <x:f>MAX(0,FB30+FB34-FB35)</x:f>
      </x:c>
      <x:c r="FC36" s="120">
        <x:f>MAX(0,FC30+FC34-FC35)</x:f>
      </x:c>
      <x:c r="FD36" s="120">
        <x:f>MAX(0,FD30+FD34-FD35)</x:f>
      </x:c>
      <x:c r="FE36" s="120">
        <x:f>MAX(0,FE30+FE34-FE35)</x:f>
      </x:c>
      <x:c r="FF36" s="120">
        <x:f>MAX(0,FF30+FF34-FF35)</x:f>
      </x:c>
      <x:c r="FG36" s="120">
        <x:f>MAX(0,FG30+FG34-FG35)</x:f>
      </x:c>
      <x:c r="FH36" s="120">
        <x:f>MAX(0,FH30+FH34-FH35)</x:f>
      </x:c>
      <x:c r="FI36" s="120">
        <x:f>MAX(0,FI30+FI34-FI35)</x:f>
      </x:c>
      <x:c r="FJ36" s="120">
        <x:f>MAX(0,FJ30+FJ34-FJ35)</x:f>
      </x:c>
      <x:c r="FK36" s="120">
        <x:f>MAX(0,FK30+FK34-FK35)</x:f>
      </x:c>
      <x:c r="FL36" s="120">
        <x:f>MAX(0,FL30+FL34-FL35)</x:f>
      </x:c>
      <x:c r="FM36" s="120">
        <x:f>MAX(0,FM30+FM34-FM35)</x:f>
      </x:c>
      <x:c r="FN36" s="120">
        <x:f>MAX(0,FN30+FN34-FN35)</x:f>
      </x:c>
      <x:c r="FO36" s="120">
        <x:f>MAX(0,FO30+FO34-FO35)</x:f>
      </x:c>
      <x:c r="FP36" s="120">
        <x:f>MAX(0,FP30+FP34-FP35)</x:f>
      </x:c>
      <x:c r="FQ36" s="120">
        <x:f>MAX(0,FQ30+FQ34-FQ35)</x:f>
      </x:c>
      <x:c r="FR36" s="120">
        <x:f>MAX(0,FR30+FR34-FR35)</x:f>
      </x:c>
      <x:c r="FS36" s="120">
        <x:f>MAX(0,FS30+FS34-FS35)</x:f>
      </x:c>
      <x:c r="FT36" s="120">
        <x:f>MAX(0,FT30+FT34-FT35)</x:f>
      </x:c>
      <x:c r="FU36" s="120">
        <x:f>MAX(0,FU30+FU34-FU35)</x:f>
      </x:c>
      <x:c r="FV36" s="120">
        <x:f>MAX(0,FV30+FV34-FV35)</x:f>
      </x:c>
      <x:c r="FW36" s="120">
        <x:f>MAX(0,FW30+FW34-FW35)</x:f>
      </x:c>
      <x:c r="FX36" s="120">
        <x:f>MAX(0,FX30+FX34-FX35)</x:f>
      </x:c>
      <x:c r="FY36" s="120">
        <x:f>MAX(0,FY30+FY34-FY35)</x:f>
      </x:c>
      <x:c r="FZ36" s="120">
        <x:f>MAX(0,FZ30+FZ34-FZ35)</x:f>
      </x:c>
      <x:c r="GA36" s="120">
        <x:f>MAX(0,GA30+GA34-GA35)</x:f>
      </x:c>
    </x:row>
    <x:row r="37">
      <x:c r="A37" t="inlineStr">
        <x:is>
          <x:t>БРИДЖ — проценты к уплате (накопленно)</x:t>
        </x:is>
      </x:c>
      <x:c r="B37"/>
      <x:c r="C37"/>
      <x:c r="D37" s="117">
        <x:f>IF(AND(D$3&lt;$B$7,$B$5=1),C37*(1+'Ставки'!D$6/12)+D32,0)</x:f>
      </x:c>
      <x:c r="E37" s="117">
        <x:f>IF(AND(E$3&lt;$B$7,$B$5=1),D37*(1+'Ставки'!E$6/12)+E32,0)</x:f>
      </x:c>
      <x:c r="F37" s="117">
        <x:f>IF(AND(F$3&lt;$B$7,$B$5=1),E37*(1+'Ставки'!F$6/12)+F32,0)</x:f>
      </x:c>
      <x:c r="G37" s="117">
        <x:f>IF(AND(G$3&lt;$B$7,$B$5=1),F37*(1+'Ставки'!G$6/12)+G32,0)</x:f>
      </x:c>
      <x:c r="H37" s="117">
        <x:f>IF(AND(H$3&lt;$B$7,$B$5=1),G37*(1+'Ставки'!H$6/12)+H32,0)</x:f>
      </x:c>
      <x:c r="I37" s="117">
        <x:f>IF(AND(I$3&lt;$B$7,$B$5=1),H37*(1+'Ставки'!I$6/12)+I32,0)</x:f>
      </x:c>
      <x:c r="J37" s="117">
        <x:f>IF(AND(J$3&lt;$B$7,$B$5=1),I37*(1+'Ставки'!J$6/12)+J32,0)</x:f>
      </x:c>
      <x:c r="K37" s="117">
        <x:f>IF(AND(K$3&lt;$B$7,$B$5=1),J37*(1+'Ставки'!K$6/12)+K32,0)</x:f>
      </x:c>
      <x:c r="L37" s="117">
        <x:f>IF(AND(L$3&lt;$B$7,$B$5=1),K37*(1+'Ставки'!L$6/12)+L32,0)</x:f>
      </x:c>
      <x:c r="M37" s="117">
        <x:f>IF(AND(M$3&lt;$B$7,$B$5=1),L37*(1+'Ставки'!M$6/12)+M32,0)</x:f>
      </x:c>
      <x:c r="N37" s="117">
        <x:f>IF(AND(N$3&lt;$B$7,$B$5=1),M37*(1+'Ставки'!N$6/12)+N32,0)</x:f>
      </x:c>
      <x:c r="O37" s="117">
        <x:f>IF(AND(O$3&lt;$B$7,$B$5=1),N37*(1+'Ставки'!O$6/12)+O32,0)</x:f>
      </x:c>
      <x:c r="P37" s="117">
        <x:f>IF(AND(P$3&lt;$B$7,$B$5=1),O37*(1+'Ставки'!P$6/12)+P32,0)</x:f>
      </x:c>
      <x:c r="Q37" s="117">
        <x:f>IF(AND(Q$3&lt;$B$7,$B$5=1),P37*(1+'Ставки'!Q$6/12)+Q32,0)</x:f>
      </x:c>
      <x:c r="R37" s="117">
        <x:f>IF(AND(R$3&lt;$B$7,$B$5=1),Q37*(1+'Ставки'!R$6/12)+R32,0)</x:f>
      </x:c>
      <x:c r="S37" s="117">
        <x:f>IF(AND(S$3&lt;$B$7,$B$5=1),R37*(1+'Ставки'!S$6/12)+S32,0)</x:f>
      </x:c>
      <x:c r="T37" s="117">
        <x:f>IF(AND(T$3&lt;$B$7,$B$5=1),S37*(1+'Ставки'!T$6/12)+T32,0)</x:f>
      </x:c>
      <x:c r="U37" s="117">
        <x:f>IF(AND(U$3&lt;$B$7,$B$5=1),T37*(1+'Ставки'!U$6/12)+U32,0)</x:f>
      </x:c>
      <x:c r="V37" s="117">
        <x:f>IF(AND(V$3&lt;$B$7,$B$5=1),U37*(1+'Ставки'!V$6/12)+V32,0)</x:f>
      </x:c>
      <x:c r="W37" s="117">
        <x:f>IF(AND(W$3&lt;$B$7,$B$5=1),V37*(1+'Ставки'!W$6/12)+W32,0)</x:f>
      </x:c>
      <x:c r="X37" s="117">
        <x:f>IF(AND(X$3&lt;$B$7,$B$5=1),W37*(1+'Ставки'!X$6/12)+X32,0)</x:f>
      </x:c>
      <x:c r="Y37" s="117">
        <x:f>IF(AND(Y$3&lt;$B$7,$B$5=1),X37*(1+'Ставки'!Y$6/12)+Y32,0)</x:f>
      </x:c>
      <x:c r="Z37" s="117">
        <x:f>IF(AND(Z$3&lt;$B$7,$B$5=1),Y37*(1+'Ставки'!Z$6/12)+Z32,0)</x:f>
      </x:c>
      <x:c r="AA37" s="117">
        <x:f>IF(AND(AA$3&lt;$B$7,$B$5=1),Z37*(1+'Ставки'!AA$6/12)+AA32,0)</x:f>
      </x:c>
      <x:c r="AB37" s="117">
        <x:f>IF(AND(AB$3&lt;$B$7,$B$5=1),AA37*(1+'Ставки'!AB$6/12)+AB32,0)</x:f>
      </x:c>
      <x:c r="AC37" s="117">
        <x:f>IF(AND(AC$3&lt;$B$7,$B$5=1),AB37*(1+'Ставки'!AC$6/12)+AC32,0)</x:f>
      </x:c>
      <x:c r="AD37" s="117">
        <x:f>IF(AND(AD$3&lt;$B$7,$B$5=1),AC37*(1+'Ставки'!AD$6/12)+AD32,0)</x:f>
      </x:c>
      <x:c r="AE37" s="117">
        <x:f>IF(AND(AE$3&lt;$B$7,$B$5=1),AD37*(1+'Ставки'!AE$6/12)+AE32,0)</x:f>
      </x:c>
      <x:c r="AF37" s="117">
        <x:f>IF(AND(AF$3&lt;$B$7,$B$5=1),AE37*(1+'Ставки'!AF$6/12)+AF32,0)</x:f>
      </x:c>
      <x:c r="AG37" s="117">
        <x:f>IF(AND(AG$3&lt;$B$7,$B$5=1),AF37*(1+'Ставки'!AG$6/12)+AG32,0)</x:f>
      </x:c>
      <x:c r="AH37" s="117">
        <x:f>IF(AND(AH$3&lt;$B$7,$B$5=1),AG37*(1+'Ставки'!AH$6/12)+AH32,0)</x:f>
      </x:c>
      <x:c r="AI37" s="117">
        <x:f>IF(AND(AI$3&lt;$B$7,$B$5=1),AH37*(1+'Ставки'!AI$6/12)+AI32,0)</x:f>
      </x:c>
      <x:c r="AJ37" s="117">
        <x:f>IF(AND(AJ$3&lt;$B$7,$B$5=1),AI37*(1+'Ставки'!AJ$6/12)+AJ32,0)</x:f>
      </x:c>
      <x:c r="AK37" s="117">
        <x:f>IF(AND(AK$3&lt;$B$7,$B$5=1),AJ37*(1+'Ставки'!AK$6/12)+AK32,0)</x:f>
      </x:c>
      <x:c r="AL37" s="117">
        <x:f>IF(AND(AL$3&lt;$B$7,$B$5=1),AK37*(1+'Ставки'!AL$6/12)+AL32,0)</x:f>
      </x:c>
      <x:c r="AM37" s="117">
        <x:f>IF(AND(AM$3&lt;$B$7,$B$5=1),AL37*(1+'Ставки'!AM$6/12)+AM32,0)</x:f>
      </x:c>
      <x:c r="AN37" s="117">
        <x:f>IF(AND(AN$3&lt;$B$7,$B$5=1),AM37*(1+'Ставки'!AN$6/12)+AN32,0)</x:f>
      </x:c>
      <x:c r="AO37" s="117">
        <x:f>IF(AND(AO$3&lt;$B$7,$B$5=1),AN37*(1+'Ставки'!AO$6/12)+AO32,0)</x:f>
      </x:c>
      <x:c r="AP37" s="117">
        <x:f>IF(AND(AP$3&lt;$B$7,$B$5=1),AO37*(1+'Ставки'!AP$6/12)+AP32,0)</x:f>
      </x:c>
      <x:c r="AQ37" s="117">
        <x:f>IF(AND(AQ$3&lt;$B$7,$B$5=1),AP37*(1+'Ставки'!AQ$6/12)+AQ32,0)</x:f>
      </x:c>
      <x:c r="AR37" s="117">
        <x:f>IF(AND(AR$3&lt;$B$7,$B$5=1),AQ37*(1+'Ставки'!AR$6/12)+AR32,0)</x:f>
      </x:c>
      <x:c r="AS37" s="117">
        <x:f>IF(AND(AS$3&lt;$B$7,$B$5=1),AR37*(1+'Ставки'!AS$6/12)+AS32,0)</x:f>
      </x:c>
      <x:c r="AT37" s="117">
        <x:f>IF(AND(AT$3&lt;$B$7,$B$5=1),AS37*(1+'Ставки'!AT$6/12)+AT32,0)</x:f>
      </x:c>
      <x:c r="AU37" s="117">
        <x:f>IF(AND(AU$3&lt;$B$7,$B$5=1),AT37*(1+'Ставки'!AU$6/12)+AU32,0)</x:f>
      </x:c>
      <x:c r="AV37" s="117">
        <x:f>IF(AND(AV$3&lt;$B$7,$B$5=1),AU37*(1+'Ставки'!AV$6/12)+AV32,0)</x:f>
      </x:c>
      <x:c r="AW37" s="117">
        <x:f>IF(AND(AW$3&lt;$B$7,$B$5=1),AV37*(1+'Ставки'!AW$6/12)+AW32,0)</x:f>
      </x:c>
      <x:c r="AX37" s="117">
        <x:f>IF(AND(AX$3&lt;$B$7,$B$5=1),AW37*(1+'Ставки'!AX$6/12)+AX32,0)</x:f>
      </x:c>
      <x:c r="AY37" s="117">
        <x:f>IF(AND(AY$3&lt;$B$7,$B$5=1),AX37*(1+'Ставки'!AY$6/12)+AY32,0)</x:f>
      </x:c>
      <x:c r="AZ37" s="117">
        <x:f>IF(AND(AZ$3&lt;$B$7,$B$5=1),AY37*(1+'Ставки'!AZ$6/12)+AZ32,0)</x:f>
      </x:c>
      <x:c r="BA37" s="117">
        <x:f>IF(AND(BA$3&lt;$B$7,$B$5=1),AZ37*(1+'Ставки'!BA$6/12)+BA32,0)</x:f>
      </x:c>
      <x:c r="BB37" s="117">
        <x:f>IF(AND(BB$3&lt;$B$7,$B$5=1),BA37*(1+'Ставки'!BB$6/12)+BB32,0)</x:f>
      </x:c>
      <x:c r="BC37" s="117">
        <x:f>IF(AND(BC$3&lt;$B$7,$B$5=1),BB37*(1+'Ставки'!BC$6/12)+BC32,0)</x:f>
      </x:c>
      <x:c r="BD37" s="117">
        <x:f>IF(AND(BD$3&lt;$B$7,$B$5=1),BC37*(1+'Ставки'!BD$6/12)+BD32,0)</x:f>
      </x:c>
      <x:c r="BE37" s="117">
        <x:f>IF(AND(BE$3&lt;$B$7,$B$5=1),BD37*(1+'Ставки'!BE$6/12)+BE32,0)</x:f>
      </x:c>
      <x:c r="BF37" s="117">
        <x:f>IF(AND(BF$3&lt;$B$7,$B$5=1),BE37*(1+'Ставки'!BF$6/12)+BF32,0)</x:f>
      </x:c>
      <x:c r="BG37" s="117">
        <x:f>IF(AND(BG$3&lt;$B$7,$B$5=1),BF37*(1+'Ставки'!BG$6/12)+BG32,0)</x:f>
      </x:c>
      <x:c r="BH37" s="117">
        <x:f>IF(AND(BH$3&lt;$B$7,$B$5=1),BG37*(1+'Ставки'!BH$6/12)+BH32,0)</x:f>
      </x:c>
      <x:c r="BI37" s="117">
        <x:f>IF(AND(BI$3&lt;$B$7,$B$5=1),BH37*(1+'Ставки'!BI$6/12)+BI32,0)</x:f>
      </x:c>
      <x:c r="BJ37" s="117">
        <x:f>IF(AND(BJ$3&lt;$B$7,$B$5=1),BI37*(1+'Ставки'!BJ$6/12)+BJ32,0)</x:f>
      </x:c>
      <x:c r="BK37" s="117">
        <x:f>IF(AND(BK$3&lt;$B$7,$B$5=1),BJ37*(1+'Ставки'!BK$6/12)+BK32,0)</x:f>
      </x:c>
      <x:c r="BL37" s="117">
        <x:f>IF(AND(BL$3&lt;$B$7,$B$5=1),BK37*(1+'Ставки'!BL$6/12)+BL32,0)</x:f>
      </x:c>
      <x:c r="BM37" s="117">
        <x:f>IF(AND(BM$3&lt;$B$7,$B$5=1),BL37*(1+'Ставки'!BM$6/12)+BM32,0)</x:f>
      </x:c>
      <x:c r="BN37" s="117">
        <x:f>IF(AND(BN$3&lt;$B$7,$B$5=1),BM37*(1+'Ставки'!BN$6/12)+BN32,0)</x:f>
      </x:c>
      <x:c r="BO37" s="117">
        <x:f>IF(AND(BO$3&lt;$B$7,$B$5=1),BN37*(1+'Ставки'!BO$6/12)+BO32,0)</x:f>
      </x:c>
      <x:c r="BP37" s="117">
        <x:f>IF(AND(BP$3&lt;$B$7,$B$5=1),BO37*(1+'Ставки'!BP$6/12)+BP32,0)</x:f>
      </x:c>
      <x:c r="BQ37" s="117">
        <x:f>IF(AND(BQ$3&lt;$B$7,$B$5=1),BP37*(1+'Ставки'!BQ$6/12)+BQ32,0)</x:f>
      </x:c>
      <x:c r="BR37" s="117">
        <x:f>IF(AND(BR$3&lt;$B$7,$B$5=1),BQ37*(1+'Ставки'!BR$6/12)+BR32,0)</x:f>
      </x:c>
      <x:c r="BS37" s="117">
        <x:f>IF(AND(BS$3&lt;$B$7,$B$5=1),BR37*(1+'Ставки'!BS$6/12)+BS32,0)</x:f>
      </x:c>
      <x:c r="BT37" s="117">
        <x:f>IF(AND(BT$3&lt;$B$7,$B$5=1),BS37*(1+'Ставки'!BT$6/12)+BT32,0)</x:f>
      </x:c>
      <x:c r="BU37" s="117">
        <x:f>IF(AND(BU$3&lt;$B$7,$B$5=1),BT37*(1+'Ставки'!BU$6/12)+BU32,0)</x:f>
      </x:c>
      <x:c r="BV37" s="117">
        <x:f>IF(AND(BV$3&lt;$B$7,$B$5=1),BU37*(1+'Ставки'!BV$6/12)+BV32,0)</x:f>
      </x:c>
      <x:c r="BW37" s="117">
        <x:f>IF(AND(BW$3&lt;$B$7,$B$5=1),BV37*(1+'Ставки'!BW$6/12)+BW32,0)</x:f>
      </x:c>
      <x:c r="BX37" s="117">
        <x:f>IF(AND(BX$3&lt;$B$7,$B$5=1),BW37*(1+'Ставки'!BX$6/12)+BX32,0)</x:f>
      </x:c>
      <x:c r="BY37" s="117">
        <x:f>IF(AND(BY$3&lt;$B$7,$B$5=1),BX37*(1+'Ставки'!BY$6/12)+BY32,0)</x:f>
      </x:c>
      <x:c r="BZ37" s="117">
        <x:f>IF(AND(BZ$3&lt;$B$7,$B$5=1),BY37*(1+'Ставки'!BZ$6/12)+BZ32,0)</x:f>
      </x:c>
      <x:c r="CA37" s="117">
        <x:f>IF(AND(CA$3&lt;$B$7,$B$5=1),BZ37*(1+'Ставки'!CA$6/12)+CA32,0)</x:f>
      </x:c>
      <x:c r="CB37" s="117">
        <x:f>IF(AND(CB$3&lt;$B$7,$B$5=1),CA37*(1+'Ставки'!CB$6/12)+CB32,0)</x:f>
      </x:c>
      <x:c r="CC37" s="117">
        <x:f>IF(AND(CC$3&lt;$B$7,$B$5=1),CB37*(1+'Ставки'!CC$6/12)+CC32,0)</x:f>
      </x:c>
      <x:c r="CD37" s="117">
        <x:f>IF(AND(CD$3&lt;$B$7,$B$5=1),CC37*(1+'Ставки'!CD$6/12)+CD32,0)</x:f>
      </x:c>
      <x:c r="CE37" s="117">
        <x:f>IF(AND(CE$3&lt;$B$7,$B$5=1),CD37*(1+'Ставки'!CE$6/12)+CE32,0)</x:f>
      </x:c>
      <x:c r="CF37" s="117">
        <x:f>IF(AND(CF$3&lt;$B$7,$B$5=1),CE37*(1+'Ставки'!CF$6/12)+CF32,0)</x:f>
      </x:c>
      <x:c r="CG37" s="117">
        <x:f>IF(AND(CG$3&lt;$B$7,$B$5=1),CF37*(1+'Ставки'!CG$6/12)+CG32,0)</x:f>
      </x:c>
      <x:c r="CH37" s="117">
        <x:f>IF(AND(CH$3&lt;$B$7,$B$5=1),CG37*(1+'Ставки'!CH$6/12)+CH32,0)</x:f>
      </x:c>
      <x:c r="CI37" s="117">
        <x:f>IF(AND(CI$3&lt;$B$7,$B$5=1),CH37*(1+'Ставки'!CI$6/12)+CI32,0)</x:f>
      </x:c>
      <x:c r="CJ37" s="117">
        <x:f>IF(AND(CJ$3&lt;$B$7,$B$5=1),CI37*(1+'Ставки'!CJ$6/12)+CJ32,0)</x:f>
      </x:c>
      <x:c r="CK37" s="117">
        <x:f>IF(AND(CK$3&lt;$B$7,$B$5=1),CJ37*(1+'Ставки'!CK$6/12)+CK32,0)</x:f>
      </x:c>
      <x:c r="CL37" s="117">
        <x:f>IF(AND(CL$3&lt;$B$7,$B$5=1),CK37*(1+'Ставки'!CL$6/12)+CL32,0)</x:f>
      </x:c>
      <x:c r="CM37" s="117">
        <x:f>IF(AND(CM$3&lt;$B$7,$B$5=1),CL37*(1+'Ставки'!CM$6/12)+CM32,0)</x:f>
      </x:c>
      <x:c r="CN37" s="117">
        <x:f>IF(AND(CN$3&lt;$B$7,$B$5=1),CM37*(1+'Ставки'!CN$6/12)+CN32,0)</x:f>
      </x:c>
      <x:c r="CO37" s="117">
        <x:f>IF(AND(CO$3&lt;$B$7,$B$5=1),CN37*(1+'Ставки'!CO$6/12)+CO32,0)</x:f>
      </x:c>
      <x:c r="CP37" s="117">
        <x:f>IF(AND(CP$3&lt;$B$7,$B$5=1),CO37*(1+'Ставки'!CP$6/12)+CP32,0)</x:f>
      </x:c>
      <x:c r="CQ37" s="117">
        <x:f>IF(AND(CQ$3&lt;$B$7,$B$5=1),CP37*(1+'Ставки'!CQ$6/12)+CQ32,0)</x:f>
      </x:c>
      <x:c r="CR37" s="117">
        <x:f>IF(AND(CR$3&lt;$B$7,$B$5=1),CQ37*(1+'Ставки'!CR$6/12)+CR32,0)</x:f>
      </x:c>
      <x:c r="CS37" s="117">
        <x:f>IF(AND(CS$3&lt;$B$7,$B$5=1),CR37*(1+'Ставки'!CS$6/12)+CS32,0)</x:f>
      </x:c>
      <x:c r="CT37" s="117">
        <x:f>IF(AND(CT$3&lt;$B$7,$B$5=1),CS37*(1+'Ставки'!CT$6/12)+CT32,0)</x:f>
      </x:c>
      <x:c r="CU37" s="117">
        <x:f>IF(AND(CU$3&lt;$B$7,$B$5=1),CT37*(1+'Ставки'!CU$6/12)+CU32,0)</x:f>
      </x:c>
      <x:c r="CV37" s="117">
        <x:f>IF(AND(CV$3&lt;$B$7,$B$5=1),CU37*(1+'Ставки'!CV$6/12)+CV32,0)</x:f>
      </x:c>
      <x:c r="CW37" s="117">
        <x:f>IF(AND(CW$3&lt;$B$7,$B$5=1),CV37*(1+'Ставки'!CW$6/12)+CW32,0)</x:f>
      </x:c>
      <x:c r="CX37" s="117">
        <x:f>IF(AND(CX$3&lt;$B$7,$B$5=1),CW37*(1+'Ставки'!CX$6/12)+CX32,0)</x:f>
      </x:c>
      <x:c r="CY37" s="117">
        <x:f>IF(AND(CY$3&lt;$B$7,$B$5=1),CX37*(1+'Ставки'!CY$6/12)+CY32,0)</x:f>
      </x:c>
      <x:c r="CZ37" s="117">
        <x:f>IF(AND(CZ$3&lt;$B$7,$B$5=1),CY37*(1+'Ставки'!CZ$6/12)+CZ32,0)</x:f>
      </x:c>
      <x:c r="DA37" s="117">
        <x:f>IF(AND(DA$3&lt;$B$7,$B$5=1),CZ37*(1+'Ставки'!DA$6/12)+DA32,0)</x:f>
      </x:c>
      <x:c r="DB37" s="117">
        <x:f>IF(AND(DB$3&lt;$B$7,$B$5=1),DA37*(1+'Ставки'!DB$6/12)+DB32,0)</x:f>
      </x:c>
      <x:c r="DC37" s="117">
        <x:f>IF(AND(DC$3&lt;$B$7,$B$5=1),DB37*(1+'Ставки'!DC$6/12)+DC32,0)</x:f>
      </x:c>
      <x:c r="DD37" s="117">
        <x:f>IF(AND(DD$3&lt;$B$7,$B$5=1),DC37*(1+'Ставки'!DD$6/12)+DD32,0)</x:f>
      </x:c>
      <x:c r="DE37" s="117">
        <x:f>IF(AND(DE$3&lt;$B$7,$B$5=1),DD37*(1+'Ставки'!DE$6/12)+DE32,0)</x:f>
      </x:c>
      <x:c r="DF37" s="117">
        <x:f>IF(AND(DF$3&lt;$B$7,$B$5=1),DE37*(1+'Ставки'!DF$6/12)+DF32,0)</x:f>
      </x:c>
      <x:c r="DG37" s="117">
        <x:f>IF(AND(DG$3&lt;$B$7,$B$5=1),DF37*(1+'Ставки'!DG$6/12)+DG32,0)</x:f>
      </x:c>
      <x:c r="DH37" s="117">
        <x:f>IF(AND(DH$3&lt;$B$7,$B$5=1),DG37*(1+'Ставки'!DH$6/12)+DH32,0)</x:f>
      </x:c>
      <x:c r="DI37" s="117">
        <x:f>IF(AND(DI$3&lt;$B$7,$B$5=1),DH37*(1+'Ставки'!DI$6/12)+DI32,0)</x:f>
      </x:c>
      <x:c r="DJ37" s="117">
        <x:f>IF(AND(DJ$3&lt;$B$7,$B$5=1),DI37*(1+'Ставки'!DJ$6/12)+DJ32,0)</x:f>
      </x:c>
      <x:c r="DK37" s="117">
        <x:f>IF(AND(DK$3&lt;$B$7,$B$5=1),DJ37*(1+'Ставки'!DK$6/12)+DK32,0)</x:f>
      </x:c>
      <x:c r="DL37" s="117">
        <x:f>IF(AND(DL$3&lt;$B$7,$B$5=1),DK37*(1+'Ставки'!DL$6/12)+DL32,0)</x:f>
      </x:c>
      <x:c r="DM37" s="117">
        <x:f>IF(AND(DM$3&lt;$B$7,$B$5=1),DL37*(1+'Ставки'!DM$6/12)+DM32,0)</x:f>
      </x:c>
      <x:c r="DN37" s="117">
        <x:f>IF(AND(DN$3&lt;$B$7,$B$5=1),DM37*(1+'Ставки'!DN$6/12)+DN32,0)</x:f>
      </x:c>
      <x:c r="DO37" s="117">
        <x:f>IF(AND(DO$3&lt;$B$7,$B$5=1),DN37*(1+'Ставки'!DO$6/12)+DO32,0)</x:f>
      </x:c>
      <x:c r="DP37" s="117">
        <x:f>IF(AND(DP$3&lt;$B$7,$B$5=1),DO37*(1+'Ставки'!DP$6/12)+DP32,0)</x:f>
      </x:c>
      <x:c r="DQ37" s="117">
        <x:f>IF(AND(DQ$3&lt;$B$7,$B$5=1),DP37*(1+'Ставки'!DQ$6/12)+DQ32,0)</x:f>
      </x:c>
      <x:c r="DR37" s="117">
        <x:f>IF(AND(DR$3&lt;$B$7,$B$5=1),DQ37*(1+'Ставки'!DR$6/12)+DR32,0)</x:f>
      </x:c>
      <x:c r="DS37" s="117">
        <x:f>IF(AND(DS$3&lt;$B$7,$B$5=1),DR37*(1+'Ставки'!DS$6/12)+DS32,0)</x:f>
      </x:c>
      <x:c r="DT37" s="117">
        <x:f>IF(AND(DT$3&lt;$B$7,$B$5=1),DS37*(1+'Ставки'!DT$6/12)+DT32,0)</x:f>
      </x:c>
      <x:c r="DU37" s="117">
        <x:f>IF(AND(DU$3&lt;$B$7,$B$5=1),DT37*(1+'Ставки'!DU$6/12)+DU32,0)</x:f>
      </x:c>
      <x:c r="DV37" s="117">
        <x:f>IF(AND(DV$3&lt;$B$7,$B$5=1),DU37*(1+'Ставки'!DV$6/12)+DV32,0)</x:f>
      </x:c>
      <x:c r="DW37" s="117">
        <x:f>IF(AND(DW$3&lt;$B$7,$B$5=1),DV37*(1+'Ставки'!DW$6/12)+DW32,0)</x:f>
      </x:c>
      <x:c r="DX37" s="117">
        <x:f>IF(AND(DX$3&lt;$B$7,$B$5=1),DW37*(1+'Ставки'!DX$6/12)+DX32,0)</x:f>
      </x:c>
      <x:c r="DY37" s="117">
        <x:f>IF(AND(DY$3&lt;$B$7,$B$5=1),DX37*(1+'Ставки'!DY$6/12)+DY32,0)</x:f>
      </x:c>
      <x:c r="DZ37" s="117">
        <x:f>IF(AND(DZ$3&lt;$B$7,$B$5=1),DY37*(1+'Ставки'!DZ$6/12)+DZ32,0)</x:f>
      </x:c>
      <x:c r="EA37" s="117">
        <x:f>IF(AND(EA$3&lt;$B$7,$B$5=1),DZ37*(1+'Ставки'!EA$6/12)+EA32,0)</x:f>
      </x:c>
      <x:c r="EB37" s="117">
        <x:f>IF(AND(EB$3&lt;$B$7,$B$5=1),EA37*(1+'Ставки'!EB$6/12)+EB32,0)</x:f>
      </x:c>
      <x:c r="EC37" s="117">
        <x:f>IF(AND(EC$3&lt;$B$7,$B$5=1),EB37*(1+'Ставки'!EC$6/12)+EC32,0)</x:f>
      </x:c>
      <x:c r="ED37" s="117">
        <x:f>IF(AND(ED$3&lt;$B$7,$B$5=1),EC37*(1+'Ставки'!ED$6/12)+ED32,0)</x:f>
      </x:c>
      <x:c r="EE37" s="117">
        <x:f>IF(AND(EE$3&lt;$B$7,$B$5=1),ED37*(1+'Ставки'!EE$6/12)+EE32,0)</x:f>
      </x:c>
      <x:c r="EF37" s="117">
        <x:f>IF(AND(EF$3&lt;$B$7,$B$5=1),EE37*(1+'Ставки'!EF$6/12)+EF32,0)</x:f>
      </x:c>
      <x:c r="EG37" s="117">
        <x:f>IF(AND(EG$3&lt;$B$7,$B$5=1),EF37*(1+'Ставки'!EG$6/12)+EG32,0)</x:f>
      </x:c>
      <x:c r="EH37" s="117">
        <x:f>IF(AND(EH$3&lt;$B$7,$B$5=1),EG37*(1+'Ставки'!EH$6/12)+EH32,0)</x:f>
      </x:c>
      <x:c r="EI37" s="117">
        <x:f>IF(AND(EI$3&lt;$B$7,$B$5=1),EH37*(1+'Ставки'!EI$6/12)+EI32,0)</x:f>
      </x:c>
      <x:c r="EJ37" s="117">
        <x:f>IF(AND(EJ$3&lt;$B$7,$B$5=1),EI37*(1+'Ставки'!EJ$6/12)+EJ32,0)</x:f>
      </x:c>
      <x:c r="EK37" s="117">
        <x:f>IF(AND(EK$3&lt;$B$7,$B$5=1),EJ37*(1+'Ставки'!EK$6/12)+EK32,0)</x:f>
      </x:c>
      <x:c r="EL37" s="117">
        <x:f>IF(AND(EL$3&lt;$B$7,$B$5=1),EK37*(1+'Ставки'!EL$6/12)+EL32,0)</x:f>
      </x:c>
      <x:c r="EM37" s="117">
        <x:f>IF(AND(EM$3&lt;$B$7,$B$5=1),EL37*(1+'Ставки'!EM$6/12)+EM32,0)</x:f>
      </x:c>
      <x:c r="EN37" s="117">
        <x:f>IF(AND(EN$3&lt;$B$7,$B$5=1),EM37*(1+'Ставки'!EN$6/12)+EN32,0)</x:f>
      </x:c>
      <x:c r="EO37" s="117">
        <x:f>IF(AND(EO$3&lt;$B$7,$B$5=1),EN37*(1+'Ставки'!EO$6/12)+EO32,0)</x:f>
      </x:c>
      <x:c r="EP37" s="117">
        <x:f>IF(AND(EP$3&lt;$B$7,$B$5=1),EO37*(1+'Ставки'!EP$6/12)+EP32,0)</x:f>
      </x:c>
      <x:c r="EQ37" s="117">
        <x:f>IF(AND(EQ$3&lt;$B$7,$B$5=1),EP37*(1+'Ставки'!EQ$6/12)+EQ32,0)</x:f>
      </x:c>
      <x:c r="ER37" s="117">
        <x:f>IF(AND(ER$3&lt;$B$7,$B$5=1),EQ37*(1+'Ставки'!ER$6/12)+ER32,0)</x:f>
      </x:c>
      <x:c r="ES37" s="117">
        <x:f>IF(AND(ES$3&lt;$B$7,$B$5=1),ER37*(1+'Ставки'!ES$6/12)+ES32,0)</x:f>
      </x:c>
      <x:c r="ET37" s="117">
        <x:f>IF(AND(ET$3&lt;$B$7,$B$5=1),ES37*(1+'Ставки'!ET$6/12)+ET32,0)</x:f>
      </x:c>
      <x:c r="EU37" s="117">
        <x:f>IF(AND(EU$3&lt;$B$7,$B$5=1),ET37*(1+'Ставки'!EU$6/12)+EU32,0)</x:f>
      </x:c>
      <x:c r="EV37" s="117">
        <x:f>IF(AND(EV$3&lt;$B$7,$B$5=1),EU37*(1+'Ставки'!EV$6/12)+EV32,0)</x:f>
      </x:c>
      <x:c r="EW37" s="117">
        <x:f>IF(AND(EW$3&lt;$B$7,$B$5=1),EV37*(1+'Ставки'!EW$6/12)+EW32,0)</x:f>
      </x:c>
      <x:c r="EX37" s="117">
        <x:f>IF(AND(EX$3&lt;$B$7,$B$5=1),EW37*(1+'Ставки'!EX$6/12)+EX32,0)</x:f>
      </x:c>
      <x:c r="EY37" s="117">
        <x:f>IF(AND(EY$3&lt;$B$7,$B$5=1),EX37*(1+'Ставки'!EY$6/12)+EY32,0)</x:f>
      </x:c>
      <x:c r="EZ37" s="117">
        <x:f>IF(AND(EZ$3&lt;$B$7,$B$5=1),EY37*(1+'Ставки'!EZ$6/12)+EZ32,0)</x:f>
      </x:c>
      <x:c r="FA37" s="117">
        <x:f>IF(AND(FA$3&lt;$B$7,$B$5=1),EZ37*(1+'Ставки'!FA$6/12)+FA32,0)</x:f>
      </x:c>
      <x:c r="FB37" s="117">
        <x:f>IF(AND(FB$3&lt;$B$7,$B$5=1),FA37*(1+'Ставки'!FB$6/12)+FB32,0)</x:f>
      </x:c>
      <x:c r="FC37" s="117">
        <x:f>IF(AND(FC$3&lt;$B$7,$B$5=1),FB37*(1+'Ставки'!FC$6/12)+FC32,0)</x:f>
      </x:c>
      <x:c r="FD37" s="117">
        <x:f>IF(AND(FD$3&lt;$B$7,$B$5=1),FC37*(1+'Ставки'!FD$6/12)+FD32,0)</x:f>
      </x:c>
      <x:c r="FE37" s="117">
        <x:f>IF(AND(FE$3&lt;$B$7,$B$5=1),FD37*(1+'Ставки'!FE$6/12)+FE32,0)</x:f>
      </x:c>
      <x:c r="FF37" s="117">
        <x:f>IF(AND(FF$3&lt;$B$7,$B$5=1),FE37*(1+'Ставки'!FF$6/12)+FF32,0)</x:f>
      </x:c>
      <x:c r="FG37" s="117">
        <x:f>IF(AND(FG$3&lt;$B$7,$B$5=1),FF37*(1+'Ставки'!FG$6/12)+FG32,0)</x:f>
      </x:c>
      <x:c r="FH37" s="117">
        <x:f>IF(AND(FH$3&lt;$B$7,$B$5=1),FG37*(1+'Ставки'!FH$6/12)+FH32,0)</x:f>
      </x:c>
      <x:c r="FI37" s="117">
        <x:f>IF(AND(FI$3&lt;$B$7,$B$5=1),FH37*(1+'Ставки'!FI$6/12)+FI32,0)</x:f>
      </x:c>
      <x:c r="FJ37" s="117">
        <x:f>IF(AND(FJ$3&lt;$B$7,$B$5=1),FI37*(1+'Ставки'!FJ$6/12)+FJ32,0)</x:f>
      </x:c>
      <x:c r="FK37" s="117">
        <x:f>IF(AND(FK$3&lt;$B$7,$B$5=1),FJ37*(1+'Ставки'!FK$6/12)+FK32,0)</x:f>
      </x:c>
      <x:c r="FL37" s="117">
        <x:f>IF(AND(FL$3&lt;$B$7,$B$5=1),FK37*(1+'Ставки'!FL$6/12)+FL32,0)</x:f>
      </x:c>
      <x:c r="FM37" s="117">
        <x:f>IF(AND(FM$3&lt;$B$7,$B$5=1),FL37*(1+'Ставки'!FM$6/12)+FM32,0)</x:f>
      </x:c>
      <x:c r="FN37" s="117">
        <x:f>IF(AND(FN$3&lt;$B$7,$B$5=1),FM37*(1+'Ставки'!FN$6/12)+FN32,0)</x:f>
      </x:c>
      <x:c r="FO37" s="117">
        <x:f>IF(AND(FO$3&lt;$B$7,$B$5=1),FN37*(1+'Ставки'!FO$6/12)+FO32,0)</x:f>
      </x:c>
      <x:c r="FP37" s="117">
        <x:f>IF(AND(FP$3&lt;$B$7,$B$5=1),FO37*(1+'Ставки'!FP$6/12)+FP32,0)</x:f>
      </x:c>
      <x:c r="FQ37" s="117">
        <x:f>IF(AND(FQ$3&lt;$B$7,$B$5=1),FP37*(1+'Ставки'!FQ$6/12)+FQ32,0)</x:f>
      </x:c>
      <x:c r="FR37" s="117">
        <x:f>IF(AND(FR$3&lt;$B$7,$B$5=1),FQ37*(1+'Ставки'!FR$6/12)+FR32,0)</x:f>
      </x:c>
      <x:c r="FS37" s="117">
        <x:f>IF(AND(FS$3&lt;$B$7,$B$5=1),FR37*(1+'Ставки'!FS$6/12)+FS32,0)</x:f>
      </x:c>
      <x:c r="FT37" s="117">
        <x:f>IF(AND(FT$3&lt;$B$7,$B$5=1),FS37*(1+'Ставки'!FT$6/12)+FT32,0)</x:f>
      </x:c>
      <x:c r="FU37" s="117">
        <x:f>IF(AND(FU$3&lt;$B$7,$B$5=1),FT37*(1+'Ставки'!FU$6/12)+FU32,0)</x:f>
      </x:c>
      <x:c r="FV37" s="117">
        <x:f>IF(AND(FV$3&lt;$B$7,$B$5=1),FU37*(1+'Ставки'!FV$6/12)+FV32,0)</x:f>
      </x:c>
      <x:c r="FW37" s="117">
        <x:f>IF(AND(FW$3&lt;$B$7,$B$5=1),FV37*(1+'Ставки'!FW$6/12)+FW32,0)</x:f>
      </x:c>
      <x:c r="FX37" s="117">
        <x:f>IF(AND(FX$3&lt;$B$7,$B$5=1),FW37*(1+'Ставки'!FX$6/12)+FX32,0)</x:f>
      </x:c>
      <x:c r="FY37" s="117">
        <x:f>IF(AND(FY$3&lt;$B$7,$B$5=1),FX37*(1+'Ставки'!FY$6/12)+FY32,0)</x:f>
      </x:c>
      <x:c r="FZ37" s="117">
        <x:f>IF(AND(FZ$3&lt;$B$7,$B$5=1),FY37*(1+'Ставки'!FZ$6/12)+FZ32,0)</x:f>
      </x:c>
      <x:c r="GA37" s="117">
        <x:f>IF(AND(GA$3&lt;$B$7,$B$5=1),FZ37*(1+'Ставки'!GA$6/12)+GA32,0)</x:f>
      </x:c>
    </x:row>
    <x:row r="38">
      <x:c r="A38" t="str">
        <x:v>ПФ — долг на начало</x:v>
      </x:c>
      <x:c r="B38"/>
      <x:c r="C38" t="str">
        <x:v>млн ₽</x:v>
      </x:c>
      <x:c r="D38" s="117" t="n">
        <x:f>0</x:f>
      </x:c>
      <x:c r="E38" s="117" t="n">
        <x:f>D47</x:f>
      </x:c>
      <x:c r="F38" s="117" t="n">
        <x:f>E47</x:f>
      </x:c>
      <x:c r="G38" s="117" t="n">
        <x:f>F47</x:f>
      </x:c>
      <x:c r="H38" s="117" t="n">
        <x:f>G47</x:f>
      </x:c>
      <x:c r="I38" s="117" t="n">
        <x:f>H47</x:f>
      </x:c>
      <x:c r="J38" s="117" t="n">
        <x:f>I47</x:f>
      </x:c>
      <x:c r="K38" s="117" t="n">
        <x:f>J47</x:f>
      </x:c>
      <x:c r="L38" s="117" t="n">
        <x:f>K47</x:f>
      </x:c>
      <x:c r="M38" s="117" t="n">
        <x:f>L47</x:f>
      </x:c>
      <x:c r="N38" s="117" t="n">
        <x:f>M47</x:f>
      </x:c>
      <x:c r="O38" s="117" t="n">
        <x:f>N47</x:f>
      </x:c>
      <x:c r="P38" s="117" t="n">
        <x:f>O47</x:f>
      </x:c>
      <x:c r="Q38" s="117" t="n">
        <x:f>P47</x:f>
      </x:c>
      <x:c r="R38" s="117" t="n">
        <x:f>Q47</x:f>
      </x:c>
      <x:c r="S38" s="117" t="n">
        <x:f>R47</x:f>
      </x:c>
      <x:c r="T38" s="117" t="n">
        <x:f>S47</x:f>
      </x:c>
      <x:c r="U38" s="117" t="n">
        <x:f>T47</x:f>
      </x:c>
      <x:c r="V38" s="117" t="n">
        <x:f>U47</x:f>
      </x:c>
      <x:c r="W38" s="117" t="n">
        <x:f>V47</x:f>
      </x:c>
      <x:c r="X38" s="117" t="n">
        <x:f>W47</x:f>
      </x:c>
      <x:c r="Y38" s="117" t="n">
        <x:f>X47</x:f>
      </x:c>
      <x:c r="Z38" s="117" t="n">
        <x:f>Y47</x:f>
      </x:c>
      <x:c r="AA38" s="117" t="n">
        <x:f>Z47</x:f>
      </x:c>
      <x:c r="AB38" s="117" t="n">
        <x:f>AA47</x:f>
      </x:c>
      <x:c r="AC38" s="117" t="n">
        <x:f>AB47</x:f>
      </x:c>
      <x:c r="AD38" s="117" t="n">
        <x:f>AC47</x:f>
      </x:c>
      <x:c r="AE38" s="117" t="n">
        <x:f>AD47</x:f>
      </x:c>
      <x:c r="AF38" s="117" t="n">
        <x:f>AE47</x:f>
      </x:c>
      <x:c r="AG38" s="117" t="n">
        <x:f>AF47</x:f>
      </x:c>
      <x:c r="AH38" s="117" t="n">
        <x:f>AG47</x:f>
      </x:c>
      <x:c r="AI38" s="117" t="n">
        <x:f>AH47</x:f>
      </x:c>
      <x:c r="AJ38" s="117" t="n">
        <x:f>AI47</x:f>
      </x:c>
      <x:c r="AK38" s="117" t="n">
        <x:f>AJ47</x:f>
      </x:c>
      <x:c r="AL38" s="117" t="n">
        <x:f>AK47</x:f>
      </x:c>
      <x:c r="AM38" s="117" t="n">
        <x:f>AL47</x:f>
      </x:c>
      <x:c r="AN38" s="117" t="n">
        <x:f>AM47</x:f>
      </x:c>
      <x:c r="AO38" s="117" t="n">
        <x:f>AN47</x:f>
      </x:c>
      <x:c r="AP38" s="117" t="n">
        <x:f>AO47</x:f>
      </x:c>
      <x:c r="AQ38" s="117" t="n">
        <x:f>AP47</x:f>
      </x:c>
      <x:c r="AR38" s="117" t="n">
        <x:f>AQ47</x:f>
      </x:c>
      <x:c r="AS38" s="117" t="n">
        <x:f>AR47</x:f>
      </x:c>
      <x:c r="AT38" s="117" t="n">
        <x:f>AS47</x:f>
      </x:c>
      <x:c r="AU38" s="117" t="n">
        <x:f>AT47</x:f>
      </x:c>
      <x:c r="AV38" s="117" t="n">
        <x:f>AU47</x:f>
      </x:c>
      <x:c r="AW38" s="117" t="n">
        <x:f>AV47</x:f>
      </x:c>
      <x:c r="AX38" s="117" t="n">
        <x:f>AW47</x:f>
      </x:c>
      <x:c r="AY38" s="117" t="n">
        <x:f>AX47</x:f>
      </x:c>
      <x:c r="AZ38" s="117" t="n">
        <x:f>AY47</x:f>
      </x:c>
      <x:c r="BA38" s="117" t="n">
        <x:f>AZ47</x:f>
      </x:c>
      <x:c r="BB38" s="117" t="n">
        <x:f>BA47</x:f>
      </x:c>
      <x:c r="BC38" s="117" t="n">
        <x:f>BB47</x:f>
      </x:c>
      <x:c r="BD38" s="117" t="n">
        <x:f>BC47</x:f>
      </x:c>
      <x:c r="BE38" s="117" t="n">
        <x:f>BD47</x:f>
      </x:c>
      <x:c r="BF38" s="117" t="n">
        <x:f>BE47</x:f>
      </x:c>
      <x:c r="BG38" s="117" t="n">
        <x:f>BF47</x:f>
      </x:c>
      <x:c r="BH38" s="117" t="n">
        <x:f>BG47</x:f>
      </x:c>
      <x:c r="BI38" s="117" t="n">
        <x:f>BH47</x:f>
      </x:c>
      <x:c r="BJ38" s="117" t="n">
        <x:f>BI47</x:f>
      </x:c>
      <x:c r="BK38" s="117" t="n">
        <x:f>BJ47</x:f>
      </x:c>
      <x:c r="BL38" s="117" t="n">
        <x:f>BK47</x:f>
      </x:c>
      <x:c r="BM38" s="117" t="n">
        <x:f>BL47</x:f>
      </x:c>
      <x:c r="BN38" s="117" t="n">
        <x:f>BM47</x:f>
      </x:c>
      <x:c r="BO38" s="117" t="n">
        <x:f>BN47</x:f>
      </x:c>
      <x:c r="BP38" s="117" t="n">
        <x:f>BO47</x:f>
      </x:c>
      <x:c r="BQ38" s="117" t="n">
        <x:f>BP47</x:f>
      </x:c>
      <x:c r="BR38" s="117" t="n">
        <x:f>BQ47</x:f>
      </x:c>
      <x:c r="BS38" s="117" t="n">
        <x:f>BR47</x:f>
      </x:c>
      <x:c r="BT38" s="117" t="n">
        <x:f>BS47</x:f>
      </x:c>
      <x:c r="BU38" s="117" t="n">
        <x:f>BT47</x:f>
      </x:c>
      <x:c r="BV38" s="117" t="n">
        <x:f>BU47</x:f>
      </x:c>
      <x:c r="BW38" s="117" t="n">
        <x:f>BV47</x:f>
      </x:c>
      <x:c r="BX38" s="117" t="n">
        <x:f>BW47</x:f>
      </x:c>
      <x:c r="BY38" s="117" t="n">
        <x:f>BX47</x:f>
      </x:c>
      <x:c r="BZ38" s="117" t="n">
        <x:f>BY47</x:f>
      </x:c>
      <x:c r="CA38" s="117" t="n">
        <x:f>BZ47</x:f>
      </x:c>
      <x:c r="CB38" s="117" t="n">
        <x:f>CA47</x:f>
      </x:c>
      <x:c r="CC38" s="117" t="n">
        <x:f>CB47</x:f>
      </x:c>
      <x:c r="CD38" s="117" t="n">
        <x:f>CC47</x:f>
      </x:c>
      <x:c r="CE38" s="117" t="n">
        <x:f>CD47</x:f>
      </x:c>
      <x:c r="CF38" s="117" t="n">
        <x:f>CE47</x:f>
      </x:c>
      <x:c r="CG38" s="117" t="n">
        <x:f>CF47</x:f>
      </x:c>
      <x:c r="CH38" s="117" t="n">
        <x:f>CG47</x:f>
      </x:c>
      <x:c r="CI38" s="117" t="n">
        <x:f>CH47</x:f>
      </x:c>
      <x:c r="CJ38" s="117" t="n">
        <x:f>CI47</x:f>
      </x:c>
      <x:c r="CK38" s="117" t="n">
        <x:f>CJ47</x:f>
      </x:c>
      <x:c r="CL38" s="117" t="n">
        <x:f>CK47</x:f>
      </x:c>
      <x:c r="CM38" s="117" t="n">
        <x:f>CL47</x:f>
      </x:c>
      <x:c r="CN38" s="117" t="n">
        <x:f>CM47</x:f>
      </x:c>
      <x:c r="CO38" s="117" t="n">
        <x:f>CN47</x:f>
      </x:c>
      <x:c r="CP38" s="117" t="n">
        <x:f>CO47</x:f>
      </x:c>
      <x:c r="CQ38" s="117" t="n">
        <x:f>CP47</x:f>
      </x:c>
      <x:c r="CR38" s="117" t="n">
        <x:f>CQ47</x:f>
      </x:c>
      <x:c r="CS38" s="117" t="n">
        <x:f>CR47</x:f>
      </x:c>
      <x:c r="CT38" s="117" t="n">
        <x:f>CS47</x:f>
      </x:c>
      <x:c r="CU38" s="117" t="n">
        <x:f>CT47</x:f>
      </x:c>
      <x:c r="CV38" s="117" t="n">
        <x:f>CU47</x:f>
      </x:c>
      <x:c r="CW38" s="117" t="n">
        <x:f>CV47</x:f>
      </x:c>
      <x:c r="CX38" s="117" t="n">
        <x:f>CW47</x:f>
      </x:c>
      <x:c r="CY38" s="117" t="n">
        <x:f>CX47</x:f>
      </x:c>
      <x:c r="CZ38" s="117" t="n">
        <x:f>CY47</x:f>
      </x:c>
      <x:c r="DA38" s="117" t="n">
        <x:f>CZ47</x:f>
      </x:c>
      <x:c r="DB38" s="117" t="n">
        <x:f>DA47</x:f>
      </x:c>
      <x:c r="DC38" s="117" t="n">
        <x:f>DB47</x:f>
      </x:c>
      <x:c r="DD38" s="117" t="n">
        <x:f>DC47</x:f>
      </x:c>
      <x:c r="DE38" s="117" t="n">
        <x:f>DD47</x:f>
      </x:c>
      <x:c r="DF38" s="117" t="n">
        <x:f>DE47</x:f>
      </x:c>
      <x:c r="DG38" s="117" t="n">
        <x:f>DF47</x:f>
      </x:c>
      <x:c r="DH38" s="117" t="n">
        <x:f>DG47</x:f>
      </x:c>
      <x:c r="DI38" s="117" t="n">
        <x:f>DH47</x:f>
      </x:c>
      <x:c r="DJ38" s="117" t="n">
        <x:f>DI47</x:f>
      </x:c>
      <x:c r="DK38" s="117" t="n">
        <x:f>DJ47</x:f>
      </x:c>
      <x:c r="DL38" s="117" t="n">
        <x:f>DK47</x:f>
      </x:c>
      <x:c r="DM38" s="117" t="n">
        <x:f>DL47</x:f>
      </x:c>
      <x:c r="DN38" s="117" t="n">
        <x:f>DM47</x:f>
      </x:c>
      <x:c r="DO38" s="117" t="n">
        <x:f>DN47</x:f>
      </x:c>
      <x:c r="DP38" s="117" t="n">
        <x:f>DO47</x:f>
      </x:c>
      <x:c r="DQ38" s="117" t="n">
        <x:f>DP47</x:f>
      </x:c>
      <x:c r="DR38" s="117" t="n">
        <x:f>DQ47</x:f>
      </x:c>
      <x:c r="DS38" s="117" t="n">
        <x:f>DR47</x:f>
      </x:c>
      <x:c r="DT38" s="117" t="n">
        <x:f>DS47</x:f>
      </x:c>
      <x:c r="DU38" s="117" t="n">
        <x:f>DT47</x:f>
      </x:c>
      <x:c r="DV38" s="117" t="n">
        <x:f>DU47</x:f>
      </x:c>
      <x:c r="DW38" s="117" t="n">
        <x:f>DV47</x:f>
      </x:c>
      <x:c r="DX38" s="117" t="n">
        <x:f>DW47</x:f>
      </x:c>
      <x:c r="DY38" s="117" t="n">
        <x:f>DX47</x:f>
      </x:c>
      <x:c r="DZ38" s="117" t="n">
        <x:f>DY47</x:f>
      </x:c>
      <x:c r="EA38" s="117" t="n">
        <x:f>DZ47</x:f>
      </x:c>
      <x:c r="EB38" s="117" t="n">
        <x:f>EA47</x:f>
      </x:c>
      <x:c r="EC38" s="117" t="n">
        <x:f>EB47</x:f>
      </x:c>
      <x:c r="ED38" s="117" t="n">
        <x:f>EC47</x:f>
      </x:c>
      <x:c r="EE38" s="117" t="n">
        <x:f>ED47</x:f>
      </x:c>
      <x:c r="EF38" s="117" t="n">
        <x:f>EE47</x:f>
      </x:c>
      <x:c r="EG38" s="117" t="n">
        <x:f>EF47</x:f>
      </x:c>
      <x:c r="EH38" s="117" t="n">
        <x:f>EG47</x:f>
      </x:c>
      <x:c r="EI38" s="117" t="n">
        <x:f>EH47</x:f>
      </x:c>
      <x:c r="EJ38" s="117" t="n">
        <x:f>EI47</x:f>
      </x:c>
      <x:c r="EK38" s="117" t="n">
        <x:f>EJ47</x:f>
      </x:c>
      <x:c r="EL38" s="117" t="n">
        <x:f>EK47</x:f>
      </x:c>
      <x:c r="EM38" s="117" t="n">
        <x:f>EL47</x:f>
      </x:c>
      <x:c r="EN38" s="117" t="n">
        <x:f>EM47</x:f>
      </x:c>
      <x:c r="EO38" s="117" t="n">
        <x:f>EN47</x:f>
      </x:c>
      <x:c r="EP38" s="117" t="n">
        <x:f>EO47</x:f>
      </x:c>
      <x:c r="EQ38" s="117" t="n">
        <x:f>EP47</x:f>
      </x:c>
      <x:c r="ER38" s="117" t="n">
        <x:f>EQ47</x:f>
      </x:c>
      <x:c r="ES38" s="117" t="n">
        <x:f>ER47</x:f>
      </x:c>
      <x:c r="ET38" s="117" t="n">
        <x:f>ES47</x:f>
      </x:c>
      <x:c r="EU38" s="117" t="n">
        <x:f>ET47</x:f>
      </x:c>
      <x:c r="EV38" s="117" t="n">
        <x:f>EU47</x:f>
      </x:c>
      <x:c r="EW38" s="117" t="n">
        <x:f>EV47</x:f>
      </x:c>
      <x:c r="EX38" s="117" t="n">
        <x:f>EW47</x:f>
      </x:c>
      <x:c r="EY38" s="117" t="n">
        <x:f>EX47</x:f>
      </x:c>
      <x:c r="EZ38" s="117" t="n">
        <x:f>EY47</x:f>
      </x:c>
      <x:c r="FA38" s="117" t="n">
        <x:f>EZ47</x:f>
      </x:c>
      <x:c r="FB38" s="117" t="n">
        <x:f>FA47</x:f>
      </x:c>
      <x:c r="FC38" s="117" t="n">
        <x:f>FB47</x:f>
      </x:c>
      <x:c r="FD38" s="117" t="n">
        <x:f>FC47</x:f>
      </x:c>
      <x:c r="FE38" s="117" t="n">
        <x:f>FD47</x:f>
      </x:c>
      <x:c r="FF38" s="117" t="n">
        <x:f>FE47</x:f>
      </x:c>
      <x:c r="FG38" s="117" t="n">
        <x:f>FF47</x:f>
      </x:c>
      <x:c r="FH38" s="117" t="n">
        <x:f>FG47</x:f>
      </x:c>
      <x:c r="FI38" s="117" t="n">
        <x:f>FH47</x:f>
      </x:c>
      <x:c r="FJ38" s="117" t="n">
        <x:f>FI47</x:f>
      </x:c>
      <x:c r="FK38" s="117" t="n">
        <x:f>FJ47</x:f>
      </x:c>
      <x:c r="FL38" s="117" t="n">
        <x:f>FK47</x:f>
      </x:c>
      <x:c r="FM38" s="117" t="n">
        <x:f>FL47</x:f>
      </x:c>
      <x:c r="FN38" s="117" t="n">
        <x:f>FM47</x:f>
      </x:c>
      <x:c r="FO38" s="117" t="n">
        <x:f>FN47</x:f>
      </x:c>
      <x:c r="FP38" s="117" t="n">
        <x:f>FO47</x:f>
      </x:c>
      <x:c r="FQ38" s="117" t="n">
        <x:f>FP47</x:f>
      </x:c>
      <x:c r="FR38" s="117" t="n">
        <x:f>FQ47</x:f>
      </x:c>
      <x:c r="FS38" s="117" t="n">
        <x:f>FR47</x:f>
      </x:c>
      <x:c r="FT38" s="117" t="n">
        <x:f>FS47</x:f>
      </x:c>
      <x:c r="FU38" s="117" t="n">
        <x:f>FT47</x:f>
      </x:c>
      <x:c r="FV38" s="117" t="n">
        <x:f>FU47</x:f>
      </x:c>
      <x:c r="FW38" s="117" t="n">
        <x:f>FV47</x:f>
      </x:c>
      <x:c r="FX38" s="117" t="n">
        <x:f>FW47</x:f>
      </x:c>
      <x:c r="FY38" s="117" t="n">
        <x:f>FX47</x:f>
      </x:c>
      <x:c r="FZ38" s="117" t="n">
        <x:f>FY47</x:f>
      </x:c>
      <x:c r="GA38" s="117" t="n">
        <x:f>FZ47</x:f>
      </x:c>
    </x:row>
    <x:row r="39">
      <x:c r="A39" t="str">
        <x:v>ПФ — базовая ставка</x:v>
      </x:c>
      <x:c r="B39"/>
      <x:c r="C39" t="str">
        <x:v>% год</x:v>
      </x:c>
      <x:c r="D39" s="121" t="n">
        <x:f>'Ставки'!D$7</x:f>
      </x:c>
      <x:c r="E39" s="121" t="n">
        <x:f>'Ставки'!E$7</x:f>
      </x:c>
      <x:c r="F39" s="121" t="n">
        <x:f>'Ставки'!F$7</x:f>
      </x:c>
      <x:c r="G39" s="121" t="n">
        <x:f>'Ставки'!G$7</x:f>
      </x:c>
      <x:c r="H39" s="121" t="n">
        <x:f>'Ставки'!H$7</x:f>
      </x:c>
      <x:c r="I39" s="121" t="n">
        <x:f>'Ставки'!I$7</x:f>
      </x:c>
      <x:c r="J39" s="121" t="n">
        <x:f>'Ставки'!J$7</x:f>
      </x:c>
      <x:c r="K39" s="121" t="n">
        <x:f>'Ставки'!K$7</x:f>
      </x:c>
      <x:c r="L39" s="121" t="n">
        <x:f>'Ставки'!L$7</x:f>
      </x:c>
      <x:c r="M39" s="121" t="n">
        <x:f>'Ставки'!M$7</x:f>
      </x:c>
      <x:c r="N39" s="121" t="n">
        <x:f>'Ставки'!N$7</x:f>
      </x:c>
      <x:c r="O39" s="121" t="n">
        <x:f>'Ставки'!O$7</x:f>
      </x:c>
      <x:c r="P39" s="121" t="n">
        <x:f>'Ставки'!P$7</x:f>
      </x:c>
      <x:c r="Q39" s="121" t="n">
        <x:f>'Ставки'!Q$7</x:f>
      </x:c>
      <x:c r="R39" s="121" t="n">
        <x:f>'Ставки'!R$7</x:f>
      </x:c>
      <x:c r="S39" s="121" t="n">
        <x:f>'Ставки'!S$7</x:f>
      </x:c>
      <x:c r="T39" s="121" t="n">
        <x:f>'Ставки'!T$7</x:f>
      </x:c>
      <x:c r="U39" s="121" t="n">
        <x:f>'Ставки'!U$7</x:f>
      </x:c>
      <x:c r="V39" s="121" t="n">
        <x:f>'Ставки'!V$7</x:f>
      </x:c>
      <x:c r="W39" s="121" t="n">
        <x:f>'Ставки'!W$7</x:f>
      </x:c>
      <x:c r="X39" s="121" t="n">
        <x:f>'Ставки'!X$7</x:f>
      </x:c>
      <x:c r="Y39" s="121" t="n">
        <x:f>'Ставки'!Y$7</x:f>
      </x:c>
      <x:c r="Z39" s="121" t="n">
        <x:f>'Ставки'!Z$7</x:f>
      </x:c>
      <x:c r="AA39" s="121" t="n">
        <x:f>'Ставки'!AA$7</x:f>
      </x:c>
      <x:c r="AB39" s="121" t="n">
        <x:f>'Ставки'!AB$7</x:f>
      </x:c>
      <x:c r="AC39" s="121" t="n">
        <x:f>'Ставки'!AC$7</x:f>
      </x:c>
      <x:c r="AD39" s="121" t="n">
        <x:f>'Ставки'!AD$7</x:f>
      </x:c>
      <x:c r="AE39" s="121" t="n">
        <x:f>'Ставки'!AE$7</x:f>
      </x:c>
      <x:c r="AF39" s="121" t="n">
        <x:f>'Ставки'!AF$7</x:f>
      </x:c>
      <x:c r="AG39" s="121" t="n">
        <x:f>'Ставки'!AG$7</x:f>
      </x:c>
      <x:c r="AH39" s="121" t="n">
        <x:f>'Ставки'!AH$7</x:f>
      </x:c>
      <x:c r="AI39" s="121" t="n">
        <x:f>'Ставки'!AI$7</x:f>
      </x:c>
      <x:c r="AJ39" s="121" t="n">
        <x:f>'Ставки'!AJ$7</x:f>
      </x:c>
      <x:c r="AK39" s="121" t="n">
        <x:f>'Ставки'!AK$7</x:f>
      </x:c>
      <x:c r="AL39" s="121" t="n">
        <x:f>'Ставки'!AL$7</x:f>
      </x:c>
      <x:c r="AM39" s="121" t="n">
        <x:f>'Ставки'!AM$7</x:f>
      </x:c>
      <x:c r="AN39" s="121" t="n">
        <x:f>'Ставки'!AN$7</x:f>
      </x:c>
      <x:c r="AO39" s="121" t="n">
        <x:f>'Ставки'!AO$7</x:f>
      </x:c>
      <x:c r="AP39" s="121" t="n">
        <x:f>'Ставки'!AP$7</x:f>
      </x:c>
      <x:c r="AQ39" s="121" t="n">
        <x:f>'Ставки'!AQ$7</x:f>
      </x:c>
      <x:c r="AR39" s="121" t="n">
        <x:f>'Ставки'!AR$7</x:f>
      </x:c>
      <x:c r="AS39" s="121" t="n">
        <x:f>'Ставки'!AS$7</x:f>
      </x:c>
      <x:c r="AT39" s="121" t="n">
        <x:f>'Ставки'!AT$7</x:f>
      </x:c>
      <x:c r="AU39" s="121" t="n">
        <x:f>'Ставки'!AU$7</x:f>
      </x:c>
      <x:c r="AV39" s="121" t="n">
        <x:f>'Ставки'!AV$7</x:f>
      </x:c>
      <x:c r="AW39" s="121" t="n">
        <x:f>'Ставки'!AW$7</x:f>
      </x:c>
      <x:c r="AX39" s="121" t="n">
        <x:f>'Ставки'!AX$7</x:f>
      </x:c>
      <x:c r="AY39" s="121" t="n">
        <x:f>'Ставки'!AY$7</x:f>
      </x:c>
      <x:c r="AZ39" s="121" t="n">
        <x:f>'Ставки'!AZ$7</x:f>
      </x:c>
      <x:c r="BA39" s="121" t="n">
        <x:f>'Ставки'!BA$7</x:f>
      </x:c>
      <x:c r="BB39" s="121" t="n">
        <x:f>'Ставки'!BB$7</x:f>
      </x:c>
      <x:c r="BC39" s="121" t="n">
        <x:f>'Ставки'!BC$7</x:f>
      </x:c>
      <x:c r="BD39" s="121" t="n">
        <x:f>'Ставки'!BD$7</x:f>
      </x:c>
      <x:c r="BE39" s="121" t="n">
        <x:f>'Ставки'!BE$7</x:f>
      </x:c>
      <x:c r="BF39" s="121" t="n">
        <x:f>'Ставки'!BF$7</x:f>
      </x:c>
      <x:c r="BG39" s="121" t="n">
        <x:f>'Ставки'!BG$7</x:f>
      </x:c>
      <x:c r="BH39" s="121" t="n">
        <x:f>'Ставки'!BH$7</x:f>
      </x:c>
      <x:c r="BI39" s="121" t="n">
        <x:f>'Ставки'!BI$7</x:f>
      </x:c>
      <x:c r="BJ39" s="121" t="n">
        <x:f>'Ставки'!BJ$7</x:f>
      </x:c>
      <x:c r="BK39" s="121" t="n">
        <x:f>'Ставки'!BK$7</x:f>
      </x:c>
      <x:c r="BL39" s="121" t="n">
        <x:f>'Ставки'!BL$7</x:f>
      </x:c>
      <x:c r="BM39" s="121" t="n">
        <x:f>'Ставки'!BM$7</x:f>
      </x:c>
      <x:c r="BN39" s="121" t="n">
        <x:f>'Ставки'!BN$7</x:f>
      </x:c>
      <x:c r="BO39" s="121" t="n">
        <x:f>'Ставки'!BO$7</x:f>
      </x:c>
      <x:c r="BP39" s="121" t="n">
        <x:f>'Ставки'!BP$7</x:f>
      </x:c>
      <x:c r="BQ39" s="121" t="n">
        <x:f>'Ставки'!BQ$7</x:f>
      </x:c>
      <x:c r="BR39" s="121" t="n">
        <x:f>'Ставки'!BR$7</x:f>
      </x:c>
      <x:c r="BS39" s="121" t="n">
        <x:f>'Ставки'!BS$7</x:f>
      </x:c>
      <x:c r="BT39" s="121" t="n">
        <x:f>'Ставки'!BT$7</x:f>
      </x:c>
      <x:c r="BU39" s="121" t="n">
        <x:f>'Ставки'!BU$7</x:f>
      </x:c>
      <x:c r="BV39" s="121" t="n">
        <x:f>'Ставки'!BV$7</x:f>
      </x:c>
      <x:c r="BW39" s="121" t="n">
        <x:f>'Ставки'!BW$7</x:f>
      </x:c>
      <x:c r="BX39" s="121" t="n">
        <x:f>'Ставки'!BX$7</x:f>
      </x:c>
      <x:c r="BY39" s="121" t="n">
        <x:f>'Ставки'!BY$7</x:f>
      </x:c>
      <x:c r="BZ39" s="121" t="n">
        <x:f>'Ставки'!BZ$7</x:f>
      </x:c>
      <x:c r="CA39" s="121" t="n">
        <x:f>'Ставки'!CA$7</x:f>
      </x:c>
      <x:c r="CB39" s="121" t="n">
        <x:f>'Ставки'!CB$7</x:f>
      </x:c>
      <x:c r="CC39" s="121" t="n">
        <x:f>'Ставки'!CC$7</x:f>
      </x:c>
      <x:c r="CD39" s="121" t="n">
        <x:f>'Ставки'!CD$7</x:f>
      </x:c>
      <x:c r="CE39" s="121" t="n">
        <x:f>'Ставки'!CE$7</x:f>
      </x:c>
      <x:c r="CF39" s="121" t="n">
        <x:f>'Ставки'!CF$7</x:f>
      </x:c>
      <x:c r="CG39" s="121" t="n">
        <x:f>'Ставки'!CG$7</x:f>
      </x:c>
      <x:c r="CH39" s="121" t="n">
        <x:f>'Ставки'!CH$7</x:f>
      </x:c>
      <x:c r="CI39" s="121" t="n">
        <x:f>'Ставки'!CI$7</x:f>
      </x:c>
      <x:c r="CJ39" s="121" t="n">
        <x:f>'Ставки'!CJ$7</x:f>
      </x:c>
      <x:c r="CK39" s="121" t="n">
        <x:f>'Ставки'!CK$7</x:f>
      </x:c>
      <x:c r="CL39" s="121" t="n">
        <x:f>'Ставки'!CL$7</x:f>
      </x:c>
      <x:c r="CM39" s="121" t="n">
        <x:f>'Ставки'!CM$7</x:f>
      </x:c>
      <x:c r="CN39" s="121" t="n">
        <x:f>'Ставки'!CN$7</x:f>
      </x:c>
      <x:c r="CO39" s="121" t="n">
        <x:f>'Ставки'!CO$7</x:f>
      </x:c>
      <x:c r="CP39" s="121" t="n">
        <x:f>'Ставки'!CP$7</x:f>
      </x:c>
      <x:c r="CQ39" s="121" t="n">
        <x:f>'Ставки'!CQ$7</x:f>
      </x:c>
      <x:c r="CR39" s="121" t="n">
        <x:f>'Ставки'!CR$7</x:f>
      </x:c>
      <x:c r="CS39" s="121" t="n">
        <x:f>'Ставки'!CS$7</x:f>
      </x:c>
      <x:c r="CT39" s="121" t="n">
        <x:f>'Ставки'!CT$7</x:f>
      </x:c>
      <x:c r="CU39" s="121" t="n">
        <x:f>'Ставки'!CU$7</x:f>
      </x:c>
      <x:c r="CV39" s="121" t="n">
        <x:f>'Ставки'!CV$7</x:f>
      </x:c>
      <x:c r="CW39" s="121" t="n">
        <x:f>'Ставки'!CW$7</x:f>
      </x:c>
      <x:c r="CX39" s="121" t="n">
        <x:f>'Ставки'!CX$7</x:f>
      </x:c>
      <x:c r="CY39" s="121" t="n">
        <x:f>'Ставки'!CY$7</x:f>
      </x:c>
      <x:c r="CZ39" s="121" t="n">
        <x:f>'Ставки'!CZ$7</x:f>
      </x:c>
      <x:c r="DA39" s="121" t="n">
        <x:f>'Ставки'!DA$7</x:f>
      </x:c>
      <x:c r="DB39" s="121" t="n">
        <x:f>'Ставки'!DB$7</x:f>
      </x:c>
      <x:c r="DC39" s="121" t="n">
        <x:f>'Ставки'!DC$7</x:f>
      </x:c>
      <x:c r="DD39" s="121" t="n">
        <x:f>'Ставки'!DD$7</x:f>
      </x:c>
      <x:c r="DE39" s="121" t="n">
        <x:f>'Ставки'!DE$7</x:f>
      </x:c>
      <x:c r="DF39" s="121" t="n">
        <x:f>'Ставки'!DF$7</x:f>
      </x:c>
      <x:c r="DG39" s="121" t="n">
        <x:f>'Ставки'!DG$7</x:f>
      </x:c>
      <x:c r="DH39" s="121" t="n">
        <x:f>'Ставки'!DH$7</x:f>
      </x:c>
      <x:c r="DI39" s="121" t="n">
        <x:f>'Ставки'!DI$7</x:f>
      </x:c>
      <x:c r="DJ39" s="121" t="n">
        <x:f>'Ставки'!DJ$7</x:f>
      </x:c>
      <x:c r="DK39" s="121" t="n">
        <x:f>'Ставки'!DK$7</x:f>
      </x:c>
      <x:c r="DL39" s="121" t="n">
        <x:f>'Ставки'!DL$7</x:f>
      </x:c>
      <x:c r="DM39" s="121" t="n">
        <x:f>'Ставки'!DM$7</x:f>
      </x:c>
      <x:c r="DN39" s="121" t="n">
        <x:f>'Ставки'!DN$7</x:f>
      </x:c>
      <x:c r="DO39" s="121" t="n">
        <x:f>'Ставки'!DO$7</x:f>
      </x:c>
      <x:c r="DP39" s="121" t="n">
        <x:f>'Ставки'!DP$7</x:f>
      </x:c>
      <x:c r="DQ39" s="121" t="n">
        <x:f>'Ставки'!DQ$7</x:f>
      </x:c>
      <x:c r="DR39" s="121" t="n">
        <x:f>'Ставки'!DR$7</x:f>
      </x:c>
      <x:c r="DS39" s="121" t="n">
        <x:f>'Ставки'!DS$7</x:f>
      </x:c>
      <x:c r="DT39" s="121" t="n">
        <x:f>'Ставки'!DT$7</x:f>
      </x:c>
      <x:c r="DU39" s="121" t="n">
        <x:f>'Ставки'!DU$7</x:f>
      </x:c>
      <x:c r="DV39" s="121" t="n">
        <x:f>'Ставки'!DV$7</x:f>
      </x:c>
      <x:c r="DW39" s="121" t="n">
        <x:f>'Ставки'!DW$7</x:f>
      </x:c>
      <x:c r="DX39" s="121" t="n">
        <x:f>'Ставки'!DX$7</x:f>
      </x:c>
      <x:c r="DY39" s="121" t="n">
        <x:f>'Ставки'!DY$7</x:f>
      </x:c>
      <x:c r="DZ39" s="121" t="n">
        <x:f>'Ставки'!DZ$7</x:f>
      </x:c>
      <x:c r="EA39" s="121" t="n">
        <x:f>'Ставки'!EA$7</x:f>
      </x:c>
      <x:c r="EB39" s="121" t="n">
        <x:f>'Ставки'!EB$7</x:f>
      </x:c>
      <x:c r="EC39" s="121" t="n">
        <x:f>'Ставки'!EC$7</x:f>
      </x:c>
      <x:c r="ED39" s="121" t="n">
        <x:f>'Ставки'!ED$7</x:f>
      </x:c>
      <x:c r="EE39" s="121" t="n">
        <x:f>'Ставки'!EE$7</x:f>
      </x:c>
      <x:c r="EF39" s="121" t="n">
        <x:f>'Ставки'!EF$7</x:f>
      </x:c>
      <x:c r="EG39" s="121" t="n">
        <x:f>'Ставки'!EG$7</x:f>
      </x:c>
      <x:c r="EH39" s="121" t="n">
        <x:f>'Ставки'!EH$7</x:f>
      </x:c>
      <x:c r="EI39" s="121" t="n">
        <x:f>'Ставки'!EI$7</x:f>
      </x:c>
      <x:c r="EJ39" s="121" t="n">
        <x:f>'Ставки'!EJ$7</x:f>
      </x:c>
      <x:c r="EK39" s="121" t="n">
        <x:f>'Ставки'!EK$7</x:f>
      </x:c>
      <x:c r="EL39" s="121" t="n">
        <x:f>'Ставки'!EL$7</x:f>
      </x:c>
      <x:c r="EM39" s="121" t="n">
        <x:f>'Ставки'!EM$7</x:f>
      </x:c>
      <x:c r="EN39" s="121" t="n">
        <x:f>'Ставки'!EN$7</x:f>
      </x:c>
      <x:c r="EO39" s="121" t="n">
        <x:f>'Ставки'!EO$7</x:f>
      </x:c>
      <x:c r="EP39" s="121" t="n">
        <x:f>'Ставки'!EP$7</x:f>
      </x:c>
      <x:c r="EQ39" s="121" t="n">
        <x:f>'Ставки'!EQ$7</x:f>
      </x:c>
      <x:c r="ER39" s="121" t="n">
        <x:f>'Ставки'!ER$7</x:f>
      </x:c>
      <x:c r="ES39" s="121" t="n">
        <x:f>'Ставки'!ES$7</x:f>
      </x:c>
      <x:c r="ET39" s="121" t="n">
        <x:f>'Ставки'!ET$7</x:f>
      </x:c>
      <x:c r="EU39" s="121" t="n">
        <x:f>'Ставки'!EU$7</x:f>
      </x:c>
      <x:c r="EV39" s="121" t="n">
        <x:f>'Ставки'!EV$7</x:f>
      </x:c>
      <x:c r="EW39" s="121" t="n">
        <x:f>'Ставки'!EW$7</x:f>
      </x:c>
      <x:c r="EX39" s="121" t="n">
        <x:f>'Ставки'!EX$7</x:f>
      </x:c>
      <x:c r="EY39" s="121" t="n">
        <x:f>'Ставки'!EY$7</x:f>
      </x:c>
      <x:c r="EZ39" s="121" t="n">
        <x:f>'Ставки'!EZ$7</x:f>
      </x:c>
      <x:c r="FA39" s="121" t="n">
        <x:f>'Ставки'!FA$7</x:f>
      </x:c>
      <x:c r="FB39" s="121" t="n">
        <x:f>'Ставки'!FB$7</x:f>
      </x:c>
      <x:c r="FC39" s="121" t="n">
        <x:f>'Ставки'!FC$7</x:f>
      </x:c>
      <x:c r="FD39" s="121" t="n">
        <x:f>'Ставки'!FD$7</x:f>
      </x:c>
      <x:c r="FE39" s="121" t="n">
        <x:f>'Ставки'!FE$7</x:f>
      </x:c>
      <x:c r="FF39" s="121" t="n">
        <x:f>'Ставки'!FF$7</x:f>
      </x:c>
      <x:c r="FG39" s="121" t="n">
        <x:f>'Ставки'!FG$7</x:f>
      </x:c>
      <x:c r="FH39" s="121" t="n">
        <x:f>'Ставки'!FH$7</x:f>
      </x:c>
      <x:c r="FI39" s="121" t="n">
        <x:f>'Ставки'!FI$7</x:f>
      </x:c>
      <x:c r="FJ39" s="121" t="n">
        <x:f>'Ставки'!FJ$7</x:f>
      </x:c>
      <x:c r="FK39" s="121" t="n">
        <x:f>'Ставки'!FK$7</x:f>
      </x:c>
      <x:c r="FL39" s="121" t="n">
        <x:f>'Ставки'!FL$7</x:f>
      </x:c>
      <x:c r="FM39" s="121" t="n">
        <x:f>'Ставки'!FM$7</x:f>
      </x:c>
      <x:c r="FN39" s="121" t="n">
        <x:f>'Ставки'!FN$7</x:f>
      </x:c>
      <x:c r="FO39" s="121" t="n">
        <x:f>'Ставки'!FO$7</x:f>
      </x:c>
      <x:c r="FP39" s="121" t="n">
        <x:f>'Ставки'!FP$7</x:f>
      </x:c>
      <x:c r="FQ39" s="121" t="n">
        <x:f>'Ставки'!FQ$7</x:f>
      </x:c>
      <x:c r="FR39" s="121" t="n">
        <x:f>'Ставки'!FR$7</x:f>
      </x:c>
      <x:c r="FS39" s="121" t="n">
        <x:f>'Ставки'!FS$7</x:f>
      </x:c>
      <x:c r="FT39" s="121" t="n">
        <x:f>'Ставки'!FT$7</x:f>
      </x:c>
      <x:c r="FU39" s="121" t="n">
        <x:f>'Ставки'!FU$7</x:f>
      </x:c>
      <x:c r="FV39" s="121" t="n">
        <x:f>'Ставки'!FV$7</x:f>
      </x:c>
      <x:c r="FW39" s="121" t="n">
        <x:f>'Ставки'!FW$7</x:f>
      </x:c>
      <x:c r="FX39" s="121" t="n">
        <x:f>'Ставки'!FX$7</x:f>
      </x:c>
      <x:c r="FY39" s="121" t="n">
        <x:f>'Ставки'!FY$7</x:f>
      </x:c>
      <x:c r="FZ39" s="121" t="n">
        <x:f>'Ставки'!FZ$7</x:f>
      </x:c>
      <x:c r="GA39" s="121" t="n">
        <x:f>'Ставки'!GA$7</x:f>
      </x:c>
    </x:row>
    <x:row r="40">
      <x:c r="A40" t="str">
        <x:v>Покрытие эскроу</x:v>
      </x:c>
      <x:c r="B40"/>
      <x:c r="C40" t="str">
        <x:v>×</x:v>
      </x:c>
      <x:c r="D40" s="122">
        <x:f>IFERROR((D13+D11)/MAX(1,D38+D45),0)</x:f>
      </x:c>
      <x:c r="E40" s="122">
        <x:f>IFERROR((E13+E11)/MAX(1,E38+E45),0)</x:f>
      </x:c>
      <x:c r="F40" s="122">
        <x:f>IFERROR((F13+F11)/MAX(1,F38+F45),0)</x:f>
      </x:c>
      <x:c r="G40" s="122">
        <x:f>IFERROR((G13+G11)/MAX(1,G38+G45),0)</x:f>
      </x:c>
      <x:c r="H40" s="122">
        <x:f>IFERROR((H13+H11)/MAX(1,H38+H45),0)</x:f>
      </x:c>
      <x:c r="I40" s="122">
        <x:f>IFERROR((I13+I11)/MAX(1,I38+I45),0)</x:f>
      </x:c>
      <x:c r="J40" s="122">
        <x:f>IFERROR((J13+J11)/MAX(1,J38+J45),0)</x:f>
      </x:c>
      <x:c r="K40" s="122">
        <x:f>IFERROR((K13+K11)/MAX(1,K38+K45),0)</x:f>
      </x:c>
      <x:c r="L40" s="122">
        <x:f>IFERROR((L13+L11)/MAX(1,L38+L45),0)</x:f>
      </x:c>
      <x:c r="M40" s="122">
        <x:f>IFERROR((M13+M11)/MAX(1,M38+M45),0)</x:f>
      </x:c>
      <x:c r="N40" s="122">
        <x:f>IFERROR((N13+N11)/MAX(1,N38+N45),0)</x:f>
      </x:c>
      <x:c r="O40" s="122">
        <x:f>IFERROR((O13+O11)/MAX(1,O38+O45),0)</x:f>
      </x:c>
      <x:c r="P40" s="122">
        <x:f>IFERROR((P13+P11)/MAX(1,P38+P45),0)</x:f>
      </x:c>
      <x:c r="Q40" s="122">
        <x:f>IFERROR((Q13+Q11)/MAX(1,Q38+Q45),0)</x:f>
      </x:c>
      <x:c r="R40" s="122">
        <x:f>IFERROR((R13+R11)/MAX(1,R38+R45),0)</x:f>
      </x:c>
      <x:c r="S40" s="122">
        <x:f>IFERROR((S13+S11)/MAX(1,S38+S45),0)</x:f>
      </x:c>
      <x:c r="T40" s="122">
        <x:f>IFERROR((T13+T11)/MAX(1,T38+T45),0)</x:f>
      </x:c>
      <x:c r="U40" s="122">
        <x:f>IFERROR((U13+U11)/MAX(1,U38+U45),0)</x:f>
      </x:c>
      <x:c r="V40" s="122">
        <x:f>IFERROR((V13+V11)/MAX(1,V38+V45),0)</x:f>
      </x:c>
      <x:c r="W40" s="122">
        <x:f>IFERROR((W13+W11)/MAX(1,W38+W45),0)</x:f>
      </x:c>
      <x:c r="X40" s="122">
        <x:f>IFERROR((X13+X11)/MAX(1,X38+X45),0)</x:f>
      </x:c>
      <x:c r="Y40" s="122">
        <x:f>IFERROR((Y13+Y11)/MAX(1,Y38+Y45),0)</x:f>
      </x:c>
      <x:c r="Z40" s="122">
        <x:f>IFERROR((Z13+Z11)/MAX(1,Z38+Z45),0)</x:f>
      </x:c>
      <x:c r="AA40" s="122">
        <x:f>IFERROR((AA13+AA11)/MAX(1,AA38+AA45),0)</x:f>
      </x:c>
      <x:c r="AB40" s="122">
        <x:f>IFERROR((AB13+AB11)/MAX(1,AB38+AB45),0)</x:f>
      </x:c>
      <x:c r="AC40" s="122">
        <x:f>IFERROR((AC13+AC11)/MAX(1,AC38+AC45),0)</x:f>
      </x:c>
      <x:c r="AD40" s="122">
        <x:f>IFERROR((AD13+AD11)/MAX(1,AD38+AD45),0)</x:f>
      </x:c>
      <x:c r="AE40" s="122">
        <x:f>IFERROR((AE13+AE11)/MAX(1,AE38+AE45),0)</x:f>
      </x:c>
      <x:c r="AF40" s="122">
        <x:f>IFERROR((AF13+AF11)/MAX(1,AF38+AF45),0)</x:f>
      </x:c>
      <x:c r="AG40" s="122">
        <x:f>IFERROR((AG13+AG11)/MAX(1,AG38+AG45),0)</x:f>
      </x:c>
      <x:c r="AH40" s="122">
        <x:f>IFERROR((AH13+AH11)/MAX(1,AH38+AH45),0)</x:f>
      </x:c>
      <x:c r="AI40" s="122">
        <x:f>IFERROR((AI13+AI11)/MAX(1,AI38+AI45),0)</x:f>
      </x:c>
      <x:c r="AJ40" s="122">
        <x:f>IFERROR((AJ13+AJ11)/MAX(1,AJ38+AJ45),0)</x:f>
      </x:c>
      <x:c r="AK40" s="122">
        <x:f>IFERROR((AK13+AK11)/MAX(1,AK38+AK45),0)</x:f>
      </x:c>
      <x:c r="AL40" s="122">
        <x:f>IFERROR((AL13+AL11)/MAX(1,AL38+AL45),0)</x:f>
      </x:c>
      <x:c r="AM40" s="122">
        <x:f>IFERROR((AM13+AM11)/MAX(1,AM38+AM45),0)</x:f>
      </x:c>
      <x:c r="AN40" s="122">
        <x:f>IFERROR((AN13+AN11)/MAX(1,AN38+AN45),0)</x:f>
      </x:c>
      <x:c r="AO40" s="122">
        <x:f>IFERROR((AO13+AO11)/MAX(1,AO38+AO45),0)</x:f>
      </x:c>
      <x:c r="AP40" s="122">
        <x:f>IFERROR((AP13+AP11)/MAX(1,AP38+AP45),0)</x:f>
      </x:c>
      <x:c r="AQ40" s="122">
        <x:f>IFERROR((AQ13+AQ11)/MAX(1,AQ38+AQ45),0)</x:f>
      </x:c>
      <x:c r="AR40" s="122">
        <x:f>IFERROR((AR13+AR11)/MAX(1,AR38+AR45),0)</x:f>
      </x:c>
      <x:c r="AS40" s="122">
        <x:f>IFERROR((AS13+AS11)/MAX(1,AS38+AS45),0)</x:f>
      </x:c>
      <x:c r="AT40" s="122">
        <x:f>IFERROR((AT13+AT11)/MAX(1,AT38+AT45),0)</x:f>
      </x:c>
      <x:c r="AU40" s="122">
        <x:f>IFERROR((AU13+AU11)/MAX(1,AU38+AU45),0)</x:f>
      </x:c>
      <x:c r="AV40" s="122">
        <x:f>IFERROR((AV13+AV11)/MAX(1,AV38+AV45),0)</x:f>
      </x:c>
      <x:c r="AW40" s="122">
        <x:f>IFERROR((AW13+AW11)/MAX(1,AW38+AW45),0)</x:f>
      </x:c>
      <x:c r="AX40" s="122">
        <x:f>IFERROR((AX13+AX11)/MAX(1,AX38+AX45),0)</x:f>
      </x:c>
      <x:c r="AY40" s="122">
        <x:f>IFERROR((AY13+AY11)/MAX(1,AY38+AY45),0)</x:f>
      </x:c>
      <x:c r="AZ40" s="122">
        <x:f>IFERROR((AZ13+AZ11)/MAX(1,AZ38+AZ45),0)</x:f>
      </x:c>
      <x:c r="BA40" s="122">
        <x:f>IFERROR((BA13+BA11)/MAX(1,BA38+BA45),0)</x:f>
      </x:c>
      <x:c r="BB40" s="122">
        <x:f>IFERROR((BB13+BB11)/MAX(1,BB38+BB45),0)</x:f>
      </x:c>
      <x:c r="BC40" s="122">
        <x:f>IFERROR((BC13+BC11)/MAX(1,BC38+BC45),0)</x:f>
      </x:c>
      <x:c r="BD40" s="122">
        <x:f>IFERROR((BD13+BD11)/MAX(1,BD38+BD45),0)</x:f>
      </x:c>
      <x:c r="BE40" s="122">
        <x:f>IFERROR((BE13+BE11)/MAX(1,BE38+BE45),0)</x:f>
      </x:c>
      <x:c r="BF40" s="122">
        <x:f>IFERROR((BF13+BF11)/MAX(1,BF38+BF45),0)</x:f>
      </x:c>
      <x:c r="BG40" s="122">
        <x:f>IFERROR((BG13+BG11)/MAX(1,BG38+BG45),0)</x:f>
      </x:c>
      <x:c r="BH40" s="122">
        <x:f>IFERROR((BH13+BH11)/MAX(1,BH38+BH45),0)</x:f>
      </x:c>
      <x:c r="BI40" s="122">
        <x:f>IFERROR((BI13+BI11)/MAX(1,BI38+BI45),0)</x:f>
      </x:c>
      <x:c r="BJ40" s="122">
        <x:f>IFERROR((BJ13+BJ11)/MAX(1,BJ38+BJ45),0)</x:f>
      </x:c>
      <x:c r="BK40" s="122">
        <x:f>IFERROR((BK13+BK11)/MAX(1,BK38+BK45),0)</x:f>
      </x:c>
      <x:c r="BL40" s="122">
        <x:f>IFERROR((BL13+BL11)/MAX(1,BL38+BL45),0)</x:f>
      </x:c>
      <x:c r="BM40" s="122">
        <x:f>IFERROR((BM13+BM11)/MAX(1,BM38+BM45),0)</x:f>
      </x:c>
      <x:c r="BN40" s="122">
        <x:f>IFERROR((BN13+BN11)/MAX(1,BN38+BN45),0)</x:f>
      </x:c>
      <x:c r="BO40" s="122">
        <x:f>IFERROR((BO13+BO11)/MAX(1,BO38+BO45),0)</x:f>
      </x:c>
      <x:c r="BP40" s="122">
        <x:f>IFERROR((BP13+BP11)/MAX(1,BP38+BP45),0)</x:f>
      </x:c>
      <x:c r="BQ40" s="122">
        <x:f>IFERROR((BQ13+BQ11)/MAX(1,BQ38+BQ45),0)</x:f>
      </x:c>
      <x:c r="BR40" s="122">
        <x:f>IFERROR((BR13+BR11)/MAX(1,BR38+BR45),0)</x:f>
      </x:c>
      <x:c r="BS40" s="122">
        <x:f>IFERROR((BS13+BS11)/MAX(1,BS38+BS45),0)</x:f>
      </x:c>
      <x:c r="BT40" s="122">
        <x:f>IFERROR((BT13+BT11)/MAX(1,BT38+BT45),0)</x:f>
      </x:c>
      <x:c r="BU40" s="122">
        <x:f>IFERROR((BU13+BU11)/MAX(1,BU38+BU45),0)</x:f>
      </x:c>
      <x:c r="BV40" s="122">
        <x:f>IFERROR((BV13+BV11)/MAX(1,BV38+BV45),0)</x:f>
      </x:c>
      <x:c r="BW40" s="122">
        <x:f>IFERROR((BW13+BW11)/MAX(1,BW38+BW45),0)</x:f>
      </x:c>
      <x:c r="BX40" s="122">
        <x:f>IFERROR((BX13+BX11)/MAX(1,BX38+BX45),0)</x:f>
      </x:c>
      <x:c r="BY40" s="122">
        <x:f>IFERROR((BY13+BY11)/MAX(1,BY38+BY45),0)</x:f>
      </x:c>
      <x:c r="BZ40" s="122">
        <x:f>IFERROR((BZ13+BZ11)/MAX(1,BZ38+BZ45),0)</x:f>
      </x:c>
      <x:c r="CA40" s="122">
        <x:f>IFERROR((CA13+CA11)/MAX(1,CA38+CA45),0)</x:f>
      </x:c>
      <x:c r="CB40" s="122">
        <x:f>IFERROR((CB13+CB11)/MAX(1,CB38+CB45),0)</x:f>
      </x:c>
      <x:c r="CC40" s="122">
        <x:f>IFERROR((CC13+CC11)/MAX(1,CC38+CC45),0)</x:f>
      </x:c>
      <x:c r="CD40" s="122">
        <x:f>IFERROR((CD13+CD11)/MAX(1,CD38+CD45),0)</x:f>
      </x:c>
      <x:c r="CE40" s="122">
        <x:f>IFERROR((CE13+CE11)/MAX(1,CE38+CE45),0)</x:f>
      </x:c>
      <x:c r="CF40" s="122">
        <x:f>IFERROR((CF13+CF11)/MAX(1,CF38+CF45),0)</x:f>
      </x:c>
      <x:c r="CG40" s="122">
        <x:f>IFERROR((CG13+CG11)/MAX(1,CG38+CG45),0)</x:f>
      </x:c>
      <x:c r="CH40" s="122">
        <x:f>IFERROR((CH13+CH11)/MAX(1,CH38+CH45),0)</x:f>
      </x:c>
      <x:c r="CI40" s="122">
        <x:f>IFERROR((CI13+CI11)/MAX(1,CI38+CI45),0)</x:f>
      </x:c>
      <x:c r="CJ40" s="122">
        <x:f>IFERROR((CJ13+CJ11)/MAX(1,CJ38+CJ45),0)</x:f>
      </x:c>
      <x:c r="CK40" s="122">
        <x:f>IFERROR((CK13+CK11)/MAX(1,CK38+CK45),0)</x:f>
      </x:c>
      <x:c r="CL40" s="122">
        <x:f>IFERROR((CL13+CL11)/MAX(1,CL38+CL45),0)</x:f>
      </x:c>
      <x:c r="CM40" s="122">
        <x:f>IFERROR((CM13+CM11)/MAX(1,CM38+CM45),0)</x:f>
      </x:c>
      <x:c r="CN40" s="122">
        <x:f>IFERROR((CN13+CN11)/MAX(1,CN38+CN45),0)</x:f>
      </x:c>
      <x:c r="CO40" s="122">
        <x:f>IFERROR((CO13+CO11)/MAX(1,CO38+CO45),0)</x:f>
      </x:c>
      <x:c r="CP40" s="122">
        <x:f>IFERROR((CP13+CP11)/MAX(1,CP38+CP45),0)</x:f>
      </x:c>
      <x:c r="CQ40" s="122">
        <x:f>IFERROR((CQ13+CQ11)/MAX(1,CQ38+CQ45),0)</x:f>
      </x:c>
      <x:c r="CR40" s="122">
        <x:f>IFERROR((CR13+CR11)/MAX(1,CR38+CR45),0)</x:f>
      </x:c>
      <x:c r="CS40" s="122">
        <x:f>IFERROR((CS13+CS11)/MAX(1,CS38+CS45),0)</x:f>
      </x:c>
      <x:c r="CT40" s="122">
        <x:f>IFERROR((CT13+CT11)/MAX(1,CT38+CT45),0)</x:f>
      </x:c>
      <x:c r="CU40" s="122">
        <x:f>IFERROR((CU13+CU11)/MAX(1,CU38+CU45),0)</x:f>
      </x:c>
      <x:c r="CV40" s="122">
        <x:f>IFERROR((CV13+CV11)/MAX(1,CV38+CV45),0)</x:f>
      </x:c>
      <x:c r="CW40" s="122">
        <x:f>IFERROR((CW13+CW11)/MAX(1,CW38+CW45),0)</x:f>
      </x:c>
      <x:c r="CX40" s="122">
        <x:f>IFERROR((CX13+CX11)/MAX(1,CX38+CX45),0)</x:f>
      </x:c>
      <x:c r="CY40" s="122">
        <x:f>IFERROR((CY13+CY11)/MAX(1,CY38+CY45),0)</x:f>
      </x:c>
      <x:c r="CZ40" s="122">
        <x:f>IFERROR((CZ13+CZ11)/MAX(1,CZ38+CZ45),0)</x:f>
      </x:c>
      <x:c r="DA40" s="122">
        <x:f>IFERROR((DA13+DA11)/MAX(1,DA38+DA45),0)</x:f>
      </x:c>
      <x:c r="DB40" s="122">
        <x:f>IFERROR((DB13+DB11)/MAX(1,DB38+DB45),0)</x:f>
      </x:c>
      <x:c r="DC40" s="122">
        <x:f>IFERROR((DC13+DC11)/MAX(1,DC38+DC45),0)</x:f>
      </x:c>
      <x:c r="DD40" s="122">
        <x:f>IFERROR((DD13+DD11)/MAX(1,DD38+DD45),0)</x:f>
      </x:c>
      <x:c r="DE40" s="122">
        <x:f>IFERROR((DE13+DE11)/MAX(1,DE38+DE45),0)</x:f>
      </x:c>
      <x:c r="DF40" s="122">
        <x:f>IFERROR((DF13+DF11)/MAX(1,DF38+DF45),0)</x:f>
      </x:c>
      <x:c r="DG40" s="122">
        <x:f>IFERROR((DG13+DG11)/MAX(1,DG38+DG45),0)</x:f>
      </x:c>
      <x:c r="DH40" s="122">
        <x:f>IFERROR((DH13+DH11)/MAX(1,DH38+DH45),0)</x:f>
      </x:c>
      <x:c r="DI40" s="122">
        <x:f>IFERROR((DI13+DI11)/MAX(1,DI38+DI45),0)</x:f>
      </x:c>
      <x:c r="DJ40" s="122">
        <x:f>IFERROR((DJ13+DJ11)/MAX(1,DJ38+DJ45),0)</x:f>
      </x:c>
      <x:c r="DK40" s="122">
        <x:f>IFERROR((DK13+DK11)/MAX(1,DK38+DK45),0)</x:f>
      </x:c>
      <x:c r="DL40" s="122">
        <x:f>IFERROR((DL13+DL11)/MAX(1,DL38+DL45),0)</x:f>
      </x:c>
      <x:c r="DM40" s="122">
        <x:f>IFERROR((DM13+DM11)/MAX(1,DM38+DM45),0)</x:f>
      </x:c>
      <x:c r="DN40" s="122">
        <x:f>IFERROR((DN13+DN11)/MAX(1,DN38+DN45),0)</x:f>
      </x:c>
      <x:c r="DO40" s="122">
        <x:f>IFERROR((DO13+DO11)/MAX(1,DO38+DO45),0)</x:f>
      </x:c>
      <x:c r="DP40" s="122">
        <x:f>IFERROR((DP13+DP11)/MAX(1,DP38+DP45),0)</x:f>
      </x:c>
      <x:c r="DQ40" s="122">
        <x:f>IFERROR((DQ13+DQ11)/MAX(1,DQ38+DQ45),0)</x:f>
      </x:c>
      <x:c r="DR40" s="122">
        <x:f>IFERROR((DR13+DR11)/MAX(1,DR38+DR45),0)</x:f>
      </x:c>
      <x:c r="DS40" s="122">
        <x:f>IFERROR((DS13+DS11)/MAX(1,DS38+DS45),0)</x:f>
      </x:c>
      <x:c r="DT40" s="122">
        <x:f>IFERROR((DT13+DT11)/MAX(1,DT38+DT45),0)</x:f>
      </x:c>
      <x:c r="DU40" s="122">
        <x:f>IFERROR((DU13+DU11)/MAX(1,DU38+DU45),0)</x:f>
      </x:c>
      <x:c r="DV40" s="122">
        <x:f>IFERROR((DV13+DV11)/MAX(1,DV38+DV45),0)</x:f>
      </x:c>
      <x:c r="DW40" s="122">
        <x:f>IFERROR((DW13+DW11)/MAX(1,DW38+DW45),0)</x:f>
      </x:c>
      <x:c r="DX40" s="122">
        <x:f>IFERROR((DX13+DX11)/MAX(1,DX38+DX45),0)</x:f>
      </x:c>
      <x:c r="DY40" s="122">
        <x:f>IFERROR((DY13+DY11)/MAX(1,DY38+DY45),0)</x:f>
      </x:c>
      <x:c r="DZ40" s="122">
        <x:f>IFERROR((DZ13+DZ11)/MAX(1,DZ38+DZ45),0)</x:f>
      </x:c>
      <x:c r="EA40" s="122">
        <x:f>IFERROR((EA13+EA11)/MAX(1,EA38+EA45),0)</x:f>
      </x:c>
      <x:c r="EB40" s="122">
        <x:f>IFERROR((EB13+EB11)/MAX(1,EB38+EB45),0)</x:f>
      </x:c>
      <x:c r="EC40" s="122">
        <x:f>IFERROR((EC13+EC11)/MAX(1,EC38+EC45),0)</x:f>
      </x:c>
      <x:c r="ED40" s="122">
        <x:f>IFERROR((ED13+ED11)/MAX(1,ED38+ED45),0)</x:f>
      </x:c>
      <x:c r="EE40" s="122">
        <x:f>IFERROR((EE13+EE11)/MAX(1,EE38+EE45),0)</x:f>
      </x:c>
      <x:c r="EF40" s="122">
        <x:f>IFERROR((EF13+EF11)/MAX(1,EF38+EF45),0)</x:f>
      </x:c>
      <x:c r="EG40" s="122">
        <x:f>IFERROR((EG13+EG11)/MAX(1,EG38+EG45),0)</x:f>
      </x:c>
      <x:c r="EH40" s="122">
        <x:f>IFERROR((EH13+EH11)/MAX(1,EH38+EH45),0)</x:f>
      </x:c>
      <x:c r="EI40" s="122">
        <x:f>IFERROR((EI13+EI11)/MAX(1,EI38+EI45),0)</x:f>
      </x:c>
      <x:c r="EJ40" s="122">
        <x:f>IFERROR((EJ13+EJ11)/MAX(1,EJ38+EJ45),0)</x:f>
      </x:c>
      <x:c r="EK40" s="122">
        <x:f>IFERROR((EK13+EK11)/MAX(1,EK38+EK45),0)</x:f>
      </x:c>
      <x:c r="EL40" s="122">
        <x:f>IFERROR((EL13+EL11)/MAX(1,EL38+EL45),0)</x:f>
      </x:c>
      <x:c r="EM40" s="122">
        <x:f>IFERROR((EM13+EM11)/MAX(1,EM38+EM45),0)</x:f>
      </x:c>
      <x:c r="EN40" s="122">
        <x:f>IFERROR((EN13+EN11)/MAX(1,EN38+EN45),0)</x:f>
      </x:c>
      <x:c r="EO40" s="122">
        <x:f>IFERROR((EO13+EO11)/MAX(1,EO38+EO45),0)</x:f>
      </x:c>
      <x:c r="EP40" s="122">
        <x:f>IFERROR((EP13+EP11)/MAX(1,EP38+EP45),0)</x:f>
      </x:c>
      <x:c r="EQ40" s="122">
        <x:f>IFERROR((EQ13+EQ11)/MAX(1,EQ38+EQ45),0)</x:f>
      </x:c>
      <x:c r="ER40" s="122">
        <x:f>IFERROR((ER13+ER11)/MAX(1,ER38+ER45),0)</x:f>
      </x:c>
      <x:c r="ES40" s="122">
        <x:f>IFERROR((ES13+ES11)/MAX(1,ES38+ES45),0)</x:f>
      </x:c>
      <x:c r="ET40" s="122">
        <x:f>IFERROR((ET13+ET11)/MAX(1,ET38+ET45),0)</x:f>
      </x:c>
      <x:c r="EU40" s="122">
        <x:f>IFERROR((EU13+EU11)/MAX(1,EU38+EU45),0)</x:f>
      </x:c>
      <x:c r="EV40" s="122">
        <x:f>IFERROR((EV13+EV11)/MAX(1,EV38+EV45),0)</x:f>
      </x:c>
      <x:c r="EW40" s="122">
        <x:f>IFERROR((EW13+EW11)/MAX(1,EW38+EW45),0)</x:f>
      </x:c>
      <x:c r="EX40" s="122">
        <x:f>IFERROR((EX13+EX11)/MAX(1,EX38+EX45),0)</x:f>
      </x:c>
      <x:c r="EY40" s="122">
        <x:f>IFERROR((EY13+EY11)/MAX(1,EY38+EY45),0)</x:f>
      </x:c>
      <x:c r="EZ40" s="122">
        <x:f>IFERROR((EZ13+EZ11)/MAX(1,EZ38+EZ45),0)</x:f>
      </x:c>
      <x:c r="FA40" s="122">
        <x:f>IFERROR((FA13+FA11)/MAX(1,FA38+FA45),0)</x:f>
      </x:c>
      <x:c r="FB40" s="122">
        <x:f>IFERROR((FB13+FB11)/MAX(1,FB38+FB45),0)</x:f>
      </x:c>
      <x:c r="FC40" s="122">
        <x:f>IFERROR((FC13+FC11)/MAX(1,FC38+FC45),0)</x:f>
      </x:c>
      <x:c r="FD40" s="122">
        <x:f>IFERROR((FD13+FD11)/MAX(1,FD38+FD45),0)</x:f>
      </x:c>
      <x:c r="FE40" s="122">
        <x:f>IFERROR((FE13+FE11)/MAX(1,FE38+FE45),0)</x:f>
      </x:c>
      <x:c r="FF40" s="122">
        <x:f>IFERROR((FF13+FF11)/MAX(1,FF38+FF45),0)</x:f>
      </x:c>
      <x:c r="FG40" s="122">
        <x:f>IFERROR((FG13+FG11)/MAX(1,FG38+FG45),0)</x:f>
      </x:c>
      <x:c r="FH40" s="122">
        <x:f>IFERROR((FH13+FH11)/MAX(1,FH38+FH45),0)</x:f>
      </x:c>
      <x:c r="FI40" s="122">
        <x:f>IFERROR((FI13+FI11)/MAX(1,FI38+FI45),0)</x:f>
      </x:c>
      <x:c r="FJ40" s="122">
        <x:f>IFERROR((FJ13+FJ11)/MAX(1,FJ38+FJ45),0)</x:f>
      </x:c>
      <x:c r="FK40" s="122">
        <x:f>IFERROR((FK13+FK11)/MAX(1,FK38+FK45),0)</x:f>
      </x:c>
      <x:c r="FL40" s="122">
        <x:f>IFERROR((FL13+FL11)/MAX(1,FL38+FL45),0)</x:f>
      </x:c>
      <x:c r="FM40" s="122">
        <x:f>IFERROR((FM13+FM11)/MAX(1,FM38+FM45),0)</x:f>
      </x:c>
      <x:c r="FN40" s="122">
        <x:f>IFERROR((FN13+FN11)/MAX(1,FN38+FN45),0)</x:f>
      </x:c>
      <x:c r="FO40" s="122">
        <x:f>IFERROR((FO13+FO11)/MAX(1,FO38+FO45),0)</x:f>
      </x:c>
      <x:c r="FP40" s="122">
        <x:f>IFERROR((FP13+FP11)/MAX(1,FP38+FP45),0)</x:f>
      </x:c>
      <x:c r="FQ40" s="122">
        <x:f>IFERROR((FQ13+FQ11)/MAX(1,FQ38+FQ45),0)</x:f>
      </x:c>
      <x:c r="FR40" s="122">
        <x:f>IFERROR((FR13+FR11)/MAX(1,FR38+FR45),0)</x:f>
      </x:c>
      <x:c r="FS40" s="122">
        <x:f>IFERROR((FS13+FS11)/MAX(1,FS38+FS45),0)</x:f>
      </x:c>
      <x:c r="FT40" s="122">
        <x:f>IFERROR((FT13+FT11)/MAX(1,FT38+FT45),0)</x:f>
      </x:c>
      <x:c r="FU40" s="122">
        <x:f>IFERROR((FU13+FU11)/MAX(1,FU38+FU45),0)</x:f>
      </x:c>
      <x:c r="FV40" s="122">
        <x:f>IFERROR((FV13+FV11)/MAX(1,FV38+FV45),0)</x:f>
      </x:c>
      <x:c r="FW40" s="122">
        <x:f>IFERROR((FW13+FW11)/MAX(1,FW38+FW45),0)</x:f>
      </x:c>
      <x:c r="FX40" s="122">
        <x:f>IFERROR((FX13+FX11)/MAX(1,FX38+FX45),0)</x:f>
      </x:c>
      <x:c r="FY40" s="122">
        <x:f>IFERROR((FY13+FY11)/MAX(1,FY38+FY45),0)</x:f>
      </x:c>
      <x:c r="FZ40" s="122">
        <x:f>IFERROR((FZ13+FZ11)/MAX(1,FZ38+FZ45),0)</x:f>
      </x:c>
      <x:c r="GA40" s="122">
        <x:f>IFERROR((GA13+GA11)/MAX(1,GA38+GA45),0)</x:f>
      </x:c>
    </x:row>
    <x:row r="41">
      <x:c r="A41" t="str">
        <x:v>ПФ — эффективная ставка</x:v>
      </x:c>
      <x:c r="B41" t="n">
        <x:f>IFERROR(SUMPRODUCT(D41:GA41,--(D38:GA38&gt;0))/COUNTIF(D38:GA38,"&gt;0"),0)</x:f>
      </x:c>
      <x:c r="C41" t="str">
        <x:v>% год</x:v>
      </x:c>
      <x:c r="D41" s="121" t="n">
        <x:f>D39*(1-MIN(1,D40))+'Вводные'!$B$28*MIN(1,D40)</x:f>
      </x:c>
      <x:c r="E41" s="121" t="n">
        <x:f>E39*(1-MIN(1,E40))+'Вводные'!$B$28*MIN(1,E40)</x:f>
      </x:c>
      <x:c r="F41" s="121" t="n">
        <x:f>F39*(1-MIN(1,F40))+'Вводные'!$B$28*MIN(1,F40)</x:f>
      </x:c>
      <x:c r="G41" s="121" t="n">
        <x:f>G39*(1-MIN(1,G40))+'Вводные'!$B$28*MIN(1,G40)</x:f>
      </x:c>
      <x:c r="H41" s="121" t="n">
        <x:f>H39*(1-MIN(1,H40))+'Вводные'!$B$28*MIN(1,H40)</x:f>
      </x:c>
      <x:c r="I41" s="121" t="n">
        <x:f>I39*(1-MIN(1,I40))+'Вводные'!$B$28*MIN(1,I40)</x:f>
      </x:c>
      <x:c r="J41" s="121" t="n">
        <x:f>J39*(1-MIN(1,J40))+'Вводные'!$B$28*MIN(1,J40)</x:f>
      </x:c>
      <x:c r="K41" s="121" t="n">
        <x:f>K39*(1-MIN(1,K40))+'Вводные'!$B$28*MIN(1,K40)</x:f>
      </x:c>
      <x:c r="L41" s="121" t="n">
        <x:f>L39*(1-MIN(1,L40))+'Вводные'!$B$28*MIN(1,L40)</x:f>
      </x:c>
      <x:c r="M41" s="121" t="n">
        <x:f>M39*(1-MIN(1,M40))+'Вводные'!$B$28*MIN(1,M40)</x:f>
      </x:c>
      <x:c r="N41" s="121" t="n">
        <x:f>N39*(1-MIN(1,N40))+'Вводные'!$B$28*MIN(1,N40)</x:f>
      </x:c>
      <x:c r="O41" s="121" t="n">
        <x:f>O39*(1-MIN(1,O40))+'Вводные'!$B$28*MIN(1,O40)</x:f>
      </x:c>
      <x:c r="P41" s="121" t="n">
        <x:f>P39*(1-MIN(1,P40))+'Вводные'!$B$28*MIN(1,P40)</x:f>
      </x:c>
      <x:c r="Q41" s="121" t="n">
        <x:f>Q39*(1-MIN(1,Q40))+'Вводные'!$B$28*MIN(1,Q40)</x:f>
      </x:c>
      <x:c r="R41" s="121" t="n">
        <x:f>R39*(1-MIN(1,R40))+'Вводные'!$B$28*MIN(1,R40)</x:f>
      </x:c>
      <x:c r="S41" s="121" t="n">
        <x:f>S39*(1-MIN(1,S40))+'Вводные'!$B$28*MIN(1,S40)</x:f>
      </x:c>
      <x:c r="T41" s="121" t="n">
        <x:f>T39*(1-MIN(1,T40))+'Вводные'!$B$28*MIN(1,T40)</x:f>
      </x:c>
      <x:c r="U41" s="121" t="n">
        <x:f>U39*(1-MIN(1,U40))+'Вводные'!$B$28*MIN(1,U40)</x:f>
      </x:c>
      <x:c r="V41" s="121" t="n">
        <x:f>V39*(1-MIN(1,V40))+'Вводные'!$B$28*MIN(1,V40)</x:f>
      </x:c>
      <x:c r="W41" s="121" t="n">
        <x:f>W39*(1-MIN(1,W40))+'Вводные'!$B$28*MIN(1,W40)</x:f>
      </x:c>
      <x:c r="X41" s="121" t="n">
        <x:f>X39*(1-MIN(1,X40))+'Вводные'!$B$28*MIN(1,X40)</x:f>
      </x:c>
      <x:c r="Y41" s="121" t="n">
        <x:f>Y39*(1-MIN(1,Y40))+'Вводные'!$B$28*MIN(1,Y40)</x:f>
      </x:c>
      <x:c r="Z41" s="121" t="n">
        <x:f>Z39*(1-MIN(1,Z40))+'Вводные'!$B$28*MIN(1,Z40)</x:f>
      </x:c>
      <x:c r="AA41" s="121" t="n">
        <x:f>AA39*(1-MIN(1,AA40))+'Вводные'!$B$28*MIN(1,AA40)</x:f>
      </x:c>
      <x:c r="AB41" s="121" t="n">
        <x:f>AB39*(1-MIN(1,AB40))+'Вводные'!$B$28*MIN(1,AB40)</x:f>
      </x:c>
      <x:c r="AC41" s="121" t="n">
        <x:f>AC39*(1-MIN(1,AC40))+'Вводные'!$B$28*MIN(1,AC40)</x:f>
      </x:c>
      <x:c r="AD41" s="121" t="n">
        <x:f>AD39*(1-MIN(1,AD40))+'Вводные'!$B$28*MIN(1,AD40)</x:f>
      </x:c>
      <x:c r="AE41" s="121" t="n">
        <x:f>AE39*(1-MIN(1,AE40))+'Вводные'!$B$28*MIN(1,AE40)</x:f>
      </x:c>
      <x:c r="AF41" s="121" t="n">
        <x:f>AF39*(1-MIN(1,AF40))+'Вводные'!$B$28*MIN(1,AF40)</x:f>
      </x:c>
      <x:c r="AG41" s="121" t="n">
        <x:f>AG39*(1-MIN(1,AG40))+'Вводные'!$B$28*MIN(1,AG40)</x:f>
      </x:c>
      <x:c r="AH41" s="121" t="n">
        <x:f>AH39*(1-MIN(1,AH40))+'Вводные'!$B$28*MIN(1,AH40)</x:f>
      </x:c>
      <x:c r="AI41" s="121" t="n">
        <x:f>AI39*(1-MIN(1,AI40))+'Вводные'!$B$28*MIN(1,AI40)</x:f>
      </x:c>
      <x:c r="AJ41" s="121" t="n">
        <x:f>AJ39*(1-MIN(1,AJ40))+'Вводные'!$B$28*MIN(1,AJ40)</x:f>
      </x:c>
      <x:c r="AK41" s="121" t="n">
        <x:f>AK39*(1-MIN(1,AK40))+'Вводные'!$B$28*MIN(1,AK40)</x:f>
      </x:c>
      <x:c r="AL41" s="121" t="n">
        <x:f>AL39*(1-MIN(1,AL40))+'Вводные'!$B$28*MIN(1,AL40)</x:f>
      </x:c>
      <x:c r="AM41" s="121" t="n">
        <x:f>AM39*(1-MIN(1,AM40))+'Вводные'!$B$28*MIN(1,AM40)</x:f>
      </x:c>
      <x:c r="AN41" s="121" t="n">
        <x:f>AN39*(1-MIN(1,AN40))+'Вводные'!$B$28*MIN(1,AN40)</x:f>
      </x:c>
      <x:c r="AO41" s="121" t="n">
        <x:f>AO39*(1-MIN(1,AO40))+'Вводные'!$B$28*MIN(1,AO40)</x:f>
      </x:c>
      <x:c r="AP41" s="121" t="n">
        <x:f>AP39*(1-MIN(1,AP40))+'Вводные'!$B$28*MIN(1,AP40)</x:f>
      </x:c>
      <x:c r="AQ41" s="121" t="n">
        <x:f>AQ39*(1-MIN(1,AQ40))+'Вводные'!$B$28*MIN(1,AQ40)</x:f>
      </x:c>
      <x:c r="AR41" s="121" t="n">
        <x:f>AR39*(1-MIN(1,AR40))+'Вводные'!$B$28*MIN(1,AR40)</x:f>
      </x:c>
      <x:c r="AS41" s="121" t="n">
        <x:f>AS39*(1-MIN(1,AS40))+'Вводные'!$B$28*MIN(1,AS40)</x:f>
      </x:c>
      <x:c r="AT41" s="121" t="n">
        <x:f>AT39*(1-MIN(1,AT40))+'Вводные'!$B$28*MIN(1,AT40)</x:f>
      </x:c>
      <x:c r="AU41" s="121" t="n">
        <x:f>AU39*(1-MIN(1,AU40))+'Вводные'!$B$28*MIN(1,AU40)</x:f>
      </x:c>
      <x:c r="AV41" s="121" t="n">
        <x:f>AV39*(1-MIN(1,AV40))+'Вводные'!$B$28*MIN(1,AV40)</x:f>
      </x:c>
      <x:c r="AW41" s="121" t="n">
        <x:f>AW39*(1-MIN(1,AW40))+'Вводные'!$B$28*MIN(1,AW40)</x:f>
      </x:c>
      <x:c r="AX41" s="121" t="n">
        <x:f>AX39*(1-MIN(1,AX40))+'Вводные'!$B$28*MIN(1,AX40)</x:f>
      </x:c>
      <x:c r="AY41" s="121" t="n">
        <x:f>AY39*(1-MIN(1,AY40))+'Вводные'!$B$28*MIN(1,AY40)</x:f>
      </x:c>
      <x:c r="AZ41" s="121" t="n">
        <x:f>AZ39*(1-MIN(1,AZ40))+'Вводные'!$B$28*MIN(1,AZ40)</x:f>
      </x:c>
      <x:c r="BA41" s="121" t="n">
        <x:f>BA39*(1-MIN(1,BA40))+'Вводные'!$B$28*MIN(1,BA40)</x:f>
      </x:c>
      <x:c r="BB41" s="121" t="n">
        <x:f>BB39*(1-MIN(1,BB40))+'Вводные'!$B$28*MIN(1,BB40)</x:f>
      </x:c>
      <x:c r="BC41" s="121" t="n">
        <x:f>BC39*(1-MIN(1,BC40))+'Вводные'!$B$28*MIN(1,BC40)</x:f>
      </x:c>
      <x:c r="BD41" s="121" t="n">
        <x:f>BD39*(1-MIN(1,BD40))+'Вводные'!$B$28*MIN(1,BD40)</x:f>
      </x:c>
      <x:c r="BE41" s="121" t="n">
        <x:f>BE39*(1-MIN(1,BE40))+'Вводные'!$B$28*MIN(1,BE40)</x:f>
      </x:c>
      <x:c r="BF41" s="121" t="n">
        <x:f>BF39*(1-MIN(1,BF40))+'Вводные'!$B$28*MIN(1,BF40)</x:f>
      </x:c>
      <x:c r="BG41" s="121" t="n">
        <x:f>BG39*(1-MIN(1,BG40))+'Вводные'!$B$28*MIN(1,BG40)</x:f>
      </x:c>
      <x:c r="BH41" s="121" t="n">
        <x:f>BH39*(1-MIN(1,BH40))+'Вводные'!$B$28*MIN(1,BH40)</x:f>
      </x:c>
      <x:c r="BI41" s="121" t="n">
        <x:f>BI39*(1-MIN(1,BI40))+'Вводные'!$B$28*MIN(1,BI40)</x:f>
      </x:c>
      <x:c r="BJ41" s="121" t="n">
        <x:f>BJ39*(1-MIN(1,BJ40))+'Вводные'!$B$28*MIN(1,BJ40)</x:f>
      </x:c>
      <x:c r="BK41" s="121" t="n">
        <x:f>BK39*(1-MIN(1,BK40))+'Вводные'!$B$28*MIN(1,BK40)</x:f>
      </x:c>
      <x:c r="BL41" s="121" t="n">
        <x:f>BL39*(1-MIN(1,BL40))+'Вводные'!$B$28*MIN(1,BL40)</x:f>
      </x:c>
      <x:c r="BM41" s="121" t="n">
        <x:f>BM39*(1-MIN(1,BM40))+'Вводные'!$B$28*MIN(1,BM40)</x:f>
      </x:c>
      <x:c r="BN41" s="121" t="n">
        <x:f>BN39*(1-MIN(1,BN40))+'Вводные'!$B$28*MIN(1,BN40)</x:f>
      </x:c>
      <x:c r="BO41" s="121" t="n">
        <x:f>BO39*(1-MIN(1,BO40))+'Вводные'!$B$28*MIN(1,BO40)</x:f>
      </x:c>
      <x:c r="BP41" s="121" t="n">
        <x:f>BP39*(1-MIN(1,BP40))+'Вводные'!$B$28*MIN(1,BP40)</x:f>
      </x:c>
      <x:c r="BQ41" s="121" t="n">
        <x:f>BQ39*(1-MIN(1,BQ40))+'Вводные'!$B$28*MIN(1,BQ40)</x:f>
      </x:c>
      <x:c r="BR41" s="121" t="n">
        <x:f>BR39*(1-MIN(1,BR40))+'Вводные'!$B$28*MIN(1,BR40)</x:f>
      </x:c>
      <x:c r="BS41" s="121" t="n">
        <x:f>BS39*(1-MIN(1,BS40))+'Вводные'!$B$28*MIN(1,BS40)</x:f>
      </x:c>
      <x:c r="BT41" s="121" t="n">
        <x:f>BT39*(1-MIN(1,BT40))+'Вводные'!$B$28*MIN(1,BT40)</x:f>
      </x:c>
      <x:c r="BU41" s="121" t="n">
        <x:f>BU39*(1-MIN(1,BU40))+'Вводные'!$B$28*MIN(1,BU40)</x:f>
      </x:c>
      <x:c r="BV41" s="121" t="n">
        <x:f>BV39*(1-MIN(1,BV40))+'Вводные'!$B$28*MIN(1,BV40)</x:f>
      </x:c>
      <x:c r="BW41" s="121" t="n">
        <x:f>BW39*(1-MIN(1,BW40))+'Вводные'!$B$28*MIN(1,BW40)</x:f>
      </x:c>
      <x:c r="BX41" s="121" t="n">
        <x:f>BX39*(1-MIN(1,BX40))+'Вводные'!$B$28*MIN(1,BX40)</x:f>
      </x:c>
      <x:c r="BY41" s="121" t="n">
        <x:f>BY39*(1-MIN(1,BY40))+'Вводные'!$B$28*MIN(1,BY40)</x:f>
      </x:c>
      <x:c r="BZ41" s="121" t="n">
        <x:f>BZ39*(1-MIN(1,BZ40))+'Вводные'!$B$28*MIN(1,BZ40)</x:f>
      </x:c>
      <x:c r="CA41" s="121" t="n">
        <x:f>CA39*(1-MIN(1,CA40))+'Вводные'!$B$28*MIN(1,CA40)</x:f>
      </x:c>
      <x:c r="CB41" s="121" t="n">
        <x:f>CB39*(1-MIN(1,CB40))+'Вводные'!$B$28*MIN(1,CB40)</x:f>
      </x:c>
      <x:c r="CC41" s="121" t="n">
        <x:f>CC39*(1-MIN(1,CC40))+'Вводные'!$B$28*MIN(1,CC40)</x:f>
      </x:c>
      <x:c r="CD41" s="121" t="n">
        <x:f>CD39*(1-MIN(1,CD40))+'Вводные'!$B$28*MIN(1,CD40)</x:f>
      </x:c>
      <x:c r="CE41" s="121" t="n">
        <x:f>CE39*(1-MIN(1,CE40))+'Вводные'!$B$28*MIN(1,CE40)</x:f>
      </x:c>
      <x:c r="CF41" s="121" t="n">
        <x:f>CF39*(1-MIN(1,CF40))+'Вводные'!$B$28*MIN(1,CF40)</x:f>
      </x:c>
      <x:c r="CG41" s="121" t="n">
        <x:f>CG39*(1-MIN(1,CG40))+'Вводные'!$B$28*MIN(1,CG40)</x:f>
      </x:c>
      <x:c r="CH41" s="121" t="n">
        <x:f>CH39*(1-MIN(1,CH40))+'Вводные'!$B$28*MIN(1,CH40)</x:f>
      </x:c>
      <x:c r="CI41" s="121" t="n">
        <x:f>CI39*(1-MIN(1,CI40))+'Вводные'!$B$28*MIN(1,CI40)</x:f>
      </x:c>
      <x:c r="CJ41" s="121" t="n">
        <x:f>CJ39*(1-MIN(1,CJ40))+'Вводные'!$B$28*MIN(1,CJ40)</x:f>
      </x:c>
      <x:c r="CK41" s="121" t="n">
        <x:f>CK39*(1-MIN(1,CK40))+'Вводные'!$B$28*MIN(1,CK40)</x:f>
      </x:c>
      <x:c r="CL41" s="121" t="n">
        <x:f>CL39*(1-MIN(1,CL40))+'Вводные'!$B$28*MIN(1,CL40)</x:f>
      </x:c>
      <x:c r="CM41" s="121" t="n">
        <x:f>CM39*(1-MIN(1,CM40))+'Вводные'!$B$28*MIN(1,CM40)</x:f>
      </x:c>
      <x:c r="CN41" s="121" t="n">
        <x:f>CN39*(1-MIN(1,CN40))+'Вводные'!$B$28*MIN(1,CN40)</x:f>
      </x:c>
      <x:c r="CO41" s="121" t="n">
        <x:f>CO39*(1-MIN(1,CO40))+'Вводные'!$B$28*MIN(1,CO40)</x:f>
      </x:c>
      <x:c r="CP41" s="121" t="n">
        <x:f>CP39*(1-MIN(1,CP40))+'Вводные'!$B$28*MIN(1,CP40)</x:f>
      </x:c>
      <x:c r="CQ41" s="121" t="n">
        <x:f>CQ39*(1-MIN(1,CQ40))+'Вводные'!$B$28*MIN(1,CQ40)</x:f>
      </x:c>
      <x:c r="CR41" s="121" t="n">
        <x:f>CR39*(1-MIN(1,CR40))+'Вводные'!$B$28*MIN(1,CR40)</x:f>
      </x:c>
      <x:c r="CS41" s="121" t="n">
        <x:f>CS39*(1-MIN(1,CS40))+'Вводные'!$B$28*MIN(1,CS40)</x:f>
      </x:c>
      <x:c r="CT41" s="121" t="n">
        <x:f>CT39*(1-MIN(1,CT40))+'Вводные'!$B$28*MIN(1,CT40)</x:f>
      </x:c>
      <x:c r="CU41" s="121" t="n">
        <x:f>CU39*(1-MIN(1,CU40))+'Вводные'!$B$28*MIN(1,CU40)</x:f>
      </x:c>
      <x:c r="CV41" s="121" t="n">
        <x:f>CV39*(1-MIN(1,CV40))+'Вводные'!$B$28*MIN(1,CV40)</x:f>
      </x:c>
      <x:c r="CW41" s="121" t="n">
        <x:f>CW39*(1-MIN(1,CW40))+'Вводные'!$B$28*MIN(1,CW40)</x:f>
      </x:c>
      <x:c r="CX41" s="121" t="n">
        <x:f>CX39*(1-MIN(1,CX40))+'Вводные'!$B$28*MIN(1,CX40)</x:f>
      </x:c>
      <x:c r="CY41" s="121" t="n">
        <x:f>CY39*(1-MIN(1,CY40))+'Вводные'!$B$28*MIN(1,CY40)</x:f>
      </x:c>
      <x:c r="CZ41" s="121" t="n">
        <x:f>CZ39*(1-MIN(1,CZ40))+'Вводные'!$B$28*MIN(1,CZ40)</x:f>
      </x:c>
      <x:c r="DA41" s="121" t="n">
        <x:f>DA39*(1-MIN(1,DA40))+'Вводные'!$B$28*MIN(1,DA40)</x:f>
      </x:c>
      <x:c r="DB41" s="121" t="n">
        <x:f>DB39*(1-MIN(1,DB40))+'Вводные'!$B$28*MIN(1,DB40)</x:f>
      </x:c>
      <x:c r="DC41" s="121" t="n">
        <x:f>DC39*(1-MIN(1,DC40))+'Вводные'!$B$28*MIN(1,DC40)</x:f>
      </x:c>
      <x:c r="DD41" s="121" t="n">
        <x:f>DD39*(1-MIN(1,DD40))+'Вводные'!$B$28*MIN(1,DD40)</x:f>
      </x:c>
      <x:c r="DE41" s="121" t="n">
        <x:f>DE39*(1-MIN(1,DE40))+'Вводные'!$B$28*MIN(1,DE40)</x:f>
      </x:c>
      <x:c r="DF41" s="121" t="n">
        <x:f>DF39*(1-MIN(1,DF40))+'Вводные'!$B$28*MIN(1,DF40)</x:f>
      </x:c>
      <x:c r="DG41" s="121" t="n">
        <x:f>DG39*(1-MIN(1,DG40))+'Вводные'!$B$28*MIN(1,DG40)</x:f>
      </x:c>
      <x:c r="DH41" s="121" t="n">
        <x:f>DH39*(1-MIN(1,DH40))+'Вводные'!$B$28*MIN(1,DH40)</x:f>
      </x:c>
      <x:c r="DI41" s="121" t="n">
        <x:f>DI39*(1-MIN(1,DI40))+'Вводные'!$B$28*MIN(1,DI40)</x:f>
      </x:c>
      <x:c r="DJ41" s="121" t="n">
        <x:f>DJ39*(1-MIN(1,DJ40))+'Вводные'!$B$28*MIN(1,DJ40)</x:f>
      </x:c>
      <x:c r="DK41" s="121" t="n">
        <x:f>DK39*(1-MIN(1,DK40))+'Вводные'!$B$28*MIN(1,DK40)</x:f>
      </x:c>
      <x:c r="DL41" s="121" t="n">
        <x:f>DL39*(1-MIN(1,DL40))+'Вводные'!$B$28*MIN(1,DL40)</x:f>
      </x:c>
      <x:c r="DM41" s="121" t="n">
        <x:f>DM39*(1-MIN(1,DM40))+'Вводные'!$B$28*MIN(1,DM40)</x:f>
      </x:c>
      <x:c r="DN41" s="121" t="n">
        <x:f>DN39*(1-MIN(1,DN40))+'Вводные'!$B$28*MIN(1,DN40)</x:f>
      </x:c>
      <x:c r="DO41" s="121" t="n">
        <x:f>DO39*(1-MIN(1,DO40))+'Вводные'!$B$28*MIN(1,DO40)</x:f>
      </x:c>
      <x:c r="DP41" s="121" t="n">
        <x:f>DP39*(1-MIN(1,DP40))+'Вводные'!$B$28*MIN(1,DP40)</x:f>
      </x:c>
      <x:c r="DQ41" s="121" t="n">
        <x:f>DQ39*(1-MIN(1,DQ40))+'Вводные'!$B$28*MIN(1,DQ40)</x:f>
      </x:c>
      <x:c r="DR41" s="121" t="n">
        <x:f>DR39*(1-MIN(1,DR40))+'Вводные'!$B$28*MIN(1,DR40)</x:f>
      </x:c>
      <x:c r="DS41" s="121" t="n">
        <x:f>DS39*(1-MIN(1,DS40))+'Вводные'!$B$28*MIN(1,DS40)</x:f>
      </x:c>
      <x:c r="DT41" s="121" t="n">
        <x:f>DT39*(1-MIN(1,DT40))+'Вводные'!$B$28*MIN(1,DT40)</x:f>
      </x:c>
      <x:c r="DU41" s="121" t="n">
        <x:f>DU39*(1-MIN(1,DU40))+'Вводные'!$B$28*MIN(1,DU40)</x:f>
      </x:c>
      <x:c r="DV41" s="121" t="n">
        <x:f>DV39*(1-MIN(1,DV40))+'Вводные'!$B$28*MIN(1,DV40)</x:f>
      </x:c>
      <x:c r="DW41" s="121" t="n">
        <x:f>DW39*(1-MIN(1,DW40))+'Вводные'!$B$28*MIN(1,DW40)</x:f>
      </x:c>
      <x:c r="DX41" s="121" t="n">
        <x:f>DX39*(1-MIN(1,DX40))+'Вводные'!$B$28*MIN(1,DX40)</x:f>
      </x:c>
      <x:c r="DY41" s="121" t="n">
        <x:f>DY39*(1-MIN(1,DY40))+'Вводные'!$B$28*MIN(1,DY40)</x:f>
      </x:c>
      <x:c r="DZ41" s="121" t="n">
        <x:f>DZ39*(1-MIN(1,DZ40))+'Вводные'!$B$28*MIN(1,DZ40)</x:f>
      </x:c>
      <x:c r="EA41" s="121" t="n">
        <x:f>EA39*(1-MIN(1,EA40))+'Вводные'!$B$28*MIN(1,EA40)</x:f>
      </x:c>
      <x:c r="EB41" s="121" t="n">
        <x:f>EB39*(1-MIN(1,EB40))+'Вводные'!$B$28*MIN(1,EB40)</x:f>
      </x:c>
      <x:c r="EC41" s="121" t="n">
        <x:f>EC39*(1-MIN(1,EC40))+'Вводные'!$B$28*MIN(1,EC40)</x:f>
      </x:c>
      <x:c r="ED41" s="121" t="n">
        <x:f>ED39*(1-MIN(1,ED40))+'Вводные'!$B$28*MIN(1,ED40)</x:f>
      </x:c>
      <x:c r="EE41" s="121" t="n">
        <x:f>EE39*(1-MIN(1,EE40))+'Вводные'!$B$28*MIN(1,EE40)</x:f>
      </x:c>
      <x:c r="EF41" s="121" t="n">
        <x:f>EF39*(1-MIN(1,EF40))+'Вводные'!$B$28*MIN(1,EF40)</x:f>
      </x:c>
      <x:c r="EG41" s="121" t="n">
        <x:f>EG39*(1-MIN(1,EG40))+'Вводные'!$B$28*MIN(1,EG40)</x:f>
      </x:c>
      <x:c r="EH41" s="121" t="n">
        <x:f>EH39*(1-MIN(1,EH40))+'Вводные'!$B$28*MIN(1,EH40)</x:f>
      </x:c>
      <x:c r="EI41" s="121" t="n">
        <x:f>EI39*(1-MIN(1,EI40))+'Вводные'!$B$28*MIN(1,EI40)</x:f>
      </x:c>
      <x:c r="EJ41" s="121" t="n">
        <x:f>EJ39*(1-MIN(1,EJ40))+'Вводные'!$B$28*MIN(1,EJ40)</x:f>
      </x:c>
      <x:c r="EK41" s="121" t="n">
        <x:f>EK39*(1-MIN(1,EK40))+'Вводные'!$B$28*MIN(1,EK40)</x:f>
      </x:c>
      <x:c r="EL41" s="121" t="n">
        <x:f>EL39*(1-MIN(1,EL40))+'Вводные'!$B$28*MIN(1,EL40)</x:f>
      </x:c>
      <x:c r="EM41" s="121" t="n">
        <x:f>EM39*(1-MIN(1,EM40))+'Вводные'!$B$28*MIN(1,EM40)</x:f>
      </x:c>
      <x:c r="EN41" s="121" t="n">
        <x:f>EN39*(1-MIN(1,EN40))+'Вводные'!$B$28*MIN(1,EN40)</x:f>
      </x:c>
      <x:c r="EO41" s="121" t="n">
        <x:f>EO39*(1-MIN(1,EO40))+'Вводные'!$B$28*MIN(1,EO40)</x:f>
      </x:c>
      <x:c r="EP41" s="121" t="n">
        <x:f>EP39*(1-MIN(1,EP40))+'Вводные'!$B$28*MIN(1,EP40)</x:f>
      </x:c>
      <x:c r="EQ41" s="121" t="n">
        <x:f>EQ39*(1-MIN(1,EQ40))+'Вводные'!$B$28*MIN(1,EQ40)</x:f>
      </x:c>
      <x:c r="ER41" s="121" t="n">
        <x:f>ER39*(1-MIN(1,ER40))+'Вводные'!$B$28*MIN(1,ER40)</x:f>
      </x:c>
      <x:c r="ES41" s="121" t="n">
        <x:f>ES39*(1-MIN(1,ES40))+'Вводные'!$B$28*MIN(1,ES40)</x:f>
      </x:c>
      <x:c r="ET41" s="121" t="n">
        <x:f>ET39*(1-MIN(1,ET40))+'Вводные'!$B$28*MIN(1,ET40)</x:f>
      </x:c>
      <x:c r="EU41" s="121" t="n">
        <x:f>EU39*(1-MIN(1,EU40))+'Вводные'!$B$28*MIN(1,EU40)</x:f>
      </x:c>
      <x:c r="EV41" s="121" t="n">
        <x:f>EV39*(1-MIN(1,EV40))+'Вводные'!$B$28*MIN(1,EV40)</x:f>
      </x:c>
      <x:c r="EW41" s="121" t="n">
        <x:f>EW39*(1-MIN(1,EW40))+'Вводные'!$B$28*MIN(1,EW40)</x:f>
      </x:c>
      <x:c r="EX41" s="121" t="n">
        <x:f>EX39*(1-MIN(1,EX40))+'Вводные'!$B$28*MIN(1,EX40)</x:f>
      </x:c>
      <x:c r="EY41" s="121" t="n">
        <x:f>EY39*(1-MIN(1,EY40))+'Вводные'!$B$28*MIN(1,EY40)</x:f>
      </x:c>
      <x:c r="EZ41" s="121" t="n">
        <x:f>EZ39*(1-MIN(1,EZ40))+'Вводные'!$B$28*MIN(1,EZ40)</x:f>
      </x:c>
      <x:c r="FA41" s="121" t="n">
        <x:f>FA39*(1-MIN(1,FA40))+'Вводные'!$B$28*MIN(1,FA40)</x:f>
      </x:c>
      <x:c r="FB41" s="121" t="n">
        <x:f>FB39*(1-MIN(1,FB40))+'Вводные'!$B$28*MIN(1,FB40)</x:f>
      </x:c>
      <x:c r="FC41" s="121" t="n">
        <x:f>FC39*(1-MIN(1,FC40))+'Вводные'!$B$28*MIN(1,FC40)</x:f>
      </x:c>
      <x:c r="FD41" s="121" t="n">
        <x:f>FD39*(1-MIN(1,FD40))+'Вводные'!$B$28*MIN(1,FD40)</x:f>
      </x:c>
      <x:c r="FE41" s="121" t="n">
        <x:f>FE39*(1-MIN(1,FE40))+'Вводные'!$B$28*MIN(1,FE40)</x:f>
      </x:c>
      <x:c r="FF41" s="121" t="n">
        <x:f>FF39*(1-MIN(1,FF40))+'Вводные'!$B$28*MIN(1,FF40)</x:f>
      </x:c>
      <x:c r="FG41" s="121" t="n">
        <x:f>FG39*(1-MIN(1,FG40))+'Вводные'!$B$28*MIN(1,FG40)</x:f>
      </x:c>
      <x:c r="FH41" s="121" t="n">
        <x:f>FH39*(1-MIN(1,FH40))+'Вводные'!$B$28*MIN(1,FH40)</x:f>
      </x:c>
      <x:c r="FI41" s="121" t="n">
        <x:f>FI39*(1-MIN(1,FI40))+'Вводные'!$B$28*MIN(1,FI40)</x:f>
      </x:c>
      <x:c r="FJ41" s="121" t="n">
        <x:f>FJ39*(1-MIN(1,FJ40))+'Вводные'!$B$28*MIN(1,FJ40)</x:f>
      </x:c>
      <x:c r="FK41" s="121" t="n">
        <x:f>FK39*(1-MIN(1,FK40))+'Вводные'!$B$28*MIN(1,FK40)</x:f>
      </x:c>
      <x:c r="FL41" s="121" t="n">
        <x:f>FL39*(1-MIN(1,FL40))+'Вводные'!$B$28*MIN(1,FL40)</x:f>
      </x:c>
      <x:c r="FM41" s="121" t="n">
        <x:f>FM39*(1-MIN(1,FM40))+'Вводные'!$B$28*MIN(1,FM40)</x:f>
      </x:c>
      <x:c r="FN41" s="121" t="n">
        <x:f>FN39*(1-MIN(1,FN40))+'Вводные'!$B$28*MIN(1,FN40)</x:f>
      </x:c>
      <x:c r="FO41" s="121" t="n">
        <x:f>FO39*(1-MIN(1,FO40))+'Вводные'!$B$28*MIN(1,FO40)</x:f>
      </x:c>
      <x:c r="FP41" s="121" t="n">
        <x:f>FP39*(1-MIN(1,FP40))+'Вводные'!$B$28*MIN(1,FP40)</x:f>
      </x:c>
      <x:c r="FQ41" s="121" t="n">
        <x:f>FQ39*(1-MIN(1,FQ40))+'Вводные'!$B$28*MIN(1,FQ40)</x:f>
      </x:c>
      <x:c r="FR41" s="121" t="n">
        <x:f>FR39*(1-MIN(1,FR40))+'Вводные'!$B$28*MIN(1,FR40)</x:f>
      </x:c>
      <x:c r="FS41" s="121" t="n">
        <x:f>FS39*(1-MIN(1,FS40))+'Вводные'!$B$28*MIN(1,FS40)</x:f>
      </x:c>
      <x:c r="FT41" s="121" t="n">
        <x:f>FT39*(1-MIN(1,FT40))+'Вводные'!$B$28*MIN(1,FT40)</x:f>
      </x:c>
      <x:c r="FU41" s="121" t="n">
        <x:f>FU39*(1-MIN(1,FU40))+'Вводные'!$B$28*MIN(1,FU40)</x:f>
      </x:c>
      <x:c r="FV41" s="121" t="n">
        <x:f>FV39*(1-MIN(1,FV40))+'Вводные'!$B$28*MIN(1,FV40)</x:f>
      </x:c>
      <x:c r="FW41" s="121" t="n">
        <x:f>FW39*(1-MIN(1,FW40))+'Вводные'!$B$28*MIN(1,FW40)</x:f>
      </x:c>
      <x:c r="FX41" s="121" t="n">
        <x:f>FX39*(1-MIN(1,FX40))+'Вводные'!$B$28*MIN(1,FX40)</x:f>
      </x:c>
      <x:c r="FY41" s="121" t="n">
        <x:f>FY39*(1-MIN(1,FY40))+'Вводные'!$B$28*MIN(1,FY40)</x:f>
      </x:c>
      <x:c r="FZ41" s="121" t="n">
        <x:f>FZ39*(1-MIN(1,FZ40))+'Вводные'!$B$28*MIN(1,FZ40)</x:f>
      </x:c>
      <x:c r="GA41" s="121" t="n">
        <x:f>GA39*(1-MIN(1,GA40))+'Вводные'!$B$28*MIN(1,GA40)</x:f>
      </x:c>
    </x:row>
    <x:row r="42">
      <x:c r="A42" t="str">
        <x:v>ПФ — проценты</x:v>
      </x:c>
      <x:c r="B42" t="n">
        <x:f>SUM(D42:GA42)</x:f>
      </x:c>
      <x:c r="C42" t="str">
        <x:v>млн ₽</x:v>
      </x:c>
      <x:c r="D42" s="117">
        <x:f>IF(AND((D38+D45)&gt;0,$B$5=1,D$3&lt;MAX(EDATE($B$8,MAX('Вводные'!$B$69+3,12)+1),IF('Вводные'!$B$71=0,0,EDATE('Вводные'!$B$71,1)))),(D38+D45)*D41/12,0)</x:f>
      </x:c>
      <x:c r="E42" s="117">
        <x:f>IF(AND((E38+E45)&gt;0,$B$5=1,E$3&lt;MAX(EDATE($B$8,MAX('Вводные'!$B$69+3,12)+1),IF('Вводные'!$B$71=0,0,EDATE('Вводные'!$B$71,1)))),(E38+E45)*E41/12,0)</x:f>
      </x:c>
      <x:c r="F42" s="117">
        <x:f>IF(AND((F38+F45)&gt;0,$B$5=1,F$3&lt;MAX(EDATE($B$8,MAX('Вводные'!$B$69+3,12)+1),IF('Вводные'!$B$71=0,0,EDATE('Вводные'!$B$71,1)))),(F38+F45)*F41/12,0)</x:f>
      </x:c>
      <x:c r="G42" s="117">
        <x:f>IF(AND((G38+G45)&gt;0,$B$5=1,G$3&lt;MAX(EDATE($B$8,MAX('Вводные'!$B$69+3,12)+1),IF('Вводные'!$B$71=0,0,EDATE('Вводные'!$B$71,1)))),(G38+G45)*G41/12,0)</x:f>
      </x:c>
      <x:c r="H42" s="117">
        <x:f>IF(AND((H38+H45)&gt;0,$B$5=1,H$3&lt;MAX(EDATE($B$8,MAX('Вводные'!$B$69+3,12)+1),IF('Вводные'!$B$71=0,0,EDATE('Вводные'!$B$71,1)))),(H38+H45)*H41/12,0)</x:f>
      </x:c>
      <x:c r="I42" s="117">
        <x:f>IF(AND((I38+I45)&gt;0,$B$5=1,I$3&lt;MAX(EDATE($B$8,MAX('Вводные'!$B$69+3,12)+1),IF('Вводные'!$B$71=0,0,EDATE('Вводные'!$B$71,1)))),(I38+I45)*I41/12,0)</x:f>
      </x:c>
      <x:c r="J42" s="117">
        <x:f>IF(AND((J38+J45)&gt;0,$B$5=1,J$3&lt;MAX(EDATE($B$8,MAX('Вводные'!$B$69+3,12)+1),IF('Вводные'!$B$71=0,0,EDATE('Вводные'!$B$71,1)))),(J38+J45)*J41/12,0)</x:f>
      </x:c>
      <x:c r="K42" s="117">
        <x:f>IF(AND((K38+K45)&gt;0,$B$5=1,K$3&lt;MAX(EDATE($B$8,MAX('Вводные'!$B$69+3,12)+1),IF('Вводные'!$B$71=0,0,EDATE('Вводные'!$B$71,1)))),(K38+K45)*K41/12,0)</x:f>
      </x:c>
      <x:c r="L42" s="117">
        <x:f>IF(AND((L38+L45)&gt;0,$B$5=1,L$3&lt;MAX(EDATE($B$8,MAX('Вводные'!$B$69+3,12)+1),IF('Вводные'!$B$71=0,0,EDATE('Вводные'!$B$71,1)))),(L38+L45)*L41/12,0)</x:f>
      </x:c>
      <x:c r="M42" s="117">
        <x:f>IF(AND((M38+M45)&gt;0,$B$5=1,M$3&lt;MAX(EDATE($B$8,MAX('Вводные'!$B$69+3,12)+1),IF('Вводные'!$B$71=0,0,EDATE('Вводные'!$B$71,1)))),(M38+M45)*M41/12,0)</x:f>
      </x:c>
      <x:c r="N42" s="117">
        <x:f>IF(AND((N38+N45)&gt;0,$B$5=1,N$3&lt;MAX(EDATE($B$8,MAX('Вводные'!$B$69+3,12)+1),IF('Вводные'!$B$71=0,0,EDATE('Вводные'!$B$71,1)))),(N38+N45)*N41/12,0)</x:f>
      </x:c>
      <x:c r="O42" s="117">
        <x:f>IF(AND((O38+O45)&gt;0,$B$5=1,O$3&lt;MAX(EDATE($B$8,MAX('Вводные'!$B$69+3,12)+1),IF('Вводные'!$B$71=0,0,EDATE('Вводные'!$B$71,1)))),(O38+O45)*O41/12,0)</x:f>
      </x:c>
      <x:c r="P42" s="117">
        <x:f>IF(AND((P38+P45)&gt;0,$B$5=1,P$3&lt;MAX(EDATE($B$8,MAX('Вводные'!$B$69+3,12)+1),IF('Вводные'!$B$71=0,0,EDATE('Вводные'!$B$71,1)))),(P38+P45)*P41/12,0)</x:f>
      </x:c>
      <x:c r="Q42" s="117">
        <x:f>IF(AND((Q38+Q45)&gt;0,$B$5=1,Q$3&lt;MAX(EDATE($B$8,MAX('Вводные'!$B$69+3,12)+1),IF('Вводные'!$B$71=0,0,EDATE('Вводные'!$B$71,1)))),(Q38+Q45)*Q41/12,0)</x:f>
      </x:c>
      <x:c r="R42" s="117">
        <x:f>IF(AND((R38+R45)&gt;0,$B$5=1,R$3&lt;MAX(EDATE($B$8,MAX('Вводные'!$B$69+3,12)+1),IF('Вводные'!$B$71=0,0,EDATE('Вводные'!$B$71,1)))),(R38+R45)*R41/12,0)</x:f>
      </x:c>
      <x:c r="S42" s="117">
        <x:f>IF(AND((S38+S45)&gt;0,$B$5=1,S$3&lt;MAX(EDATE($B$8,MAX('Вводные'!$B$69+3,12)+1),IF('Вводные'!$B$71=0,0,EDATE('Вводные'!$B$71,1)))),(S38+S45)*S41/12,0)</x:f>
      </x:c>
      <x:c r="T42" s="117">
        <x:f>IF(AND((T38+T45)&gt;0,$B$5=1,T$3&lt;MAX(EDATE($B$8,MAX('Вводные'!$B$69+3,12)+1),IF('Вводные'!$B$71=0,0,EDATE('Вводные'!$B$71,1)))),(T38+T45)*T41/12,0)</x:f>
      </x:c>
      <x:c r="U42" s="117">
        <x:f>IF(AND((U38+U45)&gt;0,$B$5=1,U$3&lt;MAX(EDATE($B$8,MAX('Вводные'!$B$69+3,12)+1),IF('Вводные'!$B$71=0,0,EDATE('Вводные'!$B$71,1)))),(U38+U45)*U41/12,0)</x:f>
      </x:c>
      <x:c r="V42" s="117">
        <x:f>IF(AND((V38+V45)&gt;0,$B$5=1,V$3&lt;MAX(EDATE($B$8,MAX('Вводные'!$B$69+3,12)+1),IF('Вводные'!$B$71=0,0,EDATE('Вводные'!$B$71,1)))),(V38+V45)*V41/12,0)</x:f>
      </x:c>
      <x:c r="W42" s="117">
        <x:f>IF(AND((W38+W45)&gt;0,$B$5=1,W$3&lt;MAX(EDATE($B$8,MAX('Вводные'!$B$69+3,12)+1),IF('Вводные'!$B$71=0,0,EDATE('Вводные'!$B$71,1)))),(W38+W45)*W41/12,0)</x:f>
      </x:c>
      <x:c r="X42" s="117">
        <x:f>IF(AND((X38+X45)&gt;0,$B$5=1,X$3&lt;MAX(EDATE($B$8,MAX('Вводные'!$B$69+3,12)+1),IF('Вводные'!$B$71=0,0,EDATE('Вводные'!$B$71,1)))),(X38+X45)*X41/12,0)</x:f>
      </x:c>
      <x:c r="Y42" s="117">
        <x:f>IF(AND((Y38+Y45)&gt;0,$B$5=1,Y$3&lt;MAX(EDATE($B$8,MAX('Вводные'!$B$69+3,12)+1),IF('Вводные'!$B$71=0,0,EDATE('Вводные'!$B$71,1)))),(Y38+Y45)*Y41/12,0)</x:f>
      </x:c>
      <x:c r="Z42" s="117">
        <x:f>IF(AND((Z38+Z45)&gt;0,$B$5=1,Z$3&lt;MAX(EDATE($B$8,MAX('Вводные'!$B$69+3,12)+1),IF('Вводные'!$B$71=0,0,EDATE('Вводные'!$B$71,1)))),(Z38+Z45)*Z41/12,0)</x:f>
      </x:c>
      <x:c r="AA42" s="117">
        <x:f>IF(AND((AA38+AA45)&gt;0,$B$5=1,AA$3&lt;MAX(EDATE($B$8,MAX('Вводные'!$B$69+3,12)+1),IF('Вводные'!$B$71=0,0,EDATE('Вводные'!$B$71,1)))),(AA38+AA45)*AA41/12,0)</x:f>
      </x:c>
      <x:c r="AB42" s="117">
        <x:f>IF(AND((AB38+AB45)&gt;0,$B$5=1,AB$3&lt;MAX(EDATE($B$8,MAX('Вводные'!$B$69+3,12)+1),IF('Вводные'!$B$71=0,0,EDATE('Вводные'!$B$71,1)))),(AB38+AB45)*AB41/12,0)</x:f>
      </x:c>
      <x:c r="AC42" s="117">
        <x:f>IF(AND((AC38+AC45)&gt;0,$B$5=1,AC$3&lt;MAX(EDATE($B$8,MAX('Вводные'!$B$69+3,12)+1),IF('Вводные'!$B$71=0,0,EDATE('Вводные'!$B$71,1)))),(AC38+AC45)*AC41/12,0)</x:f>
      </x:c>
      <x:c r="AD42" s="117">
        <x:f>IF(AND((AD38+AD45)&gt;0,$B$5=1,AD$3&lt;MAX(EDATE($B$8,MAX('Вводные'!$B$69+3,12)+1),IF('Вводные'!$B$71=0,0,EDATE('Вводные'!$B$71,1)))),(AD38+AD45)*AD41/12,0)</x:f>
      </x:c>
      <x:c r="AE42" s="117">
        <x:f>IF(AND((AE38+AE45)&gt;0,$B$5=1,AE$3&lt;MAX(EDATE($B$8,MAX('Вводные'!$B$69+3,12)+1),IF('Вводные'!$B$71=0,0,EDATE('Вводные'!$B$71,1)))),(AE38+AE45)*AE41/12,0)</x:f>
      </x:c>
      <x:c r="AF42" s="117">
        <x:f>IF(AND((AF38+AF45)&gt;0,$B$5=1,AF$3&lt;MAX(EDATE($B$8,MAX('Вводные'!$B$69+3,12)+1),IF('Вводные'!$B$71=0,0,EDATE('Вводные'!$B$71,1)))),(AF38+AF45)*AF41/12,0)</x:f>
      </x:c>
      <x:c r="AG42" s="117">
        <x:f>IF(AND((AG38+AG45)&gt;0,$B$5=1,AG$3&lt;MAX(EDATE($B$8,MAX('Вводные'!$B$69+3,12)+1),IF('Вводные'!$B$71=0,0,EDATE('Вводные'!$B$71,1)))),(AG38+AG45)*AG41/12,0)</x:f>
      </x:c>
      <x:c r="AH42" s="117">
        <x:f>IF(AND((AH38+AH45)&gt;0,$B$5=1,AH$3&lt;MAX(EDATE($B$8,MAX('Вводные'!$B$69+3,12)+1),IF('Вводные'!$B$71=0,0,EDATE('Вводные'!$B$71,1)))),(AH38+AH45)*AH41/12,0)</x:f>
      </x:c>
      <x:c r="AI42" s="117">
        <x:f>IF(AND((AI38+AI45)&gt;0,$B$5=1,AI$3&lt;MAX(EDATE($B$8,MAX('Вводные'!$B$69+3,12)+1),IF('Вводные'!$B$71=0,0,EDATE('Вводные'!$B$71,1)))),(AI38+AI45)*AI41/12,0)</x:f>
      </x:c>
      <x:c r="AJ42" s="117">
        <x:f>IF(AND((AJ38+AJ45)&gt;0,$B$5=1,AJ$3&lt;MAX(EDATE($B$8,MAX('Вводные'!$B$69+3,12)+1),IF('Вводные'!$B$71=0,0,EDATE('Вводные'!$B$71,1)))),(AJ38+AJ45)*AJ41/12,0)</x:f>
      </x:c>
      <x:c r="AK42" s="117">
        <x:f>IF(AND((AK38+AK45)&gt;0,$B$5=1,AK$3&lt;MAX(EDATE($B$8,MAX('Вводные'!$B$69+3,12)+1),IF('Вводные'!$B$71=0,0,EDATE('Вводные'!$B$71,1)))),(AK38+AK45)*AK41/12,0)</x:f>
      </x:c>
      <x:c r="AL42" s="117">
        <x:f>IF(AND((AL38+AL45)&gt;0,$B$5=1,AL$3&lt;MAX(EDATE($B$8,MAX('Вводные'!$B$69+3,12)+1),IF('Вводные'!$B$71=0,0,EDATE('Вводные'!$B$71,1)))),(AL38+AL45)*AL41/12,0)</x:f>
      </x:c>
      <x:c r="AM42" s="117">
        <x:f>IF(AND((AM38+AM45)&gt;0,$B$5=1,AM$3&lt;MAX(EDATE($B$8,MAX('Вводные'!$B$69+3,12)+1),IF('Вводные'!$B$71=0,0,EDATE('Вводные'!$B$71,1)))),(AM38+AM45)*AM41/12,0)</x:f>
      </x:c>
      <x:c r="AN42" s="117">
        <x:f>IF(AND((AN38+AN45)&gt;0,$B$5=1,AN$3&lt;MAX(EDATE($B$8,MAX('Вводные'!$B$69+3,12)+1),IF('Вводные'!$B$71=0,0,EDATE('Вводные'!$B$71,1)))),(AN38+AN45)*AN41/12,0)</x:f>
      </x:c>
      <x:c r="AO42" s="117">
        <x:f>IF(AND((AO38+AO45)&gt;0,$B$5=1,AO$3&lt;MAX(EDATE($B$8,MAX('Вводные'!$B$69+3,12)+1),IF('Вводные'!$B$71=0,0,EDATE('Вводные'!$B$71,1)))),(AO38+AO45)*AO41/12,0)</x:f>
      </x:c>
      <x:c r="AP42" s="117">
        <x:f>IF(AND((AP38+AP45)&gt;0,$B$5=1,AP$3&lt;MAX(EDATE($B$8,MAX('Вводные'!$B$69+3,12)+1),IF('Вводные'!$B$71=0,0,EDATE('Вводные'!$B$71,1)))),(AP38+AP45)*AP41/12,0)</x:f>
      </x:c>
      <x:c r="AQ42" s="117">
        <x:f>IF(AND((AQ38+AQ45)&gt;0,$B$5=1,AQ$3&lt;MAX(EDATE($B$8,MAX('Вводные'!$B$69+3,12)+1),IF('Вводные'!$B$71=0,0,EDATE('Вводные'!$B$71,1)))),(AQ38+AQ45)*AQ41/12,0)</x:f>
      </x:c>
      <x:c r="AR42" s="117">
        <x:f>IF(AND((AR38+AR45)&gt;0,$B$5=1,AR$3&lt;MAX(EDATE($B$8,MAX('Вводные'!$B$69+3,12)+1),IF('Вводные'!$B$71=0,0,EDATE('Вводные'!$B$71,1)))),(AR38+AR45)*AR41/12,0)</x:f>
      </x:c>
      <x:c r="AS42" s="117">
        <x:f>IF(AND((AS38+AS45)&gt;0,$B$5=1,AS$3&lt;MAX(EDATE($B$8,MAX('Вводные'!$B$69+3,12)+1),IF('Вводные'!$B$71=0,0,EDATE('Вводные'!$B$71,1)))),(AS38+AS45)*AS41/12,0)</x:f>
      </x:c>
      <x:c r="AT42" s="117">
        <x:f>IF(AND((AT38+AT45)&gt;0,$B$5=1,AT$3&lt;MAX(EDATE($B$8,MAX('Вводные'!$B$69+3,12)+1),IF('Вводные'!$B$71=0,0,EDATE('Вводные'!$B$71,1)))),(AT38+AT45)*AT41/12,0)</x:f>
      </x:c>
      <x:c r="AU42" s="117">
        <x:f>IF(AND((AU38+AU45)&gt;0,$B$5=1,AU$3&lt;MAX(EDATE($B$8,MAX('Вводные'!$B$69+3,12)+1),IF('Вводные'!$B$71=0,0,EDATE('Вводные'!$B$71,1)))),(AU38+AU45)*AU41/12,0)</x:f>
      </x:c>
      <x:c r="AV42" s="117">
        <x:f>IF(AND((AV38+AV45)&gt;0,$B$5=1,AV$3&lt;MAX(EDATE($B$8,MAX('Вводные'!$B$69+3,12)+1),IF('Вводные'!$B$71=0,0,EDATE('Вводные'!$B$71,1)))),(AV38+AV45)*AV41/12,0)</x:f>
      </x:c>
      <x:c r="AW42" s="117">
        <x:f>IF(AND((AW38+AW45)&gt;0,$B$5=1,AW$3&lt;MAX(EDATE($B$8,MAX('Вводные'!$B$69+3,12)+1),IF('Вводные'!$B$71=0,0,EDATE('Вводные'!$B$71,1)))),(AW38+AW45)*AW41/12,0)</x:f>
      </x:c>
      <x:c r="AX42" s="117">
        <x:f>IF(AND((AX38+AX45)&gt;0,$B$5=1,AX$3&lt;MAX(EDATE($B$8,MAX('Вводные'!$B$69+3,12)+1),IF('Вводные'!$B$71=0,0,EDATE('Вводные'!$B$71,1)))),(AX38+AX45)*AX41/12,0)</x:f>
      </x:c>
      <x:c r="AY42" s="117">
        <x:f>IF(AND((AY38+AY45)&gt;0,$B$5=1,AY$3&lt;MAX(EDATE($B$8,MAX('Вводные'!$B$69+3,12)+1),IF('Вводные'!$B$71=0,0,EDATE('Вводные'!$B$71,1)))),(AY38+AY45)*AY41/12,0)</x:f>
      </x:c>
      <x:c r="AZ42" s="117">
        <x:f>IF(AND((AZ38+AZ45)&gt;0,$B$5=1,AZ$3&lt;MAX(EDATE($B$8,MAX('Вводные'!$B$69+3,12)+1),IF('Вводные'!$B$71=0,0,EDATE('Вводные'!$B$71,1)))),(AZ38+AZ45)*AZ41/12,0)</x:f>
      </x:c>
      <x:c r="BA42" s="117">
        <x:f>IF(AND((BA38+BA45)&gt;0,$B$5=1,BA$3&lt;MAX(EDATE($B$8,MAX('Вводные'!$B$69+3,12)+1),IF('Вводные'!$B$71=0,0,EDATE('Вводные'!$B$71,1)))),(BA38+BA45)*BA41/12,0)</x:f>
      </x:c>
      <x:c r="BB42" s="117">
        <x:f>IF(AND((BB38+BB45)&gt;0,$B$5=1,BB$3&lt;MAX(EDATE($B$8,MAX('Вводные'!$B$69+3,12)+1),IF('Вводные'!$B$71=0,0,EDATE('Вводные'!$B$71,1)))),(BB38+BB45)*BB41/12,0)</x:f>
      </x:c>
      <x:c r="BC42" s="117">
        <x:f>IF(AND((BC38+BC45)&gt;0,$B$5=1,BC$3&lt;MAX(EDATE($B$8,MAX('Вводные'!$B$69+3,12)+1),IF('Вводные'!$B$71=0,0,EDATE('Вводные'!$B$71,1)))),(BC38+BC45)*BC41/12,0)</x:f>
      </x:c>
      <x:c r="BD42" s="117">
        <x:f>IF(AND((BD38+BD45)&gt;0,$B$5=1,BD$3&lt;MAX(EDATE($B$8,MAX('Вводные'!$B$69+3,12)+1),IF('Вводные'!$B$71=0,0,EDATE('Вводные'!$B$71,1)))),(BD38+BD45)*BD41/12,0)</x:f>
      </x:c>
      <x:c r="BE42" s="117">
        <x:f>IF(AND((BE38+BE45)&gt;0,$B$5=1,BE$3&lt;MAX(EDATE($B$8,MAX('Вводные'!$B$69+3,12)+1),IF('Вводные'!$B$71=0,0,EDATE('Вводные'!$B$71,1)))),(BE38+BE45)*BE41/12,0)</x:f>
      </x:c>
      <x:c r="BF42" s="117">
        <x:f>IF(AND((BF38+BF45)&gt;0,$B$5=1,BF$3&lt;MAX(EDATE($B$8,MAX('Вводные'!$B$69+3,12)+1),IF('Вводные'!$B$71=0,0,EDATE('Вводные'!$B$71,1)))),(BF38+BF45)*BF41/12,0)</x:f>
      </x:c>
      <x:c r="BG42" s="117">
        <x:f>IF(AND((BG38+BG45)&gt;0,$B$5=1,BG$3&lt;MAX(EDATE($B$8,MAX('Вводные'!$B$69+3,12)+1),IF('Вводные'!$B$71=0,0,EDATE('Вводные'!$B$71,1)))),(BG38+BG45)*BG41/12,0)</x:f>
      </x:c>
      <x:c r="BH42" s="117">
        <x:f>IF(AND((BH38+BH45)&gt;0,$B$5=1,BH$3&lt;MAX(EDATE($B$8,MAX('Вводные'!$B$69+3,12)+1),IF('Вводные'!$B$71=0,0,EDATE('Вводные'!$B$71,1)))),(BH38+BH45)*BH41/12,0)</x:f>
      </x:c>
      <x:c r="BI42" s="117">
        <x:f>IF(AND((BI38+BI45)&gt;0,$B$5=1,BI$3&lt;MAX(EDATE($B$8,MAX('Вводные'!$B$69+3,12)+1),IF('Вводные'!$B$71=0,0,EDATE('Вводные'!$B$71,1)))),(BI38+BI45)*BI41/12,0)</x:f>
      </x:c>
      <x:c r="BJ42" s="117">
        <x:f>IF(AND((BJ38+BJ45)&gt;0,$B$5=1,BJ$3&lt;MAX(EDATE($B$8,MAX('Вводные'!$B$69+3,12)+1),IF('Вводные'!$B$71=0,0,EDATE('Вводные'!$B$71,1)))),(BJ38+BJ45)*BJ41/12,0)</x:f>
      </x:c>
      <x:c r="BK42" s="117">
        <x:f>IF(AND((BK38+BK45)&gt;0,$B$5=1,BK$3&lt;MAX(EDATE($B$8,MAX('Вводные'!$B$69+3,12)+1),IF('Вводные'!$B$71=0,0,EDATE('Вводные'!$B$71,1)))),(BK38+BK45)*BK41/12,0)</x:f>
      </x:c>
      <x:c r="BL42" s="117">
        <x:f>IF(AND((BL38+BL45)&gt;0,$B$5=1,BL$3&lt;MAX(EDATE($B$8,MAX('Вводные'!$B$69+3,12)+1),IF('Вводные'!$B$71=0,0,EDATE('Вводные'!$B$71,1)))),(BL38+BL45)*BL41/12,0)</x:f>
      </x:c>
      <x:c r="BM42" s="117">
        <x:f>IF(AND((BM38+BM45)&gt;0,$B$5=1,BM$3&lt;MAX(EDATE($B$8,MAX('Вводные'!$B$69+3,12)+1),IF('Вводные'!$B$71=0,0,EDATE('Вводные'!$B$71,1)))),(BM38+BM45)*BM41/12,0)</x:f>
      </x:c>
      <x:c r="BN42" s="117">
        <x:f>IF(AND((BN38+BN45)&gt;0,$B$5=1,BN$3&lt;MAX(EDATE($B$8,MAX('Вводные'!$B$69+3,12)+1),IF('Вводные'!$B$71=0,0,EDATE('Вводные'!$B$71,1)))),(BN38+BN45)*BN41/12,0)</x:f>
      </x:c>
      <x:c r="BO42" s="117">
        <x:f>IF(AND((BO38+BO45)&gt;0,$B$5=1,BO$3&lt;MAX(EDATE($B$8,MAX('Вводные'!$B$69+3,12)+1),IF('Вводные'!$B$71=0,0,EDATE('Вводные'!$B$71,1)))),(BO38+BO45)*BO41/12,0)</x:f>
      </x:c>
      <x:c r="BP42" s="117">
        <x:f>IF(AND((BP38+BP45)&gt;0,$B$5=1,BP$3&lt;MAX(EDATE($B$8,MAX('Вводные'!$B$69+3,12)+1),IF('Вводные'!$B$71=0,0,EDATE('Вводные'!$B$71,1)))),(BP38+BP45)*BP41/12,0)</x:f>
      </x:c>
      <x:c r="BQ42" s="117">
        <x:f>IF(AND((BQ38+BQ45)&gt;0,$B$5=1,BQ$3&lt;MAX(EDATE($B$8,MAX('Вводные'!$B$69+3,12)+1),IF('Вводные'!$B$71=0,0,EDATE('Вводные'!$B$71,1)))),(BQ38+BQ45)*BQ41/12,0)</x:f>
      </x:c>
      <x:c r="BR42" s="117">
        <x:f>IF(AND((BR38+BR45)&gt;0,$B$5=1,BR$3&lt;MAX(EDATE($B$8,MAX('Вводные'!$B$69+3,12)+1),IF('Вводные'!$B$71=0,0,EDATE('Вводные'!$B$71,1)))),(BR38+BR45)*BR41/12,0)</x:f>
      </x:c>
      <x:c r="BS42" s="117">
        <x:f>IF(AND((BS38+BS45)&gt;0,$B$5=1,BS$3&lt;MAX(EDATE($B$8,MAX('Вводные'!$B$69+3,12)+1),IF('Вводные'!$B$71=0,0,EDATE('Вводные'!$B$71,1)))),(BS38+BS45)*BS41/12,0)</x:f>
      </x:c>
      <x:c r="BT42" s="117">
        <x:f>IF(AND((BT38+BT45)&gt;0,$B$5=1,BT$3&lt;MAX(EDATE($B$8,MAX('Вводные'!$B$69+3,12)+1),IF('Вводные'!$B$71=0,0,EDATE('Вводные'!$B$71,1)))),(BT38+BT45)*BT41/12,0)</x:f>
      </x:c>
      <x:c r="BU42" s="117">
        <x:f>IF(AND((BU38+BU45)&gt;0,$B$5=1,BU$3&lt;MAX(EDATE($B$8,MAX('Вводные'!$B$69+3,12)+1),IF('Вводные'!$B$71=0,0,EDATE('Вводные'!$B$71,1)))),(BU38+BU45)*BU41/12,0)</x:f>
      </x:c>
      <x:c r="BV42" s="117">
        <x:f>IF(AND((BV38+BV45)&gt;0,$B$5=1,BV$3&lt;MAX(EDATE($B$8,MAX('Вводные'!$B$69+3,12)+1),IF('Вводные'!$B$71=0,0,EDATE('Вводные'!$B$71,1)))),(BV38+BV45)*BV41/12,0)</x:f>
      </x:c>
      <x:c r="BW42" s="117">
        <x:f>IF(AND((BW38+BW45)&gt;0,$B$5=1,BW$3&lt;MAX(EDATE($B$8,MAX('Вводные'!$B$69+3,12)+1),IF('Вводные'!$B$71=0,0,EDATE('Вводные'!$B$71,1)))),(BW38+BW45)*BW41/12,0)</x:f>
      </x:c>
      <x:c r="BX42" s="117">
        <x:f>IF(AND((BX38+BX45)&gt;0,$B$5=1,BX$3&lt;MAX(EDATE($B$8,MAX('Вводные'!$B$69+3,12)+1),IF('Вводные'!$B$71=0,0,EDATE('Вводные'!$B$71,1)))),(BX38+BX45)*BX41/12,0)</x:f>
      </x:c>
      <x:c r="BY42" s="117">
        <x:f>IF(AND((BY38+BY45)&gt;0,$B$5=1,BY$3&lt;MAX(EDATE($B$8,MAX('Вводные'!$B$69+3,12)+1),IF('Вводные'!$B$71=0,0,EDATE('Вводные'!$B$71,1)))),(BY38+BY45)*BY41/12,0)</x:f>
      </x:c>
      <x:c r="BZ42" s="117">
        <x:f>IF(AND((BZ38+BZ45)&gt;0,$B$5=1,BZ$3&lt;MAX(EDATE($B$8,MAX('Вводные'!$B$69+3,12)+1),IF('Вводные'!$B$71=0,0,EDATE('Вводные'!$B$71,1)))),(BZ38+BZ45)*BZ41/12,0)</x:f>
      </x:c>
      <x:c r="CA42" s="117">
        <x:f>IF(AND((CA38+CA45)&gt;0,$B$5=1,CA$3&lt;MAX(EDATE($B$8,MAX('Вводные'!$B$69+3,12)+1),IF('Вводные'!$B$71=0,0,EDATE('Вводные'!$B$71,1)))),(CA38+CA45)*CA41/12,0)</x:f>
      </x:c>
      <x:c r="CB42" s="117">
        <x:f>IF(AND((CB38+CB45)&gt;0,$B$5=1,CB$3&lt;MAX(EDATE($B$8,MAX('Вводные'!$B$69+3,12)+1),IF('Вводные'!$B$71=0,0,EDATE('Вводные'!$B$71,1)))),(CB38+CB45)*CB41/12,0)</x:f>
      </x:c>
      <x:c r="CC42" s="117">
        <x:f>IF(AND((CC38+CC45)&gt;0,$B$5=1,CC$3&lt;MAX(EDATE($B$8,MAX('Вводные'!$B$69+3,12)+1),IF('Вводные'!$B$71=0,0,EDATE('Вводные'!$B$71,1)))),(CC38+CC45)*CC41/12,0)</x:f>
      </x:c>
      <x:c r="CD42" s="117">
        <x:f>IF(AND((CD38+CD45)&gt;0,$B$5=1,CD$3&lt;MAX(EDATE($B$8,MAX('Вводные'!$B$69+3,12)+1),IF('Вводные'!$B$71=0,0,EDATE('Вводные'!$B$71,1)))),(CD38+CD45)*CD41/12,0)</x:f>
      </x:c>
      <x:c r="CE42" s="117">
        <x:f>IF(AND((CE38+CE45)&gt;0,$B$5=1,CE$3&lt;MAX(EDATE($B$8,MAX('Вводные'!$B$69+3,12)+1),IF('Вводные'!$B$71=0,0,EDATE('Вводные'!$B$71,1)))),(CE38+CE45)*CE41/12,0)</x:f>
      </x:c>
      <x:c r="CF42" s="117">
        <x:f>IF(AND((CF38+CF45)&gt;0,$B$5=1,CF$3&lt;MAX(EDATE($B$8,MAX('Вводные'!$B$69+3,12)+1),IF('Вводные'!$B$71=0,0,EDATE('Вводные'!$B$71,1)))),(CF38+CF45)*CF41/12,0)</x:f>
      </x:c>
      <x:c r="CG42" s="117">
        <x:f>IF(AND((CG38+CG45)&gt;0,$B$5=1,CG$3&lt;MAX(EDATE($B$8,MAX('Вводные'!$B$69+3,12)+1),IF('Вводные'!$B$71=0,0,EDATE('Вводные'!$B$71,1)))),(CG38+CG45)*CG41/12,0)</x:f>
      </x:c>
      <x:c r="CH42" s="117">
        <x:f>IF(AND((CH38+CH45)&gt;0,$B$5=1,CH$3&lt;MAX(EDATE($B$8,MAX('Вводные'!$B$69+3,12)+1),IF('Вводные'!$B$71=0,0,EDATE('Вводные'!$B$71,1)))),(CH38+CH45)*CH41/12,0)</x:f>
      </x:c>
      <x:c r="CI42" s="117">
        <x:f>IF(AND((CI38+CI45)&gt;0,$B$5=1,CI$3&lt;MAX(EDATE($B$8,MAX('Вводные'!$B$69+3,12)+1),IF('Вводные'!$B$71=0,0,EDATE('Вводные'!$B$71,1)))),(CI38+CI45)*CI41/12,0)</x:f>
      </x:c>
      <x:c r="CJ42" s="117">
        <x:f>IF(AND((CJ38+CJ45)&gt;0,$B$5=1,CJ$3&lt;MAX(EDATE($B$8,MAX('Вводные'!$B$69+3,12)+1),IF('Вводные'!$B$71=0,0,EDATE('Вводные'!$B$71,1)))),(CJ38+CJ45)*CJ41/12,0)</x:f>
      </x:c>
      <x:c r="CK42" s="117">
        <x:f>IF(AND((CK38+CK45)&gt;0,$B$5=1,CK$3&lt;MAX(EDATE($B$8,MAX('Вводные'!$B$69+3,12)+1),IF('Вводные'!$B$71=0,0,EDATE('Вводные'!$B$71,1)))),(CK38+CK45)*CK41/12,0)</x:f>
      </x:c>
      <x:c r="CL42" s="117">
        <x:f>IF(AND((CL38+CL45)&gt;0,$B$5=1,CL$3&lt;MAX(EDATE($B$8,MAX('Вводные'!$B$69+3,12)+1),IF('Вводные'!$B$71=0,0,EDATE('Вводные'!$B$71,1)))),(CL38+CL45)*CL41/12,0)</x:f>
      </x:c>
      <x:c r="CM42" s="117">
        <x:f>IF(AND((CM38+CM45)&gt;0,$B$5=1,CM$3&lt;MAX(EDATE($B$8,MAX('Вводные'!$B$69+3,12)+1),IF('Вводные'!$B$71=0,0,EDATE('Вводные'!$B$71,1)))),(CM38+CM45)*CM41/12,0)</x:f>
      </x:c>
      <x:c r="CN42" s="117">
        <x:f>IF(AND((CN38+CN45)&gt;0,$B$5=1,CN$3&lt;MAX(EDATE($B$8,MAX('Вводные'!$B$69+3,12)+1),IF('Вводные'!$B$71=0,0,EDATE('Вводные'!$B$71,1)))),(CN38+CN45)*CN41/12,0)</x:f>
      </x:c>
      <x:c r="CO42" s="117">
        <x:f>IF(AND((CO38+CO45)&gt;0,$B$5=1,CO$3&lt;MAX(EDATE($B$8,MAX('Вводные'!$B$69+3,12)+1),IF('Вводные'!$B$71=0,0,EDATE('Вводные'!$B$71,1)))),(CO38+CO45)*CO41/12,0)</x:f>
      </x:c>
      <x:c r="CP42" s="117">
        <x:f>IF(AND((CP38+CP45)&gt;0,$B$5=1,CP$3&lt;MAX(EDATE($B$8,MAX('Вводные'!$B$69+3,12)+1),IF('Вводные'!$B$71=0,0,EDATE('Вводные'!$B$71,1)))),(CP38+CP45)*CP41/12,0)</x:f>
      </x:c>
      <x:c r="CQ42" s="117">
        <x:f>IF(AND((CQ38+CQ45)&gt;0,$B$5=1,CQ$3&lt;MAX(EDATE($B$8,MAX('Вводные'!$B$69+3,12)+1),IF('Вводные'!$B$71=0,0,EDATE('Вводные'!$B$71,1)))),(CQ38+CQ45)*CQ41/12,0)</x:f>
      </x:c>
      <x:c r="CR42" s="117">
        <x:f>IF(AND((CR38+CR45)&gt;0,$B$5=1,CR$3&lt;MAX(EDATE($B$8,MAX('Вводные'!$B$69+3,12)+1),IF('Вводные'!$B$71=0,0,EDATE('Вводные'!$B$71,1)))),(CR38+CR45)*CR41/12,0)</x:f>
      </x:c>
      <x:c r="CS42" s="117">
        <x:f>IF(AND((CS38+CS45)&gt;0,$B$5=1,CS$3&lt;MAX(EDATE($B$8,MAX('Вводные'!$B$69+3,12)+1),IF('Вводные'!$B$71=0,0,EDATE('Вводные'!$B$71,1)))),(CS38+CS45)*CS41/12,0)</x:f>
      </x:c>
      <x:c r="CT42" s="117">
        <x:f>IF(AND((CT38+CT45)&gt;0,$B$5=1,CT$3&lt;MAX(EDATE($B$8,MAX('Вводные'!$B$69+3,12)+1),IF('Вводные'!$B$71=0,0,EDATE('Вводные'!$B$71,1)))),(CT38+CT45)*CT41/12,0)</x:f>
      </x:c>
      <x:c r="CU42" s="117">
        <x:f>IF(AND((CU38+CU45)&gt;0,$B$5=1,CU$3&lt;MAX(EDATE($B$8,MAX('Вводные'!$B$69+3,12)+1),IF('Вводные'!$B$71=0,0,EDATE('Вводные'!$B$71,1)))),(CU38+CU45)*CU41/12,0)</x:f>
      </x:c>
      <x:c r="CV42" s="117">
        <x:f>IF(AND((CV38+CV45)&gt;0,$B$5=1,CV$3&lt;MAX(EDATE($B$8,MAX('Вводные'!$B$69+3,12)+1),IF('Вводные'!$B$71=0,0,EDATE('Вводные'!$B$71,1)))),(CV38+CV45)*CV41/12,0)</x:f>
      </x:c>
      <x:c r="CW42" s="117">
        <x:f>IF(AND((CW38+CW45)&gt;0,$B$5=1,CW$3&lt;MAX(EDATE($B$8,MAX('Вводные'!$B$69+3,12)+1),IF('Вводные'!$B$71=0,0,EDATE('Вводные'!$B$71,1)))),(CW38+CW45)*CW41/12,0)</x:f>
      </x:c>
      <x:c r="CX42" s="117">
        <x:f>IF(AND((CX38+CX45)&gt;0,$B$5=1,CX$3&lt;MAX(EDATE($B$8,MAX('Вводные'!$B$69+3,12)+1),IF('Вводные'!$B$71=0,0,EDATE('Вводные'!$B$71,1)))),(CX38+CX45)*CX41/12,0)</x:f>
      </x:c>
      <x:c r="CY42" s="117">
        <x:f>IF(AND((CY38+CY45)&gt;0,$B$5=1,CY$3&lt;MAX(EDATE($B$8,MAX('Вводные'!$B$69+3,12)+1),IF('Вводные'!$B$71=0,0,EDATE('Вводные'!$B$71,1)))),(CY38+CY45)*CY41/12,0)</x:f>
      </x:c>
      <x:c r="CZ42" s="117">
        <x:f>IF(AND((CZ38+CZ45)&gt;0,$B$5=1,CZ$3&lt;MAX(EDATE($B$8,MAX('Вводные'!$B$69+3,12)+1),IF('Вводные'!$B$71=0,0,EDATE('Вводные'!$B$71,1)))),(CZ38+CZ45)*CZ41/12,0)</x:f>
      </x:c>
      <x:c r="DA42" s="117">
        <x:f>IF(AND((DA38+DA45)&gt;0,$B$5=1,DA$3&lt;MAX(EDATE($B$8,MAX('Вводные'!$B$69+3,12)+1),IF('Вводные'!$B$71=0,0,EDATE('Вводные'!$B$71,1)))),(DA38+DA45)*DA41/12,0)</x:f>
      </x:c>
      <x:c r="DB42" s="117">
        <x:f>IF(AND((DB38+DB45)&gt;0,$B$5=1,DB$3&lt;MAX(EDATE($B$8,MAX('Вводные'!$B$69+3,12)+1),IF('Вводные'!$B$71=0,0,EDATE('Вводные'!$B$71,1)))),(DB38+DB45)*DB41/12,0)</x:f>
      </x:c>
      <x:c r="DC42" s="117">
        <x:f>IF(AND((DC38+DC45)&gt;0,$B$5=1,DC$3&lt;MAX(EDATE($B$8,MAX('Вводные'!$B$69+3,12)+1),IF('Вводные'!$B$71=0,0,EDATE('Вводные'!$B$71,1)))),(DC38+DC45)*DC41/12,0)</x:f>
      </x:c>
      <x:c r="DD42" s="117">
        <x:f>IF(AND((DD38+DD45)&gt;0,$B$5=1,DD$3&lt;MAX(EDATE($B$8,MAX('Вводные'!$B$69+3,12)+1),IF('Вводные'!$B$71=0,0,EDATE('Вводные'!$B$71,1)))),(DD38+DD45)*DD41/12,0)</x:f>
      </x:c>
      <x:c r="DE42" s="117">
        <x:f>IF(AND((DE38+DE45)&gt;0,$B$5=1,DE$3&lt;MAX(EDATE($B$8,MAX('Вводные'!$B$69+3,12)+1),IF('Вводные'!$B$71=0,0,EDATE('Вводные'!$B$71,1)))),(DE38+DE45)*DE41/12,0)</x:f>
      </x:c>
      <x:c r="DF42" s="117">
        <x:f>IF(AND((DF38+DF45)&gt;0,$B$5=1,DF$3&lt;MAX(EDATE($B$8,MAX('Вводные'!$B$69+3,12)+1),IF('Вводные'!$B$71=0,0,EDATE('Вводные'!$B$71,1)))),(DF38+DF45)*DF41/12,0)</x:f>
      </x:c>
      <x:c r="DG42" s="117">
        <x:f>IF(AND((DG38+DG45)&gt;0,$B$5=1,DG$3&lt;MAX(EDATE($B$8,MAX('Вводные'!$B$69+3,12)+1),IF('Вводные'!$B$71=0,0,EDATE('Вводные'!$B$71,1)))),(DG38+DG45)*DG41/12,0)</x:f>
      </x:c>
      <x:c r="DH42" s="117">
        <x:f>IF(AND((DH38+DH45)&gt;0,$B$5=1,DH$3&lt;MAX(EDATE($B$8,MAX('Вводные'!$B$69+3,12)+1),IF('Вводные'!$B$71=0,0,EDATE('Вводные'!$B$71,1)))),(DH38+DH45)*DH41/12,0)</x:f>
      </x:c>
      <x:c r="DI42" s="117">
        <x:f>IF(AND((DI38+DI45)&gt;0,$B$5=1,DI$3&lt;MAX(EDATE($B$8,MAX('Вводные'!$B$69+3,12)+1),IF('Вводные'!$B$71=0,0,EDATE('Вводные'!$B$71,1)))),(DI38+DI45)*DI41/12,0)</x:f>
      </x:c>
      <x:c r="DJ42" s="117">
        <x:f>IF(AND((DJ38+DJ45)&gt;0,$B$5=1,DJ$3&lt;MAX(EDATE($B$8,MAX('Вводные'!$B$69+3,12)+1),IF('Вводные'!$B$71=0,0,EDATE('Вводные'!$B$71,1)))),(DJ38+DJ45)*DJ41/12,0)</x:f>
      </x:c>
      <x:c r="DK42" s="117">
        <x:f>IF(AND((DK38+DK45)&gt;0,$B$5=1,DK$3&lt;MAX(EDATE($B$8,MAX('Вводные'!$B$69+3,12)+1),IF('Вводные'!$B$71=0,0,EDATE('Вводные'!$B$71,1)))),(DK38+DK45)*DK41/12,0)</x:f>
      </x:c>
      <x:c r="DL42" s="117">
        <x:f>IF(AND((DL38+DL45)&gt;0,$B$5=1,DL$3&lt;MAX(EDATE($B$8,MAX('Вводные'!$B$69+3,12)+1),IF('Вводные'!$B$71=0,0,EDATE('Вводные'!$B$71,1)))),(DL38+DL45)*DL41/12,0)</x:f>
      </x:c>
      <x:c r="DM42" s="117">
        <x:f>IF(AND((DM38+DM45)&gt;0,$B$5=1,DM$3&lt;MAX(EDATE($B$8,MAX('Вводные'!$B$69+3,12)+1),IF('Вводные'!$B$71=0,0,EDATE('Вводные'!$B$71,1)))),(DM38+DM45)*DM41/12,0)</x:f>
      </x:c>
      <x:c r="DN42" s="117">
        <x:f>IF(AND((DN38+DN45)&gt;0,$B$5=1,DN$3&lt;MAX(EDATE($B$8,MAX('Вводные'!$B$69+3,12)+1),IF('Вводные'!$B$71=0,0,EDATE('Вводные'!$B$71,1)))),(DN38+DN45)*DN41/12,0)</x:f>
      </x:c>
      <x:c r="DO42" s="117">
        <x:f>IF(AND((DO38+DO45)&gt;0,$B$5=1,DO$3&lt;MAX(EDATE($B$8,MAX('Вводные'!$B$69+3,12)+1),IF('Вводные'!$B$71=0,0,EDATE('Вводные'!$B$71,1)))),(DO38+DO45)*DO41/12,0)</x:f>
      </x:c>
      <x:c r="DP42" s="117">
        <x:f>IF(AND((DP38+DP45)&gt;0,$B$5=1,DP$3&lt;MAX(EDATE($B$8,MAX('Вводные'!$B$69+3,12)+1),IF('Вводные'!$B$71=0,0,EDATE('Вводные'!$B$71,1)))),(DP38+DP45)*DP41/12,0)</x:f>
      </x:c>
      <x:c r="DQ42" s="117">
        <x:f>IF(AND((DQ38+DQ45)&gt;0,$B$5=1,DQ$3&lt;MAX(EDATE($B$8,MAX('Вводные'!$B$69+3,12)+1),IF('Вводные'!$B$71=0,0,EDATE('Вводные'!$B$71,1)))),(DQ38+DQ45)*DQ41/12,0)</x:f>
      </x:c>
      <x:c r="DR42" s="117">
        <x:f>IF(AND((DR38+DR45)&gt;0,$B$5=1,DR$3&lt;MAX(EDATE($B$8,MAX('Вводные'!$B$69+3,12)+1),IF('Вводные'!$B$71=0,0,EDATE('Вводные'!$B$71,1)))),(DR38+DR45)*DR41/12,0)</x:f>
      </x:c>
      <x:c r="DS42" s="117">
        <x:f>IF(AND((DS38+DS45)&gt;0,$B$5=1,DS$3&lt;MAX(EDATE($B$8,MAX('Вводные'!$B$69+3,12)+1),IF('Вводные'!$B$71=0,0,EDATE('Вводные'!$B$71,1)))),(DS38+DS45)*DS41/12,0)</x:f>
      </x:c>
      <x:c r="DT42" s="117">
        <x:f>IF(AND((DT38+DT45)&gt;0,$B$5=1,DT$3&lt;MAX(EDATE($B$8,MAX('Вводные'!$B$69+3,12)+1),IF('Вводные'!$B$71=0,0,EDATE('Вводные'!$B$71,1)))),(DT38+DT45)*DT41/12,0)</x:f>
      </x:c>
      <x:c r="DU42" s="117">
        <x:f>IF(AND((DU38+DU45)&gt;0,$B$5=1,DU$3&lt;MAX(EDATE($B$8,MAX('Вводные'!$B$69+3,12)+1),IF('Вводные'!$B$71=0,0,EDATE('Вводные'!$B$71,1)))),(DU38+DU45)*DU41/12,0)</x:f>
      </x:c>
      <x:c r="DV42" s="117">
        <x:f>IF(AND((DV38+DV45)&gt;0,$B$5=1,DV$3&lt;MAX(EDATE($B$8,MAX('Вводные'!$B$69+3,12)+1),IF('Вводные'!$B$71=0,0,EDATE('Вводные'!$B$71,1)))),(DV38+DV45)*DV41/12,0)</x:f>
      </x:c>
      <x:c r="DW42" s="117">
        <x:f>IF(AND((DW38+DW45)&gt;0,$B$5=1,DW$3&lt;MAX(EDATE($B$8,MAX('Вводные'!$B$69+3,12)+1),IF('Вводные'!$B$71=0,0,EDATE('Вводные'!$B$71,1)))),(DW38+DW45)*DW41/12,0)</x:f>
      </x:c>
      <x:c r="DX42" s="117">
        <x:f>IF(AND((DX38+DX45)&gt;0,$B$5=1,DX$3&lt;MAX(EDATE($B$8,MAX('Вводные'!$B$69+3,12)+1),IF('Вводные'!$B$71=0,0,EDATE('Вводные'!$B$71,1)))),(DX38+DX45)*DX41/12,0)</x:f>
      </x:c>
      <x:c r="DY42" s="117">
        <x:f>IF(AND((DY38+DY45)&gt;0,$B$5=1,DY$3&lt;MAX(EDATE($B$8,MAX('Вводные'!$B$69+3,12)+1),IF('Вводные'!$B$71=0,0,EDATE('Вводные'!$B$71,1)))),(DY38+DY45)*DY41/12,0)</x:f>
      </x:c>
      <x:c r="DZ42" s="117">
        <x:f>IF(AND((DZ38+DZ45)&gt;0,$B$5=1,DZ$3&lt;MAX(EDATE($B$8,MAX('Вводные'!$B$69+3,12)+1),IF('Вводные'!$B$71=0,0,EDATE('Вводные'!$B$71,1)))),(DZ38+DZ45)*DZ41/12,0)</x:f>
      </x:c>
      <x:c r="EA42" s="117">
        <x:f>IF(AND((EA38+EA45)&gt;0,$B$5=1,EA$3&lt;MAX(EDATE($B$8,MAX('Вводные'!$B$69+3,12)+1),IF('Вводные'!$B$71=0,0,EDATE('Вводные'!$B$71,1)))),(EA38+EA45)*EA41/12,0)</x:f>
      </x:c>
      <x:c r="EB42" s="117">
        <x:f>IF(AND((EB38+EB45)&gt;0,$B$5=1,EB$3&lt;MAX(EDATE($B$8,MAX('Вводные'!$B$69+3,12)+1),IF('Вводные'!$B$71=0,0,EDATE('Вводные'!$B$71,1)))),(EB38+EB45)*EB41/12,0)</x:f>
      </x:c>
      <x:c r="EC42" s="117">
        <x:f>IF(AND((EC38+EC45)&gt;0,$B$5=1,EC$3&lt;MAX(EDATE($B$8,MAX('Вводные'!$B$69+3,12)+1),IF('Вводные'!$B$71=0,0,EDATE('Вводные'!$B$71,1)))),(EC38+EC45)*EC41/12,0)</x:f>
      </x:c>
      <x:c r="ED42" s="117">
        <x:f>IF(AND((ED38+ED45)&gt;0,$B$5=1,ED$3&lt;MAX(EDATE($B$8,MAX('Вводные'!$B$69+3,12)+1),IF('Вводные'!$B$71=0,0,EDATE('Вводные'!$B$71,1)))),(ED38+ED45)*ED41/12,0)</x:f>
      </x:c>
      <x:c r="EE42" s="117">
        <x:f>IF(AND((EE38+EE45)&gt;0,$B$5=1,EE$3&lt;MAX(EDATE($B$8,MAX('Вводные'!$B$69+3,12)+1),IF('Вводные'!$B$71=0,0,EDATE('Вводные'!$B$71,1)))),(EE38+EE45)*EE41/12,0)</x:f>
      </x:c>
      <x:c r="EF42" s="117">
        <x:f>IF(AND((EF38+EF45)&gt;0,$B$5=1,EF$3&lt;MAX(EDATE($B$8,MAX('Вводные'!$B$69+3,12)+1),IF('Вводные'!$B$71=0,0,EDATE('Вводные'!$B$71,1)))),(EF38+EF45)*EF41/12,0)</x:f>
      </x:c>
      <x:c r="EG42" s="117">
        <x:f>IF(AND((EG38+EG45)&gt;0,$B$5=1,EG$3&lt;MAX(EDATE($B$8,MAX('Вводные'!$B$69+3,12)+1),IF('Вводные'!$B$71=0,0,EDATE('Вводные'!$B$71,1)))),(EG38+EG45)*EG41/12,0)</x:f>
      </x:c>
      <x:c r="EH42" s="117">
        <x:f>IF(AND((EH38+EH45)&gt;0,$B$5=1,EH$3&lt;MAX(EDATE($B$8,MAX('Вводные'!$B$69+3,12)+1),IF('Вводные'!$B$71=0,0,EDATE('Вводные'!$B$71,1)))),(EH38+EH45)*EH41/12,0)</x:f>
      </x:c>
      <x:c r="EI42" s="117">
        <x:f>IF(AND((EI38+EI45)&gt;0,$B$5=1,EI$3&lt;MAX(EDATE($B$8,MAX('Вводные'!$B$69+3,12)+1),IF('Вводные'!$B$71=0,0,EDATE('Вводные'!$B$71,1)))),(EI38+EI45)*EI41/12,0)</x:f>
      </x:c>
      <x:c r="EJ42" s="117">
        <x:f>IF(AND((EJ38+EJ45)&gt;0,$B$5=1,EJ$3&lt;MAX(EDATE($B$8,MAX('Вводные'!$B$69+3,12)+1),IF('Вводные'!$B$71=0,0,EDATE('Вводные'!$B$71,1)))),(EJ38+EJ45)*EJ41/12,0)</x:f>
      </x:c>
      <x:c r="EK42" s="117">
        <x:f>IF(AND((EK38+EK45)&gt;0,$B$5=1,EK$3&lt;MAX(EDATE($B$8,MAX('Вводные'!$B$69+3,12)+1),IF('Вводные'!$B$71=0,0,EDATE('Вводные'!$B$71,1)))),(EK38+EK45)*EK41/12,0)</x:f>
      </x:c>
      <x:c r="EL42" s="117">
        <x:f>IF(AND((EL38+EL45)&gt;0,$B$5=1,EL$3&lt;MAX(EDATE($B$8,MAX('Вводные'!$B$69+3,12)+1),IF('Вводные'!$B$71=0,0,EDATE('Вводные'!$B$71,1)))),(EL38+EL45)*EL41/12,0)</x:f>
      </x:c>
      <x:c r="EM42" s="117">
        <x:f>IF(AND((EM38+EM45)&gt;0,$B$5=1,EM$3&lt;MAX(EDATE($B$8,MAX('Вводные'!$B$69+3,12)+1),IF('Вводные'!$B$71=0,0,EDATE('Вводные'!$B$71,1)))),(EM38+EM45)*EM41/12,0)</x:f>
      </x:c>
      <x:c r="EN42" s="117">
        <x:f>IF(AND((EN38+EN45)&gt;0,$B$5=1,EN$3&lt;MAX(EDATE($B$8,MAX('Вводные'!$B$69+3,12)+1),IF('Вводные'!$B$71=0,0,EDATE('Вводные'!$B$71,1)))),(EN38+EN45)*EN41/12,0)</x:f>
      </x:c>
      <x:c r="EO42" s="117">
        <x:f>IF(AND((EO38+EO45)&gt;0,$B$5=1,EO$3&lt;MAX(EDATE($B$8,MAX('Вводные'!$B$69+3,12)+1),IF('Вводные'!$B$71=0,0,EDATE('Вводные'!$B$71,1)))),(EO38+EO45)*EO41/12,0)</x:f>
      </x:c>
      <x:c r="EP42" s="117">
        <x:f>IF(AND((EP38+EP45)&gt;0,$B$5=1,EP$3&lt;MAX(EDATE($B$8,MAX('Вводные'!$B$69+3,12)+1),IF('Вводные'!$B$71=0,0,EDATE('Вводные'!$B$71,1)))),(EP38+EP45)*EP41/12,0)</x:f>
      </x:c>
      <x:c r="EQ42" s="117">
        <x:f>IF(AND((EQ38+EQ45)&gt;0,$B$5=1,EQ$3&lt;MAX(EDATE($B$8,MAX('Вводные'!$B$69+3,12)+1),IF('Вводные'!$B$71=0,0,EDATE('Вводные'!$B$71,1)))),(EQ38+EQ45)*EQ41/12,0)</x:f>
      </x:c>
      <x:c r="ER42" s="117">
        <x:f>IF(AND((ER38+ER45)&gt;0,$B$5=1,ER$3&lt;MAX(EDATE($B$8,MAX('Вводные'!$B$69+3,12)+1),IF('Вводные'!$B$71=0,0,EDATE('Вводные'!$B$71,1)))),(ER38+ER45)*ER41/12,0)</x:f>
      </x:c>
      <x:c r="ES42" s="117">
        <x:f>IF(AND((ES38+ES45)&gt;0,$B$5=1,ES$3&lt;MAX(EDATE($B$8,MAX('Вводные'!$B$69+3,12)+1),IF('Вводные'!$B$71=0,0,EDATE('Вводные'!$B$71,1)))),(ES38+ES45)*ES41/12,0)</x:f>
      </x:c>
      <x:c r="ET42" s="117">
        <x:f>IF(AND((ET38+ET45)&gt;0,$B$5=1,ET$3&lt;MAX(EDATE($B$8,MAX('Вводные'!$B$69+3,12)+1),IF('Вводные'!$B$71=0,0,EDATE('Вводные'!$B$71,1)))),(ET38+ET45)*ET41/12,0)</x:f>
      </x:c>
      <x:c r="EU42" s="117">
        <x:f>IF(AND((EU38+EU45)&gt;0,$B$5=1,EU$3&lt;MAX(EDATE($B$8,MAX('Вводные'!$B$69+3,12)+1),IF('Вводные'!$B$71=0,0,EDATE('Вводные'!$B$71,1)))),(EU38+EU45)*EU41/12,0)</x:f>
      </x:c>
      <x:c r="EV42" s="117">
        <x:f>IF(AND((EV38+EV45)&gt;0,$B$5=1,EV$3&lt;MAX(EDATE($B$8,MAX('Вводные'!$B$69+3,12)+1),IF('Вводные'!$B$71=0,0,EDATE('Вводные'!$B$71,1)))),(EV38+EV45)*EV41/12,0)</x:f>
      </x:c>
      <x:c r="EW42" s="117">
        <x:f>IF(AND((EW38+EW45)&gt;0,$B$5=1,EW$3&lt;MAX(EDATE($B$8,MAX('Вводные'!$B$69+3,12)+1),IF('Вводные'!$B$71=0,0,EDATE('Вводные'!$B$71,1)))),(EW38+EW45)*EW41/12,0)</x:f>
      </x:c>
      <x:c r="EX42" s="117">
        <x:f>IF(AND((EX38+EX45)&gt;0,$B$5=1,EX$3&lt;MAX(EDATE($B$8,MAX('Вводные'!$B$69+3,12)+1),IF('Вводные'!$B$71=0,0,EDATE('Вводные'!$B$71,1)))),(EX38+EX45)*EX41/12,0)</x:f>
      </x:c>
      <x:c r="EY42" s="117">
        <x:f>IF(AND((EY38+EY45)&gt;0,$B$5=1,EY$3&lt;MAX(EDATE($B$8,MAX('Вводные'!$B$69+3,12)+1),IF('Вводные'!$B$71=0,0,EDATE('Вводные'!$B$71,1)))),(EY38+EY45)*EY41/12,0)</x:f>
      </x:c>
      <x:c r="EZ42" s="117">
        <x:f>IF(AND((EZ38+EZ45)&gt;0,$B$5=1,EZ$3&lt;MAX(EDATE($B$8,MAX('Вводные'!$B$69+3,12)+1),IF('Вводные'!$B$71=0,0,EDATE('Вводные'!$B$71,1)))),(EZ38+EZ45)*EZ41/12,0)</x:f>
      </x:c>
      <x:c r="FA42" s="117">
        <x:f>IF(AND((FA38+FA45)&gt;0,$B$5=1,FA$3&lt;MAX(EDATE($B$8,MAX('Вводные'!$B$69+3,12)+1),IF('Вводные'!$B$71=0,0,EDATE('Вводные'!$B$71,1)))),(FA38+FA45)*FA41/12,0)</x:f>
      </x:c>
      <x:c r="FB42" s="117">
        <x:f>IF(AND((FB38+FB45)&gt;0,$B$5=1,FB$3&lt;MAX(EDATE($B$8,MAX('Вводные'!$B$69+3,12)+1),IF('Вводные'!$B$71=0,0,EDATE('Вводные'!$B$71,1)))),(FB38+FB45)*FB41/12,0)</x:f>
      </x:c>
      <x:c r="FC42" s="117">
        <x:f>IF(AND((FC38+FC45)&gt;0,$B$5=1,FC$3&lt;MAX(EDATE($B$8,MAX('Вводные'!$B$69+3,12)+1),IF('Вводные'!$B$71=0,0,EDATE('Вводные'!$B$71,1)))),(FC38+FC45)*FC41/12,0)</x:f>
      </x:c>
      <x:c r="FD42" s="117">
        <x:f>IF(AND((FD38+FD45)&gt;0,$B$5=1,FD$3&lt;MAX(EDATE($B$8,MAX('Вводные'!$B$69+3,12)+1),IF('Вводные'!$B$71=0,0,EDATE('Вводные'!$B$71,1)))),(FD38+FD45)*FD41/12,0)</x:f>
      </x:c>
      <x:c r="FE42" s="117">
        <x:f>IF(AND((FE38+FE45)&gt;0,$B$5=1,FE$3&lt;MAX(EDATE($B$8,MAX('Вводные'!$B$69+3,12)+1),IF('Вводные'!$B$71=0,0,EDATE('Вводные'!$B$71,1)))),(FE38+FE45)*FE41/12,0)</x:f>
      </x:c>
      <x:c r="FF42" s="117">
        <x:f>IF(AND((FF38+FF45)&gt;0,$B$5=1,FF$3&lt;MAX(EDATE($B$8,MAX('Вводные'!$B$69+3,12)+1),IF('Вводные'!$B$71=0,0,EDATE('Вводные'!$B$71,1)))),(FF38+FF45)*FF41/12,0)</x:f>
      </x:c>
      <x:c r="FG42" s="117">
        <x:f>IF(AND((FG38+FG45)&gt;0,$B$5=1,FG$3&lt;MAX(EDATE($B$8,MAX('Вводные'!$B$69+3,12)+1),IF('Вводные'!$B$71=0,0,EDATE('Вводные'!$B$71,1)))),(FG38+FG45)*FG41/12,0)</x:f>
      </x:c>
      <x:c r="FH42" s="117">
        <x:f>IF(AND((FH38+FH45)&gt;0,$B$5=1,FH$3&lt;MAX(EDATE($B$8,MAX('Вводные'!$B$69+3,12)+1),IF('Вводные'!$B$71=0,0,EDATE('Вводные'!$B$71,1)))),(FH38+FH45)*FH41/12,0)</x:f>
      </x:c>
      <x:c r="FI42" s="117">
        <x:f>IF(AND((FI38+FI45)&gt;0,$B$5=1,FI$3&lt;MAX(EDATE($B$8,MAX('Вводные'!$B$69+3,12)+1),IF('Вводные'!$B$71=0,0,EDATE('Вводные'!$B$71,1)))),(FI38+FI45)*FI41/12,0)</x:f>
      </x:c>
      <x:c r="FJ42" s="117">
        <x:f>IF(AND((FJ38+FJ45)&gt;0,$B$5=1,FJ$3&lt;MAX(EDATE($B$8,MAX('Вводные'!$B$69+3,12)+1),IF('Вводные'!$B$71=0,0,EDATE('Вводные'!$B$71,1)))),(FJ38+FJ45)*FJ41/12,0)</x:f>
      </x:c>
      <x:c r="FK42" s="117">
        <x:f>IF(AND((FK38+FK45)&gt;0,$B$5=1,FK$3&lt;MAX(EDATE($B$8,MAX('Вводные'!$B$69+3,12)+1),IF('Вводные'!$B$71=0,0,EDATE('Вводные'!$B$71,1)))),(FK38+FK45)*FK41/12,0)</x:f>
      </x:c>
      <x:c r="FL42" s="117">
        <x:f>IF(AND((FL38+FL45)&gt;0,$B$5=1,FL$3&lt;MAX(EDATE($B$8,MAX('Вводные'!$B$69+3,12)+1),IF('Вводные'!$B$71=0,0,EDATE('Вводные'!$B$71,1)))),(FL38+FL45)*FL41/12,0)</x:f>
      </x:c>
      <x:c r="FM42" s="117">
        <x:f>IF(AND((FM38+FM45)&gt;0,$B$5=1,FM$3&lt;MAX(EDATE($B$8,MAX('Вводные'!$B$69+3,12)+1),IF('Вводные'!$B$71=0,0,EDATE('Вводные'!$B$71,1)))),(FM38+FM45)*FM41/12,0)</x:f>
      </x:c>
      <x:c r="FN42" s="117">
        <x:f>IF(AND((FN38+FN45)&gt;0,$B$5=1,FN$3&lt;MAX(EDATE($B$8,MAX('Вводные'!$B$69+3,12)+1),IF('Вводные'!$B$71=0,0,EDATE('Вводные'!$B$71,1)))),(FN38+FN45)*FN41/12,0)</x:f>
      </x:c>
      <x:c r="FO42" s="117">
        <x:f>IF(AND((FO38+FO45)&gt;0,$B$5=1,FO$3&lt;MAX(EDATE($B$8,MAX('Вводные'!$B$69+3,12)+1),IF('Вводные'!$B$71=0,0,EDATE('Вводные'!$B$71,1)))),(FO38+FO45)*FO41/12,0)</x:f>
      </x:c>
      <x:c r="FP42" s="117">
        <x:f>IF(AND((FP38+FP45)&gt;0,$B$5=1,FP$3&lt;MAX(EDATE($B$8,MAX('Вводные'!$B$69+3,12)+1),IF('Вводные'!$B$71=0,0,EDATE('Вводные'!$B$71,1)))),(FP38+FP45)*FP41/12,0)</x:f>
      </x:c>
      <x:c r="FQ42" s="117">
        <x:f>IF(AND((FQ38+FQ45)&gt;0,$B$5=1,FQ$3&lt;MAX(EDATE($B$8,MAX('Вводные'!$B$69+3,12)+1),IF('Вводные'!$B$71=0,0,EDATE('Вводные'!$B$71,1)))),(FQ38+FQ45)*FQ41/12,0)</x:f>
      </x:c>
      <x:c r="FR42" s="117">
        <x:f>IF(AND((FR38+FR45)&gt;0,$B$5=1,FR$3&lt;MAX(EDATE($B$8,MAX('Вводные'!$B$69+3,12)+1),IF('Вводные'!$B$71=0,0,EDATE('Вводные'!$B$71,1)))),(FR38+FR45)*FR41/12,0)</x:f>
      </x:c>
      <x:c r="FS42" s="117">
        <x:f>IF(AND((FS38+FS45)&gt;0,$B$5=1,FS$3&lt;MAX(EDATE($B$8,MAX('Вводные'!$B$69+3,12)+1),IF('Вводные'!$B$71=0,0,EDATE('Вводные'!$B$71,1)))),(FS38+FS45)*FS41/12,0)</x:f>
      </x:c>
      <x:c r="FT42" s="117">
        <x:f>IF(AND((FT38+FT45)&gt;0,$B$5=1,FT$3&lt;MAX(EDATE($B$8,MAX('Вводные'!$B$69+3,12)+1),IF('Вводные'!$B$71=0,0,EDATE('Вводные'!$B$71,1)))),(FT38+FT45)*FT41/12,0)</x:f>
      </x:c>
      <x:c r="FU42" s="117">
        <x:f>IF(AND((FU38+FU45)&gt;0,$B$5=1,FU$3&lt;MAX(EDATE($B$8,MAX('Вводные'!$B$69+3,12)+1),IF('Вводные'!$B$71=0,0,EDATE('Вводные'!$B$71,1)))),(FU38+FU45)*FU41/12,0)</x:f>
      </x:c>
      <x:c r="FV42" s="117">
        <x:f>IF(AND((FV38+FV45)&gt;0,$B$5=1,FV$3&lt;MAX(EDATE($B$8,MAX('Вводные'!$B$69+3,12)+1),IF('Вводные'!$B$71=0,0,EDATE('Вводные'!$B$71,1)))),(FV38+FV45)*FV41/12,0)</x:f>
      </x:c>
      <x:c r="FW42" s="117">
        <x:f>IF(AND((FW38+FW45)&gt;0,$B$5=1,FW$3&lt;MAX(EDATE($B$8,MAX('Вводные'!$B$69+3,12)+1),IF('Вводные'!$B$71=0,0,EDATE('Вводные'!$B$71,1)))),(FW38+FW45)*FW41/12,0)</x:f>
      </x:c>
      <x:c r="FX42" s="117">
        <x:f>IF(AND((FX38+FX45)&gt;0,$B$5=1,FX$3&lt;MAX(EDATE($B$8,MAX('Вводные'!$B$69+3,12)+1),IF('Вводные'!$B$71=0,0,EDATE('Вводные'!$B$71,1)))),(FX38+FX45)*FX41/12,0)</x:f>
      </x:c>
      <x:c r="FY42" s="117">
        <x:f>IF(AND((FY38+FY45)&gt;0,$B$5=1,FY$3&lt;MAX(EDATE($B$8,MAX('Вводные'!$B$69+3,12)+1),IF('Вводные'!$B$71=0,0,EDATE('Вводные'!$B$71,1)))),(FY38+FY45)*FY41/12,0)</x:f>
      </x:c>
      <x:c r="FZ42" s="117">
        <x:f>IF(AND((FZ38+FZ45)&gt;0,$B$5=1,FZ$3&lt;MAX(EDATE($B$8,MAX('Вводные'!$B$69+3,12)+1),IF('Вводные'!$B$71=0,0,EDATE('Вводные'!$B$71,1)))),(FZ38+FZ45)*FZ41/12,0)</x:f>
      </x:c>
      <x:c r="GA42" s="117">
        <x:f>IF(AND((GA38+GA45)&gt;0,$B$5=1,GA$3&lt;MAX(EDATE($B$8,MAX('Вводные'!$B$69+3,12)+1),IF('Вводные'!$B$71=0,0,EDATE('Вводные'!$B$71,1)))),(GA38+GA45)*GA41/12,0)</x:f>
      </x:c>
    </x:row>
    <x:row r="43">
      <x:c r="A43" t="str">
        <x:v>ПФ — плата за лимит</x:v>
      </x:c>
      <x:c r="B43" t="n">
        <x:f>SUM(D43:GA43)</x:f>
      </x:c>
      <x:c r="C43" t="str">
        <x:v>млн ₽</x:v>
      </x:c>
      <x:c r="D43" s="117">
        <x:f>IF(AND(D$3&gt;=$B$7,D$3&lt;$B$8),MAX(0,'Вводные'!$B$26*'Вводные'!$V$88-(D38+D45))*'Вводные'!$B$29/12,0)</x:f>
      </x:c>
      <x:c r="E43" s="117">
        <x:f>IF(AND(E$3&gt;=$B$7,E$3&lt;$B$8),MAX(0,'Вводные'!$B$26*'Вводные'!$V$88-(E38+E45))*'Вводные'!$B$29/12,0)</x:f>
      </x:c>
      <x:c r="F43" s="117">
        <x:f>IF(AND(F$3&gt;=$B$7,F$3&lt;$B$8),MAX(0,'Вводные'!$B$26*'Вводные'!$V$88-(F38+F45))*'Вводные'!$B$29/12,0)</x:f>
      </x:c>
      <x:c r="G43" s="117">
        <x:f>IF(AND(G$3&gt;=$B$7,G$3&lt;$B$8),MAX(0,'Вводные'!$B$26*'Вводные'!$V$88-(G38+G45))*'Вводные'!$B$29/12,0)</x:f>
      </x:c>
      <x:c r="H43" s="117">
        <x:f>IF(AND(H$3&gt;=$B$7,H$3&lt;$B$8),MAX(0,'Вводные'!$B$26*'Вводные'!$V$88-(H38+H45))*'Вводные'!$B$29/12,0)</x:f>
      </x:c>
      <x:c r="I43" s="117">
        <x:f>IF(AND(I$3&gt;=$B$7,I$3&lt;$B$8),MAX(0,'Вводные'!$B$26*'Вводные'!$V$88-(I38+I45))*'Вводные'!$B$29/12,0)</x:f>
      </x:c>
      <x:c r="J43" s="117">
        <x:f>IF(AND(J$3&gt;=$B$7,J$3&lt;$B$8),MAX(0,'Вводные'!$B$26*'Вводные'!$V$88-(J38+J45))*'Вводные'!$B$29/12,0)</x:f>
      </x:c>
      <x:c r="K43" s="117">
        <x:f>IF(AND(K$3&gt;=$B$7,K$3&lt;$B$8),MAX(0,'Вводные'!$B$26*'Вводные'!$V$88-(K38+K45))*'Вводные'!$B$29/12,0)</x:f>
      </x:c>
      <x:c r="L43" s="117">
        <x:f>IF(AND(L$3&gt;=$B$7,L$3&lt;$B$8),MAX(0,'Вводные'!$B$26*'Вводные'!$V$88-(L38+L45))*'Вводные'!$B$29/12,0)</x:f>
      </x:c>
      <x:c r="M43" s="117">
        <x:f>IF(AND(M$3&gt;=$B$7,M$3&lt;$B$8),MAX(0,'Вводные'!$B$26*'Вводные'!$V$88-(M38+M45))*'Вводные'!$B$29/12,0)</x:f>
      </x:c>
      <x:c r="N43" s="117">
        <x:f>IF(AND(N$3&gt;=$B$7,N$3&lt;$B$8),MAX(0,'Вводные'!$B$26*'Вводные'!$V$88-(N38+N45))*'Вводные'!$B$29/12,0)</x:f>
      </x:c>
      <x:c r="O43" s="117">
        <x:f>IF(AND(O$3&gt;=$B$7,O$3&lt;$B$8),MAX(0,'Вводные'!$B$26*'Вводные'!$V$88-(O38+O45))*'Вводные'!$B$29/12,0)</x:f>
      </x:c>
      <x:c r="P43" s="117">
        <x:f>IF(AND(P$3&gt;=$B$7,P$3&lt;$B$8),MAX(0,'Вводные'!$B$26*'Вводные'!$V$88-(P38+P45))*'Вводные'!$B$29/12,0)</x:f>
      </x:c>
      <x:c r="Q43" s="117">
        <x:f>IF(AND(Q$3&gt;=$B$7,Q$3&lt;$B$8),MAX(0,'Вводные'!$B$26*'Вводные'!$V$88-(Q38+Q45))*'Вводные'!$B$29/12,0)</x:f>
      </x:c>
      <x:c r="R43" s="117">
        <x:f>IF(AND(R$3&gt;=$B$7,R$3&lt;$B$8),MAX(0,'Вводные'!$B$26*'Вводные'!$V$88-(R38+R45))*'Вводные'!$B$29/12,0)</x:f>
      </x:c>
      <x:c r="S43" s="117">
        <x:f>IF(AND(S$3&gt;=$B$7,S$3&lt;$B$8),MAX(0,'Вводные'!$B$26*'Вводные'!$V$88-(S38+S45))*'Вводные'!$B$29/12,0)</x:f>
      </x:c>
      <x:c r="T43" s="117">
        <x:f>IF(AND(T$3&gt;=$B$7,T$3&lt;$B$8),MAX(0,'Вводные'!$B$26*'Вводные'!$V$88-(T38+T45))*'Вводные'!$B$29/12,0)</x:f>
      </x:c>
      <x:c r="U43" s="117">
        <x:f>IF(AND(U$3&gt;=$B$7,U$3&lt;$B$8),MAX(0,'Вводные'!$B$26*'Вводные'!$V$88-(U38+U45))*'Вводные'!$B$29/12,0)</x:f>
      </x:c>
      <x:c r="V43" s="117">
        <x:f>IF(AND(V$3&gt;=$B$7,V$3&lt;$B$8),MAX(0,'Вводные'!$B$26*'Вводные'!$V$88-(V38+V45))*'Вводные'!$B$29/12,0)</x:f>
      </x:c>
      <x:c r="W43" s="117">
        <x:f>IF(AND(W$3&gt;=$B$7,W$3&lt;$B$8),MAX(0,'Вводные'!$B$26*'Вводные'!$V$88-(W38+W45))*'Вводные'!$B$29/12,0)</x:f>
      </x:c>
      <x:c r="X43" s="117">
        <x:f>IF(AND(X$3&gt;=$B$7,X$3&lt;$B$8),MAX(0,'Вводные'!$B$26*'Вводные'!$V$88-(X38+X45))*'Вводные'!$B$29/12,0)</x:f>
      </x:c>
      <x:c r="Y43" s="117">
        <x:f>IF(AND(Y$3&gt;=$B$7,Y$3&lt;$B$8),MAX(0,'Вводные'!$B$26*'Вводные'!$V$88-(Y38+Y45))*'Вводные'!$B$29/12,0)</x:f>
      </x:c>
      <x:c r="Z43" s="117">
        <x:f>IF(AND(Z$3&gt;=$B$7,Z$3&lt;$B$8),MAX(0,'Вводные'!$B$26*'Вводные'!$V$88-(Z38+Z45))*'Вводные'!$B$29/12,0)</x:f>
      </x:c>
      <x:c r="AA43" s="117">
        <x:f>IF(AND(AA$3&gt;=$B$7,AA$3&lt;$B$8),MAX(0,'Вводные'!$B$26*'Вводные'!$V$88-(AA38+AA45))*'Вводные'!$B$29/12,0)</x:f>
      </x:c>
      <x:c r="AB43" s="117">
        <x:f>IF(AND(AB$3&gt;=$B$7,AB$3&lt;$B$8),MAX(0,'Вводные'!$B$26*'Вводные'!$V$88-(AB38+AB45))*'Вводные'!$B$29/12,0)</x:f>
      </x:c>
      <x:c r="AC43" s="117">
        <x:f>IF(AND(AC$3&gt;=$B$7,AC$3&lt;$B$8),MAX(0,'Вводные'!$B$26*'Вводные'!$V$88-(AC38+AC45))*'Вводные'!$B$29/12,0)</x:f>
      </x:c>
      <x:c r="AD43" s="117">
        <x:f>IF(AND(AD$3&gt;=$B$7,AD$3&lt;$B$8),MAX(0,'Вводные'!$B$26*'Вводные'!$V$88-(AD38+AD45))*'Вводные'!$B$29/12,0)</x:f>
      </x:c>
      <x:c r="AE43" s="117">
        <x:f>IF(AND(AE$3&gt;=$B$7,AE$3&lt;$B$8),MAX(0,'Вводные'!$B$26*'Вводные'!$V$88-(AE38+AE45))*'Вводные'!$B$29/12,0)</x:f>
      </x:c>
      <x:c r="AF43" s="117">
        <x:f>IF(AND(AF$3&gt;=$B$7,AF$3&lt;$B$8),MAX(0,'Вводные'!$B$26*'Вводные'!$V$88-(AF38+AF45))*'Вводные'!$B$29/12,0)</x:f>
      </x:c>
      <x:c r="AG43" s="117">
        <x:f>IF(AND(AG$3&gt;=$B$7,AG$3&lt;$B$8),MAX(0,'Вводные'!$B$26*'Вводные'!$V$88-(AG38+AG45))*'Вводные'!$B$29/12,0)</x:f>
      </x:c>
      <x:c r="AH43" s="117">
        <x:f>IF(AND(AH$3&gt;=$B$7,AH$3&lt;$B$8),MAX(0,'Вводные'!$B$26*'Вводные'!$V$88-(AH38+AH45))*'Вводные'!$B$29/12,0)</x:f>
      </x:c>
      <x:c r="AI43" s="117">
        <x:f>IF(AND(AI$3&gt;=$B$7,AI$3&lt;$B$8),MAX(0,'Вводные'!$B$26*'Вводные'!$V$88-(AI38+AI45))*'Вводные'!$B$29/12,0)</x:f>
      </x:c>
      <x:c r="AJ43" s="117">
        <x:f>IF(AND(AJ$3&gt;=$B$7,AJ$3&lt;$B$8),MAX(0,'Вводные'!$B$26*'Вводные'!$V$88-(AJ38+AJ45))*'Вводные'!$B$29/12,0)</x:f>
      </x:c>
      <x:c r="AK43" s="117">
        <x:f>IF(AND(AK$3&gt;=$B$7,AK$3&lt;$B$8),MAX(0,'Вводные'!$B$26*'Вводные'!$V$88-(AK38+AK45))*'Вводные'!$B$29/12,0)</x:f>
      </x:c>
      <x:c r="AL43" s="117">
        <x:f>IF(AND(AL$3&gt;=$B$7,AL$3&lt;$B$8),MAX(0,'Вводные'!$B$26*'Вводные'!$V$88-(AL38+AL45))*'Вводные'!$B$29/12,0)</x:f>
      </x:c>
      <x:c r="AM43" s="117">
        <x:f>IF(AND(AM$3&gt;=$B$7,AM$3&lt;$B$8),MAX(0,'Вводные'!$B$26*'Вводные'!$V$88-(AM38+AM45))*'Вводные'!$B$29/12,0)</x:f>
      </x:c>
      <x:c r="AN43" s="117">
        <x:f>IF(AND(AN$3&gt;=$B$7,AN$3&lt;$B$8),MAX(0,'Вводные'!$B$26*'Вводные'!$V$88-(AN38+AN45))*'Вводные'!$B$29/12,0)</x:f>
      </x:c>
      <x:c r="AO43" s="117">
        <x:f>IF(AND(AO$3&gt;=$B$7,AO$3&lt;$B$8),MAX(0,'Вводные'!$B$26*'Вводные'!$V$88-(AO38+AO45))*'Вводные'!$B$29/12,0)</x:f>
      </x:c>
      <x:c r="AP43" s="117">
        <x:f>IF(AND(AP$3&gt;=$B$7,AP$3&lt;$B$8),MAX(0,'Вводные'!$B$26*'Вводные'!$V$88-(AP38+AP45))*'Вводные'!$B$29/12,0)</x:f>
      </x:c>
      <x:c r="AQ43" s="117">
        <x:f>IF(AND(AQ$3&gt;=$B$7,AQ$3&lt;$B$8),MAX(0,'Вводные'!$B$26*'Вводные'!$V$88-(AQ38+AQ45))*'Вводные'!$B$29/12,0)</x:f>
      </x:c>
      <x:c r="AR43" s="117">
        <x:f>IF(AND(AR$3&gt;=$B$7,AR$3&lt;$B$8),MAX(0,'Вводные'!$B$26*'Вводные'!$V$88-(AR38+AR45))*'Вводные'!$B$29/12,0)</x:f>
      </x:c>
      <x:c r="AS43" s="117">
        <x:f>IF(AND(AS$3&gt;=$B$7,AS$3&lt;$B$8),MAX(0,'Вводные'!$B$26*'Вводные'!$V$88-(AS38+AS45))*'Вводные'!$B$29/12,0)</x:f>
      </x:c>
      <x:c r="AT43" s="117">
        <x:f>IF(AND(AT$3&gt;=$B$7,AT$3&lt;$B$8),MAX(0,'Вводные'!$B$26*'Вводные'!$V$88-(AT38+AT45))*'Вводные'!$B$29/12,0)</x:f>
      </x:c>
      <x:c r="AU43" s="117">
        <x:f>IF(AND(AU$3&gt;=$B$7,AU$3&lt;$B$8),MAX(0,'Вводные'!$B$26*'Вводные'!$V$88-(AU38+AU45))*'Вводные'!$B$29/12,0)</x:f>
      </x:c>
      <x:c r="AV43" s="117">
        <x:f>IF(AND(AV$3&gt;=$B$7,AV$3&lt;$B$8),MAX(0,'Вводные'!$B$26*'Вводные'!$V$88-(AV38+AV45))*'Вводные'!$B$29/12,0)</x:f>
      </x:c>
      <x:c r="AW43" s="117">
        <x:f>IF(AND(AW$3&gt;=$B$7,AW$3&lt;$B$8),MAX(0,'Вводные'!$B$26*'Вводные'!$V$88-(AW38+AW45))*'Вводные'!$B$29/12,0)</x:f>
      </x:c>
      <x:c r="AX43" s="117">
        <x:f>IF(AND(AX$3&gt;=$B$7,AX$3&lt;$B$8),MAX(0,'Вводные'!$B$26*'Вводные'!$V$88-(AX38+AX45))*'Вводные'!$B$29/12,0)</x:f>
      </x:c>
      <x:c r="AY43" s="117">
        <x:f>IF(AND(AY$3&gt;=$B$7,AY$3&lt;$B$8),MAX(0,'Вводные'!$B$26*'Вводные'!$V$88-(AY38+AY45))*'Вводные'!$B$29/12,0)</x:f>
      </x:c>
      <x:c r="AZ43" s="117">
        <x:f>IF(AND(AZ$3&gt;=$B$7,AZ$3&lt;$B$8),MAX(0,'Вводные'!$B$26*'Вводные'!$V$88-(AZ38+AZ45))*'Вводные'!$B$29/12,0)</x:f>
      </x:c>
      <x:c r="BA43" s="117">
        <x:f>IF(AND(BA$3&gt;=$B$7,BA$3&lt;$B$8),MAX(0,'Вводные'!$B$26*'Вводные'!$V$88-(BA38+BA45))*'Вводные'!$B$29/12,0)</x:f>
      </x:c>
      <x:c r="BB43" s="117">
        <x:f>IF(AND(BB$3&gt;=$B$7,BB$3&lt;$B$8),MAX(0,'Вводные'!$B$26*'Вводные'!$V$88-(BB38+BB45))*'Вводные'!$B$29/12,0)</x:f>
      </x:c>
      <x:c r="BC43" s="117">
        <x:f>IF(AND(BC$3&gt;=$B$7,BC$3&lt;$B$8),MAX(0,'Вводные'!$B$26*'Вводные'!$V$88-(BC38+BC45))*'Вводные'!$B$29/12,0)</x:f>
      </x:c>
      <x:c r="BD43" s="117">
        <x:f>IF(AND(BD$3&gt;=$B$7,BD$3&lt;$B$8),MAX(0,'Вводные'!$B$26*'Вводные'!$V$88-(BD38+BD45))*'Вводные'!$B$29/12,0)</x:f>
      </x:c>
      <x:c r="BE43" s="117">
        <x:f>IF(AND(BE$3&gt;=$B$7,BE$3&lt;$B$8),MAX(0,'Вводные'!$B$26*'Вводные'!$V$88-(BE38+BE45))*'Вводные'!$B$29/12,0)</x:f>
      </x:c>
      <x:c r="BF43" s="117">
        <x:f>IF(AND(BF$3&gt;=$B$7,BF$3&lt;$B$8),MAX(0,'Вводные'!$B$26*'Вводные'!$V$88-(BF38+BF45))*'Вводные'!$B$29/12,0)</x:f>
      </x:c>
      <x:c r="BG43" s="117">
        <x:f>IF(AND(BG$3&gt;=$B$7,BG$3&lt;$B$8),MAX(0,'Вводные'!$B$26*'Вводные'!$V$88-(BG38+BG45))*'Вводные'!$B$29/12,0)</x:f>
      </x:c>
      <x:c r="BH43" s="117">
        <x:f>IF(AND(BH$3&gt;=$B$7,BH$3&lt;$B$8),MAX(0,'Вводные'!$B$26*'Вводные'!$V$88-(BH38+BH45))*'Вводные'!$B$29/12,0)</x:f>
      </x:c>
      <x:c r="BI43" s="117">
        <x:f>IF(AND(BI$3&gt;=$B$7,BI$3&lt;$B$8),MAX(0,'Вводные'!$B$26*'Вводные'!$V$88-(BI38+BI45))*'Вводные'!$B$29/12,0)</x:f>
      </x:c>
      <x:c r="BJ43" s="117">
        <x:f>IF(AND(BJ$3&gt;=$B$7,BJ$3&lt;$B$8),MAX(0,'Вводные'!$B$26*'Вводные'!$V$88-(BJ38+BJ45))*'Вводные'!$B$29/12,0)</x:f>
      </x:c>
      <x:c r="BK43" s="117">
        <x:f>IF(AND(BK$3&gt;=$B$7,BK$3&lt;$B$8),MAX(0,'Вводные'!$B$26*'Вводные'!$V$88-(BK38+BK45))*'Вводные'!$B$29/12,0)</x:f>
      </x:c>
      <x:c r="BL43" s="117">
        <x:f>IF(AND(BL$3&gt;=$B$7,BL$3&lt;$B$8),MAX(0,'Вводные'!$B$26*'Вводные'!$V$88-(BL38+BL45))*'Вводные'!$B$29/12,0)</x:f>
      </x:c>
      <x:c r="BM43" s="117">
        <x:f>IF(AND(BM$3&gt;=$B$7,BM$3&lt;$B$8),MAX(0,'Вводные'!$B$26*'Вводные'!$V$88-(BM38+BM45))*'Вводные'!$B$29/12,0)</x:f>
      </x:c>
      <x:c r="BN43" s="117">
        <x:f>IF(AND(BN$3&gt;=$B$7,BN$3&lt;$B$8),MAX(0,'Вводные'!$B$26*'Вводные'!$V$88-(BN38+BN45))*'Вводные'!$B$29/12,0)</x:f>
      </x:c>
      <x:c r="BO43" s="117">
        <x:f>IF(AND(BO$3&gt;=$B$7,BO$3&lt;$B$8),MAX(0,'Вводные'!$B$26*'Вводные'!$V$88-(BO38+BO45))*'Вводные'!$B$29/12,0)</x:f>
      </x:c>
      <x:c r="BP43" s="117">
        <x:f>IF(AND(BP$3&gt;=$B$7,BP$3&lt;$B$8),MAX(0,'Вводные'!$B$26*'Вводные'!$V$88-(BP38+BP45))*'Вводные'!$B$29/12,0)</x:f>
      </x:c>
      <x:c r="BQ43" s="117">
        <x:f>IF(AND(BQ$3&gt;=$B$7,BQ$3&lt;$B$8),MAX(0,'Вводные'!$B$26*'Вводные'!$V$88-(BQ38+BQ45))*'Вводные'!$B$29/12,0)</x:f>
      </x:c>
      <x:c r="BR43" s="117">
        <x:f>IF(AND(BR$3&gt;=$B$7,BR$3&lt;$B$8),MAX(0,'Вводные'!$B$26*'Вводные'!$V$88-(BR38+BR45))*'Вводные'!$B$29/12,0)</x:f>
      </x:c>
      <x:c r="BS43" s="117">
        <x:f>IF(AND(BS$3&gt;=$B$7,BS$3&lt;$B$8),MAX(0,'Вводные'!$B$26*'Вводные'!$V$88-(BS38+BS45))*'Вводные'!$B$29/12,0)</x:f>
      </x:c>
      <x:c r="BT43" s="117">
        <x:f>IF(AND(BT$3&gt;=$B$7,BT$3&lt;$B$8),MAX(0,'Вводные'!$B$26*'Вводные'!$V$88-(BT38+BT45))*'Вводные'!$B$29/12,0)</x:f>
      </x:c>
      <x:c r="BU43" s="117">
        <x:f>IF(AND(BU$3&gt;=$B$7,BU$3&lt;$B$8),MAX(0,'Вводные'!$B$26*'Вводные'!$V$88-(BU38+BU45))*'Вводные'!$B$29/12,0)</x:f>
      </x:c>
      <x:c r="BV43" s="117">
        <x:f>IF(AND(BV$3&gt;=$B$7,BV$3&lt;$B$8),MAX(0,'Вводные'!$B$26*'Вводные'!$V$88-(BV38+BV45))*'Вводные'!$B$29/12,0)</x:f>
      </x:c>
      <x:c r="BW43" s="117">
        <x:f>IF(AND(BW$3&gt;=$B$7,BW$3&lt;$B$8),MAX(0,'Вводные'!$B$26*'Вводные'!$V$88-(BW38+BW45))*'Вводные'!$B$29/12,0)</x:f>
      </x:c>
      <x:c r="BX43" s="117">
        <x:f>IF(AND(BX$3&gt;=$B$7,BX$3&lt;$B$8),MAX(0,'Вводные'!$B$26*'Вводные'!$V$88-(BX38+BX45))*'Вводные'!$B$29/12,0)</x:f>
      </x:c>
      <x:c r="BY43" s="117">
        <x:f>IF(AND(BY$3&gt;=$B$7,BY$3&lt;$B$8),MAX(0,'Вводные'!$B$26*'Вводные'!$V$88-(BY38+BY45))*'Вводные'!$B$29/12,0)</x:f>
      </x:c>
      <x:c r="BZ43" s="117">
        <x:f>IF(AND(BZ$3&gt;=$B$7,BZ$3&lt;$B$8),MAX(0,'Вводные'!$B$26*'Вводные'!$V$88-(BZ38+BZ45))*'Вводные'!$B$29/12,0)</x:f>
      </x:c>
      <x:c r="CA43" s="117">
        <x:f>IF(AND(CA$3&gt;=$B$7,CA$3&lt;$B$8),MAX(0,'Вводные'!$B$26*'Вводные'!$V$88-(CA38+CA45))*'Вводные'!$B$29/12,0)</x:f>
      </x:c>
      <x:c r="CB43" s="117">
        <x:f>IF(AND(CB$3&gt;=$B$7,CB$3&lt;$B$8),MAX(0,'Вводные'!$B$26*'Вводные'!$V$88-(CB38+CB45))*'Вводные'!$B$29/12,0)</x:f>
      </x:c>
      <x:c r="CC43" s="117">
        <x:f>IF(AND(CC$3&gt;=$B$7,CC$3&lt;$B$8),MAX(0,'Вводные'!$B$26*'Вводные'!$V$88-(CC38+CC45))*'Вводные'!$B$29/12,0)</x:f>
      </x:c>
      <x:c r="CD43" s="117">
        <x:f>IF(AND(CD$3&gt;=$B$7,CD$3&lt;$B$8),MAX(0,'Вводные'!$B$26*'Вводные'!$V$88-(CD38+CD45))*'Вводные'!$B$29/12,0)</x:f>
      </x:c>
      <x:c r="CE43" s="117">
        <x:f>IF(AND(CE$3&gt;=$B$7,CE$3&lt;$B$8),MAX(0,'Вводные'!$B$26*'Вводные'!$V$88-(CE38+CE45))*'Вводные'!$B$29/12,0)</x:f>
      </x:c>
      <x:c r="CF43" s="117">
        <x:f>IF(AND(CF$3&gt;=$B$7,CF$3&lt;$B$8),MAX(0,'Вводные'!$B$26*'Вводные'!$V$88-(CF38+CF45))*'Вводные'!$B$29/12,0)</x:f>
      </x:c>
      <x:c r="CG43" s="117">
        <x:f>IF(AND(CG$3&gt;=$B$7,CG$3&lt;$B$8),MAX(0,'Вводные'!$B$26*'Вводные'!$V$88-(CG38+CG45))*'Вводные'!$B$29/12,0)</x:f>
      </x:c>
      <x:c r="CH43" s="117">
        <x:f>IF(AND(CH$3&gt;=$B$7,CH$3&lt;$B$8),MAX(0,'Вводные'!$B$26*'Вводные'!$V$88-(CH38+CH45))*'Вводные'!$B$29/12,0)</x:f>
      </x:c>
      <x:c r="CI43" s="117">
        <x:f>IF(AND(CI$3&gt;=$B$7,CI$3&lt;$B$8),MAX(0,'Вводные'!$B$26*'Вводные'!$V$88-(CI38+CI45))*'Вводные'!$B$29/12,0)</x:f>
      </x:c>
      <x:c r="CJ43" s="117">
        <x:f>IF(AND(CJ$3&gt;=$B$7,CJ$3&lt;$B$8),MAX(0,'Вводные'!$B$26*'Вводные'!$V$88-(CJ38+CJ45))*'Вводные'!$B$29/12,0)</x:f>
      </x:c>
      <x:c r="CK43" s="117">
        <x:f>IF(AND(CK$3&gt;=$B$7,CK$3&lt;$B$8),MAX(0,'Вводные'!$B$26*'Вводные'!$V$88-(CK38+CK45))*'Вводные'!$B$29/12,0)</x:f>
      </x:c>
      <x:c r="CL43" s="117">
        <x:f>IF(AND(CL$3&gt;=$B$7,CL$3&lt;$B$8),MAX(0,'Вводные'!$B$26*'Вводные'!$V$88-(CL38+CL45))*'Вводные'!$B$29/12,0)</x:f>
      </x:c>
      <x:c r="CM43" s="117">
        <x:f>IF(AND(CM$3&gt;=$B$7,CM$3&lt;$B$8),MAX(0,'Вводные'!$B$26*'Вводные'!$V$88-(CM38+CM45))*'Вводные'!$B$29/12,0)</x:f>
      </x:c>
      <x:c r="CN43" s="117">
        <x:f>IF(AND(CN$3&gt;=$B$7,CN$3&lt;$B$8),MAX(0,'Вводные'!$B$26*'Вводные'!$V$88-(CN38+CN45))*'Вводные'!$B$29/12,0)</x:f>
      </x:c>
      <x:c r="CO43" s="117">
        <x:f>IF(AND(CO$3&gt;=$B$7,CO$3&lt;$B$8),MAX(0,'Вводные'!$B$26*'Вводные'!$V$88-(CO38+CO45))*'Вводные'!$B$29/12,0)</x:f>
      </x:c>
      <x:c r="CP43" s="117">
        <x:f>IF(AND(CP$3&gt;=$B$7,CP$3&lt;$B$8),MAX(0,'Вводные'!$B$26*'Вводные'!$V$88-(CP38+CP45))*'Вводные'!$B$29/12,0)</x:f>
      </x:c>
      <x:c r="CQ43" s="117">
        <x:f>IF(AND(CQ$3&gt;=$B$7,CQ$3&lt;$B$8),MAX(0,'Вводные'!$B$26*'Вводные'!$V$88-(CQ38+CQ45))*'Вводные'!$B$29/12,0)</x:f>
      </x:c>
      <x:c r="CR43" s="117">
        <x:f>IF(AND(CR$3&gt;=$B$7,CR$3&lt;$B$8),MAX(0,'Вводные'!$B$26*'Вводные'!$V$88-(CR38+CR45))*'Вводные'!$B$29/12,0)</x:f>
      </x:c>
      <x:c r="CS43" s="117">
        <x:f>IF(AND(CS$3&gt;=$B$7,CS$3&lt;$B$8),MAX(0,'Вводные'!$B$26*'Вводные'!$V$88-(CS38+CS45))*'Вводные'!$B$29/12,0)</x:f>
      </x:c>
      <x:c r="CT43" s="117">
        <x:f>IF(AND(CT$3&gt;=$B$7,CT$3&lt;$B$8),MAX(0,'Вводные'!$B$26*'Вводные'!$V$88-(CT38+CT45))*'Вводные'!$B$29/12,0)</x:f>
      </x:c>
      <x:c r="CU43" s="117">
        <x:f>IF(AND(CU$3&gt;=$B$7,CU$3&lt;$B$8),MAX(0,'Вводные'!$B$26*'Вводные'!$V$88-(CU38+CU45))*'Вводные'!$B$29/12,0)</x:f>
      </x:c>
      <x:c r="CV43" s="117">
        <x:f>IF(AND(CV$3&gt;=$B$7,CV$3&lt;$B$8),MAX(0,'Вводные'!$B$26*'Вводные'!$V$88-(CV38+CV45))*'Вводные'!$B$29/12,0)</x:f>
      </x:c>
      <x:c r="CW43" s="117">
        <x:f>IF(AND(CW$3&gt;=$B$7,CW$3&lt;$B$8),MAX(0,'Вводные'!$B$26*'Вводные'!$V$88-(CW38+CW45))*'Вводные'!$B$29/12,0)</x:f>
      </x:c>
      <x:c r="CX43" s="117">
        <x:f>IF(AND(CX$3&gt;=$B$7,CX$3&lt;$B$8),MAX(0,'Вводные'!$B$26*'Вводные'!$V$88-(CX38+CX45))*'Вводные'!$B$29/12,0)</x:f>
      </x:c>
      <x:c r="CY43" s="117">
        <x:f>IF(AND(CY$3&gt;=$B$7,CY$3&lt;$B$8),MAX(0,'Вводные'!$B$26*'Вводные'!$V$88-(CY38+CY45))*'Вводные'!$B$29/12,0)</x:f>
      </x:c>
      <x:c r="CZ43" s="117">
        <x:f>IF(AND(CZ$3&gt;=$B$7,CZ$3&lt;$B$8),MAX(0,'Вводные'!$B$26*'Вводные'!$V$88-(CZ38+CZ45))*'Вводные'!$B$29/12,0)</x:f>
      </x:c>
      <x:c r="DA43" s="117">
        <x:f>IF(AND(DA$3&gt;=$B$7,DA$3&lt;$B$8),MAX(0,'Вводные'!$B$26*'Вводные'!$V$88-(DA38+DA45))*'Вводные'!$B$29/12,0)</x:f>
      </x:c>
      <x:c r="DB43" s="117">
        <x:f>IF(AND(DB$3&gt;=$B$7,DB$3&lt;$B$8),MAX(0,'Вводные'!$B$26*'Вводные'!$V$88-(DB38+DB45))*'Вводные'!$B$29/12,0)</x:f>
      </x:c>
      <x:c r="DC43" s="117">
        <x:f>IF(AND(DC$3&gt;=$B$7,DC$3&lt;$B$8),MAX(0,'Вводные'!$B$26*'Вводные'!$V$88-(DC38+DC45))*'Вводные'!$B$29/12,0)</x:f>
      </x:c>
      <x:c r="DD43" s="117">
        <x:f>IF(AND(DD$3&gt;=$B$7,DD$3&lt;$B$8),MAX(0,'Вводные'!$B$26*'Вводные'!$V$88-(DD38+DD45))*'Вводные'!$B$29/12,0)</x:f>
      </x:c>
      <x:c r="DE43" s="117">
        <x:f>IF(AND(DE$3&gt;=$B$7,DE$3&lt;$B$8),MAX(0,'Вводные'!$B$26*'Вводные'!$V$88-(DE38+DE45))*'Вводные'!$B$29/12,0)</x:f>
      </x:c>
      <x:c r="DF43" s="117">
        <x:f>IF(AND(DF$3&gt;=$B$7,DF$3&lt;$B$8),MAX(0,'Вводные'!$B$26*'Вводные'!$V$88-(DF38+DF45))*'Вводные'!$B$29/12,0)</x:f>
      </x:c>
      <x:c r="DG43" s="117">
        <x:f>IF(AND(DG$3&gt;=$B$7,DG$3&lt;$B$8),MAX(0,'Вводные'!$B$26*'Вводные'!$V$88-(DG38+DG45))*'Вводные'!$B$29/12,0)</x:f>
      </x:c>
      <x:c r="DH43" s="117">
        <x:f>IF(AND(DH$3&gt;=$B$7,DH$3&lt;$B$8),MAX(0,'Вводные'!$B$26*'Вводные'!$V$88-(DH38+DH45))*'Вводные'!$B$29/12,0)</x:f>
      </x:c>
      <x:c r="DI43" s="117">
        <x:f>IF(AND(DI$3&gt;=$B$7,DI$3&lt;$B$8),MAX(0,'Вводные'!$B$26*'Вводные'!$V$88-(DI38+DI45))*'Вводные'!$B$29/12,0)</x:f>
      </x:c>
      <x:c r="DJ43" s="117">
        <x:f>IF(AND(DJ$3&gt;=$B$7,DJ$3&lt;$B$8),MAX(0,'Вводные'!$B$26*'Вводные'!$V$88-(DJ38+DJ45))*'Вводные'!$B$29/12,0)</x:f>
      </x:c>
      <x:c r="DK43" s="117">
        <x:f>IF(AND(DK$3&gt;=$B$7,DK$3&lt;$B$8),MAX(0,'Вводные'!$B$26*'Вводные'!$V$88-(DK38+DK45))*'Вводные'!$B$29/12,0)</x:f>
      </x:c>
      <x:c r="DL43" s="117">
        <x:f>IF(AND(DL$3&gt;=$B$7,DL$3&lt;$B$8),MAX(0,'Вводные'!$B$26*'Вводные'!$V$88-(DL38+DL45))*'Вводные'!$B$29/12,0)</x:f>
      </x:c>
      <x:c r="DM43" s="117">
        <x:f>IF(AND(DM$3&gt;=$B$7,DM$3&lt;$B$8),MAX(0,'Вводные'!$B$26*'Вводные'!$V$88-(DM38+DM45))*'Вводные'!$B$29/12,0)</x:f>
      </x:c>
      <x:c r="DN43" s="117">
        <x:f>IF(AND(DN$3&gt;=$B$7,DN$3&lt;$B$8),MAX(0,'Вводные'!$B$26*'Вводные'!$V$88-(DN38+DN45))*'Вводные'!$B$29/12,0)</x:f>
      </x:c>
      <x:c r="DO43" s="117">
        <x:f>IF(AND(DO$3&gt;=$B$7,DO$3&lt;$B$8),MAX(0,'Вводные'!$B$26*'Вводные'!$V$88-(DO38+DO45))*'Вводные'!$B$29/12,0)</x:f>
      </x:c>
      <x:c r="DP43" s="117">
        <x:f>IF(AND(DP$3&gt;=$B$7,DP$3&lt;$B$8),MAX(0,'Вводные'!$B$26*'Вводные'!$V$88-(DP38+DP45))*'Вводные'!$B$29/12,0)</x:f>
      </x:c>
      <x:c r="DQ43" s="117">
        <x:f>IF(AND(DQ$3&gt;=$B$7,DQ$3&lt;$B$8),MAX(0,'Вводные'!$B$26*'Вводные'!$V$88-(DQ38+DQ45))*'Вводные'!$B$29/12,0)</x:f>
      </x:c>
      <x:c r="DR43" s="117">
        <x:f>IF(AND(DR$3&gt;=$B$7,DR$3&lt;$B$8),MAX(0,'Вводные'!$B$26*'Вводные'!$V$88-(DR38+DR45))*'Вводные'!$B$29/12,0)</x:f>
      </x:c>
      <x:c r="DS43" s="117">
        <x:f>IF(AND(DS$3&gt;=$B$7,DS$3&lt;$B$8),MAX(0,'Вводные'!$B$26*'Вводные'!$V$88-(DS38+DS45))*'Вводные'!$B$29/12,0)</x:f>
      </x:c>
      <x:c r="DT43" s="117">
        <x:f>IF(AND(DT$3&gt;=$B$7,DT$3&lt;$B$8),MAX(0,'Вводные'!$B$26*'Вводные'!$V$88-(DT38+DT45))*'Вводные'!$B$29/12,0)</x:f>
      </x:c>
      <x:c r="DU43" s="117">
        <x:f>IF(AND(DU$3&gt;=$B$7,DU$3&lt;$B$8),MAX(0,'Вводные'!$B$26*'Вводные'!$V$88-(DU38+DU45))*'Вводные'!$B$29/12,0)</x:f>
      </x:c>
      <x:c r="DV43" s="117">
        <x:f>IF(AND(DV$3&gt;=$B$7,DV$3&lt;$B$8),MAX(0,'Вводные'!$B$26*'Вводные'!$V$88-(DV38+DV45))*'Вводные'!$B$29/12,0)</x:f>
      </x:c>
      <x:c r="DW43" s="117">
        <x:f>IF(AND(DW$3&gt;=$B$7,DW$3&lt;$B$8),MAX(0,'Вводные'!$B$26*'Вводные'!$V$88-(DW38+DW45))*'Вводные'!$B$29/12,0)</x:f>
      </x:c>
      <x:c r="DX43" s="117">
        <x:f>IF(AND(DX$3&gt;=$B$7,DX$3&lt;$B$8),MAX(0,'Вводные'!$B$26*'Вводные'!$V$88-(DX38+DX45))*'Вводные'!$B$29/12,0)</x:f>
      </x:c>
      <x:c r="DY43" s="117">
        <x:f>IF(AND(DY$3&gt;=$B$7,DY$3&lt;$B$8),MAX(0,'Вводные'!$B$26*'Вводные'!$V$88-(DY38+DY45))*'Вводные'!$B$29/12,0)</x:f>
      </x:c>
      <x:c r="DZ43" s="117">
        <x:f>IF(AND(DZ$3&gt;=$B$7,DZ$3&lt;$B$8),MAX(0,'Вводные'!$B$26*'Вводные'!$V$88-(DZ38+DZ45))*'Вводные'!$B$29/12,0)</x:f>
      </x:c>
      <x:c r="EA43" s="117">
        <x:f>IF(AND(EA$3&gt;=$B$7,EA$3&lt;$B$8),MAX(0,'Вводные'!$B$26*'Вводные'!$V$88-(EA38+EA45))*'Вводные'!$B$29/12,0)</x:f>
      </x:c>
      <x:c r="EB43" s="117">
        <x:f>IF(AND(EB$3&gt;=$B$7,EB$3&lt;$B$8),MAX(0,'Вводные'!$B$26*'Вводные'!$V$88-(EB38+EB45))*'Вводные'!$B$29/12,0)</x:f>
      </x:c>
      <x:c r="EC43" s="117">
        <x:f>IF(AND(EC$3&gt;=$B$7,EC$3&lt;$B$8),MAX(0,'Вводные'!$B$26*'Вводные'!$V$88-(EC38+EC45))*'Вводные'!$B$29/12,0)</x:f>
      </x:c>
      <x:c r="ED43" s="117">
        <x:f>IF(AND(ED$3&gt;=$B$7,ED$3&lt;$B$8),MAX(0,'Вводные'!$B$26*'Вводные'!$V$88-(ED38+ED45))*'Вводные'!$B$29/12,0)</x:f>
      </x:c>
      <x:c r="EE43" s="117">
        <x:f>IF(AND(EE$3&gt;=$B$7,EE$3&lt;$B$8),MAX(0,'Вводные'!$B$26*'Вводные'!$V$88-(EE38+EE45))*'Вводные'!$B$29/12,0)</x:f>
      </x:c>
      <x:c r="EF43" s="117">
        <x:f>IF(AND(EF$3&gt;=$B$7,EF$3&lt;$B$8),MAX(0,'Вводные'!$B$26*'Вводные'!$V$88-(EF38+EF45))*'Вводные'!$B$29/12,0)</x:f>
      </x:c>
      <x:c r="EG43" s="117">
        <x:f>IF(AND(EG$3&gt;=$B$7,EG$3&lt;$B$8),MAX(0,'Вводные'!$B$26*'Вводные'!$V$88-(EG38+EG45))*'Вводные'!$B$29/12,0)</x:f>
      </x:c>
      <x:c r="EH43" s="117">
        <x:f>IF(AND(EH$3&gt;=$B$7,EH$3&lt;$B$8),MAX(0,'Вводные'!$B$26*'Вводные'!$V$88-(EH38+EH45))*'Вводные'!$B$29/12,0)</x:f>
      </x:c>
      <x:c r="EI43" s="117">
        <x:f>IF(AND(EI$3&gt;=$B$7,EI$3&lt;$B$8),MAX(0,'Вводные'!$B$26*'Вводные'!$V$88-(EI38+EI45))*'Вводные'!$B$29/12,0)</x:f>
      </x:c>
      <x:c r="EJ43" s="117">
        <x:f>IF(AND(EJ$3&gt;=$B$7,EJ$3&lt;$B$8),MAX(0,'Вводные'!$B$26*'Вводные'!$V$88-(EJ38+EJ45))*'Вводные'!$B$29/12,0)</x:f>
      </x:c>
      <x:c r="EK43" s="117">
        <x:f>IF(AND(EK$3&gt;=$B$7,EK$3&lt;$B$8),MAX(0,'Вводные'!$B$26*'Вводные'!$V$88-(EK38+EK45))*'Вводные'!$B$29/12,0)</x:f>
      </x:c>
      <x:c r="EL43" s="117">
        <x:f>IF(AND(EL$3&gt;=$B$7,EL$3&lt;$B$8),MAX(0,'Вводные'!$B$26*'Вводные'!$V$88-(EL38+EL45))*'Вводные'!$B$29/12,0)</x:f>
      </x:c>
      <x:c r="EM43" s="117">
        <x:f>IF(AND(EM$3&gt;=$B$7,EM$3&lt;$B$8),MAX(0,'Вводные'!$B$26*'Вводные'!$V$88-(EM38+EM45))*'Вводные'!$B$29/12,0)</x:f>
      </x:c>
      <x:c r="EN43" s="117">
        <x:f>IF(AND(EN$3&gt;=$B$7,EN$3&lt;$B$8),MAX(0,'Вводные'!$B$26*'Вводные'!$V$88-(EN38+EN45))*'Вводные'!$B$29/12,0)</x:f>
      </x:c>
      <x:c r="EO43" s="117">
        <x:f>IF(AND(EO$3&gt;=$B$7,EO$3&lt;$B$8),MAX(0,'Вводные'!$B$26*'Вводные'!$V$88-(EO38+EO45))*'Вводные'!$B$29/12,0)</x:f>
      </x:c>
      <x:c r="EP43" s="117">
        <x:f>IF(AND(EP$3&gt;=$B$7,EP$3&lt;$B$8),MAX(0,'Вводные'!$B$26*'Вводные'!$V$88-(EP38+EP45))*'Вводные'!$B$29/12,0)</x:f>
      </x:c>
      <x:c r="EQ43" s="117">
        <x:f>IF(AND(EQ$3&gt;=$B$7,EQ$3&lt;$B$8),MAX(0,'Вводные'!$B$26*'Вводные'!$V$88-(EQ38+EQ45))*'Вводные'!$B$29/12,0)</x:f>
      </x:c>
      <x:c r="ER43" s="117">
        <x:f>IF(AND(ER$3&gt;=$B$7,ER$3&lt;$B$8),MAX(0,'Вводные'!$B$26*'Вводные'!$V$88-(ER38+ER45))*'Вводные'!$B$29/12,0)</x:f>
      </x:c>
      <x:c r="ES43" s="117">
        <x:f>IF(AND(ES$3&gt;=$B$7,ES$3&lt;$B$8),MAX(0,'Вводные'!$B$26*'Вводные'!$V$88-(ES38+ES45))*'Вводные'!$B$29/12,0)</x:f>
      </x:c>
      <x:c r="ET43" s="117">
        <x:f>IF(AND(ET$3&gt;=$B$7,ET$3&lt;$B$8),MAX(0,'Вводные'!$B$26*'Вводные'!$V$88-(ET38+ET45))*'Вводные'!$B$29/12,0)</x:f>
      </x:c>
      <x:c r="EU43" s="117">
        <x:f>IF(AND(EU$3&gt;=$B$7,EU$3&lt;$B$8),MAX(0,'Вводные'!$B$26*'Вводные'!$V$88-(EU38+EU45))*'Вводные'!$B$29/12,0)</x:f>
      </x:c>
      <x:c r="EV43" s="117">
        <x:f>IF(AND(EV$3&gt;=$B$7,EV$3&lt;$B$8),MAX(0,'Вводные'!$B$26*'Вводные'!$V$88-(EV38+EV45))*'Вводные'!$B$29/12,0)</x:f>
      </x:c>
      <x:c r="EW43" s="117">
        <x:f>IF(AND(EW$3&gt;=$B$7,EW$3&lt;$B$8),MAX(0,'Вводные'!$B$26*'Вводные'!$V$88-(EW38+EW45))*'Вводные'!$B$29/12,0)</x:f>
      </x:c>
      <x:c r="EX43" s="117">
        <x:f>IF(AND(EX$3&gt;=$B$7,EX$3&lt;$B$8),MAX(0,'Вводные'!$B$26*'Вводные'!$V$88-(EX38+EX45))*'Вводные'!$B$29/12,0)</x:f>
      </x:c>
      <x:c r="EY43" s="117">
        <x:f>IF(AND(EY$3&gt;=$B$7,EY$3&lt;$B$8),MAX(0,'Вводные'!$B$26*'Вводные'!$V$88-(EY38+EY45))*'Вводные'!$B$29/12,0)</x:f>
      </x:c>
      <x:c r="EZ43" s="117">
        <x:f>IF(AND(EZ$3&gt;=$B$7,EZ$3&lt;$B$8),MAX(0,'Вводные'!$B$26*'Вводные'!$V$88-(EZ38+EZ45))*'Вводные'!$B$29/12,0)</x:f>
      </x:c>
      <x:c r="FA43" s="117">
        <x:f>IF(AND(FA$3&gt;=$B$7,FA$3&lt;$B$8),MAX(0,'Вводные'!$B$26*'Вводные'!$V$88-(FA38+FA45))*'Вводные'!$B$29/12,0)</x:f>
      </x:c>
      <x:c r="FB43" s="117">
        <x:f>IF(AND(FB$3&gt;=$B$7,FB$3&lt;$B$8),MAX(0,'Вводные'!$B$26*'Вводные'!$V$88-(FB38+FB45))*'Вводные'!$B$29/12,0)</x:f>
      </x:c>
      <x:c r="FC43" s="117">
        <x:f>IF(AND(FC$3&gt;=$B$7,FC$3&lt;$B$8),MAX(0,'Вводные'!$B$26*'Вводные'!$V$88-(FC38+FC45))*'Вводные'!$B$29/12,0)</x:f>
      </x:c>
      <x:c r="FD43" s="117">
        <x:f>IF(AND(FD$3&gt;=$B$7,FD$3&lt;$B$8),MAX(0,'Вводные'!$B$26*'Вводные'!$V$88-(FD38+FD45))*'Вводные'!$B$29/12,0)</x:f>
      </x:c>
      <x:c r="FE43" s="117">
        <x:f>IF(AND(FE$3&gt;=$B$7,FE$3&lt;$B$8),MAX(0,'Вводные'!$B$26*'Вводные'!$V$88-(FE38+FE45))*'Вводные'!$B$29/12,0)</x:f>
      </x:c>
      <x:c r="FF43" s="117">
        <x:f>IF(AND(FF$3&gt;=$B$7,FF$3&lt;$B$8),MAX(0,'Вводные'!$B$26*'Вводные'!$V$88-(FF38+FF45))*'Вводные'!$B$29/12,0)</x:f>
      </x:c>
      <x:c r="FG43" s="117">
        <x:f>IF(AND(FG$3&gt;=$B$7,FG$3&lt;$B$8),MAX(0,'Вводные'!$B$26*'Вводные'!$V$88-(FG38+FG45))*'Вводные'!$B$29/12,0)</x:f>
      </x:c>
      <x:c r="FH43" s="117">
        <x:f>IF(AND(FH$3&gt;=$B$7,FH$3&lt;$B$8),MAX(0,'Вводные'!$B$26*'Вводные'!$V$88-(FH38+FH45))*'Вводные'!$B$29/12,0)</x:f>
      </x:c>
      <x:c r="FI43" s="117">
        <x:f>IF(AND(FI$3&gt;=$B$7,FI$3&lt;$B$8),MAX(0,'Вводные'!$B$26*'Вводные'!$V$88-(FI38+FI45))*'Вводные'!$B$29/12,0)</x:f>
      </x:c>
      <x:c r="FJ43" s="117">
        <x:f>IF(AND(FJ$3&gt;=$B$7,FJ$3&lt;$B$8),MAX(0,'Вводные'!$B$26*'Вводные'!$V$88-(FJ38+FJ45))*'Вводные'!$B$29/12,0)</x:f>
      </x:c>
      <x:c r="FK43" s="117">
        <x:f>IF(AND(FK$3&gt;=$B$7,FK$3&lt;$B$8),MAX(0,'Вводные'!$B$26*'Вводные'!$V$88-(FK38+FK45))*'Вводные'!$B$29/12,0)</x:f>
      </x:c>
      <x:c r="FL43" s="117">
        <x:f>IF(AND(FL$3&gt;=$B$7,FL$3&lt;$B$8),MAX(0,'Вводные'!$B$26*'Вводные'!$V$88-(FL38+FL45))*'Вводные'!$B$29/12,0)</x:f>
      </x:c>
      <x:c r="FM43" s="117">
        <x:f>IF(AND(FM$3&gt;=$B$7,FM$3&lt;$B$8),MAX(0,'Вводные'!$B$26*'Вводные'!$V$88-(FM38+FM45))*'Вводные'!$B$29/12,0)</x:f>
      </x:c>
      <x:c r="FN43" s="117">
        <x:f>IF(AND(FN$3&gt;=$B$7,FN$3&lt;$B$8),MAX(0,'Вводные'!$B$26*'Вводные'!$V$88-(FN38+FN45))*'Вводные'!$B$29/12,0)</x:f>
      </x:c>
      <x:c r="FO43" s="117">
        <x:f>IF(AND(FO$3&gt;=$B$7,FO$3&lt;$B$8),MAX(0,'Вводные'!$B$26*'Вводные'!$V$88-(FO38+FO45))*'Вводные'!$B$29/12,0)</x:f>
      </x:c>
      <x:c r="FP43" s="117">
        <x:f>IF(AND(FP$3&gt;=$B$7,FP$3&lt;$B$8),MAX(0,'Вводные'!$B$26*'Вводные'!$V$88-(FP38+FP45))*'Вводные'!$B$29/12,0)</x:f>
      </x:c>
      <x:c r="FQ43" s="117">
        <x:f>IF(AND(FQ$3&gt;=$B$7,FQ$3&lt;$B$8),MAX(0,'Вводные'!$B$26*'Вводные'!$V$88-(FQ38+FQ45))*'Вводные'!$B$29/12,0)</x:f>
      </x:c>
      <x:c r="FR43" s="117">
        <x:f>IF(AND(FR$3&gt;=$B$7,FR$3&lt;$B$8),MAX(0,'Вводные'!$B$26*'Вводные'!$V$88-(FR38+FR45))*'Вводные'!$B$29/12,0)</x:f>
      </x:c>
      <x:c r="FS43" s="117">
        <x:f>IF(AND(FS$3&gt;=$B$7,FS$3&lt;$B$8),MAX(0,'Вводные'!$B$26*'Вводные'!$V$88-(FS38+FS45))*'Вводные'!$B$29/12,0)</x:f>
      </x:c>
      <x:c r="FT43" s="117">
        <x:f>IF(AND(FT$3&gt;=$B$7,FT$3&lt;$B$8),MAX(0,'Вводные'!$B$26*'Вводные'!$V$88-(FT38+FT45))*'Вводные'!$B$29/12,0)</x:f>
      </x:c>
      <x:c r="FU43" s="117">
        <x:f>IF(AND(FU$3&gt;=$B$7,FU$3&lt;$B$8),MAX(0,'Вводные'!$B$26*'Вводные'!$V$88-(FU38+FU45))*'Вводные'!$B$29/12,0)</x:f>
      </x:c>
      <x:c r="FV43" s="117">
        <x:f>IF(AND(FV$3&gt;=$B$7,FV$3&lt;$B$8),MAX(0,'Вводные'!$B$26*'Вводные'!$V$88-(FV38+FV45))*'Вводные'!$B$29/12,0)</x:f>
      </x:c>
      <x:c r="FW43" s="117">
        <x:f>IF(AND(FW$3&gt;=$B$7,FW$3&lt;$B$8),MAX(0,'Вводные'!$B$26*'Вводные'!$V$88-(FW38+FW45))*'Вводные'!$B$29/12,0)</x:f>
      </x:c>
      <x:c r="FX43" s="117">
        <x:f>IF(AND(FX$3&gt;=$B$7,FX$3&lt;$B$8),MAX(0,'Вводные'!$B$26*'Вводные'!$V$88-(FX38+FX45))*'Вводные'!$B$29/12,0)</x:f>
      </x:c>
      <x:c r="FY43" s="117">
        <x:f>IF(AND(FY$3&gt;=$B$7,FY$3&lt;$B$8),MAX(0,'Вводные'!$B$26*'Вводные'!$V$88-(FY38+FY45))*'Вводные'!$B$29/12,0)</x:f>
      </x:c>
      <x:c r="FZ43" s="117">
        <x:f>IF(AND(FZ$3&gt;=$B$7,FZ$3&lt;$B$8),MAX(0,'Вводные'!$B$26*'Вводные'!$V$88-(FZ38+FZ45))*'Вводные'!$B$29/12,0)</x:f>
      </x:c>
      <x:c r="GA43" s="117">
        <x:f>IF(AND(GA$3&gt;=$B$7,GA$3&lt;$B$8),MAX(0,'Вводные'!$B$26*'Вводные'!$V$88-(GA38+GA45))*'Вводные'!$B$29/12,0)</x:f>
      </x:c>
    </x:row>
    <x:row r="44">
      <x:c r="A44" t="str">
        <x:v>ПФ — потребность</x:v>
      </x:c>
      <x:c r="B44"/>
      <x:c r="C44" t="str">
        <x:v>млн ₽</x:v>
      </x:c>
      <x:c r="D44" s="117">
        <x:f>IF(D$3&gt;=$B$7,MAX(0,D20)+D35+IF(AND(AND(YEAR(D$3)=YEAR($B$7),MONTH(D$3)=MONTH($B$7)),'Вводные'!$B$31="Оплата капиталом"),C37,0),0)</x:f>
      </x:c>
      <x:c r="E44" s="117">
        <x:f>IF(E$3&gt;=$B$7,MAX(0,E20)+E35+IF(AND(AND(YEAR(E$3)=YEAR($B$7),MONTH(E$3)=MONTH($B$7)),'Вводные'!$B$31="Оплата капиталом"),D37,0),0)</x:f>
      </x:c>
      <x:c r="F44" s="117">
        <x:f>IF(F$3&gt;=$B$7,MAX(0,F20)+F35+IF(AND(AND(YEAR(F$3)=YEAR($B$7),MONTH(F$3)=MONTH($B$7)),'Вводные'!$B$31="Оплата капиталом"),E37,0),0)</x:f>
      </x:c>
      <x:c r="G44" s="117">
        <x:f>IF(G$3&gt;=$B$7,MAX(0,G20)+G35+IF(AND(AND(YEAR(G$3)=YEAR($B$7),MONTH(G$3)=MONTH($B$7)),'Вводные'!$B$31="Оплата капиталом"),F37,0),0)</x:f>
      </x:c>
      <x:c r="H44" s="117">
        <x:f>IF(H$3&gt;=$B$7,MAX(0,H20)+H35+IF(AND(AND(YEAR(H$3)=YEAR($B$7),MONTH(H$3)=MONTH($B$7)),'Вводные'!$B$31="Оплата капиталом"),G37,0),0)</x:f>
      </x:c>
      <x:c r="I44" s="117">
        <x:f>IF(I$3&gt;=$B$7,MAX(0,I20)+I35+IF(AND(AND(YEAR(I$3)=YEAR($B$7),MONTH(I$3)=MONTH($B$7)),'Вводные'!$B$31="Оплата капиталом"),H37,0),0)</x:f>
      </x:c>
      <x:c r="J44" s="117">
        <x:f>IF(J$3&gt;=$B$7,MAX(0,J20)+J35+IF(AND(AND(YEAR(J$3)=YEAR($B$7),MONTH(J$3)=MONTH($B$7)),'Вводные'!$B$31="Оплата капиталом"),I37,0),0)</x:f>
      </x:c>
      <x:c r="K44" s="117">
        <x:f>IF(K$3&gt;=$B$7,MAX(0,K20)+K35+IF(AND(AND(YEAR(K$3)=YEAR($B$7),MONTH(K$3)=MONTH($B$7)),'Вводные'!$B$31="Оплата капиталом"),J37,0),0)</x:f>
      </x:c>
      <x:c r="L44" s="117">
        <x:f>IF(L$3&gt;=$B$7,MAX(0,L20)+L35+IF(AND(AND(YEAR(L$3)=YEAR($B$7),MONTH(L$3)=MONTH($B$7)),'Вводные'!$B$31="Оплата капиталом"),K37,0),0)</x:f>
      </x:c>
      <x:c r="M44" s="117">
        <x:f>IF(M$3&gt;=$B$7,MAX(0,M20)+M35+IF(AND(AND(YEAR(M$3)=YEAR($B$7),MONTH(M$3)=MONTH($B$7)),'Вводные'!$B$31="Оплата капиталом"),L37,0),0)</x:f>
      </x:c>
      <x:c r="N44" s="117">
        <x:f>IF(N$3&gt;=$B$7,MAX(0,N20)+N35+IF(AND(AND(YEAR(N$3)=YEAR($B$7),MONTH(N$3)=MONTH($B$7)),'Вводные'!$B$31="Оплата капиталом"),M37,0),0)</x:f>
      </x:c>
      <x:c r="O44" s="117">
        <x:f>IF(O$3&gt;=$B$7,MAX(0,O20)+O35+IF(AND(AND(YEAR(O$3)=YEAR($B$7),MONTH(O$3)=MONTH($B$7)),'Вводные'!$B$31="Оплата капиталом"),N37,0),0)</x:f>
      </x:c>
      <x:c r="P44" s="117">
        <x:f>IF(P$3&gt;=$B$7,MAX(0,P20)+P35+IF(AND(AND(YEAR(P$3)=YEAR($B$7),MONTH(P$3)=MONTH($B$7)),'Вводные'!$B$31="Оплата капиталом"),O37,0),0)</x:f>
      </x:c>
      <x:c r="Q44" s="117">
        <x:f>IF(Q$3&gt;=$B$7,MAX(0,Q20)+Q35+IF(AND(AND(YEAR(Q$3)=YEAR($B$7),MONTH(Q$3)=MONTH($B$7)),'Вводные'!$B$31="Оплата капиталом"),P37,0),0)</x:f>
      </x:c>
      <x:c r="R44" s="117">
        <x:f>IF(R$3&gt;=$B$7,MAX(0,R20)+R35+IF(AND(AND(YEAR(R$3)=YEAR($B$7),MONTH(R$3)=MONTH($B$7)),'Вводные'!$B$31="Оплата капиталом"),Q37,0),0)</x:f>
      </x:c>
      <x:c r="S44" s="117">
        <x:f>IF(S$3&gt;=$B$7,MAX(0,S20)+S35+IF(AND(AND(YEAR(S$3)=YEAR($B$7),MONTH(S$3)=MONTH($B$7)),'Вводные'!$B$31="Оплата капиталом"),R37,0),0)</x:f>
      </x:c>
      <x:c r="T44" s="117">
        <x:f>IF(T$3&gt;=$B$7,MAX(0,T20)+T35+IF(AND(AND(YEAR(T$3)=YEAR($B$7),MONTH(T$3)=MONTH($B$7)),'Вводные'!$B$31="Оплата капиталом"),S37,0),0)</x:f>
      </x:c>
      <x:c r="U44" s="117">
        <x:f>IF(U$3&gt;=$B$7,MAX(0,U20)+U35+IF(AND(AND(YEAR(U$3)=YEAR($B$7),MONTH(U$3)=MONTH($B$7)),'Вводные'!$B$31="Оплата капиталом"),T37,0),0)</x:f>
      </x:c>
      <x:c r="V44" s="117">
        <x:f>IF(V$3&gt;=$B$7,MAX(0,V20)+V35+IF(AND(AND(YEAR(V$3)=YEAR($B$7),MONTH(V$3)=MONTH($B$7)),'Вводные'!$B$31="Оплата капиталом"),U37,0),0)</x:f>
      </x:c>
      <x:c r="W44" s="117">
        <x:f>IF(W$3&gt;=$B$7,MAX(0,W20)+W35+IF(AND(AND(YEAR(W$3)=YEAR($B$7),MONTH(W$3)=MONTH($B$7)),'Вводные'!$B$31="Оплата капиталом"),V37,0),0)</x:f>
      </x:c>
      <x:c r="X44" s="117">
        <x:f>IF(X$3&gt;=$B$7,MAX(0,X20)+X35+IF(AND(AND(YEAR(X$3)=YEAR($B$7),MONTH(X$3)=MONTH($B$7)),'Вводные'!$B$31="Оплата капиталом"),W37,0),0)</x:f>
      </x:c>
      <x:c r="Y44" s="117">
        <x:f>IF(Y$3&gt;=$B$7,MAX(0,Y20)+Y35+IF(AND(AND(YEAR(Y$3)=YEAR($B$7),MONTH(Y$3)=MONTH($B$7)),'Вводные'!$B$31="Оплата капиталом"),X37,0),0)</x:f>
      </x:c>
      <x:c r="Z44" s="117">
        <x:f>IF(Z$3&gt;=$B$7,MAX(0,Z20)+Z35+IF(AND(AND(YEAR(Z$3)=YEAR($B$7),MONTH(Z$3)=MONTH($B$7)),'Вводные'!$B$31="Оплата капиталом"),Y37,0),0)</x:f>
      </x:c>
      <x:c r="AA44" s="117">
        <x:f>IF(AA$3&gt;=$B$7,MAX(0,AA20)+AA35+IF(AND(AND(YEAR(AA$3)=YEAR($B$7),MONTH(AA$3)=MONTH($B$7)),'Вводные'!$B$31="Оплата капиталом"),Z37,0),0)</x:f>
      </x:c>
      <x:c r="AB44" s="117">
        <x:f>IF(AB$3&gt;=$B$7,MAX(0,AB20)+AB35+IF(AND(AND(YEAR(AB$3)=YEAR($B$7),MONTH(AB$3)=MONTH($B$7)),'Вводные'!$B$31="Оплата капиталом"),AA37,0),0)</x:f>
      </x:c>
      <x:c r="AC44" s="117">
        <x:f>IF(AC$3&gt;=$B$7,MAX(0,AC20)+AC35+IF(AND(AND(YEAR(AC$3)=YEAR($B$7),MONTH(AC$3)=MONTH($B$7)),'Вводные'!$B$31="Оплата капиталом"),AB37,0),0)</x:f>
      </x:c>
      <x:c r="AD44" s="117">
        <x:f>IF(AD$3&gt;=$B$7,MAX(0,AD20)+AD35+IF(AND(AND(YEAR(AD$3)=YEAR($B$7),MONTH(AD$3)=MONTH($B$7)),'Вводные'!$B$31="Оплата капиталом"),AC37,0),0)</x:f>
      </x:c>
      <x:c r="AE44" s="117">
        <x:f>IF(AE$3&gt;=$B$7,MAX(0,AE20)+AE35+IF(AND(AND(YEAR(AE$3)=YEAR($B$7),MONTH(AE$3)=MONTH($B$7)),'Вводные'!$B$31="Оплата капиталом"),AD37,0),0)</x:f>
      </x:c>
      <x:c r="AF44" s="117">
        <x:f>IF(AF$3&gt;=$B$7,MAX(0,AF20)+AF35+IF(AND(AND(YEAR(AF$3)=YEAR($B$7),MONTH(AF$3)=MONTH($B$7)),'Вводные'!$B$31="Оплата капиталом"),AE37,0),0)</x:f>
      </x:c>
      <x:c r="AG44" s="117">
        <x:f>IF(AG$3&gt;=$B$7,MAX(0,AG20)+AG35+IF(AND(AND(YEAR(AG$3)=YEAR($B$7),MONTH(AG$3)=MONTH($B$7)),'Вводные'!$B$31="Оплата капиталом"),AF37,0),0)</x:f>
      </x:c>
      <x:c r="AH44" s="117">
        <x:f>IF(AH$3&gt;=$B$7,MAX(0,AH20)+AH35+IF(AND(AND(YEAR(AH$3)=YEAR($B$7),MONTH(AH$3)=MONTH($B$7)),'Вводные'!$B$31="Оплата капиталом"),AG37,0),0)</x:f>
      </x:c>
      <x:c r="AI44" s="117">
        <x:f>IF(AI$3&gt;=$B$7,MAX(0,AI20)+AI35+IF(AND(AND(YEAR(AI$3)=YEAR($B$7),MONTH(AI$3)=MONTH($B$7)),'Вводные'!$B$31="Оплата капиталом"),AH37,0),0)</x:f>
      </x:c>
      <x:c r="AJ44" s="117">
        <x:f>IF(AJ$3&gt;=$B$7,MAX(0,AJ20)+AJ35+IF(AND(AND(YEAR(AJ$3)=YEAR($B$7),MONTH(AJ$3)=MONTH($B$7)),'Вводные'!$B$31="Оплата капиталом"),AI37,0),0)</x:f>
      </x:c>
      <x:c r="AK44" s="117">
        <x:f>IF(AK$3&gt;=$B$7,MAX(0,AK20)+AK35+IF(AND(AND(YEAR(AK$3)=YEAR($B$7),MONTH(AK$3)=MONTH($B$7)),'Вводные'!$B$31="Оплата капиталом"),AJ37,0),0)</x:f>
      </x:c>
      <x:c r="AL44" s="117">
        <x:f>IF(AL$3&gt;=$B$7,MAX(0,AL20)+AL35+IF(AND(AND(YEAR(AL$3)=YEAR($B$7),MONTH(AL$3)=MONTH($B$7)),'Вводные'!$B$31="Оплата капиталом"),AK37,0),0)</x:f>
      </x:c>
      <x:c r="AM44" s="117">
        <x:f>IF(AM$3&gt;=$B$7,MAX(0,AM20)+AM35+IF(AND(AND(YEAR(AM$3)=YEAR($B$7),MONTH(AM$3)=MONTH($B$7)),'Вводные'!$B$31="Оплата капиталом"),AL37,0),0)</x:f>
      </x:c>
      <x:c r="AN44" s="117">
        <x:f>IF(AN$3&gt;=$B$7,MAX(0,AN20)+AN35+IF(AND(AND(YEAR(AN$3)=YEAR($B$7),MONTH(AN$3)=MONTH($B$7)),'Вводные'!$B$31="Оплата капиталом"),AM37,0),0)</x:f>
      </x:c>
      <x:c r="AO44" s="117">
        <x:f>IF(AO$3&gt;=$B$7,MAX(0,AO20)+AO35+IF(AND(AND(YEAR(AO$3)=YEAR($B$7),MONTH(AO$3)=MONTH($B$7)),'Вводные'!$B$31="Оплата капиталом"),AN37,0),0)</x:f>
      </x:c>
      <x:c r="AP44" s="117">
        <x:f>IF(AP$3&gt;=$B$7,MAX(0,AP20)+AP35+IF(AND(AND(YEAR(AP$3)=YEAR($B$7),MONTH(AP$3)=MONTH($B$7)),'Вводные'!$B$31="Оплата капиталом"),AO37,0),0)</x:f>
      </x:c>
      <x:c r="AQ44" s="117">
        <x:f>IF(AQ$3&gt;=$B$7,MAX(0,AQ20)+AQ35+IF(AND(AND(YEAR(AQ$3)=YEAR($B$7),MONTH(AQ$3)=MONTH($B$7)),'Вводные'!$B$31="Оплата капиталом"),AP37,0),0)</x:f>
      </x:c>
      <x:c r="AR44" s="117">
        <x:f>IF(AR$3&gt;=$B$7,MAX(0,AR20)+AR35+IF(AND(AND(YEAR(AR$3)=YEAR($B$7),MONTH(AR$3)=MONTH($B$7)),'Вводные'!$B$31="Оплата капиталом"),AQ37,0),0)</x:f>
      </x:c>
      <x:c r="AS44" s="117">
        <x:f>IF(AS$3&gt;=$B$7,MAX(0,AS20)+AS35+IF(AND(AND(YEAR(AS$3)=YEAR($B$7),MONTH(AS$3)=MONTH($B$7)),'Вводные'!$B$31="Оплата капиталом"),AR37,0),0)</x:f>
      </x:c>
      <x:c r="AT44" s="117">
        <x:f>IF(AT$3&gt;=$B$7,MAX(0,AT20)+AT35+IF(AND(AND(YEAR(AT$3)=YEAR($B$7),MONTH(AT$3)=MONTH($B$7)),'Вводные'!$B$31="Оплата капиталом"),AS37,0),0)</x:f>
      </x:c>
      <x:c r="AU44" s="117">
        <x:f>IF(AU$3&gt;=$B$7,MAX(0,AU20)+AU35+IF(AND(AND(YEAR(AU$3)=YEAR($B$7),MONTH(AU$3)=MONTH($B$7)),'Вводные'!$B$31="Оплата капиталом"),AT37,0),0)</x:f>
      </x:c>
      <x:c r="AV44" s="117">
        <x:f>IF(AV$3&gt;=$B$7,MAX(0,AV20)+AV35+IF(AND(AND(YEAR(AV$3)=YEAR($B$7),MONTH(AV$3)=MONTH($B$7)),'Вводные'!$B$31="Оплата капиталом"),AU37,0),0)</x:f>
      </x:c>
      <x:c r="AW44" s="117">
        <x:f>IF(AW$3&gt;=$B$7,MAX(0,AW20)+AW35+IF(AND(AND(YEAR(AW$3)=YEAR($B$7),MONTH(AW$3)=MONTH($B$7)),'Вводные'!$B$31="Оплата капиталом"),AV37,0),0)</x:f>
      </x:c>
      <x:c r="AX44" s="117">
        <x:f>IF(AX$3&gt;=$B$7,MAX(0,AX20)+AX35+IF(AND(AND(YEAR(AX$3)=YEAR($B$7),MONTH(AX$3)=MONTH($B$7)),'Вводные'!$B$31="Оплата капиталом"),AW37,0),0)</x:f>
      </x:c>
      <x:c r="AY44" s="117">
        <x:f>IF(AY$3&gt;=$B$7,MAX(0,AY20)+AY35+IF(AND(AND(YEAR(AY$3)=YEAR($B$7),MONTH(AY$3)=MONTH($B$7)),'Вводные'!$B$31="Оплата капиталом"),AX37,0),0)</x:f>
      </x:c>
      <x:c r="AZ44" s="117">
        <x:f>IF(AZ$3&gt;=$B$7,MAX(0,AZ20)+AZ35+IF(AND(AND(YEAR(AZ$3)=YEAR($B$7),MONTH(AZ$3)=MONTH($B$7)),'Вводные'!$B$31="Оплата капиталом"),AY37,0),0)</x:f>
      </x:c>
      <x:c r="BA44" s="117">
        <x:f>IF(BA$3&gt;=$B$7,MAX(0,BA20)+BA35+IF(AND(AND(YEAR(BA$3)=YEAR($B$7),MONTH(BA$3)=MONTH($B$7)),'Вводные'!$B$31="Оплата капиталом"),AZ37,0),0)</x:f>
      </x:c>
      <x:c r="BB44" s="117">
        <x:f>IF(BB$3&gt;=$B$7,MAX(0,BB20)+BB35+IF(AND(AND(YEAR(BB$3)=YEAR($B$7),MONTH(BB$3)=MONTH($B$7)),'Вводные'!$B$31="Оплата капиталом"),BA37,0),0)</x:f>
      </x:c>
      <x:c r="BC44" s="117">
        <x:f>IF(BC$3&gt;=$B$7,MAX(0,BC20)+BC35+IF(AND(AND(YEAR(BC$3)=YEAR($B$7),MONTH(BC$3)=MONTH($B$7)),'Вводные'!$B$31="Оплата капиталом"),BB37,0),0)</x:f>
      </x:c>
      <x:c r="BD44" s="117">
        <x:f>IF(BD$3&gt;=$B$7,MAX(0,BD20)+BD35+IF(AND(AND(YEAR(BD$3)=YEAR($B$7),MONTH(BD$3)=MONTH($B$7)),'Вводные'!$B$31="Оплата капиталом"),BC37,0),0)</x:f>
      </x:c>
      <x:c r="BE44" s="117">
        <x:f>IF(BE$3&gt;=$B$7,MAX(0,BE20)+BE35+IF(AND(AND(YEAR(BE$3)=YEAR($B$7),MONTH(BE$3)=MONTH($B$7)),'Вводные'!$B$31="Оплата капиталом"),BD37,0),0)</x:f>
      </x:c>
      <x:c r="BF44" s="117">
        <x:f>IF(BF$3&gt;=$B$7,MAX(0,BF20)+BF35+IF(AND(AND(YEAR(BF$3)=YEAR($B$7),MONTH(BF$3)=MONTH($B$7)),'Вводные'!$B$31="Оплата капиталом"),BE37,0),0)</x:f>
      </x:c>
      <x:c r="BG44" s="117">
        <x:f>IF(BG$3&gt;=$B$7,MAX(0,BG20)+BG35+IF(AND(AND(YEAR(BG$3)=YEAR($B$7),MONTH(BG$3)=MONTH($B$7)),'Вводные'!$B$31="Оплата капиталом"),BF37,0),0)</x:f>
      </x:c>
      <x:c r="BH44" s="117">
        <x:f>IF(BH$3&gt;=$B$7,MAX(0,BH20)+BH35+IF(AND(AND(YEAR(BH$3)=YEAR($B$7),MONTH(BH$3)=MONTH($B$7)),'Вводные'!$B$31="Оплата капиталом"),BG37,0),0)</x:f>
      </x:c>
      <x:c r="BI44" s="117">
        <x:f>IF(BI$3&gt;=$B$7,MAX(0,BI20)+BI35+IF(AND(AND(YEAR(BI$3)=YEAR($B$7),MONTH(BI$3)=MONTH($B$7)),'Вводные'!$B$31="Оплата капиталом"),BH37,0),0)</x:f>
      </x:c>
      <x:c r="BJ44" s="117">
        <x:f>IF(BJ$3&gt;=$B$7,MAX(0,BJ20)+BJ35+IF(AND(AND(YEAR(BJ$3)=YEAR($B$7),MONTH(BJ$3)=MONTH($B$7)),'Вводные'!$B$31="Оплата капиталом"),BI37,0),0)</x:f>
      </x:c>
      <x:c r="BK44" s="117">
        <x:f>IF(BK$3&gt;=$B$7,MAX(0,BK20)+BK35+IF(AND(AND(YEAR(BK$3)=YEAR($B$7),MONTH(BK$3)=MONTH($B$7)),'Вводные'!$B$31="Оплата капиталом"),BJ37,0),0)</x:f>
      </x:c>
      <x:c r="BL44" s="117">
        <x:f>IF(BL$3&gt;=$B$7,MAX(0,BL20)+BL35+IF(AND(AND(YEAR(BL$3)=YEAR($B$7),MONTH(BL$3)=MONTH($B$7)),'Вводные'!$B$31="Оплата капиталом"),BK37,0),0)</x:f>
      </x:c>
      <x:c r="BM44" s="117">
        <x:f>IF(BM$3&gt;=$B$7,MAX(0,BM20)+BM35+IF(AND(AND(YEAR(BM$3)=YEAR($B$7),MONTH(BM$3)=MONTH($B$7)),'Вводные'!$B$31="Оплата капиталом"),BL37,0),0)</x:f>
      </x:c>
      <x:c r="BN44" s="117">
        <x:f>IF(BN$3&gt;=$B$7,MAX(0,BN20)+BN35+IF(AND(AND(YEAR(BN$3)=YEAR($B$7),MONTH(BN$3)=MONTH($B$7)),'Вводные'!$B$31="Оплата капиталом"),BM37,0),0)</x:f>
      </x:c>
      <x:c r="BO44" s="117">
        <x:f>IF(BO$3&gt;=$B$7,MAX(0,BO20)+BO35+IF(AND(AND(YEAR(BO$3)=YEAR($B$7),MONTH(BO$3)=MONTH($B$7)),'Вводные'!$B$31="Оплата капиталом"),BN37,0),0)</x:f>
      </x:c>
      <x:c r="BP44" s="117">
        <x:f>IF(BP$3&gt;=$B$7,MAX(0,BP20)+BP35+IF(AND(AND(YEAR(BP$3)=YEAR($B$7),MONTH(BP$3)=MONTH($B$7)),'Вводные'!$B$31="Оплата капиталом"),BO37,0),0)</x:f>
      </x:c>
      <x:c r="BQ44" s="117">
        <x:f>IF(BQ$3&gt;=$B$7,MAX(0,BQ20)+BQ35+IF(AND(AND(YEAR(BQ$3)=YEAR($B$7),MONTH(BQ$3)=MONTH($B$7)),'Вводные'!$B$31="Оплата капиталом"),BP37,0),0)</x:f>
      </x:c>
      <x:c r="BR44" s="117">
        <x:f>IF(BR$3&gt;=$B$7,MAX(0,BR20)+BR35+IF(AND(AND(YEAR(BR$3)=YEAR($B$7),MONTH(BR$3)=MONTH($B$7)),'Вводные'!$B$31="Оплата капиталом"),BQ37,0),0)</x:f>
      </x:c>
      <x:c r="BS44" s="117">
        <x:f>IF(BS$3&gt;=$B$7,MAX(0,BS20)+BS35+IF(AND(AND(YEAR(BS$3)=YEAR($B$7),MONTH(BS$3)=MONTH($B$7)),'Вводные'!$B$31="Оплата капиталом"),BR37,0),0)</x:f>
      </x:c>
      <x:c r="BT44" s="117">
        <x:f>IF(BT$3&gt;=$B$7,MAX(0,BT20)+BT35+IF(AND(AND(YEAR(BT$3)=YEAR($B$7),MONTH(BT$3)=MONTH($B$7)),'Вводные'!$B$31="Оплата капиталом"),BS37,0),0)</x:f>
      </x:c>
      <x:c r="BU44" s="117">
        <x:f>IF(BU$3&gt;=$B$7,MAX(0,BU20)+BU35+IF(AND(AND(YEAR(BU$3)=YEAR($B$7),MONTH(BU$3)=MONTH($B$7)),'Вводные'!$B$31="Оплата капиталом"),BT37,0),0)</x:f>
      </x:c>
      <x:c r="BV44" s="117">
        <x:f>IF(BV$3&gt;=$B$7,MAX(0,BV20)+BV35+IF(AND(AND(YEAR(BV$3)=YEAR($B$7),MONTH(BV$3)=MONTH($B$7)),'Вводные'!$B$31="Оплата капиталом"),BU37,0),0)</x:f>
      </x:c>
      <x:c r="BW44" s="117">
        <x:f>IF(BW$3&gt;=$B$7,MAX(0,BW20)+BW35+IF(AND(AND(YEAR(BW$3)=YEAR($B$7),MONTH(BW$3)=MONTH($B$7)),'Вводные'!$B$31="Оплата капиталом"),BV37,0),0)</x:f>
      </x:c>
      <x:c r="BX44" s="117">
        <x:f>IF(BX$3&gt;=$B$7,MAX(0,BX20)+BX35+IF(AND(AND(YEAR(BX$3)=YEAR($B$7),MONTH(BX$3)=MONTH($B$7)),'Вводные'!$B$31="Оплата капиталом"),BW37,0),0)</x:f>
      </x:c>
      <x:c r="BY44" s="117">
        <x:f>IF(BY$3&gt;=$B$7,MAX(0,BY20)+BY35+IF(AND(AND(YEAR(BY$3)=YEAR($B$7),MONTH(BY$3)=MONTH($B$7)),'Вводные'!$B$31="Оплата капиталом"),BX37,0),0)</x:f>
      </x:c>
      <x:c r="BZ44" s="117">
        <x:f>IF(BZ$3&gt;=$B$7,MAX(0,BZ20)+BZ35+IF(AND(AND(YEAR(BZ$3)=YEAR($B$7),MONTH(BZ$3)=MONTH($B$7)),'Вводные'!$B$31="Оплата капиталом"),BY37,0),0)</x:f>
      </x:c>
      <x:c r="CA44" s="117">
        <x:f>IF(CA$3&gt;=$B$7,MAX(0,CA20)+CA35+IF(AND(AND(YEAR(CA$3)=YEAR($B$7),MONTH(CA$3)=MONTH($B$7)),'Вводные'!$B$31="Оплата капиталом"),BZ37,0),0)</x:f>
      </x:c>
      <x:c r="CB44" s="117">
        <x:f>IF(CB$3&gt;=$B$7,MAX(0,CB20)+CB35+IF(AND(AND(YEAR(CB$3)=YEAR($B$7),MONTH(CB$3)=MONTH($B$7)),'Вводные'!$B$31="Оплата капиталом"),CA37,0),0)</x:f>
      </x:c>
      <x:c r="CC44" s="117">
        <x:f>IF(CC$3&gt;=$B$7,MAX(0,CC20)+CC35+IF(AND(AND(YEAR(CC$3)=YEAR($B$7),MONTH(CC$3)=MONTH($B$7)),'Вводные'!$B$31="Оплата капиталом"),CB37,0),0)</x:f>
      </x:c>
      <x:c r="CD44" s="117">
        <x:f>IF(CD$3&gt;=$B$7,MAX(0,CD20)+CD35+IF(AND(AND(YEAR(CD$3)=YEAR($B$7),MONTH(CD$3)=MONTH($B$7)),'Вводные'!$B$31="Оплата капиталом"),CC37,0),0)</x:f>
      </x:c>
      <x:c r="CE44" s="117">
        <x:f>IF(CE$3&gt;=$B$7,MAX(0,CE20)+CE35+IF(AND(AND(YEAR(CE$3)=YEAR($B$7),MONTH(CE$3)=MONTH($B$7)),'Вводные'!$B$31="Оплата капиталом"),CD37,0),0)</x:f>
      </x:c>
      <x:c r="CF44" s="117">
        <x:f>IF(CF$3&gt;=$B$7,MAX(0,CF20)+CF35+IF(AND(AND(YEAR(CF$3)=YEAR($B$7),MONTH(CF$3)=MONTH($B$7)),'Вводные'!$B$31="Оплата капиталом"),CE37,0),0)</x:f>
      </x:c>
      <x:c r="CG44" s="117">
        <x:f>IF(CG$3&gt;=$B$7,MAX(0,CG20)+CG35+IF(AND(AND(YEAR(CG$3)=YEAR($B$7),MONTH(CG$3)=MONTH($B$7)),'Вводные'!$B$31="Оплата капиталом"),CF37,0),0)</x:f>
      </x:c>
      <x:c r="CH44" s="117">
        <x:f>IF(CH$3&gt;=$B$7,MAX(0,CH20)+CH35+IF(AND(AND(YEAR(CH$3)=YEAR($B$7),MONTH(CH$3)=MONTH($B$7)),'Вводные'!$B$31="Оплата капиталом"),CG37,0),0)</x:f>
      </x:c>
      <x:c r="CI44" s="117">
        <x:f>IF(CI$3&gt;=$B$7,MAX(0,CI20)+CI35+IF(AND(AND(YEAR(CI$3)=YEAR($B$7),MONTH(CI$3)=MONTH($B$7)),'Вводные'!$B$31="Оплата капиталом"),CH37,0),0)</x:f>
      </x:c>
      <x:c r="CJ44" s="117">
        <x:f>IF(CJ$3&gt;=$B$7,MAX(0,CJ20)+CJ35+IF(AND(AND(YEAR(CJ$3)=YEAR($B$7),MONTH(CJ$3)=MONTH($B$7)),'Вводные'!$B$31="Оплата капиталом"),CI37,0),0)</x:f>
      </x:c>
      <x:c r="CK44" s="117">
        <x:f>IF(CK$3&gt;=$B$7,MAX(0,CK20)+CK35+IF(AND(AND(YEAR(CK$3)=YEAR($B$7),MONTH(CK$3)=MONTH($B$7)),'Вводные'!$B$31="Оплата капиталом"),CJ37,0),0)</x:f>
      </x:c>
      <x:c r="CL44" s="117">
        <x:f>IF(CL$3&gt;=$B$7,MAX(0,CL20)+CL35+IF(AND(AND(YEAR(CL$3)=YEAR($B$7),MONTH(CL$3)=MONTH($B$7)),'Вводные'!$B$31="Оплата капиталом"),CK37,0),0)</x:f>
      </x:c>
      <x:c r="CM44" s="117">
        <x:f>IF(CM$3&gt;=$B$7,MAX(0,CM20)+CM35+IF(AND(AND(YEAR(CM$3)=YEAR($B$7),MONTH(CM$3)=MONTH($B$7)),'Вводные'!$B$31="Оплата капиталом"),CL37,0),0)</x:f>
      </x:c>
      <x:c r="CN44" s="117">
        <x:f>IF(CN$3&gt;=$B$7,MAX(0,CN20)+CN35+IF(AND(AND(YEAR(CN$3)=YEAR($B$7),MONTH(CN$3)=MONTH($B$7)),'Вводные'!$B$31="Оплата капиталом"),CM37,0),0)</x:f>
      </x:c>
      <x:c r="CO44" s="117">
        <x:f>IF(CO$3&gt;=$B$7,MAX(0,CO20)+CO35+IF(AND(AND(YEAR(CO$3)=YEAR($B$7),MONTH(CO$3)=MONTH($B$7)),'Вводные'!$B$31="Оплата капиталом"),CN37,0),0)</x:f>
      </x:c>
      <x:c r="CP44" s="117">
        <x:f>IF(CP$3&gt;=$B$7,MAX(0,CP20)+CP35+IF(AND(AND(YEAR(CP$3)=YEAR($B$7),MONTH(CP$3)=MONTH($B$7)),'Вводные'!$B$31="Оплата капиталом"),CO37,0),0)</x:f>
      </x:c>
      <x:c r="CQ44" s="117">
        <x:f>IF(CQ$3&gt;=$B$7,MAX(0,CQ20)+CQ35+IF(AND(AND(YEAR(CQ$3)=YEAR($B$7),MONTH(CQ$3)=MONTH($B$7)),'Вводные'!$B$31="Оплата капиталом"),CP37,0),0)</x:f>
      </x:c>
      <x:c r="CR44" s="117">
        <x:f>IF(CR$3&gt;=$B$7,MAX(0,CR20)+CR35+IF(AND(AND(YEAR(CR$3)=YEAR($B$7),MONTH(CR$3)=MONTH($B$7)),'Вводные'!$B$31="Оплата капиталом"),CQ37,0),0)</x:f>
      </x:c>
      <x:c r="CS44" s="117">
        <x:f>IF(CS$3&gt;=$B$7,MAX(0,CS20)+CS35+IF(AND(AND(YEAR(CS$3)=YEAR($B$7),MONTH(CS$3)=MONTH($B$7)),'Вводные'!$B$31="Оплата капиталом"),CR37,0),0)</x:f>
      </x:c>
      <x:c r="CT44" s="117">
        <x:f>IF(CT$3&gt;=$B$7,MAX(0,CT20)+CT35+IF(AND(AND(YEAR(CT$3)=YEAR($B$7),MONTH(CT$3)=MONTH($B$7)),'Вводные'!$B$31="Оплата капиталом"),CS37,0),0)</x:f>
      </x:c>
      <x:c r="CU44" s="117">
        <x:f>IF(CU$3&gt;=$B$7,MAX(0,CU20)+CU35+IF(AND(AND(YEAR(CU$3)=YEAR($B$7),MONTH(CU$3)=MONTH($B$7)),'Вводные'!$B$31="Оплата капиталом"),CT37,0),0)</x:f>
      </x:c>
      <x:c r="CV44" s="117">
        <x:f>IF(CV$3&gt;=$B$7,MAX(0,CV20)+CV35+IF(AND(AND(YEAR(CV$3)=YEAR($B$7),MONTH(CV$3)=MONTH($B$7)),'Вводные'!$B$31="Оплата капиталом"),CU37,0),0)</x:f>
      </x:c>
      <x:c r="CW44" s="117">
        <x:f>IF(CW$3&gt;=$B$7,MAX(0,CW20)+CW35+IF(AND(AND(YEAR(CW$3)=YEAR($B$7),MONTH(CW$3)=MONTH($B$7)),'Вводные'!$B$31="Оплата капиталом"),CV37,0),0)</x:f>
      </x:c>
      <x:c r="CX44" s="117">
        <x:f>IF(CX$3&gt;=$B$7,MAX(0,CX20)+CX35+IF(AND(AND(YEAR(CX$3)=YEAR($B$7),MONTH(CX$3)=MONTH($B$7)),'Вводные'!$B$31="Оплата капиталом"),CW37,0),0)</x:f>
      </x:c>
      <x:c r="CY44" s="117">
        <x:f>IF(CY$3&gt;=$B$7,MAX(0,CY20)+CY35+IF(AND(AND(YEAR(CY$3)=YEAR($B$7),MONTH(CY$3)=MONTH($B$7)),'Вводные'!$B$31="Оплата капиталом"),CX37,0),0)</x:f>
      </x:c>
      <x:c r="CZ44" s="117">
        <x:f>IF(CZ$3&gt;=$B$7,MAX(0,CZ20)+CZ35+IF(AND(AND(YEAR(CZ$3)=YEAR($B$7),MONTH(CZ$3)=MONTH($B$7)),'Вводные'!$B$31="Оплата капиталом"),CY37,0),0)</x:f>
      </x:c>
      <x:c r="DA44" s="117">
        <x:f>IF(DA$3&gt;=$B$7,MAX(0,DA20)+DA35+IF(AND(AND(YEAR(DA$3)=YEAR($B$7),MONTH(DA$3)=MONTH($B$7)),'Вводные'!$B$31="Оплата капиталом"),CZ37,0),0)</x:f>
      </x:c>
      <x:c r="DB44" s="117">
        <x:f>IF(DB$3&gt;=$B$7,MAX(0,DB20)+DB35+IF(AND(AND(YEAR(DB$3)=YEAR($B$7),MONTH(DB$3)=MONTH($B$7)),'Вводные'!$B$31="Оплата капиталом"),DA37,0),0)</x:f>
      </x:c>
      <x:c r="DC44" s="117">
        <x:f>IF(DC$3&gt;=$B$7,MAX(0,DC20)+DC35+IF(AND(AND(YEAR(DC$3)=YEAR($B$7),MONTH(DC$3)=MONTH($B$7)),'Вводные'!$B$31="Оплата капиталом"),DB37,0),0)</x:f>
      </x:c>
      <x:c r="DD44" s="117">
        <x:f>IF(DD$3&gt;=$B$7,MAX(0,DD20)+DD35+IF(AND(AND(YEAR(DD$3)=YEAR($B$7),MONTH(DD$3)=MONTH($B$7)),'Вводные'!$B$31="Оплата капиталом"),DC37,0),0)</x:f>
      </x:c>
      <x:c r="DE44" s="117">
        <x:f>IF(DE$3&gt;=$B$7,MAX(0,DE20)+DE35+IF(AND(AND(YEAR(DE$3)=YEAR($B$7),MONTH(DE$3)=MONTH($B$7)),'Вводные'!$B$31="Оплата капиталом"),DD37,0),0)</x:f>
      </x:c>
      <x:c r="DF44" s="117">
        <x:f>IF(DF$3&gt;=$B$7,MAX(0,DF20)+DF35+IF(AND(AND(YEAR(DF$3)=YEAR($B$7),MONTH(DF$3)=MONTH($B$7)),'Вводные'!$B$31="Оплата капиталом"),DE37,0),0)</x:f>
      </x:c>
      <x:c r="DG44" s="117">
        <x:f>IF(DG$3&gt;=$B$7,MAX(0,DG20)+DG35+IF(AND(AND(YEAR(DG$3)=YEAR($B$7),MONTH(DG$3)=MONTH($B$7)),'Вводные'!$B$31="Оплата капиталом"),DF37,0),0)</x:f>
      </x:c>
      <x:c r="DH44" s="117">
        <x:f>IF(DH$3&gt;=$B$7,MAX(0,DH20)+DH35+IF(AND(AND(YEAR(DH$3)=YEAR($B$7),MONTH(DH$3)=MONTH($B$7)),'Вводные'!$B$31="Оплата капиталом"),DG37,0),0)</x:f>
      </x:c>
      <x:c r="DI44" s="117">
        <x:f>IF(DI$3&gt;=$B$7,MAX(0,DI20)+DI35+IF(AND(AND(YEAR(DI$3)=YEAR($B$7),MONTH(DI$3)=MONTH($B$7)),'Вводные'!$B$31="Оплата капиталом"),DH37,0),0)</x:f>
      </x:c>
      <x:c r="DJ44" s="117">
        <x:f>IF(DJ$3&gt;=$B$7,MAX(0,DJ20)+DJ35+IF(AND(AND(YEAR(DJ$3)=YEAR($B$7),MONTH(DJ$3)=MONTH($B$7)),'Вводные'!$B$31="Оплата капиталом"),DI37,0),0)</x:f>
      </x:c>
      <x:c r="DK44" s="117">
        <x:f>IF(DK$3&gt;=$B$7,MAX(0,DK20)+DK35+IF(AND(AND(YEAR(DK$3)=YEAR($B$7),MONTH(DK$3)=MONTH($B$7)),'Вводные'!$B$31="Оплата капиталом"),DJ37,0),0)</x:f>
      </x:c>
      <x:c r="DL44" s="117">
        <x:f>IF(DL$3&gt;=$B$7,MAX(0,DL20)+DL35+IF(AND(AND(YEAR(DL$3)=YEAR($B$7),MONTH(DL$3)=MONTH($B$7)),'Вводные'!$B$31="Оплата капиталом"),DK37,0),0)</x:f>
      </x:c>
      <x:c r="DM44" s="117">
        <x:f>IF(DM$3&gt;=$B$7,MAX(0,DM20)+DM35+IF(AND(AND(YEAR(DM$3)=YEAR($B$7),MONTH(DM$3)=MONTH($B$7)),'Вводные'!$B$31="Оплата капиталом"),DL37,0),0)</x:f>
      </x:c>
      <x:c r="DN44" s="117">
        <x:f>IF(DN$3&gt;=$B$7,MAX(0,DN20)+DN35+IF(AND(AND(YEAR(DN$3)=YEAR($B$7),MONTH(DN$3)=MONTH($B$7)),'Вводные'!$B$31="Оплата капиталом"),DM37,0),0)</x:f>
      </x:c>
      <x:c r="DO44" s="117">
        <x:f>IF(DO$3&gt;=$B$7,MAX(0,DO20)+DO35+IF(AND(AND(YEAR(DO$3)=YEAR($B$7),MONTH(DO$3)=MONTH($B$7)),'Вводные'!$B$31="Оплата капиталом"),DN37,0),0)</x:f>
      </x:c>
      <x:c r="DP44" s="117">
        <x:f>IF(DP$3&gt;=$B$7,MAX(0,DP20)+DP35+IF(AND(AND(YEAR(DP$3)=YEAR($B$7),MONTH(DP$3)=MONTH($B$7)),'Вводные'!$B$31="Оплата капиталом"),DO37,0),0)</x:f>
      </x:c>
      <x:c r="DQ44" s="117">
        <x:f>IF(DQ$3&gt;=$B$7,MAX(0,DQ20)+DQ35+IF(AND(AND(YEAR(DQ$3)=YEAR($B$7),MONTH(DQ$3)=MONTH($B$7)),'Вводные'!$B$31="Оплата капиталом"),DP37,0),0)</x:f>
      </x:c>
      <x:c r="DR44" s="117">
        <x:f>IF(DR$3&gt;=$B$7,MAX(0,DR20)+DR35+IF(AND(AND(YEAR(DR$3)=YEAR($B$7),MONTH(DR$3)=MONTH($B$7)),'Вводные'!$B$31="Оплата капиталом"),DQ37,0),0)</x:f>
      </x:c>
      <x:c r="DS44" s="117">
        <x:f>IF(DS$3&gt;=$B$7,MAX(0,DS20)+DS35+IF(AND(AND(YEAR(DS$3)=YEAR($B$7),MONTH(DS$3)=MONTH($B$7)),'Вводные'!$B$31="Оплата капиталом"),DR37,0),0)</x:f>
      </x:c>
      <x:c r="DT44" s="117">
        <x:f>IF(DT$3&gt;=$B$7,MAX(0,DT20)+DT35+IF(AND(AND(YEAR(DT$3)=YEAR($B$7),MONTH(DT$3)=MONTH($B$7)),'Вводные'!$B$31="Оплата капиталом"),DS37,0),0)</x:f>
      </x:c>
      <x:c r="DU44" s="117">
        <x:f>IF(DU$3&gt;=$B$7,MAX(0,DU20)+DU35+IF(AND(AND(YEAR(DU$3)=YEAR($B$7),MONTH(DU$3)=MONTH($B$7)),'Вводные'!$B$31="Оплата капиталом"),DT37,0),0)</x:f>
      </x:c>
      <x:c r="DV44" s="117">
        <x:f>IF(DV$3&gt;=$B$7,MAX(0,DV20)+DV35+IF(AND(AND(YEAR(DV$3)=YEAR($B$7),MONTH(DV$3)=MONTH($B$7)),'Вводные'!$B$31="Оплата капиталом"),DU37,0),0)</x:f>
      </x:c>
      <x:c r="DW44" s="117">
        <x:f>IF(DW$3&gt;=$B$7,MAX(0,DW20)+DW35+IF(AND(AND(YEAR(DW$3)=YEAR($B$7),MONTH(DW$3)=MONTH($B$7)),'Вводные'!$B$31="Оплата капиталом"),DV37,0),0)</x:f>
      </x:c>
      <x:c r="DX44" s="117">
        <x:f>IF(DX$3&gt;=$B$7,MAX(0,DX20)+DX35+IF(AND(AND(YEAR(DX$3)=YEAR($B$7),MONTH(DX$3)=MONTH($B$7)),'Вводные'!$B$31="Оплата капиталом"),DW37,0),0)</x:f>
      </x:c>
      <x:c r="DY44" s="117">
        <x:f>IF(DY$3&gt;=$B$7,MAX(0,DY20)+DY35+IF(AND(AND(YEAR(DY$3)=YEAR($B$7),MONTH(DY$3)=MONTH($B$7)),'Вводные'!$B$31="Оплата капиталом"),DX37,0),0)</x:f>
      </x:c>
      <x:c r="DZ44" s="117">
        <x:f>IF(DZ$3&gt;=$B$7,MAX(0,DZ20)+DZ35+IF(AND(AND(YEAR(DZ$3)=YEAR($B$7),MONTH(DZ$3)=MONTH($B$7)),'Вводные'!$B$31="Оплата капиталом"),DY37,0),0)</x:f>
      </x:c>
      <x:c r="EA44" s="117">
        <x:f>IF(EA$3&gt;=$B$7,MAX(0,EA20)+EA35+IF(AND(AND(YEAR(EA$3)=YEAR($B$7),MONTH(EA$3)=MONTH($B$7)),'Вводные'!$B$31="Оплата капиталом"),DZ37,0),0)</x:f>
      </x:c>
      <x:c r="EB44" s="117">
        <x:f>IF(EB$3&gt;=$B$7,MAX(0,EB20)+EB35+IF(AND(AND(YEAR(EB$3)=YEAR($B$7),MONTH(EB$3)=MONTH($B$7)),'Вводные'!$B$31="Оплата капиталом"),EA37,0),0)</x:f>
      </x:c>
      <x:c r="EC44" s="117">
        <x:f>IF(EC$3&gt;=$B$7,MAX(0,EC20)+EC35+IF(AND(AND(YEAR(EC$3)=YEAR($B$7),MONTH(EC$3)=MONTH($B$7)),'Вводные'!$B$31="Оплата капиталом"),EB37,0),0)</x:f>
      </x:c>
      <x:c r="ED44" s="117">
        <x:f>IF(ED$3&gt;=$B$7,MAX(0,ED20)+ED35+IF(AND(AND(YEAR(ED$3)=YEAR($B$7),MONTH(ED$3)=MONTH($B$7)),'Вводные'!$B$31="Оплата капиталом"),EC37,0),0)</x:f>
      </x:c>
      <x:c r="EE44" s="117">
        <x:f>IF(EE$3&gt;=$B$7,MAX(0,EE20)+EE35+IF(AND(AND(YEAR(EE$3)=YEAR($B$7),MONTH(EE$3)=MONTH($B$7)),'Вводные'!$B$31="Оплата капиталом"),ED37,0),0)</x:f>
      </x:c>
      <x:c r="EF44" s="117">
        <x:f>IF(EF$3&gt;=$B$7,MAX(0,EF20)+EF35+IF(AND(AND(YEAR(EF$3)=YEAR($B$7),MONTH(EF$3)=MONTH($B$7)),'Вводные'!$B$31="Оплата капиталом"),EE37,0),0)</x:f>
      </x:c>
      <x:c r="EG44" s="117">
        <x:f>IF(EG$3&gt;=$B$7,MAX(0,EG20)+EG35+IF(AND(AND(YEAR(EG$3)=YEAR($B$7),MONTH(EG$3)=MONTH($B$7)),'Вводные'!$B$31="Оплата капиталом"),EF37,0),0)</x:f>
      </x:c>
      <x:c r="EH44" s="117">
        <x:f>IF(EH$3&gt;=$B$7,MAX(0,EH20)+EH35+IF(AND(AND(YEAR(EH$3)=YEAR($B$7),MONTH(EH$3)=MONTH($B$7)),'Вводные'!$B$31="Оплата капиталом"),EG37,0),0)</x:f>
      </x:c>
      <x:c r="EI44" s="117">
        <x:f>IF(EI$3&gt;=$B$7,MAX(0,EI20)+EI35+IF(AND(AND(YEAR(EI$3)=YEAR($B$7),MONTH(EI$3)=MONTH($B$7)),'Вводные'!$B$31="Оплата капиталом"),EH37,0),0)</x:f>
      </x:c>
      <x:c r="EJ44" s="117">
        <x:f>IF(EJ$3&gt;=$B$7,MAX(0,EJ20)+EJ35+IF(AND(AND(YEAR(EJ$3)=YEAR($B$7),MONTH(EJ$3)=MONTH($B$7)),'Вводные'!$B$31="Оплата капиталом"),EI37,0),0)</x:f>
      </x:c>
      <x:c r="EK44" s="117">
        <x:f>IF(EK$3&gt;=$B$7,MAX(0,EK20)+EK35+IF(AND(AND(YEAR(EK$3)=YEAR($B$7),MONTH(EK$3)=MONTH($B$7)),'Вводные'!$B$31="Оплата капиталом"),EJ37,0),0)</x:f>
      </x:c>
      <x:c r="EL44" s="117">
        <x:f>IF(EL$3&gt;=$B$7,MAX(0,EL20)+EL35+IF(AND(AND(YEAR(EL$3)=YEAR($B$7),MONTH(EL$3)=MONTH($B$7)),'Вводные'!$B$31="Оплата капиталом"),EK37,0),0)</x:f>
      </x:c>
      <x:c r="EM44" s="117">
        <x:f>IF(EM$3&gt;=$B$7,MAX(0,EM20)+EM35+IF(AND(AND(YEAR(EM$3)=YEAR($B$7),MONTH(EM$3)=MONTH($B$7)),'Вводные'!$B$31="Оплата капиталом"),EL37,0),0)</x:f>
      </x:c>
      <x:c r="EN44" s="117">
        <x:f>IF(EN$3&gt;=$B$7,MAX(0,EN20)+EN35+IF(AND(AND(YEAR(EN$3)=YEAR($B$7),MONTH(EN$3)=MONTH($B$7)),'Вводные'!$B$31="Оплата капиталом"),EM37,0),0)</x:f>
      </x:c>
      <x:c r="EO44" s="117">
        <x:f>IF(EO$3&gt;=$B$7,MAX(0,EO20)+EO35+IF(AND(AND(YEAR(EO$3)=YEAR($B$7),MONTH(EO$3)=MONTH($B$7)),'Вводные'!$B$31="Оплата капиталом"),EN37,0),0)</x:f>
      </x:c>
      <x:c r="EP44" s="117">
        <x:f>IF(EP$3&gt;=$B$7,MAX(0,EP20)+EP35+IF(AND(AND(YEAR(EP$3)=YEAR($B$7),MONTH(EP$3)=MONTH($B$7)),'Вводные'!$B$31="Оплата капиталом"),EO37,0),0)</x:f>
      </x:c>
      <x:c r="EQ44" s="117">
        <x:f>IF(EQ$3&gt;=$B$7,MAX(0,EQ20)+EQ35+IF(AND(AND(YEAR(EQ$3)=YEAR($B$7),MONTH(EQ$3)=MONTH($B$7)),'Вводные'!$B$31="Оплата капиталом"),EP37,0),0)</x:f>
      </x:c>
      <x:c r="ER44" s="117">
        <x:f>IF(ER$3&gt;=$B$7,MAX(0,ER20)+ER35+IF(AND(AND(YEAR(ER$3)=YEAR($B$7),MONTH(ER$3)=MONTH($B$7)),'Вводные'!$B$31="Оплата капиталом"),EQ37,0),0)</x:f>
      </x:c>
      <x:c r="ES44" s="117">
        <x:f>IF(ES$3&gt;=$B$7,MAX(0,ES20)+ES35+IF(AND(AND(YEAR(ES$3)=YEAR($B$7),MONTH(ES$3)=MONTH($B$7)),'Вводные'!$B$31="Оплата капиталом"),ER37,0),0)</x:f>
      </x:c>
      <x:c r="ET44" s="117">
        <x:f>IF(ET$3&gt;=$B$7,MAX(0,ET20)+ET35+IF(AND(AND(YEAR(ET$3)=YEAR($B$7),MONTH(ET$3)=MONTH($B$7)),'Вводные'!$B$31="Оплата капиталом"),ES37,0),0)</x:f>
      </x:c>
      <x:c r="EU44" s="117">
        <x:f>IF(EU$3&gt;=$B$7,MAX(0,EU20)+EU35+IF(AND(AND(YEAR(EU$3)=YEAR($B$7),MONTH(EU$3)=MONTH($B$7)),'Вводные'!$B$31="Оплата капиталом"),ET37,0),0)</x:f>
      </x:c>
      <x:c r="EV44" s="117">
        <x:f>IF(EV$3&gt;=$B$7,MAX(0,EV20)+EV35+IF(AND(AND(YEAR(EV$3)=YEAR($B$7),MONTH(EV$3)=MONTH($B$7)),'Вводные'!$B$31="Оплата капиталом"),EU37,0),0)</x:f>
      </x:c>
      <x:c r="EW44" s="117">
        <x:f>IF(EW$3&gt;=$B$7,MAX(0,EW20)+EW35+IF(AND(AND(YEAR(EW$3)=YEAR($B$7),MONTH(EW$3)=MONTH($B$7)),'Вводные'!$B$31="Оплата капиталом"),EV37,0),0)</x:f>
      </x:c>
      <x:c r="EX44" s="117">
        <x:f>IF(EX$3&gt;=$B$7,MAX(0,EX20)+EX35+IF(AND(AND(YEAR(EX$3)=YEAR($B$7),MONTH(EX$3)=MONTH($B$7)),'Вводные'!$B$31="Оплата капиталом"),EW37,0),0)</x:f>
      </x:c>
      <x:c r="EY44" s="117">
        <x:f>IF(EY$3&gt;=$B$7,MAX(0,EY20)+EY35+IF(AND(AND(YEAR(EY$3)=YEAR($B$7),MONTH(EY$3)=MONTH($B$7)),'Вводные'!$B$31="Оплата капиталом"),EX37,0),0)</x:f>
      </x:c>
      <x:c r="EZ44" s="117">
        <x:f>IF(EZ$3&gt;=$B$7,MAX(0,EZ20)+EZ35+IF(AND(AND(YEAR(EZ$3)=YEAR($B$7),MONTH(EZ$3)=MONTH($B$7)),'Вводные'!$B$31="Оплата капиталом"),EY37,0),0)</x:f>
      </x:c>
      <x:c r="FA44" s="117">
        <x:f>IF(FA$3&gt;=$B$7,MAX(0,FA20)+FA35+IF(AND(AND(YEAR(FA$3)=YEAR($B$7),MONTH(FA$3)=MONTH($B$7)),'Вводные'!$B$31="Оплата капиталом"),EZ37,0),0)</x:f>
      </x:c>
      <x:c r="FB44" s="117">
        <x:f>IF(FB$3&gt;=$B$7,MAX(0,FB20)+FB35+IF(AND(AND(YEAR(FB$3)=YEAR($B$7),MONTH(FB$3)=MONTH($B$7)),'Вводные'!$B$31="Оплата капиталом"),FA37,0),0)</x:f>
      </x:c>
      <x:c r="FC44" s="117">
        <x:f>IF(FC$3&gt;=$B$7,MAX(0,FC20)+FC35+IF(AND(AND(YEAR(FC$3)=YEAR($B$7),MONTH(FC$3)=MONTH($B$7)),'Вводные'!$B$31="Оплата капиталом"),FB37,0),0)</x:f>
      </x:c>
      <x:c r="FD44" s="117">
        <x:f>IF(FD$3&gt;=$B$7,MAX(0,FD20)+FD35+IF(AND(AND(YEAR(FD$3)=YEAR($B$7),MONTH(FD$3)=MONTH($B$7)),'Вводные'!$B$31="Оплата капиталом"),FC37,0),0)</x:f>
      </x:c>
      <x:c r="FE44" s="117">
        <x:f>IF(FE$3&gt;=$B$7,MAX(0,FE20)+FE35+IF(AND(AND(YEAR(FE$3)=YEAR($B$7),MONTH(FE$3)=MONTH($B$7)),'Вводные'!$B$31="Оплата капиталом"),FD37,0),0)</x:f>
      </x:c>
      <x:c r="FF44" s="117">
        <x:f>IF(FF$3&gt;=$B$7,MAX(0,FF20)+FF35+IF(AND(AND(YEAR(FF$3)=YEAR($B$7),MONTH(FF$3)=MONTH($B$7)),'Вводные'!$B$31="Оплата капиталом"),FE37,0),0)</x:f>
      </x:c>
      <x:c r="FG44" s="117">
        <x:f>IF(FG$3&gt;=$B$7,MAX(0,FG20)+FG35+IF(AND(AND(YEAR(FG$3)=YEAR($B$7),MONTH(FG$3)=MONTH($B$7)),'Вводные'!$B$31="Оплата капиталом"),FF37,0),0)</x:f>
      </x:c>
      <x:c r="FH44" s="117">
        <x:f>IF(FH$3&gt;=$B$7,MAX(0,FH20)+FH35+IF(AND(AND(YEAR(FH$3)=YEAR($B$7),MONTH(FH$3)=MONTH($B$7)),'Вводные'!$B$31="Оплата капиталом"),FG37,0),0)</x:f>
      </x:c>
      <x:c r="FI44" s="117">
        <x:f>IF(FI$3&gt;=$B$7,MAX(0,FI20)+FI35+IF(AND(AND(YEAR(FI$3)=YEAR($B$7),MONTH(FI$3)=MONTH($B$7)),'Вводные'!$B$31="Оплата капиталом"),FH37,0),0)</x:f>
      </x:c>
      <x:c r="FJ44" s="117">
        <x:f>IF(FJ$3&gt;=$B$7,MAX(0,FJ20)+FJ35+IF(AND(AND(YEAR(FJ$3)=YEAR($B$7),MONTH(FJ$3)=MONTH($B$7)),'Вводные'!$B$31="Оплата капиталом"),FI37,0),0)</x:f>
      </x:c>
      <x:c r="FK44" s="117">
        <x:f>IF(FK$3&gt;=$B$7,MAX(0,FK20)+FK35+IF(AND(AND(YEAR(FK$3)=YEAR($B$7),MONTH(FK$3)=MONTH($B$7)),'Вводные'!$B$31="Оплата капиталом"),FJ37,0),0)</x:f>
      </x:c>
      <x:c r="FL44" s="117">
        <x:f>IF(FL$3&gt;=$B$7,MAX(0,FL20)+FL35+IF(AND(AND(YEAR(FL$3)=YEAR($B$7),MONTH(FL$3)=MONTH($B$7)),'Вводные'!$B$31="Оплата капиталом"),FK37,0),0)</x:f>
      </x:c>
      <x:c r="FM44" s="117">
        <x:f>IF(FM$3&gt;=$B$7,MAX(0,FM20)+FM35+IF(AND(AND(YEAR(FM$3)=YEAR($B$7),MONTH(FM$3)=MONTH($B$7)),'Вводные'!$B$31="Оплата капиталом"),FL37,0),0)</x:f>
      </x:c>
      <x:c r="FN44" s="117">
        <x:f>IF(FN$3&gt;=$B$7,MAX(0,FN20)+FN35+IF(AND(AND(YEAR(FN$3)=YEAR($B$7),MONTH(FN$3)=MONTH($B$7)),'Вводные'!$B$31="Оплата капиталом"),FM37,0),0)</x:f>
      </x:c>
      <x:c r="FO44" s="117">
        <x:f>IF(FO$3&gt;=$B$7,MAX(0,FO20)+FO35+IF(AND(AND(YEAR(FO$3)=YEAR($B$7),MONTH(FO$3)=MONTH($B$7)),'Вводные'!$B$31="Оплата капиталом"),FN37,0),0)</x:f>
      </x:c>
      <x:c r="FP44" s="117">
        <x:f>IF(FP$3&gt;=$B$7,MAX(0,FP20)+FP35+IF(AND(AND(YEAR(FP$3)=YEAR($B$7),MONTH(FP$3)=MONTH($B$7)),'Вводные'!$B$31="Оплата капиталом"),FO37,0),0)</x:f>
      </x:c>
      <x:c r="FQ44" s="117">
        <x:f>IF(FQ$3&gt;=$B$7,MAX(0,FQ20)+FQ35+IF(AND(AND(YEAR(FQ$3)=YEAR($B$7),MONTH(FQ$3)=MONTH($B$7)),'Вводные'!$B$31="Оплата капиталом"),FP37,0),0)</x:f>
      </x:c>
      <x:c r="FR44" s="117">
        <x:f>IF(FR$3&gt;=$B$7,MAX(0,FR20)+FR35+IF(AND(AND(YEAR(FR$3)=YEAR($B$7),MONTH(FR$3)=MONTH($B$7)),'Вводные'!$B$31="Оплата капиталом"),FQ37,0),0)</x:f>
      </x:c>
      <x:c r="FS44" s="117">
        <x:f>IF(FS$3&gt;=$B$7,MAX(0,FS20)+FS35+IF(AND(AND(YEAR(FS$3)=YEAR($B$7),MONTH(FS$3)=MONTH($B$7)),'Вводные'!$B$31="Оплата капиталом"),FR37,0),0)</x:f>
      </x:c>
      <x:c r="FT44" s="117">
        <x:f>IF(FT$3&gt;=$B$7,MAX(0,FT20)+FT35+IF(AND(AND(YEAR(FT$3)=YEAR($B$7),MONTH(FT$3)=MONTH($B$7)),'Вводные'!$B$31="Оплата капиталом"),FS37,0),0)</x:f>
      </x:c>
      <x:c r="FU44" s="117">
        <x:f>IF(FU$3&gt;=$B$7,MAX(0,FU20)+FU35+IF(AND(AND(YEAR(FU$3)=YEAR($B$7),MONTH(FU$3)=MONTH($B$7)),'Вводные'!$B$31="Оплата капиталом"),FT37,0),0)</x:f>
      </x:c>
      <x:c r="FV44" s="117">
        <x:f>IF(FV$3&gt;=$B$7,MAX(0,FV20)+FV35+IF(AND(AND(YEAR(FV$3)=YEAR($B$7),MONTH(FV$3)=MONTH($B$7)),'Вводные'!$B$31="Оплата капиталом"),FU37,0),0)</x:f>
      </x:c>
      <x:c r="FW44" s="117">
        <x:f>IF(FW$3&gt;=$B$7,MAX(0,FW20)+FW35+IF(AND(AND(YEAR(FW$3)=YEAR($B$7),MONTH(FW$3)=MONTH($B$7)),'Вводные'!$B$31="Оплата капиталом"),FV37,0),0)</x:f>
      </x:c>
      <x:c r="FX44" s="117">
        <x:f>IF(FX$3&gt;=$B$7,MAX(0,FX20)+FX35+IF(AND(AND(YEAR(FX$3)=YEAR($B$7),MONTH(FX$3)=MONTH($B$7)),'Вводные'!$B$31="Оплата капиталом"),FW37,0),0)</x:f>
      </x:c>
      <x:c r="FY44" s="117">
        <x:f>IF(FY$3&gt;=$B$7,MAX(0,FY20)+FY35+IF(AND(AND(YEAR(FY$3)=YEAR($B$7),MONTH(FY$3)=MONTH($B$7)),'Вводные'!$B$31="Оплата капиталом"),FX37,0),0)</x:f>
      </x:c>
      <x:c r="FZ44" s="117">
        <x:f>IF(FZ$3&gt;=$B$7,MAX(0,FZ20)+FZ35+IF(AND(AND(YEAR(FZ$3)=YEAR($B$7),MONTH(FZ$3)=MONTH($B$7)),'Вводные'!$B$31="Оплата капиталом"),FY37,0),0)</x:f>
      </x:c>
      <x:c r="GA44" s="117">
        <x:f>IF(GA$3&gt;=$B$7,MAX(0,GA20)+GA35+IF(AND(AND(YEAR(GA$3)=YEAR($B$7),MONTH(GA$3)=MONTH($B$7)),'Вводные'!$B$31="Оплата капиталом"),FZ37,0),0)</x:f>
      </x:c>
    </x:row>
    <x:row r="45">
      <x:c r="A45" t="str">
        <x:v>ПФ — выборка</x:v>
      </x:c>
      <x:c r="B45" t="n">
        <x:f>SUM(D45:GA45)</x:f>
      </x:c>
      <x:c r="C45" t="str">
        <x:v>млн ₽</x:v>
      </x:c>
      <x:c r="D45" s="117" t="n">
        <x:f>D44</x:f>
      </x:c>
      <x:c r="E45" s="117" t="n">
        <x:f>E44</x:f>
      </x:c>
      <x:c r="F45" s="117" t="n">
        <x:f>F44</x:f>
      </x:c>
      <x:c r="G45" s="117" t="n">
        <x:f>G44</x:f>
      </x:c>
      <x:c r="H45" s="117" t="n">
        <x:f>H44</x:f>
      </x:c>
      <x:c r="I45" s="117" t="n">
        <x:f>I44</x:f>
      </x:c>
      <x:c r="J45" s="117" t="n">
        <x:f>J44</x:f>
      </x:c>
      <x:c r="K45" s="117" t="n">
        <x:f>K44</x:f>
      </x:c>
      <x:c r="L45" s="117" t="n">
        <x:f>L44</x:f>
      </x:c>
      <x:c r="M45" s="117" t="n">
        <x:f>M44</x:f>
      </x:c>
      <x:c r="N45" s="117" t="n">
        <x:f>N44</x:f>
      </x:c>
      <x:c r="O45" s="117" t="n">
        <x:f>O44</x:f>
      </x:c>
      <x:c r="P45" s="117" t="n">
        <x:f>P44</x:f>
      </x:c>
      <x:c r="Q45" s="117" t="n">
        <x:f>Q44</x:f>
      </x:c>
      <x:c r="R45" s="117" t="n">
        <x:f>R44</x:f>
      </x:c>
      <x:c r="S45" s="117" t="n">
        <x:f>S44</x:f>
      </x:c>
      <x:c r="T45" s="117" t="n">
        <x:f>T44</x:f>
      </x:c>
      <x:c r="U45" s="117" t="n">
        <x:f>U44</x:f>
      </x:c>
      <x:c r="V45" s="117" t="n">
        <x:f>V44</x:f>
      </x:c>
      <x:c r="W45" s="117" t="n">
        <x:f>W44</x:f>
      </x:c>
      <x:c r="X45" s="117" t="n">
        <x:f>X44</x:f>
      </x:c>
      <x:c r="Y45" s="117" t="n">
        <x:f>Y44</x:f>
      </x:c>
      <x:c r="Z45" s="117" t="n">
        <x:f>Z44</x:f>
      </x:c>
      <x:c r="AA45" s="117" t="n">
        <x:f>AA44</x:f>
      </x:c>
      <x:c r="AB45" s="117" t="n">
        <x:f>AB44</x:f>
      </x:c>
      <x:c r="AC45" s="117" t="n">
        <x:f>AC44</x:f>
      </x:c>
      <x:c r="AD45" s="117" t="n">
        <x:f>AD44</x:f>
      </x:c>
      <x:c r="AE45" s="117" t="n">
        <x:f>AE44</x:f>
      </x:c>
      <x:c r="AF45" s="117" t="n">
        <x:f>AF44</x:f>
      </x:c>
      <x:c r="AG45" s="117" t="n">
        <x:f>AG44</x:f>
      </x:c>
      <x:c r="AH45" s="117" t="n">
        <x:f>AH44</x:f>
      </x:c>
      <x:c r="AI45" s="117" t="n">
        <x:f>AI44</x:f>
      </x:c>
      <x:c r="AJ45" s="117" t="n">
        <x:f>AJ44</x:f>
      </x:c>
      <x:c r="AK45" s="117" t="n">
        <x:f>AK44</x:f>
      </x:c>
      <x:c r="AL45" s="117" t="n">
        <x:f>AL44</x:f>
      </x:c>
      <x:c r="AM45" s="117" t="n">
        <x:f>AM44</x:f>
      </x:c>
      <x:c r="AN45" s="117" t="n">
        <x:f>AN44</x:f>
      </x:c>
      <x:c r="AO45" s="117" t="n">
        <x:f>AO44</x:f>
      </x:c>
      <x:c r="AP45" s="117" t="n">
        <x:f>AP44</x:f>
      </x:c>
      <x:c r="AQ45" s="117" t="n">
        <x:f>AQ44</x:f>
      </x:c>
      <x:c r="AR45" s="117" t="n">
        <x:f>AR44</x:f>
      </x:c>
      <x:c r="AS45" s="117" t="n">
        <x:f>AS44</x:f>
      </x:c>
      <x:c r="AT45" s="117" t="n">
        <x:f>AT44</x:f>
      </x:c>
      <x:c r="AU45" s="117" t="n">
        <x:f>AU44</x:f>
      </x:c>
      <x:c r="AV45" s="117" t="n">
        <x:f>AV44</x:f>
      </x:c>
      <x:c r="AW45" s="117" t="n">
        <x:f>AW44</x:f>
      </x:c>
      <x:c r="AX45" s="117" t="n">
        <x:f>AX44</x:f>
      </x:c>
      <x:c r="AY45" s="117" t="n">
        <x:f>AY44</x:f>
      </x:c>
      <x:c r="AZ45" s="117" t="n">
        <x:f>AZ44</x:f>
      </x:c>
      <x:c r="BA45" s="117" t="n">
        <x:f>BA44</x:f>
      </x:c>
      <x:c r="BB45" s="117" t="n">
        <x:f>BB44</x:f>
      </x:c>
      <x:c r="BC45" s="117" t="n">
        <x:f>BC44</x:f>
      </x:c>
      <x:c r="BD45" s="117" t="n">
        <x:f>BD44</x:f>
      </x:c>
      <x:c r="BE45" s="117" t="n">
        <x:f>BE44</x:f>
      </x:c>
      <x:c r="BF45" s="117" t="n">
        <x:f>BF44</x:f>
      </x:c>
      <x:c r="BG45" s="117" t="n">
        <x:f>BG44</x:f>
      </x:c>
      <x:c r="BH45" s="117" t="n">
        <x:f>BH44</x:f>
      </x:c>
      <x:c r="BI45" s="117" t="n">
        <x:f>BI44</x:f>
      </x:c>
      <x:c r="BJ45" s="117" t="n">
        <x:f>BJ44</x:f>
      </x:c>
      <x:c r="BK45" s="117" t="n">
        <x:f>BK44</x:f>
      </x:c>
      <x:c r="BL45" s="117" t="n">
        <x:f>BL44</x:f>
      </x:c>
      <x:c r="BM45" s="117" t="n">
        <x:f>BM44</x:f>
      </x:c>
      <x:c r="BN45" s="117" t="n">
        <x:f>BN44</x:f>
      </x:c>
      <x:c r="BO45" s="117" t="n">
        <x:f>BO44</x:f>
      </x:c>
      <x:c r="BP45" s="117" t="n">
        <x:f>BP44</x:f>
      </x:c>
      <x:c r="BQ45" s="117" t="n">
        <x:f>BQ44</x:f>
      </x:c>
      <x:c r="BR45" s="117" t="n">
        <x:f>BR44</x:f>
      </x:c>
      <x:c r="BS45" s="117" t="n">
        <x:f>BS44</x:f>
      </x:c>
      <x:c r="BT45" s="117" t="n">
        <x:f>BT44</x:f>
      </x:c>
      <x:c r="BU45" s="117" t="n">
        <x:f>BU44</x:f>
      </x:c>
      <x:c r="BV45" s="117" t="n">
        <x:f>BV44</x:f>
      </x:c>
      <x:c r="BW45" s="117" t="n">
        <x:f>BW44</x:f>
      </x:c>
      <x:c r="BX45" s="117" t="n">
        <x:f>BX44</x:f>
      </x:c>
      <x:c r="BY45" s="117" t="n">
        <x:f>BY44</x:f>
      </x:c>
      <x:c r="BZ45" s="117" t="n">
        <x:f>BZ44</x:f>
      </x:c>
      <x:c r="CA45" s="117" t="n">
        <x:f>CA44</x:f>
      </x:c>
      <x:c r="CB45" s="117" t="n">
        <x:f>CB44</x:f>
      </x:c>
      <x:c r="CC45" s="117" t="n">
        <x:f>CC44</x:f>
      </x:c>
      <x:c r="CD45" s="117" t="n">
        <x:f>CD44</x:f>
      </x:c>
      <x:c r="CE45" s="117" t="n">
        <x:f>CE44</x:f>
      </x:c>
      <x:c r="CF45" s="117" t="n">
        <x:f>CF44</x:f>
      </x:c>
      <x:c r="CG45" s="117" t="n">
        <x:f>CG44</x:f>
      </x:c>
      <x:c r="CH45" s="117" t="n">
        <x:f>CH44</x:f>
      </x:c>
      <x:c r="CI45" s="117" t="n">
        <x:f>CI44</x:f>
      </x:c>
      <x:c r="CJ45" s="117" t="n">
        <x:f>CJ44</x:f>
      </x:c>
      <x:c r="CK45" s="117" t="n">
        <x:f>CK44</x:f>
      </x:c>
      <x:c r="CL45" s="117" t="n">
        <x:f>CL44</x:f>
      </x:c>
      <x:c r="CM45" s="117" t="n">
        <x:f>CM44</x:f>
      </x:c>
      <x:c r="CN45" s="117" t="n">
        <x:f>CN44</x:f>
      </x:c>
      <x:c r="CO45" s="117" t="n">
        <x:f>CO44</x:f>
      </x:c>
      <x:c r="CP45" s="117" t="n">
        <x:f>CP44</x:f>
      </x:c>
      <x:c r="CQ45" s="117" t="n">
        <x:f>CQ44</x:f>
      </x:c>
      <x:c r="CR45" s="117" t="n">
        <x:f>CR44</x:f>
      </x:c>
      <x:c r="CS45" s="117" t="n">
        <x:f>CS44</x:f>
      </x:c>
      <x:c r="CT45" s="117" t="n">
        <x:f>CT44</x:f>
      </x:c>
      <x:c r="CU45" s="117" t="n">
        <x:f>CU44</x:f>
      </x:c>
      <x:c r="CV45" s="117" t="n">
        <x:f>CV44</x:f>
      </x:c>
      <x:c r="CW45" s="117" t="n">
        <x:f>CW44</x:f>
      </x:c>
      <x:c r="CX45" s="117" t="n">
        <x:f>CX44</x:f>
      </x:c>
      <x:c r="CY45" s="117" t="n">
        <x:f>CY44</x:f>
      </x:c>
      <x:c r="CZ45" s="117" t="n">
        <x:f>CZ44</x:f>
      </x:c>
      <x:c r="DA45" s="117" t="n">
        <x:f>DA44</x:f>
      </x:c>
      <x:c r="DB45" s="117" t="n">
        <x:f>DB44</x:f>
      </x:c>
      <x:c r="DC45" s="117" t="n">
        <x:f>DC44</x:f>
      </x:c>
      <x:c r="DD45" s="117" t="n">
        <x:f>DD44</x:f>
      </x:c>
      <x:c r="DE45" s="117" t="n">
        <x:f>DE44</x:f>
      </x:c>
      <x:c r="DF45" s="117" t="n">
        <x:f>DF44</x:f>
      </x:c>
      <x:c r="DG45" s="117" t="n">
        <x:f>DG44</x:f>
      </x:c>
      <x:c r="DH45" s="117" t="n">
        <x:f>DH44</x:f>
      </x:c>
      <x:c r="DI45" s="117" t="n">
        <x:f>DI44</x:f>
      </x:c>
      <x:c r="DJ45" s="117" t="n">
        <x:f>DJ44</x:f>
      </x:c>
      <x:c r="DK45" s="117" t="n">
        <x:f>DK44</x:f>
      </x:c>
      <x:c r="DL45" s="117" t="n">
        <x:f>DL44</x:f>
      </x:c>
      <x:c r="DM45" s="117" t="n">
        <x:f>DM44</x:f>
      </x:c>
      <x:c r="DN45" s="117" t="n">
        <x:f>DN44</x:f>
      </x:c>
      <x:c r="DO45" s="117" t="n">
        <x:f>DO44</x:f>
      </x:c>
      <x:c r="DP45" s="117" t="n">
        <x:f>DP44</x:f>
      </x:c>
      <x:c r="DQ45" s="117" t="n">
        <x:f>DQ44</x:f>
      </x:c>
      <x:c r="DR45" s="117" t="n">
        <x:f>DR44</x:f>
      </x:c>
      <x:c r="DS45" s="117" t="n">
        <x:f>DS44</x:f>
      </x:c>
      <x:c r="DT45" s="117" t="n">
        <x:f>DT44</x:f>
      </x:c>
      <x:c r="DU45" s="117" t="n">
        <x:f>DU44</x:f>
      </x:c>
      <x:c r="DV45" s="117" t="n">
        <x:f>DV44</x:f>
      </x:c>
      <x:c r="DW45" s="117" t="n">
        <x:f>DW44</x:f>
      </x:c>
      <x:c r="DX45" s="117" t="n">
        <x:f>DX44</x:f>
      </x:c>
      <x:c r="DY45" s="117" t="n">
        <x:f>DY44</x:f>
      </x:c>
      <x:c r="DZ45" s="117" t="n">
        <x:f>DZ44</x:f>
      </x:c>
      <x:c r="EA45" s="117" t="n">
        <x:f>EA44</x:f>
      </x:c>
      <x:c r="EB45" s="117" t="n">
        <x:f>EB44</x:f>
      </x:c>
      <x:c r="EC45" s="117" t="n">
        <x:f>EC44</x:f>
      </x:c>
      <x:c r="ED45" s="117" t="n">
        <x:f>ED44</x:f>
      </x:c>
      <x:c r="EE45" s="117" t="n">
        <x:f>EE44</x:f>
      </x:c>
      <x:c r="EF45" s="117" t="n">
        <x:f>EF44</x:f>
      </x:c>
      <x:c r="EG45" s="117" t="n">
        <x:f>EG44</x:f>
      </x:c>
      <x:c r="EH45" s="117" t="n">
        <x:f>EH44</x:f>
      </x:c>
      <x:c r="EI45" s="117" t="n">
        <x:f>EI44</x:f>
      </x:c>
      <x:c r="EJ45" s="117" t="n">
        <x:f>EJ44</x:f>
      </x:c>
      <x:c r="EK45" s="117" t="n">
        <x:f>EK44</x:f>
      </x:c>
      <x:c r="EL45" s="117" t="n">
        <x:f>EL44</x:f>
      </x:c>
      <x:c r="EM45" s="117" t="n">
        <x:f>EM44</x:f>
      </x:c>
      <x:c r="EN45" s="117" t="n">
        <x:f>EN44</x:f>
      </x:c>
      <x:c r="EO45" s="117" t="n">
        <x:f>EO44</x:f>
      </x:c>
      <x:c r="EP45" s="117" t="n">
        <x:f>EP44</x:f>
      </x:c>
      <x:c r="EQ45" s="117" t="n">
        <x:f>EQ44</x:f>
      </x:c>
      <x:c r="ER45" s="117" t="n">
        <x:f>ER44</x:f>
      </x:c>
      <x:c r="ES45" s="117" t="n">
        <x:f>ES44</x:f>
      </x:c>
      <x:c r="ET45" s="117" t="n">
        <x:f>ET44</x:f>
      </x:c>
      <x:c r="EU45" s="117" t="n">
        <x:f>EU44</x:f>
      </x:c>
      <x:c r="EV45" s="117" t="n">
        <x:f>EV44</x:f>
      </x:c>
      <x:c r="EW45" s="117" t="n">
        <x:f>EW44</x:f>
      </x:c>
      <x:c r="EX45" s="117" t="n">
        <x:f>EX44</x:f>
      </x:c>
      <x:c r="EY45" s="117" t="n">
        <x:f>EY44</x:f>
      </x:c>
      <x:c r="EZ45" s="117" t="n">
        <x:f>EZ44</x:f>
      </x:c>
      <x:c r="FA45" s="117" t="n">
        <x:f>FA44</x:f>
      </x:c>
      <x:c r="FB45" s="117" t="n">
        <x:f>FB44</x:f>
      </x:c>
      <x:c r="FC45" s="117" t="n">
        <x:f>FC44</x:f>
      </x:c>
      <x:c r="FD45" s="117" t="n">
        <x:f>FD44</x:f>
      </x:c>
      <x:c r="FE45" s="117" t="n">
        <x:f>FE44</x:f>
      </x:c>
      <x:c r="FF45" s="117" t="n">
        <x:f>FF44</x:f>
      </x:c>
      <x:c r="FG45" s="117" t="n">
        <x:f>FG44</x:f>
      </x:c>
      <x:c r="FH45" s="117" t="n">
        <x:f>FH44</x:f>
      </x:c>
      <x:c r="FI45" s="117" t="n">
        <x:f>FI44</x:f>
      </x:c>
      <x:c r="FJ45" s="117" t="n">
        <x:f>FJ44</x:f>
      </x:c>
      <x:c r="FK45" s="117" t="n">
        <x:f>FK44</x:f>
      </x:c>
      <x:c r="FL45" s="117" t="n">
        <x:f>FL44</x:f>
      </x:c>
      <x:c r="FM45" s="117" t="n">
        <x:f>FM44</x:f>
      </x:c>
      <x:c r="FN45" s="117" t="n">
        <x:f>FN44</x:f>
      </x:c>
      <x:c r="FO45" s="117" t="n">
        <x:f>FO44</x:f>
      </x:c>
      <x:c r="FP45" s="117" t="n">
        <x:f>FP44</x:f>
      </x:c>
      <x:c r="FQ45" s="117" t="n">
        <x:f>FQ44</x:f>
      </x:c>
      <x:c r="FR45" s="117" t="n">
        <x:f>FR44</x:f>
      </x:c>
      <x:c r="FS45" s="117" t="n">
        <x:f>FS44</x:f>
      </x:c>
      <x:c r="FT45" s="117" t="n">
        <x:f>FT44</x:f>
      </x:c>
      <x:c r="FU45" s="117" t="n">
        <x:f>FU44</x:f>
      </x:c>
      <x:c r="FV45" s="117" t="n">
        <x:f>FV44</x:f>
      </x:c>
      <x:c r="FW45" s="117" t="n">
        <x:f>FW44</x:f>
      </x:c>
      <x:c r="FX45" s="117" t="n">
        <x:f>FX44</x:f>
      </x:c>
      <x:c r="FY45" s="117" t="n">
        <x:f>FY44</x:f>
      </x:c>
      <x:c r="FZ45" s="117" t="n">
        <x:f>FZ44</x:f>
      </x:c>
      <x:c r="GA45" s="117" t="n">
        <x:f>GA44</x:f>
      </x:c>
    </x:row>
    <x:row r="46">
      <x:c r="A46" t="str">
        <x:v>ПФ — погашение</x:v>
      </x:c>
      <x:c r="B46" t="n">
        <x:f>SUM(D46:GA46)</x:f>
      </x:c>
      <x:c r="C46" t="str">
        <x:v>млн ₽</x:v>
      </x:c>
      <x:c r="D46" s="117">
        <x:f>MIN(D38+D45,IF(AND(YEAR(D$3)=YEAR($B$8),MONTH(D$3)=MONTH($B$8)),D14,IF(D$3&gt;$B$8,D12,0)))</x:f>
      </x:c>
      <x:c r="E46" s="117">
        <x:f>MIN(E38+E45,IF(AND(YEAR(E$3)=YEAR($B$8),MONTH(E$3)=MONTH($B$8)),E14,IF(E$3&gt;$B$8,E12,0)))</x:f>
      </x:c>
      <x:c r="F46" s="117">
        <x:f>MIN(F38+F45,IF(AND(YEAR(F$3)=YEAR($B$8),MONTH(F$3)=MONTH($B$8)),F14,IF(F$3&gt;$B$8,F12,0)))</x:f>
      </x:c>
      <x:c r="G46" s="117">
        <x:f>MIN(G38+G45,IF(AND(YEAR(G$3)=YEAR($B$8),MONTH(G$3)=MONTH($B$8)),G14,IF(G$3&gt;$B$8,G12,0)))</x:f>
      </x:c>
      <x:c r="H46" s="117">
        <x:f>MIN(H38+H45,IF(AND(YEAR(H$3)=YEAR($B$8),MONTH(H$3)=MONTH($B$8)),H14,IF(H$3&gt;$B$8,H12,0)))</x:f>
      </x:c>
      <x:c r="I46" s="117">
        <x:f>MIN(I38+I45,IF(AND(YEAR(I$3)=YEAR($B$8),MONTH(I$3)=MONTH($B$8)),I14,IF(I$3&gt;$B$8,I12,0)))</x:f>
      </x:c>
      <x:c r="J46" s="117">
        <x:f>MIN(J38+J45,IF(AND(YEAR(J$3)=YEAR($B$8),MONTH(J$3)=MONTH($B$8)),J14,IF(J$3&gt;$B$8,J12,0)))</x:f>
      </x:c>
      <x:c r="K46" s="117">
        <x:f>MIN(K38+K45,IF(AND(YEAR(K$3)=YEAR($B$8),MONTH(K$3)=MONTH($B$8)),K14,IF(K$3&gt;$B$8,K12,0)))</x:f>
      </x:c>
      <x:c r="L46" s="117">
        <x:f>MIN(L38+L45,IF(AND(YEAR(L$3)=YEAR($B$8),MONTH(L$3)=MONTH($B$8)),L14,IF(L$3&gt;$B$8,L12,0)))</x:f>
      </x:c>
      <x:c r="M46" s="117">
        <x:f>MIN(M38+M45,IF(AND(YEAR(M$3)=YEAR($B$8),MONTH(M$3)=MONTH($B$8)),M14,IF(M$3&gt;$B$8,M12,0)))</x:f>
      </x:c>
      <x:c r="N46" s="117">
        <x:f>MIN(N38+N45,IF(AND(YEAR(N$3)=YEAR($B$8),MONTH(N$3)=MONTH($B$8)),N14,IF(N$3&gt;$B$8,N12,0)))</x:f>
      </x:c>
      <x:c r="O46" s="117">
        <x:f>MIN(O38+O45,IF(AND(YEAR(O$3)=YEAR($B$8),MONTH(O$3)=MONTH($B$8)),O14,IF(O$3&gt;$B$8,O12,0)))</x:f>
      </x:c>
      <x:c r="P46" s="117">
        <x:f>MIN(P38+P45,IF(AND(YEAR(P$3)=YEAR($B$8),MONTH(P$3)=MONTH($B$8)),P14,IF(P$3&gt;$B$8,P12,0)))</x:f>
      </x:c>
      <x:c r="Q46" s="117">
        <x:f>MIN(Q38+Q45,IF(AND(YEAR(Q$3)=YEAR($B$8),MONTH(Q$3)=MONTH($B$8)),Q14,IF(Q$3&gt;$B$8,Q12,0)))</x:f>
      </x:c>
      <x:c r="R46" s="117">
        <x:f>MIN(R38+R45,IF(AND(YEAR(R$3)=YEAR($B$8),MONTH(R$3)=MONTH($B$8)),R14,IF(R$3&gt;$B$8,R12,0)))</x:f>
      </x:c>
      <x:c r="S46" s="117">
        <x:f>MIN(S38+S45,IF(AND(YEAR(S$3)=YEAR($B$8),MONTH(S$3)=MONTH($B$8)),S14,IF(S$3&gt;$B$8,S12,0)))</x:f>
      </x:c>
      <x:c r="T46" s="117">
        <x:f>MIN(T38+T45,IF(AND(YEAR(T$3)=YEAR($B$8),MONTH(T$3)=MONTH($B$8)),T14,IF(T$3&gt;$B$8,T12,0)))</x:f>
      </x:c>
      <x:c r="U46" s="117">
        <x:f>MIN(U38+U45,IF(AND(YEAR(U$3)=YEAR($B$8),MONTH(U$3)=MONTH($B$8)),U14,IF(U$3&gt;$B$8,U12,0)))</x:f>
      </x:c>
      <x:c r="V46" s="117">
        <x:f>MIN(V38+V45,IF(AND(YEAR(V$3)=YEAR($B$8),MONTH(V$3)=MONTH($B$8)),V14,IF(V$3&gt;$B$8,V12,0)))</x:f>
      </x:c>
      <x:c r="W46" s="117">
        <x:f>MIN(W38+W45,IF(AND(YEAR(W$3)=YEAR($B$8),MONTH(W$3)=MONTH($B$8)),W14,IF(W$3&gt;$B$8,W12,0)))</x:f>
      </x:c>
      <x:c r="X46" s="117">
        <x:f>MIN(X38+X45,IF(AND(YEAR(X$3)=YEAR($B$8),MONTH(X$3)=MONTH($B$8)),X14,IF(X$3&gt;$B$8,X12,0)))</x:f>
      </x:c>
      <x:c r="Y46" s="117">
        <x:f>MIN(Y38+Y45,IF(AND(YEAR(Y$3)=YEAR($B$8),MONTH(Y$3)=MONTH($B$8)),Y14,IF(Y$3&gt;$B$8,Y12,0)))</x:f>
      </x:c>
      <x:c r="Z46" s="117">
        <x:f>MIN(Z38+Z45,IF(AND(YEAR(Z$3)=YEAR($B$8),MONTH(Z$3)=MONTH($B$8)),Z14,IF(Z$3&gt;$B$8,Z12,0)))</x:f>
      </x:c>
      <x:c r="AA46" s="117">
        <x:f>MIN(AA38+AA45,IF(AND(YEAR(AA$3)=YEAR($B$8),MONTH(AA$3)=MONTH($B$8)),AA14,IF(AA$3&gt;$B$8,AA12,0)))</x:f>
      </x:c>
      <x:c r="AB46" s="117">
        <x:f>MIN(AB38+AB45,IF(AND(YEAR(AB$3)=YEAR($B$8),MONTH(AB$3)=MONTH($B$8)),AB14,IF(AB$3&gt;$B$8,AB12,0)))</x:f>
      </x:c>
      <x:c r="AC46" s="117">
        <x:f>MIN(AC38+AC45,IF(AND(YEAR(AC$3)=YEAR($B$8),MONTH(AC$3)=MONTH($B$8)),AC14,IF(AC$3&gt;$B$8,AC12,0)))</x:f>
      </x:c>
      <x:c r="AD46" s="117">
        <x:f>MIN(AD38+AD45,IF(AND(YEAR(AD$3)=YEAR($B$8),MONTH(AD$3)=MONTH($B$8)),AD14,IF(AD$3&gt;$B$8,AD12,0)))</x:f>
      </x:c>
      <x:c r="AE46" s="117">
        <x:f>MIN(AE38+AE45,IF(AND(YEAR(AE$3)=YEAR($B$8),MONTH(AE$3)=MONTH($B$8)),AE14,IF(AE$3&gt;$B$8,AE12,0)))</x:f>
      </x:c>
      <x:c r="AF46" s="117">
        <x:f>MIN(AF38+AF45,IF(AND(YEAR(AF$3)=YEAR($B$8),MONTH(AF$3)=MONTH($B$8)),AF14,IF(AF$3&gt;$B$8,AF12,0)))</x:f>
      </x:c>
      <x:c r="AG46" s="117">
        <x:f>MIN(AG38+AG45,IF(AND(YEAR(AG$3)=YEAR($B$8),MONTH(AG$3)=MONTH($B$8)),AG14,IF(AG$3&gt;$B$8,AG12,0)))</x:f>
      </x:c>
      <x:c r="AH46" s="117">
        <x:f>MIN(AH38+AH45,IF(AND(YEAR(AH$3)=YEAR($B$8),MONTH(AH$3)=MONTH($B$8)),AH14,IF(AH$3&gt;$B$8,AH12,0)))</x:f>
      </x:c>
      <x:c r="AI46" s="117">
        <x:f>MIN(AI38+AI45,IF(AND(YEAR(AI$3)=YEAR($B$8),MONTH(AI$3)=MONTH($B$8)),AI14,IF(AI$3&gt;$B$8,AI12,0)))</x:f>
      </x:c>
      <x:c r="AJ46" s="117">
        <x:f>MIN(AJ38+AJ45,IF(AND(YEAR(AJ$3)=YEAR($B$8),MONTH(AJ$3)=MONTH($B$8)),AJ14,IF(AJ$3&gt;$B$8,AJ12,0)))</x:f>
      </x:c>
      <x:c r="AK46" s="117">
        <x:f>MIN(AK38+AK45,IF(AND(YEAR(AK$3)=YEAR($B$8),MONTH(AK$3)=MONTH($B$8)),AK14,IF(AK$3&gt;$B$8,AK12,0)))</x:f>
      </x:c>
      <x:c r="AL46" s="117">
        <x:f>MIN(AL38+AL45,IF(AND(YEAR(AL$3)=YEAR($B$8),MONTH(AL$3)=MONTH($B$8)),AL14,IF(AL$3&gt;$B$8,AL12,0)))</x:f>
      </x:c>
      <x:c r="AM46" s="117">
        <x:f>MIN(AM38+AM45,IF(AND(YEAR(AM$3)=YEAR($B$8),MONTH(AM$3)=MONTH($B$8)),AM14,IF(AM$3&gt;$B$8,AM12,0)))</x:f>
      </x:c>
      <x:c r="AN46" s="117">
        <x:f>MIN(AN38+AN45,IF(AND(YEAR(AN$3)=YEAR($B$8),MONTH(AN$3)=MONTH($B$8)),AN14,IF(AN$3&gt;$B$8,AN12,0)))</x:f>
      </x:c>
      <x:c r="AO46" s="117">
        <x:f>MIN(AO38+AO45,IF(AND(YEAR(AO$3)=YEAR($B$8),MONTH(AO$3)=MONTH($B$8)),AO14,IF(AO$3&gt;$B$8,AO12,0)))</x:f>
      </x:c>
      <x:c r="AP46" s="117">
        <x:f>MIN(AP38+AP45,IF(AND(YEAR(AP$3)=YEAR($B$8),MONTH(AP$3)=MONTH($B$8)),AP14,IF(AP$3&gt;$B$8,AP12,0)))</x:f>
      </x:c>
      <x:c r="AQ46" s="117">
        <x:f>MIN(AQ38+AQ45,IF(AND(YEAR(AQ$3)=YEAR($B$8),MONTH(AQ$3)=MONTH($B$8)),AQ14,IF(AQ$3&gt;$B$8,AQ12,0)))</x:f>
      </x:c>
      <x:c r="AR46" s="117">
        <x:f>MIN(AR38+AR45,IF(AND(YEAR(AR$3)=YEAR($B$8),MONTH(AR$3)=MONTH($B$8)),AR14,IF(AR$3&gt;$B$8,AR12,0)))</x:f>
      </x:c>
      <x:c r="AS46" s="117">
        <x:f>MIN(AS38+AS45,IF(AND(YEAR(AS$3)=YEAR($B$8),MONTH(AS$3)=MONTH($B$8)),AS14,IF(AS$3&gt;$B$8,AS12,0)))</x:f>
      </x:c>
      <x:c r="AT46" s="117">
        <x:f>MIN(AT38+AT45,IF(AND(YEAR(AT$3)=YEAR($B$8),MONTH(AT$3)=MONTH($B$8)),AT14,IF(AT$3&gt;$B$8,AT12,0)))</x:f>
      </x:c>
      <x:c r="AU46" s="117">
        <x:f>MIN(AU38+AU45,IF(AND(YEAR(AU$3)=YEAR($B$8),MONTH(AU$3)=MONTH($B$8)),AU14,IF(AU$3&gt;$B$8,AU12,0)))</x:f>
      </x:c>
      <x:c r="AV46" s="117">
        <x:f>MIN(AV38+AV45,IF(AND(YEAR(AV$3)=YEAR($B$8),MONTH(AV$3)=MONTH($B$8)),AV14,IF(AV$3&gt;$B$8,AV12,0)))</x:f>
      </x:c>
      <x:c r="AW46" s="117">
        <x:f>MIN(AW38+AW45,IF(AND(YEAR(AW$3)=YEAR($B$8),MONTH(AW$3)=MONTH($B$8)),AW14,IF(AW$3&gt;$B$8,AW12,0)))</x:f>
      </x:c>
      <x:c r="AX46" s="117">
        <x:f>MIN(AX38+AX45,IF(AND(YEAR(AX$3)=YEAR($B$8),MONTH(AX$3)=MONTH($B$8)),AX14,IF(AX$3&gt;$B$8,AX12,0)))</x:f>
      </x:c>
      <x:c r="AY46" s="117">
        <x:f>MIN(AY38+AY45,IF(AND(YEAR(AY$3)=YEAR($B$8),MONTH(AY$3)=MONTH($B$8)),AY14,IF(AY$3&gt;$B$8,AY12,0)))</x:f>
      </x:c>
      <x:c r="AZ46" s="117">
        <x:f>MIN(AZ38+AZ45,IF(AND(YEAR(AZ$3)=YEAR($B$8),MONTH(AZ$3)=MONTH($B$8)),AZ14,IF(AZ$3&gt;$B$8,AZ12,0)))</x:f>
      </x:c>
      <x:c r="BA46" s="117">
        <x:f>MIN(BA38+BA45,IF(AND(YEAR(BA$3)=YEAR($B$8),MONTH(BA$3)=MONTH($B$8)),BA14,IF(BA$3&gt;$B$8,BA12,0)))</x:f>
      </x:c>
      <x:c r="BB46" s="117">
        <x:f>MIN(BB38+BB45,IF(AND(YEAR(BB$3)=YEAR($B$8),MONTH(BB$3)=MONTH($B$8)),BB14,IF(BB$3&gt;$B$8,BB12,0)))</x:f>
      </x:c>
      <x:c r="BC46" s="117">
        <x:f>MIN(BC38+BC45,IF(AND(YEAR(BC$3)=YEAR($B$8),MONTH(BC$3)=MONTH($B$8)),BC14,IF(BC$3&gt;$B$8,BC12,0)))</x:f>
      </x:c>
      <x:c r="BD46" s="117">
        <x:f>MIN(BD38+BD45,IF(AND(YEAR(BD$3)=YEAR($B$8),MONTH(BD$3)=MONTH($B$8)),BD14,IF(BD$3&gt;$B$8,BD12,0)))</x:f>
      </x:c>
      <x:c r="BE46" s="117">
        <x:f>MIN(BE38+BE45,IF(AND(YEAR(BE$3)=YEAR($B$8),MONTH(BE$3)=MONTH($B$8)),BE14,IF(BE$3&gt;$B$8,BE12,0)))</x:f>
      </x:c>
      <x:c r="BF46" s="117">
        <x:f>MIN(BF38+BF45,IF(AND(YEAR(BF$3)=YEAR($B$8),MONTH(BF$3)=MONTH($B$8)),BF14,IF(BF$3&gt;$B$8,BF12,0)))</x:f>
      </x:c>
      <x:c r="BG46" s="117">
        <x:f>MIN(BG38+BG45,IF(AND(YEAR(BG$3)=YEAR($B$8),MONTH(BG$3)=MONTH($B$8)),BG14,IF(BG$3&gt;$B$8,BG12,0)))</x:f>
      </x:c>
      <x:c r="BH46" s="117">
        <x:f>MIN(BH38+BH45,IF(AND(YEAR(BH$3)=YEAR($B$8),MONTH(BH$3)=MONTH($B$8)),BH14,IF(BH$3&gt;$B$8,BH12,0)))</x:f>
      </x:c>
      <x:c r="BI46" s="117">
        <x:f>MIN(BI38+BI45,IF(AND(YEAR(BI$3)=YEAR($B$8),MONTH(BI$3)=MONTH($B$8)),BI14,IF(BI$3&gt;$B$8,BI12,0)))</x:f>
      </x:c>
      <x:c r="BJ46" s="117">
        <x:f>MIN(BJ38+BJ45,IF(AND(YEAR(BJ$3)=YEAR($B$8),MONTH(BJ$3)=MONTH($B$8)),BJ14,IF(BJ$3&gt;$B$8,BJ12,0)))</x:f>
      </x:c>
      <x:c r="BK46" s="117">
        <x:f>MIN(BK38+BK45,IF(AND(YEAR(BK$3)=YEAR($B$8),MONTH(BK$3)=MONTH($B$8)),BK14,IF(BK$3&gt;$B$8,BK12,0)))</x:f>
      </x:c>
      <x:c r="BL46" s="117">
        <x:f>MIN(BL38+BL45,IF(AND(YEAR(BL$3)=YEAR($B$8),MONTH(BL$3)=MONTH($B$8)),BL14,IF(BL$3&gt;$B$8,BL12,0)))</x:f>
      </x:c>
      <x:c r="BM46" s="117">
        <x:f>MIN(BM38+BM45,IF(AND(YEAR(BM$3)=YEAR($B$8),MONTH(BM$3)=MONTH($B$8)),BM14,IF(BM$3&gt;$B$8,BM12,0)))</x:f>
      </x:c>
      <x:c r="BN46" s="117">
        <x:f>MIN(BN38+BN45,IF(AND(YEAR(BN$3)=YEAR($B$8),MONTH(BN$3)=MONTH($B$8)),BN14,IF(BN$3&gt;$B$8,BN12,0)))</x:f>
      </x:c>
      <x:c r="BO46" s="117">
        <x:f>MIN(BO38+BO45,IF(AND(YEAR(BO$3)=YEAR($B$8),MONTH(BO$3)=MONTH($B$8)),BO14,IF(BO$3&gt;$B$8,BO12,0)))</x:f>
      </x:c>
      <x:c r="BP46" s="117">
        <x:f>MIN(BP38+BP45,IF(AND(YEAR(BP$3)=YEAR($B$8),MONTH(BP$3)=MONTH($B$8)),BP14,IF(BP$3&gt;$B$8,BP12,0)))</x:f>
      </x:c>
      <x:c r="BQ46" s="117">
        <x:f>MIN(BQ38+BQ45,IF(AND(YEAR(BQ$3)=YEAR($B$8),MONTH(BQ$3)=MONTH($B$8)),BQ14,IF(BQ$3&gt;$B$8,BQ12,0)))</x:f>
      </x:c>
      <x:c r="BR46" s="117">
        <x:f>MIN(BR38+BR45,IF(AND(YEAR(BR$3)=YEAR($B$8),MONTH(BR$3)=MONTH($B$8)),BR14,IF(BR$3&gt;$B$8,BR12,0)))</x:f>
      </x:c>
      <x:c r="BS46" s="117">
        <x:f>MIN(BS38+BS45,IF(AND(YEAR(BS$3)=YEAR($B$8),MONTH(BS$3)=MONTH($B$8)),BS14,IF(BS$3&gt;$B$8,BS12,0)))</x:f>
      </x:c>
      <x:c r="BT46" s="117">
        <x:f>MIN(BT38+BT45,IF(AND(YEAR(BT$3)=YEAR($B$8),MONTH(BT$3)=MONTH($B$8)),BT14,IF(BT$3&gt;$B$8,BT12,0)))</x:f>
      </x:c>
      <x:c r="BU46" s="117">
        <x:f>MIN(BU38+BU45,IF(AND(YEAR(BU$3)=YEAR($B$8),MONTH(BU$3)=MONTH($B$8)),BU14,IF(BU$3&gt;$B$8,BU12,0)))</x:f>
      </x:c>
      <x:c r="BV46" s="117">
        <x:f>MIN(BV38+BV45,IF(AND(YEAR(BV$3)=YEAR($B$8),MONTH(BV$3)=MONTH($B$8)),BV14,IF(BV$3&gt;$B$8,BV12,0)))</x:f>
      </x:c>
      <x:c r="BW46" s="117">
        <x:f>MIN(BW38+BW45,IF(AND(YEAR(BW$3)=YEAR($B$8),MONTH(BW$3)=MONTH($B$8)),BW14,IF(BW$3&gt;$B$8,BW12,0)))</x:f>
      </x:c>
      <x:c r="BX46" s="117">
        <x:f>MIN(BX38+BX45,IF(AND(YEAR(BX$3)=YEAR($B$8),MONTH(BX$3)=MONTH($B$8)),BX14,IF(BX$3&gt;$B$8,BX12,0)))</x:f>
      </x:c>
      <x:c r="BY46" s="117">
        <x:f>MIN(BY38+BY45,IF(AND(YEAR(BY$3)=YEAR($B$8),MONTH(BY$3)=MONTH($B$8)),BY14,IF(BY$3&gt;$B$8,BY12,0)))</x:f>
      </x:c>
      <x:c r="BZ46" s="117">
        <x:f>MIN(BZ38+BZ45,IF(AND(YEAR(BZ$3)=YEAR($B$8),MONTH(BZ$3)=MONTH($B$8)),BZ14,IF(BZ$3&gt;$B$8,BZ12,0)))</x:f>
      </x:c>
      <x:c r="CA46" s="117">
        <x:f>MIN(CA38+CA45,IF(AND(YEAR(CA$3)=YEAR($B$8),MONTH(CA$3)=MONTH($B$8)),CA14,IF(CA$3&gt;$B$8,CA12,0)))</x:f>
      </x:c>
      <x:c r="CB46" s="117">
        <x:f>MIN(CB38+CB45,IF(AND(YEAR(CB$3)=YEAR($B$8),MONTH(CB$3)=MONTH($B$8)),CB14,IF(CB$3&gt;$B$8,CB12,0)))</x:f>
      </x:c>
      <x:c r="CC46" s="117">
        <x:f>MIN(CC38+CC45,IF(AND(YEAR(CC$3)=YEAR($B$8),MONTH(CC$3)=MONTH($B$8)),CC14,IF(CC$3&gt;$B$8,CC12,0)))</x:f>
      </x:c>
      <x:c r="CD46" s="117">
        <x:f>MIN(CD38+CD45,IF(AND(YEAR(CD$3)=YEAR($B$8),MONTH(CD$3)=MONTH($B$8)),CD14,IF(CD$3&gt;$B$8,CD12,0)))</x:f>
      </x:c>
      <x:c r="CE46" s="117">
        <x:f>MIN(CE38+CE45,IF(AND(YEAR(CE$3)=YEAR($B$8),MONTH(CE$3)=MONTH($B$8)),CE14,IF(CE$3&gt;$B$8,CE12,0)))</x:f>
      </x:c>
      <x:c r="CF46" s="117">
        <x:f>MIN(CF38+CF45,IF(AND(YEAR(CF$3)=YEAR($B$8),MONTH(CF$3)=MONTH($B$8)),CF14,IF(CF$3&gt;$B$8,CF12,0)))</x:f>
      </x:c>
      <x:c r="CG46" s="117">
        <x:f>MIN(CG38+CG45,IF(AND(YEAR(CG$3)=YEAR($B$8),MONTH(CG$3)=MONTH($B$8)),CG14,IF(CG$3&gt;$B$8,CG12,0)))</x:f>
      </x:c>
      <x:c r="CH46" s="117">
        <x:f>MIN(CH38+CH45,IF(AND(YEAR(CH$3)=YEAR($B$8),MONTH(CH$3)=MONTH($B$8)),CH14,IF(CH$3&gt;$B$8,CH12,0)))</x:f>
      </x:c>
      <x:c r="CI46" s="117">
        <x:f>MIN(CI38+CI45,IF(AND(YEAR(CI$3)=YEAR($B$8),MONTH(CI$3)=MONTH($B$8)),CI14,IF(CI$3&gt;$B$8,CI12,0)))</x:f>
      </x:c>
      <x:c r="CJ46" s="117">
        <x:f>MIN(CJ38+CJ45,IF(AND(YEAR(CJ$3)=YEAR($B$8),MONTH(CJ$3)=MONTH($B$8)),CJ14,IF(CJ$3&gt;$B$8,CJ12,0)))</x:f>
      </x:c>
      <x:c r="CK46" s="117">
        <x:f>MIN(CK38+CK45,IF(AND(YEAR(CK$3)=YEAR($B$8),MONTH(CK$3)=MONTH($B$8)),CK14,IF(CK$3&gt;$B$8,CK12,0)))</x:f>
      </x:c>
      <x:c r="CL46" s="117">
        <x:f>MIN(CL38+CL45,IF(AND(YEAR(CL$3)=YEAR($B$8),MONTH(CL$3)=MONTH($B$8)),CL14,IF(CL$3&gt;$B$8,CL12,0)))</x:f>
      </x:c>
      <x:c r="CM46" s="117">
        <x:f>MIN(CM38+CM45,IF(AND(YEAR(CM$3)=YEAR($B$8),MONTH(CM$3)=MONTH($B$8)),CM14,IF(CM$3&gt;$B$8,CM12,0)))</x:f>
      </x:c>
      <x:c r="CN46" s="117">
        <x:f>MIN(CN38+CN45,IF(AND(YEAR(CN$3)=YEAR($B$8),MONTH(CN$3)=MONTH($B$8)),CN14,IF(CN$3&gt;$B$8,CN12,0)))</x:f>
      </x:c>
      <x:c r="CO46" s="117">
        <x:f>MIN(CO38+CO45,IF(AND(YEAR(CO$3)=YEAR($B$8),MONTH(CO$3)=MONTH($B$8)),CO14,IF(CO$3&gt;$B$8,CO12,0)))</x:f>
      </x:c>
      <x:c r="CP46" s="117">
        <x:f>MIN(CP38+CP45,IF(AND(YEAR(CP$3)=YEAR($B$8),MONTH(CP$3)=MONTH($B$8)),CP14,IF(CP$3&gt;$B$8,CP12,0)))</x:f>
      </x:c>
      <x:c r="CQ46" s="117">
        <x:f>MIN(CQ38+CQ45,IF(AND(YEAR(CQ$3)=YEAR($B$8),MONTH(CQ$3)=MONTH($B$8)),CQ14,IF(CQ$3&gt;$B$8,CQ12,0)))</x:f>
      </x:c>
      <x:c r="CR46" s="117">
        <x:f>MIN(CR38+CR45,IF(AND(YEAR(CR$3)=YEAR($B$8),MONTH(CR$3)=MONTH($B$8)),CR14,IF(CR$3&gt;$B$8,CR12,0)))</x:f>
      </x:c>
      <x:c r="CS46" s="117">
        <x:f>MIN(CS38+CS45,IF(AND(YEAR(CS$3)=YEAR($B$8),MONTH(CS$3)=MONTH($B$8)),CS14,IF(CS$3&gt;$B$8,CS12,0)))</x:f>
      </x:c>
      <x:c r="CT46" s="117">
        <x:f>MIN(CT38+CT45,IF(AND(YEAR(CT$3)=YEAR($B$8),MONTH(CT$3)=MONTH($B$8)),CT14,IF(CT$3&gt;$B$8,CT12,0)))</x:f>
      </x:c>
      <x:c r="CU46" s="117">
        <x:f>MIN(CU38+CU45,IF(AND(YEAR(CU$3)=YEAR($B$8),MONTH(CU$3)=MONTH($B$8)),CU14,IF(CU$3&gt;$B$8,CU12,0)))</x:f>
      </x:c>
      <x:c r="CV46" s="117">
        <x:f>MIN(CV38+CV45,IF(AND(YEAR(CV$3)=YEAR($B$8),MONTH(CV$3)=MONTH($B$8)),CV14,IF(CV$3&gt;$B$8,CV12,0)))</x:f>
      </x:c>
      <x:c r="CW46" s="117">
        <x:f>MIN(CW38+CW45,IF(AND(YEAR(CW$3)=YEAR($B$8),MONTH(CW$3)=MONTH($B$8)),CW14,IF(CW$3&gt;$B$8,CW12,0)))</x:f>
      </x:c>
      <x:c r="CX46" s="117">
        <x:f>MIN(CX38+CX45,IF(AND(YEAR(CX$3)=YEAR($B$8),MONTH(CX$3)=MONTH($B$8)),CX14,IF(CX$3&gt;$B$8,CX12,0)))</x:f>
      </x:c>
      <x:c r="CY46" s="117">
        <x:f>MIN(CY38+CY45,IF(AND(YEAR(CY$3)=YEAR($B$8),MONTH(CY$3)=MONTH($B$8)),CY14,IF(CY$3&gt;$B$8,CY12,0)))</x:f>
      </x:c>
      <x:c r="CZ46" s="117">
        <x:f>MIN(CZ38+CZ45,IF(AND(YEAR(CZ$3)=YEAR($B$8),MONTH(CZ$3)=MONTH($B$8)),CZ14,IF(CZ$3&gt;$B$8,CZ12,0)))</x:f>
      </x:c>
      <x:c r="DA46" s="117">
        <x:f>MIN(DA38+DA45,IF(AND(YEAR(DA$3)=YEAR($B$8),MONTH(DA$3)=MONTH($B$8)),DA14,IF(DA$3&gt;$B$8,DA12,0)))</x:f>
      </x:c>
      <x:c r="DB46" s="117">
        <x:f>MIN(DB38+DB45,IF(AND(YEAR(DB$3)=YEAR($B$8),MONTH(DB$3)=MONTH($B$8)),DB14,IF(DB$3&gt;$B$8,DB12,0)))</x:f>
      </x:c>
      <x:c r="DC46" s="117">
        <x:f>MIN(DC38+DC45,IF(AND(YEAR(DC$3)=YEAR($B$8),MONTH(DC$3)=MONTH($B$8)),DC14,IF(DC$3&gt;$B$8,DC12,0)))</x:f>
      </x:c>
      <x:c r="DD46" s="117">
        <x:f>MIN(DD38+DD45,IF(AND(YEAR(DD$3)=YEAR($B$8),MONTH(DD$3)=MONTH($B$8)),DD14,IF(DD$3&gt;$B$8,DD12,0)))</x:f>
      </x:c>
      <x:c r="DE46" s="117">
        <x:f>MIN(DE38+DE45,IF(AND(YEAR(DE$3)=YEAR($B$8),MONTH(DE$3)=MONTH($B$8)),DE14,IF(DE$3&gt;$B$8,DE12,0)))</x:f>
      </x:c>
      <x:c r="DF46" s="117">
        <x:f>MIN(DF38+DF45,IF(AND(YEAR(DF$3)=YEAR($B$8),MONTH(DF$3)=MONTH($B$8)),DF14,IF(DF$3&gt;$B$8,DF12,0)))</x:f>
      </x:c>
      <x:c r="DG46" s="117">
        <x:f>MIN(DG38+DG45,IF(AND(YEAR(DG$3)=YEAR($B$8),MONTH(DG$3)=MONTH($B$8)),DG14,IF(DG$3&gt;$B$8,DG12,0)))</x:f>
      </x:c>
      <x:c r="DH46" s="117">
        <x:f>MIN(DH38+DH45,IF(AND(YEAR(DH$3)=YEAR($B$8),MONTH(DH$3)=MONTH($B$8)),DH14,IF(DH$3&gt;$B$8,DH12,0)))</x:f>
      </x:c>
      <x:c r="DI46" s="117">
        <x:f>MIN(DI38+DI45,IF(AND(YEAR(DI$3)=YEAR($B$8),MONTH(DI$3)=MONTH($B$8)),DI14,IF(DI$3&gt;$B$8,DI12,0)))</x:f>
      </x:c>
      <x:c r="DJ46" s="117">
        <x:f>MIN(DJ38+DJ45,IF(AND(YEAR(DJ$3)=YEAR($B$8),MONTH(DJ$3)=MONTH($B$8)),DJ14,IF(DJ$3&gt;$B$8,DJ12,0)))</x:f>
      </x:c>
      <x:c r="DK46" s="117">
        <x:f>MIN(DK38+DK45,IF(AND(YEAR(DK$3)=YEAR($B$8),MONTH(DK$3)=MONTH($B$8)),DK14,IF(DK$3&gt;$B$8,DK12,0)))</x:f>
      </x:c>
      <x:c r="DL46" s="117">
        <x:f>MIN(DL38+DL45,IF(AND(YEAR(DL$3)=YEAR($B$8),MONTH(DL$3)=MONTH($B$8)),DL14,IF(DL$3&gt;$B$8,DL12,0)))</x:f>
      </x:c>
      <x:c r="DM46" s="117">
        <x:f>MIN(DM38+DM45,IF(AND(YEAR(DM$3)=YEAR($B$8),MONTH(DM$3)=MONTH($B$8)),DM14,IF(DM$3&gt;$B$8,DM12,0)))</x:f>
      </x:c>
      <x:c r="DN46" s="117">
        <x:f>MIN(DN38+DN45,IF(AND(YEAR(DN$3)=YEAR($B$8),MONTH(DN$3)=MONTH($B$8)),DN14,IF(DN$3&gt;$B$8,DN12,0)))</x:f>
      </x:c>
      <x:c r="DO46" s="117">
        <x:f>MIN(DO38+DO45,IF(AND(YEAR(DO$3)=YEAR($B$8),MONTH(DO$3)=MONTH($B$8)),DO14,IF(DO$3&gt;$B$8,DO12,0)))</x:f>
      </x:c>
      <x:c r="DP46" s="117">
        <x:f>MIN(DP38+DP45,IF(AND(YEAR(DP$3)=YEAR($B$8),MONTH(DP$3)=MONTH($B$8)),DP14,IF(DP$3&gt;$B$8,DP12,0)))</x:f>
      </x:c>
      <x:c r="DQ46" s="117">
        <x:f>MIN(DQ38+DQ45,IF(AND(YEAR(DQ$3)=YEAR($B$8),MONTH(DQ$3)=MONTH($B$8)),DQ14,IF(DQ$3&gt;$B$8,DQ12,0)))</x:f>
      </x:c>
      <x:c r="DR46" s="117">
        <x:f>MIN(DR38+DR45,IF(AND(YEAR(DR$3)=YEAR($B$8),MONTH(DR$3)=MONTH($B$8)),DR14,IF(DR$3&gt;$B$8,DR12,0)))</x:f>
      </x:c>
      <x:c r="DS46" s="117">
        <x:f>MIN(DS38+DS45,IF(AND(YEAR(DS$3)=YEAR($B$8),MONTH(DS$3)=MONTH($B$8)),DS14,IF(DS$3&gt;$B$8,DS12,0)))</x:f>
      </x:c>
      <x:c r="DT46" s="117">
        <x:f>MIN(DT38+DT45,IF(AND(YEAR(DT$3)=YEAR($B$8),MONTH(DT$3)=MONTH($B$8)),DT14,IF(DT$3&gt;$B$8,DT12,0)))</x:f>
      </x:c>
      <x:c r="DU46" s="117">
        <x:f>MIN(DU38+DU45,IF(AND(YEAR(DU$3)=YEAR($B$8),MONTH(DU$3)=MONTH($B$8)),DU14,IF(DU$3&gt;$B$8,DU12,0)))</x:f>
      </x:c>
      <x:c r="DV46" s="117">
        <x:f>MIN(DV38+DV45,IF(AND(YEAR(DV$3)=YEAR($B$8),MONTH(DV$3)=MONTH($B$8)),DV14,IF(DV$3&gt;$B$8,DV12,0)))</x:f>
      </x:c>
      <x:c r="DW46" s="117">
        <x:f>MIN(DW38+DW45,IF(AND(YEAR(DW$3)=YEAR($B$8),MONTH(DW$3)=MONTH($B$8)),DW14,IF(DW$3&gt;$B$8,DW12,0)))</x:f>
      </x:c>
      <x:c r="DX46" s="117">
        <x:f>MIN(DX38+DX45,IF(AND(YEAR(DX$3)=YEAR($B$8),MONTH(DX$3)=MONTH($B$8)),DX14,IF(DX$3&gt;$B$8,DX12,0)))</x:f>
      </x:c>
      <x:c r="DY46" s="117">
        <x:f>MIN(DY38+DY45,IF(AND(YEAR(DY$3)=YEAR($B$8),MONTH(DY$3)=MONTH($B$8)),DY14,IF(DY$3&gt;$B$8,DY12,0)))</x:f>
      </x:c>
      <x:c r="DZ46" s="117">
        <x:f>MIN(DZ38+DZ45,IF(AND(YEAR(DZ$3)=YEAR($B$8),MONTH(DZ$3)=MONTH($B$8)),DZ14,IF(DZ$3&gt;$B$8,DZ12,0)))</x:f>
      </x:c>
      <x:c r="EA46" s="117">
        <x:f>MIN(EA38+EA45,IF(AND(YEAR(EA$3)=YEAR($B$8),MONTH(EA$3)=MONTH($B$8)),EA14,IF(EA$3&gt;$B$8,EA12,0)))</x:f>
      </x:c>
      <x:c r="EB46" s="117">
        <x:f>MIN(EB38+EB45,IF(AND(YEAR(EB$3)=YEAR($B$8),MONTH(EB$3)=MONTH($B$8)),EB14,IF(EB$3&gt;$B$8,EB12,0)))</x:f>
      </x:c>
      <x:c r="EC46" s="117">
        <x:f>MIN(EC38+EC45,IF(AND(YEAR(EC$3)=YEAR($B$8),MONTH(EC$3)=MONTH($B$8)),EC14,IF(EC$3&gt;$B$8,EC12,0)))</x:f>
      </x:c>
      <x:c r="ED46" s="117">
        <x:f>MIN(ED38+ED45,IF(AND(YEAR(ED$3)=YEAR($B$8),MONTH(ED$3)=MONTH($B$8)),ED14,IF(ED$3&gt;$B$8,ED12,0)))</x:f>
      </x:c>
      <x:c r="EE46" s="117">
        <x:f>MIN(EE38+EE45,IF(AND(YEAR(EE$3)=YEAR($B$8),MONTH(EE$3)=MONTH($B$8)),EE14,IF(EE$3&gt;$B$8,EE12,0)))</x:f>
      </x:c>
      <x:c r="EF46" s="117">
        <x:f>MIN(EF38+EF45,IF(AND(YEAR(EF$3)=YEAR($B$8),MONTH(EF$3)=MONTH($B$8)),EF14,IF(EF$3&gt;$B$8,EF12,0)))</x:f>
      </x:c>
      <x:c r="EG46" s="117">
        <x:f>MIN(EG38+EG45,IF(AND(YEAR(EG$3)=YEAR($B$8),MONTH(EG$3)=MONTH($B$8)),EG14,IF(EG$3&gt;$B$8,EG12,0)))</x:f>
      </x:c>
      <x:c r="EH46" s="117">
        <x:f>MIN(EH38+EH45,IF(AND(YEAR(EH$3)=YEAR($B$8),MONTH(EH$3)=MONTH($B$8)),EH14,IF(EH$3&gt;$B$8,EH12,0)))</x:f>
      </x:c>
      <x:c r="EI46" s="117">
        <x:f>MIN(EI38+EI45,IF(AND(YEAR(EI$3)=YEAR($B$8),MONTH(EI$3)=MONTH($B$8)),EI14,IF(EI$3&gt;$B$8,EI12,0)))</x:f>
      </x:c>
      <x:c r="EJ46" s="117">
        <x:f>MIN(EJ38+EJ45,IF(AND(YEAR(EJ$3)=YEAR($B$8),MONTH(EJ$3)=MONTH($B$8)),EJ14,IF(EJ$3&gt;$B$8,EJ12,0)))</x:f>
      </x:c>
      <x:c r="EK46" s="117">
        <x:f>MIN(EK38+EK45,IF(AND(YEAR(EK$3)=YEAR($B$8),MONTH(EK$3)=MONTH($B$8)),EK14,IF(EK$3&gt;$B$8,EK12,0)))</x:f>
      </x:c>
      <x:c r="EL46" s="117">
        <x:f>MIN(EL38+EL45,IF(AND(YEAR(EL$3)=YEAR($B$8),MONTH(EL$3)=MONTH($B$8)),EL14,IF(EL$3&gt;$B$8,EL12,0)))</x:f>
      </x:c>
      <x:c r="EM46" s="117">
        <x:f>MIN(EM38+EM45,IF(AND(YEAR(EM$3)=YEAR($B$8),MONTH(EM$3)=MONTH($B$8)),EM14,IF(EM$3&gt;$B$8,EM12,0)))</x:f>
      </x:c>
      <x:c r="EN46" s="117">
        <x:f>MIN(EN38+EN45,IF(AND(YEAR(EN$3)=YEAR($B$8),MONTH(EN$3)=MONTH($B$8)),EN14,IF(EN$3&gt;$B$8,EN12,0)))</x:f>
      </x:c>
      <x:c r="EO46" s="117">
        <x:f>MIN(EO38+EO45,IF(AND(YEAR(EO$3)=YEAR($B$8),MONTH(EO$3)=MONTH($B$8)),EO14,IF(EO$3&gt;$B$8,EO12,0)))</x:f>
      </x:c>
      <x:c r="EP46" s="117">
        <x:f>MIN(EP38+EP45,IF(AND(YEAR(EP$3)=YEAR($B$8),MONTH(EP$3)=MONTH($B$8)),EP14,IF(EP$3&gt;$B$8,EP12,0)))</x:f>
      </x:c>
      <x:c r="EQ46" s="117">
        <x:f>MIN(EQ38+EQ45,IF(AND(YEAR(EQ$3)=YEAR($B$8),MONTH(EQ$3)=MONTH($B$8)),EQ14,IF(EQ$3&gt;$B$8,EQ12,0)))</x:f>
      </x:c>
      <x:c r="ER46" s="117">
        <x:f>MIN(ER38+ER45,IF(AND(YEAR(ER$3)=YEAR($B$8),MONTH(ER$3)=MONTH($B$8)),ER14,IF(ER$3&gt;$B$8,ER12,0)))</x:f>
      </x:c>
      <x:c r="ES46" s="117">
        <x:f>MIN(ES38+ES45,IF(AND(YEAR(ES$3)=YEAR($B$8),MONTH(ES$3)=MONTH($B$8)),ES14,IF(ES$3&gt;$B$8,ES12,0)))</x:f>
      </x:c>
      <x:c r="ET46" s="117">
        <x:f>MIN(ET38+ET45,IF(AND(YEAR(ET$3)=YEAR($B$8),MONTH(ET$3)=MONTH($B$8)),ET14,IF(ET$3&gt;$B$8,ET12,0)))</x:f>
      </x:c>
      <x:c r="EU46" s="117">
        <x:f>MIN(EU38+EU45,IF(AND(YEAR(EU$3)=YEAR($B$8),MONTH(EU$3)=MONTH($B$8)),EU14,IF(EU$3&gt;$B$8,EU12,0)))</x:f>
      </x:c>
      <x:c r="EV46" s="117">
        <x:f>MIN(EV38+EV45,IF(AND(YEAR(EV$3)=YEAR($B$8),MONTH(EV$3)=MONTH($B$8)),EV14,IF(EV$3&gt;$B$8,EV12,0)))</x:f>
      </x:c>
      <x:c r="EW46" s="117">
        <x:f>MIN(EW38+EW45,IF(AND(YEAR(EW$3)=YEAR($B$8),MONTH(EW$3)=MONTH($B$8)),EW14,IF(EW$3&gt;$B$8,EW12,0)))</x:f>
      </x:c>
      <x:c r="EX46" s="117">
        <x:f>MIN(EX38+EX45,IF(AND(YEAR(EX$3)=YEAR($B$8),MONTH(EX$3)=MONTH($B$8)),EX14,IF(EX$3&gt;$B$8,EX12,0)))</x:f>
      </x:c>
      <x:c r="EY46" s="117">
        <x:f>MIN(EY38+EY45,IF(AND(YEAR(EY$3)=YEAR($B$8),MONTH(EY$3)=MONTH($B$8)),EY14,IF(EY$3&gt;$B$8,EY12,0)))</x:f>
      </x:c>
      <x:c r="EZ46" s="117">
        <x:f>MIN(EZ38+EZ45,IF(AND(YEAR(EZ$3)=YEAR($B$8),MONTH(EZ$3)=MONTH($B$8)),EZ14,IF(EZ$3&gt;$B$8,EZ12,0)))</x:f>
      </x:c>
      <x:c r="FA46" s="117">
        <x:f>MIN(FA38+FA45,IF(AND(YEAR(FA$3)=YEAR($B$8),MONTH(FA$3)=MONTH($B$8)),FA14,IF(FA$3&gt;$B$8,FA12,0)))</x:f>
      </x:c>
      <x:c r="FB46" s="117">
        <x:f>MIN(FB38+FB45,IF(AND(YEAR(FB$3)=YEAR($B$8),MONTH(FB$3)=MONTH($B$8)),FB14,IF(FB$3&gt;$B$8,FB12,0)))</x:f>
      </x:c>
      <x:c r="FC46" s="117">
        <x:f>MIN(FC38+FC45,IF(AND(YEAR(FC$3)=YEAR($B$8),MONTH(FC$3)=MONTH($B$8)),FC14,IF(FC$3&gt;$B$8,FC12,0)))</x:f>
      </x:c>
      <x:c r="FD46" s="117">
        <x:f>MIN(FD38+FD45,IF(AND(YEAR(FD$3)=YEAR($B$8),MONTH(FD$3)=MONTH($B$8)),FD14,IF(FD$3&gt;$B$8,FD12,0)))</x:f>
      </x:c>
      <x:c r="FE46" s="117">
        <x:f>MIN(FE38+FE45,IF(AND(YEAR(FE$3)=YEAR($B$8),MONTH(FE$3)=MONTH($B$8)),FE14,IF(FE$3&gt;$B$8,FE12,0)))</x:f>
      </x:c>
      <x:c r="FF46" s="117">
        <x:f>MIN(FF38+FF45,IF(AND(YEAR(FF$3)=YEAR($B$8),MONTH(FF$3)=MONTH($B$8)),FF14,IF(FF$3&gt;$B$8,FF12,0)))</x:f>
      </x:c>
      <x:c r="FG46" s="117">
        <x:f>MIN(FG38+FG45,IF(AND(YEAR(FG$3)=YEAR($B$8),MONTH(FG$3)=MONTH($B$8)),FG14,IF(FG$3&gt;$B$8,FG12,0)))</x:f>
      </x:c>
      <x:c r="FH46" s="117">
        <x:f>MIN(FH38+FH45,IF(AND(YEAR(FH$3)=YEAR($B$8),MONTH(FH$3)=MONTH($B$8)),FH14,IF(FH$3&gt;$B$8,FH12,0)))</x:f>
      </x:c>
      <x:c r="FI46" s="117">
        <x:f>MIN(FI38+FI45,IF(AND(YEAR(FI$3)=YEAR($B$8),MONTH(FI$3)=MONTH($B$8)),FI14,IF(FI$3&gt;$B$8,FI12,0)))</x:f>
      </x:c>
      <x:c r="FJ46" s="117">
        <x:f>MIN(FJ38+FJ45,IF(AND(YEAR(FJ$3)=YEAR($B$8),MONTH(FJ$3)=MONTH($B$8)),FJ14,IF(FJ$3&gt;$B$8,FJ12,0)))</x:f>
      </x:c>
      <x:c r="FK46" s="117">
        <x:f>MIN(FK38+FK45,IF(AND(YEAR(FK$3)=YEAR($B$8),MONTH(FK$3)=MONTH($B$8)),FK14,IF(FK$3&gt;$B$8,FK12,0)))</x:f>
      </x:c>
      <x:c r="FL46" s="117">
        <x:f>MIN(FL38+FL45,IF(AND(YEAR(FL$3)=YEAR($B$8),MONTH(FL$3)=MONTH($B$8)),FL14,IF(FL$3&gt;$B$8,FL12,0)))</x:f>
      </x:c>
      <x:c r="FM46" s="117">
        <x:f>MIN(FM38+FM45,IF(AND(YEAR(FM$3)=YEAR($B$8),MONTH(FM$3)=MONTH($B$8)),FM14,IF(FM$3&gt;$B$8,FM12,0)))</x:f>
      </x:c>
      <x:c r="FN46" s="117">
        <x:f>MIN(FN38+FN45,IF(AND(YEAR(FN$3)=YEAR($B$8),MONTH(FN$3)=MONTH($B$8)),FN14,IF(FN$3&gt;$B$8,FN12,0)))</x:f>
      </x:c>
      <x:c r="FO46" s="117">
        <x:f>MIN(FO38+FO45,IF(AND(YEAR(FO$3)=YEAR($B$8),MONTH(FO$3)=MONTH($B$8)),FO14,IF(FO$3&gt;$B$8,FO12,0)))</x:f>
      </x:c>
      <x:c r="FP46" s="117">
        <x:f>MIN(FP38+FP45,IF(AND(YEAR(FP$3)=YEAR($B$8),MONTH(FP$3)=MONTH($B$8)),FP14,IF(FP$3&gt;$B$8,FP12,0)))</x:f>
      </x:c>
      <x:c r="FQ46" s="117">
        <x:f>MIN(FQ38+FQ45,IF(AND(YEAR(FQ$3)=YEAR($B$8),MONTH(FQ$3)=MONTH($B$8)),FQ14,IF(FQ$3&gt;$B$8,FQ12,0)))</x:f>
      </x:c>
      <x:c r="FR46" s="117">
        <x:f>MIN(FR38+FR45,IF(AND(YEAR(FR$3)=YEAR($B$8),MONTH(FR$3)=MONTH($B$8)),FR14,IF(FR$3&gt;$B$8,FR12,0)))</x:f>
      </x:c>
      <x:c r="FS46" s="117">
        <x:f>MIN(FS38+FS45,IF(AND(YEAR(FS$3)=YEAR($B$8),MONTH(FS$3)=MONTH($B$8)),FS14,IF(FS$3&gt;$B$8,FS12,0)))</x:f>
      </x:c>
      <x:c r="FT46" s="117">
        <x:f>MIN(FT38+FT45,IF(AND(YEAR(FT$3)=YEAR($B$8),MONTH(FT$3)=MONTH($B$8)),FT14,IF(FT$3&gt;$B$8,FT12,0)))</x:f>
      </x:c>
      <x:c r="FU46" s="117">
        <x:f>MIN(FU38+FU45,IF(AND(YEAR(FU$3)=YEAR($B$8),MONTH(FU$3)=MONTH($B$8)),FU14,IF(FU$3&gt;$B$8,FU12,0)))</x:f>
      </x:c>
      <x:c r="FV46" s="117">
        <x:f>MIN(FV38+FV45,IF(AND(YEAR(FV$3)=YEAR($B$8),MONTH(FV$3)=MONTH($B$8)),FV14,IF(FV$3&gt;$B$8,FV12,0)))</x:f>
      </x:c>
      <x:c r="FW46" s="117">
        <x:f>MIN(FW38+FW45,IF(AND(YEAR(FW$3)=YEAR($B$8),MONTH(FW$3)=MONTH($B$8)),FW14,IF(FW$3&gt;$B$8,FW12,0)))</x:f>
      </x:c>
      <x:c r="FX46" s="117">
        <x:f>MIN(FX38+FX45,IF(AND(YEAR(FX$3)=YEAR($B$8),MONTH(FX$3)=MONTH($B$8)),FX14,IF(FX$3&gt;$B$8,FX12,0)))</x:f>
      </x:c>
      <x:c r="FY46" s="117">
        <x:f>MIN(FY38+FY45,IF(AND(YEAR(FY$3)=YEAR($B$8),MONTH(FY$3)=MONTH($B$8)),FY14,IF(FY$3&gt;$B$8,FY12,0)))</x:f>
      </x:c>
      <x:c r="FZ46" s="117">
        <x:f>MIN(FZ38+FZ45,IF(AND(YEAR(FZ$3)=YEAR($B$8),MONTH(FZ$3)=MONTH($B$8)),FZ14,IF(FZ$3&gt;$B$8,FZ12,0)))</x:f>
      </x:c>
      <x:c r="GA46" s="117">
        <x:f>MIN(GA38+GA45,IF(AND(YEAR(GA$3)=YEAR($B$8),MONTH(GA$3)=MONTH($B$8)),GA14,IF(GA$3&gt;$B$8,GA12,0)))</x:f>
      </x:c>
    </x:row>
    <x:row r="47">
      <x:c r="A47" s="113" t="str">
        <x:v>ПФ — долг на конец</x:v>
      </x:c>
      <x:c r="B47" s="113" t="n">
        <x:f>GA47</x:f>
      </x:c>
      <x:c r="C47" s="113" t="str">
        <x:v>млн ₽</x:v>
      </x:c>
      <x:c r="D47" s="120">
        <x:f>MAX(0,D38+D45-D46)</x:f>
      </x:c>
      <x:c r="E47" s="120">
        <x:f>MAX(0,E38+E45-E46)</x:f>
      </x:c>
      <x:c r="F47" s="120">
        <x:f>MAX(0,F38+F45-F46)</x:f>
      </x:c>
      <x:c r="G47" s="120">
        <x:f>MAX(0,G38+G45-G46)</x:f>
      </x:c>
      <x:c r="H47" s="120">
        <x:f>MAX(0,H38+H45-H46)</x:f>
      </x:c>
      <x:c r="I47" s="120">
        <x:f>MAX(0,I38+I45-I46)</x:f>
      </x:c>
      <x:c r="J47" s="120">
        <x:f>MAX(0,J38+J45-J46)</x:f>
      </x:c>
      <x:c r="K47" s="120">
        <x:f>MAX(0,K38+K45-K46)</x:f>
      </x:c>
      <x:c r="L47" s="120">
        <x:f>MAX(0,L38+L45-L46)</x:f>
      </x:c>
      <x:c r="M47" s="120">
        <x:f>MAX(0,M38+M45-M46)</x:f>
      </x:c>
      <x:c r="N47" s="120">
        <x:f>MAX(0,N38+N45-N46)</x:f>
      </x:c>
      <x:c r="O47" s="120">
        <x:f>MAX(0,O38+O45-O46)</x:f>
      </x:c>
      <x:c r="P47" s="120">
        <x:f>MAX(0,P38+P45-P46)</x:f>
      </x:c>
      <x:c r="Q47" s="120">
        <x:f>MAX(0,Q38+Q45-Q46)</x:f>
      </x:c>
      <x:c r="R47" s="120">
        <x:f>MAX(0,R38+R45-R46)</x:f>
      </x:c>
      <x:c r="S47" s="120">
        <x:f>MAX(0,S38+S45-S46)</x:f>
      </x:c>
      <x:c r="T47" s="120">
        <x:f>MAX(0,T38+T45-T46)</x:f>
      </x:c>
      <x:c r="U47" s="120">
        <x:f>MAX(0,U38+U45-U46)</x:f>
      </x:c>
      <x:c r="V47" s="120">
        <x:f>MAX(0,V38+V45-V46)</x:f>
      </x:c>
      <x:c r="W47" s="120">
        <x:f>MAX(0,W38+W45-W46)</x:f>
      </x:c>
      <x:c r="X47" s="120">
        <x:f>MAX(0,X38+X45-X46)</x:f>
      </x:c>
      <x:c r="Y47" s="120">
        <x:f>MAX(0,Y38+Y45-Y46)</x:f>
      </x:c>
      <x:c r="Z47" s="120">
        <x:f>MAX(0,Z38+Z45-Z46)</x:f>
      </x:c>
      <x:c r="AA47" s="120">
        <x:f>MAX(0,AA38+AA45-AA46)</x:f>
      </x:c>
      <x:c r="AB47" s="120">
        <x:f>MAX(0,AB38+AB45-AB46)</x:f>
      </x:c>
      <x:c r="AC47" s="120">
        <x:f>MAX(0,AC38+AC45-AC46)</x:f>
      </x:c>
      <x:c r="AD47" s="120">
        <x:f>MAX(0,AD38+AD45-AD46)</x:f>
      </x:c>
      <x:c r="AE47" s="120">
        <x:f>MAX(0,AE38+AE45-AE46)</x:f>
      </x:c>
      <x:c r="AF47" s="120">
        <x:f>MAX(0,AF38+AF45-AF46)</x:f>
      </x:c>
      <x:c r="AG47" s="120">
        <x:f>MAX(0,AG38+AG45-AG46)</x:f>
      </x:c>
      <x:c r="AH47" s="120">
        <x:f>MAX(0,AH38+AH45-AH46)</x:f>
      </x:c>
      <x:c r="AI47" s="120">
        <x:f>MAX(0,AI38+AI45-AI46)</x:f>
      </x:c>
      <x:c r="AJ47" s="120">
        <x:f>MAX(0,AJ38+AJ45-AJ46)</x:f>
      </x:c>
      <x:c r="AK47" s="120">
        <x:f>MAX(0,AK38+AK45-AK46)</x:f>
      </x:c>
      <x:c r="AL47" s="120">
        <x:f>MAX(0,AL38+AL45-AL46)</x:f>
      </x:c>
      <x:c r="AM47" s="120">
        <x:f>MAX(0,AM38+AM45-AM46)</x:f>
      </x:c>
      <x:c r="AN47" s="120">
        <x:f>MAX(0,AN38+AN45-AN46)</x:f>
      </x:c>
      <x:c r="AO47" s="120">
        <x:f>MAX(0,AO38+AO45-AO46)</x:f>
      </x:c>
      <x:c r="AP47" s="120">
        <x:f>MAX(0,AP38+AP45-AP46)</x:f>
      </x:c>
      <x:c r="AQ47" s="120">
        <x:f>MAX(0,AQ38+AQ45-AQ46)</x:f>
      </x:c>
      <x:c r="AR47" s="120">
        <x:f>MAX(0,AR38+AR45-AR46)</x:f>
      </x:c>
      <x:c r="AS47" s="120">
        <x:f>MAX(0,AS38+AS45-AS46)</x:f>
      </x:c>
      <x:c r="AT47" s="120">
        <x:f>MAX(0,AT38+AT45-AT46)</x:f>
      </x:c>
      <x:c r="AU47" s="120">
        <x:f>MAX(0,AU38+AU45-AU46)</x:f>
      </x:c>
      <x:c r="AV47" s="120">
        <x:f>MAX(0,AV38+AV45-AV46)</x:f>
      </x:c>
      <x:c r="AW47" s="120">
        <x:f>MAX(0,AW38+AW45-AW46)</x:f>
      </x:c>
      <x:c r="AX47" s="120">
        <x:f>MAX(0,AX38+AX45-AX46)</x:f>
      </x:c>
      <x:c r="AY47" s="120">
        <x:f>MAX(0,AY38+AY45-AY46)</x:f>
      </x:c>
      <x:c r="AZ47" s="120">
        <x:f>MAX(0,AZ38+AZ45-AZ46)</x:f>
      </x:c>
      <x:c r="BA47" s="120">
        <x:f>MAX(0,BA38+BA45-BA46)</x:f>
      </x:c>
      <x:c r="BB47" s="120">
        <x:f>MAX(0,BB38+BB45-BB46)</x:f>
      </x:c>
      <x:c r="BC47" s="120">
        <x:f>MAX(0,BC38+BC45-BC46)</x:f>
      </x:c>
      <x:c r="BD47" s="120">
        <x:f>MAX(0,BD38+BD45-BD46)</x:f>
      </x:c>
      <x:c r="BE47" s="120">
        <x:f>MAX(0,BE38+BE45-BE46)</x:f>
      </x:c>
      <x:c r="BF47" s="120">
        <x:f>MAX(0,BF38+BF45-BF46)</x:f>
      </x:c>
      <x:c r="BG47" s="120">
        <x:f>MAX(0,BG38+BG45-BG46)</x:f>
      </x:c>
      <x:c r="BH47" s="120">
        <x:f>MAX(0,BH38+BH45-BH46)</x:f>
      </x:c>
      <x:c r="BI47" s="120">
        <x:f>MAX(0,BI38+BI45-BI46)</x:f>
      </x:c>
      <x:c r="BJ47" s="120">
        <x:f>MAX(0,BJ38+BJ45-BJ46)</x:f>
      </x:c>
      <x:c r="BK47" s="120">
        <x:f>MAX(0,BK38+BK45-BK46)</x:f>
      </x:c>
      <x:c r="BL47" s="120">
        <x:f>MAX(0,BL38+BL45-BL46)</x:f>
      </x:c>
      <x:c r="BM47" s="120">
        <x:f>MAX(0,BM38+BM45-BM46)</x:f>
      </x:c>
      <x:c r="BN47" s="120">
        <x:f>MAX(0,BN38+BN45-BN46)</x:f>
      </x:c>
      <x:c r="BO47" s="120">
        <x:f>MAX(0,BO38+BO45-BO46)</x:f>
      </x:c>
      <x:c r="BP47" s="120">
        <x:f>MAX(0,BP38+BP45-BP46)</x:f>
      </x:c>
      <x:c r="BQ47" s="120">
        <x:f>MAX(0,BQ38+BQ45-BQ46)</x:f>
      </x:c>
      <x:c r="BR47" s="120">
        <x:f>MAX(0,BR38+BR45-BR46)</x:f>
      </x:c>
      <x:c r="BS47" s="120">
        <x:f>MAX(0,BS38+BS45-BS46)</x:f>
      </x:c>
      <x:c r="BT47" s="120">
        <x:f>MAX(0,BT38+BT45-BT46)</x:f>
      </x:c>
      <x:c r="BU47" s="120">
        <x:f>MAX(0,BU38+BU45-BU46)</x:f>
      </x:c>
      <x:c r="BV47" s="120">
        <x:f>MAX(0,BV38+BV45-BV46)</x:f>
      </x:c>
      <x:c r="BW47" s="120">
        <x:f>MAX(0,BW38+BW45-BW46)</x:f>
      </x:c>
      <x:c r="BX47" s="120">
        <x:f>MAX(0,BX38+BX45-BX46)</x:f>
      </x:c>
      <x:c r="BY47" s="120">
        <x:f>MAX(0,BY38+BY45-BY46)</x:f>
      </x:c>
      <x:c r="BZ47" s="120">
        <x:f>MAX(0,BZ38+BZ45-BZ46)</x:f>
      </x:c>
      <x:c r="CA47" s="120">
        <x:f>MAX(0,CA38+CA45-CA46)</x:f>
      </x:c>
      <x:c r="CB47" s="120">
        <x:f>MAX(0,CB38+CB45-CB46)</x:f>
      </x:c>
      <x:c r="CC47" s="120">
        <x:f>MAX(0,CC38+CC45-CC46)</x:f>
      </x:c>
      <x:c r="CD47" s="120">
        <x:f>MAX(0,CD38+CD45-CD46)</x:f>
      </x:c>
      <x:c r="CE47" s="120">
        <x:f>MAX(0,CE38+CE45-CE46)</x:f>
      </x:c>
      <x:c r="CF47" s="120">
        <x:f>MAX(0,CF38+CF45-CF46)</x:f>
      </x:c>
      <x:c r="CG47" s="120">
        <x:f>MAX(0,CG38+CG45-CG46)</x:f>
      </x:c>
      <x:c r="CH47" s="120">
        <x:f>MAX(0,CH38+CH45-CH46)</x:f>
      </x:c>
      <x:c r="CI47" s="120">
        <x:f>MAX(0,CI38+CI45-CI46)</x:f>
      </x:c>
      <x:c r="CJ47" s="120">
        <x:f>MAX(0,CJ38+CJ45-CJ46)</x:f>
      </x:c>
      <x:c r="CK47" s="120">
        <x:f>MAX(0,CK38+CK45-CK46)</x:f>
      </x:c>
      <x:c r="CL47" s="120">
        <x:f>MAX(0,CL38+CL45-CL46)</x:f>
      </x:c>
      <x:c r="CM47" s="120">
        <x:f>MAX(0,CM38+CM45-CM46)</x:f>
      </x:c>
      <x:c r="CN47" s="120">
        <x:f>MAX(0,CN38+CN45-CN46)</x:f>
      </x:c>
      <x:c r="CO47" s="120">
        <x:f>MAX(0,CO38+CO45-CO46)</x:f>
      </x:c>
      <x:c r="CP47" s="120">
        <x:f>MAX(0,CP38+CP45-CP46)</x:f>
      </x:c>
      <x:c r="CQ47" s="120">
        <x:f>MAX(0,CQ38+CQ45-CQ46)</x:f>
      </x:c>
      <x:c r="CR47" s="120">
        <x:f>MAX(0,CR38+CR45-CR46)</x:f>
      </x:c>
      <x:c r="CS47" s="120">
        <x:f>MAX(0,CS38+CS45-CS46)</x:f>
      </x:c>
      <x:c r="CT47" s="120">
        <x:f>MAX(0,CT38+CT45-CT46)</x:f>
      </x:c>
      <x:c r="CU47" s="120">
        <x:f>MAX(0,CU38+CU45-CU46)</x:f>
      </x:c>
      <x:c r="CV47" s="120">
        <x:f>MAX(0,CV38+CV45-CV46)</x:f>
      </x:c>
      <x:c r="CW47" s="120">
        <x:f>MAX(0,CW38+CW45-CW46)</x:f>
      </x:c>
      <x:c r="CX47" s="120">
        <x:f>MAX(0,CX38+CX45-CX46)</x:f>
      </x:c>
      <x:c r="CY47" s="120">
        <x:f>MAX(0,CY38+CY45-CY46)</x:f>
      </x:c>
      <x:c r="CZ47" s="120">
        <x:f>MAX(0,CZ38+CZ45-CZ46)</x:f>
      </x:c>
      <x:c r="DA47" s="120">
        <x:f>MAX(0,DA38+DA45-DA46)</x:f>
      </x:c>
      <x:c r="DB47" s="120">
        <x:f>MAX(0,DB38+DB45-DB46)</x:f>
      </x:c>
      <x:c r="DC47" s="120">
        <x:f>MAX(0,DC38+DC45-DC46)</x:f>
      </x:c>
      <x:c r="DD47" s="120">
        <x:f>MAX(0,DD38+DD45-DD46)</x:f>
      </x:c>
      <x:c r="DE47" s="120">
        <x:f>MAX(0,DE38+DE45-DE46)</x:f>
      </x:c>
      <x:c r="DF47" s="120">
        <x:f>MAX(0,DF38+DF45-DF46)</x:f>
      </x:c>
      <x:c r="DG47" s="120">
        <x:f>MAX(0,DG38+DG45-DG46)</x:f>
      </x:c>
      <x:c r="DH47" s="120">
        <x:f>MAX(0,DH38+DH45-DH46)</x:f>
      </x:c>
      <x:c r="DI47" s="120">
        <x:f>MAX(0,DI38+DI45-DI46)</x:f>
      </x:c>
      <x:c r="DJ47" s="120">
        <x:f>MAX(0,DJ38+DJ45-DJ46)</x:f>
      </x:c>
      <x:c r="DK47" s="120">
        <x:f>MAX(0,DK38+DK45-DK46)</x:f>
      </x:c>
      <x:c r="DL47" s="120">
        <x:f>MAX(0,DL38+DL45-DL46)</x:f>
      </x:c>
      <x:c r="DM47" s="120">
        <x:f>MAX(0,DM38+DM45-DM46)</x:f>
      </x:c>
      <x:c r="DN47" s="120">
        <x:f>MAX(0,DN38+DN45-DN46)</x:f>
      </x:c>
      <x:c r="DO47" s="120">
        <x:f>MAX(0,DO38+DO45-DO46)</x:f>
      </x:c>
      <x:c r="DP47" s="120">
        <x:f>MAX(0,DP38+DP45-DP46)</x:f>
      </x:c>
      <x:c r="DQ47" s="120">
        <x:f>MAX(0,DQ38+DQ45-DQ46)</x:f>
      </x:c>
      <x:c r="DR47" s="120">
        <x:f>MAX(0,DR38+DR45-DR46)</x:f>
      </x:c>
      <x:c r="DS47" s="120">
        <x:f>MAX(0,DS38+DS45-DS46)</x:f>
      </x:c>
      <x:c r="DT47" s="120">
        <x:f>MAX(0,DT38+DT45-DT46)</x:f>
      </x:c>
      <x:c r="DU47" s="120">
        <x:f>MAX(0,DU38+DU45-DU46)</x:f>
      </x:c>
      <x:c r="DV47" s="120">
        <x:f>MAX(0,DV38+DV45-DV46)</x:f>
      </x:c>
      <x:c r="DW47" s="120">
        <x:f>MAX(0,DW38+DW45-DW46)</x:f>
      </x:c>
      <x:c r="DX47" s="120">
        <x:f>MAX(0,DX38+DX45-DX46)</x:f>
      </x:c>
      <x:c r="DY47" s="120">
        <x:f>MAX(0,DY38+DY45-DY46)</x:f>
      </x:c>
      <x:c r="DZ47" s="120">
        <x:f>MAX(0,DZ38+DZ45-DZ46)</x:f>
      </x:c>
      <x:c r="EA47" s="120">
        <x:f>MAX(0,EA38+EA45-EA46)</x:f>
      </x:c>
      <x:c r="EB47" s="120">
        <x:f>MAX(0,EB38+EB45-EB46)</x:f>
      </x:c>
      <x:c r="EC47" s="120">
        <x:f>MAX(0,EC38+EC45-EC46)</x:f>
      </x:c>
      <x:c r="ED47" s="120">
        <x:f>MAX(0,ED38+ED45-ED46)</x:f>
      </x:c>
      <x:c r="EE47" s="120">
        <x:f>MAX(0,EE38+EE45-EE46)</x:f>
      </x:c>
      <x:c r="EF47" s="120">
        <x:f>MAX(0,EF38+EF45-EF46)</x:f>
      </x:c>
      <x:c r="EG47" s="120">
        <x:f>MAX(0,EG38+EG45-EG46)</x:f>
      </x:c>
      <x:c r="EH47" s="120">
        <x:f>MAX(0,EH38+EH45-EH46)</x:f>
      </x:c>
      <x:c r="EI47" s="120">
        <x:f>MAX(0,EI38+EI45-EI46)</x:f>
      </x:c>
      <x:c r="EJ47" s="120">
        <x:f>MAX(0,EJ38+EJ45-EJ46)</x:f>
      </x:c>
      <x:c r="EK47" s="120">
        <x:f>MAX(0,EK38+EK45-EK46)</x:f>
      </x:c>
      <x:c r="EL47" s="120">
        <x:f>MAX(0,EL38+EL45-EL46)</x:f>
      </x:c>
      <x:c r="EM47" s="120">
        <x:f>MAX(0,EM38+EM45-EM46)</x:f>
      </x:c>
      <x:c r="EN47" s="120">
        <x:f>MAX(0,EN38+EN45-EN46)</x:f>
      </x:c>
      <x:c r="EO47" s="120">
        <x:f>MAX(0,EO38+EO45-EO46)</x:f>
      </x:c>
      <x:c r="EP47" s="120">
        <x:f>MAX(0,EP38+EP45-EP46)</x:f>
      </x:c>
      <x:c r="EQ47" s="120">
        <x:f>MAX(0,EQ38+EQ45-EQ46)</x:f>
      </x:c>
      <x:c r="ER47" s="120">
        <x:f>MAX(0,ER38+ER45-ER46)</x:f>
      </x:c>
      <x:c r="ES47" s="120">
        <x:f>MAX(0,ES38+ES45-ES46)</x:f>
      </x:c>
      <x:c r="ET47" s="120">
        <x:f>MAX(0,ET38+ET45-ET46)</x:f>
      </x:c>
      <x:c r="EU47" s="120">
        <x:f>MAX(0,EU38+EU45-EU46)</x:f>
      </x:c>
      <x:c r="EV47" s="120">
        <x:f>MAX(0,EV38+EV45-EV46)</x:f>
      </x:c>
      <x:c r="EW47" s="120">
        <x:f>MAX(0,EW38+EW45-EW46)</x:f>
      </x:c>
      <x:c r="EX47" s="120">
        <x:f>MAX(0,EX38+EX45-EX46)</x:f>
      </x:c>
      <x:c r="EY47" s="120">
        <x:f>MAX(0,EY38+EY45-EY46)</x:f>
      </x:c>
      <x:c r="EZ47" s="120">
        <x:f>MAX(0,EZ38+EZ45-EZ46)</x:f>
      </x:c>
      <x:c r="FA47" s="120">
        <x:f>MAX(0,FA38+FA45-FA46)</x:f>
      </x:c>
      <x:c r="FB47" s="120">
        <x:f>MAX(0,FB38+FB45-FB46)</x:f>
      </x:c>
      <x:c r="FC47" s="120">
        <x:f>MAX(0,FC38+FC45-FC46)</x:f>
      </x:c>
      <x:c r="FD47" s="120">
        <x:f>MAX(0,FD38+FD45-FD46)</x:f>
      </x:c>
      <x:c r="FE47" s="120">
        <x:f>MAX(0,FE38+FE45-FE46)</x:f>
      </x:c>
      <x:c r="FF47" s="120">
        <x:f>MAX(0,FF38+FF45-FF46)</x:f>
      </x:c>
      <x:c r="FG47" s="120">
        <x:f>MAX(0,FG38+FG45-FG46)</x:f>
      </x:c>
      <x:c r="FH47" s="120">
        <x:f>MAX(0,FH38+FH45-FH46)</x:f>
      </x:c>
      <x:c r="FI47" s="120">
        <x:f>MAX(0,FI38+FI45-FI46)</x:f>
      </x:c>
      <x:c r="FJ47" s="120">
        <x:f>MAX(0,FJ38+FJ45-FJ46)</x:f>
      </x:c>
      <x:c r="FK47" s="120">
        <x:f>MAX(0,FK38+FK45-FK46)</x:f>
      </x:c>
      <x:c r="FL47" s="120">
        <x:f>MAX(0,FL38+FL45-FL46)</x:f>
      </x:c>
      <x:c r="FM47" s="120">
        <x:f>MAX(0,FM38+FM45-FM46)</x:f>
      </x:c>
      <x:c r="FN47" s="120">
        <x:f>MAX(0,FN38+FN45-FN46)</x:f>
      </x:c>
      <x:c r="FO47" s="120">
        <x:f>MAX(0,FO38+FO45-FO46)</x:f>
      </x:c>
      <x:c r="FP47" s="120">
        <x:f>MAX(0,FP38+FP45-FP46)</x:f>
      </x:c>
      <x:c r="FQ47" s="120">
        <x:f>MAX(0,FQ38+FQ45-FQ46)</x:f>
      </x:c>
      <x:c r="FR47" s="120">
        <x:f>MAX(0,FR38+FR45-FR46)</x:f>
      </x:c>
      <x:c r="FS47" s="120">
        <x:f>MAX(0,FS38+FS45-FS46)</x:f>
      </x:c>
      <x:c r="FT47" s="120">
        <x:f>MAX(0,FT38+FT45-FT46)</x:f>
      </x:c>
      <x:c r="FU47" s="120">
        <x:f>MAX(0,FU38+FU45-FU46)</x:f>
      </x:c>
      <x:c r="FV47" s="120">
        <x:f>MAX(0,FV38+FV45-FV46)</x:f>
      </x:c>
      <x:c r="FW47" s="120">
        <x:f>MAX(0,FW38+FW45-FW46)</x:f>
      </x:c>
      <x:c r="FX47" s="120">
        <x:f>MAX(0,FX38+FX45-FX46)</x:f>
      </x:c>
      <x:c r="FY47" s="120">
        <x:f>MAX(0,FY38+FY45-FY46)</x:f>
      </x:c>
      <x:c r="FZ47" s="120">
        <x:f>MAX(0,FZ38+FZ45-FZ46)</x:f>
      </x:c>
      <x:c r="GA47" s="120">
        <x:f>MAX(0,GA38+GA45-GA46)</x:f>
      </x:c>
    </x:row>
    <x:row r="48">
      <x:c r="A48" t="inlineStr">
        <x:is>
          <x:t>ПФ — проценты к уплате (накопленно)</x:t>
        </x:is>
      </x:c>
      <x:c r="B48"/>
      <x:c r="C48"/>
      <x:c r="D48" s="117">
        <x:f>IF(AND(D$3&gt;=$B$7,D$3&lt;$B$8),C48*(1+D41/12)+D42+D43+IF(AND(AND(YEAR(D$3)=YEAR($B$7),MONTH(D$3)=MONTH($B$7)),'Вводные'!$B$31="Капитализация в ПФ"),C37,0),0)</x:f>
      </x:c>
      <x:c r="E48" s="117">
        <x:f>IF(AND(E$3&gt;=$B$7,E$3&lt;$B$8),D48*(1+E41/12)+E42+E43+IF(AND(AND(YEAR(E$3)=YEAR($B$7),MONTH(E$3)=MONTH($B$7)),'Вводные'!$B$31="Капитализация в ПФ"),D37,0),0)</x:f>
      </x:c>
      <x:c r="F48" s="117">
        <x:f>IF(AND(F$3&gt;=$B$7,F$3&lt;$B$8),E48*(1+F41/12)+F42+F43+IF(AND(AND(YEAR(F$3)=YEAR($B$7),MONTH(F$3)=MONTH($B$7)),'Вводные'!$B$31="Капитализация в ПФ"),E37,0),0)</x:f>
      </x:c>
      <x:c r="G48" s="117">
        <x:f>IF(AND(G$3&gt;=$B$7,G$3&lt;$B$8),F48*(1+G41/12)+G42+G43+IF(AND(AND(YEAR(G$3)=YEAR($B$7),MONTH(G$3)=MONTH($B$7)),'Вводные'!$B$31="Капитализация в ПФ"),F37,0),0)</x:f>
      </x:c>
      <x:c r="H48" s="117">
        <x:f>IF(AND(H$3&gt;=$B$7,H$3&lt;$B$8),G48*(1+H41/12)+H42+H43+IF(AND(AND(YEAR(H$3)=YEAR($B$7),MONTH(H$3)=MONTH($B$7)),'Вводные'!$B$31="Капитализация в ПФ"),G37,0),0)</x:f>
      </x:c>
      <x:c r="I48" s="117">
        <x:f>IF(AND(I$3&gt;=$B$7,I$3&lt;$B$8),H48*(1+I41/12)+I42+I43+IF(AND(AND(YEAR(I$3)=YEAR($B$7),MONTH(I$3)=MONTH($B$7)),'Вводные'!$B$31="Капитализация в ПФ"),H37,0),0)</x:f>
      </x:c>
      <x:c r="J48" s="117">
        <x:f>IF(AND(J$3&gt;=$B$7,J$3&lt;$B$8),I48*(1+J41/12)+J42+J43+IF(AND(AND(YEAR(J$3)=YEAR($B$7),MONTH(J$3)=MONTH($B$7)),'Вводные'!$B$31="Капитализация в ПФ"),I37,0),0)</x:f>
      </x:c>
      <x:c r="K48" s="117">
        <x:f>IF(AND(K$3&gt;=$B$7,K$3&lt;$B$8),J48*(1+K41/12)+K42+K43+IF(AND(AND(YEAR(K$3)=YEAR($B$7),MONTH(K$3)=MONTH($B$7)),'Вводные'!$B$31="Капитализация в ПФ"),J37,0),0)</x:f>
      </x:c>
      <x:c r="L48" s="117">
        <x:f>IF(AND(L$3&gt;=$B$7,L$3&lt;$B$8),K48*(1+L41/12)+L42+L43+IF(AND(AND(YEAR(L$3)=YEAR($B$7),MONTH(L$3)=MONTH($B$7)),'Вводные'!$B$31="Капитализация в ПФ"),K37,0),0)</x:f>
      </x:c>
      <x:c r="M48" s="117">
        <x:f>IF(AND(M$3&gt;=$B$7,M$3&lt;$B$8),L48*(1+M41/12)+M42+M43+IF(AND(AND(YEAR(M$3)=YEAR($B$7),MONTH(M$3)=MONTH($B$7)),'Вводные'!$B$31="Капитализация в ПФ"),L37,0),0)</x:f>
      </x:c>
      <x:c r="N48" s="117">
        <x:f>IF(AND(N$3&gt;=$B$7,N$3&lt;$B$8),M48*(1+N41/12)+N42+N43+IF(AND(AND(YEAR(N$3)=YEAR($B$7),MONTH(N$3)=MONTH($B$7)),'Вводные'!$B$31="Капитализация в ПФ"),M37,0),0)</x:f>
      </x:c>
      <x:c r="O48" s="117">
        <x:f>IF(AND(O$3&gt;=$B$7,O$3&lt;$B$8),N48*(1+O41/12)+O42+O43+IF(AND(AND(YEAR(O$3)=YEAR($B$7),MONTH(O$3)=MONTH($B$7)),'Вводные'!$B$31="Капитализация в ПФ"),N37,0),0)</x:f>
      </x:c>
      <x:c r="P48" s="117">
        <x:f>IF(AND(P$3&gt;=$B$7,P$3&lt;$B$8),O48*(1+P41/12)+P42+P43+IF(AND(AND(YEAR(P$3)=YEAR($B$7),MONTH(P$3)=MONTH($B$7)),'Вводные'!$B$31="Капитализация в ПФ"),O37,0),0)</x:f>
      </x:c>
      <x:c r="Q48" s="117">
        <x:f>IF(AND(Q$3&gt;=$B$7,Q$3&lt;$B$8),P48*(1+Q41/12)+Q42+Q43+IF(AND(AND(YEAR(Q$3)=YEAR($B$7),MONTH(Q$3)=MONTH($B$7)),'Вводные'!$B$31="Капитализация в ПФ"),P37,0),0)</x:f>
      </x:c>
      <x:c r="R48" s="117">
        <x:f>IF(AND(R$3&gt;=$B$7,R$3&lt;$B$8),Q48*(1+R41/12)+R42+R43+IF(AND(AND(YEAR(R$3)=YEAR($B$7),MONTH(R$3)=MONTH($B$7)),'Вводные'!$B$31="Капитализация в ПФ"),Q37,0),0)</x:f>
      </x:c>
      <x:c r="S48" s="117">
        <x:f>IF(AND(S$3&gt;=$B$7,S$3&lt;$B$8),R48*(1+S41/12)+S42+S43+IF(AND(AND(YEAR(S$3)=YEAR($B$7),MONTH(S$3)=MONTH($B$7)),'Вводные'!$B$31="Капитализация в ПФ"),R37,0),0)</x:f>
      </x:c>
      <x:c r="T48" s="117">
        <x:f>IF(AND(T$3&gt;=$B$7,T$3&lt;$B$8),S48*(1+T41/12)+T42+T43+IF(AND(AND(YEAR(T$3)=YEAR($B$7),MONTH(T$3)=MONTH($B$7)),'Вводные'!$B$31="Капитализация в ПФ"),S37,0),0)</x:f>
      </x:c>
      <x:c r="U48" s="117">
        <x:f>IF(AND(U$3&gt;=$B$7,U$3&lt;$B$8),T48*(1+U41/12)+U42+U43+IF(AND(AND(YEAR(U$3)=YEAR($B$7),MONTH(U$3)=MONTH($B$7)),'Вводные'!$B$31="Капитализация в ПФ"),T37,0),0)</x:f>
      </x:c>
      <x:c r="V48" s="117">
        <x:f>IF(AND(V$3&gt;=$B$7,V$3&lt;$B$8),U48*(1+V41/12)+V42+V43+IF(AND(AND(YEAR(V$3)=YEAR($B$7),MONTH(V$3)=MONTH($B$7)),'Вводные'!$B$31="Капитализация в ПФ"),U37,0),0)</x:f>
      </x:c>
      <x:c r="W48" s="117">
        <x:f>IF(AND(W$3&gt;=$B$7,W$3&lt;$B$8),V48*(1+W41/12)+W42+W43+IF(AND(AND(YEAR(W$3)=YEAR($B$7),MONTH(W$3)=MONTH($B$7)),'Вводные'!$B$31="Капитализация в ПФ"),V37,0),0)</x:f>
      </x:c>
      <x:c r="X48" s="117">
        <x:f>IF(AND(X$3&gt;=$B$7,X$3&lt;$B$8),W48*(1+X41/12)+X42+X43+IF(AND(AND(YEAR(X$3)=YEAR($B$7),MONTH(X$3)=MONTH($B$7)),'Вводные'!$B$31="Капитализация в ПФ"),W37,0),0)</x:f>
      </x:c>
      <x:c r="Y48" s="117">
        <x:f>IF(AND(Y$3&gt;=$B$7,Y$3&lt;$B$8),X48*(1+Y41/12)+Y42+Y43+IF(AND(AND(YEAR(Y$3)=YEAR($B$7),MONTH(Y$3)=MONTH($B$7)),'Вводные'!$B$31="Капитализация в ПФ"),X37,0),0)</x:f>
      </x:c>
      <x:c r="Z48" s="117">
        <x:f>IF(AND(Z$3&gt;=$B$7,Z$3&lt;$B$8),Y48*(1+Z41/12)+Z42+Z43+IF(AND(AND(YEAR(Z$3)=YEAR($B$7),MONTH(Z$3)=MONTH($B$7)),'Вводные'!$B$31="Капитализация в ПФ"),Y37,0),0)</x:f>
      </x:c>
      <x:c r="AA48" s="117">
        <x:f>IF(AND(AA$3&gt;=$B$7,AA$3&lt;$B$8),Z48*(1+AA41/12)+AA42+AA43+IF(AND(AND(YEAR(AA$3)=YEAR($B$7),MONTH(AA$3)=MONTH($B$7)),'Вводные'!$B$31="Капитализация в ПФ"),Z37,0),0)</x:f>
      </x:c>
      <x:c r="AB48" s="117">
        <x:f>IF(AND(AB$3&gt;=$B$7,AB$3&lt;$B$8),AA48*(1+AB41/12)+AB42+AB43+IF(AND(AND(YEAR(AB$3)=YEAR($B$7),MONTH(AB$3)=MONTH($B$7)),'Вводные'!$B$31="Капитализация в ПФ"),AA37,0),0)</x:f>
      </x:c>
      <x:c r="AC48" s="117">
        <x:f>IF(AND(AC$3&gt;=$B$7,AC$3&lt;$B$8),AB48*(1+AC41/12)+AC42+AC43+IF(AND(AND(YEAR(AC$3)=YEAR($B$7),MONTH(AC$3)=MONTH($B$7)),'Вводные'!$B$31="Капитализация в ПФ"),AB37,0),0)</x:f>
      </x:c>
      <x:c r="AD48" s="117">
        <x:f>IF(AND(AD$3&gt;=$B$7,AD$3&lt;$B$8),AC48*(1+AD41/12)+AD42+AD43+IF(AND(AND(YEAR(AD$3)=YEAR($B$7),MONTH(AD$3)=MONTH($B$7)),'Вводные'!$B$31="Капитализация в ПФ"),AC37,0),0)</x:f>
      </x:c>
      <x:c r="AE48" s="117">
        <x:f>IF(AND(AE$3&gt;=$B$7,AE$3&lt;$B$8),AD48*(1+AE41/12)+AE42+AE43+IF(AND(AND(YEAR(AE$3)=YEAR($B$7),MONTH(AE$3)=MONTH($B$7)),'Вводные'!$B$31="Капитализация в ПФ"),AD37,0),0)</x:f>
      </x:c>
      <x:c r="AF48" s="117">
        <x:f>IF(AND(AF$3&gt;=$B$7,AF$3&lt;$B$8),AE48*(1+AF41/12)+AF42+AF43+IF(AND(AND(YEAR(AF$3)=YEAR($B$7),MONTH(AF$3)=MONTH($B$7)),'Вводные'!$B$31="Капитализация в ПФ"),AE37,0),0)</x:f>
      </x:c>
      <x:c r="AG48" s="117">
        <x:f>IF(AND(AG$3&gt;=$B$7,AG$3&lt;$B$8),AF48*(1+AG41/12)+AG42+AG43+IF(AND(AND(YEAR(AG$3)=YEAR($B$7),MONTH(AG$3)=MONTH($B$7)),'Вводные'!$B$31="Капитализация в ПФ"),AF37,0),0)</x:f>
      </x:c>
      <x:c r="AH48" s="117">
        <x:f>IF(AND(AH$3&gt;=$B$7,AH$3&lt;$B$8),AG48*(1+AH41/12)+AH42+AH43+IF(AND(AND(YEAR(AH$3)=YEAR($B$7),MONTH(AH$3)=MONTH($B$7)),'Вводные'!$B$31="Капитализация в ПФ"),AG37,0),0)</x:f>
      </x:c>
      <x:c r="AI48" s="117">
        <x:f>IF(AND(AI$3&gt;=$B$7,AI$3&lt;$B$8),AH48*(1+AI41/12)+AI42+AI43+IF(AND(AND(YEAR(AI$3)=YEAR($B$7),MONTH(AI$3)=MONTH($B$7)),'Вводные'!$B$31="Капитализация в ПФ"),AH37,0),0)</x:f>
      </x:c>
      <x:c r="AJ48" s="117">
        <x:f>IF(AND(AJ$3&gt;=$B$7,AJ$3&lt;$B$8),AI48*(1+AJ41/12)+AJ42+AJ43+IF(AND(AND(YEAR(AJ$3)=YEAR($B$7),MONTH(AJ$3)=MONTH($B$7)),'Вводные'!$B$31="Капитализация в ПФ"),AI37,0),0)</x:f>
      </x:c>
      <x:c r="AK48" s="117">
        <x:f>IF(AND(AK$3&gt;=$B$7,AK$3&lt;$B$8),AJ48*(1+AK41/12)+AK42+AK43+IF(AND(AND(YEAR(AK$3)=YEAR($B$7),MONTH(AK$3)=MONTH($B$7)),'Вводные'!$B$31="Капитализация в ПФ"),AJ37,0),0)</x:f>
      </x:c>
      <x:c r="AL48" s="117">
        <x:f>IF(AND(AL$3&gt;=$B$7,AL$3&lt;$B$8),AK48*(1+AL41/12)+AL42+AL43+IF(AND(AND(YEAR(AL$3)=YEAR($B$7),MONTH(AL$3)=MONTH($B$7)),'Вводные'!$B$31="Капитализация в ПФ"),AK37,0),0)</x:f>
      </x:c>
      <x:c r="AM48" s="117">
        <x:f>IF(AND(AM$3&gt;=$B$7,AM$3&lt;$B$8),AL48*(1+AM41/12)+AM42+AM43+IF(AND(AND(YEAR(AM$3)=YEAR($B$7),MONTH(AM$3)=MONTH($B$7)),'Вводные'!$B$31="Капитализация в ПФ"),AL37,0),0)</x:f>
      </x:c>
      <x:c r="AN48" s="117">
        <x:f>IF(AND(AN$3&gt;=$B$7,AN$3&lt;$B$8),AM48*(1+AN41/12)+AN42+AN43+IF(AND(AND(YEAR(AN$3)=YEAR($B$7),MONTH(AN$3)=MONTH($B$7)),'Вводные'!$B$31="Капитализация в ПФ"),AM37,0),0)</x:f>
      </x:c>
      <x:c r="AO48" s="117">
        <x:f>IF(AND(AO$3&gt;=$B$7,AO$3&lt;$B$8),AN48*(1+AO41/12)+AO42+AO43+IF(AND(AND(YEAR(AO$3)=YEAR($B$7),MONTH(AO$3)=MONTH($B$7)),'Вводные'!$B$31="Капитализация в ПФ"),AN37,0),0)</x:f>
      </x:c>
      <x:c r="AP48" s="117">
        <x:f>IF(AND(AP$3&gt;=$B$7,AP$3&lt;$B$8),AO48*(1+AP41/12)+AP42+AP43+IF(AND(AND(YEAR(AP$3)=YEAR($B$7),MONTH(AP$3)=MONTH($B$7)),'Вводные'!$B$31="Капитализация в ПФ"),AO37,0),0)</x:f>
      </x:c>
      <x:c r="AQ48" s="117">
        <x:f>IF(AND(AQ$3&gt;=$B$7,AQ$3&lt;$B$8),AP48*(1+AQ41/12)+AQ42+AQ43+IF(AND(AND(YEAR(AQ$3)=YEAR($B$7),MONTH(AQ$3)=MONTH($B$7)),'Вводные'!$B$31="Капитализация в ПФ"),AP37,0),0)</x:f>
      </x:c>
      <x:c r="AR48" s="117">
        <x:f>IF(AND(AR$3&gt;=$B$7,AR$3&lt;$B$8),AQ48*(1+AR41/12)+AR42+AR43+IF(AND(AND(YEAR(AR$3)=YEAR($B$7),MONTH(AR$3)=MONTH($B$7)),'Вводные'!$B$31="Капитализация в ПФ"),AQ37,0),0)</x:f>
      </x:c>
      <x:c r="AS48" s="117">
        <x:f>IF(AND(AS$3&gt;=$B$7,AS$3&lt;$B$8),AR48*(1+AS41/12)+AS42+AS43+IF(AND(AND(YEAR(AS$3)=YEAR($B$7),MONTH(AS$3)=MONTH($B$7)),'Вводные'!$B$31="Капитализация в ПФ"),AR37,0),0)</x:f>
      </x:c>
      <x:c r="AT48" s="117">
        <x:f>IF(AND(AT$3&gt;=$B$7,AT$3&lt;$B$8),AS48*(1+AT41/12)+AT42+AT43+IF(AND(AND(YEAR(AT$3)=YEAR($B$7),MONTH(AT$3)=MONTH($B$7)),'Вводные'!$B$31="Капитализация в ПФ"),AS37,0),0)</x:f>
      </x:c>
      <x:c r="AU48" s="117">
        <x:f>IF(AND(AU$3&gt;=$B$7,AU$3&lt;$B$8),AT48*(1+AU41/12)+AU42+AU43+IF(AND(AND(YEAR(AU$3)=YEAR($B$7),MONTH(AU$3)=MONTH($B$7)),'Вводные'!$B$31="Капитализация в ПФ"),AT37,0),0)</x:f>
      </x:c>
      <x:c r="AV48" s="117">
        <x:f>IF(AND(AV$3&gt;=$B$7,AV$3&lt;$B$8),AU48*(1+AV41/12)+AV42+AV43+IF(AND(AND(YEAR(AV$3)=YEAR($B$7),MONTH(AV$3)=MONTH($B$7)),'Вводные'!$B$31="Капитализация в ПФ"),AU37,0),0)</x:f>
      </x:c>
      <x:c r="AW48" s="117">
        <x:f>IF(AND(AW$3&gt;=$B$7,AW$3&lt;$B$8),AV48*(1+AW41/12)+AW42+AW43+IF(AND(AND(YEAR(AW$3)=YEAR($B$7),MONTH(AW$3)=MONTH($B$7)),'Вводные'!$B$31="Капитализация в ПФ"),AV37,0),0)</x:f>
      </x:c>
      <x:c r="AX48" s="117">
        <x:f>IF(AND(AX$3&gt;=$B$7,AX$3&lt;$B$8),AW48*(1+AX41/12)+AX42+AX43+IF(AND(AND(YEAR(AX$3)=YEAR($B$7),MONTH(AX$3)=MONTH($B$7)),'Вводные'!$B$31="Капитализация в ПФ"),AW37,0),0)</x:f>
      </x:c>
      <x:c r="AY48" s="117">
        <x:f>IF(AND(AY$3&gt;=$B$7,AY$3&lt;$B$8),AX48*(1+AY41/12)+AY42+AY43+IF(AND(AND(YEAR(AY$3)=YEAR($B$7),MONTH(AY$3)=MONTH($B$7)),'Вводные'!$B$31="Капитализация в ПФ"),AX37,0),0)</x:f>
      </x:c>
      <x:c r="AZ48" s="117">
        <x:f>IF(AND(AZ$3&gt;=$B$7,AZ$3&lt;$B$8),AY48*(1+AZ41/12)+AZ42+AZ43+IF(AND(AND(YEAR(AZ$3)=YEAR($B$7),MONTH(AZ$3)=MONTH($B$7)),'Вводные'!$B$31="Капитализация в ПФ"),AY37,0),0)</x:f>
      </x:c>
      <x:c r="BA48" s="117">
        <x:f>IF(AND(BA$3&gt;=$B$7,BA$3&lt;$B$8),AZ48*(1+BA41/12)+BA42+BA43+IF(AND(AND(YEAR(BA$3)=YEAR($B$7),MONTH(BA$3)=MONTH($B$7)),'Вводные'!$B$31="Капитализация в ПФ"),AZ37,0),0)</x:f>
      </x:c>
      <x:c r="BB48" s="117">
        <x:f>IF(AND(BB$3&gt;=$B$7,BB$3&lt;$B$8),BA48*(1+BB41/12)+BB42+BB43+IF(AND(AND(YEAR(BB$3)=YEAR($B$7),MONTH(BB$3)=MONTH($B$7)),'Вводные'!$B$31="Капитализация в ПФ"),BA37,0),0)</x:f>
      </x:c>
      <x:c r="BC48" s="117">
        <x:f>IF(AND(BC$3&gt;=$B$7,BC$3&lt;$B$8),BB48*(1+BC41/12)+BC42+BC43+IF(AND(AND(YEAR(BC$3)=YEAR($B$7),MONTH(BC$3)=MONTH($B$7)),'Вводные'!$B$31="Капитализация в ПФ"),BB37,0),0)</x:f>
      </x:c>
      <x:c r="BD48" s="117">
        <x:f>IF(AND(BD$3&gt;=$B$7,BD$3&lt;$B$8),BC48*(1+BD41/12)+BD42+BD43+IF(AND(AND(YEAR(BD$3)=YEAR($B$7),MONTH(BD$3)=MONTH($B$7)),'Вводные'!$B$31="Капитализация в ПФ"),BC37,0),0)</x:f>
      </x:c>
      <x:c r="BE48" s="117">
        <x:f>IF(AND(BE$3&gt;=$B$7,BE$3&lt;$B$8),BD48*(1+BE41/12)+BE42+BE43+IF(AND(AND(YEAR(BE$3)=YEAR($B$7),MONTH(BE$3)=MONTH($B$7)),'Вводные'!$B$31="Капитализация в ПФ"),BD37,0),0)</x:f>
      </x:c>
      <x:c r="BF48" s="117">
        <x:f>IF(AND(BF$3&gt;=$B$7,BF$3&lt;$B$8),BE48*(1+BF41/12)+BF42+BF43+IF(AND(AND(YEAR(BF$3)=YEAR($B$7),MONTH(BF$3)=MONTH($B$7)),'Вводные'!$B$31="Капитализация в ПФ"),BE37,0),0)</x:f>
      </x:c>
      <x:c r="BG48" s="117">
        <x:f>IF(AND(BG$3&gt;=$B$7,BG$3&lt;$B$8),BF48*(1+BG41/12)+BG42+BG43+IF(AND(AND(YEAR(BG$3)=YEAR($B$7),MONTH(BG$3)=MONTH($B$7)),'Вводные'!$B$31="Капитализация в ПФ"),BF37,0),0)</x:f>
      </x:c>
      <x:c r="BH48" s="117">
        <x:f>IF(AND(BH$3&gt;=$B$7,BH$3&lt;$B$8),BG48*(1+BH41/12)+BH42+BH43+IF(AND(AND(YEAR(BH$3)=YEAR($B$7),MONTH(BH$3)=MONTH($B$7)),'Вводные'!$B$31="Капитализация в ПФ"),BG37,0),0)</x:f>
      </x:c>
      <x:c r="BI48" s="117">
        <x:f>IF(AND(BI$3&gt;=$B$7,BI$3&lt;$B$8),BH48*(1+BI41/12)+BI42+BI43+IF(AND(AND(YEAR(BI$3)=YEAR($B$7),MONTH(BI$3)=MONTH($B$7)),'Вводные'!$B$31="Капитализация в ПФ"),BH37,0),0)</x:f>
      </x:c>
      <x:c r="BJ48" s="117">
        <x:f>IF(AND(BJ$3&gt;=$B$7,BJ$3&lt;$B$8),BI48*(1+BJ41/12)+BJ42+BJ43+IF(AND(AND(YEAR(BJ$3)=YEAR($B$7),MONTH(BJ$3)=MONTH($B$7)),'Вводные'!$B$31="Капитализация в ПФ"),BI37,0),0)</x:f>
      </x:c>
      <x:c r="BK48" s="117">
        <x:f>IF(AND(BK$3&gt;=$B$7,BK$3&lt;$B$8),BJ48*(1+BK41/12)+BK42+BK43+IF(AND(AND(YEAR(BK$3)=YEAR($B$7),MONTH(BK$3)=MONTH($B$7)),'Вводные'!$B$31="Капитализация в ПФ"),BJ37,0),0)</x:f>
      </x:c>
      <x:c r="BL48" s="117">
        <x:f>IF(AND(BL$3&gt;=$B$7,BL$3&lt;$B$8),BK48*(1+BL41/12)+BL42+BL43+IF(AND(AND(YEAR(BL$3)=YEAR($B$7),MONTH(BL$3)=MONTH($B$7)),'Вводные'!$B$31="Капитализация в ПФ"),BK37,0),0)</x:f>
      </x:c>
      <x:c r="BM48" s="117">
        <x:f>IF(AND(BM$3&gt;=$B$7,BM$3&lt;$B$8),BL48*(1+BM41/12)+BM42+BM43+IF(AND(AND(YEAR(BM$3)=YEAR($B$7),MONTH(BM$3)=MONTH($B$7)),'Вводные'!$B$31="Капитализация в ПФ"),BL37,0),0)</x:f>
      </x:c>
      <x:c r="BN48" s="117">
        <x:f>IF(AND(BN$3&gt;=$B$7,BN$3&lt;$B$8),BM48*(1+BN41/12)+BN42+BN43+IF(AND(AND(YEAR(BN$3)=YEAR($B$7),MONTH(BN$3)=MONTH($B$7)),'Вводные'!$B$31="Капитализация в ПФ"),BM37,0),0)</x:f>
      </x:c>
      <x:c r="BO48" s="117">
        <x:f>IF(AND(BO$3&gt;=$B$7,BO$3&lt;$B$8),BN48*(1+BO41/12)+BO42+BO43+IF(AND(AND(YEAR(BO$3)=YEAR($B$7),MONTH(BO$3)=MONTH($B$7)),'Вводные'!$B$31="Капитализация в ПФ"),BN37,0),0)</x:f>
      </x:c>
      <x:c r="BP48" s="117">
        <x:f>IF(AND(BP$3&gt;=$B$7,BP$3&lt;$B$8),BO48*(1+BP41/12)+BP42+BP43+IF(AND(AND(YEAR(BP$3)=YEAR($B$7),MONTH(BP$3)=MONTH($B$7)),'Вводные'!$B$31="Капитализация в ПФ"),BO37,0),0)</x:f>
      </x:c>
      <x:c r="BQ48" s="117">
        <x:f>IF(AND(BQ$3&gt;=$B$7,BQ$3&lt;$B$8),BP48*(1+BQ41/12)+BQ42+BQ43+IF(AND(AND(YEAR(BQ$3)=YEAR($B$7),MONTH(BQ$3)=MONTH($B$7)),'Вводные'!$B$31="Капитализация в ПФ"),BP37,0),0)</x:f>
      </x:c>
      <x:c r="BR48" s="117">
        <x:f>IF(AND(BR$3&gt;=$B$7,BR$3&lt;$B$8),BQ48*(1+BR41/12)+BR42+BR43+IF(AND(AND(YEAR(BR$3)=YEAR($B$7),MONTH(BR$3)=MONTH($B$7)),'Вводные'!$B$31="Капитализация в ПФ"),BQ37,0),0)</x:f>
      </x:c>
      <x:c r="BS48" s="117">
        <x:f>IF(AND(BS$3&gt;=$B$7,BS$3&lt;$B$8),BR48*(1+BS41/12)+BS42+BS43+IF(AND(AND(YEAR(BS$3)=YEAR($B$7),MONTH(BS$3)=MONTH($B$7)),'Вводные'!$B$31="Капитализация в ПФ"),BR37,0),0)</x:f>
      </x:c>
      <x:c r="BT48" s="117">
        <x:f>IF(AND(BT$3&gt;=$B$7,BT$3&lt;$B$8),BS48*(1+BT41/12)+BT42+BT43+IF(AND(AND(YEAR(BT$3)=YEAR($B$7),MONTH(BT$3)=MONTH($B$7)),'Вводные'!$B$31="Капитализация в ПФ"),BS37,0),0)</x:f>
      </x:c>
      <x:c r="BU48" s="117">
        <x:f>IF(AND(BU$3&gt;=$B$7,BU$3&lt;$B$8),BT48*(1+BU41/12)+BU42+BU43+IF(AND(AND(YEAR(BU$3)=YEAR($B$7),MONTH(BU$3)=MONTH($B$7)),'Вводные'!$B$31="Капитализация в ПФ"),BT37,0),0)</x:f>
      </x:c>
      <x:c r="BV48" s="117">
        <x:f>IF(AND(BV$3&gt;=$B$7,BV$3&lt;$B$8),BU48*(1+BV41/12)+BV42+BV43+IF(AND(AND(YEAR(BV$3)=YEAR($B$7),MONTH(BV$3)=MONTH($B$7)),'Вводные'!$B$31="Капитализация в ПФ"),BU37,0),0)</x:f>
      </x:c>
      <x:c r="BW48" s="117">
        <x:f>IF(AND(BW$3&gt;=$B$7,BW$3&lt;$B$8),BV48*(1+BW41/12)+BW42+BW43+IF(AND(AND(YEAR(BW$3)=YEAR($B$7),MONTH(BW$3)=MONTH($B$7)),'Вводные'!$B$31="Капитализация в ПФ"),BV37,0),0)</x:f>
      </x:c>
      <x:c r="BX48" s="117">
        <x:f>IF(AND(BX$3&gt;=$B$7,BX$3&lt;$B$8),BW48*(1+BX41/12)+BX42+BX43+IF(AND(AND(YEAR(BX$3)=YEAR($B$7),MONTH(BX$3)=MONTH($B$7)),'Вводные'!$B$31="Капитализация в ПФ"),BW37,0),0)</x:f>
      </x:c>
      <x:c r="BY48" s="117">
        <x:f>IF(AND(BY$3&gt;=$B$7,BY$3&lt;$B$8),BX48*(1+BY41/12)+BY42+BY43+IF(AND(AND(YEAR(BY$3)=YEAR($B$7),MONTH(BY$3)=MONTH($B$7)),'Вводные'!$B$31="Капитализация в ПФ"),BX37,0),0)</x:f>
      </x:c>
      <x:c r="BZ48" s="117">
        <x:f>IF(AND(BZ$3&gt;=$B$7,BZ$3&lt;$B$8),BY48*(1+BZ41/12)+BZ42+BZ43+IF(AND(AND(YEAR(BZ$3)=YEAR($B$7),MONTH(BZ$3)=MONTH($B$7)),'Вводные'!$B$31="Капитализация в ПФ"),BY37,0),0)</x:f>
      </x:c>
      <x:c r="CA48" s="117">
        <x:f>IF(AND(CA$3&gt;=$B$7,CA$3&lt;$B$8),BZ48*(1+CA41/12)+CA42+CA43+IF(AND(AND(YEAR(CA$3)=YEAR($B$7),MONTH(CA$3)=MONTH($B$7)),'Вводные'!$B$31="Капитализация в ПФ"),BZ37,0),0)</x:f>
      </x:c>
      <x:c r="CB48" s="117">
        <x:f>IF(AND(CB$3&gt;=$B$7,CB$3&lt;$B$8),CA48*(1+CB41/12)+CB42+CB43+IF(AND(AND(YEAR(CB$3)=YEAR($B$7),MONTH(CB$3)=MONTH($B$7)),'Вводные'!$B$31="Капитализация в ПФ"),CA37,0),0)</x:f>
      </x:c>
      <x:c r="CC48" s="117">
        <x:f>IF(AND(CC$3&gt;=$B$7,CC$3&lt;$B$8),CB48*(1+CC41/12)+CC42+CC43+IF(AND(AND(YEAR(CC$3)=YEAR($B$7),MONTH(CC$3)=MONTH($B$7)),'Вводные'!$B$31="Капитализация в ПФ"),CB37,0),0)</x:f>
      </x:c>
      <x:c r="CD48" s="117">
        <x:f>IF(AND(CD$3&gt;=$B$7,CD$3&lt;$B$8),CC48*(1+CD41/12)+CD42+CD43+IF(AND(AND(YEAR(CD$3)=YEAR($B$7),MONTH(CD$3)=MONTH($B$7)),'Вводные'!$B$31="Капитализация в ПФ"),CC37,0),0)</x:f>
      </x:c>
      <x:c r="CE48" s="117">
        <x:f>IF(AND(CE$3&gt;=$B$7,CE$3&lt;$B$8),CD48*(1+CE41/12)+CE42+CE43+IF(AND(AND(YEAR(CE$3)=YEAR($B$7),MONTH(CE$3)=MONTH($B$7)),'Вводные'!$B$31="Капитализация в ПФ"),CD37,0),0)</x:f>
      </x:c>
      <x:c r="CF48" s="117">
        <x:f>IF(AND(CF$3&gt;=$B$7,CF$3&lt;$B$8),CE48*(1+CF41/12)+CF42+CF43+IF(AND(AND(YEAR(CF$3)=YEAR($B$7),MONTH(CF$3)=MONTH($B$7)),'Вводные'!$B$31="Капитализация в ПФ"),CE37,0),0)</x:f>
      </x:c>
      <x:c r="CG48" s="117">
        <x:f>IF(AND(CG$3&gt;=$B$7,CG$3&lt;$B$8),CF48*(1+CG41/12)+CG42+CG43+IF(AND(AND(YEAR(CG$3)=YEAR($B$7),MONTH(CG$3)=MONTH($B$7)),'Вводные'!$B$31="Капитализация в ПФ"),CF37,0),0)</x:f>
      </x:c>
      <x:c r="CH48" s="117">
        <x:f>IF(AND(CH$3&gt;=$B$7,CH$3&lt;$B$8),CG48*(1+CH41/12)+CH42+CH43+IF(AND(AND(YEAR(CH$3)=YEAR($B$7),MONTH(CH$3)=MONTH($B$7)),'Вводные'!$B$31="Капитализация в ПФ"),CG37,0),0)</x:f>
      </x:c>
      <x:c r="CI48" s="117">
        <x:f>IF(AND(CI$3&gt;=$B$7,CI$3&lt;$B$8),CH48*(1+CI41/12)+CI42+CI43+IF(AND(AND(YEAR(CI$3)=YEAR($B$7),MONTH(CI$3)=MONTH($B$7)),'Вводные'!$B$31="Капитализация в ПФ"),CH37,0),0)</x:f>
      </x:c>
      <x:c r="CJ48" s="117">
        <x:f>IF(AND(CJ$3&gt;=$B$7,CJ$3&lt;$B$8),CI48*(1+CJ41/12)+CJ42+CJ43+IF(AND(AND(YEAR(CJ$3)=YEAR($B$7),MONTH(CJ$3)=MONTH($B$7)),'Вводные'!$B$31="Капитализация в ПФ"),CI37,0),0)</x:f>
      </x:c>
      <x:c r="CK48" s="117">
        <x:f>IF(AND(CK$3&gt;=$B$7,CK$3&lt;$B$8),CJ48*(1+CK41/12)+CK42+CK43+IF(AND(AND(YEAR(CK$3)=YEAR($B$7),MONTH(CK$3)=MONTH($B$7)),'Вводные'!$B$31="Капитализация в ПФ"),CJ37,0),0)</x:f>
      </x:c>
      <x:c r="CL48" s="117">
        <x:f>IF(AND(CL$3&gt;=$B$7,CL$3&lt;$B$8),CK48*(1+CL41/12)+CL42+CL43+IF(AND(AND(YEAR(CL$3)=YEAR($B$7),MONTH(CL$3)=MONTH($B$7)),'Вводные'!$B$31="Капитализация в ПФ"),CK37,0),0)</x:f>
      </x:c>
      <x:c r="CM48" s="117">
        <x:f>IF(AND(CM$3&gt;=$B$7,CM$3&lt;$B$8),CL48*(1+CM41/12)+CM42+CM43+IF(AND(AND(YEAR(CM$3)=YEAR($B$7),MONTH(CM$3)=MONTH($B$7)),'Вводные'!$B$31="Капитализация в ПФ"),CL37,0),0)</x:f>
      </x:c>
      <x:c r="CN48" s="117">
        <x:f>IF(AND(CN$3&gt;=$B$7,CN$3&lt;$B$8),CM48*(1+CN41/12)+CN42+CN43+IF(AND(AND(YEAR(CN$3)=YEAR($B$7),MONTH(CN$3)=MONTH($B$7)),'Вводные'!$B$31="Капитализация в ПФ"),CM37,0),0)</x:f>
      </x:c>
      <x:c r="CO48" s="117">
        <x:f>IF(AND(CO$3&gt;=$B$7,CO$3&lt;$B$8),CN48*(1+CO41/12)+CO42+CO43+IF(AND(AND(YEAR(CO$3)=YEAR($B$7),MONTH(CO$3)=MONTH($B$7)),'Вводные'!$B$31="Капитализация в ПФ"),CN37,0),0)</x:f>
      </x:c>
      <x:c r="CP48" s="117">
        <x:f>IF(AND(CP$3&gt;=$B$7,CP$3&lt;$B$8),CO48*(1+CP41/12)+CP42+CP43+IF(AND(AND(YEAR(CP$3)=YEAR($B$7),MONTH(CP$3)=MONTH($B$7)),'Вводные'!$B$31="Капитализация в ПФ"),CO37,0),0)</x:f>
      </x:c>
      <x:c r="CQ48" s="117">
        <x:f>IF(AND(CQ$3&gt;=$B$7,CQ$3&lt;$B$8),CP48*(1+CQ41/12)+CQ42+CQ43+IF(AND(AND(YEAR(CQ$3)=YEAR($B$7),MONTH(CQ$3)=MONTH($B$7)),'Вводные'!$B$31="Капитализация в ПФ"),CP37,0),0)</x:f>
      </x:c>
      <x:c r="CR48" s="117">
        <x:f>IF(AND(CR$3&gt;=$B$7,CR$3&lt;$B$8),CQ48*(1+CR41/12)+CR42+CR43+IF(AND(AND(YEAR(CR$3)=YEAR($B$7),MONTH(CR$3)=MONTH($B$7)),'Вводные'!$B$31="Капитализация в ПФ"),CQ37,0),0)</x:f>
      </x:c>
      <x:c r="CS48" s="117">
        <x:f>IF(AND(CS$3&gt;=$B$7,CS$3&lt;$B$8),CR48*(1+CS41/12)+CS42+CS43+IF(AND(AND(YEAR(CS$3)=YEAR($B$7),MONTH(CS$3)=MONTH($B$7)),'Вводные'!$B$31="Капитализация в ПФ"),CR37,0),0)</x:f>
      </x:c>
      <x:c r="CT48" s="117">
        <x:f>IF(AND(CT$3&gt;=$B$7,CT$3&lt;$B$8),CS48*(1+CT41/12)+CT42+CT43+IF(AND(AND(YEAR(CT$3)=YEAR($B$7),MONTH(CT$3)=MONTH($B$7)),'Вводные'!$B$31="Капитализация в ПФ"),CS37,0),0)</x:f>
      </x:c>
      <x:c r="CU48" s="117">
        <x:f>IF(AND(CU$3&gt;=$B$7,CU$3&lt;$B$8),CT48*(1+CU41/12)+CU42+CU43+IF(AND(AND(YEAR(CU$3)=YEAR($B$7),MONTH(CU$3)=MONTH($B$7)),'Вводные'!$B$31="Капитализация в ПФ"),CT37,0),0)</x:f>
      </x:c>
      <x:c r="CV48" s="117">
        <x:f>IF(AND(CV$3&gt;=$B$7,CV$3&lt;$B$8),CU48*(1+CV41/12)+CV42+CV43+IF(AND(AND(YEAR(CV$3)=YEAR($B$7),MONTH(CV$3)=MONTH($B$7)),'Вводные'!$B$31="Капитализация в ПФ"),CU37,0),0)</x:f>
      </x:c>
      <x:c r="CW48" s="117">
        <x:f>IF(AND(CW$3&gt;=$B$7,CW$3&lt;$B$8),CV48*(1+CW41/12)+CW42+CW43+IF(AND(AND(YEAR(CW$3)=YEAR($B$7),MONTH(CW$3)=MONTH($B$7)),'Вводные'!$B$31="Капитализация в ПФ"),CV37,0),0)</x:f>
      </x:c>
      <x:c r="CX48" s="117">
        <x:f>IF(AND(CX$3&gt;=$B$7,CX$3&lt;$B$8),CW48*(1+CX41/12)+CX42+CX43+IF(AND(AND(YEAR(CX$3)=YEAR($B$7),MONTH(CX$3)=MONTH($B$7)),'Вводные'!$B$31="Капитализация в ПФ"),CW37,0),0)</x:f>
      </x:c>
      <x:c r="CY48" s="117">
        <x:f>IF(AND(CY$3&gt;=$B$7,CY$3&lt;$B$8),CX48*(1+CY41/12)+CY42+CY43+IF(AND(AND(YEAR(CY$3)=YEAR($B$7),MONTH(CY$3)=MONTH($B$7)),'Вводные'!$B$31="Капитализация в ПФ"),CX37,0),0)</x:f>
      </x:c>
      <x:c r="CZ48" s="117">
        <x:f>IF(AND(CZ$3&gt;=$B$7,CZ$3&lt;$B$8),CY48*(1+CZ41/12)+CZ42+CZ43+IF(AND(AND(YEAR(CZ$3)=YEAR($B$7),MONTH(CZ$3)=MONTH($B$7)),'Вводные'!$B$31="Капитализация в ПФ"),CY37,0),0)</x:f>
      </x:c>
      <x:c r="DA48" s="117">
        <x:f>IF(AND(DA$3&gt;=$B$7,DA$3&lt;$B$8),CZ48*(1+DA41/12)+DA42+DA43+IF(AND(AND(YEAR(DA$3)=YEAR($B$7),MONTH(DA$3)=MONTH($B$7)),'Вводные'!$B$31="Капитализация в ПФ"),CZ37,0),0)</x:f>
      </x:c>
      <x:c r="DB48" s="117">
        <x:f>IF(AND(DB$3&gt;=$B$7,DB$3&lt;$B$8),DA48*(1+DB41/12)+DB42+DB43+IF(AND(AND(YEAR(DB$3)=YEAR($B$7),MONTH(DB$3)=MONTH($B$7)),'Вводные'!$B$31="Капитализация в ПФ"),DA37,0),0)</x:f>
      </x:c>
      <x:c r="DC48" s="117">
        <x:f>IF(AND(DC$3&gt;=$B$7,DC$3&lt;$B$8),DB48*(1+DC41/12)+DC42+DC43+IF(AND(AND(YEAR(DC$3)=YEAR($B$7),MONTH(DC$3)=MONTH($B$7)),'Вводные'!$B$31="Капитализация в ПФ"),DB37,0),0)</x:f>
      </x:c>
      <x:c r="DD48" s="117">
        <x:f>IF(AND(DD$3&gt;=$B$7,DD$3&lt;$B$8),DC48*(1+DD41/12)+DD42+DD43+IF(AND(AND(YEAR(DD$3)=YEAR($B$7),MONTH(DD$3)=MONTH($B$7)),'Вводные'!$B$31="Капитализация в ПФ"),DC37,0),0)</x:f>
      </x:c>
      <x:c r="DE48" s="117">
        <x:f>IF(AND(DE$3&gt;=$B$7,DE$3&lt;$B$8),DD48*(1+DE41/12)+DE42+DE43+IF(AND(AND(YEAR(DE$3)=YEAR($B$7),MONTH(DE$3)=MONTH($B$7)),'Вводные'!$B$31="Капитализация в ПФ"),DD37,0),0)</x:f>
      </x:c>
      <x:c r="DF48" s="117">
        <x:f>IF(AND(DF$3&gt;=$B$7,DF$3&lt;$B$8),DE48*(1+DF41/12)+DF42+DF43+IF(AND(AND(YEAR(DF$3)=YEAR($B$7),MONTH(DF$3)=MONTH($B$7)),'Вводные'!$B$31="Капитализация в ПФ"),DE37,0),0)</x:f>
      </x:c>
      <x:c r="DG48" s="117">
        <x:f>IF(AND(DG$3&gt;=$B$7,DG$3&lt;$B$8),DF48*(1+DG41/12)+DG42+DG43+IF(AND(AND(YEAR(DG$3)=YEAR($B$7),MONTH(DG$3)=MONTH($B$7)),'Вводные'!$B$31="Капитализация в ПФ"),DF37,0),0)</x:f>
      </x:c>
      <x:c r="DH48" s="117">
        <x:f>IF(AND(DH$3&gt;=$B$7,DH$3&lt;$B$8),DG48*(1+DH41/12)+DH42+DH43+IF(AND(AND(YEAR(DH$3)=YEAR($B$7),MONTH(DH$3)=MONTH($B$7)),'Вводные'!$B$31="Капитализация в ПФ"),DG37,0),0)</x:f>
      </x:c>
      <x:c r="DI48" s="117">
        <x:f>IF(AND(DI$3&gt;=$B$7,DI$3&lt;$B$8),DH48*(1+DI41/12)+DI42+DI43+IF(AND(AND(YEAR(DI$3)=YEAR($B$7),MONTH(DI$3)=MONTH($B$7)),'Вводные'!$B$31="Капитализация в ПФ"),DH37,0),0)</x:f>
      </x:c>
      <x:c r="DJ48" s="117">
        <x:f>IF(AND(DJ$3&gt;=$B$7,DJ$3&lt;$B$8),DI48*(1+DJ41/12)+DJ42+DJ43+IF(AND(AND(YEAR(DJ$3)=YEAR($B$7),MONTH(DJ$3)=MONTH($B$7)),'Вводные'!$B$31="Капитализация в ПФ"),DI37,0),0)</x:f>
      </x:c>
      <x:c r="DK48" s="117">
        <x:f>IF(AND(DK$3&gt;=$B$7,DK$3&lt;$B$8),DJ48*(1+DK41/12)+DK42+DK43+IF(AND(AND(YEAR(DK$3)=YEAR($B$7),MONTH(DK$3)=MONTH($B$7)),'Вводные'!$B$31="Капитализация в ПФ"),DJ37,0),0)</x:f>
      </x:c>
      <x:c r="DL48" s="117">
        <x:f>IF(AND(DL$3&gt;=$B$7,DL$3&lt;$B$8),DK48*(1+DL41/12)+DL42+DL43+IF(AND(AND(YEAR(DL$3)=YEAR($B$7),MONTH(DL$3)=MONTH($B$7)),'Вводные'!$B$31="Капитализация в ПФ"),DK37,0),0)</x:f>
      </x:c>
      <x:c r="DM48" s="117">
        <x:f>IF(AND(DM$3&gt;=$B$7,DM$3&lt;$B$8),DL48*(1+DM41/12)+DM42+DM43+IF(AND(AND(YEAR(DM$3)=YEAR($B$7),MONTH(DM$3)=MONTH($B$7)),'Вводные'!$B$31="Капитализация в ПФ"),DL37,0),0)</x:f>
      </x:c>
      <x:c r="DN48" s="117">
        <x:f>IF(AND(DN$3&gt;=$B$7,DN$3&lt;$B$8),DM48*(1+DN41/12)+DN42+DN43+IF(AND(AND(YEAR(DN$3)=YEAR($B$7),MONTH(DN$3)=MONTH($B$7)),'Вводные'!$B$31="Капитализация в ПФ"),DM37,0),0)</x:f>
      </x:c>
      <x:c r="DO48" s="117">
        <x:f>IF(AND(DO$3&gt;=$B$7,DO$3&lt;$B$8),DN48*(1+DO41/12)+DO42+DO43+IF(AND(AND(YEAR(DO$3)=YEAR($B$7),MONTH(DO$3)=MONTH($B$7)),'Вводные'!$B$31="Капитализация в ПФ"),DN37,0),0)</x:f>
      </x:c>
      <x:c r="DP48" s="117">
        <x:f>IF(AND(DP$3&gt;=$B$7,DP$3&lt;$B$8),DO48*(1+DP41/12)+DP42+DP43+IF(AND(AND(YEAR(DP$3)=YEAR($B$7),MONTH(DP$3)=MONTH($B$7)),'Вводные'!$B$31="Капитализация в ПФ"),DO37,0),0)</x:f>
      </x:c>
      <x:c r="DQ48" s="117">
        <x:f>IF(AND(DQ$3&gt;=$B$7,DQ$3&lt;$B$8),DP48*(1+DQ41/12)+DQ42+DQ43+IF(AND(AND(YEAR(DQ$3)=YEAR($B$7),MONTH(DQ$3)=MONTH($B$7)),'Вводные'!$B$31="Капитализация в ПФ"),DP37,0),0)</x:f>
      </x:c>
      <x:c r="DR48" s="117">
        <x:f>IF(AND(DR$3&gt;=$B$7,DR$3&lt;$B$8),DQ48*(1+DR41/12)+DR42+DR43+IF(AND(AND(YEAR(DR$3)=YEAR($B$7),MONTH(DR$3)=MONTH($B$7)),'Вводные'!$B$31="Капитализация в ПФ"),DQ37,0),0)</x:f>
      </x:c>
      <x:c r="DS48" s="117">
        <x:f>IF(AND(DS$3&gt;=$B$7,DS$3&lt;$B$8),DR48*(1+DS41/12)+DS42+DS43+IF(AND(AND(YEAR(DS$3)=YEAR($B$7),MONTH(DS$3)=MONTH($B$7)),'Вводные'!$B$31="Капитализация в ПФ"),DR37,0),0)</x:f>
      </x:c>
      <x:c r="DT48" s="117">
        <x:f>IF(AND(DT$3&gt;=$B$7,DT$3&lt;$B$8),DS48*(1+DT41/12)+DT42+DT43+IF(AND(AND(YEAR(DT$3)=YEAR($B$7),MONTH(DT$3)=MONTH($B$7)),'Вводные'!$B$31="Капитализация в ПФ"),DS37,0),0)</x:f>
      </x:c>
      <x:c r="DU48" s="117">
        <x:f>IF(AND(DU$3&gt;=$B$7,DU$3&lt;$B$8),DT48*(1+DU41/12)+DU42+DU43+IF(AND(AND(YEAR(DU$3)=YEAR($B$7),MONTH(DU$3)=MONTH($B$7)),'Вводные'!$B$31="Капитализация в ПФ"),DT37,0),0)</x:f>
      </x:c>
      <x:c r="DV48" s="117">
        <x:f>IF(AND(DV$3&gt;=$B$7,DV$3&lt;$B$8),DU48*(1+DV41/12)+DV42+DV43+IF(AND(AND(YEAR(DV$3)=YEAR($B$7),MONTH(DV$3)=MONTH($B$7)),'Вводные'!$B$31="Капитализация в ПФ"),DU37,0),0)</x:f>
      </x:c>
      <x:c r="DW48" s="117">
        <x:f>IF(AND(DW$3&gt;=$B$7,DW$3&lt;$B$8),DV48*(1+DW41/12)+DW42+DW43+IF(AND(AND(YEAR(DW$3)=YEAR($B$7),MONTH(DW$3)=MONTH($B$7)),'Вводные'!$B$31="Капитализация в ПФ"),DV37,0),0)</x:f>
      </x:c>
      <x:c r="DX48" s="117">
        <x:f>IF(AND(DX$3&gt;=$B$7,DX$3&lt;$B$8),DW48*(1+DX41/12)+DX42+DX43+IF(AND(AND(YEAR(DX$3)=YEAR($B$7),MONTH(DX$3)=MONTH($B$7)),'Вводные'!$B$31="Капитализация в ПФ"),DW37,0),0)</x:f>
      </x:c>
      <x:c r="DY48" s="117">
        <x:f>IF(AND(DY$3&gt;=$B$7,DY$3&lt;$B$8),DX48*(1+DY41/12)+DY42+DY43+IF(AND(AND(YEAR(DY$3)=YEAR($B$7),MONTH(DY$3)=MONTH($B$7)),'Вводные'!$B$31="Капитализация в ПФ"),DX37,0),0)</x:f>
      </x:c>
      <x:c r="DZ48" s="117">
        <x:f>IF(AND(DZ$3&gt;=$B$7,DZ$3&lt;$B$8),DY48*(1+DZ41/12)+DZ42+DZ43+IF(AND(AND(YEAR(DZ$3)=YEAR($B$7),MONTH(DZ$3)=MONTH($B$7)),'Вводные'!$B$31="Капитализация в ПФ"),DY37,0),0)</x:f>
      </x:c>
      <x:c r="EA48" s="117">
        <x:f>IF(AND(EA$3&gt;=$B$7,EA$3&lt;$B$8),DZ48*(1+EA41/12)+EA42+EA43+IF(AND(AND(YEAR(EA$3)=YEAR($B$7),MONTH(EA$3)=MONTH($B$7)),'Вводные'!$B$31="Капитализация в ПФ"),DZ37,0),0)</x:f>
      </x:c>
      <x:c r="EB48" s="117">
        <x:f>IF(AND(EB$3&gt;=$B$7,EB$3&lt;$B$8),EA48*(1+EB41/12)+EB42+EB43+IF(AND(AND(YEAR(EB$3)=YEAR($B$7),MONTH(EB$3)=MONTH($B$7)),'Вводные'!$B$31="Капитализация в ПФ"),EA37,0),0)</x:f>
      </x:c>
      <x:c r="EC48" s="117">
        <x:f>IF(AND(EC$3&gt;=$B$7,EC$3&lt;$B$8),EB48*(1+EC41/12)+EC42+EC43+IF(AND(AND(YEAR(EC$3)=YEAR($B$7),MONTH(EC$3)=MONTH($B$7)),'Вводные'!$B$31="Капитализация в ПФ"),EB37,0),0)</x:f>
      </x:c>
      <x:c r="ED48" s="117">
        <x:f>IF(AND(ED$3&gt;=$B$7,ED$3&lt;$B$8),EC48*(1+ED41/12)+ED42+ED43+IF(AND(AND(YEAR(ED$3)=YEAR($B$7),MONTH(ED$3)=MONTH($B$7)),'Вводные'!$B$31="Капитализация в ПФ"),EC37,0),0)</x:f>
      </x:c>
      <x:c r="EE48" s="117">
        <x:f>IF(AND(EE$3&gt;=$B$7,EE$3&lt;$B$8),ED48*(1+EE41/12)+EE42+EE43+IF(AND(AND(YEAR(EE$3)=YEAR($B$7),MONTH(EE$3)=MONTH($B$7)),'Вводные'!$B$31="Капитализация в ПФ"),ED37,0),0)</x:f>
      </x:c>
      <x:c r="EF48" s="117">
        <x:f>IF(AND(EF$3&gt;=$B$7,EF$3&lt;$B$8),EE48*(1+EF41/12)+EF42+EF43+IF(AND(AND(YEAR(EF$3)=YEAR($B$7),MONTH(EF$3)=MONTH($B$7)),'Вводные'!$B$31="Капитализация в ПФ"),EE37,0),0)</x:f>
      </x:c>
      <x:c r="EG48" s="117">
        <x:f>IF(AND(EG$3&gt;=$B$7,EG$3&lt;$B$8),EF48*(1+EG41/12)+EG42+EG43+IF(AND(AND(YEAR(EG$3)=YEAR($B$7),MONTH(EG$3)=MONTH($B$7)),'Вводные'!$B$31="Капитализация в ПФ"),EF37,0),0)</x:f>
      </x:c>
      <x:c r="EH48" s="117">
        <x:f>IF(AND(EH$3&gt;=$B$7,EH$3&lt;$B$8),EG48*(1+EH41/12)+EH42+EH43+IF(AND(AND(YEAR(EH$3)=YEAR($B$7),MONTH(EH$3)=MONTH($B$7)),'Вводные'!$B$31="Капитализация в ПФ"),EG37,0),0)</x:f>
      </x:c>
      <x:c r="EI48" s="117">
        <x:f>IF(AND(EI$3&gt;=$B$7,EI$3&lt;$B$8),EH48*(1+EI41/12)+EI42+EI43+IF(AND(AND(YEAR(EI$3)=YEAR($B$7),MONTH(EI$3)=MONTH($B$7)),'Вводные'!$B$31="Капитализация в ПФ"),EH37,0),0)</x:f>
      </x:c>
      <x:c r="EJ48" s="117">
        <x:f>IF(AND(EJ$3&gt;=$B$7,EJ$3&lt;$B$8),EI48*(1+EJ41/12)+EJ42+EJ43+IF(AND(AND(YEAR(EJ$3)=YEAR($B$7),MONTH(EJ$3)=MONTH($B$7)),'Вводные'!$B$31="Капитализация в ПФ"),EI37,0),0)</x:f>
      </x:c>
      <x:c r="EK48" s="117">
        <x:f>IF(AND(EK$3&gt;=$B$7,EK$3&lt;$B$8),EJ48*(1+EK41/12)+EK42+EK43+IF(AND(AND(YEAR(EK$3)=YEAR($B$7),MONTH(EK$3)=MONTH($B$7)),'Вводные'!$B$31="Капитализация в ПФ"),EJ37,0),0)</x:f>
      </x:c>
      <x:c r="EL48" s="117">
        <x:f>IF(AND(EL$3&gt;=$B$7,EL$3&lt;$B$8),EK48*(1+EL41/12)+EL42+EL43+IF(AND(AND(YEAR(EL$3)=YEAR($B$7),MONTH(EL$3)=MONTH($B$7)),'Вводные'!$B$31="Капитализация в ПФ"),EK37,0),0)</x:f>
      </x:c>
      <x:c r="EM48" s="117">
        <x:f>IF(AND(EM$3&gt;=$B$7,EM$3&lt;$B$8),EL48*(1+EM41/12)+EM42+EM43+IF(AND(AND(YEAR(EM$3)=YEAR($B$7),MONTH(EM$3)=MONTH($B$7)),'Вводные'!$B$31="Капитализация в ПФ"),EL37,0),0)</x:f>
      </x:c>
      <x:c r="EN48" s="117">
        <x:f>IF(AND(EN$3&gt;=$B$7,EN$3&lt;$B$8),EM48*(1+EN41/12)+EN42+EN43+IF(AND(AND(YEAR(EN$3)=YEAR($B$7),MONTH(EN$3)=MONTH($B$7)),'Вводные'!$B$31="Капитализация в ПФ"),EM37,0),0)</x:f>
      </x:c>
      <x:c r="EO48" s="117">
        <x:f>IF(AND(EO$3&gt;=$B$7,EO$3&lt;$B$8),EN48*(1+EO41/12)+EO42+EO43+IF(AND(AND(YEAR(EO$3)=YEAR($B$7),MONTH(EO$3)=MONTH($B$7)),'Вводные'!$B$31="Капитализация в ПФ"),EN37,0),0)</x:f>
      </x:c>
      <x:c r="EP48" s="117">
        <x:f>IF(AND(EP$3&gt;=$B$7,EP$3&lt;$B$8),EO48*(1+EP41/12)+EP42+EP43+IF(AND(AND(YEAR(EP$3)=YEAR($B$7),MONTH(EP$3)=MONTH($B$7)),'Вводные'!$B$31="Капитализация в ПФ"),EO37,0),0)</x:f>
      </x:c>
      <x:c r="EQ48" s="117">
        <x:f>IF(AND(EQ$3&gt;=$B$7,EQ$3&lt;$B$8),EP48*(1+EQ41/12)+EQ42+EQ43+IF(AND(AND(YEAR(EQ$3)=YEAR($B$7),MONTH(EQ$3)=MONTH($B$7)),'Вводные'!$B$31="Капитализация в ПФ"),EP37,0),0)</x:f>
      </x:c>
      <x:c r="ER48" s="117">
        <x:f>IF(AND(ER$3&gt;=$B$7,ER$3&lt;$B$8),EQ48*(1+ER41/12)+ER42+ER43+IF(AND(AND(YEAR(ER$3)=YEAR($B$7),MONTH(ER$3)=MONTH($B$7)),'Вводные'!$B$31="Капитализация в ПФ"),EQ37,0),0)</x:f>
      </x:c>
      <x:c r="ES48" s="117">
        <x:f>IF(AND(ES$3&gt;=$B$7,ES$3&lt;$B$8),ER48*(1+ES41/12)+ES42+ES43+IF(AND(AND(YEAR(ES$3)=YEAR($B$7),MONTH(ES$3)=MONTH($B$7)),'Вводные'!$B$31="Капитализация в ПФ"),ER37,0),0)</x:f>
      </x:c>
      <x:c r="ET48" s="117">
        <x:f>IF(AND(ET$3&gt;=$B$7,ET$3&lt;$B$8),ES48*(1+ET41/12)+ET42+ET43+IF(AND(AND(YEAR(ET$3)=YEAR($B$7),MONTH(ET$3)=MONTH($B$7)),'Вводные'!$B$31="Капитализация в ПФ"),ES37,0),0)</x:f>
      </x:c>
      <x:c r="EU48" s="117">
        <x:f>IF(AND(EU$3&gt;=$B$7,EU$3&lt;$B$8),ET48*(1+EU41/12)+EU42+EU43+IF(AND(AND(YEAR(EU$3)=YEAR($B$7),MONTH(EU$3)=MONTH($B$7)),'Вводные'!$B$31="Капитализация в ПФ"),ET37,0),0)</x:f>
      </x:c>
      <x:c r="EV48" s="117">
        <x:f>IF(AND(EV$3&gt;=$B$7,EV$3&lt;$B$8),EU48*(1+EV41/12)+EV42+EV43+IF(AND(AND(YEAR(EV$3)=YEAR($B$7),MONTH(EV$3)=MONTH($B$7)),'Вводные'!$B$31="Капитализация в ПФ"),EU37,0),0)</x:f>
      </x:c>
      <x:c r="EW48" s="117">
        <x:f>IF(AND(EW$3&gt;=$B$7,EW$3&lt;$B$8),EV48*(1+EW41/12)+EW42+EW43+IF(AND(AND(YEAR(EW$3)=YEAR($B$7),MONTH(EW$3)=MONTH($B$7)),'Вводные'!$B$31="Капитализация в ПФ"),EV37,0),0)</x:f>
      </x:c>
      <x:c r="EX48" s="117">
        <x:f>IF(AND(EX$3&gt;=$B$7,EX$3&lt;$B$8),EW48*(1+EX41/12)+EX42+EX43+IF(AND(AND(YEAR(EX$3)=YEAR($B$7),MONTH(EX$3)=MONTH($B$7)),'Вводные'!$B$31="Капитализация в ПФ"),EW37,0),0)</x:f>
      </x:c>
      <x:c r="EY48" s="117">
        <x:f>IF(AND(EY$3&gt;=$B$7,EY$3&lt;$B$8),EX48*(1+EY41/12)+EY42+EY43+IF(AND(AND(YEAR(EY$3)=YEAR($B$7),MONTH(EY$3)=MONTH($B$7)),'Вводные'!$B$31="Капитализация в ПФ"),EX37,0),0)</x:f>
      </x:c>
      <x:c r="EZ48" s="117">
        <x:f>IF(AND(EZ$3&gt;=$B$7,EZ$3&lt;$B$8),EY48*(1+EZ41/12)+EZ42+EZ43+IF(AND(AND(YEAR(EZ$3)=YEAR($B$7),MONTH(EZ$3)=MONTH($B$7)),'Вводные'!$B$31="Капитализация в ПФ"),EY37,0),0)</x:f>
      </x:c>
      <x:c r="FA48" s="117">
        <x:f>IF(AND(FA$3&gt;=$B$7,FA$3&lt;$B$8),EZ48*(1+FA41/12)+FA42+FA43+IF(AND(AND(YEAR(FA$3)=YEAR($B$7),MONTH(FA$3)=MONTH($B$7)),'Вводные'!$B$31="Капитализация в ПФ"),EZ37,0),0)</x:f>
      </x:c>
      <x:c r="FB48" s="117">
        <x:f>IF(AND(FB$3&gt;=$B$7,FB$3&lt;$B$8),FA48*(1+FB41/12)+FB42+FB43+IF(AND(AND(YEAR(FB$3)=YEAR($B$7),MONTH(FB$3)=MONTH($B$7)),'Вводные'!$B$31="Капитализация в ПФ"),FA37,0),0)</x:f>
      </x:c>
      <x:c r="FC48" s="117">
        <x:f>IF(AND(FC$3&gt;=$B$7,FC$3&lt;$B$8),FB48*(1+FC41/12)+FC42+FC43+IF(AND(AND(YEAR(FC$3)=YEAR($B$7),MONTH(FC$3)=MONTH($B$7)),'Вводные'!$B$31="Капитализация в ПФ"),FB37,0),0)</x:f>
      </x:c>
      <x:c r="FD48" s="117">
        <x:f>IF(AND(FD$3&gt;=$B$7,FD$3&lt;$B$8),FC48*(1+FD41/12)+FD42+FD43+IF(AND(AND(YEAR(FD$3)=YEAR($B$7),MONTH(FD$3)=MONTH($B$7)),'Вводные'!$B$31="Капитализация в ПФ"),FC37,0),0)</x:f>
      </x:c>
      <x:c r="FE48" s="117">
        <x:f>IF(AND(FE$3&gt;=$B$7,FE$3&lt;$B$8),FD48*(1+FE41/12)+FE42+FE43+IF(AND(AND(YEAR(FE$3)=YEAR($B$7),MONTH(FE$3)=MONTH($B$7)),'Вводные'!$B$31="Капитализация в ПФ"),FD37,0),0)</x:f>
      </x:c>
      <x:c r="FF48" s="117">
        <x:f>IF(AND(FF$3&gt;=$B$7,FF$3&lt;$B$8),FE48*(1+FF41/12)+FF42+FF43+IF(AND(AND(YEAR(FF$3)=YEAR($B$7),MONTH(FF$3)=MONTH($B$7)),'Вводные'!$B$31="Капитализация в ПФ"),FE37,0),0)</x:f>
      </x:c>
      <x:c r="FG48" s="117">
        <x:f>IF(AND(FG$3&gt;=$B$7,FG$3&lt;$B$8),FF48*(1+FG41/12)+FG42+FG43+IF(AND(AND(YEAR(FG$3)=YEAR($B$7),MONTH(FG$3)=MONTH($B$7)),'Вводные'!$B$31="Капитализация в ПФ"),FF37,0),0)</x:f>
      </x:c>
      <x:c r="FH48" s="117">
        <x:f>IF(AND(FH$3&gt;=$B$7,FH$3&lt;$B$8),FG48*(1+FH41/12)+FH42+FH43+IF(AND(AND(YEAR(FH$3)=YEAR($B$7),MONTH(FH$3)=MONTH($B$7)),'Вводные'!$B$31="Капитализация в ПФ"),FG37,0),0)</x:f>
      </x:c>
      <x:c r="FI48" s="117">
        <x:f>IF(AND(FI$3&gt;=$B$7,FI$3&lt;$B$8),FH48*(1+FI41/12)+FI42+FI43+IF(AND(AND(YEAR(FI$3)=YEAR($B$7),MONTH(FI$3)=MONTH($B$7)),'Вводные'!$B$31="Капитализация в ПФ"),FH37,0),0)</x:f>
      </x:c>
      <x:c r="FJ48" s="117">
        <x:f>IF(AND(FJ$3&gt;=$B$7,FJ$3&lt;$B$8),FI48*(1+FJ41/12)+FJ42+FJ43+IF(AND(AND(YEAR(FJ$3)=YEAR($B$7),MONTH(FJ$3)=MONTH($B$7)),'Вводные'!$B$31="Капитализация в ПФ"),FI37,0),0)</x:f>
      </x:c>
      <x:c r="FK48" s="117">
        <x:f>IF(AND(FK$3&gt;=$B$7,FK$3&lt;$B$8),FJ48*(1+FK41/12)+FK42+FK43+IF(AND(AND(YEAR(FK$3)=YEAR($B$7),MONTH(FK$3)=MONTH($B$7)),'Вводные'!$B$31="Капитализация в ПФ"),FJ37,0),0)</x:f>
      </x:c>
      <x:c r="FL48" s="117">
        <x:f>IF(AND(FL$3&gt;=$B$7,FL$3&lt;$B$8),FK48*(1+FL41/12)+FL42+FL43+IF(AND(AND(YEAR(FL$3)=YEAR($B$7),MONTH(FL$3)=MONTH($B$7)),'Вводные'!$B$31="Капитализация в ПФ"),FK37,0),0)</x:f>
      </x:c>
      <x:c r="FM48" s="117">
        <x:f>IF(AND(FM$3&gt;=$B$7,FM$3&lt;$B$8),FL48*(1+FM41/12)+FM42+FM43+IF(AND(AND(YEAR(FM$3)=YEAR($B$7),MONTH(FM$3)=MONTH($B$7)),'Вводные'!$B$31="Капитализация в ПФ"),FL37,0),0)</x:f>
      </x:c>
      <x:c r="FN48" s="117">
        <x:f>IF(AND(FN$3&gt;=$B$7,FN$3&lt;$B$8),FM48*(1+FN41/12)+FN42+FN43+IF(AND(AND(YEAR(FN$3)=YEAR($B$7),MONTH(FN$3)=MONTH($B$7)),'Вводные'!$B$31="Капитализация в ПФ"),FM37,0),0)</x:f>
      </x:c>
      <x:c r="FO48" s="117">
        <x:f>IF(AND(FO$3&gt;=$B$7,FO$3&lt;$B$8),FN48*(1+FO41/12)+FO42+FO43+IF(AND(AND(YEAR(FO$3)=YEAR($B$7),MONTH(FO$3)=MONTH($B$7)),'Вводные'!$B$31="Капитализация в ПФ"),FN37,0),0)</x:f>
      </x:c>
      <x:c r="FP48" s="117">
        <x:f>IF(AND(FP$3&gt;=$B$7,FP$3&lt;$B$8),FO48*(1+FP41/12)+FP42+FP43+IF(AND(AND(YEAR(FP$3)=YEAR($B$7),MONTH(FP$3)=MONTH($B$7)),'Вводные'!$B$31="Капитализация в ПФ"),FO37,0),0)</x:f>
      </x:c>
      <x:c r="FQ48" s="117">
        <x:f>IF(AND(FQ$3&gt;=$B$7,FQ$3&lt;$B$8),FP48*(1+FQ41/12)+FQ42+FQ43+IF(AND(AND(YEAR(FQ$3)=YEAR($B$7),MONTH(FQ$3)=MONTH($B$7)),'Вводные'!$B$31="Капитализация в ПФ"),FP37,0),0)</x:f>
      </x:c>
      <x:c r="FR48" s="117">
        <x:f>IF(AND(FR$3&gt;=$B$7,FR$3&lt;$B$8),FQ48*(1+FR41/12)+FR42+FR43+IF(AND(AND(YEAR(FR$3)=YEAR($B$7),MONTH(FR$3)=MONTH($B$7)),'Вводные'!$B$31="Капитализация в ПФ"),FQ37,0),0)</x:f>
      </x:c>
      <x:c r="FS48" s="117">
        <x:f>IF(AND(FS$3&gt;=$B$7,FS$3&lt;$B$8),FR48*(1+FS41/12)+FS42+FS43+IF(AND(AND(YEAR(FS$3)=YEAR($B$7),MONTH(FS$3)=MONTH($B$7)),'Вводные'!$B$31="Капитализация в ПФ"),FR37,0),0)</x:f>
      </x:c>
      <x:c r="FT48" s="117">
        <x:f>IF(AND(FT$3&gt;=$B$7,FT$3&lt;$B$8),FS48*(1+FT41/12)+FT42+FT43+IF(AND(AND(YEAR(FT$3)=YEAR($B$7),MONTH(FT$3)=MONTH($B$7)),'Вводные'!$B$31="Капитализация в ПФ"),FS37,0),0)</x:f>
      </x:c>
      <x:c r="FU48" s="117">
        <x:f>IF(AND(FU$3&gt;=$B$7,FU$3&lt;$B$8),FT48*(1+FU41/12)+FU42+FU43+IF(AND(AND(YEAR(FU$3)=YEAR($B$7),MONTH(FU$3)=MONTH($B$7)),'Вводные'!$B$31="Капитализация в ПФ"),FT37,0),0)</x:f>
      </x:c>
      <x:c r="FV48" s="117">
        <x:f>IF(AND(FV$3&gt;=$B$7,FV$3&lt;$B$8),FU48*(1+FV41/12)+FV42+FV43+IF(AND(AND(YEAR(FV$3)=YEAR($B$7),MONTH(FV$3)=MONTH($B$7)),'Вводные'!$B$31="Капитализация в ПФ"),FU37,0),0)</x:f>
      </x:c>
      <x:c r="FW48" s="117">
        <x:f>IF(AND(FW$3&gt;=$B$7,FW$3&lt;$B$8),FV48*(1+FW41/12)+FW42+FW43+IF(AND(AND(YEAR(FW$3)=YEAR($B$7),MONTH(FW$3)=MONTH($B$7)),'Вводные'!$B$31="Капитализация в ПФ"),FV37,0),0)</x:f>
      </x:c>
      <x:c r="FX48" s="117">
        <x:f>IF(AND(FX$3&gt;=$B$7,FX$3&lt;$B$8),FW48*(1+FX41/12)+FX42+FX43+IF(AND(AND(YEAR(FX$3)=YEAR($B$7),MONTH(FX$3)=MONTH($B$7)),'Вводные'!$B$31="Капитализация в ПФ"),FW37,0),0)</x:f>
      </x:c>
      <x:c r="FY48" s="117">
        <x:f>IF(AND(FY$3&gt;=$B$7,FY$3&lt;$B$8),FX48*(1+FY41/12)+FY42+FY43+IF(AND(AND(YEAR(FY$3)=YEAR($B$7),MONTH(FY$3)=MONTH($B$7)),'Вводные'!$B$31="Капитализация в ПФ"),FX37,0),0)</x:f>
      </x:c>
      <x:c r="FZ48" s="117">
        <x:f>IF(AND(FZ$3&gt;=$B$7,FZ$3&lt;$B$8),FY48*(1+FZ41/12)+FZ42+FZ43+IF(AND(AND(YEAR(FZ$3)=YEAR($B$7),MONTH(FZ$3)=MONTH($B$7)),'Вводные'!$B$31="Капитализация в ПФ"),FY37,0),0)</x:f>
      </x:c>
      <x:c r="GA48" s="117">
        <x:f>IF(AND(GA$3&gt;=$B$7,GA$3&lt;$B$8),FZ48*(1+GA41/12)+GA42+GA43+IF(AND(AND(YEAR(GA$3)=YEAR($B$7),MONTH(GA$3)=MONTH($B$7)),'Вводные'!$B$31="Капитализация в ПФ"),FZ37,0),0)</x:f>
      </x:c>
    </x:row>
    <x:row r="49">
      <x:c r="A49" t="str">
        <x:v>Вклад собственного капитала</x:v>
      </x:c>
      <x:c r="B49" t="n">
        <x:f>SUM(D49:GA49)</x:f>
      </x:c>
      <x:c r="C49" t="str">
        <x:v>млн ₽</x:v>
      </x:c>
      <x:c r="D49" s="117">
        <x:f>MAX(0,D20+D24+D53+D57+D35+D46-D27-D34-D45)</x:f>
      </x:c>
      <x:c r="E49" s="117">
        <x:f>MAX(0,E20+E24+E53+E57+E35+E46-E27-E34-E45)</x:f>
      </x:c>
      <x:c r="F49" s="117">
        <x:f>MAX(0,F20+F24+F53+F57+F35+F46-F27-F34-F45)</x:f>
      </x:c>
      <x:c r="G49" s="117">
        <x:f>MAX(0,G20+G24+G53+G57+G35+G46-G27-G34-G45)</x:f>
      </x:c>
      <x:c r="H49" s="117">
        <x:f>MAX(0,H20+H24+H53+H57+H35+H46-H27-H34-H45)</x:f>
      </x:c>
      <x:c r="I49" s="117">
        <x:f>MAX(0,I20+I24+I53+I57+I35+I46-I27-I34-I45)</x:f>
      </x:c>
      <x:c r="J49" s="117">
        <x:f>MAX(0,J20+J24+J53+J57+J35+J46-J27-J34-J45)</x:f>
      </x:c>
      <x:c r="K49" s="117">
        <x:f>MAX(0,K20+K24+K53+K57+K35+K46-K27-K34-K45)</x:f>
      </x:c>
      <x:c r="L49" s="117">
        <x:f>MAX(0,L20+L24+L53+L57+L35+L46-L27-L34-L45)</x:f>
      </x:c>
      <x:c r="M49" s="117">
        <x:f>MAX(0,M20+M24+M53+M57+M35+M46-M27-M34-M45)</x:f>
      </x:c>
      <x:c r="N49" s="117">
        <x:f>MAX(0,N20+N24+N53+N57+N35+N46-N27-N34-N45)</x:f>
      </x:c>
      <x:c r="O49" s="117">
        <x:f>MAX(0,O20+O24+O53+O57+O35+O46-O27-O34-O45)</x:f>
      </x:c>
      <x:c r="P49" s="117">
        <x:f>MAX(0,P20+P24+P53+P57+P35+P46-P27-P34-P45)</x:f>
      </x:c>
      <x:c r="Q49" s="117">
        <x:f>MAX(0,Q20+Q24+Q53+Q57+Q35+Q46-Q27-Q34-Q45)</x:f>
      </x:c>
      <x:c r="R49" s="117">
        <x:f>MAX(0,R20+R24+R53+R57+R35+R46-R27-R34-R45)</x:f>
      </x:c>
      <x:c r="S49" s="117">
        <x:f>MAX(0,S20+S24+S53+S57+S35+S46-S27-S34-S45)</x:f>
      </x:c>
      <x:c r="T49" s="117">
        <x:f>MAX(0,T20+T24+T53+T57+T35+T46-T27-T34-T45)</x:f>
      </x:c>
      <x:c r="U49" s="117">
        <x:f>MAX(0,U20+U24+U53+U57+U35+U46-U27-U34-U45)</x:f>
      </x:c>
      <x:c r="V49" s="117">
        <x:f>MAX(0,V20+V24+V53+V57+V35+V46-V27-V34-V45)</x:f>
      </x:c>
      <x:c r="W49" s="117">
        <x:f>MAX(0,W20+W24+W53+W57+W35+W46-W27-W34-W45)</x:f>
      </x:c>
      <x:c r="X49" s="117">
        <x:f>MAX(0,X20+X24+X53+X57+X35+X46-X27-X34-X45)</x:f>
      </x:c>
      <x:c r="Y49" s="117">
        <x:f>MAX(0,Y20+Y24+Y53+Y57+Y35+Y46-Y27-Y34-Y45)</x:f>
      </x:c>
      <x:c r="Z49" s="117">
        <x:f>MAX(0,Z20+Z24+Z53+Z57+Z35+Z46-Z27-Z34-Z45)</x:f>
      </x:c>
      <x:c r="AA49" s="117">
        <x:f>MAX(0,AA20+AA24+AA53+AA57+AA35+AA46-AA27-AA34-AA45)</x:f>
      </x:c>
      <x:c r="AB49" s="117">
        <x:f>MAX(0,AB20+AB24+AB53+AB57+AB35+AB46-AB27-AB34-AB45)</x:f>
      </x:c>
      <x:c r="AC49" s="117">
        <x:f>MAX(0,AC20+AC24+AC53+AC57+AC35+AC46-AC27-AC34-AC45)</x:f>
      </x:c>
      <x:c r="AD49" s="117">
        <x:f>MAX(0,AD20+AD24+AD53+AD57+AD35+AD46-AD27-AD34-AD45)</x:f>
      </x:c>
      <x:c r="AE49" s="117">
        <x:f>MAX(0,AE20+AE24+AE53+AE57+AE35+AE46-AE27-AE34-AE45)</x:f>
      </x:c>
      <x:c r="AF49" s="117">
        <x:f>MAX(0,AF20+AF24+AF53+AF57+AF35+AF46-AF27-AF34-AF45)</x:f>
      </x:c>
      <x:c r="AG49" s="117">
        <x:f>MAX(0,AG20+AG24+AG53+AG57+AG35+AG46-AG27-AG34-AG45)</x:f>
      </x:c>
      <x:c r="AH49" s="117">
        <x:f>MAX(0,AH20+AH24+AH53+AH57+AH35+AH46-AH27-AH34-AH45)</x:f>
      </x:c>
      <x:c r="AI49" s="117">
        <x:f>MAX(0,AI20+AI24+AI53+AI57+AI35+AI46-AI27-AI34-AI45)</x:f>
      </x:c>
      <x:c r="AJ49" s="117">
        <x:f>MAX(0,AJ20+AJ24+AJ53+AJ57+AJ35+AJ46-AJ27-AJ34-AJ45)</x:f>
      </x:c>
      <x:c r="AK49" s="117">
        <x:f>MAX(0,AK20+AK24+AK53+AK57+AK35+AK46-AK27-AK34-AK45)</x:f>
      </x:c>
      <x:c r="AL49" s="117">
        <x:f>MAX(0,AL20+AL24+AL53+AL57+AL35+AL46-AL27-AL34-AL45)</x:f>
      </x:c>
      <x:c r="AM49" s="117">
        <x:f>MAX(0,AM20+AM24+AM53+AM57+AM35+AM46-AM27-AM34-AM45)</x:f>
      </x:c>
      <x:c r="AN49" s="117">
        <x:f>MAX(0,AN20+AN24+AN53+AN57+AN35+AN46-AN27-AN34-AN45)</x:f>
      </x:c>
      <x:c r="AO49" s="117">
        <x:f>MAX(0,AO20+AO24+AO53+AO57+AO35+AO46-AO27-AO34-AO45)</x:f>
      </x:c>
      <x:c r="AP49" s="117">
        <x:f>MAX(0,AP20+AP24+AP53+AP57+AP35+AP46-AP27-AP34-AP45)</x:f>
      </x:c>
      <x:c r="AQ49" s="117">
        <x:f>MAX(0,AQ20+AQ24+AQ53+AQ57+AQ35+AQ46-AQ27-AQ34-AQ45)</x:f>
      </x:c>
      <x:c r="AR49" s="117">
        <x:f>MAX(0,AR20+AR24+AR53+AR57+AR35+AR46-AR27-AR34-AR45)</x:f>
      </x:c>
      <x:c r="AS49" s="117">
        <x:f>MAX(0,AS20+AS24+AS53+AS57+AS35+AS46-AS27-AS34-AS45)</x:f>
      </x:c>
      <x:c r="AT49" s="117">
        <x:f>MAX(0,AT20+AT24+AT53+AT57+AT35+AT46-AT27-AT34-AT45)</x:f>
      </x:c>
      <x:c r="AU49" s="117">
        <x:f>MAX(0,AU20+AU24+AU53+AU57+AU35+AU46-AU27-AU34-AU45)</x:f>
      </x:c>
      <x:c r="AV49" s="117">
        <x:f>MAX(0,AV20+AV24+AV53+AV57+AV35+AV46-AV27-AV34-AV45)</x:f>
      </x:c>
      <x:c r="AW49" s="117">
        <x:f>MAX(0,AW20+AW24+AW53+AW57+AW35+AW46-AW27-AW34-AW45)</x:f>
      </x:c>
      <x:c r="AX49" s="117">
        <x:f>MAX(0,AX20+AX24+AX53+AX57+AX35+AX46-AX27-AX34-AX45)</x:f>
      </x:c>
      <x:c r="AY49" s="117">
        <x:f>MAX(0,AY20+AY24+AY53+AY57+AY35+AY46-AY27-AY34-AY45)</x:f>
      </x:c>
      <x:c r="AZ49" s="117">
        <x:f>MAX(0,AZ20+AZ24+AZ53+AZ57+AZ35+AZ46-AZ27-AZ34-AZ45)</x:f>
      </x:c>
      <x:c r="BA49" s="117">
        <x:f>MAX(0,BA20+BA24+BA53+BA57+BA35+BA46-BA27-BA34-BA45)</x:f>
      </x:c>
      <x:c r="BB49" s="117">
        <x:f>MAX(0,BB20+BB24+BB53+BB57+BB35+BB46-BB27-BB34-BB45)</x:f>
      </x:c>
      <x:c r="BC49" s="117">
        <x:f>MAX(0,BC20+BC24+BC53+BC57+BC35+BC46-BC27-BC34-BC45)</x:f>
      </x:c>
      <x:c r="BD49" s="117">
        <x:f>MAX(0,BD20+BD24+BD53+BD57+BD35+BD46-BD27-BD34-BD45)</x:f>
      </x:c>
      <x:c r="BE49" s="117">
        <x:f>MAX(0,BE20+BE24+BE53+BE57+BE35+BE46-BE27-BE34-BE45)</x:f>
      </x:c>
      <x:c r="BF49" s="117">
        <x:f>MAX(0,BF20+BF24+BF53+BF57+BF35+BF46-BF27-BF34-BF45)</x:f>
      </x:c>
      <x:c r="BG49" s="117">
        <x:f>MAX(0,BG20+BG24+BG53+BG57+BG35+BG46-BG27-BG34-BG45)</x:f>
      </x:c>
      <x:c r="BH49" s="117">
        <x:f>MAX(0,BH20+BH24+BH53+BH57+BH35+BH46-BH27-BH34-BH45)</x:f>
      </x:c>
      <x:c r="BI49" s="117">
        <x:f>MAX(0,BI20+BI24+BI53+BI57+BI35+BI46-BI27-BI34-BI45)</x:f>
      </x:c>
      <x:c r="BJ49" s="117">
        <x:f>MAX(0,BJ20+BJ24+BJ53+BJ57+BJ35+BJ46-BJ27-BJ34-BJ45)</x:f>
      </x:c>
      <x:c r="BK49" s="117">
        <x:f>MAX(0,BK20+BK24+BK53+BK57+BK35+BK46-BK27-BK34-BK45)</x:f>
      </x:c>
      <x:c r="BL49" s="117">
        <x:f>MAX(0,BL20+BL24+BL53+BL57+BL35+BL46-BL27-BL34-BL45)</x:f>
      </x:c>
      <x:c r="BM49" s="117">
        <x:f>MAX(0,BM20+BM24+BM53+BM57+BM35+BM46-BM27-BM34-BM45)</x:f>
      </x:c>
      <x:c r="BN49" s="117">
        <x:f>MAX(0,BN20+BN24+BN53+BN57+BN35+BN46-BN27-BN34-BN45)</x:f>
      </x:c>
      <x:c r="BO49" s="117">
        <x:f>MAX(0,BO20+BO24+BO53+BO57+BO35+BO46-BO27-BO34-BO45)</x:f>
      </x:c>
      <x:c r="BP49" s="117">
        <x:f>MAX(0,BP20+BP24+BP53+BP57+BP35+BP46-BP27-BP34-BP45)</x:f>
      </x:c>
      <x:c r="BQ49" s="117">
        <x:f>MAX(0,BQ20+BQ24+BQ53+BQ57+BQ35+BQ46-BQ27-BQ34-BQ45)</x:f>
      </x:c>
      <x:c r="BR49" s="117">
        <x:f>MAX(0,BR20+BR24+BR53+BR57+BR35+BR46-BR27-BR34-BR45)</x:f>
      </x:c>
      <x:c r="BS49" s="117">
        <x:f>MAX(0,BS20+BS24+BS53+BS57+BS35+BS46-BS27-BS34-BS45)</x:f>
      </x:c>
      <x:c r="BT49" s="117">
        <x:f>MAX(0,BT20+BT24+BT53+BT57+BT35+BT46-BT27-BT34-BT45)</x:f>
      </x:c>
      <x:c r="BU49" s="117">
        <x:f>MAX(0,BU20+BU24+BU53+BU57+BU35+BU46-BU27-BU34-BU45)</x:f>
      </x:c>
      <x:c r="BV49" s="117">
        <x:f>MAX(0,BV20+BV24+BV53+BV57+BV35+BV46-BV27-BV34-BV45)</x:f>
      </x:c>
      <x:c r="BW49" s="117">
        <x:f>MAX(0,BW20+BW24+BW53+BW57+BW35+BW46-BW27-BW34-BW45)</x:f>
      </x:c>
      <x:c r="BX49" s="117">
        <x:f>MAX(0,BX20+BX24+BX53+BX57+BX35+BX46-BX27-BX34-BX45)</x:f>
      </x:c>
      <x:c r="BY49" s="117">
        <x:f>MAX(0,BY20+BY24+BY53+BY57+BY35+BY46-BY27-BY34-BY45)</x:f>
      </x:c>
      <x:c r="BZ49" s="117">
        <x:f>MAX(0,BZ20+BZ24+BZ53+BZ57+BZ35+BZ46-BZ27-BZ34-BZ45)</x:f>
      </x:c>
      <x:c r="CA49" s="117">
        <x:f>MAX(0,CA20+CA24+CA53+CA57+CA35+CA46-CA27-CA34-CA45)</x:f>
      </x:c>
      <x:c r="CB49" s="117">
        <x:f>MAX(0,CB20+CB24+CB53+CB57+CB35+CB46-CB27-CB34-CB45)</x:f>
      </x:c>
      <x:c r="CC49" s="117">
        <x:f>MAX(0,CC20+CC24+CC53+CC57+CC35+CC46-CC27-CC34-CC45)</x:f>
      </x:c>
      <x:c r="CD49" s="117">
        <x:f>MAX(0,CD20+CD24+CD53+CD57+CD35+CD46-CD27-CD34-CD45)</x:f>
      </x:c>
      <x:c r="CE49" s="117">
        <x:f>MAX(0,CE20+CE24+CE53+CE57+CE35+CE46-CE27-CE34-CE45)</x:f>
      </x:c>
      <x:c r="CF49" s="117">
        <x:f>MAX(0,CF20+CF24+CF53+CF57+CF35+CF46-CF27-CF34-CF45)</x:f>
      </x:c>
      <x:c r="CG49" s="117">
        <x:f>MAX(0,CG20+CG24+CG53+CG57+CG35+CG46-CG27-CG34-CG45)</x:f>
      </x:c>
      <x:c r="CH49" s="117">
        <x:f>MAX(0,CH20+CH24+CH53+CH57+CH35+CH46-CH27-CH34-CH45)</x:f>
      </x:c>
      <x:c r="CI49" s="117">
        <x:f>MAX(0,CI20+CI24+CI53+CI57+CI35+CI46-CI27-CI34-CI45)</x:f>
      </x:c>
      <x:c r="CJ49" s="117">
        <x:f>MAX(0,CJ20+CJ24+CJ53+CJ57+CJ35+CJ46-CJ27-CJ34-CJ45)</x:f>
      </x:c>
      <x:c r="CK49" s="117">
        <x:f>MAX(0,CK20+CK24+CK53+CK57+CK35+CK46-CK27-CK34-CK45)</x:f>
      </x:c>
      <x:c r="CL49" s="117">
        <x:f>MAX(0,CL20+CL24+CL53+CL57+CL35+CL46-CL27-CL34-CL45)</x:f>
      </x:c>
      <x:c r="CM49" s="117">
        <x:f>MAX(0,CM20+CM24+CM53+CM57+CM35+CM46-CM27-CM34-CM45)</x:f>
      </x:c>
      <x:c r="CN49" s="117">
        <x:f>MAX(0,CN20+CN24+CN53+CN57+CN35+CN46-CN27-CN34-CN45)</x:f>
      </x:c>
      <x:c r="CO49" s="117">
        <x:f>MAX(0,CO20+CO24+CO53+CO57+CO35+CO46-CO27-CO34-CO45)</x:f>
      </x:c>
      <x:c r="CP49" s="117">
        <x:f>MAX(0,CP20+CP24+CP53+CP57+CP35+CP46-CP27-CP34-CP45)</x:f>
      </x:c>
      <x:c r="CQ49" s="117">
        <x:f>MAX(0,CQ20+CQ24+CQ53+CQ57+CQ35+CQ46-CQ27-CQ34-CQ45)</x:f>
      </x:c>
      <x:c r="CR49" s="117">
        <x:f>MAX(0,CR20+CR24+CR53+CR57+CR35+CR46-CR27-CR34-CR45)</x:f>
      </x:c>
      <x:c r="CS49" s="117">
        <x:f>MAX(0,CS20+CS24+CS53+CS57+CS35+CS46-CS27-CS34-CS45)</x:f>
      </x:c>
      <x:c r="CT49" s="117">
        <x:f>MAX(0,CT20+CT24+CT53+CT57+CT35+CT46-CT27-CT34-CT45)</x:f>
      </x:c>
      <x:c r="CU49" s="117">
        <x:f>MAX(0,CU20+CU24+CU53+CU57+CU35+CU46-CU27-CU34-CU45)</x:f>
      </x:c>
      <x:c r="CV49" s="117">
        <x:f>MAX(0,CV20+CV24+CV53+CV57+CV35+CV46-CV27-CV34-CV45)</x:f>
      </x:c>
      <x:c r="CW49" s="117">
        <x:f>MAX(0,CW20+CW24+CW53+CW57+CW35+CW46-CW27-CW34-CW45)</x:f>
      </x:c>
      <x:c r="CX49" s="117">
        <x:f>MAX(0,CX20+CX24+CX53+CX57+CX35+CX46-CX27-CX34-CX45)</x:f>
      </x:c>
      <x:c r="CY49" s="117">
        <x:f>MAX(0,CY20+CY24+CY53+CY57+CY35+CY46-CY27-CY34-CY45)</x:f>
      </x:c>
      <x:c r="CZ49" s="117">
        <x:f>MAX(0,CZ20+CZ24+CZ53+CZ57+CZ35+CZ46-CZ27-CZ34-CZ45)</x:f>
      </x:c>
      <x:c r="DA49" s="117">
        <x:f>MAX(0,DA20+DA24+DA53+DA57+DA35+DA46-DA27-DA34-DA45)</x:f>
      </x:c>
      <x:c r="DB49" s="117">
        <x:f>MAX(0,DB20+DB24+DB53+DB57+DB35+DB46-DB27-DB34-DB45)</x:f>
      </x:c>
      <x:c r="DC49" s="117">
        <x:f>MAX(0,DC20+DC24+DC53+DC57+DC35+DC46-DC27-DC34-DC45)</x:f>
      </x:c>
      <x:c r="DD49" s="117">
        <x:f>MAX(0,DD20+DD24+DD53+DD57+DD35+DD46-DD27-DD34-DD45)</x:f>
      </x:c>
      <x:c r="DE49" s="117">
        <x:f>MAX(0,DE20+DE24+DE53+DE57+DE35+DE46-DE27-DE34-DE45)</x:f>
      </x:c>
      <x:c r="DF49" s="117">
        <x:f>MAX(0,DF20+DF24+DF53+DF57+DF35+DF46-DF27-DF34-DF45)</x:f>
      </x:c>
      <x:c r="DG49" s="117">
        <x:f>MAX(0,DG20+DG24+DG53+DG57+DG35+DG46-DG27-DG34-DG45)</x:f>
      </x:c>
      <x:c r="DH49" s="117">
        <x:f>MAX(0,DH20+DH24+DH53+DH57+DH35+DH46-DH27-DH34-DH45)</x:f>
      </x:c>
      <x:c r="DI49" s="117">
        <x:f>MAX(0,DI20+DI24+DI53+DI57+DI35+DI46-DI27-DI34-DI45)</x:f>
      </x:c>
      <x:c r="DJ49" s="117">
        <x:f>MAX(0,DJ20+DJ24+DJ53+DJ57+DJ35+DJ46-DJ27-DJ34-DJ45)</x:f>
      </x:c>
      <x:c r="DK49" s="117">
        <x:f>MAX(0,DK20+DK24+DK53+DK57+DK35+DK46-DK27-DK34-DK45)</x:f>
      </x:c>
      <x:c r="DL49" s="117">
        <x:f>MAX(0,DL20+DL24+DL53+DL57+DL35+DL46-DL27-DL34-DL45)</x:f>
      </x:c>
      <x:c r="DM49" s="117">
        <x:f>MAX(0,DM20+DM24+DM53+DM57+DM35+DM46-DM27-DM34-DM45)</x:f>
      </x:c>
      <x:c r="DN49" s="117">
        <x:f>MAX(0,DN20+DN24+DN53+DN57+DN35+DN46-DN27-DN34-DN45)</x:f>
      </x:c>
      <x:c r="DO49" s="117">
        <x:f>MAX(0,DO20+DO24+DO53+DO57+DO35+DO46-DO27-DO34-DO45)</x:f>
      </x:c>
      <x:c r="DP49" s="117">
        <x:f>MAX(0,DP20+DP24+DP53+DP57+DP35+DP46-DP27-DP34-DP45)</x:f>
      </x:c>
      <x:c r="DQ49" s="117">
        <x:f>MAX(0,DQ20+DQ24+DQ53+DQ57+DQ35+DQ46-DQ27-DQ34-DQ45)</x:f>
      </x:c>
      <x:c r="DR49" s="117">
        <x:f>MAX(0,DR20+DR24+DR53+DR57+DR35+DR46-DR27-DR34-DR45)</x:f>
      </x:c>
      <x:c r="DS49" s="117">
        <x:f>MAX(0,DS20+DS24+DS53+DS57+DS35+DS46-DS27-DS34-DS45)</x:f>
      </x:c>
      <x:c r="DT49" s="117">
        <x:f>MAX(0,DT20+DT24+DT53+DT57+DT35+DT46-DT27-DT34-DT45)</x:f>
      </x:c>
      <x:c r="DU49" s="117">
        <x:f>MAX(0,DU20+DU24+DU53+DU57+DU35+DU46-DU27-DU34-DU45)</x:f>
      </x:c>
      <x:c r="DV49" s="117">
        <x:f>MAX(0,DV20+DV24+DV53+DV57+DV35+DV46-DV27-DV34-DV45)</x:f>
      </x:c>
      <x:c r="DW49" s="117">
        <x:f>MAX(0,DW20+DW24+DW53+DW57+DW35+DW46-DW27-DW34-DW45)</x:f>
      </x:c>
      <x:c r="DX49" s="117">
        <x:f>MAX(0,DX20+DX24+DX53+DX57+DX35+DX46-DX27-DX34-DX45)</x:f>
      </x:c>
      <x:c r="DY49" s="117">
        <x:f>MAX(0,DY20+DY24+DY53+DY57+DY35+DY46-DY27-DY34-DY45)</x:f>
      </x:c>
      <x:c r="DZ49" s="117">
        <x:f>MAX(0,DZ20+DZ24+DZ53+DZ57+DZ35+DZ46-DZ27-DZ34-DZ45)</x:f>
      </x:c>
      <x:c r="EA49" s="117">
        <x:f>MAX(0,EA20+EA24+EA53+EA57+EA35+EA46-EA27-EA34-EA45)</x:f>
      </x:c>
      <x:c r="EB49" s="117">
        <x:f>MAX(0,EB20+EB24+EB53+EB57+EB35+EB46-EB27-EB34-EB45)</x:f>
      </x:c>
      <x:c r="EC49" s="117">
        <x:f>MAX(0,EC20+EC24+EC53+EC57+EC35+EC46-EC27-EC34-EC45)</x:f>
      </x:c>
      <x:c r="ED49" s="117">
        <x:f>MAX(0,ED20+ED24+ED53+ED57+ED35+ED46-ED27-ED34-ED45)</x:f>
      </x:c>
      <x:c r="EE49" s="117">
        <x:f>MAX(0,EE20+EE24+EE53+EE57+EE35+EE46-EE27-EE34-EE45)</x:f>
      </x:c>
      <x:c r="EF49" s="117">
        <x:f>MAX(0,EF20+EF24+EF53+EF57+EF35+EF46-EF27-EF34-EF45)</x:f>
      </x:c>
      <x:c r="EG49" s="117">
        <x:f>MAX(0,EG20+EG24+EG53+EG57+EG35+EG46-EG27-EG34-EG45)</x:f>
      </x:c>
      <x:c r="EH49" s="117">
        <x:f>MAX(0,EH20+EH24+EH53+EH57+EH35+EH46-EH27-EH34-EH45)</x:f>
      </x:c>
      <x:c r="EI49" s="117">
        <x:f>MAX(0,EI20+EI24+EI53+EI57+EI35+EI46-EI27-EI34-EI45)</x:f>
      </x:c>
      <x:c r="EJ49" s="117">
        <x:f>MAX(0,EJ20+EJ24+EJ53+EJ57+EJ35+EJ46-EJ27-EJ34-EJ45)</x:f>
      </x:c>
      <x:c r="EK49" s="117">
        <x:f>MAX(0,EK20+EK24+EK53+EK57+EK35+EK46-EK27-EK34-EK45)</x:f>
      </x:c>
      <x:c r="EL49" s="117">
        <x:f>MAX(0,EL20+EL24+EL53+EL57+EL35+EL46-EL27-EL34-EL45)</x:f>
      </x:c>
      <x:c r="EM49" s="117">
        <x:f>MAX(0,EM20+EM24+EM53+EM57+EM35+EM46-EM27-EM34-EM45)</x:f>
      </x:c>
      <x:c r="EN49" s="117">
        <x:f>MAX(0,EN20+EN24+EN53+EN57+EN35+EN46-EN27-EN34-EN45)</x:f>
      </x:c>
      <x:c r="EO49" s="117">
        <x:f>MAX(0,EO20+EO24+EO53+EO57+EO35+EO46-EO27-EO34-EO45)</x:f>
      </x:c>
      <x:c r="EP49" s="117">
        <x:f>MAX(0,EP20+EP24+EP53+EP57+EP35+EP46-EP27-EP34-EP45)</x:f>
      </x:c>
      <x:c r="EQ49" s="117">
        <x:f>MAX(0,EQ20+EQ24+EQ53+EQ57+EQ35+EQ46-EQ27-EQ34-EQ45)</x:f>
      </x:c>
      <x:c r="ER49" s="117">
        <x:f>MAX(0,ER20+ER24+ER53+ER57+ER35+ER46-ER27-ER34-ER45)</x:f>
      </x:c>
      <x:c r="ES49" s="117">
        <x:f>MAX(0,ES20+ES24+ES53+ES57+ES35+ES46-ES27-ES34-ES45)</x:f>
      </x:c>
      <x:c r="ET49" s="117">
        <x:f>MAX(0,ET20+ET24+ET53+ET57+ET35+ET46-ET27-ET34-ET45)</x:f>
      </x:c>
      <x:c r="EU49" s="117">
        <x:f>MAX(0,EU20+EU24+EU53+EU57+EU35+EU46-EU27-EU34-EU45)</x:f>
      </x:c>
      <x:c r="EV49" s="117">
        <x:f>MAX(0,EV20+EV24+EV53+EV57+EV35+EV46-EV27-EV34-EV45)</x:f>
      </x:c>
      <x:c r="EW49" s="117">
        <x:f>MAX(0,EW20+EW24+EW53+EW57+EW35+EW46-EW27-EW34-EW45)</x:f>
      </x:c>
      <x:c r="EX49" s="117">
        <x:f>MAX(0,EX20+EX24+EX53+EX57+EX35+EX46-EX27-EX34-EX45)</x:f>
      </x:c>
      <x:c r="EY49" s="117">
        <x:f>MAX(0,EY20+EY24+EY53+EY57+EY35+EY46-EY27-EY34-EY45)</x:f>
      </x:c>
      <x:c r="EZ49" s="117">
        <x:f>MAX(0,EZ20+EZ24+EZ53+EZ57+EZ35+EZ46-EZ27-EZ34-EZ45)</x:f>
      </x:c>
      <x:c r="FA49" s="117">
        <x:f>MAX(0,FA20+FA24+FA53+FA57+FA35+FA46-FA27-FA34-FA45)</x:f>
      </x:c>
      <x:c r="FB49" s="117">
        <x:f>MAX(0,FB20+FB24+FB53+FB57+FB35+FB46-FB27-FB34-FB45)</x:f>
      </x:c>
      <x:c r="FC49" s="117">
        <x:f>MAX(0,FC20+FC24+FC53+FC57+FC35+FC46-FC27-FC34-FC45)</x:f>
      </x:c>
      <x:c r="FD49" s="117">
        <x:f>MAX(0,FD20+FD24+FD53+FD57+FD35+FD46-FD27-FD34-FD45)</x:f>
      </x:c>
      <x:c r="FE49" s="117">
        <x:f>MAX(0,FE20+FE24+FE53+FE57+FE35+FE46-FE27-FE34-FE45)</x:f>
      </x:c>
      <x:c r="FF49" s="117">
        <x:f>MAX(0,FF20+FF24+FF53+FF57+FF35+FF46-FF27-FF34-FF45)</x:f>
      </x:c>
      <x:c r="FG49" s="117">
        <x:f>MAX(0,FG20+FG24+FG53+FG57+FG35+FG46-FG27-FG34-FG45)</x:f>
      </x:c>
      <x:c r="FH49" s="117">
        <x:f>MAX(0,FH20+FH24+FH53+FH57+FH35+FH46-FH27-FH34-FH45)</x:f>
      </x:c>
      <x:c r="FI49" s="117">
        <x:f>MAX(0,FI20+FI24+FI53+FI57+FI35+FI46-FI27-FI34-FI45)</x:f>
      </x:c>
      <x:c r="FJ49" s="117">
        <x:f>MAX(0,FJ20+FJ24+FJ53+FJ57+FJ35+FJ46-FJ27-FJ34-FJ45)</x:f>
      </x:c>
      <x:c r="FK49" s="117">
        <x:f>MAX(0,FK20+FK24+FK53+FK57+FK35+FK46-FK27-FK34-FK45)</x:f>
      </x:c>
      <x:c r="FL49" s="117">
        <x:f>MAX(0,FL20+FL24+FL53+FL57+FL35+FL46-FL27-FL34-FL45)</x:f>
      </x:c>
      <x:c r="FM49" s="117">
        <x:f>MAX(0,FM20+FM24+FM53+FM57+FM35+FM46-FM27-FM34-FM45)</x:f>
      </x:c>
      <x:c r="FN49" s="117">
        <x:f>MAX(0,FN20+FN24+FN53+FN57+FN35+FN46-FN27-FN34-FN45)</x:f>
      </x:c>
      <x:c r="FO49" s="117">
        <x:f>MAX(0,FO20+FO24+FO53+FO57+FO35+FO46-FO27-FO34-FO45)</x:f>
      </x:c>
      <x:c r="FP49" s="117">
        <x:f>MAX(0,FP20+FP24+FP53+FP57+FP35+FP46-FP27-FP34-FP45)</x:f>
      </x:c>
      <x:c r="FQ49" s="117">
        <x:f>MAX(0,FQ20+FQ24+FQ53+FQ57+FQ35+FQ46-FQ27-FQ34-FQ45)</x:f>
      </x:c>
      <x:c r="FR49" s="117">
        <x:f>MAX(0,FR20+FR24+FR53+FR57+FR35+FR46-FR27-FR34-FR45)</x:f>
      </x:c>
      <x:c r="FS49" s="117">
        <x:f>MAX(0,FS20+FS24+FS53+FS57+FS35+FS46-FS27-FS34-FS45)</x:f>
      </x:c>
      <x:c r="FT49" s="117">
        <x:f>MAX(0,FT20+FT24+FT53+FT57+FT35+FT46-FT27-FT34-FT45)</x:f>
      </x:c>
      <x:c r="FU49" s="117">
        <x:f>MAX(0,FU20+FU24+FU53+FU57+FU35+FU46-FU27-FU34-FU45)</x:f>
      </x:c>
      <x:c r="FV49" s="117">
        <x:f>MAX(0,FV20+FV24+FV53+FV57+FV35+FV46-FV27-FV34-FV45)</x:f>
      </x:c>
      <x:c r="FW49" s="117">
        <x:f>MAX(0,FW20+FW24+FW53+FW57+FW35+FW46-FW27-FW34-FW45)</x:f>
      </x:c>
      <x:c r="FX49" s="117">
        <x:f>MAX(0,FX20+FX24+FX53+FX57+FX35+FX46-FX27-FX34-FX45)</x:f>
      </x:c>
      <x:c r="FY49" s="117">
        <x:f>MAX(0,FY20+FY24+FY53+FY57+FY35+FY46-FY27-FY34-FY45)</x:f>
      </x:c>
      <x:c r="FZ49" s="117">
        <x:f>MAX(0,FZ20+FZ24+FZ53+FZ57+FZ35+FZ46-FZ27-FZ34-FZ45)</x:f>
      </x:c>
      <x:c r="GA49" s="117">
        <x:f>MAX(0,GA20+GA24+GA53+GA57+GA35+GA46-GA27-GA34-GA45)</x:f>
      </x:c>
    </x:row>
    <x:row r="50">
      <x:c r="A50" t="str">
        <x:v>Распределение собственнику</x:v>
      </x:c>
      <x:c r="B50" t="n">
        <x:f>SUM(D50:GA50)</x:f>
      </x:c>
      <x:c r="C50" t="str">
        <x:v>млн ₽</x:v>
      </x:c>
      <x:c r="D50" s="117">
        <x:f>MAX(0,D27+D34+D45-D20-D24-D53-D57-D35-D46)</x:f>
      </x:c>
      <x:c r="E50" s="117">
        <x:f>MAX(0,E27+E34+E45-E20-E24-E53-E57-E35-E46)</x:f>
      </x:c>
      <x:c r="F50" s="117">
        <x:f>MAX(0,F27+F34+F45-F20-F24-F53-F57-F35-F46)</x:f>
      </x:c>
      <x:c r="G50" s="117">
        <x:f>MAX(0,G27+G34+G45-G20-G24-G53-G57-G35-G46)</x:f>
      </x:c>
      <x:c r="H50" s="117">
        <x:f>MAX(0,H27+H34+H45-H20-H24-H53-H57-H35-H46)</x:f>
      </x:c>
      <x:c r="I50" s="117">
        <x:f>MAX(0,I27+I34+I45-I20-I24-I53-I57-I35-I46)</x:f>
      </x:c>
      <x:c r="J50" s="117">
        <x:f>MAX(0,J27+J34+J45-J20-J24-J53-J57-J35-J46)</x:f>
      </x:c>
      <x:c r="K50" s="117">
        <x:f>MAX(0,K27+K34+K45-K20-K24-K53-K57-K35-K46)</x:f>
      </x:c>
      <x:c r="L50" s="117">
        <x:f>MAX(0,L27+L34+L45-L20-L24-L53-L57-L35-L46)</x:f>
      </x:c>
      <x:c r="M50" s="117">
        <x:f>MAX(0,M27+M34+M45-M20-M24-M53-M57-M35-M46)</x:f>
      </x:c>
      <x:c r="N50" s="117">
        <x:f>MAX(0,N27+N34+N45-N20-N24-N53-N57-N35-N46)</x:f>
      </x:c>
      <x:c r="O50" s="117">
        <x:f>MAX(0,O27+O34+O45-O20-O24-O53-O57-O35-O46)</x:f>
      </x:c>
      <x:c r="P50" s="117">
        <x:f>MAX(0,P27+P34+P45-P20-P24-P53-P57-P35-P46)</x:f>
      </x:c>
      <x:c r="Q50" s="117">
        <x:f>MAX(0,Q27+Q34+Q45-Q20-Q24-Q53-Q57-Q35-Q46)</x:f>
      </x:c>
      <x:c r="R50" s="117">
        <x:f>MAX(0,R27+R34+R45-R20-R24-R53-R57-R35-R46)</x:f>
      </x:c>
      <x:c r="S50" s="117">
        <x:f>MAX(0,S27+S34+S45-S20-S24-S53-S57-S35-S46)</x:f>
      </x:c>
      <x:c r="T50" s="117">
        <x:f>MAX(0,T27+T34+T45-T20-T24-T53-T57-T35-T46)</x:f>
      </x:c>
      <x:c r="U50" s="117">
        <x:f>MAX(0,U27+U34+U45-U20-U24-U53-U57-U35-U46)</x:f>
      </x:c>
      <x:c r="V50" s="117">
        <x:f>MAX(0,V27+V34+V45-V20-V24-V53-V57-V35-V46)</x:f>
      </x:c>
      <x:c r="W50" s="117">
        <x:f>MAX(0,W27+W34+W45-W20-W24-W53-W57-W35-W46)</x:f>
      </x:c>
      <x:c r="X50" s="117">
        <x:f>MAX(0,X27+X34+X45-X20-X24-X53-X57-X35-X46)</x:f>
      </x:c>
      <x:c r="Y50" s="117">
        <x:f>MAX(0,Y27+Y34+Y45-Y20-Y24-Y53-Y57-Y35-Y46)</x:f>
      </x:c>
      <x:c r="Z50" s="117">
        <x:f>MAX(0,Z27+Z34+Z45-Z20-Z24-Z53-Z57-Z35-Z46)</x:f>
      </x:c>
      <x:c r="AA50" s="117">
        <x:f>MAX(0,AA27+AA34+AA45-AA20-AA24-AA53-AA57-AA35-AA46)</x:f>
      </x:c>
      <x:c r="AB50" s="117">
        <x:f>MAX(0,AB27+AB34+AB45-AB20-AB24-AB53-AB57-AB35-AB46)</x:f>
      </x:c>
      <x:c r="AC50" s="117">
        <x:f>MAX(0,AC27+AC34+AC45-AC20-AC24-AC53-AC57-AC35-AC46)</x:f>
      </x:c>
      <x:c r="AD50" s="117">
        <x:f>MAX(0,AD27+AD34+AD45-AD20-AD24-AD53-AD57-AD35-AD46)</x:f>
      </x:c>
      <x:c r="AE50" s="117">
        <x:f>MAX(0,AE27+AE34+AE45-AE20-AE24-AE53-AE57-AE35-AE46)</x:f>
      </x:c>
      <x:c r="AF50" s="117">
        <x:f>MAX(0,AF27+AF34+AF45-AF20-AF24-AF53-AF57-AF35-AF46)</x:f>
      </x:c>
      <x:c r="AG50" s="117">
        <x:f>MAX(0,AG27+AG34+AG45-AG20-AG24-AG53-AG57-AG35-AG46)</x:f>
      </x:c>
      <x:c r="AH50" s="117">
        <x:f>MAX(0,AH27+AH34+AH45-AH20-AH24-AH53-AH57-AH35-AH46)</x:f>
      </x:c>
      <x:c r="AI50" s="117">
        <x:f>MAX(0,AI27+AI34+AI45-AI20-AI24-AI53-AI57-AI35-AI46)</x:f>
      </x:c>
      <x:c r="AJ50" s="117">
        <x:f>MAX(0,AJ27+AJ34+AJ45-AJ20-AJ24-AJ53-AJ57-AJ35-AJ46)</x:f>
      </x:c>
      <x:c r="AK50" s="117">
        <x:f>MAX(0,AK27+AK34+AK45-AK20-AK24-AK53-AK57-AK35-AK46)</x:f>
      </x:c>
      <x:c r="AL50" s="117">
        <x:f>MAX(0,AL27+AL34+AL45-AL20-AL24-AL53-AL57-AL35-AL46)</x:f>
      </x:c>
      <x:c r="AM50" s="117">
        <x:f>MAX(0,AM27+AM34+AM45-AM20-AM24-AM53-AM57-AM35-AM46)</x:f>
      </x:c>
      <x:c r="AN50" s="117">
        <x:f>MAX(0,AN27+AN34+AN45-AN20-AN24-AN53-AN57-AN35-AN46)</x:f>
      </x:c>
      <x:c r="AO50" s="117">
        <x:f>MAX(0,AO27+AO34+AO45-AO20-AO24-AO53-AO57-AO35-AO46)</x:f>
      </x:c>
      <x:c r="AP50" s="117">
        <x:f>MAX(0,AP27+AP34+AP45-AP20-AP24-AP53-AP57-AP35-AP46)</x:f>
      </x:c>
      <x:c r="AQ50" s="117">
        <x:f>MAX(0,AQ27+AQ34+AQ45-AQ20-AQ24-AQ53-AQ57-AQ35-AQ46)</x:f>
      </x:c>
      <x:c r="AR50" s="117">
        <x:f>MAX(0,AR27+AR34+AR45-AR20-AR24-AR53-AR57-AR35-AR46)</x:f>
      </x:c>
      <x:c r="AS50" s="117">
        <x:f>MAX(0,AS27+AS34+AS45-AS20-AS24-AS53-AS57-AS35-AS46)</x:f>
      </x:c>
      <x:c r="AT50" s="117">
        <x:f>MAX(0,AT27+AT34+AT45-AT20-AT24-AT53-AT57-AT35-AT46)</x:f>
      </x:c>
      <x:c r="AU50" s="117">
        <x:f>MAX(0,AU27+AU34+AU45-AU20-AU24-AU53-AU57-AU35-AU46)</x:f>
      </x:c>
      <x:c r="AV50" s="117">
        <x:f>MAX(0,AV27+AV34+AV45-AV20-AV24-AV53-AV57-AV35-AV46)</x:f>
      </x:c>
      <x:c r="AW50" s="117">
        <x:f>MAX(0,AW27+AW34+AW45-AW20-AW24-AW53-AW57-AW35-AW46)</x:f>
      </x:c>
      <x:c r="AX50" s="117">
        <x:f>MAX(0,AX27+AX34+AX45-AX20-AX24-AX53-AX57-AX35-AX46)</x:f>
      </x:c>
      <x:c r="AY50" s="117">
        <x:f>MAX(0,AY27+AY34+AY45-AY20-AY24-AY53-AY57-AY35-AY46)</x:f>
      </x:c>
      <x:c r="AZ50" s="117">
        <x:f>MAX(0,AZ27+AZ34+AZ45-AZ20-AZ24-AZ53-AZ57-AZ35-AZ46)</x:f>
      </x:c>
      <x:c r="BA50" s="117">
        <x:f>MAX(0,BA27+BA34+BA45-BA20-BA24-BA53-BA57-BA35-BA46)</x:f>
      </x:c>
      <x:c r="BB50" s="117">
        <x:f>MAX(0,BB27+BB34+BB45-BB20-BB24-BB53-BB57-BB35-BB46)</x:f>
      </x:c>
      <x:c r="BC50" s="117">
        <x:f>MAX(0,BC27+BC34+BC45-BC20-BC24-BC53-BC57-BC35-BC46)</x:f>
      </x:c>
      <x:c r="BD50" s="117">
        <x:f>MAX(0,BD27+BD34+BD45-BD20-BD24-BD53-BD57-BD35-BD46)</x:f>
      </x:c>
      <x:c r="BE50" s="117">
        <x:f>MAX(0,BE27+BE34+BE45-BE20-BE24-BE53-BE57-BE35-BE46)</x:f>
      </x:c>
      <x:c r="BF50" s="117">
        <x:f>MAX(0,BF27+BF34+BF45-BF20-BF24-BF53-BF57-BF35-BF46)</x:f>
      </x:c>
      <x:c r="BG50" s="117">
        <x:f>MAX(0,BG27+BG34+BG45-BG20-BG24-BG53-BG57-BG35-BG46)</x:f>
      </x:c>
      <x:c r="BH50" s="117">
        <x:f>MAX(0,BH27+BH34+BH45-BH20-BH24-BH53-BH57-BH35-BH46)</x:f>
      </x:c>
      <x:c r="BI50" s="117">
        <x:f>MAX(0,BI27+BI34+BI45-BI20-BI24-BI53-BI57-BI35-BI46)</x:f>
      </x:c>
      <x:c r="BJ50" s="117">
        <x:f>MAX(0,BJ27+BJ34+BJ45-BJ20-BJ24-BJ53-BJ57-BJ35-BJ46)</x:f>
      </x:c>
      <x:c r="BK50" s="117">
        <x:f>MAX(0,BK27+BK34+BK45-BK20-BK24-BK53-BK57-BK35-BK46)</x:f>
      </x:c>
      <x:c r="BL50" s="117">
        <x:f>MAX(0,BL27+BL34+BL45-BL20-BL24-BL53-BL57-BL35-BL46)</x:f>
      </x:c>
      <x:c r="BM50" s="117">
        <x:f>MAX(0,BM27+BM34+BM45-BM20-BM24-BM53-BM57-BM35-BM46)</x:f>
      </x:c>
      <x:c r="BN50" s="117">
        <x:f>MAX(0,BN27+BN34+BN45-BN20-BN24-BN53-BN57-BN35-BN46)</x:f>
      </x:c>
      <x:c r="BO50" s="117">
        <x:f>MAX(0,BO27+BO34+BO45-BO20-BO24-BO53-BO57-BO35-BO46)</x:f>
      </x:c>
      <x:c r="BP50" s="117">
        <x:f>MAX(0,BP27+BP34+BP45-BP20-BP24-BP53-BP57-BP35-BP46)</x:f>
      </x:c>
      <x:c r="BQ50" s="117">
        <x:f>MAX(0,BQ27+BQ34+BQ45-BQ20-BQ24-BQ53-BQ57-BQ35-BQ46)</x:f>
      </x:c>
      <x:c r="BR50" s="117">
        <x:f>MAX(0,BR27+BR34+BR45-BR20-BR24-BR53-BR57-BR35-BR46)</x:f>
      </x:c>
      <x:c r="BS50" s="117">
        <x:f>MAX(0,BS27+BS34+BS45-BS20-BS24-BS53-BS57-BS35-BS46)</x:f>
      </x:c>
      <x:c r="BT50" s="117">
        <x:f>MAX(0,BT27+BT34+BT45-BT20-BT24-BT53-BT57-BT35-BT46)</x:f>
      </x:c>
      <x:c r="BU50" s="117">
        <x:f>MAX(0,BU27+BU34+BU45-BU20-BU24-BU53-BU57-BU35-BU46)</x:f>
      </x:c>
      <x:c r="BV50" s="117">
        <x:f>MAX(0,BV27+BV34+BV45-BV20-BV24-BV53-BV57-BV35-BV46)</x:f>
      </x:c>
      <x:c r="BW50" s="117">
        <x:f>MAX(0,BW27+BW34+BW45-BW20-BW24-BW53-BW57-BW35-BW46)</x:f>
      </x:c>
      <x:c r="BX50" s="117">
        <x:f>MAX(0,BX27+BX34+BX45-BX20-BX24-BX53-BX57-BX35-BX46)</x:f>
      </x:c>
      <x:c r="BY50" s="117">
        <x:f>MAX(0,BY27+BY34+BY45-BY20-BY24-BY53-BY57-BY35-BY46)</x:f>
      </x:c>
      <x:c r="BZ50" s="117">
        <x:f>MAX(0,BZ27+BZ34+BZ45-BZ20-BZ24-BZ53-BZ57-BZ35-BZ46)</x:f>
      </x:c>
      <x:c r="CA50" s="117">
        <x:f>MAX(0,CA27+CA34+CA45-CA20-CA24-CA53-CA57-CA35-CA46)</x:f>
      </x:c>
      <x:c r="CB50" s="117">
        <x:f>MAX(0,CB27+CB34+CB45-CB20-CB24-CB53-CB57-CB35-CB46)</x:f>
      </x:c>
      <x:c r="CC50" s="117">
        <x:f>MAX(0,CC27+CC34+CC45-CC20-CC24-CC53-CC57-CC35-CC46)</x:f>
      </x:c>
      <x:c r="CD50" s="117">
        <x:f>MAX(0,CD27+CD34+CD45-CD20-CD24-CD53-CD57-CD35-CD46)</x:f>
      </x:c>
      <x:c r="CE50" s="117">
        <x:f>MAX(0,CE27+CE34+CE45-CE20-CE24-CE53-CE57-CE35-CE46)</x:f>
      </x:c>
      <x:c r="CF50" s="117">
        <x:f>MAX(0,CF27+CF34+CF45-CF20-CF24-CF53-CF57-CF35-CF46)</x:f>
      </x:c>
      <x:c r="CG50" s="117">
        <x:f>MAX(0,CG27+CG34+CG45-CG20-CG24-CG53-CG57-CG35-CG46)</x:f>
      </x:c>
      <x:c r="CH50" s="117">
        <x:f>MAX(0,CH27+CH34+CH45-CH20-CH24-CH53-CH57-CH35-CH46)</x:f>
      </x:c>
      <x:c r="CI50" s="117">
        <x:f>MAX(0,CI27+CI34+CI45-CI20-CI24-CI53-CI57-CI35-CI46)</x:f>
      </x:c>
      <x:c r="CJ50" s="117">
        <x:f>MAX(0,CJ27+CJ34+CJ45-CJ20-CJ24-CJ53-CJ57-CJ35-CJ46)</x:f>
      </x:c>
      <x:c r="CK50" s="117">
        <x:f>MAX(0,CK27+CK34+CK45-CK20-CK24-CK53-CK57-CK35-CK46)</x:f>
      </x:c>
      <x:c r="CL50" s="117">
        <x:f>MAX(0,CL27+CL34+CL45-CL20-CL24-CL53-CL57-CL35-CL46)</x:f>
      </x:c>
      <x:c r="CM50" s="117">
        <x:f>MAX(0,CM27+CM34+CM45-CM20-CM24-CM53-CM57-CM35-CM46)</x:f>
      </x:c>
      <x:c r="CN50" s="117">
        <x:f>MAX(0,CN27+CN34+CN45-CN20-CN24-CN53-CN57-CN35-CN46)</x:f>
      </x:c>
      <x:c r="CO50" s="117">
        <x:f>MAX(0,CO27+CO34+CO45-CO20-CO24-CO53-CO57-CO35-CO46)</x:f>
      </x:c>
      <x:c r="CP50" s="117">
        <x:f>MAX(0,CP27+CP34+CP45-CP20-CP24-CP53-CP57-CP35-CP46)</x:f>
      </x:c>
      <x:c r="CQ50" s="117">
        <x:f>MAX(0,CQ27+CQ34+CQ45-CQ20-CQ24-CQ53-CQ57-CQ35-CQ46)</x:f>
      </x:c>
      <x:c r="CR50" s="117">
        <x:f>MAX(0,CR27+CR34+CR45-CR20-CR24-CR53-CR57-CR35-CR46)</x:f>
      </x:c>
      <x:c r="CS50" s="117">
        <x:f>MAX(0,CS27+CS34+CS45-CS20-CS24-CS53-CS57-CS35-CS46)</x:f>
      </x:c>
      <x:c r="CT50" s="117">
        <x:f>MAX(0,CT27+CT34+CT45-CT20-CT24-CT53-CT57-CT35-CT46)</x:f>
      </x:c>
      <x:c r="CU50" s="117">
        <x:f>MAX(0,CU27+CU34+CU45-CU20-CU24-CU53-CU57-CU35-CU46)</x:f>
      </x:c>
      <x:c r="CV50" s="117">
        <x:f>MAX(0,CV27+CV34+CV45-CV20-CV24-CV53-CV57-CV35-CV46)</x:f>
      </x:c>
      <x:c r="CW50" s="117">
        <x:f>MAX(0,CW27+CW34+CW45-CW20-CW24-CW53-CW57-CW35-CW46)</x:f>
      </x:c>
      <x:c r="CX50" s="117">
        <x:f>MAX(0,CX27+CX34+CX45-CX20-CX24-CX53-CX57-CX35-CX46)</x:f>
      </x:c>
      <x:c r="CY50" s="117">
        <x:f>MAX(0,CY27+CY34+CY45-CY20-CY24-CY53-CY57-CY35-CY46)</x:f>
      </x:c>
      <x:c r="CZ50" s="117">
        <x:f>MAX(0,CZ27+CZ34+CZ45-CZ20-CZ24-CZ53-CZ57-CZ35-CZ46)</x:f>
      </x:c>
      <x:c r="DA50" s="117">
        <x:f>MAX(0,DA27+DA34+DA45-DA20-DA24-DA53-DA57-DA35-DA46)</x:f>
      </x:c>
      <x:c r="DB50" s="117">
        <x:f>MAX(0,DB27+DB34+DB45-DB20-DB24-DB53-DB57-DB35-DB46)</x:f>
      </x:c>
      <x:c r="DC50" s="117">
        <x:f>MAX(0,DC27+DC34+DC45-DC20-DC24-DC53-DC57-DC35-DC46)</x:f>
      </x:c>
      <x:c r="DD50" s="117">
        <x:f>MAX(0,DD27+DD34+DD45-DD20-DD24-DD53-DD57-DD35-DD46)</x:f>
      </x:c>
      <x:c r="DE50" s="117">
        <x:f>MAX(0,DE27+DE34+DE45-DE20-DE24-DE53-DE57-DE35-DE46)</x:f>
      </x:c>
      <x:c r="DF50" s="117">
        <x:f>MAX(0,DF27+DF34+DF45-DF20-DF24-DF53-DF57-DF35-DF46)</x:f>
      </x:c>
      <x:c r="DG50" s="117">
        <x:f>MAX(0,DG27+DG34+DG45-DG20-DG24-DG53-DG57-DG35-DG46)</x:f>
      </x:c>
      <x:c r="DH50" s="117">
        <x:f>MAX(0,DH27+DH34+DH45-DH20-DH24-DH53-DH57-DH35-DH46)</x:f>
      </x:c>
      <x:c r="DI50" s="117">
        <x:f>MAX(0,DI27+DI34+DI45-DI20-DI24-DI53-DI57-DI35-DI46)</x:f>
      </x:c>
      <x:c r="DJ50" s="117">
        <x:f>MAX(0,DJ27+DJ34+DJ45-DJ20-DJ24-DJ53-DJ57-DJ35-DJ46)</x:f>
      </x:c>
      <x:c r="DK50" s="117">
        <x:f>MAX(0,DK27+DK34+DK45-DK20-DK24-DK53-DK57-DK35-DK46)</x:f>
      </x:c>
      <x:c r="DL50" s="117">
        <x:f>MAX(0,DL27+DL34+DL45-DL20-DL24-DL53-DL57-DL35-DL46)</x:f>
      </x:c>
      <x:c r="DM50" s="117">
        <x:f>MAX(0,DM27+DM34+DM45-DM20-DM24-DM53-DM57-DM35-DM46)</x:f>
      </x:c>
      <x:c r="DN50" s="117">
        <x:f>MAX(0,DN27+DN34+DN45-DN20-DN24-DN53-DN57-DN35-DN46)</x:f>
      </x:c>
      <x:c r="DO50" s="117">
        <x:f>MAX(0,DO27+DO34+DO45-DO20-DO24-DO53-DO57-DO35-DO46)</x:f>
      </x:c>
      <x:c r="DP50" s="117">
        <x:f>MAX(0,DP27+DP34+DP45-DP20-DP24-DP53-DP57-DP35-DP46)</x:f>
      </x:c>
      <x:c r="DQ50" s="117">
        <x:f>MAX(0,DQ27+DQ34+DQ45-DQ20-DQ24-DQ53-DQ57-DQ35-DQ46)</x:f>
      </x:c>
      <x:c r="DR50" s="117">
        <x:f>MAX(0,DR27+DR34+DR45-DR20-DR24-DR53-DR57-DR35-DR46)</x:f>
      </x:c>
      <x:c r="DS50" s="117">
        <x:f>MAX(0,DS27+DS34+DS45-DS20-DS24-DS53-DS57-DS35-DS46)</x:f>
      </x:c>
      <x:c r="DT50" s="117">
        <x:f>MAX(0,DT27+DT34+DT45-DT20-DT24-DT53-DT57-DT35-DT46)</x:f>
      </x:c>
      <x:c r="DU50" s="117">
        <x:f>MAX(0,DU27+DU34+DU45-DU20-DU24-DU53-DU57-DU35-DU46)</x:f>
      </x:c>
      <x:c r="DV50" s="117">
        <x:f>MAX(0,DV27+DV34+DV45-DV20-DV24-DV53-DV57-DV35-DV46)</x:f>
      </x:c>
      <x:c r="DW50" s="117">
        <x:f>MAX(0,DW27+DW34+DW45-DW20-DW24-DW53-DW57-DW35-DW46)</x:f>
      </x:c>
      <x:c r="DX50" s="117">
        <x:f>MAX(0,DX27+DX34+DX45-DX20-DX24-DX53-DX57-DX35-DX46)</x:f>
      </x:c>
      <x:c r="DY50" s="117">
        <x:f>MAX(0,DY27+DY34+DY45-DY20-DY24-DY53-DY57-DY35-DY46)</x:f>
      </x:c>
      <x:c r="DZ50" s="117">
        <x:f>MAX(0,DZ27+DZ34+DZ45-DZ20-DZ24-DZ53-DZ57-DZ35-DZ46)</x:f>
      </x:c>
      <x:c r="EA50" s="117">
        <x:f>MAX(0,EA27+EA34+EA45-EA20-EA24-EA53-EA57-EA35-EA46)</x:f>
      </x:c>
      <x:c r="EB50" s="117">
        <x:f>MAX(0,EB27+EB34+EB45-EB20-EB24-EB53-EB57-EB35-EB46)</x:f>
      </x:c>
      <x:c r="EC50" s="117">
        <x:f>MAX(0,EC27+EC34+EC45-EC20-EC24-EC53-EC57-EC35-EC46)</x:f>
      </x:c>
      <x:c r="ED50" s="117">
        <x:f>MAX(0,ED27+ED34+ED45-ED20-ED24-ED53-ED57-ED35-ED46)</x:f>
      </x:c>
      <x:c r="EE50" s="117">
        <x:f>MAX(0,EE27+EE34+EE45-EE20-EE24-EE53-EE57-EE35-EE46)</x:f>
      </x:c>
      <x:c r="EF50" s="117">
        <x:f>MAX(0,EF27+EF34+EF45-EF20-EF24-EF53-EF57-EF35-EF46)</x:f>
      </x:c>
      <x:c r="EG50" s="117">
        <x:f>MAX(0,EG27+EG34+EG45-EG20-EG24-EG53-EG57-EG35-EG46)</x:f>
      </x:c>
      <x:c r="EH50" s="117">
        <x:f>MAX(0,EH27+EH34+EH45-EH20-EH24-EH53-EH57-EH35-EH46)</x:f>
      </x:c>
      <x:c r="EI50" s="117">
        <x:f>MAX(0,EI27+EI34+EI45-EI20-EI24-EI53-EI57-EI35-EI46)</x:f>
      </x:c>
      <x:c r="EJ50" s="117">
        <x:f>MAX(0,EJ27+EJ34+EJ45-EJ20-EJ24-EJ53-EJ57-EJ35-EJ46)</x:f>
      </x:c>
      <x:c r="EK50" s="117">
        <x:f>MAX(0,EK27+EK34+EK45-EK20-EK24-EK53-EK57-EK35-EK46)</x:f>
      </x:c>
      <x:c r="EL50" s="117">
        <x:f>MAX(0,EL27+EL34+EL45-EL20-EL24-EL53-EL57-EL35-EL46)</x:f>
      </x:c>
      <x:c r="EM50" s="117">
        <x:f>MAX(0,EM27+EM34+EM45-EM20-EM24-EM53-EM57-EM35-EM46)</x:f>
      </x:c>
      <x:c r="EN50" s="117">
        <x:f>MAX(0,EN27+EN34+EN45-EN20-EN24-EN53-EN57-EN35-EN46)</x:f>
      </x:c>
      <x:c r="EO50" s="117">
        <x:f>MAX(0,EO27+EO34+EO45-EO20-EO24-EO53-EO57-EO35-EO46)</x:f>
      </x:c>
      <x:c r="EP50" s="117">
        <x:f>MAX(0,EP27+EP34+EP45-EP20-EP24-EP53-EP57-EP35-EP46)</x:f>
      </x:c>
      <x:c r="EQ50" s="117">
        <x:f>MAX(0,EQ27+EQ34+EQ45-EQ20-EQ24-EQ53-EQ57-EQ35-EQ46)</x:f>
      </x:c>
      <x:c r="ER50" s="117">
        <x:f>MAX(0,ER27+ER34+ER45-ER20-ER24-ER53-ER57-ER35-ER46)</x:f>
      </x:c>
      <x:c r="ES50" s="117">
        <x:f>MAX(0,ES27+ES34+ES45-ES20-ES24-ES53-ES57-ES35-ES46)</x:f>
      </x:c>
      <x:c r="ET50" s="117">
        <x:f>MAX(0,ET27+ET34+ET45-ET20-ET24-ET53-ET57-ET35-ET46)</x:f>
      </x:c>
      <x:c r="EU50" s="117">
        <x:f>MAX(0,EU27+EU34+EU45-EU20-EU24-EU53-EU57-EU35-EU46)</x:f>
      </x:c>
      <x:c r="EV50" s="117">
        <x:f>MAX(0,EV27+EV34+EV45-EV20-EV24-EV53-EV57-EV35-EV46)</x:f>
      </x:c>
      <x:c r="EW50" s="117">
        <x:f>MAX(0,EW27+EW34+EW45-EW20-EW24-EW53-EW57-EW35-EW46)</x:f>
      </x:c>
      <x:c r="EX50" s="117">
        <x:f>MAX(0,EX27+EX34+EX45-EX20-EX24-EX53-EX57-EX35-EX46)</x:f>
      </x:c>
      <x:c r="EY50" s="117">
        <x:f>MAX(0,EY27+EY34+EY45-EY20-EY24-EY53-EY57-EY35-EY46)</x:f>
      </x:c>
      <x:c r="EZ50" s="117">
        <x:f>MAX(0,EZ27+EZ34+EZ45-EZ20-EZ24-EZ53-EZ57-EZ35-EZ46)</x:f>
      </x:c>
      <x:c r="FA50" s="117">
        <x:f>MAX(0,FA27+FA34+FA45-FA20-FA24-FA53-FA57-FA35-FA46)</x:f>
      </x:c>
      <x:c r="FB50" s="117">
        <x:f>MAX(0,FB27+FB34+FB45-FB20-FB24-FB53-FB57-FB35-FB46)</x:f>
      </x:c>
      <x:c r="FC50" s="117">
        <x:f>MAX(0,FC27+FC34+FC45-FC20-FC24-FC53-FC57-FC35-FC46)</x:f>
      </x:c>
      <x:c r="FD50" s="117">
        <x:f>MAX(0,FD27+FD34+FD45-FD20-FD24-FD53-FD57-FD35-FD46)</x:f>
      </x:c>
      <x:c r="FE50" s="117">
        <x:f>MAX(0,FE27+FE34+FE45-FE20-FE24-FE53-FE57-FE35-FE46)</x:f>
      </x:c>
      <x:c r="FF50" s="117">
        <x:f>MAX(0,FF27+FF34+FF45-FF20-FF24-FF53-FF57-FF35-FF46)</x:f>
      </x:c>
      <x:c r="FG50" s="117">
        <x:f>MAX(0,FG27+FG34+FG45-FG20-FG24-FG53-FG57-FG35-FG46)</x:f>
      </x:c>
      <x:c r="FH50" s="117">
        <x:f>MAX(0,FH27+FH34+FH45-FH20-FH24-FH53-FH57-FH35-FH46)</x:f>
      </x:c>
      <x:c r="FI50" s="117">
        <x:f>MAX(0,FI27+FI34+FI45-FI20-FI24-FI53-FI57-FI35-FI46)</x:f>
      </x:c>
      <x:c r="FJ50" s="117">
        <x:f>MAX(0,FJ27+FJ34+FJ45-FJ20-FJ24-FJ53-FJ57-FJ35-FJ46)</x:f>
      </x:c>
      <x:c r="FK50" s="117">
        <x:f>MAX(0,FK27+FK34+FK45-FK20-FK24-FK53-FK57-FK35-FK46)</x:f>
      </x:c>
      <x:c r="FL50" s="117">
        <x:f>MAX(0,FL27+FL34+FL45-FL20-FL24-FL53-FL57-FL35-FL46)</x:f>
      </x:c>
      <x:c r="FM50" s="117">
        <x:f>MAX(0,FM27+FM34+FM45-FM20-FM24-FM53-FM57-FM35-FM46)</x:f>
      </x:c>
      <x:c r="FN50" s="117">
        <x:f>MAX(0,FN27+FN34+FN45-FN20-FN24-FN53-FN57-FN35-FN46)</x:f>
      </x:c>
      <x:c r="FO50" s="117">
        <x:f>MAX(0,FO27+FO34+FO45-FO20-FO24-FO53-FO57-FO35-FO46)</x:f>
      </x:c>
      <x:c r="FP50" s="117">
        <x:f>MAX(0,FP27+FP34+FP45-FP20-FP24-FP53-FP57-FP35-FP46)</x:f>
      </x:c>
      <x:c r="FQ50" s="117">
        <x:f>MAX(0,FQ27+FQ34+FQ45-FQ20-FQ24-FQ53-FQ57-FQ35-FQ46)</x:f>
      </x:c>
      <x:c r="FR50" s="117">
        <x:f>MAX(0,FR27+FR34+FR45-FR20-FR24-FR53-FR57-FR35-FR46)</x:f>
      </x:c>
      <x:c r="FS50" s="117">
        <x:f>MAX(0,FS27+FS34+FS45-FS20-FS24-FS53-FS57-FS35-FS46)</x:f>
      </x:c>
      <x:c r="FT50" s="117">
        <x:f>MAX(0,FT27+FT34+FT45-FT20-FT24-FT53-FT57-FT35-FT46)</x:f>
      </x:c>
      <x:c r="FU50" s="117">
        <x:f>MAX(0,FU27+FU34+FU45-FU20-FU24-FU53-FU57-FU35-FU46)</x:f>
      </x:c>
      <x:c r="FV50" s="117">
        <x:f>MAX(0,FV27+FV34+FV45-FV20-FV24-FV53-FV57-FV35-FV46)</x:f>
      </x:c>
      <x:c r="FW50" s="117">
        <x:f>MAX(0,FW27+FW34+FW45-FW20-FW24-FW53-FW57-FW35-FW46)</x:f>
      </x:c>
      <x:c r="FX50" s="117">
        <x:f>MAX(0,FX27+FX34+FX45-FX20-FX24-FX53-FX57-FX35-FX46)</x:f>
      </x:c>
      <x:c r="FY50" s="117">
        <x:f>MAX(0,FY27+FY34+FY45-FY20-FY24-FY53-FY57-FY35-FY46)</x:f>
      </x:c>
      <x:c r="FZ50" s="117">
        <x:f>MAX(0,FZ27+FZ34+FZ45-FZ20-FZ24-FZ53-FZ57-FZ35-FZ46)</x:f>
      </x:c>
      <x:c r="GA50" s="117">
        <x:f>MAX(0,GA27+GA34+GA45-GA20-GA24-GA53-GA57-GA35-GA46)</x:f>
      </x:c>
    </x:row>
    <x:row r="51">
      <x:c r="A51" s="113" t="str">
        <x:v>Чистый CF собственного капитала</x:v>
      </x:c>
      <x:c r="B51" s="113" t="n">
        <x:f>SUM(D51:GA51)</x:f>
      </x:c>
      <x:c r="C51" s="113" t="str">
        <x:v>млн ₽</x:v>
      </x:c>
      <x:c r="D51" s="120" t="n">
        <x:f>D50-D49</x:f>
      </x:c>
      <x:c r="E51" s="120" t="n">
        <x:f>E50-E49</x:f>
      </x:c>
      <x:c r="F51" s="120" t="n">
        <x:f>F50-F49</x:f>
      </x:c>
      <x:c r="G51" s="120" t="n">
        <x:f>G50-G49</x:f>
      </x:c>
      <x:c r="H51" s="120" t="n">
        <x:f>H50-H49</x:f>
      </x:c>
      <x:c r="I51" s="120" t="n">
        <x:f>I50-I49</x:f>
      </x:c>
      <x:c r="J51" s="120" t="n">
        <x:f>J50-J49</x:f>
      </x:c>
      <x:c r="K51" s="120" t="n">
        <x:f>K50-K49</x:f>
      </x:c>
      <x:c r="L51" s="120" t="n">
        <x:f>L50-L49</x:f>
      </x:c>
      <x:c r="M51" s="120" t="n">
        <x:f>M50-M49</x:f>
      </x:c>
      <x:c r="N51" s="120" t="n">
        <x:f>N50-N49</x:f>
      </x:c>
      <x:c r="O51" s="120" t="n">
        <x:f>O50-O49</x:f>
      </x:c>
      <x:c r="P51" s="120" t="n">
        <x:f>P50-P49</x:f>
      </x:c>
      <x:c r="Q51" s="120" t="n">
        <x:f>Q50-Q49</x:f>
      </x:c>
      <x:c r="R51" s="120" t="n">
        <x:f>R50-R49</x:f>
      </x:c>
      <x:c r="S51" s="120" t="n">
        <x:f>S50-S49</x:f>
      </x:c>
      <x:c r="T51" s="120" t="n">
        <x:f>T50-T49</x:f>
      </x:c>
      <x:c r="U51" s="120" t="n">
        <x:f>U50-U49</x:f>
      </x:c>
      <x:c r="V51" s="120" t="n">
        <x:f>V50-V49</x:f>
      </x:c>
      <x:c r="W51" s="120" t="n">
        <x:f>W50-W49</x:f>
      </x:c>
      <x:c r="X51" s="120" t="n">
        <x:f>X50-X49</x:f>
      </x:c>
      <x:c r="Y51" s="120" t="n">
        <x:f>Y50-Y49</x:f>
      </x:c>
      <x:c r="Z51" s="120" t="n">
        <x:f>Z50-Z49</x:f>
      </x:c>
      <x:c r="AA51" s="120" t="n">
        <x:f>AA50-AA49</x:f>
      </x:c>
      <x:c r="AB51" s="120" t="n">
        <x:f>AB50-AB49</x:f>
      </x:c>
      <x:c r="AC51" s="120" t="n">
        <x:f>AC50-AC49</x:f>
      </x:c>
      <x:c r="AD51" s="120" t="n">
        <x:f>AD50-AD49</x:f>
      </x:c>
      <x:c r="AE51" s="120" t="n">
        <x:f>AE50-AE49</x:f>
      </x:c>
      <x:c r="AF51" s="120" t="n">
        <x:f>AF50-AF49</x:f>
      </x:c>
      <x:c r="AG51" s="120" t="n">
        <x:f>AG50-AG49</x:f>
      </x:c>
      <x:c r="AH51" s="120" t="n">
        <x:f>AH50-AH49</x:f>
      </x:c>
      <x:c r="AI51" s="120" t="n">
        <x:f>AI50-AI49</x:f>
      </x:c>
      <x:c r="AJ51" s="120" t="n">
        <x:f>AJ50-AJ49</x:f>
      </x:c>
      <x:c r="AK51" s="120" t="n">
        <x:f>AK50-AK49</x:f>
      </x:c>
      <x:c r="AL51" s="120" t="n">
        <x:f>AL50-AL49</x:f>
      </x:c>
      <x:c r="AM51" s="120" t="n">
        <x:f>AM50-AM49</x:f>
      </x:c>
      <x:c r="AN51" s="120" t="n">
        <x:f>AN50-AN49</x:f>
      </x:c>
      <x:c r="AO51" s="120" t="n">
        <x:f>AO50-AO49</x:f>
      </x:c>
      <x:c r="AP51" s="120" t="n">
        <x:f>AP50-AP49</x:f>
      </x:c>
      <x:c r="AQ51" s="120" t="n">
        <x:f>AQ50-AQ49</x:f>
      </x:c>
      <x:c r="AR51" s="120" t="n">
        <x:f>AR50-AR49</x:f>
      </x:c>
      <x:c r="AS51" s="120" t="n">
        <x:f>AS50-AS49</x:f>
      </x:c>
      <x:c r="AT51" s="120" t="n">
        <x:f>AT50-AT49</x:f>
      </x:c>
      <x:c r="AU51" s="120" t="n">
        <x:f>AU50-AU49</x:f>
      </x:c>
      <x:c r="AV51" s="120" t="n">
        <x:f>AV50-AV49</x:f>
      </x:c>
      <x:c r="AW51" s="120" t="n">
        <x:f>AW50-AW49</x:f>
      </x:c>
      <x:c r="AX51" s="120" t="n">
        <x:f>AX50-AX49</x:f>
      </x:c>
      <x:c r="AY51" s="120" t="n">
        <x:f>AY50-AY49</x:f>
      </x:c>
      <x:c r="AZ51" s="120" t="n">
        <x:f>AZ50-AZ49</x:f>
      </x:c>
      <x:c r="BA51" s="120" t="n">
        <x:f>BA50-BA49</x:f>
      </x:c>
      <x:c r="BB51" s="120" t="n">
        <x:f>BB50-BB49</x:f>
      </x:c>
      <x:c r="BC51" s="120" t="n">
        <x:f>BC50-BC49</x:f>
      </x:c>
      <x:c r="BD51" s="120" t="n">
        <x:f>BD50-BD49</x:f>
      </x:c>
      <x:c r="BE51" s="120" t="n">
        <x:f>BE50-BE49</x:f>
      </x:c>
      <x:c r="BF51" s="120" t="n">
        <x:f>BF50-BF49</x:f>
      </x:c>
      <x:c r="BG51" s="120" t="n">
        <x:f>BG50-BG49</x:f>
      </x:c>
      <x:c r="BH51" s="120" t="n">
        <x:f>BH50-BH49</x:f>
      </x:c>
      <x:c r="BI51" s="120" t="n">
        <x:f>BI50-BI49</x:f>
      </x:c>
      <x:c r="BJ51" s="120" t="n">
        <x:f>BJ50-BJ49</x:f>
      </x:c>
      <x:c r="BK51" s="120" t="n">
        <x:f>BK50-BK49</x:f>
      </x:c>
      <x:c r="BL51" s="120" t="n">
        <x:f>BL50-BL49</x:f>
      </x:c>
      <x:c r="BM51" s="120" t="n">
        <x:f>BM50-BM49</x:f>
      </x:c>
      <x:c r="BN51" s="120" t="n">
        <x:f>BN50-BN49</x:f>
      </x:c>
      <x:c r="BO51" s="120" t="n">
        <x:f>BO50-BO49</x:f>
      </x:c>
      <x:c r="BP51" s="120" t="n">
        <x:f>BP50-BP49</x:f>
      </x:c>
      <x:c r="BQ51" s="120" t="n">
        <x:f>BQ50-BQ49</x:f>
      </x:c>
      <x:c r="BR51" s="120" t="n">
        <x:f>BR50-BR49</x:f>
      </x:c>
      <x:c r="BS51" s="120" t="n">
        <x:f>BS50-BS49</x:f>
      </x:c>
      <x:c r="BT51" s="120" t="n">
        <x:f>BT50-BT49</x:f>
      </x:c>
      <x:c r="BU51" s="120" t="n">
        <x:f>BU50-BU49</x:f>
      </x:c>
      <x:c r="BV51" s="120" t="n">
        <x:f>BV50-BV49</x:f>
      </x:c>
      <x:c r="BW51" s="120" t="n">
        <x:f>BW50-BW49</x:f>
      </x:c>
      <x:c r="BX51" s="120" t="n">
        <x:f>BX50-BX49</x:f>
      </x:c>
      <x:c r="BY51" s="120" t="n">
        <x:f>BY50-BY49</x:f>
      </x:c>
      <x:c r="BZ51" s="120" t="n">
        <x:f>BZ50-BZ49</x:f>
      </x:c>
      <x:c r="CA51" s="120" t="n">
        <x:f>CA50-CA49</x:f>
      </x:c>
      <x:c r="CB51" s="120" t="n">
        <x:f>CB50-CB49</x:f>
      </x:c>
      <x:c r="CC51" s="120" t="n">
        <x:f>CC50-CC49</x:f>
      </x:c>
      <x:c r="CD51" s="120" t="n">
        <x:f>CD50-CD49</x:f>
      </x:c>
      <x:c r="CE51" s="120" t="n">
        <x:f>CE50-CE49</x:f>
      </x:c>
      <x:c r="CF51" s="120" t="n">
        <x:f>CF50-CF49</x:f>
      </x:c>
      <x:c r="CG51" s="120" t="n">
        <x:f>CG50-CG49</x:f>
      </x:c>
      <x:c r="CH51" s="120" t="n">
        <x:f>CH50-CH49</x:f>
      </x:c>
      <x:c r="CI51" s="120" t="n">
        <x:f>CI50-CI49</x:f>
      </x:c>
      <x:c r="CJ51" s="120" t="n">
        <x:f>CJ50-CJ49</x:f>
      </x:c>
      <x:c r="CK51" s="120" t="n">
        <x:f>CK50-CK49</x:f>
      </x:c>
      <x:c r="CL51" s="120" t="n">
        <x:f>CL50-CL49</x:f>
      </x:c>
      <x:c r="CM51" s="120" t="n">
        <x:f>CM50-CM49</x:f>
      </x:c>
      <x:c r="CN51" s="120" t="n">
        <x:f>CN50-CN49</x:f>
      </x:c>
      <x:c r="CO51" s="120" t="n">
        <x:f>CO50-CO49</x:f>
      </x:c>
      <x:c r="CP51" s="120" t="n">
        <x:f>CP50-CP49</x:f>
      </x:c>
      <x:c r="CQ51" s="120" t="n">
        <x:f>CQ50-CQ49</x:f>
      </x:c>
      <x:c r="CR51" s="120" t="n">
        <x:f>CR50-CR49</x:f>
      </x:c>
      <x:c r="CS51" s="120" t="n">
        <x:f>CS50-CS49</x:f>
      </x:c>
      <x:c r="CT51" s="120" t="n">
        <x:f>CT50-CT49</x:f>
      </x:c>
      <x:c r="CU51" s="120" t="n">
        <x:f>CU50-CU49</x:f>
      </x:c>
      <x:c r="CV51" s="120" t="n">
        <x:f>CV50-CV49</x:f>
      </x:c>
      <x:c r="CW51" s="120" t="n">
        <x:f>CW50-CW49</x:f>
      </x:c>
      <x:c r="CX51" s="120" t="n">
        <x:f>CX50-CX49</x:f>
      </x:c>
      <x:c r="CY51" s="120" t="n">
        <x:f>CY50-CY49</x:f>
      </x:c>
      <x:c r="CZ51" s="120" t="n">
        <x:f>CZ50-CZ49</x:f>
      </x:c>
      <x:c r="DA51" s="120" t="n">
        <x:f>DA50-DA49</x:f>
      </x:c>
      <x:c r="DB51" s="120" t="n">
        <x:f>DB50-DB49</x:f>
      </x:c>
      <x:c r="DC51" s="120" t="n">
        <x:f>DC50-DC49</x:f>
      </x:c>
      <x:c r="DD51" s="120" t="n">
        <x:f>DD50-DD49</x:f>
      </x:c>
      <x:c r="DE51" s="120" t="n">
        <x:f>DE50-DE49</x:f>
      </x:c>
      <x:c r="DF51" s="120" t="n">
        <x:f>DF50-DF49</x:f>
      </x:c>
      <x:c r="DG51" s="120" t="n">
        <x:f>DG50-DG49</x:f>
      </x:c>
      <x:c r="DH51" s="120" t="n">
        <x:f>DH50-DH49</x:f>
      </x:c>
      <x:c r="DI51" s="120" t="n">
        <x:f>DI50-DI49</x:f>
      </x:c>
      <x:c r="DJ51" s="120" t="n">
        <x:f>DJ50-DJ49</x:f>
      </x:c>
      <x:c r="DK51" s="120" t="n">
        <x:f>DK50-DK49</x:f>
      </x:c>
      <x:c r="DL51" s="120" t="n">
        <x:f>DL50-DL49</x:f>
      </x:c>
      <x:c r="DM51" s="120" t="n">
        <x:f>DM50-DM49</x:f>
      </x:c>
      <x:c r="DN51" s="120" t="n">
        <x:f>DN50-DN49</x:f>
      </x:c>
      <x:c r="DO51" s="120" t="n">
        <x:f>DO50-DO49</x:f>
      </x:c>
      <x:c r="DP51" s="120" t="n">
        <x:f>DP50-DP49</x:f>
      </x:c>
      <x:c r="DQ51" s="120" t="n">
        <x:f>DQ50-DQ49</x:f>
      </x:c>
      <x:c r="DR51" s="120" t="n">
        <x:f>DR50-DR49</x:f>
      </x:c>
      <x:c r="DS51" s="120" t="n">
        <x:f>DS50-DS49</x:f>
      </x:c>
      <x:c r="DT51" s="120" t="n">
        <x:f>DT50-DT49</x:f>
      </x:c>
      <x:c r="DU51" s="120" t="n">
        <x:f>DU50-DU49</x:f>
      </x:c>
      <x:c r="DV51" s="120" t="n">
        <x:f>DV50-DV49</x:f>
      </x:c>
      <x:c r="DW51" s="120" t="n">
        <x:f>DW50-DW49</x:f>
      </x:c>
      <x:c r="DX51" s="120" t="n">
        <x:f>DX50-DX49</x:f>
      </x:c>
      <x:c r="DY51" s="120" t="n">
        <x:f>DY50-DY49</x:f>
      </x:c>
      <x:c r="DZ51" s="120" t="n">
        <x:f>DZ50-DZ49</x:f>
      </x:c>
      <x:c r="EA51" s="120" t="n">
        <x:f>EA50-EA49</x:f>
      </x:c>
      <x:c r="EB51" s="120" t="n">
        <x:f>EB50-EB49</x:f>
      </x:c>
      <x:c r="EC51" s="120" t="n">
        <x:f>EC50-EC49</x:f>
      </x:c>
      <x:c r="ED51" s="120" t="n">
        <x:f>ED50-ED49</x:f>
      </x:c>
      <x:c r="EE51" s="120" t="n">
        <x:f>EE50-EE49</x:f>
      </x:c>
      <x:c r="EF51" s="120" t="n">
        <x:f>EF50-EF49</x:f>
      </x:c>
      <x:c r="EG51" s="120" t="n">
        <x:f>EG50-EG49</x:f>
      </x:c>
      <x:c r="EH51" s="120" t="n">
        <x:f>EH50-EH49</x:f>
      </x:c>
      <x:c r="EI51" s="120" t="n">
        <x:f>EI50-EI49</x:f>
      </x:c>
      <x:c r="EJ51" s="120" t="n">
        <x:f>EJ50-EJ49</x:f>
      </x:c>
      <x:c r="EK51" s="120" t="n">
        <x:f>EK50-EK49</x:f>
      </x:c>
      <x:c r="EL51" s="120" t="n">
        <x:f>EL50-EL49</x:f>
      </x:c>
      <x:c r="EM51" s="120" t="n">
        <x:f>EM50-EM49</x:f>
      </x:c>
      <x:c r="EN51" s="120" t="n">
        <x:f>EN50-EN49</x:f>
      </x:c>
      <x:c r="EO51" s="120" t="n">
        <x:f>EO50-EO49</x:f>
      </x:c>
      <x:c r="EP51" s="120" t="n">
        <x:f>EP50-EP49</x:f>
      </x:c>
      <x:c r="EQ51" s="120" t="n">
        <x:f>EQ50-EQ49</x:f>
      </x:c>
      <x:c r="ER51" s="120" t="n">
        <x:f>ER50-ER49</x:f>
      </x:c>
      <x:c r="ES51" s="120" t="n">
        <x:f>ES50-ES49</x:f>
      </x:c>
      <x:c r="ET51" s="120" t="n">
        <x:f>ET50-ET49</x:f>
      </x:c>
      <x:c r="EU51" s="120" t="n">
        <x:f>EU50-EU49</x:f>
      </x:c>
      <x:c r="EV51" s="120" t="n">
        <x:f>EV50-EV49</x:f>
      </x:c>
      <x:c r="EW51" s="120" t="n">
        <x:f>EW50-EW49</x:f>
      </x:c>
      <x:c r="EX51" s="120" t="n">
        <x:f>EX50-EX49</x:f>
      </x:c>
      <x:c r="EY51" s="120" t="n">
        <x:f>EY50-EY49</x:f>
      </x:c>
      <x:c r="EZ51" s="120" t="n">
        <x:f>EZ50-EZ49</x:f>
      </x:c>
      <x:c r="FA51" s="120" t="n">
        <x:f>FA50-FA49</x:f>
      </x:c>
      <x:c r="FB51" s="120" t="n">
        <x:f>FB50-FB49</x:f>
      </x:c>
      <x:c r="FC51" s="120" t="n">
        <x:f>FC50-FC49</x:f>
      </x:c>
      <x:c r="FD51" s="120" t="n">
        <x:f>FD50-FD49</x:f>
      </x:c>
      <x:c r="FE51" s="120" t="n">
        <x:f>FE50-FE49</x:f>
      </x:c>
      <x:c r="FF51" s="120" t="n">
        <x:f>FF50-FF49</x:f>
      </x:c>
      <x:c r="FG51" s="120" t="n">
        <x:f>FG50-FG49</x:f>
      </x:c>
      <x:c r="FH51" s="120" t="n">
        <x:f>FH50-FH49</x:f>
      </x:c>
      <x:c r="FI51" s="120" t="n">
        <x:f>FI50-FI49</x:f>
      </x:c>
      <x:c r="FJ51" s="120" t="n">
        <x:f>FJ50-FJ49</x:f>
      </x:c>
      <x:c r="FK51" s="120" t="n">
        <x:f>FK50-FK49</x:f>
      </x:c>
      <x:c r="FL51" s="120" t="n">
        <x:f>FL50-FL49</x:f>
      </x:c>
      <x:c r="FM51" s="120" t="n">
        <x:f>FM50-FM49</x:f>
      </x:c>
      <x:c r="FN51" s="120" t="n">
        <x:f>FN50-FN49</x:f>
      </x:c>
      <x:c r="FO51" s="120" t="n">
        <x:f>FO50-FO49</x:f>
      </x:c>
      <x:c r="FP51" s="120" t="n">
        <x:f>FP50-FP49</x:f>
      </x:c>
      <x:c r="FQ51" s="120" t="n">
        <x:f>FQ50-FQ49</x:f>
      </x:c>
      <x:c r="FR51" s="120" t="n">
        <x:f>FR50-FR49</x:f>
      </x:c>
      <x:c r="FS51" s="120" t="n">
        <x:f>FS50-FS49</x:f>
      </x:c>
      <x:c r="FT51" s="120" t="n">
        <x:f>FT50-FT49</x:f>
      </x:c>
      <x:c r="FU51" s="120" t="n">
        <x:f>FU50-FU49</x:f>
      </x:c>
      <x:c r="FV51" s="120" t="n">
        <x:f>FV50-FV49</x:f>
      </x:c>
      <x:c r="FW51" s="120" t="n">
        <x:f>FW50-FW49</x:f>
      </x:c>
      <x:c r="FX51" s="120" t="n">
        <x:f>FX50-FX49</x:f>
      </x:c>
      <x:c r="FY51" s="120" t="n">
        <x:f>FY50-FY49</x:f>
      </x:c>
      <x:c r="FZ51" s="120" t="n">
        <x:f>FZ50-FZ49</x:f>
      </x:c>
      <x:c r="GA51" s="120" t="n">
        <x:f>GA50-GA49</x:f>
      </x:c>
    </x:row>
    <x:row r="52">
      <x:c r="A52" t="str">
        <x:v>Накопленный CF капитала</x:v>
      </x:c>
      <x:c r="B52" t="n">
        <x:f>GA52</x:f>
      </x:c>
      <x:c r="C52" t="str">
        <x:v>млн ₽</x:v>
      </x:c>
      <x:c r="D52" s="117" t="n">
        <x:f>D51</x:f>
      </x:c>
      <x:c r="E52" s="117" t="n">
        <x:f>D52+E51</x:f>
      </x:c>
      <x:c r="F52" s="117" t="n">
        <x:f>E52+F51</x:f>
      </x:c>
      <x:c r="G52" s="117" t="n">
        <x:f>F52+G51</x:f>
      </x:c>
      <x:c r="H52" s="117" t="n">
        <x:f>G52+H51</x:f>
      </x:c>
      <x:c r="I52" s="117" t="n">
        <x:f>H52+I51</x:f>
      </x:c>
      <x:c r="J52" s="117" t="n">
        <x:f>I52+J51</x:f>
      </x:c>
      <x:c r="K52" s="117" t="n">
        <x:f>J52+K51</x:f>
      </x:c>
      <x:c r="L52" s="117" t="n">
        <x:f>K52+L51</x:f>
      </x:c>
      <x:c r="M52" s="117" t="n">
        <x:f>L52+M51</x:f>
      </x:c>
      <x:c r="N52" s="117" t="n">
        <x:f>M52+N51</x:f>
      </x:c>
      <x:c r="O52" s="117" t="n">
        <x:f>N52+O51</x:f>
      </x:c>
      <x:c r="P52" s="117" t="n">
        <x:f>O52+P51</x:f>
      </x:c>
      <x:c r="Q52" s="117" t="n">
        <x:f>P52+Q51</x:f>
      </x:c>
      <x:c r="R52" s="117" t="n">
        <x:f>Q52+R51</x:f>
      </x:c>
      <x:c r="S52" s="117" t="n">
        <x:f>R52+S51</x:f>
      </x:c>
      <x:c r="T52" s="117" t="n">
        <x:f>S52+T51</x:f>
      </x:c>
      <x:c r="U52" s="117" t="n">
        <x:f>T52+U51</x:f>
      </x:c>
      <x:c r="V52" s="117" t="n">
        <x:f>U52+V51</x:f>
      </x:c>
      <x:c r="W52" s="117" t="n">
        <x:f>V52+W51</x:f>
      </x:c>
      <x:c r="X52" s="117" t="n">
        <x:f>W52+X51</x:f>
      </x:c>
      <x:c r="Y52" s="117" t="n">
        <x:f>X52+Y51</x:f>
      </x:c>
      <x:c r="Z52" s="117" t="n">
        <x:f>Y52+Z51</x:f>
      </x:c>
      <x:c r="AA52" s="117" t="n">
        <x:f>Z52+AA51</x:f>
      </x:c>
      <x:c r="AB52" s="117" t="n">
        <x:f>AA52+AB51</x:f>
      </x:c>
      <x:c r="AC52" s="117" t="n">
        <x:f>AB52+AC51</x:f>
      </x:c>
      <x:c r="AD52" s="117" t="n">
        <x:f>AC52+AD51</x:f>
      </x:c>
      <x:c r="AE52" s="117" t="n">
        <x:f>AD52+AE51</x:f>
      </x:c>
      <x:c r="AF52" s="117" t="n">
        <x:f>AE52+AF51</x:f>
      </x:c>
      <x:c r="AG52" s="117" t="n">
        <x:f>AF52+AG51</x:f>
      </x:c>
      <x:c r="AH52" s="117" t="n">
        <x:f>AG52+AH51</x:f>
      </x:c>
      <x:c r="AI52" s="117" t="n">
        <x:f>AH52+AI51</x:f>
      </x:c>
      <x:c r="AJ52" s="117" t="n">
        <x:f>AI52+AJ51</x:f>
      </x:c>
      <x:c r="AK52" s="117" t="n">
        <x:f>AJ52+AK51</x:f>
      </x:c>
      <x:c r="AL52" s="117" t="n">
        <x:f>AK52+AL51</x:f>
      </x:c>
      <x:c r="AM52" s="117" t="n">
        <x:f>AL52+AM51</x:f>
      </x:c>
      <x:c r="AN52" s="117" t="n">
        <x:f>AM52+AN51</x:f>
      </x:c>
      <x:c r="AO52" s="117" t="n">
        <x:f>AN52+AO51</x:f>
      </x:c>
      <x:c r="AP52" s="117" t="n">
        <x:f>AO52+AP51</x:f>
      </x:c>
      <x:c r="AQ52" s="117" t="n">
        <x:f>AP52+AQ51</x:f>
      </x:c>
      <x:c r="AR52" s="117" t="n">
        <x:f>AQ52+AR51</x:f>
      </x:c>
      <x:c r="AS52" s="117" t="n">
        <x:f>AR52+AS51</x:f>
      </x:c>
      <x:c r="AT52" s="117" t="n">
        <x:f>AS52+AT51</x:f>
      </x:c>
      <x:c r="AU52" s="117" t="n">
        <x:f>AT52+AU51</x:f>
      </x:c>
      <x:c r="AV52" s="117" t="n">
        <x:f>AU52+AV51</x:f>
      </x:c>
      <x:c r="AW52" s="117" t="n">
        <x:f>AV52+AW51</x:f>
      </x:c>
      <x:c r="AX52" s="117" t="n">
        <x:f>AW52+AX51</x:f>
      </x:c>
      <x:c r="AY52" s="117" t="n">
        <x:f>AX52+AY51</x:f>
      </x:c>
      <x:c r="AZ52" s="117" t="n">
        <x:f>AY52+AZ51</x:f>
      </x:c>
      <x:c r="BA52" s="117" t="n">
        <x:f>AZ52+BA51</x:f>
      </x:c>
      <x:c r="BB52" s="117" t="n">
        <x:f>BA52+BB51</x:f>
      </x:c>
      <x:c r="BC52" s="117" t="n">
        <x:f>BB52+BC51</x:f>
      </x:c>
      <x:c r="BD52" s="117" t="n">
        <x:f>BC52+BD51</x:f>
      </x:c>
      <x:c r="BE52" s="117" t="n">
        <x:f>BD52+BE51</x:f>
      </x:c>
      <x:c r="BF52" s="117" t="n">
        <x:f>BE52+BF51</x:f>
      </x:c>
      <x:c r="BG52" s="117" t="n">
        <x:f>BF52+BG51</x:f>
      </x:c>
      <x:c r="BH52" s="117" t="n">
        <x:f>BG52+BH51</x:f>
      </x:c>
      <x:c r="BI52" s="117" t="n">
        <x:f>BH52+BI51</x:f>
      </x:c>
      <x:c r="BJ52" s="117" t="n">
        <x:f>BI52+BJ51</x:f>
      </x:c>
      <x:c r="BK52" s="117" t="n">
        <x:f>BJ52+BK51</x:f>
      </x:c>
      <x:c r="BL52" s="117" t="n">
        <x:f>BK52+BL51</x:f>
      </x:c>
      <x:c r="BM52" s="117" t="n">
        <x:f>BL52+BM51</x:f>
      </x:c>
      <x:c r="BN52" s="117" t="n">
        <x:f>BM52+BN51</x:f>
      </x:c>
      <x:c r="BO52" s="117" t="n">
        <x:f>BN52+BO51</x:f>
      </x:c>
      <x:c r="BP52" s="117" t="n">
        <x:f>BO52+BP51</x:f>
      </x:c>
      <x:c r="BQ52" s="117" t="n">
        <x:f>BP52+BQ51</x:f>
      </x:c>
      <x:c r="BR52" s="117" t="n">
        <x:f>BQ52+BR51</x:f>
      </x:c>
      <x:c r="BS52" s="117" t="n">
        <x:f>BR52+BS51</x:f>
      </x:c>
      <x:c r="BT52" s="117" t="n">
        <x:f>BS52+BT51</x:f>
      </x:c>
      <x:c r="BU52" s="117" t="n">
        <x:f>BT52+BU51</x:f>
      </x:c>
      <x:c r="BV52" s="117" t="n">
        <x:f>BU52+BV51</x:f>
      </x:c>
      <x:c r="BW52" s="117" t="n">
        <x:f>BV52+BW51</x:f>
      </x:c>
      <x:c r="BX52" s="117" t="n">
        <x:f>BW52+BX51</x:f>
      </x:c>
      <x:c r="BY52" s="117" t="n">
        <x:f>BX52+BY51</x:f>
      </x:c>
      <x:c r="BZ52" s="117" t="n">
        <x:f>BY52+BZ51</x:f>
      </x:c>
      <x:c r="CA52" s="117" t="n">
        <x:f>BZ52+CA51</x:f>
      </x:c>
      <x:c r="CB52" s="117" t="n">
        <x:f>CA52+CB51</x:f>
      </x:c>
      <x:c r="CC52" s="117" t="n">
        <x:f>CB52+CC51</x:f>
      </x:c>
      <x:c r="CD52" s="117" t="n">
        <x:f>CC52+CD51</x:f>
      </x:c>
      <x:c r="CE52" s="117" t="n">
        <x:f>CD52+CE51</x:f>
      </x:c>
      <x:c r="CF52" s="117" t="n">
        <x:f>CE52+CF51</x:f>
      </x:c>
      <x:c r="CG52" s="117" t="n">
        <x:f>CF52+CG51</x:f>
      </x:c>
      <x:c r="CH52" s="117" t="n">
        <x:f>CG52+CH51</x:f>
      </x:c>
      <x:c r="CI52" s="117" t="n">
        <x:f>CH52+CI51</x:f>
      </x:c>
      <x:c r="CJ52" s="117" t="n">
        <x:f>CI52+CJ51</x:f>
      </x:c>
      <x:c r="CK52" s="117" t="n">
        <x:f>CJ52+CK51</x:f>
      </x:c>
      <x:c r="CL52" s="117" t="n">
        <x:f>CK52+CL51</x:f>
      </x:c>
      <x:c r="CM52" s="117" t="n">
        <x:f>CL52+CM51</x:f>
      </x:c>
      <x:c r="CN52" s="117" t="n">
        <x:f>CM52+CN51</x:f>
      </x:c>
      <x:c r="CO52" s="117" t="n">
        <x:f>CN52+CO51</x:f>
      </x:c>
      <x:c r="CP52" s="117" t="n">
        <x:f>CO52+CP51</x:f>
      </x:c>
      <x:c r="CQ52" s="117" t="n">
        <x:f>CP52+CQ51</x:f>
      </x:c>
      <x:c r="CR52" s="117" t="n">
        <x:f>CQ52+CR51</x:f>
      </x:c>
      <x:c r="CS52" s="117" t="n">
        <x:f>CR52+CS51</x:f>
      </x:c>
      <x:c r="CT52" s="117" t="n">
        <x:f>CS52+CT51</x:f>
      </x:c>
      <x:c r="CU52" s="117" t="n">
        <x:f>CT52+CU51</x:f>
      </x:c>
      <x:c r="CV52" s="117" t="n">
        <x:f>CU52+CV51</x:f>
      </x:c>
      <x:c r="CW52" s="117" t="n">
        <x:f>CV52+CW51</x:f>
      </x:c>
      <x:c r="CX52" s="117" t="n">
        <x:f>CW52+CX51</x:f>
      </x:c>
      <x:c r="CY52" s="117" t="n">
        <x:f>CX52+CY51</x:f>
      </x:c>
      <x:c r="CZ52" s="117" t="n">
        <x:f>CY52+CZ51</x:f>
      </x:c>
      <x:c r="DA52" s="117" t="n">
        <x:f>CZ52+DA51</x:f>
      </x:c>
      <x:c r="DB52" s="117" t="n">
        <x:f>DA52+DB51</x:f>
      </x:c>
      <x:c r="DC52" s="117" t="n">
        <x:f>DB52+DC51</x:f>
      </x:c>
      <x:c r="DD52" s="117" t="n">
        <x:f>DC52+DD51</x:f>
      </x:c>
      <x:c r="DE52" s="117" t="n">
        <x:f>DD52+DE51</x:f>
      </x:c>
      <x:c r="DF52" s="117" t="n">
        <x:f>DE52+DF51</x:f>
      </x:c>
      <x:c r="DG52" s="117" t="n">
        <x:f>DF52+DG51</x:f>
      </x:c>
      <x:c r="DH52" s="117" t="n">
        <x:f>DG52+DH51</x:f>
      </x:c>
      <x:c r="DI52" s="117" t="n">
        <x:f>DH52+DI51</x:f>
      </x:c>
      <x:c r="DJ52" s="117" t="n">
        <x:f>DI52+DJ51</x:f>
      </x:c>
      <x:c r="DK52" s="117" t="n">
        <x:f>DJ52+DK51</x:f>
      </x:c>
      <x:c r="DL52" s="117" t="n">
        <x:f>DK52+DL51</x:f>
      </x:c>
      <x:c r="DM52" s="117" t="n">
        <x:f>DL52+DM51</x:f>
      </x:c>
      <x:c r="DN52" s="117" t="n">
        <x:f>DM52+DN51</x:f>
      </x:c>
      <x:c r="DO52" s="117" t="n">
        <x:f>DN52+DO51</x:f>
      </x:c>
      <x:c r="DP52" s="117" t="n">
        <x:f>DO52+DP51</x:f>
      </x:c>
      <x:c r="DQ52" s="117" t="n">
        <x:f>DP52+DQ51</x:f>
      </x:c>
      <x:c r="DR52" s="117" t="n">
        <x:f>DQ52+DR51</x:f>
      </x:c>
      <x:c r="DS52" s="117" t="n">
        <x:f>DR52+DS51</x:f>
      </x:c>
      <x:c r="DT52" s="117" t="n">
        <x:f>DS52+DT51</x:f>
      </x:c>
      <x:c r="DU52" s="117" t="n">
        <x:f>DT52+DU51</x:f>
      </x:c>
      <x:c r="DV52" s="117" t="n">
        <x:f>DU52+DV51</x:f>
      </x:c>
      <x:c r="DW52" s="117" t="n">
        <x:f>DV52+DW51</x:f>
      </x:c>
      <x:c r="DX52" s="117" t="n">
        <x:f>DW52+DX51</x:f>
      </x:c>
      <x:c r="DY52" s="117" t="n">
        <x:f>DX52+DY51</x:f>
      </x:c>
      <x:c r="DZ52" s="117" t="n">
        <x:f>DY52+DZ51</x:f>
      </x:c>
      <x:c r="EA52" s="117" t="n">
        <x:f>DZ52+EA51</x:f>
      </x:c>
      <x:c r="EB52" s="117" t="n">
        <x:f>EA52+EB51</x:f>
      </x:c>
      <x:c r="EC52" s="117" t="n">
        <x:f>EB52+EC51</x:f>
      </x:c>
      <x:c r="ED52" s="117" t="n">
        <x:f>EC52+ED51</x:f>
      </x:c>
      <x:c r="EE52" s="117" t="n">
        <x:f>ED52+EE51</x:f>
      </x:c>
      <x:c r="EF52" s="117" t="n">
        <x:f>EE52+EF51</x:f>
      </x:c>
      <x:c r="EG52" s="117" t="n">
        <x:f>EF52+EG51</x:f>
      </x:c>
      <x:c r="EH52" s="117" t="n">
        <x:f>EG52+EH51</x:f>
      </x:c>
      <x:c r="EI52" s="117" t="n">
        <x:f>EH52+EI51</x:f>
      </x:c>
      <x:c r="EJ52" s="117" t="n">
        <x:f>EI52+EJ51</x:f>
      </x:c>
      <x:c r="EK52" s="117" t="n">
        <x:f>EJ52+EK51</x:f>
      </x:c>
      <x:c r="EL52" s="117" t="n">
        <x:f>EK52+EL51</x:f>
      </x:c>
      <x:c r="EM52" s="117" t="n">
        <x:f>EL52+EM51</x:f>
      </x:c>
      <x:c r="EN52" s="117" t="n">
        <x:f>EM52+EN51</x:f>
      </x:c>
      <x:c r="EO52" s="117" t="n">
        <x:f>EN52+EO51</x:f>
      </x:c>
      <x:c r="EP52" s="117" t="n">
        <x:f>EO52+EP51</x:f>
      </x:c>
      <x:c r="EQ52" s="117" t="n">
        <x:f>EP52+EQ51</x:f>
      </x:c>
      <x:c r="ER52" s="117" t="n">
        <x:f>EQ52+ER51</x:f>
      </x:c>
      <x:c r="ES52" s="117" t="n">
        <x:f>ER52+ES51</x:f>
      </x:c>
      <x:c r="ET52" s="117" t="n">
        <x:f>ES52+ET51</x:f>
      </x:c>
      <x:c r="EU52" s="117" t="n">
        <x:f>ET52+EU51</x:f>
      </x:c>
      <x:c r="EV52" s="117" t="n">
        <x:f>EU52+EV51</x:f>
      </x:c>
      <x:c r="EW52" s="117" t="n">
        <x:f>EV52+EW51</x:f>
      </x:c>
      <x:c r="EX52" s="117" t="n">
        <x:f>EW52+EX51</x:f>
      </x:c>
      <x:c r="EY52" s="117" t="n">
        <x:f>EX52+EY51</x:f>
      </x:c>
      <x:c r="EZ52" s="117" t="n">
        <x:f>EY52+EZ51</x:f>
      </x:c>
      <x:c r="FA52" s="117" t="n">
        <x:f>EZ52+FA51</x:f>
      </x:c>
      <x:c r="FB52" s="117" t="n">
        <x:f>FA52+FB51</x:f>
      </x:c>
      <x:c r="FC52" s="117" t="n">
        <x:f>FB52+FC51</x:f>
      </x:c>
      <x:c r="FD52" s="117" t="n">
        <x:f>FC52+FD51</x:f>
      </x:c>
      <x:c r="FE52" s="117" t="n">
        <x:f>FD52+FE51</x:f>
      </x:c>
      <x:c r="FF52" s="117" t="n">
        <x:f>FE52+FF51</x:f>
      </x:c>
      <x:c r="FG52" s="117" t="n">
        <x:f>FF52+FG51</x:f>
      </x:c>
      <x:c r="FH52" s="117" t="n">
        <x:f>FG52+FH51</x:f>
      </x:c>
      <x:c r="FI52" s="117" t="n">
        <x:f>FH52+FI51</x:f>
      </x:c>
      <x:c r="FJ52" s="117" t="n">
        <x:f>FI52+FJ51</x:f>
      </x:c>
      <x:c r="FK52" s="117" t="n">
        <x:f>FJ52+FK51</x:f>
      </x:c>
      <x:c r="FL52" s="117" t="n">
        <x:f>FK52+FL51</x:f>
      </x:c>
      <x:c r="FM52" s="117" t="n">
        <x:f>FL52+FM51</x:f>
      </x:c>
      <x:c r="FN52" s="117" t="n">
        <x:f>FM52+FN51</x:f>
      </x:c>
      <x:c r="FO52" s="117" t="n">
        <x:f>FN52+FO51</x:f>
      </x:c>
      <x:c r="FP52" s="117" t="n">
        <x:f>FO52+FP51</x:f>
      </x:c>
      <x:c r="FQ52" s="117" t="n">
        <x:f>FP52+FQ51</x:f>
      </x:c>
      <x:c r="FR52" s="117" t="n">
        <x:f>FQ52+FR51</x:f>
      </x:c>
      <x:c r="FS52" s="117" t="n">
        <x:f>FR52+FS51</x:f>
      </x:c>
      <x:c r="FT52" s="117" t="n">
        <x:f>FS52+FT51</x:f>
      </x:c>
      <x:c r="FU52" s="117" t="n">
        <x:f>FT52+FU51</x:f>
      </x:c>
      <x:c r="FV52" s="117" t="n">
        <x:f>FU52+FV51</x:f>
      </x:c>
      <x:c r="FW52" s="117" t="n">
        <x:f>FV52+FW51</x:f>
      </x:c>
      <x:c r="FX52" s="117" t="n">
        <x:f>FW52+FX51</x:f>
      </x:c>
      <x:c r="FY52" s="117" t="n">
        <x:f>FX52+FY51</x:f>
      </x:c>
      <x:c r="FZ52" s="117" t="n">
        <x:f>FY52+FZ51</x:f>
      </x:c>
      <x:c r="GA52" s="117" t="n">
        <x:f>FZ52+GA51</x:f>
      </x:c>
    </x:row>
    <x:row r="53">
      <x:c r="A53" t="inlineStr">
        <x:is>
          <x:t>ПФ — уплата процентов и комиссий</x:t>
        </x:is>
      </x:c>
      <x:c r="B53">
        <x:f>SUM(D53:GA53)</x:f>
      </x:c>
      <x:c r="C53"/>
      <x:c r="D53" s="117">
        <x:f>IF(D$3&lt;$B$8,0,IF(AND(YEAR(D$3)=YEAR($B$8),MONTH(D$3)=MONTH($B$8)),C48*(1+D41/12),0)+D42+D43)</x:f>
      </x:c>
      <x:c r="E53" s="117">
        <x:f>IF(E$3&lt;$B$8,0,IF(AND(YEAR(E$3)=YEAR($B$8),MONTH(E$3)=MONTH($B$8)),D48*(1+E41/12),0)+E42+E43)</x:f>
      </x:c>
      <x:c r="F53" s="117">
        <x:f>IF(F$3&lt;$B$8,0,IF(AND(YEAR(F$3)=YEAR($B$8),MONTH(F$3)=MONTH($B$8)),E48*(1+F41/12),0)+F42+F43)</x:f>
      </x:c>
      <x:c r="G53" s="117">
        <x:f>IF(G$3&lt;$B$8,0,IF(AND(YEAR(G$3)=YEAR($B$8),MONTH(G$3)=MONTH($B$8)),F48*(1+G41/12),0)+G42+G43)</x:f>
      </x:c>
      <x:c r="H53" s="117">
        <x:f>IF(H$3&lt;$B$8,0,IF(AND(YEAR(H$3)=YEAR($B$8),MONTH(H$3)=MONTH($B$8)),G48*(1+H41/12),0)+H42+H43)</x:f>
      </x:c>
      <x:c r="I53" s="117">
        <x:f>IF(I$3&lt;$B$8,0,IF(AND(YEAR(I$3)=YEAR($B$8),MONTH(I$3)=MONTH($B$8)),H48*(1+I41/12),0)+I42+I43)</x:f>
      </x:c>
      <x:c r="J53" s="117">
        <x:f>IF(J$3&lt;$B$8,0,IF(AND(YEAR(J$3)=YEAR($B$8),MONTH(J$3)=MONTH($B$8)),I48*(1+J41/12),0)+J42+J43)</x:f>
      </x:c>
      <x:c r="K53" s="117">
        <x:f>IF(K$3&lt;$B$8,0,IF(AND(YEAR(K$3)=YEAR($B$8),MONTH(K$3)=MONTH($B$8)),J48*(1+K41/12),0)+K42+K43)</x:f>
      </x:c>
      <x:c r="L53" s="117">
        <x:f>IF(L$3&lt;$B$8,0,IF(AND(YEAR(L$3)=YEAR($B$8),MONTH(L$3)=MONTH($B$8)),K48*(1+L41/12),0)+L42+L43)</x:f>
      </x:c>
      <x:c r="M53" s="117">
        <x:f>IF(M$3&lt;$B$8,0,IF(AND(YEAR(M$3)=YEAR($B$8),MONTH(M$3)=MONTH($B$8)),L48*(1+M41/12),0)+M42+M43)</x:f>
      </x:c>
      <x:c r="N53" s="117">
        <x:f>IF(N$3&lt;$B$8,0,IF(AND(YEAR(N$3)=YEAR($B$8),MONTH(N$3)=MONTH($B$8)),M48*(1+N41/12),0)+N42+N43)</x:f>
      </x:c>
      <x:c r="O53" s="117">
        <x:f>IF(O$3&lt;$B$8,0,IF(AND(YEAR(O$3)=YEAR($B$8),MONTH(O$3)=MONTH($B$8)),N48*(1+O41/12),0)+O42+O43)</x:f>
      </x:c>
      <x:c r="P53" s="117">
        <x:f>IF(P$3&lt;$B$8,0,IF(AND(YEAR(P$3)=YEAR($B$8),MONTH(P$3)=MONTH($B$8)),O48*(1+P41/12),0)+P42+P43)</x:f>
      </x:c>
      <x:c r="Q53" s="117">
        <x:f>IF(Q$3&lt;$B$8,0,IF(AND(YEAR(Q$3)=YEAR($B$8),MONTH(Q$3)=MONTH($B$8)),P48*(1+Q41/12),0)+Q42+Q43)</x:f>
      </x:c>
      <x:c r="R53" s="117">
        <x:f>IF(R$3&lt;$B$8,0,IF(AND(YEAR(R$3)=YEAR($B$8),MONTH(R$3)=MONTH($B$8)),Q48*(1+R41/12),0)+R42+R43)</x:f>
      </x:c>
      <x:c r="S53" s="117">
        <x:f>IF(S$3&lt;$B$8,0,IF(AND(YEAR(S$3)=YEAR($B$8),MONTH(S$3)=MONTH($B$8)),R48*(1+S41/12),0)+S42+S43)</x:f>
      </x:c>
      <x:c r="T53" s="117">
        <x:f>IF(T$3&lt;$B$8,0,IF(AND(YEAR(T$3)=YEAR($B$8),MONTH(T$3)=MONTH($B$8)),S48*(1+T41/12),0)+T42+T43)</x:f>
      </x:c>
      <x:c r="U53" s="117">
        <x:f>IF(U$3&lt;$B$8,0,IF(AND(YEAR(U$3)=YEAR($B$8),MONTH(U$3)=MONTH($B$8)),T48*(1+U41/12),0)+U42+U43)</x:f>
      </x:c>
      <x:c r="V53" s="117">
        <x:f>IF(V$3&lt;$B$8,0,IF(AND(YEAR(V$3)=YEAR($B$8),MONTH(V$3)=MONTH($B$8)),U48*(1+V41/12),0)+V42+V43)</x:f>
      </x:c>
      <x:c r="W53" s="117">
        <x:f>IF(W$3&lt;$B$8,0,IF(AND(YEAR(W$3)=YEAR($B$8),MONTH(W$3)=MONTH($B$8)),V48*(1+W41/12),0)+W42+W43)</x:f>
      </x:c>
      <x:c r="X53" s="117">
        <x:f>IF(X$3&lt;$B$8,0,IF(AND(YEAR(X$3)=YEAR($B$8),MONTH(X$3)=MONTH($B$8)),W48*(1+X41/12),0)+X42+X43)</x:f>
      </x:c>
      <x:c r="Y53" s="117">
        <x:f>IF(Y$3&lt;$B$8,0,IF(AND(YEAR(Y$3)=YEAR($B$8),MONTH(Y$3)=MONTH($B$8)),X48*(1+Y41/12),0)+Y42+Y43)</x:f>
      </x:c>
      <x:c r="Z53" s="117">
        <x:f>IF(Z$3&lt;$B$8,0,IF(AND(YEAR(Z$3)=YEAR($B$8),MONTH(Z$3)=MONTH($B$8)),Y48*(1+Z41/12),0)+Z42+Z43)</x:f>
      </x:c>
      <x:c r="AA53" s="117">
        <x:f>IF(AA$3&lt;$B$8,0,IF(AND(YEAR(AA$3)=YEAR($B$8),MONTH(AA$3)=MONTH($B$8)),Z48*(1+AA41/12),0)+AA42+AA43)</x:f>
      </x:c>
      <x:c r="AB53" s="117">
        <x:f>IF(AB$3&lt;$B$8,0,IF(AND(YEAR(AB$3)=YEAR($B$8),MONTH(AB$3)=MONTH($B$8)),AA48*(1+AB41/12),0)+AB42+AB43)</x:f>
      </x:c>
      <x:c r="AC53" s="117">
        <x:f>IF(AC$3&lt;$B$8,0,IF(AND(YEAR(AC$3)=YEAR($B$8),MONTH(AC$3)=MONTH($B$8)),AB48*(1+AC41/12),0)+AC42+AC43)</x:f>
      </x:c>
      <x:c r="AD53" s="117">
        <x:f>IF(AD$3&lt;$B$8,0,IF(AND(YEAR(AD$3)=YEAR($B$8),MONTH(AD$3)=MONTH($B$8)),AC48*(1+AD41/12),0)+AD42+AD43)</x:f>
      </x:c>
      <x:c r="AE53" s="117">
        <x:f>IF(AE$3&lt;$B$8,0,IF(AND(YEAR(AE$3)=YEAR($B$8),MONTH(AE$3)=MONTH($B$8)),AD48*(1+AE41/12),0)+AE42+AE43)</x:f>
      </x:c>
      <x:c r="AF53" s="117">
        <x:f>IF(AF$3&lt;$B$8,0,IF(AND(YEAR(AF$3)=YEAR($B$8),MONTH(AF$3)=MONTH($B$8)),AE48*(1+AF41/12),0)+AF42+AF43)</x:f>
      </x:c>
      <x:c r="AG53" s="117">
        <x:f>IF(AG$3&lt;$B$8,0,IF(AND(YEAR(AG$3)=YEAR($B$8),MONTH(AG$3)=MONTH($B$8)),AF48*(1+AG41/12),0)+AG42+AG43)</x:f>
      </x:c>
      <x:c r="AH53" s="117">
        <x:f>IF(AH$3&lt;$B$8,0,IF(AND(YEAR(AH$3)=YEAR($B$8),MONTH(AH$3)=MONTH($B$8)),AG48*(1+AH41/12),0)+AH42+AH43)</x:f>
      </x:c>
      <x:c r="AI53" s="117">
        <x:f>IF(AI$3&lt;$B$8,0,IF(AND(YEAR(AI$3)=YEAR($B$8),MONTH(AI$3)=MONTH($B$8)),AH48*(1+AI41/12),0)+AI42+AI43)</x:f>
      </x:c>
      <x:c r="AJ53" s="117">
        <x:f>IF(AJ$3&lt;$B$8,0,IF(AND(YEAR(AJ$3)=YEAR($B$8),MONTH(AJ$3)=MONTH($B$8)),AI48*(1+AJ41/12),0)+AJ42+AJ43)</x:f>
      </x:c>
      <x:c r="AK53" s="117">
        <x:f>IF(AK$3&lt;$B$8,0,IF(AND(YEAR(AK$3)=YEAR($B$8),MONTH(AK$3)=MONTH($B$8)),AJ48*(1+AK41/12),0)+AK42+AK43)</x:f>
      </x:c>
      <x:c r="AL53" s="117">
        <x:f>IF(AL$3&lt;$B$8,0,IF(AND(YEAR(AL$3)=YEAR($B$8),MONTH(AL$3)=MONTH($B$8)),AK48*(1+AL41/12),0)+AL42+AL43)</x:f>
      </x:c>
      <x:c r="AM53" s="117">
        <x:f>IF(AM$3&lt;$B$8,0,IF(AND(YEAR(AM$3)=YEAR($B$8),MONTH(AM$3)=MONTH($B$8)),AL48*(1+AM41/12),0)+AM42+AM43)</x:f>
      </x:c>
      <x:c r="AN53" s="117">
        <x:f>IF(AN$3&lt;$B$8,0,IF(AND(YEAR(AN$3)=YEAR($B$8),MONTH(AN$3)=MONTH($B$8)),AM48*(1+AN41/12),0)+AN42+AN43)</x:f>
      </x:c>
      <x:c r="AO53" s="117">
        <x:f>IF(AO$3&lt;$B$8,0,IF(AND(YEAR(AO$3)=YEAR($B$8),MONTH(AO$3)=MONTH($B$8)),AN48*(1+AO41/12),0)+AO42+AO43)</x:f>
      </x:c>
      <x:c r="AP53" s="117">
        <x:f>IF(AP$3&lt;$B$8,0,IF(AND(YEAR(AP$3)=YEAR($B$8),MONTH(AP$3)=MONTH($B$8)),AO48*(1+AP41/12),0)+AP42+AP43)</x:f>
      </x:c>
      <x:c r="AQ53" s="117">
        <x:f>IF(AQ$3&lt;$B$8,0,IF(AND(YEAR(AQ$3)=YEAR($B$8),MONTH(AQ$3)=MONTH($B$8)),AP48*(1+AQ41/12),0)+AQ42+AQ43)</x:f>
      </x:c>
      <x:c r="AR53" s="117">
        <x:f>IF(AR$3&lt;$B$8,0,IF(AND(YEAR(AR$3)=YEAR($B$8),MONTH(AR$3)=MONTH($B$8)),AQ48*(1+AR41/12),0)+AR42+AR43)</x:f>
      </x:c>
      <x:c r="AS53" s="117">
        <x:f>IF(AS$3&lt;$B$8,0,IF(AND(YEAR(AS$3)=YEAR($B$8),MONTH(AS$3)=MONTH($B$8)),AR48*(1+AS41/12),0)+AS42+AS43)</x:f>
      </x:c>
      <x:c r="AT53" s="117">
        <x:f>IF(AT$3&lt;$B$8,0,IF(AND(YEAR(AT$3)=YEAR($B$8),MONTH(AT$3)=MONTH($B$8)),AS48*(1+AT41/12),0)+AT42+AT43)</x:f>
      </x:c>
      <x:c r="AU53" s="117">
        <x:f>IF(AU$3&lt;$B$8,0,IF(AND(YEAR(AU$3)=YEAR($B$8),MONTH(AU$3)=MONTH($B$8)),AT48*(1+AU41/12),0)+AU42+AU43)</x:f>
      </x:c>
      <x:c r="AV53" s="117">
        <x:f>IF(AV$3&lt;$B$8,0,IF(AND(YEAR(AV$3)=YEAR($B$8),MONTH(AV$3)=MONTH($B$8)),AU48*(1+AV41/12),0)+AV42+AV43)</x:f>
      </x:c>
      <x:c r="AW53" s="117">
        <x:f>IF(AW$3&lt;$B$8,0,IF(AND(YEAR(AW$3)=YEAR($B$8),MONTH(AW$3)=MONTH($B$8)),AV48*(1+AW41/12),0)+AW42+AW43)</x:f>
      </x:c>
      <x:c r="AX53" s="117">
        <x:f>IF(AX$3&lt;$B$8,0,IF(AND(YEAR(AX$3)=YEAR($B$8),MONTH(AX$3)=MONTH($B$8)),AW48*(1+AX41/12),0)+AX42+AX43)</x:f>
      </x:c>
      <x:c r="AY53" s="117">
        <x:f>IF(AY$3&lt;$B$8,0,IF(AND(YEAR(AY$3)=YEAR($B$8),MONTH(AY$3)=MONTH($B$8)),AX48*(1+AY41/12),0)+AY42+AY43)</x:f>
      </x:c>
      <x:c r="AZ53" s="117">
        <x:f>IF(AZ$3&lt;$B$8,0,IF(AND(YEAR(AZ$3)=YEAR($B$8),MONTH(AZ$3)=MONTH($B$8)),AY48*(1+AZ41/12),0)+AZ42+AZ43)</x:f>
      </x:c>
      <x:c r="BA53" s="117">
        <x:f>IF(BA$3&lt;$B$8,0,IF(AND(YEAR(BA$3)=YEAR($B$8),MONTH(BA$3)=MONTH($B$8)),AZ48*(1+BA41/12),0)+BA42+BA43)</x:f>
      </x:c>
      <x:c r="BB53" s="117">
        <x:f>IF(BB$3&lt;$B$8,0,IF(AND(YEAR(BB$3)=YEAR($B$8),MONTH(BB$3)=MONTH($B$8)),BA48*(1+BB41/12),0)+BB42+BB43)</x:f>
      </x:c>
      <x:c r="BC53" s="117">
        <x:f>IF(BC$3&lt;$B$8,0,IF(AND(YEAR(BC$3)=YEAR($B$8),MONTH(BC$3)=MONTH($B$8)),BB48*(1+BC41/12),0)+BC42+BC43)</x:f>
      </x:c>
      <x:c r="BD53" s="117">
        <x:f>IF(BD$3&lt;$B$8,0,IF(AND(YEAR(BD$3)=YEAR($B$8),MONTH(BD$3)=MONTH($B$8)),BC48*(1+BD41/12),0)+BD42+BD43)</x:f>
      </x:c>
      <x:c r="BE53" s="117">
        <x:f>IF(BE$3&lt;$B$8,0,IF(AND(YEAR(BE$3)=YEAR($B$8),MONTH(BE$3)=MONTH($B$8)),BD48*(1+BE41/12),0)+BE42+BE43)</x:f>
      </x:c>
      <x:c r="BF53" s="117">
        <x:f>IF(BF$3&lt;$B$8,0,IF(AND(YEAR(BF$3)=YEAR($B$8),MONTH(BF$3)=MONTH($B$8)),BE48*(1+BF41/12),0)+BF42+BF43)</x:f>
      </x:c>
      <x:c r="BG53" s="117">
        <x:f>IF(BG$3&lt;$B$8,0,IF(AND(YEAR(BG$3)=YEAR($B$8),MONTH(BG$3)=MONTH($B$8)),BF48*(1+BG41/12),0)+BG42+BG43)</x:f>
      </x:c>
      <x:c r="BH53" s="117">
        <x:f>IF(BH$3&lt;$B$8,0,IF(AND(YEAR(BH$3)=YEAR($B$8),MONTH(BH$3)=MONTH($B$8)),BG48*(1+BH41/12),0)+BH42+BH43)</x:f>
      </x:c>
      <x:c r="BI53" s="117">
        <x:f>IF(BI$3&lt;$B$8,0,IF(AND(YEAR(BI$3)=YEAR($B$8),MONTH(BI$3)=MONTH($B$8)),BH48*(1+BI41/12),0)+BI42+BI43)</x:f>
      </x:c>
      <x:c r="BJ53" s="117">
        <x:f>IF(BJ$3&lt;$B$8,0,IF(AND(YEAR(BJ$3)=YEAR($B$8),MONTH(BJ$3)=MONTH($B$8)),BI48*(1+BJ41/12),0)+BJ42+BJ43)</x:f>
      </x:c>
      <x:c r="BK53" s="117">
        <x:f>IF(BK$3&lt;$B$8,0,IF(AND(YEAR(BK$3)=YEAR($B$8),MONTH(BK$3)=MONTH($B$8)),BJ48*(1+BK41/12),0)+BK42+BK43)</x:f>
      </x:c>
      <x:c r="BL53" s="117">
        <x:f>IF(BL$3&lt;$B$8,0,IF(AND(YEAR(BL$3)=YEAR($B$8),MONTH(BL$3)=MONTH($B$8)),BK48*(1+BL41/12),0)+BL42+BL43)</x:f>
      </x:c>
      <x:c r="BM53" s="117">
        <x:f>IF(BM$3&lt;$B$8,0,IF(AND(YEAR(BM$3)=YEAR($B$8),MONTH(BM$3)=MONTH($B$8)),BL48*(1+BM41/12),0)+BM42+BM43)</x:f>
      </x:c>
      <x:c r="BN53" s="117">
        <x:f>IF(BN$3&lt;$B$8,0,IF(AND(YEAR(BN$3)=YEAR($B$8),MONTH(BN$3)=MONTH($B$8)),BM48*(1+BN41/12),0)+BN42+BN43)</x:f>
      </x:c>
      <x:c r="BO53" s="117">
        <x:f>IF(BO$3&lt;$B$8,0,IF(AND(YEAR(BO$3)=YEAR($B$8),MONTH(BO$3)=MONTH($B$8)),BN48*(1+BO41/12),0)+BO42+BO43)</x:f>
      </x:c>
      <x:c r="BP53" s="117">
        <x:f>IF(BP$3&lt;$B$8,0,IF(AND(YEAR(BP$3)=YEAR($B$8),MONTH(BP$3)=MONTH($B$8)),BO48*(1+BP41/12),0)+BP42+BP43)</x:f>
      </x:c>
      <x:c r="BQ53" s="117">
        <x:f>IF(BQ$3&lt;$B$8,0,IF(AND(YEAR(BQ$3)=YEAR($B$8),MONTH(BQ$3)=MONTH($B$8)),BP48*(1+BQ41/12),0)+BQ42+BQ43)</x:f>
      </x:c>
      <x:c r="BR53" s="117">
        <x:f>IF(BR$3&lt;$B$8,0,IF(AND(YEAR(BR$3)=YEAR($B$8),MONTH(BR$3)=MONTH($B$8)),BQ48*(1+BR41/12),0)+BR42+BR43)</x:f>
      </x:c>
      <x:c r="BS53" s="117">
        <x:f>IF(BS$3&lt;$B$8,0,IF(AND(YEAR(BS$3)=YEAR($B$8),MONTH(BS$3)=MONTH($B$8)),BR48*(1+BS41/12),0)+BS42+BS43)</x:f>
      </x:c>
      <x:c r="BT53" s="117">
        <x:f>IF(BT$3&lt;$B$8,0,IF(AND(YEAR(BT$3)=YEAR($B$8),MONTH(BT$3)=MONTH($B$8)),BS48*(1+BT41/12),0)+BT42+BT43)</x:f>
      </x:c>
      <x:c r="BU53" s="117">
        <x:f>IF(BU$3&lt;$B$8,0,IF(AND(YEAR(BU$3)=YEAR($B$8),MONTH(BU$3)=MONTH($B$8)),BT48*(1+BU41/12),0)+BU42+BU43)</x:f>
      </x:c>
      <x:c r="BV53" s="117">
        <x:f>IF(BV$3&lt;$B$8,0,IF(AND(YEAR(BV$3)=YEAR($B$8),MONTH(BV$3)=MONTH($B$8)),BU48*(1+BV41/12),0)+BV42+BV43)</x:f>
      </x:c>
      <x:c r="BW53" s="117">
        <x:f>IF(BW$3&lt;$B$8,0,IF(AND(YEAR(BW$3)=YEAR($B$8),MONTH(BW$3)=MONTH($B$8)),BV48*(1+BW41/12),0)+BW42+BW43)</x:f>
      </x:c>
      <x:c r="BX53" s="117">
        <x:f>IF(BX$3&lt;$B$8,0,IF(AND(YEAR(BX$3)=YEAR($B$8),MONTH(BX$3)=MONTH($B$8)),BW48*(1+BX41/12),0)+BX42+BX43)</x:f>
      </x:c>
      <x:c r="BY53" s="117">
        <x:f>IF(BY$3&lt;$B$8,0,IF(AND(YEAR(BY$3)=YEAR($B$8),MONTH(BY$3)=MONTH($B$8)),BX48*(1+BY41/12),0)+BY42+BY43)</x:f>
      </x:c>
      <x:c r="BZ53" s="117">
        <x:f>IF(BZ$3&lt;$B$8,0,IF(AND(YEAR(BZ$3)=YEAR($B$8),MONTH(BZ$3)=MONTH($B$8)),BY48*(1+BZ41/12),0)+BZ42+BZ43)</x:f>
      </x:c>
      <x:c r="CA53" s="117">
        <x:f>IF(CA$3&lt;$B$8,0,IF(AND(YEAR(CA$3)=YEAR($B$8),MONTH(CA$3)=MONTH($B$8)),BZ48*(1+CA41/12),0)+CA42+CA43)</x:f>
      </x:c>
      <x:c r="CB53" s="117">
        <x:f>IF(CB$3&lt;$B$8,0,IF(AND(YEAR(CB$3)=YEAR($B$8),MONTH(CB$3)=MONTH($B$8)),CA48*(1+CB41/12),0)+CB42+CB43)</x:f>
      </x:c>
      <x:c r="CC53" s="117">
        <x:f>IF(CC$3&lt;$B$8,0,IF(AND(YEAR(CC$3)=YEAR($B$8),MONTH(CC$3)=MONTH($B$8)),CB48*(1+CC41/12),0)+CC42+CC43)</x:f>
      </x:c>
      <x:c r="CD53" s="117">
        <x:f>IF(CD$3&lt;$B$8,0,IF(AND(YEAR(CD$3)=YEAR($B$8),MONTH(CD$3)=MONTH($B$8)),CC48*(1+CD41/12),0)+CD42+CD43)</x:f>
      </x:c>
      <x:c r="CE53" s="117">
        <x:f>IF(CE$3&lt;$B$8,0,IF(AND(YEAR(CE$3)=YEAR($B$8),MONTH(CE$3)=MONTH($B$8)),CD48*(1+CE41/12),0)+CE42+CE43)</x:f>
      </x:c>
      <x:c r="CF53" s="117">
        <x:f>IF(CF$3&lt;$B$8,0,IF(AND(YEAR(CF$3)=YEAR($B$8),MONTH(CF$3)=MONTH($B$8)),CE48*(1+CF41/12),0)+CF42+CF43)</x:f>
      </x:c>
      <x:c r="CG53" s="117">
        <x:f>IF(CG$3&lt;$B$8,0,IF(AND(YEAR(CG$3)=YEAR($B$8),MONTH(CG$3)=MONTH($B$8)),CF48*(1+CG41/12),0)+CG42+CG43)</x:f>
      </x:c>
      <x:c r="CH53" s="117">
        <x:f>IF(CH$3&lt;$B$8,0,IF(AND(YEAR(CH$3)=YEAR($B$8),MONTH(CH$3)=MONTH($B$8)),CG48*(1+CH41/12),0)+CH42+CH43)</x:f>
      </x:c>
      <x:c r="CI53" s="117">
        <x:f>IF(CI$3&lt;$B$8,0,IF(AND(YEAR(CI$3)=YEAR($B$8),MONTH(CI$3)=MONTH($B$8)),CH48*(1+CI41/12),0)+CI42+CI43)</x:f>
      </x:c>
      <x:c r="CJ53" s="117">
        <x:f>IF(CJ$3&lt;$B$8,0,IF(AND(YEAR(CJ$3)=YEAR($B$8),MONTH(CJ$3)=MONTH($B$8)),CI48*(1+CJ41/12),0)+CJ42+CJ43)</x:f>
      </x:c>
      <x:c r="CK53" s="117">
        <x:f>IF(CK$3&lt;$B$8,0,IF(AND(YEAR(CK$3)=YEAR($B$8),MONTH(CK$3)=MONTH($B$8)),CJ48*(1+CK41/12),0)+CK42+CK43)</x:f>
      </x:c>
      <x:c r="CL53" s="117">
        <x:f>IF(CL$3&lt;$B$8,0,IF(AND(YEAR(CL$3)=YEAR($B$8),MONTH(CL$3)=MONTH($B$8)),CK48*(1+CL41/12),0)+CL42+CL43)</x:f>
      </x:c>
      <x:c r="CM53" s="117">
        <x:f>IF(CM$3&lt;$B$8,0,IF(AND(YEAR(CM$3)=YEAR($B$8),MONTH(CM$3)=MONTH($B$8)),CL48*(1+CM41/12),0)+CM42+CM43)</x:f>
      </x:c>
      <x:c r="CN53" s="117">
        <x:f>IF(CN$3&lt;$B$8,0,IF(AND(YEAR(CN$3)=YEAR($B$8),MONTH(CN$3)=MONTH($B$8)),CM48*(1+CN41/12),0)+CN42+CN43)</x:f>
      </x:c>
      <x:c r="CO53" s="117">
        <x:f>IF(CO$3&lt;$B$8,0,IF(AND(YEAR(CO$3)=YEAR($B$8),MONTH(CO$3)=MONTH($B$8)),CN48*(1+CO41/12),0)+CO42+CO43)</x:f>
      </x:c>
      <x:c r="CP53" s="117">
        <x:f>IF(CP$3&lt;$B$8,0,IF(AND(YEAR(CP$3)=YEAR($B$8),MONTH(CP$3)=MONTH($B$8)),CO48*(1+CP41/12),0)+CP42+CP43)</x:f>
      </x:c>
      <x:c r="CQ53" s="117">
        <x:f>IF(CQ$3&lt;$B$8,0,IF(AND(YEAR(CQ$3)=YEAR($B$8),MONTH(CQ$3)=MONTH($B$8)),CP48*(1+CQ41/12),0)+CQ42+CQ43)</x:f>
      </x:c>
      <x:c r="CR53" s="117">
        <x:f>IF(CR$3&lt;$B$8,0,IF(AND(YEAR(CR$3)=YEAR($B$8),MONTH(CR$3)=MONTH($B$8)),CQ48*(1+CR41/12),0)+CR42+CR43)</x:f>
      </x:c>
      <x:c r="CS53" s="117">
        <x:f>IF(CS$3&lt;$B$8,0,IF(AND(YEAR(CS$3)=YEAR($B$8),MONTH(CS$3)=MONTH($B$8)),CR48*(1+CS41/12),0)+CS42+CS43)</x:f>
      </x:c>
      <x:c r="CT53" s="117">
        <x:f>IF(CT$3&lt;$B$8,0,IF(AND(YEAR(CT$3)=YEAR($B$8),MONTH(CT$3)=MONTH($B$8)),CS48*(1+CT41/12),0)+CT42+CT43)</x:f>
      </x:c>
      <x:c r="CU53" s="117">
        <x:f>IF(CU$3&lt;$B$8,0,IF(AND(YEAR(CU$3)=YEAR($B$8),MONTH(CU$3)=MONTH($B$8)),CT48*(1+CU41/12),0)+CU42+CU43)</x:f>
      </x:c>
      <x:c r="CV53" s="117">
        <x:f>IF(CV$3&lt;$B$8,0,IF(AND(YEAR(CV$3)=YEAR($B$8),MONTH(CV$3)=MONTH($B$8)),CU48*(1+CV41/12),0)+CV42+CV43)</x:f>
      </x:c>
      <x:c r="CW53" s="117">
        <x:f>IF(CW$3&lt;$B$8,0,IF(AND(YEAR(CW$3)=YEAR($B$8),MONTH(CW$3)=MONTH($B$8)),CV48*(1+CW41/12),0)+CW42+CW43)</x:f>
      </x:c>
      <x:c r="CX53" s="117">
        <x:f>IF(CX$3&lt;$B$8,0,IF(AND(YEAR(CX$3)=YEAR($B$8),MONTH(CX$3)=MONTH($B$8)),CW48*(1+CX41/12),0)+CX42+CX43)</x:f>
      </x:c>
      <x:c r="CY53" s="117">
        <x:f>IF(CY$3&lt;$B$8,0,IF(AND(YEAR(CY$3)=YEAR($B$8),MONTH(CY$3)=MONTH($B$8)),CX48*(1+CY41/12),0)+CY42+CY43)</x:f>
      </x:c>
      <x:c r="CZ53" s="117">
        <x:f>IF(CZ$3&lt;$B$8,0,IF(AND(YEAR(CZ$3)=YEAR($B$8),MONTH(CZ$3)=MONTH($B$8)),CY48*(1+CZ41/12),0)+CZ42+CZ43)</x:f>
      </x:c>
      <x:c r="DA53" s="117">
        <x:f>IF(DA$3&lt;$B$8,0,IF(AND(YEAR(DA$3)=YEAR($B$8),MONTH(DA$3)=MONTH($B$8)),CZ48*(1+DA41/12),0)+DA42+DA43)</x:f>
      </x:c>
      <x:c r="DB53" s="117">
        <x:f>IF(DB$3&lt;$B$8,0,IF(AND(YEAR(DB$3)=YEAR($B$8),MONTH(DB$3)=MONTH($B$8)),DA48*(1+DB41/12),0)+DB42+DB43)</x:f>
      </x:c>
      <x:c r="DC53" s="117">
        <x:f>IF(DC$3&lt;$B$8,0,IF(AND(YEAR(DC$3)=YEAR($B$8),MONTH(DC$3)=MONTH($B$8)),DB48*(1+DC41/12),0)+DC42+DC43)</x:f>
      </x:c>
      <x:c r="DD53" s="117">
        <x:f>IF(DD$3&lt;$B$8,0,IF(AND(YEAR(DD$3)=YEAR($B$8),MONTH(DD$3)=MONTH($B$8)),DC48*(1+DD41/12),0)+DD42+DD43)</x:f>
      </x:c>
      <x:c r="DE53" s="117">
        <x:f>IF(DE$3&lt;$B$8,0,IF(AND(YEAR(DE$3)=YEAR($B$8),MONTH(DE$3)=MONTH($B$8)),DD48*(1+DE41/12),0)+DE42+DE43)</x:f>
      </x:c>
      <x:c r="DF53" s="117">
        <x:f>IF(DF$3&lt;$B$8,0,IF(AND(YEAR(DF$3)=YEAR($B$8),MONTH(DF$3)=MONTH($B$8)),DE48*(1+DF41/12),0)+DF42+DF43)</x:f>
      </x:c>
      <x:c r="DG53" s="117">
        <x:f>IF(DG$3&lt;$B$8,0,IF(AND(YEAR(DG$3)=YEAR($B$8),MONTH(DG$3)=MONTH($B$8)),DF48*(1+DG41/12),0)+DG42+DG43)</x:f>
      </x:c>
      <x:c r="DH53" s="117">
        <x:f>IF(DH$3&lt;$B$8,0,IF(AND(YEAR(DH$3)=YEAR($B$8),MONTH(DH$3)=MONTH($B$8)),DG48*(1+DH41/12),0)+DH42+DH43)</x:f>
      </x:c>
      <x:c r="DI53" s="117">
        <x:f>IF(DI$3&lt;$B$8,0,IF(AND(YEAR(DI$3)=YEAR($B$8),MONTH(DI$3)=MONTH($B$8)),DH48*(1+DI41/12),0)+DI42+DI43)</x:f>
      </x:c>
      <x:c r="DJ53" s="117">
        <x:f>IF(DJ$3&lt;$B$8,0,IF(AND(YEAR(DJ$3)=YEAR($B$8),MONTH(DJ$3)=MONTH($B$8)),DI48*(1+DJ41/12),0)+DJ42+DJ43)</x:f>
      </x:c>
      <x:c r="DK53" s="117">
        <x:f>IF(DK$3&lt;$B$8,0,IF(AND(YEAR(DK$3)=YEAR($B$8),MONTH(DK$3)=MONTH($B$8)),DJ48*(1+DK41/12),0)+DK42+DK43)</x:f>
      </x:c>
      <x:c r="DL53" s="117">
        <x:f>IF(DL$3&lt;$B$8,0,IF(AND(YEAR(DL$3)=YEAR($B$8),MONTH(DL$3)=MONTH($B$8)),DK48*(1+DL41/12),0)+DL42+DL43)</x:f>
      </x:c>
      <x:c r="DM53" s="117">
        <x:f>IF(DM$3&lt;$B$8,0,IF(AND(YEAR(DM$3)=YEAR($B$8),MONTH(DM$3)=MONTH($B$8)),DL48*(1+DM41/12),0)+DM42+DM43)</x:f>
      </x:c>
      <x:c r="DN53" s="117">
        <x:f>IF(DN$3&lt;$B$8,0,IF(AND(YEAR(DN$3)=YEAR($B$8),MONTH(DN$3)=MONTH($B$8)),DM48*(1+DN41/12),0)+DN42+DN43)</x:f>
      </x:c>
      <x:c r="DO53" s="117">
        <x:f>IF(DO$3&lt;$B$8,0,IF(AND(YEAR(DO$3)=YEAR($B$8),MONTH(DO$3)=MONTH($B$8)),DN48*(1+DO41/12),0)+DO42+DO43)</x:f>
      </x:c>
      <x:c r="DP53" s="117">
        <x:f>IF(DP$3&lt;$B$8,0,IF(AND(YEAR(DP$3)=YEAR($B$8),MONTH(DP$3)=MONTH($B$8)),DO48*(1+DP41/12),0)+DP42+DP43)</x:f>
      </x:c>
      <x:c r="DQ53" s="117">
        <x:f>IF(DQ$3&lt;$B$8,0,IF(AND(YEAR(DQ$3)=YEAR($B$8),MONTH(DQ$3)=MONTH($B$8)),DP48*(1+DQ41/12),0)+DQ42+DQ43)</x:f>
      </x:c>
      <x:c r="DR53" s="117">
        <x:f>IF(DR$3&lt;$B$8,0,IF(AND(YEAR(DR$3)=YEAR($B$8),MONTH(DR$3)=MONTH($B$8)),DQ48*(1+DR41/12),0)+DR42+DR43)</x:f>
      </x:c>
      <x:c r="DS53" s="117">
        <x:f>IF(DS$3&lt;$B$8,0,IF(AND(YEAR(DS$3)=YEAR($B$8),MONTH(DS$3)=MONTH($B$8)),DR48*(1+DS41/12),0)+DS42+DS43)</x:f>
      </x:c>
      <x:c r="DT53" s="117">
        <x:f>IF(DT$3&lt;$B$8,0,IF(AND(YEAR(DT$3)=YEAR($B$8),MONTH(DT$3)=MONTH($B$8)),DS48*(1+DT41/12),0)+DT42+DT43)</x:f>
      </x:c>
      <x:c r="DU53" s="117">
        <x:f>IF(DU$3&lt;$B$8,0,IF(AND(YEAR(DU$3)=YEAR($B$8),MONTH(DU$3)=MONTH($B$8)),DT48*(1+DU41/12),0)+DU42+DU43)</x:f>
      </x:c>
      <x:c r="DV53" s="117">
        <x:f>IF(DV$3&lt;$B$8,0,IF(AND(YEAR(DV$3)=YEAR($B$8),MONTH(DV$3)=MONTH($B$8)),DU48*(1+DV41/12),0)+DV42+DV43)</x:f>
      </x:c>
      <x:c r="DW53" s="117">
        <x:f>IF(DW$3&lt;$B$8,0,IF(AND(YEAR(DW$3)=YEAR($B$8),MONTH(DW$3)=MONTH($B$8)),DV48*(1+DW41/12),0)+DW42+DW43)</x:f>
      </x:c>
      <x:c r="DX53" s="117">
        <x:f>IF(DX$3&lt;$B$8,0,IF(AND(YEAR(DX$3)=YEAR($B$8),MONTH(DX$3)=MONTH($B$8)),DW48*(1+DX41/12),0)+DX42+DX43)</x:f>
      </x:c>
      <x:c r="DY53" s="117">
        <x:f>IF(DY$3&lt;$B$8,0,IF(AND(YEAR(DY$3)=YEAR($B$8),MONTH(DY$3)=MONTH($B$8)),DX48*(1+DY41/12),0)+DY42+DY43)</x:f>
      </x:c>
      <x:c r="DZ53" s="117">
        <x:f>IF(DZ$3&lt;$B$8,0,IF(AND(YEAR(DZ$3)=YEAR($B$8),MONTH(DZ$3)=MONTH($B$8)),DY48*(1+DZ41/12),0)+DZ42+DZ43)</x:f>
      </x:c>
      <x:c r="EA53" s="117">
        <x:f>IF(EA$3&lt;$B$8,0,IF(AND(YEAR(EA$3)=YEAR($B$8),MONTH(EA$3)=MONTH($B$8)),DZ48*(1+EA41/12),0)+EA42+EA43)</x:f>
      </x:c>
      <x:c r="EB53" s="117">
        <x:f>IF(EB$3&lt;$B$8,0,IF(AND(YEAR(EB$3)=YEAR($B$8),MONTH(EB$3)=MONTH($B$8)),EA48*(1+EB41/12),0)+EB42+EB43)</x:f>
      </x:c>
      <x:c r="EC53" s="117">
        <x:f>IF(EC$3&lt;$B$8,0,IF(AND(YEAR(EC$3)=YEAR($B$8),MONTH(EC$3)=MONTH($B$8)),EB48*(1+EC41/12),0)+EC42+EC43)</x:f>
      </x:c>
      <x:c r="ED53" s="117">
        <x:f>IF(ED$3&lt;$B$8,0,IF(AND(YEAR(ED$3)=YEAR($B$8),MONTH(ED$3)=MONTH($B$8)),EC48*(1+ED41/12),0)+ED42+ED43)</x:f>
      </x:c>
      <x:c r="EE53" s="117">
        <x:f>IF(EE$3&lt;$B$8,0,IF(AND(YEAR(EE$3)=YEAR($B$8),MONTH(EE$3)=MONTH($B$8)),ED48*(1+EE41/12),0)+EE42+EE43)</x:f>
      </x:c>
      <x:c r="EF53" s="117">
        <x:f>IF(EF$3&lt;$B$8,0,IF(AND(YEAR(EF$3)=YEAR($B$8),MONTH(EF$3)=MONTH($B$8)),EE48*(1+EF41/12),0)+EF42+EF43)</x:f>
      </x:c>
      <x:c r="EG53" s="117">
        <x:f>IF(EG$3&lt;$B$8,0,IF(AND(YEAR(EG$3)=YEAR($B$8),MONTH(EG$3)=MONTH($B$8)),EF48*(1+EG41/12),0)+EG42+EG43)</x:f>
      </x:c>
      <x:c r="EH53" s="117">
        <x:f>IF(EH$3&lt;$B$8,0,IF(AND(YEAR(EH$3)=YEAR($B$8),MONTH(EH$3)=MONTH($B$8)),EG48*(1+EH41/12),0)+EH42+EH43)</x:f>
      </x:c>
      <x:c r="EI53" s="117">
        <x:f>IF(EI$3&lt;$B$8,0,IF(AND(YEAR(EI$3)=YEAR($B$8),MONTH(EI$3)=MONTH($B$8)),EH48*(1+EI41/12),0)+EI42+EI43)</x:f>
      </x:c>
      <x:c r="EJ53" s="117">
        <x:f>IF(EJ$3&lt;$B$8,0,IF(AND(YEAR(EJ$3)=YEAR($B$8),MONTH(EJ$3)=MONTH($B$8)),EI48*(1+EJ41/12),0)+EJ42+EJ43)</x:f>
      </x:c>
      <x:c r="EK53" s="117">
        <x:f>IF(EK$3&lt;$B$8,0,IF(AND(YEAR(EK$3)=YEAR($B$8),MONTH(EK$3)=MONTH($B$8)),EJ48*(1+EK41/12),0)+EK42+EK43)</x:f>
      </x:c>
      <x:c r="EL53" s="117">
        <x:f>IF(EL$3&lt;$B$8,0,IF(AND(YEAR(EL$3)=YEAR($B$8),MONTH(EL$3)=MONTH($B$8)),EK48*(1+EL41/12),0)+EL42+EL43)</x:f>
      </x:c>
      <x:c r="EM53" s="117">
        <x:f>IF(EM$3&lt;$B$8,0,IF(AND(YEAR(EM$3)=YEAR($B$8),MONTH(EM$3)=MONTH($B$8)),EL48*(1+EM41/12),0)+EM42+EM43)</x:f>
      </x:c>
      <x:c r="EN53" s="117">
        <x:f>IF(EN$3&lt;$B$8,0,IF(AND(YEAR(EN$3)=YEAR($B$8),MONTH(EN$3)=MONTH($B$8)),EM48*(1+EN41/12),0)+EN42+EN43)</x:f>
      </x:c>
      <x:c r="EO53" s="117">
        <x:f>IF(EO$3&lt;$B$8,0,IF(AND(YEAR(EO$3)=YEAR($B$8),MONTH(EO$3)=MONTH($B$8)),EN48*(1+EO41/12),0)+EO42+EO43)</x:f>
      </x:c>
      <x:c r="EP53" s="117">
        <x:f>IF(EP$3&lt;$B$8,0,IF(AND(YEAR(EP$3)=YEAR($B$8),MONTH(EP$3)=MONTH($B$8)),EO48*(1+EP41/12),0)+EP42+EP43)</x:f>
      </x:c>
      <x:c r="EQ53" s="117">
        <x:f>IF(EQ$3&lt;$B$8,0,IF(AND(YEAR(EQ$3)=YEAR($B$8),MONTH(EQ$3)=MONTH($B$8)),EP48*(1+EQ41/12),0)+EQ42+EQ43)</x:f>
      </x:c>
      <x:c r="ER53" s="117">
        <x:f>IF(ER$3&lt;$B$8,0,IF(AND(YEAR(ER$3)=YEAR($B$8),MONTH(ER$3)=MONTH($B$8)),EQ48*(1+ER41/12),0)+ER42+ER43)</x:f>
      </x:c>
      <x:c r="ES53" s="117">
        <x:f>IF(ES$3&lt;$B$8,0,IF(AND(YEAR(ES$3)=YEAR($B$8),MONTH(ES$3)=MONTH($B$8)),ER48*(1+ES41/12),0)+ES42+ES43)</x:f>
      </x:c>
      <x:c r="ET53" s="117">
        <x:f>IF(ET$3&lt;$B$8,0,IF(AND(YEAR(ET$3)=YEAR($B$8),MONTH(ET$3)=MONTH($B$8)),ES48*(1+ET41/12),0)+ET42+ET43)</x:f>
      </x:c>
      <x:c r="EU53" s="117">
        <x:f>IF(EU$3&lt;$B$8,0,IF(AND(YEAR(EU$3)=YEAR($B$8),MONTH(EU$3)=MONTH($B$8)),ET48*(1+EU41/12),0)+EU42+EU43)</x:f>
      </x:c>
      <x:c r="EV53" s="117">
        <x:f>IF(EV$3&lt;$B$8,0,IF(AND(YEAR(EV$3)=YEAR($B$8),MONTH(EV$3)=MONTH($B$8)),EU48*(1+EV41/12),0)+EV42+EV43)</x:f>
      </x:c>
      <x:c r="EW53" s="117">
        <x:f>IF(EW$3&lt;$B$8,0,IF(AND(YEAR(EW$3)=YEAR($B$8),MONTH(EW$3)=MONTH($B$8)),EV48*(1+EW41/12),0)+EW42+EW43)</x:f>
      </x:c>
      <x:c r="EX53" s="117">
        <x:f>IF(EX$3&lt;$B$8,0,IF(AND(YEAR(EX$3)=YEAR($B$8),MONTH(EX$3)=MONTH($B$8)),EW48*(1+EX41/12),0)+EX42+EX43)</x:f>
      </x:c>
      <x:c r="EY53" s="117">
        <x:f>IF(EY$3&lt;$B$8,0,IF(AND(YEAR(EY$3)=YEAR($B$8),MONTH(EY$3)=MONTH($B$8)),EX48*(1+EY41/12),0)+EY42+EY43)</x:f>
      </x:c>
      <x:c r="EZ53" s="117">
        <x:f>IF(EZ$3&lt;$B$8,0,IF(AND(YEAR(EZ$3)=YEAR($B$8),MONTH(EZ$3)=MONTH($B$8)),EY48*(1+EZ41/12),0)+EZ42+EZ43)</x:f>
      </x:c>
      <x:c r="FA53" s="117">
        <x:f>IF(FA$3&lt;$B$8,0,IF(AND(YEAR(FA$3)=YEAR($B$8),MONTH(FA$3)=MONTH($B$8)),EZ48*(1+FA41/12),0)+FA42+FA43)</x:f>
      </x:c>
      <x:c r="FB53" s="117">
        <x:f>IF(FB$3&lt;$B$8,0,IF(AND(YEAR(FB$3)=YEAR($B$8),MONTH(FB$3)=MONTH($B$8)),FA48*(1+FB41/12),0)+FB42+FB43)</x:f>
      </x:c>
      <x:c r="FC53" s="117">
        <x:f>IF(FC$3&lt;$B$8,0,IF(AND(YEAR(FC$3)=YEAR($B$8),MONTH(FC$3)=MONTH($B$8)),FB48*(1+FC41/12),0)+FC42+FC43)</x:f>
      </x:c>
      <x:c r="FD53" s="117">
        <x:f>IF(FD$3&lt;$B$8,0,IF(AND(YEAR(FD$3)=YEAR($B$8),MONTH(FD$3)=MONTH($B$8)),FC48*(1+FD41/12),0)+FD42+FD43)</x:f>
      </x:c>
      <x:c r="FE53" s="117">
        <x:f>IF(FE$3&lt;$B$8,0,IF(AND(YEAR(FE$3)=YEAR($B$8),MONTH(FE$3)=MONTH($B$8)),FD48*(1+FE41/12),0)+FE42+FE43)</x:f>
      </x:c>
      <x:c r="FF53" s="117">
        <x:f>IF(FF$3&lt;$B$8,0,IF(AND(YEAR(FF$3)=YEAR($B$8),MONTH(FF$3)=MONTH($B$8)),FE48*(1+FF41/12),0)+FF42+FF43)</x:f>
      </x:c>
      <x:c r="FG53" s="117">
        <x:f>IF(FG$3&lt;$B$8,0,IF(AND(YEAR(FG$3)=YEAR($B$8),MONTH(FG$3)=MONTH($B$8)),FF48*(1+FG41/12),0)+FG42+FG43)</x:f>
      </x:c>
      <x:c r="FH53" s="117">
        <x:f>IF(FH$3&lt;$B$8,0,IF(AND(YEAR(FH$3)=YEAR($B$8),MONTH(FH$3)=MONTH($B$8)),FG48*(1+FH41/12),0)+FH42+FH43)</x:f>
      </x:c>
      <x:c r="FI53" s="117">
        <x:f>IF(FI$3&lt;$B$8,0,IF(AND(YEAR(FI$3)=YEAR($B$8),MONTH(FI$3)=MONTH($B$8)),FH48*(1+FI41/12),0)+FI42+FI43)</x:f>
      </x:c>
      <x:c r="FJ53" s="117">
        <x:f>IF(FJ$3&lt;$B$8,0,IF(AND(YEAR(FJ$3)=YEAR($B$8),MONTH(FJ$3)=MONTH($B$8)),FI48*(1+FJ41/12),0)+FJ42+FJ43)</x:f>
      </x:c>
      <x:c r="FK53" s="117">
        <x:f>IF(FK$3&lt;$B$8,0,IF(AND(YEAR(FK$3)=YEAR($B$8),MONTH(FK$3)=MONTH($B$8)),FJ48*(1+FK41/12),0)+FK42+FK43)</x:f>
      </x:c>
      <x:c r="FL53" s="117">
        <x:f>IF(FL$3&lt;$B$8,0,IF(AND(YEAR(FL$3)=YEAR($B$8),MONTH(FL$3)=MONTH($B$8)),FK48*(1+FL41/12),0)+FL42+FL43)</x:f>
      </x:c>
      <x:c r="FM53" s="117">
        <x:f>IF(FM$3&lt;$B$8,0,IF(AND(YEAR(FM$3)=YEAR($B$8),MONTH(FM$3)=MONTH($B$8)),FL48*(1+FM41/12),0)+FM42+FM43)</x:f>
      </x:c>
      <x:c r="FN53" s="117">
        <x:f>IF(FN$3&lt;$B$8,0,IF(AND(YEAR(FN$3)=YEAR($B$8),MONTH(FN$3)=MONTH($B$8)),FM48*(1+FN41/12),0)+FN42+FN43)</x:f>
      </x:c>
      <x:c r="FO53" s="117">
        <x:f>IF(FO$3&lt;$B$8,0,IF(AND(YEAR(FO$3)=YEAR($B$8),MONTH(FO$3)=MONTH($B$8)),FN48*(1+FO41/12),0)+FO42+FO43)</x:f>
      </x:c>
      <x:c r="FP53" s="117">
        <x:f>IF(FP$3&lt;$B$8,0,IF(AND(YEAR(FP$3)=YEAR($B$8),MONTH(FP$3)=MONTH($B$8)),FO48*(1+FP41/12),0)+FP42+FP43)</x:f>
      </x:c>
      <x:c r="FQ53" s="117">
        <x:f>IF(FQ$3&lt;$B$8,0,IF(AND(YEAR(FQ$3)=YEAR($B$8),MONTH(FQ$3)=MONTH($B$8)),FP48*(1+FQ41/12),0)+FQ42+FQ43)</x:f>
      </x:c>
      <x:c r="FR53" s="117">
        <x:f>IF(FR$3&lt;$B$8,0,IF(AND(YEAR(FR$3)=YEAR($B$8),MONTH(FR$3)=MONTH($B$8)),FQ48*(1+FR41/12),0)+FR42+FR43)</x:f>
      </x:c>
      <x:c r="FS53" s="117">
        <x:f>IF(FS$3&lt;$B$8,0,IF(AND(YEAR(FS$3)=YEAR($B$8),MONTH(FS$3)=MONTH($B$8)),FR48*(1+FS41/12),0)+FS42+FS43)</x:f>
      </x:c>
      <x:c r="FT53" s="117">
        <x:f>IF(FT$3&lt;$B$8,0,IF(AND(YEAR(FT$3)=YEAR($B$8),MONTH(FT$3)=MONTH($B$8)),FS48*(1+FT41/12),0)+FT42+FT43)</x:f>
      </x:c>
      <x:c r="FU53" s="117">
        <x:f>IF(FU$3&lt;$B$8,0,IF(AND(YEAR(FU$3)=YEAR($B$8),MONTH(FU$3)=MONTH($B$8)),FT48*(1+FU41/12),0)+FU42+FU43)</x:f>
      </x:c>
      <x:c r="FV53" s="117">
        <x:f>IF(FV$3&lt;$B$8,0,IF(AND(YEAR(FV$3)=YEAR($B$8),MONTH(FV$3)=MONTH($B$8)),FU48*(1+FV41/12),0)+FV42+FV43)</x:f>
      </x:c>
      <x:c r="FW53" s="117">
        <x:f>IF(FW$3&lt;$B$8,0,IF(AND(YEAR(FW$3)=YEAR($B$8),MONTH(FW$3)=MONTH($B$8)),FV48*(1+FW41/12),0)+FW42+FW43)</x:f>
      </x:c>
      <x:c r="FX53" s="117">
        <x:f>IF(FX$3&lt;$B$8,0,IF(AND(YEAR(FX$3)=YEAR($B$8),MONTH(FX$3)=MONTH($B$8)),FW48*(1+FX41/12),0)+FX42+FX43)</x:f>
      </x:c>
      <x:c r="FY53" s="117">
        <x:f>IF(FY$3&lt;$B$8,0,IF(AND(YEAR(FY$3)=YEAR($B$8),MONTH(FY$3)=MONTH($B$8)),FX48*(1+FY41/12),0)+FY42+FY43)</x:f>
      </x:c>
      <x:c r="FZ53" s="117">
        <x:f>IF(FZ$3&lt;$B$8,0,IF(AND(YEAR(FZ$3)=YEAR($B$8),MONTH(FZ$3)=MONTH($B$8)),FY48*(1+FZ41/12),0)+FZ42+FZ43)</x:f>
      </x:c>
      <x:c r="GA53" s="117">
        <x:f>IF(GA$3&lt;$B$8,0,IF(AND(YEAR(GA$3)=YEAR($B$8),MONTH(GA$3)=MONTH($B$8)),FZ48*(1+GA41/12),0)+GA42+GA43)</x:f>
      </x:c>
    </x:row>
    <x:row r="54">
      <x:c r="A54" s="113" t="str">
        <x:v>Проектный CF до финансирования</x:v>
      </x:c>
      <x:c r="B54" s="113" t="n">
        <x:f>SUM(D54:GA54)</x:f>
      </x:c>
      <x:c r="C54" s="113" t="str">
        <x:v>млн ₽</x:v>
      </x:c>
      <x:c r="D54" s="120" t="n">
        <x:f>D27-D20-D24</x:f>
      </x:c>
      <x:c r="E54" s="120" t="n">
        <x:f>E27-E20-E24</x:f>
      </x:c>
      <x:c r="F54" s="120" t="n">
        <x:f>F27-F20-F24</x:f>
      </x:c>
      <x:c r="G54" s="120" t="n">
        <x:f>G27-G20-G24</x:f>
      </x:c>
      <x:c r="H54" s="120" t="n">
        <x:f>H27-H20-H24</x:f>
      </x:c>
      <x:c r="I54" s="120" t="n">
        <x:f>I27-I20-I24</x:f>
      </x:c>
      <x:c r="J54" s="120" t="n">
        <x:f>J27-J20-J24</x:f>
      </x:c>
      <x:c r="K54" s="120" t="n">
        <x:f>K27-K20-K24</x:f>
      </x:c>
      <x:c r="L54" s="120" t="n">
        <x:f>L27-L20-L24</x:f>
      </x:c>
      <x:c r="M54" s="120" t="n">
        <x:f>M27-M20-M24</x:f>
      </x:c>
      <x:c r="N54" s="120" t="n">
        <x:f>N27-N20-N24</x:f>
      </x:c>
      <x:c r="O54" s="120" t="n">
        <x:f>O27-O20-O24</x:f>
      </x:c>
      <x:c r="P54" s="120" t="n">
        <x:f>P27-P20-P24</x:f>
      </x:c>
      <x:c r="Q54" s="120" t="n">
        <x:f>Q27-Q20-Q24</x:f>
      </x:c>
      <x:c r="R54" s="120" t="n">
        <x:f>R27-R20-R24</x:f>
      </x:c>
      <x:c r="S54" s="120" t="n">
        <x:f>S27-S20-S24</x:f>
      </x:c>
      <x:c r="T54" s="120" t="n">
        <x:f>T27-T20-T24</x:f>
      </x:c>
      <x:c r="U54" s="120" t="n">
        <x:f>U27-U20-U24</x:f>
      </x:c>
      <x:c r="V54" s="120" t="n">
        <x:f>V27-V20-V24</x:f>
      </x:c>
      <x:c r="W54" s="120" t="n">
        <x:f>W27-W20-W24</x:f>
      </x:c>
      <x:c r="X54" s="120" t="n">
        <x:f>X27-X20-X24</x:f>
      </x:c>
      <x:c r="Y54" s="120" t="n">
        <x:f>Y27-Y20-Y24</x:f>
      </x:c>
      <x:c r="Z54" s="120" t="n">
        <x:f>Z27-Z20-Z24</x:f>
      </x:c>
      <x:c r="AA54" s="120" t="n">
        <x:f>AA27-AA20-AA24</x:f>
      </x:c>
      <x:c r="AB54" s="120" t="n">
        <x:f>AB27-AB20-AB24</x:f>
      </x:c>
      <x:c r="AC54" s="120" t="n">
        <x:f>AC27-AC20-AC24</x:f>
      </x:c>
      <x:c r="AD54" s="120" t="n">
        <x:f>AD27-AD20-AD24</x:f>
      </x:c>
      <x:c r="AE54" s="120" t="n">
        <x:f>AE27-AE20-AE24</x:f>
      </x:c>
      <x:c r="AF54" s="120" t="n">
        <x:f>AF27-AF20-AF24</x:f>
      </x:c>
      <x:c r="AG54" s="120" t="n">
        <x:f>AG27-AG20-AG24</x:f>
      </x:c>
      <x:c r="AH54" s="120" t="n">
        <x:f>AH27-AH20-AH24</x:f>
      </x:c>
      <x:c r="AI54" s="120" t="n">
        <x:f>AI27-AI20-AI24</x:f>
      </x:c>
      <x:c r="AJ54" s="120" t="n">
        <x:f>AJ27-AJ20-AJ24</x:f>
      </x:c>
      <x:c r="AK54" s="120" t="n">
        <x:f>AK27-AK20-AK24</x:f>
      </x:c>
      <x:c r="AL54" s="120" t="n">
        <x:f>AL27-AL20-AL24</x:f>
      </x:c>
      <x:c r="AM54" s="120" t="n">
        <x:f>AM27-AM20-AM24</x:f>
      </x:c>
      <x:c r="AN54" s="120" t="n">
        <x:f>AN27-AN20-AN24</x:f>
      </x:c>
      <x:c r="AO54" s="120" t="n">
        <x:f>AO27-AO20-AO24</x:f>
      </x:c>
      <x:c r="AP54" s="120" t="n">
        <x:f>AP27-AP20-AP24</x:f>
      </x:c>
      <x:c r="AQ54" s="120" t="n">
        <x:f>AQ27-AQ20-AQ24</x:f>
      </x:c>
      <x:c r="AR54" s="120" t="n">
        <x:f>AR27-AR20-AR24</x:f>
      </x:c>
      <x:c r="AS54" s="120" t="n">
        <x:f>AS27-AS20-AS24</x:f>
      </x:c>
      <x:c r="AT54" s="120" t="n">
        <x:f>AT27-AT20-AT24</x:f>
      </x:c>
      <x:c r="AU54" s="120" t="n">
        <x:f>AU27-AU20-AU24</x:f>
      </x:c>
      <x:c r="AV54" s="120" t="n">
        <x:f>AV27-AV20-AV24</x:f>
      </x:c>
      <x:c r="AW54" s="120" t="n">
        <x:f>AW27-AW20-AW24</x:f>
      </x:c>
      <x:c r="AX54" s="120" t="n">
        <x:f>AX27-AX20-AX24</x:f>
      </x:c>
      <x:c r="AY54" s="120" t="n">
        <x:f>AY27-AY20-AY24</x:f>
      </x:c>
      <x:c r="AZ54" s="120" t="n">
        <x:f>AZ27-AZ20-AZ24</x:f>
      </x:c>
      <x:c r="BA54" s="120" t="n">
        <x:f>BA27-BA20-BA24</x:f>
      </x:c>
      <x:c r="BB54" s="120" t="n">
        <x:f>BB27-BB20-BB24</x:f>
      </x:c>
      <x:c r="BC54" s="120" t="n">
        <x:f>BC27-BC20-BC24</x:f>
      </x:c>
      <x:c r="BD54" s="120" t="n">
        <x:f>BD27-BD20-BD24</x:f>
      </x:c>
      <x:c r="BE54" s="120" t="n">
        <x:f>BE27-BE20-BE24</x:f>
      </x:c>
      <x:c r="BF54" s="120" t="n">
        <x:f>BF27-BF20-BF24</x:f>
      </x:c>
      <x:c r="BG54" s="120" t="n">
        <x:f>BG27-BG20-BG24</x:f>
      </x:c>
      <x:c r="BH54" s="120" t="n">
        <x:f>BH27-BH20-BH24</x:f>
      </x:c>
      <x:c r="BI54" s="120" t="n">
        <x:f>BI27-BI20-BI24</x:f>
      </x:c>
      <x:c r="BJ54" s="120" t="n">
        <x:f>BJ27-BJ20-BJ24</x:f>
      </x:c>
      <x:c r="BK54" s="120" t="n">
        <x:f>BK27-BK20-BK24</x:f>
      </x:c>
      <x:c r="BL54" s="120" t="n">
        <x:f>BL27-BL20-BL24</x:f>
      </x:c>
      <x:c r="BM54" s="120" t="n">
        <x:f>BM27-BM20-BM24</x:f>
      </x:c>
      <x:c r="BN54" s="120" t="n">
        <x:f>BN27-BN20-BN24</x:f>
      </x:c>
      <x:c r="BO54" s="120" t="n">
        <x:f>BO27-BO20-BO24</x:f>
      </x:c>
      <x:c r="BP54" s="120" t="n">
        <x:f>BP27-BP20-BP24</x:f>
      </x:c>
      <x:c r="BQ54" s="120" t="n">
        <x:f>BQ27-BQ20-BQ24</x:f>
      </x:c>
      <x:c r="BR54" s="120" t="n">
        <x:f>BR27-BR20-BR24</x:f>
      </x:c>
      <x:c r="BS54" s="120" t="n">
        <x:f>BS27-BS20-BS24</x:f>
      </x:c>
      <x:c r="BT54" s="120" t="n">
        <x:f>BT27-BT20-BT24</x:f>
      </x:c>
      <x:c r="BU54" s="120" t="n">
        <x:f>BU27-BU20-BU24</x:f>
      </x:c>
      <x:c r="BV54" s="120" t="n">
        <x:f>BV27-BV20-BV24</x:f>
      </x:c>
      <x:c r="BW54" s="120" t="n">
        <x:f>BW27-BW20-BW24</x:f>
      </x:c>
      <x:c r="BX54" s="120" t="n">
        <x:f>BX27-BX20-BX24</x:f>
      </x:c>
      <x:c r="BY54" s="120" t="n">
        <x:f>BY27-BY20-BY24</x:f>
      </x:c>
      <x:c r="BZ54" s="120" t="n">
        <x:f>BZ27-BZ20-BZ24</x:f>
      </x:c>
      <x:c r="CA54" s="120" t="n">
        <x:f>CA27-CA20-CA24</x:f>
      </x:c>
      <x:c r="CB54" s="120" t="n">
        <x:f>CB27-CB20-CB24</x:f>
      </x:c>
      <x:c r="CC54" s="120" t="n">
        <x:f>CC27-CC20-CC24</x:f>
      </x:c>
      <x:c r="CD54" s="120" t="n">
        <x:f>CD27-CD20-CD24</x:f>
      </x:c>
      <x:c r="CE54" s="120" t="n">
        <x:f>CE27-CE20-CE24</x:f>
      </x:c>
      <x:c r="CF54" s="120" t="n">
        <x:f>CF27-CF20-CF24</x:f>
      </x:c>
      <x:c r="CG54" s="120" t="n">
        <x:f>CG27-CG20-CG24</x:f>
      </x:c>
      <x:c r="CH54" s="120" t="n">
        <x:f>CH27-CH20-CH24</x:f>
      </x:c>
      <x:c r="CI54" s="120" t="n">
        <x:f>CI27-CI20-CI24</x:f>
      </x:c>
      <x:c r="CJ54" s="120" t="n">
        <x:f>CJ27-CJ20-CJ24</x:f>
      </x:c>
      <x:c r="CK54" s="120" t="n">
        <x:f>CK27-CK20-CK24</x:f>
      </x:c>
      <x:c r="CL54" s="120" t="n">
        <x:f>CL27-CL20-CL24</x:f>
      </x:c>
      <x:c r="CM54" s="120" t="n">
        <x:f>CM27-CM20-CM24</x:f>
      </x:c>
      <x:c r="CN54" s="120" t="n">
        <x:f>CN27-CN20-CN24</x:f>
      </x:c>
      <x:c r="CO54" s="120" t="n">
        <x:f>CO27-CO20-CO24</x:f>
      </x:c>
      <x:c r="CP54" s="120" t="n">
        <x:f>CP27-CP20-CP24</x:f>
      </x:c>
      <x:c r="CQ54" s="120" t="n">
        <x:f>CQ27-CQ20-CQ24</x:f>
      </x:c>
      <x:c r="CR54" s="120" t="n">
        <x:f>CR27-CR20-CR24</x:f>
      </x:c>
      <x:c r="CS54" s="120" t="n">
        <x:f>CS27-CS20-CS24</x:f>
      </x:c>
      <x:c r="CT54" s="120" t="n">
        <x:f>CT27-CT20-CT24</x:f>
      </x:c>
      <x:c r="CU54" s="120" t="n">
        <x:f>CU27-CU20-CU24</x:f>
      </x:c>
      <x:c r="CV54" s="120" t="n">
        <x:f>CV27-CV20-CV24</x:f>
      </x:c>
      <x:c r="CW54" s="120" t="n">
        <x:f>CW27-CW20-CW24</x:f>
      </x:c>
      <x:c r="CX54" s="120" t="n">
        <x:f>CX27-CX20-CX24</x:f>
      </x:c>
      <x:c r="CY54" s="120" t="n">
        <x:f>CY27-CY20-CY24</x:f>
      </x:c>
      <x:c r="CZ54" s="120" t="n">
        <x:f>CZ27-CZ20-CZ24</x:f>
      </x:c>
      <x:c r="DA54" s="120" t="n">
        <x:f>DA27-DA20-DA24</x:f>
      </x:c>
      <x:c r="DB54" s="120" t="n">
        <x:f>DB27-DB20-DB24</x:f>
      </x:c>
      <x:c r="DC54" s="120" t="n">
        <x:f>DC27-DC20-DC24</x:f>
      </x:c>
      <x:c r="DD54" s="120" t="n">
        <x:f>DD27-DD20-DD24</x:f>
      </x:c>
      <x:c r="DE54" s="120" t="n">
        <x:f>DE27-DE20-DE24</x:f>
      </x:c>
      <x:c r="DF54" s="120" t="n">
        <x:f>DF27-DF20-DF24</x:f>
      </x:c>
      <x:c r="DG54" s="120" t="n">
        <x:f>DG27-DG20-DG24</x:f>
      </x:c>
      <x:c r="DH54" s="120" t="n">
        <x:f>DH27-DH20-DH24</x:f>
      </x:c>
      <x:c r="DI54" s="120" t="n">
        <x:f>DI27-DI20-DI24</x:f>
      </x:c>
      <x:c r="DJ54" s="120" t="n">
        <x:f>DJ27-DJ20-DJ24</x:f>
      </x:c>
      <x:c r="DK54" s="120" t="n">
        <x:f>DK27-DK20-DK24</x:f>
      </x:c>
      <x:c r="DL54" s="120" t="n">
        <x:f>DL27-DL20-DL24</x:f>
      </x:c>
      <x:c r="DM54" s="120" t="n">
        <x:f>DM27-DM20-DM24</x:f>
      </x:c>
      <x:c r="DN54" s="120" t="n">
        <x:f>DN27-DN20-DN24</x:f>
      </x:c>
      <x:c r="DO54" s="120" t="n">
        <x:f>DO27-DO20-DO24</x:f>
      </x:c>
      <x:c r="DP54" s="120" t="n">
        <x:f>DP27-DP20-DP24</x:f>
      </x:c>
      <x:c r="DQ54" s="120" t="n">
        <x:f>DQ27-DQ20-DQ24</x:f>
      </x:c>
      <x:c r="DR54" s="120" t="n">
        <x:f>DR27-DR20-DR24</x:f>
      </x:c>
      <x:c r="DS54" s="120" t="n">
        <x:f>DS27-DS20-DS24</x:f>
      </x:c>
      <x:c r="DT54" s="120" t="n">
        <x:f>DT27-DT20-DT24</x:f>
      </x:c>
      <x:c r="DU54" s="120" t="n">
        <x:f>DU27-DU20-DU24</x:f>
      </x:c>
      <x:c r="DV54" s="120" t="n">
        <x:f>DV27-DV20-DV24</x:f>
      </x:c>
      <x:c r="DW54" s="120" t="n">
        <x:f>DW27-DW20-DW24</x:f>
      </x:c>
      <x:c r="DX54" s="120" t="n">
        <x:f>DX27-DX20-DX24</x:f>
      </x:c>
      <x:c r="DY54" s="120" t="n">
        <x:f>DY27-DY20-DY24</x:f>
      </x:c>
      <x:c r="DZ54" s="120" t="n">
        <x:f>DZ27-DZ20-DZ24</x:f>
      </x:c>
      <x:c r="EA54" s="120" t="n">
        <x:f>EA27-EA20-EA24</x:f>
      </x:c>
      <x:c r="EB54" s="120" t="n">
        <x:f>EB27-EB20-EB24</x:f>
      </x:c>
      <x:c r="EC54" s="120" t="n">
        <x:f>EC27-EC20-EC24</x:f>
      </x:c>
      <x:c r="ED54" s="120" t="n">
        <x:f>ED27-ED20-ED24</x:f>
      </x:c>
      <x:c r="EE54" s="120" t="n">
        <x:f>EE27-EE20-EE24</x:f>
      </x:c>
      <x:c r="EF54" s="120" t="n">
        <x:f>EF27-EF20-EF24</x:f>
      </x:c>
      <x:c r="EG54" s="120" t="n">
        <x:f>EG27-EG20-EG24</x:f>
      </x:c>
      <x:c r="EH54" s="120" t="n">
        <x:f>EH27-EH20-EH24</x:f>
      </x:c>
      <x:c r="EI54" s="120" t="n">
        <x:f>EI27-EI20-EI24</x:f>
      </x:c>
      <x:c r="EJ54" s="120" t="n">
        <x:f>EJ27-EJ20-EJ24</x:f>
      </x:c>
      <x:c r="EK54" s="120" t="n">
        <x:f>EK27-EK20-EK24</x:f>
      </x:c>
      <x:c r="EL54" s="120" t="n">
        <x:f>EL27-EL20-EL24</x:f>
      </x:c>
      <x:c r="EM54" s="120" t="n">
        <x:f>EM27-EM20-EM24</x:f>
      </x:c>
      <x:c r="EN54" s="120" t="n">
        <x:f>EN27-EN20-EN24</x:f>
      </x:c>
      <x:c r="EO54" s="120" t="n">
        <x:f>EO27-EO20-EO24</x:f>
      </x:c>
      <x:c r="EP54" s="120" t="n">
        <x:f>EP27-EP20-EP24</x:f>
      </x:c>
      <x:c r="EQ54" s="120" t="n">
        <x:f>EQ27-EQ20-EQ24</x:f>
      </x:c>
      <x:c r="ER54" s="120" t="n">
        <x:f>ER27-ER20-ER24</x:f>
      </x:c>
      <x:c r="ES54" s="120" t="n">
        <x:f>ES27-ES20-ES24</x:f>
      </x:c>
      <x:c r="ET54" s="120" t="n">
        <x:f>ET27-ET20-ET24</x:f>
      </x:c>
      <x:c r="EU54" s="120" t="n">
        <x:f>EU27-EU20-EU24</x:f>
      </x:c>
      <x:c r="EV54" s="120" t="n">
        <x:f>EV27-EV20-EV24</x:f>
      </x:c>
      <x:c r="EW54" s="120" t="n">
        <x:f>EW27-EW20-EW24</x:f>
      </x:c>
      <x:c r="EX54" s="120" t="n">
        <x:f>EX27-EX20-EX24</x:f>
      </x:c>
      <x:c r="EY54" s="120" t="n">
        <x:f>EY27-EY20-EY24</x:f>
      </x:c>
      <x:c r="EZ54" s="120" t="n">
        <x:f>EZ27-EZ20-EZ24</x:f>
      </x:c>
      <x:c r="FA54" s="120" t="n">
        <x:f>FA27-FA20-FA24</x:f>
      </x:c>
      <x:c r="FB54" s="120" t="n">
        <x:f>FB27-FB20-FB24</x:f>
      </x:c>
      <x:c r="FC54" s="120" t="n">
        <x:f>FC27-FC20-FC24</x:f>
      </x:c>
      <x:c r="FD54" s="120" t="n">
        <x:f>FD27-FD20-FD24</x:f>
      </x:c>
      <x:c r="FE54" s="120" t="n">
        <x:f>FE27-FE20-FE24</x:f>
      </x:c>
      <x:c r="FF54" s="120" t="n">
        <x:f>FF27-FF20-FF24</x:f>
      </x:c>
      <x:c r="FG54" s="120" t="n">
        <x:f>FG27-FG20-FG24</x:f>
      </x:c>
      <x:c r="FH54" s="120" t="n">
        <x:f>FH27-FH20-FH24</x:f>
      </x:c>
      <x:c r="FI54" s="120" t="n">
        <x:f>FI27-FI20-FI24</x:f>
      </x:c>
      <x:c r="FJ54" s="120" t="n">
        <x:f>FJ27-FJ20-FJ24</x:f>
      </x:c>
      <x:c r="FK54" s="120" t="n">
        <x:f>FK27-FK20-FK24</x:f>
      </x:c>
      <x:c r="FL54" s="120" t="n">
        <x:f>FL27-FL20-FL24</x:f>
      </x:c>
      <x:c r="FM54" s="120" t="n">
        <x:f>FM27-FM20-FM24</x:f>
      </x:c>
      <x:c r="FN54" s="120" t="n">
        <x:f>FN27-FN20-FN24</x:f>
      </x:c>
      <x:c r="FO54" s="120" t="n">
        <x:f>FO27-FO20-FO24</x:f>
      </x:c>
      <x:c r="FP54" s="120" t="n">
        <x:f>FP27-FP20-FP24</x:f>
      </x:c>
      <x:c r="FQ54" s="120" t="n">
        <x:f>FQ27-FQ20-FQ24</x:f>
      </x:c>
      <x:c r="FR54" s="120" t="n">
        <x:f>FR27-FR20-FR24</x:f>
      </x:c>
      <x:c r="FS54" s="120" t="n">
        <x:f>FS27-FS20-FS24</x:f>
      </x:c>
      <x:c r="FT54" s="120" t="n">
        <x:f>FT27-FT20-FT24</x:f>
      </x:c>
      <x:c r="FU54" s="120" t="n">
        <x:f>FU27-FU20-FU24</x:f>
      </x:c>
      <x:c r="FV54" s="120" t="n">
        <x:f>FV27-FV20-FV24</x:f>
      </x:c>
      <x:c r="FW54" s="120" t="n">
        <x:f>FW27-FW20-FW24</x:f>
      </x:c>
      <x:c r="FX54" s="120" t="n">
        <x:f>FX27-FX20-FX24</x:f>
      </x:c>
      <x:c r="FY54" s="120" t="n">
        <x:f>FY27-FY20-FY24</x:f>
      </x:c>
      <x:c r="FZ54" s="120" t="n">
        <x:f>FZ27-FZ20-FZ24</x:f>
      </x:c>
      <x:c r="GA54" s="120" t="n">
        <x:f>GA27-GA20-GA24</x:f>
      </x:c>
    </x:row>
    <x:row r="55">
      <x:c r="A55" t="str">
        <x:v>Накопленный проектный CF</x:v>
      </x:c>
      <x:c r="B55" t="n">
        <x:f>GA55</x:f>
      </x:c>
      <x:c r="C55" t="str">
        <x:v>млн ₽</x:v>
      </x:c>
      <x:c r="D55" s="117" t="n">
        <x:f>D54</x:f>
      </x:c>
      <x:c r="E55" s="117" t="n">
        <x:f>D55+E54</x:f>
      </x:c>
      <x:c r="F55" s="117" t="n">
        <x:f>E55+F54</x:f>
      </x:c>
      <x:c r="G55" s="117" t="n">
        <x:f>F55+G54</x:f>
      </x:c>
      <x:c r="H55" s="117" t="n">
        <x:f>G55+H54</x:f>
      </x:c>
      <x:c r="I55" s="117" t="n">
        <x:f>H55+I54</x:f>
      </x:c>
      <x:c r="J55" s="117" t="n">
        <x:f>I55+J54</x:f>
      </x:c>
      <x:c r="K55" s="117" t="n">
        <x:f>J55+K54</x:f>
      </x:c>
      <x:c r="L55" s="117" t="n">
        <x:f>K55+L54</x:f>
      </x:c>
      <x:c r="M55" s="117" t="n">
        <x:f>L55+M54</x:f>
      </x:c>
      <x:c r="N55" s="117" t="n">
        <x:f>M55+N54</x:f>
      </x:c>
      <x:c r="O55" s="117" t="n">
        <x:f>N55+O54</x:f>
      </x:c>
      <x:c r="P55" s="117" t="n">
        <x:f>O55+P54</x:f>
      </x:c>
      <x:c r="Q55" s="117" t="n">
        <x:f>P55+Q54</x:f>
      </x:c>
      <x:c r="R55" s="117" t="n">
        <x:f>Q55+R54</x:f>
      </x:c>
      <x:c r="S55" s="117" t="n">
        <x:f>R55+S54</x:f>
      </x:c>
      <x:c r="T55" s="117" t="n">
        <x:f>S55+T54</x:f>
      </x:c>
      <x:c r="U55" s="117" t="n">
        <x:f>T55+U54</x:f>
      </x:c>
      <x:c r="V55" s="117" t="n">
        <x:f>U55+V54</x:f>
      </x:c>
      <x:c r="W55" s="117" t="n">
        <x:f>V55+W54</x:f>
      </x:c>
      <x:c r="X55" s="117" t="n">
        <x:f>W55+X54</x:f>
      </x:c>
      <x:c r="Y55" s="117" t="n">
        <x:f>X55+Y54</x:f>
      </x:c>
      <x:c r="Z55" s="117" t="n">
        <x:f>Y55+Z54</x:f>
      </x:c>
      <x:c r="AA55" s="117" t="n">
        <x:f>Z55+AA54</x:f>
      </x:c>
      <x:c r="AB55" s="117" t="n">
        <x:f>AA55+AB54</x:f>
      </x:c>
      <x:c r="AC55" s="117" t="n">
        <x:f>AB55+AC54</x:f>
      </x:c>
      <x:c r="AD55" s="117" t="n">
        <x:f>AC55+AD54</x:f>
      </x:c>
      <x:c r="AE55" s="117" t="n">
        <x:f>AD55+AE54</x:f>
      </x:c>
      <x:c r="AF55" s="117" t="n">
        <x:f>AE55+AF54</x:f>
      </x:c>
      <x:c r="AG55" s="117" t="n">
        <x:f>AF55+AG54</x:f>
      </x:c>
      <x:c r="AH55" s="117" t="n">
        <x:f>AG55+AH54</x:f>
      </x:c>
      <x:c r="AI55" s="117" t="n">
        <x:f>AH55+AI54</x:f>
      </x:c>
      <x:c r="AJ55" s="117" t="n">
        <x:f>AI55+AJ54</x:f>
      </x:c>
      <x:c r="AK55" s="117" t="n">
        <x:f>AJ55+AK54</x:f>
      </x:c>
      <x:c r="AL55" s="117" t="n">
        <x:f>AK55+AL54</x:f>
      </x:c>
      <x:c r="AM55" s="117" t="n">
        <x:f>AL55+AM54</x:f>
      </x:c>
      <x:c r="AN55" s="117" t="n">
        <x:f>AM55+AN54</x:f>
      </x:c>
      <x:c r="AO55" s="117" t="n">
        <x:f>AN55+AO54</x:f>
      </x:c>
      <x:c r="AP55" s="117" t="n">
        <x:f>AO55+AP54</x:f>
      </x:c>
      <x:c r="AQ55" s="117" t="n">
        <x:f>AP55+AQ54</x:f>
      </x:c>
      <x:c r="AR55" s="117" t="n">
        <x:f>AQ55+AR54</x:f>
      </x:c>
      <x:c r="AS55" s="117" t="n">
        <x:f>AR55+AS54</x:f>
      </x:c>
      <x:c r="AT55" s="117" t="n">
        <x:f>AS55+AT54</x:f>
      </x:c>
      <x:c r="AU55" s="117" t="n">
        <x:f>AT55+AU54</x:f>
      </x:c>
      <x:c r="AV55" s="117" t="n">
        <x:f>AU55+AV54</x:f>
      </x:c>
      <x:c r="AW55" s="117" t="n">
        <x:f>AV55+AW54</x:f>
      </x:c>
      <x:c r="AX55" s="117" t="n">
        <x:f>AW55+AX54</x:f>
      </x:c>
      <x:c r="AY55" s="117" t="n">
        <x:f>AX55+AY54</x:f>
      </x:c>
      <x:c r="AZ55" s="117" t="n">
        <x:f>AY55+AZ54</x:f>
      </x:c>
      <x:c r="BA55" s="117" t="n">
        <x:f>AZ55+BA54</x:f>
      </x:c>
      <x:c r="BB55" s="117" t="n">
        <x:f>BA55+BB54</x:f>
      </x:c>
      <x:c r="BC55" s="117" t="n">
        <x:f>BB55+BC54</x:f>
      </x:c>
      <x:c r="BD55" s="117" t="n">
        <x:f>BC55+BD54</x:f>
      </x:c>
      <x:c r="BE55" s="117" t="n">
        <x:f>BD55+BE54</x:f>
      </x:c>
      <x:c r="BF55" s="117" t="n">
        <x:f>BE55+BF54</x:f>
      </x:c>
      <x:c r="BG55" s="117" t="n">
        <x:f>BF55+BG54</x:f>
      </x:c>
      <x:c r="BH55" s="117" t="n">
        <x:f>BG55+BH54</x:f>
      </x:c>
      <x:c r="BI55" s="117" t="n">
        <x:f>BH55+BI54</x:f>
      </x:c>
      <x:c r="BJ55" s="117" t="n">
        <x:f>BI55+BJ54</x:f>
      </x:c>
      <x:c r="BK55" s="117" t="n">
        <x:f>BJ55+BK54</x:f>
      </x:c>
      <x:c r="BL55" s="117" t="n">
        <x:f>BK55+BL54</x:f>
      </x:c>
      <x:c r="BM55" s="117" t="n">
        <x:f>BL55+BM54</x:f>
      </x:c>
      <x:c r="BN55" s="117" t="n">
        <x:f>BM55+BN54</x:f>
      </x:c>
      <x:c r="BO55" s="117" t="n">
        <x:f>BN55+BO54</x:f>
      </x:c>
      <x:c r="BP55" s="117" t="n">
        <x:f>BO55+BP54</x:f>
      </x:c>
      <x:c r="BQ55" s="117" t="n">
        <x:f>BP55+BQ54</x:f>
      </x:c>
      <x:c r="BR55" s="117" t="n">
        <x:f>BQ55+BR54</x:f>
      </x:c>
      <x:c r="BS55" s="117" t="n">
        <x:f>BR55+BS54</x:f>
      </x:c>
      <x:c r="BT55" s="117" t="n">
        <x:f>BS55+BT54</x:f>
      </x:c>
      <x:c r="BU55" s="117" t="n">
        <x:f>BT55+BU54</x:f>
      </x:c>
      <x:c r="BV55" s="117" t="n">
        <x:f>BU55+BV54</x:f>
      </x:c>
      <x:c r="BW55" s="117" t="n">
        <x:f>BV55+BW54</x:f>
      </x:c>
      <x:c r="BX55" s="117" t="n">
        <x:f>BW55+BX54</x:f>
      </x:c>
      <x:c r="BY55" s="117" t="n">
        <x:f>BX55+BY54</x:f>
      </x:c>
      <x:c r="BZ55" s="117" t="n">
        <x:f>BY55+BZ54</x:f>
      </x:c>
      <x:c r="CA55" s="117" t="n">
        <x:f>BZ55+CA54</x:f>
      </x:c>
      <x:c r="CB55" s="117" t="n">
        <x:f>CA55+CB54</x:f>
      </x:c>
      <x:c r="CC55" s="117" t="n">
        <x:f>CB55+CC54</x:f>
      </x:c>
      <x:c r="CD55" s="117" t="n">
        <x:f>CC55+CD54</x:f>
      </x:c>
      <x:c r="CE55" s="117" t="n">
        <x:f>CD55+CE54</x:f>
      </x:c>
      <x:c r="CF55" s="117" t="n">
        <x:f>CE55+CF54</x:f>
      </x:c>
      <x:c r="CG55" s="117" t="n">
        <x:f>CF55+CG54</x:f>
      </x:c>
      <x:c r="CH55" s="117" t="n">
        <x:f>CG55+CH54</x:f>
      </x:c>
      <x:c r="CI55" s="117" t="n">
        <x:f>CH55+CI54</x:f>
      </x:c>
      <x:c r="CJ55" s="117" t="n">
        <x:f>CI55+CJ54</x:f>
      </x:c>
      <x:c r="CK55" s="117" t="n">
        <x:f>CJ55+CK54</x:f>
      </x:c>
      <x:c r="CL55" s="117" t="n">
        <x:f>CK55+CL54</x:f>
      </x:c>
      <x:c r="CM55" s="117" t="n">
        <x:f>CL55+CM54</x:f>
      </x:c>
      <x:c r="CN55" s="117" t="n">
        <x:f>CM55+CN54</x:f>
      </x:c>
      <x:c r="CO55" s="117" t="n">
        <x:f>CN55+CO54</x:f>
      </x:c>
      <x:c r="CP55" s="117" t="n">
        <x:f>CO55+CP54</x:f>
      </x:c>
      <x:c r="CQ55" s="117" t="n">
        <x:f>CP55+CQ54</x:f>
      </x:c>
      <x:c r="CR55" s="117" t="n">
        <x:f>CQ55+CR54</x:f>
      </x:c>
      <x:c r="CS55" s="117" t="n">
        <x:f>CR55+CS54</x:f>
      </x:c>
      <x:c r="CT55" s="117" t="n">
        <x:f>CS55+CT54</x:f>
      </x:c>
      <x:c r="CU55" s="117" t="n">
        <x:f>CT55+CU54</x:f>
      </x:c>
      <x:c r="CV55" s="117" t="n">
        <x:f>CU55+CV54</x:f>
      </x:c>
      <x:c r="CW55" s="117" t="n">
        <x:f>CV55+CW54</x:f>
      </x:c>
      <x:c r="CX55" s="117" t="n">
        <x:f>CW55+CX54</x:f>
      </x:c>
      <x:c r="CY55" s="117" t="n">
        <x:f>CX55+CY54</x:f>
      </x:c>
      <x:c r="CZ55" s="117" t="n">
        <x:f>CY55+CZ54</x:f>
      </x:c>
      <x:c r="DA55" s="117" t="n">
        <x:f>CZ55+DA54</x:f>
      </x:c>
      <x:c r="DB55" s="117" t="n">
        <x:f>DA55+DB54</x:f>
      </x:c>
      <x:c r="DC55" s="117" t="n">
        <x:f>DB55+DC54</x:f>
      </x:c>
      <x:c r="DD55" s="117" t="n">
        <x:f>DC55+DD54</x:f>
      </x:c>
      <x:c r="DE55" s="117" t="n">
        <x:f>DD55+DE54</x:f>
      </x:c>
      <x:c r="DF55" s="117" t="n">
        <x:f>DE55+DF54</x:f>
      </x:c>
      <x:c r="DG55" s="117" t="n">
        <x:f>DF55+DG54</x:f>
      </x:c>
      <x:c r="DH55" s="117" t="n">
        <x:f>DG55+DH54</x:f>
      </x:c>
      <x:c r="DI55" s="117" t="n">
        <x:f>DH55+DI54</x:f>
      </x:c>
      <x:c r="DJ55" s="117" t="n">
        <x:f>DI55+DJ54</x:f>
      </x:c>
      <x:c r="DK55" s="117" t="n">
        <x:f>DJ55+DK54</x:f>
      </x:c>
      <x:c r="DL55" s="117" t="n">
        <x:f>DK55+DL54</x:f>
      </x:c>
      <x:c r="DM55" s="117" t="n">
        <x:f>DL55+DM54</x:f>
      </x:c>
      <x:c r="DN55" s="117" t="n">
        <x:f>DM55+DN54</x:f>
      </x:c>
      <x:c r="DO55" s="117" t="n">
        <x:f>DN55+DO54</x:f>
      </x:c>
      <x:c r="DP55" s="117" t="n">
        <x:f>DO55+DP54</x:f>
      </x:c>
      <x:c r="DQ55" s="117" t="n">
        <x:f>DP55+DQ54</x:f>
      </x:c>
      <x:c r="DR55" s="117" t="n">
        <x:f>DQ55+DR54</x:f>
      </x:c>
      <x:c r="DS55" s="117" t="n">
        <x:f>DR55+DS54</x:f>
      </x:c>
      <x:c r="DT55" s="117" t="n">
        <x:f>DS55+DT54</x:f>
      </x:c>
      <x:c r="DU55" s="117" t="n">
        <x:f>DT55+DU54</x:f>
      </x:c>
      <x:c r="DV55" s="117" t="n">
        <x:f>DU55+DV54</x:f>
      </x:c>
      <x:c r="DW55" s="117" t="n">
        <x:f>DV55+DW54</x:f>
      </x:c>
      <x:c r="DX55" s="117" t="n">
        <x:f>DW55+DX54</x:f>
      </x:c>
      <x:c r="DY55" s="117" t="n">
        <x:f>DX55+DY54</x:f>
      </x:c>
      <x:c r="DZ55" s="117" t="n">
        <x:f>DY55+DZ54</x:f>
      </x:c>
      <x:c r="EA55" s="117" t="n">
        <x:f>DZ55+EA54</x:f>
      </x:c>
      <x:c r="EB55" s="117" t="n">
        <x:f>EA55+EB54</x:f>
      </x:c>
      <x:c r="EC55" s="117" t="n">
        <x:f>EB55+EC54</x:f>
      </x:c>
      <x:c r="ED55" s="117" t="n">
        <x:f>EC55+ED54</x:f>
      </x:c>
      <x:c r="EE55" s="117" t="n">
        <x:f>ED55+EE54</x:f>
      </x:c>
      <x:c r="EF55" s="117" t="n">
        <x:f>EE55+EF54</x:f>
      </x:c>
      <x:c r="EG55" s="117" t="n">
        <x:f>EF55+EG54</x:f>
      </x:c>
      <x:c r="EH55" s="117" t="n">
        <x:f>EG55+EH54</x:f>
      </x:c>
      <x:c r="EI55" s="117" t="n">
        <x:f>EH55+EI54</x:f>
      </x:c>
      <x:c r="EJ55" s="117" t="n">
        <x:f>EI55+EJ54</x:f>
      </x:c>
      <x:c r="EK55" s="117" t="n">
        <x:f>EJ55+EK54</x:f>
      </x:c>
      <x:c r="EL55" s="117" t="n">
        <x:f>EK55+EL54</x:f>
      </x:c>
      <x:c r="EM55" s="117" t="n">
        <x:f>EL55+EM54</x:f>
      </x:c>
      <x:c r="EN55" s="117" t="n">
        <x:f>EM55+EN54</x:f>
      </x:c>
      <x:c r="EO55" s="117" t="n">
        <x:f>EN55+EO54</x:f>
      </x:c>
      <x:c r="EP55" s="117" t="n">
        <x:f>EO55+EP54</x:f>
      </x:c>
      <x:c r="EQ55" s="117" t="n">
        <x:f>EP55+EQ54</x:f>
      </x:c>
      <x:c r="ER55" s="117" t="n">
        <x:f>EQ55+ER54</x:f>
      </x:c>
      <x:c r="ES55" s="117" t="n">
        <x:f>ER55+ES54</x:f>
      </x:c>
      <x:c r="ET55" s="117" t="n">
        <x:f>ES55+ET54</x:f>
      </x:c>
      <x:c r="EU55" s="117" t="n">
        <x:f>ET55+EU54</x:f>
      </x:c>
      <x:c r="EV55" s="117" t="n">
        <x:f>EU55+EV54</x:f>
      </x:c>
      <x:c r="EW55" s="117" t="n">
        <x:f>EV55+EW54</x:f>
      </x:c>
      <x:c r="EX55" s="117" t="n">
        <x:f>EW55+EX54</x:f>
      </x:c>
      <x:c r="EY55" s="117" t="n">
        <x:f>EX55+EY54</x:f>
      </x:c>
      <x:c r="EZ55" s="117" t="n">
        <x:f>EY55+EZ54</x:f>
      </x:c>
      <x:c r="FA55" s="117" t="n">
        <x:f>EZ55+FA54</x:f>
      </x:c>
      <x:c r="FB55" s="117" t="n">
        <x:f>FA55+FB54</x:f>
      </x:c>
      <x:c r="FC55" s="117" t="n">
        <x:f>FB55+FC54</x:f>
      </x:c>
      <x:c r="FD55" s="117" t="n">
        <x:f>FC55+FD54</x:f>
      </x:c>
      <x:c r="FE55" s="117" t="n">
        <x:f>FD55+FE54</x:f>
      </x:c>
      <x:c r="FF55" s="117" t="n">
        <x:f>FE55+FF54</x:f>
      </x:c>
      <x:c r="FG55" s="117" t="n">
        <x:f>FF55+FG54</x:f>
      </x:c>
      <x:c r="FH55" s="117" t="n">
        <x:f>FG55+FH54</x:f>
      </x:c>
      <x:c r="FI55" s="117" t="n">
        <x:f>FH55+FI54</x:f>
      </x:c>
      <x:c r="FJ55" s="117" t="n">
        <x:f>FI55+FJ54</x:f>
      </x:c>
      <x:c r="FK55" s="117" t="n">
        <x:f>FJ55+FK54</x:f>
      </x:c>
      <x:c r="FL55" s="117" t="n">
        <x:f>FK55+FL54</x:f>
      </x:c>
      <x:c r="FM55" s="117" t="n">
        <x:f>FL55+FM54</x:f>
      </x:c>
      <x:c r="FN55" s="117" t="n">
        <x:f>FM55+FN54</x:f>
      </x:c>
      <x:c r="FO55" s="117" t="n">
        <x:f>FN55+FO54</x:f>
      </x:c>
      <x:c r="FP55" s="117" t="n">
        <x:f>FO55+FP54</x:f>
      </x:c>
      <x:c r="FQ55" s="117" t="n">
        <x:f>FP55+FQ54</x:f>
      </x:c>
      <x:c r="FR55" s="117" t="n">
        <x:f>FQ55+FR54</x:f>
      </x:c>
      <x:c r="FS55" s="117" t="n">
        <x:f>FR55+FS54</x:f>
      </x:c>
      <x:c r="FT55" s="117" t="n">
        <x:f>FS55+FT54</x:f>
      </x:c>
      <x:c r="FU55" s="117" t="n">
        <x:f>FT55+FU54</x:f>
      </x:c>
      <x:c r="FV55" s="117" t="n">
        <x:f>FU55+FV54</x:f>
      </x:c>
      <x:c r="FW55" s="117" t="n">
        <x:f>FV55+FW54</x:f>
      </x:c>
      <x:c r="FX55" s="117" t="n">
        <x:f>FW55+FX54</x:f>
      </x:c>
      <x:c r="FY55" s="117" t="n">
        <x:f>FX55+FY54</x:f>
      </x:c>
      <x:c r="FZ55" s="117" t="n">
        <x:f>FY55+FZ54</x:f>
      </x:c>
      <x:c r="GA55" s="117" t="n">
        <x:f>FZ55+GA54</x:f>
      </x:c>
    </x:row>
    <x:row r="56">
      <x:c r="A56" t="str">
        <x:v>Собственные средства — расход</x:v>
      </x:c>
      <x:c r="B56">
        <x:f>SUM(D56:GA56)</x:f>
      </x:c>
      <x:c r="C56" t="str">
        <x:v>млн ₽</x:v>
      </x:c>
      <x:c r="D56" s="117">
        <x:f>MIN(MAX(0,'Вводные'!$B$85*'Вводные'!$AI$88),D33)</x:f>
      </x:c>
      <x:c r="E56" s="117">
        <x:f>MIN(MAX(0,D59),E33)</x:f>
      </x:c>
      <x:c r="F56" s="117">
        <x:f>MIN(MAX(0,E59),F33)</x:f>
      </x:c>
      <x:c r="G56" s="117">
        <x:f>MIN(MAX(0,F59),G33)</x:f>
      </x:c>
      <x:c r="H56" s="117">
        <x:f>MIN(MAX(0,G59),H33)</x:f>
      </x:c>
      <x:c r="I56" s="117">
        <x:f>MIN(MAX(0,H59),I33)</x:f>
      </x:c>
      <x:c r="J56" s="117">
        <x:f>MIN(MAX(0,I59),J33)</x:f>
      </x:c>
      <x:c r="K56" s="117">
        <x:f>MIN(MAX(0,J59),K33)</x:f>
      </x:c>
      <x:c r="L56" s="117">
        <x:f>MIN(MAX(0,K59),L33)</x:f>
      </x:c>
      <x:c r="M56" s="117">
        <x:f>MIN(MAX(0,L59),M33)</x:f>
      </x:c>
      <x:c r="N56" s="117">
        <x:f>MIN(MAX(0,M59),N33)</x:f>
      </x:c>
      <x:c r="O56" s="117">
        <x:f>MIN(MAX(0,N59),O33)</x:f>
      </x:c>
      <x:c r="P56" s="117">
        <x:f>MIN(MAX(0,O59),P33)</x:f>
      </x:c>
      <x:c r="Q56" s="117">
        <x:f>MIN(MAX(0,P59),Q33)</x:f>
      </x:c>
      <x:c r="R56" s="117">
        <x:f>MIN(MAX(0,Q59),R33)</x:f>
      </x:c>
      <x:c r="S56" s="117">
        <x:f>MIN(MAX(0,R59),S33)</x:f>
      </x:c>
      <x:c r="T56" s="117">
        <x:f>MIN(MAX(0,S59),T33)</x:f>
      </x:c>
      <x:c r="U56" s="117">
        <x:f>MIN(MAX(0,T59),U33)</x:f>
      </x:c>
      <x:c r="V56" s="117">
        <x:f>MIN(MAX(0,U59),V33)</x:f>
      </x:c>
      <x:c r="W56" s="117">
        <x:f>MIN(MAX(0,V59),W33)</x:f>
      </x:c>
      <x:c r="X56" s="117">
        <x:f>MIN(MAX(0,W59),X33)</x:f>
      </x:c>
      <x:c r="Y56" s="117">
        <x:f>MIN(MAX(0,X59),Y33)</x:f>
      </x:c>
      <x:c r="Z56" s="117">
        <x:f>MIN(MAX(0,Y59),Z33)</x:f>
      </x:c>
      <x:c r="AA56" s="117">
        <x:f>MIN(MAX(0,Z59),AA33)</x:f>
      </x:c>
      <x:c r="AB56" s="117">
        <x:f>MIN(MAX(0,AA59),AB33)</x:f>
      </x:c>
      <x:c r="AC56" s="117">
        <x:f>MIN(MAX(0,AB59),AC33)</x:f>
      </x:c>
      <x:c r="AD56" s="117">
        <x:f>MIN(MAX(0,AC59),AD33)</x:f>
      </x:c>
      <x:c r="AE56" s="117">
        <x:f>MIN(MAX(0,AD59),AE33)</x:f>
      </x:c>
      <x:c r="AF56" s="117">
        <x:f>MIN(MAX(0,AE59),AF33)</x:f>
      </x:c>
      <x:c r="AG56" s="117">
        <x:f>MIN(MAX(0,AF59),AG33)</x:f>
      </x:c>
      <x:c r="AH56" s="117">
        <x:f>MIN(MAX(0,AG59),AH33)</x:f>
      </x:c>
      <x:c r="AI56" s="117">
        <x:f>MIN(MAX(0,AH59),AI33)</x:f>
      </x:c>
      <x:c r="AJ56" s="117">
        <x:f>MIN(MAX(0,AI59),AJ33)</x:f>
      </x:c>
      <x:c r="AK56" s="117">
        <x:f>MIN(MAX(0,AJ59),AK33)</x:f>
      </x:c>
      <x:c r="AL56" s="117">
        <x:f>MIN(MAX(0,AK59),AL33)</x:f>
      </x:c>
      <x:c r="AM56" s="117">
        <x:f>MIN(MAX(0,AL59),AM33)</x:f>
      </x:c>
      <x:c r="AN56" s="117">
        <x:f>MIN(MAX(0,AM59),AN33)</x:f>
      </x:c>
      <x:c r="AO56" s="117">
        <x:f>MIN(MAX(0,AN59),AO33)</x:f>
      </x:c>
      <x:c r="AP56" s="117">
        <x:f>MIN(MAX(0,AO59),AP33)</x:f>
      </x:c>
      <x:c r="AQ56" s="117">
        <x:f>MIN(MAX(0,AP59),AQ33)</x:f>
      </x:c>
      <x:c r="AR56" s="117">
        <x:f>MIN(MAX(0,AQ59),AR33)</x:f>
      </x:c>
      <x:c r="AS56" s="117">
        <x:f>MIN(MAX(0,AR59),AS33)</x:f>
      </x:c>
      <x:c r="AT56" s="117">
        <x:f>MIN(MAX(0,AS59),AT33)</x:f>
      </x:c>
      <x:c r="AU56" s="117">
        <x:f>MIN(MAX(0,AT59),AU33)</x:f>
      </x:c>
      <x:c r="AV56" s="117">
        <x:f>MIN(MAX(0,AU59),AV33)</x:f>
      </x:c>
      <x:c r="AW56" s="117">
        <x:f>MIN(MAX(0,AV59),AW33)</x:f>
      </x:c>
      <x:c r="AX56" s="117">
        <x:f>MIN(MAX(0,AW59),AX33)</x:f>
      </x:c>
      <x:c r="AY56" s="117">
        <x:f>MIN(MAX(0,AX59),AY33)</x:f>
      </x:c>
      <x:c r="AZ56" s="117">
        <x:f>MIN(MAX(0,AY59),AZ33)</x:f>
      </x:c>
      <x:c r="BA56" s="117">
        <x:f>MIN(MAX(0,AZ59),BA33)</x:f>
      </x:c>
      <x:c r="BB56" s="117">
        <x:f>MIN(MAX(0,BA59),BB33)</x:f>
      </x:c>
      <x:c r="BC56" s="117">
        <x:f>MIN(MAX(0,BB59),BC33)</x:f>
      </x:c>
      <x:c r="BD56" s="117">
        <x:f>MIN(MAX(0,BC59),BD33)</x:f>
      </x:c>
      <x:c r="BE56" s="117">
        <x:f>MIN(MAX(0,BD59),BE33)</x:f>
      </x:c>
      <x:c r="BF56" s="117">
        <x:f>MIN(MAX(0,BE59),BF33)</x:f>
      </x:c>
      <x:c r="BG56" s="117">
        <x:f>MIN(MAX(0,BF59),BG33)</x:f>
      </x:c>
      <x:c r="BH56" s="117">
        <x:f>MIN(MAX(0,BG59),BH33)</x:f>
      </x:c>
      <x:c r="BI56" s="117">
        <x:f>MIN(MAX(0,BH59),BI33)</x:f>
      </x:c>
      <x:c r="BJ56" s="117">
        <x:f>MIN(MAX(0,BI59),BJ33)</x:f>
      </x:c>
      <x:c r="BK56" s="117">
        <x:f>MIN(MAX(0,BJ59),BK33)</x:f>
      </x:c>
      <x:c r="BL56" s="117">
        <x:f>MIN(MAX(0,BK59),BL33)</x:f>
      </x:c>
      <x:c r="BM56" s="117">
        <x:f>MIN(MAX(0,BL59),BM33)</x:f>
      </x:c>
      <x:c r="BN56" s="117">
        <x:f>MIN(MAX(0,BM59),BN33)</x:f>
      </x:c>
      <x:c r="BO56" s="117">
        <x:f>MIN(MAX(0,BN59),BO33)</x:f>
      </x:c>
      <x:c r="BP56" s="117">
        <x:f>MIN(MAX(0,BO59),BP33)</x:f>
      </x:c>
      <x:c r="BQ56" s="117">
        <x:f>MIN(MAX(0,BP59),BQ33)</x:f>
      </x:c>
      <x:c r="BR56" s="117">
        <x:f>MIN(MAX(0,BQ59),BR33)</x:f>
      </x:c>
      <x:c r="BS56" s="117">
        <x:f>MIN(MAX(0,BR59),BS33)</x:f>
      </x:c>
      <x:c r="BT56" s="117">
        <x:f>MIN(MAX(0,BS59),BT33)</x:f>
      </x:c>
      <x:c r="BU56" s="117">
        <x:f>MIN(MAX(0,BT59),BU33)</x:f>
      </x:c>
      <x:c r="BV56" s="117">
        <x:f>MIN(MAX(0,BU59),BV33)</x:f>
      </x:c>
      <x:c r="BW56" s="117">
        <x:f>MIN(MAX(0,BV59),BW33)</x:f>
      </x:c>
      <x:c r="BX56" s="117">
        <x:f>MIN(MAX(0,BW59),BX33)</x:f>
      </x:c>
      <x:c r="BY56" s="117">
        <x:f>MIN(MAX(0,BX59),BY33)</x:f>
      </x:c>
      <x:c r="BZ56" s="117">
        <x:f>MIN(MAX(0,BY59),BZ33)</x:f>
      </x:c>
      <x:c r="CA56" s="117">
        <x:f>MIN(MAX(0,BZ59),CA33)</x:f>
      </x:c>
      <x:c r="CB56" s="117">
        <x:f>MIN(MAX(0,CA59),CB33)</x:f>
      </x:c>
      <x:c r="CC56" s="117">
        <x:f>MIN(MAX(0,CB59),CC33)</x:f>
      </x:c>
      <x:c r="CD56" s="117">
        <x:f>MIN(MAX(0,CC59),CD33)</x:f>
      </x:c>
      <x:c r="CE56" s="117">
        <x:f>MIN(MAX(0,CD59),CE33)</x:f>
      </x:c>
      <x:c r="CF56" s="117">
        <x:f>MIN(MAX(0,CE59),CF33)</x:f>
      </x:c>
      <x:c r="CG56" s="117">
        <x:f>MIN(MAX(0,CF59),CG33)</x:f>
      </x:c>
      <x:c r="CH56" s="117">
        <x:f>MIN(MAX(0,CG59),CH33)</x:f>
      </x:c>
      <x:c r="CI56" s="117">
        <x:f>MIN(MAX(0,CH59),CI33)</x:f>
      </x:c>
      <x:c r="CJ56" s="117">
        <x:f>MIN(MAX(0,CI59),CJ33)</x:f>
      </x:c>
      <x:c r="CK56" s="117">
        <x:f>MIN(MAX(0,CJ59),CK33)</x:f>
      </x:c>
      <x:c r="CL56" s="117">
        <x:f>MIN(MAX(0,CK59),CL33)</x:f>
      </x:c>
      <x:c r="CM56" s="117">
        <x:f>MIN(MAX(0,CL59),CM33)</x:f>
      </x:c>
      <x:c r="CN56" s="117">
        <x:f>MIN(MAX(0,CM59),CN33)</x:f>
      </x:c>
      <x:c r="CO56" s="117">
        <x:f>MIN(MAX(0,CN59),CO33)</x:f>
      </x:c>
      <x:c r="CP56" s="117">
        <x:f>MIN(MAX(0,CO59),CP33)</x:f>
      </x:c>
      <x:c r="CQ56" s="117">
        <x:f>MIN(MAX(0,CP59),CQ33)</x:f>
      </x:c>
      <x:c r="CR56" s="117">
        <x:f>MIN(MAX(0,CQ59),CR33)</x:f>
      </x:c>
      <x:c r="CS56" s="117">
        <x:f>MIN(MAX(0,CR59),CS33)</x:f>
      </x:c>
      <x:c r="CT56" s="117">
        <x:f>MIN(MAX(0,CS59),CT33)</x:f>
      </x:c>
      <x:c r="CU56" s="117">
        <x:f>MIN(MAX(0,CT59),CU33)</x:f>
      </x:c>
      <x:c r="CV56" s="117">
        <x:f>MIN(MAX(0,CU59),CV33)</x:f>
      </x:c>
      <x:c r="CW56" s="117">
        <x:f>MIN(MAX(0,CV59),CW33)</x:f>
      </x:c>
      <x:c r="CX56" s="117">
        <x:f>MIN(MAX(0,CW59),CX33)</x:f>
      </x:c>
      <x:c r="CY56" s="117">
        <x:f>MIN(MAX(0,CX59),CY33)</x:f>
      </x:c>
      <x:c r="CZ56" s="117">
        <x:f>MIN(MAX(0,CY59),CZ33)</x:f>
      </x:c>
      <x:c r="DA56" s="117">
        <x:f>MIN(MAX(0,CZ59),DA33)</x:f>
      </x:c>
      <x:c r="DB56" s="117">
        <x:f>MIN(MAX(0,DA59),DB33)</x:f>
      </x:c>
      <x:c r="DC56" s="117">
        <x:f>MIN(MAX(0,DB59),DC33)</x:f>
      </x:c>
      <x:c r="DD56" s="117">
        <x:f>MIN(MAX(0,DC59),DD33)</x:f>
      </x:c>
      <x:c r="DE56" s="117">
        <x:f>MIN(MAX(0,DD59),DE33)</x:f>
      </x:c>
      <x:c r="DF56" s="117">
        <x:f>MIN(MAX(0,DE59),DF33)</x:f>
      </x:c>
      <x:c r="DG56" s="117">
        <x:f>MIN(MAX(0,DF59),DG33)</x:f>
      </x:c>
      <x:c r="DH56" s="117">
        <x:f>MIN(MAX(0,DG59),DH33)</x:f>
      </x:c>
      <x:c r="DI56" s="117">
        <x:f>MIN(MAX(0,DH59),DI33)</x:f>
      </x:c>
      <x:c r="DJ56" s="117">
        <x:f>MIN(MAX(0,DI59),DJ33)</x:f>
      </x:c>
      <x:c r="DK56" s="117">
        <x:f>MIN(MAX(0,DJ59),DK33)</x:f>
      </x:c>
      <x:c r="DL56" s="117">
        <x:f>MIN(MAX(0,DK59),DL33)</x:f>
      </x:c>
      <x:c r="DM56" s="117">
        <x:f>MIN(MAX(0,DL59),DM33)</x:f>
      </x:c>
      <x:c r="DN56" s="117">
        <x:f>MIN(MAX(0,DM59),DN33)</x:f>
      </x:c>
      <x:c r="DO56" s="117">
        <x:f>MIN(MAX(0,DN59),DO33)</x:f>
      </x:c>
      <x:c r="DP56" s="117">
        <x:f>MIN(MAX(0,DO59),DP33)</x:f>
      </x:c>
      <x:c r="DQ56" s="117">
        <x:f>MIN(MAX(0,DP59),DQ33)</x:f>
      </x:c>
      <x:c r="DR56" s="117">
        <x:f>MIN(MAX(0,DQ59),DR33)</x:f>
      </x:c>
      <x:c r="DS56" s="117">
        <x:f>MIN(MAX(0,DR59),DS33)</x:f>
      </x:c>
      <x:c r="DT56" s="117">
        <x:f>MIN(MAX(0,DS59),DT33)</x:f>
      </x:c>
      <x:c r="DU56" s="117">
        <x:f>MIN(MAX(0,DT59),DU33)</x:f>
      </x:c>
      <x:c r="DV56" s="117">
        <x:f>MIN(MAX(0,DU59),DV33)</x:f>
      </x:c>
      <x:c r="DW56" s="117">
        <x:f>MIN(MAX(0,DV59),DW33)</x:f>
      </x:c>
      <x:c r="DX56" s="117">
        <x:f>MIN(MAX(0,DW59),DX33)</x:f>
      </x:c>
      <x:c r="DY56" s="117">
        <x:f>MIN(MAX(0,DX59),DY33)</x:f>
      </x:c>
      <x:c r="DZ56" s="117">
        <x:f>MIN(MAX(0,DY59),DZ33)</x:f>
      </x:c>
      <x:c r="EA56" s="117">
        <x:f>MIN(MAX(0,DZ59),EA33)</x:f>
      </x:c>
      <x:c r="EB56" s="117">
        <x:f>MIN(MAX(0,EA59),EB33)</x:f>
      </x:c>
      <x:c r="EC56" s="117">
        <x:f>MIN(MAX(0,EB59),EC33)</x:f>
      </x:c>
      <x:c r="ED56" s="117">
        <x:f>MIN(MAX(0,EC59),ED33)</x:f>
      </x:c>
      <x:c r="EE56" s="117">
        <x:f>MIN(MAX(0,ED59),EE33)</x:f>
      </x:c>
      <x:c r="EF56" s="117">
        <x:f>MIN(MAX(0,EE59),EF33)</x:f>
      </x:c>
      <x:c r="EG56" s="117">
        <x:f>MIN(MAX(0,EF59),EG33)</x:f>
      </x:c>
      <x:c r="EH56" s="117">
        <x:f>MIN(MAX(0,EG59),EH33)</x:f>
      </x:c>
      <x:c r="EI56" s="117">
        <x:f>MIN(MAX(0,EH59),EI33)</x:f>
      </x:c>
      <x:c r="EJ56" s="117">
        <x:f>MIN(MAX(0,EI59),EJ33)</x:f>
      </x:c>
      <x:c r="EK56" s="117">
        <x:f>MIN(MAX(0,EJ59),EK33)</x:f>
      </x:c>
      <x:c r="EL56" s="117">
        <x:f>MIN(MAX(0,EK59),EL33)</x:f>
      </x:c>
      <x:c r="EM56" s="117">
        <x:f>MIN(MAX(0,EL59),EM33)</x:f>
      </x:c>
      <x:c r="EN56" s="117">
        <x:f>MIN(MAX(0,EM59),EN33)</x:f>
      </x:c>
      <x:c r="EO56" s="117">
        <x:f>MIN(MAX(0,EN59),EO33)</x:f>
      </x:c>
      <x:c r="EP56" s="117">
        <x:f>MIN(MAX(0,EO59),EP33)</x:f>
      </x:c>
      <x:c r="EQ56" s="117">
        <x:f>MIN(MAX(0,EP59),EQ33)</x:f>
      </x:c>
      <x:c r="ER56" s="117">
        <x:f>MIN(MAX(0,EQ59),ER33)</x:f>
      </x:c>
      <x:c r="ES56" s="117">
        <x:f>MIN(MAX(0,ER59),ES33)</x:f>
      </x:c>
      <x:c r="ET56" s="117">
        <x:f>MIN(MAX(0,ES59),ET33)</x:f>
      </x:c>
      <x:c r="EU56" s="117">
        <x:f>MIN(MAX(0,ET59),EU33)</x:f>
      </x:c>
      <x:c r="EV56" s="117">
        <x:f>MIN(MAX(0,EU59),EV33)</x:f>
      </x:c>
      <x:c r="EW56" s="117">
        <x:f>MIN(MAX(0,EV59),EW33)</x:f>
      </x:c>
      <x:c r="EX56" s="117">
        <x:f>MIN(MAX(0,EW59),EX33)</x:f>
      </x:c>
      <x:c r="EY56" s="117">
        <x:f>MIN(MAX(0,EX59),EY33)</x:f>
      </x:c>
      <x:c r="EZ56" s="117">
        <x:f>MIN(MAX(0,EY59),EZ33)</x:f>
      </x:c>
      <x:c r="FA56" s="117">
        <x:f>MIN(MAX(0,EZ59),FA33)</x:f>
      </x:c>
      <x:c r="FB56" s="117">
        <x:f>MIN(MAX(0,FA59),FB33)</x:f>
      </x:c>
      <x:c r="FC56" s="117">
        <x:f>MIN(MAX(0,FB59),FC33)</x:f>
      </x:c>
      <x:c r="FD56" s="117">
        <x:f>MIN(MAX(0,FC59),FD33)</x:f>
      </x:c>
      <x:c r="FE56" s="117">
        <x:f>MIN(MAX(0,FD59),FE33)</x:f>
      </x:c>
      <x:c r="FF56" s="117">
        <x:f>MIN(MAX(0,FE59),FF33)</x:f>
      </x:c>
      <x:c r="FG56" s="117">
        <x:f>MIN(MAX(0,FF59),FG33)</x:f>
      </x:c>
      <x:c r="FH56" s="117">
        <x:f>MIN(MAX(0,FG59),FH33)</x:f>
      </x:c>
      <x:c r="FI56" s="117">
        <x:f>MIN(MAX(0,FH59),FI33)</x:f>
      </x:c>
      <x:c r="FJ56" s="117">
        <x:f>MIN(MAX(0,FI59),FJ33)</x:f>
      </x:c>
      <x:c r="FK56" s="117">
        <x:f>MIN(MAX(0,FJ59),FK33)</x:f>
      </x:c>
      <x:c r="FL56" s="117">
        <x:f>MIN(MAX(0,FK59),FL33)</x:f>
      </x:c>
      <x:c r="FM56" s="117">
        <x:f>MIN(MAX(0,FL59),FM33)</x:f>
      </x:c>
      <x:c r="FN56" s="117">
        <x:f>MIN(MAX(0,FM59),FN33)</x:f>
      </x:c>
      <x:c r="FO56" s="117">
        <x:f>MIN(MAX(0,FN59),FO33)</x:f>
      </x:c>
      <x:c r="FP56" s="117">
        <x:f>MIN(MAX(0,FO59),FP33)</x:f>
      </x:c>
      <x:c r="FQ56" s="117">
        <x:f>MIN(MAX(0,FP59),FQ33)</x:f>
      </x:c>
      <x:c r="FR56" s="117">
        <x:f>MIN(MAX(0,FQ59),FR33)</x:f>
      </x:c>
      <x:c r="FS56" s="117">
        <x:f>MIN(MAX(0,FR59),FS33)</x:f>
      </x:c>
      <x:c r="FT56" s="117">
        <x:f>MIN(MAX(0,FS59),FT33)</x:f>
      </x:c>
      <x:c r="FU56" s="117">
        <x:f>MIN(MAX(0,FT59),FU33)</x:f>
      </x:c>
      <x:c r="FV56" s="117">
        <x:f>MIN(MAX(0,FU59),FV33)</x:f>
      </x:c>
      <x:c r="FW56" s="117">
        <x:f>MIN(MAX(0,FV59),FW33)</x:f>
      </x:c>
      <x:c r="FX56" s="117">
        <x:f>MIN(MAX(0,FW59),FX33)</x:f>
      </x:c>
      <x:c r="FY56" s="117">
        <x:f>MIN(MAX(0,FX59),FY33)</x:f>
      </x:c>
      <x:c r="FZ56" s="117">
        <x:f>MIN(MAX(0,FY59),FZ33)</x:f>
      </x:c>
      <x:c r="GA56" s="117">
        <x:f>MIN(MAX(0,FZ59),GA33)</x:f>
      </x:c>
    </x:row>
    <x:row r="57">
      <x:c r="A57" t="inlineStr">
        <x:is>
          <x:t>Комиссии выдачи (БРИДЖ и резервирование ПФ)</x:t>
        </x:is>
      </x:c>
      <x:c r="B57">
        <x:f>SUM(D57:GA57)</x:f>
      </x:c>
      <x:c r="C57" t="str">
        <x:v>млн ₽</x:v>
      </x:c>
      <x:c r="D57" s="117">
        <x:f>IF(AND(YEAR(D$3)=YEAR($B$6),MONTH(D$3)=MONTH($B$6),$B$5=1),('CAPEX'!$B$14+'CAPEX'!$B$17+'CAPEX'!$B$18+IF('Вводные'!$B$37="Денежная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компенсация",'Вводные'!$B$56*'Вводные'!$R$88*'Вводные'!$H$6,0)))*'Вводные'!$B$30,0)+IF(AND(YEAR(D$3)=YEAR($B$7),MONTH(D$3)=MONTH($B$7),$B$5=1),'Вводные'!$B$26*'Вводные'!$V$88*'Вводные'!$B$30,0)</x:f>
      </x:c>
      <x:c r="E57" s="117">
        <x:f>IF(AND(YEAR(E$3)=YEAR($B$6),MONTH(E$3)=MONTH($B$6),$B$5=1),('CAPEX'!$B$14+'CAPEX'!$B$17+'CAPEX'!$B$18+IF('Вводные'!$B$37="Денежная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компенсация",'Вводные'!$B$56*'Вводные'!$R$88*'Вводные'!$H$6,0)))*'Вводные'!$B$30,0)+IF(AND(YEAR(E$3)=YEAR($B$7),MONTH(E$3)=MONTH($B$7),$B$5=1),'Вводные'!$B$26*'Вводные'!$V$88*'Вводные'!$B$30,0)</x:f>
      </x:c>
      <x:c r="F57" s="117">
        <x:f>IF(AND(YEAR(F$3)=YEAR($B$6),MONTH(F$3)=MONTH($B$6),$B$5=1),('CAPEX'!$B$14+'CAPEX'!$B$17+'CAPEX'!$B$18+IF('Вводные'!$B$37="Денежная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компенсация",'Вводные'!$B$56*'Вводные'!$R$88*'Вводные'!$H$6,0)))*'Вводные'!$B$30,0)+IF(AND(YEAR(F$3)=YEAR($B$7),MONTH(F$3)=MONTH($B$7),$B$5=1),'Вводные'!$B$26*'Вводные'!$V$88*'Вводные'!$B$30,0)</x:f>
      </x:c>
      <x:c r="G57" s="117">
        <x:f>IF(AND(YEAR(G$3)=YEAR($B$6),MONTH(G$3)=MONTH($B$6),$B$5=1),('CAPEX'!$B$14+'CAPEX'!$B$17+'CAPEX'!$B$18+IF('Вводные'!$B$37="Денежная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компенсация",'Вводные'!$B$56*'Вводные'!$R$88*'Вводные'!$H$6,0)))*'Вводные'!$B$30,0)+IF(AND(YEAR(G$3)=YEAR($B$7),MONTH(G$3)=MONTH($B$7),$B$5=1),'Вводные'!$B$26*'Вводные'!$V$88*'Вводные'!$B$30,0)</x:f>
      </x:c>
      <x:c r="H57" s="117">
        <x:f>IF(AND(YEAR(H$3)=YEAR($B$6),MONTH(H$3)=MONTH($B$6),$B$5=1),('CAPEX'!$B$14+'CAPEX'!$B$17+'CAPEX'!$B$18+IF('Вводные'!$B$37="Денежная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компенсация",'Вводные'!$B$56*'Вводные'!$R$88*'Вводные'!$H$6,0)))*'Вводные'!$B$30,0)+IF(AND(YEAR(H$3)=YEAR($B$7),MONTH(H$3)=MONTH($B$7),$B$5=1),'Вводные'!$B$26*'Вводные'!$V$88*'Вводные'!$B$30,0)</x:f>
      </x:c>
      <x:c r="I57" s="117">
        <x:f>IF(AND(YEAR(I$3)=YEAR($B$6),MONTH(I$3)=MONTH($B$6),$B$5=1),('CAPEX'!$B$14+'CAPEX'!$B$17+'CAPEX'!$B$18+IF('Вводные'!$B$37="Денежная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компенсация",'Вводные'!$B$56*'Вводные'!$R$88*'Вводные'!$H$6,0)))*'Вводные'!$B$30,0)+IF(AND(YEAR(I$3)=YEAR($B$7),MONTH(I$3)=MONTH($B$7),$B$5=1),'Вводные'!$B$26*'Вводные'!$V$88*'Вводные'!$B$30,0)</x:f>
      </x:c>
      <x:c r="J57" s="117">
        <x:f>IF(AND(YEAR(J$3)=YEAR($B$6),MONTH(J$3)=MONTH($B$6),$B$5=1),('CAPEX'!$B$14+'CAPEX'!$B$17+'CAPEX'!$B$18+IF('Вводные'!$B$37="Денежная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компенсация",'Вводные'!$B$56*'Вводные'!$R$88*'Вводные'!$H$6,0)))*'Вводные'!$B$30,0)+IF(AND(YEAR(J$3)=YEAR($B$7),MONTH(J$3)=MONTH($B$7),$B$5=1),'Вводные'!$B$26*'Вводные'!$V$88*'Вводные'!$B$30,0)</x:f>
      </x:c>
      <x:c r="K57" s="117">
        <x:f>IF(AND(YEAR(K$3)=YEAR($B$6),MONTH(K$3)=MONTH($B$6),$B$5=1),('CAPEX'!$B$14+'CAPEX'!$B$17+'CAPEX'!$B$18+IF('Вводные'!$B$37="Денежная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компенсация",'Вводные'!$B$56*'Вводные'!$R$88*'Вводные'!$H$6,0)))*'Вводные'!$B$30,0)+IF(AND(YEAR(K$3)=YEAR($B$7),MONTH(K$3)=MONTH($B$7),$B$5=1),'Вводные'!$B$26*'Вводные'!$V$88*'Вводные'!$B$30,0)</x:f>
      </x:c>
      <x:c r="L57" s="117">
        <x:f>IF(AND(YEAR(L$3)=YEAR($B$6),MONTH(L$3)=MONTH($B$6),$B$5=1),('CAPEX'!$B$14+'CAPEX'!$B$17+'CAPEX'!$B$18+IF('Вводные'!$B$37="Денежная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компенсация",'Вводные'!$B$56*'Вводные'!$R$88*'Вводные'!$H$6,0)))*'Вводные'!$B$30,0)+IF(AND(YEAR(L$3)=YEAR($B$7),MONTH(L$3)=MONTH($B$7),$B$5=1),'Вводные'!$B$26*'Вводные'!$V$88*'Вводные'!$B$30,0)</x:f>
      </x:c>
      <x:c r="M57" s="117">
        <x:f>IF(AND(YEAR(M$3)=YEAR($B$6),MONTH(M$3)=MONTH($B$6),$B$5=1),('CAPEX'!$B$14+'CAPEX'!$B$17+'CAPEX'!$B$18+IF('Вводные'!$B$37="Денежная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компенсация",'Вводные'!$B$56*'Вводные'!$R$88*'Вводные'!$H$6,0)))*'Вводные'!$B$30,0)+IF(AND(YEAR(M$3)=YEAR($B$7),MONTH(M$3)=MONTH($B$7),$B$5=1),'Вводные'!$B$26*'Вводные'!$V$88*'Вводные'!$B$30,0)</x:f>
      </x:c>
      <x:c r="N57" s="117">
        <x:f>IF(AND(YEAR(N$3)=YEAR($B$6),MONTH(N$3)=MONTH($B$6),$B$5=1),('CAPEX'!$B$14+'CAPEX'!$B$17+'CAPEX'!$B$18+IF('Вводные'!$B$37="Денежная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компенсация",'Вводные'!$B$56*'Вводные'!$R$88*'Вводные'!$H$6,0)))*'Вводные'!$B$30,0)+IF(AND(YEAR(N$3)=YEAR($B$7),MONTH(N$3)=MONTH($B$7),$B$5=1),'Вводные'!$B$26*'Вводные'!$V$88*'Вводные'!$B$30,0)</x:f>
      </x:c>
      <x:c r="O57" s="117">
        <x:f>IF(AND(YEAR(O$3)=YEAR($B$6),MONTH(O$3)=MONTH($B$6),$B$5=1),('CAPEX'!$B$14+'CAPEX'!$B$17+'CAPEX'!$B$18+IF('Вводные'!$B$37="Денежная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компенсация",'Вводные'!$B$56*'Вводные'!$R$88*'Вводные'!$H$6,0)))*'Вводные'!$B$30,0)+IF(AND(YEAR(O$3)=YEAR($B$7),MONTH(O$3)=MONTH($B$7),$B$5=1),'Вводные'!$B$26*'Вводные'!$V$88*'Вводные'!$B$30,0)</x:f>
      </x:c>
      <x:c r="P57" s="117">
        <x:f>IF(AND(YEAR(P$3)=YEAR($B$6),MONTH(P$3)=MONTH($B$6),$B$5=1),('CAPEX'!$B$14+'CAPEX'!$B$17+'CAPEX'!$B$18+IF('Вводные'!$B$37="Денежная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компенсация",'Вводные'!$B$56*'Вводные'!$R$88*'Вводные'!$H$6,0)))*'Вводные'!$B$30,0)+IF(AND(YEAR(P$3)=YEAR($B$7),MONTH(P$3)=MONTH($B$7),$B$5=1),'Вводные'!$B$26*'Вводные'!$V$88*'Вводные'!$B$30,0)</x:f>
      </x:c>
      <x:c r="Q57" s="117">
        <x:f>IF(AND(YEAR(Q$3)=YEAR($B$6),MONTH(Q$3)=MONTH($B$6),$B$5=1),('CAPEX'!$B$14+'CAPEX'!$B$17+'CAPEX'!$B$18+IF('Вводные'!$B$37="Денежная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компенсация",'Вводные'!$B$56*'Вводные'!$R$88*'Вводные'!$H$6,0)))*'Вводные'!$B$30,0)+IF(AND(YEAR(Q$3)=YEAR($B$7),MONTH(Q$3)=MONTH($B$7),$B$5=1),'Вводные'!$B$26*'Вводные'!$V$88*'Вводные'!$B$30,0)</x:f>
      </x:c>
      <x:c r="R57" s="117">
        <x:f>IF(AND(YEAR(R$3)=YEAR($B$6),MONTH(R$3)=MONTH($B$6),$B$5=1),('CAPEX'!$B$14+'CAPEX'!$B$17+'CAPEX'!$B$18+IF('Вводные'!$B$37="Денежная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компенсация",'Вводные'!$B$56*'Вводные'!$R$88*'Вводные'!$H$6,0)))*'Вводные'!$B$30,0)+IF(AND(YEAR(R$3)=YEAR($B$7),MONTH(R$3)=MONTH($B$7),$B$5=1),'Вводные'!$B$26*'Вводные'!$V$88*'Вводные'!$B$30,0)</x:f>
      </x:c>
      <x:c r="S57" s="117">
        <x:f>IF(AND(YEAR(S$3)=YEAR($B$6),MONTH(S$3)=MONTH($B$6),$B$5=1),('CAPEX'!$B$14+'CAPEX'!$B$17+'CAPEX'!$B$18+IF('Вводные'!$B$37="Денежная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компенсация",'Вводные'!$B$56*'Вводные'!$R$88*'Вводные'!$H$6,0)))*'Вводные'!$B$30,0)+IF(AND(YEAR(S$3)=YEAR($B$7),MONTH(S$3)=MONTH($B$7),$B$5=1),'Вводные'!$B$26*'Вводные'!$V$88*'Вводные'!$B$30,0)</x:f>
      </x:c>
      <x:c r="T57" s="117">
        <x:f>IF(AND(YEAR(T$3)=YEAR($B$6),MONTH(T$3)=MONTH($B$6),$B$5=1),('CAPEX'!$B$14+'CAPEX'!$B$17+'CAPEX'!$B$18+IF('Вводные'!$B$37="Денежная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компенсация",'Вводные'!$B$56*'Вводные'!$R$88*'Вводные'!$H$6,0)))*'Вводные'!$B$30,0)+IF(AND(YEAR(T$3)=YEAR($B$7),MONTH(T$3)=MONTH($B$7),$B$5=1),'Вводные'!$B$26*'Вводные'!$V$88*'Вводные'!$B$30,0)</x:f>
      </x:c>
      <x:c r="U57" s="117">
        <x:f>IF(AND(YEAR(U$3)=YEAR($B$6),MONTH(U$3)=MONTH($B$6),$B$5=1),('CAPEX'!$B$14+'CAPEX'!$B$17+'CAPEX'!$B$18+IF('Вводные'!$B$37="Денежная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компенсация",'Вводные'!$B$56*'Вводные'!$R$88*'Вводные'!$H$6,0)))*'Вводные'!$B$30,0)+IF(AND(YEAR(U$3)=YEAR($B$7),MONTH(U$3)=MONTH($B$7),$B$5=1),'Вводные'!$B$26*'Вводные'!$V$88*'Вводные'!$B$30,0)</x:f>
      </x:c>
      <x:c r="V57" s="117">
        <x:f>IF(AND(YEAR(V$3)=YEAR($B$6),MONTH(V$3)=MONTH($B$6),$B$5=1),('CAPEX'!$B$14+'CAPEX'!$B$17+'CAPEX'!$B$18+IF('Вводные'!$B$37="Денежная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компенсация",'Вводные'!$B$56*'Вводные'!$R$88*'Вводные'!$H$6,0)))*'Вводные'!$B$30,0)+IF(AND(YEAR(V$3)=YEAR($B$7),MONTH(V$3)=MONTH($B$7),$B$5=1),'Вводные'!$B$26*'Вводные'!$V$88*'Вводные'!$B$30,0)</x:f>
      </x:c>
      <x:c r="W57" s="117">
        <x:f>IF(AND(YEAR(W$3)=YEAR($B$6),MONTH(W$3)=MONTH($B$6),$B$5=1),('CAPEX'!$B$14+'CAPEX'!$B$17+'CAPEX'!$B$18+IF('Вводные'!$B$37="Денежная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компенсация",'Вводные'!$B$56*'Вводные'!$R$88*'Вводные'!$H$6,0)))*'Вводные'!$B$30,0)+IF(AND(YEAR(W$3)=YEAR($B$7),MONTH(W$3)=MONTH($B$7),$B$5=1),'Вводные'!$B$26*'Вводные'!$V$88*'Вводные'!$B$30,0)</x:f>
      </x:c>
      <x:c r="X57" s="117">
        <x:f>IF(AND(YEAR(X$3)=YEAR($B$6),MONTH(X$3)=MONTH($B$6),$B$5=1),('CAPEX'!$B$14+'CAPEX'!$B$17+'CAPEX'!$B$18+IF('Вводные'!$B$37="Денежная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компенсация",'Вводные'!$B$56*'Вводные'!$R$88*'Вводные'!$H$6,0)))*'Вводные'!$B$30,0)+IF(AND(YEAR(X$3)=YEAR($B$7),MONTH(X$3)=MONTH($B$7),$B$5=1),'Вводные'!$B$26*'Вводные'!$V$88*'Вводные'!$B$30,0)</x:f>
      </x:c>
      <x:c r="Y57" s="117">
        <x:f>IF(AND(YEAR(Y$3)=YEAR($B$6),MONTH(Y$3)=MONTH($B$6),$B$5=1),('CAPEX'!$B$14+'CAPEX'!$B$17+'CAPEX'!$B$18+IF('Вводные'!$B$37="Денежная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компенсация",'Вводные'!$B$56*'Вводные'!$R$88*'Вводные'!$H$6,0)))*'Вводные'!$B$30,0)+IF(AND(YEAR(Y$3)=YEAR($B$7),MONTH(Y$3)=MONTH($B$7),$B$5=1),'Вводные'!$B$26*'Вводные'!$V$88*'Вводные'!$B$30,0)</x:f>
      </x:c>
      <x:c r="Z57" s="117">
        <x:f>IF(AND(YEAR(Z$3)=YEAR($B$6),MONTH(Z$3)=MONTH($B$6),$B$5=1),('CAPEX'!$B$14+'CAPEX'!$B$17+'CAPEX'!$B$18+IF('Вводные'!$B$37="Денежная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компенсация",'Вводные'!$B$56*'Вводные'!$R$88*'Вводные'!$H$6,0)))*'Вводные'!$B$30,0)+IF(AND(YEAR(Z$3)=YEAR($B$7),MONTH(Z$3)=MONTH($B$7),$B$5=1),'Вводные'!$B$26*'Вводные'!$V$88*'Вводные'!$B$30,0)</x:f>
      </x:c>
      <x:c r="AA57" s="117">
        <x:f>IF(AND(YEAR(AA$3)=YEAR($B$6),MONTH(AA$3)=MONTH($B$6),$B$5=1),('CAPEX'!$B$14+'CAPEX'!$B$17+'CAPEX'!$B$18+IF('Вводные'!$B$37="Денежная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компенсация",'Вводные'!$B$56*'Вводные'!$R$88*'Вводные'!$H$6,0)))*'Вводные'!$B$30,0)+IF(AND(YEAR(AA$3)=YEAR($B$7),MONTH(AA$3)=MONTH($B$7),$B$5=1),'Вводные'!$B$26*'Вводные'!$V$88*'Вводные'!$B$30,0)</x:f>
      </x:c>
      <x:c r="AB57" s="117">
        <x:f>IF(AND(YEAR(AB$3)=YEAR($B$6),MONTH(AB$3)=MONTH($B$6),$B$5=1),('CAPEX'!$B$14+'CAPEX'!$B$17+'CAPEX'!$B$18+IF('Вводные'!$B$37="Денежная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компенсация",'Вводные'!$B$56*'Вводные'!$R$88*'Вводные'!$H$6,0)))*'Вводные'!$B$30,0)+IF(AND(YEAR(AB$3)=YEAR($B$7),MONTH(AB$3)=MONTH($B$7),$B$5=1),'Вводные'!$B$26*'Вводные'!$V$88*'Вводные'!$B$30,0)</x:f>
      </x:c>
      <x:c r="AC57" s="117">
        <x:f>IF(AND(YEAR(AC$3)=YEAR($B$6),MONTH(AC$3)=MONTH($B$6),$B$5=1),('CAPEX'!$B$14+'CAPEX'!$B$17+'CAPEX'!$B$18+IF('Вводные'!$B$37="Денежная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компенсация",'Вводные'!$B$56*'Вводные'!$R$88*'Вводные'!$H$6,0)))*'Вводные'!$B$30,0)+IF(AND(YEAR(AC$3)=YEAR($B$7),MONTH(AC$3)=MONTH($B$7),$B$5=1),'Вводные'!$B$26*'Вводные'!$V$88*'Вводные'!$B$30,0)</x:f>
      </x:c>
      <x:c r="AD57" s="117">
        <x:f>IF(AND(YEAR(AD$3)=YEAR($B$6),MONTH(AD$3)=MONTH($B$6),$B$5=1),('CAPEX'!$B$14+'CAPEX'!$B$17+'CAPEX'!$B$18+IF('Вводные'!$B$37="Денежная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компенсация",'Вводные'!$B$56*'Вводные'!$R$88*'Вводные'!$H$6,0)))*'Вводные'!$B$30,0)+IF(AND(YEAR(AD$3)=YEAR($B$7),MONTH(AD$3)=MONTH($B$7),$B$5=1),'Вводные'!$B$26*'Вводные'!$V$88*'Вводные'!$B$30,0)</x:f>
      </x:c>
      <x:c r="AE57" s="117">
        <x:f>IF(AND(YEAR(AE$3)=YEAR($B$6),MONTH(AE$3)=MONTH($B$6),$B$5=1),('CAPEX'!$B$14+'CAPEX'!$B$17+'CAPEX'!$B$18+IF('Вводные'!$B$37="Денежная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компенсация",'Вводные'!$B$56*'Вводные'!$R$88*'Вводные'!$H$6,0)))*'Вводные'!$B$30,0)+IF(AND(YEAR(AE$3)=YEAR($B$7),MONTH(AE$3)=MONTH($B$7),$B$5=1),'Вводные'!$B$26*'Вводные'!$V$88*'Вводные'!$B$30,0)</x:f>
      </x:c>
      <x:c r="AF57" s="117">
        <x:f>IF(AND(YEAR(AF$3)=YEAR($B$6),MONTH(AF$3)=MONTH($B$6),$B$5=1),('CAPEX'!$B$14+'CAPEX'!$B$17+'CAPEX'!$B$18+IF('Вводные'!$B$37="Денежная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компенсация",'Вводные'!$B$56*'Вводные'!$R$88*'Вводные'!$H$6,0)))*'Вводные'!$B$30,0)+IF(AND(YEAR(AF$3)=YEAR($B$7),MONTH(AF$3)=MONTH($B$7),$B$5=1),'Вводные'!$B$26*'Вводные'!$V$88*'Вводные'!$B$30,0)</x:f>
      </x:c>
      <x:c r="AG57" s="117">
        <x:f>IF(AND(YEAR(AG$3)=YEAR($B$6),MONTH(AG$3)=MONTH($B$6),$B$5=1),('CAPEX'!$B$14+'CAPEX'!$B$17+'CAPEX'!$B$18+IF('Вводные'!$B$37="Денежная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компенсация",'Вводные'!$B$56*'Вводные'!$R$88*'Вводные'!$H$6,0)))*'Вводные'!$B$30,0)+IF(AND(YEAR(AG$3)=YEAR($B$7),MONTH(AG$3)=MONTH($B$7),$B$5=1),'Вводные'!$B$26*'Вводные'!$V$88*'Вводные'!$B$30,0)</x:f>
      </x:c>
      <x:c r="AH57" s="117">
        <x:f>IF(AND(YEAR(AH$3)=YEAR($B$6),MONTH(AH$3)=MONTH($B$6),$B$5=1),('CAPEX'!$B$14+'CAPEX'!$B$17+'CAPEX'!$B$18+IF('Вводные'!$B$37="Денежная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компенсация",'Вводные'!$B$56*'Вводные'!$R$88*'Вводные'!$H$6,0)))*'Вводные'!$B$30,0)+IF(AND(YEAR(AH$3)=YEAR($B$7),MONTH(AH$3)=MONTH($B$7),$B$5=1),'Вводные'!$B$26*'Вводные'!$V$88*'Вводные'!$B$30,0)</x:f>
      </x:c>
      <x:c r="AI57" s="117">
        <x:f>IF(AND(YEAR(AI$3)=YEAR($B$6),MONTH(AI$3)=MONTH($B$6),$B$5=1),('CAPEX'!$B$14+'CAPEX'!$B$17+'CAPEX'!$B$18+IF('Вводные'!$B$37="Денежная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компенсация",'Вводные'!$B$56*'Вводные'!$R$88*'Вводные'!$H$6,0)))*'Вводные'!$B$30,0)+IF(AND(YEAR(AI$3)=YEAR($B$7),MONTH(AI$3)=MONTH($B$7),$B$5=1),'Вводные'!$B$26*'Вводные'!$V$88*'Вводные'!$B$30,0)</x:f>
      </x:c>
      <x:c r="AJ57" s="117">
        <x:f>IF(AND(YEAR(AJ$3)=YEAR($B$6),MONTH(AJ$3)=MONTH($B$6),$B$5=1),('CAPEX'!$B$14+'CAPEX'!$B$17+'CAPEX'!$B$18+IF('Вводные'!$B$37="Денежная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компенсация",'Вводные'!$B$56*'Вводные'!$R$88*'Вводные'!$H$6,0)))*'Вводные'!$B$30,0)+IF(AND(YEAR(AJ$3)=YEAR($B$7),MONTH(AJ$3)=MONTH($B$7),$B$5=1),'Вводные'!$B$26*'Вводные'!$V$88*'Вводные'!$B$30,0)</x:f>
      </x:c>
      <x:c r="AK57" s="117">
        <x:f>IF(AND(YEAR(AK$3)=YEAR($B$6),MONTH(AK$3)=MONTH($B$6),$B$5=1),('CAPEX'!$B$14+'CAPEX'!$B$17+'CAPEX'!$B$18+IF('Вводные'!$B$37="Денежная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компенсация",'Вводные'!$B$56*'Вводные'!$R$88*'Вводные'!$H$6,0)))*'Вводные'!$B$30,0)+IF(AND(YEAR(AK$3)=YEAR($B$7),MONTH(AK$3)=MONTH($B$7),$B$5=1),'Вводные'!$B$26*'Вводные'!$V$88*'Вводные'!$B$30,0)</x:f>
      </x:c>
      <x:c r="AL57" s="117">
        <x:f>IF(AND(YEAR(AL$3)=YEAR($B$6),MONTH(AL$3)=MONTH($B$6),$B$5=1),('CAPEX'!$B$14+'CAPEX'!$B$17+'CAPEX'!$B$18+IF('Вводные'!$B$37="Денежная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компенсация",'Вводные'!$B$56*'Вводные'!$R$88*'Вводные'!$H$6,0)))*'Вводные'!$B$30,0)+IF(AND(YEAR(AL$3)=YEAR($B$7),MONTH(AL$3)=MONTH($B$7),$B$5=1),'Вводные'!$B$26*'Вводные'!$V$88*'Вводные'!$B$30,0)</x:f>
      </x:c>
      <x:c r="AM57" s="117">
        <x:f>IF(AND(YEAR(AM$3)=YEAR($B$6),MONTH(AM$3)=MONTH($B$6),$B$5=1),('CAPEX'!$B$14+'CAPEX'!$B$17+'CAPEX'!$B$18+IF('Вводные'!$B$37="Денежная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компенсация",'Вводные'!$B$56*'Вводные'!$R$88*'Вводные'!$H$6,0)))*'Вводные'!$B$30,0)+IF(AND(YEAR(AM$3)=YEAR($B$7),MONTH(AM$3)=MONTH($B$7),$B$5=1),'Вводные'!$B$26*'Вводные'!$V$88*'Вводные'!$B$30,0)</x:f>
      </x:c>
      <x:c r="AN57" s="117">
        <x:f>IF(AND(YEAR(AN$3)=YEAR($B$6),MONTH(AN$3)=MONTH($B$6),$B$5=1),('CAPEX'!$B$14+'CAPEX'!$B$17+'CAPEX'!$B$18+IF('Вводные'!$B$37="Денежная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компенсация",'Вводные'!$B$56*'Вводные'!$R$88*'Вводные'!$H$6,0)))*'Вводные'!$B$30,0)+IF(AND(YEAR(AN$3)=YEAR($B$7),MONTH(AN$3)=MONTH($B$7),$B$5=1),'Вводные'!$B$26*'Вводные'!$V$88*'Вводные'!$B$30,0)</x:f>
      </x:c>
      <x:c r="AO57" s="117">
        <x:f>IF(AND(YEAR(AO$3)=YEAR($B$6),MONTH(AO$3)=MONTH($B$6),$B$5=1),('CAPEX'!$B$14+'CAPEX'!$B$17+'CAPEX'!$B$18+IF('Вводные'!$B$37="Денежная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компенсация",'Вводные'!$B$56*'Вводные'!$R$88*'Вводные'!$H$6,0)))*'Вводные'!$B$30,0)+IF(AND(YEAR(AO$3)=YEAR($B$7),MONTH(AO$3)=MONTH($B$7),$B$5=1),'Вводные'!$B$26*'Вводные'!$V$88*'Вводные'!$B$30,0)</x:f>
      </x:c>
      <x:c r="AP57" s="117">
        <x:f>IF(AND(YEAR(AP$3)=YEAR($B$6),MONTH(AP$3)=MONTH($B$6),$B$5=1),('CAPEX'!$B$14+'CAPEX'!$B$17+'CAPEX'!$B$18+IF('Вводные'!$B$37="Денежная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компенсация",'Вводные'!$B$56*'Вводные'!$R$88*'Вводные'!$H$6,0)))*'Вводные'!$B$30,0)+IF(AND(YEAR(AP$3)=YEAR($B$7),MONTH(AP$3)=MONTH($B$7),$B$5=1),'Вводные'!$B$26*'Вводные'!$V$88*'Вводные'!$B$30,0)</x:f>
      </x:c>
      <x:c r="AQ57" s="117">
        <x:f>IF(AND(YEAR(AQ$3)=YEAR($B$6),MONTH(AQ$3)=MONTH($B$6),$B$5=1),('CAPEX'!$B$14+'CAPEX'!$B$17+'CAPEX'!$B$18+IF('Вводные'!$B$37="Денежная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компенсация",'Вводные'!$B$56*'Вводные'!$R$88*'Вводные'!$H$6,0)))*'Вводные'!$B$30,0)+IF(AND(YEAR(AQ$3)=YEAR($B$7),MONTH(AQ$3)=MONTH($B$7),$B$5=1),'Вводные'!$B$26*'Вводные'!$V$88*'Вводные'!$B$30,0)</x:f>
      </x:c>
      <x:c r="AR57" s="117">
        <x:f>IF(AND(YEAR(AR$3)=YEAR($B$6),MONTH(AR$3)=MONTH($B$6),$B$5=1),('CAPEX'!$B$14+'CAPEX'!$B$17+'CAPEX'!$B$18+IF('Вводные'!$B$37="Денежная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компенсация",'Вводные'!$B$56*'Вводные'!$R$88*'Вводные'!$H$6,0)))*'Вводные'!$B$30,0)+IF(AND(YEAR(AR$3)=YEAR($B$7),MONTH(AR$3)=MONTH($B$7),$B$5=1),'Вводные'!$B$26*'Вводные'!$V$88*'Вводные'!$B$30,0)</x:f>
      </x:c>
      <x:c r="AS57" s="117">
        <x:f>IF(AND(YEAR(AS$3)=YEAR($B$6),MONTH(AS$3)=MONTH($B$6),$B$5=1),('CAPEX'!$B$14+'CAPEX'!$B$17+'CAPEX'!$B$18+IF('Вводные'!$B$37="Денежная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компенсация",'Вводные'!$B$56*'Вводные'!$R$88*'Вводные'!$H$6,0)))*'Вводные'!$B$30,0)+IF(AND(YEAR(AS$3)=YEAR($B$7),MONTH(AS$3)=MONTH($B$7),$B$5=1),'Вводные'!$B$26*'Вводные'!$V$88*'Вводные'!$B$30,0)</x:f>
      </x:c>
      <x:c r="AT57" s="117">
        <x:f>IF(AND(YEAR(AT$3)=YEAR($B$6),MONTH(AT$3)=MONTH($B$6),$B$5=1),('CAPEX'!$B$14+'CAPEX'!$B$17+'CAPEX'!$B$18+IF('Вводные'!$B$37="Денежная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компенсация",'Вводные'!$B$56*'Вводные'!$R$88*'Вводные'!$H$6,0)))*'Вводные'!$B$30,0)+IF(AND(YEAR(AT$3)=YEAR($B$7),MONTH(AT$3)=MONTH($B$7),$B$5=1),'Вводные'!$B$26*'Вводные'!$V$88*'Вводные'!$B$30,0)</x:f>
      </x:c>
      <x:c r="AU57" s="117">
        <x:f>IF(AND(YEAR(AU$3)=YEAR($B$6),MONTH(AU$3)=MONTH($B$6),$B$5=1),('CAPEX'!$B$14+'CAPEX'!$B$17+'CAPEX'!$B$18+IF('Вводные'!$B$37="Денежная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компенсация",'Вводные'!$B$56*'Вводные'!$R$88*'Вводные'!$H$6,0)))*'Вводные'!$B$30,0)+IF(AND(YEAR(AU$3)=YEAR($B$7),MONTH(AU$3)=MONTH($B$7),$B$5=1),'Вводные'!$B$26*'Вводные'!$V$88*'Вводные'!$B$30,0)</x:f>
      </x:c>
      <x:c r="AV57" s="117">
        <x:f>IF(AND(YEAR(AV$3)=YEAR($B$6),MONTH(AV$3)=MONTH($B$6),$B$5=1),('CAPEX'!$B$14+'CAPEX'!$B$17+'CAPEX'!$B$18+IF('Вводные'!$B$37="Денежная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компенсация",'Вводные'!$B$56*'Вводные'!$R$88*'Вводные'!$H$6,0)))*'Вводные'!$B$30,0)+IF(AND(YEAR(AV$3)=YEAR($B$7),MONTH(AV$3)=MONTH($B$7),$B$5=1),'Вводные'!$B$26*'Вводные'!$V$88*'Вводные'!$B$30,0)</x:f>
      </x:c>
      <x:c r="AW57" s="117">
        <x:f>IF(AND(YEAR(AW$3)=YEAR($B$6),MONTH(AW$3)=MONTH($B$6),$B$5=1),('CAPEX'!$B$14+'CAPEX'!$B$17+'CAPEX'!$B$18+IF('Вводные'!$B$37="Денежная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компенсация",'Вводные'!$B$56*'Вводные'!$R$88*'Вводные'!$H$6,0)))*'Вводные'!$B$30,0)+IF(AND(YEAR(AW$3)=YEAR($B$7),MONTH(AW$3)=MONTH($B$7),$B$5=1),'Вводные'!$B$26*'Вводные'!$V$88*'Вводные'!$B$30,0)</x:f>
      </x:c>
      <x:c r="AX57" s="117">
        <x:f>IF(AND(YEAR(AX$3)=YEAR($B$6),MONTH(AX$3)=MONTH($B$6),$B$5=1),('CAPEX'!$B$14+'CAPEX'!$B$17+'CAPEX'!$B$18+IF('Вводные'!$B$37="Денежная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компенсация",'Вводные'!$B$56*'Вводные'!$R$88*'Вводные'!$H$6,0)))*'Вводные'!$B$30,0)+IF(AND(YEAR(AX$3)=YEAR($B$7),MONTH(AX$3)=MONTH($B$7),$B$5=1),'Вводные'!$B$26*'Вводные'!$V$88*'Вводные'!$B$30,0)</x:f>
      </x:c>
      <x:c r="AY57" s="117">
        <x:f>IF(AND(YEAR(AY$3)=YEAR($B$6),MONTH(AY$3)=MONTH($B$6),$B$5=1),('CAPEX'!$B$14+'CAPEX'!$B$17+'CAPEX'!$B$18+IF('Вводные'!$B$37="Денежная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компенсация",'Вводные'!$B$56*'Вводные'!$R$88*'Вводные'!$H$6,0)))*'Вводные'!$B$30,0)+IF(AND(YEAR(AY$3)=YEAR($B$7),MONTH(AY$3)=MONTH($B$7),$B$5=1),'Вводные'!$B$26*'Вводные'!$V$88*'Вводные'!$B$30,0)</x:f>
      </x:c>
      <x:c r="AZ57" s="117">
        <x:f>IF(AND(YEAR(AZ$3)=YEAR($B$6),MONTH(AZ$3)=MONTH($B$6),$B$5=1),('CAPEX'!$B$14+'CAPEX'!$B$17+'CAPEX'!$B$18+IF('Вводные'!$B$37="Денежная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компенсация",'Вводные'!$B$56*'Вводные'!$R$88*'Вводные'!$H$6,0)))*'Вводные'!$B$30,0)+IF(AND(YEAR(AZ$3)=YEAR($B$7),MONTH(AZ$3)=MONTH($B$7),$B$5=1),'Вводные'!$B$26*'Вводные'!$V$88*'Вводные'!$B$30,0)</x:f>
      </x:c>
      <x:c r="BA57" s="117">
        <x:f>IF(AND(YEAR(BA$3)=YEAR($B$6),MONTH(BA$3)=MONTH($B$6),$B$5=1),('CAPEX'!$B$14+'CAPEX'!$B$17+'CAPEX'!$B$18+IF('Вводные'!$B$37="Денежная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компенсация",'Вводные'!$B$56*'Вводные'!$R$88*'Вводные'!$H$6,0)))*'Вводные'!$B$30,0)+IF(AND(YEAR(BA$3)=YEAR($B$7),MONTH(BA$3)=MONTH($B$7),$B$5=1),'Вводные'!$B$26*'Вводные'!$V$88*'Вводные'!$B$30,0)</x:f>
      </x:c>
      <x:c r="BB57" s="117">
        <x:f>IF(AND(YEAR(BB$3)=YEAR($B$6),MONTH(BB$3)=MONTH($B$6),$B$5=1),('CAPEX'!$B$14+'CAPEX'!$B$17+'CAPEX'!$B$18+IF('Вводные'!$B$37="Денежная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компенсация",'Вводные'!$B$56*'Вводные'!$R$88*'Вводные'!$H$6,0)))*'Вводные'!$B$30,0)+IF(AND(YEAR(BB$3)=YEAR($B$7),MONTH(BB$3)=MONTH($B$7),$B$5=1),'Вводные'!$B$26*'Вводные'!$V$88*'Вводные'!$B$30,0)</x:f>
      </x:c>
      <x:c r="BC57" s="117">
        <x:f>IF(AND(YEAR(BC$3)=YEAR($B$6),MONTH(BC$3)=MONTH($B$6),$B$5=1),('CAPEX'!$B$14+'CAPEX'!$B$17+'CAPEX'!$B$18+IF('Вводные'!$B$37="Денежная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компенсация",'Вводные'!$B$56*'Вводные'!$R$88*'Вводные'!$H$6,0)))*'Вводные'!$B$30,0)+IF(AND(YEAR(BC$3)=YEAR($B$7),MONTH(BC$3)=MONTH($B$7),$B$5=1),'Вводные'!$B$26*'Вводные'!$V$88*'Вводные'!$B$30,0)</x:f>
      </x:c>
      <x:c r="BD57" s="117">
        <x:f>IF(AND(YEAR(BD$3)=YEAR($B$6),MONTH(BD$3)=MONTH($B$6),$B$5=1),('CAPEX'!$B$14+'CAPEX'!$B$17+'CAPEX'!$B$18+IF('Вводные'!$B$37="Денежная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компенсация",'Вводные'!$B$56*'Вводные'!$R$88*'Вводные'!$H$6,0)))*'Вводные'!$B$30,0)+IF(AND(YEAR(BD$3)=YEAR($B$7),MONTH(BD$3)=MONTH($B$7),$B$5=1),'Вводные'!$B$26*'Вводные'!$V$88*'Вводные'!$B$30,0)</x:f>
      </x:c>
      <x:c r="BE57" s="117">
        <x:f>IF(AND(YEAR(BE$3)=YEAR($B$6),MONTH(BE$3)=MONTH($B$6),$B$5=1),('CAPEX'!$B$14+'CAPEX'!$B$17+'CAPEX'!$B$18+IF('Вводные'!$B$37="Денежная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компенсация",'Вводные'!$B$56*'Вводные'!$R$88*'Вводные'!$H$6,0)))*'Вводные'!$B$30,0)+IF(AND(YEAR(BE$3)=YEAR($B$7),MONTH(BE$3)=MONTH($B$7),$B$5=1),'Вводные'!$B$26*'Вводные'!$V$88*'Вводные'!$B$30,0)</x:f>
      </x:c>
      <x:c r="BF57" s="117">
        <x:f>IF(AND(YEAR(BF$3)=YEAR($B$6),MONTH(BF$3)=MONTH($B$6),$B$5=1),('CAPEX'!$B$14+'CAPEX'!$B$17+'CAPEX'!$B$18+IF('Вводные'!$B$37="Денежная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компенсация",'Вводные'!$B$56*'Вводные'!$R$88*'Вводные'!$H$6,0)))*'Вводные'!$B$30,0)+IF(AND(YEAR(BF$3)=YEAR($B$7),MONTH(BF$3)=MONTH($B$7),$B$5=1),'Вводные'!$B$26*'Вводные'!$V$88*'Вводные'!$B$30,0)</x:f>
      </x:c>
      <x:c r="BG57" s="117">
        <x:f>IF(AND(YEAR(BG$3)=YEAR($B$6),MONTH(BG$3)=MONTH($B$6),$B$5=1),('CAPEX'!$B$14+'CAPEX'!$B$17+'CAPEX'!$B$18+IF('Вводные'!$B$37="Денежная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компенсация",'Вводные'!$B$56*'Вводные'!$R$88*'Вводные'!$H$6,0)))*'Вводные'!$B$30,0)+IF(AND(YEAR(BG$3)=YEAR($B$7),MONTH(BG$3)=MONTH($B$7),$B$5=1),'Вводные'!$B$26*'Вводные'!$V$88*'Вводные'!$B$30,0)</x:f>
      </x:c>
      <x:c r="BH57" s="117">
        <x:f>IF(AND(YEAR(BH$3)=YEAR($B$6),MONTH(BH$3)=MONTH($B$6),$B$5=1),('CAPEX'!$B$14+'CAPEX'!$B$17+'CAPEX'!$B$18+IF('Вводные'!$B$37="Денежная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компенсация",'Вводные'!$B$56*'Вводные'!$R$88*'Вводные'!$H$6,0)))*'Вводные'!$B$30,0)+IF(AND(YEAR(BH$3)=YEAR($B$7),MONTH(BH$3)=MONTH($B$7),$B$5=1),'Вводные'!$B$26*'Вводные'!$V$88*'Вводные'!$B$30,0)</x:f>
      </x:c>
      <x:c r="BI57" s="117">
        <x:f>IF(AND(YEAR(BI$3)=YEAR($B$6),MONTH(BI$3)=MONTH($B$6),$B$5=1),('CAPEX'!$B$14+'CAPEX'!$B$17+'CAPEX'!$B$18+IF('Вводные'!$B$37="Денежная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компенсация",'Вводные'!$B$56*'Вводные'!$R$88*'Вводные'!$H$6,0)))*'Вводные'!$B$30,0)+IF(AND(YEAR(BI$3)=YEAR($B$7),MONTH(BI$3)=MONTH($B$7),$B$5=1),'Вводные'!$B$26*'Вводные'!$V$88*'Вводные'!$B$30,0)</x:f>
      </x:c>
      <x:c r="BJ57" s="117">
        <x:f>IF(AND(YEAR(BJ$3)=YEAR($B$6),MONTH(BJ$3)=MONTH($B$6),$B$5=1),('CAPEX'!$B$14+'CAPEX'!$B$17+'CAPEX'!$B$18+IF('Вводные'!$B$37="Денежная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компенсация",'Вводные'!$B$56*'Вводные'!$R$88*'Вводные'!$H$6,0)))*'Вводные'!$B$30,0)+IF(AND(YEAR(BJ$3)=YEAR($B$7),MONTH(BJ$3)=MONTH($B$7),$B$5=1),'Вводные'!$B$26*'Вводные'!$V$88*'Вводные'!$B$30,0)</x:f>
      </x:c>
      <x:c r="BK57" s="117">
        <x:f>IF(AND(YEAR(BK$3)=YEAR($B$6),MONTH(BK$3)=MONTH($B$6),$B$5=1),('CAPEX'!$B$14+'CAPEX'!$B$17+'CAPEX'!$B$18+IF('Вводные'!$B$37="Денежная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компенсация",'Вводные'!$B$56*'Вводные'!$R$88*'Вводные'!$H$6,0)))*'Вводные'!$B$30,0)+IF(AND(YEAR(BK$3)=YEAR($B$7),MONTH(BK$3)=MONTH($B$7),$B$5=1),'Вводные'!$B$26*'Вводные'!$V$88*'Вводные'!$B$30,0)</x:f>
      </x:c>
      <x:c r="BL57" s="117">
        <x:f>IF(AND(YEAR(BL$3)=YEAR($B$6),MONTH(BL$3)=MONTH($B$6),$B$5=1),('CAPEX'!$B$14+'CAPEX'!$B$17+'CAPEX'!$B$18+IF('Вводные'!$B$37="Денежная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компенсация",'Вводные'!$B$56*'Вводные'!$R$88*'Вводные'!$H$6,0)))*'Вводные'!$B$30,0)+IF(AND(YEAR(BL$3)=YEAR($B$7),MONTH(BL$3)=MONTH($B$7),$B$5=1),'Вводные'!$B$26*'Вводные'!$V$88*'Вводные'!$B$30,0)</x:f>
      </x:c>
      <x:c r="BM57" s="117">
        <x:f>IF(AND(YEAR(BM$3)=YEAR($B$6),MONTH(BM$3)=MONTH($B$6),$B$5=1),('CAPEX'!$B$14+'CAPEX'!$B$17+'CAPEX'!$B$18+IF('Вводные'!$B$37="Денежная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компенсация",'Вводные'!$B$56*'Вводные'!$R$88*'Вводные'!$H$6,0)))*'Вводные'!$B$30,0)+IF(AND(YEAR(BM$3)=YEAR($B$7),MONTH(BM$3)=MONTH($B$7),$B$5=1),'Вводные'!$B$26*'Вводные'!$V$88*'Вводные'!$B$30,0)</x:f>
      </x:c>
      <x:c r="BN57" s="117">
        <x:f>IF(AND(YEAR(BN$3)=YEAR($B$6),MONTH(BN$3)=MONTH($B$6),$B$5=1),('CAPEX'!$B$14+'CAPEX'!$B$17+'CAPEX'!$B$18+IF('Вводные'!$B$37="Денежная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компенсация",'Вводные'!$B$56*'Вводные'!$R$88*'Вводные'!$H$6,0)))*'Вводные'!$B$30,0)+IF(AND(YEAR(BN$3)=YEAR($B$7),MONTH(BN$3)=MONTH($B$7),$B$5=1),'Вводные'!$B$26*'Вводные'!$V$88*'Вводные'!$B$30,0)</x:f>
      </x:c>
      <x:c r="BO57" s="117">
        <x:f>IF(AND(YEAR(BO$3)=YEAR($B$6),MONTH(BO$3)=MONTH($B$6),$B$5=1),('CAPEX'!$B$14+'CAPEX'!$B$17+'CAPEX'!$B$18+IF('Вводные'!$B$37="Денежная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компенсация",'Вводные'!$B$56*'Вводные'!$R$88*'Вводные'!$H$6,0)))*'Вводные'!$B$30,0)+IF(AND(YEAR(BO$3)=YEAR($B$7),MONTH(BO$3)=MONTH($B$7),$B$5=1),'Вводные'!$B$26*'Вводные'!$V$88*'Вводные'!$B$30,0)</x:f>
      </x:c>
      <x:c r="BP57" s="117">
        <x:f>IF(AND(YEAR(BP$3)=YEAR($B$6),MONTH(BP$3)=MONTH($B$6),$B$5=1),('CAPEX'!$B$14+'CAPEX'!$B$17+'CAPEX'!$B$18+IF('Вводные'!$B$37="Денежная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компенсация",'Вводные'!$B$56*'Вводные'!$R$88*'Вводные'!$H$6,0)))*'Вводные'!$B$30,0)+IF(AND(YEAR(BP$3)=YEAR($B$7),MONTH(BP$3)=MONTH($B$7),$B$5=1),'Вводные'!$B$26*'Вводные'!$V$88*'Вводные'!$B$30,0)</x:f>
      </x:c>
      <x:c r="BQ57" s="117">
        <x:f>IF(AND(YEAR(BQ$3)=YEAR($B$6),MONTH(BQ$3)=MONTH($B$6),$B$5=1),('CAPEX'!$B$14+'CAPEX'!$B$17+'CAPEX'!$B$18+IF('Вводные'!$B$37="Денежная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компенсация",'Вводные'!$B$56*'Вводные'!$R$88*'Вводные'!$H$6,0)))*'Вводные'!$B$30,0)+IF(AND(YEAR(BQ$3)=YEAR($B$7),MONTH(BQ$3)=MONTH($B$7),$B$5=1),'Вводные'!$B$26*'Вводные'!$V$88*'Вводные'!$B$30,0)</x:f>
      </x:c>
      <x:c r="BR57" s="117">
        <x:f>IF(AND(YEAR(BR$3)=YEAR($B$6),MONTH(BR$3)=MONTH($B$6),$B$5=1),('CAPEX'!$B$14+'CAPEX'!$B$17+'CAPEX'!$B$18+IF('Вводные'!$B$37="Денежная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компенсация",'Вводные'!$B$56*'Вводные'!$R$88*'Вводные'!$H$6,0)))*'Вводные'!$B$30,0)+IF(AND(YEAR(BR$3)=YEAR($B$7),MONTH(BR$3)=MONTH($B$7),$B$5=1),'Вводные'!$B$26*'Вводные'!$V$88*'Вводные'!$B$30,0)</x:f>
      </x:c>
      <x:c r="BS57" s="117">
        <x:f>IF(AND(YEAR(BS$3)=YEAR($B$6),MONTH(BS$3)=MONTH($B$6),$B$5=1),('CAPEX'!$B$14+'CAPEX'!$B$17+'CAPEX'!$B$18+IF('Вводные'!$B$37="Денежная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компенсация",'Вводные'!$B$56*'Вводные'!$R$88*'Вводные'!$H$6,0)))*'Вводные'!$B$30,0)+IF(AND(YEAR(BS$3)=YEAR($B$7),MONTH(BS$3)=MONTH($B$7),$B$5=1),'Вводные'!$B$26*'Вводные'!$V$88*'Вводные'!$B$30,0)</x:f>
      </x:c>
      <x:c r="BT57" s="117">
        <x:f>IF(AND(YEAR(BT$3)=YEAR($B$6),MONTH(BT$3)=MONTH($B$6),$B$5=1),('CAPEX'!$B$14+'CAPEX'!$B$17+'CAPEX'!$B$18+IF('Вводные'!$B$37="Денежная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компенсация",'Вводные'!$B$56*'Вводные'!$R$88*'Вводные'!$H$6,0)))*'Вводные'!$B$30,0)+IF(AND(YEAR(BT$3)=YEAR($B$7),MONTH(BT$3)=MONTH($B$7),$B$5=1),'Вводные'!$B$26*'Вводные'!$V$88*'Вводные'!$B$30,0)</x:f>
      </x:c>
      <x:c r="BU57" s="117">
        <x:f>IF(AND(YEAR(BU$3)=YEAR($B$6),MONTH(BU$3)=MONTH($B$6),$B$5=1),('CAPEX'!$B$14+'CAPEX'!$B$17+'CAPEX'!$B$18+IF('Вводные'!$B$37="Денежная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компенсация",'Вводные'!$B$56*'Вводные'!$R$88*'Вводные'!$H$6,0)))*'Вводные'!$B$30,0)+IF(AND(YEAR(BU$3)=YEAR($B$7),MONTH(BU$3)=MONTH($B$7),$B$5=1),'Вводные'!$B$26*'Вводные'!$V$88*'Вводные'!$B$30,0)</x:f>
      </x:c>
      <x:c r="BV57" s="117">
        <x:f>IF(AND(YEAR(BV$3)=YEAR($B$6),MONTH(BV$3)=MONTH($B$6),$B$5=1),('CAPEX'!$B$14+'CAPEX'!$B$17+'CAPEX'!$B$18+IF('Вводные'!$B$37="Денежная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компенсация",'Вводные'!$B$56*'Вводные'!$R$88*'Вводные'!$H$6,0)))*'Вводные'!$B$30,0)+IF(AND(YEAR(BV$3)=YEAR($B$7),MONTH(BV$3)=MONTH($B$7),$B$5=1),'Вводные'!$B$26*'Вводные'!$V$88*'Вводные'!$B$30,0)</x:f>
      </x:c>
      <x:c r="BW57" s="117">
        <x:f>IF(AND(YEAR(BW$3)=YEAR($B$6),MONTH(BW$3)=MONTH($B$6),$B$5=1),('CAPEX'!$B$14+'CAPEX'!$B$17+'CAPEX'!$B$18+IF('Вводные'!$B$37="Денежная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компенсация",'Вводные'!$B$56*'Вводные'!$R$88*'Вводные'!$H$6,0)))*'Вводные'!$B$30,0)+IF(AND(YEAR(BW$3)=YEAR($B$7),MONTH(BW$3)=MONTH($B$7),$B$5=1),'Вводные'!$B$26*'Вводные'!$V$88*'Вводные'!$B$30,0)</x:f>
      </x:c>
      <x:c r="BX57" s="117">
        <x:f>IF(AND(YEAR(BX$3)=YEAR($B$6),MONTH(BX$3)=MONTH($B$6),$B$5=1),('CAPEX'!$B$14+'CAPEX'!$B$17+'CAPEX'!$B$18+IF('Вводные'!$B$37="Денежная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компенсация",'Вводные'!$B$56*'Вводные'!$R$88*'Вводные'!$H$6,0)))*'Вводные'!$B$30,0)+IF(AND(YEAR(BX$3)=YEAR($B$7),MONTH(BX$3)=MONTH($B$7),$B$5=1),'Вводные'!$B$26*'Вводные'!$V$88*'Вводные'!$B$30,0)</x:f>
      </x:c>
      <x:c r="BY57" s="117">
        <x:f>IF(AND(YEAR(BY$3)=YEAR($B$6),MONTH(BY$3)=MONTH($B$6),$B$5=1),('CAPEX'!$B$14+'CAPEX'!$B$17+'CAPEX'!$B$18+IF('Вводные'!$B$37="Денежная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компенсация",'Вводные'!$B$56*'Вводные'!$R$88*'Вводные'!$H$6,0)))*'Вводные'!$B$30,0)+IF(AND(YEAR(BY$3)=YEAR($B$7),MONTH(BY$3)=MONTH($B$7),$B$5=1),'Вводные'!$B$26*'Вводные'!$V$88*'Вводные'!$B$30,0)</x:f>
      </x:c>
      <x:c r="BZ57" s="117">
        <x:f>IF(AND(YEAR(BZ$3)=YEAR($B$6),MONTH(BZ$3)=MONTH($B$6),$B$5=1),('CAPEX'!$B$14+'CAPEX'!$B$17+'CAPEX'!$B$18+IF('Вводные'!$B$37="Денежная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компенсация",'Вводные'!$B$56*'Вводные'!$R$88*'Вводные'!$H$6,0)))*'Вводные'!$B$30,0)+IF(AND(YEAR(BZ$3)=YEAR($B$7),MONTH(BZ$3)=MONTH($B$7),$B$5=1),'Вводные'!$B$26*'Вводные'!$V$88*'Вводные'!$B$30,0)</x:f>
      </x:c>
      <x:c r="CA57" s="117">
        <x:f>IF(AND(YEAR(CA$3)=YEAR($B$6),MONTH(CA$3)=MONTH($B$6),$B$5=1),('CAPEX'!$B$14+'CAPEX'!$B$17+'CAPEX'!$B$18+IF('Вводные'!$B$37="Денежная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компенсация",'Вводные'!$B$56*'Вводные'!$R$88*'Вводные'!$H$6,0)))*'Вводные'!$B$30,0)+IF(AND(YEAR(CA$3)=YEAR($B$7),MONTH(CA$3)=MONTH($B$7),$B$5=1),'Вводные'!$B$26*'Вводные'!$V$88*'Вводные'!$B$30,0)</x:f>
      </x:c>
      <x:c r="CB57" s="117">
        <x:f>IF(AND(YEAR(CB$3)=YEAR($B$6),MONTH(CB$3)=MONTH($B$6),$B$5=1),('CAPEX'!$B$14+'CAPEX'!$B$17+'CAPEX'!$B$18+IF('Вводные'!$B$37="Денежная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компенсация",'Вводные'!$B$56*'Вводные'!$R$88*'Вводные'!$H$6,0)))*'Вводные'!$B$30,0)+IF(AND(YEAR(CB$3)=YEAR($B$7),MONTH(CB$3)=MONTH($B$7),$B$5=1),'Вводные'!$B$26*'Вводные'!$V$88*'Вводные'!$B$30,0)</x:f>
      </x:c>
      <x:c r="CC57" s="117">
        <x:f>IF(AND(YEAR(CC$3)=YEAR($B$6),MONTH(CC$3)=MONTH($B$6),$B$5=1),('CAPEX'!$B$14+'CAPEX'!$B$17+'CAPEX'!$B$18+IF('Вводные'!$B$37="Денежная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компенсация",'Вводные'!$B$56*'Вводные'!$R$88*'Вводные'!$H$6,0)))*'Вводные'!$B$30,0)+IF(AND(YEAR(CC$3)=YEAR($B$7),MONTH(CC$3)=MONTH($B$7),$B$5=1),'Вводные'!$B$26*'Вводные'!$V$88*'Вводные'!$B$30,0)</x:f>
      </x:c>
      <x:c r="CD57" s="117">
        <x:f>IF(AND(YEAR(CD$3)=YEAR($B$6),MONTH(CD$3)=MONTH($B$6),$B$5=1),('CAPEX'!$B$14+'CAPEX'!$B$17+'CAPEX'!$B$18+IF('Вводные'!$B$37="Денежная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компенсация",'Вводные'!$B$56*'Вводные'!$R$88*'Вводные'!$H$6,0)))*'Вводные'!$B$30,0)+IF(AND(YEAR(CD$3)=YEAR($B$7),MONTH(CD$3)=MONTH($B$7),$B$5=1),'Вводные'!$B$26*'Вводные'!$V$88*'Вводные'!$B$30,0)</x:f>
      </x:c>
      <x:c r="CE57" s="117">
        <x:f>IF(AND(YEAR(CE$3)=YEAR($B$6),MONTH(CE$3)=MONTH($B$6),$B$5=1),('CAPEX'!$B$14+'CAPEX'!$B$17+'CAPEX'!$B$18+IF('Вводные'!$B$37="Денежная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компенсация",'Вводные'!$B$56*'Вводные'!$R$88*'Вводные'!$H$6,0)))*'Вводные'!$B$30,0)+IF(AND(YEAR(CE$3)=YEAR($B$7),MONTH(CE$3)=MONTH($B$7),$B$5=1),'Вводные'!$B$26*'Вводные'!$V$88*'Вводные'!$B$30,0)</x:f>
      </x:c>
      <x:c r="CF57" s="117">
        <x:f>IF(AND(YEAR(CF$3)=YEAR($B$6),MONTH(CF$3)=MONTH($B$6),$B$5=1),('CAPEX'!$B$14+'CAPEX'!$B$17+'CAPEX'!$B$18+IF('Вводные'!$B$37="Денежная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компенсация",'Вводные'!$B$56*'Вводные'!$R$88*'Вводные'!$H$6,0)))*'Вводные'!$B$30,0)+IF(AND(YEAR(CF$3)=YEAR($B$7),MONTH(CF$3)=MONTH($B$7),$B$5=1),'Вводные'!$B$26*'Вводные'!$V$88*'Вводные'!$B$30,0)</x:f>
      </x:c>
      <x:c r="CG57" s="117">
        <x:f>IF(AND(YEAR(CG$3)=YEAR($B$6),MONTH(CG$3)=MONTH($B$6),$B$5=1),('CAPEX'!$B$14+'CAPEX'!$B$17+'CAPEX'!$B$18+IF('Вводные'!$B$37="Денежная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компенсация",'Вводные'!$B$56*'Вводные'!$R$88*'Вводные'!$H$6,0)))*'Вводные'!$B$30,0)+IF(AND(YEAR(CG$3)=YEAR($B$7),MONTH(CG$3)=MONTH($B$7),$B$5=1),'Вводные'!$B$26*'Вводные'!$V$88*'Вводные'!$B$30,0)</x:f>
      </x:c>
      <x:c r="CH57" s="117">
        <x:f>IF(AND(YEAR(CH$3)=YEAR($B$6),MONTH(CH$3)=MONTH($B$6),$B$5=1),('CAPEX'!$B$14+'CAPEX'!$B$17+'CAPEX'!$B$18+IF('Вводные'!$B$37="Денежная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компенсация",'Вводные'!$B$56*'Вводные'!$R$88*'Вводные'!$H$6,0)))*'Вводные'!$B$30,0)+IF(AND(YEAR(CH$3)=YEAR($B$7),MONTH(CH$3)=MONTH($B$7),$B$5=1),'Вводные'!$B$26*'Вводные'!$V$88*'Вводные'!$B$30,0)</x:f>
      </x:c>
      <x:c r="CI57" s="117">
        <x:f>IF(AND(YEAR(CI$3)=YEAR($B$6),MONTH(CI$3)=MONTH($B$6),$B$5=1),('CAPEX'!$B$14+'CAPEX'!$B$17+'CAPEX'!$B$18+IF('Вводные'!$B$37="Денежная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компенсация",'Вводные'!$B$56*'Вводные'!$R$88*'Вводные'!$H$6,0)))*'Вводные'!$B$30,0)+IF(AND(YEAR(CI$3)=YEAR($B$7),MONTH(CI$3)=MONTH($B$7),$B$5=1),'Вводные'!$B$26*'Вводные'!$V$88*'Вводные'!$B$30,0)</x:f>
      </x:c>
      <x:c r="CJ57" s="117">
        <x:f>IF(AND(YEAR(CJ$3)=YEAR($B$6),MONTH(CJ$3)=MONTH($B$6),$B$5=1),('CAPEX'!$B$14+'CAPEX'!$B$17+'CAPEX'!$B$18+IF('Вводные'!$B$37="Денежная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компенсация",'Вводные'!$B$56*'Вводные'!$R$88*'Вводные'!$H$6,0)))*'Вводные'!$B$30,0)+IF(AND(YEAR(CJ$3)=YEAR($B$7),MONTH(CJ$3)=MONTH($B$7),$B$5=1),'Вводные'!$B$26*'Вводные'!$V$88*'Вводные'!$B$30,0)</x:f>
      </x:c>
      <x:c r="CK57" s="117">
        <x:f>IF(AND(YEAR(CK$3)=YEAR($B$6),MONTH(CK$3)=MONTH($B$6),$B$5=1),('CAPEX'!$B$14+'CAPEX'!$B$17+'CAPEX'!$B$18+IF('Вводные'!$B$37="Денежная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компенсация",'Вводные'!$B$56*'Вводные'!$R$88*'Вводные'!$H$6,0)))*'Вводные'!$B$30,0)+IF(AND(YEAR(CK$3)=YEAR($B$7),MONTH(CK$3)=MONTH($B$7),$B$5=1),'Вводные'!$B$26*'Вводные'!$V$88*'Вводные'!$B$30,0)</x:f>
      </x:c>
      <x:c r="CL57" s="117">
        <x:f>IF(AND(YEAR(CL$3)=YEAR($B$6),MONTH(CL$3)=MONTH($B$6),$B$5=1),('CAPEX'!$B$14+'CAPEX'!$B$17+'CAPEX'!$B$18+IF('Вводные'!$B$37="Денежная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компенсация",'Вводные'!$B$56*'Вводные'!$R$88*'Вводные'!$H$6,0)))*'Вводные'!$B$30,0)+IF(AND(YEAR(CL$3)=YEAR($B$7),MONTH(CL$3)=MONTH($B$7),$B$5=1),'Вводные'!$B$26*'Вводные'!$V$88*'Вводные'!$B$30,0)</x:f>
      </x:c>
      <x:c r="CM57" s="117">
        <x:f>IF(AND(YEAR(CM$3)=YEAR($B$6),MONTH(CM$3)=MONTH($B$6),$B$5=1),('CAPEX'!$B$14+'CAPEX'!$B$17+'CAPEX'!$B$18+IF('Вводные'!$B$37="Денежная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компенсация",'Вводные'!$B$56*'Вводные'!$R$88*'Вводные'!$H$6,0)))*'Вводные'!$B$30,0)+IF(AND(YEAR(CM$3)=YEAR($B$7),MONTH(CM$3)=MONTH($B$7),$B$5=1),'Вводные'!$B$26*'Вводные'!$V$88*'Вводные'!$B$30,0)</x:f>
      </x:c>
      <x:c r="CN57" s="117">
        <x:f>IF(AND(YEAR(CN$3)=YEAR($B$6),MONTH(CN$3)=MONTH($B$6),$B$5=1),('CAPEX'!$B$14+'CAPEX'!$B$17+'CAPEX'!$B$18+IF('Вводные'!$B$37="Денежная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компенсация",'Вводные'!$B$56*'Вводные'!$R$88*'Вводные'!$H$6,0)))*'Вводные'!$B$30,0)+IF(AND(YEAR(CN$3)=YEAR($B$7),MONTH(CN$3)=MONTH($B$7),$B$5=1),'Вводные'!$B$26*'Вводные'!$V$88*'Вводные'!$B$30,0)</x:f>
      </x:c>
      <x:c r="CO57" s="117">
        <x:f>IF(AND(YEAR(CO$3)=YEAR($B$6),MONTH(CO$3)=MONTH($B$6),$B$5=1),('CAPEX'!$B$14+'CAPEX'!$B$17+'CAPEX'!$B$18+IF('Вводные'!$B$37="Денежная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компенсация",'Вводные'!$B$56*'Вводные'!$R$88*'Вводные'!$H$6,0)))*'Вводные'!$B$30,0)+IF(AND(YEAR(CO$3)=YEAR($B$7),MONTH(CO$3)=MONTH($B$7),$B$5=1),'Вводные'!$B$26*'Вводные'!$V$88*'Вводные'!$B$30,0)</x:f>
      </x:c>
      <x:c r="CP57" s="117">
        <x:f>IF(AND(YEAR(CP$3)=YEAR($B$6),MONTH(CP$3)=MONTH($B$6),$B$5=1),('CAPEX'!$B$14+'CAPEX'!$B$17+'CAPEX'!$B$18+IF('Вводные'!$B$37="Денежная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компенсация",'Вводные'!$B$56*'Вводные'!$R$88*'Вводные'!$H$6,0)))*'Вводные'!$B$30,0)+IF(AND(YEAR(CP$3)=YEAR($B$7),MONTH(CP$3)=MONTH($B$7),$B$5=1),'Вводные'!$B$26*'Вводные'!$V$88*'Вводные'!$B$30,0)</x:f>
      </x:c>
      <x:c r="CQ57" s="117">
        <x:f>IF(AND(YEAR(CQ$3)=YEAR($B$6),MONTH(CQ$3)=MONTH($B$6),$B$5=1),('CAPEX'!$B$14+'CAPEX'!$B$17+'CAPEX'!$B$18+IF('Вводные'!$B$37="Денежная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компенсация",'Вводные'!$B$56*'Вводные'!$R$88*'Вводные'!$H$6,0)))*'Вводные'!$B$30,0)+IF(AND(YEAR(CQ$3)=YEAR($B$7),MONTH(CQ$3)=MONTH($B$7),$B$5=1),'Вводные'!$B$26*'Вводные'!$V$88*'Вводные'!$B$30,0)</x:f>
      </x:c>
      <x:c r="CR57" s="117">
        <x:f>IF(AND(YEAR(CR$3)=YEAR($B$6),MONTH(CR$3)=MONTH($B$6),$B$5=1),('CAPEX'!$B$14+'CAPEX'!$B$17+'CAPEX'!$B$18+IF('Вводные'!$B$37="Денежная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компенсация",'Вводные'!$B$56*'Вводные'!$R$88*'Вводные'!$H$6,0)))*'Вводные'!$B$30,0)+IF(AND(YEAR(CR$3)=YEAR($B$7),MONTH(CR$3)=MONTH($B$7),$B$5=1),'Вводные'!$B$26*'Вводные'!$V$88*'Вводные'!$B$30,0)</x:f>
      </x:c>
      <x:c r="CS57" s="117">
        <x:f>IF(AND(YEAR(CS$3)=YEAR($B$6),MONTH(CS$3)=MONTH($B$6),$B$5=1),('CAPEX'!$B$14+'CAPEX'!$B$17+'CAPEX'!$B$18+IF('Вводные'!$B$37="Денежная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компенсация",'Вводные'!$B$56*'Вводные'!$R$88*'Вводные'!$H$6,0)))*'Вводные'!$B$30,0)+IF(AND(YEAR(CS$3)=YEAR($B$7),MONTH(CS$3)=MONTH($B$7),$B$5=1),'Вводные'!$B$26*'Вводные'!$V$88*'Вводные'!$B$30,0)</x:f>
      </x:c>
      <x:c r="CT57" s="117">
        <x:f>IF(AND(YEAR(CT$3)=YEAR($B$6),MONTH(CT$3)=MONTH($B$6),$B$5=1),('CAPEX'!$B$14+'CAPEX'!$B$17+'CAPEX'!$B$18+IF('Вводные'!$B$37="Денежная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компенсация",'Вводные'!$B$56*'Вводные'!$R$88*'Вводные'!$H$6,0)))*'Вводные'!$B$30,0)+IF(AND(YEAR(CT$3)=YEAR($B$7),MONTH(CT$3)=MONTH($B$7),$B$5=1),'Вводные'!$B$26*'Вводные'!$V$88*'Вводные'!$B$30,0)</x:f>
      </x:c>
      <x:c r="CU57" s="117">
        <x:f>IF(AND(YEAR(CU$3)=YEAR($B$6),MONTH(CU$3)=MONTH($B$6),$B$5=1),('CAPEX'!$B$14+'CAPEX'!$B$17+'CAPEX'!$B$18+IF('Вводные'!$B$37="Денежная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компенсация",'Вводные'!$B$56*'Вводные'!$R$88*'Вводные'!$H$6,0)))*'Вводные'!$B$30,0)+IF(AND(YEAR(CU$3)=YEAR($B$7),MONTH(CU$3)=MONTH($B$7),$B$5=1),'Вводные'!$B$26*'Вводные'!$V$88*'Вводные'!$B$30,0)</x:f>
      </x:c>
      <x:c r="CV57" s="117">
        <x:f>IF(AND(YEAR(CV$3)=YEAR($B$6),MONTH(CV$3)=MONTH($B$6),$B$5=1),('CAPEX'!$B$14+'CAPEX'!$B$17+'CAPEX'!$B$18+IF('Вводные'!$B$37="Денежная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компенсация",'Вводные'!$B$56*'Вводные'!$R$88*'Вводные'!$H$6,0)))*'Вводные'!$B$30,0)+IF(AND(YEAR(CV$3)=YEAR($B$7),MONTH(CV$3)=MONTH($B$7),$B$5=1),'Вводные'!$B$26*'Вводные'!$V$88*'Вводные'!$B$30,0)</x:f>
      </x:c>
      <x:c r="CW57" s="117">
        <x:f>IF(AND(YEAR(CW$3)=YEAR($B$6),MONTH(CW$3)=MONTH($B$6),$B$5=1),('CAPEX'!$B$14+'CAPEX'!$B$17+'CAPEX'!$B$18+IF('Вводные'!$B$37="Денежная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компенсация",'Вводные'!$B$56*'Вводные'!$R$88*'Вводные'!$H$6,0)))*'Вводные'!$B$30,0)+IF(AND(YEAR(CW$3)=YEAR($B$7),MONTH(CW$3)=MONTH($B$7),$B$5=1),'Вводные'!$B$26*'Вводные'!$V$88*'Вводные'!$B$30,0)</x:f>
      </x:c>
      <x:c r="CX57" s="117">
        <x:f>IF(AND(YEAR(CX$3)=YEAR($B$6),MONTH(CX$3)=MONTH($B$6),$B$5=1),('CAPEX'!$B$14+'CAPEX'!$B$17+'CAPEX'!$B$18+IF('Вводные'!$B$37="Денежная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компенсация",'Вводные'!$B$56*'Вводные'!$R$88*'Вводные'!$H$6,0)))*'Вводные'!$B$30,0)+IF(AND(YEAR(CX$3)=YEAR($B$7),MONTH(CX$3)=MONTH($B$7),$B$5=1),'Вводные'!$B$26*'Вводные'!$V$88*'Вводные'!$B$30,0)</x:f>
      </x:c>
      <x:c r="CY57" s="117">
        <x:f>IF(AND(YEAR(CY$3)=YEAR($B$6),MONTH(CY$3)=MONTH($B$6),$B$5=1),('CAPEX'!$B$14+'CAPEX'!$B$17+'CAPEX'!$B$18+IF('Вводные'!$B$37="Денежная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компенсация",'Вводные'!$B$56*'Вводные'!$R$88*'Вводные'!$H$6,0)))*'Вводные'!$B$30,0)+IF(AND(YEAR(CY$3)=YEAR($B$7),MONTH(CY$3)=MONTH($B$7),$B$5=1),'Вводные'!$B$26*'Вводные'!$V$88*'Вводные'!$B$30,0)</x:f>
      </x:c>
      <x:c r="CZ57" s="117">
        <x:f>IF(AND(YEAR(CZ$3)=YEAR($B$6),MONTH(CZ$3)=MONTH($B$6),$B$5=1),('CAPEX'!$B$14+'CAPEX'!$B$17+'CAPEX'!$B$18+IF('Вводные'!$B$37="Денежная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компенсация",'Вводные'!$B$56*'Вводные'!$R$88*'Вводные'!$H$6,0)))*'Вводные'!$B$30,0)+IF(AND(YEAR(CZ$3)=YEAR($B$7),MONTH(CZ$3)=MONTH($B$7),$B$5=1),'Вводные'!$B$26*'Вводные'!$V$88*'Вводные'!$B$30,0)</x:f>
      </x:c>
      <x:c r="DA57" s="117">
        <x:f>IF(AND(YEAR(DA$3)=YEAR($B$6),MONTH(DA$3)=MONTH($B$6),$B$5=1),('CAPEX'!$B$14+'CAPEX'!$B$17+'CAPEX'!$B$18+IF('Вводные'!$B$37="Денежная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компенсация",'Вводные'!$B$56*'Вводные'!$R$88*'Вводные'!$H$6,0)))*'Вводные'!$B$30,0)+IF(AND(YEAR(DA$3)=YEAR($B$7),MONTH(DA$3)=MONTH($B$7),$B$5=1),'Вводные'!$B$26*'Вводные'!$V$88*'Вводные'!$B$30,0)</x:f>
      </x:c>
      <x:c r="DB57" s="117">
        <x:f>IF(AND(YEAR(DB$3)=YEAR($B$6),MONTH(DB$3)=MONTH($B$6),$B$5=1),('CAPEX'!$B$14+'CAPEX'!$B$17+'CAPEX'!$B$18+IF('Вводные'!$B$37="Денежная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компенсация",'Вводные'!$B$56*'Вводные'!$R$88*'Вводные'!$H$6,0)))*'Вводные'!$B$30,0)+IF(AND(YEAR(DB$3)=YEAR($B$7),MONTH(DB$3)=MONTH($B$7),$B$5=1),'Вводные'!$B$26*'Вводные'!$V$88*'Вводные'!$B$30,0)</x:f>
      </x:c>
      <x:c r="DC57" s="117">
        <x:f>IF(AND(YEAR(DC$3)=YEAR($B$6),MONTH(DC$3)=MONTH($B$6),$B$5=1),('CAPEX'!$B$14+'CAPEX'!$B$17+'CAPEX'!$B$18+IF('Вводные'!$B$37="Денежная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компенсация",'Вводные'!$B$56*'Вводные'!$R$88*'Вводные'!$H$6,0)))*'Вводные'!$B$30,0)+IF(AND(YEAR(DC$3)=YEAR($B$7),MONTH(DC$3)=MONTH($B$7),$B$5=1),'Вводные'!$B$26*'Вводные'!$V$88*'Вводные'!$B$30,0)</x:f>
      </x:c>
      <x:c r="DD57" s="117">
        <x:f>IF(AND(YEAR(DD$3)=YEAR($B$6),MONTH(DD$3)=MONTH($B$6),$B$5=1),('CAPEX'!$B$14+'CAPEX'!$B$17+'CAPEX'!$B$18+IF('Вводные'!$B$37="Денежная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компенсация",'Вводные'!$B$56*'Вводные'!$R$88*'Вводные'!$H$6,0)))*'Вводные'!$B$30,0)+IF(AND(YEAR(DD$3)=YEAR($B$7),MONTH(DD$3)=MONTH($B$7),$B$5=1),'Вводные'!$B$26*'Вводные'!$V$88*'Вводные'!$B$30,0)</x:f>
      </x:c>
      <x:c r="DE57" s="117">
        <x:f>IF(AND(YEAR(DE$3)=YEAR($B$6),MONTH(DE$3)=MONTH($B$6),$B$5=1),('CAPEX'!$B$14+'CAPEX'!$B$17+'CAPEX'!$B$18+IF('Вводные'!$B$37="Денежная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компенсация",'Вводные'!$B$56*'Вводные'!$R$88*'Вводные'!$H$6,0)))*'Вводные'!$B$30,0)+IF(AND(YEAR(DE$3)=YEAR($B$7),MONTH(DE$3)=MONTH($B$7),$B$5=1),'Вводные'!$B$26*'Вводные'!$V$88*'Вводные'!$B$30,0)</x:f>
      </x:c>
      <x:c r="DF57" s="117">
        <x:f>IF(AND(YEAR(DF$3)=YEAR($B$6),MONTH(DF$3)=MONTH($B$6),$B$5=1),('CAPEX'!$B$14+'CAPEX'!$B$17+'CAPEX'!$B$18+IF('Вводные'!$B$37="Денежная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компенсация",'Вводные'!$B$56*'Вводные'!$R$88*'Вводные'!$H$6,0)))*'Вводные'!$B$30,0)+IF(AND(YEAR(DF$3)=YEAR($B$7),MONTH(DF$3)=MONTH($B$7),$B$5=1),'Вводные'!$B$26*'Вводные'!$V$88*'Вводные'!$B$30,0)</x:f>
      </x:c>
      <x:c r="DG57" s="117">
        <x:f>IF(AND(YEAR(DG$3)=YEAR($B$6),MONTH(DG$3)=MONTH($B$6),$B$5=1),('CAPEX'!$B$14+'CAPEX'!$B$17+'CAPEX'!$B$18+IF('Вводные'!$B$37="Денежная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компенсация",'Вводные'!$B$56*'Вводные'!$R$88*'Вводные'!$H$6,0)))*'Вводные'!$B$30,0)+IF(AND(YEAR(DG$3)=YEAR($B$7),MONTH(DG$3)=MONTH($B$7),$B$5=1),'Вводные'!$B$26*'Вводные'!$V$88*'Вводные'!$B$30,0)</x:f>
      </x:c>
      <x:c r="DH57" s="117">
        <x:f>IF(AND(YEAR(DH$3)=YEAR($B$6),MONTH(DH$3)=MONTH($B$6),$B$5=1),('CAPEX'!$B$14+'CAPEX'!$B$17+'CAPEX'!$B$18+IF('Вводные'!$B$37="Денежная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компенсация",'Вводные'!$B$56*'Вводные'!$R$88*'Вводные'!$H$6,0)))*'Вводные'!$B$30,0)+IF(AND(YEAR(DH$3)=YEAR($B$7),MONTH(DH$3)=MONTH($B$7),$B$5=1),'Вводные'!$B$26*'Вводные'!$V$88*'Вводные'!$B$30,0)</x:f>
      </x:c>
      <x:c r="DI57" s="117">
        <x:f>IF(AND(YEAR(DI$3)=YEAR($B$6),MONTH(DI$3)=MONTH($B$6),$B$5=1),('CAPEX'!$B$14+'CAPEX'!$B$17+'CAPEX'!$B$18+IF('Вводные'!$B$37="Денежная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компенсация",'Вводные'!$B$56*'Вводные'!$R$88*'Вводные'!$H$6,0)))*'Вводные'!$B$30,0)+IF(AND(YEAR(DI$3)=YEAR($B$7),MONTH(DI$3)=MONTH($B$7),$B$5=1),'Вводные'!$B$26*'Вводные'!$V$88*'Вводные'!$B$30,0)</x:f>
      </x:c>
      <x:c r="DJ57" s="117">
        <x:f>IF(AND(YEAR(DJ$3)=YEAR($B$6),MONTH(DJ$3)=MONTH($B$6),$B$5=1),('CAPEX'!$B$14+'CAPEX'!$B$17+'CAPEX'!$B$18+IF('Вводные'!$B$37="Денежная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компенсация",'Вводные'!$B$56*'Вводные'!$R$88*'Вводные'!$H$6,0)))*'Вводные'!$B$30,0)+IF(AND(YEAR(DJ$3)=YEAR($B$7),MONTH(DJ$3)=MONTH($B$7),$B$5=1),'Вводные'!$B$26*'Вводные'!$V$88*'Вводные'!$B$30,0)</x:f>
      </x:c>
      <x:c r="DK57" s="117">
        <x:f>IF(AND(YEAR(DK$3)=YEAR($B$6),MONTH(DK$3)=MONTH($B$6),$B$5=1),('CAPEX'!$B$14+'CAPEX'!$B$17+'CAPEX'!$B$18+IF('Вводные'!$B$37="Денежная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компенсация",'Вводные'!$B$56*'Вводные'!$R$88*'Вводные'!$H$6,0)))*'Вводные'!$B$30,0)+IF(AND(YEAR(DK$3)=YEAR($B$7),MONTH(DK$3)=MONTH($B$7),$B$5=1),'Вводные'!$B$26*'Вводные'!$V$88*'Вводные'!$B$30,0)</x:f>
      </x:c>
      <x:c r="DL57" s="117">
        <x:f>IF(AND(YEAR(DL$3)=YEAR($B$6),MONTH(DL$3)=MONTH($B$6),$B$5=1),('CAPEX'!$B$14+'CAPEX'!$B$17+'CAPEX'!$B$18+IF('Вводные'!$B$37="Денежная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компенсация",'Вводные'!$B$56*'Вводные'!$R$88*'Вводные'!$H$6,0)))*'Вводные'!$B$30,0)+IF(AND(YEAR(DL$3)=YEAR($B$7),MONTH(DL$3)=MONTH($B$7),$B$5=1),'Вводные'!$B$26*'Вводные'!$V$88*'Вводные'!$B$30,0)</x:f>
      </x:c>
      <x:c r="DM57" s="117">
        <x:f>IF(AND(YEAR(DM$3)=YEAR($B$6),MONTH(DM$3)=MONTH($B$6),$B$5=1),('CAPEX'!$B$14+'CAPEX'!$B$17+'CAPEX'!$B$18+IF('Вводные'!$B$37="Денежная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компенсация",'Вводные'!$B$56*'Вводные'!$R$88*'Вводные'!$H$6,0)))*'Вводные'!$B$30,0)+IF(AND(YEAR(DM$3)=YEAR($B$7),MONTH(DM$3)=MONTH($B$7),$B$5=1),'Вводные'!$B$26*'Вводные'!$V$88*'Вводные'!$B$30,0)</x:f>
      </x:c>
      <x:c r="DN57" s="117">
        <x:f>IF(AND(YEAR(DN$3)=YEAR($B$6),MONTH(DN$3)=MONTH($B$6),$B$5=1),('CAPEX'!$B$14+'CAPEX'!$B$17+'CAPEX'!$B$18+IF('Вводные'!$B$37="Денежная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компенсация",'Вводные'!$B$56*'Вводные'!$R$88*'Вводные'!$H$6,0)))*'Вводные'!$B$30,0)+IF(AND(YEAR(DN$3)=YEAR($B$7),MONTH(DN$3)=MONTH($B$7),$B$5=1),'Вводные'!$B$26*'Вводные'!$V$88*'Вводные'!$B$30,0)</x:f>
      </x:c>
      <x:c r="DO57" s="117">
        <x:f>IF(AND(YEAR(DO$3)=YEAR($B$6),MONTH(DO$3)=MONTH($B$6),$B$5=1),('CAPEX'!$B$14+'CAPEX'!$B$17+'CAPEX'!$B$18+IF('Вводные'!$B$37="Денежная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компенсация",'Вводные'!$B$56*'Вводные'!$R$88*'Вводные'!$H$6,0)))*'Вводные'!$B$30,0)+IF(AND(YEAR(DO$3)=YEAR($B$7),MONTH(DO$3)=MONTH($B$7),$B$5=1),'Вводные'!$B$26*'Вводные'!$V$88*'Вводные'!$B$30,0)</x:f>
      </x:c>
      <x:c r="DP57" s="117">
        <x:f>IF(AND(YEAR(DP$3)=YEAR($B$6),MONTH(DP$3)=MONTH($B$6),$B$5=1),('CAPEX'!$B$14+'CAPEX'!$B$17+'CAPEX'!$B$18+IF('Вводные'!$B$37="Денежная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компенсация",'Вводные'!$B$56*'Вводные'!$R$88*'Вводные'!$H$6,0)))*'Вводные'!$B$30,0)+IF(AND(YEAR(DP$3)=YEAR($B$7),MONTH(DP$3)=MONTH($B$7),$B$5=1),'Вводные'!$B$26*'Вводные'!$V$88*'Вводные'!$B$30,0)</x:f>
      </x:c>
      <x:c r="DQ57" s="117">
        <x:f>IF(AND(YEAR(DQ$3)=YEAR($B$6),MONTH(DQ$3)=MONTH($B$6),$B$5=1),('CAPEX'!$B$14+'CAPEX'!$B$17+'CAPEX'!$B$18+IF('Вводные'!$B$37="Денежная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компенсация",'Вводные'!$B$56*'Вводные'!$R$88*'Вводные'!$H$6,0)))*'Вводные'!$B$30,0)+IF(AND(YEAR(DQ$3)=YEAR($B$7),MONTH(DQ$3)=MONTH($B$7),$B$5=1),'Вводные'!$B$26*'Вводные'!$V$88*'Вводные'!$B$30,0)</x:f>
      </x:c>
      <x:c r="DR57" s="117">
        <x:f>IF(AND(YEAR(DR$3)=YEAR($B$6),MONTH(DR$3)=MONTH($B$6),$B$5=1),('CAPEX'!$B$14+'CAPEX'!$B$17+'CAPEX'!$B$18+IF('Вводные'!$B$37="Денежная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компенсация",'Вводные'!$B$56*'Вводные'!$R$88*'Вводные'!$H$6,0)))*'Вводные'!$B$30,0)+IF(AND(YEAR(DR$3)=YEAR($B$7),MONTH(DR$3)=MONTH($B$7),$B$5=1),'Вводные'!$B$26*'Вводные'!$V$88*'Вводные'!$B$30,0)</x:f>
      </x:c>
      <x:c r="DS57" s="117">
        <x:f>IF(AND(YEAR(DS$3)=YEAR($B$6),MONTH(DS$3)=MONTH($B$6),$B$5=1),('CAPEX'!$B$14+'CAPEX'!$B$17+'CAPEX'!$B$18+IF('Вводные'!$B$37="Денежная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компенсация",'Вводные'!$B$56*'Вводные'!$R$88*'Вводные'!$H$6,0)))*'Вводные'!$B$30,0)+IF(AND(YEAR(DS$3)=YEAR($B$7),MONTH(DS$3)=MONTH($B$7),$B$5=1),'Вводные'!$B$26*'Вводные'!$V$88*'Вводные'!$B$30,0)</x:f>
      </x:c>
      <x:c r="DT57" s="117">
        <x:f>IF(AND(YEAR(DT$3)=YEAR($B$6),MONTH(DT$3)=MONTH($B$6),$B$5=1),('CAPEX'!$B$14+'CAPEX'!$B$17+'CAPEX'!$B$18+IF('Вводные'!$B$37="Денежная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компенсация",'Вводные'!$B$56*'Вводные'!$R$88*'Вводные'!$H$6,0)))*'Вводные'!$B$30,0)+IF(AND(YEAR(DT$3)=YEAR($B$7),MONTH(DT$3)=MONTH($B$7),$B$5=1),'Вводные'!$B$26*'Вводные'!$V$88*'Вводные'!$B$30,0)</x:f>
      </x:c>
      <x:c r="DU57" s="117">
        <x:f>IF(AND(YEAR(DU$3)=YEAR($B$6),MONTH(DU$3)=MONTH($B$6),$B$5=1),('CAPEX'!$B$14+'CAPEX'!$B$17+'CAPEX'!$B$18+IF('Вводные'!$B$37="Денежная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компенсация",'Вводные'!$B$56*'Вводные'!$R$88*'Вводные'!$H$6,0)))*'Вводные'!$B$30,0)+IF(AND(YEAR(DU$3)=YEAR($B$7),MONTH(DU$3)=MONTH($B$7),$B$5=1),'Вводные'!$B$26*'Вводные'!$V$88*'Вводные'!$B$30,0)</x:f>
      </x:c>
      <x:c r="DV57" s="117">
        <x:f>IF(AND(YEAR(DV$3)=YEAR($B$6),MONTH(DV$3)=MONTH($B$6),$B$5=1),('CAPEX'!$B$14+'CAPEX'!$B$17+'CAPEX'!$B$18+IF('Вводные'!$B$37="Денежная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компенсация",'Вводные'!$B$56*'Вводные'!$R$88*'Вводные'!$H$6,0)))*'Вводные'!$B$30,0)+IF(AND(YEAR(DV$3)=YEAR($B$7),MONTH(DV$3)=MONTH($B$7),$B$5=1),'Вводные'!$B$26*'Вводные'!$V$88*'Вводные'!$B$30,0)</x:f>
      </x:c>
      <x:c r="DW57" s="117">
        <x:f>IF(AND(YEAR(DW$3)=YEAR($B$6),MONTH(DW$3)=MONTH($B$6),$B$5=1),('CAPEX'!$B$14+'CAPEX'!$B$17+'CAPEX'!$B$18+IF('Вводные'!$B$37="Денежная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компенсация",'Вводные'!$B$56*'Вводные'!$R$88*'Вводные'!$H$6,0)))*'Вводные'!$B$30,0)+IF(AND(YEAR(DW$3)=YEAR($B$7),MONTH(DW$3)=MONTH($B$7),$B$5=1),'Вводные'!$B$26*'Вводные'!$V$88*'Вводные'!$B$30,0)</x:f>
      </x:c>
      <x:c r="DX57" s="117">
        <x:f>IF(AND(YEAR(DX$3)=YEAR($B$6),MONTH(DX$3)=MONTH($B$6),$B$5=1),('CAPEX'!$B$14+'CAPEX'!$B$17+'CAPEX'!$B$18+IF('Вводные'!$B$37="Денежная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компенсация",'Вводные'!$B$56*'Вводные'!$R$88*'Вводные'!$H$6,0)))*'Вводные'!$B$30,0)+IF(AND(YEAR(DX$3)=YEAR($B$7),MONTH(DX$3)=MONTH($B$7),$B$5=1),'Вводные'!$B$26*'Вводные'!$V$88*'Вводные'!$B$30,0)</x:f>
      </x:c>
      <x:c r="DY57" s="117">
        <x:f>IF(AND(YEAR(DY$3)=YEAR($B$6),MONTH(DY$3)=MONTH($B$6),$B$5=1),('CAPEX'!$B$14+'CAPEX'!$B$17+'CAPEX'!$B$18+IF('Вводные'!$B$37="Денежная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компенсация",'Вводные'!$B$56*'Вводные'!$R$88*'Вводные'!$H$6,0)))*'Вводные'!$B$30,0)+IF(AND(YEAR(DY$3)=YEAR($B$7),MONTH(DY$3)=MONTH($B$7),$B$5=1),'Вводные'!$B$26*'Вводные'!$V$88*'Вводные'!$B$30,0)</x:f>
      </x:c>
      <x:c r="DZ57" s="117">
        <x:f>IF(AND(YEAR(DZ$3)=YEAR($B$6),MONTH(DZ$3)=MONTH($B$6),$B$5=1),('CAPEX'!$B$14+'CAPEX'!$B$17+'CAPEX'!$B$18+IF('Вводные'!$B$37="Денежная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компенсация",'Вводные'!$B$56*'Вводные'!$R$88*'Вводные'!$H$6,0)))*'Вводные'!$B$30,0)+IF(AND(YEAR(DZ$3)=YEAR($B$7),MONTH(DZ$3)=MONTH($B$7),$B$5=1),'Вводные'!$B$26*'Вводные'!$V$88*'Вводные'!$B$30,0)</x:f>
      </x:c>
      <x:c r="EA57" s="117">
        <x:f>IF(AND(YEAR(EA$3)=YEAR($B$6),MONTH(EA$3)=MONTH($B$6),$B$5=1),('CAPEX'!$B$14+'CAPEX'!$B$17+'CAPEX'!$B$18+IF('Вводные'!$B$37="Денежная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компенсация",'Вводные'!$B$56*'Вводные'!$R$88*'Вводные'!$H$6,0)))*'Вводные'!$B$30,0)+IF(AND(YEAR(EA$3)=YEAR($B$7),MONTH(EA$3)=MONTH($B$7),$B$5=1),'Вводные'!$B$26*'Вводные'!$V$88*'Вводные'!$B$30,0)</x:f>
      </x:c>
      <x:c r="EB57" s="117">
        <x:f>IF(AND(YEAR(EB$3)=YEAR($B$6),MONTH(EB$3)=MONTH($B$6),$B$5=1),('CAPEX'!$B$14+'CAPEX'!$B$17+'CAPEX'!$B$18+IF('Вводные'!$B$37="Денежная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компенсация",'Вводные'!$B$56*'Вводные'!$R$88*'Вводные'!$H$6,0)))*'Вводные'!$B$30,0)+IF(AND(YEAR(EB$3)=YEAR($B$7),MONTH(EB$3)=MONTH($B$7),$B$5=1),'Вводные'!$B$26*'Вводные'!$V$88*'Вводные'!$B$30,0)</x:f>
      </x:c>
      <x:c r="EC57" s="117">
        <x:f>IF(AND(YEAR(EC$3)=YEAR($B$6),MONTH(EC$3)=MONTH($B$6),$B$5=1),('CAPEX'!$B$14+'CAPEX'!$B$17+'CAPEX'!$B$18+IF('Вводные'!$B$37="Денежная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компенсация",'Вводные'!$B$56*'Вводные'!$R$88*'Вводные'!$H$6,0)))*'Вводные'!$B$30,0)+IF(AND(YEAR(EC$3)=YEAR($B$7),MONTH(EC$3)=MONTH($B$7),$B$5=1),'Вводные'!$B$26*'Вводные'!$V$88*'Вводные'!$B$30,0)</x:f>
      </x:c>
      <x:c r="ED57" s="117">
        <x:f>IF(AND(YEAR(ED$3)=YEAR($B$6),MONTH(ED$3)=MONTH($B$6),$B$5=1),('CAPEX'!$B$14+'CAPEX'!$B$17+'CAPEX'!$B$18+IF('Вводные'!$B$37="Денежная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компенсация",'Вводные'!$B$56*'Вводные'!$R$88*'Вводные'!$H$6,0)))*'Вводные'!$B$30,0)+IF(AND(YEAR(ED$3)=YEAR($B$7),MONTH(ED$3)=MONTH($B$7),$B$5=1),'Вводные'!$B$26*'Вводные'!$V$88*'Вводные'!$B$30,0)</x:f>
      </x:c>
      <x:c r="EE57" s="117">
        <x:f>IF(AND(YEAR(EE$3)=YEAR($B$6),MONTH(EE$3)=MONTH($B$6),$B$5=1),('CAPEX'!$B$14+'CAPEX'!$B$17+'CAPEX'!$B$18+IF('Вводные'!$B$37="Денежная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компенсация",'Вводные'!$B$56*'Вводные'!$R$88*'Вводные'!$H$6,0)))*'Вводные'!$B$30,0)+IF(AND(YEAR(EE$3)=YEAR($B$7),MONTH(EE$3)=MONTH($B$7),$B$5=1),'Вводные'!$B$26*'Вводные'!$V$88*'Вводные'!$B$30,0)</x:f>
      </x:c>
      <x:c r="EF57" s="117">
        <x:f>IF(AND(YEAR(EF$3)=YEAR($B$6),MONTH(EF$3)=MONTH($B$6),$B$5=1),('CAPEX'!$B$14+'CAPEX'!$B$17+'CAPEX'!$B$18+IF('Вводные'!$B$37="Денежная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компенсация",'Вводные'!$B$56*'Вводные'!$R$88*'Вводные'!$H$6,0)))*'Вводные'!$B$30,0)+IF(AND(YEAR(EF$3)=YEAR($B$7),MONTH(EF$3)=MONTH($B$7),$B$5=1),'Вводные'!$B$26*'Вводные'!$V$88*'Вводные'!$B$30,0)</x:f>
      </x:c>
      <x:c r="EG57" s="117">
        <x:f>IF(AND(YEAR(EG$3)=YEAR($B$6),MONTH(EG$3)=MONTH($B$6),$B$5=1),('CAPEX'!$B$14+'CAPEX'!$B$17+'CAPEX'!$B$18+IF('Вводные'!$B$37="Денежная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компенсация",'Вводные'!$B$56*'Вводные'!$R$88*'Вводные'!$H$6,0)))*'Вводные'!$B$30,0)+IF(AND(YEAR(EG$3)=YEAR($B$7),MONTH(EG$3)=MONTH($B$7),$B$5=1),'Вводные'!$B$26*'Вводные'!$V$88*'Вводные'!$B$30,0)</x:f>
      </x:c>
      <x:c r="EH57" s="117">
        <x:f>IF(AND(YEAR(EH$3)=YEAR($B$6),MONTH(EH$3)=MONTH($B$6),$B$5=1),('CAPEX'!$B$14+'CAPEX'!$B$17+'CAPEX'!$B$18+IF('Вводные'!$B$37="Денежная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компенсация",'Вводные'!$B$56*'Вводные'!$R$88*'Вводные'!$H$6,0)))*'Вводные'!$B$30,0)+IF(AND(YEAR(EH$3)=YEAR($B$7),MONTH(EH$3)=MONTH($B$7),$B$5=1),'Вводные'!$B$26*'Вводные'!$V$88*'Вводные'!$B$30,0)</x:f>
      </x:c>
      <x:c r="EI57" s="117">
        <x:f>IF(AND(YEAR(EI$3)=YEAR($B$6),MONTH(EI$3)=MONTH($B$6),$B$5=1),('CAPEX'!$B$14+'CAPEX'!$B$17+'CAPEX'!$B$18+IF('Вводные'!$B$37="Денежная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компенсация",'Вводные'!$B$56*'Вводные'!$R$88*'Вводные'!$H$6,0)))*'Вводные'!$B$30,0)+IF(AND(YEAR(EI$3)=YEAR($B$7),MONTH(EI$3)=MONTH($B$7),$B$5=1),'Вводные'!$B$26*'Вводные'!$V$88*'Вводные'!$B$30,0)</x:f>
      </x:c>
      <x:c r="EJ57" s="117">
        <x:f>IF(AND(YEAR(EJ$3)=YEAR($B$6),MONTH(EJ$3)=MONTH($B$6),$B$5=1),('CAPEX'!$B$14+'CAPEX'!$B$17+'CAPEX'!$B$18+IF('Вводные'!$B$37="Денежная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компенсация",'Вводные'!$B$56*'Вводные'!$R$88*'Вводные'!$H$6,0)))*'Вводные'!$B$30,0)+IF(AND(YEAR(EJ$3)=YEAR($B$7),MONTH(EJ$3)=MONTH($B$7),$B$5=1),'Вводные'!$B$26*'Вводные'!$V$88*'Вводные'!$B$30,0)</x:f>
      </x:c>
      <x:c r="EK57" s="117">
        <x:f>IF(AND(YEAR(EK$3)=YEAR($B$6),MONTH(EK$3)=MONTH($B$6),$B$5=1),('CAPEX'!$B$14+'CAPEX'!$B$17+'CAPEX'!$B$18+IF('Вводные'!$B$37="Денежная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компенсация",'Вводные'!$B$56*'Вводные'!$R$88*'Вводные'!$H$6,0)))*'Вводные'!$B$30,0)+IF(AND(YEAR(EK$3)=YEAR($B$7),MONTH(EK$3)=MONTH($B$7),$B$5=1),'Вводные'!$B$26*'Вводные'!$V$88*'Вводные'!$B$30,0)</x:f>
      </x:c>
      <x:c r="EL57" s="117">
        <x:f>IF(AND(YEAR(EL$3)=YEAR($B$6),MONTH(EL$3)=MONTH($B$6),$B$5=1),('CAPEX'!$B$14+'CAPEX'!$B$17+'CAPEX'!$B$18+IF('Вводные'!$B$37="Денежная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компенсация",'Вводные'!$B$56*'Вводные'!$R$88*'Вводные'!$H$6,0)))*'Вводные'!$B$30,0)+IF(AND(YEAR(EL$3)=YEAR($B$7),MONTH(EL$3)=MONTH($B$7),$B$5=1),'Вводные'!$B$26*'Вводные'!$V$88*'Вводные'!$B$30,0)</x:f>
      </x:c>
      <x:c r="EM57" s="117">
        <x:f>IF(AND(YEAR(EM$3)=YEAR($B$6),MONTH(EM$3)=MONTH($B$6),$B$5=1),('CAPEX'!$B$14+'CAPEX'!$B$17+'CAPEX'!$B$18+IF('Вводные'!$B$37="Денежная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компенсация",'Вводные'!$B$56*'Вводные'!$R$88*'Вводные'!$H$6,0)))*'Вводные'!$B$30,0)+IF(AND(YEAR(EM$3)=YEAR($B$7),MONTH(EM$3)=MONTH($B$7),$B$5=1),'Вводные'!$B$26*'Вводные'!$V$88*'Вводные'!$B$30,0)</x:f>
      </x:c>
      <x:c r="EN57" s="117">
        <x:f>IF(AND(YEAR(EN$3)=YEAR($B$6),MONTH(EN$3)=MONTH($B$6),$B$5=1),('CAPEX'!$B$14+'CAPEX'!$B$17+'CAPEX'!$B$18+IF('Вводные'!$B$37="Денежная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компенсация",'Вводные'!$B$56*'Вводные'!$R$88*'Вводные'!$H$6,0)))*'Вводные'!$B$30,0)+IF(AND(YEAR(EN$3)=YEAR($B$7),MONTH(EN$3)=MONTH($B$7),$B$5=1),'Вводные'!$B$26*'Вводные'!$V$88*'Вводные'!$B$30,0)</x:f>
      </x:c>
      <x:c r="EO57" s="117">
        <x:f>IF(AND(YEAR(EO$3)=YEAR($B$6),MONTH(EO$3)=MONTH($B$6),$B$5=1),('CAPEX'!$B$14+'CAPEX'!$B$17+'CAPEX'!$B$18+IF('Вводные'!$B$37="Денежная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компенсация",'Вводные'!$B$56*'Вводные'!$R$88*'Вводные'!$H$6,0)))*'Вводные'!$B$30,0)+IF(AND(YEAR(EO$3)=YEAR($B$7),MONTH(EO$3)=MONTH($B$7),$B$5=1),'Вводные'!$B$26*'Вводные'!$V$88*'Вводные'!$B$30,0)</x:f>
      </x:c>
      <x:c r="EP57" s="117">
        <x:f>IF(AND(YEAR(EP$3)=YEAR($B$6),MONTH(EP$3)=MONTH($B$6),$B$5=1),('CAPEX'!$B$14+'CAPEX'!$B$17+'CAPEX'!$B$18+IF('Вводные'!$B$37="Денежная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компенсация",'Вводные'!$B$56*'Вводные'!$R$88*'Вводные'!$H$6,0)))*'Вводные'!$B$30,0)+IF(AND(YEAR(EP$3)=YEAR($B$7),MONTH(EP$3)=MONTH($B$7),$B$5=1),'Вводные'!$B$26*'Вводные'!$V$88*'Вводные'!$B$30,0)</x:f>
      </x:c>
      <x:c r="EQ57" s="117">
        <x:f>IF(AND(YEAR(EQ$3)=YEAR($B$6),MONTH(EQ$3)=MONTH($B$6),$B$5=1),('CAPEX'!$B$14+'CAPEX'!$B$17+'CAPEX'!$B$18+IF('Вводные'!$B$37="Денежная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компенсация",'Вводные'!$B$56*'Вводные'!$R$88*'Вводные'!$H$6,0)))*'Вводные'!$B$30,0)+IF(AND(YEAR(EQ$3)=YEAR($B$7),MONTH(EQ$3)=MONTH($B$7),$B$5=1),'Вводные'!$B$26*'Вводные'!$V$88*'Вводные'!$B$30,0)</x:f>
      </x:c>
      <x:c r="ER57" s="117">
        <x:f>IF(AND(YEAR(ER$3)=YEAR($B$6),MONTH(ER$3)=MONTH($B$6),$B$5=1),('CAPEX'!$B$14+'CAPEX'!$B$17+'CAPEX'!$B$18+IF('Вводные'!$B$37="Денежная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компенсация",'Вводные'!$B$56*'Вводные'!$R$88*'Вводные'!$H$6,0)))*'Вводные'!$B$30,0)+IF(AND(YEAR(ER$3)=YEAR($B$7),MONTH(ER$3)=MONTH($B$7),$B$5=1),'Вводные'!$B$26*'Вводные'!$V$88*'Вводные'!$B$30,0)</x:f>
      </x:c>
      <x:c r="ES57" s="117">
        <x:f>IF(AND(YEAR(ES$3)=YEAR($B$6),MONTH(ES$3)=MONTH($B$6),$B$5=1),('CAPEX'!$B$14+'CAPEX'!$B$17+'CAPEX'!$B$18+IF('Вводные'!$B$37="Денежная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компенсация",'Вводные'!$B$56*'Вводные'!$R$88*'Вводные'!$H$6,0)))*'Вводные'!$B$30,0)+IF(AND(YEAR(ES$3)=YEAR($B$7),MONTH(ES$3)=MONTH($B$7),$B$5=1),'Вводные'!$B$26*'Вводные'!$V$88*'Вводные'!$B$30,0)</x:f>
      </x:c>
      <x:c r="ET57" s="117">
        <x:f>IF(AND(YEAR(ET$3)=YEAR($B$6),MONTH(ET$3)=MONTH($B$6),$B$5=1),('CAPEX'!$B$14+'CAPEX'!$B$17+'CAPEX'!$B$18+IF('Вводные'!$B$37="Денежная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компенсация",'Вводные'!$B$56*'Вводные'!$R$88*'Вводные'!$H$6,0)))*'Вводные'!$B$30,0)+IF(AND(YEAR(ET$3)=YEAR($B$7),MONTH(ET$3)=MONTH($B$7),$B$5=1),'Вводные'!$B$26*'Вводные'!$V$88*'Вводные'!$B$30,0)</x:f>
      </x:c>
      <x:c r="EU57" s="117">
        <x:f>IF(AND(YEAR(EU$3)=YEAR($B$6),MONTH(EU$3)=MONTH($B$6),$B$5=1),('CAPEX'!$B$14+'CAPEX'!$B$17+'CAPEX'!$B$18+IF('Вводные'!$B$37="Денежная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компенсация",'Вводные'!$B$56*'Вводные'!$R$88*'Вводные'!$H$6,0)))*'Вводные'!$B$30,0)+IF(AND(YEAR(EU$3)=YEAR($B$7),MONTH(EU$3)=MONTH($B$7),$B$5=1),'Вводные'!$B$26*'Вводные'!$V$88*'Вводные'!$B$30,0)</x:f>
      </x:c>
      <x:c r="EV57" s="117">
        <x:f>IF(AND(YEAR(EV$3)=YEAR($B$6),MONTH(EV$3)=MONTH($B$6),$B$5=1),('CAPEX'!$B$14+'CAPEX'!$B$17+'CAPEX'!$B$18+IF('Вводные'!$B$37="Денежная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компенсация",'Вводные'!$B$56*'Вводные'!$R$88*'Вводные'!$H$6,0)))*'Вводные'!$B$30,0)+IF(AND(YEAR(EV$3)=YEAR($B$7),MONTH(EV$3)=MONTH($B$7),$B$5=1),'Вводные'!$B$26*'Вводные'!$V$88*'Вводные'!$B$30,0)</x:f>
      </x:c>
      <x:c r="EW57" s="117">
        <x:f>IF(AND(YEAR(EW$3)=YEAR($B$6),MONTH(EW$3)=MONTH($B$6),$B$5=1),('CAPEX'!$B$14+'CAPEX'!$B$17+'CAPEX'!$B$18+IF('Вводные'!$B$37="Денежная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компенсация",'Вводные'!$B$56*'Вводные'!$R$88*'Вводные'!$H$6,0)))*'Вводные'!$B$30,0)+IF(AND(YEAR(EW$3)=YEAR($B$7),MONTH(EW$3)=MONTH($B$7),$B$5=1),'Вводные'!$B$26*'Вводные'!$V$88*'Вводные'!$B$30,0)</x:f>
      </x:c>
      <x:c r="EX57" s="117">
        <x:f>IF(AND(YEAR(EX$3)=YEAR($B$6),MONTH(EX$3)=MONTH($B$6),$B$5=1),('CAPEX'!$B$14+'CAPEX'!$B$17+'CAPEX'!$B$18+IF('Вводные'!$B$37="Денежная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компенсация",'Вводные'!$B$56*'Вводные'!$R$88*'Вводные'!$H$6,0)))*'Вводные'!$B$30,0)+IF(AND(YEAR(EX$3)=YEAR($B$7),MONTH(EX$3)=MONTH($B$7),$B$5=1),'Вводные'!$B$26*'Вводные'!$V$88*'Вводные'!$B$30,0)</x:f>
      </x:c>
      <x:c r="EY57" s="117">
        <x:f>IF(AND(YEAR(EY$3)=YEAR($B$6),MONTH(EY$3)=MONTH($B$6),$B$5=1),('CAPEX'!$B$14+'CAPEX'!$B$17+'CAPEX'!$B$18+IF('Вводные'!$B$37="Денежная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компенсация",'Вводные'!$B$56*'Вводные'!$R$88*'Вводные'!$H$6,0)))*'Вводные'!$B$30,0)+IF(AND(YEAR(EY$3)=YEAR($B$7),MONTH(EY$3)=MONTH($B$7),$B$5=1),'Вводные'!$B$26*'Вводные'!$V$88*'Вводные'!$B$30,0)</x:f>
      </x:c>
      <x:c r="EZ57" s="117">
        <x:f>IF(AND(YEAR(EZ$3)=YEAR($B$6),MONTH(EZ$3)=MONTH($B$6),$B$5=1),('CAPEX'!$B$14+'CAPEX'!$B$17+'CAPEX'!$B$18+IF('Вводные'!$B$37="Денежная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компенсация",'Вводные'!$B$56*'Вводные'!$R$88*'Вводные'!$H$6,0)))*'Вводные'!$B$30,0)+IF(AND(YEAR(EZ$3)=YEAR($B$7),MONTH(EZ$3)=MONTH($B$7),$B$5=1),'Вводные'!$B$26*'Вводные'!$V$88*'Вводные'!$B$30,0)</x:f>
      </x:c>
      <x:c r="FA57" s="117">
        <x:f>IF(AND(YEAR(FA$3)=YEAR($B$6),MONTH(FA$3)=MONTH($B$6),$B$5=1),('CAPEX'!$B$14+'CAPEX'!$B$17+'CAPEX'!$B$18+IF('Вводные'!$B$37="Денежная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компенсация",'Вводные'!$B$56*'Вводные'!$R$88*'Вводные'!$H$6,0)))*'Вводные'!$B$30,0)+IF(AND(YEAR(FA$3)=YEAR($B$7),MONTH(FA$3)=MONTH($B$7),$B$5=1),'Вводные'!$B$26*'Вводные'!$V$88*'Вводные'!$B$30,0)</x:f>
      </x:c>
      <x:c r="FB57" s="117">
        <x:f>IF(AND(YEAR(FB$3)=YEAR($B$6),MONTH(FB$3)=MONTH($B$6),$B$5=1),('CAPEX'!$B$14+'CAPEX'!$B$17+'CAPEX'!$B$18+IF('Вводные'!$B$37="Денежная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компенсация",'Вводные'!$B$56*'Вводные'!$R$88*'Вводные'!$H$6,0)))*'Вводные'!$B$30,0)+IF(AND(YEAR(FB$3)=YEAR($B$7),MONTH(FB$3)=MONTH($B$7),$B$5=1),'Вводные'!$B$26*'Вводные'!$V$88*'Вводные'!$B$30,0)</x:f>
      </x:c>
      <x:c r="FC57" s="117">
        <x:f>IF(AND(YEAR(FC$3)=YEAR($B$6),MONTH(FC$3)=MONTH($B$6),$B$5=1),('CAPEX'!$B$14+'CAPEX'!$B$17+'CAPEX'!$B$18+IF('Вводные'!$B$37="Денежная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компенсация",'Вводные'!$B$56*'Вводные'!$R$88*'Вводные'!$H$6,0)))*'Вводные'!$B$30,0)+IF(AND(YEAR(FC$3)=YEAR($B$7),MONTH(FC$3)=MONTH($B$7),$B$5=1),'Вводные'!$B$26*'Вводные'!$V$88*'Вводные'!$B$30,0)</x:f>
      </x:c>
      <x:c r="FD57" s="117">
        <x:f>IF(AND(YEAR(FD$3)=YEAR($B$6),MONTH(FD$3)=MONTH($B$6),$B$5=1),('CAPEX'!$B$14+'CAPEX'!$B$17+'CAPEX'!$B$18+IF('Вводные'!$B$37="Денежная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компенсация",'Вводные'!$B$56*'Вводные'!$R$88*'Вводные'!$H$6,0)))*'Вводные'!$B$30,0)+IF(AND(YEAR(FD$3)=YEAR($B$7),MONTH(FD$3)=MONTH($B$7),$B$5=1),'Вводные'!$B$26*'Вводные'!$V$88*'Вводные'!$B$30,0)</x:f>
      </x:c>
      <x:c r="FE57" s="117">
        <x:f>IF(AND(YEAR(FE$3)=YEAR($B$6),MONTH(FE$3)=MONTH($B$6),$B$5=1),('CAPEX'!$B$14+'CAPEX'!$B$17+'CAPEX'!$B$18+IF('Вводные'!$B$37="Денежная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компенсация",'Вводные'!$B$56*'Вводные'!$R$88*'Вводные'!$H$6,0)))*'Вводные'!$B$30,0)+IF(AND(YEAR(FE$3)=YEAR($B$7),MONTH(FE$3)=MONTH($B$7),$B$5=1),'Вводные'!$B$26*'Вводные'!$V$88*'Вводные'!$B$30,0)</x:f>
      </x:c>
      <x:c r="FF57" s="117">
        <x:f>IF(AND(YEAR(FF$3)=YEAR($B$6),MONTH(FF$3)=MONTH($B$6),$B$5=1),('CAPEX'!$B$14+'CAPEX'!$B$17+'CAPEX'!$B$18+IF('Вводные'!$B$37="Денежная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компенсация",'Вводные'!$B$56*'Вводные'!$R$88*'Вводные'!$H$6,0)))*'Вводные'!$B$30,0)+IF(AND(YEAR(FF$3)=YEAR($B$7),MONTH(FF$3)=MONTH($B$7),$B$5=1),'Вводные'!$B$26*'Вводные'!$V$88*'Вводные'!$B$30,0)</x:f>
      </x:c>
      <x:c r="FG57" s="117">
        <x:f>IF(AND(YEAR(FG$3)=YEAR($B$6),MONTH(FG$3)=MONTH($B$6),$B$5=1),('CAPEX'!$B$14+'CAPEX'!$B$17+'CAPEX'!$B$18+IF('Вводные'!$B$37="Денежная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компенсация",'Вводные'!$B$56*'Вводные'!$R$88*'Вводные'!$H$6,0)))*'Вводные'!$B$30,0)+IF(AND(YEAR(FG$3)=YEAR($B$7),MONTH(FG$3)=MONTH($B$7),$B$5=1),'Вводные'!$B$26*'Вводные'!$V$88*'Вводные'!$B$30,0)</x:f>
      </x:c>
      <x:c r="FH57" s="117">
        <x:f>IF(AND(YEAR(FH$3)=YEAR($B$6),MONTH(FH$3)=MONTH($B$6),$B$5=1),('CAPEX'!$B$14+'CAPEX'!$B$17+'CAPEX'!$B$18+IF('Вводные'!$B$37="Денежная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компенсация",'Вводные'!$B$56*'Вводные'!$R$88*'Вводные'!$H$6,0)))*'Вводные'!$B$30,0)+IF(AND(YEAR(FH$3)=YEAR($B$7),MONTH(FH$3)=MONTH($B$7),$B$5=1),'Вводные'!$B$26*'Вводные'!$V$88*'Вводные'!$B$30,0)</x:f>
      </x:c>
      <x:c r="FI57" s="117">
        <x:f>IF(AND(YEAR(FI$3)=YEAR($B$6),MONTH(FI$3)=MONTH($B$6),$B$5=1),('CAPEX'!$B$14+'CAPEX'!$B$17+'CAPEX'!$B$18+IF('Вводные'!$B$37="Денежная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компенсация",'Вводные'!$B$56*'Вводные'!$R$88*'Вводные'!$H$6,0)))*'Вводные'!$B$30,0)+IF(AND(YEAR(FI$3)=YEAR($B$7),MONTH(FI$3)=MONTH($B$7),$B$5=1),'Вводные'!$B$26*'Вводные'!$V$88*'Вводные'!$B$30,0)</x:f>
      </x:c>
      <x:c r="FJ57" s="117">
        <x:f>IF(AND(YEAR(FJ$3)=YEAR($B$6),MONTH(FJ$3)=MONTH($B$6),$B$5=1),('CAPEX'!$B$14+'CAPEX'!$B$17+'CAPEX'!$B$18+IF('Вводные'!$B$37="Денежная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компенсация",'Вводные'!$B$56*'Вводные'!$R$88*'Вводные'!$H$6,0)))*'Вводные'!$B$30,0)+IF(AND(YEAR(FJ$3)=YEAR($B$7),MONTH(FJ$3)=MONTH($B$7),$B$5=1),'Вводные'!$B$26*'Вводные'!$V$88*'Вводные'!$B$30,0)</x:f>
      </x:c>
      <x:c r="FK57" s="117">
        <x:f>IF(AND(YEAR(FK$3)=YEAR($B$6),MONTH(FK$3)=MONTH($B$6),$B$5=1),('CAPEX'!$B$14+'CAPEX'!$B$17+'CAPEX'!$B$18+IF('Вводные'!$B$37="Денежная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компенсация",'Вводные'!$B$56*'Вводные'!$R$88*'Вводные'!$H$6,0)))*'Вводные'!$B$30,0)+IF(AND(YEAR(FK$3)=YEAR($B$7),MONTH(FK$3)=MONTH($B$7),$B$5=1),'Вводные'!$B$26*'Вводные'!$V$88*'Вводные'!$B$30,0)</x:f>
      </x:c>
      <x:c r="FL57" s="117">
        <x:f>IF(AND(YEAR(FL$3)=YEAR($B$6),MONTH(FL$3)=MONTH($B$6),$B$5=1),('CAPEX'!$B$14+'CAPEX'!$B$17+'CAPEX'!$B$18+IF('Вводные'!$B$37="Денежная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компенсация",'Вводные'!$B$56*'Вводные'!$R$88*'Вводные'!$H$6,0)))*'Вводные'!$B$30,0)+IF(AND(YEAR(FL$3)=YEAR($B$7),MONTH(FL$3)=MONTH($B$7),$B$5=1),'Вводные'!$B$26*'Вводные'!$V$88*'Вводные'!$B$30,0)</x:f>
      </x:c>
      <x:c r="FM57" s="117">
        <x:f>IF(AND(YEAR(FM$3)=YEAR($B$6),MONTH(FM$3)=MONTH($B$6),$B$5=1),('CAPEX'!$B$14+'CAPEX'!$B$17+'CAPEX'!$B$18+IF('Вводные'!$B$37="Денежная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компенсация",'Вводные'!$B$56*'Вводные'!$R$88*'Вводные'!$H$6,0)))*'Вводные'!$B$30,0)+IF(AND(YEAR(FM$3)=YEAR($B$7),MONTH(FM$3)=MONTH($B$7),$B$5=1),'Вводные'!$B$26*'Вводные'!$V$88*'Вводные'!$B$30,0)</x:f>
      </x:c>
      <x:c r="FN57" s="117">
        <x:f>IF(AND(YEAR(FN$3)=YEAR($B$6),MONTH(FN$3)=MONTH($B$6),$B$5=1),('CAPEX'!$B$14+'CAPEX'!$B$17+'CAPEX'!$B$18+IF('Вводные'!$B$37="Денежная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компенсация",'Вводные'!$B$56*'Вводные'!$R$88*'Вводные'!$H$6,0)))*'Вводные'!$B$30,0)+IF(AND(YEAR(FN$3)=YEAR($B$7),MONTH(FN$3)=MONTH($B$7),$B$5=1),'Вводные'!$B$26*'Вводные'!$V$88*'Вводные'!$B$30,0)</x:f>
      </x:c>
      <x:c r="FO57" s="117">
        <x:f>IF(AND(YEAR(FO$3)=YEAR($B$6),MONTH(FO$3)=MONTH($B$6),$B$5=1),('CAPEX'!$B$14+'CAPEX'!$B$17+'CAPEX'!$B$18+IF('Вводные'!$B$37="Денежная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компенсация",'Вводные'!$B$56*'Вводные'!$R$88*'Вводные'!$H$6,0)))*'Вводные'!$B$30,0)+IF(AND(YEAR(FO$3)=YEAR($B$7),MONTH(FO$3)=MONTH($B$7),$B$5=1),'Вводные'!$B$26*'Вводные'!$V$88*'Вводные'!$B$30,0)</x:f>
      </x:c>
      <x:c r="FP57" s="117">
        <x:f>IF(AND(YEAR(FP$3)=YEAR($B$6),MONTH(FP$3)=MONTH($B$6),$B$5=1),('CAPEX'!$B$14+'CAPEX'!$B$17+'CAPEX'!$B$18+IF('Вводные'!$B$37="Денежная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компенсация",'Вводные'!$B$56*'Вводные'!$R$88*'Вводные'!$H$6,0)))*'Вводные'!$B$30,0)+IF(AND(YEAR(FP$3)=YEAR($B$7),MONTH(FP$3)=MONTH($B$7),$B$5=1),'Вводные'!$B$26*'Вводные'!$V$88*'Вводные'!$B$30,0)</x:f>
      </x:c>
      <x:c r="FQ57" s="117">
        <x:f>IF(AND(YEAR(FQ$3)=YEAR($B$6),MONTH(FQ$3)=MONTH($B$6),$B$5=1),('CAPEX'!$B$14+'CAPEX'!$B$17+'CAPEX'!$B$18+IF('Вводные'!$B$37="Денежная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компенсация",'Вводные'!$B$56*'Вводные'!$R$88*'Вводные'!$H$6,0)))*'Вводные'!$B$30,0)+IF(AND(YEAR(FQ$3)=YEAR($B$7),MONTH(FQ$3)=MONTH($B$7),$B$5=1),'Вводные'!$B$26*'Вводные'!$V$88*'Вводные'!$B$30,0)</x:f>
      </x:c>
      <x:c r="FR57" s="117">
        <x:f>IF(AND(YEAR(FR$3)=YEAR($B$6),MONTH(FR$3)=MONTH($B$6),$B$5=1),('CAPEX'!$B$14+'CAPEX'!$B$17+'CAPEX'!$B$18+IF('Вводные'!$B$37="Денежная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компенсация",'Вводные'!$B$56*'Вводные'!$R$88*'Вводные'!$H$6,0)))*'Вводные'!$B$30,0)+IF(AND(YEAR(FR$3)=YEAR($B$7),MONTH(FR$3)=MONTH($B$7),$B$5=1),'Вводные'!$B$26*'Вводные'!$V$88*'Вводные'!$B$30,0)</x:f>
      </x:c>
      <x:c r="FS57" s="117">
        <x:f>IF(AND(YEAR(FS$3)=YEAR($B$6),MONTH(FS$3)=MONTH($B$6),$B$5=1),('CAPEX'!$B$14+'CAPEX'!$B$17+'CAPEX'!$B$18+IF('Вводные'!$B$37="Денежная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компенсация",'Вводные'!$B$56*'Вводные'!$R$88*'Вводные'!$H$6,0)))*'Вводные'!$B$30,0)+IF(AND(YEAR(FS$3)=YEAR($B$7),MONTH(FS$3)=MONTH($B$7),$B$5=1),'Вводные'!$B$26*'Вводные'!$V$88*'Вводные'!$B$30,0)</x:f>
      </x:c>
      <x:c r="FT57" s="117">
        <x:f>IF(AND(YEAR(FT$3)=YEAR($B$6),MONTH(FT$3)=MONTH($B$6),$B$5=1),('CAPEX'!$B$14+'CAPEX'!$B$17+'CAPEX'!$B$18+IF('Вводные'!$B$37="Денежная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компенсация",'Вводные'!$B$56*'Вводные'!$R$88*'Вводные'!$H$6,0)))*'Вводные'!$B$30,0)+IF(AND(YEAR(FT$3)=YEAR($B$7),MONTH(FT$3)=MONTH($B$7),$B$5=1),'Вводные'!$B$26*'Вводные'!$V$88*'Вводные'!$B$30,0)</x:f>
      </x:c>
      <x:c r="FU57" s="117">
        <x:f>IF(AND(YEAR(FU$3)=YEAR($B$6),MONTH(FU$3)=MONTH($B$6),$B$5=1),('CAPEX'!$B$14+'CAPEX'!$B$17+'CAPEX'!$B$18+IF('Вводные'!$B$37="Денежная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компенсация",'Вводные'!$B$56*'Вводные'!$R$88*'Вводные'!$H$6,0)))*'Вводные'!$B$30,0)+IF(AND(YEAR(FU$3)=YEAR($B$7),MONTH(FU$3)=MONTH($B$7),$B$5=1),'Вводные'!$B$26*'Вводные'!$V$88*'Вводные'!$B$30,0)</x:f>
      </x:c>
      <x:c r="FV57" s="117">
        <x:f>IF(AND(YEAR(FV$3)=YEAR($B$6),MONTH(FV$3)=MONTH($B$6),$B$5=1),('CAPEX'!$B$14+'CAPEX'!$B$17+'CAPEX'!$B$18+IF('Вводные'!$B$37="Денежная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компенсация",'Вводные'!$B$56*'Вводные'!$R$88*'Вводные'!$H$6,0)))*'Вводные'!$B$30,0)+IF(AND(YEAR(FV$3)=YEAR($B$7),MONTH(FV$3)=MONTH($B$7),$B$5=1),'Вводные'!$B$26*'Вводные'!$V$88*'Вводные'!$B$30,0)</x:f>
      </x:c>
      <x:c r="FW57" s="117">
        <x:f>IF(AND(YEAR(FW$3)=YEAR($B$6),MONTH(FW$3)=MONTH($B$6),$B$5=1),('CAPEX'!$B$14+'CAPEX'!$B$17+'CAPEX'!$B$18+IF('Вводные'!$B$37="Денежная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компенсация",'Вводные'!$B$56*'Вводные'!$R$88*'Вводные'!$H$6,0)))*'Вводные'!$B$30,0)+IF(AND(YEAR(FW$3)=YEAR($B$7),MONTH(FW$3)=MONTH($B$7),$B$5=1),'Вводные'!$B$26*'Вводные'!$V$88*'Вводные'!$B$30,0)</x:f>
      </x:c>
      <x:c r="FX57" s="117">
        <x:f>IF(AND(YEAR(FX$3)=YEAR($B$6),MONTH(FX$3)=MONTH($B$6),$B$5=1),('CAPEX'!$B$14+'CAPEX'!$B$17+'CAPEX'!$B$18+IF('Вводные'!$B$37="Денежная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компенсация",'Вводные'!$B$56*'Вводные'!$R$88*'Вводные'!$H$6,0)))*'Вводные'!$B$30,0)+IF(AND(YEAR(FX$3)=YEAR($B$7),MONTH(FX$3)=MONTH($B$7),$B$5=1),'Вводные'!$B$26*'Вводные'!$V$88*'Вводные'!$B$30,0)</x:f>
      </x:c>
      <x:c r="FY57" s="117">
        <x:f>IF(AND(YEAR(FY$3)=YEAR($B$6),MONTH(FY$3)=MONTH($B$6),$B$5=1),('CAPEX'!$B$14+'CAPEX'!$B$17+'CAPEX'!$B$18+IF('Вводные'!$B$37="Денежная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компенсация",'Вводные'!$B$56*'Вводные'!$R$88*'Вводные'!$H$6,0)))*'Вводные'!$B$30,0)+IF(AND(YEAR(FY$3)=YEAR($B$7),MONTH(FY$3)=MONTH($B$7),$B$5=1),'Вводные'!$B$26*'Вводные'!$V$88*'Вводные'!$B$30,0)</x:f>
      </x:c>
      <x:c r="FZ57" s="117">
        <x:f>IF(AND(YEAR(FZ$3)=YEAR($B$6),MONTH(FZ$3)=MONTH($B$6),$B$5=1),('CAPEX'!$B$14+'CAPEX'!$B$17+'CAPEX'!$B$18+IF('Вводные'!$B$37="Денежная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компенсация",'Вводные'!$B$56*'Вводные'!$R$88*'Вводные'!$H$6,0)))*'Вводные'!$B$30,0)+IF(AND(YEAR(FZ$3)=YEAR($B$7),MONTH(FZ$3)=MONTH($B$7),$B$5=1),'Вводные'!$B$26*'Вводные'!$V$88*'Вводные'!$B$30,0)</x:f>
      </x:c>
      <x:c r="GA57" s="117">
        <x:f>IF(AND(YEAR(GA$3)=YEAR($B$6),MONTH(GA$3)=MONTH($B$6),$B$5=1),('CAPEX'!$B$14+'CAPEX'!$B$17+'CAPEX'!$B$18+IF('Вводные'!$B$37="Денежная компенсация",'CAPEX'!$B$31,IF('Вводные'!$B$37="Строительство и компенсация",'Вводные'!$B$56*'Вводные'!$R$88*'Вводные'!$H$6,0)))*'Вводные'!$B$30,0)+IF(AND(YEAR(GA$3)=YEAR($B$7),MONTH(GA$3)=MONTH($B$7),$B$5=1),'Вводные'!$B$26*'Вводные'!$V$88*'Вводные'!$B$30,0)</x:f>
      </x:c>
    </x:row>
    <x:row r="58">
      <x:c r="A58" t="inlineStr">
        <x:is>
          <x:t/>
        </x:is>
      </x:c>
      <x:c r="B58" s="126"/>
      <x:c r="C58" s="126" t="str">
        <x:v>×</x:v>
      </x:c>
      <x:c r="D58" s="125"/>
      <x:c r="E58" s="125"/>
      <x:c r="F58" s="125"/>
      <x:c r="G58" s="125"/>
      <x:c r="H58" s="125"/>
      <x:c r="I58" s="125"/>
      <x:c r="J58" s="125"/>
      <x:c r="K58" s="125"/>
      <x:c r="L58" s="125"/>
      <x:c r="M58" s="125"/>
      <x:c r="N58" s="125"/>
      <x:c r="O58" s="125"/>
      <x:c r="P58" s="125"/>
      <x:c r="Q58" s="125"/>
      <x:c r="R58" s="125"/>
      <x:c r="S58" s="125"/>
      <x:c r="T58" s="125"/>
      <x:c r="U58" s="125"/>
      <x:c r="V58" s="125"/>
      <x:c r="W58" s="125"/>
      <x:c r="X58" s="125"/>
      <x:c r="Y58" s="125"/>
      <x:c r="Z58" s="125"/>
      <x:c r="AA58" s="125"/>
      <x:c r="AB58" s="125"/>
      <x:c r="AC58" s="125"/>
      <x:c r="AD58" s="125"/>
      <x:c r="AE58" s="125"/>
      <x:c r="AF58" s="125"/>
      <x:c r="AG58" s="125"/>
      <x:c r="AH58" s="125"/>
      <x:c r="AI58" s="125"/>
      <x:c r="AJ58" s="125"/>
      <x:c r="AK58" s="125"/>
      <x:c r="AL58" s="125"/>
      <x:c r="AM58" s="125"/>
      <x:c r="AN58" s="125"/>
      <x:c r="AO58" s="125"/>
      <x:c r="AP58" s="125"/>
      <x:c r="AQ58" s="125"/>
      <x:c r="AR58" s="125"/>
      <x:c r="AS58" s="125"/>
      <x:c r="AT58" s="125"/>
      <x:c r="AU58" s="125"/>
      <x:c r="AV58" s="125"/>
      <x:c r="AW58" s="125"/>
      <x:c r="AX58" s="125"/>
      <x:c r="AY58" s="125"/>
      <x:c r="AZ58" s="125"/>
      <x:c r="BA58" s="125"/>
      <x:c r="BB58" s="125"/>
      <x:c r="BC58" s="125"/>
      <x:c r="BD58" s="125"/>
      <x:c r="BE58" s="125"/>
      <x:c r="BF58" s="125"/>
      <x:c r="BG58" s="125"/>
      <x:c r="BH58" s="125"/>
      <x:c r="BI58" s="125"/>
      <x:c r="BJ58" s="125"/>
      <x:c r="BK58" s="125"/>
      <x:c r="BL58" s="125"/>
      <x:c r="BM58" s="125"/>
      <x:c r="BN58" s="125"/>
      <x:c r="BO58" s="125"/>
      <x:c r="BP58" s="125"/>
      <x:c r="BQ58" s="125"/>
      <x:c r="BR58" s="125"/>
      <x:c r="BS58" s="125"/>
      <x:c r="BT58" s="125"/>
      <x:c r="BU58" s="125"/>
      <x:c r="BV58" s="125"/>
      <x:c r="BW58" s="125"/>
      <x:c r="BX58" s="125"/>
      <x:c r="BY58" s="125"/>
      <x:c r="BZ58" s="125"/>
      <x:c r="CA58" s="125"/>
      <x:c r="CB58" s="125"/>
      <x:c r="CC58" s="125"/>
      <x:c r="CD58" s="125"/>
      <x:c r="CE58" s="125"/>
      <x:c r="CF58" s="125"/>
      <x:c r="CG58" s="125"/>
      <x:c r="CH58" s="125"/>
      <x:c r="CI58" s="125"/>
      <x:c r="CJ58" s="125"/>
      <x:c r="CK58" s="125"/>
      <x:c r="CL58" s="125"/>
      <x:c r="CM58" s="125"/>
      <x:c r="CN58" s="125"/>
      <x:c r="CO58" s="125"/>
      <x:c r="CP58" s="125"/>
      <x:c r="CQ58" s="125"/>
      <x:c r="CR58" s="125"/>
      <x:c r="CS58" s="125"/>
      <x:c r="CT58" s="125"/>
      <x:c r="CU58" s="125"/>
      <x:c r="CV58" s="125"/>
      <x:c r="CW58" s="125"/>
      <x:c r="CX58" s="125"/>
      <x:c r="CY58" s="125"/>
      <x:c r="CZ58" s="125"/>
      <x:c r="DA58" s="125"/>
      <x:c r="DB58" s="125"/>
      <x:c r="DC58" s="125"/>
      <x:c r="DD58" s="125"/>
      <x:c r="DE58" s="125"/>
      <x:c r="DF58" s="125"/>
      <x:c r="DG58" s="125"/>
      <x:c r="DH58" s="125"/>
      <x:c r="DI58" s="125"/>
      <x:c r="DJ58" s="125"/>
      <x:c r="DK58" s="125"/>
      <x:c r="DL58" s="125"/>
      <x:c r="DM58" s="125"/>
      <x:c r="DN58" s="125"/>
      <x:c r="DO58" s="125"/>
      <x:c r="DP58" s="125"/>
      <x:c r="DQ58" s="125"/>
      <x:c r="DR58" s="125"/>
      <x:c r="DS58" s="125"/>
      <x:c r="DT58" s="125"/>
      <x:c r="DU58" s="125"/>
      <x:c r="DV58" s="125"/>
      <x:c r="DW58" s="125"/>
      <x:c r="DX58" s="125"/>
      <x:c r="DY58" s="125"/>
      <x:c r="DZ58" s="125"/>
      <x:c r="EA58" s="125"/>
      <x:c r="EB58" s="125"/>
      <x:c r="EC58" s="125"/>
      <x:c r="ED58" s="125"/>
      <x:c r="EE58" s="125"/>
      <x:c r="EF58" s="125"/>
      <x:c r="EG58" s="125"/>
      <x:c r="EH58" s="125"/>
      <x:c r="EI58" s="125"/>
      <x:c r="EJ58" s="125"/>
      <x:c r="EK58" s="125"/>
      <x:c r="EL58" s="125"/>
      <x:c r="EM58" s="125"/>
      <x:c r="EN58" s="125"/>
      <x:c r="EO58" s="125"/>
      <x:c r="EP58" s="125"/>
      <x:c r="EQ58" s="125"/>
      <x:c r="ER58" s="125"/>
      <x:c r="ES58" s="125"/>
      <x:c r="ET58" s="125"/>
      <x:c r="EU58" s="125"/>
      <x:c r="EV58" s="125"/>
      <x:c r="EW58" s="125"/>
      <x:c r="EX58" s="125"/>
      <x:c r="EY58" s="125"/>
      <x:c r="EZ58" s="125"/>
      <x:c r="FA58" s="125"/>
      <x:c r="FB58" s="125"/>
      <x:c r="FC58" s="125"/>
      <x:c r="FD58" s="125"/>
      <x:c r="FE58" s="125"/>
      <x:c r="FF58" s="125"/>
      <x:c r="FG58" s="125"/>
      <x:c r="FH58" s="125"/>
      <x:c r="FI58" s="125"/>
      <x:c r="FJ58" s="125"/>
      <x:c r="FK58" s="125"/>
      <x:c r="FL58" s="125"/>
      <x:c r="FM58" s="125"/>
      <x:c r="FN58" s="125"/>
      <x:c r="FO58" s="125"/>
      <x:c r="FP58" s="125"/>
      <x:c r="FQ58" s="125"/>
      <x:c r="FR58" s="125"/>
      <x:c r="FS58" s="125"/>
      <x:c r="FT58" s="125"/>
      <x:c r="FU58" s="125"/>
      <x:c r="FV58" s="125"/>
      <x:c r="FW58" s="125"/>
      <x:c r="FX58" s="125"/>
      <x:c r="FY58" s="125"/>
      <x:c r="FZ58" s="125"/>
      <x:c r="GA58" s="125"/>
    </x:row>
    <x:row r="59">
      <x:c r="A59" t="str">
        <x:v>Собственные средства — остаток</x:v>
      </x:c>
      <x:c r="B59">
        <x:f>GA59</x:f>
      </x:c>
      <x:c r="C59" t="str">
        <x:v>млн ₽</x:v>
      </x:c>
      <x:c r="D59" s="117">
        <x:f>MAX(0,'Вводные'!$B$85*'Вводные'!$AI$88-D56)</x:f>
      </x:c>
      <x:c r="E59" s="117">
        <x:f>MAX(0,D59-E56)</x:f>
      </x:c>
      <x:c r="F59" s="117">
        <x:f>MAX(0,E59-F56)</x:f>
      </x:c>
      <x:c r="G59" s="117">
        <x:f>MAX(0,F59-G56)</x:f>
      </x:c>
      <x:c r="H59" s="117">
        <x:f>MAX(0,G59-H56)</x:f>
      </x:c>
      <x:c r="I59" s="117">
        <x:f>MAX(0,H59-I56)</x:f>
      </x:c>
      <x:c r="J59" s="117">
        <x:f>MAX(0,I59-J56)</x:f>
      </x:c>
      <x:c r="K59" s="117">
        <x:f>MAX(0,J59-K56)</x:f>
      </x:c>
      <x:c r="L59" s="117">
        <x:f>MAX(0,K59-L56)</x:f>
      </x:c>
      <x:c r="M59" s="117">
        <x:f>MAX(0,L59-M56)</x:f>
      </x:c>
      <x:c r="N59" s="117">
        <x:f>MAX(0,M59-N56)</x:f>
      </x:c>
      <x:c r="O59" s="117">
        <x:f>MAX(0,N59-O56)</x:f>
      </x:c>
      <x:c r="P59" s="117">
        <x:f>MAX(0,O59-P56)</x:f>
      </x:c>
      <x:c r="Q59" s="117">
        <x:f>MAX(0,P59-Q56)</x:f>
      </x:c>
      <x:c r="R59" s="117">
        <x:f>MAX(0,Q59-R56)</x:f>
      </x:c>
      <x:c r="S59" s="117">
        <x:f>MAX(0,R59-S56)</x:f>
      </x:c>
      <x:c r="T59" s="117">
        <x:f>MAX(0,S59-T56)</x:f>
      </x:c>
      <x:c r="U59" s="117">
        <x:f>MAX(0,T59-U56)</x:f>
      </x:c>
      <x:c r="V59" s="117">
        <x:f>MAX(0,U59-V56)</x:f>
      </x:c>
      <x:c r="W59" s="117">
        <x:f>MAX(0,V59-W56)</x:f>
      </x:c>
      <x:c r="X59" s="117">
        <x:f>MAX(0,W59-X56)</x:f>
      </x:c>
      <x:c r="Y59" s="117">
        <x:f>MAX(0,X59-Y56)</x:f>
      </x:c>
      <x:c r="Z59" s="117">
        <x:f>MAX(0,Y59-Z56)</x:f>
      </x:c>
      <x:c r="AA59" s="117">
        <x:f>MAX(0,Z59-AA56)</x:f>
      </x:c>
      <x:c r="AB59" s="117">
        <x:f>MAX(0,AA59-AB56)</x:f>
      </x:c>
      <x:c r="AC59" s="117">
        <x:f>MAX(0,AB59-AC56)</x:f>
      </x:c>
      <x:c r="AD59" s="117">
        <x:f>MAX(0,AC59-AD56)</x:f>
      </x:c>
      <x:c r="AE59" s="117">
        <x:f>MAX(0,AD59-AE56)</x:f>
      </x:c>
      <x:c r="AF59" s="117">
        <x:f>MAX(0,AE59-AF56)</x:f>
      </x:c>
      <x:c r="AG59" s="117">
        <x:f>MAX(0,AF59-AG56)</x:f>
      </x:c>
      <x:c r="AH59" s="117">
        <x:f>MAX(0,AG59-AH56)</x:f>
      </x:c>
      <x:c r="AI59" s="117">
        <x:f>MAX(0,AH59-AI56)</x:f>
      </x:c>
      <x:c r="AJ59" s="117">
        <x:f>MAX(0,AI59-AJ56)</x:f>
      </x:c>
      <x:c r="AK59" s="117">
        <x:f>MAX(0,AJ59-AK56)</x:f>
      </x:c>
      <x:c r="AL59" s="117">
        <x:f>MAX(0,AK59-AL56)</x:f>
      </x:c>
      <x:c r="AM59" s="117">
        <x:f>MAX(0,AL59-AM56)</x:f>
      </x:c>
      <x:c r="AN59" s="117">
        <x:f>MAX(0,AM59-AN56)</x:f>
      </x:c>
      <x:c r="AO59" s="117">
        <x:f>MAX(0,AN59-AO56)</x:f>
      </x:c>
      <x:c r="AP59" s="117">
        <x:f>MAX(0,AO59-AP56)</x:f>
      </x:c>
      <x:c r="AQ59" s="117">
        <x:f>MAX(0,AP59-AQ56)</x:f>
      </x:c>
      <x:c r="AR59" s="117">
        <x:f>MAX(0,AQ59-AR56)</x:f>
      </x:c>
      <x:c r="AS59" s="117">
        <x:f>MAX(0,AR59-AS56)</x:f>
      </x:c>
      <x:c r="AT59" s="117">
        <x:f>MAX(0,AS59-AT56)</x:f>
      </x:c>
      <x:c r="AU59" s="117">
        <x:f>MAX(0,AT59-AU56)</x:f>
      </x:c>
      <x:c r="AV59" s="117">
        <x:f>MAX(0,AU59-AV56)</x:f>
      </x:c>
      <x:c r="AW59" s="117">
        <x:f>MAX(0,AV59-AW56)</x:f>
      </x:c>
      <x:c r="AX59" s="117">
        <x:f>MAX(0,AW59-AX56)</x:f>
      </x:c>
      <x:c r="AY59" s="117">
        <x:f>MAX(0,AX59-AY56)</x:f>
      </x:c>
      <x:c r="AZ59" s="117">
        <x:f>MAX(0,AY59-AZ56)</x:f>
      </x:c>
      <x:c r="BA59" s="117">
        <x:f>MAX(0,AZ59-BA56)</x:f>
      </x:c>
      <x:c r="BB59" s="117">
        <x:f>MAX(0,BA59-BB56)</x:f>
      </x:c>
      <x:c r="BC59" s="117">
        <x:f>MAX(0,BB59-BC56)</x:f>
      </x:c>
      <x:c r="BD59" s="117">
        <x:f>MAX(0,BC59-BD56)</x:f>
      </x:c>
      <x:c r="BE59" s="117">
        <x:f>MAX(0,BD59-BE56)</x:f>
      </x:c>
      <x:c r="BF59" s="117">
        <x:f>MAX(0,BE59-BF56)</x:f>
      </x:c>
      <x:c r="BG59" s="117">
        <x:f>MAX(0,BF59-BG56)</x:f>
      </x:c>
      <x:c r="BH59" s="117">
        <x:f>MAX(0,BG59-BH56)</x:f>
      </x:c>
      <x:c r="BI59" s="117">
        <x:f>MAX(0,BH59-BI56)</x:f>
      </x:c>
      <x:c r="BJ59" s="117">
        <x:f>MAX(0,BI59-BJ56)</x:f>
      </x:c>
      <x:c r="BK59" s="117">
        <x:f>MAX(0,BJ59-BK56)</x:f>
      </x:c>
      <x:c r="BL59" s="117">
        <x:f>MAX(0,BK59-BL56)</x:f>
      </x:c>
      <x:c r="BM59" s="117">
        <x:f>MAX(0,BL59-BM56)</x:f>
      </x:c>
      <x:c r="BN59" s="117">
        <x:f>MAX(0,BM59-BN56)</x:f>
      </x:c>
      <x:c r="BO59" s="117">
        <x:f>MAX(0,BN59-BO56)</x:f>
      </x:c>
      <x:c r="BP59" s="117">
        <x:f>MAX(0,BO59-BP56)</x:f>
      </x:c>
      <x:c r="BQ59" s="117">
        <x:f>MAX(0,BP59-BQ56)</x:f>
      </x:c>
      <x:c r="BR59" s="117">
        <x:f>MAX(0,BQ59-BR56)</x:f>
      </x:c>
      <x:c r="BS59" s="117">
        <x:f>MAX(0,BR59-BS56)</x:f>
      </x:c>
      <x:c r="BT59" s="117">
        <x:f>MAX(0,BS59-BT56)</x:f>
      </x:c>
      <x:c r="BU59" s="117">
        <x:f>MAX(0,BT59-BU56)</x:f>
      </x:c>
      <x:c r="BV59" s="117">
        <x:f>MAX(0,BU59-BV56)</x:f>
      </x:c>
      <x:c r="BW59" s="117">
        <x:f>MAX(0,BV59-BW56)</x:f>
      </x:c>
      <x:c r="BX59" s="117">
        <x:f>MAX(0,BW59-BX56)</x:f>
      </x:c>
      <x:c r="BY59" s="117">
        <x:f>MAX(0,BX59-BY56)</x:f>
      </x:c>
      <x:c r="BZ59" s="117">
        <x:f>MAX(0,BY59-BZ56)</x:f>
      </x:c>
      <x:c r="CA59" s="117">
        <x:f>MAX(0,BZ59-CA56)</x:f>
      </x:c>
      <x:c r="CB59" s="117">
        <x:f>MAX(0,CA59-CB56)</x:f>
      </x:c>
      <x:c r="CC59" s="117">
        <x:f>MAX(0,CB59-CC56)</x:f>
      </x:c>
      <x:c r="CD59" s="117">
        <x:f>MAX(0,CC59-CD56)</x:f>
      </x:c>
      <x:c r="CE59" s="117">
        <x:f>MAX(0,CD59-CE56)</x:f>
      </x:c>
      <x:c r="CF59" s="117">
        <x:f>MAX(0,CE59-CF56)</x:f>
      </x:c>
      <x:c r="CG59" s="117">
        <x:f>MAX(0,CF59-CG56)</x:f>
      </x:c>
      <x:c r="CH59" s="117">
        <x:f>MAX(0,CG59-CH56)</x:f>
      </x:c>
      <x:c r="CI59" s="117">
        <x:f>MAX(0,CH59-CI56)</x:f>
      </x:c>
      <x:c r="CJ59" s="117">
        <x:f>MAX(0,CI59-CJ56)</x:f>
      </x:c>
      <x:c r="CK59" s="117">
        <x:f>MAX(0,CJ59-CK56)</x:f>
      </x:c>
      <x:c r="CL59" s="117">
        <x:f>MAX(0,CK59-CL56)</x:f>
      </x:c>
      <x:c r="CM59" s="117">
        <x:f>MAX(0,CL59-CM56)</x:f>
      </x:c>
      <x:c r="CN59" s="117">
        <x:f>MAX(0,CM59-CN56)</x:f>
      </x:c>
      <x:c r="CO59" s="117">
        <x:f>MAX(0,CN59-CO56)</x:f>
      </x:c>
      <x:c r="CP59" s="117">
        <x:f>MAX(0,CO59-CP56)</x:f>
      </x:c>
      <x:c r="CQ59" s="117">
        <x:f>MAX(0,CP59-CQ56)</x:f>
      </x:c>
      <x:c r="CR59" s="117">
        <x:f>MAX(0,CQ59-CR56)</x:f>
      </x:c>
      <x:c r="CS59" s="117">
        <x:f>MAX(0,CR59-CS56)</x:f>
      </x:c>
      <x:c r="CT59" s="117">
        <x:f>MAX(0,CS59-CT56)</x:f>
      </x:c>
      <x:c r="CU59" s="117">
        <x:f>MAX(0,CT59-CU56)</x:f>
      </x:c>
      <x:c r="CV59" s="117">
        <x:f>MAX(0,CU59-CV56)</x:f>
      </x:c>
      <x:c r="CW59" s="117">
        <x:f>MAX(0,CV59-CW56)</x:f>
      </x:c>
      <x:c r="CX59" s="117">
        <x:f>MAX(0,CW59-CX56)</x:f>
      </x:c>
      <x:c r="CY59" s="117">
        <x:f>MAX(0,CX59-CY56)</x:f>
      </x:c>
      <x:c r="CZ59" s="117">
        <x:f>MAX(0,CY59-CZ56)</x:f>
      </x:c>
      <x:c r="DA59" s="117">
        <x:f>MAX(0,CZ59-DA56)</x:f>
      </x:c>
      <x:c r="DB59" s="117">
        <x:f>MAX(0,DA59-DB56)</x:f>
      </x:c>
      <x:c r="DC59" s="117">
        <x:f>MAX(0,DB59-DC56)</x:f>
      </x:c>
      <x:c r="DD59" s="117">
        <x:f>MAX(0,DC59-DD56)</x:f>
      </x:c>
      <x:c r="DE59" s="117">
        <x:f>MAX(0,DD59-DE56)</x:f>
      </x:c>
      <x:c r="DF59" s="117">
        <x:f>MAX(0,DE59-DF56)</x:f>
      </x:c>
      <x:c r="DG59" s="117">
        <x:f>MAX(0,DF59-DG56)</x:f>
      </x:c>
      <x:c r="DH59" s="117">
        <x:f>MAX(0,DG59-DH56)</x:f>
      </x:c>
      <x:c r="DI59" s="117">
        <x:f>MAX(0,DH59-DI56)</x:f>
      </x:c>
      <x:c r="DJ59" s="117">
        <x:f>MAX(0,DI59-DJ56)</x:f>
      </x:c>
      <x:c r="DK59" s="117">
        <x:f>MAX(0,DJ59-DK56)</x:f>
      </x:c>
      <x:c r="DL59" s="117">
        <x:f>MAX(0,DK59-DL56)</x:f>
      </x:c>
      <x:c r="DM59" s="117">
        <x:f>MAX(0,DL59-DM56)</x:f>
      </x:c>
      <x:c r="DN59" s="117">
        <x:f>MAX(0,DM59-DN56)</x:f>
      </x:c>
      <x:c r="DO59" s="117">
        <x:f>MAX(0,DN59-DO56)</x:f>
      </x:c>
      <x:c r="DP59" s="117">
        <x:f>MAX(0,DO59-DP56)</x:f>
      </x:c>
      <x:c r="DQ59" s="117">
        <x:f>MAX(0,DP59-DQ56)</x:f>
      </x:c>
      <x:c r="DR59" s="117">
        <x:f>MAX(0,DQ59-DR56)</x:f>
      </x:c>
      <x:c r="DS59" s="117">
        <x:f>MAX(0,DR59-DS56)</x:f>
      </x:c>
      <x:c r="DT59" s="117">
        <x:f>MAX(0,DS59-DT56)</x:f>
      </x:c>
      <x:c r="DU59" s="117">
        <x:f>MAX(0,DT59-DU56)</x:f>
      </x:c>
      <x:c r="DV59" s="117">
        <x:f>MAX(0,DU59-DV56)</x:f>
      </x:c>
      <x:c r="DW59" s="117">
        <x:f>MAX(0,DV59-DW56)</x:f>
      </x:c>
      <x:c r="DX59" s="117">
        <x:f>MAX(0,DW59-DX56)</x:f>
      </x:c>
      <x:c r="DY59" s="117">
        <x:f>MAX(0,DX59-DY56)</x:f>
      </x:c>
      <x:c r="DZ59" s="117">
        <x:f>MAX(0,DY59-DZ56)</x:f>
      </x:c>
      <x:c r="EA59" s="117">
        <x:f>MAX(0,DZ59-EA56)</x:f>
      </x:c>
      <x:c r="EB59" s="117">
        <x:f>MAX(0,EA59-EB56)</x:f>
      </x:c>
      <x:c r="EC59" s="117">
        <x:f>MAX(0,EB59-EC56)</x:f>
      </x:c>
      <x:c r="ED59" s="117">
        <x:f>MAX(0,EC59-ED56)</x:f>
      </x:c>
      <x:c r="EE59" s="117">
        <x:f>MAX(0,ED59-EE56)</x:f>
      </x:c>
      <x:c r="EF59" s="117">
        <x:f>MAX(0,EE59-EF56)</x:f>
      </x:c>
      <x:c r="EG59" s="117">
        <x:f>MAX(0,EF59-EG56)</x:f>
      </x:c>
      <x:c r="EH59" s="117">
        <x:f>MAX(0,EG59-EH56)</x:f>
      </x:c>
      <x:c r="EI59" s="117">
        <x:f>MAX(0,EH59-EI56)</x:f>
      </x:c>
      <x:c r="EJ59" s="117">
        <x:f>MAX(0,EI59-EJ56)</x:f>
      </x:c>
      <x:c r="EK59" s="117">
        <x:f>MAX(0,EJ59-EK56)</x:f>
      </x:c>
      <x:c r="EL59" s="117">
        <x:f>MAX(0,EK59-EL56)</x:f>
      </x:c>
      <x:c r="EM59" s="117">
        <x:f>MAX(0,EL59-EM56)</x:f>
      </x:c>
      <x:c r="EN59" s="117">
        <x:f>MAX(0,EM59-EN56)</x:f>
      </x:c>
      <x:c r="EO59" s="117">
        <x:f>MAX(0,EN59-EO56)</x:f>
      </x:c>
      <x:c r="EP59" s="117">
        <x:f>MAX(0,EO59-EP56)</x:f>
      </x:c>
      <x:c r="EQ59" s="117">
        <x:f>MAX(0,EP59-EQ56)</x:f>
      </x:c>
      <x:c r="ER59" s="117">
        <x:f>MAX(0,EQ59-ER56)</x:f>
      </x:c>
      <x:c r="ES59" s="117">
        <x:f>MAX(0,ER59-ES56)</x:f>
      </x:c>
      <x:c r="ET59" s="117">
        <x:f>MAX(0,ES59-ET56)</x:f>
      </x:c>
      <x:c r="EU59" s="117">
        <x:f>MAX(0,ET59-EU56)</x:f>
      </x:c>
      <x:c r="EV59" s="117">
        <x:f>MAX(0,EU59-EV56)</x:f>
      </x:c>
      <x:c r="EW59" s="117">
        <x:f>MAX(0,EV59-EW56)</x:f>
      </x:c>
      <x:c r="EX59" s="117">
        <x:f>MAX(0,EW59-EX56)</x:f>
      </x:c>
      <x:c r="EY59" s="117">
        <x:f>MAX(0,EX59-EY56)</x:f>
      </x:c>
      <x:c r="EZ59" s="117">
        <x:f>MAX(0,EY59-EZ56)</x:f>
      </x:c>
      <x:c r="FA59" s="117">
        <x:f>MAX(0,EZ59-FA56)</x:f>
      </x:c>
      <x:c r="FB59" s="117">
        <x:f>MAX(0,FA59-FB56)</x:f>
      </x:c>
      <x:c r="FC59" s="117">
        <x:f>MAX(0,FB59-FC56)</x:f>
      </x:c>
      <x:c r="FD59" s="117">
        <x:f>MAX(0,FC59-FD56)</x:f>
      </x:c>
      <x:c r="FE59" s="117">
        <x:f>MAX(0,FD59-FE56)</x:f>
      </x:c>
      <x:c r="FF59" s="117">
        <x:f>MAX(0,FE59-FF56)</x:f>
      </x:c>
      <x:c r="FG59" s="117">
        <x:f>MAX(0,FF59-FG56)</x:f>
      </x:c>
      <x:c r="FH59" s="117">
        <x:f>MAX(0,FG59-FH56)</x:f>
      </x:c>
      <x:c r="FI59" s="117">
        <x:f>MAX(0,FH59-FI56)</x:f>
      </x:c>
      <x:c r="FJ59" s="117">
        <x:f>MAX(0,FI59-FJ56)</x:f>
      </x:c>
      <x:c r="FK59" s="117">
        <x:f>MAX(0,FJ59-FK56)</x:f>
      </x:c>
      <x:c r="FL59" s="117">
        <x:f>MAX(0,FK59-FL56)</x:f>
      </x:c>
      <x:c r="FM59" s="117">
        <x:f>MAX(0,FL59-FM56)</x:f>
      </x:c>
      <x:c r="FN59" s="117">
        <x:f>MAX(0,FM59-FN56)</x:f>
      </x:c>
      <x:c r="FO59" s="117">
        <x:f>MAX(0,FN59-FO56)</x:f>
      </x:c>
      <x:c r="FP59" s="117">
        <x:f>MAX(0,FO59-FP56)</x:f>
      </x:c>
      <x:c r="FQ59" s="117">
        <x:f>MAX(0,FP59-FQ56)</x:f>
      </x:c>
      <x:c r="FR59" s="117">
        <x:f>MAX(0,FQ59-FR56)</x:f>
      </x:c>
      <x:c r="FS59" s="117">
        <x:f>MAX(0,FR59-FS56)</x:f>
      </x:c>
      <x:c r="FT59" s="117">
        <x:f>MAX(0,FS59-FT56)</x:f>
      </x:c>
      <x:c r="FU59" s="117">
        <x:f>MAX(0,FT59-FU56)</x:f>
      </x:c>
      <x:c r="FV59" s="117">
        <x:f>MAX(0,FU59-FV56)</x:f>
      </x:c>
      <x:c r="FW59" s="117">
        <x:f>MAX(0,FV59-FW56)</x:f>
      </x:c>
      <x:c r="FX59" s="117">
        <x:f>MAX(0,FW59-FX56)</x:f>
      </x:c>
      <x:c r="FY59" s="117">
        <x:f>MAX(0,FX59-FY56)</x:f>
      </x:c>
      <x:c r="FZ59" s="117">
        <x:f>MAX(0,FY59-FZ56)</x:f>
      </x:c>
      <x:c r="GA59" s="117">
        <x:f>MAX(0,FZ59-GA56)</x:f>
      </x:c>
    </x:row>
    <x:row r="60">
      <x:c r="A60" s="128" t="str">
        <x:v>CHECK: roll-forward БРИДЖ</x:v>
      </x:c>
      <x:c r="B60" s="128" t="n">
        <x:f>MAX(MAX(D60:GA60),-MIN(D60:GA60))</x:f>
      </x:c>
      <x:c r="C60" s="128" t="str">
        <x:v>млн ₽</x:v>
      </x:c>
      <x:c r="D60" s="118">
        <x:f>D36-(D30+D34-D35)</x:f>
      </x:c>
      <x:c r="E60" s="118">
        <x:f>E36-(E30+E34-E35)</x:f>
      </x:c>
      <x:c r="F60" s="118">
        <x:f>F36-(F30+F34-F35)</x:f>
      </x:c>
      <x:c r="G60" s="118">
        <x:f>G36-(G30+G34-G35)</x:f>
      </x:c>
      <x:c r="H60" s="118">
        <x:f>H36-(H30+H34-H35)</x:f>
      </x:c>
      <x:c r="I60" s="118">
        <x:f>I36-(I30+I34-I35)</x:f>
      </x:c>
      <x:c r="J60" s="118">
        <x:f>J36-(J30+J34-J35)</x:f>
      </x:c>
      <x:c r="K60" s="118">
        <x:f>K36-(K30+K34-K35)</x:f>
      </x:c>
      <x:c r="L60" s="118">
        <x:f>L36-(L30+L34-L35)</x:f>
      </x:c>
      <x:c r="M60" s="118">
        <x:f>M36-(M30+M34-M35)</x:f>
      </x:c>
      <x:c r="N60" s="118">
        <x:f>N36-(N30+N34-N35)</x:f>
      </x:c>
      <x:c r="O60" s="118">
        <x:f>O36-(O30+O34-O35)</x:f>
      </x:c>
      <x:c r="P60" s="118">
        <x:f>P36-(P30+P34-P35)</x:f>
      </x:c>
      <x:c r="Q60" s="118">
        <x:f>Q36-(Q30+Q34-Q35)</x:f>
      </x:c>
      <x:c r="R60" s="118">
        <x:f>R36-(R30+R34-R35)</x:f>
      </x:c>
      <x:c r="S60" s="118">
        <x:f>S36-(S30+S34-S35)</x:f>
      </x:c>
      <x:c r="T60" s="118">
        <x:f>T36-(T30+T34-T35)</x:f>
      </x:c>
      <x:c r="U60" s="118">
        <x:f>U36-(U30+U34-U35)</x:f>
      </x:c>
      <x:c r="V60" s="118">
        <x:f>V36-(V30+V34-V35)</x:f>
      </x:c>
      <x:c r="W60" s="118">
        <x:f>W36-(W30+W34-W35)</x:f>
      </x:c>
      <x:c r="X60" s="118">
        <x:f>X36-(X30+X34-X35)</x:f>
      </x:c>
      <x:c r="Y60" s="118">
        <x:f>Y36-(Y30+Y34-Y35)</x:f>
      </x:c>
      <x:c r="Z60" s="118">
        <x:f>Z36-(Z30+Z34-Z35)</x:f>
      </x:c>
      <x:c r="AA60" s="118">
        <x:f>AA36-(AA30+AA34-AA35)</x:f>
      </x:c>
      <x:c r="AB60" s="118">
        <x:f>AB36-(AB30+AB34-AB35)</x:f>
      </x:c>
      <x:c r="AC60" s="118">
        <x:f>AC36-(AC30+AC34-AC35)</x:f>
      </x:c>
      <x:c r="AD60" s="118">
        <x:f>AD36-(AD30+AD34-AD35)</x:f>
      </x:c>
      <x:c r="AE60" s="118">
        <x:f>AE36-(AE30+AE34-AE35)</x:f>
      </x:c>
      <x:c r="AF60" s="118">
        <x:f>AF36-(AF30+AF34-AF35)</x:f>
      </x:c>
      <x:c r="AG60" s="118">
        <x:f>AG36-(AG30+AG34-AG35)</x:f>
      </x:c>
      <x:c r="AH60" s="118">
        <x:f>AH36-(AH30+AH34-AH35)</x:f>
      </x:c>
      <x:c r="AI60" s="118">
        <x:f>AI36-(AI30+AI34-AI35)</x:f>
      </x:c>
      <x:c r="AJ60" s="118">
        <x:f>AJ36-(AJ30+AJ34-AJ35)</x:f>
      </x:c>
      <x:c r="AK60" s="118">
        <x:f>AK36-(AK30+AK34-AK35)</x:f>
      </x:c>
      <x:c r="AL60" s="118">
        <x:f>AL36-(AL30+AL34-AL35)</x:f>
      </x:c>
      <x:c r="AM60" s="118">
        <x:f>AM36-(AM30+AM34-AM35)</x:f>
      </x:c>
      <x:c r="AN60" s="118">
        <x:f>AN36-(AN30+AN34-AN35)</x:f>
      </x:c>
      <x:c r="AO60" s="118">
        <x:f>AO36-(AO30+AO34-AO35)</x:f>
      </x:c>
      <x:c r="AP60" s="118">
        <x:f>AP36-(AP30+AP34-AP35)</x:f>
      </x:c>
      <x:c r="AQ60" s="118">
        <x:f>AQ36-(AQ30+AQ34-AQ35)</x:f>
      </x:c>
      <x:c r="AR60" s="118">
        <x:f>AR36-(AR30+AR34-AR35)</x:f>
      </x:c>
      <x:c r="AS60" s="118">
        <x:f>AS36-(AS30+AS34-AS35)</x:f>
      </x:c>
      <x:c r="AT60" s="118">
        <x:f>AT36-(AT30+AT34-AT35)</x:f>
      </x:c>
      <x:c r="AU60" s="118">
        <x:f>AU36-(AU30+AU34-AU35)</x:f>
      </x:c>
      <x:c r="AV60" s="118">
        <x:f>AV36-(AV30+AV34-AV35)</x:f>
      </x:c>
      <x:c r="AW60" s="118">
        <x:f>AW36-(AW30+AW34-AW35)</x:f>
      </x:c>
      <x:c r="AX60" s="118">
        <x:f>AX36-(AX30+AX34-AX35)</x:f>
      </x:c>
      <x:c r="AY60" s="118">
        <x:f>AY36-(AY30+AY34-AY35)</x:f>
      </x:c>
      <x:c r="AZ60" s="118">
        <x:f>AZ36-(AZ30+AZ34-AZ35)</x:f>
      </x:c>
      <x:c r="BA60" s="118">
        <x:f>BA36-(BA30+BA34-BA35)</x:f>
      </x:c>
      <x:c r="BB60" s="118">
        <x:f>BB36-(BB30+BB34-BB35)</x:f>
      </x:c>
      <x:c r="BC60" s="118">
        <x:f>BC36-(BC30+BC34-BC35)</x:f>
      </x:c>
      <x:c r="BD60" s="118">
        <x:f>BD36-(BD30+BD34-BD35)</x:f>
      </x:c>
      <x:c r="BE60" s="118">
        <x:f>BE36-(BE30+BE34-BE35)</x:f>
      </x:c>
      <x:c r="BF60" s="118">
        <x:f>BF36-(BF30+BF34-BF35)</x:f>
      </x:c>
      <x:c r="BG60" s="118">
        <x:f>BG36-(BG30+BG34-BG35)</x:f>
      </x:c>
      <x:c r="BH60" s="118">
        <x:f>BH36-(BH30+BH34-BH35)</x:f>
      </x:c>
      <x:c r="BI60" s="118">
        <x:f>BI36-(BI30+BI34-BI35)</x:f>
      </x:c>
      <x:c r="BJ60" s="118">
        <x:f>BJ36-(BJ30+BJ34-BJ35)</x:f>
      </x:c>
      <x:c r="BK60" s="118">
        <x:f>BK36-(BK30+BK34-BK35)</x:f>
      </x:c>
      <x:c r="BL60" s="118">
        <x:f>BL36-(BL30+BL34-BL35)</x:f>
      </x:c>
      <x:c r="BM60" s="118">
        <x:f>BM36-(BM30+BM34-BM35)</x:f>
      </x:c>
      <x:c r="BN60" s="118">
        <x:f>BN36-(BN30+BN34-BN35)</x:f>
      </x:c>
      <x:c r="BO60" s="118">
        <x:f>BO36-(BO30+BO34-BO35)</x:f>
      </x:c>
      <x:c r="BP60" s="118">
        <x:f>BP36-(BP30+BP34-BP35)</x:f>
      </x:c>
      <x:c r="BQ60" s="118">
        <x:f>BQ36-(BQ30+BQ34-BQ35)</x:f>
      </x:c>
      <x:c r="BR60" s="118">
        <x:f>BR36-(BR30+BR34-BR35)</x:f>
      </x:c>
      <x:c r="BS60" s="118">
        <x:f>BS36-(BS30+BS34-BS35)</x:f>
      </x:c>
      <x:c r="BT60" s="118">
        <x:f>BT36-(BT30+BT34-BT35)</x:f>
      </x:c>
      <x:c r="BU60" s="118">
        <x:f>BU36-(BU30+BU34-BU35)</x:f>
      </x:c>
      <x:c r="BV60" s="118">
        <x:f>BV36-(BV30+BV34-BV35)</x:f>
      </x:c>
      <x:c r="BW60" s="118">
        <x:f>BW36-(BW30+BW34-BW35)</x:f>
      </x:c>
      <x:c r="BX60" s="118">
        <x:f>BX36-(BX30+BX34-BX35)</x:f>
      </x:c>
      <x:c r="BY60" s="118">
        <x:f>BY36-(BY30+BY34-BY35)</x:f>
      </x:c>
      <x:c r="BZ60" s="118">
        <x:f>BZ36-(BZ30+BZ34-BZ35)</x:f>
      </x:c>
      <x:c r="CA60" s="118">
        <x:f>CA36-(CA30+CA34-CA35)</x:f>
      </x:c>
      <x:c r="CB60" s="118">
        <x:f>CB36-(CB30+CB34-CB35)</x:f>
      </x:c>
      <x:c r="CC60" s="118">
        <x:f>CC36-(CC30+CC34-CC35)</x:f>
      </x:c>
      <x:c r="CD60" s="118">
        <x:f>CD36-(CD30+CD34-CD35)</x:f>
      </x:c>
      <x:c r="CE60" s="118">
        <x:f>CE36-(CE30+CE34-CE35)</x:f>
      </x:c>
      <x:c r="CF60" s="118">
        <x:f>CF36-(CF30+CF34-CF35)</x:f>
      </x:c>
      <x:c r="CG60" s="118">
        <x:f>CG36-(CG30+CG34-CG35)</x:f>
      </x:c>
      <x:c r="CH60" s="118">
        <x:f>CH36-(CH30+CH34-CH35)</x:f>
      </x:c>
      <x:c r="CI60" s="118">
        <x:f>CI36-(CI30+CI34-CI35)</x:f>
      </x:c>
      <x:c r="CJ60" s="118">
        <x:f>CJ36-(CJ30+CJ34-CJ35)</x:f>
      </x:c>
      <x:c r="CK60" s="118">
        <x:f>CK36-(CK30+CK34-CK35)</x:f>
      </x:c>
      <x:c r="CL60" s="118">
        <x:f>CL36-(CL30+CL34-CL35)</x:f>
      </x:c>
      <x:c r="CM60" s="118">
        <x:f>CM36-(CM30+CM34-CM35)</x:f>
      </x:c>
      <x:c r="CN60" s="118">
        <x:f>CN36-(CN30+CN34-CN35)</x:f>
      </x:c>
      <x:c r="CO60" s="118">
        <x:f>CO36-(CO30+CO34-CO35)</x:f>
      </x:c>
      <x:c r="CP60" s="118">
        <x:f>CP36-(CP30+CP34-CP35)</x:f>
      </x:c>
      <x:c r="CQ60" s="118">
        <x:f>CQ36-(CQ30+CQ34-CQ35)</x:f>
      </x:c>
      <x:c r="CR60" s="118">
        <x:f>CR36-(CR30+CR34-CR35)</x:f>
      </x:c>
      <x:c r="CS60" s="118">
        <x:f>CS36-(CS30+CS34-CS35)</x:f>
      </x:c>
      <x:c r="CT60" s="118">
        <x:f>CT36-(CT30+CT34-CT35)</x:f>
      </x:c>
      <x:c r="CU60" s="118">
        <x:f>CU36-(CU30+CU34-CU35)</x:f>
      </x:c>
      <x:c r="CV60" s="118">
        <x:f>CV36-(CV30+CV34-CV35)</x:f>
      </x:c>
      <x:c r="CW60" s="118">
        <x:f>CW36-(CW30+CW34-CW35)</x:f>
      </x:c>
      <x:c r="CX60" s="118">
        <x:f>CX36-(CX30+CX34-CX35)</x:f>
      </x:c>
      <x:c r="CY60" s="118">
        <x:f>CY36-(CY30+CY34-CY35)</x:f>
      </x:c>
      <x:c r="CZ60" s="118">
        <x:f>CZ36-(CZ30+CZ34-CZ35)</x:f>
      </x:c>
      <x:c r="DA60" s="118">
        <x:f>DA36-(DA30+DA34-DA35)</x:f>
      </x:c>
      <x:c r="DB60" s="118">
        <x:f>DB36-(DB30+DB34-DB35)</x:f>
      </x:c>
      <x:c r="DC60" s="118">
        <x:f>DC36-(DC30+DC34-DC35)</x:f>
      </x:c>
      <x:c r="DD60" s="118">
        <x:f>DD36-(DD30+DD34-DD35)</x:f>
      </x:c>
      <x:c r="DE60" s="118">
        <x:f>DE36-(DE30+DE34-DE35)</x:f>
      </x:c>
      <x:c r="DF60" s="118">
        <x:f>DF36-(DF30+DF34-DF35)</x:f>
      </x:c>
      <x:c r="DG60" s="118">
        <x:f>DG36-(DG30+DG34-DG35)</x:f>
      </x:c>
      <x:c r="DH60" s="118">
        <x:f>DH36-(DH30+DH34-DH35)</x:f>
      </x:c>
      <x:c r="DI60" s="118">
        <x:f>DI36-(DI30+DI34-DI35)</x:f>
      </x:c>
      <x:c r="DJ60" s="118">
        <x:f>DJ36-(DJ30+DJ34-DJ35)</x:f>
      </x:c>
      <x:c r="DK60" s="118">
        <x:f>DK36-(DK30+DK34-DK35)</x:f>
      </x:c>
      <x:c r="DL60" s="118">
        <x:f>DL36-(DL30+DL34-DL35)</x:f>
      </x:c>
      <x:c r="DM60" s="118">
        <x:f>DM36-(DM30+DM34-DM35)</x:f>
      </x:c>
      <x:c r="DN60" s="118">
        <x:f>DN36-(DN30+DN34-DN35)</x:f>
      </x:c>
      <x:c r="DO60" s="118">
        <x:f>DO36-(DO30+DO34-DO35)</x:f>
      </x:c>
      <x:c r="DP60" s="118">
        <x:f>DP36-(DP30+DP34-DP35)</x:f>
      </x:c>
      <x:c r="DQ60" s="118">
        <x:f>DQ36-(DQ30+DQ34-DQ35)</x:f>
      </x:c>
      <x:c r="DR60" s="118">
        <x:f>DR36-(DR30+DR34-DR35)</x:f>
      </x:c>
      <x:c r="DS60" s="118">
        <x:f>DS36-(DS30+DS34-DS35)</x:f>
      </x:c>
      <x:c r="DT60" s="118">
        <x:f>DT36-(DT30+DT34-DT35)</x:f>
      </x:c>
      <x:c r="DU60" s="118">
        <x:f>DU36-(DU30+DU34-DU35)</x:f>
      </x:c>
      <x:c r="DV60" s="118">
        <x:f>DV36-(DV30+DV34-DV35)</x:f>
      </x:c>
      <x:c r="DW60" s="118">
        <x:f>DW36-(DW30+DW34-DW35)</x:f>
      </x:c>
      <x:c r="DX60" s="118">
        <x:f>DX36-(DX30+DX34-DX35)</x:f>
      </x:c>
      <x:c r="DY60" s="118">
        <x:f>DY36-(DY30+DY34-DY35)</x:f>
      </x:c>
      <x:c r="DZ60" s="118">
        <x:f>DZ36-(DZ30+DZ34-DZ35)</x:f>
      </x:c>
      <x:c r="EA60" s="118">
        <x:f>EA36-(EA30+EA34-EA35)</x:f>
      </x:c>
      <x:c r="EB60" s="118">
        <x:f>EB36-(EB30+EB34-EB35)</x:f>
      </x:c>
      <x:c r="EC60" s="118">
        <x:f>EC36-(EC30+EC34-EC35)</x:f>
      </x:c>
      <x:c r="ED60" s="118">
        <x:f>ED36-(ED30+ED34-ED35)</x:f>
      </x:c>
      <x:c r="EE60" s="118">
        <x:f>EE36-(EE30+EE34-EE35)</x:f>
      </x:c>
      <x:c r="EF60" s="118">
        <x:f>EF36-(EF30+EF34-EF35)</x:f>
      </x:c>
      <x:c r="EG60" s="118">
        <x:f>EG36-(EG30+EG34-EG35)</x:f>
      </x:c>
      <x:c r="EH60" s="118">
        <x:f>EH36-(EH30+EH34-EH35)</x:f>
      </x:c>
      <x:c r="EI60" s="118">
        <x:f>EI36-(EI30+EI34-EI35)</x:f>
      </x:c>
      <x:c r="EJ60" s="118">
        <x:f>EJ36-(EJ30+EJ34-EJ35)</x:f>
      </x:c>
      <x:c r="EK60" s="118">
        <x:f>EK36-(EK30+EK34-EK35)</x:f>
      </x:c>
      <x:c r="EL60" s="118">
        <x:f>EL36-(EL30+EL34-EL35)</x:f>
      </x:c>
      <x:c r="EM60" s="118">
        <x:f>EM36-(EM30+EM34-EM35)</x:f>
      </x:c>
      <x:c r="EN60" s="118">
        <x:f>EN36-(EN30+EN34-EN35)</x:f>
      </x:c>
      <x:c r="EO60" s="118">
        <x:f>EO36-(EO30+EO34-EO35)</x:f>
      </x:c>
      <x:c r="EP60" s="118">
        <x:f>EP36-(EP30+EP34-EP35)</x:f>
      </x:c>
      <x:c r="EQ60" s="118">
        <x:f>EQ36-(EQ30+EQ34-EQ35)</x:f>
      </x:c>
      <x:c r="ER60" s="118">
        <x:f>ER36-(ER30+ER34-ER35)</x:f>
      </x:c>
      <x:c r="ES60" s="118">
        <x:f>ES36-(ES30+ES34-ES35)</x:f>
      </x:c>
      <x:c r="ET60" s="118">
        <x:f>ET36-(ET30+ET34-ET35)</x:f>
      </x:c>
      <x:c r="EU60" s="118">
        <x:f>EU36-(EU30+EU34-EU35)</x:f>
      </x:c>
      <x:c r="EV60" s="118">
        <x:f>EV36-(EV30+EV34-EV35)</x:f>
      </x:c>
      <x:c r="EW60" s="118">
        <x:f>EW36-(EW30+EW34-EW35)</x:f>
      </x:c>
      <x:c r="EX60" s="118">
        <x:f>EX36-(EX30+EX34-EX35)</x:f>
      </x:c>
      <x:c r="EY60" s="118">
        <x:f>EY36-(EY30+EY34-EY35)</x:f>
      </x:c>
      <x:c r="EZ60" s="118">
        <x:f>EZ36-(EZ30+EZ34-EZ35)</x:f>
      </x:c>
      <x:c r="FA60" s="118">
        <x:f>FA36-(FA30+FA34-FA35)</x:f>
      </x:c>
      <x:c r="FB60" s="118">
        <x:f>FB36-(FB30+FB34-FB35)</x:f>
      </x:c>
      <x:c r="FC60" s="118">
        <x:f>FC36-(FC30+FC34-FC35)</x:f>
      </x:c>
      <x:c r="FD60" s="118">
        <x:f>FD36-(FD30+FD34-FD35)</x:f>
      </x:c>
      <x:c r="FE60" s="118">
        <x:f>FE36-(FE30+FE34-FE35)</x:f>
      </x:c>
      <x:c r="FF60" s="118">
        <x:f>FF36-(FF30+FF34-FF35)</x:f>
      </x:c>
      <x:c r="FG60" s="118">
        <x:f>FG36-(FG30+FG34-FG35)</x:f>
      </x:c>
      <x:c r="FH60" s="118">
        <x:f>FH36-(FH30+FH34-FH35)</x:f>
      </x:c>
      <x:c r="FI60" s="118">
        <x:f>FI36-(FI30+FI34-FI35)</x:f>
      </x:c>
      <x:c r="FJ60" s="118">
        <x:f>FJ36-(FJ30+FJ34-FJ35)</x:f>
      </x:c>
      <x:c r="FK60" s="118">
        <x:f>FK36-(FK30+FK34-FK35)</x:f>
      </x:c>
      <x:c r="FL60" s="118">
        <x:f>FL36-(FL30+FL34-FL35)</x:f>
      </x:c>
      <x:c r="FM60" s="118">
        <x:f>FM36-(FM30+FM34-FM35)</x:f>
      </x:c>
      <x:c r="FN60" s="118">
        <x:f>FN36-(FN30+FN34-FN35)</x:f>
      </x:c>
      <x:c r="FO60" s="118">
        <x:f>FO36-(FO30+FO34-FO35)</x:f>
      </x:c>
      <x:c r="FP60" s="118">
        <x:f>FP36-(FP30+FP34-FP35)</x:f>
      </x:c>
      <x:c r="FQ60" s="118">
        <x:f>FQ36-(FQ30+FQ34-FQ35)</x:f>
      </x:c>
      <x:c r="FR60" s="118">
        <x:f>FR36-(FR30+FR34-FR35)</x:f>
      </x:c>
      <x:c r="FS60" s="118">
        <x:f>FS36-(FS30+FS34-FS35)</x:f>
      </x:c>
      <x:c r="FT60" s="118">
        <x:f>FT36-(FT30+FT34-FT35)</x:f>
      </x:c>
      <x:c r="FU60" s="118">
        <x:f>FU36-(FU30+FU34-FU35)</x:f>
      </x:c>
      <x:c r="FV60" s="118">
        <x:f>FV36-(FV30+FV34-FV35)</x:f>
      </x:c>
      <x:c r="FW60" s="118">
        <x:f>FW36-(FW30+FW34-FW35)</x:f>
      </x:c>
      <x:c r="FX60" s="118">
        <x:f>FX36-(FX30+FX34-FX35)</x:f>
      </x:c>
      <x:c r="FY60" s="118">
        <x:f>FY36-(FY30+FY34-FY35)</x:f>
      </x:c>
      <x:c r="FZ60" s="118">
        <x:f>FZ36-(FZ30+FZ34-FZ35)</x:f>
      </x:c>
      <x:c r="GA60" s="118">
        <x:f>GA36-(GA30+GA34-GA35)</x:f>
      </x:c>
    </x:row>
    <x:row r="61">
      <x:c r="A61" s="128" t="str">
        <x:v>CHECK: roll-forward ПФ</x:v>
      </x:c>
      <x:c r="B61" s="128" t="n">
        <x:f>MAX(MAX(D61:GA61),-MIN(D61:GA61))</x:f>
      </x:c>
      <x:c r="C61" s="128" t="str">
        <x:v>млн ₽</x:v>
      </x:c>
      <x:c r="D61" s="118">
        <x:f>D47-(D38+D45-D46)</x:f>
      </x:c>
      <x:c r="E61" s="118">
        <x:f>E47-(E38+E45-E46)</x:f>
      </x:c>
      <x:c r="F61" s="118">
        <x:f>F47-(F38+F45-F46)</x:f>
      </x:c>
      <x:c r="G61" s="118">
        <x:f>G47-(G38+G45-G46)</x:f>
      </x:c>
      <x:c r="H61" s="118">
        <x:f>H47-(H38+H45-H46)</x:f>
      </x:c>
      <x:c r="I61" s="118">
        <x:f>I47-(I38+I45-I46)</x:f>
      </x:c>
      <x:c r="J61" s="118">
        <x:f>J47-(J38+J45-J46)</x:f>
      </x:c>
      <x:c r="K61" s="118">
        <x:f>K47-(K38+K45-K46)</x:f>
      </x:c>
      <x:c r="L61" s="118">
        <x:f>L47-(L38+L45-L46)</x:f>
      </x:c>
      <x:c r="M61" s="118">
        <x:f>M47-(M38+M45-M46)</x:f>
      </x:c>
      <x:c r="N61" s="118">
        <x:f>N47-(N38+N45-N46)</x:f>
      </x:c>
      <x:c r="O61" s="118">
        <x:f>O47-(O38+O45-O46)</x:f>
      </x:c>
      <x:c r="P61" s="118">
        <x:f>P47-(P38+P45-P46)</x:f>
      </x:c>
      <x:c r="Q61" s="118">
        <x:f>Q47-(Q38+Q45-Q46)</x:f>
      </x:c>
      <x:c r="R61" s="118">
        <x:f>R47-(R38+R45-R46)</x:f>
      </x:c>
      <x:c r="S61" s="118">
        <x:f>S47-(S38+S45-S46)</x:f>
      </x:c>
      <x:c r="T61" s="118">
        <x:f>T47-(T38+T45-T46)</x:f>
      </x:c>
      <x:c r="U61" s="118">
        <x:f>U47-(U38+U45-U46)</x:f>
      </x:c>
      <x:c r="V61" s="118">
        <x:f>V47-(V38+V45-V46)</x:f>
      </x:c>
      <x:c r="W61" s="118">
        <x:f>W47-(W38+W45-W46)</x:f>
      </x:c>
      <x:c r="X61" s="118">
        <x:f>X47-(X38+X45-X46)</x:f>
      </x:c>
      <x:c r="Y61" s="118">
        <x:f>Y47-(Y38+Y45-Y46)</x:f>
      </x:c>
      <x:c r="Z61" s="118">
        <x:f>Z47-(Z38+Z45-Z46)</x:f>
      </x:c>
      <x:c r="AA61" s="118">
        <x:f>AA47-(AA38+AA45-AA46)</x:f>
      </x:c>
      <x:c r="AB61" s="118">
        <x:f>AB47-(AB38+AB45-AB46)</x:f>
      </x:c>
      <x:c r="AC61" s="118">
        <x:f>AC47-(AC38+AC45-AC46)</x:f>
      </x:c>
      <x:c r="AD61" s="118">
        <x:f>AD47-(AD38+AD45-AD46)</x:f>
      </x:c>
      <x:c r="AE61" s="118">
        <x:f>AE47-(AE38+AE45-AE46)</x:f>
      </x:c>
      <x:c r="AF61" s="118">
        <x:f>AF47-(AF38+AF45-AF46)</x:f>
      </x:c>
      <x:c r="AG61" s="118">
        <x:f>AG47-(AG38+AG45-AG46)</x:f>
      </x:c>
      <x:c r="AH61" s="118">
        <x:f>AH47-(AH38+AH45-AH46)</x:f>
      </x:c>
      <x:c r="AI61" s="118">
        <x:f>AI47-(AI38+AI45-AI46)</x:f>
      </x:c>
      <x:c r="AJ61" s="118">
        <x:f>AJ47-(AJ38+AJ45-AJ46)</x:f>
      </x:c>
      <x:c r="AK61" s="118">
        <x:f>AK47-(AK38+AK45-AK46)</x:f>
      </x:c>
      <x:c r="AL61" s="118">
        <x:f>AL47-(AL38+AL45-AL46)</x:f>
      </x:c>
      <x:c r="AM61" s="118">
        <x:f>AM47-(AM38+AM45-AM46)</x:f>
      </x:c>
      <x:c r="AN61" s="118">
        <x:f>AN47-(AN38+AN45-AN46)</x:f>
      </x:c>
      <x:c r="AO61" s="118">
        <x:f>AO47-(AO38+AO45-AO46)</x:f>
      </x:c>
      <x:c r="AP61" s="118">
        <x:f>AP47-(AP38+AP45-AP46)</x:f>
      </x:c>
      <x:c r="AQ61" s="118">
        <x:f>AQ47-(AQ38+AQ45-AQ46)</x:f>
      </x:c>
      <x:c r="AR61" s="118">
        <x:f>AR47-(AR38+AR45-AR46)</x:f>
      </x:c>
      <x:c r="AS61" s="118">
        <x:f>AS47-(AS38+AS45-AS46)</x:f>
      </x:c>
      <x:c r="AT61" s="118">
        <x:f>AT47-(AT38+AT45-AT46)</x:f>
      </x:c>
      <x:c r="AU61" s="118">
        <x:f>AU47-(AU38+AU45-AU46)</x:f>
      </x:c>
      <x:c r="AV61" s="118">
        <x:f>AV47-(AV38+AV45-AV46)</x:f>
      </x:c>
      <x:c r="AW61" s="118">
        <x:f>AW47-(AW38+AW45-AW46)</x:f>
      </x:c>
      <x:c r="AX61" s="118">
        <x:f>AX47-(AX38+AX45-AX46)</x:f>
      </x:c>
      <x:c r="AY61" s="118">
        <x:f>AY47-(AY38+AY45-AY46)</x:f>
      </x:c>
      <x:c r="AZ61" s="118">
        <x:f>AZ47-(AZ38+AZ45-AZ46)</x:f>
      </x:c>
      <x:c r="BA61" s="118">
        <x:f>BA47-(BA38+BA45-BA46)</x:f>
      </x:c>
      <x:c r="BB61" s="118">
        <x:f>BB47-(BB38+BB45-BB46)</x:f>
      </x:c>
      <x:c r="BC61" s="118">
        <x:f>BC47-(BC38+BC45-BC46)</x:f>
      </x:c>
      <x:c r="BD61" s="118">
        <x:f>BD47-(BD38+BD45-BD46)</x:f>
      </x:c>
      <x:c r="BE61" s="118">
        <x:f>BE47-(BE38+BE45-BE46)</x:f>
      </x:c>
      <x:c r="BF61" s="118">
        <x:f>BF47-(BF38+BF45-BF46)</x:f>
      </x:c>
      <x:c r="BG61" s="118">
        <x:f>BG47-(BG38+BG45-BG46)</x:f>
      </x:c>
      <x:c r="BH61" s="118">
        <x:f>BH47-(BH38+BH45-BH46)</x:f>
      </x:c>
      <x:c r="BI61" s="118">
        <x:f>BI47-(BI38+BI45-BI46)</x:f>
      </x:c>
      <x:c r="BJ61" s="118">
        <x:f>BJ47-(BJ38+BJ45-BJ46)</x:f>
      </x:c>
      <x:c r="BK61" s="118">
        <x:f>BK47-(BK38+BK45-BK46)</x:f>
      </x:c>
      <x:c r="BL61" s="118">
        <x:f>BL47-(BL38+BL45-BL46)</x:f>
      </x:c>
      <x:c r="BM61" s="118">
        <x:f>BM47-(BM38+BM45-BM46)</x:f>
      </x:c>
      <x:c r="BN61" s="118">
        <x:f>BN47-(BN38+BN45-BN46)</x:f>
      </x:c>
      <x:c r="BO61" s="118">
        <x:f>BO47-(BO38+BO45-BO46)</x:f>
      </x:c>
      <x:c r="BP61" s="118">
        <x:f>BP47-(BP38+BP45-BP46)</x:f>
      </x:c>
      <x:c r="BQ61" s="118">
        <x:f>BQ47-(BQ38+BQ45-BQ46)</x:f>
      </x:c>
      <x:c r="BR61" s="118">
        <x:f>BR47-(BR38+BR45-BR46)</x:f>
      </x:c>
      <x:c r="BS61" s="118">
        <x:f>BS47-(BS38+BS45-BS46)</x:f>
      </x:c>
      <x:c r="BT61" s="118">
        <x:f>BT47-(BT38+BT45-BT46)</x:f>
      </x:c>
      <x:c r="BU61" s="118">
        <x:f>BU47-(BU38+BU45-BU46)</x:f>
      </x:c>
      <x:c r="BV61" s="118">
        <x:f>BV47-(BV38+BV45-BV46)</x:f>
      </x:c>
      <x:c r="BW61" s="118">
        <x:f>BW47-(BW38+BW45-BW46)</x:f>
      </x:c>
      <x:c r="BX61" s="118">
        <x:f>BX47-(BX38+BX45-BX46)</x:f>
      </x:c>
      <x:c r="BY61" s="118">
        <x:f>BY47-(BY38+BY45-BY46)</x:f>
      </x:c>
      <x:c r="BZ61" s="118">
        <x:f>BZ47-(BZ38+BZ45-BZ46)</x:f>
      </x:c>
      <x:c r="CA61" s="118">
        <x:f>CA47-(CA38+CA45-CA46)</x:f>
      </x:c>
      <x:c r="CB61" s="118">
        <x:f>CB47-(CB38+CB45-CB46)</x:f>
      </x:c>
      <x:c r="CC61" s="118">
        <x:f>CC47-(CC38+CC45-CC46)</x:f>
      </x:c>
      <x:c r="CD61" s="118">
        <x:f>CD47-(CD38+CD45-CD46)</x:f>
      </x:c>
      <x:c r="CE61" s="118">
        <x:f>CE47-(CE38+CE45-CE46)</x:f>
      </x:c>
      <x:c r="CF61" s="118">
        <x:f>CF47-(CF38+CF45-CF46)</x:f>
      </x:c>
      <x:c r="CG61" s="118">
        <x:f>CG47-(CG38+CG45-CG46)</x:f>
      </x:c>
      <x:c r="CH61" s="118">
        <x:f>CH47-(CH38+CH45-CH46)</x:f>
      </x:c>
      <x:c r="CI61" s="118">
        <x:f>CI47-(CI38+CI45-CI46)</x:f>
      </x:c>
      <x:c r="CJ61" s="118">
        <x:f>CJ47-(CJ38+CJ45-CJ46)</x:f>
      </x:c>
      <x:c r="CK61" s="118">
        <x:f>CK47-(CK38+CK45-CK46)</x:f>
      </x:c>
      <x:c r="CL61" s="118">
        <x:f>CL47-(CL38+CL45-CL46)</x:f>
      </x:c>
      <x:c r="CM61" s="118">
        <x:f>CM47-(CM38+CM45-CM46)</x:f>
      </x:c>
      <x:c r="CN61" s="118">
        <x:f>CN47-(CN38+CN45-CN46)</x:f>
      </x:c>
      <x:c r="CO61" s="118">
        <x:f>CO47-(CO38+CO45-CO46)</x:f>
      </x:c>
      <x:c r="CP61" s="118">
        <x:f>CP47-(CP38+CP45-CP46)</x:f>
      </x:c>
      <x:c r="CQ61" s="118">
        <x:f>CQ47-(CQ38+CQ45-CQ46)</x:f>
      </x:c>
      <x:c r="CR61" s="118">
        <x:f>CR47-(CR38+CR45-CR46)</x:f>
      </x:c>
      <x:c r="CS61" s="118">
        <x:f>CS47-(CS38+CS45-CS46)</x:f>
      </x:c>
      <x:c r="CT61" s="118">
        <x:f>CT47-(CT38+CT45-CT46)</x:f>
      </x:c>
      <x:c r="CU61" s="118">
        <x:f>CU47-(CU38+CU45-CU46)</x:f>
      </x:c>
      <x:c r="CV61" s="118">
        <x:f>CV47-(CV38+CV45-CV46)</x:f>
      </x:c>
      <x:c r="CW61" s="118">
        <x:f>CW47-(CW38+CW45-CW46)</x:f>
      </x:c>
      <x:c r="CX61" s="118">
        <x:f>CX47-(CX38+CX45-CX46)</x:f>
      </x:c>
      <x:c r="CY61" s="118">
        <x:f>CY47-(CY38+CY45-CY46)</x:f>
      </x:c>
      <x:c r="CZ61" s="118">
        <x:f>CZ47-(CZ38+CZ45-CZ46)</x:f>
      </x:c>
      <x:c r="DA61" s="118">
        <x:f>DA47-(DA38+DA45-DA46)</x:f>
      </x:c>
      <x:c r="DB61" s="118">
        <x:f>DB47-(DB38+DB45-DB46)</x:f>
      </x:c>
      <x:c r="DC61" s="118">
        <x:f>DC47-(DC38+DC45-DC46)</x:f>
      </x:c>
      <x:c r="DD61" s="118">
        <x:f>DD47-(DD38+DD45-DD46)</x:f>
      </x:c>
      <x:c r="DE61" s="118">
        <x:f>DE47-(DE38+DE45-DE46)</x:f>
      </x:c>
      <x:c r="DF61" s="118">
        <x:f>DF47-(DF38+DF45-DF46)</x:f>
      </x:c>
      <x:c r="DG61" s="118">
        <x:f>DG47-(DG38+DG45-DG46)</x:f>
      </x:c>
      <x:c r="DH61" s="118">
        <x:f>DH47-(DH38+DH45-DH46)</x:f>
      </x:c>
      <x:c r="DI61" s="118">
        <x:f>DI47-(DI38+DI45-DI46)</x:f>
      </x:c>
      <x:c r="DJ61" s="118">
        <x:f>DJ47-(DJ38+DJ45-DJ46)</x:f>
      </x:c>
      <x:c r="DK61" s="118">
        <x:f>DK47-(DK38+DK45-DK46)</x:f>
      </x:c>
      <x:c r="DL61" s="118">
        <x:f>DL47-(DL38+DL45-DL46)</x:f>
      </x:c>
      <x:c r="DM61" s="118">
        <x:f>DM47-(DM38+DM45-DM46)</x:f>
      </x:c>
      <x:c r="DN61" s="118">
        <x:f>DN47-(DN38+DN45-DN46)</x:f>
      </x:c>
      <x:c r="DO61" s="118">
        <x:f>DO47-(DO38+DO45-DO46)</x:f>
      </x:c>
      <x:c r="DP61" s="118">
        <x:f>DP47-(DP38+DP45-DP46)</x:f>
      </x:c>
      <x:c r="DQ61" s="118">
        <x:f>DQ47-(DQ38+DQ45-DQ46)</x:f>
      </x:c>
      <x:c r="DR61" s="118">
        <x:f>DR47-(DR38+DR45-DR46)</x:f>
      </x:c>
      <x:c r="DS61" s="118">
        <x:f>DS47-(DS38+DS45-DS46)</x:f>
      </x:c>
      <x:c r="DT61" s="118">
        <x:f>DT47-(DT38+DT45-DT46)</x:f>
      </x:c>
      <x:c r="DU61" s="118">
        <x:f>DU47-(DU38+DU45-DU46)</x:f>
      </x:c>
      <x:c r="DV61" s="118">
        <x:f>DV47-(DV38+DV45-DV46)</x:f>
      </x:c>
      <x:c r="DW61" s="118">
        <x:f>DW47-(DW38+DW45-DW46)</x:f>
      </x:c>
      <x:c r="DX61" s="118">
        <x:f>DX47-(DX38+DX45-DX46)</x:f>
      </x:c>
      <x:c r="DY61" s="118">
        <x:f>DY47-(DY38+DY45-DY46)</x:f>
      </x:c>
      <x:c r="DZ61" s="118">
        <x:f>DZ47-(DZ38+DZ45-DZ46)</x:f>
      </x:c>
      <x:c r="EA61" s="118">
        <x:f>EA47-(EA38+EA45-EA46)</x:f>
      </x:c>
      <x:c r="EB61" s="118">
        <x:f>EB47-(EB38+EB45-EB46)</x:f>
      </x:c>
      <x:c r="EC61" s="118">
        <x:f>EC47-(EC38+EC45-EC46)</x:f>
      </x:c>
      <x:c r="ED61" s="118">
        <x:f>ED47-(ED38+ED45-ED46)</x:f>
      </x:c>
      <x:c r="EE61" s="118">
        <x:f>EE47-(EE38+EE45-EE46)</x:f>
      </x:c>
      <x:c r="EF61" s="118">
        <x:f>EF47-(EF38+EF45-EF46)</x:f>
      </x:c>
      <x:c r="EG61" s="118">
        <x:f>EG47-(EG38+EG45-EG46)</x:f>
      </x:c>
      <x:c r="EH61" s="118">
        <x:f>EH47-(EH38+EH45-EH46)</x:f>
      </x:c>
      <x:c r="EI61" s="118">
        <x:f>EI47-(EI38+EI45-EI46)</x:f>
      </x:c>
      <x:c r="EJ61" s="118">
        <x:f>EJ47-(EJ38+EJ45-EJ46)</x:f>
      </x:c>
      <x:c r="EK61" s="118">
        <x:f>EK47-(EK38+EK45-EK46)</x:f>
      </x:c>
      <x:c r="EL61" s="118">
        <x:f>EL47-(EL38+EL45-EL46)</x:f>
      </x:c>
      <x:c r="EM61" s="118">
        <x:f>EM47-(EM38+EM45-EM46)</x:f>
      </x:c>
      <x:c r="EN61" s="118">
        <x:f>EN47-(EN38+EN45-EN46)</x:f>
      </x:c>
      <x:c r="EO61" s="118">
        <x:f>EO47-(EO38+EO45-EO46)</x:f>
      </x:c>
      <x:c r="EP61" s="118">
        <x:f>EP47-(EP38+EP45-EP46)</x:f>
      </x:c>
      <x:c r="EQ61" s="118">
        <x:f>EQ47-(EQ38+EQ45-EQ46)</x:f>
      </x:c>
      <x:c r="ER61" s="118">
        <x:f>ER47-(ER38+ER45-ER46)</x:f>
      </x:c>
      <x:c r="ES61" s="118">
        <x:f>ES47-(ES38+ES45-ES46)</x:f>
      </x:c>
      <x:c r="ET61" s="118">
        <x:f>ET47-(ET38+ET45-ET46)</x:f>
      </x:c>
      <x:c r="EU61" s="118">
        <x:f>EU47-(EU38+EU45-EU46)</x:f>
      </x:c>
      <x:c r="EV61" s="118">
        <x:f>EV47-(EV38+EV45-EV46)</x:f>
      </x:c>
      <x:c r="EW61" s="118">
        <x:f>EW47-(EW38+EW45-EW46)</x:f>
      </x:c>
      <x:c r="EX61" s="118">
        <x:f>EX47-(EX38+EX45-EX46)</x:f>
      </x:c>
      <x:c r="EY61" s="118">
        <x:f>EY47-(EY38+EY45-EY46)</x:f>
      </x:c>
      <x:c r="EZ61" s="118">
        <x:f>EZ47-(EZ38+EZ45-EZ46)</x:f>
      </x:c>
      <x:c r="FA61" s="118">
        <x:f>FA47-(FA38+FA45-FA46)</x:f>
      </x:c>
      <x:c r="FB61" s="118">
        <x:f>FB47-(FB38+FB45-FB46)</x:f>
      </x:c>
      <x:c r="FC61" s="118">
        <x:f>FC47-(FC38+FC45-FC46)</x:f>
      </x:c>
      <x:c r="FD61" s="118">
        <x:f>FD47-(FD38+FD45-FD46)</x:f>
      </x:c>
      <x:c r="FE61" s="118">
        <x:f>FE47-(FE38+FE45-FE46)</x:f>
      </x:c>
      <x:c r="FF61" s="118">
        <x:f>FF47-(FF38+FF45-FF46)</x:f>
      </x:c>
      <x:c r="FG61" s="118">
        <x:f>FG47-(FG38+FG45-FG46)</x:f>
      </x:c>
      <x:c r="FH61" s="118">
        <x:f>FH47-(FH38+FH45-FH46)</x:f>
      </x:c>
      <x:c r="FI61" s="118">
        <x:f>FI47-(FI38+FI45-FI46)</x:f>
      </x:c>
      <x:c r="FJ61" s="118">
        <x:f>FJ47-(FJ38+FJ45-FJ46)</x:f>
      </x:c>
      <x:c r="FK61" s="118">
        <x:f>FK47-(FK38+FK45-FK46)</x:f>
      </x:c>
      <x:c r="FL61" s="118">
        <x:f>FL47-(FL38+FL45-FL46)</x:f>
      </x:c>
      <x:c r="FM61" s="118">
        <x:f>FM47-(FM38+FM45-FM46)</x:f>
      </x:c>
      <x:c r="FN61" s="118">
        <x:f>FN47-(FN38+FN45-FN46)</x:f>
      </x:c>
      <x:c r="FO61" s="118">
        <x:f>FO47-(FO38+FO45-FO46)</x:f>
      </x:c>
      <x:c r="FP61" s="118">
        <x:f>FP47-(FP38+FP45-FP46)</x:f>
      </x:c>
      <x:c r="FQ61" s="118">
        <x:f>FQ47-(FQ38+FQ45-FQ46)</x:f>
      </x:c>
      <x:c r="FR61" s="118">
        <x:f>FR47-(FR38+FR45-FR46)</x:f>
      </x:c>
      <x:c r="FS61" s="118">
        <x:f>FS47-(FS38+FS45-FS46)</x:f>
      </x:c>
      <x:c r="FT61" s="118">
        <x:f>FT47-(FT38+FT45-FT46)</x:f>
      </x:c>
      <x:c r="FU61" s="118">
        <x:f>FU47-(FU38+FU45-FU46)</x:f>
      </x:c>
      <x:c r="FV61" s="118">
        <x:f>FV47-(FV38+FV45-FV46)</x:f>
      </x:c>
      <x:c r="FW61" s="118">
        <x:f>FW47-(FW38+FW45-FW46)</x:f>
      </x:c>
      <x:c r="FX61" s="118">
        <x:f>FX47-(FX38+FX45-FX46)</x:f>
      </x:c>
      <x:c r="FY61" s="118">
        <x:f>FY47-(FY38+FY45-FY46)</x:f>
      </x:c>
      <x:c r="FZ61" s="118">
        <x:f>FZ47-(FZ38+FZ45-FZ46)</x:f>
      </x:c>
      <x:c r="GA61" s="118">
        <x:f>GA47-(GA38+GA45-GA46)</x:f>
      </x:c>
    </x:row>
    <x:row r="62">
      <x:c r="A62" s="128" t="str">
        <x:v>CHECK: roll-forward эскроу</x:v>
      </x:c>
      <x:c r="B62" s="128" t="n">
        <x:f>MAX(MAX(D62:GA62),-MIN(D62:GA62))</x:f>
      </x:c>
      <x:c r="C62" s="128" t="str">
        <x:v>млн ₽</x:v>
      </x:c>
      <x:c r="D62" s="118" t="n">
        <x:f>D15-(D13+D11-D14)</x:f>
      </x:c>
      <x:c r="E62" s="118" t="n">
        <x:f>E15-(E13+E11-E14)</x:f>
      </x:c>
      <x:c r="F62" s="118" t="n">
        <x:f>F15-(F13+F11-F14)</x:f>
      </x:c>
      <x:c r="G62" s="118" t="n">
        <x:f>G15-(G13+G11-G14)</x:f>
      </x:c>
      <x:c r="H62" s="118" t="n">
        <x:f>H15-(H13+H11-H14)</x:f>
      </x:c>
      <x:c r="I62" s="118" t="n">
        <x:f>I15-(I13+I11-I14)</x:f>
      </x:c>
      <x:c r="J62" s="118" t="n">
        <x:f>J15-(J13+J11-J14)</x:f>
      </x:c>
      <x:c r="K62" s="118" t="n">
        <x:f>K15-(K13+K11-K14)</x:f>
      </x:c>
      <x:c r="L62" s="118" t="n">
        <x:f>L15-(L13+L11-L14)</x:f>
      </x:c>
      <x:c r="M62" s="118" t="n">
        <x:f>M15-(M13+M11-M14)</x:f>
      </x:c>
      <x:c r="N62" s="118" t="n">
        <x:f>N15-(N13+N11-N14)</x:f>
      </x:c>
      <x:c r="O62" s="118" t="n">
        <x:f>O15-(O13+O11-O14)</x:f>
      </x:c>
      <x:c r="P62" s="118" t="n">
        <x:f>P15-(P13+P11-P14)</x:f>
      </x:c>
      <x:c r="Q62" s="118" t="n">
        <x:f>Q15-(Q13+Q11-Q14)</x:f>
      </x:c>
      <x:c r="R62" s="118" t="n">
        <x:f>R15-(R13+R11-R14)</x:f>
      </x:c>
      <x:c r="S62" s="118" t="n">
        <x:f>S15-(S13+S11-S14)</x:f>
      </x:c>
      <x:c r="T62" s="118" t="n">
        <x:f>T15-(T13+T11-T14)</x:f>
      </x:c>
      <x:c r="U62" s="118" t="n">
        <x:f>U15-(U13+U11-U14)</x:f>
      </x:c>
      <x:c r="V62" s="118" t="n">
        <x:f>V15-(V13+V11-V14)</x:f>
      </x:c>
      <x:c r="W62" s="118" t="n">
        <x:f>W15-(W13+W11-W14)</x:f>
      </x:c>
      <x:c r="X62" s="118" t="n">
        <x:f>X15-(X13+X11-X14)</x:f>
      </x:c>
      <x:c r="Y62" s="118" t="n">
        <x:f>Y15-(Y13+Y11-Y14)</x:f>
      </x:c>
      <x:c r="Z62" s="118" t="n">
        <x:f>Z15-(Z13+Z11-Z14)</x:f>
      </x:c>
      <x:c r="AA62" s="118" t="n">
        <x:f>AA15-(AA13+AA11-AA14)</x:f>
      </x:c>
      <x:c r="AB62" s="118" t="n">
        <x:f>AB15-(AB13+AB11-AB14)</x:f>
      </x:c>
      <x:c r="AC62" s="118" t="n">
        <x:f>AC15-(AC13+AC11-AC14)</x:f>
      </x:c>
      <x:c r="AD62" s="118" t="n">
        <x:f>AD15-(AD13+AD11-AD14)</x:f>
      </x:c>
      <x:c r="AE62" s="118" t="n">
        <x:f>AE15-(AE13+AE11-AE14)</x:f>
      </x:c>
      <x:c r="AF62" s="118" t="n">
        <x:f>AF15-(AF13+AF11-AF14)</x:f>
      </x:c>
      <x:c r="AG62" s="118" t="n">
        <x:f>AG15-(AG13+AG11-AG14)</x:f>
      </x:c>
      <x:c r="AH62" s="118" t="n">
        <x:f>AH15-(AH13+AH11-AH14)</x:f>
      </x:c>
      <x:c r="AI62" s="118" t="n">
        <x:f>AI15-(AI13+AI11-AI14)</x:f>
      </x:c>
      <x:c r="AJ62" s="118" t="n">
        <x:f>AJ15-(AJ13+AJ11-AJ14)</x:f>
      </x:c>
      <x:c r="AK62" s="118" t="n">
        <x:f>AK15-(AK13+AK11-AK14)</x:f>
      </x:c>
      <x:c r="AL62" s="118" t="n">
        <x:f>AL15-(AL13+AL11-AL14)</x:f>
      </x:c>
      <x:c r="AM62" s="118" t="n">
        <x:f>AM15-(AM13+AM11-AM14)</x:f>
      </x:c>
      <x:c r="AN62" s="118" t="n">
        <x:f>AN15-(AN13+AN11-AN14)</x:f>
      </x:c>
      <x:c r="AO62" s="118" t="n">
        <x:f>AO15-(AO13+AO11-AO14)</x:f>
      </x:c>
      <x:c r="AP62" s="118" t="n">
        <x:f>AP15-(AP13+AP11-AP14)</x:f>
      </x:c>
      <x:c r="AQ62" s="118" t="n">
        <x:f>AQ15-(AQ13+AQ11-AQ14)</x:f>
      </x:c>
      <x:c r="AR62" s="118" t="n">
        <x:f>AR15-(AR13+AR11-AR14)</x:f>
      </x:c>
      <x:c r="AS62" s="118" t="n">
        <x:f>AS15-(AS13+AS11-AS14)</x:f>
      </x:c>
      <x:c r="AT62" s="118" t="n">
        <x:f>AT15-(AT13+AT11-AT14)</x:f>
      </x:c>
      <x:c r="AU62" s="118" t="n">
        <x:f>AU15-(AU13+AU11-AU14)</x:f>
      </x:c>
      <x:c r="AV62" s="118" t="n">
        <x:f>AV15-(AV13+AV11-AV14)</x:f>
      </x:c>
      <x:c r="AW62" s="118" t="n">
        <x:f>AW15-(AW13+AW11-AW14)</x:f>
      </x:c>
      <x:c r="AX62" s="118" t="n">
        <x:f>AX15-(AX13+AX11-AX14)</x:f>
      </x:c>
      <x:c r="AY62" s="118" t="n">
        <x:f>AY15-(AY13+AY11-AY14)</x:f>
      </x:c>
      <x:c r="AZ62" s="118" t="n">
        <x:f>AZ15-(AZ13+AZ11-AZ14)</x:f>
      </x:c>
      <x:c r="BA62" s="118" t="n">
        <x:f>BA15-(BA13+BA11-BA14)</x:f>
      </x:c>
      <x:c r="BB62" s="118" t="n">
        <x:f>BB15-(BB13+BB11-BB14)</x:f>
      </x:c>
      <x:c r="BC62" s="118" t="n">
        <x:f>BC15-(BC13+BC11-BC14)</x:f>
      </x:c>
      <x:c r="BD62" s="118" t="n">
        <x:f>BD15-(BD13+BD11-BD14)</x:f>
      </x:c>
      <x:c r="BE62" s="118" t="n">
        <x:f>BE15-(BE13+BE11-BE14)</x:f>
      </x:c>
      <x:c r="BF62" s="118" t="n">
        <x:f>BF15-(BF13+BF11-BF14)</x:f>
      </x:c>
      <x:c r="BG62" s="118" t="n">
        <x:f>BG15-(BG13+BG11-BG14)</x:f>
      </x:c>
      <x:c r="BH62" s="118" t="n">
        <x:f>BH15-(BH13+BH11-BH14)</x:f>
      </x:c>
      <x:c r="BI62" s="118" t="n">
        <x:f>BI15-(BI13+BI11-BI14)</x:f>
      </x:c>
      <x:c r="BJ62" s="118" t="n">
        <x:f>BJ15-(BJ13+BJ11-BJ14)</x:f>
      </x:c>
      <x:c r="BK62" s="118" t="n">
        <x:f>BK15-(BK13+BK11-BK14)</x:f>
      </x:c>
      <x:c r="BL62" s="118" t="n">
        <x:f>BL15-(BL13+BL11-BL14)</x:f>
      </x:c>
      <x:c r="BM62" s="118" t="n">
        <x:f>BM15-(BM13+BM11-BM14)</x:f>
      </x:c>
      <x:c r="BN62" s="118" t="n">
        <x:f>BN15-(BN13+BN11-BN14)</x:f>
      </x:c>
      <x:c r="BO62" s="118" t="n">
        <x:f>BO15-(BO13+BO11-BO14)</x:f>
      </x:c>
      <x:c r="BP62" s="118" t="n">
        <x:f>BP15-(BP13+BP11-BP14)</x:f>
      </x:c>
      <x:c r="BQ62" s="118" t="n">
        <x:f>BQ15-(BQ13+BQ11-BQ14)</x:f>
      </x:c>
      <x:c r="BR62" s="118" t="n">
        <x:f>BR15-(BR13+BR11-BR14)</x:f>
      </x:c>
      <x:c r="BS62" s="118" t="n">
        <x:f>BS15-(BS13+BS11-BS14)</x:f>
      </x:c>
      <x:c r="BT62" s="118" t="n">
        <x:f>BT15-(BT13+BT11-BT14)</x:f>
      </x:c>
      <x:c r="BU62" s="118" t="n">
        <x:f>BU15-(BU13+BU11-BU14)</x:f>
      </x:c>
      <x:c r="BV62" s="118" t="n">
        <x:f>BV15-(BV13+BV11-BV14)</x:f>
      </x:c>
      <x:c r="BW62" s="118" t="n">
        <x:f>BW15-(BW13+BW11-BW14)</x:f>
      </x:c>
      <x:c r="BX62" s="118" t="n">
        <x:f>BX15-(BX13+BX11-BX14)</x:f>
      </x:c>
      <x:c r="BY62" s="118" t="n">
        <x:f>BY15-(BY13+BY11-BY14)</x:f>
      </x:c>
      <x:c r="BZ62" s="118" t="n">
        <x:f>BZ15-(BZ13+BZ11-BZ14)</x:f>
      </x:c>
      <x:c r="CA62" s="118" t="n">
        <x:f>CA15-(CA13+CA11-CA14)</x:f>
      </x:c>
      <x:c r="CB62" s="118" t="n">
        <x:f>CB15-(CB13+CB11-CB14)</x:f>
      </x:c>
      <x:c r="CC62" s="118" t="n">
        <x:f>CC15-(CC13+CC11-CC14)</x:f>
      </x:c>
      <x:c r="CD62" s="118" t="n">
        <x:f>CD15-(CD13+CD11-CD14)</x:f>
      </x:c>
      <x:c r="CE62" s="118" t="n">
        <x:f>CE15-(CE13+CE11-CE14)</x:f>
      </x:c>
      <x:c r="CF62" s="118" t="n">
        <x:f>CF15-(CF13+CF11-CF14)</x:f>
      </x:c>
      <x:c r="CG62" s="118" t="n">
        <x:f>CG15-(CG13+CG11-CG14)</x:f>
      </x:c>
      <x:c r="CH62" s="118" t="n">
        <x:f>CH15-(CH13+CH11-CH14)</x:f>
      </x:c>
      <x:c r="CI62" s="118" t="n">
        <x:f>CI15-(CI13+CI11-CI14)</x:f>
      </x:c>
      <x:c r="CJ62" s="118" t="n">
        <x:f>CJ15-(CJ13+CJ11-CJ14)</x:f>
      </x:c>
      <x:c r="CK62" s="118" t="n">
        <x:f>CK15-(CK13+CK11-CK14)</x:f>
      </x:c>
      <x:c r="CL62" s="118" t="n">
        <x:f>CL15-(CL13+CL11-CL14)</x:f>
      </x:c>
      <x:c r="CM62" s="118" t="n">
        <x:f>CM15-(CM13+CM11-CM14)</x:f>
      </x:c>
      <x:c r="CN62" s="118" t="n">
        <x:f>CN15-(CN13+CN11-CN14)</x:f>
      </x:c>
      <x:c r="CO62" s="118" t="n">
        <x:f>CO15-(CO13+CO11-CO14)</x:f>
      </x:c>
      <x:c r="CP62" s="118" t="n">
        <x:f>CP15-(CP13+CP11-CP14)</x:f>
      </x:c>
      <x:c r="CQ62" s="118" t="n">
        <x:f>CQ15-(CQ13+CQ11-CQ14)</x:f>
      </x:c>
      <x:c r="CR62" s="118" t="n">
        <x:f>CR15-(CR13+CR11-CR14)</x:f>
      </x:c>
      <x:c r="CS62" s="118" t="n">
        <x:f>CS15-(CS13+CS11-CS14)</x:f>
      </x:c>
      <x:c r="CT62" s="118" t="n">
        <x:f>CT15-(CT13+CT11-CT14)</x:f>
      </x:c>
      <x:c r="CU62" s="118" t="n">
        <x:f>CU15-(CU13+CU11-CU14)</x:f>
      </x:c>
      <x:c r="CV62" s="118" t="n">
        <x:f>CV15-(CV13+CV11-CV14)</x:f>
      </x:c>
      <x:c r="CW62" s="118" t="n">
        <x:f>CW15-(CW13+CW11-CW14)</x:f>
      </x:c>
      <x:c r="CX62" s="118" t="n">
        <x:f>CX15-(CX13+CX11-CX14)</x:f>
      </x:c>
      <x:c r="CY62" s="118" t="n">
        <x:f>CY15-(CY13+CY11-CY14)</x:f>
      </x:c>
      <x:c r="CZ62" s="118" t="n">
        <x:f>CZ15-(CZ13+CZ11-CZ14)</x:f>
      </x:c>
      <x:c r="DA62" s="118" t="n">
        <x:f>DA15-(DA13+DA11-DA14)</x:f>
      </x:c>
      <x:c r="DB62" s="118" t="n">
        <x:f>DB15-(DB13+DB11-DB14)</x:f>
      </x:c>
      <x:c r="DC62" s="118" t="n">
        <x:f>DC15-(DC13+DC11-DC14)</x:f>
      </x:c>
      <x:c r="DD62" s="118" t="n">
        <x:f>DD15-(DD13+DD11-DD14)</x:f>
      </x:c>
      <x:c r="DE62" s="118" t="n">
        <x:f>DE15-(DE13+DE11-DE14)</x:f>
      </x:c>
      <x:c r="DF62" s="118" t="n">
        <x:f>DF15-(DF13+DF11-DF14)</x:f>
      </x:c>
      <x:c r="DG62" s="118" t="n">
        <x:f>DG15-(DG13+DG11-DG14)</x:f>
      </x:c>
      <x:c r="DH62" s="118" t="n">
        <x:f>DH15-(DH13+DH11-DH14)</x:f>
      </x:c>
      <x:c r="DI62" s="118" t="n">
        <x:f>DI15-(DI13+DI11-DI14)</x:f>
      </x:c>
      <x:c r="DJ62" s="118" t="n">
        <x:f>DJ15-(DJ13+DJ11-DJ14)</x:f>
      </x:c>
      <x:c r="DK62" s="118" t="n">
        <x:f>DK15-(DK13+DK11-DK14)</x:f>
      </x:c>
      <x:c r="DL62" s="118" t="n">
        <x:f>DL15-(DL13+DL11-DL14)</x:f>
      </x:c>
      <x:c r="DM62" s="118" t="n">
        <x:f>DM15-(DM13+DM11-DM14)</x:f>
      </x:c>
      <x:c r="DN62" s="118" t="n">
        <x:f>DN15-(DN13+DN11-DN14)</x:f>
      </x:c>
      <x:c r="DO62" s="118" t="n">
        <x:f>DO15-(DO13+DO11-DO14)</x:f>
      </x:c>
      <x:c r="DP62" s="118" t="n">
        <x:f>DP15-(DP13+DP11-DP14)</x:f>
      </x:c>
      <x:c r="DQ62" s="118" t="n">
        <x:f>DQ15-(DQ13+DQ11-DQ14)</x:f>
      </x:c>
      <x:c r="DR62" s="118" t="n">
        <x:f>DR15-(DR13+DR11-DR14)</x:f>
      </x:c>
      <x:c r="DS62" s="118" t="n">
        <x:f>DS15-(DS13+DS11-DS14)</x:f>
      </x:c>
      <x:c r="DT62" s="118" t="n">
        <x:f>DT15-(DT13+DT11-DT14)</x:f>
      </x:c>
      <x:c r="DU62" s="118" t="n">
        <x:f>DU15-(DU13+DU11-DU14)</x:f>
      </x:c>
      <x:c r="DV62" s="118" t="n">
        <x:f>DV15-(DV13+DV11-DV14)</x:f>
      </x:c>
      <x:c r="DW62" s="118" t="n">
        <x:f>DW15-(DW13+DW11-DW14)</x:f>
      </x:c>
      <x:c r="DX62" s="118" t="n">
        <x:f>DX15-(DX13+DX11-DX14)</x:f>
      </x:c>
      <x:c r="DY62" s="118" t="n">
        <x:f>DY15-(DY13+DY11-DY14)</x:f>
      </x:c>
      <x:c r="DZ62" s="118" t="n">
        <x:f>DZ15-(DZ13+DZ11-DZ14)</x:f>
      </x:c>
      <x:c r="EA62" s="118" t="n">
        <x:f>EA15-(EA13+EA11-EA14)</x:f>
      </x:c>
      <x:c r="EB62" s="118" t="n">
        <x:f>EB15-(EB13+EB11-EB14)</x:f>
      </x:c>
      <x:c r="EC62" s="118" t="n">
        <x:f>EC15-(EC13+EC11-EC14)</x:f>
      </x:c>
      <x:c r="ED62" s="118" t="n">
        <x:f>ED15-(ED13+ED11-ED14)</x:f>
      </x:c>
      <x:c r="EE62" s="118" t="n">
        <x:f>EE15-(EE13+EE11-EE14)</x:f>
      </x:c>
      <x:c r="EF62" s="118" t="n">
        <x:f>EF15-(EF13+EF11-EF14)</x:f>
      </x:c>
      <x:c r="EG62" s="118" t="n">
        <x:f>EG15-(EG13+EG11-EG14)</x:f>
      </x:c>
      <x:c r="EH62" s="118" t="n">
        <x:f>EH15-(EH13+EH11-EH14)</x:f>
      </x:c>
      <x:c r="EI62" s="118" t="n">
        <x:f>EI15-(EI13+EI11-EI14)</x:f>
      </x:c>
      <x:c r="EJ62" s="118" t="n">
        <x:f>EJ15-(EJ13+EJ11-EJ14)</x:f>
      </x:c>
      <x:c r="EK62" s="118" t="n">
        <x:f>EK15-(EK13+EK11-EK14)</x:f>
      </x:c>
      <x:c r="EL62" s="118" t="n">
        <x:f>EL15-(EL13+EL11-EL14)</x:f>
      </x:c>
      <x:c r="EM62" s="118" t="n">
        <x:f>EM15-(EM13+EM11-EM14)</x:f>
      </x:c>
      <x:c r="EN62" s="118" t="n">
        <x:f>EN15-(EN13+EN11-EN14)</x:f>
      </x:c>
      <x:c r="EO62" s="118" t="n">
        <x:f>EO15-(EO13+EO11-EO14)</x:f>
      </x:c>
      <x:c r="EP62" s="118" t="n">
        <x:f>EP15-(EP13+EP11-EP14)</x:f>
      </x:c>
      <x:c r="EQ62" s="118" t="n">
        <x:f>EQ15-(EQ13+EQ11-EQ14)</x:f>
      </x:c>
      <x:c r="ER62" s="118" t="n">
        <x:f>ER15-(ER13+ER11-ER14)</x:f>
      </x:c>
      <x:c r="ES62" s="118" t="n">
        <x:f>ES15-(ES13+ES11-ES14)</x:f>
      </x:c>
      <x:c r="ET62" s="118" t="n">
        <x:f>ET15-(ET13+ET11-ET14)</x:f>
      </x:c>
      <x:c r="EU62" s="118" t="n">
        <x:f>EU15-(EU13+EU11-EU14)</x:f>
      </x:c>
      <x:c r="EV62" s="118" t="n">
        <x:f>EV15-(EV13+EV11-EV14)</x:f>
      </x:c>
      <x:c r="EW62" s="118" t="n">
        <x:f>EW15-(EW13+EW11-EW14)</x:f>
      </x:c>
      <x:c r="EX62" s="118" t="n">
        <x:f>EX15-(EX13+EX11-EX14)</x:f>
      </x:c>
      <x:c r="EY62" s="118" t="n">
        <x:f>EY15-(EY13+EY11-EY14)</x:f>
      </x:c>
      <x:c r="EZ62" s="118" t="n">
        <x:f>EZ15-(EZ13+EZ11-EZ14)</x:f>
      </x:c>
      <x:c r="FA62" s="118" t="n">
        <x:f>FA15-(FA13+FA11-FA14)</x:f>
      </x:c>
      <x:c r="FB62" s="118" t="n">
        <x:f>FB15-(FB13+FB11-FB14)</x:f>
      </x:c>
      <x:c r="FC62" s="118" t="n">
        <x:f>FC15-(FC13+FC11-FC14)</x:f>
      </x:c>
      <x:c r="FD62" s="118" t="n">
        <x:f>FD15-(FD13+FD11-FD14)</x:f>
      </x:c>
      <x:c r="FE62" s="118" t="n">
        <x:f>FE15-(FE13+FE11-FE14)</x:f>
      </x:c>
      <x:c r="FF62" s="118" t="n">
        <x:f>FF15-(FF13+FF11-FF14)</x:f>
      </x:c>
      <x:c r="FG62" s="118" t="n">
        <x:f>FG15-(FG13+FG11-FG14)</x:f>
      </x:c>
      <x:c r="FH62" s="118" t="n">
        <x:f>FH15-(FH13+FH11-FH14)</x:f>
      </x:c>
      <x:c r="FI62" s="118" t="n">
        <x:f>FI15-(FI13+FI11-FI14)</x:f>
      </x:c>
      <x:c r="FJ62" s="118" t="n">
        <x:f>FJ15-(FJ13+FJ11-FJ14)</x:f>
      </x:c>
      <x:c r="FK62" s="118" t="n">
        <x:f>FK15-(FK13+FK11-FK14)</x:f>
      </x:c>
      <x:c r="FL62" s="118" t="n">
        <x:f>FL15-(FL13+FL11-FL14)</x:f>
      </x:c>
      <x:c r="FM62" s="118" t="n">
        <x:f>FM15-(FM13+FM11-FM14)</x:f>
      </x:c>
      <x:c r="FN62" s="118" t="n">
        <x:f>FN15-(FN13+FN11-FN14)</x:f>
      </x:c>
      <x:c r="FO62" s="118" t="n">
        <x:f>FO15-(FO13+FO11-FO14)</x:f>
      </x:c>
      <x:c r="FP62" s="118" t="n">
        <x:f>FP15-(FP13+FP11-FP14)</x:f>
      </x:c>
      <x:c r="FQ62" s="118" t="n">
        <x:f>FQ15-(FQ13+FQ11-FQ14)</x:f>
      </x:c>
      <x:c r="FR62" s="118" t="n">
        <x:f>FR15-(FR13+FR11-FR14)</x:f>
      </x:c>
      <x:c r="FS62" s="118" t="n">
        <x:f>FS15-(FS13+FS11-FS14)</x:f>
      </x:c>
      <x:c r="FT62" s="118" t="n">
        <x:f>FT15-(FT13+FT11-FT14)</x:f>
      </x:c>
      <x:c r="FU62" s="118" t="n">
        <x:f>FU15-(FU13+FU11-FU14)</x:f>
      </x:c>
      <x:c r="FV62" s="118" t="n">
        <x:f>FV15-(FV13+FV11-FV14)</x:f>
      </x:c>
      <x:c r="FW62" s="118" t="n">
        <x:f>FW15-(FW13+FW11-FW14)</x:f>
      </x:c>
      <x:c r="FX62" s="118" t="n">
        <x:f>FX15-(FX13+FX11-FX14)</x:f>
      </x:c>
      <x:c r="FY62" s="118" t="n">
        <x:f>FY15-(FY13+FY11-FY14)</x:f>
      </x:c>
      <x:c r="FZ62" s="118" t="n">
        <x:f>FZ15-(FZ13+FZ11-FZ14)</x:f>
      </x:c>
      <x:c r="GA62" s="118" t="n">
        <x:f>GA15-(GA13+GA11-GA14)</x:f>
      </x:c>
    </x:row>
    <x:row r="63">
      <x:c r="A63" s="128" t="str">
        <x:v>CHECK: дефицит фондирования</x:v>
      </x:c>
      <x:c r="B63" s="128" t="n">
        <x:f>MAX(MAX(D63:GA63),-MIN(D63:GA63))</x:f>
      </x:c>
      <x:c r="C63" s="128" t="str">
        <x:v>млн ₽</x:v>
      </x:c>
      <x:c r="D63" s="118">
        <x:f>D27+D34+D45+D49-D20-D24-D53-D57-D35-D46-D50</x:f>
      </x:c>
      <x:c r="E63" s="118">
        <x:f>E27+E34+E45+E49-E20-E24-E53-E57-E35-E46-E50</x:f>
      </x:c>
      <x:c r="F63" s="118">
        <x:f>F27+F34+F45+F49-F20-F24-F53-F57-F35-F46-F50</x:f>
      </x:c>
      <x:c r="G63" s="118">
        <x:f>G27+G34+G45+G49-G20-G24-G53-G57-G35-G46-G50</x:f>
      </x:c>
      <x:c r="H63" s="118">
        <x:f>H27+H34+H45+H49-H20-H24-H53-H57-H35-H46-H50</x:f>
      </x:c>
      <x:c r="I63" s="118">
        <x:f>I27+I34+I45+I49-I20-I24-I53-I57-I35-I46-I50</x:f>
      </x:c>
      <x:c r="J63" s="118">
        <x:f>J27+J34+J45+J49-J20-J24-J53-J57-J35-J46-J50</x:f>
      </x:c>
      <x:c r="K63" s="118">
        <x:f>K27+K34+K45+K49-K20-K24-K53-K57-K35-K46-K50</x:f>
      </x:c>
      <x:c r="L63" s="118">
        <x:f>L27+L34+L45+L49-L20-L24-L53-L57-L35-L46-L50</x:f>
      </x:c>
      <x:c r="M63" s="118">
        <x:f>M27+M34+M45+M49-M20-M24-M53-M57-M35-M46-M50</x:f>
      </x:c>
      <x:c r="N63" s="118">
        <x:f>N27+N34+N45+N49-N20-N24-N53-N57-N35-N46-N50</x:f>
      </x:c>
      <x:c r="O63" s="118">
        <x:f>O27+O34+O45+O49-O20-O24-O53-O57-O35-O46-O50</x:f>
      </x:c>
      <x:c r="P63" s="118">
        <x:f>P27+P34+P45+P49-P20-P24-P53-P57-P35-P46-P50</x:f>
      </x:c>
      <x:c r="Q63" s="118">
        <x:f>Q27+Q34+Q45+Q49-Q20-Q24-Q53-Q57-Q35-Q46-Q50</x:f>
      </x:c>
      <x:c r="R63" s="118">
        <x:f>R27+R34+R45+R49-R20-R24-R53-R57-R35-R46-R50</x:f>
      </x:c>
      <x:c r="S63" s="118">
        <x:f>S27+S34+S45+S49-S20-S24-S53-S57-S35-S46-S50</x:f>
      </x:c>
      <x:c r="T63" s="118">
        <x:f>T27+T34+T45+T49-T20-T24-T53-T57-T35-T46-T50</x:f>
      </x:c>
      <x:c r="U63" s="118">
        <x:f>U27+U34+U45+U49-U20-U24-U53-U57-U35-U46-U50</x:f>
      </x:c>
      <x:c r="V63" s="118">
        <x:f>V27+V34+V45+V49-V20-V24-V53-V57-V35-V46-V50</x:f>
      </x:c>
      <x:c r="W63" s="118">
        <x:f>W27+W34+W45+W49-W20-W24-W53-W57-W35-W46-W50</x:f>
      </x:c>
      <x:c r="X63" s="118">
        <x:f>X27+X34+X45+X49-X20-X24-X53-X57-X35-X46-X50</x:f>
      </x:c>
      <x:c r="Y63" s="118">
        <x:f>Y27+Y34+Y45+Y49-Y20-Y24-Y53-Y57-Y35-Y46-Y50</x:f>
      </x:c>
      <x:c r="Z63" s="118">
        <x:f>Z27+Z34+Z45+Z49-Z20-Z24-Z53-Z57-Z35-Z46-Z50</x:f>
      </x:c>
      <x:c r="AA63" s="118">
        <x:f>AA27+AA34+AA45+AA49-AA20-AA24-AA53-AA57-AA35-AA46-AA50</x:f>
      </x:c>
      <x:c r="AB63" s="118">
        <x:f>AB27+AB34+AB45+AB49-AB20-AB24-AB53-AB57-AB35-AB46-AB50</x:f>
      </x:c>
      <x:c r="AC63" s="118">
        <x:f>AC27+AC34+AC45+AC49-AC20-AC24-AC53-AC57-AC35-AC46-AC50</x:f>
      </x:c>
      <x:c r="AD63" s="118">
        <x:f>AD27+AD34+AD45+AD49-AD20-AD24-AD53-AD57-AD35-AD46-AD50</x:f>
      </x:c>
      <x:c r="AE63" s="118">
        <x:f>AE27+AE34+AE45+AE49-AE20-AE24-AE53-AE57-AE35-AE46-AE50</x:f>
      </x:c>
      <x:c r="AF63" s="118">
        <x:f>AF27+AF34+AF45+AF49-AF20-AF24-AF53-AF57-AF35-AF46-AF50</x:f>
      </x:c>
      <x:c r="AG63" s="118">
        <x:f>AG27+AG34+AG45+AG49-AG20-AG24-AG53-AG57-AG35-AG46-AG50</x:f>
      </x:c>
      <x:c r="AH63" s="118">
        <x:f>AH27+AH34+AH45+AH49-AH20-AH24-AH53-AH57-AH35-AH46-AH50</x:f>
      </x:c>
      <x:c r="AI63" s="118">
        <x:f>AI27+AI34+AI45+AI49-AI20-AI24-AI53-AI57-AI35-AI46-AI50</x:f>
      </x:c>
      <x:c r="AJ63" s="118">
        <x:f>AJ27+AJ34+AJ45+AJ49-AJ20-AJ24-AJ53-AJ57-AJ35-AJ46-AJ50</x:f>
      </x:c>
      <x:c r="AK63" s="118">
        <x:f>AK27+AK34+AK45+AK49-AK20-AK24-AK53-AK57-AK35-AK46-AK50</x:f>
      </x:c>
      <x:c r="AL63" s="118">
        <x:f>AL27+AL34+AL45+AL49-AL20-AL24-AL53-AL57-AL35-AL46-AL50</x:f>
      </x:c>
      <x:c r="AM63" s="118">
        <x:f>AM27+AM34+AM45+AM49-AM20-AM24-AM53-AM57-AM35-AM46-AM50</x:f>
      </x:c>
      <x:c r="AN63" s="118">
        <x:f>AN27+AN34+AN45+AN49-AN20-AN24-AN53-AN57-AN35-AN46-AN50</x:f>
      </x:c>
      <x:c r="AO63" s="118">
        <x:f>AO27+AO34+AO45+AO49-AO20-AO24-AO53-AO57-AO35-AO46-AO50</x:f>
      </x:c>
      <x:c r="AP63" s="118">
        <x:f>AP27+AP34+AP45+AP49-AP20-AP24-AP53-AP57-AP35-AP46-AP50</x:f>
      </x:c>
      <x:c r="AQ63" s="118">
        <x:f>AQ27+AQ34+AQ45+AQ49-AQ20-AQ24-AQ53-AQ57-AQ35-AQ46-AQ50</x:f>
      </x:c>
      <x:c r="AR63" s="118">
        <x:f>AR27+AR34+AR45+AR49-AR20-AR24-AR53-AR57-AR35-AR46-AR50</x:f>
      </x:c>
      <x:c r="AS63" s="118">
        <x:f>AS27+AS34+AS45+AS49-AS20-AS24-AS53-AS57-AS35-AS46-AS50</x:f>
      </x:c>
      <x:c r="AT63" s="118">
        <x:f>AT27+AT34+AT45+AT49-AT20-AT24-AT53-AT57-AT35-AT46-AT50</x:f>
      </x:c>
      <x:c r="AU63" s="118">
        <x:f>AU27+AU34+AU45+AU49-AU20-AU24-AU53-AU57-AU35-AU46-AU50</x:f>
      </x:c>
      <x:c r="AV63" s="118">
        <x:f>AV27+AV34+AV45+AV49-AV20-AV24-AV53-AV57-AV35-AV46-AV50</x:f>
      </x:c>
      <x:c r="AW63" s="118">
        <x:f>AW27+AW34+AW45+AW49-AW20-AW24-AW53-AW57-AW35-AW46-AW50</x:f>
      </x:c>
      <x:c r="AX63" s="118">
        <x:f>AX27+AX34+AX45+AX49-AX20-AX24-AX53-AX57-AX35-AX46-AX50</x:f>
      </x:c>
      <x:c r="AY63" s="118">
        <x:f>AY27+AY34+AY45+AY49-AY20-AY24-AY53-AY57-AY35-AY46-AY50</x:f>
      </x:c>
      <x:c r="AZ63" s="118">
        <x:f>AZ27+AZ34+AZ45+AZ49-AZ20-AZ24-AZ53-AZ57-AZ35-AZ46-AZ50</x:f>
      </x:c>
      <x:c r="BA63" s="118">
        <x:f>BA27+BA34+BA45+BA49-BA20-BA24-BA53-BA57-BA35-BA46-BA50</x:f>
      </x:c>
      <x:c r="BB63" s="118">
        <x:f>BB27+BB34+BB45+BB49-BB20-BB24-BB53-BB57-BB35-BB46-BB50</x:f>
      </x:c>
      <x:c r="BC63" s="118">
        <x:f>BC27+BC34+BC45+BC49-BC20-BC24-BC53-BC57-BC35-BC46-BC50</x:f>
      </x:c>
      <x:c r="BD63" s="118">
        <x:f>BD27+BD34+BD45+BD49-BD20-BD24-BD53-BD57-BD35-BD46-BD50</x:f>
      </x:c>
      <x:c r="BE63" s="118">
        <x:f>BE27+BE34+BE45+BE49-BE20-BE24-BE53-BE57-BE35-BE46-BE50</x:f>
      </x:c>
      <x:c r="BF63" s="118">
        <x:f>BF27+BF34+BF45+BF49-BF20-BF24-BF53-BF57-BF35-BF46-BF50</x:f>
      </x:c>
      <x:c r="BG63" s="118">
        <x:f>BG27+BG34+BG45+BG49-BG20-BG24-BG53-BG57-BG35-BG46-BG50</x:f>
      </x:c>
      <x:c r="BH63" s="118">
        <x:f>BH27+BH34+BH45+BH49-BH20-BH24-BH53-BH57-BH35-BH46-BH50</x:f>
      </x:c>
      <x:c r="BI63" s="118">
        <x:f>BI27+BI34+BI45+BI49-BI20-BI24-BI53-BI57-BI35-BI46-BI50</x:f>
      </x:c>
      <x:c r="BJ63" s="118">
        <x:f>BJ27+BJ34+BJ45+BJ49-BJ20-BJ24-BJ53-BJ57-BJ35-BJ46-BJ50</x:f>
      </x:c>
      <x:c r="BK63" s="118">
        <x:f>BK27+BK34+BK45+BK49-BK20-BK24-BK53-BK57-BK35-BK46-BK50</x:f>
      </x:c>
      <x:c r="BL63" s="118">
        <x:f>BL27+BL34+BL45+BL49-BL20-BL24-BL53-BL57-BL35-BL46-BL50</x:f>
      </x:c>
      <x:c r="BM63" s="118">
        <x:f>BM27+BM34+BM45+BM49-BM20-BM24-BM53-BM57-BM35-BM46-BM50</x:f>
      </x:c>
      <x:c r="BN63" s="118">
        <x:f>BN27+BN34+BN45+BN49-BN20-BN24-BN53-BN57-BN35-BN46-BN50</x:f>
      </x:c>
      <x:c r="BO63" s="118">
        <x:f>BO27+BO34+BO45+BO49-BO20-BO24-BO53-BO57-BO35-BO46-BO50</x:f>
      </x:c>
      <x:c r="BP63" s="118">
        <x:f>BP27+BP34+BP45+BP49-BP20-BP24-BP53-BP57-BP35-BP46-BP50</x:f>
      </x:c>
      <x:c r="BQ63" s="118">
        <x:f>BQ27+BQ34+BQ45+BQ49-BQ20-BQ24-BQ53-BQ57-BQ35-BQ46-BQ50</x:f>
      </x:c>
      <x:c r="BR63" s="118">
        <x:f>BR27+BR34+BR45+BR49-BR20-BR24-BR53-BR57-BR35-BR46-BR50</x:f>
      </x:c>
      <x:c r="BS63" s="118">
        <x:f>BS27+BS34+BS45+BS49-BS20-BS24-BS53-BS57-BS35-BS46-BS50</x:f>
      </x:c>
      <x:c r="BT63" s="118">
        <x:f>BT27+BT34+BT45+BT49-BT20-BT24-BT53-BT57-BT35-BT46-BT50</x:f>
      </x:c>
      <x:c r="BU63" s="118">
        <x:f>BU27+BU34+BU45+BU49-BU20-BU24-BU53-BU57-BU35-BU46-BU50</x:f>
      </x:c>
      <x:c r="BV63" s="118">
        <x:f>BV27+BV34+BV45+BV49-BV20-BV24-BV53-BV57-BV35-BV46-BV50</x:f>
      </x:c>
      <x:c r="BW63" s="118">
        <x:f>BW27+BW34+BW45+BW49-BW20-BW24-BW53-BW57-BW35-BW46-BW50</x:f>
      </x:c>
      <x:c r="BX63" s="118">
        <x:f>BX27+BX34+BX45+BX49-BX20-BX24-BX53-BX57-BX35-BX46-BX50</x:f>
      </x:c>
      <x:c r="BY63" s="118">
        <x:f>BY27+BY34+BY45+BY49-BY20-BY24-BY53-BY57-BY35-BY46-BY50</x:f>
      </x:c>
      <x:c r="BZ63" s="118">
        <x:f>BZ27+BZ34+BZ45+BZ49-BZ20-BZ24-BZ53-BZ57-BZ35-BZ46-BZ50</x:f>
      </x:c>
      <x:c r="CA63" s="118">
        <x:f>CA27+CA34+CA45+CA49-CA20-CA24-CA53-CA57-CA35-CA46-CA50</x:f>
      </x:c>
      <x:c r="CB63" s="118">
        <x:f>CB27+CB34+CB45+CB49-CB20-CB24-CB53-CB57-CB35-CB46-CB50</x:f>
      </x:c>
      <x:c r="CC63" s="118">
        <x:f>CC27+CC34+CC45+CC49-CC20-CC24-CC53-CC57-CC35-CC46-CC50</x:f>
      </x:c>
      <x:c r="CD63" s="118">
        <x:f>CD27+CD34+CD45+CD49-CD20-CD24-CD53-CD57-CD35-CD46-CD50</x:f>
      </x:c>
      <x:c r="CE63" s="118">
        <x:f>CE27+CE34+CE45+CE49-CE20-CE24-CE53-CE57-CE35-CE46-CE50</x:f>
      </x:c>
      <x:c r="CF63" s="118">
        <x:f>CF27+CF34+CF45+CF49-CF20-CF24-CF53-CF57-CF35-CF46-CF50</x:f>
      </x:c>
      <x:c r="CG63" s="118">
        <x:f>CG27+CG34+CG45+CG49-CG20-CG24-CG53-CG57-CG35-CG46-CG50</x:f>
      </x:c>
      <x:c r="CH63" s="118">
        <x:f>CH27+CH34+CH45+CH49-CH20-CH24-CH53-CH57-CH35-CH46-CH50</x:f>
      </x:c>
      <x:c r="CI63" s="118">
        <x:f>CI27+CI34+CI45+CI49-CI20-CI24-CI53-CI57-CI35-CI46-CI50</x:f>
      </x:c>
      <x:c r="CJ63" s="118">
        <x:f>CJ27+CJ34+CJ45+CJ49-CJ20-CJ24-CJ53-CJ57-CJ35-CJ46-CJ50</x:f>
      </x:c>
      <x:c r="CK63" s="118">
        <x:f>CK27+CK34+CK45+CK49-CK20-CK24-CK53-CK57-CK35-CK46-CK50</x:f>
      </x:c>
      <x:c r="CL63" s="118">
        <x:f>CL27+CL34+CL45+CL49-CL20-CL24-CL53-CL57-CL35-CL46-CL50</x:f>
      </x:c>
      <x:c r="CM63" s="118">
        <x:f>CM27+CM34+CM45+CM49-CM20-CM24-CM53-CM57-CM35-CM46-CM50</x:f>
      </x:c>
      <x:c r="CN63" s="118">
        <x:f>CN27+CN34+CN45+CN49-CN20-CN24-CN53-CN57-CN35-CN46-CN50</x:f>
      </x:c>
      <x:c r="CO63" s="118">
        <x:f>CO27+CO34+CO45+CO49-CO20-CO24-CO53-CO57-CO35-CO46-CO50</x:f>
      </x:c>
      <x:c r="CP63" s="118">
        <x:f>CP27+CP34+CP45+CP49-CP20-CP24-CP53-CP57-CP35-CP46-CP50</x:f>
      </x:c>
      <x:c r="CQ63" s="118">
        <x:f>CQ27+CQ34+CQ45+CQ49-CQ20-CQ24-CQ53-CQ57-CQ35-CQ46-CQ50</x:f>
      </x:c>
      <x:c r="CR63" s="118">
        <x:f>CR27+CR34+CR45+CR49-CR20-CR24-CR53-CR57-CR35-CR46-CR50</x:f>
      </x:c>
      <x:c r="CS63" s="118">
        <x:f>CS27+CS34+CS45+CS49-CS20-CS24-CS53-CS57-CS35-CS46-CS50</x:f>
      </x:c>
      <x:c r="CT63" s="118">
        <x:f>CT27+CT34+CT45+CT49-CT20-CT24-CT53-CT57-CT35-CT46-CT50</x:f>
      </x:c>
      <x:c r="CU63" s="118">
        <x:f>CU27+CU34+CU45+CU49-CU20-CU24-CU53-CU57-CU35-CU46-CU50</x:f>
      </x:c>
      <x:c r="CV63" s="118">
        <x:f>CV27+CV34+CV45+CV49-CV20-CV24-CV53-CV57-CV35-CV46-CV50</x:f>
      </x:c>
      <x:c r="CW63" s="118">
        <x:f>CW27+CW34+CW45+CW49-CW20-CW24-CW53-CW57-CW35-CW46-CW50</x:f>
      </x:c>
      <x:c r="CX63" s="118">
        <x:f>CX27+CX34+CX45+CX49-CX20-CX24-CX53-CX57-CX35-CX46-CX50</x:f>
      </x:c>
      <x:c r="CY63" s="118">
        <x:f>CY27+CY34+CY45+CY49-CY20-CY24-CY53-CY57-CY35-CY46-CY50</x:f>
      </x:c>
      <x:c r="CZ63" s="118">
        <x:f>CZ27+CZ34+CZ45+CZ49-CZ20-CZ24-CZ53-CZ57-CZ35-CZ46-CZ50</x:f>
      </x:c>
      <x:c r="DA63" s="118">
        <x:f>DA27+DA34+DA45+DA49-DA20-DA24-DA53-DA57-DA35-DA46-DA50</x:f>
      </x:c>
      <x:c r="DB63" s="118">
        <x:f>DB27+DB34+DB45+DB49-DB20-DB24-DB53-DB57-DB35-DB46-DB50</x:f>
      </x:c>
      <x:c r="DC63" s="118">
        <x:f>DC27+DC34+DC45+DC49-DC20-DC24-DC53-DC57-DC35-DC46-DC50</x:f>
      </x:c>
      <x:c r="DD63" s="118">
        <x:f>DD27+DD34+DD45+DD49-DD20-DD24-DD53-DD57-DD35-DD46-DD50</x:f>
      </x:c>
      <x:c r="DE63" s="118">
        <x:f>DE27+DE34+DE45+DE49-DE20-DE24-DE53-DE57-DE35-DE46-DE50</x:f>
      </x:c>
      <x:c r="DF63" s="118">
        <x:f>DF27+DF34+DF45+DF49-DF20-DF24-DF53-DF57-DF35-DF46-DF50</x:f>
      </x:c>
      <x:c r="DG63" s="118">
        <x:f>DG27+DG34+DG45+DG49-DG20-DG24-DG53-DG57-DG35-DG46-DG50</x:f>
      </x:c>
      <x:c r="DH63" s="118">
        <x:f>DH27+DH34+DH45+DH49-DH20-DH24-DH53-DH57-DH35-DH46-DH50</x:f>
      </x:c>
      <x:c r="DI63" s="118">
        <x:f>DI27+DI34+DI45+DI49-DI20-DI24-DI53-DI57-DI35-DI46-DI50</x:f>
      </x:c>
      <x:c r="DJ63" s="118">
        <x:f>DJ27+DJ34+DJ45+DJ49-DJ20-DJ24-DJ53-DJ57-DJ35-DJ46-DJ50</x:f>
      </x:c>
      <x:c r="DK63" s="118">
        <x:f>DK27+DK34+DK45+DK49-DK20-DK24-DK53-DK57-DK35-DK46-DK50</x:f>
      </x:c>
      <x:c r="DL63" s="118">
        <x:f>DL27+DL34+DL45+DL49-DL20-DL24-DL53-DL57-DL35-DL46-DL50</x:f>
      </x:c>
      <x:c r="DM63" s="118">
        <x:f>DM27+DM34+DM45+DM49-DM20-DM24-DM53-DM57-DM35-DM46-DM50</x:f>
      </x:c>
      <x:c r="DN63" s="118">
        <x:f>DN27+DN34+DN45+DN49-DN20-DN24-DN53-DN57-DN35-DN46-DN50</x:f>
      </x:c>
      <x:c r="DO63" s="118">
        <x:f>DO27+DO34+DO45+DO49-DO20-DO24-DO53-DO57-DO35-DO46-DO50</x:f>
      </x:c>
      <x:c r="DP63" s="118">
        <x:f>DP27+DP34+DP45+DP49-DP20-DP24-DP53-DP57-DP35-DP46-DP50</x:f>
      </x:c>
      <x:c r="DQ63" s="118">
        <x:f>DQ27+DQ34+DQ45+DQ49-DQ20-DQ24-DQ53-DQ57-DQ35-DQ46-DQ50</x:f>
      </x:c>
      <x:c r="DR63" s="118">
        <x:f>DR27+DR34+DR45+DR49-DR20-DR24-DR53-DR57-DR35-DR46-DR50</x:f>
      </x:c>
      <x:c r="DS63" s="118">
        <x:f>DS27+DS34+DS45+DS49-DS20-DS24-DS53-DS57-DS35-DS46-DS50</x:f>
      </x:c>
      <x:c r="DT63" s="118">
        <x:f>DT27+DT34+DT45+DT49-DT20-DT24-DT53-DT57-DT35-DT46-DT50</x:f>
      </x:c>
      <x:c r="DU63" s="118">
        <x:f>DU27+DU34+DU45+DU49-DU20-DU24-DU53-DU57-DU35-DU46-DU50</x:f>
      </x:c>
      <x:c r="DV63" s="118">
        <x:f>DV27+DV34+DV45+DV49-DV20-DV24-DV53-DV57-DV35-DV46-DV50</x:f>
      </x:c>
      <x:c r="DW63" s="118">
        <x:f>DW27+DW34+DW45+DW49-DW20-DW24-DW53-DW57-DW35-DW46-DW50</x:f>
      </x:c>
      <x:c r="DX63" s="118">
        <x:f>DX27+DX34+DX45+DX49-DX20-DX24-DX53-DX57-DX35-DX46-DX50</x:f>
      </x:c>
      <x:c r="DY63" s="118">
        <x:f>DY27+DY34+DY45+DY49-DY20-DY24-DY53-DY57-DY35-DY46-DY50</x:f>
      </x:c>
      <x:c r="DZ63" s="118">
        <x:f>DZ27+DZ34+DZ45+DZ49-DZ20-DZ24-DZ53-DZ57-DZ35-DZ46-DZ50</x:f>
      </x:c>
      <x:c r="EA63" s="118">
        <x:f>EA27+EA34+EA45+EA49-EA20-EA24-EA53-EA57-EA35-EA46-EA50</x:f>
      </x:c>
      <x:c r="EB63" s="118">
        <x:f>EB27+EB34+EB45+EB49-EB20-EB24-EB53-EB57-EB35-EB46-EB50</x:f>
      </x:c>
      <x:c r="EC63" s="118">
        <x:f>EC27+EC34+EC45+EC49-EC20-EC24-EC53-EC57-EC35-EC46-EC50</x:f>
      </x:c>
      <x:c r="ED63" s="118">
        <x:f>ED27+ED34+ED45+ED49-ED20-ED24-ED53-ED57-ED35-ED46-ED50</x:f>
      </x:c>
      <x:c r="EE63" s="118">
        <x:f>EE27+EE34+EE45+EE49-EE20-EE24-EE53-EE57-EE35-EE46-EE50</x:f>
      </x:c>
      <x:c r="EF63" s="118">
        <x:f>EF27+EF34+EF45+EF49-EF20-EF24-EF53-EF57-EF35-EF46-EF50</x:f>
      </x:c>
      <x:c r="EG63" s="118">
        <x:f>EG27+EG34+EG45+EG49-EG20-EG24-EG53-EG57-EG35-EG46-EG50</x:f>
      </x:c>
      <x:c r="EH63" s="118">
        <x:f>EH27+EH34+EH45+EH49-EH20-EH24-EH53-EH57-EH35-EH46-EH50</x:f>
      </x:c>
      <x:c r="EI63" s="118">
        <x:f>EI27+EI34+EI45+EI49-EI20-EI24-EI53-EI57-EI35-EI46-EI50</x:f>
      </x:c>
      <x:c r="EJ63" s="118">
        <x:f>EJ27+EJ34+EJ45+EJ49-EJ20-EJ24-EJ53-EJ57-EJ35-EJ46-EJ50</x:f>
      </x:c>
      <x:c r="EK63" s="118">
        <x:f>EK27+EK34+EK45+EK49-EK20-EK24-EK53-EK57-EK35-EK46-EK50</x:f>
      </x:c>
      <x:c r="EL63" s="118">
        <x:f>EL27+EL34+EL45+EL49-EL20-EL24-EL53-EL57-EL35-EL46-EL50</x:f>
      </x:c>
      <x:c r="EM63" s="118">
        <x:f>EM27+EM34+EM45+EM49-EM20-EM24-EM53-EM57-EM35-EM46-EM50</x:f>
      </x:c>
      <x:c r="EN63" s="118">
        <x:f>EN27+EN34+EN45+EN49-EN20-EN24-EN53-EN57-EN35-EN46-EN50</x:f>
      </x:c>
      <x:c r="EO63" s="118">
        <x:f>EO27+EO34+EO45+EO49-EO20-EO24-EO53-EO57-EO35-EO46-EO50</x:f>
      </x:c>
      <x:c r="EP63" s="118">
        <x:f>EP27+EP34+EP45+EP49-EP20-EP24-EP53-EP57-EP35-EP46-EP50</x:f>
      </x:c>
      <x:c r="EQ63" s="118">
        <x:f>EQ27+EQ34+EQ45+EQ49-EQ20-EQ24-EQ53-EQ57-EQ35-EQ46-EQ50</x:f>
      </x:c>
      <x:c r="ER63" s="118">
        <x:f>ER27+ER34+ER45+ER49-ER20-ER24-ER53-ER57-ER35-ER46-ER50</x:f>
      </x:c>
      <x:c r="ES63" s="118">
        <x:f>ES27+ES34+ES45+ES49-ES20-ES24-ES53-ES57-ES35-ES46-ES50</x:f>
      </x:c>
      <x:c r="ET63" s="118">
        <x:f>ET27+ET34+ET45+ET49-ET20-ET24-ET53-ET57-ET35-ET46-ET50</x:f>
      </x:c>
      <x:c r="EU63" s="118">
        <x:f>EU27+EU34+EU45+EU49-EU20-EU24-EU53-EU57-EU35-EU46-EU50</x:f>
      </x:c>
      <x:c r="EV63" s="118">
        <x:f>EV27+EV34+EV45+EV49-EV20-EV24-EV53-EV57-EV35-EV46-EV50</x:f>
      </x:c>
      <x:c r="EW63" s="118">
        <x:f>EW27+EW34+EW45+EW49-EW20-EW24-EW53-EW57-EW35-EW46-EW50</x:f>
      </x:c>
      <x:c r="EX63" s="118">
        <x:f>EX27+EX34+EX45+EX49-EX20-EX24-EX53-EX57-EX35-EX46-EX50</x:f>
      </x:c>
      <x:c r="EY63" s="118">
        <x:f>EY27+EY34+EY45+EY49-EY20-EY24-EY53-EY57-EY35-EY46-EY50</x:f>
      </x:c>
      <x:c r="EZ63" s="118">
        <x:f>EZ27+EZ34+EZ45+EZ49-EZ20-EZ24-EZ53-EZ57-EZ35-EZ46-EZ50</x:f>
      </x:c>
      <x:c r="FA63" s="118">
        <x:f>FA27+FA34+FA45+FA49-FA20-FA24-FA53-FA57-FA35-FA46-FA50</x:f>
      </x:c>
      <x:c r="FB63" s="118">
        <x:f>FB27+FB34+FB45+FB49-FB20-FB24-FB53-FB57-FB35-FB46-FB50</x:f>
      </x:c>
      <x:c r="FC63" s="118">
        <x:f>FC27+FC34+FC45+FC49-FC20-FC24-FC53-FC57-FC35-FC46-FC50</x:f>
      </x:c>
      <x:c r="FD63" s="118">
        <x:f>FD27+FD34+FD45+FD49-FD20-FD24-FD53-FD57-FD35-FD46-FD50</x:f>
      </x:c>
      <x:c r="FE63" s="118">
        <x:f>FE27+FE34+FE45+FE49-FE20-FE24-FE53-FE57-FE35-FE46-FE50</x:f>
      </x:c>
      <x:c r="FF63" s="118">
        <x:f>FF27+FF34+FF45+FF49-FF20-FF24-FF53-FF57-FF35-FF46-FF50</x:f>
      </x:c>
      <x:c r="FG63" s="118">
        <x:f>FG27+FG34+FG45+FG49-FG20-FG24-FG53-FG57-FG35-FG46-FG50</x:f>
      </x:c>
      <x:c r="FH63" s="118">
        <x:f>FH27+FH34+FH45+FH49-FH20-FH24-FH53-FH57-FH35-FH46-FH50</x:f>
      </x:c>
      <x:c r="FI63" s="118">
        <x:f>FI27+FI34+FI45+FI49-FI20-FI24-FI53-FI57-FI35-FI46-FI50</x:f>
      </x:c>
      <x:c r="FJ63" s="118">
        <x:f>FJ27+FJ34+FJ45+FJ49-FJ20-FJ24-FJ53-FJ57-FJ35-FJ46-FJ50</x:f>
      </x:c>
      <x:c r="FK63" s="118">
        <x:f>FK27+FK34+FK45+FK49-FK20-FK24-FK53-FK57-FK35-FK46-FK50</x:f>
      </x:c>
      <x:c r="FL63" s="118">
        <x:f>FL27+FL34+FL45+FL49-FL20-FL24-FL53-FL57-FL35-FL46-FL50</x:f>
      </x:c>
      <x:c r="FM63" s="118">
        <x:f>FM27+FM34+FM45+FM49-FM20-FM24-FM53-FM57-FM35-FM46-FM50</x:f>
      </x:c>
      <x:c r="FN63" s="118">
        <x:f>FN27+FN34+FN45+FN49-FN20-FN24-FN53-FN57-FN35-FN46-FN50</x:f>
      </x:c>
      <x:c r="FO63" s="118">
        <x:f>FO27+FO34+FO45+FO49-FO20-FO24-FO53-FO57-FO35-FO46-FO50</x:f>
      </x:c>
      <x:c r="FP63" s="118">
        <x:f>FP27+FP34+FP45+FP49-FP20-FP24-FP53-FP57-FP35-FP46-FP50</x:f>
      </x:c>
      <x:c r="FQ63" s="118">
        <x:f>FQ27+FQ34+FQ45+FQ49-FQ20-FQ24-FQ53-FQ57-FQ35-FQ46-FQ50</x:f>
      </x:c>
      <x:c r="FR63" s="118">
        <x:f>FR27+FR34+FR45+FR49-FR20-FR24-FR53-FR57-FR35-FR46-FR50</x:f>
      </x:c>
      <x:c r="FS63" s="118">
        <x:f>FS27+FS34+FS45+FS49-FS20-FS24-FS53-FS57-FS35-FS46-FS50</x:f>
      </x:c>
      <x:c r="FT63" s="118">
        <x:f>FT27+FT34+FT45+FT49-FT20-FT24-FT53-FT57-FT35-FT46-FT50</x:f>
      </x:c>
      <x:c r="FU63" s="118">
        <x:f>FU27+FU34+FU45+FU49-FU20-FU24-FU53-FU57-FU35-FU46-FU50</x:f>
      </x:c>
      <x:c r="FV63" s="118">
        <x:f>FV27+FV34+FV45+FV49-FV20-FV24-FV53-FV57-FV35-FV46-FV50</x:f>
      </x:c>
      <x:c r="FW63" s="118">
        <x:f>FW27+FW34+FW45+FW49-FW20-FW24-FW53-FW57-FW35-FW46-FW50</x:f>
      </x:c>
      <x:c r="FX63" s="118">
        <x:f>FX27+FX34+FX45+FX49-FX20-FX24-FX53-FX57-FX35-FX46-FX50</x:f>
      </x:c>
      <x:c r="FY63" s="118">
        <x:f>FY27+FY34+FY45+FY49-FY20-FY24-FY53-FY57-FY35-FY46-FY50</x:f>
      </x:c>
      <x:c r="FZ63" s="118">
        <x:f>FZ27+FZ34+FZ45+FZ49-FZ20-FZ24-FZ53-FZ57-FZ35-FZ46-FZ50</x:f>
      </x:c>
      <x:c r="GA63" s="118">
        <x:f>GA27+GA34+GA45+GA49-GA20-GA24-GA53-GA57-GA35-GA46-GA50</x:f>
      </x:c>
    </x:row>
    <x:row r="66" ht="21" customHeight="1">
      <x:c r="A66" s="52" t="str">
        <x:v>СВОДКА ОЧЕРЕДИ 1</x:v>
      </x:c>
      <x:c r="B66" s="53" t="str">
        <x:v>СВОДКА ОЧЕРЕДИ 1</x:v>
      </x:c>
      <x:c r="C66" s="54" t="str">
        <x:v>СВОДКА ОЧЕРЕДИ 1</x:v>
      </x:c>
    </x:row>
    <x:row r="67">
      <x:c r="A67" s="99" t="str">
        <x:v>Выручка</x:v>
      </x:c>
      <x:c r="B67" s="116" t="n">
        <x:f>B10</x:f>
      </x:c>
      <x:c r="C67" s="99" t="str">
        <x:v>млн ₽</x:v>
      </x:c>
    </x:row>
    <x:row r="68">
      <x:c r="A68" s="99" t="str">
        <x:v>CAPEX</x:v>
      </x:c>
      <x:c r="B68" s="116" t="n">
        <x:f>B17</x:f>
      </x:c>
      <x:c r="C68" s="99" t="str">
        <x:v>млн ₽</x:v>
      </x:c>
    </x:row>
    <x:row r="69">
      <x:c r="A69" s="99" t="str">
        <x:v>Коммерческие расходы</x:v>
      </x:c>
      <x:c r="B69" s="116" t="n">
        <x:f>SUM(B18:B19)</x:f>
      </x:c>
      <x:c r="C69" s="99" t="str">
        <x:v>млн ₽</x:v>
      </x:c>
    </x:row>
    <x:row r="70">
      <x:c r="A70" s="99" t="str">
        <x:v>EBITDA</x:v>
      </x:c>
      <x:c r="B70" s="116" t="n">
        <x:f>B10-B20</x:f>
      </x:c>
      <x:c r="C70" s="99" t="str">
        <x:v>млн ₽</x:v>
      </x:c>
    </x:row>
    <x:row r="71">
      <x:c r="A71" s="99" t="str">
        <x:v>Проценты БРИДЖ</x:v>
      </x:c>
      <x:c r="B71" s="116" t="n">
        <x:f>B32</x:f>
      </x:c>
      <x:c r="C71" s="99" t="str">
        <x:v>млн ₽</x:v>
      </x:c>
    </x:row>
    <x:row r="72">
      <x:c r="A72" s="99" t="str">
        <x:v>Проценты ПФ</x:v>
      </x:c>
      <x:c r="B72" s="116" t="n">
        <x:f>B42</x:f>
      </x:c>
      <x:c r="C72" s="99" t="str">
        <x:v>млн ₽</x:v>
      </x:c>
    </x:row>
    <x:row r="73">
      <x:c r="A73" s="99" t="str">
        <x:v>Комиссии ПФ</x:v>
      </x:c>
      <x:c r="B73" s="116" t="n">
        <x:f>B43</x:f>
      </x:c>
      <x:c r="C73" s="99" t="str">
        <x:v>млн ₽</x:v>
      </x:c>
    </x:row>
    <x:row r="74">
      <x:c r="A74" s="99" t="str">
        <x:v>Стоимость финансирования (кассовая)</x:v>
      </x:c>
      <x:c r="B74" s="116" t="n">
        <x:f>SUM(B53,B57)+IF('Вводные'!$B$31="Оплата капиталом",MAX(D37:GA37),0)</x:f>
      </x:c>
      <x:c r="C74" s="99" t="str">
        <x:v>млн ₽</x:v>
      </x:c>
    </x:row>
    <x:row r="75">
      <x:c r="A75" s="99" t="str">
        <x:v>Прибыль до налога</x:v>
      </x:c>
      <x:c r="B75" s="116" t="n">
        <x:f>B10-B20-B74</x:f>
      </x:c>
      <x:c r="C75" s="99" t="str">
        <x:v>млн ₽</x:v>
      </x:c>
    </x:row>
    <x:row r="76">
      <x:c r="A76" s="99" t="str">
        <x:v>Налог на прибыль</x:v>
      </x:c>
      <x:c r="B76" s="116" t="n">
        <x:f>B24</x:f>
      </x:c>
      <x:c r="C76" s="99" t="str">
        <x:v>млн ₽</x:v>
      </x:c>
    </x:row>
    <x:row r="77">
      <x:c r="A77" s="99" t="str">
        <x:v>Чистая прибыль (кассовая по очереди)</x:v>
      </x:c>
      <x:c r="B77" s="116" t="n">
        <x:f>B75-B76-B21</x:f>
      </x:c>
      <x:c r="C77" s="99" t="str">
        <x:v>млн ₽</x:v>
      </x:c>
    </x:row>
    <x:row r="78">
      <x:c r="A78" s="99" t="str">
        <x:v>Вложено собственного капитала</x:v>
      </x:c>
      <x:c r="B78" s="116" t="n">
        <x:f>B49</x:f>
      </x:c>
      <x:c r="C78" s="99" t="str">
        <x:v>млн ₽</x:v>
      </x:c>
    </x:row>
    <x:row r="79">
      <x:c r="A79" s="99" t="str">
        <x:v>Распределено собственнику</x:v>
      </x:c>
      <x:c r="B79" s="116" t="n">
        <x:f>B50</x:f>
      </x:c>
      <x:c r="C79" s="99" t="str">
        <x:v>млн ₽</x:v>
      </x:c>
    </x:row>
    <x:row r="80">
      <x:c r="A80" s="99" t="str">
        <x:v>IRR собственного капитала</x:v>
      </x:c>
      <x:c r="B80" s="130" t="n">
        <x:f>IF(B86&gt;0.5,"N/A (долг не погашен)",IF(B49&lt;1,"N/A (капитал не привлекался)",IF(AND(MIN(D51:GA51)&lt;0,MAX(D51:GA51)&gt;0),IFERROR(XIRR(D51:GA51,D3:GA3,0.1),IFERROR(XIRR(D51:GA51,D3:GA3,1),IFERROR(XIRR(D51:GA51,D3:GA3,5),""))),"")))</x:f>
      </x:c>
      <x:c r="C80" s="99" t="str">
        <x:v>% год</x:v>
      </x:c>
    </x:row>
    <x:row r="81">
      <x:c r="A81" s="99" t="str">
        <x:v>NPV собственного капитала</x:v>
      </x:c>
      <x:c r="B81" s="116" t="n">
        <x:f>IF(B86&gt;0.5,"N/A (долг не погашен)",D51+NPV('Вводные'!$B$23/12,E51:GA51))</x:f>
      </x:c>
      <x:c r="C81" s="99" t="str">
        <x:v>млн ₽</x:v>
      </x:c>
    </x:row>
    <x:row r="82">
      <x:c r="A82" t="inlineStr">
        <x:is>
          <x:t>Пиковый долг БРИДЖ (тело долга)</x:t>
        </x:is>
      </x:c>
      <x:c r="B82" s="116" t="n">
        <x:f>MAX(D36:GA36)</x:f>
      </x:c>
      <x:c r="C82" s="99" t="str">
        <x:v>млн ₽</x:v>
      </x:c>
    </x:row>
    <x:row r="83">
      <x:c r="A83" s="99" t="str">
        <x:v>Пиковый долг ПФ</x:v>
      </x:c>
      <x:c r="B83" s="116" t="n">
        <x:f>MAX(D47:GA47)</x:f>
      </x:c>
      <x:c r="C83" s="99" t="str">
        <x:v>млн ₽</x:v>
      </x:c>
    </x:row>
    <x:row r="84">
      <x:c r="A84" s="99" t="str">
        <x:v>Пиковый эскроу</x:v>
      </x:c>
      <x:c r="B84" s="116" t="n">
        <x:f>MAX(D15:GA15)</x:f>
      </x:c>
      <x:c r="C84" s="99" t="str">
        <x:v>млн ₽</x:v>
      </x:c>
    </x:row>
    <x:row r="85">
      <x:c r="A85" t="inlineStr">
        <x:is>
          <x:t>LLCR очереди (за весь срок)</x:t>
        </x:is>
      </x:c>
      <x:c r="B85" s="131" t="n">
        <x:f>IFERROR((B67-B68-B69-B76-B21+SUM(D45:GA45))/(SUM(D45:GA45)+B74),0)</x:f>
      </x:c>
      <x:c r="C85" s="99" t="str">
        <x:v>×</x:v>
      </x:c>
    </x:row>
    <x:row r="86">
      <x:c r="A86" s="99" t="str">
        <x:v>Непогашенный долг на конец проекта</x:v>
      </x:c>
      <x:c r="B86" s="116" t="n">
        <x:f>B36+B47</x:f>
      </x:c>
      <x:c r="C86" s="99" t="str">
        <x:v>млн ₽</x:v>
      </x:c>
    </x:row>
  </x:sheetData>
  <x:mergeCells>
    <x:mergeCell ref="A1:GA1"/>
    <x:mergeCell ref="A66:C66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5" hidden="0" customWidth="1"/>
    <x:col min="3" max="3" width="12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  <x:col min="45" max="45" width="11" hidden="0" customWidth="1"/>
    <x:col min="46" max="46" width="11" hidden="0" customWidth="1"/>
    <x:col min="47" max="47" width="11" hidden="0" customWidth="1"/>
    <x:col min="48" max="48" width="11" hidden="0" customWidth="1"/>
    <x:col min="49" max="49" width="11" hidden="0" customWidth="1"/>
    <x:col min="50" max="50" width="11" hidden="0" customWidth="1"/>
    <x:col min="51" max="51" width="11" hidden="0" customWidth="1"/>
    <x:col min="52" max="52" width="11" hidden="0" customWidth="1"/>
    <x:col min="53" max="53" width="11" hidden="0" customWidth="1"/>
    <x:col min="54" max="54" width="11" hidden="0" customWidth="1"/>
    <x:col min="55" max="55" width="11" hidden="0" customWidth="1"/>
    <x:col min="56" max="56" width="11" hidden="0" customWidth="1"/>
    <x:col min="57" max="57" width="11" hidden="0" customWidth="1"/>
    <x:col min="58" max="58" width="11" hidden="0" customWidth="1"/>
    <x:col min="59" max="59" width="11" hidden="0" customWidth="1"/>
    <x:col min="60" max="60" width="11" hidden="0" customWidth="1"/>
    <x:col min="61" max="61" width="11" hidden="0" customWidth="1"/>
    <x:col min="62" max="62" width="11" hidden="0" customWidth="1"/>
    <x:col min="63" max="63" width="11" hidden="0" customWidth="1"/>
    <x:col min="64" max="64" width="11" hidden="0" customWidth="1"/>
    <x:col min="65" max="65" width="11" hidden="0" customWidth="1"/>
    <x:col min="66" max="66" width="11" hidden="0" customWidth="1"/>
    <x:col min="67" max="67" width="11" hidden="0" customWidth="1"/>
    <x:col min="68" max="68" width="11" hidden="0" customWidth="1"/>
    <x:col min="69" max="69" width="11" hidden="0" customWidth="1"/>
    <x:col min="70" max="70" width="11" hidden="0" customWidth="1"/>
    <x:col min="71" max="71" width="11" hidden="0" customWidth="1"/>
    <x:col min="72" max="72" width="11" hidden="0" customWidth="1"/>
    <x:col min="73" max="73" width="11" hidden="0" customWidth="1"/>
    <x:col min="74" max="74" width="11" hidden="0" customWidth="1"/>
    <x:col min="75" max="75" width="11" hidden="0" customWidth="1"/>
    <x:col min="76" max="76" width="11" hidden="0" customWidth="1"/>
    <x:col min="77" max="77" width="11" hidden="0" customWidth="1"/>
    <x:col min="78" max="78" width="11" hidden="0" customWidth="1"/>
    <x:col min="79" max="79" width="11" hidden="0" customWidth="1"/>
    <x:col min="80" max="80" width="11" hidden="0" customWidth="1"/>
    <x:col min="81" max="81" width="11" hidden="0" customWidth="1"/>
    <x:col min="82" max="82" width="11" hidden="0" customWidth="1"/>
    <x:col min="83" max="83" width="11" hidden="0" customWidth="1"/>
    <x:col min="84" max="84" width="11" hidden="0" customWidth="1"/>
    <x:col min="85" max="85" width="11" hidden="0" customWidth="1"/>
    <x:col min="86" max="86" width="11" hidden="0" customWidth="1"/>
    <x:col min="87" max="87" width="11" hidden="0" customWidth="1"/>
    <x:col min="88" max="88" width="11" hidden="0" customWidth="1"/>
    <x:col min="89" max="89" width="11" hidden="0" customWidth="1"/>
    <x:col min="90" max="90" width="11" hidden="0" customWidth="1"/>
    <x:col min="91" max="91" width="11" hidden="0" customWidth="1"/>
    <x:col min="92" max="92" width="11" hidden="0" customWidth="1"/>
    <x:col min="93" max="93" width="11" hidden="0" customWidth="1"/>
    <x:col min="94" max="94" width="11" hidden="0" customWidth="1"/>
    <x:col min="95" max="95" width="11" hidden="0" customWidth="1"/>
    <x:col min="96" max="96" width="11" hidden="0" customWidth="1"/>
    <x:col min="97" max="97" width="11" hidden="0" customWidth="1"/>
    <x:col min="98" max="98" width="11" hidden="0" customWidth="1"/>
    <x:col min="99" max="99" width="11" hidden="0" customWidth="1"/>
    <x:col min="100" max="100" width="11" hidden="0" customWidth="1"/>
    <x:col min="101" max="101" width="11" hidden="0" customWidth="1"/>
    <x:col min="102" max="102" width="11" hidden="0" customWidth="1"/>
    <x:col min="103" max="103" width="11" hidden="0" customWidth="1"/>
    <x:col min="104" max="104" width="11" hidden="0" customWidth="1"/>
    <x:col min="105" max="105" width="11" hidden="0" customWidth="1"/>
    <x:col min="106" max="106" width="11" hidden="0" customWidth="1"/>
    <x:col min="107" max="107" width="11" hidden="0" customWidth="1"/>
    <x:col min="108" max="108" width="11" hidden="0" customWidth="1"/>
    <x:col min="109" max="109" width="11" hidden="0" customWidth="1"/>
    <x:col min="110" max="110" width="11" hidden="0" customWidth="1"/>
    <x:col min="111" max="111" width="11" hidden="0" customWidth="1"/>
    <x:col min="112" max="112" width="11" hidden="0" customWidth="1"/>
    <x:col min="113" max="113" width="11" hidden="0" customWidth="1"/>
    <x:col min="114" max="114" width="11" hidden="0" customWidth="1"/>
    <x:col min="115" max="115" width="11" hidden="0" customWidth="1"/>
    <x:col min="116" max="116" width="11" hidden="0" customWidth="1"/>
    <x:col min="117" max="117" width="11" hidden="0" customWidth="1"/>
    <x:col min="118" max="118" width="11" hidden="0" customWidth="1"/>
    <x:col min="119" max="119" width="11" hidden="0" customWidth="1"/>
    <x:col min="120" max="120" width="11" hidden="0" customWidth="1"/>
    <x:col min="121" max="121" width="11" hidden="0" customWidth="1"/>
    <x:col min="122" max="122" width="11" hidden="0" customWidth="1"/>
    <x:col min="123" max="123" width="11" hidden="0" customWidth="1"/>
    <x:col min="124" max="124" width="11" hidden="0" customWidth="1"/>
    <x:col min="125" max="125" width="11" hidden="0" customWidth="1"/>
    <x:col min="126" max="126" width="11" hidden="0" customWidth="1"/>
    <x:col min="127" max="127" width="11" hidden="0" customWidth="1"/>
    <x:col min="128" max="128" width="11" hidden="0" customWidth="1"/>
    <x:col min="129" max="129" width="11" hidden="0" customWidth="1"/>
    <x:col min="130" max="130" width="11" hidden="0" customWidth="1"/>
    <x:col min="131" max="131" width="11" hidden="0" customWidth="1"/>
    <x:col min="132" max="132" width="11" hidden="0" customWidth="1"/>
    <x:col min="133" max="133" width="11" hidden="0" customWidth="1"/>
    <x:col min="134" max="134" width="11" hidden="0" customWidth="1"/>
    <x:col min="135" max="135" width="11" hidden="0" customWidth="1"/>
    <x:col min="136" max="136" width="11" hidden="0" customWidth="1"/>
    <x:col min="137" max="137" width="11" hidden="0" customWidth="1"/>
    <x:col min="138" max="138" width="11" hidden="0" customWidth="1"/>
    <x:col min="139" max="139" width="11" hidden="0" customWidth="1"/>
    <x:col min="140" max="140" width="11" hidden="0" customWidth="1"/>
    <x:col min="141" max="141" width="11" hidden="0" customWidth="1"/>
    <x:col min="142" max="142" width="11" hidden="0" customWidth="1"/>
    <x:col min="143" max="143" width="11" hidden="0" customWidth="1"/>
    <x:col min="144" max="144" width="11" hidden="0" customWidth="1"/>
    <x:col min="145" max="145" width="11" hidden="0" customWidth="1"/>
    <x:col min="146" max="146" width="11" hidden="0" customWidth="1"/>
    <x:col min="147" max="147" width="11" hidden="0" customWidth="1"/>
    <x:col min="148" max="148" width="11" hidden="0" customWidth="1"/>
    <x:col min="149" max="149" width="11" hidden="0" customWidth="1"/>
    <x:col min="150" max="150" width="11" hidden="0" customWidth="1"/>
    <x:col min="151" max="151" width="11" hidden="0" customWidth="1"/>
    <x:col min="152" max="152" width="11" hidden="0" customWidth="1"/>
    <x:col min="153" max="153" width="11" hidden="0" customWidth="1"/>
    <x:col min="154" max="154" width="11" hidden="0" customWidth="1"/>
    <x:col min="155" max="155" width="11" hidden="0" customWidth="1"/>
    <x:col min="156" max="156" width="11" hidden="0" customWidth="1"/>
    <x:col min="157" max="157" width="11" hidden="0" customWidth="1"/>
    <x:col min="158" max="158" width="11" hidden="0" customWidth="1"/>
    <x:col min="159" max="159" width="11" hidden="0" customWidth="1"/>
    <x:col min="160" max="160" width="11" hidden="0" customWidth="1"/>
    <x:col min="161" max="161" width="11" hidden="0" customWidth="1"/>
    <x:col min="162" max="162" width="11" hidden="0" customWidth="1"/>
    <x:col min="163" max="163" width="11" hidden="0" customWidth="1"/>
    <x:col min="164" max="164" width="11" hidden="0" customWidth="1"/>
    <x:col min="165" max="165" width="11" hidden="0" customWidth="1"/>
    <x:col min="166" max="166" width="11" hidden="0" customWidth="1"/>
    <x:col min="167" max="167" width="11" hidden="0" customWidth="1"/>
    <x:col min="168" max="168" width="11" hidden="0" customWidth="1"/>
    <x:col min="169" max="169" width="11" hidden="0" customWidth="1"/>
    <x:col min="170" max="170" width="11" hidden="0" customWidth="1"/>
    <x:col min="171" max="171" width="11" hidden="0" customWidth="1"/>
    <x:col min="172" max="172" width="11" hidden="0" customWidth="1"/>
    <x:col min="173" max="173" width="11" hidden="0" customWidth="1"/>
    <x:col min="174" max="174" width="11" hidden="0" customWidth="1"/>
    <x:col min="175" max="175" width="11" hidden="0" customWidth="1"/>
    <x:col min="176" max="176" width="11" hidden="0" customWidth="1"/>
    <x:col min="177" max="177" width="11" hidden="0" customWidth="1"/>
    <x:col min="178" max="178" width="11" hidden="0" customWidth="1"/>
    <x:col min="179" max="179" width="11" hidden="0" customWidth="1"/>
    <x:col min="180" max="180" width="11" hidden="0" customWidth="1"/>
    <x:col min="181" max="181" width="11" hidden="0" customWidth="1"/>
    <x:col min="182" max="182" width="11" hidden="0" customWidth="1"/>
    <x:col min="183" max="183" width="11" hidden="0" customWidth="1"/>
  </x:cols>
  <x:sheetData>
    <x:row r="1" ht="28" customHeight="1">
      <x:c r="A1" s="4" t="str">
        <x:v>ДЕНЕЖНЫЙ ПОТОК · ОЧЕРЕДЬ 2</x:v>
      </x:c>
      <x:c r="B1" s="4" t="str">
        <x:v>ДЕНЕЖНЫЙ ПОТОК · ОЧЕРЕДЬ 2</x:v>
      </x:c>
      <x:c r="C1" s="4" t="str">
        <x:v>ДЕНЕЖНЫЙ ПОТОК · ОЧЕРЕДЬ 2</x:v>
      </x:c>
      <x:c r="D1" s="4" t="str">
        <x:v>ДЕНЕЖНЫЙ ПОТОК · ОЧЕРЕДЬ 2</x:v>
      </x:c>
      <x:c r="E1" s="4" t="str">
        <x:v>ДЕНЕЖНЫЙ ПОТОК · ОЧЕРЕДЬ 2</x:v>
      </x:c>
      <x:c r="F1" s="4" t="str">
        <x:v>ДЕНЕЖНЫЙ ПОТОК · ОЧЕРЕДЬ 2</x:v>
      </x:c>
      <x:c r="G1" s="4" t="str">
        <x:v>ДЕНЕЖНЫЙ ПОТОК · ОЧЕРЕДЬ 2</x:v>
      </x:c>
      <x:c r="H1" s="4" t="str">
        <x:v>ДЕНЕЖНЫЙ ПОТОК · ОЧЕРЕДЬ 2</x:v>
      </x:c>
      <x:c r="I1" s="4" t="str">
        <x:v>ДЕНЕЖНЫЙ ПОТОК · ОЧЕРЕДЬ 2</x:v>
      </x:c>
      <x:c r="J1" s="4" t="str">
        <x:v>ДЕНЕЖНЫЙ ПОТОК · ОЧЕРЕДЬ 2</x:v>
      </x:c>
      <x:c r="K1" s="4" t="str">
        <x:v>ДЕНЕЖНЫЙ ПОТОК · ОЧЕРЕДЬ 2</x:v>
      </x:c>
      <x:c r="L1" s="4" t="str">
        <x:v>ДЕНЕЖНЫЙ ПОТОК · ОЧЕРЕДЬ 2</x:v>
      </x:c>
      <x:c r="M1" s="4" t="str">
        <x:v>ДЕНЕЖНЫЙ ПОТОК · ОЧЕРЕДЬ 2</x:v>
      </x:c>
      <x:c r="N1" s="4" t="str">
        <x:v>ДЕНЕЖНЫЙ ПОТОК · ОЧЕРЕДЬ 2</x:v>
      </x:c>
      <x:c r="O1" s="4" t="str">
        <x:v>ДЕНЕЖНЫЙ ПОТОК · ОЧЕРЕДЬ 2</x:v>
      </x:c>
      <x:c r="P1" s="4" t="str">
        <x:v>ДЕНЕЖНЫЙ ПОТОК · ОЧЕРЕДЬ 2</x:v>
      </x:c>
      <x:c r="Q1" s="4" t="str">
        <x:v>ДЕНЕЖНЫЙ ПОТОК · ОЧЕРЕДЬ 2</x:v>
      </x:c>
      <x:c r="R1" s="4" t="str">
        <x:v>ДЕНЕЖНЫЙ ПОТОК · ОЧЕРЕДЬ 2</x:v>
      </x:c>
      <x:c r="S1" s="4" t="str">
        <x:v>ДЕНЕЖНЫЙ ПОТОК · ОЧЕРЕДЬ 2</x:v>
      </x:c>
      <x:c r="T1" s="4" t="str">
        <x:v>ДЕНЕЖНЫЙ ПОТОК · ОЧЕРЕДЬ 2</x:v>
      </x:c>
      <x:c r="U1" s="4" t="str">
        <x:v>ДЕНЕЖНЫЙ ПОТОК · ОЧЕРЕДЬ 2</x:v>
      </x:c>
      <x:c r="V1" s="4" t="str">
        <x:v>ДЕНЕЖНЫЙ ПОТОК · ОЧЕРЕДЬ 2</x:v>
      </x:c>
      <x:c r="W1" s="4" t="str">
        <x:v>ДЕНЕЖНЫЙ ПОТОК · ОЧЕРЕДЬ 2</x:v>
      </x:c>
      <x:c r="X1" s="4" t="str">
        <x:v>ДЕНЕЖНЫЙ ПОТОК · ОЧЕРЕДЬ 2</x:v>
      </x:c>
      <x:c r="Y1" s="4" t="str">
        <x:v>ДЕНЕЖНЫЙ ПОТОК · ОЧЕРЕДЬ 2</x:v>
      </x:c>
      <x:c r="Z1" s="4" t="str">
        <x:v>ДЕНЕЖНЫЙ ПОТОК · ОЧЕРЕДЬ 2</x:v>
      </x:c>
      <x:c r="AA1" s="4" t="str">
        <x:v>ДЕНЕЖНЫЙ ПОТОК · ОЧЕРЕДЬ 2</x:v>
      </x:c>
      <x:c r="AB1" s="4" t="str">
        <x:v>ДЕНЕЖНЫЙ ПОТОК · ОЧЕРЕДЬ 2</x:v>
      </x:c>
      <x:c r="AC1" s="4" t="str">
        <x:v>ДЕНЕЖНЫЙ ПОТОК · ОЧЕРЕДЬ 2</x:v>
      </x:c>
      <x:c r="AD1" s="4" t="str">
        <x:v>ДЕНЕЖНЫЙ ПОТОК · ОЧЕРЕДЬ 2</x:v>
      </x:c>
      <x:c r="AE1" s="4" t="str">
        <x:v>ДЕНЕЖНЫЙ ПОТОК · ОЧЕРЕДЬ 2</x:v>
      </x:c>
      <x:c r="AF1" s="4" t="str">
        <x:v>ДЕНЕЖНЫЙ ПОТОК · ОЧЕРЕДЬ 2</x:v>
      </x:c>
      <x:c r="AG1" s="4" t="str">
        <x:v>ДЕНЕЖНЫЙ ПОТОК · ОЧЕРЕДЬ 2</x:v>
      </x:c>
      <x:c r="AH1" s="4" t="str">
        <x:v>ДЕНЕЖНЫЙ ПОТОК · ОЧЕРЕДЬ 2</x:v>
      </x:c>
      <x:c r="AI1" s="4" t="str">
        <x:v>ДЕНЕЖНЫЙ ПОТОК · ОЧЕРЕДЬ 2</x:v>
      </x:c>
      <x:c r="AJ1" s="4" t="str">
        <x:v>ДЕНЕЖНЫЙ ПОТОК · ОЧЕРЕДЬ 2</x:v>
      </x:c>
      <x:c r="AK1" s="4" t="str">
        <x:v>ДЕНЕЖНЫЙ ПОТОК · ОЧЕРЕДЬ 2</x:v>
      </x:c>
      <x:c r="AL1" s="4" t="str">
        <x:v>ДЕНЕЖНЫЙ ПОТОК · ОЧЕРЕДЬ 2</x:v>
      </x:c>
      <x:c r="AM1" s="4" t="str">
        <x:v>ДЕНЕЖНЫЙ ПОТОК · ОЧЕРЕДЬ 2</x:v>
      </x:c>
      <x:c r="AN1" s="4" t="str">
        <x:v>ДЕНЕЖНЫЙ ПОТОК · ОЧЕРЕДЬ 2</x:v>
      </x:c>
      <x:c r="AO1" s="4" t="str">
        <x:v>ДЕНЕЖНЫЙ ПОТОК · ОЧЕРЕДЬ 2</x:v>
      </x:c>
      <x:c r="AP1" s="4" t="str">
        <x:v>ДЕНЕЖНЫЙ ПОТОК · ОЧЕРЕДЬ 2</x:v>
      </x:c>
      <x:c r="AQ1" s="4" t="str">
        <x:v>ДЕНЕЖНЫЙ ПОТОК · ОЧЕРЕДЬ 2</x:v>
      </x:c>
      <x:c r="AR1" s="4" t="str">
        <x:v>ДЕНЕЖНЫЙ ПОТОК · ОЧЕРЕДЬ 2</x:v>
      </x:c>
      <x:c r="AS1" s="4" t="str">
        <x:v>ДЕНЕЖНЫЙ ПОТОК · ОЧЕРЕДЬ 2</x:v>
      </x:c>
      <x:c r="AT1" s="4" t="str">
        <x:v>ДЕНЕЖНЫЙ ПОТОК · ОЧЕРЕДЬ 2</x:v>
      </x:c>
      <x:c r="AU1" s="4" t="str">
        <x:v>ДЕНЕЖНЫЙ ПОТОК · ОЧЕРЕДЬ 2</x:v>
      </x:c>
      <x:c r="AV1" s="4" t="str">
        <x:v>ДЕНЕЖНЫЙ ПОТОК · ОЧЕРЕДЬ 2</x:v>
      </x:c>
      <x:c r="AW1" s="4" t="str">
        <x:v>ДЕНЕЖНЫЙ ПОТОК · ОЧЕРЕДЬ 2</x:v>
      </x:c>
      <x:c r="AX1" s="4" t="str">
        <x:v>ДЕНЕЖНЫЙ ПОТОК · ОЧЕРЕДЬ 2</x:v>
      </x:c>
      <x:c r="AY1" s="4" t="str">
        <x:v>ДЕНЕЖНЫЙ ПОТОК · ОЧЕРЕДЬ 2</x:v>
      </x:c>
      <x:c r="AZ1" s="4" t="str">
        <x:v>ДЕНЕЖНЫЙ ПОТОК · ОЧЕРЕДЬ 2</x:v>
      </x:c>
      <x:c r="BA1" s="4" t="str">
        <x:v>ДЕНЕЖНЫЙ ПОТОК · ОЧЕРЕДЬ 2</x:v>
      </x:c>
      <x:c r="BB1" s="4" t="str">
        <x:v>ДЕНЕЖНЫЙ ПОТОК · ОЧЕРЕДЬ 2</x:v>
      </x:c>
      <x:c r="BC1" s="4" t="str">
        <x:v>ДЕНЕЖНЫЙ ПОТОК · ОЧЕРЕДЬ 2</x:v>
      </x:c>
      <x:c r="BD1" s="4" t="str">
        <x:v>ДЕНЕЖНЫЙ ПОТОК · ОЧЕРЕДЬ 2</x:v>
      </x:c>
      <x:c r="BE1" s="4" t="str">
        <x:v>ДЕНЕЖНЫЙ ПОТОК · ОЧЕРЕДЬ 2</x:v>
      </x:c>
      <x:c r="BF1" s="4" t="str">
        <x:v>ДЕНЕЖНЫЙ ПОТОК · ОЧЕРЕДЬ 2</x:v>
      </x:c>
      <x:c r="BG1" s="4" t="str">
        <x:v>ДЕНЕЖНЫЙ ПОТОК · ОЧЕРЕДЬ 2</x:v>
      </x:c>
      <x:c r="BH1" s="4" t="str">
        <x:v>ДЕНЕЖНЫЙ ПОТОК · ОЧЕРЕДЬ 2</x:v>
      </x:c>
      <x:c r="BI1" s="4" t="str">
        <x:v>ДЕНЕЖНЫЙ ПОТОК · ОЧЕРЕДЬ 2</x:v>
      </x:c>
      <x:c r="BJ1" s="4" t="str">
        <x:v>ДЕНЕЖНЫЙ ПОТОК · ОЧЕРЕДЬ 2</x:v>
      </x:c>
      <x:c r="BK1" s="4" t="str">
        <x:v>ДЕНЕЖНЫЙ ПОТОК · ОЧЕРЕДЬ 2</x:v>
      </x:c>
      <x:c r="BL1" s="4" t="str">
        <x:v>ДЕНЕЖНЫЙ ПОТОК · ОЧЕРЕДЬ 2</x:v>
      </x:c>
      <x:c r="BM1" s="4" t="str">
        <x:v>ДЕНЕЖНЫЙ ПОТОК · ОЧЕРЕДЬ 2</x:v>
      </x:c>
      <x:c r="BN1" s="4" t="str">
        <x:v>ДЕНЕЖНЫЙ ПОТОК · ОЧЕРЕДЬ 2</x:v>
      </x:c>
      <x:c r="BO1" s="4" t="str">
        <x:v>ДЕНЕЖНЫЙ ПОТОК · ОЧЕРЕДЬ 2</x:v>
      </x:c>
      <x:c r="BP1" s="4" t="str">
        <x:v>ДЕНЕЖНЫЙ ПОТОК · ОЧЕРЕДЬ 2</x:v>
      </x:c>
      <x:c r="BQ1" s="4" t="str">
        <x:v>ДЕНЕЖНЫЙ ПОТОК · ОЧЕРЕДЬ 2</x:v>
      </x:c>
      <x:c r="BR1" s="4" t="str">
        <x:v>ДЕНЕЖНЫЙ ПОТОК · ОЧЕРЕДЬ 2</x:v>
      </x:c>
      <x:c r="BS1" s="4" t="str">
        <x:v>ДЕНЕЖНЫЙ ПОТОК · ОЧЕРЕДЬ 2</x:v>
      </x:c>
      <x:c r="BT1" s="4" t="str">
        <x:v>ДЕНЕЖНЫЙ ПОТОК · ОЧЕРЕДЬ 2</x:v>
      </x:c>
      <x:c r="BU1" s="4" t="str">
        <x:v>ДЕНЕЖНЫЙ ПОТОК · ОЧЕРЕДЬ 2</x:v>
      </x:c>
      <x:c r="BV1" s="4" t="str">
        <x:v>ДЕНЕЖНЫЙ ПОТОК · ОЧЕРЕДЬ 2</x:v>
      </x:c>
      <x:c r="BW1" s="4" t="str">
        <x:v>ДЕНЕЖНЫЙ ПОТОК · ОЧЕРЕДЬ 2</x:v>
      </x:c>
      <x:c r="BX1" s="4" t="str">
        <x:v>ДЕНЕЖНЫЙ ПОТОК · ОЧЕРЕДЬ 2</x:v>
      </x:c>
      <x:c r="BY1" s="4" t="str">
        <x:v>ДЕНЕЖНЫЙ ПОТОК · ОЧЕРЕДЬ 2</x:v>
      </x:c>
      <x:c r="BZ1" s="4" t="str">
        <x:v>ДЕНЕЖНЫЙ ПОТОК · ОЧЕРЕДЬ 2</x:v>
      </x:c>
      <x:c r="CA1" s="4" t="str">
        <x:v>ДЕНЕЖНЫЙ ПОТОК · ОЧЕРЕДЬ 2</x:v>
      </x:c>
      <x:c r="CB1" s="4" t="str">
        <x:v>ДЕНЕЖНЫЙ ПОТОК · ОЧЕРЕДЬ 2</x:v>
      </x:c>
      <x:c r="CC1" s="4" t="str">
        <x:v>ДЕНЕЖНЫЙ ПОТОК · ОЧЕРЕДЬ 2</x:v>
      </x:c>
      <x:c r="CD1" s="4" t="str">
        <x:v>ДЕНЕЖНЫЙ ПОТОК · ОЧЕРЕДЬ 2</x:v>
      </x:c>
      <x:c r="CE1" s="4" t="str">
        <x:v>ДЕНЕЖНЫЙ ПОТОК · ОЧЕРЕДЬ 2</x:v>
      </x:c>
      <x:c r="CF1" s="4" t="str">
        <x:v>ДЕНЕЖНЫЙ ПОТОК · ОЧЕРЕДЬ 2</x:v>
      </x:c>
      <x:c r="CG1" s="4" t="str">
        <x:v>ДЕНЕЖНЫЙ ПОТОК · ОЧЕРЕДЬ 2</x:v>
      </x:c>
      <x:c r="CH1" s="4" t="str">
        <x:v>ДЕНЕЖНЫЙ ПОТОК · ОЧЕРЕДЬ 2</x:v>
      </x:c>
      <x:c r="CI1" s="4" t="str">
        <x:v>ДЕНЕЖНЫЙ ПОТОК · ОЧЕРЕДЬ 2</x:v>
      </x:c>
      <x:c r="CJ1" s="4" t="str">
        <x:v>ДЕНЕЖНЫЙ ПОТОК · ОЧЕРЕДЬ 2</x:v>
      </x:c>
      <x:c r="CK1" s="4" t="str">
        <x:v>ДЕНЕЖНЫЙ ПОТОК · ОЧЕРЕДЬ 2</x:v>
      </x:c>
      <x:c r="CL1" s="4" t="str">
        <x:v>ДЕНЕЖНЫЙ ПОТОК · ОЧЕРЕДЬ 2</x:v>
      </x:c>
      <x:c r="CM1" s="4" t="str">
        <x:v>ДЕНЕЖНЫЙ ПОТОК · ОЧЕРЕДЬ 2</x:v>
      </x:c>
      <x:c r="CN1" s="4" t="str">
        <x:v>ДЕНЕЖНЫЙ ПОТОК · ОЧЕРЕДЬ 2</x:v>
      </x:c>
      <x:c r="CO1" s="4" t="str">
        <x:v>ДЕНЕЖНЫЙ ПОТОК · ОЧЕРЕДЬ 2</x:v>
      </x:c>
      <x:c r="CP1" s="4" t="str">
        <x:v>ДЕНЕЖНЫЙ ПОТОК · ОЧЕРЕДЬ 2</x:v>
      </x:c>
      <x:c r="CQ1" s="4" t="str">
        <x:v>ДЕНЕЖНЫЙ ПОТОК · ОЧЕРЕДЬ 2</x:v>
      </x:c>
      <x:c r="CR1" s="4" t="str">
        <x:v>ДЕНЕЖНЫЙ ПОТОК · ОЧЕРЕДЬ 2</x:v>
      </x:c>
      <x:c r="CS1" s="4" t="str">
        <x:v>ДЕНЕЖНЫЙ ПОТОК · ОЧЕРЕДЬ 2</x:v>
      </x:c>
      <x:c r="CT1" s="4" t="str">
        <x:v>ДЕНЕЖНЫЙ ПОТОК · ОЧЕРЕДЬ 2</x:v>
      </x:c>
      <x:c r="CU1" s="4" t="str">
        <x:v>ДЕНЕЖНЫЙ ПОТОК · ОЧЕРЕДЬ 2</x:v>
      </x:c>
      <x:c r="CV1" s="4" t="str">
        <x:v>ДЕНЕЖНЫЙ ПОТОК · ОЧЕРЕДЬ 2</x:v>
      </x:c>
      <x:c r="CW1" s="4" t="str">
        <x:v>ДЕНЕЖНЫЙ ПОТОК · ОЧЕРЕДЬ 2</x:v>
      </x:c>
      <x:c r="CX1" s="4" t="str">
        <x:v>ДЕНЕЖНЫЙ ПОТОК · ОЧЕРЕДЬ 2</x:v>
      </x:c>
      <x:c r="CY1" s="4" t="str">
        <x:v>ДЕНЕЖНЫЙ ПОТОК · ОЧЕРЕДЬ 2</x:v>
      </x:c>
      <x:c r="CZ1" s="4" t="str">
        <x:v>ДЕНЕЖНЫЙ ПОТОК · ОЧЕРЕДЬ 2</x:v>
      </x:c>
      <x:c r="DA1" s="4" t="str">
        <x:v>ДЕНЕЖНЫЙ ПОТОК · ОЧЕРЕДЬ 2</x:v>
      </x:c>
      <x:c r="DB1" s="4" t="str">
        <x:v>ДЕНЕЖНЫЙ ПОТОК · ОЧЕРЕДЬ 2</x:v>
      </x:c>
      <x:c r="DC1" s="4" t="str">
        <x:v>ДЕНЕЖНЫЙ ПОТОК · ОЧЕРЕДЬ 2</x:v>
      </x:c>
      <x:c r="DD1" s="4" t="str">
        <x:v>ДЕНЕЖНЫЙ ПОТОК · ОЧЕРЕДЬ 2</x:v>
      </x:c>
      <x:c r="DE1" s="4" t="str">
        <x:v>ДЕНЕЖНЫЙ ПОТОК · ОЧЕРЕДЬ 2</x:v>
      </x:c>
      <x:c r="DF1" s="4" t="str">
        <x:v>ДЕНЕЖНЫЙ ПОТОК · ОЧЕРЕДЬ 2</x:v>
      </x:c>
      <x:c r="DG1" s="4" t="str">
        <x:v>ДЕНЕЖНЫЙ ПОТОК · ОЧЕРЕДЬ 2</x:v>
      </x:c>
      <x:c r="DH1" s="4" t="str">
        <x:v>ДЕНЕЖНЫЙ ПОТОК · ОЧЕРЕДЬ 2</x:v>
      </x:c>
      <x:c r="DI1" s="4" t="str">
        <x:v>ДЕНЕЖНЫЙ ПОТОК · ОЧЕРЕДЬ 2</x:v>
      </x:c>
      <x:c r="DJ1" s="4" t="str">
        <x:v>ДЕНЕЖНЫЙ ПОТОК · ОЧЕРЕДЬ 2</x:v>
      </x:c>
      <x:c r="DK1" s="4" t="str">
        <x:v>ДЕНЕЖНЫЙ ПОТОК · ОЧЕРЕДЬ 2</x:v>
      </x:c>
      <x:c r="DL1" s="4" t="str">
        <x:v>ДЕНЕЖНЫЙ ПОТОК · ОЧЕРЕДЬ 2</x:v>
      </x:c>
      <x:c r="DM1" s="4" t="str">
        <x:v>ДЕНЕЖНЫЙ ПОТОК · ОЧЕРЕДЬ 2</x:v>
      </x:c>
      <x:c r="DN1" s="4" t="str">
        <x:v>ДЕНЕЖНЫЙ ПОТОК · ОЧЕРЕДЬ 2</x:v>
      </x:c>
      <x:c r="DO1" s="4" t="str">
        <x:v>ДЕНЕЖНЫЙ ПОТОК · ОЧЕРЕДЬ 2</x:v>
      </x:c>
      <x:c r="DP1" s="4" t="str">
        <x:v>ДЕНЕЖНЫЙ ПОТОК · ОЧЕРЕДЬ 2</x:v>
      </x:c>
      <x:c r="DQ1" s="4" t="str">
        <x:v>ДЕНЕЖНЫЙ ПОТОК · ОЧЕРЕДЬ 2</x:v>
      </x:c>
      <x:c r="DR1" s="4" t="str">
        <x:v>ДЕНЕЖНЫЙ ПОТОК · ОЧЕРЕДЬ 2</x:v>
      </x:c>
      <x:c r="DS1" s="4" t="str">
        <x:v>ДЕНЕЖНЫЙ ПОТОК · ОЧЕРЕДЬ 2</x:v>
      </x:c>
      <x:c r="DT1" s="4" t="str"/>
      <x:c r="DU1" s="4" t="str"/>
      <x:c r="DV1" s="4" t="str"/>
      <x:c r="DW1" s="4" t="str"/>
      <x:c r="DX1" s="4" t="str"/>
      <x:c r="DY1" s="4" t="str"/>
      <x:c r="DZ1" s="4" t="str"/>
      <x:c r="EA1" s="4" t="str"/>
      <x:c r="EB1" s="4" t="str"/>
      <x:c r="EC1" s="4" t="str"/>
      <x:c r="ED1" s="4" t="str"/>
      <x:c r="EE1" s="4" t="str"/>
      <x:c r="EF1" s="4" t="str"/>
      <x:c r="EG1" s="4" t="str"/>
      <x:c r="EH1" s="4" t="str"/>
      <x:c r="EI1" s="4" t="str"/>
      <x:c r="EJ1" s="4" t="str"/>
      <x:c r="EK1" s="4" t="str"/>
      <x:c r="EL1" s="4" t="str"/>
      <x:c r="EM1" s="4" t="str"/>
      <x:c r="EN1" s="4" t="str"/>
      <x:c r="EO1" s="4" t="str"/>
      <x:c r="EP1" s="4" t="str"/>
      <x:c r="EQ1" s="4" t="str"/>
      <x:c r="ER1" s="4" t="str"/>
      <x:c r="ES1" s="4" t="str"/>
      <x:c r="ET1" s="4" t="str"/>
      <x:c r="EU1" s="4" t="str"/>
      <x:c r="EV1" s="4" t="str"/>
      <x:c r="EW1" s="4" t="str"/>
      <x:c r="EX1" s="4" t="str"/>
      <x:c r="EY1" s="4" t="str"/>
      <x:c r="EZ1" s="4" t="str"/>
      <x:c r="FA1" s="4" t="str"/>
      <x:c r="FB1" s="4" t="str"/>
      <x:c r="FC1" s="4" t="str"/>
      <x:c r="FD1" s="4" t="str"/>
      <x:c r="FE1" s="4" t="str"/>
      <x:c r="FF1" s="4" t="str"/>
      <x:c r="FG1" s="4" t="str"/>
      <x:c r="FH1" s="4" t="str"/>
      <x:c r="FI1" s="4" t="str"/>
      <x:c r="FJ1" s="4" t="str"/>
      <x:c r="FK1" s="4" t="str"/>
      <x:c r="FL1" s="4" t="str"/>
      <x:c r="FM1" s="4" t="str"/>
      <x:c r="FN1" s="4" t="str"/>
      <x:c r="FO1" s="4" t="str"/>
      <x:c r="FP1" s="4" t="str"/>
      <x:c r="FQ1" s="4" t="str"/>
      <x:c r="FR1" s="4" t="str"/>
      <x:c r="FS1" s="4" t="str"/>
      <x:c r="FT1" s="4" t="str"/>
      <x:c r="FU1" s="4" t="str"/>
      <x:c r="FV1" s="4" t="str"/>
      <x:c r="FW1" s="4" t="str"/>
      <x:c r="FX1" s="4" t="str"/>
      <x:c r="FY1" s="4" t="str"/>
      <x:c r="FZ1" s="4" t="str"/>
      <x:c r="GA1" s="4" t="str"/>
    </x:row>
    <x:row r="3">
      <x:c r="A3" s="23" t="str">
        <x:v>Показатель</x:v>
      </x:c>
      <x:c r="B3" s="23" t="str">
        <x:v>Итого / значение</x:v>
      </x:c>
      <x:c r="C3" s="23" t="str">
        <x:v>Ед.</x:v>
      </x:c>
      <x:c r="D3" s="102" t="n">
        <x:f>'Ставки'!$D$3</x:f>
      </x:c>
      <x:c r="E3" s="102" t="n">
        <x:f>'Ставки'!$E$3</x:f>
      </x:c>
      <x:c r="F3" s="102" t="n">
        <x:f>'Ставки'!$F$3</x:f>
      </x:c>
      <x:c r="G3" s="102" t="n">
        <x:f>'Ставки'!$G$3</x:f>
      </x:c>
      <x:c r="H3" s="102" t="n">
        <x:f>'Ставки'!$H$3</x:f>
      </x:c>
      <x:c r="I3" s="102" t="n">
        <x:f>'Ставки'!$I$3</x:f>
      </x:c>
      <x:c r="J3" s="102" t="n">
        <x:f>'Ставки'!$J$3</x:f>
      </x:c>
      <x:c r="K3" s="102" t="n">
        <x:f>'Ставки'!$K$3</x:f>
      </x:c>
      <x:c r="L3" s="102" t="n">
        <x:f>'Ставки'!$L$3</x:f>
      </x:c>
      <x:c r="M3" s="102" t="n">
        <x:f>'Ставки'!$M$3</x:f>
      </x:c>
      <x:c r="N3" s="102" t="n">
        <x:f>'Ставки'!$N$3</x:f>
      </x:c>
      <x:c r="O3" s="102" t="n">
        <x:f>'Ставки'!$O$3</x:f>
      </x:c>
      <x:c r="P3" s="102" t="n">
        <x:f>'Ставки'!$P$3</x:f>
      </x:c>
      <x:c r="Q3" s="102" t="n">
        <x:f>'Ставки'!$Q$3</x:f>
      </x:c>
      <x:c r="R3" s="102" t="n">
        <x:f>'Ставки'!$R$3</x:f>
      </x:c>
      <x:c r="S3" s="102" t="n">
        <x:f>'Ставки'!$S$3</x:f>
      </x:c>
      <x:c r="T3" s="102" t="n">
        <x:f>'Ставки'!$T$3</x:f>
      </x:c>
      <x:c r="U3" s="102" t="n">
        <x:f>'Ставки'!$U$3</x:f>
      </x:c>
      <x:c r="V3" s="102" t="n">
        <x:f>'Ставки'!$V$3</x:f>
      </x:c>
      <x:c r="W3" s="102" t="n">
        <x:f>'Ставки'!$W$3</x:f>
      </x:c>
      <x:c r="X3" s="102" t="n">
        <x:f>'Ставки'!$X$3</x:f>
      </x:c>
      <x:c r="Y3" s="102" t="n">
        <x:f>'Ставки'!$Y$3</x:f>
      </x:c>
      <x:c r="Z3" s="102" t="n">
        <x:f>'Ставки'!$Z$3</x:f>
      </x:c>
      <x:c r="AA3" s="102" t="n">
        <x:f>'Ставки'!$AA$3</x:f>
      </x:c>
      <x:c r="AB3" s="102" t="n">
        <x:f>'Ставки'!$AB$3</x:f>
      </x:c>
      <x:c r="AC3" s="102" t="n">
        <x:f>'Ставки'!$AC$3</x:f>
      </x:c>
      <x:c r="AD3" s="102" t="n">
        <x:f>'Ставки'!$AD$3</x:f>
      </x:c>
      <x:c r="AE3" s="102" t="n">
        <x:f>'Ставки'!$AE$3</x:f>
      </x:c>
      <x:c r="AF3" s="102" t="n">
        <x:f>'Ставки'!$AF$3</x:f>
      </x:c>
      <x:c r="AG3" s="102" t="n">
        <x:f>'Ставки'!$AG$3</x:f>
      </x:c>
      <x:c r="AH3" s="102" t="n">
        <x:f>'Ставки'!$AH$3</x:f>
      </x:c>
      <x:c r="AI3" s="102" t="n">
        <x:f>'Ставки'!$AI$3</x:f>
      </x:c>
      <x:c r="AJ3" s="102" t="n">
        <x:f>'Ставки'!$AJ$3</x:f>
      </x:c>
      <x:c r="AK3" s="102" t="n">
        <x:f>'Ставки'!$AK$3</x:f>
      </x:c>
      <x:c r="AL3" s="102" t="n">
        <x:f>'Ставки'!$AL$3</x:f>
      </x:c>
      <x:c r="AM3" s="102" t="n">
        <x:f>'Ставки'!$AM$3</x:f>
      </x:c>
      <x:c r="AN3" s="102" t="n">
        <x:f>'Ставки'!$AN$3</x:f>
      </x:c>
      <x:c r="AO3" s="102" t="n">
        <x:f>'Ставки'!$AO$3</x:f>
      </x:c>
      <x:c r="AP3" s="102" t="n">
        <x:f>'Ставки'!$AP$3</x:f>
      </x:c>
      <x:c r="AQ3" s="102" t="n">
        <x:f>'Ставки'!$AQ$3</x:f>
      </x:c>
      <x:c r="AR3" s="102" t="n">
        <x:f>'Ставки'!$AR$3</x:f>
      </x:c>
      <x:c r="AS3" s="102" t="n">
        <x:f>'Ставки'!$AS$3</x:f>
      </x:c>
      <x:c r="AT3" s="102" t="n">
        <x:f>'Ставки'!$AT$3</x:f>
      </x:c>
      <x:c r="AU3" s="102" t="n">
        <x:f>'Ставки'!$AU$3</x:f>
      </x:c>
      <x:c r="AV3" s="102" t="n">
        <x:f>'Ставки'!$AV$3</x:f>
      </x:c>
      <x:c r="AW3" s="102" t="n">
        <x:f>'Ставки'!$AW$3</x:f>
      </x:c>
      <x:c r="AX3" s="102" t="n">
        <x:f>'Ставки'!$AX$3</x:f>
      </x:c>
      <x:c r="AY3" s="102" t="n">
        <x:f>'Ставки'!$AY$3</x:f>
      </x:c>
      <x:c r="AZ3" s="102" t="n">
        <x:f>'Ставки'!$AZ$3</x:f>
      </x:c>
      <x:c r="BA3" s="102" t="n">
        <x:f>'Ставки'!$BA$3</x:f>
      </x:c>
      <x:c r="BB3" s="102" t="n">
        <x:f>'Ставки'!$BB$3</x:f>
      </x:c>
      <x:c r="BC3" s="102" t="n">
        <x:f>'Ставки'!$BC$3</x:f>
      </x:c>
      <x:c r="BD3" s="102" t="n">
        <x:f>'Ставки'!$BD$3</x:f>
      </x:c>
      <x:c r="BE3" s="102" t="n">
        <x:f>'Ставки'!$BE$3</x:f>
      </x:c>
      <x:c r="BF3" s="102" t="n">
        <x:f>'Ставки'!$BF$3</x:f>
      </x:c>
      <x:c r="BG3" s="102" t="n">
        <x:f>'Ставки'!$BG$3</x:f>
      </x:c>
      <x:c r="BH3" s="102" t="n">
        <x:f>'Ставки'!$BH$3</x:f>
      </x:c>
      <x:c r="BI3" s="102" t="n">
        <x:f>'Ставки'!$BI$3</x:f>
      </x:c>
      <x:c r="BJ3" s="102" t="n">
        <x:f>'Ставки'!$BJ$3</x:f>
      </x:c>
      <x:c r="BK3" s="102" t="n">
        <x:f>'Ставки'!$BK$3</x:f>
      </x:c>
      <x:c r="BL3" s="102" t="n">
        <x:f>'Ставки'!$BL$3</x:f>
      </x:c>
      <x:c r="BM3" s="102" t="n">
        <x:f>'Ставки'!$BM$3</x:f>
      </x:c>
      <x:c r="BN3" s="102" t="n">
        <x:f>'Ставки'!$BN$3</x:f>
      </x:c>
      <x:c r="BO3" s="102" t="n">
        <x:f>'Ставки'!$BO$3</x:f>
      </x:c>
      <x:c r="BP3" s="102" t="n">
        <x:f>'Ставки'!$BP$3</x:f>
      </x:c>
      <x:c r="BQ3" s="102" t="n">
        <x:f>'Ставки'!$BQ$3</x:f>
      </x:c>
      <x:c r="BR3" s="102" t="n">
        <x:f>'Ставки'!$BR$3</x:f>
      </x:c>
      <x:c r="BS3" s="102" t="n">
        <x:f>'Ставки'!$BS$3</x:f>
      </x:c>
      <x:c r="BT3" s="102" t="n">
        <x:f>'Ставки'!$BT$3</x:f>
      </x:c>
      <x:c r="BU3" s="102" t="n">
        <x:f>'Ставки'!$BU$3</x:f>
      </x:c>
      <x:c r="BV3" s="102" t="n">
        <x:f>'Ставки'!$BV$3</x:f>
      </x:c>
      <x:c r="BW3" s="102" t="n">
        <x:f>'Ставки'!$BW$3</x:f>
      </x:c>
      <x:c r="BX3" s="102" t="n">
        <x:f>'Ставки'!$BX$3</x:f>
      </x:c>
      <x:c r="BY3" s="102" t="n">
        <x:f>'Ставки'!$BY$3</x:f>
      </x:c>
      <x:c r="BZ3" s="102" t="n">
        <x:f>'Ставки'!$BZ$3</x:f>
      </x:c>
      <x:c r="CA3" s="102" t="n">
        <x:f>'Ставки'!$CA$3</x:f>
      </x:c>
      <x:c r="CB3" s="102" t="n">
        <x:f>'Ставки'!$CB$3</x:f>
      </x:c>
      <x:c r="CC3" s="102" t="n">
        <x:f>'Ставки'!$CC$3</x:f>
      </x:c>
      <x:c r="CD3" s="102" t="n">
        <x:f>'Ставки'!$CD$3</x:f>
      </x:c>
      <x:c r="CE3" s="102" t="n">
        <x:f>'Ставки'!$CE$3</x:f>
      </x:c>
      <x:c r="CF3" s="102" t="n">
        <x:f>'Ставки'!$CF$3</x:f>
      </x:c>
      <x:c r="CG3" s="102" t="n">
        <x:f>'Ставки'!$CG$3</x:f>
      </x:c>
      <x:c r="CH3" s="102" t="n">
        <x:f>'Ставки'!$CH$3</x:f>
      </x:c>
      <x:c r="CI3" s="102" t="n">
        <x:f>'Ставки'!$CI$3</x:f>
      </x:c>
      <x:c r="CJ3" s="102" t="n">
        <x:f>'Ставки'!$CJ$3</x:f>
      </x:c>
      <x:c r="CK3" s="102" t="n">
        <x:f>'Ставки'!$CK$3</x:f>
      </x:c>
      <x:c r="CL3" s="102" t="n">
        <x:f>'Ставки'!$CL$3</x:f>
      </x:c>
      <x:c r="CM3" s="102" t="n">
        <x:f>'Ставки'!$CM$3</x:f>
      </x:c>
      <x:c r="CN3" s="102" t="n">
        <x:f>'Ставки'!$CN$3</x:f>
      </x:c>
      <x:c r="CO3" s="102" t="n">
        <x:f>'Ставки'!$CO$3</x:f>
      </x:c>
      <x:c r="CP3" s="102" t="n">
        <x:f>'Ставки'!$CP$3</x:f>
      </x:c>
      <x:c r="CQ3" s="102" t="n">
        <x:f>'Ставки'!$CQ$3</x:f>
      </x:c>
      <x:c r="CR3" s="102" t="n">
        <x:f>'Ставки'!$CR$3</x:f>
      </x:c>
      <x:c r="CS3" s="102" t="n">
        <x:f>'Ставки'!$CS$3</x:f>
      </x:c>
      <x:c r="CT3" s="102" t="n">
        <x:f>'Ставки'!$CT$3</x:f>
      </x:c>
      <x:c r="CU3" s="102" t="n">
        <x:f>'Ставки'!$CU$3</x:f>
      </x:c>
      <x:c r="CV3" s="102" t="n">
        <x:f>'Ставки'!$CV$3</x:f>
      </x:c>
      <x:c r="CW3" s="102" t="n">
        <x:f>'Ставки'!$CW$3</x:f>
      </x:c>
      <x:c r="CX3" s="102" t="n">
        <x:f>'Ставки'!$CX$3</x:f>
      </x:c>
      <x:c r="CY3" s="102" t="n">
        <x:f>'Ставки'!$CY$3</x:f>
      </x:c>
      <x:c r="CZ3" s="102" t="n">
        <x:f>'Ставки'!$CZ$3</x:f>
      </x:c>
      <x:c r="DA3" s="102" t="n">
        <x:f>'Ставки'!$DA$3</x:f>
      </x:c>
      <x:c r="DB3" s="102" t="n">
        <x:f>'Ставки'!$DB$3</x:f>
      </x:c>
      <x:c r="DC3" s="102" t="n">
        <x:f>'Ставки'!$DC$3</x:f>
      </x:c>
      <x:c r="DD3" s="102" t="n">
        <x:f>'Ставки'!$DD$3</x:f>
      </x:c>
      <x:c r="DE3" s="102" t="n">
        <x:f>'Ставки'!$DE$3</x:f>
      </x:c>
      <x:c r="DF3" s="102" t="n">
        <x:f>'Ставки'!$DF$3</x:f>
      </x:c>
      <x:c r="DG3" s="102" t="n">
        <x:f>'Ставки'!$DG$3</x:f>
      </x:c>
      <x:c r="DH3" s="102" t="n">
        <x:f>'Ставки'!$DH$3</x:f>
      </x:c>
      <x:c r="DI3" s="102" t="n">
        <x:f>'Ставки'!$DI$3</x:f>
      </x:c>
      <x:c r="DJ3" s="102" t="n">
        <x:f>'Ставки'!$DJ$3</x:f>
      </x:c>
      <x:c r="DK3" s="102" t="n">
        <x:f>'Ставки'!$DK$3</x:f>
      </x:c>
      <x:c r="DL3" s="102" t="n">
        <x:f>'Ставки'!$DL$3</x:f>
      </x:c>
      <x:c r="DM3" s="102" t="n">
        <x:f>'Ставки'!$DM$3</x:f>
      </x:c>
      <x:c r="DN3" s="102" t="n">
        <x:f>'Ставки'!$DN$3</x:f>
      </x:c>
      <x:c r="DO3" s="102" t="n">
        <x:f>'Ставки'!$DO$3</x:f>
      </x:c>
      <x:c r="DP3" s="102" t="n">
        <x:f>'Ставки'!$DP$3</x:f>
      </x:c>
      <x:c r="DQ3" s="102" t="n">
        <x:f>'Ставки'!$DQ$3</x:f>
      </x:c>
      <x:c r="DR3" s="102" t="n">
        <x:f>'Ставки'!$DR$3</x:f>
      </x:c>
      <x:c r="DS3" s="102" t="n">
        <x:f>'Ставки'!$DS$3</x:f>
      </x:c>
      <x:c r="DT3" s="102" t="n">
        <x:f>'Ставки'!$DT$3</x:f>
      </x:c>
      <x:c r="DU3" s="102" t="n">
        <x:f>'Ставки'!$DU$3</x:f>
      </x:c>
      <x:c r="DV3" s="102" t="n">
        <x:f>'Ставки'!$DV$3</x:f>
      </x:c>
      <x:c r="DW3" s="102" t="n">
        <x:f>'Ставки'!$DW$3</x:f>
      </x:c>
      <x:c r="DX3" s="102" t="n">
        <x:f>'Ставки'!$DX$3</x:f>
      </x:c>
      <x:c r="DY3" s="102" t="n">
        <x:f>'Ставки'!$DY$3</x:f>
      </x:c>
      <x:c r="DZ3" s="102" t="n">
        <x:f>'Ставки'!$DZ$3</x:f>
      </x:c>
      <x:c r="EA3" s="102" t="n">
        <x:f>'Ставки'!$EA$3</x:f>
      </x:c>
      <x:c r="EB3" s="102" t="n">
        <x:f>'Ставки'!$EB$3</x:f>
      </x:c>
      <x:c r="EC3" s="102" t="n">
        <x:f>'Ставки'!$EC$3</x:f>
      </x:c>
      <x:c r="ED3" s="102" t="n">
        <x:f>'Ставки'!$ED$3</x:f>
      </x:c>
      <x:c r="EE3" s="102" t="n">
        <x:f>'Ставки'!$EE$3</x:f>
      </x:c>
      <x:c r="EF3" s="102" t="n">
        <x:f>'Ставки'!$EF$3</x:f>
      </x:c>
      <x:c r="EG3" s="102" t="n">
        <x:f>'Ставки'!$EG$3</x:f>
      </x:c>
      <x:c r="EH3" s="102" t="n">
        <x:f>'Ставки'!$EH$3</x:f>
      </x:c>
      <x:c r="EI3" s="102" t="n">
        <x:f>'Ставки'!$EI$3</x:f>
      </x:c>
      <x:c r="EJ3" s="102" t="n">
        <x:f>'Ставки'!$EJ$3</x:f>
      </x:c>
      <x:c r="EK3" s="102" t="n">
        <x:f>'Ставки'!$EK$3</x:f>
      </x:c>
      <x:c r="EL3" s="102" t="n">
        <x:f>'Ставки'!$EL$3</x:f>
      </x:c>
      <x:c r="EM3" s="102" t="n">
        <x:f>'Ставки'!$EM$3</x:f>
      </x:c>
      <x:c r="EN3" s="102" t="n">
        <x:f>'Ставки'!$EN$3</x:f>
      </x:c>
      <x:c r="EO3" s="102" t="n">
        <x:f>'Ставки'!$EO$3</x:f>
      </x:c>
      <x:c r="EP3" s="102" t="n">
        <x:f>'Ставки'!$EP$3</x:f>
      </x:c>
      <x:c r="EQ3" s="102" t="n">
        <x:f>'Ставки'!$EQ$3</x:f>
      </x:c>
      <x:c r="ER3" s="102" t="n">
        <x:f>'Ставки'!$ER$3</x:f>
      </x:c>
      <x:c r="ES3" s="102" t="n">
        <x:f>'Ставки'!$ES$3</x:f>
      </x:c>
      <x:c r="ET3" s="102" t="n">
        <x:f>'Ставки'!$ET$3</x:f>
      </x:c>
      <x:c r="EU3" s="102" t="n">
        <x:f>'Ставки'!$EU$3</x:f>
      </x:c>
      <x:c r="EV3" s="102" t="n">
        <x:f>'Ставки'!$EV$3</x:f>
      </x:c>
      <x:c r="EW3" s="102" t="n">
        <x:f>'Ставки'!$EW$3</x:f>
      </x:c>
      <x:c r="EX3" s="102" t="n">
        <x:f>'Ставки'!$EX$3</x:f>
      </x:c>
      <x:c r="EY3" s="102" t="n">
        <x:f>'Ставки'!$EY$3</x:f>
      </x:c>
      <x:c r="EZ3" s="102" t="n">
        <x:f>'Ставки'!$EZ$3</x:f>
      </x:c>
      <x:c r="FA3" s="102" t="n">
        <x:f>'Ставки'!$FA$3</x:f>
      </x:c>
      <x:c r="FB3" s="102" t="n">
        <x:f>'Ставки'!$FB$3</x:f>
      </x:c>
      <x:c r="FC3" s="102" t="n">
        <x:f>'Ставки'!$FC$3</x:f>
      </x:c>
      <x:c r="FD3" s="102" t="n">
        <x:f>'Ставки'!$FD$3</x:f>
      </x:c>
      <x:c r="FE3" s="102" t="n">
        <x:f>'Ставки'!$FE$3</x:f>
      </x:c>
      <x:c r="FF3" s="102" t="n">
        <x:f>'Ставки'!$FF$3</x:f>
      </x:c>
      <x:c r="FG3" s="102" t="n">
        <x:f>'Ставки'!$FG$3</x:f>
      </x:c>
      <x:c r="FH3" s="102" t="n">
        <x:f>'Ставки'!$FH$3</x:f>
      </x:c>
      <x:c r="FI3" s="102" t="n">
        <x:f>'Ставки'!$FI$3</x:f>
      </x:c>
      <x:c r="FJ3" s="102" t="n">
        <x:f>'Ставки'!$FJ$3</x:f>
      </x:c>
      <x:c r="FK3" s="102" t="n">
        <x:f>'Ставки'!$FK$3</x:f>
      </x:c>
      <x:c r="FL3" s="102" t="n">
        <x:f>'Ставки'!$FL$3</x:f>
      </x:c>
      <x:c r="FM3" s="102" t="n">
        <x:f>'Ставки'!$FM$3</x:f>
      </x:c>
      <x:c r="FN3" s="102" t="n">
        <x:f>'Ставки'!$FN$3</x:f>
      </x:c>
      <x:c r="FO3" s="102" t="n">
        <x:f>'Ставки'!$FO$3</x:f>
      </x:c>
      <x:c r="FP3" s="102" t="n">
        <x:f>'Ставки'!$FP$3</x:f>
      </x:c>
      <x:c r="FQ3" s="102" t="n">
        <x:f>'Ставки'!$FQ$3</x:f>
      </x:c>
      <x:c r="FR3" s="102" t="n">
        <x:f>'Ставки'!$FR$3</x:f>
      </x:c>
      <x:c r="FS3" s="102" t="n">
        <x:f>'Ставки'!$FS$3</x:f>
      </x:c>
      <x:c r="FT3" s="102" t="n">
        <x:f>'Ставки'!$FT$3</x:f>
      </x:c>
      <x:c r="FU3" s="102" t="n">
        <x:f>'Ставки'!$FU$3</x:f>
      </x:c>
      <x:c r="FV3" s="102" t="n">
        <x:f>'Ставки'!$FV$3</x:f>
      </x:c>
      <x:c r="FW3" s="102" t="n">
        <x:f>'Ставки'!$FW$3</x:f>
      </x:c>
      <x:c r="FX3" s="102" t="n">
        <x:f>'Ставки'!$FX$3</x:f>
      </x:c>
      <x:c r="FY3" s="102" t="n">
        <x:f>'Ставки'!$FY$3</x:f>
      </x:c>
      <x:c r="FZ3" s="102" t="n">
        <x:f>'Ставки'!$FZ$3</x:f>
      </x:c>
      <x:c r="GA3" s="102" t="n">
        <x:f>'Ставки'!$GA$3</x:f>
      </x:c>
    </x:row>
    <x:row r="4">
      <x:c r="A4" t="str">
        <x:v>Период</x:v>
      </x:c>
      <x:c r="B4"/>
      <x:c r="C4" t="str">
        <x:v>№</x:v>
      </x:c>
      <x:c r="D4" s="104" t="n">
        <x:f>1</x:f>
      </x:c>
      <x:c r="E4" s="104" t="n">
        <x:f>2</x:f>
      </x:c>
      <x:c r="F4" s="104" t="n">
        <x:f>3</x:f>
      </x:c>
      <x:c r="G4" s="104" t="n">
        <x:f>4</x:f>
      </x:c>
      <x:c r="H4" s="104" t="n">
        <x:f>5</x:f>
      </x:c>
      <x:c r="I4" s="104" t="n">
        <x:f>6</x:f>
      </x:c>
      <x:c r="J4" s="104" t="n">
        <x:f>7</x:f>
      </x:c>
      <x:c r="K4" s="104" t="n">
        <x:f>8</x:f>
      </x:c>
      <x:c r="L4" s="104" t="n">
        <x:f>9</x:f>
      </x:c>
      <x:c r="M4" s="104" t="n">
        <x:f>10</x:f>
      </x:c>
      <x:c r="N4" s="104" t="n">
        <x:f>11</x:f>
      </x:c>
      <x:c r="O4" s="104" t="n">
        <x:f>12</x:f>
      </x:c>
      <x:c r="P4" s="104" t="n">
        <x:f>13</x:f>
      </x:c>
      <x:c r="Q4" s="104" t="n">
        <x:f>14</x:f>
      </x:c>
      <x:c r="R4" s="104" t="n">
        <x:f>15</x:f>
      </x:c>
      <x:c r="S4" s="104" t="n">
        <x:f>16</x:f>
      </x:c>
      <x:c r="T4" s="104" t="n">
        <x:f>17</x:f>
      </x:c>
      <x:c r="U4" s="104" t="n">
        <x:f>18</x:f>
      </x:c>
      <x:c r="V4" s="104" t="n">
        <x:f>19</x:f>
      </x:c>
      <x:c r="W4" s="104" t="n">
        <x:f>20</x:f>
      </x:c>
      <x:c r="X4" s="104" t="n">
        <x:f>21</x:f>
      </x:c>
      <x:c r="Y4" s="104" t="n">
        <x:f>22</x:f>
      </x:c>
      <x:c r="Z4" s="104" t="n">
        <x:f>23</x:f>
      </x:c>
      <x:c r="AA4" s="104" t="n">
        <x:f>24</x:f>
      </x:c>
      <x:c r="AB4" s="104" t="n">
        <x:f>25</x:f>
      </x:c>
      <x:c r="AC4" s="104" t="n">
        <x:f>26</x:f>
      </x:c>
      <x:c r="AD4" s="104" t="n">
        <x:f>27</x:f>
      </x:c>
      <x:c r="AE4" s="104" t="n">
        <x:f>28</x:f>
      </x:c>
      <x:c r="AF4" s="104" t="n">
        <x:f>29</x:f>
      </x:c>
      <x:c r="AG4" s="104" t="n">
        <x:f>30</x:f>
      </x:c>
      <x:c r="AH4" s="104" t="n">
        <x:f>31</x:f>
      </x:c>
      <x:c r="AI4" s="104" t="n">
        <x:f>32</x:f>
      </x:c>
      <x:c r="AJ4" s="104" t="n">
        <x:f>33</x:f>
      </x:c>
      <x:c r="AK4" s="104" t="n">
        <x:f>34</x:f>
      </x:c>
      <x:c r="AL4" s="104" t="n">
        <x:f>35</x:f>
      </x:c>
      <x:c r="AM4" s="104" t="n">
        <x:f>36</x:f>
      </x:c>
      <x:c r="AN4" s="104" t="n">
        <x:f>37</x:f>
      </x:c>
      <x:c r="AO4" s="104" t="n">
        <x:f>38</x:f>
      </x:c>
      <x:c r="AP4" s="104" t="n">
        <x:f>39</x:f>
      </x:c>
      <x:c r="AQ4" s="104" t="n">
        <x:f>40</x:f>
      </x:c>
      <x:c r="AR4" s="104" t="n">
        <x:f>41</x:f>
      </x:c>
      <x:c r="AS4" s="104" t="n">
        <x:f>42</x:f>
      </x:c>
      <x:c r="AT4" s="104" t="n">
        <x:f>43</x:f>
      </x:c>
      <x:c r="AU4" s="104" t="n">
        <x:f>44</x:f>
      </x:c>
      <x:c r="AV4" s="104" t="n">
        <x:f>45</x:f>
      </x:c>
      <x:c r="AW4" s="104" t="n">
        <x:f>46</x:f>
      </x:c>
      <x:c r="AX4" s="104" t="n">
        <x:f>47</x:f>
      </x:c>
      <x:c r="AY4" s="104" t="n">
        <x:f>48</x:f>
      </x:c>
      <x:c r="AZ4" s="104" t="n">
        <x:f>49</x:f>
      </x:c>
      <x:c r="BA4" s="104" t="n">
        <x:f>50</x:f>
      </x:c>
      <x:c r="BB4" s="104" t="n">
        <x:f>51</x:f>
      </x:c>
      <x:c r="BC4" s="104" t="n">
        <x:f>52</x:f>
      </x:c>
      <x:c r="BD4" s="104" t="n">
        <x:f>53</x:f>
      </x:c>
      <x:c r="BE4" s="104" t="n">
        <x:f>54</x:f>
      </x:c>
      <x:c r="BF4" s="104" t="n">
        <x:f>55</x:f>
      </x:c>
      <x:c r="BG4" s="104" t="n">
        <x:f>56</x:f>
      </x:c>
      <x:c r="BH4" s="104" t="n">
        <x:f>57</x:f>
      </x:c>
      <x:c r="BI4" s="104" t="n">
        <x:f>58</x:f>
      </x:c>
      <x:c r="BJ4" s="104" t="n">
        <x:f>59</x:f>
      </x:c>
      <x:c r="BK4" s="104" t="n">
        <x:f>60</x:f>
      </x:c>
      <x:c r="BL4" s="104" t="n">
        <x:f>61</x:f>
      </x:c>
      <x:c r="BM4" s="104" t="n">
        <x:f>62</x:f>
      </x:c>
      <x:c r="BN4" s="104" t="n">
        <x:f>63</x:f>
      </x:c>
      <x:c r="BO4" s="104" t="n">
        <x:f>64</x:f>
      </x:c>
      <x:c r="BP4" s="104" t="n">
        <x:f>65</x:f>
      </x:c>
      <x:c r="BQ4" s="104" t="n">
        <x:f>66</x:f>
      </x:c>
      <x:c r="BR4" s="104" t="n">
        <x:f>67</x:f>
      </x:c>
      <x:c r="BS4" s="104" t="n">
        <x:f>68</x:f>
      </x:c>
      <x:c r="BT4" s="104" t="n">
        <x:f>69</x:f>
      </x:c>
      <x:c r="BU4" s="104" t="n">
        <x:f>70</x:f>
      </x:c>
      <x:c r="BV4" s="104" t="n">
        <x:f>71</x:f>
      </x:c>
      <x:c r="BW4" s="104" t="n">
        <x:f>72</x:f>
      </x:c>
      <x:c r="BX4" s="104" t="n">
        <x:f>73</x:f>
      </x:c>
      <x:c r="BY4" s="104" t="n">
        <x:f>74</x:f>
      </x:c>
      <x:c r="BZ4" s="104" t="n">
        <x:f>75</x:f>
      </x:c>
      <x:c r="CA4" s="104" t="n">
        <x:f>76</x:f>
      </x:c>
      <x:c r="CB4" s="104" t="n">
        <x:f>77</x:f>
      </x:c>
      <x:c r="CC4" s="104" t="n">
        <x:f>78</x:f>
      </x:c>
      <x:c r="CD4" s="104" t="n">
        <x:f>79</x:f>
      </x:c>
      <x:c r="CE4" s="104" t="n">
        <x:f>80</x:f>
      </x:c>
      <x:c r="CF4" s="104" t="n">
        <x:f>81</x:f>
      </x:c>
      <x:c r="CG4" s="104" t="n">
        <x:f>82</x:f>
      </x:c>
      <x:c r="CH4" s="104" t="n">
        <x:f>83</x:f>
      </x:c>
      <x:c r="CI4" s="104" t="n">
        <x:f>84</x:f>
      </x:c>
      <x:c r="CJ4" s="104" t="n">
        <x:f>85</x:f>
      </x:c>
      <x:c r="CK4" s="104" t="n">
        <x:f>86</x:f>
      </x:c>
      <x:c r="CL4" s="104" t="n">
        <x:f>87</x:f>
      </x:c>
      <x:c r="CM4" s="104" t="n">
        <x:f>88</x:f>
      </x:c>
      <x:c r="CN4" s="104" t="n">
        <x:f>89</x:f>
      </x:c>
      <x:c r="CO4" s="104" t="n">
        <x:f>90</x:f>
      </x:c>
      <x:c r="CP4" s="104" t="n">
        <x:f>91</x:f>
      </x:c>
      <x:c r="CQ4" s="104" t="n">
        <x:f>92</x:f>
      </x:c>
      <x:c r="CR4" s="104" t="n">
        <x:f>93</x:f>
      </x:c>
      <x:c r="CS4" s="104" t="n">
        <x:f>94</x:f>
      </x:c>
      <x:c r="CT4" s="104" t="n">
        <x:f>95</x:f>
      </x:c>
      <x:c r="CU4" s="104" t="n">
        <x:f>96</x:f>
      </x:c>
      <x:c r="CV4" s="104" t="n">
        <x:f>97</x:f>
      </x:c>
      <x:c r="CW4" s="104" t="n">
        <x:f>98</x:f>
      </x:c>
      <x:c r="CX4" s="104" t="n">
        <x:f>99</x:f>
      </x:c>
      <x:c r="CY4" s="104" t="n">
        <x:f>100</x:f>
      </x:c>
      <x:c r="CZ4" s="104" t="n">
        <x:f>101</x:f>
      </x:c>
      <x:c r="DA4" s="104" t="n">
        <x:f>102</x:f>
      </x:c>
      <x:c r="DB4" s="104" t="n">
        <x:f>103</x:f>
      </x:c>
      <x:c r="DC4" s="104" t="n">
        <x:f>104</x:f>
      </x:c>
      <x:c r="DD4" s="104" t="n">
        <x:f>105</x:f>
      </x:c>
      <x:c r="DE4" s="104" t="n">
        <x:f>106</x:f>
      </x:c>
      <x:c r="DF4" s="104" t="n">
        <x:f>107</x:f>
      </x:c>
      <x:c r="DG4" s="104" t="n">
        <x:f>108</x:f>
      </x:c>
      <x:c r="DH4" s="104" t="n">
        <x:f>109</x:f>
      </x:c>
      <x:c r="DI4" s="104" t="n">
        <x:f>110</x:f>
      </x:c>
      <x:c r="DJ4" s="104" t="n">
        <x:f>111</x:f>
      </x:c>
      <x:c r="DK4" s="104" t="n">
        <x:f>112</x:f>
      </x:c>
      <x:c r="DL4" s="104" t="n">
        <x:f>113</x:f>
      </x:c>
      <x:c r="DM4" s="104" t="n">
        <x:f>114</x:f>
      </x:c>
      <x:c r="DN4" s="104" t="n">
        <x:f>115</x:f>
      </x:c>
      <x:c r="DO4" s="104" t="n">
        <x:f>116</x:f>
      </x:c>
      <x:c r="DP4" s="104" t="n">
        <x:f>117</x:f>
      </x:c>
      <x:c r="DQ4" s="104" t="n">
        <x:f>118</x:f>
      </x:c>
      <x:c r="DR4" s="104" t="n">
        <x:f>119</x:f>
      </x:c>
      <x:c r="DS4" s="104" t="n">
        <x:f>120</x:f>
      </x:c>
      <x:c r="DT4" s="104" t="n">
        <x:f>121</x:f>
      </x:c>
      <x:c r="DU4" s="104" t="n">
        <x:f>122</x:f>
      </x:c>
      <x:c r="DV4" s="104" t="n">
        <x:f>123</x:f>
      </x:c>
      <x:c r="DW4" s="104" t="n">
        <x:f>124</x:f>
      </x:c>
      <x:c r="DX4" s="104" t="n">
        <x:f>125</x:f>
      </x:c>
      <x:c r="DY4" s="104" t="n">
        <x:f>126</x:f>
      </x:c>
      <x:c r="DZ4" s="104" t="n">
        <x:f>127</x:f>
      </x:c>
      <x:c r="EA4" s="104" t="n">
        <x:f>128</x:f>
      </x:c>
      <x:c r="EB4" s="104" t="n">
        <x:f>129</x:f>
      </x:c>
      <x:c r="EC4" s="104" t="n">
        <x:f>130</x:f>
      </x:c>
      <x:c r="ED4" s="104" t="n">
        <x:f>131</x:f>
      </x:c>
      <x:c r="EE4" s="104" t="n">
        <x:f>132</x:f>
      </x:c>
      <x:c r="EF4" s="104" t="n">
        <x:f>133</x:f>
      </x:c>
      <x:c r="EG4" s="104" t="n">
        <x:f>134</x:f>
      </x:c>
      <x:c r="EH4" s="104" t="n">
        <x:f>135</x:f>
      </x:c>
      <x:c r="EI4" s="104" t="n">
        <x:f>136</x:f>
      </x:c>
      <x:c r="EJ4" s="104" t="n">
        <x:f>137</x:f>
      </x:c>
      <x:c r="EK4" s="104" t="n">
        <x:f>138</x:f>
      </x:c>
      <x:c r="EL4" s="104" t="n">
        <x:f>139</x:f>
      </x:c>
      <x:c r="EM4" s="104" t="n">
        <x:f>140</x:f>
      </x:c>
      <x:c r="EN4" s="104" t="n">
        <x:f>141</x:f>
      </x:c>
      <x:c r="EO4" s="104" t="n">
        <x:f>142</x:f>
      </x:c>
      <x:c r="EP4" s="104" t="n">
        <x:f>143</x:f>
      </x:c>
      <x:c r="EQ4" s="104" t="n">
        <x:f>144</x:f>
      </x:c>
      <x:c r="ER4" s="104" t="n">
        <x:f>145</x:f>
      </x:c>
      <x:c r="ES4" s="104" t="n">
        <x:f>146</x:f>
      </x:c>
      <x:c r="ET4" s="104" t="n">
        <x:f>147</x:f>
      </x:c>
      <x:c r="EU4" s="104" t="n">
        <x:f>148</x:f>
      </x:c>
      <x:c r="EV4" s="104" t="n">
        <x:f>149</x:f>
      </x:c>
      <x:c r="EW4" s="104" t="n">
        <x:f>150</x:f>
      </x:c>
      <x:c r="EX4" s="104" t="n">
        <x:f>151</x:f>
      </x:c>
      <x:c r="EY4" s="104" t="n">
        <x:f>152</x:f>
      </x:c>
      <x:c r="EZ4" s="104" t="n">
        <x:f>153</x:f>
      </x:c>
      <x:c r="FA4" s="104" t="n">
        <x:f>154</x:f>
      </x:c>
      <x:c r="FB4" s="104" t="n">
        <x:f>155</x:f>
      </x:c>
      <x:c r="FC4" s="104" t="n">
        <x:f>156</x:f>
      </x:c>
      <x:c r="FD4" s="104" t="n">
        <x:f>157</x:f>
      </x:c>
      <x:c r="FE4" s="104" t="n">
        <x:f>158</x:f>
      </x:c>
      <x:c r="FF4" s="104" t="n">
        <x:f>159</x:f>
      </x:c>
      <x:c r="FG4" s="104" t="n">
        <x:f>160</x:f>
      </x:c>
      <x:c r="FH4" s="104" t="n">
        <x:f>161</x:f>
      </x:c>
      <x:c r="FI4" s="104" t="n">
        <x:f>162</x:f>
      </x:c>
      <x:c r="FJ4" s="104" t="n">
        <x:f>163</x:f>
      </x:c>
      <x:c r="FK4" s="104" t="n">
        <x:f>164</x:f>
      </x:c>
      <x:c r="FL4" s="104" t="n">
        <x:f>165</x:f>
      </x:c>
      <x:c r="FM4" s="104" t="n">
        <x:f>166</x:f>
      </x:c>
      <x:c r="FN4" s="104" t="n">
        <x:f>167</x:f>
      </x:c>
      <x:c r="FO4" s="104" t="n">
        <x:f>168</x:f>
      </x:c>
      <x:c r="FP4" s="104" t="n">
        <x:f>169</x:f>
      </x:c>
      <x:c r="FQ4" s="104" t="n">
        <x:f>170</x:f>
      </x:c>
      <x:c r="FR4" s="104" t="n">
        <x:f>171</x:f>
      </x:c>
      <x:c r="FS4" s="104" t="n">
        <x:f>172</x:f>
      </x:c>
      <x:c r="FT4" s="104" t="n">
        <x:f>173</x:f>
      </x:c>
      <x:c r="FU4" s="104" t="n">
        <x:f>174</x:f>
      </x:c>
      <x:c r="FV4" s="104" t="n">
        <x:f>175</x:f>
      </x:c>
      <x:c r="FW4" s="104" t="n">
        <x:f>176</x:f>
      </x:c>
      <x:c r="FX4" s="104" t="n">
        <x:f>177</x:f>
      </x:c>
      <x:c r="FY4" s="104" t="n">
        <x:f>178</x:f>
      </x:c>
      <x:c r="FZ4" s="104" t="n">
        <x:f>179</x:f>
      </x:c>
      <x:c r="GA4" s="104" t="n">
        <x:f>180</x:f>
      </x:c>
    </x:row>
    <x:row r="5">
      <x:c r="A5" t="str">
        <x:v>Очередь включена</x:v>
      </x:c>
      <x:c r="B5" t="n">
        <x:f>--('Вводные'!$B$89="Да")</x:f>
      </x:c>
      <x:c r="C5" t="str">
        <x:v>0/1</x:v>
      </x:c>
      <x:c r="D5" t="n">
        <x:f>$B$5</x:f>
      </x:c>
      <x:c r="E5" t="n">
        <x:f>$B$5</x:f>
      </x:c>
      <x:c r="F5" t="n">
        <x:f>$B$5</x:f>
      </x:c>
      <x:c r="G5" t="n">
        <x:f>$B$5</x:f>
      </x:c>
      <x:c r="H5" t="n">
        <x:f>$B$5</x:f>
      </x:c>
      <x:c r="I5" t="n">
        <x:f>$B$5</x:f>
      </x:c>
      <x:c r="J5" t="n">
        <x:f>$B$5</x:f>
      </x:c>
      <x:c r="K5" t="n">
        <x:f>$B$5</x:f>
      </x:c>
      <x:c r="L5" t="n">
        <x:f>$B$5</x:f>
      </x:c>
      <x:c r="M5" t="n">
        <x:f>$B$5</x:f>
      </x:c>
      <x:c r="N5" t="n">
        <x:f>$B$5</x:f>
      </x:c>
      <x:c r="O5" t="n">
        <x:f>$B$5</x:f>
      </x:c>
      <x:c r="P5" t="n">
        <x:f>$B$5</x:f>
      </x:c>
      <x:c r="Q5" t="n">
        <x:f>$B$5</x:f>
      </x:c>
      <x:c r="R5" t="n">
        <x:f>$B$5</x:f>
      </x:c>
      <x:c r="S5" t="n">
        <x:f>$B$5</x:f>
      </x:c>
      <x:c r="T5" t="n">
        <x:f>$B$5</x:f>
      </x:c>
      <x:c r="U5" t="n">
        <x:f>$B$5</x:f>
      </x:c>
      <x:c r="V5" t="n">
        <x:f>$B$5</x:f>
      </x:c>
      <x:c r="W5" t="n">
        <x:f>$B$5</x:f>
      </x:c>
      <x:c r="X5" t="n">
        <x:f>$B$5</x:f>
      </x:c>
      <x:c r="Y5" t="n">
        <x:f>$B$5</x:f>
      </x:c>
      <x:c r="Z5" t="n">
        <x:f>$B$5</x:f>
      </x:c>
      <x:c r="AA5" t="n">
        <x:f>$B$5</x:f>
      </x:c>
      <x:c r="AB5" t="n">
        <x:f>$B$5</x:f>
      </x:c>
      <x:c r="AC5" t="n">
        <x:f>$B$5</x:f>
      </x:c>
      <x:c r="AD5" t="n">
        <x:f>$B$5</x:f>
      </x:c>
      <x:c r="AE5" t="n">
        <x:f>$B$5</x:f>
      </x:c>
      <x:c r="AF5" t="n">
        <x:f>$B$5</x:f>
      </x:c>
      <x:c r="AG5" t="n">
        <x:f>$B$5</x:f>
      </x:c>
      <x:c r="AH5" t="n">
        <x:f>$B$5</x:f>
      </x:c>
      <x:c r="AI5" t="n">
        <x:f>$B$5</x:f>
      </x:c>
      <x:c r="AJ5" t="n">
        <x:f>$B$5</x:f>
      </x:c>
      <x:c r="AK5" t="n">
        <x:f>$B$5</x:f>
      </x:c>
      <x:c r="AL5" t="n">
        <x:f>$B$5</x:f>
      </x:c>
      <x:c r="AM5" t="n">
        <x:f>$B$5</x:f>
      </x:c>
      <x:c r="AN5" t="n">
        <x:f>$B$5</x:f>
      </x:c>
      <x:c r="AO5" t="n">
        <x:f>$B$5</x:f>
      </x:c>
      <x:c r="AP5" t="n">
        <x:f>$B$5</x:f>
      </x:c>
      <x:c r="AQ5" t="n">
        <x:f>$B$5</x:f>
      </x:c>
      <x:c r="AR5" t="n">
        <x:f>$B$5</x:f>
      </x:c>
      <x:c r="AS5" t="n">
        <x:f>$B$5</x:f>
      </x:c>
      <x:c r="AT5" t="n">
        <x:f>$B$5</x:f>
      </x:c>
      <x:c r="AU5" t="n">
        <x:f>$B$5</x:f>
      </x:c>
      <x:c r="AV5" t="n">
        <x:f>$B$5</x:f>
      </x:c>
      <x:c r="AW5" t="n">
        <x:f>$B$5</x:f>
      </x:c>
      <x:c r="AX5" t="n">
        <x:f>$B$5</x:f>
      </x:c>
      <x:c r="AY5" t="n">
        <x:f>$B$5</x:f>
      </x:c>
      <x:c r="AZ5" t="n">
        <x:f>$B$5</x:f>
      </x:c>
      <x:c r="BA5" t="n">
        <x:f>$B$5</x:f>
      </x:c>
      <x:c r="BB5" t="n">
        <x:f>$B$5</x:f>
      </x:c>
      <x:c r="BC5" t="n">
        <x:f>$B$5</x:f>
      </x:c>
      <x:c r="BD5" t="n">
        <x:f>$B$5</x:f>
      </x:c>
      <x:c r="BE5" t="n">
        <x:f>$B$5</x:f>
      </x:c>
      <x:c r="BF5" t="n">
        <x:f>$B$5</x:f>
      </x:c>
      <x:c r="BG5" t="n">
        <x:f>$B$5</x:f>
      </x:c>
      <x:c r="BH5" t="n">
        <x:f>$B$5</x:f>
      </x:c>
      <x:c r="BI5" t="n">
        <x:f>$B$5</x:f>
      </x:c>
      <x:c r="BJ5" t="n">
        <x:f>$B$5</x:f>
      </x:c>
      <x:c r="BK5" t="n">
        <x:f>$B$5</x:f>
      </x:c>
      <x:c r="BL5" t="n">
        <x:f>$B$5</x:f>
      </x:c>
      <x:c r="BM5" t="n">
        <x:f>$B$5</x:f>
      </x:c>
      <x:c r="BN5" t="n">
        <x:f>$B$5</x:f>
      </x:c>
      <x:c r="BO5" t="n">
        <x:f>$B$5</x:f>
      </x:c>
      <x:c r="BP5" t="n">
        <x:f>$B$5</x:f>
      </x:c>
      <x:c r="BQ5" t="n">
        <x:f>$B$5</x:f>
      </x:c>
      <x:c r="BR5" t="n">
        <x:f>$B$5</x:f>
      </x:c>
      <x:c r="BS5" t="n">
        <x:f>$B$5</x:f>
      </x:c>
      <x:c r="BT5" t="n">
        <x:f>$B$5</x:f>
      </x:c>
      <x:c r="BU5" t="n">
        <x:f>$B$5</x:f>
      </x:c>
      <x:c r="BV5" t="n">
        <x:f>$B$5</x:f>
      </x:c>
      <x:c r="BW5" t="n">
        <x:f>$B$5</x:f>
      </x:c>
      <x:c r="BX5" t="n">
        <x:f>$B$5</x:f>
      </x:c>
      <x:c r="BY5" t="n">
        <x:f>$B$5</x:f>
      </x:c>
      <x:c r="BZ5" t="n">
        <x:f>$B$5</x:f>
      </x:c>
      <x:c r="CA5" t="n">
        <x:f>$B$5</x:f>
      </x:c>
      <x:c r="CB5" t="n">
        <x:f>$B$5</x:f>
      </x:c>
      <x:c r="CC5" t="n">
        <x:f>$B$5</x:f>
      </x:c>
      <x:c r="CD5" t="n">
        <x:f>$B$5</x:f>
      </x:c>
      <x:c r="CE5" t="n">
        <x:f>$B$5</x:f>
      </x:c>
      <x:c r="CF5" t="n">
        <x:f>$B$5</x:f>
      </x:c>
      <x:c r="CG5" t="n">
        <x:f>$B$5</x:f>
      </x:c>
      <x:c r="CH5" t="n">
        <x:f>$B$5</x:f>
      </x:c>
      <x:c r="CI5" t="n">
        <x:f>$B$5</x:f>
      </x:c>
      <x:c r="CJ5" t="n">
        <x:f>$B$5</x:f>
      </x:c>
      <x:c r="CK5" t="n">
        <x:f>$B$5</x:f>
      </x:c>
      <x:c r="CL5" t="n">
        <x:f>$B$5</x:f>
      </x:c>
      <x:c r="CM5" t="n">
        <x:f>$B$5</x:f>
      </x:c>
      <x:c r="CN5" t="n">
        <x:f>$B$5</x:f>
      </x:c>
      <x:c r="CO5" t="n">
        <x:f>$B$5</x:f>
      </x:c>
      <x:c r="CP5" t="n">
        <x:f>$B$5</x:f>
      </x:c>
      <x:c r="CQ5" t="n">
        <x:f>$B$5</x:f>
      </x:c>
      <x:c r="CR5" t="n">
        <x:f>$B$5</x:f>
      </x:c>
      <x:c r="CS5" t="n">
        <x:f>$B$5</x:f>
      </x:c>
      <x:c r="CT5" t="n">
        <x:f>$B$5</x:f>
      </x:c>
      <x:c r="CU5" t="n">
        <x:f>$B$5</x:f>
      </x:c>
      <x:c r="CV5" t="n">
        <x:f>$B$5</x:f>
      </x:c>
      <x:c r="CW5" t="n">
        <x:f>$B$5</x:f>
      </x:c>
      <x:c r="CX5" t="n">
        <x:f>$B$5</x:f>
      </x:c>
      <x:c r="CY5" t="n">
        <x:f>$B$5</x:f>
      </x:c>
      <x:c r="CZ5" t="n">
        <x:f>$B$5</x:f>
      </x:c>
      <x:c r="DA5" t="n">
        <x:f>$B$5</x:f>
      </x:c>
      <x:c r="DB5" t="n">
        <x:f>$B$5</x:f>
      </x:c>
      <x:c r="DC5" t="n">
        <x:f>$B$5</x:f>
      </x:c>
      <x:c r="DD5" t="n">
        <x:f>$B$5</x:f>
      </x:c>
      <x:c r="DE5" t="n">
        <x:f>$B$5</x:f>
      </x:c>
      <x:c r="DF5" t="n">
        <x:f>$B$5</x:f>
      </x:c>
      <x:c r="DG5" t="n">
        <x:f>$B$5</x:f>
      </x:c>
      <x:c r="DH5" t="n">
        <x:f>$B$5</x:f>
      </x:c>
      <x:c r="DI5" t="n">
        <x:f>$B$5</x:f>
      </x:c>
      <x:c r="DJ5" t="n">
        <x:f>$B$5</x:f>
      </x:c>
      <x:c r="DK5" t="n">
        <x:f>$B$5</x:f>
      </x:c>
      <x:c r="DL5" t="n">
        <x:f>$B$5</x:f>
      </x:c>
      <x:c r="DM5" t="n">
        <x:f>$B$5</x:f>
      </x:c>
      <x:c r="DN5" t="n">
        <x:f>$B$5</x:f>
      </x:c>
      <x:c r="DO5" t="n">
        <x:f>$B$5</x:f>
      </x:c>
      <x:c r="DP5" t="n">
        <x:f>$B$5</x:f>
      </x:c>
      <x:c r="DQ5" t="n">
        <x:f>$B$5</x:f>
      </x:c>
      <x:c r="DR5" t="n">
        <x:f>$B$5</x:f>
      </x:c>
      <x:c r="DS5" t="n">
        <x:f>$B$5</x:f>
      </x:c>
      <x:c r="DT5" t="n">
        <x:f>$B$5</x:f>
      </x:c>
      <x:c r="DU5" t="n">
        <x:f>$B$5</x:f>
      </x:c>
      <x:c r="DV5" t="n">
        <x:f>$B$5</x:f>
      </x:c>
      <x:c r="DW5" t="n">
        <x:f>$B$5</x:f>
      </x:c>
      <x:c r="DX5" t="n">
        <x:f>$B$5</x:f>
      </x:c>
      <x:c r="DY5" t="n">
        <x:f>$B$5</x:f>
      </x:c>
      <x:c r="DZ5" t="n">
        <x:f>$B$5</x:f>
      </x:c>
      <x:c r="EA5" t="n">
        <x:f>$B$5</x:f>
      </x:c>
      <x:c r="EB5" t="n">
        <x:f>$B$5</x:f>
      </x:c>
      <x:c r="EC5" t="n">
        <x:f>$B$5</x:f>
      </x:c>
      <x:c r="ED5" t="n">
        <x:f>$B$5</x:f>
      </x:c>
      <x:c r="EE5" t="n">
        <x:f>$B$5</x:f>
      </x:c>
      <x:c r="EF5" t="n">
        <x:f>$B$5</x:f>
      </x:c>
      <x:c r="EG5" t="n">
        <x:f>$B$5</x:f>
      </x:c>
      <x:c r="EH5" t="n">
        <x:f>$B$5</x:f>
      </x:c>
      <x:c r="EI5" t="n">
        <x:f>$B$5</x:f>
      </x:c>
      <x:c r="EJ5" t="n">
        <x:f>$B$5</x:f>
      </x:c>
      <x:c r="EK5" t="n">
        <x:f>$B$5</x:f>
      </x:c>
      <x:c r="EL5" t="n">
        <x:f>$B$5</x:f>
      </x:c>
      <x:c r="EM5" t="n">
        <x:f>$B$5</x:f>
      </x:c>
      <x:c r="EN5" t="n">
        <x:f>$B$5</x:f>
      </x:c>
      <x:c r="EO5" t="n">
        <x:f>$B$5</x:f>
      </x:c>
      <x:c r="EP5" t="n">
        <x:f>$B$5</x:f>
      </x:c>
      <x:c r="EQ5" t="n">
        <x:f>$B$5</x:f>
      </x:c>
      <x:c r="ER5" t="n">
        <x:f>$B$5</x:f>
      </x:c>
      <x:c r="ES5" t="n">
        <x:f>$B$5</x:f>
      </x:c>
      <x:c r="ET5" t="n">
        <x:f>$B$5</x:f>
      </x:c>
      <x:c r="EU5" t="n">
        <x:f>$B$5</x:f>
      </x:c>
      <x:c r="EV5" t="n">
        <x:f>$B$5</x:f>
      </x:c>
      <x:c r="EW5" t="n">
        <x:f>$B$5</x:f>
      </x:c>
      <x:c r="EX5" t="n">
        <x:f>$B$5</x:f>
      </x:c>
      <x:c r="EY5" t="n">
        <x:f>$B$5</x:f>
      </x:c>
      <x:c r="EZ5" t="n">
        <x:f>$B$5</x:f>
      </x:c>
      <x:c r="FA5" t="n">
        <x:f>$B$5</x:f>
      </x:c>
      <x:c r="FB5" t="n">
        <x:f>$B$5</x:f>
      </x:c>
      <x:c r="FC5" t="n">
        <x:f>$B$5</x:f>
      </x:c>
      <x:c r="FD5" t="n">
        <x:f>$B$5</x:f>
      </x:c>
      <x:c r="FE5" t="n">
        <x:f>$B$5</x:f>
      </x:c>
      <x:c r="FF5" t="n">
        <x:f>$B$5</x:f>
      </x:c>
      <x:c r="FG5" t="n">
        <x:f>$B$5</x:f>
      </x:c>
      <x:c r="FH5" t="n">
        <x:f>$B$5</x:f>
      </x:c>
      <x:c r="FI5" t="n">
        <x:f>$B$5</x:f>
      </x:c>
      <x:c r="FJ5" t="n">
        <x:f>$B$5</x:f>
      </x:c>
      <x:c r="FK5" t="n">
        <x:f>$B$5</x:f>
      </x:c>
      <x:c r="FL5" t="n">
        <x:f>$B$5</x:f>
      </x:c>
      <x:c r="FM5" t="n">
        <x:f>$B$5</x:f>
      </x:c>
      <x:c r="FN5" t="n">
        <x:f>$B$5</x:f>
      </x:c>
      <x:c r="FO5" t="n">
        <x:f>$B$5</x:f>
      </x:c>
      <x:c r="FP5" t="n">
        <x:f>$B$5</x:f>
      </x:c>
      <x:c r="FQ5" t="n">
        <x:f>$B$5</x:f>
      </x:c>
      <x:c r="FR5" t="n">
        <x:f>$B$5</x:f>
      </x:c>
      <x:c r="FS5" t="n">
        <x:f>$B$5</x:f>
      </x:c>
      <x:c r="FT5" t="n">
        <x:f>$B$5</x:f>
      </x:c>
      <x:c r="FU5" t="n">
        <x:f>$B$5</x:f>
      </x:c>
      <x:c r="FV5" t="n">
        <x:f>$B$5</x:f>
      </x:c>
      <x:c r="FW5" t="n">
        <x:f>$B$5</x:f>
      </x:c>
      <x:c r="FX5" t="n">
        <x:f>$B$5</x:f>
      </x:c>
      <x:c r="FY5" t="n">
        <x:f>$B$5</x:f>
      </x:c>
      <x:c r="FZ5" t="n">
        <x:f>$B$5</x:f>
      </x:c>
      <x:c r="GA5" t="n">
        <x:f>$B$5</x:f>
      </x:c>
    </x:row>
    <x:row r="6">
      <x:c r="A6" t="str">
        <x:v>Начало очереди</x:v>
      </x:c>
      <x:c r="B6" s="106" t="n">
        <x:f>EDATE('Вводные'!$D$89,'Вводные'!$H$9)</x:f>
      </x:c>
      <x:c r="C6" t="str">
        <x:v>дата</x:v>
      </x:c>
    </x:row>
    <x:row r="7">
      <x:c r="A7" t="str">
        <x:v>РнС / открытие ПФ</x:v>
      </x:c>
      <x:c r="B7" s="106" t="n">
        <x:f>EDATE(B6,'Вводные'!$E$89)</x:f>
      </x:c>
      <x:c r="C7" t="str">
        <x:v>дата</x:v>
      </x:c>
    </x:row>
    <x:row r="8">
      <x:c r="A8" t="str">
        <x:v>РВЭ</x:v>
      </x:c>
      <x:c r="B8" s="106" t="n">
        <x:f>EDATE(B7,'Вводные'!$F$89)</x:f>
      </x:c>
      <x:c r="C8" t="str">
        <x:v>дата</x:v>
      </x:c>
    </x:row>
    <x:row r="9">
      <x:c r="A9"/>
      <x:c r="B9"/>
      <x:c r="C9"/>
    </x:row>
    <x:row r="10">
      <x:c r="A10" t="str">
        <x:v>Продажи по договорам</x:v>
      </x:c>
      <x:c r="B10" t="n">
        <x:f>SUM(D10:GA10)</x:f>
      </x:c>
      <x:c r="C10" t="str">
        <x:v>млн ₽</x:v>
      </x:c>
      <x:c r="D10" s="117" t="n">
        <x:f>'Продажи'!D49+'ОБЪЕКТЫ'!D100</x:f>
      </x:c>
      <x:c r="E10" s="117" t="n">
        <x:f>'Продажи'!E49+'ОБЪЕКТЫ'!E100</x:f>
      </x:c>
      <x:c r="F10" s="117" t="n">
        <x:f>'Продажи'!F49+'ОБЪЕКТЫ'!F100</x:f>
      </x:c>
      <x:c r="G10" s="117" t="n">
        <x:f>'Продажи'!G49+'ОБЪЕКТЫ'!G100</x:f>
      </x:c>
      <x:c r="H10" s="117" t="n">
        <x:f>'Продажи'!H49+'ОБЪЕКТЫ'!H100</x:f>
      </x:c>
      <x:c r="I10" s="117" t="n">
        <x:f>'Продажи'!I49+'ОБЪЕКТЫ'!I100</x:f>
      </x:c>
      <x:c r="J10" s="117" t="n">
        <x:f>'Продажи'!J49+'ОБЪЕКТЫ'!J100</x:f>
      </x:c>
      <x:c r="K10" s="117" t="n">
        <x:f>'Продажи'!K49+'ОБЪЕКТЫ'!K100</x:f>
      </x:c>
      <x:c r="L10" s="117" t="n">
        <x:f>'Продажи'!L49+'ОБЪЕКТЫ'!L100</x:f>
      </x:c>
      <x:c r="M10" s="117" t="n">
        <x:f>'Продажи'!M49+'ОБЪЕКТЫ'!M100</x:f>
      </x:c>
      <x:c r="N10" s="117" t="n">
        <x:f>'Продажи'!N49+'ОБЪЕКТЫ'!N100</x:f>
      </x:c>
      <x:c r="O10" s="117" t="n">
        <x:f>'Продажи'!O49+'ОБЪЕКТЫ'!O100</x:f>
      </x:c>
      <x:c r="P10" s="117" t="n">
        <x:f>'Продажи'!P49+'ОБЪЕКТЫ'!P100</x:f>
      </x:c>
      <x:c r="Q10" s="117" t="n">
        <x:f>'Продажи'!Q49+'ОБЪЕКТЫ'!Q100</x:f>
      </x:c>
      <x:c r="R10" s="117" t="n">
        <x:f>'Продажи'!R49+'ОБЪЕКТЫ'!R100</x:f>
      </x:c>
      <x:c r="S10" s="117" t="n">
        <x:f>'Продажи'!S49+'ОБЪЕКТЫ'!S100</x:f>
      </x:c>
      <x:c r="T10" s="117" t="n">
        <x:f>'Продажи'!T49+'ОБЪЕКТЫ'!T100</x:f>
      </x:c>
      <x:c r="U10" s="117" t="n">
        <x:f>'Продажи'!U49+'ОБЪЕКТЫ'!U100</x:f>
      </x:c>
      <x:c r="V10" s="117" t="n">
        <x:f>'Продажи'!V49+'ОБЪЕКТЫ'!V100</x:f>
      </x:c>
      <x:c r="W10" s="117" t="n">
        <x:f>'Продажи'!W49+'ОБЪЕКТЫ'!W100</x:f>
      </x:c>
      <x:c r="X10" s="117" t="n">
        <x:f>'Продажи'!X49+'ОБЪЕКТЫ'!X100</x:f>
      </x:c>
      <x:c r="Y10" s="117" t="n">
        <x:f>'Продажи'!Y49+'ОБЪЕКТЫ'!Y100</x:f>
      </x:c>
      <x:c r="Z10" s="117" t="n">
        <x:f>'Продажи'!Z49+'ОБЪЕКТЫ'!Z100</x:f>
      </x:c>
      <x:c r="AA10" s="117" t="n">
        <x:f>'Продажи'!AA49+'ОБЪЕКТЫ'!AA100</x:f>
      </x:c>
      <x:c r="AB10" s="117" t="n">
        <x:f>'Продажи'!AB49+'ОБЪЕКТЫ'!AB100</x:f>
      </x:c>
      <x:c r="AC10" s="117" t="n">
        <x:f>'Продажи'!AC49+'ОБЪЕКТЫ'!AC100</x:f>
      </x:c>
      <x:c r="AD10" s="117" t="n">
        <x:f>'Продажи'!AD49+'ОБЪЕКТЫ'!AD100</x:f>
      </x:c>
      <x:c r="AE10" s="117" t="n">
        <x:f>'Продажи'!AE49+'ОБЪЕКТЫ'!AE100</x:f>
      </x:c>
      <x:c r="AF10" s="117" t="n">
        <x:f>'Продажи'!AF49+'ОБЪЕКТЫ'!AF100</x:f>
      </x:c>
      <x:c r="AG10" s="117" t="n">
        <x:f>'Продажи'!AG49+'ОБЪЕКТЫ'!AG100</x:f>
      </x:c>
      <x:c r="AH10" s="117" t="n">
        <x:f>'Продажи'!AH49+'ОБЪЕКТЫ'!AH100</x:f>
      </x:c>
      <x:c r="AI10" s="117" t="n">
        <x:f>'Продажи'!AI49+'ОБЪЕКТЫ'!AI100</x:f>
      </x:c>
      <x:c r="AJ10" s="117" t="n">
        <x:f>'Продажи'!AJ49+'ОБЪЕКТЫ'!AJ100</x:f>
      </x:c>
      <x:c r="AK10" s="117" t="n">
        <x:f>'Продажи'!AK49+'ОБЪЕКТЫ'!AK100</x:f>
      </x:c>
      <x:c r="AL10" s="117" t="n">
        <x:f>'Продажи'!AL49+'ОБЪЕКТЫ'!AL100</x:f>
      </x:c>
      <x:c r="AM10" s="117" t="n">
        <x:f>'Продажи'!AM49+'ОБЪЕКТЫ'!AM100</x:f>
      </x:c>
      <x:c r="AN10" s="117" t="n">
        <x:f>'Продажи'!AN49+'ОБЪЕКТЫ'!AN100</x:f>
      </x:c>
      <x:c r="AO10" s="117" t="n">
        <x:f>'Продажи'!AO49+'ОБЪЕКТЫ'!AO100</x:f>
      </x:c>
      <x:c r="AP10" s="117" t="n">
        <x:f>'Продажи'!AP49+'ОБЪЕКТЫ'!AP100</x:f>
      </x:c>
      <x:c r="AQ10" s="117" t="n">
        <x:f>'Продажи'!AQ49+'ОБЪЕКТЫ'!AQ100</x:f>
      </x:c>
      <x:c r="AR10" s="117" t="n">
        <x:f>'Продажи'!AR49+'ОБЪЕКТЫ'!AR100</x:f>
      </x:c>
      <x:c r="AS10" s="117" t="n">
        <x:f>'Продажи'!AS49+'ОБЪЕКТЫ'!AS100</x:f>
      </x:c>
      <x:c r="AT10" s="117" t="n">
        <x:f>'Продажи'!AT49+'ОБЪЕКТЫ'!AT100</x:f>
      </x:c>
      <x:c r="AU10" s="117" t="n">
        <x:f>'Продажи'!AU49+'ОБЪЕКТЫ'!AU100</x:f>
      </x:c>
      <x:c r="AV10" s="117" t="n">
        <x:f>'Продажи'!AV49+'ОБЪЕКТЫ'!AV100</x:f>
      </x:c>
      <x:c r="AW10" s="117" t="n">
        <x:f>'Продажи'!AW49+'ОБЪЕКТЫ'!AW100</x:f>
      </x:c>
      <x:c r="AX10" s="117" t="n">
        <x:f>'Продажи'!AX49+'ОБЪЕКТЫ'!AX100</x:f>
      </x:c>
      <x:c r="AY10" s="117" t="n">
        <x:f>'Продажи'!AY49+'ОБЪЕКТЫ'!AY100</x:f>
      </x:c>
      <x:c r="AZ10" s="117" t="n">
        <x:f>'Продажи'!AZ49+'ОБЪЕКТЫ'!AZ100</x:f>
      </x:c>
      <x:c r="BA10" s="117" t="n">
        <x:f>'Продажи'!BA49+'ОБЪЕКТЫ'!BA100</x:f>
      </x:c>
      <x:c r="BB10" s="117" t="n">
        <x:f>'Продажи'!BB49+'ОБЪЕКТЫ'!BB100</x:f>
      </x:c>
      <x:c r="BC10" s="117" t="n">
        <x:f>'Продажи'!BC49+'ОБЪЕКТЫ'!BC100</x:f>
      </x:c>
      <x:c r="BD10" s="117" t="n">
        <x:f>'Продажи'!BD49+'ОБЪЕКТЫ'!BD100</x:f>
      </x:c>
      <x:c r="BE10" s="117" t="n">
        <x:f>'Продажи'!BE49+'ОБЪЕКТЫ'!BE100</x:f>
      </x:c>
      <x:c r="BF10" s="117" t="n">
        <x:f>'Продажи'!BF49+'ОБЪЕКТЫ'!BF100</x:f>
      </x:c>
      <x:c r="BG10" s="117" t="n">
        <x:f>'Продажи'!BG49+'ОБЪЕКТЫ'!BG100</x:f>
      </x:c>
      <x:c r="BH10" s="117" t="n">
        <x:f>'Продажи'!BH49+'ОБЪЕКТЫ'!BH100</x:f>
      </x:c>
      <x:c r="BI10" s="117" t="n">
        <x:f>'Продажи'!BI49+'ОБЪЕКТЫ'!BI100</x:f>
      </x:c>
      <x:c r="BJ10" s="117" t="n">
        <x:f>'Продажи'!BJ49+'ОБЪЕКТЫ'!BJ100</x:f>
      </x:c>
      <x:c r="BK10" s="117" t="n">
        <x:f>'Продажи'!BK49+'ОБЪЕКТЫ'!BK100</x:f>
      </x:c>
      <x:c r="BL10" s="117" t="n">
        <x:f>'Продажи'!BL49+'ОБЪЕКТЫ'!BL100</x:f>
      </x:c>
      <x:c r="BM10" s="117" t="n">
        <x:f>'Продажи'!BM49+'ОБЪЕКТЫ'!BM100</x:f>
      </x:c>
      <x:c r="BN10" s="117" t="n">
        <x:f>'Продажи'!BN49+'ОБЪЕКТЫ'!BN100</x:f>
      </x:c>
      <x:c r="BO10" s="117" t="n">
        <x:f>'Продажи'!BO49+'ОБЪЕКТЫ'!BO100</x:f>
      </x:c>
      <x:c r="BP10" s="117" t="n">
        <x:f>'Продажи'!BP49+'ОБЪЕКТЫ'!BP100</x:f>
      </x:c>
      <x:c r="BQ10" s="117" t="n">
        <x:f>'Продажи'!BQ49+'ОБЪЕКТЫ'!BQ100</x:f>
      </x:c>
      <x:c r="BR10" s="117" t="n">
        <x:f>'Продажи'!BR49+'ОБЪЕКТЫ'!BR100</x:f>
      </x:c>
      <x:c r="BS10" s="117" t="n">
        <x:f>'Продажи'!BS49+'ОБЪЕКТЫ'!BS100</x:f>
      </x:c>
      <x:c r="BT10" s="117" t="n">
        <x:f>'Продажи'!BT49+'ОБЪЕКТЫ'!BT100</x:f>
      </x:c>
      <x:c r="BU10" s="117" t="n">
        <x:f>'Продажи'!BU49+'ОБЪЕКТЫ'!BU100</x:f>
      </x:c>
      <x:c r="BV10" s="117" t="n">
        <x:f>'Продажи'!BV49+'ОБЪЕКТЫ'!BV100</x:f>
      </x:c>
      <x:c r="BW10" s="117" t="n">
        <x:f>'Продажи'!BW49+'ОБЪЕКТЫ'!BW100</x:f>
      </x:c>
      <x:c r="BX10" s="117" t="n">
        <x:f>'Продажи'!BX49+'ОБЪЕКТЫ'!BX100</x:f>
      </x:c>
      <x:c r="BY10" s="117" t="n">
        <x:f>'Продажи'!BY49+'ОБЪЕКТЫ'!BY100</x:f>
      </x:c>
      <x:c r="BZ10" s="117" t="n">
        <x:f>'Продажи'!BZ49+'ОБЪЕКТЫ'!BZ100</x:f>
      </x:c>
      <x:c r="CA10" s="117" t="n">
        <x:f>'Продажи'!CA49+'ОБЪЕКТЫ'!CA100</x:f>
      </x:c>
      <x:c r="CB10" s="117" t="n">
        <x:f>'Продажи'!CB49+'ОБЪЕКТЫ'!CB100</x:f>
      </x:c>
      <x:c r="CC10" s="117" t="n">
        <x:f>'Продажи'!CC49+'ОБЪЕКТЫ'!CC100</x:f>
      </x:c>
      <x:c r="CD10" s="117" t="n">
        <x:f>'Продажи'!CD49+'ОБЪЕКТЫ'!CD100</x:f>
      </x:c>
      <x:c r="CE10" s="117" t="n">
        <x:f>'Продажи'!CE49+'ОБЪЕКТЫ'!CE100</x:f>
      </x:c>
      <x:c r="CF10" s="117" t="n">
        <x:f>'Продажи'!CF49+'ОБЪЕКТЫ'!CF100</x:f>
      </x:c>
      <x:c r="CG10" s="117" t="n">
        <x:f>'Продажи'!CG49+'ОБЪЕКТЫ'!CG100</x:f>
      </x:c>
      <x:c r="CH10" s="117" t="n">
        <x:f>'Продажи'!CH49+'ОБЪЕКТЫ'!CH100</x:f>
      </x:c>
      <x:c r="CI10" s="117" t="n">
        <x:f>'Продажи'!CI49+'ОБЪЕКТЫ'!CI100</x:f>
      </x:c>
      <x:c r="CJ10" s="117" t="n">
        <x:f>'Продажи'!CJ49+'ОБЪЕКТЫ'!CJ100</x:f>
      </x:c>
      <x:c r="CK10" s="117" t="n">
        <x:f>'Продажи'!CK49+'ОБЪЕКТЫ'!CK100</x:f>
      </x:c>
      <x:c r="CL10" s="117" t="n">
        <x:f>'Продажи'!CL49+'ОБЪЕКТЫ'!CL100</x:f>
      </x:c>
      <x:c r="CM10" s="117" t="n">
        <x:f>'Продажи'!CM49+'ОБЪЕКТЫ'!CM100</x:f>
      </x:c>
      <x:c r="CN10" s="117" t="n">
        <x:f>'Продажи'!CN49+'ОБЪЕКТЫ'!CN100</x:f>
      </x:c>
      <x:c r="CO10" s="117" t="n">
        <x:f>'Продажи'!CO49+'ОБЪЕКТЫ'!CO100</x:f>
      </x:c>
      <x:c r="CP10" s="117" t="n">
        <x:f>'Продажи'!CP49+'ОБЪЕКТЫ'!CP100</x:f>
      </x:c>
      <x:c r="CQ10" s="117" t="n">
        <x:f>'Продажи'!CQ49+'ОБЪЕКТЫ'!CQ100</x:f>
      </x:c>
      <x:c r="CR10" s="117" t="n">
        <x:f>'Продажи'!CR49+'ОБЪЕКТЫ'!CR100</x:f>
      </x:c>
      <x:c r="CS10" s="117" t="n">
        <x:f>'Продажи'!CS49+'ОБЪЕКТЫ'!CS100</x:f>
      </x:c>
      <x:c r="CT10" s="117" t="n">
        <x:f>'Продажи'!CT49+'ОБЪЕКТЫ'!CT100</x:f>
      </x:c>
      <x:c r="CU10" s="117" t="n">
        <x:f>'Продажи'!CU49+'ОБЪЕКТЫ'!CU100</x:f>
      </x:c>
      <x:c r="CV10" s="117" t="n">
        <x:f>'Продажи'!CV49+'ОБЪЕКТЫ'!CV100</x:f>
      </x:c>
      <x:c r="CW10" s="117" t="n">
        <x:f>'Продажи'!CW49+'ОБЪЕКТЫ'!CW100</x:f>
      </x:c>
      <x:c r="CX10" s="117" t="n">
        <x:f>'Продажи'!CX49+'ОБЪЕКТЫ'!CX100</x:f>
      </x:c>
      <x:c r="CY10" s="117" t="n">
        <x:f>'Продажи'!CY49+'ОБЪЕКТЫ'!CY100</x:f>
      </x:c>
      <x:c r="CZ10" s="117" t="n">
        <x:f>'Продажи'!CZ49+'ОБЪЕКТЫ'!CZ100</x:f>
      </x:c>
      <x:c r="DA10" s="117" t="n">
        <x:f>'Продажи'!DA49+'ОБЪЕКТЫ'!DA100</x:f>
      </x:c>
      <x:c r="DB10" s="117" t="n">
        <x:f>'Продажи'!DB49+'ОБЪЕКТЫ'!DB100</x:f>
      </x:c>
      <x:c r="DC10" s="117" t="n">
        <x:f>'Продажи'!DC49+'ОБЪЕКТЫ'!DC100</x:f>
      </x:c>
      <x:c r="DD10" s="117" t="n">
        <x:f>'Продажи'!DD49+'ОБЪЕКТЫ'!DD100</x:f>
      </x:c>
      <x:c r="DE10" s="117" t="n">
        <x:f>'Продажи'!DE49+'ОБЪЕКТЫ'!DE100</x:f>
      </x:c>
      <x:c r="DF10" s="117" t="n">
        <x:f>'Продажи'!DF49+'ОБЪЕКТЫ'!DF100</x:f>
      </x:c>
      <x:c r="DG10" s="117" t="n">
        <x:f>'Продажи'!DG49+'ОБЪЕКТЫ'!DG100</x:f>
      </x:c>
      <x:c r="DH10" s="117" t="n">
        <x:f>'Продажи'!DH49+'ОБЪЕКТЫ'!DH100</x:f>
      </x:c>
      <x:c r="DI10" s="117" t="n">
        <x:f>'Продажи'!DI49+'ОБЪЕКТЫ'!DI100</x:f>
      </x:c>
      <x:c r="DJ10" s="117" t="n">
        <x:f>'Продажи'!DJ49+'ОБЪЕКТЫ'!DJ100</x:f>
      </x:c>
      <x:c r="DK10" s="117" t="n">
        <x:f>'Продажи'!DK49+'ОБЪЕКТЫ'!DK100</x:f>
      </x:c>
      <x:c r="DL10" s="117" t="n">
        <x:f>'Продажи'!DL49+'ОБЪЕКТЫ'!DL100</x:f>
      </x:c>
      <x:c r="DM10" s="117" t="n">
        <x:f>'Продажи'!DM49+'ОБЪЕКТЫ'!DM100</x:f>
      </x:c>
      <x:c r="DN10" s="117" t="n">
        <x:f>'Продажи'!DN49+'ОБЪЕКТЫ'!DN100</x:f>
      </x:c>
      <x:c r="DO10" s="117" t="n">
        <x:f>'Продажи'!DO49+'ОБЪЕКТЫ'!DO100</x:f>
      </x:c>
      <x:c r="DP10" s="117" t="n">
        <x:f>'Продажи'!DP49+'ОБЪЕКТЫ'!DP100</x:f>
      </x:c>
      <x:c r="DQ10" s="117" t="n">
        <x:f>'Продажи'!DQ49+'ОБЪЕКТЫ'!DQ100</x:f>
      </x:c>
      <x:c r="DR10" s="117" t="n">
        <x:f>'Продажи'!DR49+'ОБЪЕКТЫ'!DR100</x:f>
      </x:c>
      <x:c r="DS10" s="117" t="n">
        <x:f>'Продажи'!DS49+'ОБЪЕКТЫ'!DS100</x:f>
      </x:c>
      <x:c r="DT10" s="117" t="n">
        <x:f>'Продажи'!DT49+'ОБЪЕКТЫ'!DT100</x:f>
      </x:c>
      <x:c r="DU10" s="117" t="n">
        <x:f>'Продажи'!DU49+'ОБЪЕКТЫ'!DU100</x:f>
      </x:c>
      <x:c r="DV10" s="117" t="n">
        <x:f>'Продажи'!DV49+'ОБЪЕКТЫ'!DV100</x:f>
      </x:c>
      <x:c r="DW10" s="117" t="n">
        <x:f>'Продажи'!DW49+'ОБЪЕКТЫ'!DW100</x:f>
      </x:c>
      <x:c r="DX10" s="117" t="n">
        <x:f>'Продажи'!DX49+'ОБЪЕКТЫ'!DX100</x:f>
      </x:c>
      <x:c r="DY10" s="117" t="n">
        <x:f>'Продажи'!DY49+'ОБЪЕКТЫ'!DY100</x:f>
      </x:c>
      <x:c r="DZ10" s="117" t="n">
        <x:f>'Продажи'!DZ49+'ОБЪЕКТЫ'!DZ100</x:f>
      </x:c>
      <x:c r="EA10" s="117" t="n">
        <x:f>'Продажи'!EA49+'ОБЪЕКТЫ'!EA100</x:f>
      </x:c>
      <x:c r="EB10" s="117" t="n">
        <x:f>'Продажи'!EB49+'ОБЪЕКТЫ'!EB100</x:f>
      </x:c>
      <x:c r="EC10" s="117" t="n">
        <x:f>'Продажи'!EC49+'ОБЪЕКТЫ'!EC100</x:f>
      </x:c>
      <x:c r="ED10" s="117" t="n">
        <x:f>'Продажи'!ED49+'ОБЪЕКТЫ'!ED100</x:f>
      </x:c>
      <x:c r="EE10" s="117" t="n">
        <x:f>'Продажи'!EE49+'ОБЪЕКТЫ'!EE100</x:f>
      </x:c>
      <x:c r="EF10" s="117" t="n">
        <x:f>'Продажи'!EF49+'ОБЪЕКТЫ'!EF100</x:f>
      </x:c>
      <x:c r="EG10" s="117" t="n">
        <x:f>'Продажи'!EG49+'ОБЪЕКТЫ'!EG100</x:f>
      </x:c>
      <x:c r="EH10" s="117" t="n">
        <x:f>'Продажи'!EH49+'ОБЪЕКТЫ'!EH100</x:f>
      </x:c>
      <x:c r="EI10" s="117" t="n">
        <x:f>'Продажи'!EI49+'ОБЪЕКТЫ'!EI100</x:f>
      </x:c>
      <x:c r="EJ10" s="117" t="n">
        <x:f>'Продажи'!EJ49+'ОБЪЕКТЫ'!EJ100</x:f>
      </x:c>
      <x:c r="EK10" s="117" t="n">
        <x:f>'Продажи'!EK49+'ОБЪЕКТЫ'!EK100</x:f>
      </x:c>
      <x:c r="EL10" s="117" t="n">
        <x:f>'Продажи'!EL49+'ОБЪЕКТЫ'!EL100</x:f>
      </x:c>
      <x:c r="EM10" s="117" t="n">
        <x:f>'Продажи'!EM49+'ОБЪЕКТЫ'!EM100</x:f>
      </x:c>
      <x:c r="EN10" s="117" t="n">
        <x:f>'Продажи'!EN49+'ОБЪЕКТЫ'!EN100</x:f>
      </x:c>
      <x:c r="EO10" s="117" t="n">
        <x:f>'Продажи'!EO49+'ОБЪЕКТЫ'!EO100</x:f>
      </x:c>
      <x:c r="EP10" s="117" t="n">
        <x:f>'Продажи'!EP49+'ОБЪЕКТЫ'!EP100</x:f>
      </x:c>
      <x:c r="EQ10" s="117" t="n">
        <x:f>'Продажи'!EQ49+'ОБЪЕКТЫ'!EQ100</x:f>
      </x:c>
      <x:c r="ER10" s="117" t="n">
        <x:f>'Продажи'!ER49+'ОБЪЕКТЫ'!ER100</x:f>
      </x:c>
      <x:c r="ES10" s="117" t="n">
        <x:f>'Продажи'!ES49+'ОБЪЕКТЫ'!ES100</x:f>
      </x:c>
      <x:c r="ET10" s="117" t="n">
        <x:f>'Продажи'!ET49+'ОБЪЕКТЫ'!ET100</x:f>
      </x:c>
      <x:c r="EU10" s="117" t="n">
        <x:f>'Продажи'!EU49+'ОБЪЕКТЫ'!EU100</x:f>
      </x:c>
      <x:c r="EV10" s="117" t="n">
        <x:f>'Продажи'!EV49+'ОБЪЕКТЫ'!EV100</x:f>
      </x:c>
      <x:c r="EW10" s="117" t="n">
        <x:f>'Продажи'!EW49+'ОБЪЕКТЫ'!EW100</x:f>
      </x:c>
      <x:c r="EX10" s="117" t="n">
        <x:f>'Продажи'!EX49+'ОБЪЕКТЫ'!EX100</x:f>
      </x:c>
      <x:c r="EY10" s="117" t="n">
        <x:f>'Продажи'!EY49+'ОБЪЕКТЫ'!EY100</x:f>
      </x:c>
      <x:c r="EZ10" s="117" t="n">
        <x:f>'Продажи'!EZ49+'ОБЪЕКТЫ'!EZ100</x:f>
      </x:c>
      <x:c r="FA10" s="117" t="n">
        <x:f>'Продажи'!FA49+'ОБЪЕКТЫ'!FA100</x:f>
      </x:c>
      <x:c r="FB10" s="117" t="n">
        <x:f>'Продажи'!FB49+'ОБЪЕКТЫ'!FB100</x:f>
      </x:c>
      <x:c r="FC10" s="117" t="n">
        <x:f>'Продажи'!FC49+'ОБЪЕКТЫ'!FC100</x:f>
      </x:c>
      <x:c r="FD10" s="117" t="n">
        <x:f>'Продажи'!FD49+'ОБЪЕКТЫ'!FD100</x:f>
      </x:c>
      <x:c r="FE10" s="117" t="n">
        <x:f>'Продажи'!FE49+'ОБЪЕКТЫ'!FE100</x:f>
      </x:c>
      <x:c r="FF10" s="117" t="n">
        <x:f>'Продажи'!FF49+'ОБЪЕКТЫ'!FF100</x:f>
      </x:c>
      <x:c r="FG10" s="117" t="n">
        <x:f>'Продажи'!FG49+'ОБЪЕКТЫ'!FG100</x:f>
      </x:c>
      <x:c r="FH10" s="117" t="n">
        <x:f>'Продажи'!FH49+'ОБЪЕКТЫ'!FH100</x:f>
      </x:c>
      <x:c r="FI10" s="117" t="n">
        <x:f>'Продажи'!FI49+'ОБЪЕКТЫ'!FI100</x:f>
      </x:c>
      <x:c r="FJ10" s="117" t="n">
        <x:f>'Продажи'!FJ49+'ОБЪЕКТЫ'!FJ100</x:f>
      </x:c>
      <x:c r="FK10" s="117" t="n">
        <x:f>'Продажи'!FK49+'ОБЪЕКТЫ'!FK100</x:f>
      </x:c>
      <x:c r="FL10" s="117" t="n">
        <x:f>'Продажи'!FL49+'ОБЪЕКТЫ'!FL100</x:f>
      </x:c>
      <x:c r="FM10" s="117" t="n">
        <x:f>'Продажи'!FM49+'ОБЪЕКТЫ'!FM100</x:f>
      </x:c>
      <x:c r="FN10" s="117" t="n">
        <x:f>'Продажи'!FN49+'ОБЪЕКТЫ'!FN100</x:f>
      </x:c>
      <x:c r="FO10" s="117" t="n">
        <x:f>'Продажи'!FO49+'ОБЪЕКТЫ'!FO100</x:f>
      </x:c>
      <x:c r="FP10" s="117" t="n">
        <x:f>'Продажи'!FP49+'ОБЪЕКТЫ'!FP100</x:f>
      </x:c>
      <x:c r="FQ10" s="117" t="n">
        <x:f>'Продажи'!FQ49+'ОБЪЕКТЫ'!FQ100</x:f>
      </x:c>
      <x:c r="FR10" s="117" t="n">
        <x:f>'Продажи'!FR49+'ОБЪЕКТЫ'!FR100</x:f>
      </x:c>
      <x:c r="FS10" s="117" t="n">
        <x:f>'Продажи'!FS49+'ОБЪЕКТЫ'!FS100</x:f>
      </x:c>
      <x:c r="FT10" s="117" t="n">
        <x:f>'Продажи'!FT49+'ОБЪЕКТЫ'!FT100</x:f>
      </x:c>
      <x:c r="FU10" s="117" t="n">
        <x:f>'Продажи'!FU49+'ОБЪЕКТЫ'!FU100</x:f>
      </x:c>
      <x:c r="FV10" s="117" t="n">
        <x:f>'Продажи'!FV49+'ОБЪЕКТЫ'!FV100</x:f>
      </x:c>
      <x:c r="FW10" s="117" t="n">
        <x:f>'Продажи'!FW49+'ОБЪЕКТЫ'!FW100</x:f>
      </x:c>
      <x:c r="FX10" s="117" t="n">
        <x:f>'Продажи'!FX49+'ОБЪЕКТЫ'!FX100</x:f>
      </x:c>
      <x:c r="FY10" s="117" t="n">
        <x:f>'Продажи'!FY49+'ОБЪЕКТЫ'!FY100</x:f>
      </x:c>
      <x:c r="FZ10" s="117" t="n">
        <x:f>'Продажи'!FZ49+'ОБЪЕКТЫ'!FZ100</x:f>
      </x:c>
      <x:c r="GA10" s="117" t="n">
        <x:f>'Продажи'!GA49+'ОБЪЕКТЫ'!GA100</x:f>
      </x:c>
    </x:row>
    <x:row r="11">
      <x:c r="A11" t="str">
        <x:v>Поступления на эскроу</x:v>
      </x:c>
      <x:c r="B11" t="n">
        <x:f>SUM(D11:GA11)</x:f>
      </x:c>
      <x:c r="C11" t="str">
        <x:v>млн ₽</x:v>
      </x:c>
      <x:c r="D11" s="117" t="n">
        <x:f>IF(D$3&lt;$B$8,'Продажи'!D49,0)+'ОБЪЕКТЫ'!D101</x:f>
      </x:c>
      <x:c r="E11" s="117" t="n">
        <x:f>IF(E$3&lt;$B$8,'Продажи'!E49,0)+'ОБЪЕКТЫ'!E101</x:f>
      </x:c>
      <x:c r="F11" s="117" t="n">
        <x:f>IF(F$3&lt;$B$8,'Продажи'!F49,0)+'ОБЪЕКТЫ'!F101</x:f>
      </x:c>
      <x:c r="G11" s="117" t="n">
        <x:f>IF(G$3&lt;$B$8,'Продажи'!G49,0)+'ОБЪЕКТЫ'!G101</x:f>
      </x:c>
      <x:c r="H11" s="117" t="n">
        <x:f>IF(H$3&lt;$B$8,'Продажи'!H49,0)+'ОБЪЕКТЫ'!H101</x:f>
      </x:c>
      <x:c r="I11" s="117" t="n">
        <x:f>IF(I$3&lt;$B$8,'Продажи'!I49,0)+'ОБЪЕКТЫ'!I101</x:f>
      </x:c>
      <x:c r="J11" s="117" t="n">
        <x:f>IF(J$3&lt;$B$8,'Продажи'!J49,0)+'ОБЪЕКТЫ'!J101</x:f>
      </x:c>
      <x:c r="K11" s="117" t="n">
        <x:f>IF(K$3&lt;$B$8,'Продажи'!K49,0)+'ОБЪЕКТЫ'!K101</x:f>
      </x:c>
      <x:c r="L11" s="117" t="n">
        <x:f>IF(L$3&lt;$B$8,'Продажи'!L49,0)+'ОБЪЕКТЫ'!L101</x:f>
      </x:c>
      <x:c r="M11" s="117" t="n">
        <x:f>IF(M$3&lt;$B$8,'Продажи'!M49,0)+'ОБЪЕКТЫ'!M101</x:f>
      </x:c>
      <x:c r="N11" s="117" t="n">
        <x:f>IF(N$3&lt;$B$8,'Продажи'!N49,0)+'ОБЪЕКТЫ'!N101</x:f>
      </x:c>
      <x:c r="O11" s="117" t="n">
        <x:f>IF(O$3&lt;$B$8,'Продажи'!O49,0)+'ОБЪЕКТЫ'!O101</x:f>
      </x:c>
      <x:c r="P11" s="117" t="n">
        <x:f>IF(P$3&lt;$B$8,'Продажи'!P49,0)+'ОБЪЕКТЫ'!P101</x:f>
      </x:c>
      <x:c r="Q11" s="117" t="n">
        <x:f>IF(Q$3&lt;$B$8,'Продажи'!Q49,0)+'ОБЪЕКТЫ'!Q101</x:f>
      </x:c>
      <x:c r="R11" s="117" t="n">
        <x:f>IF(R$3&lt;$B$8,'Продажи'!R49,0)+'ОБЪЕКТЫ'!R101</x:f>
      </x:c>
      <x:c r="S11" s="117" t="n">
        <x:f>IF(S$3&lt;$B$8,'Продажи'!S49,0)+'ОБЪЕКТЫ'!S101</x:f>
      </x:c>
      <x:c r="T11" s="117" t="n">
        <x:f>IF(T$3&lt;$B$8,'Продажи'!T49,0)+'ОБЪЕКТЫ'!T101</x:f>
      </x:c>
      <x:c r="U11" s="117" t="n">
        <x:f>IF(U$3&lt;$B$8,'Продажи'!U49,0)+'ОБЪЕКТЫ'!U101</x:f>
      </x:c>
      <x:c r="V11" s="117" t="n">
        <x:f>IF(V$3&lt;$B$8,'Продажи'!V49,0)+'ОБЪЕКТЫ'!V101</x:f>
      </x:c>
      <x:c r="W11" s="117" t="n">
        <x:f>IF(W$3&lt;$B$8,'Продажи'!W49,0)+'ОБЪЕКТЫ'!W101</x:f>
      </x:c>
      <x:c r="X11" s="117" t="n">
        <x:f>IF(X$3&lt;$B$8,'Продажи'!X49,0)+'ОБЪЕКТЫ'!X101</x:f>
      </x:c>
      <x:c r="Y11" s="117" t="n">
        <x:f>IF(Y$3&lt;$B$8,'Продажи'!Y49,0)+'ОБЪЕКТЫ'!Y101</x:f>
      </x:c>
      <x:c r="Z11" s="117" t="n">
        <x:f>IF(Z$3&lt;$B$8,'Продажи'!Z49,0)+'ОБЪЕКТЫ'!Z101</x:f>
      </x:c>
      <x:c r="AA11" s="117" t="n">
        <x:f>IF(AA$3&lt;$B$8,'Продажи'!AA49,0)+'ОБЪЕКТЫ'!AA101</x:f>
      </x:c>
      <x:c r="AB11" s="117" t="n">
        <x:f>IF(AB$3&lt;$B$8,'Продажи'!AB49,0)+'ОБЪЕКТЫ'!AB101</x:f>
      </x:c>
      <x:c r="AC11" s="117" t="n">
        <x:f>IF(AC$3&lt;$B$8,'Продажи'!AC49,0)+'ОБЪЕКТЫ'!AC101</x:f>
      </x:c>
      <x:c r="AD11" s="117" t="n">
        <x:f>IF(AD$3&lt;$B$8,'Продажи'!AD49,0)+'ОБЪЕКТЫ'!AD101</x:f>
      </x:c>
      <x:c r="AE11" s="117" t="n">
        <x:f>IF(AE$3&lt;$B$8,'Продажи'!AE49,0)+'ОБЪЕКТЫ'!AE101</x:f>
      </x:c>
      <x:c r="AF11" s="117" t="n">
        <x:f>IF(AF$3&lt;$B$8,'Продажи'!AF49,0)+'ОБЪЕКТЫ'!AF101</x:f>
      </x:c>
      <x:c r="AG11" s="117" t="n">
        <x:f>IF(AG$3&lt;$B$8,'Продажи'!AG49,0)+'ОБЪЕКТЫ'!AG101</x:f>
      </x:c>
      <x:c r="AH11" s="117" t="n">
        <x:f>IF(AH$3&lt;$B$8,'Продажи'!AH49,0)+'ОБЪЕКТЫ'!AH101</x:f>
      </x:c>
      <x:c r="AI11" s="117" t="n">
        <x:f>IF(AI$3&lt;$B$8,'Продажи'!AI49,0)+'ОБЪЕКТЫ'!AI101</x:f>
      </x:c>
      <x:c r="AJ11" s="117" t="n">
        <x:f>IF(AJ$3&lt;$B$8,'Продажи'!AJ49,0)+'ОБЪЕКТЫ'!AJ101</x:f>
      </x:c>
      <x:c r="AK11" s="117" t="n">
        <x:f>IF(AK$3&lt;$B$8,'Продажи'!AK49,0)+'ОБЪЕКТЫ'!AK101</x:f>
      </x:c>
      <x:c r="AL11" s="117" t="n">
        <x:f>IF(AL$3&lt;$B$8,'Продажи'!AL49,0)+'ОБЪЕКТЫ'!AL101</x:f>
      </x:c>
      <x:c r="AM11" s="117" t="n">
        <x:f>IF(AM$3&lt;$B$8,'Продажи'!AM49,0)+'ОБЪЕКТЫ'!AM101</x:f>
      </x:c>
      <x:c r="AN11" s="117" t="n">
        <x:f>IF(AN$3&lt;$B$8,'Продажи'!AN49,0)+'ОБЪЕКТЫ'!AN101</x:f>
      </x:c>
      <x:c r="AO11" s="117" t="n">
        <x:f>IF(AO$3&lt;$B$8,'Продажи'!AO49,0)+'ОБЪЕКТЫ'!AO101</x:f>
      </x:c>
      <x:c r="AP11" s="117" t="n">
        <x:f>IF(AP$3&lt;$B$8,'Продажи'!AP49,0)+'ОБЪЕКТЫ'!AP101</x:f>
      </x:c>
      <x:c r="AQ11" s="117" t="n">
        <x:f>IF(AQ$3&lt;$B$8,'Продажи'!AQ49,0)+'ОБЪЕКТЫ'!AQ101</x:f>
      </x:c>
      <x:c r="AR11" s="117" t="n">
        <x:f>IF(AR$3&lt;$B$8,'Продажи'!AR49,0)+'ОБЪЕКТЫ'!AR101</x:f>
      </x:c>
      <x:c r="AS11" s="117" t="n">
        <x:f>IF(AS$3&lt;$B$8,'Продажи'!AS49,0)+'ОБЪЕКТЫ'!AS101</x:f>
      </x:c>
      <x:c r="AT11" s="117" t="n">
        <x:f>IF(AT$3&lt;$B$8,'Продажи'!AT49,0)+'ОБЪЕКТЫ'!AT101</x:f>
      </x:c>
      <x:c r="AU11" s="117" t="n">
        <x:f>IF(AU$3&lt;$B$8,'Продажи'!AU49,0)+'ОБЪЕКТЫ'!AU101</x:f>
      </x:c>
      <x:c r="AV11" s="117" t="n">
        <x:f>IF(AV$3&lt;$B$8,'Продажи'!AV49,0)+'ОБЪЕКТЫ'!AV101</x:f>
      </x:c>
      <x:c r="AW11" s="117" t="n">
        <x:f>IF(AW$3&lt;$B$8,'Продажи'!AW49,0)+'ОБЪЕКТЫ'!AW101</x:f>
      </x:c>
      <x:c r="AX11" s="117" t="n">
        <x:f>IF(AX$3&lt;$B$8,'Продажи'!AX49,0)+'ОБЪЕКТЫ'!AX101</x:f>
      </x:c>
      <x:c r="AY11" s="117" t="n">
        <x:f>IF(AY$3&lt;$B$8,'Продажи'!AY49,0)+'ОБЪЕКТЫ'!AY101</x:f>
      </x:c>
      <x:c r="AZ11" s="117" t="n">
        <x:f>IF(AZ$3&lt;$B$8,'Продажи'!AZ49,0)+'ОБЪЕКТЫ'!AZ101</x:f>
      </x:c>
      <x:c r="BA11" s="117" t="n">
        <x:f>IF(BA$3&lt;$B$8,'Продажи'!BA49,0)+'ОБЪЕКТЫ'!BA101</x:f>
      </x:c>
      <x:c r="BB11" s="117" t="n">
        <x:f>IF(BB$3&lt;$B$8,'Продажи'!BB49,0)+'ОБЪЕКТЫ'!BB101</x:f>
      </x:c>
      <x:c r="BC11" s="117" t="n">
        <x:f>IF(BC$3&lt;$B$8,'Продажи'!BC49,0)+'ОБЪЕКТЫ'!BC101</x:f>
      </x:c>
      <x:c r="BD11" s="117" t="n">
        <x:f>IF(BD$3&lt;$B$8,'Продажи'!BD49,0)+'ОБЪЕКТЫ'!BD101</x:f>
      </x:c>
      <x:c r="BE11" s="117" t="n">
        <x:f>IF(BE$3&lt;$B$8,'Продажи'!BE49,0)+'ОБЪЕКТЫ'!BE101</x:f>
      </x:c>
      <x:c r="BF11" s="117" t="n">
        <x:f>IF(BF$3&lt;$B$8,'Продажи'!BF49,0)+'ОБЪЕКТЫ'!BF101</x:f>
      </x:c>
      <x:c r="BG11" s="117" t="n">
        <x:f>IF(BG$3&lt;$B$8,'Продажи'!BG49,0)+'ОБЪЕКТЫ'!BG101</x:f>
      </x:c>
      <x:c r="BH11" s="117" t="n">
        <x:f>IF(BH$3&lt;$B$8,'Продажи'!BH49,0)+'ОБЪЕКТЫ'!BH101</x:f>
      </x:c>
      <x:c r="BI11" s="117" t="n">
        <x:f>IF(BI$3&lt;$B$8,'Продажи'!BI49,0)+'ОБЪЕКТЫ'!BI101</x:f>
      </x:c>
      <x:c r="BJ11" s="117" t="n">
        <x:f>IF(BJ$3&lt;$B$8,'Продажи'!BJ49,0)+'ОБЪЕКТЫ'!BJ101</x:f>
      </x:c>
      <x:c r="BK11" s="117" t="n">
        <x:f>IF(BK$3&lt;$B$8,'Продажи'!BK49,0)+'ОБЪЕКТЫ'!BK101</x:f>
      </x:c>
      <x:c r="BL11" s="117" t="n">
        <x:f>IF(BL$3&lt;$B$8,'Продажи'!BL49,0)+'ОБЪЕКТЫ'!BL101</x:f>
      </x:c>
      <x:c r="BM11" s="117" t="n">
        <x:f>IF(BM$3&lt;$B$8,'Продажи'!BM49,0)+'ОБЪЕКТЫ'!BM101</x:f>
      </x:c>
      <x:c r="BN11" s="117" t="n">
        <x:f>IF(BN$3&lt;$B$8,'Продажи'!BN49,0)+'ОБЪЕКТЫ'!BN101</x:f>
      </x:c>
      <x:c r="BO11" s="117" t="n">
        <x:f>IF(BO$3&lt;$B$8,'Продажи'!BO49,0)+'ОБЪЕКТЫ'!BO101</x:f>
      </x:c>
      <x:c r="BP11" s="117" t="n">
        <x:f>IF(BP$3&lt;$B$8,'Продажи'!BP49,0)+'ОБЪЕКТЫ'!BP101</x:f>
      </x:c>
      <x:c r="BQ11" s="117" t="n">
        <x:f>IF(BQ$3&lt;$B$8,'Продажи'!BQ49,0)+'ОБЪЕКТЫ'!BQ101</x:f>
      </x:c>
      <x:c r="BR11" s="117" t="n">
        <x:f>IF(BR$3&lt;$B$8,'Продажи'!BR49,0)+'ОБЪЕКТЫ'!BR101</x:f>
      </x:c>
      <x:c r="BS11" s="117" t="n">
        <x:f>IF(BS$3&lt;$B$8,'Продажи'!BS49,0)+'ОБЪЕКТЫ'!BS101</x:f>
      </x:c>
      <x:c r="BT11" s="117" t="n">
        <x:f>IF(BT$3&lt;$B$8,'Продажи'!BT49,0)+'ОБЪЕКТЫ'!BT101</x:f>
      </x:c>
      <x:c r="BU11" s="117" t="n">
        <x:f>IF(BU$3&lt;$B$8,'Продажи'!BU49,0)+'ОБЪЕКТЫ'!BU101</x:f>
      </x:c>
      <x:c r="BV11" s="117" t="n">
        <x:f>IF(BV$3&lt;$B$8,'Продажи'!BV49,0)+'ОБЪЕКТЫ'!BV101</x:f>
      </x:c>
      <x:c r="BW11" s="117" t="n">
        <x:f>IF(BW$3&lt;$B$8,'Продажи'!BW49,0)+'ОБЪЕКТЫ'!BW101</x:f>
      </x:c>
      <x:c r="BX11" s="117" t="n">
        <x:f>IF(BX$3&lt;$B$8,'Продажи'!BX49,0)+'ОБЪЕКТЫ'!BX101</x:f>
      </x:c>
      <x:c r="BY11" s="117" t="n">
        <x:f>IF(BY$3&lt;$B$8,'Продажи'!BY49,0)+'ОБЪЕКТЫ'!BY101</x:f>
      </x:c>
      <x:c r="BZ11" s="117" t="n">
        <x:f>IF(BZ$3&lt;$B$8,'Продажи'!BZ49,0)+'ОБЪЕКТЫ'!BZ101</x:f>
      </x:c>
      <x:c r="CA11" s="117" t="n">
        <x:f>IF(CA$3&lt;$B$8,'Продажи'!CA49,0)+'ОБЪЕКТЫ'!CA101</x:f>
      </x:c>
      <x:c r="CB11" s="117" t="n">
        <x:f>IF(CB$3&lt;$B$8,'Продажи'!CB49,0)+'ОБЪЕКТЫ'!CB101</x:f>
      </x:c>
      <x:c r="CC11" s="117" t="n">
        <x:f>IF(CC$3&lt;$B$8,'Продажи'!CC49,0)+'ОБЪЕКТЫ'!CC101</x:f>
      </x:c>
      <x:c r="CD11" s="117" t="n">
        <x:f>IF(CD$3&lt;$B$8,'Продажи'!CD49,0)+'ОБЪЕКТЫ'!CD101</x:f>
      </x:c>
      <x:c r="CE11" s="117" t="n">
        <x:f>IF(CE$3&lt;$B$8,'Продажи'!CE49,0)+'ОБЪЕКТЫ'!CE101</x:f>
      </x:c>
      <x:c r="CF11" s="117" t="n">
        <x:f>IF(CF$3&lt;$B$8,'Продажи'!CF49,0)+'ОБЪЕКТЫ'!CF101</x:f>
      </x:c>
      <x:c r="CG11" s="117" t="n">
        <x:f>IF(CG$3&lt;$B$8,'Продажи'!CG49,0)+'ОБЪЕКТЫ'!CG101</x:f>
      </x:c>
      <x:c r="CH11" s="117" t="n">
        <x:f>IF(CH$3&lt;$B$8,'Продажи'!CH49,0)+'ОБЪЕКТЫ'!CH101</x:f>
      </x:c>
      <x:c r="CI11" s="117" t="n">
        <x:f>IF(CI$3&lt;$B$8,'Продажи'!CI49,0)+'ОБЪЕКТЫ'!CI101</x:f>
      </x:c>
      <x:c r="CJ11" s="117" t="n">
        <x:f>IF(CJ$3&lt;$B$8,'Продажи'!CJ49,0)+'ОБЪЕКТЫ'!CJ101</x:f>
      </x:c>
      <x:c r="CK11" s="117" t="n">
        <x:f>IF(CK$3&lt;$B$8,'Продажи'!CK49,0)+'ОБЪЕКТЫ'!CK101</x:f>
      </x:c>
      <x:c r="CL11" s="117" t="n">
        <x:f>IF(CL$3&lt;$B$8,'Продажи'!CL49,0)+'ОБЪЕКТЫ'!CL101</x:f>
      </x:c>
      <x:c r="CM11" s="117" t="n">
        <x:f>IF(CM$3&lt;$B$8,'Продажи'!CM49,0)+'ОБЪЕКТЫ'!CM101</x:f>
      </x:c>
      <x:c r="CN11" s="117" t="n">
        <x:f>IF(CN$3&lt;$B$8,'Продажи'!CN49,0)+'ОБЪЕКТЫ'!CN101</x:f>
      </x:c>
      <x:c r="CO11" s="117" t="n">
        <x:f>IF(CO$3&lt;$B$8,'Продажи'!CO49,0)+'ОБЪЕКТЫ'!CO101</x:f>
      </x:c>
      <x:c r="CP11" s="117" t="n">
        <x:f>IF(CP$3&lt;$B$8,'Продажи'!CP49,0)+'ОБЪЕКТЫ'!CP101</x:f>
      </x:c>
      <x:c r="CQ11" s="117" t="n">
        <x:f>IF(CQ$3&lt;$B$8,'Продажи'!CQ49,0)+'ОБЪЕКТЫ'!CQ101</x:f>
      </x:c>
      <x:c r="CR11" s="117" t="n">
        <x:f>IF(CR$3&lt;$B$8,'Продажи'!CR49,0)+'ОБЪЕКТЫ'!CR101</x:f>
      </x:c>
      <x:c r="CS11" s="117" t="n">
        <x:f>IF(CS$3&lt;$B$8,'Продажи'!CS49,0)+'ОБЪЕКТЫ'!CS101</x:f>
      </x:c>
      <x:c r="CT11" s="117" t="n">
        <x:f>IF(CT$3&lt;$B$8,'Продажи'!CT49,0)+'ОБЪЕКТЫ'!CT101</x:f>
      </x:c>
      <x:c r="CU11" s="117" t="n">
        <x:f>IF(CU$3&lt;$B$8,'Продажи'!CU49,0)+'ОБЪЕКТЫ'!CU101</x:f>
      </x:c>
      <x:c r="CV11" s="117" t="n">
        <x:f>IF(CV$3&lt;$B$8,'Продажи'!CV49,0)+'ОБЪЕКТЫ'!CV101</x:f>
      </x:c>
      <x:c r="CW11" s="117" t="n">
        <x:f>IF(CW$3&lt;$B$8,'Продажи'!CW49,0)+'ОБЪЕКТЫ'!CW101</x:f>
      </x:c>
      <x:c r="CX11" s="117" t="n">
        <x:f>IF(CX$3&lt;$B$8,'Продажи'!CX49,0)+'ОБЪЕКТЫ'!CX101</x:f>
      </x:c>
      <x:c r="CY11" s="117" t="n">
        <x:f>IF(CY$3&lt;$B$8,'Продажи'!CY49,0)+'ОБЪЕКТЫ'!CY101</x:f>
      </x:c>
      <x:c r="CZ11" s="117" t="n">
        <x:f>IF(CZ$3&lt;$B$8,'Продажи'!CZ49,0)+'ОБЪЕКТЫ'!CZ101</x:f>
      </x:c>
      <x:c r="DA11" s="117" t="n">
        <x:f>IF(DA$3&lt;$B$8,'Продажи'!DA49,0)+'ОБЪЕКТЫ'!DA101</x:f>
      </x:c>
      <x:c r="DB11" s="117" t="n">
        <x:f>IF(DB$3&lt;$B$8,'Продажи'!DB49,0)+'ОБЪЕКТЫ'!DB101</x:f>
      </x:c>
      <x:c r="DC11" s="117" t="n">
        <x:f>IF(DC$3&lt;$B$8,'Продажи'!DC49,0)+'ОБЪЕКТЫ'!DC101</x:f>
      </x:c>
      <x:c r="DD11" s="117" t="n">
        <x:f>IF(DD$3&lt;$B$8,'Продажи'!DD49,0)+'ОБЪЕКТЫ'!DD101</x:f>
      </x:c>
      <x:c r="DE11" s="117" t="n">
        <x:f>IF(DE$3&lt;$B$8,'Продажи'!DE49,0)+'ОБЪЕКТЫ'!DE101</x:f>
      </x:c>
      <x:c r="DF11" s="117" t="n">
        <x:f>IF(DF$3&lt;$B$8,'Продажи'!DF49,0)+'ОБЪЕКТЫ'!DF101</x:f>
      </x:c>
      <x:c r="DG11" s="117" t="n">
        <x:f>IF(DG$3&lt;$B$8,'Продажи'!DG49,0)+'ОБЪЕКТЫ'!DG101</x:f>
      </x:c>
      <x:c r="DH11" s="117" t="n">
        <x:f>IF(DH$3&lt;$B$8,'Продажи'!DH49,0)+'ОБЪЕКТЫ'!DH101</x:f>
      </x:c>
      <x:c r="DI11" s="117" t="n">
        <x:f>IF(DI$3&lt;$B$8,'Продажи'!DI49,0)+'ОБЪЕКТЫ'!DI101</x:f>
      </x:c>
      <x:c r="DJ11" s="117" t="n">
        <x:f>IF(DJ$3&lt;$B$8,'Продажи'!DJ49,0)+'ОБЪЕКТЫ'!DJ101</x:f>
      </x:c>
      <x:c r="DK11" s="117" t="n">
        <x:f>IF(DK$3&lt;$B$8,'Продажи'!DK49,0)+'ОБЪЕКТЫ'!DK101</x:f>
      </x:c>
      <x:c r="DL11" s="117" t="n">
        <x:f>IF(DL$3&lt;$B$8,'Продажи'!DL49,0)+'ОБЪЕКТЫ'!DL101</x:f>
      </x:c>
      <x:c r="DM11" s="117" t="n">
        <x:f>IF(DM$3&lt;$B$8,'Продажи'!DM49,0)+'ОБЪЕКТЫ'!DM101</x:f>
      </x:c>
      <x:c r="DN11" s="117" t="n">
        <x:f>IF(DN$3&lt;$B$8,'Продажи'!DN49,0)+'ОБЪЕКТЫ'!DN101</x:f>
      </x:c>
      <x:c r="DO11" s="117" t="n">
        <x:f>IF(DO$3&lt;$B$8,'Продажи'!DO49,0)+'ОБЪЕКТЫ'!DO101</x:f>
      </x:c>
      <x:c r="DP11" s="117" t="n">
        <x:f>IF(DP$3&lt;$B$8,'Продажи'!DP49,0)+'ОБЪЕКТЫ'!DP101</x:f>
      </x:c>
      <x:c r="DQ11" s="117" t="n">
        <x:f>IF(DQ$3&lt;$B$8,'Продажи'!DQ49,0)+'ОБЪЕКТЫ'!DQ101</x:f>
      </x:c>
      <x:c r="DR11" s="117" t="n">
        <x:f>IF(DR$3&lt;$B$8,'Продажи'!DR49,0)+'ОБЪЕКТЫ'!DR101</x:f>
      </x:c>
      <x:c r="DS11" s="117" t="n">
        <x:f>IF(DS$3&lt;$B$8,'Продажи'!DS49,0)+'ОБЪЕКТЫ'!DS101</x:f>
      </x:c>
      <x:c r="DT11" s="117" t="n">
        <x:f>IF(DT$3&lt;$B$8,'Продажи'!DT49,0)+'ОБЪЕКТЫ'!DT101</x:f>
      </x:c>
      <x:c r="DU11" s="117" t="n">
        <x:f>IF(DU$3&lt;$B$8,'Продажи'!DU49,0)+'ОБЪЕКТЫ'!DU101</x:f>
      </x:c>
      <x:c r="DV11" s="117" t="n">
        <x:f>IF(DV$3&lt;$B$8,'Продажи'!DV49,0)+'ОБЪЕКТЫ'!DV101</x:f>
      </x:c>
      <x:c r="DW11" s="117" t="n">
        <x:f>IF(DW$3&lt;$B$8,'Продажи'!DW49,0)+'ОБЪЕКТЫ'!DW101</x:f>
      </x:c>
      <x:c r="DX11" s="117" t="n">
        <x:f>IF(DX$3&lt;$B$8,'Продажи'!DX49,0)+'ОБЪЕКТЫ'!DX101</x:f>
      </x:c>
      <x:c r="DY11" s="117" t="n">
        <x:f>IF(DY$3&lt;$B$8,'Продажи'!DY49,0)+'ОБЪЕКТЫ'!DY101</x:f>
      </x:c>
      <x:c r="DZ11" s="117" t="n">
        <x:f>IF(DZ$3&lt;$B$8,'Продажи'!DZ49,0)+'ОБЪЕКТЫ'!DZ101</x:f>
      </x:c>
      <x:c r="EA11" s="117" t="n">
        <x:f>IF(EA$3&lt;$B$8,'Продажи'!EA49,0)+'ОБЪЕКТЫ'!EA101</x:f>
      </x:c>
      <x:c r="EB11" s="117" t="n">
        <x:f>IF(EB$3&lt;$B$8,'Продажи'!EB49,0)+'ОБЪЕКТЫ'!EB101</x:f>
      </x:c>
      <x:c r="EC11" s="117" t="n">
        <x:f>IF(EC$3&lt;$B$8,'Продажи'!EC49,0)+'ОБЪЕКТЫ'!EC101</x:f>
      </x:c>
      <x:c r="ED11" s="117" t="n">
        <x:f>IF(ED$3&lt;$B$8,'Продажи'!ED49,0)+'ОБЪЕКТЫ'!ED101</x:f>
      </x:c>
      <x:c r="EE11" s="117" t="n">
        <x:f>IF(EE$3&lt;$B$8,'Продажи'!EE49,0)+'ОБЪЕКТЫ'!EE101</x:f>
      </x:c>
      <x:c r="EF11" s="117" t="n">
        <x:f>IF(EF$3&lt;$B$8,'Продажи'!EF49,0)+'ОБЪЕКТЫ'!EF101</x:f>
      </x:c>
      <x:c r="EG11" s="117" t="n">
        <x:f>IF(EG$3&lt;$B$8,'Продажи'!EG49,0)+'ОБЪЕКТЫ'!EG101</x:f>
      </x:c>
      <x:c r="EH11" s="117" t="n">
        <x:f>IF(EH$3&lt;$B$8,'Продажи'!EH49,0)+'ОБЪЕКТЫ'!EH101</x:f>
      </x:c>
      <x:c r="EI11" s="117" t="n">
        <x:f>IF(EI$3&lt;$B$8,'Продажи'!EI49,0)+'ОБЪЕКТЫ'!EI101</x:f>
      </x:c>
      <x:c r="EJ11" s="117" t="n">
        <x:f>IF(EJ$3&lt;$B$8,'Продажи'!EJ49,0)+'ОБЪЕКТЫ'!EJ101</x:f>
      </x:c>
      <x:c r="EK11" s="117" t="n">
        <x:f>IF(EK$3&lt;$B$8,'Продажи'!EK49,0)+'ОБЪЕКТЫ'!EK101</x:f>
      </x:c>
      <x:c r="EL11" s="117" t="n">
        <x:f>IF(EL$3&lt;$B$8,'Продажи'!EL49,0)+'ОБЪЕКТЫ'!EL101</x:f>
      </x:c>
      <x:c r="EM11" s="117" t="n">
        <x:f>IF(EM$3&lt;$B$8,'Продажи'!EM49,0)+'ОБЪЕКТЫ'!EM101</x:f>
      </x:c>
      <x:c r="EN11" s="117" t="n">
        <x:f>IF(EN$3&lt;$B$8,'Продажи'!EN49,0)+'ОБЪЕКТЫ'!EN101</x:f>
      </x:c>
      <x:c r="EO11" s="117" t="n">
        <x:f>IF(EO$3&lt;$B$8,'Продажи'!EO49,0)+'ОБЪЕКТЫ'!EO101</x:f>
      </x:c>
      <x:c r="EP11" s="117" t="n">
        <x:f>IF(EP$3&lt;$B$8,'Продажи'!EP49,0)+'ОБЪЕКТЫ'!EP101</x:f>
      </x:c>
      <x:c r="EQ11" s="117" t="n">
        <x:f>IF(EQ$3&lt;$B$8,'Продажи'!EQ49,0)+'ОБЪЕКТЫ'!EQ101</x:f>
      </x:c>
      <x:c r="ER11" s="117" t="n">
        <x:f>IF(ER$3&lt;$B$8,'Продажи'!ER49,0)+'ОБЪЕКТЫ'!ER101</x:f>
      </x:c>
      <x:c r="ES11" s="117" t="n">
        <x:f>IF(ES$3&lt;$B$8,'Продажи'!ES49,0)+'ОБЪЕКТЫ'!ES101</x:f>
      </x:c>
      <x:c r="ET11" s="117" t="n">
        <x:f>IF(ET$3&lt;$B$8,'Продажи'!ET49,0)+'ОБЪЕКТЫ'!ET101</x:f>
      </x:c>
      <x:c r="EU11" s="117" t="n">
        <x:f>IF(EU$3&lt;$B$8,'Продажи'!EU49,0)+'ОБЪЕКТЫ'!EU101</x:f>
      </x:c>
      <x:c r="EV11" s="117" t="n">
        <x:f>IF(EV$3&lt;$B$8,'Продажи'!EV49,0)+'ОБЪЕКТЫ'!EV101</x:f>
      </x:c>
      <x:c r="EW11" s="117" t="n">
        <x:f>IF(EW$3&lt;$B$8,'Продажи'!EW49,0)+'ОБЪЕКТЫ'!EW101</x:f>
      </x:c>
      <x:c r="EX11" s="117" t="n">
        <x:f>IF(EX$3&lt;$B$8,'Продажи'!EX49,0)+'ОБЪЕКТЫ'!EX101</x:f>
      </x:c>
      <x:c r="EY11" s="117" t="n">
        <x:f>IF(EY$3&lt;$B$8,'Продажи'!EY49,0)+'ОБЪЕКТЫ'!EY101</x:f>
      </x:c>
      <x:c r="EZ11" s="117" t="n">
        <x:f>IF(EZ$3&lt;$B$8,'Продажи'!EZ49,0)+'ОБЪЕКТЫ'!EZ101</x:f>
      </x:c>
      <x:c r="FA11" s="117" t="n">
        <x:f>IF(FA$3&lt;$B$8,'Продажи'!FA49,0)+'ОБЪЕКТЫ'!FA101</x:f>
      </x:c>
      <x:c r="FB11" s="117" t="n">
        <x:f>IF(FB$3&lt;$B$8,'Продажи'!FB49,0)+'ОБЪЕКТЫ'!FB101</x:f>
      </x:c>
      <x:c r="FC11" s="117" t="n">
        <x:f>IF(FC$3&lt;$B$8,'Продажи'!FC49,0)+'ОБЪЕКТЫ'!FC101</x:f>
      </x:c>
      <x:c r="FD11" s="117" t="n">
        <x:f>IF(FD$3&lt;$B$8,'Продажи'!FD49,0)+'ОБЪЕКТЫ'!FD101</x:f>
      </x:c>
      <x:c r="FE11" s="117" t="n">
        <x:f>IF(FE$3&lt;$B$8,'Продажи'!FE49,0)+'ОБЪЕКТЫ'!FE101</x:f>
      </x:c>
      <x:c r="FF11" s="117" t="n">
        <x:f>IF(FF$3&lt;$B$8,'Продажи'!FF49,0)+'ОБЪЕКТЫ'!FF101</x:f>
      </x:c>
      <x:c r="FG11" s="117" t="n">
        <x:f>IF(FG$3&lt;$B$8,'Продажи'!FG49,0)+'ОБЪЕКТЫ'!FG101</x:f>
      </x:c>
      <x:c r="FH11" s="117" t="n">
        <x:f>IF(FH$3&lt;$B$8,'Продажи'!FH49,0)+'ОБЪЕКТЫ'!FH101</x:f>
      </x:c>
      <x:c r="FI11" s="117" t="n">
        <x:f>IF(FI$3&lt;$B$8,'Продажи'!FI49,0)+'ОБЪЕКТЫ'!FI101</x:f>
      </x:c>
      <x:c r="FJ11" s="117" t="n">
        <x:f>IF(FJ$3&lt;$B$8,'Продажи'!FJ49,0)+'ОБЪЕКТЫ'!FJ101</x:f>
      </x:c>
      <x:c r="FK11" s="117" t="n">
        <x:f>IF(FK$3&lt;$B$8,'Продажи'!FK49,0)+'ОБЪЕКТЫ'!FK101</x:f>
      </x:c>
      <x:c r="FL11" s="117" t="n">
        <x:f>IF(FL$3&lt;$B$8,'Продажи'!FL49,0)+'ОБЪЕКТЫ'!FL101</x:f>
      </x:c>
      <x:c r="FM11" s="117" t="n">
        <x:f>IF(FM$3&lt;$B$8,'Продажи'!FM49,0)+'ОБЪЕКТЫ'!FM101</x:f>
      </x:c>
      <x:c r="FN11" s="117" t="n">
        <x:f>IF(FN$3&lt;$B$8,'Продажи'!FN49,0)+'ОБЪЕКТЫ'!FN101</x:f>
      </x:c>
      <x:c r="FO11" s="117" t="n">
        <x:f>IF(FO$3&lt;$B$8,'Продажи'!FO49,0)+'ОБЪЕКТЫ'!FO101</x:f>
      </x:c>
      <x:c r="FP11" s="117" t="n">
        <x:f>IF(FP$3&lt;$B$8,'Продажи'!FP49,0)+'ОБЪЕКТЫ'!FP101</x:f>
      </x:c>
      <x:c r="FQ11" s="117" t="n">
        <x:f>IF(FQ$3&lt;$B$8,'Продажи'!FQ49,0)+'ОБЪЕКТЫ'!FQ101</x:f>
      </x:c>
      <x:c r="FR11" s="117" t="n">
        <x:f>IF(FR$3&lt;$B$8,'Продажи'!FR49,0)+'ОБЪЕКТЫ'!FR101</x:f>
      </x:c>
      <x:c r="FS11" s="117" t="n">
        <x:f>IF(FS$3&lt;$B$8,'Продажи'!FS49,0)+'ОБЪЕКТЫ'!FS101</x:f>
      </x:c>
      <x:c r="FT11" s="117" t="n">
        <x:f>IF(FT$3&lt;$B$8,'Продажи'!FT49,0)+'ОБЪЕКТЫ'!FT101</x:f>
      </x:c>
      <x:c r="FU11" s="117" t="n">
        <x:f>IF(FU$3&lt;$B$8,'Продажи'!FU49,0)+'ОБЪЕКТЫ'!FU101</x:f>
      </x:c>
      <x:c r="FV11" s="117" t="n">
        <x:f>IF(FV$3&lt;$B$8,'Продажи'!FV49,0)+'ОБЪЕКТЫ'!FV101</x:f>
      </x:c>
      <x:c r="FW11" s="117" t="n">
        <x:f>IF(FW$3&lt;$B$8,'Продажи'!FW49,0)+'ОБЪЕКТЫ'!FW101</x:f>
      </x:c>
      <x:c r="FX11" s="117" t="n">
        <x:f>IF(FX$3&lt;$B$8,'Продажи'!FX49,0)+'ОБЪЕКТЫ'!FX101</x:f>
      </x:c>
      <x:c r="FY11" s="117" t="n">
        <x:f>IF(FY$3&lt;$B$8,'Продажи'!FY49,0)+'ОБЪЕКТЫ'!FY101</x:f>
      </x:c>
      <x:c r="FZ11" s="117" t="n">
        <x:f>IF(FZ$3&lt;$B$8,'Продажи'!FZ49,0)+'ОБЪЕКТЫ'!FZ101</x:f>
      </x:c>
      <x:c r="GA11" s="117" t="n">
        <x:f>IF(GA$3&lt;$B$8,'Продажи'!GA49,0)+'ОБЪЕКТЫ'!GA101</x:f>
      </x:c>
    </x:row>
    <x:row r="12">
      <x:c r="A12" t="str">
        <x:v>Прямые поступления после РВЭ</x:v>
      </x:c>
      <x:c r="B12" t="n">
        <x:f>SUM(D12:GA12)</x:f>
      </x:c>
      <x:c r="C12" t="str">
        <x:v>млн ₽</x:v>
      </x:c>
      <x:c r="D12" s="117" t="n">
        <x:f>IF(D$3&gt;=$B$8,'Продажи'!D49,0)+'ОБЪЕКТЫ'!D102</x:f>
      </x:c>
      <x:c r="E12" s="117" t="n">
        <x:f>IF(E$3&gt;=$B$8,'Продажи'!E49,0)+'ОБЪЕКТЫ'!E102</x:f>
      </x:c>
      <x:c r="F12" s="117" t="n">
        <x:f>IF(F$3&gt;=$B$8,'Продажи'!F49,0)+'ОБЪЕКТЫ'!F102</x:f>
      </x:c>
      <x:c r="G12" s="117" t="n">
        <x:f>IF(G$3&gt;=$B$8,'Продажи'!G49,0)+'ОБЪЕКТЫ'!G102</x:f>
      </x:c>
      <x:c r="H12" s="117" t="n">
        <x:f>IF(H$3&gt;=$B$8,'Продажи'!H49,0)+'ОБЪЕКТЫ'!H102</x:f>
      </x:c>
      <x:c r="I12" s="117" t="n">
        <x:f>IF(I$3&gt;=$B$8,'Продажи'!I49,0)+'ОБЪЕКТЫ'!I102</x:f>
      </x:c>
      <x:c r="J12" s="117" t="n">
        <x:f>IF(J$3&gt;=$B$8,'Продажи'!J49,0)+'ОБЪЕКТЫ'!J102</x:f>
      </x:c>
      <x:c r="K12" s="117" t="n">
        <x:f>IF(K$3&gt;=$B$8,'Продажи'!K49,0)+'ОБЪЕКТЫ'!K102</x:f>
      </x:c>
      <x:c r="L12" s="117" t="n">
        <x:f>IF(L$3&gt;=$B$8,'Продажи'!L49,0)+'ОБЪЕКТЫ'!L102</x:f>
      </x:c>
      <x:c r="M12" s="117" t="n">
        <x:f>IF(M$3&gt;=$B$8,'Продажи'!M49,0)+'ОБЪЕКТЫ'!M102</x:f>
      </x:c>
      <x:c r="N12" s="117" t="n">
        <x:f>IF(N$3&gt;=$B$8,'Продажи'!N49,0)+'ОБЪЕКТЫ'!N102</x:f>
      </x:c>
      <x:c r="O12" s="117" t="n">
        <x:f>IF(O$3&gt;=$B$8,'Продажи'!O49,0)+'ОБЪЕКТЫ'!O102</x:f>
      </x:c>
      <x:c r="P12" s="117" t="n">
        <x:f>IF(P$3&gt;=$B$8,'Продажи'!P49,0)+'ОБЪЕКТЫ'!P102</x:f>
      </x:c>
      <x:c r="Q12" s="117" t="n">
        <x:f>IF(Q$3&gt;=$B$8,'Продажи'!Q49,0)+'ОБЪЕКТЫ'!Q102</x:f>
      </x:c>
      <x:c r="R12" s="117" t="n">
        <x:f>IF(R$3&gt;=$B$8,'Продажи'!R49,0)+'ОБЪЕКТЫ'!R102</x:f>
      </x:c>
      <x:c r="S12" s="117" t="n">
        <x:f>IF(S$3&gt;=$B$8,'Продажи'!S49,0)+'ОБЪЕКТЫ'!S102</x:f>
      </x:c>
      <x:c r="T12" s="117" t="n">
        <x:f>IF(T$3&gt;=$B$8,'Продажи'!T49,0)+'ОБЪЕКТЫ'!T102</x:f>
      </x:c>
      <x:c r="U12" s="117" t="n">
        <x:f>IF(U$3&gt;=$B$8,'Продажи'!U49,0)+'ОБЪЕКТЫ'!U102</x:f>
      </x:c>
      <x:c r="V12" s="117" t="n">
        <x:f>IF(V$3&gt;=$B$8,'Продажи'!V49,0)+'ОБЪЕКТЫ'!V102</x:f>
      </x:c>
      <x:c r="W12" s="117" t="n">
        <x:f>IF(W$3&gt;=$B$8,'Продажи'!W49,0)+'ОБЪЕКТЫ'!W102</x:f>
      </x:c>
      <x:c r="X12" s="117" t="n">
        <x:f>IF(X$3&gt;=$B$8,'Продажи'!X49,0)+'ОБЪЕКТЫ'!X102</x:f>
      </x:c>
      <x:c r="Y12" s="117" t="n">
        <x:f>IF(Y$3&gt;=$B$8,'Продажи'!Y49,0)+'ОБЪЕКТЫ'!Y102</x:f>
      </x:c>
      <x:c r="Z12" s="117" t="n">
        <x:f>IF(Z$3&gt;=$B$8,'Продажи'!Z49,0)+'ОБЪЕКТЫ'!Z102</x:f>
      </x:c>
      <x:c r="AA12" s="117" t="n">
        <x:f>IF(AA$3&gt;=$B$8,'Продажи'!AA49,0)+'ОБЪЕКТЫ'!AA102</x:f>
      </x:c>
      <x:c r="AB12" s="117" t="n">
        <x:f>IF(AB$3&gt;=$B$8,'Продажи'!AB49,0)+'ОБЪЕКТЫ'!AB102</x:f>
      </x:c>
      <x:c r="AC12" s="117" t="n">
        <x:f>IF(AC$3&gt;=$B$8,'Продажи'!AC49,0)+'ОБЪЕКТЫ'!AC102</x:f>
      </x:c>
      <x:c r="AD12" s="117" t="n">
        <x:f>IF(AD$3&gt;=$B$8,'Продажи'!AD49,0)+'ОБЪЕКТЫ'!AD102</x:f>
      </x:c>
      <x:c r="AE12" s="117" t="n">
        <x:f>IF(AE$3&gt;=$B$8,'Продажи'!AE49,0)+'ОБЪЕКТЫ'!AE102</x:f>
      </x:c>
      <x:c r="AF12" s="117" t="n">
        <x:f>IF(AF$3&gt;=$B$8,'Продажи'!AF49,0)+'ОБЪЕКТЫ'!AF102</x:f>
      </x:c>
      <x:c r="AG12" s="117" t="n">
        <x:f>IF(AG$3&gt;=$B$8,'Продажи'!AG49,0)+'ОБЪЕКТЫ'!AG102</x:f>
      </x:c>
      <x:c r="AH12" s="117" t="n">
        <x:f>IF(AH$3&gt;=$B$8,'Продажи'!AH49,0)+'ОБЪЕКТЫ'!AH102</x:f>
      </x:c>
      <x:c r="AI12" s="117" t="n">
        <x:f>IF(AI$3&gt;=$B$8,'Продажи'!AI49,0)+'ОБЪЕКТЫ'!AI102</x:f>
      </x:c>
      <x:c r="AJ12" s="117" t="n">
        <x:f>IF(AJ$3&gt;=$B$8,'Продажи'!AJ49,0)+'ОБЪЕКТЫ'!AJ102</x:f>
      </x:c>
      <x:c r="AK12" s="117" t="n">
        <x:f>IF(AK$3&gt;=$B$8,'Продажи'!AK49,0)+'ОБЪЕКТЫ'!AK102</x:f>
      </x:c>
      <x:c r="AL12" s="117" t="n">
        <x:f>IF(AL$3&gt;=$B$8,'Продажи'!AL49,0)+'ОБЪЕКТЫ'!AL102</x:f>
      </x:c>
      <x:c r="AM12" s="117" t="n">
        <x:f>IF(AM$3&gt;=$B$8,'Продажи'!AM49,0)+'ОБЪЕКТЫ'!AM102</x:f>
      </x:c>
      <x:c r="AN12" s="117" t="n">
        <x:f>IF(AN$3&gt;=$B$8,'Продажи'!AN49,0)+'ОБЪЕКТЫ'!AN102</x:f>
      </x:c>
      <x:c r="AO12" s="117" t="n">
        <x:f>IF(AO$3&gt;=$B$8,'Продажи'!AO49,0)+'ОБЪЕКТЫ'!AO102</x:f>
      </x:c>
      <x:c r="AP12" s="117" t="n">
        <x:f>IF(AP$3&gt;=$B$8,'Продажи'!AP49,0)+'ОБЪЕКТЫ'!AP102</x:f>
      </x:c>
      <x:c r="AQ12" s="117" t="n">
        <x:f>IF(AQ$3&gt;=$B$8,'Продажи'!AQ49,0)+'ОБЪЕКТЫ'!AQ102</x:f>
      </x:c>
      <x:c r="AR12" s="117" t="n">
        <x:f>IF(AR$3&gt;=$B$8,'Продажи'!AR49,0)+'ОБЪЕКТЫ'!AR102</x:f>
      </x:c>
      <x:c r="AS12" s="117" t="n">
        <x:f>IF(AS$3&gt;=$B$8,'Продажи'!AS49,0)+'ОБЪЕКТЫ'!AS102</x:f>
      </x:c>
      <x:c r="AT12" s="117" t="n">
        <x:f>IF(AT$3&gt;=$B$8,'Продажи'!AT49,0)+'ОБЪЕКТЫ'!AT102</x:f>
      </x:c>
      <x:c r="AU12" s="117" t="n">
        <x:f>IF(AU$3&gt;=$B$8,'Продажи'!AU49,0)+'ОБЪЕКТЫ'!AU102</x:f>
      </x:c>
      <x:c r="AV12" s="117" t="n">
        <x:f>IF(AV$3&gt;=$B$8,'Продажи'!AV49,0)+'ОБЪЕКТЫ'!AV102</x:f>
      </x:c>
      <x:c r="AW12" s="117" t="n">
        <x:f>IF(AW$3&gt;=$B$8,'Продажи'!AW49,0)+'ОБЪЕКТЫ'!AW102</x:f>
      </x:c>
      <x:c r="AX12" s="117" t="n">
        <x:f>IF(AX$3&gt;=$B$8,'Продажи'!AX49,0)+'ОБЪЕКТЫ'!AX102</x:f>
      </x:c>
      <x:c r="AY12" s="117" t="n">
        <x:f>IF(AY$3&gt;=$B$8,'Продажи'!AY49,0)+'ОБЪЕКТЫ'!AY102</x:f>
      </x:c>
      <x:c r="AZ12" s="117" t="n">
        <x:f>IF(AZ$3&gt;=$B$8,'Продажи'!AZ49,0)+'ОБЪЕКТЫ'!AZ102</x:f>
      </x:c>
      <x:c r="BA12" s="117" t="n">
        <x:f>IF(BA$3&gt;=$B$8,'Продажи'!BA49,0)+'ОБЪЕКТЫ'!BA102</x:f>
      </x:c>
      <x:c r="BB12" s="117" t="n">
        <x:f>IF(BB$3&gt;=$B$8,'Продажи'!BB49,0)+'ОБЪЕКТЫ'!BB102</x:f>
      </x:c>
      <x:c r="BC12" s="117" t="n">
        <x:f>IF(BC$3&gt;=$B$8,'Продажи'!BC49,0)+'ОБЪЕКТЫ'!BC102</x:f>
      </x:c>
      <x:c r="BD12" s="117" t="n">
        <x:f>IF(BD$3&gt;=$B$8,'Продажи'!BD49,0)+'ОБЪЕКТЫ'!BD102</x:f>
      </x:c>
      <x:c r="BE12" s="117" t="n">
        <x:f>IF(BE$3&gt;=$B$8,'Продажи'!BE49,0)+'ОБЪЕКТЫ'!BE102</x:f>
      </x:c>
      <x:c r="BF12" s="117" t="n">
        <x:f>IF(BF$3&gt;=$B$8,'Продажи'!BF49,0)+'ОБЪЕКТЫ'!BF102</x:f>
      </x:c>
      <x:c r="BG12" s="117" t="n">
        <x:f>IF(BG$3&gt;=$B$8,'Продажи'!BG49,0)+'ОБЪЕКТЫ'!BG102</x:f>
      </x:c>
      <x:c r="BH12" s="117" t="n">
        <x:f>IF(BH$3&gt;=$B$8,'Продажи'!BH49,0)+'ОБЪЕКТЫ'!BH102</x:f>
      </x:c>
      <x:c r="BI12" s="117" t="n">
        <x:f>IF(BI$3&gt;=$B$8,'Продажи'!BI49,0)+'ОБЪЕКТЫ'!BI102</x:f>
      </x:c>
      <x:c r="BJ12" s="117" t="n">
        <x:f>IF(BJ$3&gt;=$B$8,'Продажи'!BJ49,0)+'ОБЪЕКТЫ'!BJ102</x:f>
      </x:c>
      <x:c r="BK12" s="117" t="n">
        <x:f>IF(BK$3&gt;=$B$8,'Продажи'!BK49,0)+'ОБЪЕКТЫ'!BK102</x:f>
      </x:c>
      <x:c r="BL12" s="117" t="n">
        <x:f>IF(BL$3&gt;=$B$8,'Продажи'!BL49,0)+'ОБЪЕКТЫ'!BL102</x:f>
      </x:c>
      <x:c r="BM12" s="117" t="n">
        <x:f>IF(BM$3&gt;=$B$8,'Продажи'!BM49,0)+'ОБЪЕКТЫ'!BM102</x:f>
      </x:c>
      <x:c r="BN12" s="117" t="n">
        <x:f>IF(BN$3&gt;=$B$8,'Продажи'!BN49,0)+'ОБЪЕКТЫ'!BN102</x:f>
      </x:c>
      <x:c r="BO12" s="117" t="n">
        <x:f>IF(BO$3&gt;=$B$8,'Продажи'!BO49,0)+'ОБЪЕКТЫ'!BO102</x:f>
      </x:c>
      <x:c r="BP12" s="117" t="n">
        <x:f>IF(BP$3&gt;=$B$8,'Продажи'!BP49,0)+'ОБЪЕКТЫ'!BP102</x:f>
      </x:c>
      <x:c r="BQ12" s="117" t="n">
        <x:f>IF(BQ$3&gt;=$B$8,'Продажи'!BQ49,0)+'ОБЪЕКТЫ'!BQ102</x:f>
      </x:c>
      <x:c r="BR12" s="117" t="n">
        <x:f>IF(BR$3&gt;=$B$8,'Продажи'!BR49,0)+'ОБЪЕКТЫ'!BR102</x:f>
      </x:c>
      <x:c r="BS12" s="117" t="n">
        <x:f>IF(BS$3&gt;=$B$8,'Продажи'!BS49,0)+'ОБЪЕКТЫ'!BS102</x:f>
      </x:c>
      <x:c r="BT12" s="117" t="n">
        <x:f>IF(BT$3&gt;=$B$8,'Продажи'!BT49,0)+'ОБЪЕКТЫ'!BT102</x:f>
      </x:c>
      <x:c r="BU12" s="117" t="n">
        <x:f>IF(BU$3&gt;=$B$8,'Продажи'!BU49,0)+'ОБЪЕКТЫ'!BU102</x:f>
      </x:c>
      <x:c r="BV12" s="117" t="n">
        <x:f>IF(BV$3&gt;=$B$8,'Продажи'!BV49,0)+'ОБЪЕКТЫ'!BV102</x:f>
      </x:c>
      <x:c r="BW12" s="117" t="n">
        <x:f>IF(BW$3&gt;=$B$8,'Продажи'!BW49,0)+'ОБЪЕКТЫ'!BW102</x:f>
      </x:c>
      <x:c r="BX12" s="117" t="n">
        <x:f>IF(BX$3&gt;=$B$8,'Продажи'!BX49,0)+'ОБЪЕКТЫ'!BX102</x:f>
      </x:c>
      <x:c r="BY12" s="117" t="n">
        <x:f>IF(BY$3&gt;=$B$8,'Продажи'!BY49,0)+'ОБЪЕКТЫ'!BY102</x:f>
      </x:c>
      <x:c r="BZ12" s="117" t="n">
        <x:f>IF(BZ$3&gt;=$B$8,'Продажи'!BZ49,0)+'ОБЪЕКТЫ'!BZ102</x:f>
      </x:c>
      <x:c r="CA12" s="117" t="n">
        <x:f>IF(CA$3&gt;=$B$8,'Продажи'!CA49,0)+'ОБЪЕКТЫ'!CA102</x:f>
      </x:c>
      <x:c r="CB12" s="117" t="n">
        <x:f>IF(CB$3&gt;=$B$8,'Продажи'!CB49,0)+'ОБЪЕКТЫ'!CB102</x:f>
      </x:c>
      <x:c r="CC12" s="117" t="n">
        <x:f>IF(CC$3&gt;=$B$8,'Продажи'!CC49,0)+'ОБЪЕКТЫ'!CC102</x:f>
      </x:c>
      <x:c r="CD12" s="117" t="n">
        <x:f>IF(CD$3&gt;=$B$8,'Продажи'!CD49,0)+'ОБЪЕКТЫ'!CD102</x:f>
      </x:c>
      <x:c r="CE12" s="117" t="n">
        <x:f>IF(CE$3&gt;=$B$8,'Продажи'!CE49,0)+'ОБЪЕКТЫ'!CE102</x:f>
      </x:c>
      <x:c r="CF12" s="117" t="n">
        <x:f>IF(CF$3&gt;=$B$8,'Продажи'!CF49,0)+'ОБЪЕКТЫ'!CF102</x:f>
      </x:c>
      <x:c r="CG12" s="117" t="n">
        <x:f>IF(CG$3&gt;=$B$8,'Продажи'!CG49,0)+'ОБЪЕКТЫ'!CG102</x:f>
      </x:c>
      <x:c r="CH12" s="117" t="n">
        <x:f>IF(CH$3&gt;=$B$8,'Продажи'!CH49,0)+'ОБЪЕКТЫ'!CH102</x:f>
      </x:c>
      <x:c r="CI12" s="117" t="n">
        <x:f>IF(CI$3&gt;=$B$8,'Продажи'!CI49,0)+'ОБЪЕКТЫ'!CI102</x:f>
      </x:c>
      <x:c r="CJ12" s="117" t="n">
        <x:f>IF(CJ$3&gt;=$B$8,'Продажи'!CJ49,0)+'ОБЪЕКТЫ'!CJ102</x:f>
      </x:c>
      <x:c r="CK12" s="117" t="n">
        <x:f>IF(CK$3&gt;=$B$8,'Продажи'!CK49,0)+'ОБЪЕКТЫ'!CK102</x:f>
      </x:c>
      <x:c r="CL12" s="117" t="n">
        <x:f>IF(CL$3&gt;=$B$8,'Продажи'!CL49,0)+'ОБЪЕКТЫ'!CL102</x:f>
      </x:c>
      <x:c r="CM12" s="117" t="n">
        <x:f>IF(CM$3&gt;=$B$8,'Продажи'!CM49,0)+'ОБЪЕКТЫ'!CM102</x:f>
      </x:c>
      <x:c r="CN12" s="117" t="n">
        <x:f>IF(CN$3&gt;=$B$8,'Продажи'!CN49,0)+'ОБЪЕКТЫ'!CN102</x:f>
      </x:c>
      <x:c r="CO12" s="117" t="n">
        <x:f>IF(CO$3&gt;=$B$8,'Продажи'!CO49,0)+'ОБЪЕКТЫ'!CO102</x:f>
      </x:c>
      <x:c r="CP12" s="117" t="n">
        <x:f>IF(CP$3&gt;=$B$8,'Продажи'!CP49,0)+'ОБЪЕКТЫ'!CP102</x:f>
      </x:c>
      <x:c r="CQ12" s="117" t="n">
        <x:f>IF(CQ$3&gt;=$B$8,'Продажи'!CQ49,0)+'ОБЪЕКТЫ'!CQ102</x:f>
      </x:c>
      <x:c r="CR12" s="117" t="n">
        <x:f>IF(CR$3&gt;=$B$8,'Продажи'!CR49,0)+'ОБЪЕКТЫ'!CR102</x:f>
      </x:c>
      <x:c r="CS12" s="117" t="n">
        <x:f>IF(CS$3&gt;=$B$8,'Продажи'!CS49,0)+'ОБЪЕКТЫ'!CS102</x:f>
      </x:c>
      <x:c r="CT12" s="117" t="n">
        <x:f>IF(CT$3&gt;=$B$8,'Продажи'!CT49,0)+'ОБЪЕКТЫ'!CT102</x:f>
      </x:c>
      <x:c r="CU12" s="117" t="n">
        <x:f>IF(CU$3&gt;=$B$8,'Продажи'!CU49,0)+'ОБЪЕКТЫ'!CU102</x:f>
      </x:c>
      <x:c r="CV12" s="117" t="n">
        <x:f>IF(CV$3&gt;=$B$8,'Продажи'!CV49,0)+'ОБЪЕКТЫ'!CV102</x:f>
      </x:c>
      <x:c r="CW12" s="117" t="n">
        <x:f>IF(CW$3&gt;=$B$8,'Продажи'!CW49,0)+'ОБЪЕКТЫ'!CW102</x:f>
      </x:c>
      <x:c r="CX12" s="117" t="n">
        <x:f>IF(CX$3&gt;=$B$8,'Продажи'!CX49,0)+'ОБЪЕКТЫ'!CX102</x:f>
      </x:c>
      <x:c r="CY12" s="117" t="n">
        <x:f>IF(CY$3&gt;=$B$8,'Продажи'!CY49,0)+'ОБЪЕКТЫ'!CY102</x:f>
      </x:c>
      <x:c r="CZ12" s="117" t="n">
        <x:f>IF(CZ$3&gt;=$B$8,'Продажи'!CZ49,0)+'ОБЪЕКТЫ'!CZ102</x:f>
      </x:c>
      <x:c r="DA12" s="117" t="n">
        <x:f>IF(DA$3&gt;=$B$8,'Продажи'!DA49,0)+'ОБЪЕКТЫ'!DA102</x:f>
      </x:c>
      <x:c r="DB12" s="117" t="n">
        <x:f>IF(DB$3&gt;=$B$8,'Продажи'!DB49,0)+'ОБЪЕКТЫ'!DB102</x:f>
      </x:c>
      <x:c r="DC12" s="117" t="n">
        <x:f>IF(DC$3&gt;=$B$8,'Продажи'!DC49,0)+'ОБЪЕКТЫ'!DC102</x:f>
      </x:c>
      <x:c r="DD12" s="117" t="n">
        <x:f>IF(DD$3&gt;=$B$8,'Продажи'!DD49,0)+'ОБЪЕКТЫ'!DD102</x:f>
      </x:c>
      <x:c r="DE12" s="117" t="n">
        <x:f>IF(DE$3&gt;=$B$8,'Продажи'!DE49,0)+'ОБЪЕКТЫ'!DE102</x:f>
      </x:c>
      <x:c r="DF12" s="117" t="n">
        <x:f>IF(DF$3&gt;=$B$8,'Продажи'!DF49,0)+'ОБЪЕКТЫ'!DF102</x:f>
      </x:c>
      <x:c r="DG12" s="117" t="n">
        <x:f>IF(DG$3&gt;=$B$8,'Продажи'!DG49,0)+'ОБЪЕКТЫ'!DG102</x:f>
      </x:c>
      <x:c r="DH12" s="117" t="n">
        <x:f>IF(DH$3&gt;=$B$8,'Продажи'!DH49,0)+'ОБЪЕКТЫ'!DH102</x:f>
      </x:c>
      <x:c r="DI12" s="117" t="n">
        <x:f>IF(DI$3&gt;=$B$8,'Продажи'!DI49,0)+'ОБЪЕКТЫ'!DI102</x:f>
      </x:c>
      <x:c r="DJ12" s="117" t="n">
        <x:f>IF(DJ$3&gt;=$B$8,'Продажи'!DJ49,0)+'ОБЪЕКТЫ'!DJ102</x:f>
      </x:c>
      <x:c r="DK12" s="117" t="n">
        <x:f>IF(DK$3&gt;=$B$8,'Продажи'!DK49,0)+'ОБЪЕКТЫ'!DK102</x:f>
      </x:c>
      <x:c r="DL12" s="117" t="n">
        <x:f>IF(DL$3&gt;=$B$8,'Продажи'!DL49,0)+'ОБЪЕКТЫ'!DL102</x:f>
      </x:c>
      <x:c r="DM12" s="117" t="n">
        <x:f>IF(DM$3&gt;=$B$8,'Продажи'!DM49,0)+'ОБЪЕКТЫ'!DM102</x:f>
      </x:c>
      <x:c r="DN12" s="117" t="n">
        <x:f>IF(DN$3&gt;=$B$8,'Продажи'!DN49,0)+'ОБЪЕКТЫ'!DN102</x:f>
      </x:c>
      <x:c r="DO12" s="117" t="n">
        <x:f>IF(DO$3&gt;=$B$8,'Продажи'!DO49,0)+'ОБЪЕКТЫ'!DO102</x:f>
      </x:c>
      <x:c r="DP12" s="117" t="n">
        <x:f>IF(DP$3&gt;=$B$8,'Продажи'!DP49,0)+'ОБЪЕКТЫ'!DP102</x:f>
      </x:c>
      <x:c r="DQ12" s="117" t="n">
        <x:f>IF(DQ$3&gt;=$B$8,'Продажи'!DQ49,0)+'ОБЪЕКТЫ'!DQ102</x:f>
      </x:c>
      <x:c r="DR12" s="117" t="n">
        <x:f>IF(DR$3&gt;=$B$8,'Продажи'!DR49,0)+'ОБЪЕКТЫ'!DR102</x:f>
      </x:c>
      <x:c r="DS12" s="117" t="n">
        <x:f>IF(DS$3&gt;=$B$8,'Продажи'!DS49,0)+'ОБЪЕКТЫ'!DS102</x:f>
      </x:c>
      <x:c r="DT12" s="117" t="n">
        <x:f>IF(DT$3&gt;=$B$8,'Продажи'!DT49,0)+'ОБЪЕКТЫ'!DT102</x:f>
      </x:c>
      <x:c r="DU12" s="117" t="n">
        <x:f>IF(DU$3&gt;=$B$8,'Продажи'!DU49,0)+'ОБЪЕКТЫ'!DU102</x:f>
      </x:c>
      <x:c r="DV12" s="117" t="n">
        <x:f>IF(DV$3&gt;=$B$8,'Продажи'!DV49,0)+'ОБЪЕКТЫ'!DV102</x:f>
      </x:c>
      <x:c r="DW12" s="117" t="n">
        <x:f>IF(DW$3&gt;=$B$8,'Продажи'!DW49,0)+'ОБЪЕКТЫ'!DW102</x:f>
      </x:c>
      <x:c r="DX12" s="117" t="n">
        <x:f>IF(DX$3&gt;=$B$8,'Продажи'!DX49,0)+'ОБЪЕКТЫ'!DX102</x:f>
      </x:c>
      <x:c r="DY12" s="117" t="n">
        <x:f>IF(DY$3&gt;=$B$8,'Продажи'!DY49,0)+'ОБЪЕКТЫ'!DY102</x:f>
      </x:c>
      <x:c r="DZ12" s="117" t="n">
        <x:f>IF(DZ$3&gt;=$B$8,'Продажи'!DZ49,0)+'ОБЪЕКТЫ'!DZ102</x:f>
      </x:c>
      <x:c r="EA12" s="117" t="n">
        <x:f>IF(EA$3&gt;=$B$8,'Продажи'!EA49,0)+'ОБЪЕКТЫ'!EA102</x:f>
      </x:c>
      <x:c r="EB12" s="117" t="n">
        <x:f>IF(EB$3&gt;=$B$8,'Продажи'!EB49,0)+'ОБЪЕКТЫ'!EB102</x:f>
      </x:c>
      <x:c r="EC12" s="117" t="n">
        <x:f>IF(EC$3&gt;=$B$8,'Продажи'!EC49,0)+'ОБЪЕКТЫ'!EC102</x:f>
      </x:c>
      <x:c r="ED12" s="117" t="n">
        <x:f>IF(ED$3&gt;=$B$8,'Продажи'!ED49,0)+'ОБЪЕКТЫ'!ED102</x:f>
      </x:c>
      <x:c r="EE12" s="117" t="n">
        <x:f>IF(EE$3&gt;=$B$8,'Продажи'!EE49,0)+'ОБЪЕКТЫ'!EE102</x:f>
      </x:c>
      <x:c r="EF12" s="117" t="n">
        <x:f>IF(EF$3&gt;=$B$8,'Продажи'!EF49,0)+'ОБЪЕКТЫ'!EF102</x:f>
      </x:c>
      <x:c r="EG12" s="117" t="n">
        <x:f>IF(EG$3&gt;=$B$8,'Продажи'!EG49,0)+'ОБЪЕКТЫ'!EG102</x:f>
      </x:c>
      <x:c r="EH12" s="117" t="n">
        <x:f>IF(EH$3&gt;=$B$8,'Продажи'!EH49,0)+'ОБЪЕКТЫ'!EH102</x:f>
      </x:c>
      <x:c r="EI12" s="117" t="n">
        <x:f>IF(EI$3&gt;=$B$8,'Продажи'!EI49,0)+'ОБЪЕКТЫ'!EI102</x:f>
      </x:c>
      <x:c r="EJ12" s="117" t="n">
        <x:f>IF(EJ$3&gt;=$B$8,'Продажи'!EJ49,0)+'ОБЪЕКТЫ'!EJ102</x:f>
      </x:c>
      <x:c r="EK12" s="117" t="n">
        <x:f>IF(EK$3&gt;=$B$8,'Продажи'!EK49,0)+'ОБЪЕКТЫ'!EK102</x:f>
      </x:c>
      <x:c r="EL12" s="117" t="n">
        <x:f>IF(EL$3&gt;=$B$8,'Продажи'!EL49,0)+'ОБЪЕКТЫ'!EL102</x:f>
      </x:c>
      <x:c r="EM12" s="117" t="n">
        <x:f>IF(EM$3&gt;=$B$8,'Продажи'!EM49,0)+'ОБЪЕКТЫ'!EM102</x:f>
      </x:c>
      <x:c r="EN12" s="117" t="n">
        <x:f>IF(EN$3&gt;=$B$8,'Продажи'!EN49,0)+'ОБЪЕКТЫ'!EN102</x:f>
      </x:c>
      <x:c r="EO12" s="117" t="n">
        <x:f>IF(EO$3&gt;=$B$8,'Продажи'!EO49,0)+'ОБЪЕКТЫ'!EO102</x:f>
      </x:c>
      <x:c r="EP12" s="117" t="n">
        <x:f>IF(EP$3&gt;=$B$8,'Продажи'!EP49,0)+'ОБЪЕКТЫ'!EP102</x:f>
      </x:c>
      <x:c r="EQ12" s="117" t="n">
        <x:f>IF(EQ$3&gt;=$B$8,'Продажи'!EQ49,0)+'ОБЪЕКТЫ'!EQ102</x:f>
      </x:c>
      <x:c r="ER12" s="117" t="n">
        <x:f>IF(ER$3&gt;=$B$8,'Продажи'!ER49,0)+'ОБЪЕКТЫ'!ER102</x:f>
      </x:c>
      <x:c r="ES12" s="117" t="n">
        <x:f>IF(ES$3&gt;=$B$8,'Продажи'!ES49,0)+'ОБЪЕКТЫ'!ES102</x:f>
      </x:c>
      <x:c r="ET12" s="117" t="n">
        <x:f>IF(ET$3&gt;=$B$8,'Продажи'!ET49,0)+'ОБЪЕКТЫ'!ET102</x:f>
      </x:c>
      <x:c r="EU12" s="117" t="n">
        <x:f>IF(EU$3&gt;=$B$8,'Продажи'!EU49,0)+'ОБЪЕКТЫ'!EU102</x:f>
      </x:c>
      <x:c r="EV12" s="117" t="n">
        <x:f>IF(EV$3&gt;=$B$8,'Продажи'!EV49,0)+'ОБЪЕКТЫ'!EV102</x:f>
      </x:c>
      <x:c r="EW12" s="117" t="n">
        <x:f>IF(EW$3&gt;=$B$8,'Продажи'!EW49,0)+'ОБЪЕКТЫ'!EW102</x:f>
      </x:c>
      <x:c r="EX12" s="117" t="n">
        <x:f>IF(EX$3&gt;=$B$8,'Продажи'!EX49,0)+'ОБЪЕКТЫ'!EX102</x:f>
      </x:c>
      <x:c r="EY12" s="117" t="n">
        <x:f>IF(EY$3&gt;=$B$8,'Продажи'!EY49,0)+'ОБЪЕКТЫ'!EY102</x:f>
      </x:c>
      <x:c r="EZ12" s="117" t="n">
        <x:f>IF(EZ$3&gt;=$B$8,'Продажи'!EZ49,0)+'ОБЪЕКТЫ'!EZ102</x:f>
      </x:c>
      <x:c r="FA12" s="117" t="n">
        <x:f>IF(FA$3&gt;=$B$8,'Продажи'!FA49,0)+'ОБЪЕКТЫ'!FA102</x:f>
      </x:c>
      <x:c r="FB12" s="117" t="n">
        <x:f>IF(FB$3&gt;=$B$8,'Продажи'!FB49,0)+'ОБЪЕКТЫ'!FB102</x:f>
      </x:c>
      <x:c r="FC12" s="117" t="n">
        <x:f>IF(FC$3&gt;=$B$8,'Продажи'!FC49,0)+'ОБЪЕКТЫ'!FC102</x:f>
      </x:c>
      <x:c r="FD12" s="117" t="n">
        <x:f>IF(FD$3&gt;=$B$8,'Продажи'!FD49,0)+'ОБЪЕКТЫ'!FD102</x:f>
      </x:c>
      <x:c r="FE12" s="117" t="n">
        <x:f>IF(FE$3&gt;=$B$8,'Продажи'!FE49,0)+'ОБЪЕКТЫ'!FE102</x:f>
      </x:c>
      <x:c r="FF12" s="117" t="n">
        <x:f>IF(FF$3&gt;=$B$8,'Продажи'!FF49,0)+'ОБЪЕКТЫ'!FF102</x:f>
      </x:c>
      <x:c r="FG12" s="117" t="n">
        <x:f>IF(FG$3&gt;=$B$8,'Продажи'!FG49,0)+'ОБЪЕКТЫ'!FG102</x:f>
      </x:c>
      <x:c r="FH12" s="117" t="n">
        <x:f>IF(FH$3&gt;=$B$8,'Продажи'!FH49,0)+'ОБЪЕКТЫ'!FH102</x:f>
      </x:c>
      <x:c r="FI12" s="117" t="n">
        <x:f>IF(FI$3&gt;=$B$8,'Продажи'!FI49,0)+'ОБЪЕКТЫ'!FI102</x:f>
      </x:c>
      <x:c r="FJ12" s="117" t="n">
        <x:f>IF(FJ$3&gt;=$B$8,'Продажи'!FJ49,0)+'ОБЪЕКТЫ'!FJ102</x:f>
      </x:c>
      <x:c r="FK12" s="117" t="n">
        <x:f>IF(FK$3&gt;=$B$8,'Продажи'!FK49,0)+'ОБЪЕКТЫ'!FK102</x:f>
      </x:c>
      <x:c r="FL12" s="117" t="n">
        <x:f>IF(FL$3&gt;=$B$8,'Продажи'!FL49,0)+'ОБЪЕКТЫ'!FL102</x:f>
      </x:c>
      <x:c r="FM12" s="117" t="n">
        <x:f>IF(FM$3&gt;=$B$8,'Продажи'!FM49,0)+'ОБЪЕКТЫ'!FM102</x:f>
      </x:c>
      <x:c r="FN12" s="117" t="n">
        <x:f>IF(FN$3&gt;=$B$8,'Продажи'!FN49,0)+'ОБЪЕКТЫ'!FN102</x:f>
      </x:c>
      <x:c r="FO12" s="117" t="n">
        <x:f>IF(FO$3&gt;=$B$8,'Продажи'!FO49,0)+'ОБЪЕКТЫ'!FO102</x:f>
      </x:c>
      <x:c r="FP12" s="117" t="n">
        <x:f>IF(FP$3&gt;=$B$8,'Продажи'!FP49,0)+'ОБЪЕКТЫ'!FP102</x:f>
      </x:c>
      <x:c r="FQ12" s="117" t="n">
        <x:f>IF(FQ$3&gt;=$B$8,'Продажи'!FQ49,0)+'ОБЪЕКТЫ'!FQ102</x:f>
      </x:c>
      <x:c r="FR12" s="117" t="n">
        <x:f>IF(FR$3&gt;=$B$8,'Продажи'!FR49,0)+'ОБЪЕКТЫ'!FR102</x:f>
      </x:c>
      <x:c r="FS12" s="117" t="n">
        <x:f>IF(FS$3&gt;=$B$8,'Продажи'!FS49,0)+'ОБЪЕКТЫ'!FS102</x:f>
      </x:c>
      <x:c r="FT12" s="117" t="n">
        <x:f>IF(FT$3&gt;=$B$8,'Продажи'!FT49,0)+'ОБЪЕКТЫ'!FT102</x:f>
      </x:c>
      <x:c r="FU12" s="117" t="n">
        <x:f>IF(FU$3&gt;=$B$8,'Продажи'!FU49,0)+'ОБЪЕКТЫ'!FU102</x:f>
      </x:c>
      <x:c r="FV12" s="117" t="n">
        <x:f>IF(FV$3&gt;=$B$8,'Продажи'!FV49,0)+'ОБЪЕКТЫ'!FV102</x:f>
      </x:c>
      <x:c r="FW12" s="117" t="n">
        <x:f>IF(FW$3&gt;=$B$8,'Продажи'!FW49,0)+'ОБЪЕКТЫ'!FW102</x:f>
      </x:c>
      <x:c r="FX12" s="117" t="n">
        <x:f>IF(FX$3&gt;=$B$8,'Продажи'!FX49,0)+'ОБЪЕКТЫ'!FX102</x:f>
      </x:c>
      <x:c r="FY12" s="117" t="n">
        <x:f>IF(FY$3&gt;=$B$8,'Продажи'!FY49,0)+'ОБЪЕКТЫ'!FY102</x:f>
      </x:c>
      <x:c r="FZ12" s="117" t="n">
        <x:f>IF(FZ$3&gt;=$B$8,'Продажи'!FZ49,0)+'ОБЪЕКТЫ'!FZ102</x:f>
      </x:c>
      <x:c r="GA12" s="117" t="n">
        <x:f>IF(GA$3&gt;=$B$8,'Продажи'!GA49,0)+'ОБЪЕКТЫ'!GA102</x:f>
      </x:c>
    </x:row>
    <x:row r="13">
      <x:c r="A13" t="str">
        <x:v>Эскроу на начало</x:v>
      </x:c>
      <x:c r="B13"/>
      <x:c r="C13" t="str">
        <x:v>млн ₽</x:v>
      </x:c>
      <x:c r="D13" s="117" t="n">
        <x:f>0</x:f>
      </x:c>
      <x:c r="E13" s="117" t="n">
        <x:f>D15</x:f>
      </x:c>
      <x:c r="F13" s="117" t="n">
        <x:f>E15</x:f>
      </x:c>
      <x:c r="G13" s="117" t="n">
        <x:f>F15</x:f>
      </x:c>
      <x:c r="H13" s="117" t="n">
        <x:f>G15</x:f>
      </x:c>
      <x:c r="I13" s="117" t="n">
        <x:f>H15</x:f>
      </x:c>
      <x:c r="J13" s="117" t="n">
        <x:f>I15</x:f>
      </x:c>
      <x:c r="K13" s="117" t="n">
        <x:f>J15</x:f>
      </x:c>
      <x:c r="L13" s="117" t="n">
        <x:f>K15</x:f>
      </x:c>
      <x:c r="M13" s="117" t="n">
        <x:f>L15</x:f>
      </x:c>
      <x:c r="N13" s="117" t="n">
        <x:f>M15</x:f>
      </x:c>
      <x:c r="O13" s="117" t="n">
        <x:f>N15</x:f>
      </x:c>
      <x:c r="P13" s="117" t="n">
        <x:f>O15</x:f>
      </x:c>
      <x:c r="Q13" s="117" t="n">
        <x:f>P15</x:f>
      </x:c>
      <x:c r="R13" s="117" t="n">
        <x:f>Q15</x:f>
      </x:c>
      <x:c r="S13" s="117" t="n">
        <x:f>R15</x:f>
      </x:c>
      <x:c r="T13" s="117" t="n">
        <x:f>S15</x:f>
      </x:c>
      <x:c r="U13" s="117" t="n">
        <x:f>T15</x:f>
      </x:c>
      <x:c r="V13" s="117" t="n">
        <x:f>U15</x:f>
      </x:c>
      <x:c r="W13" s="117" t="n">
        <x:f>V15</x:f>
      </x:c>
      <x:c r="X13" s="117" t="n">
        <x:f>W15</x:f>
      </x:c>
      <x:c r="Y13" s="117" t="n">
        <x:f>X15</x:f>
      </x:c>
      <x:c r="Z13" s="117" t="n">
        <x:f>Y15</x:f>
      </x:c>
      <x:c r="AA13" s="117" t="n">
        <x:f>Z15</x:f>
      </x:c>
      <x:c r="AB13" s="117" t="n">
        <x:f>AA15</x:f>
      </x:c>
      <x:c r="AC13" s="117" t="n">
        <x:f>AB15</x:f>
      </x:c>
      <x:c r="AD13" s="117" t="n">
        <x:f>AC15</x:f>
      </x:c>
      <x:c r="AE13" s="117" t="n">
        <x:f>AD15</x:f>
      </x:c>
      <x:c r="AF13" s="117" t="n">
        <x:f>AE15</x:f>
      </x:c>
      <x:c r="AG13" s="117" t="n">
        <x:f>AF15</x:f>
      </x:c>
      <x:c r="AH13" s="117" t="n">
        <x:f>AG15</x:f>
      </x:c>
      <x:c r="AI13" s="117" t="n">
        <x:f>AH15</x:f>
      </x:c>
      <x:c r="AJ13" s="117" t="n">
        <x:f>AI15</x:f>
      </x:c>
      <x:c r="AK13" s="117" t="n">
        <x:f>AJ15</x:f>
      </x:c>
      <x:c r="AL13" s="117" t="n">
        <x:f>AK15</x:f>
      </x:c>
      <x:c r="AM13" s="117" t="n">
        <x:f>AL15</x:f>
      </x:c>
      <x:c r="AN13" s="117" t="n">
        <x:f>AM15</x:f>
      </x:c>
      <x:c r="AO13" s="117" t="n">
        <x:f>AN15</x:f>
      </x:c>
      <x:c r="AP13" s="117" t="n">
        <x:f>AO15</x:f>
      </x:c>
      <x:c r="AQ13" s="117" t="n">
        <x:f>AP15</x:f>
      </x:c>
      <x:c r="AR13" s="117" t="n">
        <x:f>AQ15</x:f>
      </x:c>
      <x:c r="AS13" s="117" t="n">
        <x:f>AR15</x:f>
      </x:c>
      <x:c r="AT13" s="117" t="n">
        <x:f>AS15</x:f>
      </x:c>
      <x:c r="AU13" s="117" t="n">
        <x:f>AT15</x:f>
      </x:c>
      <x:c r="AV13" s="117" t="n">
        <x:f>AU15</x:f>
      </x:c>
      <x:c r="AW13" s="117" t="n">
        <x:f>AV15</x:f>
      </x:c>
      <x:c r="AX13" s="117" t="n">
        <x:f>AW15</x:f>
      </x:c>
      <x:c r="AY13" s="117" t="n">
        <x:f>AX15</x:f>
      </x:c>
      <x:c r="AZ13" s="117" t="n">
        <x:f>AY15</x:f>
      </x:c>
      <x:c r="BA13" s="117" t="n">
        <x:f>AZ15</x:f>
      </x:c>
      <x:c r="BB13" s="117" t="n">
        <x:f>BA15</x:f>
      </x:c>
      <x:c r="BC13" s="117" t="n">
        <x:f>BB15</x:f>
      </x:c>
      <x:c r="BD13" s="117" t="n">
        <x:f>BC15</x:f>
      </x:c>
      <x:c r="BE13" s="117" t="n">
        <x:f>BD15</x:f>
      </x:c>
      <x:c r="BF13" s="117" t="n">
        <x:f>BE15</x:f>
      </x:c>
      <x:c r="BG13" s="117" t="n">
        <x:f>BF15</x:f>
      </x:c>
      <x:c r="BH13" s="117" t="n">
        <x:f>BG15</x:f>
      </x:c>
      <x:c r="BI13" s="117" t="n">
        <x:f>BH15</x:f>
      </x:c>
      <x:c r="BJ13" s="117" t="n">
        <x:f>BI15</x:f>
      </x:c>
      <x:c r="BK13" s="117" t="n">
        <x:f>BJ15</x:f>
      </x:c>
      <x:c r="BL13" s="117" t="n">
        <x:f>BK15</x:f>
      </x:c>
      <x:c r="BM13" s="117" t="n">
        <x:f>BL15</x:f>
      </x:c>
      <x:c r="BN13" s="117" t="n">
        <x:f>BM15</x:f>
      </x:c>
      <x:c r="BO13" s="117" t="n">
        <x:f>BN15</x:f>
      </x:c>
      <x:c r="BP13" s="117" t="n">
        <x:f>BO15</x:f>
      </x:c>
      <x:c r="BQ13" s="117" t="n">
        <x:f>BP15</x:f>
      </x:c>
      <x:c r="BR13" s="117" t="n">
        <x:f>BQ15</x:f>
      </x:c>
      <x:c r="BS13" s="117" t="n">
        <x:f>BR15</x:f>
      </x:c>
      <x:c r="BT13" s="117" t="n">
        <x:f>BS15</x:f>
      </x:c>
      <x:c r="BU13" s="117" t="n">
        <x:f>BT15</x:f>
      </x:c>
      <x:c r="BV13" s="117" t="n">
        <x:f>BU15</x:f>
      </x:c>
      <x:c r="BW13" s="117" t="n">
        <x:f>BV15</x:f>
      </x:c>
      <x:c r="BX13" s="117" t="n">
        <x:f>BW15</x:f>
      </x:c>
      <x:c r="BY13" s="117" t="n">
        <x:f>BX15</x:f>
      </x:c>
      <x:c r="BZ13" s="117" t="n">
        <x:f>BY15</x:f>
      </x:c>
      <x:c r="CA13" s="117" t="n">
        <x:f>BZ15</x:f>
      </x:c>
      <x:c r="CB13" s="117" t="n">
        <x:f>CA15</x:f>
      </x:c>
      <x:c r="CC13" s="117" t="n">
        <x:f>CB15</x:f>
      </x:c>
      <x:c r="CD13" s="117" t="n">
        <x:f>CC15</x:f>
      </x:c>
      <x:c r="CE13" s="117" t="n">
        <x:f>CD15</x:f>
      </x:c>
      <x:c r="CF13" s="117" t="n">
        <x:f>CE15</x:f>
      </x:c>
      <x:c r="CG13" s="117" t="n">
        <x:f>CF15</x:f>
      </x:c>
      <x:c r="CH13" s="117" t="n">
        <x:f>CG15</x:f>
      </x:c>
      <x:c r="CI13" s="117" t="n">
        <x:f>CH15</x:f>
      </x:c>
      <x:c r="CJ13" s="117" t="n">
        <x:f>CI15</x:f>
      </x:c>
      <x:c r="CK13" s="117" t="n">
        <x:f>CJ15</x:f>
      </x:c>
      <x:c r="CL13" s="117" t="n">
        <x:f>CK15</x:f>
      </x:c>
      <x:c r="CM13" s="117" t="n">
        <x:f>CL15</x:f>
      </x:c>
      <x:c r="CN13" s="117" t="n">
        <x:f>CM15</x:f>
      </x:c>
      <x:c r="CO13" s="117" t="n">
        <x:f>CN15</x:f>
      </x:c>
      <x:c r="CP13" s="117" t="n">
        <x:f>CO15</x:f>
      </x:c>
      <x:c r="CQ13" s="117" t="n">
        <x:f>CP15</x:f>
      </x:c>
      <x:c r="CR13" s="117" t="n">
        <x:f>CQ15</x:f>
      </x:c>
      <x:c r="CS13" s="117" t="n">
        <x:f>CR15</x:f>
      </x:c>
      <x:c r="CT13" s="117" t="n">
        <x:f>CS15</x:f>
      </x:c>
      <x:c r="CU13" s="117" t="n">
        <x:f>CT15</x:f>
      </x:c>
      <x:c r="CV13" s="117" t="n">
        <x:f>CU15</x:f>
      </x:c>
      <x:c r="CW13" s="117" t="n">
        <x:f>CV15</x:f>
      </x:c>
      <x:c r="CX13" s="117" t="n">
        <x:f>CW15</x:f>
      </x:c>
      <x:c r="CY13" s="117" t="n">
        <x:f>CX15</x:f>
      </x:c>
      <x:c r="CZ13" s="117" t="n">
        <x:f>CY15</x:f>
      </x:c>
      <x:c r="DA13" s="117" t="n">
        <x:f>CZ15</x:f>
      </x:c>
      <x:c r="DB13" s="117" t="n">
        <x:f>DA15</x:f>
      </x:c>
      <x:c r="DC13" s="117" t="n">
        <x:f>DB15</x:f>
      </x:c>
      <x:c r="DD13" s="117" t="n">
        <x:f>DC15</x:f>
      </x:c>
      <x:c r="DE13" s="117" t="n">
        <x:f>DD15</x:f>
      </x:c>
      <x:c r="DF13" s="117" t="n">
        <x:f>DE15</x:f>
      </x:c>
      <x:c r="DG13" s="117" t="n">
        <x:f>DF15</x:f>
      </x:c>
      <x:c r="DH13" s="117" t="n">
        <x:f>DG15</x:f>
      </x:c>
      <x:c r="DI13" s="117" t="n">
        <x:f>DH15</x:f>
      </x:c>
      <x:c r="DJ13" s="117" t="n">
        <x:f>DI15</x:f>
      </x:c>
      <x:c r="DK13" s="117" t="n">
        <x:f>DJ15</x:f>
      </x:c>
      <x:c r="DL13" s="117" t="n">
        <x:f>DK15</x:f>
      </x:c>
      <x:c r="DM13" s="117" t="n">
        <x:f>DL15</x:f>
      </x:c>
      <x:c r="DN13" s="117" t="n">
        <x:f>DM15</x:f>
      </x:c>
      <x:c r="DO13" s="117" t="n">
        <x:f>DN15</x:f>
      </x:c>
      <x:c r="DP13" s="117" t="n">
        <x:f>DO15</x:f>
      </x:c>
      <x:c r="DQ13" s="117" t="n">
        <x:f>DP15</x:f>
      </x:c>
      <x:c r="DR13" s="117" t="n">
        <x:f>DQ15</x:f>
      </x:c>
      <x:c r="DS13" s="117" t="n">
        <x:f>DR15</x:f>
      </x:c>
      <x:c r="DT13" s="117" t="n">
        <x:f>DS15</x:f>
      </x:c>
      <x:c r="DU13" s="117" t="n">
        <x:f>DT15</x:f>
      </x:c>
      <x:c r="DV13" s="117" t="n">
        <x:f>DU15</x:f>
      </x:c>
      <x:c r="DW13" s="117" t="n">
        <x:f>DV15</x:f>
      </x:c>
      <x:c r="DX13" s="117" t="n">
        <x:f>DW15</x:f>
      </x:c>
      <x:c r="DY13" s="117" t="n">
        <x:f>DX15</x:f>
      </x:c>
      <x:c r="DZ13" s="117" t="n">
        <x:f>DY15</x:f>
      </x:c>
      <x:c r="EA13" s="117" t="n">
        <x:f>DZ15</x:f>
      </x:c>
      <x:c r="EB13" s="117" t="n">
        <x:f>EA15</x:f>
      </x:c>
      <x:c r="EC13" s="117" t="n">
        <x:f>EB15</x:f>
      </x:c>
      <x:c r="ED13" s="117" t="n">
        <x:f>EC15</x:f>
      </x:c>
      <x:c r="EE13" s="117" t="n">
        <x:f>ED15</x:f>
      </x:c>
      <x:c r="EF13" s="117" t="n">
        <x:f>EE15</x:f>
      </x:c>
      <x:c r="EG13" s="117" t="n">
        <x:f>EF15</x:f>
      </x:c>
      <x:c r="EH13" s="117" t="n">
        <x:f>EG15</x:f>
      </x:c>
      <x:c r="EI13" s="117" t="n">
        <x:f>EH15</x:f>
      </x:c>
      <x:c r="EJ13" s="117" t="n">
        <x:f>EI15</x:f>
      </x:c>
      <x:c r="EK13" s="117" t="n">
        <x:f>EJ15</x:f>
      </x:c>
      <x:c r="EL13" s="117" t="n">
        <x:f>EK15</x:f>
      </x:c>
      <x:c r="EM13" s="117" t="n">
        <x:f>EL15</x:f>
      </x:c>
      <x:c r="EN13" s="117" t="n">
        <x:f>EM15</x:f>
      </x:c>
      <x:c r="EO13" s="117" t="n">
        <x:f>EN15</x:f>
      </x:c>
      <x:c r="EP13" s="117" t="n">
        <x:f>EO15</x:f>
      </x:c>
      <x:c r="EQ13" s="117" t="n">
        <x:f>EP15</x:f>
      </x:c>
      <x:c r="ER13" s="117" t="n">
        <x:f>EQ15</x:f>
      </x:c>
      <x:c r="ES13" s="117" t="n">
        <x:f>ER15</x:f>
      </x:c>
      <x:c r="ET13" s="117" t="n">
        <x:f>ES15</x:f>
      </x:c>
      <x:c r="EU13" s="117" t="n">
        <x:f>ET15</x:f>
      </x:c>
      <x:c r="EV13" s="117" t="n">
        <x:f>EU15</x:f>
      </x:c>
      <x:c r="EW13" s="117" t="n">
        <x:f>EV15</x:f>
      </x:c>
      <x:c r="EX13" s="117" t="n">
        <x:f>EW15</x:f>
      </x:c>
      <x:c r="EY13" s="117" t="n">
        <x:f>EX15</x:f>
      </x:c>
      <x:c r="EZ13" s="117" t="n">
        <x:f>EY15</x:f>
      </x:c>
      <x:c r="FA13" s="117" t="n">
        <x:f>EZ15</x:f>
      </x:c>
      <x:c r="FB13" s="117" t="n">
        <x:f>FA15</x:f>
      </x:c>
      <x:c r="FC13" s="117" t="n">
        <x:f>FB15</x:f>
      </x:c>
      <x:c r="FD13" s="117" t="n">
        <x:f>FC15</x:f>
      </x:c>
      <x:c r="FE13" s="117" t="n">
        <x:f>FD15</x:f>
      </x:c>
      <x:c r="FF13" s="117" t="n">
        <x:f>FE15</x:f>
      </x:c>
      <x:c r="FG13" s="117" t="n">
        <x:f>FF15</x:f>
      </x:c>
      <x:c r="FH13" s="117" t="n">
        <x:f>FG15</x:f>
      </x:c>
      <x:c r="FI13" s="117" t="n">
        <x:f>FH15</x:f>
      </x:c>
      <x:c r="FJ13" s="117" t="n">
        <x:f>FI15</x:f>
      </x:c>
      <x:c r="FK13" s="117" t="n">
        <x:f>FJ15</x:f>
      </x:c>
      <x:c r="FL13" s="117" t="n">
        <x:f>FK15</x:f>
      </x:c>
      <x:c r="FM13" s="117" t="n">
        <x:f>FL15</x:f>
      </x:c>
      <x:c r="FN13" s="117" t="n">
        <x:f>FM15</x:f>
      </x:c>
      <x:c r="FO13" s="117" t="n">
        <x:f>FN15</x:f>
      </x:c>
      <x:c r="FP13" s="117" t="n">
        <x:f>FO15</x:f>
      </x:c>
      <x:c r="FQ13" s="117" t="n">
        <x:f>FP15</x:f>
      </x:c>
      <x:c r="FR13" s="117" t="n">
        <x:f>FQ15</x:f>
      </x:c>
      <x:c r="FS13" s="117" t="n">
        <x:f>FR15</x:f>
      </x:c>
      <x:c r="FT13" s="117" t="n">
        <x:f>FS15</x:f>
      </x:c>
      <x:c r="FU13" s="117" t="n">
        <x:f>FT15</x:f>
      </x:c>
      <x:c r="FV13" s="117" t="n">
        <x:f>FU15</x:f>
      </x:c>
      <x:c r="FW13" s="117" t="n">
        <x:f>FV15</x:f>
      </x:c>
      <x:c r="FX13" s="117" t="n">
        <x:f>FW15</x:f>
      </x:c>
      <x:c r="FY13" s="117" t="n">
        <x:f>FX15</x:f>
      </x:c>
      <x:c r="FZ13" s="117" t="n">
        <x:f>FY15</x:f>
      </x:c>
      <x:c r="GA13" s="117" t="n">
        <x:f>FZ15</x:f>
      </x:c>
    </x:row>
    <x:row r="14">
      <x:c r="A14" t="str">
        <x:v>Раскрытие эскроу</x:v>
      </x:c>
      <x:c r="B14" t="n">
        <x:f>SUM(D14:GA14)</x:f>
      </x:c>
      <x:c r="C14" t="str">
        <x:v>млн ₽</x:v>
      </x:c>
      <x:c r="D14" s="117" t="n">
        <x:f>0+'ОБЪЕКТЫ'!D103</x:f>
      </x:c>
      <x:c r="E14" s="117" t="n">
        <x:f>IF(AND(YEAR(E$3)=YEAR($B$8),MONTH(E$3)=MONTH($B$8)),SUM('Продажи'!$D$49:'Продажи'!D$49),0)+'ОБЪЕКТЫ'!E103</x:f>
      </x:c>
      <x:c r="F14" s="117" t="n">
        <x:f>IF(AND(YEAR(F$3)=YEAR($B$8),MONTH(F$3)=MONTH($B$8)),SUM('Продажи'!$D$49:'Продажи'!E$49),0)+'ОБЪЕКТЫ'!F103</x:f>
      </x:c>
      <x:c r="G14" s="117" t="n">
        <x:f>IF(AND(YEAR(G$3)=YEAR($B$8),MONTH(G$3)=MONTH($B$8)),SUM('Продажи'!$D$49:'Продажи'!F$49),0)+'ОБЪЕКТЫ'!G103</x:f>
      </x:c>
      <x:c r="H14" s="117" t="n">
        <x:f>IF(AND(YEAR(H$3)=YEAR($B$8),MONTH(H$3)=MONTH($B$8)),SUM('Продажи'!$D$49:'Продажи'!G$49),0)+'ОБЪЕКТЫ'!H103</x:f>
      </x:c>
      <x:c r="I14" s="117" t="n">
        <x:f>IF(AND(YEAR(I$3)=YEAR($B$8),MONTH(I$3)=MONTH($B$8)),SUM('Продажи'!$D$49:'Продажи'!H$49),0)+'ОБЪЕКТЫ'!I103</x:f>
      </x:c>
      <x:c r="J14" s="117" t="n">
        <x:f>IF(AND(YEAR(J$3)=YEAR($B$8),MONTH(J$3)=MONTH($B$8)),SUM('Продажи'!$D$49:'Продажи'!I$49),0)+'ОБЪЕКТЫ'!J103</x:f>
      </x:c>
      <x:c r="K14" s="117" t="n">
        <x:f>IF(AND(YEAR(K$3)=YEAR($B$8),MONTH(K$3)=MONTH($B$8)),SUM('Продажи'!$D$49:'Продажи'!J$49),0)+'ОБЪЕКТЫ'!K103</x:f>
      </x:c>
      <x:c r="L14" s="117" t="n">
        <x:f>IF(AND(YEAR(L$3)=YEAR($B$8),MONTH(L$3)=MONTH($B$8)),SUM('Продажи'!$D$49:'Продажи'!K$49),0)+'ОБЪЕКТЫ'!L103</x:f>
      </x:c>
      <x:c r="M14" s="117" t="n">
        <x:f>IF(AND(YEAR(M$3)=YEAR($B$8),MONTH(M$3)=MONTH($B$8)),SUM('Продажи'!$D$49:'Продажи'!L$49),0)+'ОБЪЕКТЫ'!M103</x:f>
      </x:c>
      <x:c r="N14" s="117" t="n">
        <x:f>IF(AND(YEAR(N$3)=YEAR($B$8),MONTH(N$3)=MONTH($B$8)),SUM('Продажи'!$D$49:'Продажи'!M$49),0)+'ОБЪЕКТЫ'!N103</x:f>
      </x:c>
      <x:c r="O14" s="117" t="n">
        <x:f>IF(AND(YEAR(O$3)=YEAR($B$8),MONTH(O$3)=MONTH($B$8)),SUM('Продажи'!$D$49:'Продажи'!N$49),0)+'ОБЪЕКТЫ'!O103</x:f>
      </x:c>
      <x:c r="P14" s="117" t="n">
        <x:f>IF(AND(YEAR(P$3)=YEAR($B$8),MONTH(P$3)=MONTH($B$8)),SUM('Продажи'!$D$49:'Продажи'!O$49),0)+'ОБЪЕКТЫ'!P103</x:f>
      </x:c>
      <x:c r="Q14" s="117" t="n">
        <x:f>IF(AND(YEAR(Q$3)=YEAR($B$8),MONTH(Q$3)=MONTH($B$8)),SUM('Продажи'!$D$49:'Продажи'!P$49),0)+'ОБЪЕКТЫ'!Q103</x:f>
      </x:c>
      <x:c r="R14" s="117" t="n">
        <x:f>IF(AND(YEAR(R$3)=YEAR($B$8),MONTH(R$3)=MONTH($B$8)),SUM('Продажи'!$D$49:'Продажи'!Q$49),0)+'ОБЪЕКТЫ'!R103</x:f>
      </x:c>
      <x:c r="S14" s="117" t="n">
        <x:f>IF(AND(YEAR(S$3)=YEAR($B$8),MONTH(S$3)=MONTH($B$8)),SUM('Продажи'!$D$49:'Продажи'!R$49),0)+'ОБЪЕКТЫ'!S103</x:f>
      </x:c>
      <x:c r="T14" s="117" t="n">
        <x:f>IF(AND(YEAR(T$3)=YEAR($B$8),MONTH(T$3)=MONTH($B$8)),SUM('Продажи'!$D$49:'Продажи'!S$49),0)+'ОБЪЕКТЫ'!T103</x:f>
      </x:c>
      <x:c r="U14" s="117" t="n">
        <x:f>IF(AND(YEAR(U$3)=YEAR($B$8),MONTH(U$3)=MONTH($B$8)),SUM('Продажи'!$D$49:'Продажи'!T$49),0)+'ОБЪЕКТЫ'!U103</x:f>
      </x:c>
      <x:c r="V14" s="117" t="n">
        <x:f>IF(AND(YEAR(V$3)=YEAR($B$8),MONTH(V$3)=MONTH($B$8)),SUM('Продажи'!$D$49:'Продажи'!U$49),0)+'ОБЪЕКТЫ'!V103</x:f>
      </x:c>
      <x:c r="W14" s="117" t="n">
        <x:f>IF(AND(YEAR(W$3)=YEAR($B$8),MONTH(W$3)=MONTH($B$8)),SUM('Продажи'!$D$49:'Продажи'!V$49),0)+'ОБЪЕКТЫ'!W103</x:f>
      </x:c>
      <x:c r="X14" s="117" t="n">
        <x:f>IF(AND(YEAR(X$3)=YEAR($B$8),MONTH(X$3)=MONTH($B$8)),SUM('Продажи'!$D$49:'Продажи'!W$49),0)+'ОБЪЕКТЫ'!X103</x:f>
      </x:c>
      <x:c r="Y14" s="117" t="n">
        <x:f>IF(AND(YEAR(Y$3)=YEAR($B$8),MONTH(Y$3)=MONTH($B$8)),SUM('Продажи'!$D$49:'Продажи'!X$49),0)+'ОБЪЕКТЫ'!Y103</x:f>
      </x:c>
      <x:c r="Z14" s="117" t="n">
        <x:f>IF(AND(YEAR(Z$3)=YEAR($B$8),MONTH(Z$3)=MONTH($B$8)),SUM('Продажи'!$D$49:'Продажи'!Y$49),0)+'ОБЪЕКТЫ'!Z103</x:f>
      </x:c>
      <x:c r="AA14" s="117" t="n">
        <x:f>IF(AND(YEAR(AA$3)=YEAR($B$8),MONTH(AA$3)=MONTH($B$8)),SUM('Продажи'!$D$49:'Продажи'!Z$49),0)+'ОБЪЕКТЫ'!AA103</x:f>
      </x:c>
      <x:c r="AB14" s="117" t="n">
        <x:f>IF(AND(YEAR(AB$3)=YEAR($B$8),MONTH(AB$3)=MONTH($B$8)),SUM('Продажи'!$D$49:'Продажи'!AA$49),0)+'ОБЪЕКТЫ'!AB103</x:f>
      </x:c>
      <x:c r="AC14" s="117" t="n">
        <x:f>IF(AND(YEAR(AC$3)=YEAR($B$8),MONTH(AC$3)=MONTH($B$8)),SUM('Продажи'!$D$49:'Продажи'!AB$49),0)+'ОБЪЕКТЫ'!AC103</x:f>
      </x:c>
      <x:c r="AD14" s="117" t="n">
        <x:f>IF(AND(YEAR(AD$3)=YEAR($B$8),MONTH(AD$3)=MONTH($B$8)),SUM('Продажи'!$D$49:'Продажи'!AC$49),0)+'ОБЪЕКТЫ'!AD103</x:f>
      </x:c>
      <x:c r="AE14" s="117" t="n">
        <x:f>IF(AND(YEAR(AE$3)=YEAR($B$8),MONTH(AE$3)=MONTH($B$8)),SUM('Продажи'!$D$49:'Продажи'!AD$49),0)+'ОБЪЕКТЫ'!AE103</x:f>
      </x:c>
      <x:c r="AF14" s="117" t="n">
        <x:f>IF(AND(YEAR(AF$3)=YEAR($B$8),MONTH(AF$3)=MONTH($B$8)),SUM('Продажи'!$D$49:'Продажи'!AE$49),0)+'ОБЪЕКТЫ'!AF103</x:f>
      </x:c>
      <x:c r="AG14" s="117" t="n">
        <x:f>IF(AND(YEAR(AG$3)=YEAR($B$8),MONTH(AG$3)=MONTH($B$8)),SUM('Продажи'!$D$49:'Продажи'!AF$49),0)+'ОБЪЕКТЫ'!AG103</x:f>
      </x:c>
      <x:c r="AH14" s="117" t="n">
        <x:f>IF(AND(YEAR(AH$3)=YEAR($B$8),MONTH(AH$3)=MONTH($B$8)),SUM('Продажи'!$D$49:'Продажи'!AG$49),0)+'ОБЪЕКТЫ'!AH103</x:f>
      </x:c>
      <x:c r="AI14" s="117" t="n">
        <x:f>IF(AND(YEAR(AI$3)=YEAR($B$8),MONTH(AI$3)=MONTH($B$8)),SUM('Продажи'!$D$49:'Продажи'!AH$49),0)+'ОБЪЕКТЫ'!AI103</x:f>
      </x:c>
      <x:c r="AJ14" s="117" t="n">
        <x:f>IF(AND(YEAR(AJ$3)=YEAR($B$8),MONTH(AJ$3)=MONTH($B$8)),SUM('Продажи'!$D$49:'Продажи'!AI$49),0)+'ОБЪЕКТЫ'!AJ103</x:f>
      </x:c>
      <x:c r="AK14" s="117" t="n">
        <x:f>IF(AND(YEAR(AK$3)=YEAR($B$8),MONTH(AK$3)=MONTH($B$8)),SUM('Продажи'!$D$49:'Продажи'!AJ$49),0)+'ОБЪЕКТЫ'!AK103</x:f>
      </x:c>
      <x:c r="AL14" s="117" t="n">
        <x:f>IF(AND(YEAR(AL$3)=YEAR($B$8),MONTH(AL$3)=MONTH($B$8)),SUM('Продажи'!$D$49:'Продажи'!AK$49),0)+'ОБЪЕКТЫ'!AL103</x:f>
      </x:c>
      <x:c r="AM14" s="117" t="n">
        <x:f>IF(AND(YEAR(AM$3)=YEAR($B$8),MONTH(AM$3)=MONTH($B$8)),SUM('Продажи'!$D$49:'Продажи'!AL$49),0)+'ОБЪЕКТЫ'!AM103</x:f>
      </x:c>
      <x:c r="AN14" s="117" t="n">
        <x:f>IF(AND(YEAR(AN$3)=YEAR($B$8),MONTH(AN$3)=MONTH($B$8)),SUM('Продажи'!$D$49:'Продажи'!AM$49),0)+'ОБЪЕКТЫ'!AN103</x:f>
      </x:c>
      <x:c r="AO14" s="117" t="n">
        <x:f>IF(AND(YEAR(AO$3)=YEAR($B$8),MONTH(AO$3)=MONTH($B$8)),SUM('Продажи'!$D$49:'Продажи'!AN$49),0)+'ОБЪЕКТЫ'!AO103</x:f>
      </x:c>
      <x:c r="AP14" s="117" t="n">
        <x:f>IF(AND(YEAR(AP$3)=YEAR($B$8),MONTH(AP$3)=MONTH($B$8)),SUM('Продажи'!$D$49:'Продажи'!AO$49),0)+'ОБЪЕКТЫ'!AP103</x:f>
      </x:c>
      <x:c r="AQ14" s="117" t="n">
        <x:f>IF(AND(YEAR(AQ$3)=YEAR($B$8),MONTH(AQ$3)=MONTH($B$8)),SUM('Продажи'!$D$49:'Продажи'!AP$49),0)+'ОБЪЕКТЫ'!AQ103</x:f>
      </x:c>
      <x:c r="AR14" s="117" t="n">
        <x:f>IF(AND(YEAR(AR$3)=YEAR($B$8),MONTH(AR$3)=MONTH($B$8)),SUM('Продажи'!$D$49:'Продажи'!AQ$49),0)+'ОБЪЕКТЫ'!AR103</x:f>
      </x:c>
      <x:c r="AS14" s="117" t="n">
        <x:f>IF(AND(YEAR(AS$3)=YEAR($B$8),MONTH(AS$3)=MONTH($B$8)),SUM('Продажи'!$D$49:'Продажи'!AR$49),0)+'ОБЪЕКТЫ'!AS103</x:f>
      </x:c>
      <x:c r="AT14" s="117" t="n">
        <x:f>IF(AND(YEAR(AT$3)=YEAR($B$8),MONTH(AT$3)=MONTH($B$8)),SUM('Продажи'!$D$49:'Продажи'!AS$49),0)+'ОБЪЕКТЫ'!AT103</x:f>
      </x:c>
      <x:c r="AU14" s="117" t="n">
        <x:f>IF(AND(YEAR(AU$3)=YEAR($B$8),MONTH(AU$3)=MONTH($B$8)),SUM('Продажи'!$D$49:'Продажи'!AT$49),0)+'ОБЪЕКТЫ'!AU103</x:f>
      </x:c>
      <x:c r="AV14" s="117" t="n">
        <x:f>IF(AND(YEAR(AV$3)=YEAR($B$8),MONTH(AV$3)=MONTH($B$8)),SUM('Продажи'!$D$49:'Продажи'!AU$49),0)+'ОБЪЕКТЫ'!AV103</x:f>
      </x:c>
      <x:c r="AW14" s="117" t="n">
        <x:f>IF(AND(YEAR(AW$3)=YEAR($B$8),MONTH(AW$3)=MONTH($B$8)),SUM('Продажи'!$D$49:'Продажи'!AV$49),0)+'ОБЪЕКТЫ'!AW103</x:f>
      </x:c>
      <x:c r="AX14" s="117" t="n">
        <x:f>IF(AND(YEAR(AX$3)=YEAR($B$8),MONTH(AX$3)=MONTH($B$8)),SUM('Продажи'!$D$49:'Продажи'!AW$49),0)+'ОБЪЕКТЫ'!AX103</x:f>
      </x:c>
      <x:c r="AY14" s="117" t="n">
        <x:f>IF(AND(YEAR(AY$3)=YEAR($B$8),MONTH(AY$3)=MONTH($B$8)),SUM('Продажи'!$D$49:'Продажи'!AX$49),0)+'ОБЪЕКТЫ'!AY103</x:f>
      </x:c>
      <x:c r="AZ14" s="117" t="n">
        <x:f>IF(AND(YEAR(AZ$3)=YEAR($B$8),MONTH(AZ$3)=MONTH($B$8)),SUM('Продажи'!$D$49:'Продажи'!AY$49),0)+'ОБЪЕКТЫ'!AZ103</x:f>
      </x:c>
      <x:c r="BA14" s="117" t="n">
        <x:f>IF(AND(YEAR(BA$3)=YEAR($B$8),MONTH(BA$3)=MONTH($B$8)),SUM('Продажи'!$D$49:'Продажи'!AZ$49),0)+'ОБЪЕКТЫ'!BA103</x:f>
      </x:c>
      <x:c r="BB14" s="117" t="n">
        <x:f>IF(AND(YEAR(BB$3)=YEAR($B$8),MONTH(BB$3)=MONTH($B$8)),SUM('Продажи'!$D$49:'Продажи'!BA$49),0)+'ОБЪЕКТЫ'!BB103</x:f>
      </x:c>
      <x:c r="BC14" s="117" t="n">
        <x:f>IF(AND(YEAR(BC$3)=YEAR($B$8),MONTH(BC$3)=MONTH($B$8)),SUM('Продажи'!$D$49:'Продажи'!BB$49),0)+'ОБЪЕКТЫ'!BC103</x:f>
      </x:c>
      <x:c r="BD14" s="117" t="n">
        <x:f>IF(AND(YEAR(BD$3)=YEAR($B$8),MONTH(BD$3)=MONTH($B$8)),SUM('Продажи'!$D$49:'Продажи'!BC$49),0)+'ОБЪЕКТЫ'!BD103</x:f>
      </x:c>
      <x:c r="BE14" s="117" t="n">
        <x:f>IF(AND(YEAR(BE$3)=YEAR($B$8),MONTH(BE$3)=MONTH($B$8)),SUM('Продажи'!$D$49:'Продажи'!BD$49),0)+'ОБЪЕКТЫ'!BE103</x:f>
      </x:c>
      <x:c r="BF14" s="117" t="n">
        <x:f>IF(AND(YEAR(BF$3)=YEAR($B$8),MONTH(BF$3)=MONTH($B$8)),SUM('Продажи'!$D$49:'Продажи'!BE$49),0)+'ОБЪЕКТЫ'!BF103</x:f>
      </x:c>
      <x:c r="BG14" s="117" t="n">
        <x:f>IF(AND(YEAR(BG$3)=YEAR($B$8),MONTH(BG$3)=MONTH($B$8)),SUM('Продажи'!$D$49:'Продажи'!BF$49),0)+'ОБЪЕКТЫ'!BG103</x:f>
      </x:c>
      <x:c r="BH14" s="117" t="n">
        <x:f>IF(AND(YEAR(BH$3)=YEAR($B$8),MONTH(BH$3)=MONTH($B$8)),SUM('Продажи'!$D$49:'Продажи'!BG$49),0)+'ОБЪЕКТЫ'!BH103</x:f>
      </x:c>
      <x:c r="BI14" s="117" t="n">
        <x:f>IF(AND(YEAR(BI$3)=YEAR($B$8),MONTH(BI$3)=MONTH($B$8)),SUM('Продажи'!$D$49:'Продажи'!BH$49),0)+'ОБЪЕКТЫ'!BI103</x:f>
      </x:c>
      <x:c r="BJ14" s="117" t="n">
        <x:f>IF(AND(YEAR(BJ$3)=YEAR($B$8),MONTH(BJ$3)=MONTH($B$8)),SUM('Продажи'!$D$49:'Продажи'!BI$49),0)+'ОБЪЕКТЫ'!BJ103</x:f>
      </x:c>
      <x:c r="BK14" s="117" t="n">
        <x:f>IF(AND(YEAR(BK$3)=YEAR($B$8),MONTH(BK$3)=MONTH($B$8)),SUM('Продажи'!$D$49:'Продажи'!BJ$49),0)+'ОБЪЕКТЫ'!BK103</x:f>
      </x:c>
      <x:c r="BL14" s="117" t="n">
        <x:f>IF(AND(YEAR(BL$3)=YEAR($B$8),MONTH(BL$3)=MONTH($B$8)),SUM('Продажи'!$D$49:'Продажи'!BK$49),0)+'ОБЪЕКТЫ'!BL103</x:f>
      </x:c>
      <x:c r="BM14" s="117" t="n">
        <x:f>IF(AND(YEAR(BM$3)=YEAR($B$8),MONTH(BM$3)=MONTH($B$8)),SUM('Продажи'!$D$49:'Продажи'!BL$49),0)+'ОБЪЕКТЫ'!BM103</x:f>
      </x:c>
      <x:c r="BN14" s="117" t="n">
        <x:f>IF(AND(YEAR(BN$3)=YEAR($B$8),MONTH(BN$3)=MONTH($B$8)),SUM('Продажи'!$D$49:'Продажи'!BM$49),0)+'ОБЪЕКТЫ'!BN103</x:f>
      </x:c>
      <x:c r="BO14" s="117" t="n">
        <x:f>IF(AND(YEAR(BO$3)=YEAR($B$8),MONTH(BO$3)=MONTH($B$8)),SUM('Продажи'!$D$49:'Продажи'!BN$49),0)+'ОБЪЕКТЫ'!BO103</x:f>
      </x:c>
      <x:c r="BP14" s="117" t="n">
        <x:f>IF(AND(YEAR(BP$3)=YEAR($B$8),MONTH(BP$3)=MONTH($B$8)),SUM('Продажи'!$D$49:'Продажи'!BO$49),0)+'ОБЪЕКТЫ'!BP103</x:f>
      </x:c>
      <x:c r="BQ14" s="117" t="n">
        <x:f>IF(AND(YEAR(BQ$3)=YEAR($B$8),MONTH(BQ$3)=MONTH($B$8)),SUM('Продажи'!$D$49:'Продажи'!BP$49),0)+'ОБЪЕКТЫ'!BQ103</x:f>
      </x:c>
      <x:c r="BR14" s="117" t="n">
        <x:f>IF(AND(YEAR(BR$3)=YEAR($B$8),MONTH(BR$3)=MONTH($B$8)),SUM('Продажи'!$D$49:'Продажи'!BQ$49),0)+'ОБЪЕКТЫ'!BR103</x:f>
      </x:c>
      <x:c r="BS14" s="117" t="n">
        <x:f>IF(AND(YEAR(BS$3)=YEAR($B$8),MONTH(BS$3)=MONTH($B$8)),SUM('Продажи'!$D$49:'Продажи'!BR$49),0)+'ОБЪЕКТЫ'!BS103</x:f>
      </x:c>
      <x:c r="BT14" s="117" t="n">
        <x:f>IF(AND(YEAR(BT$3)=YEAR($B$8),MONTH(BT$3)=MONTH($B$8)),SUM('Продажи'!$D$49:'Продажи'!BS$49),0)+'ОБЪЕКТЫ'!BT103</x:f>
      </x:c>
      <x:c r="BU14" s="117" t="n">
        <x:f>IF(AND(YEAR(BU$3)=YEAR($B$8),MONTH(BU$3)=MONTH($B$8)),SUM('Продажи'!$D$49:'Продажи'!BT$49),0)+'ОБЪЕКТЫ'!BU103</x:f>
      </x:c>
      <x:c r="BV14" s="117" t="n">
        <x:f>IF(AND(YEAR(BV$3)=YEAR($B$8),MONTH(BV$3)=MONTH($B$8)),SUM('Продажи'!$D$49:'Продажи'!BU$49),0)+'ОБЪЕКТЫ'!BV103</x:f>
      </x:c>
      <x:c r="BW14" s="117" t="n">
        <x:f>IF(AND(YEAR(BW$3)=YEAR($B$8),MONTH(BW$3)=MONTH($B$8)),SUM('Продажи'!$D$49:'Продажи'!BV$49),0)+'ОБЪЕКТЫ'!BW103</x:f>
      </x:c>
      <x:c r="BX14" s="117" t="n">
        <x:f>IF(AND(YEAR(BX$3)=YEAR($B$8),MONTH(BX$3)=MONTH($B$8)),SUM('Продажи'!$D$49:'Продажи'!BW$49),0)+'ОБЪЕКТЫ'!BX103</x:f>
      </x:c>
      <x:c r="BY14" s="117" t="n">
        <x:f>IF(AND(YEAR(BY$3)=YEAR($B$8),MONTH(BY$3)=MONTH($B$8)),SUM('Продажи'!$D$49:'Продажи'!BX$49),0)+'ОБЪЕКТЫ'!BY103</x:f>
      </x:c>
      <x:c r="BZ14" s="117" t="n">
        <x:f>IF(AND(YEAR(BZ$3)=YEAR($B$8),MONTH(BZ$3)=MONTH($B$8)),SUM('Продажи'!$D$49:'Продажи'!BY$49),0)+'ОБЪЕКТЫ'!BZ103</x:f>
      </x:c>
      <x:c r="CA14" s="117" t="n">
        <x:f>IF(AND(YEAR(CA$3)=YEAR($B$8),MONTH(CA$3)=MONTH($B$8)),SUM('Продажи'!$D$49:'Продажи'!BZ$49),0)+'ОБЪЕКТЫ'!CA103</x:f>
      </x:c>
      <x:c r="CB14" s="117" t="n">
        <x:f>IF(AND(YEAR(CB$3)=YEAR($B$8),MONTH(CB$3)=MONTH($B$8)),SUM('Продажи'!$D$49:'Продажи'!CA$49),0)+'ОБЪЕКТЫ'!CB103</x:f>
      </x:c>
      <x:c r="CC14" s="117" t="n">
        <x:f>IF(AND(YEAR(CC$3)=YEAR($B$8),MONTH(CC$3)=MONTH($B$8)),SUM('Продажи'!$D$49:'Продажи'!CB$49),0)+'ОБЪЕКТЫ'!CC103</x:f>
      </x:c>
      <x:c r="CD14" s="117" t="n">
        <x:f>IF(AND(YEAR(CD$3)=YEAR($B$8),MONTH(CD$3)=MONTH($B$8)),SUM('Продажи'!$D$49:'Продажи'!CC$49),0)+'ОБЪЕКТЫ'!CD103</x:f>
      </x:c>
      <x:c r="CE14" s="117" t="n">
        <x:f>IF(AND(YEAR(CE$3)=YEAR($B$8),MONTH(CE$3)=MONTH($B$8)),SUM('Продажи'!$D$49:'Продажи'!CD$49),0)+'ОБЪЕКТЫ'!CE103</x:f>
      </x:c>
      <x:c r="CF14" s="117" t="n">
        <x:f>IF(AND(YEAR(CF$3)=YEAR($B$8),MONTH(CF$3)=MONTH($B$8)),SUM('Продажи'!$D$49:'Продажи'!CE$49),0)+'ОБЪЕКТЫ'!CF103</x:f>
      </x:c>
      <x:c r="CG14" s="117" t="n">
        <x:f>IF(AND(YEAR(CG$3)=YEAR($B$8),MONTH(CG$3)=MONTH($B$8)),SUM('Продажи'!$D$49:'Продажи'!CF$49),0)+'ОБЪЕКТЫ'!CG103</x:f>
      </x:c>
      <x:c r="CH14" s="117" t="n">
        <x:f>IF(AND(YEAR(CH$3)=YEAR($B$8),MONTH(CH$3)=MONTH($B$8)),SUM('Продажи'!$D$49:'Продажи'!CG$49),0)+'ОБЪЕКТЫ'!CH103</x:f>
      </x:c>
      <x:c r="CI14" s="117" t="n">
        <x:f>IF(AND(YEAR(CI$3)=YEAR($B$8),MONTH(CI$3)=MONTH($B$8)),SUM('Продажи'!$D$49:'Продажи'!CH$49),0)+'ОБЪЕКТЫ'!CI103</x:f>
      </x:c>
      <x:c r="CJ14" s="117" t="n">
        <x:f>IF(AND(YEAR(CJ$3)=YEAR($B$8),MONTH(CJ$3)=MONTH($B$8)),SUM('Продажи'!$D$49:'Продажи'!CI$49),0)+'ОБЪЕКТЫ'!CJ103</x:f>
      </x:c>
      <x:c r="CK14" s="117" t="n">
        <x:f>IF(AND(YEAR(CK$3)=YEAR($B$8),MONTH(CK$3)=MONTH($B$8)),SUM('Продажи'!$D$49:'Продажи'!CJ$49),0)+'ОБЪЕКТЫ'!CK103</x:f>
      </x:c>
      <x:c r="CL14" s="117" t="n">
        <x:f>IF(AND(YEAR(CL$3)=YEAR($B$8),MONTH(CL$3)=MONTH($B$8)),SUM('Продажи'!$D$49:'Продажи'!CK$49),0)+'ОБЪЕКТЫ'!CL103</x:f>
      </x:c>
      <x:c r="CM14" s="117" t="n">
        <x:f>IF(AND(YEAR(CM$3)=YEAR($B$8),MONTH(CM$3)=MONTH($B$8)),SUM('Продажи'!$D$49:'Продажи'!CL$49),0)+'ОБЪЕКТЫ'!CM103</x:f>
      </x:c>
      <x:c r="CN14" s="117" t="n">
        <x:f>IF(AND(YEAR(CN$3)=YEAR($B$8),MONTH(CN$3)=MONTH($B$8)),SUM('Продажи'!$D$49:'Продажи'!CM$49),0)+'ОБЪЕКТЫ'!CN103</x:f>
      </x:c>
      <x:c r="CO14" s="117" t="n">
        <x:f>IF(AND(YEAR(CO$3)=YEAR($B$8),MONTH(CO$3)=MONTH($B$8)),SUM('Продажи'!$D$49:'Продажи'!CN$49),0)+'ОБЪЕКТЫ'!CO103</x:f>
      </x:c>
      <x:c r="CP14" s="117" t="n">
        <x:f>IF(AND(YEAR(CP$3)=YEAR($B$8),MONTH(CP$3)=MONTH($B$8)),SUM('Продажи'!$D$49:'Продажи'!CO$49),0)+'ОБЪЕКТЫ'!CP103</x:f>
      </x:c>
      <x:c r="CQ14" s="117" t="n">
        <x:f>IF(AND(YEAR(CQ$3)=YEAR($B$8),MONTH(CQ$3)=MONTH($B$8)),SUM('Продажи'!$D$49:'Продажи'!CP$49),0)+'ОБЪЕКТЫ'!CQ103</x:f>
      </x:c>
      <x:c r="CR14" s="117" t="n">
        <x:f>IF(AND(YEAR(CR$3)=YEAR($B$8),MONTH(CR$3)=MONTH($B$8)),SUM('Продажи'!$D$49:'Продажи'!CQ$49),0)+'ОБЪЕКТЫ'!CR103</x:f>
      </x:c>
      <x:c r="CS14" s="117" t="n">
        <x:f>IF(AND(YEAR(CS$3)=YEAR($B$8),MONTH(CS$3)=MONTH($B$8)),SUM('Продажи'!$D$49:'Продажи'!CR$49),0)+'ОБЪЕКТЫ'!CS103</x:f>
      </x:c>
      <x:c r="CT14" s="117" t="n">
        <x:f>IF(AND(YEAR(CT$3)=YEAR($B$8),MONTH(CT$3)=MONTH($B$8)),SUM('Продажи'!$D$49:'Продажи'!CS$49),0)+'ОБЪЕКТЫ'!CT103</x:f>
      </x:c>
      <x:c r="CU14" s="117" t="n">
        <x:f>IF(AND(YEAR(CU$3)=YEAR($B$8),MONTH(CU$3)=MONTH($B$8)),SUM('Продажи'!$D$49:'Продажи'!CT$49),0)+'ОБЪЕКТЫ'!CU103</x:f>
      </x:c>
      <x:c r="CV14" s="117" t="n">
        <x:f>IF(AND(YEAR(CV$3)=YEAR($B$8),MONTH(CV$3)=MONTH($B$8)),SUM('Продажи'!$D$49:'Продажи'!CU$49),0)+'ОБЪЕКТЫ'!CV103</x:f>
      </x:c>
      <x:c r="CW14" s="117" t="n">
        <x:f>IF(AND(YEAR(CW$3)=YEAR($B$8),MONTH(CW$3)=MONTH($B$8)),SUM('Продажи'!$D$49:'Продажи'!CV$49),0)+'ОБЪЕКТЫ'!CW103</x:f>
      </x:c>
      <x:c r="CX14" s="117" t="n">
        <x:f>IF(AND(YEAR(CX$3)=YEAR($B$8),MONTH(CX$3)=MONTH($B$8)),SUM('Продажи'!$D$49:'Продажи'!CW$49),0)+'ОБЪЕКТЫ'!CX103</x:f>
      </x:c>
      <x:c r="CY14" s="117" t="n">
        <x:f>IF(AND(YEAR(CY$3)=YEAR($B$8),MONTH(CY$3)=MONTH($B$8)),SUM('Продажи'!$D$49:'Продажи'!CX$49),0)+'ОБЪЕКТЫ'!CY103</x:f>
      </x:c>
      <x:c r="CZ14" s="117" t="n">
        <x:f>IF(AND(YEAR(CZ$3)=YEAR($B$8),MONTH(CZ$3)=MONTH($B$8)),SUM('Продажи'!$D$49:'Продажи'!CY$49),0)+'ОБЪЕКТЫ'!CZ103</x:f>
      </x:c>
      <x:c r="DA14" s="117" t="n">
        <x:f>IF(AND(YEAR(DA$3)=YEAR($B$8),MONTH(DA$3)=MONTH($B$8)),SUM('Продажи'!$D$49:'Продажи'!CZ$49),0)+'ОБЪЕКТЫ'!DA103</x:f>
      </x:c>
      <x:c r="DB14" s="117" t="n">
        <x:f>IF(AND(YEAR(DB$3)=YEAR($B$8),MONTH(DB$3)=MONTH($B$8)),SUM('Продажи'!$D$49:'Продажи'!DA$49),0)+'ОБЪЕКТЫ'!DB103</x:f>
      </x:c>
      <x:c r="DC14" s="117" t="n">
        <x:f>IF(AND(YEAR(DC$3)=YEAR($B$8),MONTH(DC$3)=MONTH($B$8)),SUM('Продажи'!$D$49:'Продажи'!DB$49),0)+'ОБЪЕКТЫ'!DC103</x:f>
      </x:c>
      <x:c r="DD14" s="117" t="n">
        <x:f>IF(AND(YEAR(DD$3)=YEAR($B$8),MONTH(DD$3)=MONTH($B$8)),SUM('Продажи'!$D$49:'Продажи'!DC$49),0)+'ОБЪЕКТЫ'!DD103</x:f>
      </x:c>
      <x:c r="DE14" s="117" t="n">
        <x:f>IF(AND(YEAR(DE$3)=YEAR($B$8),MONTH(DE$3)=MONTH($B$8)),SUM('Продажи'!$D$49:'Продажи'!DD$49),0)+'ОБЪЕКТЫ'!DE103</x:f>
      </x:c>
      <x:c r="DF14" s="117" t="n">
        <x:f>IF(AND(YEAR(DF$3)=YEAR($B$8),MONTH(DF$3)=MONTH($B$8)),SUM('Продажи'!$D$49:'Продажи'!DE$49),0)+'ОБЪЕКТЫ'!DF103</x:f>
      </x:c>
      <x:c r="DG14" s="117" t="n">
        <x:f>IF(AND(YEAR(DG$3)=YEAR($B$8),MONTH(DG$3)=MONTH($B$8)),SUM('Продажи'!$D$49:'Продажи'!DF$49),0)+'ОБЪЕКТЫ'!DG103</x:f>
      </x:c>
      <x:c r="DH14" s="117" t="n">
        <x:f>IF(AND(YEAR(DH$3)=YEAR($B$8),MONTH(DH$3)=MONTH($B$8)),SUM('Продажи'!$D$49:'Продажи'!DG$49),0)+'ОБЪЕКТЫ'!DH103</x:f>
      </x:c>
      <x:c r="DI14" s="117" t="n">
        <x:f>IF(AND(YEAR(DI$3)=YEAR($B$8),MONTH(DI$3)=MONTH($B$8)),SUM('Продажи'!$D$49:'Продажи'!DH$49),0)+'ОБЪЕКТЫ'!DI103</x:f>
      </x:c>
      <x:c r="DJ14" s="117" t="n">
        <x:f>IF(AND(YEAR(DJ$3)=YEAR($B$8),MONTH(DJ$3)=MONTH($B$8)),SUM('Продажи'!$D$49:'Продажи'!DI$49),0)+'ОБЪЕКТЫ'!DJ103</x:f>
      </x:c>
      <x:c r="DK14" s="117" t="n">
        <x:f>IF(AND(YEAR(DK$3)=YEAR($B$8),MONTH(DK$3)=MONTH($B$8)),SUM('Продажи'!$D$49:'Продажи'!DJ$49),0)+'ОБЪЕКТЫ'!DK103</x:f>
      </x:c>
      <x:c r="DL14" s="117" t="n">
        <x:f>IF(AND(YEAR(DL$3)=YEAR($B$8),MONTH(DL$3)=MONTH($B$8)),SUM('Продажи'!$D$49:'Продажи'!DK$49),0)+'ОБЪЕКТЫ'!DL103</x:f>
      </x:c>
      <x:c r="DM14" s="117" t="n">
        <x:f>IF(AND(YEAR(DM$3)=YEAR($B$8),MONTH(DM$3)=MONTH($B$8)),SUM('Продажи'!$D$49:'Продажи'!DL$49),0)+'ОБЪЕКТЫ'!DM103</x:f>
      </x:c>
      <x:c r="DN14" s="117" t="n">
        <x:f>IF(AND(YEAR(DN$3)=YEAR($B$8),MONTH(DN$3)=MONTH($B$8)),SUM('Продажи'!$D$49:'Продажи'!DM$49),0)+'ОБЪЕКТЫ'!DN103</x:f>
      </x:c>
      <x:c r="DO14" s="117" t="n">
        <x:f>IF(AND(YEAR(DO$3)=YEAR($B$8),MONTH(DO$3)=MONTH($B$8)),SUM('Продажи'!$D$49:'Продажи'!DN$49),0)+'ОБЪЕКТЫ'!DO103</x:f>
      </x:c>
      <x:c r="DP14" s="117" t="n">
        <x:f>IF(AND(YEAR(DP$3)=YEAR($B$8),MONTH(DP$3)=MONTH($B$8)),SUM('Продажи'!$D$49:'Продажи'!DO$49),0)+'ОБЪЕКТЫ'!DP103</x:f>
      </x:c>
      <x:c r="DQ14" s="117" t="n">
        <x:f>IF(AND(YEAR(DQ$3)=YEAR($B$8),MONTH(DQ$3)=MONTH($B$8)),SUM('Продажи'!$D$49:'Продажи'!DP$49),0)+'ОБЪЕКТЫ'!DQ103</x:f>
      </x:c>
      <x:c r="DR14" s="117" t="n">
        <x:f>IF(AND(YEAR(DR$3)=YEAR($B$8),MONTH(DR$3)=MONTH($B$8)),SUM('Продажи'!$D$49:'Продажи'!DQ$49),0)+'ОБЪЕКТЫ'!DR103</x:f>
      </x:c>
      <x:c r="DS14" s="117" t="n">
        <x:f>IF(AND(YEAR(DS$3)=YEAR($B$8),MONTH(DS$3)=MONTH($B$8)),SUM('Продажи'!$D$49:'Продажи'!DR$49),0)+'ОБЪЕКТЫ'!DS103</x:f>
      </x:c>
      <x:c r="DT14" s="117" t="n">
        <x:f>IF(AND(YEAR(DT$3)=YEAR($B$8),MONTH(DT$3)=MONTH($B$8)),SUM('Продажи'!$D$49:'Продажи'!GA$49),0)+'ОБЪЕКТЫ'!DT103</x:f>
      </x:c>
      <x:c r="DU14" s="117" t="n">
        <x:f>IF(AND(YEAR(DU$3)=YEAR($B$8),MONTH(DU$3)=MONTH($B$8)),SUM('Продажи'!$D$49:'Продажи'!DT$49),0)+'ОБЪЕКТЫ'!DU103</x:f>
      </x:c>
      <x:c r="DV14" s="117" t="n">
        <x:f>IF(AND(YEAR(DV$3)=YEAR($B$8),MONTH(DV$3)=MONTH($B$8)),SUM('Продажи'!$D$49:'Продажи'!DU$49),0)+'ОБЪЕКТЫ'!DV103</x:f>
      </x:c>
      <x:c r="DW14" s="117" t="n">
        <x:f>IF(AND(YEAR(DW$3)=YEAR($B$8),MONTH(DW$3)=MONTH($B$8)),SUM('Продажи'!$D$49:'Продажи'!DV$49),0)+'ОБЪЕКТЫ'!DW103</x:f>
      </x:c>
      <x:c r="DX14" s="117" t="n">
        <x:f>IF(AND(YEAR(DX$3)=YEAR($B$8),MONTH(DX$3)=MONTH($B$8)),SUM('Продажи'!$D$49:'Продажи'!DW$49),0)+'ОБЪЕКТЫ'!DX103</x:f>
      </x:c>
      <x:c r="DY14" s="117" t="n">
        <x:f>IF(AND(YEAR(DY$3)=YEAR($B$8),MONTH(DY$3)=MONTH($B$8)),SUM('Продажи'!$D$49:'Продажи'!DX$49),0)+'ОБЪЕКТЫ'!DY103</x:f>
      </x:c>
      <x:c r="DZ14" s="117" t="n">
        <x:f>IF(AND(YEAR(DZ$3)=YEAR($B$8),MONTH(DZ$3)=MONTH($B$8)),SUM('Продажи'!$D$49:'Продажи'!DY$49),0)+'ОБЪЕКТЫ'!DZ103</x:f>
      </x:c>
      <x:c r="EA14" s="117" t="n">
        <x:f>IF(AND(YEAR(EA$3)=YEAR($B$8),MONTH(EA$3)=MONTH($B$8)),SUM('Продажи'!$D$49:'Продажи'!DZ$49),0)+'ОБЪЕКТЫ'!EA103</x:f>
      </x:c>
      <x:c r="EB14" s="117" t="n">
        <x:f>IF(AND(YEAR(EB$3)=YEAR($B$8),MONTH(EB$3)=MONTH($B$8)),SUM('Продажи'!$D$49:'Продажи'!EA$49),0)+'ОБЪЕКТЫ'!EB103</x:f>
      </x:c>
      <x:c r="EC14" s="117" t="n">
        <x:f>IF(AND(YEAR(EC$3)=YEAR($B$8),MONTH(EC$3)=MONTH($B$8)),SUM('Продажи'!$D$49:'Продажи'!EB$49),0)+'ОБЪЕКТЫ'!EC103</x:f>
      </x:c>
      <x:c r="ED14" s="117" t="n">
        <x:f>IF(AND(YEAR(ED$3)=YEAR($B$8),MONTH(ED$3)=MONTH($B$8)),SUM('Продажи'!$D$49:'Продажи'!EC$49),0)+'ОБЪЕКТЫ'!ED103</x:f>
      </x:c>
      <x:c r="EE14" s="117" t="n">
        <x:f>IF(AND(YEAR(EE$3)=YEAR($B$8),MONTH(EE$3)=MONTH($B$8)),SUM('Продажи'!$D$49:'Продажи'!ED$49),0)+'ОБЪЕКТЫ'!EE103</x:f>
      </x:c>
      <x:c r="EF14" s="117" t="n">
        <x:f>IF(AND(YEAR(EF$3)=YEAR($B$8),MONTH(EF$3)=MONTH($B$8)),SUM('Продажи'!$D$49:'Продажи'!EE$49),0)+'ОБЪЕКТЫ'!EF103</x:f>
      </x:c>
      <x:c r="EG14" s="117" t="n">
        <x:f>IF(AND(YEAR(EG$3)=YEAR($B$8),MONTH(EG$3)=MONTH($B$8)),SUM('Продажи'!$D$49:'Продажи'!EF$49),0)+'ОБЪЕКТЫ'!EG103</x:f>
      </x:c>
      <x:c r="EH14" s="117" t="n">
        <x:f>IF(AND(YEAR(EH$3)=YEAR($B$8),MONTH(EH$3)=MONTH($B$8)),SUM('Продажи'!$D$49:'Продажи'!EG$49),0)+'ОБЪЕКТЫ'!EH103</x:f>
      </x:c>
      <x:c r="EI14" s="117" t="n">
        <x:f>IF(AND(YEAR(EI$3)=YEAR($B$8),MONTH(EI$3)=MONTH($B$8)),SUM('Продажи'!$D$49:'Продажи'!EH$49),0)+'ОБЪЕКТЫ'!EI103</x:f>
      </x:c>
      <x:c r="EJ14" s="117" t="n">
        <x:f>IF(AND(YEAR(EJ$3)=YEAR($B$8),MONTH(EJ$3)=MONTH($B$8)),SUM('Продажи'!$D$49:'Продажи'!EI$49),0)+'ОБЪЕКТЫ'!EJ103</x:f>
      </x:c>
      <x:c r="EK14" s="117" t="n">
        <x:f>IF(AND(YEAR(EK$3)=YEAR($B$8),MONTH(EK$3)=MONTH($B$8)),SUM('Продажи'!$D$49:'Продажи'!EJ$49),0)+'ОБЪЕКТЫ'!EK103</x:f>
      </x:c>
      <x:c r="EL14" s="117" t="n">
        <x:f>IF(AND(YEAR(EL$3)=YEAR($B$8),MONTH(EL$3)=MONTH($B$8)),SUM('Продажи'!$D$49:'Продажи'!EK$49),0)+'ОБЪЕКТЫ'!EL103</x:f>
      </x:c>
      <x:c r="EM14" s="117" t="n">
        <x:f>IF(AND(YEAR(EM$3)=YEAR($B$8),MONTH(EM$3)=MONTH($B$8)),SUM('Продажи'!$D$49:'Продажи'!EL$49),0)+'ОБЪЕКТЫ'!EM103</x:f>
      </x:c>
      <x:c r="EN14" s="117" t="n">
        <x:f>IF(AND(YEAR(EN$3)=YEAR($B$8),MONTH(EN$3)=MONTH($B$8)),SUM('Продажи'!$D$49:'Продажи'!EM$49),0)+'ОБЪЕКТЫ'!EN103</x:f>
      </x:c>
      <x:c r="EO14" s="117" t="n">
        <x:f>IF(AND(YEAR(EO$3)=YEAR($B$8),MONTH(EO$3)=MONTH($B$8)),SUM('Продажи'!$D$49:'Продажи'!EN$49),0)+'ОБЪЕКТЫ'!EO103</x:f>
      </x:c>
      <x:c r="EP14" s="117" t="n">
        <x:f>IF(AND(YEAR(EP$3)=YEAR($B$8),MONTH(EP$3)=MONTH($B$8)),SUM('Продажи'!$D$49:'Продажи'!EO$49),0)+'ОБЪЕКТЫ'!EP103</x:f>
      </x:c>
      <x:c r="EQ14" s="117" t="n">
        <x:f>IF(AND(YEAR(EQ$3)=YEAR($B$8),MONTH(EQ$3)=MONTH($B$8)),SUM('Продажи'!$D$49:'Продажи'!EP$49),0)+'ОБЪЕКТЫ'!EQ103</x:f>
      </x:c>
      <x:c r="ER14" s="117" t="n">
        <x:f>IF(AND(YEAR(ER$3)=YEAR($B$8),MONTH(ER$3)=MONTH($B$8)),SUM('Продажи'!$D$49:'Продажи'!EQ$49),0)+'ОБЪЕКТЫ'!ER103</x:f>
      </x:c>
      <x:c r="ES14" s="117" t="n">
        <x:f>IF(AND(YEAR(ES$3)=YEAR($B$8),MONTH(ES$3)=MONTH($B$8)),SUM('Продажи'!$D$49:'Продажи'!ER$49),0)+'ОБЪЕКТЫ'!ES103</x:f>
      </x:c>
      <x:c r="ET14" s="117" t="n">
        <x:f>IF(AND(YEAR(ET$3)=YEAR($B$8),MONTH(ET$3)=MONTH($B$8)),SUM('Продажи'!$D$49:'Продажи'!ES$49),0)+'ОБЪЕКТЫ'!ET103</x:f>
      </x:c>
      <x:c r="EU14" s="117" t="n">
        <x:f>IF(AND(YEAR(EU$3)=YEAR($B$8),MONTH(EU$3)=MONTH($B$8)),SUM('Продажи'!$D$49:'Продажи'!ET$49),0)+'ОБЪЕКТЫ'!EU103</x:f>
      </x:c>
      <x:c r="EV14" s="117" t="n">
        <x:f>IF(AND(YEAR(EV$3)=YEAR($B$8),MONTH(EV$3)=MONTH($B$8)),SUM('Продажи'!$D$49:'Продажи'!EU$49),0)+'ОБЪЕКТЫ'!EV103</x:f>
      </x:c>
      <x:c r="EW14" s="117" t="n">
        <x:f>IF(AND(YEAR(EW$3)=YEAR($B$8),MONTH(EW$3)=MONTH($B$8)),SUM('Продажи'!$D$49:'Продажи'!EV$49),0)+'ОБЪЕКТЫ'!EW103</x:f>
      </x:c>
      <x:c r="EX14" s="117" t="n">
        <x:f>IF(AND(YEAR(EX$3)=YEAR($B$8),MONTH(EX$3)=MONTH($B$8)),SUM('Продажи'!$D$49:'Продажи'!EW$49),0)+'ОБЪЕКТЫ'!EX103</x:f>
      </x:c>
      <x:c r="EY14" s="117" t="n">
        <x:f>IF(AND(YEAR(EY$3)=YEAR($B$8),MONTH(EY$3)=MONTH($B$8)),SUM('Продажи'!$D$49:'Продажи'!EX$49),0)+'ОБЪЕКТЫ'!EY103</x:f>
      </x:c>
      <x:c r="EZ14" s="117" t="n">
        <x:f>IF(AND(YEAR(EZ$3)=YEAR($B$8),MONTH(EZ$3)=MONTH($B$8)),SUM('Продажи'!$D$49:'Продажи'!EY$49),0)+'ОБЪЕКТЫ'!EZ103</x:f>
      </x:c>
      <x:c r="FA14" s="117" t="n">
        <x:f>IF(AND(YEAR(FA$3)=YEAR($B$8),MONTH(FA$3)=MONTH($B$8)),SUM('Продажи'!$D$49:'Продажи'!EZ$49),0)+'ОБЪЕКТЫ'!FA103</x:f>
      </x:c>
      <x:c r="FB14" s="117" t="n">
        <x:f>IF(AND(YEAR(FB$3)=YEAR($B$8),MONTH(FB$3)=MONTH($B$8)),SUM('Продажи'!$D$49:'Продажи'!FA$49),0)+'ОБЪЕКТЫ'!FB103</x:f>
      </x:c>
      <x:c r="FC14" s="117" t="n">
        <x:f>IF(AND(YEAR(FC$3)=YEAR($B$8),MONTH(FC$3)=MONTH($B$8)),SUM('Продажи'!$D$49:'Продажи'!FB$49),0)+'ОБЪЕКТЫ'!FC103</x:f>
      </x:c>
      <x:c r="FD14" s="117" t="n">
        <x:f>IF(AND(YEAR(FD$3)=YEAR($B$8),MONTH(FD$3)=MONTH($B$8)),SUM('Продажи'!$D$49:'Продажи'!FC$49),0)+'ОБЪЕКТЫ'!FD103</x:f>
      </x:c>
      <x:c r="FE14" s="117" t="n">
        <x:f>IF(AND(YEAR(FE$3)=YEAR($B$8),MONTH(FE$3)=MONTH($B$8)),SUM('Продажи'!$D$49:'Продажи'!FD$49),0)+'ОБЪЕКТЫ'!FE103</x:f>
      </x:c>
      <x:c r="FF14" s="117" t="n">
        <x:f>IF(AND(YEAR(FF$3)=YEAR($B$8),MONTH(FF$3)=MONTH($B$8)),SUM('Продажи'!$D$49:'Продажи'!FE$49),0)+'ОБЪЕКТЫ'!FF103</x:f>
      </x:c>
      <x:c r="FG14" s="117" t="n">
        <x:f>IF(AND(YEAR(FG$3)=YEAR($B$8),MONTH(FG$3)=MONTH($B$8)),SUM('Продажи'!$D$49:'Продажи'!FF$49),0)+'ОБЪЕКТЫ'!FG103</x:f>
      </x:c>
      <x:c r="FH14" s="117" t="n">
        <x:f>IF(AND(YEAR(FH$3)=YEAR($B$8),MONTH(FH$3)=MONTH($B$8)),SUM('Продажи'!$D$49:'Продажи'!FG$49),0)+'ОБЪЕКТЫ'!FH103</x:f>
      </x:c>
      <x:c r="FI14" s="117" t="n">
        <x:f>IF(AND(YEAR(FI$3)=YEAR($B$8),MONTH(FI$3)=MONTH($B$8)),SUM('Продажи'!$D$49:'Продажи'!FH$49),0)+'ОБЪЕКТЫ'!FI103</x:f>
      </x:c>
      <x:c r="FJ14" s="117" t="n">
        <x:f>IF(AND(YEAR(FJ$3)=YEAR($B$8),MONTH(FJ$3)=MONTH($B$8)),SUM('Продажи'!$D$49:'Продажи'!FI$49),0)+'ОБЪЕКТЫ'!FJ103</x:f>
      </x:c>
      <x:c r="FK14" s="117" t="n">
        <x:f>IF(AND(YEAR(FK$3)=YEAR($B$8),MONTH(FK$3)=MONTH($B$8)),SUM('Продажи'!$D$49:'Продажи'!FJ$49),0)+'ОБЪЕКТЫ'!FK103</x:f>
      </x:c>
      <x:c r="FL14" s="117" t="n">
        <x:f>IF(AND(YEAR(FL$3)=YEAR($B$8),MONTH(FL$3)=MONTH($B$8)),SUM('Продажи'!$D$49:'Продажи'!FK$49),0)+'ОБЪЕКТЫ'!FL103</x:f>
      </x:c>
      <x:c r="FM14" s="117" t="n">
        <x:f>IF(AND(YEAR(FM$3)=YEAR($B$8),MONTH(FM$3)=MONTH($B$8)),SUM('Продажи'!$D$49:'Продажи'!FL$49),0)+'ОБЪЕКТЫ'!FM103</x:f>
      </x:c>
      <x:c r="FN14" s="117" t="n">
        <x:f>IF(AND(YEAR(FN$3)=YEAR($B$8),MONTH(FN$3)=MONTH($B$8)),SUM('Продажи'!$D$49:'Продажи'!FM$49),0)+'ОБЪЕКТЫ'!FN103</x:f>
      </x:c>
      <x:c r="FO14" s="117" t="n">
        <x:f>IF(AND(YEAR(FO$3)=YEAR($B$8),MONTH(FO$3)=MONTH($B$8)),SUM('Продажи'!$D$49:'Продажи'!FN$49),0)+'ОБЪЕКТЫ'!FO103</x:f>
      </x:c>
      <x:c r="FP14" s="117" t="n">
        <x:f>IF(AND(YEAR(FP$3)=YEAR($B$8),MONTH(FP$3)=MONTH($B$8)),SUM('Продажи'!$D$49:'Продажи'!FO$49),0)+'ОБЪЕКТЫ'!FP103</x:f>
      </x:c>
      <x:c r="FQ14" s="117" t="n">
        <x:f>IF(AND(YEAR(FQ$3)=YEAR($B$8),MONTH(FQ$3)=MONTH($B$8)),SUM('Продажи'!$D$49:'Продажи'!FP$49),0)+'ОБЪЕКТЫ'!FQ103</x:f>
      </x:c>
      <x:c r="FR14" s="117" t="n">
        <x:f>IF(AND(YEAR(FR$3)=YEAR($B$8),MONTH(FR$3)=MONTH($B$8)),SUM('Продажи'!$D$49:'Продажи'!FQ$49),0)+'ОБЪЕКТЫ'!FR103</x:f>
      </x:c>
      <x:c r="FS14" s="117" t="n">
        <x:f>IF(AND(YEAR(FS$3)=YEAR($B$8),MONTH(FS$3)=MONTH($B$8)),SUM('Продажи'!$D$49:'Продажи'!FR$49),0)+'ОБЪЕКТЫ'!FS103</x:f>
      </x:c>
      <x:c r="FT14" s="117" t="n">
        <x:f>IF(AND(YEAR(FT$3)=YEAR($B$8),MONTH(FT$3)=MONTH($B$8)),SUM('Продажи'!$D$49:'Продажи'!FS$49),0)+'ОБЪЕКТЫ'!FT103</x:f>
      </x:c>
      <x:c r="FU14" s="117" t="n">
        <x:f>IF(AND(YEAR(FU$3)=YEAR($B$8),MONTH(FU$3)=MONTH($B$8)),SUM('Продажи'!$D$49:'Продажи'!FT$49),0)+'ОБЪЕКТЫ'!FU103</x:f>
      </x:c>
      <x:c r="FV14" s="117" t="n">
        <x:f>IF(AND(YEAR(FV$3)=YEAR($B$8),MONTH(FV$3)=MONTH($B$8)),SUM('Продажи'!$D$49:'Продажи'!FU$49),0)+'ОБЪЕКТЫ'!FV103</x:f>
      </x:c>
      <x:c r="FW14" s="117" t="n">
        <x:f>IF(AND(YEAR(FW$3)=YEAR($B$8),MONTH(FW$3)=MONTH($B$8)),SUM('Продажи'!$D$49:'Продажи'!FV$49),0)+'ОБЪЕКТЫ'!FW103</x:f>
      </x:c>
      <x:c r="FX14" s="117" t="n">
        <x:f>IF(AND(YEAR(FX$3)=YEAR($B$8),MONTH(FX$3)=MONTH($B$8)),SUM('Продажи'!$D$49:'Продажи'!FW$49),0)+'ОБЪЕКТЫ'!FX103</x:f>
      </x:c>
      <x:c r="FY14" s="117" t="n">
        <x:f>IF(AND(YEAR(FY$3)=YEAR($B$8),MONTH(FY$3)=MONTH($B$8)),SUM('Продажи'!$D$49:'Продажи'!FX$49),0)+'ОБЪЕКТЫ'!FY103</x:f>
      </x:c>
      <x:c r="FZ14" s="117" t="n">
        <x:f>IF(AND(YEAR(FZ$3)=YEAR($B$8),MONTH(FZ$3)=MONTH($B$8)),SUM('Продажи'!$D$49:'Продажи'!FY$49),0)+'ОБЪЕКТЫ'!FZ103</x:f>
      </x:c>
      <x:c r="GA14" s="117" t="n">
        <x:f>IF(AND(YEAR(GA$3)=YEAR($B$8),MONTH(GA$3)=MONTH($B$8)),SUM('Продажи'!$D$49:'Продажи'!FZ$49),0)+'ОБЪЕКТЫ'!GA103</x:f>
      </x:c>
    </x:row>
    <x:row r="15">
      <x:c r="A15" t="str">
        <x:v>Эскроу на конец</x:v>
      </x:c>
      <x:c r="B15" t="n">
        <x:f>GA15</x:f>
      </x:c>
      <x:c r="C15" t="str">
        <x:v>млн ₽</x:v>
      </x:c>
      <x:c r="D15" s="117" t="n">
        <x:f>MAX(0,D13+D11-D14)</x:f>
      </x:c>
      <x:c r="E15" s="117" t="n">
        <x:f>MAX(0,E13+E11-E14)</x:f>
      </x:c>
      <x:c r="F15" s="117" t="n">
        <x:f>MAX(0,F13+F11-F14)</x:f>
      </x:c>
      <x:c r="G15" s="117" t="n">
        <x:f>MAX(0,G13+G11-G14)</x:f>
      </x:c>
      <x:c r="H15" s="117" t="n">
        <x:f>MAX(0,H13+H11-H14)</x:f>
      </x:c>
      <x:c r="I15" s="117" t="n">
        <x:f>MAX(0,I13+I11-I14)</x:f>
      </x:c>
      <x:c r="J15" s="117" t="n">
        <x:f>MAX(0,J13+J11-J14)</x:f>
      </x:c>
      <x:c r="K15" s="117" t="n">
        <x:f>MAX(0,K13+K11-K14)</x:f>
      </x:c>
      <x:c r="L15" s="117" t="n">
        <x:f>MAX(0,L13+L11-L14)</x:f>
      </x:c>
      <x:c r="M15" s="117" t="n">
        <x:f>MAX(0,M13+M11-M14)</x:f>
      </x:c>
      <x:c r="N15" s="117" t="n">
        <x:f>MAX(0,N13+N11-N14)</x:f>
      </x:c>
      <x:c r="O15" s="117" t="n">
        <x:f>MAX(0,O13+O11-O14)</x:f>
      </x:c>
      <x:c r="P15" s="117" t="n">
        <x:f>MAX(0,P13+P11-P14)</x:f>
      </x:c>
      <x:c r="Q15" s="117" t="n">
        <x:f>MAX(0,Q13+Q11-Q14)</x:f>
      </x:c>
      <x:c r="R15" s="117" t="n">
        <x:f>MAX(0,R13+R11-R14)</x:f>
      </x:c>
      <x:c r="S15" s="117" t="n">
        <x:f>MAX(0,S13+S11-S14)</x:f>
      </x:c>
      <x:c r="T15" s="117" t="n">
        <x:f>MAX(0,T13+T11-T14)</x:f>
      </x:c>
      <x:c r="U15" s="117" t="n">
        <x:f>MAX(0,U13+U11-U14)</x:f>
      </x:c>
      <x:c r="V15" s="117" t="n">
        <x:f>MAX(0,V13+V11-V14)</x:f>
      </x:c>
      <x:c r="W15" s="117" t="n">
        <x:f>MAX(0,W13+W11-W14)</x:f>
      </x:c>
      <x:c r="X15" s="117" t="n">
        <x:f>MAX(0,X13+X11-X14)</x:f>
      </x:c>
      <x:c r="Y15" s="117" t="n">
        <x:f>MAX(0,Y13+Y11-Y14)</x:f>
      </x:c>
      <x:c r="Z15" s="117" t="n">
        <x:f>MAX(0,Z13+Z11-Z14)</x:f>
      </x:c>
      <x:c r="AA15" s="117" t="n">
        <x:f>MAX(0,AA13+AA11-AA14)</x:f>
      </x:c>
      <x:c r="AB15" s="117" t="n">
        <x:f>MAX(0,AB13+AB11-AB14)</x:f>
      </x:c>
      <x:c r="AC15" s="117" t="n">
        <x:f>MAX(0,AC13+AC11-AC14)</x:f>
      </x:c>
      <x:c r="AD15" s="117" t="n">
        <x:f>MAX(0,AD13+AD11-AD14)</x:f>
      </x:c>
      <x:c r="AE15" s="117" t="n">
        <x:f>MAX(0,AE13+AE11-AE14)</x:f>
      </x:c>
      <x:c r="AF15" s="117" t="n">
        <x:f>MAX(0,AF13+AF11-AF14)</x:f>
      </x:c>
      <x:c r="AG15" s="117" t="n">
        <x:f>MAX(0,AG13+AG11-AG14)</x:f>
      </x:c>
      <x:c r="AH15" s="117" t="n">
        <x:f>MAX(0,AH13+AH11-AH14)</x:f>
      </x:c>
      <x:c r="AI15" s="117" t="n">
        <x:f>MAX(0,AI13+AI11-AI14)</x:f>
      </x:c>
      <x:c r="AJ15" s="117" t="n">
        <x:f>MAX(0,AJ13+AJ11-AJ14)</x:f>
      </x:c>
      <x:c r="AK15" s="117" t="n">
        <x:f>MAX(0,AK13+AK11-AK14)</x:f>
      </x:c>
      <x:c r="AL15" s="117" t="n">
        <x:f>MAX(0,AL13+AL11-AL14)</x:f>
      </x:c>
      <x:c r="AM15" s="117" t="n">
        <x:f>MAX(0,AM13+AM11-AM14)</x:f>
      </x:c>
      <x:c r="AN15" s="117" t="n">
        <x:f>MAX(0,AN13+AN11-AN14)</x:f>
      </x:c>
      <x:c r="AO15" s="117" t="n">
        <x:f>MAX(0,AO13+AO11-AO14)</x:f>
      </x:c>
      <x:c r="AP15" s="117" t="n">
        <x:f>MAX(0,AP13+AP11-AP14)</x:f>
      </x:c>
      <x:c r="AQ15" s="117" t="n">
        <x:f>MAX(0,AQ13+AQ11-AQ14)</x:f>
      </x:c>
      <x:c r="AR15" s="117" t="n">
        <x:f>MAX(0,AR13+AR11-AR14)</x:f>
      </x:c>
      <x:c r="AS15" s="117" t="n">
        <x:f>MAX(0,AS13+AS11-AS14)</x:f>
      </x:c>
      <x:c r="AT15" s="117" t="n">
        <x:f>MAX(0,AT13+AT11-AT14)</x:f>
      </x:c>
      <x:c r="AU15" s="117" t="n">
        <x:f>MAX(0,AU13+AU11-AU14)</x:f>
      </x:c>
      <x:c r="AV15" s="117" t="n">
        <x:f>MAX(0,AV13+AV11-AV14)</x:f>
      </x:c>
      <x:c r="AW15" s="117" t="n">
        <x:f>MAX(0,AW13+AW11-AW14)</x:f>
      </x:c>
      <x:c r="AX15" s="117" t="n">
        <x:f>MAX(0,AX13+AX11-AX14)</x:f>
      </x:c>
      <x:c r="AY15" s="117" t="n">
        <x:f>MAX(0,AY13+AY11-AY14)</x:f>
      </x:c>
      <x:c r="AZ15" s="117" t="n">
        <x:f>MAX(0,AZ13+AZ11-AZ14)</x:f>
      </x:c>
      <x:c r="BA15" s="117" t="n">
        <x:f>MAX(0,BA13+BA11-BA14)</x:f>
      </x:c>
      <x:c r="BB15" s="117" t="n">
        <x:f>MAX(0,BB13+BB11-BB14)</x:f>
      </x:c>
      <x:c r="BC15" s="117" t="n">
        <x:f>MAX(0,BC13+BC11-BC14)</x:f>
      </x:c>
      <x:c r="BD15" s="117" t="n">
        <x:f>MAX(0,BD13+BD11-BD14)</x:f>
      </x:c>
      <x:c r="BE15" s="117" t="n">
        <x:f>MAX(0,BE13+BE11-BE14)</x:f>
      </x:c>
      <x:c r="BF15" s="117" t="n">
        <x:f>MAX(0,BF13+BF11-BF14)</x:f>
      </x:c>
      <x:c r="BG15" s="117" t="n">
        <x:f>MAX(0,BG13+BG11-BG14)</x:f>
      </x:c>
      <x:c r="BH15" s="117" t="n">
        <x:f>MAX(0,BH13+BH11-BH14)</x:f>
      </x:c>
      <x:c r="BI15" s="117" t="n">
        <x:f>MAX(0,BI13+BI11-BI14)</x:f>
      </x:c>
      <x:c r="BJ15" s="117" t="n">
        <x:f>MAX(0,BJ13+BJ11-BJ14)</x:f>
      </x:c>
      <x:c r="BK15" s="117" t="n">
        <x:f>MAX(0,BK13+BK11-BK14)</x:f>
      </x:c>
      <x:c r="BL15" s="117" t="n">
        <x:f>MAX(0,BL13+BL11-BL14)</x:f>
      </x:c>
      <x:c r="BM15" s="117" t="n">
        <x:f>MAX(0,BM13+BM11-BM14)</x:f>
      </x:c>
      <x:c r="BN15" s="117" t="n">
        <x:f>MAX(0,BN13+BN11-BN14)</x:f>
      </x:c>
      <x:c r="BO15" s="117" t="n">
        <x:f>MAX(0,BO13+BO11-BO14)</x:f>
      </x:c>
      <x:c r="BP15" s="117" t="n">
        <x:f>MAX(0,BP13+BP11-BP14)</x:f>
      </x:c>
      <x:c r="BQ15" s="117" t="n">
        <x:f>MAX(0,BQ13+BQ11-BQ14)</x:f>
      </x:c>
      <x:c r="BR15" s="117" t="n">
        <x:f>MAX(0,BR13+BR11-BR14)</x:f>
      </x:c>
      <x:c r="BS15" s="117" t="n">
        <x:f>MAX(0,BS13+BS11-BS14)</x:f>
      </x:c>
      <x:c r="BT15" s="117" t="n">
        <x:f>MAX(0,BT13+BT11-BT14)</x:f>
      </x:c>
      <x:c r="BU15" s="117" t="n">
        <x:f>MAX(0,BU13+BU11-BU14)</x:f>
      </x:c>
      <x:c r="BV15" s="117" t="n">
        <x:f>MAX(0,BV13+BV11-BV14)</x:f>
      </x:c>
      <x:c r="BW15" s="117" t="n">
        <x:f>MAX(0,BW13+BW11-BW14)</x:f>
      </x:c>
      <x:c r="BX15" s="117" t="n">
        <x:f>MAX(0,BX13+BX11-BX14)</x:f>
      </x:c>
      <x:c r="BY15" s="117" t="n">
        <x:f>MAX(0,BY13+BY11-BY14)</x:f>
      </x:c>
      <x:c r="BZ15" s="117" t="n">
        <x:f>MAX(0,BZ13+BZ11-BZ14)</x:f>
      </x:c>
      <x:c r="CA15" s="117" t="n">
        <x:f>MAX(0,CA13+CA11-CA14)</x:f>
      </x:c>
      <x:c r="CB15" s="117" t="n">
        <x:f>MAX(0,CB13+CB11-CB14)</x:f>
      </x:c>
      <x:c r="CC15" s="117" t="n">
        <x:f>MAX(0,CC13+CC11-CC14)</x:f>
      </x:c>
      <x:c r="CD15" s="117" t="n">
        <x:f>MAX(0,CD13+CD11-CD14)</x:f>
      </x:c>
      <x:c r="CE15" s="117" t="n">
        <x:f>MAX(0,CE13+CE11-CE14)</x:f>
      </x:c>
      <x:c r="CF15" s="117" t="n">
        <x:f>MAX(0,CF13+CF11-CF14)</x:f>
      </x:c>
      <x:c r="CG15" s="117" t="n">
        <x:f>MAX(0,CG13+CG11-CG14)</x:f>
      </x:c>
      <x:c r="CH15" s="117" t="n">
        <x:f>MAX(0,CH13+CH11-CH14)</x:f>
      </x:c>
      <x:c r="CI15" s="117" t="n">
        <x:f>MAX(0,CI13+CI11-CI14)</x:f>
      </x:c>
      <x:c r="CJ15" s="117" t="n">
        <x:f>MAX(0,CJ13+CJ11-CJ14)</x:f>
      </x:c>
      <x:c r="CK15" s="117" t="n">
        <x:f>MAX(0,CK13+CK11-CK14)</x:f>
      </x:c>
      <x:c r="CL15" s="117" t="n">
        <x:f>MAX(0,CL13+CL11-CL14)</x:f>
      </x:c>
      <x:c r="CM15" s="117" t="n">
        <x:f>MAX(0,CM13+CM11-CM14)</x:f>
      </x:c>
      <x:c r="CN15" s="117" t="n">
        <x:f>MAX(0,CN13+CN11-CN14)</x:f>
      </x:c>
      <x:c r="CO15" s="117" t="n">
        <x:f>MAX(0,CO13+CO11-CO14)</x:f>
      </x:c>
      <x:c r="CP15" s="117" t="n">
        <x:f>MAX(0,CP13+CP11-CP14)</x:f>
      </x:c>
      <x:c r="CQ15" s="117" t="n">
        <x:f>MAX(0,CQ13+CQ11-CQ14)</x:f>
      </x:c>
      <x:c r="CR15" s="117" t="n">
        <x:f>MAX(0,CR13+CR11-CR14)</x:f>
      </x:c>
      <x:c r="CS15" s="117" t="n">
        <x:f>MAX(0,CS13+CS11-CS14)</x:f>
      </x:c>
      <x:c r="CT15" s="117" t="n">
        <x:f>MAX(0,CT13+CT11-CT14)</x:f>
      </x:c>
      <x:c r="CU15" s="117" t="n">
        <x:f>MAX(0,CU13+CU11-CU14)</x:f>
      </x:c>
      <x:c r="CV15" s="117" t="n">
        <x:f>MAX(0,CV13+CV11-CV14)</x:f>
      </x:c>
      <x:c r="CW15" s="117" t="n">
        <x:f>MAX(0,CW13+CW11-CW14)</x:f>
      </x:c>
      <x:c r="CX15" s="117" t="n">
        <x:f>MAX(0,CX13+CX11-CX14)</x:f>
      </x:c>
      <x:c r="CY15" s="117" t="n">
        <x:f>MAX(0,CY13+CY11-CY14)</x:f>
      </x:c>
      <x:c r="CZ15" s="117" t="n">
        <x:f>MAX(0,CZ13+CZ11-CZ14)</x:f>
      </x:c>
      <x:c r="DA15" s="117" t="n">
        <x:f>MAX(0,DA13+DA11-DA14)</x:f>
      </x:c>
      <x:c r="DB15" s="117" t="n">
        <x:f>MAX(0,DB13+DB11-DB14)</x:f>
      </x:c>
      <x:c r="DC15" s="117" t="n">
        <x:f>MAX(0,DC13+DC11-DC14)</x:f>
      </x:c>
      <x:c r="DD15" s="117" t="n">
        <x:f>MAX(0,DD13+DD11-DD14)</x:f>
      </x:c>
      <x:c r="DE15" s="117" t="n">
        <x:f>MAX(0,DE13+DE11-DE14)</x:f>
      </x:c>
      <x:c r="DF15" s="117" t="n">
        <x:f>MAX(0,DF13+DF11-DF14)</x:f>
      </x:c>
      <x:c r="DG15" s="117" t="n">
        <x:f>MAX(0,DG13+DG11-DG14)</x:f>
      </x:c>
      <x:c r="DH15" s="117" t="n">
        <x:f>MAX(0,DH13+DH11-DH14)</x:f>
      </x:c>
      <x:c r="DI15" s="117" t="n">
        <x:f>MAX(0,DI13+DI11-DI14)</x:f>
      </x:c>
      <x:c r="DJ15" s="117" t="n">
        <x:f>MAX(0,DJ13+DJ11-DJ14)</x:f>
      </x:c>
      <x:c r="DK15" s="117" t="n">
        <x:f>MAX(0,DK13+DK11-DK14)</x:f>
      </x:c>
      <x:c r="DL15" s="117" t="n">
        <x:f>MAX(0,DL13+DL11-DL14)</x:f>
      </x:c>
      <x:c r="DM15" s="117" t="n">
        <x:f>MAX(0,DM13+DM11-DM14)</x:f>
      </x:c>
      <x:c r="DN15" s="117" t="n">
        <x:f>MAX(0,DN13+DN11-DN14)</x:f>
      </x:c>
      <x:c r="DO15" s="117" t="n">
        <x:f>MAX(0,DO13+DO11-DO14)</x:f>
      </x:c>
      <x:c r="DP15" s="117" t="n">
        <x:f>MAX(0,DP13+DP11-DP14)</x:f>
      </x:c>
      <x:c r="DQ15" s="117" t="n">
        <x:f>MAX(0,DQ13+DQ11-DQ14)</x:f>
      </x:c>
      <x:c r="DR15" s="117" t="n">
        <x:f>MAX(0,DR13+DR11-DR14)</x:f>
      </x:c>
      <x:c r="DS15" s="117" t="n">
        <x:f>MAX(0,DS13+DS11-DS14)</x:f>
      </x:c>
      <x:c r="DT15" s="117" t="n">
        <x:f>MAX(0,DT13+DT11-DT14)</x:f>
      </x:c>
      <x:c r="DU15" s="117" t="n">
        <x:f>MAX(0,DU13+DU11-DU14)</x:f>
      </x:c>
      <x:c r="DV15" s="117" t="n">
        <x:f>MAX(0,DV13+DV11-DV14)</x:f>
      </x:c>
      <x:c r="DW15" s="117" t="n">
        <x:f>MAX(0,DW13+DW11-DW14)</x:f>
      </x:c>
      <x:c r="DX15" s="117" t="n">
        <x:f>MAX(0,DX13+DX11-DX14)</x:f>
      </x:c>
      <x:c r="DY15" s="117" t="n">
        <x:f>MAX(0,DY13+DY11-DY14)</x:f>
      </x:c>
      <x:c r="DZ15" s="117" t="n">
        <x:f>MAX(0,DZ13+DZ11-DZ14)</x:f>
      </x:c>
      <x:c r="EA15" s="117" t="n">
        <x:f>MAX(0,EA13+EA11-EA14)</x:f>
      </x:c>
      <x:c r="EB15" s="117" t="n">
        <x:f>MAX(0,EB13+EB11-EB14)</x:f>
      </x:c>
      <x:c r="EC15" s="117" t="n">
        <x:f>MAX(0,EC13+EC11-EC14)</x:f>
      </x:c>
      <x:c r="ED15" s="117" t="n">
        <x:f>MAX(0,ED13+ED11-ED14)</x:f>
      </x:c>
      <x:c r="EE15" s="117" t="n">
        <x:f>MAX(0,EE13+EE11-EE14)</x:f>
      </x:c>
      <x:c r="EF15" s="117" t="n">
        <x:f>MAX(0,EF13+EF11-EF14)</x:f>
      </x:c>
      <x:c r="EG15" s="117" t="n">
        <x:f>MAX(0,EG13+EG11-EG14)</x:f>
      </x:c>
      <x:c r="EH15" s="117" t="n">
        <x:f>MAX(0,EH13+EH11-EH14)</x:f>
      </x:c>
      <x:c r="EI15" s="117" t="n">
        <x:f>MAX(0,EI13+EI11-EI14)</x:f>
      </x:c>
      <x:c r="EJ15" s="117" t="n">
        <x:f>MAX(0,EJ13+EJ11-EJ14)</x:f>
      </x:c>
      <x:c r="EK15" s="117" t="n">
        <x:f>MAX(0,EK13+EK11-EK14)</x:f>
      </x:c>
      <x:c r="EL15" s="117" t="n">
        <x:f>MAX(0,EL13+EL11-EL14)</x:f>
      </x:c>
      <x:c r="EM15" s="117" t="n">
        <x:f>MAX(0,EM13+EM11-EM14)</x:f>
      </x:c>
      <x:c r="EN15" s="117" t="n">
        <x:f>MAX(0,EN13+EN11-EN14)</x:f>
      </x:c>
      <x:c r="EO15" s="117" t="n">
        <x:f>MAX(0,EO13+EO11-EO14)</x:f>
      </x:c>
      <x:c r="EP15" s="117" t="n">
        <x:f>MAX(0,EP13+EP11-EP14)</x:f>
      </x:c>
      <x:c r="EQ15" s="117" t="n">
        <x:f>MAX(0,EQ13+EQ11-EQ14)</x:f>
      </x:c>
      <x:c r="ER15" s="117" t="n">
        <x:f>MAX(0,ER13+ER11-ER14)</x:f>
      </x:c>
      <x:c r="ES15" s="117" t="n">
        <x:f>MAX(0,ES13+ES11-ES14)</x:f>
      </x:c>
      <x:c r="ET15" s="117" t="n">
        <x:f>MAX(0,ET13+ET11-ET14)</x:f>
      </x:c>
      <x:c r="EU15" s="117" t="n">
        <x:f>MAX(0,EU13+EU11-EU14)</x:f>
      </x:c>
      <x:c r="EV15" s="117" t="n">
        <x:f>MAX(0,EV13+EV11-EV14)</x:f>
      </x:c>
      <x:c r="EW15" s="117" t="n">
        <x:f>MAX(0,EW13+EW11-EW14)</x:f>
      </x:c>
      <x:c r="EX15" s="117" t="n">
        <x:f>MAX(0,EX13+EX11-EX14)</x:f>
      </x:c>
      <x:c r="EY15" s="117" t="n">
        <x:f>MAX(0,EY13+EY11-EY14)</x:f>
      </x:c>
      <x:c r="EZ15" s="117" t="n">
        <x:f>MAX(0,EZ13+EZ11-EZ14)</x:f>
      </x:c>
      <x:c r="FA15" s="117" t="n">
        <x:f>MAX(0,FA13+FA11-FA14)</x:f>
      </x:c>
      <x:c r="FB15" s="117" t="n">
        <x:f>MAX(0,FB13+FB11-FB14)</x:f>
      </x:c>
      <x:c r="FC15" s="117" t="n">
        <x:f>MAX(0,FC13+FC11-FC14)</x:f>
      </x:c>
      <x:c r="FD15" s="117" t="n">
        <x:f>MAX(0,FD13+FD11-FD14)</x:f>
      </x:c>
      <x:c r="FE15" s="117" t="n">
        <x:f>MAX(0,FE13+FE11-FE14)</x:f>
      </x:c>
      <x:c r="FF15" s="117" t="n">
        <x:f>MAX(0,FF13+FF11-FF14)</x:f>
      </x:c>
      <x:c r="FG15" s="117" t="n">
        <x:f>MAX(0,FG13+FG11-FG14)</x:f>
      </x:c>
      <x:c r="FH15" s="117" t="n">
        <x:f>MAX(0,FH13+FH11-FH14)</x:f>
      </x:c>
      <x:c r="FI15" s="117" t="n">
        <x:f>MAX(0,FI13+FI11-FI14)</x:f>
      </x:c>
      <x:c r="FJ15" s="117" t="n">
        <x:f>MAX(0,FJ13+FJ11-FJ14)</x:f>
      </x:c>
      <x:c r="FK15" s="117" t="n">
        <x:f>MAX(0,FK13+FK11-FK14)</x:f>
      </x:c>
      <x:c r="FL15" s="117" t="n">
        <x:f>MAX(0,FL13+FL11-FL14)</x:f>
      </x:c>
      <x:c r="FM15" s="117" t="n">
        <x:f>MAX(0,FM13+FM11-FM14)</x:f>
      </x:c>
      <x:c r="FN15" s="117" t="n">
        <x:f>MAX(0,FN13+FN11-FN14)</x:f>
      </x:c>
      <x:c r="FO15" s="117" t="n">
        <x:f>MAX(0,FO13+FO11-FO14)</x:f>
      </x:c>
      <x:c r="FP15" s="117" t="n">
        <x:f>MAX(0,FP13+FP11-FP14)</x:f>
      </x:c>
      <x:c r="FQ15" s="117" t="n">
        <x:f>MAX(0,FQ13+FQ11-FQ14)</x:f>
      </x:c>
      <x:c r="FR15" s="117" t="n">
        <x:f>MAX(0,FR13+FR11-FR14)</x:f>
      </x:c>
      <x:c r="FS15" s="117" t="n">
        <x:f>MAX(0,FS13+FS11-FS14)</x:f>
      </x:c>
      <x:c r="FT15" s="117" t="n">
        <x:f>MAX(0,FT13+FT11-FT14)</x:f>
      </x:c>
      <x:c r="FU15" s="117" t="n">
        <x:f>MAX(0,FU13+FU11-FU14)</x:f>
      </x:c>
      <x:c r="FV15" s="117" t="n">
        <x:f>MAX(0,FV13+FV11-FV14)</x:f>
      </x:c>
      <x:c r="FW15" s="117" t="n">
        <x:f>MAX(0,FW13+FW11-FW14)</x:f>
      </x:c>
      <x:c r="FX15" s="117" t="n">
        <x:f>MAX(0,FX13+FX11-FX14)</x:f>
      </x:c>
      <x:c r="FY15" s="117" t="n">
        <x:f>MAX(0,FY13+FY11-FY14)</x:f>
      </x:c>
      <x:c r="FZ15" s="117" t="n">
        <x:f>MAX(0,FZ13+FZ11-FZ14)</x:f>
      </x:c>
      <x:c r="GA15" s="117" t="n">
        <x:f>MAX(0,GA13+GA11-GA14)</x:f>
      </x:c>
    </x:row>
    <x:row r="16">
      <x:c r="A16"/>
      <x:c r="B16"/>
      <x:c r="C16"/>
      <x:c r="D16" s="117"/>
      <x:c r="E16" s="117"/>
      <x:c r="F16" s="117"/>
      <x:c r="G16" s="117"/>
      <x:c r="H16" s="117"/>
      <x:c r="I16" s="117"/>
      <x:c r="J16" s="117"/>
      <x:c r="K16" s="117"/>
      <x:c r="L16" s="117"/>
      <x:c r="M16" s="117"/>
      <x:c r="N16" s="117"/>
      <x:c r="O16" s="117"/>
      <x:c r="P16" s="117"/>
      <x:c r="Q16" s="117"/>
      <x:c r="R16" s="117"/>
      <x:c r="S16" s="117"/>
      <x:c r="T16" s="117"/>
      <x:c r="U16" s="117"/>
      <x:c r="V16" s="117"/>
      <x:c r="W16" s="117"/>
      <x:c r="X16" s="117"/>
      <x:c r="Y16" s="117"/>
      <x:c r="Z16" s="117"/>
      <x:c r="AA16" s="117"/>
      <x:c r="AB16" s="117"/>
      <x:c r="AC16" s="117"/>
      <x:c r="AD16" s="117"/>
      <x:c r="AE16" s="117"/>
      <x:c r="AF16" s="117"/>
      <x:c r="AG16" s="117"/>
      <x:c r="AH16" s="117"/>
      <x:c r="AI16" s="117"/>
      <x:c r="AJ16" s="117"/>
      <x:c r="AK16" s="117"/>
      <x:c r="AL16" s="117"/>
      <x:c r="AM16" s="117"/>
      <x:c r="AN16" s="117"/>
      <x:c r="AO16" s="117"/>
      <x:c r="AP16" s="117"/>
      <x:c r="AQ16" s="117"/>
      <x:c r="AR16" s="117"/>
      <x:c r="AS16" s="117"/>
      <x:c r="AT16" s="117"/>
      <x:c r="AU16" s="117"/>
      <x:c r="AV16" s="117"/>
      <x:c r="AW16" s="117"/>
      <x:c r="AX16" s="117"/>
      <x:c r="AY16" s="117"/>
      <x:c r="AZ16" s="117"/>
      <x:c r="BA16" s="117"/>
      <x:c r="BB16" s="117"/>
      <x:c r="BC16" s="117"/>
      <x:c r="BD16" s="117"/>
      <x:c r="BE16" s="117"/>
      <x:c r="BF16" s="117"/>
      <x:c r="BG16" s="117"/>
      <x:c r="BH16" s="117"/>
      <x:c r="BI16" s="117"/>
      <x:c r="BJ16" s="117"/>
      <x:c r="BK16" s="117"/>
      <x:c r="BL16" s="117"/>
      <x:c r="BM16" s="117"/>
      <x:c r="BN16" s="117"/>
      <x:c r="BO16" s="117"/>
      <x:c r="BP16" s="117"/>
      <x:c r="BQ16" s="117"/>
      <x:c r="BR16" s="117"/>
      <x:c r="BS16" s="117"/>
      <x:c r="BT16" s="117"/>
      <x:c r="BU16" s="117"/>
      <x:c r="BV16" s="117"/>
      <x:c r="BW16" s="117"/>
      <x:c r="BX16" s="117"/>
      <x:c r="BY16" s="117"/>
      <x:c r="BZ16" s="117"/>
      <x:c r="CA16" s="117"/>
      <x:c r="CB16" s="117"/>
      <x:c r="CC16" s="117"/>
      <x:c r="CD16" s="117"/>
      <x:c r="CE16" s="117"/>
      <x:c r="CF16" s="117"/>
      <x:c r="CG16" s="117"/>
      <x:c r="CH16" s="117"/>
      <x:c r="CI16" s="117"/>
      <x:c r="CJ16" s="117"/>
      <x:c r="CK16" s="117"/>
      <x:c r="CL16" s="117"/>
      <x:c r="CM16" s="117"/>
      <x:c r="CN16" s="117"/>
      <x:c r="CO16" s="117"/>
      <x:c r="CP16" s="117"/>
      <x:c r="CQ16" s="117"/>
      <x:c r="CR16" s="117"/>
      <x:c r="CS16" s="117"/>
      <x:c r="CT16" s="117"/>
      <x:c r="CU16" s="117"/>
      <x:c r="CV16" s="117"/>
      <x:c r="CW16" s="117"/>
      <x:c r="CX16" s="117"/>
      <x:c r="CY16" s="117"/>
      <x:c r="CZ16" s="117"/>
      <x:c r="DA16" s="117"/>
      <x:c r="DB16" s="117"/>
      <x:c r="DC16" s="117"/>
      <x:c r="DD16" s="117"/>
      <x:c r="DE16" s="117"/>
      <x:c r="DF16" s="117"/>
      <x:c r="DG16" s="117"/>
      <x:c r="DH16" s="117"/>
      <x:c r="DI16" s="117"/>
      <x:c r="DJ16" s="117"/>
      <x:c r="DK16" s="117"/>
      <x:c r="DL16" s="117"/>
      <x:c r="DM16" s="117"/>
      <x:c r="DN16" s="117"/>
      <x:c r="DO16" s="117"/>
      <x:c r="DP16" s="117"/>
      <x:c r="DQ16" s="117"/>
      <x:c r="DR16" s="117"/>
      <x:c r="DS16" s="117"/>
      <x:c r="DT16" s="117"/>
      <x:c r="DU16" s="117"/>
      <x:c r="DV16" s="117"/>
      <x:c r="DW16" s="117"/>
      <x:c r="DX16" s="117"/>
      <x:c r="DY16" s="117"/>
      <x:c r="DZ16" s="117"/>
      <x:c r="EA16" s="117"/>
      <x:c r="EB16" s="117"/>
      <x:c r="EC16" s="117"/>
      <x:c r="ED16" s="117"/>
      <x:c r="EE16" s="117"/>
      <x:c r="EF16" s="117"/>
      <x:c r="EG16" s="117"/>
      <x:c r="EH16" s="117"/>
      <x:c r="EI16" s="117"/>
      <x:c r="EJ16" s="117"/>
      <x:c r="EK16" s="117"/>
      <x:c r="EL16" s="117"/>
      <x:c r="EM16" s="117"/>
      <x:c r="EN16" s="117"/>
      <x:c r="EO16" s="117"/>
      <x:c r="EP16" s="117"/>
      <x:c r="EQ16" s="117"/>
      <x:c r="ER16" s="117"/>
      <x:c r="ES16" s="117"/>
      <x:c r="ET16" s="117"/>
      <x:c r="EU16" s="117"/>
      <x:c r="EV16" s="117"/>
      <x:c r="EW16" s="117"/>
      <x:c r="EX16" s="117"/>
      <x:c r="EY16" s="117"/>
      <x:c r="EZ16" s="117"/>
      <x:c r="FA16" s="117"/>
      <x:c r="FB16" s="117"/>
      <x:c r="FC16" s="117"/>
      <x:c r="FD16" s="117"/>
      <x:c r="FE16" s="117"/>
      <x:c r="FF16" s="117"/>
      <x:c r="FG16" s="117"/>
      <x:c r="FH16" s="117"/>
      <x:c r="FI16" s="117"/>
      <x:c r="FJ16" s="117"/>
      <x:c r="FK16" s="117"/>
      <x:c r="FL16" s="117"/>
      <x:c r="FM16" s="117"/>
      <x:c r="FN16" s="117"/>
      <x:c r="FO16" s="117"/>
      <x:c r="FP16" s="117"/>
      <x:c r="FQ16" s="117"/>
      <x:c r="FR16" s="117"/>
      <x:c r="FS16" s="117"/>
      <x:c r="FT16" s="117"/>
      <x:c r="FU16" s="117"/>
      <x:c r="FV16" s="117"/>
      <x:c r="FW16" s="117"/>
      <x:c r="FX16" s="117"/>
      <x:c r="FY16" s="117"/>
      <x:c r="FZ16" s="117"/>
      <x:c r="GA16" s="117"/>
    </x:row>
    <x:row r="17">
      <x:c r="A17" t="str">
        <x:v>CAPEX</x:v>
      </x:c>
      <x:c r="B17" t="n">
        <x:f>SUM(D17:GA17)</x:f>
      </x:c>
      <x:c r="C17" t="str">
        <x:v>млн ₽</x:v>
      </x:c>
      <x:c r="D17" s="117" t="n">
        <x:f>'CAPEX'!D66</x:f>
      </x:c>
      <x:c r="E17" s="117" t="n">
        <x:f>'CAPEX'!E66</x:f>
      </x:c>
      <x:c r="F17" s="117" t="n">
        <x:f>'CAPEX'!F66</x:f>
      </x:c>
      <x:c r="G17" s="117" t="n">
        <x:f>'CAPEX'!G66</x:f>
      </x:c>
      <x:c r="H17" s="117" t="n">
        <x:f>'CAPEX'!H66</x:f>
      </x:c>
      <x:c r="I17" s="117" t="n">
        <x:f>'CAPEX'!I66</x:f>
      </x:c>
      <x:c r="J17" s="117" t="n">
        <x:f>'CAPEX'!J66</x:f>
      </x:c>
      <x:c r="K17" s="117" t="n">
        <x:f>'CAPEX'!K66</x:f>
      </x:c>
      <x:c r="L17" s="117" t="n">
        <x:f>'CAPEX'!L66</x:f>
      </x:c>
      <x:c r="M17" s="117" t="n">
        <x:f>'CAPEX'!M66</x:f>
      </x:c>
      <x:c r="N17" s="117" t="n">
        <x:f>'CAPEX'!N66</x:f>
      </x:c>
      <x:c r="O17" s="117" t="n">
        <x:f>'CAPEX'!O66</x:f>
      </x:c>
      <x:c r="P17" s="117" t="n">
        <x:f>'CAPEX'!P66</x:f>
      </x:c>
      <x:c r="Q17" s="117" t="n">
        <x:f>'CAPEX'!Q66</x:f>
      </x:c>
      <x:c r="R17" s="117" t="n">
        <x:f>'CAPEX'!R66</x:f>
      </x:c>
      <x:c r="S17" s="117" t="n">
        <x:f>'CAPEX'!S66</x:f>
      </x:c>
      <x:c r="T17" s="117" t="n">
        <x:f>'CAPEX'!T66</x:f>
      </x:c>
      <x:c r="U17" s="117" t="n">
        <x:f>'CAPEX'!U66</x:f>
      </x:c>
      <x:c r="V17" s="117" t="n">
        <x:f>'CAPEX'!V66</x:f>
      </x:c>
      <x:c r="W17" s="117" t="n">
        <x:f>'CAPEX'!W66</x:f>
      </x:c>
      <x:c r="X17" s="117" t="n">
        <x:f>'CAPEX'!X66</x:f>
      </x:c>
      <x:c r="Y17" s="117" t="n">
        <x:f>'CAPEX'!Y66</x:f>
      </x:c>
      <x:c r="Z17" s="117" t="n">
        <x:f>'CAPEX'!Z66</x:f>
      </x:c>
      <x:c r="AA17" s="117" t="n">
        <x:f>'CAPEX'!AA66</x:f>
      </x:c>
      <x:c r="AB17" s="117" t="n">
        <x:f>'CAPEX'!AB66</x:f>
      </x:c>
      <x:c r="AC17" s="117" t="n">
        <x:f>'CAPEX'!AC66</x:f>
      </x:c>
      <x:c r="AD17" s="117" t="n">
        <x:f>'CAPEX'!AD66</x:f>
      </x:c>
      <x:c r="AE17" s="117" t="n">
        <x:f>'CAPEX'!AE66</x:f>
      </x:c>
      <x:c r="AF17" s="117" t="n">
        <x:f>'CAPEX'!AF66</x:f>
      </x:c>
      <x:c r="AG17" s="117" t="n">
        <x:f>'CAPEX'!AG66</x:f>
      </x:c>
      <x:c r="AH17" s="117" t="n">
        <x:f>'CAPEX'!AH66</x:f>
      </x:c>
      <x:c r="AI17" s="117" t="n">
        <x:f>'CAPEX'!AI66</x:f>
      </x:c>
      <x:c r="AJ17" s="117" t="n">
        <x:f>'CAPEX'!AJ66</x:f>
      </x:c>
      <x:c r="AK17" s="117" t="n">
        <x:f>'CAPEX'!AK66</x:f>
      </x:c>
      <x:c r="AL17" s="117" t="n">
        <x:f>'CAPEX'!AL66</x:f>
      </x:c>
      <x:c r="AM17" s="117" t="n">
        <x:f>'CAPEX'!AM66</x:f>
      </x:c>
      <x:c r="AN17" s="117" t="n">
        <x:f>'CAPEX'!AN66</x:f>
      </x:c>
      <x:c r="AO17" s="117" t="n">
        <x:f>'CAPEX'!AO66</x:f>
      </x:c>
      <x:c r="AP17" s="117" t="n">
        <x:f>'CAPEX'!AP66</x:f>
      </x:c>
      <x:c r="AQ17" s="117" t="n">
        <x:f>'CAPEX'!AQ66</x:f>
      </x:c>
      <x:c r="AR17" s="117" t="n">
        <x:f>'CAPEX'!AR66</x:f>
      </x:c>
      <x:c r="AS17" s="117" t="n">
        <x:f>'CAPEX'!AS66</x:f>
      </x:c>
      <x:c r="AT17" s="117" t="n">
        <x:f>'CAPEX'!AT66</x:f>
      </x:c>
      <x:c r="AU17" s="117" t="n">
        <x:f>'CAPEX'!AU66</x:f>
      </x:c>
      <x:c r="AV17" s="117" t="n">
        <x:f>'CAPEX'!AV66</x:f>
      </x:c>
      <x:c r="AW17" s="117" t="n">
        <x:f>'CAPEX'!AW66</x:f>
      </x:c>
      <x:c r="AX17" s="117" t="n">
        <x:f>'CAPEX'!AX66</x:f>
      </x:c>
      <x:c r="AY17" s="117" t="n">
        <x:f>'CAPEX'!AY66</x:f>
      </x:c>
      <x:c r="AZ17" s="117" t="n">
        <x:f>'CAPEX'!AZ66</x:f>
      </x:c>
      <x:c r="BA17" s="117" t="n">
        <x:f>'CAPEX'!BA66</x:f>
      </x:c>
      <x:c r="BB17" s="117" t="n">
        <x:f>'CAPEX'!BB66</x:f>
      </x:c>
      <x:c r="BC17" s="117" t="n">
        <x:f>'CAPEX'!BC66</x:f>
      </x:c>
      <x:c r="BD17" s="117" t="n">
        <x:f>'CAPEX'!BD66</x:f>
      </x:c>
      <x:c r="BE17" s="117" t="n">
        <x:f>'CAPEX'!BE66</x:f>
      </x:c>
      <x:c r="BF17" s="117" t="n">
        <x:f>'CAPEX'!BF66</x:f>
      </x:c>
      <x:c r="BG17" s="117" t="n">
        <x:f>'CAPEX'!BG66</x:f>
      </x:c>
      <x:c r="BH17" s="117" t="n">
        <x:f>'CAPEX'!BH66</x:f>
      </x:c>
      <x:c r="BI17" s="117" t="n">
        <x:f>'CAPEX'!BI66</x:f>
      </x:c>
      <x:c r="BJ17" s="117" t="n">
        <x:f>'CAPEX'!BJ66</x:f>
      </x:c>
      <x:c r="BK17" s="117" t="n">
        <x:f>'CAPEX'!BK66</x:f>
      </x:c>
      <x:c r="BL17" s="117" t="n">
        <x:f>'CAPEX'!BL66</x:f>
      </x:c>
      <x:c r="BM17" s="117" t="n">
        <x:f>'CAPEX'!BM66</x:f>
      </x:c>
      <x:c r="BN17" s="117" t="n">
        <x:f>'CAPEX'!BN66</x:f>
      </x:c>
      <x:c r="BO17" s="117" t="n">
        <x:f>'CAPEX'!BO66</x:f>
      </x:c>
      <x:c r="BP17" s="117" t="n">
        <x:f>'CAPEX'!BP66</x:f>
      </x:c>
      <x:c r="BQ17" s="117" t="n">
        <x:f>'CAPEX'!BQ66</x:f>
      </x:c>
      <x:c r="BR17" s="117" t="n">
        <x:f>'CAPEX'!BR66</x:f>
      </x:c>
      <x:c r="BS17" s="117" t="n">
        <x:f>'CAPEX'!BS66</x:f>
      </x:c>
      <x:c r="BT17" s="117" t="n">
        <x:f>'CAPEX'!BT66</x:f>
      </x:c>
      <x:c r="BU17" s="117" t="n">
        <x:f>'CAPEX'!BU66</x:f>
      </x:c>
      <x:c r="BV17" s="117" t="n">
        <x:f>'CAPEX'!BV66</x:f>
      </x:c>
      <x:c r="BW17" s="117" t="n">
        <x:f>'CAPEX'!BW66</x:f>
      </x:c>
      <x:c r="BX17" s="117" t="n">
        <x:f>'CAPEX'!BX66</x:f>
      </x:c>
      <x:c r="BY17" s="117" t="n">
        <x:f>'CAPEX'!BY66</x:f>
      </x:c>
      <x:c r="BZ17" s="117" t="n">
        <x:f>'CAPEX'!BZ66</x:f>
      </x:c>
      <x:c r="CA17" s="117" t="n">
        <x:f>'CAPEX'!CA66</x:f>
      </x:c>
      <x:c r="CB17" s="117" t="n">
        <x:f>'CAPEX'!CB66</x:f>
      </x:c>
      <x:c r="CC17" s="117" t="n">
        <x:f>'CAPEX'!CC66</x:f>
      </x:c>
      <x:c r="CD17" s="117" t="n">
        <x:f>'CAPEX'!CD66</x:f>
      </x:c>
      <x:c r="CE17" s="117" t="n">
        <x:f>'CAPEX'!CE66</x:f>
      </x:c>
      <x:c r="CF17" s="117" t="n">
        <x:f>'CAPEX'!CF66</x:f>
      </x:c>
      <x:c r="CG17" s="117" t="n">
        <x:f>'CAPEX'!CG66</x:f>
      </x:c>
      <x:c r="CH17" s="117" t="n">
        <x:f>'CAPEX'!CH66</x:f>
      </x:c>
      <x:c r="CI17" s="117" t="n">
        <x:f>'CAPEX'!CI66</x:f>
      </x:c>
      <x:c r="CJ17" s="117" t="n">
        <x:f>'CAPEX'!CJ66</x:f>
      </x:c>
      <x:c r="CK17" s="117" t="n">
        <x:f>'CAPEX'!CK66</x:f>
      </x:c>
      <x:c r="CL17" s="117" t="n">
        <x:f>'CAPEX'!CL66</x:f>
      </x:c>
      <x:c r="CM17" s="117" t="n">
        <x:f>'CAPEX'!CM66</x:f>
      </x:c>
      <x:c r="CN17" s="117" t="n">
        <x:f>'CAPEX'!CN66</x:f>
      </x:c>
      <x:c r="CO17" s="117" t="n">
        <x:f>'CAPEX'!CO66</x:f>
      </x:c>
      <x:c r="CP17" s="117" t="n">
        <x:f>'CAPEX'!CP66</x:f>
      </x:c>
      <x:c r="CQ17" s="117" t="n">
        <x:f>'CAPEX'!CQ66</x:f>
      </x:c>
      <x:c r="CR17" s="117" t="n">
        <x:f>'CAPEX'!CR66</x:f>
      </x:c>
      <x:c r="CS17" s="117" t="n">
        <x:f>'CAPEX'!CS66</x:f>
      </x:c>
      <x:c r="CT17" s="117" t="n">
        <x:f>'CAPEX'!CT66</x:f>
      </x:c>
      <x:c r="CU17" s="117" t="n">
        <x:f>'CAPEX'!CU66</x:f>
      </x:c>
      <x:c r="CV17" s="117" t="n">
        <x:f>'CAPEX'!CV66</x:f>
      </x:c>
      <x:c r="CW17" s="117" t="n">
        <x:f>'CAPEX'!CW66</x:f>
      </x:c>
      <x:c r="CX17" s="117" t="n">
        <x:f>'CAPEX'!CX66</x:f>
      </x:c>
      <x:c r="CY17" s="117" t="n">
        <x:f>'CAPEX'!CY66</x:f>
      </x:c>
      <x:c r="CZ17" s="117" t="n">
        <x:f>'CAPEX'!CZ66</x:f>
      </x:c>
      <x:c r="DA17" s="117" t="n">
        <x:f>'CAPEX'!DA66</x:f>
      </x:c>
      <x:c r="DB17" s="117" t="n">
        <x:f>'CAPEX'!DB66</x:f>
      </x:c>
      <x:c r="DC17" s="117" t="n">
        <x:f>'CAPEX'!DC66</x:f>
      </x:c>
      <x:c r="DD17" s="117" t="n">
        <x:f>'CAPEX'!DD66</x:f>
      </x:c>
      <x:c r="DE17" s="117" t="n">
        <x:f>'CAPEX'!DE66</x:f>
      </x:c>
      <x:c r="DF17" s="117" t="n">
        <x:f>'CAPEX'!DF66</x:f>
      </x:c>
      <x:c r="DG17" s="117" t="n">
        <x:f>'CAPEX'!DG66</x:f>
      </x:c>
      <x:c r="DH17" s="117" t="n">
        <x:f>'CAPEX'!DH66</x:f>
      </x:c>
      <x:c r="DI17" s="117" t="n">
        <x:f>'CAPEX'!DI66</x:f>
      </x:c>
      <x:c r="DJ17" s="117" t="n">
        <x:f>'CAPEX'!DJ66</x:f>
      </x:c>
      <x:c r="DK17" s="117" t="n">
        <x:f>'CAPEX'!DK66</x:f>
      </x:c>
      <x:c r="DL17" s="117" t="n">
        <x:f>'CAPEX'!DL66</x:f>
      </x:c>
      <x:c r="DM17" s="117" t="n">
        <x:f>'CAPEX'!DM66</x:f>
      </x:c>
      <x:c r="DN17" s="117" t="n">
        <x:f>'CAPEX'!DN66</x:f>
      </x:c>
      <x:c r="DO17" s="117" t="n">
        <x:f>'CAPEX'!DO66</x:f>
      </x:c>
      <x:c r="DP17" s="117" t="n">
        <x:f>'CAPEX'!DP66</x:f>
      </x:c>
      <x:c r="DQ17" s="117" t="n">
        <x:f>'CAPEX'!DQ66</x:f>
      </x:c>
      <x:c r="DR17" s="117" t="n">
        <x:f>'CAPEX'!DR66</x:f>
      </x:c>
      <x:c r="DS17" s="117" t="n">
        <x:f>'CAPEX'!DS66</x:f>
      </x:c>
      <x:c r="DT17" s="117" t="n">
        <x:f>'CAPEX'!DT66</x:f>
      </x:c>
      <x:c r="DU17" s="117" t="n">
        <x:f>'CAPEX'!DU66</x:f>
      </x:c>
      <x:c r="DV17" s="117" t="n">
        <x:f>'CAPEX'!DV66</x:f>
      </x:c>
      <x:c r="DW17" s="117" t="n">
        <x:f>'CAPEX'!DW66</x:f>
      </x:c>
      <x:c r="DX17" s="117" t="n">
        <x:f>'CAPEX'!DX66</x:f>
      </x:c>
      <x:c r="DY17" s="117" t="n">
        <x:f>'CAPEX'!DY66</x:f>
      </x:c>
      <x:c r="DZ17" s="117" t="n">
        <x:f>'CAPEX'!DZ66</x:f>
      </x:c>
      <x:c r="EA17" s="117" t="n">
        <x:f>'CAPEX'!EA66</x:f>
      </x:c>
      <x:c r="EB17" s="117" t="n">
        <x:f>'CAPEX'!EB66</x:f>
      </x:c>
      <x:c r="EC17" s="117" t="n">
        <x:f>'CAPEX'!EC66</x:f>
      </x:c>
      <x:c r="ED17" s="117" t="n">
        <x:f>'CAPEX'!ED66</x:f>
      </x:c>
      <x:c r="EE17" s="117" t="n">
        <x:f>'CAPEX'!EE66</x:f>
      </x:c>
      <x:c r="EF17" s="117" t="n">
        <x:f>'CAPEX'!EF66</x:f>
      </x:c>
      <x:c r="EG17" s="117" t="n">
        <x:f>'CAPEX'!EG66</x:f>
      </x:c>
      <x:c r="EH17" s="117" t="n">
        <x:f>'CAPEX'!EH66</x:f>
      </x:c>
      <x:c r="EI17" s="117" t="n">
        <x:f>'CAPEX'!EI66</x:f>
      </x:c>
      <x:c r="EJ17" s="117" t="n">
        <x:f>'CAPEX'!EJ66</x:f>
      </x:c>
      <x:c r="EK17" s="117" t="n">
        <x:f>'CAPEX'!EK66</x:f>
      </x:c>
      <x:c r="EL17" s="117" t="n">
        <x:f>'CAPEX'!EL66</x:f>
      </x:c>
      <x:c r="EM17" s="117" t="n">
        <x:f>'CAPEX'!EM66</x:f>
      </x:c>
      <x:c r="EN17" s="117" t="n">
        <x:f>'CAPEX'!EN66</x:f>
      </x:c>
      <x:c r="EO17" s="117" t="n">
        <x:f>'CAPEX'!EO66</x:f>
      </x:c>
      <x:c r="EP17" s="117" t="n">
        <x:f>'CAPEX'!EP66</x:f>
      </x:c>
      <x:c r="EQ17" s="117" t="n">
        <x:f>'CAPEX'!EQ66</x:f>
      </x:c>
      <x:c r="ER17" s="117" t="n">
        <x:f>'CAPEX'!ER66</x:f>
      </x:c>
      <x:c r="ES17" s="117" t="n">
        <x:f>'CAPEX'!ES66</x:f>
      </x:c>
      <x:c r="ET17" s="117" t="n">
        <x:f>'CAPEX'!ET66</x:f>
      </x:c>
      <x:c r="EU17" s="117" t="n">
        <x:f>'CAPEX'!EU66</x:f>
      </x:c>
      <x:c r="EV17" s="117" t="n">
        <x:f>'CAPEX'!EV66</x:f>
      </x:c>
      <x:c r="EW17" s="117" t="n">
        <x:f>'CAPEX'!EW66</x:f>
      </x:c>
      <x:c r="EX17" s="117" t="n">
        <x:f>'CAPEX'!EX66</x:f>
      </x:c>
      <x:c r="EY17" s="117" t="n">
        <x:f>'CAPEX'!EY66</x:f>
      </x:c>
      <x:c r="EZ17" s="117" t="n">
        <x:f>'CAPEX'!EZ66</x:f>
      </x:c>
      <x:c r="FA17" s="117" t="n">
        <x:f>'CAPEX'!FA66</x:f>
      </x:c>
      <x:c r="FB17" s="117" t="n">
        <x:f>'CAPEX'!FB66</x:f>
      </x:c>
      <x:c r="FC17" s="117" t="n">
        <x:f>'CAPEX'!FC66</x:f>
      </x:c>
      <x:c r="FD17" s="117" t="n">
        <x:f>'CAPEX'!FD66</x:f>
      </x:c>
      <x:c r="FE17" s="117" t="n">
        <x:f>'CAPEX'!FE66</x:f>
      </x:c>
      <x:c r="FF17" s="117" t="n">
        <x:f>'CAPEX'!FF66</x:f>
      </x:c>
      <x:c r="FG17" s="117" t="n">
        <x:f>'CAPEX'!FG66</x:f>
      </x:c>
      <x:c r="FH17" s="117" t="n">
        <x:f>'CAPEX'!FH66</x:f>
      </x:c>
      <x:c r="FI17" s="117" t="n">
        <x:f>'CAPEX'!FI66</x:f>
      </x:c>
      <x:c r="FJ17" s="117" t="n">
        <x:f>'CAPEX'!FJ66</x:f>
      </x:c>
      <x:c r="FK17" s="117" t="n">
        <x:f>'CAPEX'!FK66</x:f>
      </x:c>
      <x:c r="FL17" s="117" t="n">
        <x:f>'CAPEX'!FL66</x:f>
      </x:c>
      <x:c r="FM17" s="117" t="n">
        <x:f>'CAPEX'!FM66</x:f>
      </x:c>
      <x:c r="FN17" s="117" t="n">
        <x:f>'CAPEX'!FN66</x:f>
      </x:c>
      <x:c r="FO17" s="117" t="n">
        <x:f>'CAPEX'!FO66</x:f>
      </x:c>
      <x:c r="FP17" s="117" t="n">
        <x:f>'CAPEX'!FP66</x:f>
      </x:c>
      <x:c r="FQ17" s="117" t="n">
        <x:f>'CAPEX'!FQ66</x:f>
      </x:c>
      <x:c r="FR17" s="117" t="n">
        <x:f>'CAPEX'!FR66</x:f>
      </x:c>
      <x:c r="FS17" s="117" t="n">
        <x:f>'CAPEX'!FS66</x:f>
      </x:c>
      <x:c r="FT17" s="117" t="n">
        <x:f>'CAPEX'!FT66</x:f>
      </x:c>
      <x:c r="FU17" s="117" t="n">
        <x:f>'CAPEX'!FU66</x:f>
      </x:c>
      <x:c r="FV17" s="117" t="n">
        <x:f>'CAPEX'!FV66</x:f>
      </x:c>
      <x:c r="FW17" s="117" t="n">
        <x:f>'CAPEX'!FW66</x:f>
      </x:c>
      <x:c r="FX17" s="117" t="n">
        <x:f>'CAPEX'!FX66</x:f>
      </x:c>
      <x:c r="FY17" s="117" t="n">
        <x:f>'CAPEX'!FY66</x:f>
      </x:c>
      <x:c r="FZ17" s="117" t="n">
        <x:f>'CAPEX'!FZ66</x:f>
      </x:c>
      <x:c r="GA17" s="117" t="n">
        <x:f>'CAPEX'!GA66</x:f>
      </x:c>
    </x:row>
    <x:row r="18">
      <x:c r="A18" t="str">
        <x:v>Маркетинг</x:v>
      </x:c>
      <x:c r="B18" t="n">
        <x:f>SUM(D18:GA18)</x:f>
      </x:c>
      <x:c r="C18" t="str">
        <x:v>млн ₽</x:v>
      </x:c>
      <x:c r="D18" s="117" t="n">
        <x:f>'CAPEX'!D67</x:f>
      </x:c>
      <x:c r="E18" s="117" t="n">
        <x:f>'CAPEX'!E67</x:f>
      </x:c>
      <x:c r="F18" s="117" t="n">
        <x:f>'CAPEX'!F67</x:f>
      </x:c>
      <x:c r="G18" s="117" t="n">
        <x:f>'CAPEX'!G67</x:f>
      </x:c>
      <x:c r="H18" s="117" t="n">
        <x:f>'CAPEX'!H67</x:f>
      </x:c>
      <x:c r="I18" s="117" t="n">
        <x:f>'CAPEX'!I67</x:f>
      </x:c>
      <x:c r="J18" s="117" t="n">
        <x:f>'CAPEX'!J67</x:f>
      </x:c>
      <x:c r="K18" s="117" t="n">
        <x:f>'CAPEX'!K67</x:f>
      </x:c>
      <x:c r="L18" s="117" t="n">
        <x:f>'CAPEX'!L67</x:f>
      </x:c>
      <x:c r="M18" s="117" t="n">
        <x:f>'CAPEX'!M67</x:f>
      </x:c>
      <x:c r="N18" s="117" t="n">
        <x:f>'CAPEX'!N67</x:f>
      </x:c>
      <x:c r="O18" s="117" t="n">
        <x:f>'CAPEX'!O67</x:f>
      </x:c>
      <x:c r="P18" s="117" t="n">
        <x:f>'CAPEX'!P67</x:f>
      </x:c>
      <x:c r="Q18" s="117" t="n">
        <x:f>'CAPEX'!Q67</x:f>
      </x:c>
      <x:c r="R18" s="117" t="n">
        <x:f>'CAPEX'!R67</x:f>
      </x:c>
      <x:c r="S18" s="117" t="n">
        <x:f>'CAPEX'!S67</x:f>
      </x:c>
      <x:c r="T18" s="117" t="n">
        <x:f>'CAPEX'!T67</x:f>
      </x:c>
      <x:c r="U18" s="117" t="n">
        <x:f>'CAPEX'!U67</x:f>
      </x:c>
      <x:c r="V18" s="117" t="n">
        <x:f>'CAPEX'!V67</x:f>
      </x:c>
      <x:c r="W18" s="117" t="n">
        <x:f>'CAPEX'!W67</x:f>
      </x:c>
      <x:c r="X18" s="117" t="n">
        <x:f>'CAPEX'!X67</x:f>
      </x:c>
      <x:c r="Y18" s="117" t="n">
        <x:f>'CAPEX'!Y67</x:f>
      </x:c>
      <x:c r="Z18" s="117" t="n">
        <x:f>'CAPEX'!Z67</x:f>
      </x:c>
      <x:c r="AA18" s="117" t="n">
        <x:f>'CAPEX'!AA67</x:f>
      </x:c>
      <x:c r="AB18" s="117" t="n">
        <x:f>'CAPEX'!AB67</x:f>
      </x:c>
      <x:c r="AC18" s="117" t="n">
        <x:f>'CAPEX'!AC67</x:f>
      </x:c>
      <x:c r="AD18" s="117" t="n">
        <x:f>'CAPEX'!AD67</x:f>
      </x:c>
      <x:c r="AE18" s="117" t="n">
        <x:f>'CAPEX'!AE67</x:f>
      </x:c>
      <x:c r="AF18" s="117" t="n">
        <x:f>'CAPEX'!AF67</x:f>
      </x:c>
      <x:c r="AG18" s="117" t="n">
        <x:f>'CAPEX'!AG67</x:f>
      </x:c>
      <x:c r="AH18" s="117" t="n">
        <x:f>'CAPEX'!AH67</x:f>
      </x:c>
      <x:c r="AI18" s="117" t="n">
        <x:f>'CAPEX'!AI67</x:f>
      </x:c>
      <x:c r="AJ18" s="117" t="n">
        <x:f>'CAPEX'!AJ67</x:f>
      </x:c>
      <x:c r="AK18" s="117" t="n">
        <x:f>'CAPEX'!AK67</x:f>
      </x:c>
      <x:c r="AL18" s="117" t="n">
        <x:f>'CAPEX'!AL67</x:f>
      </x:c>
      <x:c r="AM18" s="117" t="n">
        <x:f>'CAPEX'!AM67</x:f>
      </x:c>
      <x:c r="AN18" s="117" t="n">
        <x:f>'CAPEX'!AN67</x:f>
      </x:c>
      <x:c r="AO18" s="117" t="n">
        <x:f>'CAPEX'!AO67</x:f>
      </x:c>
      <x:c r="AP18" s="117" t="n">
        <x:f>'CAPEX'!AP67</x:f>
      </x:c>
      <x:c r="AQ18" s="117" t="n">
        <x:f>'CAPEX'!AQ67</x:f>
      </x:c>
      <x:c r="AR18" s="117" t="n">
        <x:f>'CAPEX'!AR67</x:f>
      </x:c>
      <x:c r="AS18" s="117" t="n">
        <x:f>'CAPEX'!AS67</x:f>
      </x:c>
      <x:c r="AT18" s="117" t="n">
        <x:f>'CAPEX'!AT67</x:f>
      </x:c>
      <x:c r="AU18" s="117" t="n">
        <x:f>'CAPEX'!AU67</x:f>
      </x:c>
      <x:c r="AV18" s="117" t="n">
        <x:f>'CAPEX'!AV67</x:f>
      </x:c>
      <x:c r="AW18" s="117" t="n">
        <x:f>'CAPEX'!AW67</x:f>
      </x:c>
      <x:c r="AX18" s="117" t="n">
        <x:f>'CAPEX'!AX67</x:f>
      </x:c>
      <x:c r="AY18" s="117" t="n">
        <x:f>'CAPEX'!AY67</x:f>
      </x:c>
      <x:c r="AZ18" s="117" t="n">
        <x:f>'CAPEX'!AZ67</x:f>
      </x:c>
      <x:c r="BA18" s="117" t="n">
        <x:f>'CAPEX'!BA67</x:f>
      </x:c>
      <x:c r="BB18" s="117" t="n">
        <x:f>'CAPEX'!BB67</x:f>
      </x:c>
      <x:c r="BC18" s="117" t="n">
        <x:f>'CAPEX'!BC67</x:f>
      </x:c>
      <x:c r="BD18" s="117" t="n">
        <x:f>'CAPEX'!BD67</x:f>
      </x:c>
      <x:c r="BE18" s="117" t="n">
        <x:f>'CAPEX'!BE67</x:f>
      </x:c>
      <x:c r="BF18" s="117" t="n">
        <x:f>'CAPEX'!BF67</x:f>
      </x:c>
      <x:c r="BG18" s="117" t="n">
        <x:f>'CAPEX'!BG67</x:f>
      </x:c>
      <x:c r="BH18" s="117" t="n">
        <x:f>'CAPEX'!BH67</x:f>
      </x:c>
      <x:c r="BI18" s="117" t="n">
        <x:f>'CAPEX'!BI67</x:f>
      </x:c>
      <x:c r="BJ18" s="117" t="n">
        <x:f>'CAPEX'!BJ67</x:f>
      </x:c>
      <x:c r="BK18" s="117" t="n">
        <x:f>'CAPEX'!BK67</x:f>
      </x:c>
      <x:c r="BL18" s="117" t="n">
        <x:f>'CAPEX'!BL67</x:f>
      </x:c>
      <x:c r="BM18" s="117" t="n">
        <x:f>'CAPEX'!BM67</x:f>
      </x:c>
      <x:c r="BN18" s="117" t="n">
        <x:f>'CAPEX'!BN67</x:f>
      </x:c>
      <x:c r="BO18" s="117" t="n">
        <x:f>'CAPEX'!BO67</x:f>
      </x:c>
      <x:c r="BP18" s="117" t="n">
        <x:f>'CAPEX'!BP67</x:f>
      </x:c>
      <x:c r="BQ18" s="117" t="n">
        <x:f>'CAPEX'!BQ67</x:f>
      </x:c>
      <x:c r="BR18" s="117" t="n">
        <x:f>'CAPEX'!BR67</x:f>
      </x:c>
      <x:c r="BS18" s="117" t="n">
        <x:f>'CAPEX'!BS67</x:f>
      </x:c>
      <x:c r="BT18" s="117" t="n">
        <x:f>'CAPEX'!BT67</x:f>
      </x:c>
      <x:c r="BU18" s="117" t="n">
        <x:f>'CAPEX'!BU67</x:f>
      </x:c>
      <x:c r="BV18" s="117" t="n">
        <x:f>'CAPEX'!BV67</x:f>
      </x:c>
      <x:c r="BW18" s="117" t="n">
        <x:f>'CAPEX'!BW67</x:f>
      </x:c>
      <x:c r="BX18" s="117" t="n">
        <x:f>'CAPEX'!BX67</x:f>
      </x:c>
      <x:c r="BY18" s="117" t="n">
        <x:f>'CAPEX'!BY67</x:f>
      </x:c>
      <x:c r="BZ18" s="117" t="n">
        <x:f>'CAPEX'!BZ67</x:f>
      </x:c>
      <x:c r="CA18" s="117" t="n">
        <x:f>'CAPEX'!CA67</x:f>
      </x:c>
      <x:c r="CB18" s="117" t="n">
        <x:f>'CAPEX'!CB67</x:f>
      </x:c>
      <x:c r="CC18" s="117" t="n">
        <x:f>'CAPEX'!CC67</x:f>
      </x:c>
      <x:c r="CD18" s="117" t="n">
        <x:f>'CAPEX'!CD67</x:f>
      </x:c>
      <x:c r="CE18" s="117" t="n">
        <x:f>'CAPEX'!CE67</x:f>
      </x:c>
      <x:c r="CF18" s="117" t="n">
        <x:f>'CAPEX'!CF67</x:f>
      </x:c>
      <x:c r="CG18" s="117" t="n">
        <x:f>'CAPEX'!CG67</x:f>
      </x:c>
      <x:c r="CH18" s="117" t="n">
        <x:f>'CAPEX'!CH67</x:f>
      </x:c>
      <x:c r="CI18" s="117" t="n">
        <x:f>'CAPEX'!CI67</x:f>
      </x:c>
      <x:c r="CJ18" s="117" t="n">
        <x:f>'CAPEX'!CJ67</x:f>
      </x:c>
      <x:c r="CK18" s="117" t="n">
        <x:f>'CAPEX'!CK67</x:f>
      </x:c>
      <x:c r="CL18" s="117" t="n">
        <x:f>'CAPEX'!CL67</x:f>
      </x:c>
      <x:c r="CM18" s="117" t="n">
        <x:f>'CAPEX'!CM67</x:f>
      </x:c>
      <x:c r="CN18" s="117" t="n">
        <x:f>'CAPEX'!CN67</x:f>
      </x:c>
      <x:c r="CO18" s="117" t="n">
        <x:f>'CAPEX'!CO67</x:f>
      </x:c>
      <x:c r="CP18" s="117" t="n">
        <x:f>'CAPEX'!CP67</x:f>
      </x:c>
      <x:c r="CQ18" s="117" t="n">
        <x:f>'CAPEX'!CQ67</x:f>
      </x:c>
      <x:c r="CR18" s="117" t="n">
        <x:f>'CAPEX'!CR67</x:f>
      </x:c>
      <x:c r="CS18" s="117" t="n">
        <x:f>'CAPEX'!CS67</x:f>
      </x:c>
      <x:c r="CT18" s="117" t="n">
        <x:f>'CAPEX'!CT67</x:f>
      </x:c>
      <x:c r="CU18" s="117" t="n">
        <x:f>'CAPEX'!CU67</x:f>
      </x:c>
      <x:c r="CV18" s="117" t="n">
        <x:f>'CAPEX'!CV67</x:f>
      </x:c>
      <x:c r="CW18" s="117" t="n">
        <x:f>'CAPEX'!CW67</x:f>
      </x:c>
      <x:c r="CX18" s="117" t="n">
        <x:f>'CAPEX'!CX67</x:f>
      </x:c>
      <x:c r="CY18" s="117" t="n">
        <x:f>'CAPEX'!CY67</x:f>
      </x:c>
      <x:c r="CZ18" s="117" t="n">
        <x:f>'CAPEX'!CZ67</x:f>
      </x:c>
      <x:c r="DA18" s="117" t="n">
        <x:f>'CAPEX'!DA67</x:f>
      </x:c>
      <x:c r="DB18" s="117" t="n">
        <x:f>'CAPEX'!DB67</x:f>
      </x:c>
      <x:c r="DC18" s="117" t="n">
        <x:f>'CAPEX'!DC67</x:f>
      </x:c>
      <x:c r="DD18" s="117" t="n">
        <x:f>'CAPEX'!DD67</x:f>
      </x:c>
      <x:c r="DE18" s="117" t="n">
        <x:f>'CAPEX'!DE67</x:f>
      </x:c>
      <x:c r="DF18" s="117" t="n">
        <x:f>'CAPEX'!DF67</x:f>
      </x:c>
      <x:c r="DG18" s="117" t="n">
        <x:f>'CAPEX'!DG67</x:f>
      </x:c>
      <x:c r="DH18" s="117" t="n">
        <x:f>'CAPEX'!DH67</x:f>
      </x:c>
      <x:c r="DI18" s="117" t="n">
        <x:f>'CAPEX'!DI67</x:f>
      </x:c>
      <x:c r="DJ18" s="117" t="n">
        <x:f>'CAPEX'!DJ67</x:f>
      </x:c>
      <x:c r="DK18" s="117" t="n">
        <x:f>'CAPEX'!DK67</x:f>
      </x:c>
      <x:c r="DL18" s="117" t="n">
        <x:f>'CAPEX'!DL67</x:f>
      </x:c>
      <x:c r="DM18" s="117" t="n">
        <x:f>'CAPEX'!DM67</x:f>
      </x:c>
      <x:c r="DN18" s="117" t="n">
        <x:f>'CAPEX'!DN67</x:f>
      </x:c>
      <x:c r="DO18" s="117" t="n">
        <x:f>'CAPEX'!DO67</x:f>
      </x:c>
      <x:c r="DP18" s="117" t="n">
        <x:f>'CAPEX'!DP67</x:f>
      </x:c>
      <x:c r="DQ18" s="117" t="n">
        <x:f>'CAPEX'!DQ67</x:f>
      </x:c>
      <x:c r="DR18" s="117" t="n">
        <x:f>'CAPEX'!DR67</x:f>
      </x:c>
      <x:c r="DS18" s="117" t="n">
        <x:f>'CAPEX'!DS67</x:f>
      </x:c>
      <x:c r="DT18" s="117" t="n">
        <x:f>'CAPEX'!DT67</x:f>
      </x:c>
      <x:c r="DU18" s="117" t="n">
        <x:f>'CAPEX'!DU67</x:f>
      </x:c>
      <x:c r="DV18" s="117" t="n">
        <x:f>'CAPEX'!DV67</x:f>
      </x:c>
      <x:c r="DW18" s="117" t="n">
        <x:f>'CAPEX'!DW67</x:f>
      </x:c>
      <x:c r="DX18" s="117" t="n">
        <x:f>'CAPEX'!DX67</x:f>
      </x:c>
      <x:c r="DY18" s="117" t="n">
        <x:f>'CAPEX'!DY67</x:f>
      </x:c>
      <x:c r="DZ18" s="117" t="n">
        <x:f>'CAPEX'!DZ67</x:f>
      </x:c>
      <x:c r="EA18" s="117" t="n">
        <x:f>'CAPEX'!EA67</x:f>
      </x:c>
      <x:c r="EB18" s="117" t="n">
        <x:f>'CAPEX'!EB67</x:f>
      </x:c>
      <x:c r="EC18" s="117" t="n">
        <x:f>'CAPEX'!EC67</x:f>
      </x:c>
      <x:c r="ED18" s="117" t="n">
        <x:f>'CAPEX'!ED67</x:f>
      </x:c>
      <x:c r="EE18" s="117" t="n">
        <x:f>'CAPEX'!EE67</x:f>
      </x:c>
      <x:c r="EF18" s="117" t="n">
        <x:f>'CAPEX'!EF67</x:f>
      </x:c>
      <x:c r="EG18" s="117" t="n">
        <x:f>'CAPEX'!EG67</x:f>
      </x:c>
      <x:c r="EH18" s="117" t="n">
        <x:f>'CAPEX'!EH67</x:f>
      </x:c>
      <x:c r="EI18" s="117" t="n">
        <x:f>'CAPEX'!EI67</x:f>
      </x:c>
      <x:c r="EJ18" s="117" t="n">
        <x:f>'CAPEX'!EJ67</x:f>
      </x:c>
      <x:c r="EK18" s="117" t="n">
        <x:f>'CAPEX'!EK67</x:f>
      </x:c>
      <x:c r="EL18" s="117" t="n">
        <x:f>'CAPEX'!EL67</x:f>
      </x:c>
      <x:c r="EM18" s="117" t="n">
        <x:f>'CAPEX'!EM67</x:f>
      </x:c>
      <x:c r="EN18" s="117" t="n">
        <x:f>'CAPEX'!EN67</x:f>
      </x:c>
      <x:c r="EO18" s="117" t="n">
        <x:f>'CAPEX'!EO67</x:f>
      </x:c>
      <x:c r="EP18" s="117" t="n">
        <x:f>'CAPEX'!EP67</x:f>
      </x:c>
      <x:c r="EQ18" s="117" t="n">
        <x:f>'CAPEX'!EQ67</x:f>
      </x:c>
      <x:c r="ER18" s="117" t="n">
        <x:f>'CAPEX'!ER67</x:f>
      </x:c>
      <x:c r="ES18" s="117" t="n">
        <x:f>'CAPEX'!ES67</x:f>
      </x:c>
      <x:c r="ET18" s="117" t="n">
        <x:f>'CAPEX'!ET67</x:f>
      </x:c>
      <x:c r="EU18" s="117" t="n">
        <x:f>'CAPEX'!EU67</x:f>
      </x:c>
      <x:c r="EV18" s="117" t="n">
        <x:f>'CAPEX'!EV67</x:f>
      </x:c>
      <x:c r="EW18" s="117" t="n">
        <x:f>'CAPEX'!EW67</x:f>
      </x:c>
      <x:c r="EX18" s="117" t="n">
        <x:f>'CAPEX'!EX67</x:f>
      </x:c>
      <x:c r="EY18" s="117" t="n">
        <x:f>'CAPEX'!EY67</x:f>
      </x:c>
      <x:c r="EZ18" s="117" t="n">
        <x:f>'CAPEX'!EZ67</x:f>
      </x:c>
      <x:c r="FA18" s="117" t="n">
        <x:f>'CAPEX'!FA67</x:f>
      </x:c>
      <x:c r="FB18" s="117" t="n">
        <x:f>'CAPEX'!FB67</x:f>
      </x:c>
      <x:c r="FC18" s="117" t="n">
        <x:f>'CAPEX'!FC67</x:f>
      </x:c>
      <x:c r="FD18" s="117" t="n">
        <x:f>'CAPEX'!FD67</x:f>
      </x:c>
      <x:c r="FE18" s="117" t="n">
        <x:f>'CAPEX'!FE67</x:f>
      </x:c>
      <x:c r="FF18" s="117" t="n">
        <x:f>'CAPEX'!FF67</x:f>
      </x:c>
      <x:c r="FG18" s="117" t="n">
        <x:f>'CAPEX'!FG67</x:f>
      </x:c>
      <x:c r="FH18" s="117" t="n">
        <x:f>'CAPEX'!FH67</x:f>
      </x:c>
      <x:c r="FI18" s="117" t="n">
        <x:f>'CAPEX'!FI67</x:f>
      </x:c>
      <x:c r="FJ18" s="117" t="n">
        <x:f>'CAPEX'!FJ67</x:f>
      </x:c>
      <x:c r="FK18" s="117" t="n">
        <x:f>'CAPEX'!FK67</x:f>
      </x:c>
      <x:c r="FL18" s="117" t="n">
        <x:f>'CAPEX'!FL67</x:f>
      </x:c>
      <x:c r="FM18" s="117" t="n">
        <x:f>'CAPEX'!FM67</x:f>
      </x:c>
      <x:c r="FN18" s="117" t="n">
        <x:f>'CAPEX'!FN67</x:f>
      </x:c>
      <x:c r="FO18" s="117" t="n">
        <x:f>'CAPEX'!FO67</x:f>
      </x:c>
      <x:c r="FP18" s="117" t="n">
        <x:f>'CAPEX'!FP67</x:f>
      </x:c>
      <x:c r="FQ18" s="117" t="n">
        <x:f>'CAPEX'!FQ67</x:f>
      </x:c>
      <x:c r="FR18" s="117" t="n">
        <x:f>'CAPEX'!FR67</x:f>
      </x:c>
      <x:c r="FS18" s="117" t="n">
        <x:f>'CAPEX'!FS67</x:f>
      </x:c>
      <x:c r="FT18" s="117" t="n">
        <x:f>'CAPEX'!FT67</x:f>
      </x:c>
      <x:c r="FU18" s="117" t="n">
        <x:f>'CAPEX'!FU67</x:f>
      </x:c>
      <x:c r="FV18" s="117" t="n">
        <x:f>'CAPEX'!FV67</x:f>
      </x:c>
      <x:c r="FW18" s="117" t="n">
        <x:f>'CAPEX'!FW67</x:f>
      </x:c>
      <x:c r="FX18" s="117" t="n">
        <x:f>'CAPEX'!FX67</x:f>
      </x:c>
      <x:c r="FY18" s="117" t="n">
        <x:f>'CAPEX'!FY67</x:f>
      </x:c>
      <x:c r="FZ18" s="117" t="n">
        <x:f>'CAPEX'!FZ67</x:f>
      </x:c>
      <x:c r="GA18" s="117" t="n">
        <x:f>'CAPEX'!GA67</x:f>
      </x:c>
    </x:row>
    <x:row r="19">
      <x:c r="A19" t="str">
        <x:v>Расходы на продажи</x:v>
      </x:c>
      <x:c r="B19" t="n">
        <x:f>SUM(D19:GA19)</x:f>
      </x:c>
      <x:c r="C19" t="str">
        <x:v>млн ₽</x:v>
      </x:c>
      <x:c r="D19" s="117" t="n">
        <x:f>'CAPEX'!D68</x:f>
      </x:c>
      <x:c r="E19" s="117" t="n">
        <x:f>'CAPEX'!E68</x:f>
      </x:c>
      <x:c r="F19" s="117" t="n">
        <x:f>'CAPEX'!F68</x:f>
      </x:c>
      <x:c r="G19" s="117" t="n">
        <x:f>'CAPEX'!G68</x:f>
      </x:c>
      <x:c r="H19" s="117" t="n">
        <x:f>'CAPEX'!H68</x:f>
      </x:c>
      <x:c r="I19" s="117" t="n">
        <x:f>'CAPEX'!I68</x:f>
      </x:c>
      <x:c r="J19" s="117" t="n">
        <x:f>'CAPEX'!J68</x:f>
      </x:c>
      <x:c r="K19" s="117" t="n">
        <x:f>'CAPEX'!K68</x:f>
      </x:c>
      <x:c r="L19" s="117" t="n">
        <x:f>'CAPEX'!L68</x:f>
      </x:c>
      <x:c r="M19" s="117" t="n">
        <x:f>'CAPEX'!M68</x:f>
      </x:c>
      <x:c r="N19" s="117" t="n">
        <x:f>'CAPEX'!N68</x:f>
      </x:c>
      <x:c r="O19" s="117" t="n">
        <x:f>'CAPEX'!O68</x:f>
      </x:c>
      <x:c r="P19" s="117" t="n">
        <x:f>'CAPEX'!P68</x:f>
      </x:c>
      <x:c r="Q19" s="117" t="n">
        <x:f>'CAPEX'!Q68</x:f>
      </x:c>
      <x:c r="R19" s="117" t="n">
        <x:f>'CAPEX'!R68</x:f>
      </x:c>
      <x:c r="S19" s="117" t="n">
        <x:f>'CAPEX'!S68</x:f>
      </x:c>
      <x:c r="T19" s="117" t="n">
        <x:f>'CAPEX'!T68</x:f>
      </x:c>
      <x:c r="U19" s="117" t="n">
        <x:f>'CAPEX'!U68</x:f>
      </x:c>
      <x:c r="V19" s="117" t="n">
        <x:f>'CAPEX'!V68</x:f>
      </x:c>
      <x:c r="W19" s="117" t="n">
        <x:f>'CAPEX'!W68</x:f>
      </x:c>
      <x:c r="X19" s="117" t="n">
        <x:f>'CAPEX'!X68</x:f>
      </x:c>
      <x:c r="Y19" s="117" t="n">
        <x:f>'CAPEX'!Y68</x:f>
      </x:c>
      <x:c r="Z19" s="117" t="n">
        <x:f>'CAPEX'!Z68</x:f>
      </x:c>
      <x:c r="AA19" s="117" t="n">
        <x:f>'CAPEX'!AA68</x:f>
      </x:c>
      <x:c r="AB19" s="117" t="n">
        <x:f>'CAPEX'!AB68</x:f>
      </x:c>
      <x:c r="AC19" s="117" t="n">
        <x:f>'CAPEX'!AC68</x:f>
      </x:c>
      <x:c r="AD19" s="117" t="n">
        <x:f>'CAPEX'!AD68</x:f>
      </x:c>
      <x:c r="AE19" s="117" t="n">
        <x:f>'CAPEX'!AE68</x:f>
      </x:c>
      <x:c r="AF19" s="117" t="n">
        <x:f>'CAPEX'!AF68</x:f>
      </x:c>
      <x:c r="AG19" s="117" t="n">
        <x:f>'CAPEX'!AG68</x:f>
      </x:c>
      <x:c r="AH19" s="117" t="n">
        <x:f>'CAPEX'!AH68</x:f>
      </x:c>
      <x:c r="AI19" s="117" t="n">
        <x:f>'CAPEX'!AI68</x:f>
      </x:c>
      <x:c r="AJ19" s="117" t="n">
        <x:f>'CAPEX'!AJ68</x:f>
      </x:c>
      <x:c r="AK19" s="117" t="n">
        <x:f>'CAPEX'!AK68</x:f>
      </x:c>
      <x:c r="AL19" s="117" t="n">
        <x:f>'CAPEX'!AL68</x:f>
      </x:c>
      <x:c r="AM19" s="117" t="n">
        <x:f>'CAPEX'!AM68</x:f>
      </x:c>
      <x:c r="AN19" s="117" t="n">
        <x:f>'CAPEX'!AN68</x:f>
      </x:c>
      <x:c r="AO19" s="117" t="n">
        <x:f>'CAPEX'!AO68</x:f>
      </x:c>
      <x:c r="AP19" s="117" t="n">
        <x:f>'CAPEX'!AP68</x:f>
      </x:c>
      <x:c r="AQ19" s="117" t="n">
        <x:f>'CAPEX'!AQ68</x:f>
      </x:c>
      <x:c r="AR19" s="117" t="n">
        <x:f>'CAPEX'!AR68</x:f>
      </x:c>
      <x:c r="AS19" s="117" t="n">
        <x:f>'CAPEX'!AS68</x:f>
      </x:c>
      <x:c r="AT19" s="117" t="n">
        <x:f>'CAPEX'!AT68</x:f>
      </x:c>
      <x:c r="AU19" s="117" t="n">
        <x:f>'CAPEX'!AU68</x:f>
      </x:c>
      <x:c r="AV19" s="117" t="n">
        <x:f>'CAPEX'!AV68</x:f>
      </x:c>
      <x:c r="AW19" s="117" t="n">
        <x:f>'CAPEX'!AW68</x:f>
      </x:c>
      <x:c r="AX19" s="117" t="n">
        <x:f>'CAPEX'!AX68</x:f>
      </x:c>
      <x:c r="AY19" s="117" t="n">
        <x:f>'CAPEX'!AY68</x:f>
      </x:c>
      <x:c r="AZ19" s="117" t="n">
        <x:f>'CAPEX'!AZ68</x:f>
      </x:c>
      <x:c r="BA19" s="117" t="n">
        <x:f>'CAPEX'!BA68</x:f>
      </x:c>
      <x:c r="BB19" s="117" t="n">
        <x:f>'CAPEX'!BB68</x:f>
      </x:c>
      <x:c r="BC19" s="117" t="n">
        <x:f>'CAPEX'!BC68</x:f>
      </x:c>
      <x:c r="BD19" s="117" t="n">
        <x:f>'CAPEX'!BD68</x:f>
      </x:c>
      <x:c r="BE19" s="117" t="n">
        <x:f>'CAPEX'!BE68</x:f>
      </x:c>
      <x:c r="BF19" s="117" t="n">
        <x:f>'CAPEX'!BF68</x:f>
      </x:c>
      <x:c r="BG19" s="117" t="n">
        <x:f>'CAPEX'!BG68</x:f>
      </x:c>
      <x:c r="BH19" s="117" t="n">
        <x:f>'CAPEX'!BH68</x:f>
      </x:c>
      <x:c r="BI19" s="117" t="n">
        <x:f>'CAPEX'!BI68</x:f>
      </x:c>
      <x:c r="BJ19" s="117" t="n">
        <x:f>'CAPEX'!BJ68</x:f>
      </x:c>
      <x:c r="BK19" s="117" t="n">
        <x:f>'CAPEX'!BK68</x:f>
      </x:c>
      <x:c r="BL19" s="117" t="n">
        <x:f>'CAPEX'!BL68</x:f>
      </x:c>
      <x:c r="BM19" s="117" t="n">
        <x:f>'CAPEX'!BM68</x:f>
      </x:c>
      <x:c r="BN19" s="117" t="n">
        <x:f>'CAPEX'!BN68</x:f>
      </x:c>
      <x:c r="BO19" s="117" t="n">
        <x:f>'CAPEX'!BO68</x:f>
      </x:c>
      <x:c r="BP19" s="117" t="n">
        <x:f>'CAPEX'!BP68</x:f>
      </x:c>
      <x:c r="BQ19" s="117" t="n">
        <x:f>'CAPEX'!BQ68</x:f>
      </x:c>
      <x:c r="BR19" s="117" t="n">
        <x:f>'CAPEX'!BR68</x:f>
      </x:c>
      <x:c r="BS19" s="117" t="n">
        <x:f>'CAPEX'!BS68</x:f>
      </x:c>
      <x:c r="BT19" s="117" t="n">
        <x:f>'CAPEX'!BT68</x:f>
      </x:c>
      <x:c r="BU19" s="117" t="n">
        <x:f>'CAPEX'!BU68</x:f>
      </x:c>
      <x:c r="BV19" s="117" t="n">
        <x:f>'CAPEX'!BV68</x:f>
      </x:c>
      <x:c r="BW19" s="117" t="n">
        <x:f>'CAPEX'!BW68</x:f>
      </x:c>
      <x:c r="BX19" s="117" t="n">
        <x:f>'CAPEX'!BX68</x:f>
      </x:c>
      <x:c r="BY19" s="117" t="n">
        <x:f>'CAPEX'!BY68</x:f>
      </x:c>
      <x:c r="BZ19" s="117" t="n">
        <x:f>'CAPEX'!BZ68</x:f>
      </x:c>
      <x:c r="CA19" s="117" t="n">
        <x:f>'CAPEX'!CA68</x:f>
      </x:c>
      <x:c r="CB19" s="117" t="n">
        <x:f>'CAPEX'!CB68</x:f>
      </x:c>
      <x:c r="CC19" s="117" t="n">
        <x:f>'CAPEX'!CC68</x:f>
      </x:c>
      <x:c r="CD19" s="117" t="n">
        <x:f>'CAPEX'!CD68</x:f>
      </x:c>
      <x:c r="CE19" s="117" t="n">
        <x:f>'CAPEX'!CE68</x:f>
      </x:c>
      <x:c r="CF19" s="117" t="n">
        <x:f>'CAPEX'!CF68</x:f>
      </x:c>
      <x:c r="CG19" s="117" t="n">
        <x:f>'CAPEX'!CG68</x:f>
      </x:c>
      <x:c r="CH19" s="117" t="n">
        <x:f>'CAPEX'!CH68</x:f>
      </x:c>
      <x:c r="CI19" s="117" t="n">
        <x:f>'CAPEX'!CI68</x:f>
      </x:c>
      <x:c r="CJ19" s="117" t="n">
        <x:f>'CAPEX'!CJ68</x:f>
      </x:c>
      <x:c r="CK19" s="117" t="n">
        <x:f>'CAPEX'!CK68</x:f>
      </x:c>
      <x:c r="CL19" s="117" t="n">
        <x:f>'CAPEX'!CL68</x:f>
      </x:c>
      <x:c r="CM19" s="117" t="n">
        <x:f>'CAPEX'!CM68</x:f>
      </x:c>
      <x:c r="CN19" s="117" t="n">
        <x:f>'CAPEX'!CN68</x:f>
      </x:c>
      <x:c r="CO19" s="117" t="n">
        <x:f>'CAPEX'!CO68</x:f>
      </x:c>
      <x:c r="CP19" s="117" t="n">
        <x:f>'CAPEX'!CP68</x:f>
      </x:c>
      <x:c r="CQ19" s="117" t="n">
        <x:f>'CAPEX'!CQ68</x:f>
      </x:c>
      <x:c r="CR19" s="117" t="n">
        <x:f>'CAPEX'!CR68</x:f>
      </x:c>
      <x:c r="CS19" s="117" t="n">
        <x:f>'CAPEX'!CS68</x:f>
      </x:c>
      <x:c r="CT19" s="117" t="n">
        <x:f>'CAPEX'!CT68</x:f>
      </x:c>
      <x:c r="CU19" s="117" t="n">
        <x:f>'CAPEX'!CU68</x:f>
      </x:c>
      <x:c r="CV19" s="117" t="n">
        <x:f>'CAPEX'!CV68</x:f>
      </x:c>
      <x:c r="CW19" s="117" t="n">
        <x:f>'CAPEX'!CW68</x:f>
      </x:c>
      <x:c r="CX19" s="117" t="n">
        <x:f>'CAPEX'!CX68</x:f>
      </x:c>
      <x:c r="CY19" s="117" t="n">
        <x:f>'CAPEX'!CY68</x:f>
      </x:c>
      <x:c r="CZ19" s="117" t="n">
        <x:f>'CAPEX'!CZ68</x:f>
      </x:c>
      <x:c r="DA19" s="117" t="n">
        <x:f>'CAPEX'!DA68</x:f>
      </x:c>
      <x:c r="DB19" s="117" t="n">
        <x:f>'CAPEX'!DB68</x:f>
      </x:c>
      <x:c r="DC19" s="117" t="n">
        <x:f>'CAPEX'!DC68</x:f>
      </x:c>
      <x:c r="DD19" s="117" t="n">
        <x:f>'CAPEX'!DD68</x:f>
      </x:c>
      <x:c r="DE19" s="117" t="n">
        <x:f>'CAPEX'!DE68</x:f>
      </x:c>
      <x:c r="DF19" s="117" t="n">
        <x:f>'CAPEX'!DF68</x:f>
      </x:c>
      <x:c r="DG19" s="117" t="n">
        <x:f>'CAPEX'!DG68</x:f>
      </x:c>
      <x:c r="DH19" s="117" t="n">
        <x:f>'CAPEX'!DH68</x:f>
      </x:c>
      <x:c r="DI19" s="117" t="n">
        <x:f>'CAPEX'!DI68</x:f>
      </x:c>
      <x:c r="DJ19" s="117" t="n">
        <x:f>'CAPEX'!DJ68</x:f>
      </x:c>
      <x:c r="DK19" s="117" t="n">
        <x:f>'CAPEX'!DK68</x:f>
      </x:c>
      <x:c r="DL19" s="117" t="n">
        <x:f>'CAPEX'!DL68</x:f>
      </x:c>
      <x:c r="DM19" s="117" t="n">
        <x:f>'CAPEX'!DM68</x:f>
      </x:c>
      <x:c r="DN19" s="117" t="n">
        <x:f>'CAPEX'!DN68</x:f>
      </x:c>
      <x:c r="DO19" s="117" t="n">
        <x:f>'CAPEX'!DO68</x:f>
      </x:c>
      <x:c r="DP19" s="117" t="n">
        <x:f>'CAPEX'!DP68</x:f>
      </x:c>
      <x:c r="DQ19" s="117" t="n">
        <x:f>'CAPEX'!DQ68</x:f>
      </x:c>
      <x:c r="DR19" s="117" t="n">
        <x:f>'CAPEX'!DR68</x:f>
      </x:c>
      <x:c r="DS19" s="117" t="n">
        <x:f>'CAPEX'!DS68</x:f>
      </x:c>
      <x:c r="DT19" s="117" t="n">
        <x:f>'CAPEX'!DT68</x:f>
      </x:c>
      <x:c r="DU19" s="117" t="n">
        <x:f>'CAPEX'!DU68</x:f>
      </x:c>
      <x:c r="DV19" s="117" t="n">
        <x:f>'CAPEX'!DV68</x:f>
      </x:c>
      <x:c r="DW19" s="117" t="n">
        <x:f>'CAPEX'!DW68</x:f>
      </x:c>
      <x:c r="DX19" s="117" t="n">
        <x:f>'CAPEX'!DX68</x:f>
      </x:c>
      <x:c r="DY19" s="117" t="n">
        <x:f>'CAPEX'!DY68</x:f>
      </x:c>
      <x:c r="DZ19" s="117" t="n">
        <x:f>'CAPEX'!DZ68</x:f>
      </x:c>
      <x:c r="EA19" s="117" t="n">
        <x:f>'CAPEX'!EA68</x:f>
      </x:c>
      <x:c r="EB19" s="117" t="n">
        <x:f>'CAPEX'!EB68</x:f>
      </x:c>
      <x:c r="EC19" s="117" t="n">
        <x:f>'CAPEX'!EC68</x:f>
      </x:c>
      <x:c r="ED19" s="117" t="n">
        <x:f>'CAPEX'!ED68</x:f>
      </x:c>
      <x:c r="EE19" s="117" t="n">
        <x:f>'CAPEX'!EE68</x:f>
      </x:c>
      <x:c r="EF19" s="117" t="n">
        <x:f>'CAPEX'!EF68</x:f>
      </x:c>
      <x:c r="EG19" s="117" t="n">
        <x:f>'CAPEX'!EG68</x:f>
      </x:c>
      <x:c r="EH19" s="117" t="n">
        <x:f>'CAPEX'!EH68</x:f>
      </x:c>
      <x:c r="EI19" s="117" t="n">
        <x:f>'CAPEX'!EI68</x:f>
      </x:c>
      <x:c r="EJ19" s="117" t="n">
        <x:f>'CAPEX'!EJ68</x:f>
      </x:c>
      <x:c r="EK19" s="117" t="n">
        <x:f>'CAPEX'!EK68</x:f>
      </x:c>
      <x:c r="EL19" s="117" t="n">
        <x:f>'CAPEX'!EL68</x:f>
      </x:c>
      <x:c r="EM19" s="117" t="n">
        <x:f>'CAPEX'!EM68</x:f>
      </x:c>
      <x:c r="EN19" s="117" t="n">
        <x:f>'CAPEX'!EN68</x:f>
      </x:c>
      <x:c r="EO19" s="117" t="n">
        <x:f>'CAPEX'!EO68</x:f>
      </x:c>
      <x:c r="EP19" s="117" t="n">
        <x:f>'CAPEX'!EP68</x:f>
      </x:c>
      <x:c r="EQ19" s="117" t="n">
        <x:f>'CAPEX'!EQ68</x:f>
      </x:c>
      <x:c r="ER19" s="117" t="n">
        <x:f>'CAPEX'!ER68</x:f>
      </x:c>
      <x:c r="ES19" s="117" t="n">
        <x:f>'CAPEX'!ES68</x:f>
      </x:c>
      <x:c r="ET19" s="117" t="n">
        <x:f>'CAPEX'!ET68</x:f>
      </x:c>
      <x:c r="EU19" s="117" t="n">
        <x:f>'CAPEX'!EU68</x:f>
      </x:c>
      <x:c r="EV19" s="117" t="n">
        <x:f>'CAPEX'!EV68</x:f>
      </x:c>
      <x:c r="EW19" s="117" t="n">
        <x:f>'CAPEX'!EW68</x:f>
      </x:c>
      <x:c r="EX19" s="117" t="n">
        <x:f>'CAPEX'!EX68</x:f>
      </x:c>
      <x:c r="EY19" s="117" t="n">
        <x:f>'CAPEX'!EY68</x:f>
      </x:c>
      <x:c r="EZ19" s="117" t="n">
        <x:f>'CAPEX'!EZ68</x:f>
      </x:c>
      <x:c r="FA19" s="117" t="n">
        <x:f>'CAPEX'!FA68</x:f>
      </x:c>
      <x:c r="FB19" s="117" t="n">
        <x:f>'CAPEX'!FB68</x:f>
      </x:c>
      <x:c r="FC19" s="117" t="n">
        <x:f>'CAPEX'!FC68</x:f>
      </x:c>
      <x:c r="FD19" s="117" t="n">
        <x:f>'CAPEX'!FD68</x:f>
      </x:c>
      <x:c r="FE19" s="117" t="n">
        <x:f>'CAPEX'!FE68</x:f>
      </x:c>
      <x:c r="FF19" s="117" t="n">
        <x:f>'CAPEX'!FF68</x:f>
      </x:c>
      <x:c r="FG19" s="117" t="n">
        <x:f>'CAPEX'!FG68</x:f>
      </x:c>
      <x:c r="FH19" s="117" t="n">
        <x:f>'CAPEX'!FH68</x:f>
      </x:c>
      <x:c r="FI19" s="117" t="n">
        <x:f>'CAPEX'!FI68</x:f>
      </x:c>
      <x:c r="FJ19" s="117" t="n">
        <x:f>'CAPEX'!FJ68</x:f>
      </x:c>
      <x:c r="FK19" s="117" t="n">
        <x:f>'CAPEX'!FK68</x:f>
      </x:c>
      <x:c r="FL19" s="117" t="n">
        <x:f>'CAPEX'!FL68</x:f>
      </x:c>
      <x:c r="FM19" s="117" t="n">
        <x:f>'CAPEX'!FM68</x:f>
      </x:c>
      <x:c r="FN19" s="117" t="n">
        <x:f>'CAPEX'!FN68</x:f>
      </x:c>
      <x:c r="FO19" s="117" t="n">
        <x:f>'CAPEX'!FO68</x:f>
      </x:c>
      <x:c r="FP19" s="117" t="n">
        <x:f>'CAPEX'!FP68</x:f>
      </x:c>
      <x:c r="FQ19" s="117" t="n">
        <x:f>'CAPEX'!FQ68</x:f>
      </x:c>
      <x:c r="FR19" s="117" t="n">
        <x:f>'CAPEX'!FR68</x:f>
      </x:c>
      <x:c r="FS19" s="117" t="n">
        <x:f>'CAPEX'!FS68</x:f>
      </x:c>
      <x:c r="FT19" s="117" t="n">
        <x:f>'CAPEX'!FT68</x:f>
      </x:c>
      <x:c r="FU19" s="117" t="n">
        <x:f>'CAPEX'!FU68</x:f>
      </x:c>
      <x:c r="FV19" s="117" t="n">
        <x:f>'CAPEX'!FV68</x:f>
      </x:c>
      <x:c r="FW19" s="117" t="n">
        <x:f>'CAPEX'!FW68</x:f>
      </x:c>
      <x:c r="FX19" s="117" t="n">
        <x:f>'CAPEX'!FX68</x:f>
      </x:c>
      <x:c r="FY19" s="117" t="n">
        <x:f>'CAPEX'!FY68</x:f>
      </x:c>
      <x:c r="FZ19" s="117" t="n">
        <x:f>'CAPEX'!FZ68</x:f>
      </x:c>
      <x:c r="GA19" s="117" t="n">
        <x:f>'CAPEX'!GA68</x:f>
      </x:c>
    </x:row>
    <x:row r="20">
      <x:c r="A20" s="113" t="str">
        <x:v>Расходы проекта всего</x:v>
      </x:c>
      <x:c r="B20" s="113" t="n">
        <x:f>SUM(D20:GA20)</x:f>
      </x:c>
      <x:c r="C20" s="113" t="str">
        <x:v>млн ₽</x:v>
      </x:c>
      <x:c r="D20" s="120" t="n">
        <x:f>SUM(D17:D19)</x:f>
      </x:c>
      <x:c r="E20" s="120" t="n">
        <x:f>SUM(E17:E19)</x:f>
      </x:c>
      <x:c r="F20" s="120" t="n">
        <x:f>SUM(F17:F19)</x:f>
      </x:c>
      <x:c r="G20" s="120" t="n">
        <x:f>SUM(G17:G19)</x:f>
      </x:c>
      <x:c r="H20" s="120" t="n">
        <x:f>SUM(H17:H19)</x:f>
      </x:c>
      <x:c r="I20" s="120" t="n">
        <x:f>SUM(I17:I19)</x:f>
      </x:c>
      <x:c r="J20" s="120" t="n">
        <x:f>SUM(J17:J19)</x:f>
      </x:c>
      <x:c r="K20" s="120" t="n">
        <x:f>SUM(K17:K19)</x:f>
      </x:c>
      <x:c r="L20" s="120" t="n">
        <x:f>SUM(L17:L19)</x:f>
      </x:c>
      <x:c r="M20" s="120" t="n">
        <x:f>SUM(M17:M19)</x:f>
      </x:c>
      <x:c r="N20" s="120" t="n">
        <x:f>SUM(N17:N19)</x:f>
      </x:c>
      <x:c r="O20" s="120" t="n">
        <x:f>SUM(O17:O19)</x:f>
      </x:c>
      <x:c r="P20" s="120" t="n">
        <x:f>SUM(P17:P19)</x:f>
      </x:c>
      <x:c r="Q20" s="120" t="n">
        <x:f>SUM(Q17:Q19)</x:f>
      </x:c>
      <x:c r="R20" s="120" t="n">
        <x:f>SUM(R17:R19)</x:f>
      </x:c>
      <x:c r="S20" s="120" t="n">
        <x:f>SUM(S17:S19)</x:f>
      </x:c>
      <x:c r="T20" s="120" t="n">
        <x:f>SUM(T17:T19)</x:f>
      </x:c>
      <x:c r="U20" s="120" t="n">
        <x:f>SUM(U17:U19)</x:f>
      </x:c>
      <x:c r="V20" s="120" t="n">
        <x:f>SUM(V17:V19)</x:f>
      </x:c>
      <x:c r="W20" s="120" t="n">
        <x:f>SUM(W17:W19)</x:f>
      </x:c>
      <x:c r="X20" s="120" t="n">
        <x:f>SUM(X17:X19)</x:f>
      </x:c>
      <x:c r="Y20" s="120" t="n">
        <x:f>SUM(Y17:Y19)</x:f>
      </x:c>
      <x:c r="Z20" s="120" t="n">
        <x:f>SUM(Z17:Z19)</x:f>
      </x:c>
      <x:c r="AA20" s="120" t="n">
        <x:f>SUM(AA17:AA19)</x:f>
      </x:c>
      <x:c r="AB20" s="120" t="n">
        <x:f>SUM(AB17:AB19)</x:f>
      </x:c>
      <x:c r="AC20" s="120" t="n">
        <x:f>SUM(AC17:AC19)</x:f>
      </x:c>
      <x:c r="AD20" s="120" t="n">
        <x:f>SUM(AD17:AD19)</x:f>
      </x:c>
      <x:c r="AE20" s="120" t="n">
        <x:f>SUM(AE17:AE19)</x:f>
      </x:c>
      <x:c r="AF20" s="120" t="n">
        <x:f>SUM(AF17:AF19)</x:f>
      </x:c>
      <x:c r="AG20" s="120" t="n">
        <x:f>SUM(AG17:AG19)</x:f>
      </x:c>
      <x:c r="AH20" s="120" t="n">
        <x:f>SUM(AH17:AH19)</x:f>
      </x:c>
      <x:c r="AI20" s="120" t="n">
        <x:f>SUM(AI17:AI19)</x:f>
      </x:c>
      <x:c r="AJ20" s="120" t="n">
        <x:f>SUM(AJ17:AJ19)</x:f>
      </x:c>
      <x:c r="AK20" s="120" t="n">
        <x:f>SUM(AK17:AK19)</x:f>
      </x:c>
      <x:c r="AL20" s="120" t="n">
        <x:f>SUM(AL17:AL19)</x:f>
      </x:c>
      <x:c r="AM20" s="120" t="n">
        <x:f>SUM(AM17:AM19)</x:f>
      </x:c>
      <x:c r="AN20" s="120" t="n">
        <x:f>SUM(AN17:AN19)</x:f>
      </x:c>
      <x:c r="AO20" s="120" t="n">
        <x:f>SUM(AO17:AO19)</x:f>
      </x:c>
      <x:c r="AP20" s="120" t="n">
        <x:f>SUM(AP17:AP19)</x:f>
      </x:c>
      <x:c r="AQ20" s="120" t="n">
        <x:f>SUM(AQ17:AQ19)</x:f>
      </x:c>
      <x:c r="AR20" s="120" t="n">
        <x:f>SUM(AR17:AR19)</x:f>
      </x:c>
      <x:c r="AS20" s="120" t="n">
        <x:f>SUM(AS17:AS19)</x:f>
      </x:c>
      <x:c r="AT20" s="120" t="n">
        <x:f>SUM(AT17:AT19)</x:f>
      </x:c>
      <x:c r="AU20" s="120" t="n">
        <x:f>SUM(AU17:AU19)</x:f>
      </x:c>
      <x:c r="AV20" s="120" t="n">
        <x:f>SUM(AV17:AV19)</x:f>
      </x:c>
      <x:c r="AW20" s="120" t="n">
        <x:f>SUM(AW17:AW19)</x:f>
      </x:c>
      <x:c r="AX20" s="120" t="n">
        <x:f>SUM(AX17:AX19)</x:f>
      </x:c>
      <x:c r="AY20" s="120" t="n">
        <x:f>SUM(AY17:AY19)</x:f>
      </x:c>
      <x:c r="AZ20" s="120" t="n">
        <x:f>SUM(AZ17:AZ19)</x:f>
      </x:c>
      <x:c r="BA20" s="120" t="n">
        <x:f>SUM(BA17:BA19)</x:f>
      </x:c>
      <x:c r="BB20" s="120" t="n">
        <x:f>SUM(BB17:BB19)</x:f>
      </x:c>
      <x:c r="BC20" s="120" t="n">
        <x:f>SUM(BC17:BC19)</x:f>
      </x:c>
      <x:c r="BD20" s="120" t="n">
        <x:f>SUM(BD17:BD19)</x:f>
      </x:c>
      <x:c r="BE20" s="120" t="n">
        <x:f>SUM(BE17:BE19)</x:f>
      </x:c>
      <x:c r="BF20" s="120" t="n">
        <x:f>SUM(BF17:BF19)</x:f>
      </x:c>
      <x:c r="BG20" s="120" t="n">
        <x:f>SUM(BG17:BG19)</x:f>
      </x:c>
      <x:c r="BH20" s="120" t="n">
        <x:f>SUM(BH17:BH19)</x:f>
      </x:c>
      <x:c r="BI20" s="120" t="n">
        <x:f>SUM(BI17:BI19)</x:f>
      </x:c>
      <x:c r="BJ20" s="120" t="n">
        <x:f>SUM(BJ17:BJ19)</x:f>
      </x:c>
      <x:c r="BK20" s="120" t="n">
        <x:f>SUM(BK17:BK19)</x:f>
      </x:c>
      <x:c r="BL20" s="120" t="n">
        <x:f>SUM(BL17:BL19)</x:f>
      </x:c>
      <x:c r="BM20" s="120" t="n">
        <x:f>SUM(BM17:BM19)</x:f>
      </x:c>
      <x:c r="BN20" s="120" t="n">
        <x:f>SUM(BN17:BN19)</x:f>
      </x:c>
      <x:c r="BO20" s="120" t="n">
        <x:f>SUM(BO17:BO19)</x:f>
      </x:c>
      <x:c r="BP20" s="120" t="n">
        <x:f>SUM(BP17:BP19)</x:f>
      </x:c>
      <x:c r="BQ20" s="120" t="n">
        <x:f>SUM(BQ17:BQ19)</x:f>
      </x:c>
      <x:c r="BR20" s="120" t="n">
        <x:f>SUM(BR17:BR19)</x:f>
      </x:c>
      <x:c r="BS20" s="120" t="n">
        <x:f>SUM(BS17:BS19)</x:f>
      </x:c>
      <x:c r="BT20" s="120" t="n">
        <x:f>SUM(BT17:BT19)</x:f>
      </x:c>
      <x:c r="BU20" s="120" t="n">
        <x:f>SUM(BU17:BU19)</x:f>
      </x:c>
      <x:c r="BV20" s="120" t="n">
        <x:f>SUM(BV17:BV19)</x:f>
      </x:c>
      <x:c r="BW20" s="120" t="n">
        <x:f>SUM(BW17:BW19)</x:f>
      </x:c>
      <x:c r="BX20" s="120" t="n">
        <x:f>SUM(BX17:BX19)</x:f>
      </x:c>
      <x:c r="BY20" s="120" t="n">
        <x:f>SUM(BY17:BY19)</x:f>
      </x:c>
      <x:c r="BZ20" s="120" t="n">
        <x:f>SUM(BZ17:BZ19)</x:f>
      </x:c>
      <x:c r="CA20" s="120" t="n">
        <x:f>SUM(CA17:CA19)</x:f>
      </x:c>
      <x:c r="CB20" s="120" t="n">
        <x:f>SUM(CB17:CB19)</x:f>
      </x:c>
      <x:c r="CC20" s="120" t="n">
        <x:f>SUM(CC17:CC19)</x:f>
      </x:c>
      <x:c r="CD20" s="120" t="n">
        <x:f>SUM(CD17:CD19)</x:f>
      </x:c>
      <x:c r="CE20" s="120" t="n">
        <x:f>SUM(CE17:CE19)</x:f>
      </x:c>
      <x:c r="CF20" s="120" t="n">
        <x:f>SUM(CF17:CF19)</x:f>
      </x:c>
      <x:c r="CG20" s="120" t="n">
        <x:f>SUM(CG17:CG19)</x:f>
      </x:c>
      <x:c r="CH20" s="120" t="n">
        <x:f>SUM(CH17:CH19)</x:f>
      </x:c>
      <x:c r="CI20" s="120" t="n">
        <x:f>SUM(CI17:CI19)</x:f>
      </x:c>
      <x:c r="CJ20" s="120" t="n">
        <x:f>SUM(CJ17:CJ19)</x:f>
      </x:c>
      <x:c r="CK20" s="120" t="n">
        <x:f>SUM(CK17:CK19)</x:f>
      </x:c>
      <x:c r="CL20" s="120" t="n">
        <x:f>SUM(CL17:CL19)</x:f>
      </x:c>
      <x:c r="CM20" s="120" t="n">
        <x:f>SUM(CM17:CM19)</x:f>
      </x:c>
      <x:c r="CN20" s="120" t="n">
        <x:f>SUM(CN17:CN19)</x:f>
      </x:c>
      <x:c r="CO20" s="120" t="n">
        <x:f>SUM(CO17:CO19)</x:f>
      </x:c>
      <x:c r="CP20" s="120" t="n">
        <x:f>SUM(CP17:CP19)</x:f>
      </x:c>
      <x:c r="CQ20" s="120" t="n">
        <x:f>SUM(CQ17:CQ19)</x:f>
      </x:c>
      <x:c r="CR20" s="120" t="n">
        <x:f>SUM(CR17:CR19)</x:f>
      </x:c>
      <x:c r="CS20" s="120" t="n">
        <x:f>SUM(CS17:CS19)</x:f>
      </x:c>
      <x:c r="CT20" s="120" t="n">
        <x:f>SUM(CT17:CT19)</x:f>
      </x:c>
      <x:c r="CU20" s="120" t="n">
        <x:f>SUM(CU17:CU19)</x:f>
      </x:c>
      <x:c r="CV20" s="120" t="n">
        <x:f>SUM(CV17:CV19)</x:f>
      </x:c>
      <x:c r="CW20" s="120" t="n">
        <x:f>SUM(CW17:CW19)</x:f>
      </x:c>
      <x:c r="CX20" s="120" t="n">
        <x:f>SUM(CX17:CX19)</x:f>
      </x:c>
      <x:c r="CY20" s="120" t="n">
        <x:f>SUM(CY17:CY19)</x:f>
      </x:c>
      <x:c r="CZ20" s="120" t="n">
        <x:f>SUM(CZ17:CZ19)</x:f>
      </x:c>
      <x:c r="DA20" s="120" t="n">
        <x:f>SUM(DA17:DA19)</x:f>
      </x:c>
      <x:c r="DB20" s="120" t="n">
        <x:f>SUM(DB17:DB19)</x:f>
      </x:c>
      <x:c r="DC20" s="120" t="n">
        <x:f>SUM(DC17:DC19)</x:f>
      </x:c>
      <x:c r="DD20" s="120" t="n">
        <x:f>SUM(DD17:DD19)</x:f>
      </x:c>
      <x:c r="DE20" s="120" t="n">
        <x:f>SUM(DE17:DE19)</x:f>
      </x:c>
      <x:c r="DF20" s="120" t="n">
        <x:f>SUM(DF17:DF19)</x:f>
      </x:c>
      <x:c r="DG20" s="120" t="n">
        <x:f>SUM(DG17:DG19)</x:f>
      </x:c>
      <x:c r="DH20" s="120" t="n">
        <x:f>SUM(DH17:DH19)</x:f>
      </x:c>
      <x:c r="DI20" s="120" t="n">
        <x:f>SUM(DI17:DI19)</x:f>
      </x:c>
      <x:c r="DJ20" s="120" t="n">
        <x:f>SUM(DJ17:DJ19)</x:f>
      </x:c>
      <x:c r="DK20" s="120" t="n">
        <x:f>SUM(DK17:DK19)</x:f>
      </x:c>
      <x:c r="DL20" s="120" t="n">
        <x:f>SUM(DL17:DL19)</x:f>
      </x:c>
      <x:c r="DM20" s="120" t="n">
        <x:f>SUM(DM17:DM19)</x:f>
      </x:c>
      <x:c r="DN20" s="120" t="n">
        <x:f>SUM(DN17:DN19)</x:f>
      </x:c>
      <x:c r="DO20" s="120" t="n">
        <x:f>SUM(DO17:DO19)</x:f>
      </x:c>
      <x:c r="DP20" s="120" t="n">
        <x:f>SUM(DP17:DP19)</x:f>
      </x:c>
      <x:c r="DQ20" s="120" t="n">
        <x:f>SUM(DQ17:DQ19)</x:f>
      </x:c>
      <x:c r="DR20" s="120" t="n">
        <x:f>SUM(DR17:DR19)</x:f>
      </x:c>
      <x:c r="DS20" s="120" t="n">
        <x:f>SUM(DS17:DS19)</x:f>
      </x:c>
      <x:c r="DT20" s="120" t="n">
        <x:f>SUM(DT17:DT19)</x:f>
      </x:c>
      <x:c r="DU20" s="120" t="n">
        <x:f>SUM(DU17:DU19)</x:f>
      </x:c>
      <x:c r="DV20" s="120" t="n">
        <x:f>SUM(DV17:DV19)</x:f>
      </x:c>
      <x:c r="DW20" s="120" t="n">
        <x:f>SUM(DW17:DW19)</x:f>
      </x:c>
      <x:c r="DX20" s="120" t="n">
        <x:f>SUM(DX17:DX19)</x:f>
      </x:c>
      <x:c r="DY20" s="120" t="n">
        <x:f>SUM(DY17:DY19)</x:f>
      </x:c>
      <x:c r="DZ20" s="120" t="n">
        <x:f>SUM(DZ17:DZ19)</x:f>
      </x:c>
      <x:c r="EA20" s="120" t="n">
        <x:f>SUM(EA17:EA19)</x:f>
      </x:c>
      <x:c r="EB20" s="120" t="n">
        <x:f>SUM(EB17:EB19)</x:f>
      </x:c>
      <x:c r="EC20" s="120" t="n">
        <x:f>SUM(EC17:EC19)</x:f>
      </x:c>
      <x:c r="ED20" s="120" t="n">
        <x:f>SUM(ED17:ED19)</x:f>
      </x:c>
      <x:c r="EE20" s="120" t="n">
        <x:f>SUM(EE17:EE19)</x:f>
      </x:c>
      <x:c r="EF20" s="120" t="n">
        <x:f>SUM(EF17:EF19)</x:f>
      </x:c>
      <x:c r="EG20" s="120" t="n">
        <x:f>SUM(EG17:EG19)</x:f>
      </x:c>
      <x:c r="EH20" s="120" t="n">
        <x:f>SUM(EH17:EH19)</x:f>
      </x:c>
      <x:c r="EI20" s="120" t="n">
        <x:f>SUM(EI17:EI19)</x:f>
      </x:c>
      <x:c r="EJ20" s="120" t="n">
        <x:f>SUM(EJ17:EJ19)</x:f>
      </x:c>
      <x:c r="EK20" s="120" t="n">
        <x:f>SUM(EK17:EK19)</x:f>
      </x:c>
      <x:c r="EL20" s="120" t="n">
        <x:f>SUM(EL17:EL19)</x:f>
      </x:c>
      <x:c r="EM20" s="120" t="n">
        <x:f>SUM(EM17:EM19)</x:f>
      </x:c>
      <x:c r="EN20" s="120" t="n">
        <x:f>SUM(EN17:EN19)</x:f>
      </x:c>
      <x:c r="EO20" s="120" t="n">
        <x:f>SUM(EO17:EO19)</x:f>
      </x:c>
      <x:c r="EP20" s="120" t="n">
        <x:f>SUM(EP17:EP19)</x:f>
      </x:c>
      <x:c r="EQ20" s="120" t="n">
        <x:f>SUM(EQ17:EQ19)</x:f>
      </x:c>
      <x:c r="ER20" s="120" t="n">
        <x:f>SUM(ER17:ER19)</x:f>
      </x:c>
      <x:c r="ES20" s="120" t="n">
        <x:f>SUM(ES17:ES19)</x:f>
      </x:c>
      <x:c r="ET20" s="120" t="n">
        <x:f>SUM(ET17:ET19)</x:f>
      </x:c>
      <x:c r="EU20" s="120" t="n">
        <x:f>SUM(EU17:EU19)</x:f>
      </x:c>
      <x:c r="EV20" s="120" t="n">
        <x:f>SUM(EV17:EV19)</x:f>
      </x:c>
      <x:c r="EW20" s="120" t="n">
        <x:f>SUM(EW17:EW19)</x:f>
      </x:c>
      <x:c r="EX20" s="120" t="n">
        <x:f>SUM(EX17:EX19)</x:f>
      </x:c>
      <x:c r="EY20" s="120" t="n">
        <x:f>SUM(EY17:EY19)</x:f>
      </x:c>
      <x:c r="EZ20" s="120" t="n">
        <x:f>SUM(EZ17:EZ19)</x:f>
      </x:c>
      <x:c r="FA20" s="120" t="n">
        <x:f>SUM(FA17:FA19)</x:f>
      </x:c>
      <x:c r="FB20" s="120" t="n">
        <x:f>SUM(FB17:FB19)</x:f>
      </x:c>
      <x:c r="FC20" s="120" t="n">
        <x:f>SUM(FC17:FC19)</x:f>
      </x:c>
      <x:c r="FD20" s="120" t="n">
        <x:f>SUM(FD17:FD19)</x:f>
      </x:c>
      <x:c r="FE20" s="120" t="n">
        <x:f>SUM(FE17:FE19)</x:f>
      </x:c>
      <x:c r="FF20" s="120" t="n">
        <x:f>SUM(FF17:FF19)</x:f>
      </x:c>
      <x:c r="FG20" s="120" t="n">
        <x:f>SUM(FG17:FG19)</x:f>
      </x:c>
      <x:c r="FH20" s="120" t="n">
        <x:f>SUM(FH17:FH19)</x:f>
      </x:c>
      <x:c r="FI20" s="120" t="n">
        <x:f>SUM(FI17:FI19)</x:f>
      </x:c>
      <x:c r="FJ20" s="120" t="n">
        <x:f>SUM(FJ17:FJ19)</x:f>
      </x:c>
      <x:c r="FK20" s="120" t="n">
        <x:f>SUM(FK17:FK19)</x:f>
      </x:c>
      <x:c r="FL20" s="120" t="n">
        <x:f>SUM(FL17:FL19)</x:f>
      </x:c>
      <x:c r="FM20" s="120" t="n">
        <x:f>SUM(FM17:FM19)</x:f>
      </x:c>
      <x:c r="FN20" s="120" t="n">
        <x:f>SUM(FN17:FN19)</x:f>
      </x:c>
      <x:c r="FO20" s="120" t="n">
        <x:f>SUM(FO17:FO19)</x:f>
      </x:c>
      <x:c r="FP20" s="120" t="n">
        <x:f>SUM(FP17:FP19)</x:f>
      </x:c>
      <x:c r="FQ20" s="120" t="n">
        <x:f>SUM(FQ17:FQ19)</x:f>
      </x:c>
      <x:c r="FR20" s="120" t="n">
        <x:f>SUM(FR17:FR19)</x:f>
      </x:c>
      <x:c r="FS20" s="120" t="n">
        <x:f>SUM(FS17:FS19)</x:f>
      </x:c>
      <x:c r="FT20" s="120" t="n">
        <x:f>SUM(FT17:FT19)</x:f>
      </x:c>
      <x:c r="FU20" s="120" t="n">
        <x:f>SUM(FU17:FU19)</x:f>
      </x:c>
      <x:c r="FV20" s="120" t="n">
        <x:f>SUM(FV17:FV19)</x:f>
      </x:c>
      <x:c r="FW20" s="120" t="n">
        <x:f>SUM(FW17:FW19)</x:f>
      </x:c>
      <x:c r="FX20" s="120" t="n">
        <x:f>SUM(FX17:FX19)</x:f>
      </x:c>
      <x:c r="FY20" s="120" t="n">
        <x:f>SUM(FY17:FY19)</x:f>
      </x:c>
      <x:c r="FZ20" s="120" t="n">
        <x:f>SUM(FZ17:FZ19)</x:f>
      </x:c>
      <x:c r="GA20" s="120" t="n">
        <x:f>SUM(GA17:GA19)</x:f>
      </x:c>
    </x:row>
    <x:row r="21">
      <x:c r="A21" t="str">
        <x:v>НДС к уплате</x:v>
      </x:c>
      <x:c r="B21" t="n">
        <x:f>SUM(D21:GA21)</x:f>
      </x:c>
      <x:c r="C21" t="str">
        <x:v>млн ₽</x:v>
      </x:c>
      <x:c r="D21" s="117" t="n">
        <x:f>IF(D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E21" s="117" t="n">
        <x:f>IF(E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F21" s="117" t="n">
        <x:f>IF(F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G21" s="117" t="n">
        <x:f>IF(G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H21" s="117" t="n">
        <x:f>IF(H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I21" s="117" t="n">
        <x:f>IF(I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J21" s="117" t="n">
        <x:f>IF(J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K21" s="117" t="n">
        <x:f>IF(K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L21" s="117" t="n">
        <x:f>IF(L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M21" s="117" t="n">
        <x:f>IF(M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N21" s="117" t="n">
        <x:f>IF(N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O21" s="117" t="n">
        <x:f>IF(O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P21" s="117" t="n">
        <x:f>IF(P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Q21" s="117" t="n">
        <x:f>IF(Q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R21" s="117" t="n">
        <x:f>IF(R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S21" s="117" t="n">
        <x:f>IF(S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T21" s="117" t="n">
        <x:f>IF(T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U21" s="117" t="n">
        <x:f>IF(U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V21" s="117" t="n">
        <x:f>IF(V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W21" s="117" t="n">
        <x:f>IF(W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X21" s="117" t="n">
        <x:f>IF(X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Y21" s="117" t="n">
        <x:f>IF(Y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Z21" s="117" t="n">
        <x:f>IF(Z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AA21" s="117" t="n">
        <x:f>IF(AA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AB21" s="117" t="n">
        <x:f>IF(AB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AC21" s="117" t="n">
        <x:f>IF(AC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AD21" s="117" t="n">
        <x:f>IF(AD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AE21" s="117" t="n">
        <x:f>IF(AE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AF21" s="117" t="n">
        <x:f>IF(AF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AG21" s="117" t="n">
        <x:f>IF(AG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AH21" s="117" t="n">
        <x:f>IF(AH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AI21" s="117" t="n">
        <x:f>IF(AI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AJ21" s="117" t="n">
        <x:f>IF(AJ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AK21" s="117" t="n">
        <x:f>IF(AK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AL21" s="117" t="n">
        <x:f>IF(AL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AM21" s="117" t="n">
        <x:f>IF(AM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AN21" s="117" t="n">
        <x:f>IF(AN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AO21" s="117" t="n">
        <x:f>IF(AO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AP21" s="117" t="n">
        <x:f>IF(AP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AQ21" s="117" t="n">
        <x:f>IF(AQ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AR21" s="117" t="n">
        <x:f>IF(AR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AS21" s="117" t="n">
        <x:f>IF(AS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AT21" s="117" t="n">
        <x:f>IF(AT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AU21" s="117" t="n">
        <x:f>IF(AU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AV21" s="117" t="n">
        <x:f>IF(AV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AW21" s="117" t="n">
        <x:f>IF(AW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AX21" s="117" t="n">
        <x:f>IF(AX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AY21" s="117" t="n">
        <x:f>IF(AY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AZ21" s="117" t="n">
        <x:f>IF(AZ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BA21" s="117" t="n">
        <x:f>IF(BA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BB21" s="117" t="n">
        <x:f>IF(BB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BC21" s="117" t="n">
        <x:f>IF(BC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BD21" s="117" t="n">
        <x:f>IF(BD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BE21" s="117" t="n">
        <x:f>IF(BE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BF21" s="117" t="n">
        <x:f>IF(BF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BG21" s="117" t="n">
        <x:f>IF(BG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BH21" s="117" t="n">
        <x:f>IF(BH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BI21" s="117" t="n">
        <x:f>IF(BI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BJ21" s="117" t="n">
        <x:f>IF(BJ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BK21" s="117" t="n">
        <x:f>IF(BK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BL21" s="117" t="n">
        <x:f>IF(BL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BM21" s="117" t="n">
        <x:f>IF(BM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BN21" s="117" t="n">
        <x:f>IF(BN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BO21" s="117" t="n">
        <x:f>IF(BO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BP21" s="117" t="n">
        <x:f>IF(BP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BQ21" s="117" t="n">
        <x:f>IF(BQ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BR21" s="117" t="n">
        <x:f>IF(BR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BS21" s="117" t="n">
        <x:f>IF(BS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BT21" s="117" t="n">
        <x:f>IF(BT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BU21" s="117" t="n">
        <x:f>IF(BU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BV21" s="117" t="n">
        <x:f>IF(BV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BW21" s="117" t="n">
        <x:f>IF(BW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BX21" s="117" t="n">
        <x:f>IF(BX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BY21" s="117" t="n">
        <x:f>IF(BY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BZ21" s="117" t="n">
        <x:f>IF(BZ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CA21" s="117" t="n">
        <x:f>IF(CA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CB21" s="117" t="n">
        <x:f>IF(CB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CC21" s="117" t="n">
        <x:f>IF(CC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CD21" s="117" t="n">
        <x:f>IF(CD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CE21" s="117" t="n">
        <x:f>IF(CE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CF21" s="117" t="n">
        <x:f>IF(CF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CG21" s="117" t="n">
        <x:f>IF(CG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CH21" s="117" t="n">
        <x:f>IF(CH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CI21" s="117" t="n">
        <x:f>IF(CI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CJ21" s="117" t="n">
        <x:f>IF(CJ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CK21" s="117" t="n">
        <x:f>IF(CK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CL21" s="117" t="n">
        <x:f>IF(CL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CM21" s="117" t="n">
        <x:f>IF(CM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CN21" s="117" t="n">
        <x:f>IF(CN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CO21" s="117" t="n">
        <x:f>IF(CO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CP21" s="117" t="n">
        <x:f>IF(CP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CQ21" s="117" t="n">
        <x:f>IF(CQ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CR21" s="117" t="n">
        <x:f>IF(CR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CS21" s="117" t="n">
        <x:f>IF(CS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CT21" s="117" t="n">
        <x:f>IF(CT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CU21" s="117" t="n">
        <x:f>IF(CU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CV21" s="117" t="n">
        <x:f>IF(CV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CW21" s="117" t="n">
        <x:f>IF(CW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CX21" s="117" t="n">
        <x:f>IF(CX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CY21" s="117" t="n">
        <x:f>IF(CY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CZ21" s="117" t="n">
        <x:f>IF(CZ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DA21" s="117" t="n">
        <x:f>IF(DA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DB21" s="117" t="n">
        <x:f>IF(DB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DC21" s="117" t="n">
        <x:f>IF(DC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DD21" s="117" t="n">
        <x:f>IF(DD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DE21" s="117" t="n">
        <x:f>IF(DE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DF21" s="117" t="n">
        <x:f>IF(DF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DG21" s="117" t="n">
        <x:f>IF(DG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DH21" s="117" t="n">
        <x:f>IF(DH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DI21" s="117" t="n">
        <x:f>IF(DI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DJ21" s="117" t="n">
        <x:f>IF(DJ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DK21" s="117" t="n">
        <x:f>IF(DK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DL21" s="117" t="n">
        <x:f>IF(DL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DM21" s="117" t="n">
        <x:f>IF(DM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DN21" s="117" t="n">
        <x:f>IF(DN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DO21" s="117" t="n">
        <x:f>IF(DO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DP21" s="117" t="n">
        <x:f>IF(DP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DQ21" s="117" t="n">
        <x:f>IF(DQ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DR21" s="117" t="n">
        <x:f>IF(DR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DS21" s="117" t="n">
        <x:f>IF(DS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DT21" s="117" t="n">
        <x:f>IF(DT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DU21" s="117" t="n">
        <x:f>IF(DU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DV21" s="117" t="n">
        <x:f>IF(DV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DW21" s="117" t="n">
        <x:f>IF(DW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DX21" s="117" t="n">
        <x:f>IF(DX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DY21" s="117" t="n">
        <x:f>IF(DY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DZ21" s="117" t="n">
        <x:f>IF(DZ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EA21" s="117" t="n">
        <x:f>IF(EA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EB21" s="117" t="n">
        <x:f>IF(EB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EC21" s="117" t="n">
        <x:f>IF(EC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ED21" s="117" t="n">
        <x:f>IF(ED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EE21" s="117" t="n">
        <x:f>IF(EE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EF21" s="117" t="n">
        <x:f>IF(EF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EG21" s="117" t="n">
        <x:f>IF(EG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EH21" s="117" t="n">
        <x:f>IF(EH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EI21" s="117" t="n">
        <x:f>IF(EI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EJ21" s="117" t="n">
        <x:f>IF(EJ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EK21" s="117" t="n">
        <x:f>IF(EK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EL21" s="117" t="n">
        <x:f>IF(EL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EM21" s="117" t="n">
        <x:f>IF(EM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EN21" s="117" t="n">
        <x:f>IF(EN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EO21" s="117" t="n">
        <x:f>IF(EO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EP21" s="117" t="n">
        <x:f>IF(EP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EQ21" s="117" t="n">
        <x:f>IF(EQ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ER21" s="117" t="n">
        <x:f>IF(ER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ES21" s="117" t="n">
        <x:f>IF(ES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ET21" s="117" t="n">
        <x:f>IF(ET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EU21" s="117" t="n">
        <x:f>IF(EU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EV21" s="117" t="n">
        <x:f>IF(EV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EW21" s="117" t="n">
        <x:f>IF(EW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EX21" s="117" t="n">
        <x:f>IF(EX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EY21" s="117" t="n">
        <x:f>IF(EY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EZ21" s="117" t="n">
        <x:f>IF(EZ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FA21" s="117" t="n">
        <x:f>IF(FA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FB21" s="117" t="n">
        <x:f>IF(FB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FC21" s="117" t="n">
        <x:f>IF(FC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FD21" s="117" t="n">
        <x:f>IF(FD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FE21" s="117" t="n">
        <x:f>IF(FE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FF21" s="117" t="n">
        <x:f>IF(FF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FG21" s="117" t="n">
        <x:f>IF(FG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FH21" s="117" t="n">
        <x:f>IF(FH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FI21" s="117" t="n">
        <x:f>IF(FI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FJ21" s="117" t="n">
        <x:f>IF(FJ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FK21" s="117" t="n">
        <x:f>IF(FK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FL21" s="117" t="n">
        <x:f>IF(FL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FM21" s="117" t="n">
        <x:f>IF(FM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FN21" s="117" t="n">
        <x:f>IF(FN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FO21" s="117" t="n">
        <x:f>IF(FO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FP21" s="117" t="n">
        <x:f>IF(FP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FQ21" s="117" t="n">
        <x:f>IF(FQ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FR21" s="117" t="n">
        <x:f>IF(FR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FS21" s="117" t="n">
        <x:f>IF(FS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FT21" s="117" t="n">
        <x:f>IF(FT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FU21" s="117" t="n">
        <x:f>IF(FU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FV21" s="117" t="n">
        <x:f>IF(FV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FW21" s="117" t="n">
        <x:f>IF(FW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FX21" s="117" t="n">
        <x:f>IF(FX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FY21" s="117" t="n">
        <x:f>IF(FY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FZ21" s="117" t="n">
        <x:f>IF(FZ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  <x:c r="GA21" s="117" t="n">
        <x:f>IF(GA$3=$B$8,MAX(0,(SUM($D$10:$GA$10)-SUM('Продажи'!$D$39:$GA$39))*('Вводные'!$B$22/(1+'Вводные'!$B$22))-(SUM($D$20:$GA$20)-'Вводные'!$B$15*'Вводные'!$P$89-'Вводные'!$B$16*'Вводные'!$Q$89)*('Вводные'!$B$22/(1+'Вводные'!$B$22))*IFERROR((SUM($D$10:$GA$10)-SUM('Продажи'!$D$39:$GA$39))/SUM($D$10:$GA$10),0)),0)</x:f>
      </x:c>
    </x:row>
    <x:row r="22">
      <x:c r="A22" t="str">
        <x:v>Налоговая прибыль текущего месяца</x:v>
      </x:c>
      <x:c r="B22"/>
      <x:c r="C22" t="str">
        <x:v>млн ₽</x:v>
      </x:c>
      <x:c r="D22" s="117">
        <x:f>D10-IFERROR((SUM($D$20:$GA$20)-'ОБЪЕКТЫ'!$B$104)*('Продажи'!D37+'Продажи'!D40+'Продажи'!D43+'Продажи'!D46)/(SUM('Продажи'!$D$37:$GA$37)+SUM('Продажи'!$D$40:$GA$40)+SUM('Продажи'!$D$43:$GA$43)+SUM('Продажи'!$D$46:$GA$46)),0)-IF('ОБЪЕКТЫ'!$B$8=2,IFERROR('ОБЪЕКТЫ'!$B$28*'ОБЪЕКТЫ'!D22/'ОБЪЕКТЫ'!$B$22,0),0)-IF('ОБЪЕКТЫ'!$B$36=2,IFERROR('ОБЪЕКТЫ'!$B$56*'ОБЪЕКТЫ'!D50/'ОБЪЕКТЫ'!$B$50,0),0)-IF('ОБЪЕКТЫ'!$B$64=2,IFERROR('ОБЪЕКТЫ'!$B$84*'ОБЪЕКТЫ'!D78/'ОБЪЕКТЫ'!$B$78,0),0)-D53-D57-D21</x:f>
      </x:c>
      <x:c r="E22" s="117">
        <x:f>E10-IFERROR((SUM($D$20:$GA$20)-'ОБЪЕКТЫ'!$B$104)*('Продажи'!E37+'Продажи'!E40+'Продажи'!E43+'Продажи'!E46)/(SUM('Продажи'!$D$37:$GA$37)+SUM('Продажи'!$D$40:$GA$40)+SUM('Продажи'!$D$43:$GA$43)+SUM('Продажи'!$D$46:$GA$46)),0)-IF('ОБЪЕКТЫ'!$B$8=2,IFERROR('ОБЪЕКТЫ'!$B$28*'ОБЪЕКТЫ'!E22/'ОБЪЕКТЫ'!$B$22,0),0)-IF('ОБЪЕКТЫ'!$B$36=2,IFERROR('ОБЪЕКТЫ'!$B$56*'ОБЪЕКТЫ'!E50/'ОБЪЕКТЫ'!$B$50,0),0)-IF('ОБЪЕКТЫ'!$B$64=2,IFERROR('ОБЪЕКТЫ'!$B$84*'ОБЪЕКТЫ'!E78/'ОБЪЕКТЫ'!$B$78,0),0)-E53-E57-E21</x:f>
      </x:c>
      <x:c r="F22" s="117">
        <x:f>F10-IFERROR((SUM($D$20:$GA$20)-'ОБЪЕКТЫ'!$B$104)*('Продажи'!F37+'Продажи'!F40+'Продажи'!F43+'Продажи'!F46)/(SUM('Продажи'!$D$37:$GA$37)+SUM('Продажи'!$D$40:$GA$40)+SUM('Продажи'!$D$43:$GA$43)+SUM('Продажи'!$D$46:$GA$46)),0)-IF('ОБЪЕКТЫ'!$B$8=2,IFERROR('ОБЪЕКТЫ'!$B$28*'ОБЪЕКТЫ'!F22/'ОБЪЕКТЫ'!$B$22,0),0)-IF('ОБЪЕКТЫ'!$B$36=2,IFERROR('ОБЪЕКТЫ'!$B$56*'ОБЪЕКТЫ'!F50/'ОБЪЕКТЫ'!$B$50,0),0)-IF('ОБЪЕКТЫ'!$B$64=2,IFERROR('ОБЪЕКТЫ'!$B$84*'ОБЪЕКТЫ'!F78/'ОБЪЕКТЫ'!$B$78,0),0)-F53-F57-F21</x:f>
      </x:c>
      <x:c r="G22" s="117">
        <x:f>G10-IFERROR((SUM($D$20:$GA$20)-'ОБЪЕКТЫ'!$B$104)*('Продажи'!G37+'Продажи'!G40+'Продажи'!G43+'Продажи'!G46)/(SUM('Продажи'!$D$37:$GA$37)+SUM('Продажи'!$D$40:$GA$40)+SUM('Продажи'!$D$43:$GA$43)+SUM('Продажи'!$D$46:$GA$46)),0)-IF('ОБЪЕКТЫ'!$B$8=2,IFERROR('ОБЪЕКТЫ'!$B$28*'ОБЪЕКТЫ'!G22/'ОБЪЕКТЫ'!$B$22,0),0)-IF('ОБЪЕКТЫ'!$B$36=2,IFERROR('ОБЪЕКТЫ'!$B$56*'ОБЪЕКТЫ'!G50/'ОБЪЕКТЫ'!$B$50,0),0)-IF('ОБЪЕКТЫ'!$B$64=2,IFERROR('ОБЪЕКТЫ'!$B$84*'ОБЪЕКТЫ'!G78/'ОБЪЕКТЫ'!$B$78,0),0)-G53-G57-G21</x:f>
      </x:c>
      <x:c r="H22" s="117">
        <x:f>H10-IFERROR((SUM($D$20:$GA$20)-'ОБЪЕКТЫ'!$B$104)*('Продажи'!H37+'Продажи'!H40+'Продажи'!H43+'Продажи'!H46)/(SUM('Продажи'!$D$37:$GA$37)+SUM('Продажи'!$D$40:$GA$40)+SUM('Продажи'!$D$43:$GA$43)+SUM('Продажи'!$D$46:$GA$46)),0)-IF('ОБЪЕКТЫ'!$B$8=2,IFERROR('ОБЪЕКТЫ'!$B$28*'ОБЪЕКТЫ'!H22/'ОБЪЕКТЫ'!$B$22,0),0)-IF('ОБЪЕКТЫ'!$B$36=2,IFERROR('ОБЪЕКТЫ'!$B$56*'ОБЪЕКТЫ'!H50/'ОБЪЕКТЫ'!$B$50,0),0)-IF('ОБЪЕКТЫ'!$B$64=2,IFERROR('ОБЪЕКТЫ'!$B$84*'ОБЪЕКТЫ'!H78/'ОБЪЕКТЫ'!$B$78,0),0)-H53-H57-H21</x:f>
      </x:c>
      <x:c r="I22" s="117">
        <x:f>I10-IFERROR((SUM($D$20:$GA$20)-'ОБЪЕКТЫ'!$B$104)*('Продажи'!I37+'Продажи'!I40+'Продажи'!I43+'Продажи'!I46)/(SUM('Продажи'!$D$37:$GA$37)+SUM('Продажи'!$D$40:$GA$40)+SUM('Продажи'!$D$43:$GA$43)+SUM('Продажи'!$D$46:$GA$46)),0)-IF('ОБЪЕКТЫ'!$B$8=2,IFERROR('ОБЪЕКТЫ'!$B$28*'ОБЪЕКТЫ'!I22/'ОБЪЕКТЫ'!$B$22,0),0)-IF('ОБЪЕКТЫ'!$B$36=2,IFERROR('ОБЪЕКТЫ'!$B$56*'ОБЪЕКТЫ'!I50/'ОБЪЕКТЫ'!$B$50,0),0)-IF('ОБЪЕКТЫ'!$B$64=2,IFERROR('ОБЪЕКТЫ'!$B$84*'ОБЪЕКТЫ'!I78/'ОБЪЕКТЫ'!$B$78,0),0)-I53-I57-I21</x:f>
      </x:c>
      <x:c r="J22" s="117">
        <x:f>J10-IFERROR((SUM($D$20:$GA$20)-'ОБЪЕКТЫ'!$B$104)*('Продажи'!J37+'Продажи'!J40+'Продажи'!J43+'Продажи'!J46)/(SUM('Продажи'!$D$37:$GA$37)+SUM('Продажи'!$D$40:$GA$40)+SUM('Продажи'!$D$43:$GA$43)+SUM('Продажи'!$D$46:$GA$46)),0)-IF('ОБЪЕКТЫ'!$B$8=2,IFERROR('ОБЪЕКТЫ'!$B$28*'ОБЪЕКТЫ'!J22/'ОБЪЕКТЫ'!$B$22,0),0)-IF('ОБЪЕКТЫ'!$B$36=2,IFERROR('ОБЪЕКТЫ'!$B$56*'ОБЪЕКТЫ'!J50/'ОБЪЕКТЫ'!$B$50,0),0)-IF('ОБЪЕКТЫ'!$B$64=2,IFERROR('ОБЪЕКТЫ'!$B$84*'ОБЪЕКТЫ'!J78/'ОБЪЕКТЫ'!$B$78,0),0)-J53-J57-J21</x:f>
      </x:c>
      <x:c r="K22" s="117">
        <x:f>K10-IFERROR((SUM($D$20:$GA$20)-'ОБЪЕКТЫ'!$B$104)*('Продажи'!K37+'Продажи'!K40+'Продажи'!K43+'Продажи'!K46)/(SUM('Продажи'!$D$37:$GA$37)+SUM('Продажи'!$D$40:$GA$40)+SUM('Продажи'!$D$43:$GA$43)+SUM('Продажи'!$D$46:$GA$46)),0)-IF('ОБЪЕКТЫ'!$B$8=2,IFERROR('ОБЪЕКТЫ'!$B$28*'ОБЪЕКТЫ'!K22/'ОБЪЕКТЫ'!$B$22,0),0)-IF('ОБЪЕКТЫ'!$B$36=2,IFERROR('ОБЪЕКТЫ'!$B$56*'ОБЪЕКТЫ'!K50/'ОБЪЕКТЫ'!$B$50,0),0)-IF('ОБЪЕКТЫ'!$B$64=2,IFERROR('ОБЪЕКТЫ'!$B$84*'ОБЪЕКТЫ'!K78/'ОБЪЕКТЫ'!$B$78,0),0)-K53-K57-K21</x:f>
      </x:c>
      <x:c r="L22" s="117">
        <x:f>L10-IFERROR((SUM($D$20:$GA$20)-'ОБЪЕКТЫ'!$B$104)*('Продажи'!L37+'Продажи'!L40+'Продажи'!L43+'Продажи'!L46)/(SUM('Продажи'!$D$37:$GA$37)+SUM('Продажи'!$D$40:$GA$40)+SUM('Продажи'!$D$43:$GA$43)+SUM('Продажи'!$D$46:$GA$46)),0)-IF('ОБЪЕКТЫ'!$B$8=2,IFERROR('ОБЪЕКТЫ'!$B$28*'ОБЪЕКТЫ'!L22/'ОБЪЕКТЫ'!$B$22,0),0)-IF('ОБЪЕКТЫ'!$B$36=2,IFERROR('ОБЪЕКТЫ'!$B$56*'ОБЪЕКТЫ'!L50/'ОБЪЕКТЫ'!$B$50,0),0)-IF('ОБЪЕКТЫ'!$B$64=2,IFERROR('ОБЪЕКТЫ'!$B$84*'ОБЪЕКТЫ'!L78/'ОБЪЕКТЫ'!$B$78,0),0)-L53-L57-L21</x:f>
      </x:c>
      <x:c r="M22" s="117">
        <x:f>M10-IFERROR((SUM($D$20:$GA$20)-'ОБЪЕКТЫ'!$B$104)*('Продажи'!M37+'Продажи'!M40+'Продажи'!M43+'Продажи'!M46)/(SUM('Продажи'!$D$37:$GA$37)+SUM('Продажи'!$D$40:$GA$40)+SUM('Продажи'!$D$43:$GA$43)+SUM('Продажи'!$D$46:$GA$46)),0)-IF('ОБЪЕКТЫ'!$B$8=2,IFERROR('ОБЪЕКТЫ'!$B$28*'ОБЪЕКТЫ'!M22/'ОБЪЕКТЫ'!$B$22,0),0)-IF('ОБЪЕКТЫ'!$B$36=2,IFERROR('ОБЪЕКТЫ'!$B$56*'ОБЪЕКТЫ'!M50/'ОБЪЕКТЫ'!$B$50,0),0)-IF('ОБЪЕКТЫ'!$B$64=2,IFERROR('ОБЪЕКТЫ'!$B$84*'ОБЪЕКТЫ'!M78/'ОБЪЕКТЫ'!$B$78,0),0)-M53-M57-M21</x:f>
      </x:c>
      <x:c r="N22" s="117">
        <x:f>N10-IFERROR((SUM($D$20:$GA$20)-'ОБЪЕКТЫ'!$B$104)*('Продажи'!N37+'Продажи'!N40+'Продажи'!N43+'Продажи'!N46)/(SUM('Продажи'!$D$37:$GA$37)+SUM('Продажи'!$D$40:$GA$40)+SUM('Продажи'!$D$43:$GA$43)+SUM('Продажи'!$D$46:$GA$46)),0)-IF('ОБЪЕКТЫ'!$B$8=2,IFERROR('ОБЪЕКТЫ'!$B$28*'ОБЪЕКТЫ'!N22/'ОБЪЕКТЫ'!$B$22,0),0)-IF('ОБЪЕКТЫ'!$B$36=2,IFERROR('ОБЪЕКТЫ'!$B$56*'ОБЪЕКТЫ'!N50/'ОБЪЕКТЫ'!$B$50,0),0)-IF('ОБЪЕКТЫ'!$B$64=2,IFERROR('ОБЪЕКТЫ'!$B$84*'ОБЪЕКТЫ'!N78/'ОБЪЕКТЫ'!$B$78,0),0)-N53-N57-N21</x:f>
      </x:c>
      <x:c r="O22" s="117">
        <x:f>O10-IFERROR((SUM($D$20:$GA$20)-'ОБЪЕКТЫ'!$B$104)*('Продажи'!O37+'Продажи'!O40+'Продажи'!O43+'Продажи'!O46)/(SUM('Продажи'!$D$37:$GA$37)+SUM('Продажи'!$D$40:$GA$40)+SUM('Продажи'!$D$43:$GA$43)+SUM('Продажи'!$D$46:$GA$46)),0)-IF('ОБЪЕКТЫ'!$B$8=2,IFERROR('ОБЪЕКТЫ'!$B$28*'ОБЪЕКТЫ'!O22/'ОБЪЕКТЫ'!$B$22,0),0)-IF('ОБЪЕКТЫ'!$B$36=2,IFERROR('ОБЪЕКТЫ'!$B$56*'ОБЪЕКТЫ'!O50/'ОБЪЕКТЫ'!$B$50,0),0)-IF('ОБЪЕКТЫ'!$B$64=2,IFERROR('ОБЪЕКТЫ'!$B$84*'ОБЪЕКТЫ'!O78/'ОБЪЕКТЫ'!$B$78,0),0)-O53-O57-O21</x:f>
      </x:c>
      <x:c r="P22" s="117">
        <x:f>P10-IFERROR((SUM($D$20:$GA$20)-'ОБЪЕКТЫ'!$B$104)*('Продажи'!P37+'Продажи'!P40+'Продажи'!P43+'Продажи'!P46)/(SUM('Продажи'!$D$37:$GA$37)+SUM('Продажи'!$D$40:$GA$40)+SUM('Продажи'!$D$43:$GA$43)+SUM('Продажи'!$D$46:$GA$46)),0)-IF('ОБЪЕКТЫ'!$B$8=2,IFERROR('ОБЪЕКТЫ'!$B$28*'ОБЪЕКТЫ'!P22/'ОБЪЕКТЫ'!$B$22,0),0)-IF('ОБЪЕКТЫ'!$B$36=2,IFERROR('ОБЪЕКТЫ'!$B$56*'ОБЪЕКТЫ'!P50/'ОБЪЕКТЫ'!$B$50,0),0)-IF('ОБЪЕКТЫ'!$B$64=2,IFERROR('ОБЪЕКТЫ'!$B$84*'ОБЪЕКТЫ'!P78/'ОБЪЕКТЫ'!$B$78,0),0)-P53-P57-P21</x:f>
      </x:c>
      <x:c r="Q22" s="117">
        <x:f>Q10-IFERROR((SUM($D$20:$GA$20)-'ОБЪЕКТЫ'!$B$104)*('Продажи'!Q37+'Продажи'!Q40+'Продажи'!Q43+'Продажи'!Q46)/(SUM('Продажи'!$D$37:$GA$37)+SUM('Продажи'!$D$40:$GA$40)+SUM('Продажи'!$D$43:$GA$43)+SUM('Продажи'!$D$46:$GA$46)),0)-IF('ОБЪЕКТЫ'!$B$8=2,IFERROR('ОБЪЕКТЫ'!$B$28*'ОБЪЕКТЫ'!Q22/'ОБЪЕКТЫ'!$B$22,0),0)-IF('ОБЪЕКТЫ'!$B$36=2,IFERROR('ОБЪЕКТЫ'!$B$56*'ОБЪЕКТЫ'!Q50/'ОБЪЕКТЫ'!$B$50,0),0)-IF('ОБЪЕКТЫ'!$B$64=2,IFERROR('ОБЪЕКТЫ'!$B$84*'ОБЪЕКТЫ'!Q78/'ОБЪЕКТЫ'!$B$78,0),0)-Q53-Q57-Q21</x:f>
      </x:c>
      <x:c r="R22" s="117">
        <x:f>R10-IFERROR((SUM($D$20:$GA$20)-'ОБЪЕКТЫ'!$B$104)*('Продажи'!R37+'Продажи'!R40+'Продажи'!R43+'Продажи'!R46)/(SUM('Продажи'!$D$37:$GA$37)+SUM('Продажи'!$D$40:$GA$40)+SUM('Продажи'!$D$43:$GA$43)+SUM('Продажи'!$D$46:$GA$46)),0)-IF('ОБЪЕКТЫ'!$B$8=2,IFERROR('ОБЪЕКТЫ'!$B$28*'ОБЪЕКТЫ'!R22/'ОБЪЕКТЫ'!$B$22,0),0)-IF('ОБЪЕКТЫ'!$B$36=2,IFERROR('ОБЪЕКТЫ'!$B$56*'ОБЪЕКТЫ'!R50/'ОБЪЕКТЫ'!$B$50,0),0)-IF('ОБЪЕКТЫ'!$B$64=2,IFERROR('ОБЪЕКТЫ'!$B$84*'ОБЪЕКТЫ'!R78/'ОБЪЕКТЫ'!$B$78,0),0)-R53-R57-R21</x:f>
      </x:c>
      <x:c r="S22" s="117">
        <x:f>S10-IFERROR((SUM($D$20:$GA$20)-'ОБЪЕКТЫ'!$B$104)*('Продажи'!S37+'Продажи'!S40+'Продажи'!S43+'Продажи'!S46)/(SUM('Продажи'!$D$37:$GA$37)+SUM('Продажи'!$D$40:$GA$40)+SUM('Продажи'!$D$43:$GA$43)+SUM('Продажи'!$D$46:$GA$46)),0)-IF('ОБЪЕКТЫ'!$B$8=2,IFERROR('ОБЪЕКТЫ'!$B$28*'ОБЪЕКТЫ'!S22/'ОБЪЕКТЫ'!$B$22,0),0)-IF('ОБЪЕКТЫ'!$B$36=2,IFERROR('ОБЪЕКТЫ'!$B$56*'ОБЪЕКТЫ'!S50/'ОБЪЕКТЫ'!$B$50,0),0)-IF('ОБЪЕКТЫ'!$B$64=2,IFERROR('ОБЪЕКТЫ'!$B$84*'ОБЪЕКТЫ'!S78/'ОБЪЕКТЫ'!$B$78,0),0)-S53-S57-S21</x:f>
      </x:c>
      <x:c r="T22" s="117">
        <x:f>T10-IFERROR((SUM($D$20:$GA$20)-'ОБЪЕКТЫ'!$B$104)*('Продажи'!T37+'Продажи'!T40+'Продажи'!T43+'Продажи'!T46)/(SUM('Продажи'!$D$37:$GA$37)+SUM('Продажи'!$D$40:$GA$40)+SUM('Продажи'!$D$43:$GA$43)+SUM('Продажи'!$D$46:$GA$46)),0)-IF('ОБЪЕКТЫ'!$B$8=2,IFERROR('ОБЪЕКТЫ'!$B$28*'ОБЪЕКТЫ'!T22/'ОБЪЕКТЫ'!$B$22,0),0)-IF('ОБЪЕКТЫ'!$B$36=2,IFERROR('ОБЪЕКТЫ'!$B$56*'ОБЪЕКТЫ'!T50/'ОБЪЕКТЫ'!$B$50,0),0)-IF('ОБЪЕКТЫ'!$B$64=2,IFERROR('ОБЪЕКТЫ'!$B$84*'ОБЪЕКТЫ'!T78/'ОБЪЕКТЫ'!$B$78,0),0)-T53-T57-T21</x:f>
      </x:c>
      <x:c r="U22" s="117">
        <x:f>U10-IFERROR((SUM($D$20:$GA$20)-'ОБЪЕКТЫ'!$B$104)*('Продажи'!U37+'Продажи'!U40+'Продажи'!U43+'Продажи'!U46)/(SUM('Продажи'!$D$37:$GA$37)+SUM('Продажи'!$D$40:$GA$40)+SUM('Продажи'!$D$43:$GA$43)+SUM('Продажи'!$D$46:$GA$46)),0)-IF('ОБЪЕКТЫ'!$B$8=2,IFERROR('ОБЪЕКТЫ'!$B$28*'ОБЪЕКТЫ'!U22/'ОБЪЕКТЫ'!$B$22,0),0)-IF('ОБЪЕКТЫ'!$B$36=2,IFERROR('ОБЪЕКТЫ'!$B$56*'ОБЪЕКТЫ'!U50/'ОБЪЕКТЫ'!$B$50,0),0)-IF('ОБЪЕКТЫ'!$B$64=2,IFERROR('ОБЪЕКТЫ'!$B$84*'ОБЪЕКТЫ'!U78/'ОБЪЕКТЫ'!$B$78,0),0)-U53-U57-U21</x:f>
      </x:c>
      <x:c r="V22" s="117">
        <x:f>V10-IFERROR((SUM($D$20:$GA$20)-'ОБЪЕКТЫ'!$B$104)*('Продажи'!V37+'Продажи'!V40+'Продажи'!V43+'Продажи'!V46)/(SUM('Продажи'!$D$37:$GA$37)+SUM('Продажи'!$D$40:$GA$40)+SUM('Продажи'!$D$43:$GA$43)+SUM('Продажи'!$D$46:$GA$46)),0)-IF('ОБЪЕКТЫ'!$B$8=2,IFERROR('ОБЪЕКТЫ'!$B$28*'ОБЪЕКТЫ'!V22/'ОБЪЕКТЫ'!$B$22,0),0)-IF('ОБЪЕКТЫ'!$B$36=2,IFERROR('ОБЪЕКТЫ'!$B$56*'ОБЪЕКТЫ'!V50/'ОБЪЕКТЫ'!$B$50,0),0)-IF('ОБЪЕКТЫ'!$B$64=2,IFERROR('ОБЪЕКТЫ'!$B$84*'ОБЪЕКТЫ'!V78/'ОБЪЕКТЫ'!$B$78,0),0)-V53-V57-V21</x:f>
      </x:c>
      <x:c r="W22" s="117">
        <x:f>W10-IFERROR((SUM($D$20:$GA$20)-'ОБЪЕКТЫ'!$B$104)*('Продажи'!W37+'Продажи'!W40+'Продажи'!W43+'Продажи'!W46)/(SUM('Продажи'!$D$37:$GA$37)+SUM('Продажи'!$D$40:$GA$40)+SUM('Продажи'!$D$43:$GA$43)+SUM('Продажи'!$D$46:$GA$46)),0)-IF('ОБЪЕКТЫ'!$B$8=2,IFERROR('ОБЪЕКТЫ'!$B$28*'ОБЪЕКТЫ'!W22/'ОБЪЕКТЫ'!$B$22,0),0)-IF('ОБЪЕКТЫ'!$B$36=2,IFERROR('ОБЪЕКТЫ'!$B$56*'ОБЪЕКТЫ'!W50/'ОБЪЕКТЫ'!$B$50,0),0)-IF('ОБЪЕКТЫ'!$B$64=2,IFERROR('ОБЪЕКТЫ'!$B$84*'ОБЪЕКТЫ'!W78/'ОБЪЕКТЫ'!$B$78,0),0)-W53-W57-W21</x:f>
      </x:c>
      <x:c r="X22" s="117">
        <x:f>X10-IFERROR((SUM($D$20:$GA$20)-'ОБЪЕКТЫ'!$B$104)*('Продажи'!X37+'Продажи'!X40+'Продажи'!X43+'Продажи'!X46)/(SUM('Продажи'!$D$37:$GA$37)+SUM('Продажи'!$D$40:$GA$40)+SUM('Продажи'!$D$43:$GA$43)+SUM('Продажи'!$D$46:$GA$46)),0)-IF('ОБЪЕКТЫ'!$B$8=2,IFERROR('ОБЪЕКТЫ'!$B$28*'ОБЪЕКТЫ'!X22/'ОБЪЕКТЫ'!$B$22,0),0)-IF('ОБЪЕКТЫ'!$B$36=2,IFERROR('ОБЪЕКТЫ'!$B$56*'ОБЪЕКТЫ'!X50/'ОБЪЕКТЫ'!$B$50,0),0)-IF('ОБЪЕКТЫ'!$B$64=2,IFERROR('ОБЪЕКТЫ'!$B$84*'ОБЪЕКТЫ'!X78/'ОБЪЕКТЫ'!$B$78,0),0)-X53-X57-X21</x:f>
      </x:c>
      <x:c r="Y22" s="117">
        <x:f>Y10-IFERROR((SUM($D$20:$GA$20)-'ОБЪЕКТЫ'!$B$104)*('Продажи'!Y37+'Продажи'!Y40+'Продажи'!Y43+'Продажи'!Y46)/(SUM('Продажи'!$D$37:$GA$37)+SUM('Продажи'!$D$40:$GA$40)+SUM('Продажи'!$D$43:$GA$43)+SUM('Продажи'!$D$46:$GA$46)),0)-IF('ОБЪЕКТЫ'!$B$8=2,IFERROR('ОБЪЕКТЫ'!$B$28*'ОБЪЕКТЫ'!Y22/'ОБЪЕКТЫ'!$B$22,0),0)-IF('ОБЪЕКТЫ'!$B$36=2,IFERROR('ОБЪЕКТЫ'!$B$56*'ОБЪЕКТЫ'!Y50/'ОБЪЕКТЫ'!$B$50,0),0)-IF('ОБЪЕКТЫ'!$B$64=2,IFERROR('ОБЪЕКТЫ'!$B$84*'ОБЪЕКТЫ'!Y78/'ОБЪЕКТЫ'!$B$78,0),0)-Y53-Y57-Y21</x:f>
      </x:c>
      <x:c r="Z22" s="117">
        <x:f>Z10-IFERROR((SUM($D$20:$GA$20)-'ОБЪЕКТЫ'!$B$104)*('Продажи'!Z37+'Продажи'!Z40+'Продажи'!Z43+'Продажи'!Z46)/(SUM('Продажи'!$D$37:$GA$37)+SUM('Продажи'!$D$40:$GA$40)+SUM('Продажи'!$D$43:$GA$43)+SUM('Продажи'!$D$46:$GA$46)),0)-IF('ОБЪЕКТЫ'!$B$8=2,IFERROR('ОБЪЕКТЫ'!$B$28*'ОБЪЕКТЫ'!Z22/'ОБЪЕКТЫ'!$B$22,0),0)-IF('ОБЪЕКТЫ'!$B$36=2,IFERROR('ОБЪЕКТЫ'!$B$56*'ОБЪЕКТЫ'!Z50/'ОБЪЕКТЫ'!$B$50,0),0)-IF('ОБЪЕКТЫ'!$B$64=2,IFERROR('ОБЪЕКТЫ'!$B$84*'ОБЪЕКТЫ'!Z78/'ОБЪЕКТЫ'!$B$78,0),0)-Z53-Z57-Z21</x:f>
      </x:c>
      <x:c r="AA22" s="117">
        <x:f>AA10-IFERROR((SUM($D$20:$GA$20)-'ОБЪЕКТЫ'!$B$104)*('Продажи'!AA37+'Продажи'!AA40+'Продажи'!AA43+'Продажи'!AA46)/(SUM('Продажи'!$D$37:$GA$37)+SUM('Продажи'!$D$40:$GA$40)+SUM('Продажи'!$D$43:$GA$43)+SUM('Продажи'!$D$46:$GA$46)),0)-IF('ОБЪЕКТЫ'!$B$8=2,IFERROR('ОБЪЕКТЫ'!$B$28*'ОБЪЕКТЫ'!AA22/'ОБЪЕКТЫ'!$B$22,0),0)-IF('ОБЪЕКТЫ'!$B$36=2,IFERROR('ОБЪЕКТЫ'!$B$56*'ОБЪЕКТЫ'!AA50/'ОБЪЕКТЫ'!$B$50,0),0)-IF('ОБЪЕКТЫ'!$B$64=2,IFERROR('ОБЪЕКТЫ'!$B$84*'ОБЪЕКТЫ'!AA78/'ОБЪЕКТЫ'!$B$78,0),0)-AA53-AA57-AA21</x:f>
      </x:c>
      <x:c r="AB22" s="117">
        <x:f>AB10-IFERROR((SUM($D$20:$GA$20)-'ОБЪЕКТЫ'!$B$104)*('Продажи'!AB37+'Продажи'!AB40+'Продажи'!AB43+'Продажи'!AB46)/(SUM('Продажи'!$D$37:$GA$37)+SUM('Продажи'!$D$40:$GA$40)+SUM('Продажи'!$D$43:$GA$43)+SUM('Продажи'!$D$46:$GA$46)),0)-IF('ОБЪЕКТЫ'!$B$8=2,IFERROR('ОБЪЕКТЫ'!$B$28*'ОБЪЕКТЫ'!AB22/'ОБЪЕКТЫ'!$B$22,0),0)-IF('ОБЪЕКТЫ'!$B$36=2,IFERROR('ОБЪЕКТЫ'!$B$56*'ОБЪЕКТЫ'!AB50/'ОБЪЕКТЫ'!$B$50,0),0)-IF('ОБЪЕКТЫ'!$B$64=2,IFERROR('ОБЪЕКТЫ'!$B$84*'ОБЪЕКТЫ'!AB78/'ОБЪЕКТЫ'!$B$78,0),0)-AB53-AB57-AB21</x:f>
      </x:c>
      <x:c r="AC22" s="117">
        <x:f>AC10-IFERROR((SUM($D$20:$GA$20)-'ОБЪЕКТЫ'!$B$104)*('Продажи'!AC37+'Продажи'!AC40+'Продажи'!AC43+'Продажи'!AC46)/(SUM('Продажи'!$D$37:$GA$37)+SUM('Продажи'!$D$40:$GA$40)+SUM('Продажи'!$D$43:$GA$43)+SUM('Продажи'!$D$46:$GA$46)),0)-IF('ОБЪЕКТЫ'!$B$8=2,IFERROR('ОБЪЕКТЫ'!$B$28*'ОБЪЕКТЫ'!AC22/'ОБЪЕКТЫ'!$B$22,0),0)-IF('ОБЪЕКТЫ'!$B$36=2,IFERROR('ОБЪЕКТЫ'!$B$56*'ОБЪЕКТЫ'!AC50/'ОБЪЕКТЫ'!$B$50,0),0)-IF('ОБЪЕКТЫ'!$B$64=2,IFERROR('ОБЪЕКТЫ'!$B$84*'ОБЪЕКТЫ'!AC78/'ОБЪЕКТЫ'!$B$78,0),0)-AC53-AC57-AC21</x:f>
      </x:c>
      <x:c r="AD22" s="117">
        <x:f>AD10-IFERROR((SUM($D$20:$GA$20)-'ОБЪЕКТЫ'!$B$104)*('Продажи'!AD37+'Продажи'!AD40+'Продажи'!AD43+'Продажи'!AD46)/(SUM('Продажи'!$D$37:$GA$37)+SUM('Продажи'!$D$40:$GA$40)+SUM('Продажи'!$D$43:$GA$43)+SUM('Продажи'!$D$46:$GA$46)),0)-IF('ОБЪЕКТЫ'!$B$8=2,IFERROR('ОБЪЕКТЫ'!$B$28*'ОБЪЕКТЫ'!AD22/'ОБЪЕКТЫ'!$B$22,0),0)-IF('ОБЪЕКТЫ'!$B$36=2,IFERROR('ОБЪЕКТЫ'!$B$56*'ОБЪЕКТЫ'!AD50/'ОБЪЕКТЫ'!$B$50,0),0)-IF('ОБЪЕКТЫ'!$B$64=2,IFERROR('ОБЪЕКТЫ'!$B$84*'ОБЪЕКТЫ'!AD78/'ОБЪЕКТЫ'!$B$78,0),0)-AD53-AD57-AD21</x:f>
      </x:c>
      <x:c r="AE22" s="117">
        <x:f>AE10-IFERROR((SUM($D$20:$GA$20)-'ОБЪЕКТЫ'!$B$104)*('Продажи'!AE37+'Продажи'!AE40+'Продажи'!AE43+'Продажи'!AE46)/(SUM('Продажи'!$D$37:$GA$37)+SUM('Продажи'!$D$40:$GA$40)+SUM('Продажи'!$D$43:$GA$43)+SUM('Продажи'!$D$46:$GA$46)),0)-IF('ОБЪЕКТЫ'!$B$8=2,IFERROR('ОБЪЕКТЫ'!$B$28*'ОБЪЕКТЫ'!AE22/'ОБЪЕКТЫ'!$B$22,0),0)-IF('ОБЪЕКТЫ'!$B$36=2,IFERROR('ОБЪЕКТЫ'!$B$56*'ОБЪЕКТЫ'!AE50/'ОБЪЕКТЫ'!$B$50,0),0)-IF('ОБЪЕКТЫ'!$B$64=2,IFERROR('ОБЪЕКТЫ'!$B$84*'ОБЪЕКТЫ'!AE78/'ОБЪЕКТЫ'!$B$78,0),0)-AE53-AE57-AE21</x:f>
      </x:c>
      <x:c r="AF22" s="117">
        <x:f>AF10-IFERROR((SUM($D$20:$GA$20)-'ОБЪЕКТЫ'!$B$104)*('Продажи'!AF37+'Продажи'!AF40+'Продажи'!AF43+'Продажи'!AF46)/(SUM('Продажи'!$D$37:$GA$37)+SUM('Продажи'!$D$40:$GA$40)+SUM('Продажи'!$D$43:$GA$43)+SUM('Продажи'!$D$46:$GA$46)),0)-IF('ОБЪЕКТЫ'!$B$8=2,IFERROR('ОБЪЕКТЫ'!$B$28*'ОБЪЕКТЫ'!AF22/'ОБЪЕКТЫ'!$B$22,0),0)-IF('ОБЪЕКТЫ'!$B$36=2,IFERROR('ОБЪЕКТЫ'!$B$56*'ОБЪЕКТЫ'!AF50/'ОБЪЕКТЫ'!$B$50,0),0)-IF('ОБЪЕКТЫ'!$B$64=2,IFERROR('ОБЪЕКТЫ'!$B$84*'ОБЪЕКТЫ'!AF78/'ОБЪЕКТЫ'!$B$78,0),0)-AF53-AF57-AF21</x:f>
      </x:c>
      <x:c r="AG22" s="117">
        <x:f>AG10-IFERROR((SUM($D$20:$GA$20)-'ОБЪЕКТЫ'!$B$104)*('Продажи'!AG37+'Продажи'!AG40+'Продажи'!AG43+'Продажи'!AG46)/(SUM('Продажи'!$D$37:$GA$37)+SUM('Продажи'!$D$40:$GA$40)+SUM('Продажи'!$D$43:$GA$43)+SUM('Продажи'!$D$46:$GA$46)),0)-IF('ОБЪЕКТЫ'!$B$8=2,IFERROR('ОБЪЕКТЫ'!$B$28*'ОБЪЕКТЫ'!AG22/'ОБЪЕКТЫ'!$B$22,0),0)-IF('ОБЪЕКТЫ'!$B$36=2,IFERROR('ОБЪЕКТЫ'!$B$56*'ОБЪЕКТЫ'!AG50/'ОБЪЕКТЫ'!$B$50,0),0)-IF('ОБЪЕКТЫ'!$B$64=2,IFERROR('ОБЪЕКТЫ'!$B$84*'ОБЪЕКТЫ'!AG78/'ОБЪЕКТЫ'!$B$78,0),0)-AG53-AG57-AG21</x:f>
      </x:c>
      <x:c r="AH22" s="117">
        <x:f>AH10-IFERROR((SUM($D$20:$GA$20)-'ОБЪЕКТЫ'!$B$104)*('Продажи'!AH37+'Продажи'!AH40+'Продажи'!AH43+'Продажи'!AH46)/(SUM('Продажи'!$D$37:$GA$37)+SUM('Продажи'!$D$40:$GA$40)+SUM('Продажи'!$D$43:$GA$43)+SUM('Продажи'!$D$46:$GA$46)),0)-IF('ОБЪЕКТЫ'!$B$8=2,IFERROR('ОБЪЕКТЫ'!$B$28*'ОБЪЕКТЫ'!AH22/'ОБЪЕКТЫ'!$B$22,0),0)-IF('ОБЪЕКТЫ'!$B$36=2,IFERROR('ОБЪЕКТЫ'!$B$56*'ОБЪЕКТЫ'!AH50/'ОБЪЕКТЫ'!$B$50,0),0)-IF('ОБЪЕКТЫ'!$B$64=2,IFERROR('ОБЪЕКТЫ'!$B$84*'ОБЪЕКТЫ'!AH78/'ОБЪЕКТЫ'!$B$78,0),0)-AH53-AH57-AH21</x:f>
      </x:c>
      <x:c r="AI22" s="117">
        <x:f>AI10-IFERROR((SUM($D$20:$GA$20)-'ОБЪЕКТЫ'!$B$104)*('Продажи'!AI37+'Продажи'!AI40+'Продажи'!AI43+'Продажи'!AI46)/(SUM('Продажи'!$D$37:$GA$37)+SUM('Продажи'!$D$40:$GA$40)+SUM('Продажи'!$D$43:$GA$43)+SUM('Продажи'!$D$46:$GA$46)),0)-IF('ОБЪЕКТЫ'!$B$8=2,IFERROR('ОБЪЕКТЫ'!$B$28*'ОБЪЕКТЫ'!AI22/'ОБЪЕКТЫ'!$B$22,0),0)-IF('ОБЪЕКТЫ'!$B$36=2,IFERROR('ОБЪЕКТЫ'!$B$56*'ОБЪЕКТЫ'!AI50/'ОБЪЕКТЫ'!$B$50,0),0)-IF('ОБЪЕКТЫ'!$B$64=2,IFERROR('ОБЪЕКТЫ'!$B$84*'ОБЪЕКТЫ'!AI78/'ОБЪЕКТЫ'!$B$78,0),0)-AI53-AI57-AI21</x:f>
      </x:c>
      <x:c r="AJ22" s="117">
        <x:f>AJ10-IFERROR((SUM($D$20:$GA$20)-'ОБЪЕКТЫ'!$B$104)*('Продажи'!AJ37+'Продажи'!AJ40+'Продажи'!AJ43+'Продажи'!AJ46)/(SUM('Продажи'!$D$37:$GA$37)+SUM('Продажи'!$D$40:$GA$40)+SUM('Продажи'!$D$43:$GA$43)+SUM('Продажи'!$D$46:$GA$46)),0)-IF('ОБЪЕКТЫ'!$B$8=2,IFERROR('ОБЪЕКТЫ'!$B$28*'ОБЪЕКТЫ'!AJ22/'ОБЪЕКТЫ'!$B$22,0),0)-IF('ОБЪЕКТЫ'!$B$36=2,IFERROR('ОБЪЕКТЫ'!$B$56*'ОБЪЕКТЫ'!AJ50/'ОБЪЕКТЫ'!$B$50,0),0)-IF('ОБЪЕКТЫ'!$B$64=2,IFERROR('ОБЪЕКТЫ'!$B$84*'ОБЪЕКТЫ'!AJ78/'ОБЪЕКТЫ'!$B$78,0),0)-AJ53-AJ57-AJ21</x:f>
      </x:c>
      <x:c r="AK22" s="117">
        <x:f>AK10-IFERROR((SUM($D$20:$GA$20)-'ОБЪЕКТЫ'!$B$104)*('Продажи'!AK37+'Продажи'!AK40+'Продажи'!AK43+'Продажи'!AK46)/(SUM('Продажи'!$D$37:$GA$37)+SUM('Продажи'!$D$40:$GA$40)+SUM('Продажи'!$D$43:$GA$43)+SUM('Продажи'!$D$46:$GA$46)),0)-IF('ОБЪЕКТЫ'!$B$8=2,IFERROR('ОБЪЕКТЫ'!$B$28*'ОБЪЕКТЫ'!AK22/'ОБЪЕКТЫ'!$B$22,0),0)-IF('ОБЪЕКТЫ'!$B$36=2,IFERROR('ОБЪЕКТЫ'!$B$56*'ОБЪЕКТЫ'!AK50/'ОБЪЕКТЫ'!$B$50,0),0)-IF('ОБЪЕКТЫ'!$B$64=2,IFERROR('ОБЪЕКТЫ'!$B$84*'ОБЪЕКТЫ'!AK78/'ОБЪЕКТЫ'!$B$78,0),0)-AK53-AK57-AK21</x:f>
      </x:c>
      <x:c r="AL22" s="117">
        <x:f>AL10-IFERROR((SUM($D$20:$GA$20)-'ОБЪЕКТЫ'!$B$104)*('Продажи'!AL37+'Продажи'!AL40+'Продажи'!AL43+'Продажи'!AL46)/(SUM('Продажи'!$D$37:$GA$37)+SUM('Продажи'!$D$40:$GA$40)+SUM('Продажи'!$D$43:$GA$43)+SUM('Продажи'!$D$46:$GA$46)),0)-IF('ОБЪЕКТЫ'!$B$8=2,IFERROR('ОБЪЕКТЫ'!$B$28*'ОБЪЕКТЫ'!AL22/'ОБЪЕКТЫ'!$B$22,0),0)-IF('ОБЪЕКТЫ'!$B$36=2,IFERROR('ОБЪЕКТЫ'!$B$56*'ОБЪЕКТЫ'!AL50/'ОБЪЕКТЫ'!$B$50,0),0)-IF('ОБЪЕКТЫ'!$B$64=2,IFERROR('ОБЪЕКТЫ'!$B$84*'ОБЪЕКТЫ'!AL78/'ОБЪЕКТЫ'!$B$78,0),0)-AL53-AL57-AL21</x:f>
      </x:c>
      <x:c r="AM22" s="117">
        <x:f>AM10-IFERROR((SUM($D$20:$GA$20)-'ОБЪЕКТЫ'!$B$104)*('Продажи'!AM37+'Продажи'!AM40+'Продажи'!AM43+'Продажи'!AM46)/(SUM('Продажи'!$D$37:$GA$37)+SUM('Продажи'!$D$40:$GA$40)+SUM('Продажи'!$D$43:$GA$43)+SUM('Продажи'!$D$46:$GA$46)),0)-IF('ОБЪЕКТЫ'!$B$8=2,IFERROR('ОБЪЕКТЫ'!$B$28*'ОБЪЕКТЫ'!AM22/'ОБЪЕКТЫ'!$B$22,0),0)-IF('ОБЪЕКТЫ'!$B$36=2,IFERROR('ОБЪЕКТЫ'!$B$56*'ОБЪЕКТЫ'!AM50/'ОБЪЕКТЫ'!$B$50,0),0)-IF('ОБЪЕКТЫ'!$B$64=2,IFERROR('ОБЪЕКТЫ'!$B$84*'ОБЪЕКТЫ'!AM78/'ОБЪЕКТЫ'!$B$78,0),0)-AM53-AM57-AM21</x:f>
      </x:c>
      <x:c r="AN22" s="117">
        <x:f>AN10-IFERROR((SUM($D$20:$GA$20)-'ОБЪЕКТЫ'!$B$104)*('Продажи'!AN37+'Продажи'!AN40+'Продажи'!AN43+'Продажи'!AN46)/(SUM('Продажи'!$D$37:$GA$37)+SUM('Продажи'!$D$40:$GA$40)+SUM('Продажи'!$D$43:$GA$43)+SUM('Продажи'!$D$46:$GA$46)),0)-IF('ОБЪЕКТЫ'!$B$8=2,IFERROR('ОБЪЕКТЫ'!$B$28*'ОБЪЕКТЫ'!AN22/'ОБЪЕКТЫ'!$B$22,0),0)-IF('ОБЪЕКТЫ'!$B$36=2,IFERROR('ОБЪЕКТЫ'!$B$56*'ОБЪЕКТЫ'!AN50/'ОБЪЕКТЫ'!$B$50,0),0)-IF('ОБЪЕКТЫ'!$B$64=2,IFERROR('ОБЪЕКТЫ'!$B$84*'ОБЪЕКТЫ'!AN78/'ОБЪЕКТЫ'!$B$78,0),0)-AN53-AN57-AN21</x:f>
      </x:c>
      <x:c r="AO22" s="117">
        <x:f>AO10-IFERROR((SUM($D$20:$GA$20)-'ОБЪЕКТЫ'!$B$104)*('Продажи'!AO37+'Продажи'!AO40+'Продажи'!AO43+'Продажи'!AO46)/(SUM('Продажи'!$D$37:$GA$37)+SUM('Продажи'!$D$40:$GA$40)+SUM('Продажи'!$D$43:$GA$43)+SUM('Продажи'!$D$46:$GA$46)),0)-IF('ОБЪЕКТЫ'!$B$8=2,IFERROR('ОБЪЕКТЫ'!$B$28*'ОБЪЕКТЫ'!AO22/'ОБЪЕКТЫ'!$B$22,0),0)-IF('ОБЪЕКТЫ'!$B$36=2,IFERROR('ОБЪЕКТЫ'!$B$56*'ОБЪЕКТЫ'!AO50/'ОБЪЕКТЫ'!$B$50,0),0)-IF('ОБЪЕКТЫ'!$B$64=2,IFERROR('ОБЪЕКТЫ'!$B$84*'ОБЪЕКТЫ'!AO78/'ОБЪЕКТЫ'!$B$78,0),0)-AO53-AO57-AO21</x:f>
      </x:c>
      <x:c r="AP22" s="117">
        <x:f>AP10-IFERROR((SUM($D$20:$GA$20)-'ОБЪЕКТЫ'!$B$104)*('Продажи'!AP37+'Продажи'!AP40+'Продажи'!AP43+'Продажи'!AP46)/(SUM('Продажи'!$D$37:$GA$37)+SUM('Продажи'!$D$40:$GA$40)+SUM('Продажи'!$D$43:$GA$43)+SUM('Продажи'!$D$46:$GA$46)),0)-IF('ОБЪЕКТЫ'!$B$8=2,IFERROR('ОБЪЕКТЫ'!$B$28*'ОБЪЕКТЫ'!AP22/'ОБЪЕКТЫ'!$B$22,0),0)-IF('ОБЪЕКТЫ'!$B$36=2,IFERROR('ОБЪЕКТЫ'!$B$56*'ОБЪЕКТЫ'!AP50/'ОБЪЕКТЫ'!$B$50,0),0)-IF('ОБЪЕКТЫ'!$B$64=2,IFERROR('ОБЪЕКТЫ'!$B$84*'ОБЪЕКТЫ'!AP78/'ОБЪЕКТЫ'!$B$78,0),0)-AP53-AP57-AP21</x:f>
      </x:c>
      <x:c r="AQ22" s="117">
        <x:f>AQ10-IFERROR((SUM($D$20:$GA$20)-'ОБЪЕКТЫ'!$B$104)*('Продажи'!AQ37+'Продажи'!AQ40+'Продажи'!AQ43+'Продажи'!AQ46)/(SUM('Продажи'!$D$37:$GA$37)+SUM('Продажи'!$D$40:$GA$40)+SUM('Продажи'!$D$43:$GA$43)+SUM('Продажи'!$D$46:$GA$46)),0)-IF('ОБЪЕКТЫ'!$B$8=2,IFERROR('ОБЪЕКТЫ'!$B$28*'ОБЪЕКТЫ'!AQ22/'ОБЪЕКТЫ'!$B$22,0),0)-IF('ОБЪЕКТЫ'!$B$36=2,IFERROR('ОБЪЕКТЫ'!$B$56*'ОБЪЕКТЫ'!AQ50/'ОБЪЕКТЫ'!$B$50,0),0)-IF('ОБЪЕКТЫ'!$B$64=2,IFERROR('ОБЪЕКТЫ'!$B$84*'ОБЪЕКТЫ'!AQ78/'ОБЪЕКТЫ'!$B$78,0),0)-AQ53-AQ57-AQ21</x:f>
      </x:c>
      <x:c r="AR22" s="117">
        <x:f>AR10-IFERROR((SUM($D$20:$GA$20)-'ОБЪЕКТЫ'!$B$104)*('Продажи'!AR37+'Продажи'!AR40+'Продажи'!AR43+'Продажи'!AR46)/(SUM('Продажи'!$D$37:$GA$37)+SUM('Продажи'!$D$40:$GA$40)+SUM('Продажи'!$D$43:$GA$43)+SUM('Продажи'!$D$46:$GA$46)),0)-IF('ОБЪЕКТЫ'!$B$8=2,IFERROR('ОБЪЕКТЫ'!$B$28*'ОБЪЕКТЫ'!AR22/'ОБЪЕКТЫ'!$B$22,0),0)-IF('ОБЪЕКТЫ'!$B$36=2,IFERROR('ОБЪЕКТЫ'!$B$56*'ОБЪЕКТЫ'!AR50/'ОБЪЕКТЫ'!$B$50,0),0)-IF('ОБЪЕКТЫ'!$B$64=2,IFERROR('ОБЪЕКТЫ'!$B$84*'ОБЪЕКТЫ'!AR78/'ОБЪЕКТЫ'!$B$78,0),0)-AR53-AR57-AR21</x:f>
      </x:c>
      <x:c r="AS22" s="117">
        <x:f>AS10-IFERROR((SUM($D$20:$GA$20)-'ОБЪЕКТЫ'!$B$104)*('Продажи'!AS37+'Продажи'!AS40+'Продажи'!AS43+'Продажи'!AS46)/(SUM('Продажи'!$D$37:$GA$37)+SUM('Продажи'!$D$40:$GA$40)+SUM('Продажи'!$D$43:$GA$43)+SUM('Продажи'!$D$46:$GA$46)),0)-IF('ОБЪЕКТЫ'!$B$8=2,IFERROR('ОБЪЕКТЫ'!$B$28*'ОБЪЕКТЫ'!AS22/'ОБЪЕКТЫ'!$B$22,0),0)-IF('ОБЪЕКТЫ'!$B$36=2,IFERROR('ОБЪЕКТЫ'!$B$56*'ОБЪЕКТЫ'!AS50/'ОБЪЕКТЫ'!$B$50,0),0)-IF('ОБЪЕКТЫ'!$B$64=2,IFERROR('ОБЪЕКТЫ'!$B$84*'ОБЪЕКТЫ'!AS78/'ОБЪЕКТЫ'!$B$78,0),0)-AS53-AS57-AS21</x:f>
      </x:c>
      <x:c r="AT22" s="117">
        <x:f>AT10-IFERROR((SUM($D$20:$GA$20)-'ОБЪЕКТЫ'!$B$104)*('Продажи'!AT37+'Продажи'!AT40+'Продажи'!AT43+'Продажи'!AT46)/(SUM('Продажи'!$D$37:$GA$37)+SUM('Продажи'!$D$40:$GA$40)+SUM('Продажи'!$D$43:$GA$43)+SUM('Продажи'!$D$46:$GA$46)),0)-IF('ОБЪЕКТЫ'!$B$8=2,IFERROR('ОБЪЕКТЫ'!$B$28*'ОБЪЕКТЫ'!AT22/'ОБЪЕКТЫ'!$B$22,0),0)-IF('ОБЪЕКТЫ'!$B$36=2,IFERROR('ОБЪЕКТЫ'!$B$56*'ОБЪЕКТЫ'!AT50/'ОБЪЕКТЫ'!$B$50,0),0)-IF('ОБЪЕКТЫ'!$B$64=2,IFERROR('ОБЪЕКТЫ'!$B$84*'ОБЪЕКТЫ'!AT78/'ОБЪЕКТЫ'!$B$78,0),0)-AT53-AT57-AT21</x:f>
      </x:c>
      <x:c r="AU22" s="117">
        <x:f>AU10-IFERROR((SUM($D$20:$GA$20)-'ОБЪЕКТЫ'!$B$104)*('Продажи'!AU37+'Продажи'!AU40+'Продажи'!AU43+'Продажи'!AU46)/(SUM('Продажи'!$D$37:$GA$37)+SUM('Продажи'!$D$40:$GA$40)+SUM('Продажи'!$D$43:$GA$43)+SUM('Продажи'!$D$46:$GA$46)),0)-IF('ОБЪЕКТЫ'!$B$8=2,IFERROR('ОБЪЕКТЫ'!$B$28*'ОБЪЕКТЫ'!AU22/'ОБЪЕКТЫ'!$B$22,0),0)-IF('ОБЪЕКТЫ'!$B$36=2,IFERROR('ОБЪЕКТЫ'!$B$56*'ОБЪЕКТЫ'!AU50/'ОБЪЕКТЫ'!$B$50,0),0)-IF('ОБЪЕКТЫ'!$B$64=2,IFERROR('ОБЪЕКТЫ'!$B$84*'ОБЪЕКТЫ'!AU78/'ОБЪЕКТЫ'!$B$78,0),0)-AU53-AU57-AU21</x:f>
      </x:c>
      <x:c r="AV22" s="117">
        <x:f>AV10-IFERROR((SUM($D$20:$GA$20)-'ОБЪЕКТЫ'!$B$104)*('Продажи'!AV37+'Продажи'!AV40+'Продажи'!AV43+'Продажи'!AV46)/(SUM('Продажи'!$D$37:$GA$37)+SUM('Продажи'!$D$40:$GA$40)+SUM('Продажи'!$D$43:$GA$43)+SUM('Продажи'!$D$46:$GA$46)),0)-IF('ОБЪЕКТЫ'!$B$8=2,IFERROR('ОБЪЕКТЫ'!$B$28*'ОБЪЕКТЫ'!AV22/'ОБЪЕКТЫ'!$B$22,0),0)-IF('ОБЪЕКТЫ'!$B$36=2,IFERROR('ОБЪЕКТЫ'!$B$56*'ОБЪЕКТЫ'!AV50/'ОБЪЕКТЫ'!$B$50,0),0)-IF('ОБЪЕКТЫ'!$B$64=2,IFERROR('ОБЪЕКТЫ'!$B$84*'ОБЪЕКТЫ'!AV78/'ОБЪЕКТЫ'!$B$78,0),0)-AV53-AV57-AV21</x:f>
      </x:c>
      <x:c r="AW22" s="117">
        <x:f>AW10-IFERROR((SUM($D$20:$GA$20)-'ОБЪЕКТЫ'!$B$104)*('Продажи'!AW37+'Продажи'!AW40+'Продажи'!AW43+'Продажи'!AW46)/(SUM('Продажи'!$D$37:$GA$37)+SUM('Продажи'!$D$40:$GA$40)+SUM('Продажи'!$D$43:$GA$43)+SUM('Продажи'!$D$46:$GA$46)),0)-IF('ОБЪЕКТЫ'!$B$8=2,IFERROR('ОБЪЕКТЫ'!$B$28*'ОБЪЕКТЫ'!AW22/'ОБЪЕКТЫ'!$B$22,0),0)-IF('ОБЪЕКТЫ'!$B$36=2,IFERROR('ОБЪЕКТЫ'!$B$56*'ОБЪЕКТЫ'!AW50/'ОБЪЕКТЫ'!$B$50,0),0)-IF('ОБЪЕКТЫ'!$B$64=2,IFERROR('ОБЪЕКТЫ'!$B$84*'ОБЪЕКТЫ'!AW78/'ОБЪЕКТЫ'!$B$78,0),0)-AW53-AW57-AW21</x:f>
      </x:c>
      <x:c r="AX22" s="117">
        <x:f>AX10-IFERROR((SUM($D$20:$GA$20)-'ОБЪЕКТЫ'!$B$104)*('Продажи'!AX37+'Продажи'!AX40+'Продажи'!AX43+'Продажи'!AX46)/(SUM('Продажи'!$D$37:$GA$37)+SUM('Продажи'!$D$40:$GA$40)+SUM('Продажи'!$D$43:$GA$43)+SUM('Продажи'!$D$46:$GA$46)),0)-IF('ОБЪЕКТЫ'!$B$8=2,IFERROR('ОБЪЕКТЫ'!$B$28*'ОБЪЕКТЫ'!AX22/'ОБЪЕКТЫ'!$B$22,0),0)-IF('ОБЪЕКТЫ'!$B$36=2,IFERROR('ОБЪЕКТЫ'!$B$56*'ОБЪЕКТЫ'!AX50/'ОБЪЕКТЫ'!$B$50,0),0)-IF('ОБЪЕКТЫ'!$B$64=2,IFERROR('ОБЪЕКТЫ'!$B$84*'ОБЪЕКТЫ'!AX78/'ОБЪЕКТЫ'!$B$78,0),0)-AX53-AX57-AX21</x:f>
      </x:c>
      <x:c r="AY22" s="117">
        <x:f>AY10-IFERROR((SUM($D$20:$GA$20)-'ОБЪЕКТЫ'!$B$104)*('Продажи'!AY37+'Продажи'!AY40+'Продажи'!AY43+'Продажи'!AY46)/(SUM('Продажи'!$D$37:$GA$37)+SUM('Продажи'!$D$40:$GA$40)+SUM('Продажи'!$D$43:$GA$43)+SUM('Продажи'!$D$46:$GA$46)),0)-IF('ОБЪЕКТЫ'!$B$8=2,IFERROR('ОБЪЕКТЫ'!$B$28*'ОБЪЕКТЫ'!AY22/'ОБЪЕКТЫ'!$B$22,0),0)-IF('ОБЪЕКТЫ'!$B$36=2,IFERROR('ОБЪЕКТЫ'!$B$56*'ОБЪЕКТЫ'!AY50/'ОБЪЕКТЫ'!$B$50,0),0)-IF('ОБЪЕКТЫ'!$B$64=2,IFERROR('ОБЪЕКТЫ'!$B$84*'ОБЪЕКТЫ'!AY78/'ОБЪЕКТЫ'!$B$78,0),0)-AY53-AY57-AY21</x:f>
      </x:c>
      <x:c r="AZ22" s="117">
        <x:f>AZ10-IFERROR((SUM($D$20:$GA$20)-'ОБЪЕКТЫ'!$B$104)*('Продажи'!AZ37+'Продажи'!AZ40+'Продажи'!AZ43+'Продажи'!AZ46)/(SUM('Продажи'!$D$37:$GA$37)+SUM('Продажи'!$D$40:$GA$40)+SUM('Продажи'!$D$43:$GA$43)+SUM('Продажи'!$D$46:$GA$46)),0)-IF('ОБЪЕКТЫ'!$B$8=2,IFERROR('ОБЪЕКТЫ'!$B$28*'ОБЪЕКТЫ'!AZ22/'ОБЪЕКТЫ'!$B$22,0),0)-IF('ОБЪЕКТЫ'!$B$36=2,IFERROR('ОБЪЕКТЫ'!$B$56*'ОБЪЕКТЫ'!AZ50/'ОБЪЕКТЫ'!$B$50,0),0)-IF('ОБЪЕКТЫ'!$B$64=2,IFERROR('ОБЪЕКТЫ'!$B$84*'ОБЪЕКТЫ'!AZ78/'ОБЪЕКТЫ'!$B$78,0),0)-AZ53-AZ57-AZ21</x:f>
      </x:c>
      <x:c r="BA22" s="117">
        <x:f>BA10-IFERROR((SUM($D$20:$GA$20)-'ОБЪЕКТЫ'!$B$104)*('Продажи'!BA37+'Продажи'!BA40+'Продажи'!BA43+'Продажи'!BA46)/(SUM('Продажи'!$D$37:$GA$37)+SUM('Продажи'!$D$40:$GA$40)+SUM('Продажи'!$D$43:$GA$43)+SUM('Продажи'!$D$46:$GA$46)),0)-IF('ОБЪЕКТЫ'!$B$8=2,IFERROR('ОБЪЕКТЫ'!$B$28*'ОБЪЕКТЫ'!BA22/'ОБЪЕКТЫ'!$B$22,0),0)-IF('ОБЪЕКТЫ'!$B$36=2,IFERROR('ОБЪЕКТЫ'!$B$56*'ОБЪЕКТЫ'!BA50/'ОБЪЕКТЫ'!$B$50,0),0)-IF('ОБЪЕКТЫ'!$B$64=2,IFERROR('ОБЪЕКТЫ'!$B$84*'ОБЪЕКТЫ'!BA78/'ОБЪЕКТЫ'!$B$78,0),0)-BA53-BA57-BA21</x:f>
      </x:c>
      <x:c r="BB22" s="117">
        <x:f>BB10-IFERROR((SUM($D$20:$GA$20)-'ОБЪЕКТЫ'!$B$104)*('Продажи'!BB37+'Продажи'!BB40+'Продажи'!BB43+'Продажи'!BB46)/(SUM('Продажи'!$D$37:$GA$37)+SUM('Продажи'!$D$40:$GA$40)+SUM('Продажи'!$D$43:$GA$43)+SUM('Продажи'!$D$46:$GA$46)),0)-IF('ОБЪЕКТЫ'!$B$8=2,IFERROR('ОБЪЕКТЫ'!$B$28*'ОБЪЕКТЫ'!BB22/'ОБЪЕКТЫ'!$B$22,0),0)-IF('ОБЪЕКТЫ'!$B$36=2,IFERROR('ОБЪЕКТЫ'!$B$56*'ОБЪЕКТЫ'!BB50/'ОБЪЕКТЫ'!$B$50,0),0)-IF('ОБЪЕКТЫ'!$B$64=2,IFERROR('ОБЪЕКТЫ'!$B$84*'ОБЪЕКТЫ'!BB78/'ОБЪЕКТЫ'!$B$78,0),0)-BB53-BB57-BB21</x:f>
      </x:c>
      <x:c r="BC22" s="117">
        <x:f>BC10-IFERROR((SUM($D$20:$GA$20)-'ОБЪЕКТЫ'!$B$104)*('Продажи'!BC37+'Продажи'!BC40+'Продажи'!BC43+'Продажи'!BC46)/(SUM('Продажи'!$D$37:$GA$37)+SUM('Продажи'!$D$40:$GA$40)+SUM('Продажи'!$D$43:$GA$43)+SUM('Продажи'!$D$46:$GA$46)),0)-IF('ОБЪЕКТЫ'!$B$8=2,IFERROR('ОБЪЕКТЫ'!$B$28*'ОБЪЕКТЫ'!BC22/'ОБЪЕКТЫ'!$B$22,0),0)-IF('ОБЪЕКТЫ'!$B$36=2,IFERROR('ОБЪЕКТЫ'!$B$56*'ОБЪЕКТЫ'!BC50/'ОБЪЕКТЫ'!$B$50,0),0)-IF('ОБЪЕКТЫ'!$B$64=2,IFERROR('ОБЪЕКТЫ'!$B$84*'ОБЪЕКТЫ'!BC78/'ОБЪЕКТЫ'!$B$78,0),0)-BC53-BC57-BC21</x:f>
      </x:c>
      <x:c r="BD22" s="117">
        <x:f>BD10-IFERROR((SUM($D$20:$GA$20)-'ОБЪЕКТЫ'!$B$104)*('Продажи'!BD37+'Продажи'!BD40+'Продажи'!BD43+'Продажи'!BD46)/(SUM('Продажи'!$D$37:$GA$37)+SUM('Продажи'!$D$40:$GA$40)+SUM('Продажи'!$D$43:$GA$43)+SUM('Продажи'!$D$46:$GA$46)),0)-IF('ОБЪЕКТЫ'!$B$8=2,IFERROR('ОБЪЕКТЫ'!$B$28*'ОБЪЕКТЫ'!BD22/'ОБЪЕКТЫ'!$B$22,0),0)-IF('ОБЪЕКТЫ'!$B$36=2,IFERROR('ОБЪЕКТЫ'!$B$56*'ОБЪЕКТЫ'!BD50/'ОБЪЕКТЫ'!$B$50,0),0)-IF('ОБЪЕКТЫ'!$B$64=2,IFERROR('ОБЪЕКТЫ'!$B$84*'ОБЪЕКТЫ'!BD78/'ОБЪЕКТЫ'!$B$78,0),0)-BD53-BD57-BD21</x:f>
      </x:c>
      <x:c r="BE22" s="117">
        <x:f>BE10-IFERROR((SUM($D$20:$GA$20)-'ОБЪЕКТЫ'!$B$104)*('Продажи'!BE37+'Продажи'!BE40+'Продажи'!BE43+'Продажи'!BE46)/(SUM('Продажи'!$D$37:$GA$37)+SUM('Продажи'!$D$40:$GA$40)+SUM('Продажи'!$D$43:$GA$43)+SUM('Продажи'!$D$46:$GA$46)),0)-IF('ОБЪЕКТЫ'!$B$8=2,IFERROR('ОБЪЕКТЫ'!$B$28*'ОБЪЕКТЫ'!BE22/'ОБЪЕКТЫ'!$B$22,0),0)-IF('ОБЪЕКТЫ'!$B$36=2,IFERROR('ОБЪЕКТЫ'!$B$56*'ОБЪЕКТЫ'!BE50/'ОБЪЕКТЫ'!$B$50,0),0)-IF('ОБЪЕКТЫ'!$B$64=2,IFERROR('ОБЪЕКТЫ'!$B$84*'ОБЪЕКТЫ'!BE78/'ОБЪЕКТЫ'!$B$78,0),0)-BE53-BE57-BE21</x:f>
      </x:c>
      <x:c r="BF22" s="117">
        <x:f>BF10-IFERROR((SUM($D$20:$GA$20)-'ОБЪЕКТЫ'!$B$104)*('Продажи'!BF37+'Продажи'!BF40+'Продажи'!BF43+'Продажи'!BF46)/(SUM('Продажи'!$D$37:$GA$37)+SUM('Продажи'!$D$40:$GA$40)+SUM('Продажи'!$D$43:$GA$43)+SUM('Продажи'!$D$46:$GA$46)),0)-IF('ОБЪЕКТЫ'!$B$8=2,IFERROR('ОБЪЕКТЫ'!$B$28*'ОБЪЕКТЫ'!BF22/'ОБЪЕКТЫ'!$B$22,0),0)-IF('ОБЪЕКТЫ'!$B$36=2,IFERROR('ОБЪЕКТЫ'!$B$56*'ОБЪЕКТЫ'!BF50/'ОБЪЕКТЫ'!$B$50,0),0)-IF('ОБЪЕКТЫ'!$B$64=2,IFERROR('ОБЪЕКТЫ'!$B$84*'ОБЪЕКТЫ'!BF78/'ОБЪЕКТЫ'!$B$78,0),0)-BF53-BF57-BF21</x:f>
      </x:c>
      <x:c r="BG22" s="117">
        <x:f>BG10-IFERROR((SUM($D$20:$GA$20)-'ОБЪЕКТЫ'!$B$104)*('Продажи'!BG37+'Продажи'!BG40+'Продажи'!BG43+'Продажи'!BG46)/(SUM('Продажи'!$D$37:$GA$37)+SUM('Продажи'!$D$40:$GA$40)+SUM('Продажи'!$D$43:$GA$43)+SUM('Продажи'!$D$46:$GA$46)),0)-IF('ОБЪЕКТЫ'!$B$8=2,IFERROR('ОБЪЕКТЫ'!$B$28*'ОБЪЕКТЫ'!BG22/'ОБЪЕКТЫ'!$B$22,0),0)-IF('ОБЪЕКТЫ'!$B$36=2,IFERROR('ОБЪЕКТЫ'!$B$56*'ОБЪЕКТЫ'!BG50/'ОБЪЕКТЫ'!$B$50,0),0)-IF('ОБЪЕКТЫ'!$B$64=2,IFERROR('ОБЪЕКТЫ'!$B$84*'ОБЪЕКТЫ'!BG78/'ОБЪЕКТЫ'!$B$78,0),0)-BG53-BG57-BG21</x:f>
      </x:c>
      <x:c r="BH22" s="117">
        <x:f>BH10-IFERROR((SUM($D$20:$GA$20)-'ОБЪЕКТЫ'!$B$104)*('Продажи'!BH37+'Продажи'!BH40+'Продажи'!BH43+'Продажи'!BH46)/(SUM('Продажи'!$D$37:$GA$37)+SUM('Продажи'!$D$40:$GA$40)+SUM('Продажи'!$D$43:$GA$43)+SUM('Продажи'!$D$46:$GA$46)),0)-IF('ОБЪЕКТЫ'!$B$8=2,IFERROR('ОБЪЕКТЫ'!$B$28*'ОБЪЕКТЫ'!BH22/'ОБЪЕКТЫ'!$B$22,0),0)-IF('ОБЪЕКТЫ'!$B$36=2,IFERROR('ОБЪЕКТЫ'!$B$56*'ОБЪЕКТЫ'!BH50/'ОБЪЕКТЫ'!$B$50,0),0)-IF('ОБЪЕКТЫ'!$B$64=2,IFERROR('ОБЪЕКТЫ'!$B$84*'ОБЪЕКТЫ'!BH78/'ОБЪЕКТЫ'!$B$78,0),0)-BH53-BH57-BH21</x:f>
      </x:c>
      <x:c r="BI22" s="117">
        <x:f>BI10-IFERROR((SUM($D$20:$GA$20)-'ОБЪЕКТЫ'!$B$104)*('Продажи'!BI37+'Продажи'!BI40+'Продажи'!BI43+'Продажи'!BI46)/(SUM('Продажи'!$D$37:$GA$37)+SUM('Продажи'!$D$40:$GA$40)+SUM('Продажи'!$D$43:$GA$43)+SUM('Продажи'!$D$46:$GA$46)),0)-IF('ОБЪЕКТЫ'!$B$8=2,IFERROR('ОБЪЕКТЫ'!$B$28*'ОБЪЕКТЫ'!BI22/'ОБЪЕКТЫ'!$B$22,0),0)-IF('ОБЪЕКТЫ'!$B$36=2,IFERROR('ОБЪЕКТЫ'!$B$56*'ОБЪЕКТЫ'!BI50/'ОБЪЕКТЫ'!$B$50,0),0)-IF('ОБЪЕКТЫ'!$B$64=2,IFERROR('ОБЪЕКТЫ'!$B$84*'ОБЪЕКТЫ'!BI78/'ОБЪЕКТЫ'!$B$78,0),0)-BI53-BI57-BI21</x:f>
      </x:c>
      <x:c r="BJ22" s="117">
        <x:f>BJ10-IFERROR((SUM($D$20:$GA$20)-'ОБЪЕКТЫ'!$B$104)*('Продажи'!BJ37+'Продажи'!BJ40+'Продажи'!BJ43+'Продажи'!BJ46)/(SUM('Продажи'!$D$37:$GA$37)+SUM('Продажи'!$D$40:$GA$40)+SUM('Продажи'!$D$43:$GA$43)+SUM('Продажи'!$D$46:$GA$46)),0)-IF('ОБЪЕКТЫ'!$B$8=2,IFERROR('ОБЪЕКТЫ'!$B$28*'ОБЪЕКТЫ'!BJ22/'ОБЪЕКТЫ'!$B$22,0),0)-IF('ОБЪЕКТЫ'!$B$36=2,IFERROR('ОБЪЕКТЫ'!$B$56*'ОБЪЕКТЫ'!BJ50/'ОБЪЕКТЫ'!$B$50,0),0)-IF('ОБЪЕКТЫ'!$B$64=2,IFERROR('ОБЪЕКТЫ'!$B$84*'ОБЪЕКТЫ'!BJ78/'ОБЪЕКТЫ'!$B$78,0),0)-BJ53-BJ57-BJ21</x:f>
      </x:c>
      <x:c r="BK22" s="117">
        <x:f>BK10-IFERROR((SUM($D$20:$GA$20)-'ОБЪЕКТЫ'!$B$104)*('Продажи'!BK37+'Продажи'!BK40+'Продажи'!BK43+'Продажи'!BK46)/(SUM('Продажи'!$D$37:$GA$37)+SUM('Продажи'!$D$40:$GA$40)+SUM('Продажи'!$D$43:$GA$43)+SUM('Продажи'!$D$46:$GA$46)),0)-IF('ОБЪЕКТЫ'!$B$8=2,IFERROR('ОБЪЕКТЫ'!$B$28*'ОБЪЕКТЫ'!BK22/'ОБЪЕКТЫ'!$B$22,0),0)-IF('ОБЪЕКТЫ'!$B$36=2,IFERROR('ОБЪЕКТЫ'!$B$56*'ОБЪЕКТЫ'!BK50/'ОБЪЕКТЫ'!$B$50,0),0)-IF('ОБЪЕКТЫ'!$B$64=2,IFERROR('ОБЪЕКТЫ'!$B$84*'ОБЪЕКТЫ'!BK78/'ОБЪЕКТЫ'!$B$78,0),0)-BK53-BK57-BK21</x:f>
      </x:c>
      <x:c r="BL22" s="117">
        <x:f>BL10-IFERROR((SUM($D$20:$GA$20)-'ОБЪЕКТЫ'!$B$104)*('Продажи'!BL37+'Продажи'!BL40+'Продажи'!BL43+'Продажи'!BL46)/(SUM('Продажи'!$D$37:$GA$37)+SUM('Продажи'!$D$40:$GA$40)+SUM('Продажи'!$D$43:$GA$43)+SUM('Продажи'!$D$46:$GA$46)),0)-IF('ОБЪЕКТЫ'!$B$8=2,IFERROR('ОБЪЕКТЫ'!$B$28*'ОБЪЕКТЫ'!BL22/'ОБЪЕКТЫ'!$B$22,0),0)-IF('ОБЪЕКТЫ'!$B$36=2,IFERROR('ОБЪЕКТЫ'!$B$56*'ОБЪЕКТЫ'!BL50/'ОБЪЕКТЫ'!$B$50,0),0)-IF('ОБЪЕКТЫ'!$B$64=2,IFERROR('ОБЪЕКТЫ'!$B$84*'ОБЪЕКТЫ'!BL78/'ОБЪЕКТЫ'!$B$78,0),0)-BL53-BL57-BL21</x:f>
      </x:c>
      <x:c r="BM22" s="117">
        <x:f>BM10-IFERROR((SUM($D$20:$GA$20)-'ОБЪЕКТЫ'!$B$104)*('Продажи'!BM37+'Продажи'!BM40+'Продажи'!BM43+'Продажи'!BM46)/(SUM('Продажи'!$D$37:$GA$37)+SUM('Продажи'!$D$40:$GA$40)+SUM('Продажи'!$D$43:$GA$43)+SUM('Продажи'!$D$46:$GA$46)),0)-IF('ОБЪЕКТЫ'!$B$8=2,IFERROR('ОБЪЕКТЫ'!$B$28*'ОБЪЕКТЫ'!BM22/'ОБЪЕКТЫ'!$B$22,0),0)-IF('ОБЪЕКТЫ'!$B$36=2,IFERROR('ОБЪЕКТЫ'!$B$56*'ОБЪЕКТЫ'!BM50/'ОБЪЕКТЫ'!$B$50,0),0)-IF('ОБЪЕКТЫ'!$B$64=2,IFERROR('ОБЪЕКТЫ'!$B$84*'ОБЪЕКТЫ'!BM78/'ОБЪЕКТЫ'!$B$78,0),0)-BM53-BM57-BM21</x:f>
      </x:c>
      <x:c r="BN22" s="117">
        <x:f>BN10-IFERROR((SUM($D$20:$GA$20)-'ОБЪЕКТЫ'!$B$104)*('Продажи'!BN37+'Продажи'!BN40+'Продажи'!BN43+'Продажи'!BN46)/(SUM('Продажи'!$D$37:$GA$37)+SUM('Продажи'!$D$40:$GA$40)+SUM('Продажи'!$D$43:$GA$43)+SUM('Продажи'!$D$46:$GA$46)),0)-IF('ОБЪЕКТЫ'!$B$8=2,IFERROR('ОБЪЕКТЫ'!$B$28*'ОБЪЕКТЫ'!BN22/'ОБЪЕКТЫ'!$B$22,0),0)-IF('ОБЪЕКТЫ'!$B$36=2,IFERROR('ОБЪЕКТЫ'!$B$56*'ОБЪЕКТЫ'!BN50/'ОБЪЕКТЫ'!$B$50,0),0)-IF('ОБЪЕКТЫ'!$B$64=2,IFERROR('ОБЪЕКТЫ'!$B$84*'ОБЪЕКТЫ'!BN78/'ОБЪЕКТЫ'!$B$78,0),0)-BN53-BN57-BN21</x:f>
      </x:c>
      <x:c r="BO22" s="117">
        <x:f>BO10-IFERROR((SUM($D$20:$GA$20)-'ОБЪЕКТЫ'!$B$104)*('Продажи'!BO37+'Продажи'!BO40+'Продажи'!BO43+'Продажи'!BO46)/(SUM('Продажи'!$D$37:$GA$37)+SUM('Продажи'!$D$40:$GA$40)+SUM('Продажи'!$D$43:$GA$43)+SUM('Продажи'!$D$46:$GA$46)),0)-IF('ОБЪЕКТЫ'!$B$8=2,IFERROR('ОБЪЕКТЫ'!$B$28*'ОБЪЕКТЫ'!BO22/'ОБЪЕКТЫ'!$B$22,0),0)-IF('ОБЪЕКТЫ'!$B$36=2,IFERROR('ОБЪЕКТЫ'!$B$56*'ОБЪЕКТЫ'!BO50/'ОБЪЕКТЫ'!$B$50,0),0)-IF('ОБЪЕКТЫ'!$B$64=2,IFERROR('ОБЪЕКТЫ'!$B$84*'ОБЪЕКТЫ'!BO78/'ОБЪЕКТЫ'!$B$78,0),0)-BO53-BO57-BO21</x:f>
      </x:c>
      <x:c r="BP22" s="117">
        <x:f>BP10-IFERROR((SUM($D$20:$GA$20)-'ОБЪЕКТЫ'!$B$104)*('Продажи'!BP37+'Продажи'!BP40+'Продажи'!BP43+'Продажи'!BP46)/(SUM('Продажи'!$D$37:$GA$37)+SUM('Продажи'!$D$40:$GA$40)+SUM('Продажи'!$D$43:$GA$43)+SUM('Продажи'!$D$46:$GA$46)),0)-IF('ОБЪЕКТЫ'!$B$8=2,IFERROR('ОБЪЕКТЫ'!$B$28*'ОБЪЕКТЫ'!BP22/'ОБЪЕКТЫ'!$B$22,0),0)-IF('ОБЪЕКТЫ'!$B$36=2,IFERROR('ОБЪЕКТЫ'!$B$56*'ОБЪЕКТЫ'!BP50/'ОБЪЕКТЫ'!$B$50,0),0)-IF('ОБЪЕКТЫ'!$B$64=2,IFERROR('ОБЪЕКТЫ'!$B$84*'ОБЪЕКТЫ'!BP78/'ОБЪЕКТЫ'!$B$78,0),0)-BP53-BP57-BP21</x:f>
      </x:c>
      <x:c r="BQ22" s="117">
        <x:f>BQ10-IFERROR((SUM($D$20:$GA$20)-'ОБЪЕКТЫ'!$B$104)*('Продажи'!BQ37+'Продажи'!BQ40+'Продажи'!BQ43+'Продажи'!BQ46)/(SUM('Продажи'!$D$37:$GA$37)+SUM('Продажи'!$D$40:$GA$40)+SUM('Продажи'!$D$43:$GA$43)+SUM('Продажи'!$D$46:$GA$46)),0)-IF('ОБЪЕКТЫ'!$B$8=2,IFERROR('ОБЪЕКТЫ'!$B$28*'ОБЪЕКТЫ'!BQ22/'ОБЪЕКТЫ'!$B$22,0),0)-IF('ОБЪЕКТЫ'!$B$36=2,IFERROR('ОБЪЕКТЫ'!$B$56*'ОБЪЕКТЫ'!BQ50/'ОБЪЕКТЫ'!$B$50,0),0)-IF('ОБЪЕКТЫ'!$B$64=2,IFERROR('ОБЪЕКТЫ'!$B$84*'ОБЪЕКТЫ'!BQ78/'ОБЪЕКТЫ'!$B$78,0),0)-BQ53-BQ57-BQ21</x:f>
      </x:c>
      <x:c r="BR22" s="117">
        <x:f>BR10-IFERROR((SUM($D$20:$GA$20)-'ОБЪЕКТЫ'!$B$104)*('Продажи'!BR37+'Продажи'!BR40+'Продажи'!BR43+'Продажи'!BR46)/(SUM('Продажи'!$D$37:$GA$37)+SUM('Продажи'!$D$40:$GA$40)+SUM('Продажи'!$D$43:$GA$43)+SUM('Продажи'!$D$46:$GA$46)),0)-IF('ОБЪЕКТЫ'!$B$8=2,IFERROR('ОБЪЕКТЫ'!$B$28*'ОБЪЕКТЫ'!BR22/'ОБЪЕКТЫ'!$B$22,0),0)-IF('ОБЪЕКТЫ'!$B$36=2,IFERROR('ОБЪЕКТЫ'!$B$56*'ОБЪЕКТЫ'!BR50/'ОБЪЕКТЫ'!$B$50,0),0)-IF('ОБЪЕКТЫ'!$B$64=2,IFERROR('ОБЪЕКТЫ'!$B$84*'ОБЪЕКТЫ'!BR78/'ОБЪЕКТЫ'!$B$78,0),0)-BR53-BR57-BR21</x:f>
      </x:c>
      <x:c r="BS22" s="117">
        <x:f>BS10-IFERROR((SUM($D$20:$GA$20)-'ОБЪЕКТЫ'!$B$104)*('Продажи'!BS37+'Продажи'!BS40+'Продажи'!BS43+'Продажи'!BS46)/(SUM('Продажи'!$D$37:$GA$37)+SUM('Продажи'!$D$40:$GA$40)+SUM('Продажи'!$D$43:$GA$43)+SUM('Продажи'!$D$46:$GA$46)),0)-IF('ОБЪЕКТЫ'!$B$8=2,IFERROR('ОБЪЕКТЫ'!$B$28*'ОБЪЕКТЫ'!BS22/'ОБЪЕКТЫ'!$B$22,0),0)-IF('ОБЪЕКТЫ'!$B$36=2,IFERROR('ОБЪЕКТЫ'!$B$56*'ОБЪЕКТЫ'!BS50/'ОБЪЕКТЫ'!$B$50,0),0)-IF('ОБЪЕКТЫ'!$B$64=2,IFERROR('ОБЪЕКТЫ'!$B$84*'ОБЪЕКТЫ'!BS78/'ОБЪЕКТЫ'!$B$78,0),0)-BS53-BS57-BS21</x:f>
      </x:c>
      <x:c r="BT22" s="117">
        <x:f>BT10-IFERROR((SUM($D$20:$GA$20)-'ОБЪЕКТЫ'!$B$104)*('Продажи'!BT37+'Продажи'!BT40+'Продажи'!BT43+'Продажи'!BT46)/(SUM('Продажи'!$D$37:$GA$37)+SUM('Продажи'!$D$40:$GA$40)+SUM('Продажи'!$D$43:$GA$43)+SUM('Продажи'!$D$46:$GA$46)),0)-IF('ОБЪЕКТЫ'!$B$8=2,IFERROR('ОБЪЕКТЫ'!$B$28*'ОБЪЕКТЫ'!BT22/'ОБЪЕКТЫ'!$B$22,0),0)-IF('ОБЪЕКТЫ'!$B$36=2,IFERROR('ОБЪЕКТЫ'!$B$56*'ОБЪЕКТЫ'!BT50/'ОБЪЕКТЫ'!$B$50,0),0)-IF('ОБЪЕКТЫ'!$B$64=2,IFERROR('ОБЪЕКТЫ'!$B$84*'ОБЪЕКТЫ'!BT78/'ОБЪЕКТЫ'!$B$78,0),0)-BT53-BT57-BT21</x:f>
      </x:c>
      <x:c r="BU22" s="117">
        <x:f>BU10-IFERROR((SUM($D$20:$GA$20)-'ОБЪЕКТЫ'!$B$104)*('Продажи'!BU37+'Продажи'!BU40+'Продажи'!BU43+'Продажи'!BU46)/(SUM('Продажи'!$D$37:$GA$37)+SUM('Продажи'!$D$40:$GA$40)+SUM('Продажи'!$D$43:$GA$43)+SUM('Продажи'!$D$46:$GA$46)),0)-IF('ОБЪЕКТЫ'!$B$8=2,IFERROR('ОБЪЕКТЫ'!$B$28*'ОБЪЕКТЫ'!BU22/'ОБЪЕКТЫ'!$B$22,0),0)-IF('ОБЪЕКТЫ'!$B$36=2,IFERROR('ОБЪЕКТЫ'!$B$56*'ОБЪЕКТЫ'!BU50/'ОБЪЕКТЫ'!$B$50,0),0)-IF('ОБЪЕКТЫ'!$B$64=2,IFERROR('ОБЪЕКТЫ'!$B$84*'ОБЪЕКТЫ'!BU78/'ОБЪЕКТЫ'!$B$78,0),0)-BU53-BU57-BU21</x:f>
      </x:c>
      <x:c r="BV22" s="117">
        <x:f>BV10-IFERROR((SUM($D$20:$GA$20)-'ОБЪЕКТЫ'!$B$104)*('Продажи'!BV37+'Продажи'!BV40+'Продажи'!BV43+'Продажи'!BV46)/(SUM('Продажи'!$D$37:$GA$37)+SUM('Продажи'!$D$40:$GA$40)+SUM('Продажи'!$D$43:$GA$43)+SUM('Продажи'!$D$46:$GA$46)),0)-IF('ОБЪЕКТЫ'!$B$8=2,IFERROR('ОБЪЕКТЫ'!$B$28*'ОБЪЕКТЫ'!BV22/'ОБЪЕКТЫ'!$B$22,0),0)-IF('ОБЪЕКТЫ'!$B$36=2,IFERROR('ОБЪЕКТЫ'!$B$56*'ОБЪЕКТЫ'!BV50/'ОБЪЕКТЫ'!$B$50,0),0)-IF('ОБЪЕКТЫ'!$B$64=2,IFERROR('ОБЪЕКТЫ'!$B$84*'ОБЪЕКТЫ'!BV78/'ОБЪЕКТЫ'!$B$78,0),0)-BV53-BV57-BV21</x:f>
      </x:c>
      <x:c r="BW22" s="117">
        <x:f>BW10-IFERROR((SUM($D$20:$GA$20)-'ОБЪЕКТЫ'!$B$104)*('Продажи'!BW37+'Продажи'!BW40+'Продажи'!BW43+'Продажи'!BW46)/(SUM('Продажи'!$D$37:$GA$37)+SUM('Продажи'!$D$40:$GA$40)+SUM('Продажи'!$D$43:$GA$43)+SUM('Продажи'!$D$46:$GA$46)),0)-IF('ОБЪЕКТЫ'!$B$8=2,IFERROR('ОБЪЕКТЫ'!$B$28*'ОБЪЕКТЫ'!BW22/'ОБЪЕКТЫ'!$B$22,0),0)-IF('ОБЪЕКТЫ'!$B$36=2,IFERROR('ОБЪЕКТЫ'!$B$56*'ОБЪЕКТЫ'!BW50/'ОБЪЕКТЫ'!$B$50,0),0)-IF('ОБЪЕКТЫ'!$B$64=2,IFERROR('ОБЪЕКТЫ'!$B$84*'ОБЪЕКТЫ'!BW78/'ОБЪЕКТЫ'!$B$78,0),0)-BW53-BW57-BW21</x:f>
      </x:c>
      <x:c r="BX22" s="117">
        <x:f>BX10-IFERROR((SUM($D$20:$GA$20)-'ОБЪЕКТЫ'!$B$104)*('Продажи'!BX37+'Продажи'!BX40+'Продажи'!BX43+'Продажи'!BX46)/(SUM('Продажи'!$D$37:$GA$37)+SUM('Продажи'!$D$40:$GA$40)+SUM('Продажи'!$D$43:$GA$43)+SUM('Продажи'!$D$46:$GA$46)),0)-IF('ОБЪЕКТЫ'!$B$8=2,IFERROR('ОБЪЕКТЫ'!$B$28*'ОБЪЕКТЫ'!BX22/'ОБЪЕКТЫ'!$B$22,0),0)-IF('ОБЪЕКТЫ'!$B$36=2,IFERROR('ОБЪЕКТЫ'!$B$56*'ОБЪЕКТЫ'!BX50/'ОБЪЕКТЫ'!$B$50,0),0)-IF('ОБЪЕКТЫ'!$B$64=2,IFERROR('ОБЪЕКТЫ'!$B$84*'ОБЪЕКТЫ'!BX78/'ОБЪЕКТЫ'!$B$78,0),0)-BX53-BX57-BX21</x:f>
      </x:c>
      <x:c r="BY22" s="117">
        <x:f>BY10-IFERROR((SUM($D$20:$GA$20)-'ОБЪЕКТЫ'!$B$104)*('Продажи'!BY37+'Продажи'!BY40+'Продажи'!BY43+'Продажи'!BY46)/(SUM('Продажи'!$D$37:$GA$37)+SUM('Продажи'!$D$40:$GA$40)+SUM('Продажи'!$D$43:$GA$43)+SUM('Продажи'!$D$46:$GA$46)),0)-IF('ОБЪЕКТЫ'!$B$8=2,IFERROR('ОБЪЕКТЫ'!$B$28*'ОБЪЕКТЫ'!BY22/'ОБЪЕКТЫ'!$B$22,0),0)-IF('ОБЪЕКТЫ'!$B$36=2,IFERROR('ОБЪЕКТЫ'!$B$56*'ОБЪЕКТЫ'!BY50/'ОБЪЕКТЫ'!$B$50,0),0)-IF('ОБЪЕКТЫ'!$B$64=2,IFERROR('ОБЪЕКТЫ'!$B$84*'ОБЪЕКТЫ'!BY78/'ОБЪЕКТЫ'!$B$78,0),0)-BY53-BY57-BY21</x:f>
      </x:c>
      <x:c r="BZ22" s="117">
        <x:f>BZ10-IFERROR((SUM($D$20:$GA$20)-'ОБЪЕКТЫ'!$B$104)*('Продажи'!BZ37+'Продажи'!BZ40+'Продажи'!BZ43+'Продажи'!BZ46)/(SUM('Продажи'!$D$37:$GA$37)+SUM('Продажи'!$D$40:$GA$40)+SUM('Продажи'!$D$43:$GA$43)+SUM('Продажи'!$D$46:$GA$46)),0)-IF('ОБЪЕКТЫ'!$B$8=2,IFERROR('ОБЪЕКТЫ'!$B$28*'ОБЪЕКТЫ'!BZ22/'ОБЪЕКТЫ'!$B$22,0),0)-IF('ОБЪЕКТЫ'!$B$36=2,IFERROR('ОБЪЕКТЫ'!$B$56*'ОБЪЕКТЫ'!BZ50/'ОБЪЕКТЫ'!$B$50,0),0)-IF('ОБЪЕКТЫ'!$B$64=2,IFERROR('ОБЪЕКТЫ'!$B$84*'ОБЪЕКТЫ'!BZ78/'ОБЪЕКТЫ'!$B$78,0),0)-BZ53-BZ57-BZ21</x:f>
      </x:c>
      <x:c r="CA22" s="117">
        <x:f>CA10-IFERROR((SUM($D$20:$GA$20)-'ОБЪЕКТЫ'!$B$104)*('Продажи'!CA37+'Продажи'!CA40+'Продажи'!CA43+'Продажи'!CA46)/(SUM('Продажи'!$D$37:$GA$37)+SUM('Продажи'!$D$40:$GA$40)+SUM('Продажи'!$D$43:$GA$43)+SUM('Продажи'!$D$46:$GA$46)),0)-IF('ОБЪЕКТЫ'!$B$8=2,IFERROR('ОБЪЕКТЫ'!$B$28*'ОБЪЕКТЫ'!CA22/'ОБЪЕКТЫ'!$B$22,0),0)-IF('ОБЪЕКТЫ'!$B$36=2,IFERROR('ОБЪЕКТЫ'!$B$56*'ОБЪЕКТЫ'!CA50/'ОБЪЕКТЫ'!$B$50,0),0)-IF('ОБЪЕКТЫ'!$B$64=2,IFERROR('ОБЪЕКТЫ'!$B$84*'ОБЪЕКТЫ'!CA78/'ОБЪЕКТЫ'!$B$78,0),0)-CA53-CA57-CA21</x:f>
      </x:c>
      <x:c r="CB22" s="117">
        <x:f>CB10-IFERROR((SUM($D$20:$GA$20)-'ОБЪЕКТЫ'!$B$104)*('Продажи'!CB37+'Продажи'!CB40+'Продажи'!CB43+'Продажи'!CB46)/(SUM('Продажи'!$D$37:$GA$37)+SUM('Продажи'!$D$40:$GA$40)+SUM('Продажи'!$D$43:$GA$43)+SUM('Продажи'!$D$46:$GA$46)),0)-IF('ОБЪЕКТЫ'!$B$8=2,IFERROR('ОБЪЕКТЫ'!$B$28*'ОБЪЕКТЫ'!CB22/'ОБЪЕКТЫ'!$B$22,0),0)-IF('ОБЪЕКТЫ'!$B$36=2,IFERROR('ОБЪЕКТЫ'!$B$56*'ОБЪЕКТЫ'!CB50/'ОБЪЕКТЫ'!$B$50,0),0)-IF('ОБЪЕКТЫ'!$B$64=2,IFERROR('ОБЪЕКТЫ'!$B$84*'ОБЪЕКТЫ'!CB78/'ОБЪЕКТЫ'!$B$78,0),0)-CB53-CB57-CB21</x:f>
      </x:c>
      <x:c r="CC22" s="117">
        <x:f>CC10-IFERROR((SUM($D$20:$GA$20)-'ОБЪЕКТЫ'!$B$104)*('Продажи'!CC37+'Продажи'!CC40+'Продажи'!CC43+'Продажи'!CC46)/(SUM('Продажи'!$D$37:$GA$37)+SUM('Продажи'!$D$40:$GA$40)+SUM('Продажи'!$D$43:$GA$43)+SUM('Продажи'!$D$46:$GA$46)),0)-IF('ОБЪЕКТЫ'!$B$8=2,IFERROR('ОБЪЕКТЫ'!$B$28*'ОБЪЕКТЫ'!CC22/'ОБЪЕКТЫ'!$B$22,0),0)-IF('ОБЪЕКТЫ'!$B$36=2,IFERROR('ОБЪЕКТЫ'!$B$56*'ОБЪЕКТЫ'!CC50/'ОБЪЕКТЫ'!$B$50,0),0)-IF('ОБЪЕКТЫ'!$B$64=2,IFERROR('ОБЪЕКТЫ'!$B$84*'ОБЪЕКТЫ'!CC78/'ОБЪЕКТЫ'!$B$78,0),0)-CC53-CC57-CC21</x:f>
      </x:c>
      <x:c r="CD22" s="117">
        <x:f>CD10-IFERROR((SUM($D$20:$GA$20)-'ОБЪЕКТЫ'!$B$104)*('Продажи'!CD37+'Продажи'!CD40+'Продажи'!CD43+'Продажи'!CD46)/(SUM('Продажи'!$D$37:$GA$37)+SUM('Продажи'!$D$40:$GA$40)+SUM('Продажи'!$D$43:$GA$43)+SUM('Продажи'!$D$46:$GA$46)),0)-IF('ОБЪЕКТЫ'!$B$8=2,IFERROR('ОБЪЕКТЫ'!$B$28*'ОБЪЕКТЫ'!CD22/'ОБЪЕКТЫ'!$B$22,0),0)-IF('ОБЪЕКТЫ'!$B$36=2,IFERROR('ОБЪЕКТЫ'!$B$56*'ОБЪЕКТЫ'!CD50/'ОБЪЕКТЫ'!$B$50,0),0)-IF('ОБЪЕКТЫ'!$B$64=2,IFERROR('ОБЪЕКТЫ'!$B$84*'ОБЪЕКТЫ'!CD78/'ОБЪЕКТЫ'!$B$78,0),0)-CD53-CD57-CD21</x:f>
      </x:c>
      <x:c r="CE22" s="117">
        <x:f>CE10-IFERROR((SUM($D$20:$GA$20)-'ОБЪЕКТЫ'!$B$104)*('Продажи'!CE37+'Продажи'!CE40+'Продажи'!CE43+'Продажи'!CE46)/(SUM('Продажи'!$D$37:$GA$37)+SUM('Продажи'!$D$40:$GA$40)+SUM('Продажи'!$D$43:$GA$43)+SUM('Продажи'!$D$46:$GA$46)),0)-IF('ОБЪЕКТЫ'!$B$8=2,IFERROR('ОБЪЕКТЫ'!$B$28*'ОБЪЕКТЫ'!CE22/'ОБЪЕКТЫ'!$B$22,0),0)-IF('ОБЪЕКТЫ'!$B$36=2,IFERROR('ОБЪЕКТЫ'!$B$56*'ОБЪЕКТЫ'!CE50/'ОБЪЕКТЫ'!$B$50,0),0)-IF('ОБЪЕКТЫ'!$B$64=2,IFERROR('ОБЪЕКТЫ'!$B$84*'ОБЪЕКТЫ'!CE78/'ОБЪЕКТЫ'!$B$78,0),0)-CE53-CE57-CE21</x:f>
      </x:c>
      <x:c r="CF22" s="117">
        <x:f>CF10-IFERROR((SUM($D$20:$GA$20)-'ОБЪЕКТЫ'!$B$104)*('Продажи'!CF37+'Продажи'!CF40+'Продажи'!CF43+'Продажи'!CF46)/(SUM('Продажи'!$D$37:$GA$37)+SUM('Продажи'!$D$40:$GA$40)+SUM('Продажи'!$D$43:$GA$43)+SUM('Продажи'!$D$46:$GA$46)),0)-IF('ОБЪЕКТЫ'!$B$8=2,IFERROR('ОБЪЕКТЫ'!$B$28*'ОБЪЕКТЫ'!CF22/'ОБЪЕКТЫ'!$B$22,0),0)-IF('ОБЪЕКТЫ'!$B$36=2,IFERROR('ОБЪЕКТЫ'!$B$56*'ОБЪЕКТЫ'!CF50/'ОБЪЕКТЫ'!$B$50,0),0)-IF('ОБЪЕКТЫ'!$B$64=2,IFERROR('ОБЪЕКТЫ'!$B$84*'ОБЪЕКТЫ'!CF78/'ОБЪЕКТЫ'!$B$78,0),0)-CF53-CF57-CF21</x:f>
      </x:c>
      <x:c r="CG22" s="117">
        <x:f>CG10-IFERROR((SUM($D$20:$GA$20)-'ОБЪЕКТЫ'!$B$104)*('Продажи'!CG37+'Продажи'!CG40+'Продажи'!CG43+'Продажи'!CG46)/(SUM('Продажи'!$D$37:$GA$37)+SUM('Продажи'!$D$40:$GA$40)+SUM('Продажи'!$D$43:$GA$43)+SUM('Продажи'!$D$46:$GA$46)),0)-IF('ОБЪЕКТЫ'!$B$8=2,IFERROR('ОБЪЕКТЫ'!$B$28*'ОБЪЕКТЫ'!CG22/'ОБЪЕКТЫ'!$B$22,0),0)-IF('ОБЪЕКТЫ'!$B$36=2,IFERROR('ОБЪЕКТЫ'!$B$56*'ОБЪЕКТЫ'!CG50/'ОБЪЕКТЫ'!$B$50,0),0)-IF('ОБЪЕКТЫ'!$B$64=2,IFERROR('ОБЪЕКТЫ'!$B$84*'ОБЪЕКТЫ'!CG78/'ОБЪЕКТЫ'!$B$78,0),0)-CG53-CG57-CG21</x:f>
      </x:c>
      <x:c r="CH22" s="117">
        <x:f>CH10-IFERROR((SUM($D$20:$GA$20)-'ОБЪЕКТЫ'!$B$104)*('Продажи'!CH37+'Продажи'!CH40+'Продажи'!CH43+'Продажи'!CH46)/(SUM('Продажи'!$D$37:$GA$37)+SUM('Продажи'!$D$40:$GA$40)+SUM('Продажи'!$D$43:$GA$43)+SUM('Продажи'!$D$46:$GA$46)),0)-IF('ОБЪЕКТЫ'!$B$8=2,IFERROR('ОБЪЕКТЫ'!$B$28*'ОБЪЕКТЫ'!CH22/'ОБЪЕКТЫ'!$B$22,0),0)-IF('ОБЪЕКТЫ'!$B$36=2,IFERROR('ОБЪЕКТЫ'!$B$56*'ОБЪЕКТЫ'!CH50/'ОБЪЕКТЫ'!$B$50,0),0)-IF('ОБЪЕКТЫ'!$B$64=2,IFERROR('ОБЪЕКТЫ'!$B$84*'ОБЪЕКТЫ'!CH78/'ОБЪЕКТЫ'!$B$78,0),0)-CH53-CH57-CH21</x:f>
      </x:c>
      <x:c r="CI22" s="117">
        <x:f>CI10-IFERROR((SUM($D$20:$GA$20)-'ОБЪЕКТЫ'!$B$104)*('Продажи'!CI37+'Продажи'!CI40+'Продажи'!CI43+'Продажи'!CI46)/(SUM('Продажи'!$D$37:$GA$37)+SUM('Продажи'!$D$40:$GA$40)+SUM('Продажи'!$D$43:$GA$43)+SUM('Продажи'!$D$46:$GA$46)),0)-IF('ОБЪЕКТЫ'!$B$8=2,IFERROR('ОБЪЕКТЫ'!$B$28*'ОБЪЕКТЫ'!CI22/'ОБЪЕКТЫ'!$B$22,0),0)-IF('ОБЪЕКТЫ'!$B$36=2,IFERROR('ОБЪЕКТЫ'!$B$56*'ОБЪЕКТЫ'!CI50/'ОБЪЕКТЫ'!$B$50,0),0)-IF('ОБЪЕКТЫ'!$B$64=2,IFERROR('ОБЪЕКТЫ'!$B$84*'ОБЪЕКТЫ'!CI78/'ОБЪЕКТЫ'!$B$78,0),0)-CI53-CI57-CI21</x:f>
      </x:c>
      <x:c r="CJ22" s="117">
        <x:f>CJ10-IFERROR((SUM($D$20:$GA$20)-'ОБЪЕКТЫ'!$B$104)*('Продажи'!CJ37+'Продажи'!CJ40+'Продажи'!CJ43+'Продажи'!CJ46)/(SUM('Продажи'!$D$37:$GA$37)+SUM('Продажи'!$D$40:$GA$40)+SUM('Продажи'!$D$43:$GA$43)+SUM('Продажи'!$D$46:$GA$46)),0)-IF('ОБЪЕКТЫ'!$B$8=2,IFERROR('ОБЪЕКТЫ'!$B$28*'ОБЪЕКТЫ'!CJ22/'ОБЪЕКТЫ'!$B$22,0),0)-IF('ОБЪЕКТЫ'!$B$36=2,IFERROR('ОБЪЕКТЫ'!$B$56*'ОБЪЕКТЫ'!CJ50/'ОБЪЕКТЫ'!$B$50,0),0)-IF('ОБЪЕКТЫ'!$B$64=2,IFERROR('ОБЪЕКТЫ'!$B$84*'ОБЪЕКТЫ'!CJ78/'ОБЪЕКТЫ'!$B$78,0),0)-CJ53-CJ57-CJ21</x:f>
      </x:c>
      <x:c r="CK22" s="117">
        <x:f>CK10-IFERROR((SUM($D$20:$GA$20)-'ОБЪЕКТЫ'!$B$104)*('Продажи'!CK37+'Продажи'!CK40+'Продажи'!CK43+'Продажи'!CK46)/(SUM('Продажи'!$D$37:$GA$37)+SUM('Продажи'!$D$40:$GA$40)+SUM('Продажи'!$D$43:$GA$43)+SUM('Продажи'!$D$46:$GA$46)),0)-IF('ОБЪЕКТЫ'!$B$8=2,IFERROR('ОБЪЕКТЫ'!$B$28*'ОБЪЕКТЫ'!CK22/'ОБЪЕКТЫ'!$B$22,0),0)-IF('ОБЪЕКТЫ'!$B$36=2,IFERROR('ОБЪЕКТЫ'!$B$56*'ОБЪЕКТЫ'!CK50/'ОБЪЕКТЫ'!$B$50,0),0)-IF('ОБЪЕКТЫ'!$B$64=2,IFERROR('ОБЪЕКТЫ'!$B$84*'ОБЪЕКТЫ'!CK78/'ОБЪЕКТЫ'!$B$78,0),0)-CK53-CK57-CK21</x:f>
      </x:c>
      <x:c r="CL22" s="117">
        <x:f>CL10-IFERROR((SUM($D$20:$GA$20)-'ОБЪЕКТЫ'!$B$104)*('Продажи'!CL37+'Продажи'!CL40+'Продажи'!CL43+'Продажи'!CL46)/(SUM('Продажи'!$D$37:$GA$37)+SUM('Продажи'!$D$40:$GA$40)+SUM('Продажи'!$D$43:$GA$43)+SUM('Продажи'!$D$46:$GA$46)),0)-IF('ОБЪЕКТЫ'!$B$8=2,IFERROR('ОБЪЕКТЫ'!$B$28*'ОБЪЕКТЫ'!CL22/'ОБЪЕКТЫ'!$B$22,0),0)-IF('ОБЪЕКТЫ'!$B$36=2,IFERROR('ОБЪЕКТЫ'!$B$56*'ОБЪЕКТЫ'!CL50/'ОБЪЕКТЫ'!$B$50,0),0)-IF('ОБЪЕКТЫ'!$B$64=2,IFERROR('ОБЪЕКТЫ'!$B$84*'ОБЪЕКТЫ'!CL78/'ОБЪЕКТЫ'!$B$78,0),0)-CL53-CL57-CL21</x:f>
      </x:c>
      <x:c r="CM22" s="117">
        <x:f>CM10-IFERROR((SUM($D$20:$GA$20)-'ОБЪЕКТЫ'!$B$104)*('Продажи'!CM37+'Продажи'!CM40+'Продажи'!CM43+'Продажи'!CM46)/(SUM('Продажи'!$D$37:$GA$37)+SUM('Продажи'!$D$40:$GA$40)+SUM('Продажи'!$D$43:$GA$43)+SUM('Продажи'!$D$46:$GA$46)),0)-IF('ОБЪЕКТЫ'!$B$8=2,IFERROR('ОБЪЕКТЫ'!$B$28*'ОБЪЕКТЫ'!CM22/'ОБЪЕКТЫ'!$B$22,0),0)-IF('ОБЪЕКТЫ'!$B$36=2,IFERROR('ОБЪЕКТЫ'!$B$56*'ОБЪЕКТЫ'!CM50/'ОБЪЕКТЫ'!$B$50,0),0)-IF('ОБЪЕКТЫ'!$B$64=2,IFERROR('ОБЪЕКТЫ'!$B$84*'ОБЪЕКТЫ'!CM78/'ОБЪЕКТЫ'!$B$78,0),0)-CM53-CM57-CM21</x:f>
      </x:c>
      <x:c r="CN22" s="117">
        <x:f>CN10-IFERROR((SUM($D$20:$GA$20)-'ОБЪЕКТЫ'!$B$104)*('Продажи'!CN37+'Продажи'!CN40+'Продажи'!CN43+'Продажи'!CN46)/(SUM('Продажи'!$D$37:$GA$37)+SUM('Продажи'!$D$40:$GA$40)+SUM('Продажи'!$D$43:$GA$43)+SUM('Продажи'!$D$46:$GA$46)),0)-IF('ОБЪЕКТЫ'!$B$8=2,IFERROR('ОБЪЕКТЫ'!$B$28*'ОБЪЕКТЫ'!CN22/'ОБЪЕКТЫ'!$B$22,0),0)-IF('ОБЪЕКТЫ'!$B$36=2,IFERROR('ОБЪЕКТЫ'!$B$56*'ОБЪЕКТЫ'!CN50/'ОБЪЕКТЫ'!$B$50,0),0)-IF('ОБЪЕКТЫ'!$B$64=2,IFERROR('ОБЪЕКТЫ'!$B$84*'ОБЪЕКТЫ'!CN78/'ОБЪЕКТЫ'!$B$78,0),0)-CN53-CN57-CN21</x:f>
      </x:c>
      <x:c r="CO22" s="117">
        <x:f>CO10-IFERROR((SUM($D$20:$GA$20)-'ОБЪЕКТЫ'!$B$104)*('Продажи'!CO37+'Продажи'!CO40+'Продажи'!CO43+'Продажи'!CO46)/(SUM('Продажи'!$D$37:$GA$37)+SUM('Продажи'!$D$40:$GA$40)+SUM('Продажи'!$D$43:$GA$43)+SUM('Продажи'!$D$46:$GA$46)),0)-IF('ОБЪЕКТЫ'!$B$8=2,IFERROR('ОБЪЕКТЫ'!$B$28*'ОБЪЕКТЫ'!CO22/'ОБЪЕКТЫ'!$B$22,0),0)-IF('ОБЪЕКТЫ'!$B$36=2,IFERROR('ОБЪЕКТЫ'!$B$56*'ОБЪЕКТЫ'!CO50/'ОБЪЕКТЫ'!$B$50,0),0)-IF('ОБЪЕКТЫ'!$B$64=2,IFERROR('ОБЪЕКТЫ'!$B$84*'ОБЪЕКТЫ'!CO78/'ОБЪЕКТЫ'!$B$78,0),0)-CO53-CO57-CO21</x:f>
      </x:c>
      <x:c r="CP22" s="117">
        <x:f>CP10-IFERROR((SUM($D$20:$GA$20)-'ОБЪЕКТЫ'!$B$104)*('Продажи'!CP37+'Продажи'!CP40+'Продажи'!CP43+'Продажи'!CP46)/(SUM('Продажи'!$D$37:$GA$37)+SUM('Продажи'!$D$40:$GA$40)+SUM('Продажи'!$D$43:$GA$43)+SUM('Продажи'!$D$46:$GA$46)),0)-IF('ОБЪЕКТЫ'!$B$8=2,IFERROR('ОБЪЕКТЫ'!$B$28*'ОБЪЕКТЫ'!CP22/'ОБЪЕКТЫ'!$B$22,0),0)-IF('ОБЪЕКТЫ'!$B$36=2,IFERROR('ОБЪЕКТЫ'!$B$56*'ОБЪЕКТЫ'!CP50/'ОБЪЕКТЫ'!$B$50,0),0)-IF('ОБЪЕКТЫ'!$B$64=2,IFERROR('ОБЪЕКТЫ'!$B$84*'ОБЪЕКТЫ'!CP78/'ОБЪЕКТЫ'!$B$78,0),0)-CP53-CP57-CP21</x:f>
      </x:c>
      <x:c r="CQ22" s="117">
        <x:f>CQ10-IFERROR((SUM($D$20:$GA$20)-'ОБЪЕКТЫ'!$B$104)*('Продажи'!CQ37+'Продажи'!CQ40+'Продажи'!CQ43+'Продажи'!CQ46)/(SUM('Продажи'!$D$37:$GA$37)+SUM('Продажи'!$D$40:$GA$40)+SUM('Продажи'!$D$43:$GA$43)+SUM('Продажи'!$D$46:$GA$46)),0)-IF('ОБЪЕКТЫ'!$B$8=2,IFERROR('ОБЪЕКТЫ'!$B$28*'ОБЪЕКТЫ'!CQ22/'ОБЪЕКТЫ'!$B$22,0),0)-IF('ОБЪЕКТЫ'!$B$36=2,IFERROR('ОБЪЕКТЫ'!$B$56*'ОБЪЕКТЫ'!CQ50/'ОБЪЕКТЫ'!$B$50,0),0)-IF('ОБЪЕКТЫ'!$B$64=2,IFERROR('ОБЪЕКТЫ'!$B$84*'ОБЪЕКТЫ'!CQ78/'ОБЪЕКТЫ'!$B$78,0),0)-CQ53-CQ57-CQ21</x:f>
      </x:c>
      <x:c r="CR22" s="117">
        <x:f>CR10-IFERROR((SUM($D$20:$GA$20)-'ОБЪЕКТЫ'!$B$104)*('Продажи'!CR37+'Продажи'!CR40+'Продажи'!CR43+'Продажи'!CR46)/(SUM('Продажи'!$D$37:$GA$37)+SUM('Продажи'!$D$40:$GA$40)+SUM('Продажи'!$D$43:$GA$43)+SUM('Продажи'!$D$46:$GA$46)),0)-IF('ОБЪЕКТЫ'!$B$8=2,IFERROR('ОБЪЕКТЫ'!$B$28*'ОБЪЕКТЫ'!CR22/'ОБЪЕКТЫ'!$B$22,0),0)-IF('ОБЪЕКТЫ'!$B$36=2,IFERROR('ОБЪЕКТЫ'!$B$56*'ОБЪЕКТЫ'!CR50/'ОБЪЕКТЫ'!$B$50,0),0)-IF('ОБЪЕКТЫ'!$B$64=2,IFERROR('ОБЪЕКТЫ'!$B$84*'ОБЪЕКТЫ'!CR78/'ОБЪЕКТЫ'!$B$78,0),0)-CR53-CR57-CR21</x:f>
      </x:c>
      <x:c r="CS22" s="117">
        <x:f>CS10-IFERROR((SUM($D$20:$GA$20)-'ОБЪЕКТЫ'!$B$104)*('Продажи'!CS37+'Продажи'!CS40+'Продажи'!CS43+'Продажи'!CS46)/(SUM('Продажи'!$D$37:$GA$37)+SUM('Продажи'!$D$40:$GA$40)+SUM('Продажи'!$D$43:$GA$43)+SUM('Продажи'!$D$46:$GA$46)),0)-IF('ОБЪЕКТЫ'!$B$8=2,IFERROR('ОБЪЕКТЫ'!$B$28*'ОБЪЕКТЫ'!CS22/'ОБЪЕКТЫ'!$B$22,0),0)-IF('ОБЪЕКТЫ'!$B$36=2,IFERROR('ОБЪЕКТЫ'!$B$56*'ОБЪЕКТЫ'!CS50/'ОБЪЕКТЫ'!$B$50,0),0)-IF('ОБЪЕКТЫ'!$B$64=2,IFERROR('ОБЪЕКТЫ'!$B$84*'ОБЪЕКТЫ'!CS78/'ОБЪЕКТЫ'!$B$78,0),0)-CS53-CS57-CS21</x:f>
      </x:c>
      <x:c r="CT22" s="117">
        <x:f>CT10-IFERROR((SUM($D$20:$GA$20)-'ОБЪЕКТЫ'!$B$104)*('Продажи'!CT37+'Продажи'!CT40+'Продажи'!CT43+'Продажи'!CT46)/(SUM('Продажи'!$D$37:$GA$37)+SUM('Продажи'!$D$40:$GA$40)+SUM('Продажи'!$D$43:$GA$43)+SUM('Продажи'!$D$46:$GA$46)),0)-IF('ОБЪЕКТЫ'!$B$8=2,IFERROR('ОБЪЕКТЫ'!$B$28*'ОБЪЕКТЫ'!CT22/'ОБЪЕКТЫ'!$B$22,0),0)-IF('ОБЪЕКТЫ'!$B$36=2,IFERROR('ОБЪЕКТЫ'!$B$56*'ОБЪЕКТЫ'!CT50/'ОБЪЕКТЫ'!$B$50,0),0)-IF('ОБЪЕКТЫ'!$B$64=2,IFERROR('ОБЪЕКТЫ'!$B$84*'ОБЪЕКТЫ'!CT78/'ОБЪЕКТЫ'!$B$78,0),0)-CT53-CT57-CT21</x:f>
      </x:c>
      <x:c r="CU22" s="117">
        <x:f>CU10-IFERROR((SUM($D$20:$GA$20)-'ОБЪЕКТЫ'!$B$104)*('Продажи'!CU37+'Продажи'!CU40+'Продажи'!CU43+'Продажи'!CU46)/(SUM('Продажи'!$D$37:$GA$37)+SUM('Продажи'!$D$40:$GA$40)+SUM('Продажи'!$D$43:$GA$43)+SUM('Продажи'!$D$46:$GA$46)),0)-IF('ОБЪЕКТЫ'!$B$8=2,IFERROR('ОБЪЕКТЫ'!$B$28*'ОБЪЕКТЫ'!CU22/'ОБЪЕКТЫ'!$B$22,0),0)-IF('ОБЪЕКТЫ'!$B$36=2,IFERROR('ОБЪЕКТЫ'!$B$56*'ОБЪЕКТЫ'!CU50/'ОБЪЕКТЫ'!$B$50,0),0)-IF('ОБЪЕКТЫ'!$B$64=2,IFERROR('ОБЪЕКТЫ'!$B$84*'ОБЪЕКТЫ'!CU78/'ОБЪЕКТЫ'!$B$78,0),0)-CU53-CU57-CU21</x:f>
      </x:c>
      <x:c r="CV22" s="117">
        <x:f>CV10-IFERROR((SUM($D$20:$GA$20)-'ОБЪЕКТЫ'!$B$104)*('Продажи'!CV37+'Продажи'!CV40+'Продажи'!CV43+'Продажи'!CV46)/(SUM('Продажи'!$D$37:$GA$37)+SUM('Продажи'!$D$40:$GA$40)+SUM('Продажи'!$D$43:$GA$43)+SUM('Продажи'!$D$46:$GA$46)),0)-IF('ОБЪЕКТЫ'!$B$8=2,IFERROR('ОБЪЕКТЫ'!$B$28*'ОБЪЕКТЫ'!CV22/'ОБЪЕКТЫ'!$B$22,0),0)-IF('ОБЪЕКТЫ'!$B$36=2,IFERROR('ОБЪЕКТЫ'!$B$56*'ОБЪЕКТЫ'!CV50/'ОБЪЕКТЫ'!$B$50,0),0)-IF('ОБЪЕКТЫ'!$B$64=2,IFERROR('ОБЪЕКТЫ'!$B$84*'ОБЪЕКТЫ'!CV78/'ОБЪЕКТЫ'!$B$78,0),0)-CV53-CV57-CV21</x:f>
      </x:c>
      <x:c r="CW22" s="117">
        <x:f>CW10-IFERROR((SUM($D$20:$GA$20)-'ОБЪЕКТЫ'!$B$104)*('Продажи'!CW37+'Продажи'!CW40+'Продажи'!CW43+'Продажи'!CW46)/(SUM('Продажи'!$D$37:$GA$37)+SUM('Продажи'!$D$40:$GA$40)+SUM('Продажи'!$D$43:$GA$43)+SUM('Продажи'!$D$46:$GA$46)),0)-IF('ОБЪЕКТЫ'!$B$8=2,IFERROR('ОБЪЕКТЫ'!$B$28*'ОБЪЕКТЫ'!CW22/'ОБЪЕКТЫ'!$B$22,0),0)-IF('ОБЪЕКТЫ'!$B$36=2,IFERROR('ОБЪЕКТЫ'!$B$56*'ОБЪЕКТЫ'!CW50/'ОБЪЕКТЫ'!$B$50,0),0)-IF('ОБЪЕКТЫ'!$B$64=2,IFERROR('ОБЪЕКТЫ'!$B$84*'ОБЪЕКТЫ'!CW78/'ОБЪЕКТЫ'!$B$78,0),0)-CW53-CW57-CW21</x:f>
      </x:c>
      <x:c r="CX22" s="117">
        <x:f>CX10-IFERROR((SUM($D$20:$GA$20)-'ОБЪЕКТЫ'!$B$104)*('Продажи'!CX37+'Продажи'!CX40+'Продажи'!CX43+'Продажи'!CX46)/(SUM('Продажи'!$D$37:$GA$37)+SUM('Продажи'!$D$40:$GA$40)+SUM('Продажи'!$D$43:$GA$43)+SUM('Продажи'!$D$46:$GA$46)),0)-IF('ОБЪЕКТЫ'!$B$8=2,IFERROR('ОБЪЕКТЫ'!$B$28*'ОБЪЕКТЫ'!CX22/'ОБЪЕКТЫ'!$B$22,0),0)-IF('ОБЪЕКТЫ'!$B$36=2,IFERROR('ОБЪЕКТЫ'!$B$56*'ОБЪЕКТЫ'!CX50/'ОБЪЕКТЫ'!$B$50,0),0)-IF('ОБЪЕКТЫ'!$B$64=2,IFERROR('ОБЪЕКТЫ'!$B$84*'ОБЪЕКТЫ'!CX78/'ОБЪЕКТЫ'!$B$78,0),0)-CX53-CX57-CX21</x:f>
      </x:c>
      <x:c r="CY22" s="117">
        <x:f>CY10-IFERROR((SUM($D$20:$GA$20)-'ОБЪЕКТЫ'!$B$104)*('Продажи'!CY37+'Продажи'!CY40+'Продажи'!CY43+'Продажи'!CY46)/(SUM('Продажи'!$D$37:$GA$37)+SUM('Продажи'!$D$40:$GA$40)+SUM('Продажи'!$D$43:$GA$43)+SUM('Продажи'!$D$46:$GA$46)),0)-IF('ОБЪЕКТЫ'!$B$8=2,IFERROR('ОБЪЕКТЫ'!$B$28*'ОБЪЕКТЫ'!CY22/'ОБЪЕКТЫ'!$B$22,0),0)-IF('ОБЪЕКТЫ'!$B$36=2,IFERROR('ОБЪЕКТЫ'!$B$56*'ОБЪЕКТЫ'!CY50/'ОБЪЕКТЫ'!$B$50,0),0)-IF('ОБЪЕКТЫ'!$B$64=2,IFERROR('ОБЪЕКТЫ'!$B$84*'ОБЪЕКТЫ'!CY78/'ОБЪЕКТЫ'!$B$78,0),0)-CY53-CY57-CY21</x:f>
      </x:c>
      <x:c r="CZ22" s="117">
        <x:f>CZ10-IFERROR((SUM($D$20:$GA$20)-'ОБЪЕКТЫ'!$B$104)*('Продажи'!CZ37+'Продажи'!CZ40+'Продажи'!CZ43+'Продажи'!CZ46)/(SUM('Продажи'!$D$37:$GA$37)+SUM('Продажи'!$D$40:$GA$40)+SUM('Продажи'!$D$43:$GA$43)+SUM('Продажи'!$D$46:$GA$46)),0)-IF('ОБЪЕКТЫ'!$B$8=2,IFERROR('ОБЪЕКТЫ'!$B$28*'ОБЪЕКТЫ'!CZ22/'ОБЪЕКТЫ'!$B$22,0),0)-IF('ОБЪЕКТЫ'!$B$36=2,IFERROR('ОБЪЕКТЫ'!$B$56*'ОБЪЕКТЫ'!CZ50/'ОБЪЕКТЫ'!$B$50,0),0)-IF('ОБЪЕКТЫ'!$B$64=2,IFERROR('ОБЪЕКТЫ'!$B$84*'ОБЪЕКТЫ'!CZ78/'ОБЪЕКТЫ'!$B$78,0),0)-CZ53-CZ57-CZ21</x:f>
      </x:c>
      <x:c r="DA22" s="117">
        <x:f>DA10-IFERROR((SUM($D$20:$GA$20)-'ОБЪЕКТЫ'!$B$104)*('Продажи'!DA37+'Продажи'!DA40+'Продажи'!DA43+'Продажи'!DA46)/(SUM('Продажи'!$D$37:$GA$37)+SUM('Продажи'!$D$40:$GA$40)+SUM('Продажи'!$D$43:$GA$43)+SUM('Продажи'!$D$46:$GA$46)),0)-IF('ОБЪЕКТЫ'!$B$8=2,IFERROR('ОБЪЕКТЫ'!$B$28*'ОБЪЕКТЫ'!DA22/'ОБЪЕКТЫ'!$B$22,0),0)-IF('ОБЪЕКТЫ'!$B$36=2,IFERROR('ОБЪЕКТЫ'!$B$56*'ОБЪЕКТЫ'!DA50/'ОБЪЕКТЫ'!$B$50,0),0)-IF('ОБЪЕКТЫ'!$B$64=2,IFERROR('ОБЪЕКТЫ'!$B$84*'ОБЪЕКТЫ'!DA78/'ОБЪЕКТЫ'!$B$78,0),0)-DA53-DA57-DA21</x:f>
      </x:c>
      <x:c r="DB22" s="117">
        <x:f>DB10-IFERROR((SUM($D$20:$GA$20)-'ОБЪЕКТЫ'!$B$104)*('Продажи'!DB37+'Продажи'!DB40+'Продажи'!DB43+'Продажи'!DB46)/(SUM('Продажи'!$D$37:$GA$37)+SUM('Продажи'!$D$40:$GA$40)+SUM('Продажи'!$D$43:$GA$43)+SUM('Продажи'!$D$46:$GA$46)),0)-IF('ОБЪЕКТЫ'!$B$8=2,IFERROR('ОБЪЕКТЫ'!$B$28*'ОБЪЕКТЫ'!DB22/'ОБЪЕКТЫ'!$B$22,0),0)-IF('ОБЪЕКТЫ'!$B$36=2,IFERROR('ОБЪЕКТЫ'!$B$56*'ОБЪЕКТЫ'!DB50/'ОБЪЕКТЫ'!$B$50,0),0)-IF('ОБЪЕКТЫ'!$B$64=2,IFERROR('ОБЪЕКТЫ'!$B$84*'ОБЪЕКТЫ'!DB78/'ОБЪЕКТЫ'!$B$78,0),0)-DB53-DB57-DB21</x:f>
      </x:c>
      <x:c r="DC22" s="117">
        <x:f>DC10-IFERROR((SUM($D$20:$GA$20)-'ОБЪЕКТЫ'!$B$104)*('Продажи'!DC37+'Продажи'!DC40+'Продажи'!DC43+'Продажи'!DC46)/(SUM('Продажи'!$D$37:$GA$37)+SUM('Продажи'!$D$40:$GA$40)+SUM('Продажи'!$D$43:$GA$43)+SUM('Продажи'!$D$46:$GA$46)),0)-IF('ОБЪЕКТЫ'!$B$8=2,IFERROR('ОБЪЕКТЫ'!$B$28*'ОБЪЕКТЫ'!DC22/'ОБЪЕКТЫ'!$B$22,0),0)-IF('ОБЪЕКТЫ'!$B$36=2,IFERROR('ОБЪЕКТЫ'!$B$56*'ОБЪЕКТЫ'!DC50/'ОБЪЕКТЫ'!$B$50,0),0)-IF('ОБЪЕКТЫ'!$B$64=2,IFERROR('ОБЪЕКТЫ'!$B$84*'ОБЪЕКТЫ'!DC78/'ОБЪЕКТЫ'!$B$78,0),0)-DC53-DC57-DC21</x:f>
      </x:c>
      <x:c r="DD22" s="117">
        <x:f>DD10-IFERROR((SUM($D$20:$GA$20)-'ОБЪЕКТЫ'!$B$104)*('Продажи'!DD37+'Продажи'!DD40+'Продажи'!DD43+'Продажи'!DD46)/(SUM('Продажи'!$D$37:$GA$37)+SUM('Продажи'!$D$40:$GA$40)+SUM('Продажи'!$D$43:$GA$43)+SUM('Продажи'!$D$46:$GA$46)),0)-IF('ОБЪЕКТЫ'!$B$8=2,IFERROR('ОБЪЕКТЫ'!$B$28*'ОБЪЕКТЫ'!DD22/'ОБЪЕКТЫ'!$B$22,0),0)-IF('ОБЪЕКТЫ'!$B$36=2,IFERROR('ОБЪЕКТЫ'!$B$56*'ОБЪЕКТЫ'!DD50/'ОБЪЕКТЫ'!$B$50,0),0)-IF('ОБЪЕКТЫ'!$B$64=2,IFERROR('ОБЪЕКТЫ'!$B$84*'ОБЪЕКТЫ'!DD78/'ОБЪЕКТЫ'!$B$78,0),0)-DD53-DD57-DD21</x:f>
      </x:c>
      <x:c r="DE22" s="117">
        <x:f>DE10-IFERROR((SUM($D$20:$GA$20)-'ОБЪЕКТЫ'!$B$104)*('Продажи'!DE37+'Продажи'!DE40+'Продажи'!DE43+'Продажи'!DE46)/(SUM('Продажи'!$D$37:$GA$37)+SUM('Продажи'!$D$40:$GA$40)+SUM('Продажи'!$D$43:$GA$43)+SUM('Продажи'!$D$46:$GA$46)),0)-IF('ОБЪЕКТЫ'!$B$8=2,IFERROR('ОБЪЕКТЫ'!$B$28*'ОБЪЕКТЫ'!DE22/'ОБЪЕКТЫ'!$B$22,0),0)-IF('ОБЪЕКТЫ'!$B$36=2,IFERROR('ОБЪЕКТЫ'!$B$56*'ОБЪЕКТЫ'!DE50/'ОБЪЕКТЫ'!$B$50,0),0)-IF('ОБЪЕКТЫ'!$B$64=2,IFERROR('ОБЪЕКТЫ'!$B$84*'ОБЪЕКТЫ'!DE78/'ОБЪЕКТЫ'!$B$78,0),0)-DE53-DE57-DE21</x:f>
      </x:c>
      <x:c r="DF22" s="117">
        <x:f>DF10-IFERROR((SUM($D$20:$GA$20)-'ОБЪЕКТЫ'!$B$104)*('Продажи'!DF37+'Продажи'!DF40+'Продажи'!DF43+'Продажи'!DF46)/(SUM('Продажи'!$D$37:$GA$37)+SUM('Продажи'!$D$40:$GA$40)+SUM('Продажи'!$D$43:$GA$43)+SUM('Продажи'!$D$46:$GA$46)),0)-IF('ОБЪЕКТЫ'!$B$8=2,IFERROR('ОБЪЕКТЫ'!$B$28*'ОБЪЕКТЫ'!DF22/'ОБЪЕКТЫ'!$B$22,0),0)-IF('ОБЪЕКТЫ'!$B$36=2,IFERROR('ОБЪЕКТЫ'!$B$56*'ОБЪЕКТЫ'!DF50/'ОБЪЕКТЫ'!$B$50,0),0)-IF('ОБЪЕКТЫ'!$B$64=2,IFERROR('ОБЪЕКТЫ'!$B$84*'ОБЪЕКТЫ'!DF78/'ОБЪЕКТЫ'!$B$78,0),0)-DF53-DF57-DF21</x:f>
      </x:c>
      <x:c r="DG22" s="117">
        <x:f>DG10-IFERROR((SUM($D$20:$GA$20)-'ОБЪЕКТЫ'!$B$104)*('Продажи'!DG37+'Продажи'!DG40+'Продажи'!DG43+'Продажи'!DG46)/(SUM('Продажи'!$D$37:$GA$37)+SUM('Продажи'!$D$40:$GA$40)+SUM('Продажи'!$D$43:$GA$43)+SUM('Продажи'!$D$46:$GA$46)),0)-IF('ОБЪЕКТЫ'!$B$8=2,IFERROR('ОБЪЕКТЫ'!$B$28*'ОБЪЕКТЫ'!DG22/'ОБЪЕКТЫ'!$B$22,0),0)-IF('ОБЪЕКТЫ'!$B$36=2,IFERROR('ОБЪЕКТЫ'!$B$56*'ОБЪЕКТЫ'!DG50/'ОБЪЕКТЫ'!$B$50,0),0)-IF('ОБЪЕКТЫ'!$B$64=2,IFERROR('ОБЪЕКТЫ'!$B$84*'ОБЪЕКТЫ'!DG78/'ОБЪЕКТЫ'!$B$78,0),0)-DG53-DG57-DG21</x:f>
      </x:c>
      <x:c r="DH22" s="117">
        <x:f>DH10-IFERROR((SUM($D$20:$GA$20)-'ОБЪЕКТЫ'!$B$104)*('Продажи'!DH37+'Продажи'!DH40+'Продажи'!DH43+'Продажи'!DH46)/(SUM('Продажи'!$D$37:$GA$37)+SUM('Продажи'!$D$40:$GA$40)+SUM('Продажи'!$D$43:$GA$43)+SUM('Продажи'!$D$46:$GA$46)),0)-IF('ОБЪЕКТЫ'!$B$8=2,IFERROR('ОБЪЕКТЫ'!$B$28*'ОБЪЕКТЫ'!DH22/'ОБЪЕКТЫ'!$B$22,0),0)-IF('ОБЪЕКТЫ'!$B$36=2,IFERROR('ОБЪЕКТЫ'!$B$56*'ОБЪЕКТЫ'!DH50/'ОБЪЕКТЫ'!$B$50,0),0)-IF('ОБЪЕКТЫ'!$B$64=2,IFERROR('ОБЪЕКТЫ'!$B$84*'ОБЪЕКТЫ'!DH78/'ОБЪЕКТЫ'!$B$78,0),0)-DH53-DH57-DH21</x:f>
      </x:c>
      <x:c r="DI22" s="117">
        <x:f>DI10-IFERROR((SUM($D$20:$GA$20)-'ОБЪЕКТЫ'!$B$104)*('Продажи'!DI37+'Продажи'!DI40+'Продажи'!DI43+'Продажи'!DI46)/(SUM('Продажи'!$D$37:$GA$37)+SUM('Продажи'!$D$40:$GA$40)+SUM('Продажи'!$D$43:$GA$43)+SUM('Продажи'!$D$46:$GA$46)),0)-IF('ОБЪЕКТЫ'!$B$8=2,IFERROR('ОБЪЕКТЫ'!$B$28*'ОБЪЕКТЫ'!DI22/'ОБЪЕКТЫ'!$B$22,0),0)-IF('ОБЪЕКТЫ'!$B$36=2,IFERROR('ОБЪЕКТЫ'!$B$56*'ОБЪЕКТЫ'!DI50/'ОБЪЕКТЫ'!$B$50,0),0)-IF('ОБЪЕКТЫ'!$B$64=2,IFERROR('ОБЪЕКТЫ'!$B$84*'ОБЪЕКТЫ'!DI78/'ОБЪЕКТЫ'!$B$78,0),0)-DI53-DI57-DI21</x:f>
      </x:c>
      <x:c r="DJ22" s="117">
        <x:f>DJ10-IFERROR((SUM($D$20:$GA$20)-'ОБЪЕКТЫ'!$B$104)*('Продажи'!DJ37+'Продажи'!DJ40+'Продажи'!DJ43+'Продажи'!DJ46)/(SUM('Продажи'!$D$37:$GA$37)+SUM('Продажи'!$D$40:$GA$40)+SUM('Продажи'!$D$43:$GA$43)+SUM('Продажи'!$D$46:$GA$46)),0)-IF('ОБЪЕКТЫ'!$B$8=2,IFERROR('ОБЪЕКТЫ'!$B$28*'ОБЪЕКТЫ'!DJ22/'ОБЪЕКТЫ'!$B$22,0),0)-IF('ОБЪЕКТЫ'!$B$36=2,IFERROR('ОБЪЕКТЫ'!$B$56*'ОБЪЕКТЫ'!DJ50/'ОБЪЕКТЫ'!$B$50,0),0)-IF('ОБЪЕКТЫ'!$B$64=2,IFERROR('ОБЪЕКТЫ'!$B$84*'ОБЪЕКТЫ'!DJ78/'ОБЪЕКТЫ'!$B$78,0),0)-DJ53-DJ57-DJ21</x:f>
      </x:c>
      <x:c r="DK22" s="117">
        <x:f>DK10-IFERROR((SUM($D$20:$GA$20)-'ОБЪЕКТЫ'!$B$104)*('Продажи'!DK37+'Продажи'!DK40+'Продажи'!DK43+'Продажи'!DK46)/(SUM('Продажи'!$D$37:$GA$37)+SUM('Продажи'!$D$40:$GA$40)+SUM('Продажи'!$D$43:$GA$43)+SUM('Продажи'!$D$46:$GA$46)),0)-IF('ОБЪЕКТЫ'!$B$8=2,IFERROR('ОБЪЕКТЫ'!$B$28*'ОБЪЕКТЫ'!DK22/'ОБЪЕКТЫ'!$B$22,0),0)-IF('ОБЪЕКТЫ'!$B$36=2,IFERROR('ОБЪЕКТЫ'!$B$56*'ОБЪЕКТЫ'!DK50/'ОБЪЕКТЫ'!$B$50,0),0)-IF('ОБЪЕКТЫ'!$B$64=2,IFERROR('ОБЪЕКТЫ'!$B$84*'ОБЪЕКТЫ'!DK78/'ОБЪЕКТЫ'!$B$78,0),0)-DK53-DK57-DK21</x:f>
      </x:c>
      <x:c r="DL22" s="117">
        <x:f>DL10-IFERROR((SUM($D$20:$GA$20)-'ОБЪЕКТЫ'!$B$104)*('Продажи'!DL37+'Продажи'!DL40+'Продажи'!DL43+'Продажи'!DL46)/(SUM('Продажи'!$D$37:$GA$37)+SUM('Продажи'!$D$40:$GA$40)+SUM('Продажи'!$D$43:$GA$43)+SUM('Продажи'!$D$46:$GA$46)),0)-IF('ОБЪЕКТЫ'!$B$8=2,IFERROR('ОБЪЕКТЫ'!$B$28*'ОБЪЕКТЫ'!DL22/'ОБЪЕКТЫ'!$B$22,0),0)-IF('ОБЪЕКТЫ'!$B$36=2,IFERROR('ОБЪЕКТЫ'!$B$56*'ОБЪЕКТЫ'!DL50/'ОБЪЕКТЫ'!$B$50,0),0)-IF('ОБЪЕКТЫ'!$B$64=2,IFERROR('ОБЪЕКТЫ'!$B$84*'ОБЪЕКТЫ'!DL78/'ОБЪЕКТЫ'!$B$78,0),0)-DL53-DL57-DL21</x:f>
      </x:c>
      <x:c r="DM22" s="117">
        <x:f>DM10-IFERROR((SUM($D$20:$GA$20)-'ОБЪЕКТЫ'!$B$104)*('Продажи'!DM37+'Продажи'!DM40+'Продажи'!DM43+'Продажи'!DM46)/(SUM('Продажи'!$D$37:$GA$37)+SUM('Продажи'!$D$40:$GA$40)+SUM('Продажи'!$D$43:$GA$43)+SUM('Продажи'!$D$46:$GA$46)),0)-IF('ОБЪЕКТЫ'!$B$8=2,IFERROR('ОБЪЕКТЫ'!$B$28*'ОБЪЕКТЫ'!DM22/'ОБЪЕКТЫ'!$B$22,0),0)-IF('ОБЪЕКТЫ'!$B$36=2,IFERROR('ОБЪЕКТЫ'!$B$56*'ОБЪЕКТЫ'!DM50/'ОБЪЕКТЫ'!$B$50,0),0)-IF('ОБЪЕКТЫ'!$B$64=2,IFERROR('ОБЪЕКТЫ'!$B$84*'ОБЪЕКТЫ'!DM78/'ОБЪЕКТЫ'!$B$78,0),0)-DM53-DM57-DM21</x:f>
      </x:c>
      <x:c r="DN22" s="117">
        <x:f>DN10-IFERROR((SUM($D$20:$GA$20)-'ОБЪЕКТЫ'!$B$104)*('Продажи'!DN37+'Продажи'!DN40+'Продажи'!DN43+'Продажи'!DN46)/(SUM('Продажи'!$D$37:$GA$37)+SUM('Продажи'!$D$40:$GA$40)+SUM('Продажи'!$D$43:$GA$43)+SUM('Продажи'!$D$46:$GA$46)),0)-IF('ОБЪЕКТЫ'!$B$8=2,IFERROR('ОБЪЕКТЫ'!$B$28*'ОБЪЕКТЫ'!DN22/'ОБЪЕКТЫ'!$B$22,0),0)-IF('ОБЪЕКТЫ'!$B$36=2,IFERROR('ОБЪЕКТЫ'!$B$56*'ОБЪЕКТЫ'!DN50/'ОБЪЕКТЫ'!$B$50,0),0)-IF('ОБЪЕКТЫ'!$B$64=2,IFERROR('ОБЪЕКТЫ'!$B$84*'ОБЪЕКТЫ'!DN78/'ОБЪЕКТЫ'!$B$78,0),0)-DN53-DN57-DN21</x:f>
      </x:c>
      <x:c r="DO22" s="117">
        <x:f>DO10-IFERROR((SUM($D$20:$GA$20)-'ОБЪЕКТЫ'!$B$104)*('Продажи'!DO37+'Продажи'!DO40+'Продажи'!DO43+'Продажи'!DO46)/(SUM('Продажи'!$D$37:$GA$37)+SUM('Продажи'!$D$40:$GA$40)+SUM('Продажи'!$D$43:$GA$43)+SUM('Продажи'!$D$46:$GA$46)),0)-IF('ОБЪЕКТЫ'!$B$8=2,IFERROR('ОБЪЕКТЫ'!$B$28*'ОБЪЕКТЫ'!DO22/'ОБЪЕКТЫ'!$B$22,0),0)-IF('ОБЪЕКТЫ'!$B$36=2,IFERROR('ОБЪЕКТЫ'!$B$56*'ОБЪЕКТЫ'!DO50/'ОБЪЕКТЫ'!$B$50,0),0)-IF('ОБЪЕКТЫ'!$B$64=2,IFERROR('ОБЪЕКТЫ'!$B$84*'ОБЪЕКТЫ'!DO78/'ОБЪЕКТЫ'!$B$78,0),0)-DO53-DO57-DO21</x:f>
      </x:c>
      <x:c r="DP22" s="117">
        <x:f>DP10-IFERROR((SUM($D$20:$GA$20)-'ОБЪЕКТЫ'!$B$104)*('Продажи'!DP37+'Продажи'!DP40+'Продажи'!DP43+'Продажи'!DP46)/(SUM('Продажи'!$D$37:$GA$37)+SUM('Продажи'!$D$40:$GA$40)+SUM('Продажи'!$D$43:$GA$43)+SUM('Продажи'!$D$46:$GA$46)),0)-IF('ОБЪЕКТЫ'!$B$8=2,IFERROR('ОБЪЕКТЫ'!$B$28*'ОБЪЕКТЫ'!DP22/'ОБЪЕКТЫ'!$B$22,0),0)-IF('ОБЪЕКТЫ'!$B$36=2,IFERROR('ОБЪЕКТЫ'!$B$56*'ОБЪЕКТЫ'!DP50/'ОБЪЕКТЫ'!$B$50,0),0)-IF('ОБЪЕКТЫ'!$B$64=2,IFERROR('ОБЪЕКТЫ'!$B$84*'ОБЪЕКТЫ'!DP78/'ОБЪЕКТЫ'!$B$78,0),0)-DP53-DP57-DP21</x:f>
      </x:c>
      <x:c r="DQ22" s="117">
        <x:f>DQ10-IFERROR((SUM($D$20:$GA$20)-'ОБЪЕКТЫ'!$B$104)*('Продажи'!DQ37+'Продажи'!DQ40+'Продажи'!DQ43+'Продажи'!DQ46)/(SUM('Продажи'!$D$37:$GA$37)+SUM('Продажи'!$D$40:$GA$40)+SUM('Продажи'!$D$43:$GA$43)+SUM('Продажи'!$D$46:$GA$46)),0)-IF('ОБЪЕКТЫ'!$B$8=2,IFERROR('ОБЪЕКТЫ'!$B$28*'ОБЪЕКТЫ'!DQ22/'ОБЪЕКТЫ'!$B$22,0),0)-IF('ОБЪЕКТЫ'!$B$36=2,IFERROR('ОБЪЕКТЫ'!$B$56*'ОБЪЕКТЫ'!DQ50/'ОБЪЕКТЫ'!$B$50,0),0)-IF('ОБЪЕКТЫ'!$B$64=2,IFERROR('ОБЪЕКТЫ'!$B$84*'ОБЪЕКТЫ'!DQ78/'ОБЪЕКТЫ'!$B$78,0),0)-DQ53-DQ57-DQ21</x:f>
      </x:c>
      <x:c r="DR22" s="117">
        <x:f>DR10-IFERROR((SUM($D$20:$GA$20)-'ОБЪЕКТЫ'!$B$104)*('Продажи'!DR37+'Продажи'!DR40+'Продажи'!DR43+'Продажи'!DR46)/(SUM('Продажи'!$D$37:$GA$37)+SUM('Продажи'!$D$40:$GA$40)+SUM('Продажи'!$D$43:$GA$43)+SUM('Продажи'!$D$46:$GA$46)),0)-IF('ОБЪЕКТЫ'!$B$8=2,IFERROR('ОБЪЕКТЫ'!$B$28*'ОБЪЕКТЫ'!DR22/'ОБЪЕКТЫ'!$B$22,0),0)-IF('ОБЪЕКТЫ'!$B$36=2,IFERROR('ОБЪЕКТЫ'!$B$56*'ОБЪЕКТЫ'!DR50/'ОБЪЕКТЫ'!$B$50,0),0)-IF('ОБЪЕКТЫ'!$B$64=2,IFERROR('ОБЪЕКТЫ'!$B$84*'ОБЪЕКТЫ'!DR78/'ОБЪЕКТЫ'!$B$78,0),0)-DR53-DR57-DR21</x:f>
      </x:c>
      <x:c r="DS22" s="117">
        <x:f>DS10-IFERROR((SUM($D$20:$GA$20)-'ОБЪЕКТЫ'!$B$104)*('Продажи'!DS37+'Продажи'!DS40+'Продажи'!DS43+'Продажи'!DS46)/(SUM('Продажи'!$D$37:$GA$37)+SUM('Продажи'!$D$40:$GA$40)+SUM('Продажи'!$D$43:$GA$43)+SUM('Продажи'!$D$46:$GA$46)),0)-IF('ОБЪЕКТЫ'!$B$8=2,IFERROR('ОБЪЕКТЫ'!$B$28*'ОБЪЕКТЫ'!DS22/'ОБЪЕКТЫ'!$B$22,0),0)-IF('ОБЪЕКТЫ'!$B$36=2,IFERROR('ОБЪЕКТЫ'!$B$56*'ОБЪЕКТЫ'!DS50/'ОБЪЕКТЫ'!$B$50,0),0)-IF('ОБЪЕКТЫ'!$B$64=2,IFERROR('ОБЪЕКТЫ'!$B$84*'ОБЪЕКТЫ'!DS78/'ОБЪЕКТЫ'!$B$78,0),0)-DS53-DS57-DS21</x:f>
      </x:c>
      <x:c r="DT22" s="117">
        <x:f>DT10-IFERROR((SUM($D$20:$GA$20)-'ОБЪЕКТЫ'!$B$104)*('Продажи'!DT37+'Продажи'!DT40+'Продажи'!DT43+'Продажи'!DT46)/(SUM('Продажи'!$D$37:$GA$37)+SUM('Продажи'!$D$40:$GA$40)+SUM('Продажи'!$D$43:$GA$43)+SUM('Продажи'!$D$46:$GA$46)),0)-IF('ОБЪЕКТЫ'!$B$8=2,IFERROR('ОБЪЕКТЫ'!$B$28*'ОБЪЕКТЫ'!DT22/'ОБЪЕКТЫ'!$B$22,0),0)-IF('ОБЪЕКТЫ'!$B$36=2,IFERROR('ОБЪЕКТЫ'!$B$56*'ОБЪЕКТЫ'!DT50/'ОБЪЕКТЫ'!$B$50,0),0)-IF('ОБЪЕКТЫ'!$B$64=2,IFERROR('ОБЪЕКТЫ'!$B$84*'ОБЪЕКТЫ'!DT78/'ОБЪЕКТЫ'!$B$78,0),0)-DT53-DT57-DT21</x:f>
      </x:c>
      <x:c r="DU22" s="117">
        <x:f>DU10-IFERROR((SUM($D$20:$GA$20)-'ОБЪЕКТЫ'!$B$104)*('Продажи'!DU37+'Продажи'!DU40+'Продажи'!DU43+'Продажи'!DU46)/(SUM('Продажи'!$D$37:$GA$37)+SUM('Продажи'!$D$40:$GA$40)+SUM('Продажи'!$D$43:$GA$43)+SUM('Продажи'!$D$46:$GA$46)),0)-IF('ОБЪЕКТЫ'!$B$8=2,IFERROR('ОБЪЕКТЫ'!$B$28*'ОБЪЕКТЫ'!DU22/'ОБЪЕКТЫ'!$B$22,0),0)-IF('ОБЪЕКТЫ'!$B$36=2,IFERROR('ОБЪЕКТЫ'!$B$56*'ОБЪЕКТЫ'!DU50/'ОБЪЕКТЫ'!$B$50,0),0)-IF('ОБЪЕКТЫ'!$B$64=2,IFERROR('ОБЪЕКТЫ'!$B$84*'ОБЪЕКТЫ'!DU78/'ОБЪЕКТЫ'!$B$78,0),0)-DU53-DU57-DU21</x:f>
      </x:c>
      <x:c r="DV22" s="117">
        <x:f>DV10-IFERROR((SUM($D$20:$GA$20)-'ОБЪЕКТЫ'!$B$104)*('Продажи'!DV37+'Продажи'!DV40+'Продажи'!DV43+'Продажи'!DV46)/(SUM('Продажи'!$D$37:$GA$37)+SUM('Продажи'!$D$40:$GA$40)+SUM('Продажи'!$D$43:$GA$43)+SUM('Продажи'!$D$46:$GA$46)),0)-IF('ОБЪЕКТЫ'!$B$8=2,IFERROR('ОБЪЕКТЫ'!$B$28*'ОБЪЕКТЫ'!DV22/'ОБЪЕКТЫ'!$B$22,0),0)-IF('ОБЪЕКТЫ'!$B$36=2,IFERROR('ОБЪЕКТЫ'!$B$56*'ОБЪЕКТЫ'!DV50/'ОБЪЕКТЫ'!$B$50,0),0)-IF('ОБЪЕКТЫ'!$B$64=2,IFERROR('ОБЪЕКТЫ'!$B$84*'ОБЪЕКТЫ'!DV78/'ОБЪЕКТЫ'!$B$78,0),0)-DV53-DV57-DV21</x:f>
      </x:c>
      <x:c r="DW22" s="117">
        <x:f>DW10-IFERROR((SUM($D$20:$GA$20)-'ОБЪЕКТЫ'!$B$104)*('Продажи'!DW37+'Продажи'!DW40+'Продажи'!DW43+'Продажи'!DW46)/(SUM('Продажи'!$D$37:$GA$37)+SUM('Продажи'!$D$40:$GA$40)+SUM('Продажи'!$D$43:$GA$43)+SUM('Продажи'!$D$46:$GA$46)),0)-IF('ОБЪЕКТЫ'!$B$8=2,IFERROR('ОБЪЕКТЫ'!$B$28*'ОБЪЕКТЫ'!DW22/'ОБЪЕКТЫ'!$B$22,0),0)-IF('ОБЪЕКТЫ'!$B$36=2,IFERROR('ОБЪЕКТЫ'!$B$56*'ОБЪЕКТЫ'!DW50/'ОБЪЕКТЫ'!$B$50,0),0)-IF('ОБЪЕКТЫ'!$B$64=2,IFERROR('ОБЪЕКТЫ'!$B$84*'ОБЪЕКТЫ'!DW78/'ОБЪЕКТЫ'!$B$78,0),0)-DW53-DW57-DW21</x:f>
      </x:c>
      <x:c r="DX22" s="117">
        <x:f>DX10-IFERROR((SUM($D$20:$GA$20)-'ОБЪЕКТЫ'!$B$104)*('Продажи'!DX37+'Продажи'!DX40+'Продажи'!DX43+'Продажи'!DX46)/(SUM('Продажи'!$D$37:$GA$37)+SUM('Продажи'!$D$40:$GA$40)+SUM('Продажи'!$D$43:$GA$43)+SUM('Продажи'!$D$46:$GA$46)),0)-IF('ОБЪЕКТЫ'!$B$8=2,IFERROR('ОБЪЕКТЫ'!$B$28*'ОБЪЕКТЫ'!DX22/'ОБЪЕКТЫ'!$B$22,0),0)-IF('ОБЪЕКТЫ'!$B$36=2,IFERROR('ОБЪЕКТЫ'!$B$56*'ОБЪЕКТЫ'!DX50/'ОБЪЕКТЫ'!$B$50,0),0)-IF('ОБЪЕКТЫ'!$B$64=2,IFERROR('ОБЪЕКТЫ'!$B$84*'ОБЪЕКТЫ'!DX78/'ОБЪЕКТЫ'!$B$78,0),0)-DX53-DX57-DX21</x:f>
      </x:c>
      <x:c r="DY22" s="117">
        <x:f>DY10-IFERROR((SUM($D$20:$GA$20)-'ОБЪЕКТЫ'!$B$104)*('Продажи'!DY37+'Продажи'!DY40+'Продажи'!DY43+'Продажи'!DY46)/(SUM('Продажи'!$D$37:$GA$37)+SUM('Продажи'!$D$40:$GA$40)+SUM('Продажи'!$D$43:$GA$43)+SUM('Продажи'!$D$46:$GA$46)),0)-IF('ОБЪЕКТЫ'!$B$8=2,IFERROR('ОБЪЕКТЫ'!$B$28*'ОБЪЕКТЫ'!DY22/'ОБЪЕКТЫ'!$B$22,0),0)-IF('ОБЪЕКТЫ'!$B$36=2,IFERROR('ОБЪЕКТЫ'!$B$56*'ОБЪЕКТЫ'!DY50/'ОБЪЕКТЫ'!$B$50,0),0)-IF('ОБЪЕКТЫ'!$B$64=2,IFERROR('ОБЪЕКТЫ'!$B$84*'ОБЪЕКТЫ'!DY78/'ОБЪЕКТЫ'!$B$78,0),0)-DY53-DY57-DY21</x:f>
      </x:c>
      <x:c r="DZ22" s="117">
        <x:f>DZ10-IFERROR((SUM($D$20:$GA$20)-'ОБЪЕКТЫ'!$B$104)*('Продажи'!DZ37+'Продажи'!DZ40+'Продажи'!DZ43+'Продажи'!DZ46)/(SUM('Продажи'!$D$37:$GA$37)+SUM('Продажи'!$D$40:$GA$40)+SUM('Продажи'!$D$43:$GA$43)+SUM('Продажи'!$D$46:$GA$46)),0)-IF('ОБЪЕКТЫ'!$B$8=2,IFERROR('ОБЪЕКТЫ'!$B$28*'ОБЪЕКТЫ'!DZ22/'ОБЪЕКТЫ'!$B$22,0),0)-IF('ОБЪЕКТЫ'!$B$36=2,IFERROR('ОБЪЕКТЫ'!$B$56*'ОБЪЕКТЫ'!DZ50/'ОБЪЕКТЫ'!$B$50,0),0)-IF('ОБЪЕКТЫ'!$B$64=2,IFERROR('ОБЪЕКТЫ'!$B$84*'ОБЪЕКТЫ'!DZ78/'ОБЪЕКТЫ'!$B$78,0),0)-DZ53-DZ57-DZ21</x:f>
      </x:c>
      <x:c r="EA22" s="117">
        <x:f>EA10-IFERROR((SUM($D$20:$GA$20)-'ОБЪЕКТЫ'!$B$104)*('Продажи'!EA37+'Продажи'!EA40+'Продажи'!EA43+'Продажи'!EA46)/(SUM('Продажи'!$D$37:$GA$37)+SUM('Продажи'!$D$40:$GA$40)+SUM('Продажи'!$D$43:$GA$43)+SUM('Продажи'!$D$46:$GA$46)),0)-IF('ОБЪЕКТЫ'!$B$8=2,IFERROR('ОБЪЕКТЫ'!$B$28*'ОБЪЕКТЫ'!EA22/'ОБЪЕКТЫ'!$B$22,0),0)-IF('ОБЪЕКТЫ'!$B$36=2,IFERROR('ОБЪЕКТЫ'!$B$56*'ОБЪЕКТЫ'!EA50/'ОБЪЕКТЫ'!$B$50,0),0)-IF('ОБЪЕКТЫ'!$B$64=2,IFERROR('ОБЪЕКТЫ'!$B$84*'ОБЪЕКТЫ'!EA78/'ОБЪЕКТЫ'!$B$78,0),0)-EA53-EA57-EA21</x:f>
      </x:c>
      <x:c r="EB22" s="117">
        <x:f>EB10-IFERROR((SUM($D$20:$GA$20)-'ОБЪЕКТЫ'!$B$104)*('Продажи'!EB37+'Продажи'!EB40+'Продажи'!EB43+'Продажи'!EB46)/(SUM('Продажи'!$D$37:$GA$37)+SUM('Продажи'!$D$40:$GA$40)+SUM('Продажи'!$D$43:$GA$43)+SUM('Продажи'!$D$46:$GA$46)),0)-IF('ОБЪЕКТЫ'!$B$8=2,IFERROR('ОБЪЕКТЫ'!$B$28*'ОБЪЕКТЫ'!EB22/'ОБЪЕКТЫ'!$B$22,0),0)-IF('ОБЪЕКТЫ'!$B$36=2,IFERROR('ОБЪЕКТЫ'!$B$56*'ОБЪЕКТЫ'!EB50/'ОБЪЕКТЫ'!$B$50,0),0)-IF('ОБЪЕКТЫ'!$B$64=2,IFERROR('ОБЪЕКТЫ'!$B$84*'ОБЪЕКТЫ'!EB78/'ОБЪЕКТЫ'!$B$78,0),0)-EB53-EB57-EB21</x:f>
      </x:c>
      <x:c r="EC22" s="117">
        <x:f>EC10-IFERROR((SUM($D$20:$GA$20)-'ОБЪЕКТЫ'!$B$104)*('Продажи'!EC37+'Продажи'!EC40+'Продажи'!EC43+'Продажи'!EC46)/(SUM('Продажи'!$D$37:$GA$37)+SUM('Продажи'!$D$40:$GA$40)+SUM('Продажи'!$D$43:$GA$43)+SUM('Продажи'!$D$46:$GA$46)),0)-IF('ОБЪЕКТЫ'!$B$8=2,IFERROR('ОБЪЕКТЫ'!$B$28*'ОБЪЕКТЫ'!EC22/'ОБЪЕКТЫ'!$B$22,0),0)-IF('ОБЪЕКТЫ'!$B$36=2,IFERROR('ОБЪЕКТЫ'!$B$56*'ОБЪЕКТЫ'!EC50/'ОБЪЕКТЫ'!$B$50,0),0)-IF('ОБЪЕКТЫ'!$B$64=2,IFERROR('ОБЪЕКТЫ'!$B$84*'ОБЪЕКТЫ'!EC78/'ОБЪЕКТЫ'!$B$78,0),0)-EC53-EC57-EC21</x:f>
      </x:c>
      <x:c r="ED22" s="117">
        <x:f>ED10-IFERROR((SUM($D$20:$GA$20)-'ОБЪЕКТЫ'!$B$104)*('Продажи'!ED37+'Продажи'!ED40+'Продажи'!ED43+'Продажи'!ED46)/(SUM('Продажи'!$D$37:$GA$37)+SUM('Продажи'!$D$40:$GA$40)+SUM('Продажи'!$D$43:$GA$43)+SUM('Продажи'!$D$46:$GA$46)),0)-IF('ОБЪЕКТЫ'!$B$8=2,IFERROR('ОБЪЕКТЫ'!$B$28*'ОБЪЕКТЫ'!ED22/'ОБЪЕКТЫ'!$B$22,0),0)-IF('ОБЪЕКТЫ'!$B$36=2,IFERROR('ОБЪЕКТЫ'!$B$56*'ОБЪЕКТЫ'!ED50/'ОБЪЕКТЫ'!$B$50,0),0)-IF('ОБЪЕКТЫ'!$B$64=2,IFERROR('ОБЪЕКТЫ'!$B$84*'ОБЪЕКТЫ'!ED78/'ОБЪЕКТЫ'!$B$78,0),0)-ED53-ED57-ED21</x:f>
      </x:c>
      <x:c r="EE22" s="117">
        <x:f>EE10-IFERROR((SUM($D$20:$GA$20)-'ОБЪЕКТЫ'!$B$104)*('Продажи'!EE37+'Продажи'!EE40+'Продажи'!EE43+'Продажи'!EE46)/(SUM('Продажи'!$D$37:$GA$37)+SUM('Продажи'!$D$40:$GA$40)+SUM('Продажи'!$D$43:$GA$43)+SUM('Продажи'!$D$46:$GA$46)),0)-IF('ОБЪЕКТЫ'!$B$8=2,IFERROR('ОБЪЕКТЫ'!$B$28*'ОБЪЕКТЫ'!EE22/'ОБЪЕКТЫ'!$B$22,0),0)-IF('ОБЪЕКТЫ'!$B$36=2,IFERROR('ОБЪЕКТЫ'!$B$56*'ОБЪЕКТЫ'!EE50/'ОБЪЕКТЫ'!$B$50,0),0)-IF('ОБЪЕКТЫ'!$B$64=2,IFERROR('ОБЪЕКТЫ'!$B$84*'ОБЪЕКТЫ'!EE78/'ОБЪЕКТЫ'!$B$78,0),0)-EE53-EE57-EE21</x:f>
      </x:c>
      <x:c r="EF22" s="117">
        <x:f>EF10-IFERROR((SUM($D$20:$GA$20)-'ОБЪЕКТЫ'!$B$104)*('Продажи'!EF37+'Продажи'!EF40+'Продажи'!EF43+'Продажи'!EF46)/(SUM('Продажи'!$D$37:$GA$37)+SUM('Продажи'!$D$40:$GA$40)+SUM('Продажи'!$D$43:$GA$43)+SUM('Продажи'!$D$46:$GA$46)),0)-IF('ОБЪЕКТЫ'!$B$8=2,IFERROR('ОБЪЕКТЫ'!$B$28*'ОБЪЕКТЫ'!EF22/'ОБЪЕКТЫ'!$B$22,0),0)-IF('ОБЪЕКТЫ'!$B$36=2,IFERROR('ОБЪЕКТЫ'!$B$56*'ОБЪЕКТЫ'!EF50/'ОБЪЕКТЫ'!$B$50,0),0)-IF('ОБЪЕКТЫ'!$B$64=2,IFERROR('ОБЪЕКТЫ'!$B$84*'ОБЪЕКТЫ'!EF78/'ОБЪЕКТЫ'!$B$78,0),0)-EF53-EF57-EF21</x:f>
      </x:c>
      <x:c r="EG22" s="117">
        <x:f>EG10-IFERROR((SUM($D$20:$GA$20)-'ОБЪЕКТЫ'!$B$104)*('Продажи'!EG37+'Продажи'!EG40+'Продажи'!EG43+'Продажи'!EG46)/(SUM('Продажи'!$D$37:$GA$37)+SUM('Продажи'!$D$40:$GA$40)+SUM('Продажи'!$D$43:$GA$43)+SUM('Продажи'!$D$46:$GA$46)),0)-IF('ОБЪЕКТЫ'!$B$8=2,IFERROR('ОБЪЕКТЫ'!$B$28*'ОБЪЕКТЫ'!EG22/'ОБЪЕКТЫ'!$B$22,0),0)-IF('ОБЪЕКТЫ'!$B$36=2,IFERROR('ОБЪЕКТЫ'!$B$56*'ОБЪЕКТЫ'!EG50/'ОБЪЕКТЫ'!$B$50,0),0)-IF('ОБЪЕКТЫ'!$B$64=2,IFERROR('ОБЪЕКТЫ'!$B$84*'ОБЪЕКТЫ'!EG78/'ОБЪЕКТЫ'!$B$78,0),0)-EG53-EG57-EG21</x:f>
      </x:c>
      <x:c r="EH22" s="117">
        <x:f>EH10-IFERROR((SUM($D$20:$GA$20)-'ОБЪЕКТЫ'!$B$104)*('Продажи'!EH37+'Продажи'!EH40+'Продажи'!EH43+'Продажи'!EH46)/(SUM('Продажи'!$D$37:$GA$37)+SUM('Продажи'!$D$40:$GA$40)+SUM('Продажи'!$D$43:$GA$43)+SUM('Продажи'!$D$46:$GA$46)),0)-IF('ОБЪЕКТЫ'!$B$8=2,IFERROR('ОБЪЕКТЫ'!$B$28*'ОБЪЕКТЫ'!EH22/'ОБЪЕКТЫ'!$B$22,0),0)-IF('ОБЪЕКТЫ'!$B$36=2,IFERROR('ОБЪЕКТЫ'!$B$56*'ОБЪЕКТЫ'!EH50/'ОБЪЕКТЫ'!$B$50,0),0)-IF('ОБЪЕКТЫ'!$B$64=2,IFERROR('ОБЪЕКТЫ'!$B$84*'ОБЪЕКТЫ'!EH78/'ОБЪЕКТЫ'!$B$78,0),0)-EH53-EH57-EH21</x:f>
      </x:c>
      <x:c r="EI22" s="117">
        <x:f>EI10-IFERROR((SUM($D$20:$GA$20)-'ОБЪЕКТЫ'!$B$104)*('Продажи'!EI37+'Продажи'!EI40+'Продажи'!EI43+'Продажи'!EI46)/(SUM('Продажи'!$D$37:$GA$37)+SUM('Продажи'!$D$40:$GA$40)+SUM('Продажи'!$D$43:$GA$43)+SUM('Продажи'!$D$46:$GA$46)),0)-IF('ОБЪЕКТЫ'!$B$8=2,IFERROR('ОБЪЕКТЫ'!$B$28*'ОБЪЕКТЫ'!EI22/'ОБЪЕКТЫ'!$B$22,0),0)-IF('ОБЪЕКТЫ'!$B$36=2,IFERROR('ОБЪЕКТЫ'!$B$56*'ОБЪЕКТЫ'!EI50/'ОБЪЕКТЫ'!$B$50,0),0)-IF('ОБЪЕКТЫ'!$B$64=2,IFERROR('ОБЪЕКТЫ'!$B$84*'ОБЪЕКТЫ'!EI78/'ОБЪЕКТЫ'!$B$78,0),0)-EI53-EI57-EI21</x:f>
      </x:c>
      <x:c r="EJ22" s="117">
        <x:f>EJ10-IFERROR((SUM($D$20:$GA$20)-'ОБЪЕКТЫ'!$B$104)*('Продажи'!EJ37+'Продажи'!EJ40+'Продажи'!EJ43+'Продажи'!EJ46)/(SUM('Продажи'!$D$37:$GA$37)+SUM('Продажи'!$D$40:$GA$40)+SUM('Продажи'!$D$43:$GA$43)+SUM('Продажи'!$D$46:$GA$46)),0)-IF('ОБЪЕКТЫ'!$B$8=2,IFERROR('ОБЪЕКТЫ'!$B$28*'ОБЪЕКТЫ'!EJ22/'ОБЪЕКТЫ'!$B$22,0),0)-IF('ОБЪЕКТЫ'!$B$36=2,IFERROR('ОБЪЕКТЫ'!$B$56*'ОБЪЕКТЫ'!EJ50/'ОБЪЕКТЫ'!$B$50,0),0)-IF('ОБЪЕКТЫ'!$B$64=2,IFERROR('ОБЪЕКТЫ'!$B$84*'ОБЪЕКТЫ'!EJ78/'ОБЪЕКТЫ'!$B$78,0),0)-EJ53-EJ57-EJ21</x:f>
      </x:c>
      <x:c r="EK22" s="117">
        <x:f>EK10-IFERROR((SUM($D$20:$GA$20)-'ОБЪЕКТЫ'!$B$104)*('Продажи'!EK37+'Продажи'!EK40+'Продажи'!EK43+'Продажи'!EK46)/(SUM('Продажи'!$D$37:$GA$37)+SUM('Продажи'!$D$40:$GA$40)+SUM('Продажи'!$D$43:$GA$43)+SUM('Продажи'!$D$46:$GA$46)),0)-IF('ОБЪЕКТЫ'!$B$8=2,IFERROR('ОБЪЕКТЫ'!$B$28*'ОБЪЕКТЫ'!EK22/'ОБЪЕКТЫ'!$B$22,0),0)-IF('ОБЪЕКТЫ'!$B$36=2,IFERROR('ОБЪЕКТЫ'!$B$56*'ОБЪЕКТЫ'!EK50/'ОБЪЕКТЫ'!$B$50,0),0)-IF('ОБЪЕКТЫ'!$B$64=2,IFERROR('ОБЪЕКТЫ'!$B$84*'ОБЪЕКТЫ'!EK78/'ОБЪЕКТЫ'!$B$78,0),0)-EK53-EK57-EK21</x:f>
      </x:c>
      <x:c r="EL22" s="117">
        <x:f>EL10-IFERROR((SUM($D$20:$GA$20)-'ОБЪЕКТЫ'!$B$104)*('Продажи'!EL37+'Продажи'!EL40+'Продажи'!EL43+'Продажи'!EL46)/(SUM('Продажи'!$D$37:$GA$37)+SUM('Продажи'!$D$40:$GA$40)+SUM('Продажи'!$D$43:$GA$43)+SUM('Продажи'!$D$46:$GA$46)),0)-IF('ОБЪЕКТЫ'!$B$8=2,IFERROR('ОБЪЕКТЫ'!$B$28*'ОБЪЕКТЫ'!EL22/'ОБЪЕКТЫ'!$B$22,0),0)-IF('ОБЪЕКТЫ'!$B$36=2,IFERROR('ОБЪЕКТЫ'!$B$56*'ОБЪЕКТЫ'!EL50/'ОБЪЕКТЫ'!$B$50,0),0)-IF('ОБЪЕКТЫ'!$B$64=2,IFERROR('ОБЪЕКТЫ'!$B$84*'ОБЪЕКТЫ'!EL78/'ОБЪЕКТЫ'!$B$78,0),0)-EL53-EL57-EL21</x:f>
      </x:c>
      <x:c r="EM22" s="117">
        <x:f>EM10-IFERROR((SUM($D$20:$GA$20)-'ОБЪЕКТЫ'!$B$104)*('Продажи'!EM37+'Продажи'!EM40+'Продажи'!EM43+'Продажи'!EM46)/(SUM('Продажи'!$D$37:$GA$37)+SUM('Продажи'!$D$40:$GA$40)+SUM('Продажи'!$D$43:$GA$43)+SUM('Продажи'!$D$46:$GA$46)),0)-IF('ОБЪЕКТЫ'!$B$8=2,IFERROR('ОБЪЕКТЫ'!$B$28*'ОБЪЕКТЫ'!EM22/'ОБЪЕКТЫ'!$B$22,0),0)-IF('ОБЪЕКТЫ'!$B$36=2,IFERROR('ОБЪЕКТЫ'!$B$56*'ОБЪЕКТЫ'!EM50/'ОБЪЕКТЫ'!$B$50,0),0)-IF('ОБЪЕКТЫ'!$B$64=2,IFERROR('ОБЪЕКТЫ'!$B$84*'ОБЪЕКТЫ'!EM78/'ОБЪЕКТЫ'!$B$78,0),0)-EM53-EM57-EM21</x:f>
      </x:c>
      <x:c r="EN22" s="117">
        <x:f>EN10-IFERROR((SUM($D$20:$GA$20)-'ОБЪЕКТЫ'!$B$104)*('Продажи'!EN37+'Продажи'!EN40+'Продажи'!EN43+'Продажи'!EN46)/(SUM('Продажи'!$D$37:$GA$37)+SUM('Продажи'!$D$40:$GA$40)+SUM('Продажи'!$D$43:$GA$43)+SUM('Продажи'!$D$46:$GA$46)),0)-IF('ОБЪЕКТЫ'!$B$8=2,IFERROR('ОБЪЕКТЫ'!$B$28*'ОБЪЕКТЫ'!EN22/'ОБЪЕКТЫ'!$B$22,0),0)-IF('ОБЪЕКТЫ'!$B$36=2,IFERROR('ОБЪЕКТЫ'!$B$56*'ОБЪЕКТЫ'!EN50/'ОБЪЕКТЫ'!$B$50,0),0)-IF('ОБЪЕКТЫ'!$B$64=2,IFERROR('ОБЪЕКТЫ'!$B$84*'ОБЪЕКТЫ'!EN78/'ОБЪЕКТЫ'!$B$78,0),0)-EN53-EN57-EN21</x:f>
      </x:c>
      <x:c r="EO22" s="117">
        <x:f>EO10-IFERROR((SUM($D$20:$GA$20)-'ОБЪЕКТЫ'!$B$104)*('Продажи'!EO37+'Продажи'!EO40+'Продажи'!EO43+'Продажи'!EO46)/(SUM('Продажи'!$D$37:$GA$37)+SUM('Продажи'!$D$40:$GA$40)+SUM('Продажи'!$D$43:$GA$43)+SUM('Продажи'!$D$46:$GA$46)),0)-IF('ОБЪЕКТЫ'!$B$8=2,IFERROR('ОБЪЕКТЫ'!$B$28*'ОБЪЕКТЫ'!EO22/'ОБЪЕКТЫ'!$B$22,0),0)-IF('ОБЪЕКТЫ'!$B$36=2,IFERROR('ОБЪЕКТЫ'!$B$56*'ОБЪЕКТЫ'!EO50/'ОБЪЕКТЫ'!$B$50,0),0)-IF('ОБЪЕКТЫ'!$B$64=2,IFERROR('ОБЪЕКТЫ'!$B$84*'ОБЪЕКТЫ'!EO78/'ОБЪЕКТЫ'!$B$78,0),0)-EO53-EO57-EO21</x:f>
      </x:c>
      <x:c r="EP22" s="117">
        <x:f>EP10-IFERROR((SUM($D$20:$GA$20)-'ОБЪЕКТЫ'!$B$104)*('Продажи'!EP37+'Продажи'!EP40+'Продажи'!EP43+'Продажи'!EP46)/(SUM('Продажи'!$D$37:$GA$37)+SUM('Продажи'!$D$40:$GA$40)+SUM('Продажи'!$D$43:$GA$43)+SUM('Продажи'!$D$46:$GA$46)),0)-IF('ОБЪЕКТЫ'!$B$8=2,IFERROR('ОБЪЕКТЫ'!$B$28*'ОБЪЕКТЫ'!EP22/'ОБЪЕКТЫ'!$B$22,0),0)-IF('ОБЪЕКТЫ'!$B$36=2,IFERROR('ОБЪЕКТЫ'!$B$56*'ОБЪЕКТЫ'!EP50/'ОБЪЕКТЫ'!$B$50,0),0)-IF('ОБЪЕКТЫ'!$B$64=2,IFERROR('ОБЪЕКТЫ'!$B$84*'ОБЪЕКТЫ'!EP78/'ОБЪЕКТЫ'!$B$78,0),0)-EP53-EP57-EP21</x:f>
      </x:c>
      <x:c r="EQ22" s="117">
        <x:f>EQ10-IFERROR((SUM($D$20:$GA$20)-'ОБЪЕКТЫ'!$B$104)*('Продажи'!EQ37+'Продажи'!EQ40+'Продажи'!EQ43+'Продажи'!EQ46)/(SUM('Продажи'!$D$37:$GA$37)+SUM('Продажи'!$D$40:$GA$40)+SUM('Продажи'!$D$43:$GA$43)+SUM('Продажи'!$D$46:$GA$46)),0)-IF('ОБЪЕКТЫ'!$B$8=2,IFERROR('ОБЪЕКТЫ'!$B$28*'ОБЪЕКТЫ'!EQ22/'ОБЪЕКТЫ'!$B$22,0),0)-IF('ОБЪЕКТЫ'!$B$36=2,IFERROR('ОБЪЕКТЫ'!$B$56*'ОБЪЕКТЫ'!EQ50/'ОБЪЕКТЫ'!$B$50,0),0)-IF('ОБЪЕКТЫ'!$B$64=2,IFERROR('ОБЪЕКТЫ'!$B$84*'ОБЪЕКТЫ'!EQ78/'ОБЪЕКТЫ'!$B$78,0),0)-EQ53-EQ57-EQ21</x:f>
      </x:c>
      <x:c r="ER22" s="117">
        <x:f>ER10-IFERROR((SUM($D$20:$GA$20)-'ОБЪЕКТЫ'!$B$104)*('Продажи'!ER37+'Продажи'!ER40+'Продажи'!ER43+'Продажи'!ER46)/(SUM('Продажи'!$D$37:$GA$37)+SUM('Продажи'!$D$40:$GA$40)+SUM('Продажи'!$D$43:$GA$43)+SUM('Продажи'!$D$46:$GA$46)),0)-IF('ОБЪЕКТЫ'!$B$8=2,IFERROR('ОБЪЕКТЫ'!$B$28*'ОБЪЕКТЫ'!ER22/'ОБЪЕКТЫ'!$B$22,0),0)-IF('ОБЪЕКТЫ'!$B$36=2,IFERROR('ОБЪЕКТЫ'!$B$56*'ОБЪЕКТЫ'!ER50/'ОБЪЕКТЫ'!$B$50,0),0)-IF('ОБЪЕКТЫ'!$B$64=2,IFERROR('ОБЪЕКТЫ'!$B$84*'ОБЪЕКТЫ'!ER78/'ОБЪЕКТЫ'!$B$78,0),0)-ER53-ER57-ER21</x:f>
      </x:c>
      <x:c r="ES22" s="117">
        <x:f>ES10-IFERROR((SUM($D$20:$GA$20)-'ОБЪЕКТЫ'!$B$104)*('Продажи'!ES37+'Продажи'!ES40+'Продажи'!ES43+'Продажи'!ES46)/(SUM('Продажи'!$D$37:$GA$37)+SUM('Продажи'!$D$40:$GA$40)+SUM('Продажи'!$D$43:$GA$43)+SUM('Продажи'!$D$46:$GA$46)),0)-IF('ОБЪЕКТЫ'!$B$8=2,IFERROR('ОБЪЕКТЫ'!$B$28*'ОБЪЕКТЫ'!ES22/'ОБЪЕКТЫ'!$B$22,0),0)-IF('ОБЪЕКТЫ'!$B$36=2,IFERROR('ОБЪЕКТЫ'!$B$56*'ОБЪЕКТЫ'!ES50/'ОБЪЕКТЫ'!$B$50,0),0)-IF('ОБЪЕКТЫ'!$B$64=2,IFERROR('ОБЪЕКТЫ'!$B$84*'ОБЪЕКТЫ'!ES78/'ОБЪЕКТЫ'!$B$78,0),0)-ES53-ES57-ES21</x:f>
      </x:c>
      <x:c r="ET22" s="117">
        <x:f>ET10-IFERROR((SUM($D$20:$GA$20)-'ОБЪЕКТЫ'!$B$104)*('Продажи'!ET37+'Продажи'!ET40+'Продажи'!ET43+'Продажи'!ET46)/(SUM('Продажи'!$D$37:$GA$37)+SUM('Продажи'!$D$40:$GA$40)+SUM('Продажи'!$D$43:$GA$43)+SUM('Продажи'!$D$46:$GA$46)),0)-IF('ОБЪЕКТЫ'!$B$8=2,IFERROR('ОБЪЕКТЫ'!$B$28*'ОБЪЕКТЫ'!ET22/'ОБЪЕКТЫ'!$B$22,0),0)-IF('ОБЪЕКТЫ'!$B$36=2,IFERROR('ОБЪЕКТЫ'!$B$56*'ОБЪЕКТЫ'!ET50/'ОБЪЕКТЫ'!$B$50,0),0)-IF('ОБЪЕКТЫ'!$B$64=2,IFERROR('ОБЪЕКТЫ'!$B$84*'ОБЪЕКТЫ'!ET78/'ОБЪЕКТЫ'!$B$78,0),0)-ET53-ET57-ET21</x:f>
      </x:c>
      <x:c r="EU22" s="117">
        <x:f>EU10-IFERROR((SUM($D$20:$GA$20)-'ОБЪЕКТЫ'!$B$104)*('Продажи'!EU37+'Продажи'!EU40+'Продажи'!EU43+'Продажи'!EU46)/(SUM('Продажи'!$D$37:$GA$37)+SUM('Продажи'!$D$40:$GA$40)+SUM('Продажи'!$D$43:$GA$43)+SUM('Продажи'!$D$46:$GA$46)),0)-IF('ОБЪЕКТЫ'!$B$8=2,IFERROR('ОБЪЕКТЫ'!$B$28*'ОБЪЕКТЫ'!EU22/'ОБЪЕКТЫ'!$B$22,0),0)-IF('ОБЪЕКТЫ'!$B$36=2,IFERROR('ОБЪЕКТЫ'!$B$56*'ОБЪЕКТЫ'!EU50/'ОБЪЕКТЫ'!$B$50,0),0)-IF('ОБЪЕКТЫ'!$B$64=2,IFERROR('ОБЪЕКТЫ'!$B$84*'ОБЪЕКТЫ'!EU78/'ОБЪЕКТЫ'!$B$78,0),0)-EU53-EU57-EU21</x:f>
      </x:c>
      <x:c r="EV22" s="117">
        <x:f>EV10-IFERROR((SUM($D$20:$GA$20)-'ОБЪЕКТЫ'!$B$104)*('Продажи'!EV37+'Продажи'!EV40+'Продажи'!EV43+'Продажи'!EV46)/(SUM('Продажи'!$D$37:$GA$37)+SUM('Продажи'!$D$40:$GA$40)+SUM('Продажи'!$D$43:$GA$43)+SUM('Продажи'!$D$46:$GA$46)),0)-IF('ОБЪЕКТЫ'!$B$8=2,IFERROR('ОБЪЕКТЫ'!$B$28*'ОБЪЕКТЫ'!EV22/'ОБЪЕКТЫ'!$B$22,0),0)-IF('ОБЪЕКТЫ'!$B$36=2,IFERROR('ОБЪЕКТЫ'!$B$56*'ОБЪЕКТЫ'!EV50/'ОБЪЕКТЫ'!$B$50,0),0)-IF('ОБЪЕКТЫ'!$B$64=2,IFERROR('ОБЪЕКТЫ'!$B$84*'ОБЪЕКТЫ'!EV78/'ОБЪЕКТЫ'!$B$78,0),0)-EV53-EV57-EV21</x:f>
      </x:c>
      <x:c r="EW22" s="117">
        <x:f>EW10-IFERROR((SUM($D$20:$GA$20)-'ОБЪЕКТЫ'!$B$104)*('Продажи'!EW37+'Продажи'!EW40+'Продажи'!EW43+'Продажи'!EW46)/(SUM('Продажи'!$D$37:$GA$37)+SUM('Продажи'!$D$40:$GA$40)+SUM('Продажи'!$D$43:$GA$43)+SUM('Продажи'!$D$46:$GA$46)),0)-IF('ОБЪЕКТЫ'!$B$8=2,IFERROR('ОБЪЕКТЫ'!$B$28*'ОБЪЕКТЫ'!EW22/'ОБЪЕКТЫ'!$B$22,0),0)-IF('ОБЪЕКТЫ'!$B$36=2,IFERROR('ОБЪЕКТЫ'!$B$56*'ОБЪЕКТЫ'!EW50/'ОБЪЕКТЫ'!$B$50,0),0)-IF('ОБЪЕКТЫ'!$B$64=2,IFERROR('ОБЪЕКТЫ'!$B$84*'ОБЪЕКТЫ'!EW78/'ОБЪЕКТЫ'!$B$78,0),0)-EW53-EW57-EW21</x:f>
      </x:c>
      <x:c r="EX22" s="117">
        <x:f>EX10-IFERROR((SUM($D$20:$GA$20)-'ОБЪЕКТЫ'!$B$104)*('Продажи'!EX37+'Продажи'!EX40+'Продажи'!EX43+'Продажи'!EX46)/(SUM('Продажи'!$D$37:$GA$37)+SUM('Продажи'!$D$40:$GA$40)+SUM('Продажи'!$D$43:$GA$43)+SUM('Продажи'!$D$46:$GA$46)),0)-IF('ОБЪЕКТЫ'!$B$8=2,IFERROR('ОБЪЕКТЫ'!$B$28*'ОБЪЕКТЫ'!EX22/'ОБЪЕКТЫ'!$B$22,0),0)-IF('ОБЪЕКТЫ'!$B$36=2,IFERROR('ОБЪЕКТЫ'!$B$56*'ОБЪЕКТЫ'!EX50/'ОБЪЕКТЫ'!$B$50,0),0)-IF('ОБЪЕКТЫ'!$B$64=2,IFERROR('ОБЪЕКТЫ'!$B$84*'ОБЪЕКТЫ'!EX78/'ОБЪЕКТЫ'!$B$78,0),0)-EX53-EX57-EX21</x:f>
      </x:c>
      <x:c r="EY22" s="117">
        <x:f>EY10-IFERROR((SUM($D$20:$GA$20)-'ОБЪЕКТЫ'!$B$104)*('Продажи'!EY37+'Продажи'!EY40+'Продажи'!EY43+'Продажи'!EY46)/(SUM('Продажи'!$D$37:$GA$37)+SUM('Продажи'!$D$40:$GA$40)+SUM('Продажи'!$D$43:$GA$43)+SUM('Продажи'!$D$46:$GA$46)),0)-IF('ОБЪЕКТЫ'!$B$8=2,IFERROR('ОБЪЕКТЫ'!$B$28*'ОБЪЕКТЫ'!EY22/'ОБЪЕКТЫ'!$B$22,0),0)-IF('ОБЪЕКТЫ'!$B$36=2,IFERROR('ОБЪЕКТЫ'!$B$56*'ОБЪЕКТЫ'!EY50/'ОБЪЕКТЫ'!$B$50,0),0)-IF('ОБЪЕКТЫ'!$B$64=2,IFERROR('ОБЪЕКТЫ'!$B$84*'ОБЪЕКТЫ'!EY78/'ОБЪЕКТЫ'!$B$78,0),0)-EY53-EY57-EY21</x:f>
      </x:c>
      <x:c r="EZ22" s="117">
        <x:f>EZ10-IFERROR((SUM($D$20:$GA$20)-'ОБЪЕКТЫ'!$B$104)*('Продажи'!EZ37+'Продажи'!EZ40+'Продажи'!EZ43+'Продажи'!EZ46)/(SUM('Продажи'!$D$37:$GA$37)+SUM('Продажи'!$D$40:$GA$40)+SUM('Продажи'!$D$43:$GA$43)+SUM('Продажи'!$D$46:$GA$46)),0)-IF('ОБЪЕКТЫ'!$B$8=2,IFERROR('ОБЪЕКТЫ'!$B$28*'ОБЪЕКТЫ'!EZ22/'ОБЪЕКТЫ'!$B$22,0),0)-IF('ОБЪЕКТЫ'!$B$36=2,IFERROR('ОБЪЕКТЫ'!$B$56*'ОБЪЕКТЫ'!EZ50/'ОБЪЕКТЫ'!$B$50,0),0)-IF('ОБЪЕКТЫ'!$B$64=2,IFERROR('ОБЪЕКТЫ'!$B$84*'ОБЪЕКТЫ'!EZ78/'ОБЪЕКТЫ'!$B$78,0),0)-EZ53-EZ57-EZ21</x:f>
      </x:c>
      <x:c r="FA22" s="117">
        <x:f>FA10-IFERROR((SUM($D$20:$GA$20)-'ОБЪЕКТЫ'!$B$104)*('Продажи'!FA37+'Продажи'!FA40+'Продажи'!FA43+'Продажи'!FA46)/(SUM('Продажи'!$D$37:$GA$37)+SUM('Продажи'!$D$40:$GA$40)+SUM('Продажи'!$D$43:$GA$43)+SUM('Продажи'!$D$46:$GA$46)),0)-IF('ОБЪЕКТЫ'!$B$8=2,IFERROR('ОБЪЕКТЫ'!$B$28*'ОБЪЕКТЫ'!FA22/'ОБЪЕКТЫ'!$B$22,0),0)-IF('ОБЪЕКТЫ'!$B$36=2,IFERROR('ОБЪЕКТЫ'!$B$56*'ОБЪЕКТЫ'!FA50/'ОБЪЕКТЫ'!$B$50,0),0)-IF('ОБЪЕКТЫ'!$B$64=2,IFERROR('ОБЪЕКТЫ'!$B$84*'ОБЪЕКТЫ'!FA78/'ОБЪЕКТЫ'!$B$78,0),0)-FA53-FA57-FA21</x:f>
      </x:c>
      <x:c r="FB22" s="117">
        <x:f>FB10-IFERROR((SUM($D$20:$GA$20)-'ОБЪЕКТЫ'!$B$104)*('Продажи'!FB37+'Продажи'!FB40+'Продажи'!FB43+'Продажи'!FB46)/(SUM('Продажи'!$D$37:$GA$37)+SUM('Продажи'!$D$40:$GA$40)+SUM('Продажи'!$D$43:$GA$43)+SUM('Продажи'!$D$46:$GA$46)),0)-IF('ОБЪЕКТЫ'!$B$8=2,IFERROR('ОБЪЕКТЫ'!$B$28*'ОБЪЕКТЫ'!FB22/'ОБЪЕКТЫ'!$B$22,0),0)-IF('ОБЪЕКТЫ'!$B$36=2,IFERROR('ОБЪЕКТЫ'!$B$56*'ОБЪЕКТЫ'!FB50/'ОБЪЕКТЫ'!$B$50,0),0)-IF('ОБЪЕКТЫ'!$B$64=2,IFERROR('ОБЪЕКТЫ'!$B$84*'ОБЪЕКТЫ'!FB78/'ОБЪЕКТЫ'!$B$78,0),0)-FB53-FB57-FB21</x:f>
      </x:c>
      <x:c r="FC22" s="117">
        <x:f>FC10-IFERROR((SUM($D$20:$GA$20)-'ОБЪЕКТЫ'!$B$104)*('Продажи'!FC37+'Продажи'!FC40+'Продажи'!FC43+'Продажи'!FC46)/(SUM('Продажи'!$D$37:$GA$37)+SUM('Продажи'!$D$40:$GA$40)+SUM('Продажи'!$D$43:$GA$43)+SUM('Продажи'!$D$46:$GA$46)),0)-IF('ОБЪЕКТЫ'!$B$8=2,IFERROR('ОБЪЕКТЫ'!$B$28*'ОБЪЕКТЫ'!FC22/'ОБЪЕКТЫ'!$B$22,0),0)-IF('ОБЪЕКТЫ'!$B$36=2,IFERROR('ОБЪЕКТЫ'!$B$56*'ОБЪЕКТЫ'!FC50/'ОБЪЕКТЫ'!$B$50,0),0)-IF('ОБЪЕКТЫ'!$B$64=2,IFERROR('ОБЪЕКТЫ'!$B$84*'ОБЪЕКТЫ'!FC78/'ОБЪЕКТЫ'!$B$78,0),0)-FC53-FC57-FC21</x:f>
      </x:c>
      <x:c r="FD22" s="117">
        <x:f>FD10-IFERROR((SUM($D$20:$GA$20)-'ОБЪЕКТЫ'!$B$104)*('Продажи'!FD37+'Продажи'!FD40+'Продажи'!FD43+'Продажи'!FD46)/(SUM('Продажи'!$D$37:$GA$37)+SUM('Продажи'!$D$40:$GA$40)+SUM('Продажи'!$D$43:$GA$43)+SUM('Продажи'!$D$46:$GA$46)),0)-IF('ОБЪЕКТЫ'!$B$8=2,IFERROR('ОБЪЕКТЫ'!$B$28*'ОБЪЕКТЫ'!FD22/'ОБЪЕКТЫ'!$B$22,0),0)-IF('ОБЪЕКТЫ'!$B$36=2,IFERROR('ОБЪЕКТЫ'!$B$56*'ОБЪЕКТЫ'!FD50/'ОБЪЕКТЫ'!$B$50,0),0)-IF('ОБЪЕКТЫ'!$B$64=2,IFERROR('ОБЪЕКТЫ'!$B$84*'ОБЪЕКТЫ'!FD78/'ОБЪЕКТЫ'!$B$78,0),0)-FD53-FD57-FD21</x:f>
      </x:c>
      <x:c r="FE22" s="117">
        <x:f>FE10-IFERROR((SUM($D$20:$GA$20)-'ОБЪЕКТЫ'!$B$104)*('Продажи'!FE37+'Продажи'!FE40+'Продажи'!FE43+'Продажи'!FE46)/(SUM('Продажи'!$D$37:$GA$37)+SUM('Продажи'!$D$40:$GA$40)+SUM('Продажи'!$D$43:$GA$43)+SUM('Продажи'!$D$46:$GA$46)),0)-IF('ОБЪЕКТЫ'!$B$8=2,IFERROR('ОБЪЕКТЫ'!$B$28*'ОБЪЕКТЫ'!FE22/'ОБЪЕКТЫ'!$B$22,0),0)-IF('ОБЪЕКТЫ'!$B$36=2,IFERROR('ОБЪЕКТЫ'!$B$56*'ОБЪЕКТЫ'!FE50/'ОБЪЕКТЫ'!$B$50,0),0)-IF('ОБЪЕКТЫ'!$B$64=2,IFERROR('ОБЪЕКТЫ'!$B$84*'ОБЪЕКТЫ'!FE78/'ОБЪЕКТЫ'!$B$78,0),0)-FE53-FE57-FE21</x:f>
      </x:c>
      <x:c r="FF22" s="117">
        <x:f>FF10-IFERROR((SUM($D$20:$GA$20)-'ОБЪЕКТЫ'!$B$104)*('Продажи'!FF37+'Продажи'!FF40+'Продажи'!FF43+'Продажи'!FF46)/(SUM('Продажи'!$D$37:$GA$37)+SUM('Продажи'!$D$40:$GA$40)+SUM('Продажи'!$D$43:$GA$43)+SUM('Продажи'!$D$46:$GA$46)),0)-IF('ОБЪЕКТЫ'!$B$8=2,IFERROR('ОБЪЕКТЫ'!$B$28*'ОБЪЕКТЫ'!FF22/'ОБЪЕКТЫ'!$B$22,0),0)-IF('ОБЪЕКТЫ'!$B$36=2,IFERROR('ОБЪЕКТЫ'!$B$56*'ОБЪЕКТЫ'!FF50/'ОБЪЕКТЫ'!$B$50,0),0)-IF('ОБЪЕКТЫ'!$B$64=2,IFERROR('ОБЪЕКТЫ'!$B$84*'ОБЪЕКТЫ'!FF78/'ОБЪЕКТЫ'!$B$78,0),0)-FF53-FF57-FF21</x:f>
      </x:c>
      <x:c r="FG22" s="117">
        <x:f>FG10-IFERROR((SUM($D$20:$GA$20)-'ОБЪЕКТЫ'!$B$104)*('Продажи'!FG37+'Продажи'!FG40+'Продажи'!FG43+'Продажи'!FG46)/(SUM('Продажи'!$D$37:$GA$37)+SUM('Продажи'!$D$40:$GA$40)+SUM('Продажи'!$D$43:$GA$43)+SUM('Продажи'!$D$46:$GA$46)),0)-IF('ОБЪЕКТЫ'!$B$8=2,IFERROR('ОБЪЕКТЫ'!$B$28*'ОБЪЕКТЫ'!FG22/'ОБЪЕКТЫ'!$B$22,0),0)-IF('ОБЪЕКТЫ'!$B$36=2,IFERROR('ОБЪЕКТЫ'!$B$56*'ОБЪЕКТЫ'!FG50/'ОБЪЕКТЫ'!$B$50,0),0)-IF('ОБЪЕКТЫ'!$B$64=2,IFERROR('ОБЪЕКТЫ'!$B$84*'ОБЪЕКТЫ'!FG78/'ОБЪЕКТЫ'!$B$78,0),0)-FG53-FG57-FG21</x:f>
      </x:c>
      <x:c r="FH22" s="117">
        <x:f>FH10-IFERROR((SUM($D$20:$GA$20)-'ОБЪЕКТЫ'!$B$104)*('Продажи'!FH37+'Продажи'!FH40+'Продажи'!FH43+'Продажи'!FH46)/(SUM('Продажи'!$D$37:$GA$37)+SUM('Продажи'!$D$40:$GA$40)+SUM('Продажи'!$D$43:$GA$43)+SUM('Продажи'!$D$46:$GA$46)),0)-IF('ОБЪЕКТЫ'!$B$8=2,IFERROR('ОБЪЕКТЫ'!$B$28*'ОБЪЕКТЫ'!FH22/'ОБЪЕКТЫ'!$B$22,0),0)-IF('ОБЪЕКТЫ'!$B$36=2,IFERROR('ОБЪЕКТЫ'!$B$56*'ОБЪЕКТЫ'!FH50/'ОБЪЕКТЫ'!$B$50,0),0)-IF('ОБЪЕКТЫ'!$B$64=2,IFERROR('ОБЪЕКТЫ'!$B$84*'ОБЪЕКТЫ'!FH78/'ОБЪЕКТЫ'!$B$78,0),0)-FH53-FH57-FH21</x:f>
      </x:c>
      <x:c r="FI22" s="117">
        <x:f>FI10-IFERROR((SUM($D$20:$GA$20)-'ОБЪЕКТЫ'!$B$104)*('Продажи'!FI37+'Продажи'!FI40+'Продажи'!FI43+'Продажи'!FI46)/(SUM('Продажи'!$D$37:$GA$37)+SUM('Продажи'!$D$40:$GA$40)+SUM('Продажи'!$D$43:$GA$43)+SUM('Продажи'!$D$46:$GA$46)),0)-IF('ОБЪЕКТЫ'!$B$8=2,IFERROR('ОБЪЕКТЫ'!$B$28*'ОБЪЕКТЫ'!FI22/'ОБЪЕКТЫ'!$B$22,0),0)-IF('ОБЪЕКТЫ'!$B$36=2,IFERROR('ОБЪЕКТЫ'!$B$56*'ОБЪЕКТЫ'!FI50/'ОБЪЕКТЫ'!$B$50,0),0)-IF('ОБЪЕКТЫ'!$B$64=2,IFERROR('ОБЪЕКТЫ'!$B$84*'ОБЪЕКТЫ'!FI78/'ОБЪЕКТЫ'!$B$78,0),0)-FI53-FI57-FI21</x:f>
      </x:c>
      <x:c r="FJ22" s="117">
        <x:f>FJ10-IFERROR((SUM($D$20:$GA$20)-'ОБЪЕКТЫ'!$B$104)*('Продажи'!FJ37+'Продажи'!FJ40+'Продажи'!FJ43+'Продажи'!FJ46)/(SUM('Продажи'!$D$37:$GA$37)+SUM('Продажи'!$D$40:$GA$40)+SUM('Продажи'!$D$43:$GA$43)+SUM('Продажи'!$D$46:$GA$46)),0)-IF('ОБЪЕКТЫ'!$B$8=2,IFERROR('ОБЪЕКТЫ'!$B$28*'ОБЪЕКТЫ'!FJ22/'ОБЪЕКТЫ'!$B$22,0),0)-IF('ОБЪЕКТЫ'!$B$36=2,IFERROR('ОБЪЕКТЫ'!$B$56*'ОБЪЕКТЫ'!FJ50/'ОБЪЕКТЫ'!$B$50,0),0)-IF('ОБЪЕКТЫ'!$B$64=2,IFERROR('ОБЪЕКТЫ'!$B$84*'ОБЪЕКТЫ'!FJ78/'ОБЪЕКТЫ'!$B$78,0),0)-FJ53-FJ57-FJ21</x:f>
      </x:c>
      <x:c r="FK22" s="117">
        <x:f>FK10-IFERROR((SUM($D$20:$GA$20)-'ОБЪЕКТЫ'!$B$104)*('Продажи'!FK37+'Продажи'!FK40+'Продажи'!FK43+'Продажи'!FK46)/(SUM('Продажи'!$D$37:$GA$37)+SUM('Продажи'!$D$40:$GA$40)+SUM('Продажи'!$D$43:$GA$43)+SUM('Продажи'!$D$46:$GA$46)),0)-IF('ОБЪЕКТЫ'!$B$8=2,IFERROR('ОБЪЕКТЫ'!$B$28*'ОБЪЕКТЫ'!FK22/'ОБЪЕКТЫ'!$B$22,0),0)-IF('ОБЪЕКТЫ'!$B$36=2,IFERROR('ОБЪЕКТЫ'!$B$56*'ОБЪЕКТЫ'!FK50/'ОБЪЕКТЫ'!$B$50,0),0)-IF('ОБЪЕКТЫ'!$B$64=2,IFERROR('ОБЪЕКТЫ'!$B$84*'ОБЪЕКТЫ'!FK78/'ОБЪЕКТЫ'!$B$78,0),0)-FK53-FK57-FK21</x:f>
      </x:c>
      <x:c r="FL22" s="117">
        <x:f>FL10-IFERROR((SUM($D$20:$GA$20)-'ОБЪЕКТЫ'!$B$104)*('Продажи'!FL37+'Продажи'!FL40+'Продажи'!FL43+'Продажи'!FL46)/(SUM('Продажи'!$D$37:$GA$37)+SUM('Продажи'!$D$40:$GA$40)+SUM('Продажи'!$D$43:$GA$43)+SUM('Продажи'!$D$46:$GA$46)),0)-IF('ОБЪЕКТЫ'!$B$8=2,IFERROR('ОБЪЕКТЫ'!$B$28*'ОБЪЕКТЫ'!FL22/'ОБЪЕКТЫ'!$B$22,0),0)-IF('ОБЪЕКТЫ'!$B$36=2,IFERROR('ОБЪЕКТЫ'!$B$56*'ОБЪЕКТЫ'!FL50/'ОБЪЕКТЫ'!$B$50,0),0)-IF('ОБЪЕКТЫ'!$B$64=2,IFERROR('ОБЪЕКТЫ'!$B$84*'ОБЪЕКТЫ'!FL78/'ОБЪЕКТЫ'!$B$78,0),0)-FL53-FL57-FL21</x:f>
      </x:c>
      <x:c r="FM22" s="117">
        <x:f>FM10-IFERROR((SUM($D$20:$GA$20)-'ОБЪЕКТЫ'!$B$104)*('Продажи'!FM37+'Продажи'!FM40+'Продажи'!FM43+'Продажи'!FM46)/(SUM('Продажи'!$D$37:$GA$37)+SUM('Продажи'!$D$40:$GA$40)+SUM('Продажи'!$D$43:$GA$43)+SUM('Продажи'!$D$46:$GA$46)),0)-IF('ОБЪЕКТЫ'!$B$8=2,IFERROR('ОБЪЕКТЫ'!$B$28*'ОБЪЕКТЫ'!FM22/'ОБЪЕКТЫ'!$B$22,0),0)-IF('ОБЪЕКТЫ'!$B$36=2,IFERROR('ОБЪЕКТЫ'!$B$56*'ОБЪЕКТЫ'!FM50/'ОБЪЕКТЫ'!$B$50,0),0)-IF('ОБЪЕКТЫ'!$B$64=2,IFERROR('ОБЪЕКТЫ'!$B$84*'ОБЪЕКТЫ'!FM78/'ОБЪЕКТЫ'!$B$78,0),0)-FM53-FM57-FM21</x:f>
      </x:c>
      <x:c r="FN22" s="117">
        <x:f>FN10-IFERROR((SUM($D$20:$GA$20)-'ОБЪЕКТЫ'!$B$104)*('Продажи'!FN37+'Продажи'!FN40+'Продажи'!FN43+'Продажи'!FN46)/(SUM('Продажи'!$D$37:$GA$37)+SUM('Продажи'!$D$40:$GA$40)+SUM('Продажи'!$D$43:$GA$43)+SUM('Продажи'!$D$46:$GA$46)),0)-IF('ОБЪЕКТЫ'!$B$8=2,IFERROR('ОБЪЕКТЫ'!$B$28*'ОБЪЕКТЫ'!FN22/'ОБЪЕКТЫ'!$B$22,0),0)-IF('ОБЪЕКТЫ'!$B$36=2,IFERROR('ОБЪЕКТЫ'!$B$56*'ОБЪЕКТЫ'!FN50/'ОБЪЕКТЫ'!$B$50,0),0)-IF('ОБЪЕКТЫ'!$B$64=2,IFERROR('ОБЪЕКТЫ'!$B$84*'ОБЪЕКТЫ'!FN78/'ОБЪЕКТЫ'!$B$78,0),0)-FN53-FN57-FN21</x:f>
      </x:c>
      <x:c r="FO22" s="117">
        <x:f>FO10-IFERROR((SUM($D$20:$GA$20)-'ОБЪЕКТЫ'!$B$104)*('Продажи'!FO37+'Продажи'!FO40+'Продажи'!FO43+'Продажи'!FO46)/(SUM('Продажи'!$D$37:$GA$37)+SUM('Продажи'!$D$40:$GA$40)+SUM('Продажи'!$D$43:$GA$43)+SUM('Продажи'!$D$46:$GA$46)),0)-IF('ОБЪЕКТЫ'!$B$8=2,IFERROR('ОБЪЕКТЫ'!$B$28*'ОБЪЕКТЫ'!FO22/'ОБЪЕКТЫ'!$B$22,0),0)-IF('ОБЪЕКТЫ'!$B$36=2,IFERROR('ОБЪЕКТЫ'!$B$56*'ОБЪЕКТЫ'!FO50/'ОБЪЕКТЫ'!$B$50,0),0)-IF('ОБЪЕКТЫ'!$B$64=2,IFERROR('ОБЪЕКТЫ'!$B$84*'ОБЪЕКТЫ'!FO78/'ОБЪЕКТЫ'!$B$78,0),0)-FO53-FO57-FO21</x:f>
      </x:c>
      <x:c r="FP22" s="117">
        <x:f>FP10-IFERROR((SUM($D$20:$GA$20)-'ОБЪЕКТЫ'!$B$104)*('Продажи'!FP37+'Продажи'!FP40+'Продажи'!FP43+'Продажи'!FP46)/(SUM('Продажи'!$D$37:$GA$37)+SUM('Продажи'!$D$40:$GA$40)+SUM('Продажи'!$D$43:$GA$43)+SUM('Продажи'!$D$46:$GA$46)),0)-IF('ОБЪЕКТЫ'!$B$8=2,IFERROR('ОБЪЕКТЫ'!$B$28*'ОБЪЕКТЫ'!FP22/'ОБЪЕКТЫ'!$B$22,0),0)-IF('ОБЪЕКТЫ'!$B$36=2,IFERROR('ОБЪЕКТЫ'!$B$56*'ОБЪЕКТЫ'!FP50/'ОБЪЕКТЫ'!$B$50,0),0)-IF('ОБЪЕКТЫ'!$B$64=2,IFERROR('ОБЪЕКТЫ'!$B$84*'ОБЪЕКТЫ'!FP78/'ОБЪЕКТЫ'!$B$78,0),0)-FP53-FP57-FP21</x:f>
      </x:c>
      <x:c r="FQ22" s="117">
        <x:f>FQ10-IFERROR((SUM($D$20:$GA$20)-'ОБЪЕКТЫ'!$B$104)*('Продажи'!FQ37+'Продажи'!FQ40+'Продажи'!FQ43+'Продажи'!FQ46)/(SUM('Продажи'!$D$37:$GA$37)+SUM('Продажи'!$D$40:$GA$40)+SUM('Продажи'!$D$43:$GA$43)+SUM('Продажи'!$D$46:$GA$46)),0)-IF('ОБЪЕКТЫ'!$B$8=2,IFERROR('ОБЪЕКТЫ'!$B$28*'ОБЪЕКТЫ'!FQ22/'ОБЪЕКТЫ'!$B$22,0),0)-IF('ОБЪЕКТЫ'!$B$36=2,IFERROR('ОБЪЕКТЫ'!$B$56*'ОБЪЕКТЫ'!FQ50/'ОБЪЕКТЫ'!$B$50,0),0)-IF('ОБЪЕКТЫ'!$B$64=2,IFERROR('ОБЪЕКТЫ'!$B$84*'ОБЪЕКТЫ'!FQ78/'ОБЪЕКТЫ'!$B$78,0),0)-FQ53-FQ57-FQ21</x:f>
      </x:c>
      <x:c r="FR22" s="117">
        <x:f>FR10-IFERROR((SUM($D$20:$GA$20)-'ОБЪЕКТЫ'!$B$104)*('Продажи'!FR37+'Продажи'!FR40+'Продажи'!FR43+'Продажи'!FR46)/(SUM('Продажи'!$D$37:$GA$37)+SUM('Продажи'!$D$40:$GA$40)+SUM('Продажи'!$D$43:$GA$43)+SUM('Продажи'!$D$46:$GA$46)),0)-IF('ОБЪЕКТЫ'!$B$8=2,IFERROR('ОБЪЕКТЫ'!$B$28*'ОБЪЕКТЫ'!FR22/'ОБЪЕКТЫ'!$B$22,0),0)-IF('ОБЪЕКТЫ'!$B$36=2,IFERROR('ОБЪЕКТЫ'!$B$56*'ОБЪЕКТЫ'!FR50/'ОБЪЕКТЫ'!$B$50,0),0)-IF('ОБЪЕКТЫ'!$B$64=2,IFERROR('ОБЪЕКТЫ'!$B$84*'ОБЪЕКТЫ'!FR78/'ОБЪЕКТЫ'!$B$78,0),0)-FR53-FR57-FR21</x:f>
      </x:c>
      <x:c r="FS22" s="117">
        <x:f>FS10-IFERROR((SUM($D$20:$GA$20)-'ОБЪЕКТЫ'!$B$104)*('Продажи'!FS37+'Продажи'!FS40+'Продажи'!FS43+'Продажи'!FS46)/(SUM('Продажи'!$D$37:$GA$37)+SUM('Продажи'!$D$40:$GA$40)+SUM('Продажи'!$D$43:$GA$43)+SUM('Продажи'!$D$46:$GA$46)),0)-IF('ОБЪЕКТЫ'!$B$8=2,IFERROR('ОБЪЕКТЫ'!$B$28*'ОБЪЕКТЫ'!FS22/'ОБЪЕКТЫ'!$B$22,0),0)-IF('ОБЪЕКТЫ'!$B$36=2,IFERROR('ОБЪЕКТЫ'!$B$56*'ОБЪЕКТЫ'!FS50/'ОБЪЕКТЫ'!$B$50,0),0)-IF('ОБЪЕКТЫ'!$B$64=2,IFERROR('ОБЪЕКТЫ'!$B$84*'ОБЪЕКТЫ'!FS78/'ОБЪЕКТЫ'!$B$78,0),0)-FS53-FS57-FS21</x:f>
      </x:c>
      <x:c r="FT22" s="117">
        <x:f>FT10-IFERROR((SUM($D$20:$GA$20)-'ОБЪЕКТЫ'!$B$104)*('Продажи'!FT37+'Продажи'!FT40+'Продажи'!FT43+'Продажи'!FT46)/(SUM('Продажи'!$D$37:$GA$37)+SUM('Продажи'!$D$40:$GA$40)+SUM('Продажи'!$D$43:$GA$43)+SUM('Продажи'!$D$46:$GA$46)),0)-IF('ОБЪЕКТЫ'!$B$8=2,IFERROR('ОБЪЕКТЫ'!$B$28*'ОБЪЕКТЫ'!FT22/'ОБЪЕКТЫ'!$B$22,0),0)-IF('ОБЪЕКТЫ'!$B$36=2,IFERROR('ОБЪЕКТЫ'!$B$56*'ОБЪЕКТЫ'!FT50/'ОБЪЕКТЫ'!$B$50,0),0)-IF('ОБЪЕКТЫ'!$B$64=2,IFERROR('ОБЪЕКТЫ'!$B$84*'ОБЪЕКТЫ'!FT78/'ОБЪЕКТЫ'!$B$78,0),0)-FT53-FT57-FT21</x:f>
      </x:c>
      <x:c r="FU22" s="117">
        <x:f>FU10-IFERROR((SUM($D$20:$GA$20)-'ОБЪЕКТЫ'!$B$104)*('Продажи'!FU37+'Продажи'!FU40+'Продажи'!FU43+'Продажи'!FU46)/(SUM('Продажи'!$D$37:$GA$37)+SUM('Продажи'!$D$40:$GA$40)+SUM('Продажи'!$D$43:$GA$43)+SUM('Продажи'!$D$46:$GA$46)),0)-IF('ОБЪЕКТЫ'!$B$8=2,IFERROR('ОБЪЕКТЫ'!$B$28*'ОБЪЕКТЫ'!FU22/'ОБЪЕКТЫ'!$B$22,0),0)-IF('ОБЪЕКТЫ'!$B$36=2,IFERROR('ОБЪЕКТЫ'!$B$56*'ОБЪЕКТЫ'!FU50/'ОБЪЕКТЫ'!$B$50,0),0)-IF('ОБЪЕКТЫ'!$B$64=2,IFERROR('ОБЪЕКТЫ'!$B$84*'ОБЪЕКТЫ'!FU78/'ОБЪЕКТЫ'!$B$78,0),0)-FU53-FU57-FU21</x:f>
      </x:c>
      <x:c r="FV22" s="117">
        <x:f>FV10-IFERROR((SUM($D$20:$GA$20)-'ОБЪЕКТЫ'!$B$104)*('Продажи'!FV37+'Продажи'!FV40+'Продажи'!FV43+'Продажи'!FV46)/(SUM('Продажи'!$D$37:$GA$37)+SUM('Продажи'!$D$40:$GA$40)+SUM('Продажи'!$D$43:$GA$43)+SUM('Продажи'!$D$46:$GA$46)),0)-IF('ОБЪЕКТЫ'!$B$8=2,IFERROR('ОБЪЕКТЫ'!$B$28*'ОБЪЕКТЫ'!FV22/'ОБЪЕКТЫ'!$B$22,0),0)-IF('ОБЪЕКТЫ'!$B$36=2,IFERROR('ОБЪЕКТЫ'!$B$56*'ОБЪЕКТЫ'!FV50/'ОБЪЕКТЫ'!$B$50,0),0)-IF('ОБЪЕКТЫ'!$B$64=2,IFERROR('ОБЪЕКТЫ'!$B$84*'ОБЪЕКТЫ'!FV78/'ОБЪЕКТЫ'!$B$78,0),0)-FV53-FV57-FV21</x:f>
      </x:c>
      <x:c r="FW22" s="117">
        <x:f>FW10-IFERROR((SUM($D$20:$GA$20)-'ОБЪЕКТЫ'!$B$104)*('Продажи'!FW37+'Продажи'!FW40+'Продажи'!FW43+'Продажи'!FW46)/(SUM('Продажи'!$D$37:$GA$37)+SUM('Продажи'!$D$40:$GA$40)+SUM('Продажи'!$D$43:$GA$43)+SUM('Продажи'!$D$46:$GA$46)),0)-IF('ОБЪЕКТЫ'!$B$8=2,IFERROR('ОБЪЕКТЫ'!$B$28*'ОБЪЕКТЫ'!FW22/'ОБЪЕКТЫ'!$B$22,0),0)-IF('ОБЪЕКТЫ'!$B$36=2,IFERROR('ОБЪЕКТЫ'!$B$56*'ОБЪЕКТЫ'!FW50/'ОБЪЕКТЫ'!$B$50,0),0)-IF('ОБЪЕКТЫ'!$B$64=2,IFERROR('ОБЪЕКТЫ'!$B$84*'ОБЪЕКТЫ'!FW78/'ОБЪЕКТЫ'!$B$78,0),0)-FW53-FW57-FW21</x:f>
      </x:c>
      <x:c r="FX22" s="117">
        <x:f>FX10-IFERROR((SUM($D$20:$GA$20)-'ОБЪЕКТЫ'!$B$104)*('Продажи'!FX37+'Продажи'!FX40+'Продажи'!FX43+'Продажи'!FX46)/(SUM('Продажи'!$D$37:$GA$37)+SUM('Продажи'!$D$40:$GA$40)+SUM('Продажи'!$D$43:$GA$43)+SUM('Продажи'!$D$46:$GA$46)),0)-IF('ОБЪЕКТЫ'!$B$8=2,IFERROR('ОБЪЕКТЫ'!$B$28*'ОБЪЕКТЫ'!FX22/'ОБЪЕКТЫ'!$B$22,0),0)-IF('ОБЪЕКТЫ'!$B$36=2,IFERROR('ОБЪЕКТЫ'!$B$56*'ОБЪЕКТЫ'!FX50/'ОБЪЕКТЫ'!$B$50,0),0)-IF('ОБЪЕКТЫ'!$B$64=2,IFERROR('ОБЪЕКТЫ'!$B$84*'ОБЪЕКТЫ'!FX78/'ОБЪЕКТЫ'!$B$78,0),0)-FX53-FX57-FX21</x:f>
      </x:c>
      <x:c r="FY22" s="117">
        <x:f>FY10-IFERROR((SUM($D$20:$GA$20)-'ОБЪЕКТЫ'!$B$104)*('Продажи'!FY37+'Продажи'!FY40+'Продажи'!FY43+'Продажи'!FY46)/(SUM('Продажи'!$D$37:$GA$37)+SUM('Продажи'!$D$40:$GA$40)+SUM('Продажи'!$D$43:$GA$43)+SUM('Продажи'!$D$46:$GA$46)),0)-IF('ОБЪЕКТЫ'!$B$8=2,IFERROR('ОБЪЕКТЫ'!$B$28*'ОБЪЕКТЫ'!FY22/'ОБЪЕКТЫ'!$B$22,0),0)-IF('ОБЪЕКТЫ'!$B$36=2,IFERROR('ОБЪЕКТЫ'!$B$56*'ОБЪЕКТЫ'!FY50/'ОБЪЕКТЫ'!$B$50,0),0)-IF('ОБЪЕКТЫ'!$B$64=2,IFERROR('ОБЪЕКТЫ'!$B$84*'ОБЪЕКТЫ'!FY78/'ОБЪЕКТЫ'!$B$78,0),0)-FY53-FY57-FY21</x:f>
      </x:c>
      <x:c r="FZ22" s="117">
        <x:f>FZ10-IFERROR((SUM($D$20:$GA$20)-'ОБЪЕКТЫ'!$B$104)*('Продажи'!FZ37+'Продажи'!FZ40+'Продажи'!FZ43+'Продажи'!FZ46)/(SUM('Продажи'!$D$37:$GA$37)+SUM('Продажи'!$D$40:$GA$40)+SUM('Продажи'!$D$43:$GA$43)+SUM('Продажи'!$D$46:$GA$46)),0)-IF('ОБЪЕКТЫ'!$B$8=2,IFERROR('ОБЪЕКТЫ'!$B$28*'ОБЪЕКТЫ'!FZ22/'ОБЪЕКТЫ'!$B$22,0),0)-IF('ОБЪЕКТЫ'!$B$36=2,IFERROR('ОБЪЕКТЫ'!$B$56*'ОБЪЕКТЫ'!FZ50/'ОБЪЕКТЫ'!$B$50,0),0)-IF('ОБЪЕКТЫ'!$B$64=2,IFERROR('ОБЪЕКТЫ'!$B$84*'ОБЪЕКТЫ'!FZ78/'ОБЪЕКТЫ'!$B$78,0),0)-FZ53-FZ57-FZ21</x:f>
      </x:c>
      <x:c r="GA22" s="117">
        <x:f>GA10-IFERROR((SUM($D$20:$GA$20)-'ОБЪЕКТЫ'!$B$104)*('Продажи'!GA37+'Продажи'!GA40+'Продажи'!GA43+'Продажи'!GA46)/(SUM('Продажи'!$D$37:$GA$37)+SUM('Продажи'!$D$40:$GA$40)+SUM('Продажи'!$D$43:$GA$43)+SUM('Продажи'!$D$46:$GA$46)),0)-IF('ОБЪЕКТЫ'!$B$8=2,IFERROR('ОБЪЕКТЫ'!$B$28*'ОБЪЕКТЫ'!GA22/'ОБЪЕКТЫ'!$B$22,0),0)-IF('ОБЪЕКТЫ'!$B$36=2,IFERROR('ОБЪЕКТЫ'!$B$56*'ОБЪЕКТЫ'!GA50/'ОБЪЕКТЫ'!$B$50,0),0)-IF('ОБЪЕКТЫ'!$B$64=2,IFERROR('ОБЪЕКТЫ'!$B$84*'ОБЪЕКТЫ'!GA78/'ОБЪЕКТЫ'!$B$78,0),0)-GA53-GA57-GA21</x:f>
      </x:c>
    </x:row>
    <x:row r="23">
      <x:c r="A23" t="str">
        <x:v>Накопленная налоговая база</x:v>
      </x:c>
      <x:c r="B23"/>
      <x:c r="C23" t="str">
        <x:v>млн ₽</x:v>
      </x:c>
      <x:c r="D23" s="117" t="n">
        <x:f>D22</x:f>
      </x:c>
      <x:c r="E23" s="117" t="n">
        <x:f>D23+E22</x:f>
      </x:c>
      <x:c r="F23" s="117" t="n">
        <x:f>E23+F22</x:f>
      </x:c>
      <x:c r="G23" s="117" t="n">
        <x:f>F23+G22</x:f>
      </x:c>
      <x:c r="H23" s="117" t="n">
        <x:f>G23+H22</x:f>
      </x:c>
      <x:c r="I23" s="117" t="n">
        <x:f>H23+I22</x:f>
      </x:c>
      <x:c r="J23" s="117" t="n">
        <x:f>I23+J22</x:f>
      </x:c>
      <x:c r="K23" s="117" t="n">
        <x:f>J23+K22</x:f>
      </x:c>
      <x:c r="L23" s="117" t="n">
        <x:f>K23+L22</x:f>
      </x:c>
      <x:c r="M23" s="117" t="n">
        <x:f>L23+M22</x:f>
      </x:c>
      <x:c r="N23" s="117" t="n">
        <x:f>M23+N22</x:f>
      </x:c>
      <x:c r="O23" s="117" t="n">
        <x:f>N23+O22</x:f>
      </x:c>
      <x:c r="P23" s="117" t="n">
        <x:f>O23+P22</x:f>
      </x:c>
      <x:c r="Q23" s="117" t="n">
        <x:f>P23+Q22</x:f>
      </x:c>
      <x:c r="R23" s="117" t="n">
        <x:f>Q23+R22</x:f>
      </x:c>
      <x:c r="S23" s="117" t="n">
        <x:f>R23+S22</x:f>
      </x:c>
      <x:c r="T23" s="117" t="n">
        <x:f>S23+T22</x:f>
      </x:c>
      <x:c r="U23" s="117" t="n">
        <x:f>T23+U22</x:f>
      </x:c>
      <x:c r="V23" s="117" t="n">
        <x:f>U23+V22</x:f>
      </x:c>
      <x:c r="W23" s="117" t="n">
        <x:f>V23+W22</x:f>
      </x:c>
      <x:c r="X23" s="117" t="n">
        <x:f>W23+X22</x:f>
      </x:c>
      <x:c r="Y23" s="117" t="n">
        <x:f>X23+Y22</x:f>
      </x:c>
      <x:c r="Z23" s="117" t="n">
        <x:f>Y23+Z22</x:f>
      </x:c>
      <x:c r="AA23" s="117" t="n">
        <x:f>Z23+AA22</x:f>
      </x:c>
      <x:c r="AB23" s="117" t="n">
        <x:f>AA23+AB22</x:f>
      </x:c>
      <x:c r="AC23" s="117" t="n">
        <x:f>AB23+AC22</x:f>
      </x:c>
      <x:c r="AD23" s="117" t="n">
        <x:f>AC23+AD22</x:f>
      </x:c>
      <x:c r="AE23" s="117" t="n">
        <x:f>AD23+AE22</x:f>
      </x:c>
      <x:c r="AF23" s="117" t="n">
        <x:f>AE23+AF22</x:f>
      </x:c>
      <x:c r="AG23" s="117" t="n">
        <x:f>AF23+AG22</x:f>
      </x:c>
      <x:c r="AH23" s="117" t="n">
        <x:f>AG23+AH22</x:f>
      </x:c>
      <x:c r="AI23" s="117" t="n">
        <x:f>AH23+AI22</x:f>
      </x:c>
      <x:c r="AJ23" s="117" t="n">
        <x:f>AI23+AJ22</x:f>
      </x:c>
      <x:c r="AK23" s="117" t="n">
        <x:f>AJ23+AK22</x:f>
      </x:c>
      <x:c r="AL23" s="117" t="n">
        <x:f>AK23+AL22</x:f>
      </x:c>
      <x:c r="AM23" s="117" t="n">
        <x:f>AL23+AM22</x:f>
      </x:c>
      <x:c r="AN23" s="117" t="n">
        <x:f>AM23+AN22</x:f>
      </x:c>
      <x:c r="AO23" s="117" t="n">
        <x:f>AN23+AO22</x:f>
      </x:c>
      <x:c r="AP23" s="117" t="n">
        <x:f>AO23+AP22</x:f>
      </x:c>
      <x:c r="AQ23" s="117" t="n">
        <x:f>AP23+AQ22</x:f>
      </x:c>
      <x:c r="AR23" s="117" t="n">
        <x:f>AQ23+AR22</x:f>
      </x:c>
      <x:c r="AS23" s="117" t="n">
        <x:f>AR23+AS22</x:f>
      </x:c>
      <x:c r="AT23" s="117" t="n">
        <x:f>AS23+AT22</x:f>
      </x:c>
      <x:c r="AU23" s="117" t="n">
        <x:f>AT23+AU22</x:f>
      </x:c>
      <x:c r="AV23" s="117" t="n">
        <x:f>AU23+AV22</x:f>
      </x:c>
      <x:c r="AW23" s="117" t="n">
        <x:f>AV23+AW22</x:f>
      </x:c>
      <x:c r="AX23" s="117" t="n">
        <x:f>AW23+AX22</x:f>
      </x:c>
      <x:c r="AY23" s="117" t="n">
        <x:f>AX23+AY22</x:f>
      </x:c>
      <x:c r="AZ23" s="117" t="n">
        <x:f>AY23+AZ22</x:f>
      </x:c>
      <x:c r="BA23" s="117" t="n">
        <x:f>AZ23+BA22</x:f>
      </x:c>
      <x:c r="BB23" s="117" t="n">
        <x:f>BA23+BB22</x:f>
      </x:c>
      <x:c r="BC23" s="117" t="n">
        <x:f>BB23+BC22</x:f>
      </x:c>
      <x:c r="BD23" s="117" t="n">
        <x:f>BC23+BD22</x:f>
      </x:c>
      <x:c r="BE23" s="117" t="n">
        <x:f>BD23+BE22</x:f>
      </x:c>
      <x:c r="BF23" s="117" t="n">
        <x:f>BE23+BF22</x:f>
      </x:c>
      <x:c r="BG23" s="117" t="n">
        <x:f>BF23+BG22</x:f>
      </x:c>
      <x:c r="BH23" s="117" t="n">
        <x:f>BG23+BH22</x:f>
      </x:c>
      <x:c r="BI23" s="117" t="n">
        <x:f>BH23+BI22</x:f>
      </x:c>
      <x:c r="BJ23" s="117" t="n">
        <x:f>BI23+BJ22</x:f>
      </x:c>
      <x:c r="BK23" s="117" t="n">
        <x:f>BJ23+BK22</x:f>
      </x:c>
      <x:c r="BL23" s="117" t="n">
        <x:f>BK23+BL22</x:f>
      </x:c>
      <x:c r="BM23" s="117" t="n">
        <x:f>BL23+BM22</x:f>
      </x:c>
      <x:c r="BN23" s="117" t="n">
        <x:f>BM23+BN22</x:f>
      </x:c>
      <x:c r="BO23" s="117" t="n">
        <x:f>BN23+BO22</x:f>
      </x:c>
      <x:c r="BP23" s="117" t="n">
        <x:f>BO23+BP22</x:f>
      </x:c>
      <x:c r="BQ23" s="117" t="n">
        <x:f>BP23+BQ22</x:f>
      </x:c>
      <x:c r="BR23" s="117" t="n">
        <x:f>BQ23+BR22</x:f>
      </x:c>
      <x:c r="BS23" s="117" t="n">
        <x:f>BR23+BS22</x:f>
      </x:c>
      <x:c r="BT23" s="117" t="n">
        <x:f>BS23+BT22</x:f>
      </x:c>
      <x:c r="BU23" s="117" t="n">
        <x:f>BT23+BU22</x:f>
      </x:c>
      <x:c r="BV23" s="117" t="n">
        <x:f>BU23+BV22</x:f>
      </x:c>
      <x:c r="BW23" s="117" t="n">
        <x:f>BV23+BW22</x:f>
      </x:c>
      <x:c r="BX23" s="117" t="n">
        <x:f>BW23+BX22</x:f>
      </x:c>
      <x:c r="BY23" s="117" t="n">
        <x:f>BX23+BY22</x:f>
      </x:c>
      <x:c r="BZ23" s="117" t="n">
        <x:f>BY23+BZ22</x:f>
      </x:c>
      <x:c r="CA23" s="117" t="n">
        <x:f>BZ23+CA22</x:f>
      </x:c>
      <x:c r="CB23" s="117" t="n">
        <x:f>CA23+CB22</x:f>
      </x:c>
      <x:c r="CC23" s="117" t="n">
        <x:f>CB23+CC22</x:f>
      </x:c>
      <x:c r="CD23" s="117" t="n">
        <x:f>CC23+CD22</x:f>
      </x:c>
      <x:c r="CE23" s="117" t="n">
        <x:f>CD23+CE22</x:f>
      </x:c>
      <x:c r="CF23" s="117" t="n">
        <x:f>CE23+CF22</x:f>
      </x:c>
      <x:c r="CG23" s="117" t="n">
        <x:f>CF23+CG22</x:f>
      </x:c>
      <x:c r="CH23" s="117" t="n">
        <x:f>CG23+CH22</x:f>
      </x:c>
      <x:c r="CI23" s="117" t="n">
        <x:f>CH23+CI22</x:f>
      </x:c>
      <x:c r="CJ23" s="117" t="n">
        <x:f>CI23+CJ22</x:f>
      </x:c>
      <x:c r="CK23" s="117" t="n">
        <x:f>CJ23+CK22</x:f>
      </x:c>
      <x:c r="CL23" s="117" t="n">
        <x:f>CK23+CL22</x:f>
      </x:c>
      <x:c r="CM23" s="117" t="n">
        <x:f>CL23+CM22</x:f>
      </x:c>
      <x:c r="CN23" s="117" t="n">
        <x:f>CM23+CN22</x:f>
      </x:c>
      <x:c r="CO23" s="117" t="n">
        <x:f>CN23+CO22</x:f>
      </x:c>
      <x:c r="CP23" s="117" t="n">
        <x:f>CO23+CP22</x:f>
      </x:c>
      <x:c r="CQ23" s="117" t="n">
        <x:f>CP23+CQ22</x:f>
      </x:c>
      <x:c r="CR23" s="117" t="n">
        <x:f>CQ23+CR22</x:f>
      </x:c>
      <x:c r="CS23" s="117" t="n">
        <x:f>CR23+CS22</x:f>
      </x:c>
      <x:c r="CT23" s="117" t="n">
        <x:f>CS23+CT22</x:f>
      </x:c>
      <x:c r="CU23" s="117" t="n">
        <x:f>CT23+CU22</x:f>
      </x:c>
      <x:c r="CV23" s="117" t="n">
        <x:f>CU23+CV22</x:f>
      </x:c>
      <x:c r="CW23" s="117" t="n">
        <x:f>CV23+CW22</x:f>
      </x:c>
      <x:c r="CX23" s="117" t="n">
        <x:f>CW23+CX22</x:f>
      </x:c>
      <x:c r="CY23" s="117" t="n">
        <x:f>CX23+CY22</x:f>
      </x:c>
      <x:c r="CZ23" s="117" t="n">
        <x:f>CY23+CZ22</x:f>
      </x:c>
      <x:c r="DA23" s="117" t="n">
        <x:f>CZ23+DA22</x:f>
      </x:c>
      <x:c r="DB23" s="117" t="n">
        <x:f>DA23+DB22</x:f>
      </x:c>
      <x:c r="DC23" s="117" t="n">
        <x:f>DB23+DC22</x:f>
      </x:c>
      <x:c r="DD23" s="117" t="n">
        <x:f>DC23+DD22</x:f>
      </x:c>
      <x:c r="DE23" s="117" t="n">
        <x:f>DD23+DE22</x:f>
      </x:c>
      <x:c r="DF23" s="117" t="n">
        <x:f>DE23+DF22</x:f>
      </x:c>
      <x:c r="DG23" s="117" t="n">
        <x:f>DF23+DG22</x:f>
      </x:c>
      <x:c r="DH23" s="117" t="n">
        <x:f>DG23+DH22</x:f>
      </x:c>
      <x:c r="DI23" s="117" t="n">
        <x:f>DH23+DI22</x:f>
      </x:c>
      <x:c r="DJ23" s="117" t="n">
        <x:f>DI23+DJ22</x:f>
      </x:c>
      <x:c r="DK23" s="117" t="n">
        <x:f>DJ23+DK22</x:f>
      </x:c>
      <x:c r="DL23" s="117" t="n">
        <x:f>DK23+DL22</x:f>
      </x:c>
      <x:c r="DM23" s="117" t="n">
        <x:f>DL23+DM22</x:f>
      </x:c>
      <x:c r="DN23" s="117" t="n">
        <x:f>DM23+DN22</x:f>
      </x:c>
      <x:c r="DO23" s="117" t="n">
        <x:f>DN23+DO22</x:f>
      </x:c>
      <x:c r="DP23" s="117" t="n">
        <x:f>DO23+DP22</x:f>
      </x:c>
      <x:c r="DQ23" s="117" t="n">
        <x:f>DP23+DQ22</x:f>
      </x:c>
      <x:c r="DR23" s="117" t="n">
        <x:f>DQ23+DR22</x:f>
      </x:c>
      <x:c r="DS23" s="117" t="n">
        <x:f>DR23+DS22</x:f>
      </x:c>
      <x:c r="DT23" s="117" t="n">
        <x:f>DS23+DT22</x:f>
      </x:c>
      <x:c r="DU23" s="117" t="n">
        <x:f>DT23+DU22</x:f>
      </x:c>
      <x:c r="DV23" s="117" t="n">
        <x:f>DU23+DV22</x:f>
      </x:c>
      <x:c r="DW23" s="117" t="n">
        <x:f>DV23+DW22</x:f>
      </x:c>
      <x:c r="DX23" s="117" t="n">
        <x:f>DW23+DX22</x:f>
      </x:c>
      <x:c r="DY23" s="117" t="n">
        <x:f>DX23+DY22</x:f>
      </x:c>
      <x:c r="DZ23" s="117" t="n">
        <x:f>DY23+DZ22</x:f>
      </x:c>
      <x:c r="EA23" s="117" t="n">
        <x:f>DZ23+EA22</x:f>
      </x:c>
      <x:c r="EB23" s="117" t="n">
        <x:f>EA23+EB22</x:f>
      </x:c>
      <x:c r="EC23" s="117" t="n">
        <x:f>EB23+EC22</x:f>
      </x:c>
      <x:c r="ED23" s="117" t="n">
        <x:f>EC23+ED22</x:f>
      </x:c>
      <x:c r="EE23" s="117" t="n">
        <x:f>ED23+EE22</x:f>
      </x:c>
      <x:c r="EF23" s="117" t="n">
        <x:f>EE23+EF22</x:f>
      </x:c>
      <x:c r="EG23" s="117" t="n">
        <x:f>EF23+EG22</x:f>
      </x:c>
      <x:c r="EH23" s="117" t="n">
        <x:f>EG23+EH22</x:f>
      </x:c>
      <x:c r="EI23" s="117" t="n">
        <x:f>EH23+EI22</x:f>
      </x:c>
      <x:c r="EJ23" s="117" t="n">
        <x:f>EI23+EJ22</x:f>
      </x:c>
      <x:c r="EK23" s="117" t="n">
        <x:f>EJ23+EK22</x:f>
      </x:c>
      <x:c r="EL23" s="117" t="n">
        <x:f>EK23+EL22</x:f>
      </x:c>
      <x:c r="EM23" s="117" t="n">
        <x:f>EL23+EM22</x:f>
      </x:c>
      <x:c r="EN23" s="117" t="n">
        <x:f>EM23+EN22</x:f>
      </x:c>
      <x:c r="EO23" s="117" t="n">
        <x:f>EN23+EO22</x:f>
      </x:c>
      <x:c r="EP23" s="117" t="n">
        <x:f>EO23+EP22</x:f>
      </x:c>
      <x:c r="EQ23" s="117" t="n">
        <x:f>EP23+EQ22</x:f>
      </x:c>
      <x:c r="ER23" s="117" t="n">
        <x:f>EQ23+ER22</x:f>
      </x:c>
      <x:c r="ES23" s="117" t="n">
        <x:f>ER23+ES22</x:f>
      </x:c>
      <x:c r="ET23" s="117" t="n">
        <x:f>ES23+ET22</x:f>
      </x:c>
      <x:c r="EU23" s="117" t="n">
        <x:f>ET23+EU22</x:f>
      </x:c>
      <x:c r="EV23" s="117" t="n">
        <x:f>EU23+EV22</x:f>
      </x:c>
      <x:c r="EW23" s="117" t="n">
        <x:f>EV23+EW22</x:f>
      </x:c>
      <x:c r="EX23" s="117" t="n">
        <x:f>EW23+EX22</x:f>
      </x:c>
      <x:c r="EY23" s="117" t="n">
        <x:f>EX23+EY22</x:f>
      </x:c>
      <x:c r="EZ23" s="117" t="n">
        <x:f>EY23+EZ22</x:f>
      </x:c>
      <x:c r="FA23" s="117" t="n">
        <x:f>EZ23+FA22</x:f>
      </x:c>
      <x:c r="FB23" s="117" t="n">
        <x:f>FA23+FB22</x:f>
      </x:c>
      <x:c r="FC23" s="117" t="n">
        <x:f>FB23+FC22</x:f>
      </x:c>
      <x:c r="FD23" s="117" t="n">
        <x:f>FC23+FD22</x:f>
      </x:c>
      <x:c r="FE23" s="117" t="n">
        <x:f>FD23+FE22</x:f>
      </x:c>
      <x:c r="FF23" s="117" t="n">
        <x:f>FE23+FF22</x:f>
      </x:c>
      <x:c r="FG23" s="117" t="n">
        <x:f>FF23+FG22</x:f>
      </x:c>
      <x:c r="FH23" s="117" t="n">
        <x:f>FG23+FH22</x:f>
      </x:c>
      <x:c r="FI23" s="117" t="n">
        <x:f>FH23+FI22</x:f>
      </x:c>
      <x:c r="FJ23" s="117" t="n">
        <x:f>FI23+FJ22</x:f>
      </x:c>
      <x:c r="FK23" s="117" t="n">
        <x:f>FJ23+FK22</x:f>
      </x:c>
      <x:c r="FL23" s="117" t="n">
        <x:f>FK23+FL22</x:f>
      </x:c>
      <x:c r="FM23" s="117" t="n">
        <x:f>FL23+FM22</x:f>
      </x:c>
      <x:c r="FN23" s="117" t="n">
        <x:f>FM23+FN22</x:f>
      </x:c>
      <x:c r="FO23" s="117" t="n">
        <x:f>FN23+FO22</x:f>
      </x:c>
      <x:c r="FP23" s="117" t="n">
        <x:f>FO23+FP22</x:f>
      </x:c>
      <x:c r="FQ23" s="117" t="n">
        <x:f>FP23+FQ22</x:f>
      </x:c>
      <x:c r="FR23" s="117" t="n">
        <x:f>FQ23+FR22</x:f>
      </x:c>
      <x:c r="FS23" s="117" t="n">
        <x:f>FR23+FS22</x:f>
      </x:c>
      <x:c r="FT23" s="117" t="n">
        <x:f>FS23+FT22</x:f>
      </x:c>
      <x:c r="FU23" s="117" t="n">
        <x:f>FT23+FU22</x:f>
      </x:c>
      <x:c r="FV23" s="117" t="n">
        <x:f>FU23+FV22</x:f>
      </x:c>
      <x:c r="FW23" s="117" t="n">
        <x:f>FV23+FW22</x:f>
      </x:c>
      <x:c r="FX23" s="117" t="n">
        <x:f>FW23+FX22</x:f>
      </x:c>
      <x:c r="FY23" s="117" t="n">
        <x:f>FX23+FY22</x:f>
      </x:c>
      <x:c r="FZ23" s="117" t="n">
        <x:f>FY23+FZ22</x:f>
      </x:c>
      <x:c r="GA23" s="117" t="n">
        <x:f>FZ23+GA22</x:f>
      </x:c>
    </x:row>
    <x:row r="24">
      <x:c r="A24" t="str">
        <x:v>Налог на прибыль</x:v>
      </x:c>
      <x:c r="B24" t="n">
        <x:f>SUM(D24:GA24)</x:f>
      </x:c>
      <x:c r="C24" t="str">
        <x:v>млн ₽</x:v>
      </x:c>
      <x:c r="D24" s="117" t="n">
        <x:f>IF(D$3&gt;=$B$8,MAX(0,MAX(0,D23)*'Вводные'!$B$21-0),0)</x:f>
      </x:c>
      <x:c r="E24" s="117" t="n">
        <x:f>IF(E$3&gt;=$B$8,MAX(0,MAX(0,E23)*'Вводные'!$B$21-D25),0)</x:f>
      </x:c>
      <x:c r="F24" s="117" t="n">
        <x:f>IF(F$3&gt;=$B$8,MAX(0,MAX(0,F23)*'Вводные'!$B$21-E25),0)</x:f>
      </x:c>
      <x:c r="G24" s="117" t="n">
        <x:f>IF(G$3&gt;=$B$8,MAX(0,MAX(0,G23)*'Вводные'!$B$21-F25),0)</x:f>
      </x:c>
      <x:c r="H24" s="117" t="n">
        <x:f>IF(H$3&gt;=$B$8,MAX(0,MAX(0,H23)*'Вводные'!$B$21-G25),0)</x:f>
      </x:c>
      <x:c r="I24" s="117" t="n">
        <x:f>IF(I$3&gt;=$B$8,MAX(0,MAX(0,I23)*'Вводные'!$B$21-H25),0)</x:f>
      </x:c>
      <x:c r="J24" s="117" t="n">
        <x:f>IF(J$3&gt;=$B$8,MAX(0,MAX(0,J23)*'Вводные'!$B$21-I25),0)</x:f>
      </x:c>
      <x:c r="K24" s="117" t="n">
        <x:f>IF(K$3&gt;=$B$8,MAX(0,MAX(0,K23)*'Вводные'!$B$21-J25),0)</x:f>
      </x:c>
      <x:c r="L24" s="117" t="n">
        <x:f>IF(L$3&gt;=$B$8,MAX(0,MAX(0,L23)*'Вводные'!$B$21-K25),0)</x:f>
      </x:c>
      <x:c r="M24" s="117" t="n">
        <x:f>IF(M$3&gt;=$B$8,MAX(0,MAX(0,M23)*'Вводные'!$B$21-L25),0)</x:f>
      </x:c>
      <x:c r="N24" s="117" t="n">
        <x:f>IF(N$3&gt;=$B$8,MAX(0,MAX(0,N23)*'Вводные'!$B$21-M25),0)</x:f>
      </x:c>
      <x:c r="O24" s="117" t="n">
        <x:f>IF(O$3&gt;=$B$8,MAX(0,MAX(0,O23)*'Вводные'!$B$21-N25),0)</x:f>
      </x:c>
      <x:c r="P24" s="117" t="n">
        <x:f>IF(P$3&gt;=$B$8,MAX(0,MAX(0,P23)*'Вводные'!$B$21-O25),0)</x:f>
      </x:c>
      <x:c r="Q24" s="117" t="n">
        <x:f>IF(Q$3&gt;=$B$8,MAX(0,MAX(0,Q23)*'Вводные'!$B$21-P25),0)</x:f>
      </x:c>
      <x:c r="R24" s="117" t="n">
        <x:f>IF(R$3&gt;=$B$8,MAX(0,MAX(0,R23)*'Вводные'!$B$21-Q25),0)</x:f>
      </x:c>
      <x:c r="S24" s="117" t="n">
        <x:f>IF(S$3&gt;=$B$8,MAX(0,MAX(0,S23)*'Вводные'!$B$21-R25),0)</x:f>
      </x:c>
      <x:c r="T24" s="117" t="n">
        <x:f>IF(T$3&gt;=$B$8,MAX(0,MAX(0,T23)*'Вводные'!$B$21-S25),0)</x:f>
      </x:c>
      <x:c r="U24" s="117" t="n">
        <x:f>IF(U$3&gt;=$B$8,MAX(0,MAX(0,U23)*'Вводные'!$B$21-T25),0)</x:f>
      </x:c>
      <x:c r="V24" s="117" t="n">
        <x:f>IF(V$3&gt;=$B$8,MAX(0,MAX(0,V23)*'Вводные'!$B$21-U25),0)</x:f>
      </x:c>
      <x:c r="W24" s="117" t="n">
        <x:f>IF(W$3&gt;=$B$8,MAX(0,MAX(0,W23)*'Вводные'!$B$21-V25),0)</x:f>
      </x:c>
      <x:c r="X24" s="117" t="n">
        <x:f>IF(X$3&gt;=$B$8,MAX(0,MAX(0,X23)*'Вводные'!$B$21-W25),0)</x:f>
      </x:c>
      <x:c r="Y24" s="117" t="n">
        <x:f>IF(Y$3&gt;=$B$8,MAX(0,MAX(0,Y23)*'Вводные'!$B$21-X25),0)</x:f>
      </x:c>
      <x:c r="Z24" s="117" t="n">
        <x:f>IF(Z$3&gt;=$B$8,MAX(0,MAX(0,Z23)*'Вводные'!$B$21-Y25),0)</x:f>
      </x:c>
      <x:c r="AA24" s="117" t="n">
        <x:f>IF(AA$3&gt;=$B$8,MAX(0,MAX(0,AA23)*'Вводные'!$B$21-Z25),0)</x:f>
      </x:c>
      <x:c r="AB24" s="117" t="n">
        <x:f>IF(AB$3&gt;=$B$8,MAX(0,MAX(0,AB23)*'Вводные'!$B$21-AA25),0)</x:f>
      </x:c>
      <x:c r="AC24" s="117" t="n">
        <x:f>IF(AC$3&gt;=$B$8,MAX(0,MAX(0,AC23)*'Вводные'!$B$21-AB25),0)</x:f>
      </x:c>
      <x:c r="AD24" s="117" t="n">
        <x:f>IF(AD$3&gt;=$B$8,MAX(0,MAX(0,AD23)*'Вводные'!$B$21-AC25),0)</x:f>
      </x:c>
      <x:c r="AE24" s="117" t="n">
        <x:f>IF(AE$3&gt;=$B$8,MAX(0,MAX(0,AE23)*'Вводные'!$B$21-AD25),0)</x:f>
      </x:c>
      <x:c r="AF24" s="117" t="n">
        <x:f>IF(AF$3&gt;=$B$8,MAX(0,MAX(0,AF23)*'Вводные'!$B$21-AE25),0)</x:f>
      </x:c>
      <x:c r="AG24" s="117" t="n">
        <x:f>IF(AG$3&gt;=$B$8,MAX(0,MAX(0,AG23)*'Вводные'!$B$21-AF25),0)</x:f>
      </x:c>
      <x:c r="AH24" s="117" t="n">
        <x:f>IF(AH$3&gt;=$B$8,MAX(0,MAX(0,AH23)*'Вводные'!$B$21-AG25),0)</x:f>
      </x:c>
      <x:c r="AI24" s="117" t="n">
        <x:f>IF(AI$3&gt;=$B$8,MAX(0,MAX(0,AI23)*'Вводные'!$B$21-AH25),0)</x:f>
      </x:c>
      <x:c r="AJ24" s="117" t="n">
        <x:f>IF(AJ$3&gt;=$B$8,MAX(0,MAX(0,AJ23)*'Вводные'!$B$21-AI25),0)</x:f>
      </x:c>
      <x:c r="AK24" s="117" t="n">
        <x:f>IF(AK$3&gt;=$B$8,MAX(0,MAX(0,AK23)*'Вводные'!$B$21-AJ25),0)</x:f>
      </x:c>
      <x:c r="AL24" s="117" t="n">
        <x:f>IF(AL$3&gt;=$B$8,MAX(0,MAX(0,AL23)*'Вводные'!$B$21-AK25),0)</x:f>
      </x:c>
      <x:c r="AM24" s="117" t="n">
        <x:f>IF(AM$3&gt;=$B$8,MAX(0,MAX(0,AM23)*'Вводные'!$B$21-AL25),0)</x:f>
      </x:c>
      <x:c r="AN24" s="117" t="n">
        <x:f>IF(AN$3&gt;=$B$8,MAX(0,MAX(0,AN23)*'Вводные'!$B$21-AM25),0)</x:f>
      </x:c>
      <x:c r="AO24" s="117" t="n">
        <x:f>IF(AO$3&gt;=$B$8,MAX(0,MAX(0,AO23)*'Вводные'!$B$21-AN25),0)</x:f>
      </x:c>
      <x:c r="AP24" s="117" t="n">
        <x:f>IF(AP$3&gt;=$B$8,MAX(0,MAX(0,AP23)*'Вводные'!$B$21-AO25),0)</x:f>
      </x:c>
      <x:c r="AQ24" s="117" t="n">
        <x:f>IF(AQ$3&gt;=$B$8,MAX(0,MAX(0,AQ23)*'Вводные'!$B$21-AP25),0)</x:f>
      </x:c>
      <x:c r="AR24" s="117" t="n">
        <x:f>IF(AR$3&gt;=$B$8,MAX(0,MAX(0,AR23)*'Вводные'!$B$21-AQ25),0)</x:f>
      </x:c>
      <x:c r="AS24" s="117" t="n">
        <x:f>IF(AS$3&gt;=$B$8,MAX(0,MAX(0,AS23)*'Вводные'!$B$21-AR25),0)</x:f>
      </x:c>
      <x:c r="AT24" s="117" t="n">
        <x:f>IF(AT$3&gt;=$B$8,MAX(0,MAX(0,AT23)*'Вводные'!$B$21-AS25),0)</x:f>
      </x:c>
      <x:c r="AU24" s="117" t="n">
        <x:f>IF(AU$3&gt;=$B$8,MAX(0,MAX(0,AU23)*'Вводные'!$B$21-AT25),0)</x:f>
      </x:c>
      <x:c r="AV24" s="117" t="n">
        <x:f>IF(AV$3&gt;=$B$8,MAX(0,MAX(0,AV23)*'Вводные'!$B$21-AU25),0)</x:f>
      </x:c>
      <x:c r="AW24" s="117" t="n">
        <x:f>IF(AW$3&gt;=$B$8,MAX(0,MAX(0,AW23)*'Вводные'!$B$21-AV25),0)</x:f>
      </x:c>
      <x:c r="AX24" s="117" t="n">
        <x:f>IF(AX$3&gt;=$B$8,MAX(0,MAX(0,AX23)*'Вводные'!$B$21-AW25),0)</x:f>
      </x:c>
      <x:c r="AY24" s="117" t="n">
        <x:f>IF(AY$3&gt;=$B$8,MAX(0,MAX(0,AY23)*'Вводные'!$B$21-AX25),0)</x:f>
      </x:c>
      <x:c r="AZ24" s="117" t="n">
        <x:f>IF(AZ$3&gt;=$B$8,MAX(0,MAX(0,AZ23)*'Вводные'!$B$21-AY25),0)</x:f>
      </x:c>
      <x:c r="BA24" s="117" t="n">
        <x:f>IF(BA$3&gt;=$B$8,MAX(0,MAX(0,BA23)*'Вводные'!$B$21-AZ25),0)</x:f>
      </x:c>
      <x:c r="BB24" s="117" t="n">
        <x:f>IF(BB$3&gt;=$B$8,MAX(0,MAX(0,BB23)*'Вводные'!$B$21-BA25),0)</x:f>
      </x:c>
      <x:c r="BC24" s="117" t="n">
        <x:f>IF(BC$3&gt;=$B$8,MAX(0,MAX(0,BC23)*'Вводные'!$B$21-BB25),0)</x:f>
      </x:c>
      <x:c r="BD24" s="117" t="n">
        <x:f>IF(BD$3&gt;=$B$8,MAX(0,MAX(0,BD23)*'Вводные'!$B$21-BC25),0)</x:f>
      </x:c>
      <x:c r="BE24" s="117" t="n">
        <x:f>IF(BE$3&gt;=$B$8,MAX(0,MAX(0,BE23)*'Вводные'!$B$21-BD25),0)</x:f>
      </x:c>
      <x:c r="BF24" s="117" t="n">
        <x:f>IF(BF$3&gt;=$B$8,MAX(0,MAX(0,BF23)*'Вводные'!$B$21-BE25),0)</x:f>
      </x:c>
      <x:c r="BG24" s="117" t="n">
        <x:f>IF(BG$3&gt;=$B$8,MAX(0,MAX(0,BG23)*'Вводные'!$B$21-BF25),0)</x:f>
      </x:c>
      <x:c r="BH24" s="117" t="n">
        <x:f>IF(BH$3&gt;=$B$8,MAX(0,MAX(0,BH23)*'Вводные'!$B$21-BG25),0)</x:f>
      </x:c>
      <x:c r="BI24" s="117" t="n">
        <x:f>IF(BI$3&gt;=$B$8,MAX(0,MAX(0,BI23)*'Вводные'!$B$21-BH25),0)</x:f>
      </x:c>
      <x:c r="BJ24" s="117" t="n">
        <x:f>IF(BJ$3&gt;=$B$8,MAX(0,MAX(0,BJ23)*'Вводные'!$B$21-BI25),0)</x:f>
      </x:c>
      <x:c r="BK24" s="117" t="n">
        <x:f>IF(BK$3&gt;=$B$8,MAX(0,MAX(0,BK23)*'Вводные'!$B$21-BJ25),0)</x:f>
      </x:c>
      <x:c r="BL24" s="117" t="n">
        <x:f>IF(BL$3&gt;=$B$8,MAX(0,MAX(0,BL23)*'Вводные'!$B$21-BK25),0)</x:f>
      </x:c>
      <x:c r="BM24" s="117" t="n">
        <x:f>IF(BM$3&gt;=$B$8,MAX(0,MAX(0,BM23)*'Вводные'!$B$21-BL25),0)</x:f>
      </x:c>
      <x:c r="BN24" s="117" t="n">
        <x:f>IF(BN$3&gt;=$B$8,MAX(0,MAX(0,BN23)*'Вводные'!$B$21-BM25),0)</x:f>
      </x:c>
      <x:c r="BO24" s="117" t="n">
        <x:f>IF(BO$3&gt;=$B$8,MAX(0,MAX(0,BO23)*'Вводные'!$B$21-BN25),0)</x:f>
      </x:c>
      <x:c r="BP24" s="117" t="n">
        <x:f>IF(BP$3&gt;=$B$8,MAX(0,MAX(0,BP23)*'Вводные'!$B$21-BO25),0)</x:f>
      </x:c>
      <x:c r="BQ24" s="117" t="n">
        <x:f>IF(BQ$3&gt;=$B$8,MAX(0,MAX(0,BQ23)*'Вводные'!$B$21-BP25),0)</x:f>
      </x:c>
      <x:c r="BR24" s="117" t="n">
        <x:f>IF(BR$3&gt;=$B$8,MAX(0,MAX(0,BR23)*'Вводные'!$B$21-BQ25),0)</x:f>
      </x:c>
      <x:c r="BS24" s="117" t="n">
        <x:f>IF(BS$3&gt;=$B$8,MAX(0,MAX(0,BS23)*'Вводные'!$B$21-BR25),0)</x:f>
      </x:c>
      <x:c r="BT24" s="117" t="n">
        <x:f>IF(BT$3&gt;=$B$8,MAX(0,MAX(0,BT23)*'Вводные'!$B$21-BS25),0)</x:f>
      </x:c>
      <x:c r="BU24" s="117" t="n">
        <x:f>IF(BU$3&gt;=$B$8,MAX(0,MAX(0,BU23)*'Вводные'!$B$21-BT25),0)</x:f>
      </x:c>
      <x:c r="BV24" s="117" t="n">
        <x:f>IF(BV$3&gt;=$B$8,MAX(0,MAX(0,BV23)*'Вводные'!$B$21-BU25),0)</x:f>
      </x:c>
      <x:c r="BW24" s="117" t="n">
        <x:f>IF(BW$3&gt;=$B$8,MAX(0,MAX(0,BW23)*'Вводные'!$B$21-BV25),0)</x:f>
      </x:c>
      <x:c r="BX24" s="117" t="n">
        <x:f>IF(BX$3&gt;=$B$8,MAX(0,MAX(0,BX23)*'Вводные'!$B$21-BW25),0)</x:f>
      </x:c>
      <x:c r="BY24" s="117" t="n">
        <x:f>IF(BY$3&gt;=$B$8,MAX(0,MAX(0,BY23)*'Вводные'!$B$21-BX25),0)</x:f>
      </x:c>
      <x:c r="BZ24" s="117" t="n">
        <x:f>IF(BZ$3&gt;=$B$8,MAX(0,MAX(0,BZ23)*'Вводные'!$B$21-BY25),0)</x:f>
      </x:c>
      <x:c r="CA24" s="117" t="n">
        <x:f>IF(CA$3&gt;=$B$8,MAX(0,MAX(0,CA23)*'Вводные'!$B$21-BZ25),0)</x:f>
      </x:c>
      <x:c r="CB24" s="117" t="n">
        <x:f>IF(CB$3&gt;=$B$8,MAX(0,MAX(0,CB23)*'Вводные'!$B$21-CA25),0)</x:f>
      </x:c>
      <x:c r="CC24" s="117" t="n">
        <x:f>IF(CC$3&gt;=$B$8,MAX(0,MAX(0,CC23)*'Вводные'!$B$21-CB25),0)</x:f>
      </x:c>
      <x:c r="CD24" s="117" t="n">
        <x:f>IF(CD$3&gt;=$B$8,MAX(0,MAX(0,CD23)*'Вводные'!$B$21-CC25),0)</x:f>
      </x:c>
      <x:c r="CE24" s="117" t="n">
        <x:f>IF(CE$3&gt;=$B$8,MAX(0,MAX(0,CE23)*'Вводные'!$B$21-CD25),0)</x:f>
      </x:c>
      <x:c r="CF24" s="117" t="n">
        <x:f>IF(CF$3&gt;=$B$8,MAX(0,MAX(0,CF23)*'Вводные'!$B$21-CE25),0)</x:f>
      </x:c>
      <x:c r="CG24" s="117" t="n">
        <x:f>IF(CG$3&gt;=$B$8,MAX(0,MAX(0,CG23)*'Вводные'!$B$21-CF25),0)</x:f>
      </x:c>
      <x:c r="CH24" s="117" t="n">
        <x:f>IF(CH$3&gt;=$B$8,MAX(0,MAX(0,CH23)*'Вводные'!$B$21-CG25),0)</x:f>
      </x:c>
      <x:c r="CI24" s="117" t="n">
        <x:f>IF(CI$3&gt;=$B$8,MAX(0,MAX(0,CI23)*'Вводные'!$B$21-CH25),0)</x:f>
      </x:c>
      <x:c r="CJ24" s="117" t="n">
        <x:f>IF(CJ$3&gt;=$B$8,MAX(0,MAX(0,CJ23)*'Вводные'!$B$21-CI25),0)</x:f>
      </x:c>
      <x:c r="CK24" s="117" t="n">
        <x:f>IF(CK$3&gt;=$B$8,MAX(0,MAX(0,CK23)*'Вводные'!$B$21-CJ25),0)</x:f>
      </x:c>
      <x:c r="CL24" s="117" t="n">
        <x:f>IF(CL$3&gt;=$B$8,MAX(0,MAX(0,CL23)*'Вводные'!$B$21-CK25),0)</x:f>
      </x:c>
      <x:c r="CM24" s="117" t="n">
        <x:f>IF(CM$3&gt;=$B$8,MAX(0,MAX(0,CM23)*'Вводные'!$B$21-CL25),0)</x:f>
      </x:c>
      <x:c r="CN24" s="117" t="n">
        <x:f>IF(CN$3&gt;=$B$8,MAX(0,MAX(0,CN23)*'Вводные'!$B$21-CM25),0)</x:f>
      </x:c>
      <x:c r="CO24" s="117" t="n">
        <x:f>IF(CO$3&gt;=$B$8,MAX(0,MAX(0,CO23)*'Вводные'!$B$21-CN25),0)</x:f>
      </x:c>
      <x:c r="CP24" s="117" t="n">
        <x:f>IF(CP$3&gt;=$B$8,MAX(0,MAX(0,CP23)*'Вводные'!$B$21-CO25),0)</x:f>
      </x:c>
      <x:c r="CQ24" s="117" t="n">
        <x:f>IF(CQ$3&gt;=$B$8,MAX(0,MAX(0,CQ23)*'Вводные'!$B$21-CP25),0)</x:f>
      </x:c>
      <x:c r="CR24" s="117" t="n">
        <x:f>IF(CR$3&gt;=$B$8,MAX(0,MAX(0,CR23)*'Вводные'!$B$21-CQ25),0)</x:f>
      </x:c>
      <x:c r="CS24" s="117" t="n">
        <x:f>IF(CS$3&gt;=$B$8,MAX(0,MAX(0,CS23)*'Вводные'!$B$21-CR25),0)</x:f>
      </x:c>
      <x:c r="CT24" s="117" t="n">
        <x:f>IF(CT$3&gt;=$B$8,MAX(0,MAX(0,CT23)*'Вводные'!$B$21-CS25),0)</x:f>
      </x:c>
      <x:c r="CU24" s="117" t="n">
        <x:f>IF(CU$3&gt;=$B$8,MAX(0,MAX(0,CU23)*'Вводные'!$B$21-CT25),0)</x:f>
      </x:c>
      <x:c r="CV24" s="117" t="n">
        <x:f>IF(CV$3&gt;=$B$8,MAX(0,MAX(0,CV23)*'Вводные'!$B$21-CU25),0)</x:f>
      </x:c>
      <x:c r="CW24" s="117" t="n">
        <x:f>IF(CW$3&gt;=$B$8,MAX(0,MAX(0,CW23)*'Вводные'!$B$21-CV25),0)</x:f>
      </x:c>
      <x:c r="CX24" s="117" t="n">
        <x:f>IF(CX$3&gt;=$B$8,MAX(0,MAX(0,CX23)*'Вводные'!$B$21-CW25),0)</x:f>
      </x:c>
      <x:c r="CY24" s="117" t="n">
        <x:f>IF(CY$3&gt;=$B$8,MAX(0,MAX(0,CY23)*'Вводные'!$B$21-CX25),0)</x:f>
      </x:c>
      <x:c r="CZ24" s="117" t="n">
        <x:f>IF(CZ$3&gt;=$B$8,MAX(0,MAX(0,CZ23)*'Вводные'!$B$21-CY25),0)</x:f>
      </x:c>
      <x:c r="DA24" s="117" t="n">
        <x:f>IF(DA$3&gt;=$B$8,MAX(0,MAX(0,DA23)*'Вводные'!$B$21-CZ25),0)</x:f>
      </x:c>
      <x:c r="DB24" s="117" t="n">
        <x:f>IF(DB$3&gt;=$B$8,MAX(0,MAX(0,DB23)*'Вводные'!$B$21-DA25),0)</x:f>
      </x:c>
      <x:c r="DC24" s="117" t="n">
        <x:f>IF(DC$3&gt;=$B$8,MAX(0,MAX(0,DC23)*'Вводные'!$B$21-DB25),0)</x:f>
      </x:c>
      <x:c r="DD24" s="117" t="n">
        <x:f>IF(DD$3&gt;=$B$8,MAX(0,MAX(0,DD23)*'Вводные'!$B$21-DC25),0)</x:f>
      </x:c>
      <x:c r="DE24" s="117" t="n">
        <x:f>IF(DE$3&gt;=$B$8,MAX(0,MAX(0,DE23)*'Вводные'!$B$21-DD25),0)</x:f>
      </x:c>
      <x:c r="DF24" s="117" t="n">
        <x:f>IF(DF$3&gt;=$B$8,MAX(0,MAX(0,DF23)*'Вводные'!$B$21-DE25),0)</x:f>
      </x:c>
      <x:c r="DG24" s="117" t="n">
        <x:f>IF(DG$3&gt;=$B$8,MAX(0,MAX(0,DG23)*'Вводные'!$B$21-DF25),0)</x:f>
      </x:c>
      <x:c r="DH24" s="117" t="n">
        <x:f>IF(DH$3&gt;=$B$8,MAX(0,MAX(0,DH23)*'Вводные'!$B$21-DG25),0)</x:f>
      </x:c>
      <x:c r="DI24" s="117" t="n">
        <x:f>IF(DI$3&gt;=$B$8,MAX(0,MAX(0,DI23)*'Вводные'!$B$21-DH25),0)</x:f>
      </x:c>
      <x:c r="DJ24" s="117" t="n">
        <x:f>IF(DJ$3&gt;=$B$8,MAX(0,MAX(0,DJ23)*'Вводные'!$B$21-DI25),0)</x:f>
      </x:c>
      <x:c r="DK24" s="117" t="n">
        <x:f>IF(DK$3&gt;=$B$8,MAX(0,MAX(0,DK23)*'Вводные'!$B$21-DJ25),0)</x:f>
      </x:c>
      <x:c r="DL24" s="117" t="n">
        <x:f>IF(DL$3&gt;=$B$8,MAX(0,MAX(0,DL23)*'Вводные'!$B$21-DK25),0)</x:f>
      </x:c>
      <x:c r="DM24" s="117" t="n">
        <x:f>IF(DM$3&gt;=$B$8,MAX(0,MAX(0,DM23)*'Вводные'!$B$21-DL25),0)</x:f>
      </x:c>
      <x:c r="DN24" s="117" t="n">
        <x:f>IF(DN$3&gt;=$B$8,MAX(0,MAX(0,DN23)*'Вводные'!$B$21-DM25),0)</x:f>
      </x:c>
      <x:c r="DO24" s="117" t="n">
        <x:f>IF(DO$3&gt;=$B$8,MAX(0,MAX(0,DO23)*'Вводные'!$B$21-DN25),0)</x:f>
      </x:c>
      <x:c r="DP24" s="117" t="n">
        <x:f>IF(DP$3&gt;=$B$8,MAX(0,MAX(0,DP23)*'Вводные'!$B$21-DO25),0)</x:f>
      </x:c>
      <x:c r="DQ24" s="117" t="n">
        <x:f>IF(DQ$3&gt;=$B$8,MAX(0,MAX(0,DQ23)*'Вводные'!$B$21-DP25),0)</x:f>
      </x:c>
      <x:c r="DR24" s="117" t="n">
        <x:f>IF(DR$3&gt;=$B$8,MAX(0,MAX(0,DR23)*'Вводные'!$B$21-DQ25),0)</x:f>
      </x:c>
      <x:c r="DS24" s="117" t="n">
        <x:f>IF(DS$3&gt;=$B$8,MAX(0,MAX(0,DS23)*'Вводные'!$B$21-DR25),0)</x:f>
      </x:c>
      <x:c r="DT24" s="117" t="n">
        <x:f>IF(DT$3&gt;=$B$8,MAX(0,MAX(0,DT23)*'Вводные'!$B$21-DS25),0)</x:f>
      </x:c>
      <x:c r="DU24" s="117" t="n">
        <x:f>IF(DU$3&gt;=$B$8,MAX(0,MAX(0,DU23)*'Вводные'!$B$21-DT25),0)</x:f>
      </x:c>
      <x:c r="DV24" s="117" t="n">
        <x:f>IF(DV$3&gt;=$B$8,MAX(0,MAX(0,DV23)*'Вводные'!$B$21-DU25),0)</x:f>
      </x:c>
      <x:c r="DW24" s="117" t="n">
        <x:f>IF(DW$3&gt;=$B$8,MAX(0,MAX(0,DW23)*'Вводные'!$B$21-DV25),0)</x:f>
      </x:c>
      <x:c r="DX24" s="117" t="n">
        <x:f>IF(DX$3&gt;=$B$8,MAX(0,MAX(0,DX23)*'Вводные'!$B$21-DW25),0)</x:f>
      </x:c>
      <x:c r="DY24" s="117" t="n">
        <x:f>IF(DY$3&gt;=$B$8,MAX(0,MAX(0,DY23)*'Вводные'!$B$21-DX25),0)</x:f>
      </x:c>
      <x:c r="DZ24" s="117" t="n">
        <x:f>IF(DZ$3&gt;=$B$8,MAX(0,MAX(0,DZ23)*'Вводные'!$B$21-DY25),0)</x:f>
      </x:c>
      <x:c r="EA24" s="117" t="n">
        <x:f>IF(EA$3&gt;=$B$8,MAX(0,MAX(0,EA23)*'Вводные'!$B$21-DZ25),0)</x:f>
      </x:c>
      <x:c r="EB24" s="117" t="n">
        <x:f>IF(EB$3&gt;=$B$8,MAX(0,MAX(0,EB23)*'Вводные'!$B$21-EA25),0)</x:f>
      </x:c>
      <x:c r="EC24" s="117" t="n">
        <x:f>IF(EC$3&gt;=$B$8,MAX(0,MAX(0,EC23)*'Вводные'!$B$21-EB25),0)</x:f>
      </x:c>
      <x:c r="ED24" s="117" t="n">
        <x:f>IF(ED$3&gt;=$B$8,MAX(0,MAX(0,ED23)*'Вводные'!$B$21-EC25),0)</x:f>
      </x:c>
      <x:c r="EE24" s="117" t="n">
        <x:f>IF(EE$3&gt;=$B$8,MAX(0,MAX(0,EE23)*'Вводные'!$B$21-ED25),0)</x:f>
      </x:c>
      <x:c r="EF24" s="117" t="n">
        <x:f>IF(EF$3&gt;=$B$8,MAX(0,MAX(0,EF23)*'Вводные'!$B$21-EE25),0)</x:f>
      </x:c>
      <x:c r="EG24" s="117" t="n">
        <x:f>IF(EG$3&gt;=$B$8,MAX(0,MAX(0,EG23)*'Вводные'!$B$21-EF25),0)</x:f>
      </x:c>
      <x:c r="EH24" s="117" t="n">
        <x:f>IF(EH$3&gt;=$B$8,MAX(0,MAX(0,EH23)*'Вводные'!$B$21-EG25),0)</x:f>
      </x:c>
      <x:c r="EI24" s="117" t="n">
        <x:f>IF(EI$3&gt;=$B$8,MAX(0,MAX(0,EI23)*'Вводные'!$B$21-EH25),0)</x:f>
      </x:c>
      <x:c r="EJ24" s="117" t="n">
        <x:f>IF(EJ$3&gt;=$B$8,MAX(0,MAX(0,EJ23)*'Вводные'!$B$21-EI25),0)</x:f>
      </x:c>
      <x:c r="EK24" s="117" t="n">
        <x:f>IF(EK$3&gt;=$B$8,MAX(0,MAX(0,EK23)*'Вводные'!$B$21-EJ25),0)</x:f>
      </x:c>
      <x:c r="EL24" s="117" t="n">
        <x:f>IF(EL$3&gt;=$B$8,MAX(0,MAX(0,EL23)*'Вводные'!$B$21-EK25),0)</x:f>
      </x:c>
      <x:c r="EM24" s="117" t="n">
        <x:f>IF(EM$3&gt;=$B$8,MAX(0,MAX(0,EM23)*'Вводные'!$B$21-EL25),0)</x:f>
      </x:c>
      <x:c r="EN24" s="117" t="n">
        <x:f>IF(EN$3&gt;=$B$8,MAX(0,MAX(0,EN23)*'Вводные'!$B$21-EM25),0)</x:f>
      </x:c>
      <x:c r="EO24" s="117" t="n">
        <x:f>IF(EO$3&gt;=$B$8,MAX(0,MAX(0,EO23)*'Вводные'!$B$21-EN25),0)</x:f>
      </x:c>
      <x:c r="EP24" s="117" t="n">
        <x:f>IF(EP$3&gt;=$B$8,MAX(0,MAX(0,EP23)*'Вводные'!$B$21-EO25),0)</x:f>
      </x:c>
      <x:c r="EQ24" s="117" t="n">
        <x:f>IF(EQ$3&gt;=$B$8,MAX(0,MAX(0,EQ23)*'Вводные'!$B$21-EP25),0)</x:f>
      </x:c>
      <x:c r="ER24" s="117" t="n">
        <x:f>IF(ER$3&gt;=$B$8,MAX(0,MAX(0,ER23)*'Вводные'!$B$21-EQ25),0)</x:f>
      </x:c>
      <x:c r="ES24" s="117" t="n">
        <x:f>IF(ES$3&gt;=$B$8,MAX(0,MAX(0,ES23)*'Вводные'!$B$21-ER25),0)</x:f>
      </x:c>
      <x:c r="ET24" s="117" t="n">
        <x:f>IF(ET$3&gt;=$B$8,MAX(0,MAX(0,ET23)*'Вводные'!$B$21-ES25),0)</x:f>
      </x:c>
      <x:c r="EU24" s="117" t="n">
        <x:f>IF(EU$3&gt;=$B$8,MAX(0,MAX(0,EU23)*'Вводные'!$B$21-ET25),0)</x:f>
      </x:c>
      <x:c r="EV24" s="117" t="n">
        <x:f>IF(EV$3&gt;=$B$8,MAX(0,MAX(0,EV23)*'Вводные'!$B$21-EU25),0)</x:f>
      </x:c>
      <x:c r="EW24" s="117" t="n">
        <x:f>IF(EW$3&gt;=$B$8,MAX(0,MAX(0,EW23)*'Вводные'!$B$21-EV25),0)</x:f>
      </x:c>
      <x:c r="EX24" s="117" t="n">
        <x:f>IF(EX$3&gt;=$B$8,MAX(0,MAX(0,EX23)*'Вводные'!$B$21-EW25),0)</x:f>
      </x:c>
      <x:c r="EY24" s="117" t="n">
        <x:f>IF(EY$3&gt;=$B$8,MAX(0,MAX(0,EY23)*'Вводные'!$B$21-EX25),0)</x:f>
      </x:c>
      <x:c r="EZ24" s="117" t="n">
        <x:f>IF(EZ$3&gt;=$B$8,MAX(0,MAX(0,EZ23)*'Вводные'!$B$21-EY25),0)</x:f>
      </x:c>
      <x:c r="FA24" s="117" t="n">
        <x:f>IF(FA$3&gt;=$B$8,MAX(0,MAX(0,FA23)*'Вводные'!$B$21-EZ25),0)</x:f>
      </x:c>
      <x:c r="FB24" s="117" t="n">
        <x:f>IF(FB$3&gt;=$B$8,MAX(0,MAX(0,FB23)*'Вводные'!$B$21-FA25),0)</x:f>
      </x:c>
      <x:c r="FC24" s="117" t="n">
        <x:f>IF(FC$3&gt;=$B$8,MAX(0,MAX(0,FC23)*'Вводные'!$B$21-FB25),0)</x:f>
      </x:c>
      <x:c r="FD24" s="117" t="n">
        <x:f>IF(FD$3&gt;=$B$8,MAX(0,MAX(0,FD23)*'Вводные'!$B$21-FC25),0)</x:f>
      </x:c>
      <x:c r="FE24" s="117" t="n">
        <x:f>IF(FE$3&gt;=$B$8,MAX(0,MAX(0,FE23)*'Вводные'!$B$21-FD25),0)</x:f>
      </x:c>
      <x:c r="FF24" s="117" t="n">
        <x:f>IF(FF$3&gt;=$B$8,MAX(0,MAX(0,FF23)*'Вводные'!$B$21-FE25),0)</x:f>
      </x:c>
      <x:c r="FG24" s="117" t="n">
        <x:f>IF(FG$3&gt;=$B$8,MAX(0,MAX(0,FG23)*'Вводные'!$B$21-FF25),0)</x:f>
      </x:c>
      <x:c r="FH24" s="117" t="n">
        <x:f>IF(FH$3&gt;=$B$8,MAX(0,MAX(0,FH23)*'Вводные'!$B$21-FG25),0)</x:f>
      </x:c>
      <x:c r="FI24" s="117" t="n">
        <x:f>IF(FI$3&gt;=$B$8,MAX(0,MAX(0,FI23)*'Вводные'!$B$21-FH25),0)</x:f>
      </x:c>
      <x:c r="FJ24" s="117" t="n">
        <x:f>IF(FJ$3&gt;=$B$8,MAX(0,MAX(0,FJ23)*'Вводные'!$B$21-FI25),0)</x:f>
      </x:c>
      <x:c r="FK24" s="117" t="n">
        <x:f>IF(FK$3&gt;=$B$8,MAX(0,MAX(0,FK23)*'Вводные'!$B$21-FJ25),0)</x:f>
      </x:c>
      <x:c r="FL24" s="117" t="n">
        <x:f>IF(FL$3&gt;=$B$8,MAX(0,MAX(0,FL23)*'Вводные'!$B$21-FK25),0)</x:f>
      </x:c>
      <x:c r="FM24" s="117" t="n">
        <x:f>IF(FM$3&gt;=$B$8,MAX(0,MAX(0,FM23)*'Вводные'!$B$21-FL25),0)</x:f>
      </x:c>
      <x:c r="FN24" s="117" t="n">
        <x:f>IF(FN$3&gt;=$B$8,MAX(0,MAX(0,FN23)*'Вводные'!$B$21-FM25),0)</x:f>
      </x:c>
      <x:c r="FO24" s="117" t="n">
        <x:f>IF(FO$3&gt;=$B$8,MAX(0,MAX(0,FO23)*'Вводные'!$B$21-FN25),0)</x:f>
      </x:c>
      <x:c r="FP24" s="117" t="n">
        <x:f>IF(FP$3&gt;=$B$8,MAX(0,MAX(0,FP23)*'Вводные'!$B$21-FO25),0)</x:f>
      </x:c>
      <x:c r="FQ24" s="117" t="n">
        <x:f>IF(FQ$3&gt;=$B$8,MAX(0,MAX(0,FQ23)*'Вводные'!$B$21-FP25),0)</x:f>
      </x:c>
      <x:c r="FR24" s="117" t="n">
        <x:f>IF(FR$3&gt;=$B$8,MAX(0,MAX(0,FR23)*'Вводные'!$B$21-FQ25),0)</x:f>
      </x:c>
      <x:c r="FS24" s="117" t="n">
        <x:f>IF(FS$3&gt;=$B$8,MAX(0,MAX(0,FS23)*'Вводные'!$B$21-FR25),0)</x:f>
      </x:c>
      <x:c r="FT24" s="117" t="n">
        <x:f>IF(FT$3&gt;=$B$8,MAX(0,MAX(0,FT23)*'Вводные'!$B$21-FS25),0)</x:f>
      </x:c>
      <x:c r="FU24" s="117" t="n">
        <x:f>IF(FU$3&gt;=$B$8,MAX(0,MAX(0,FU23)*'Вводные'!$B$21-FT25),0)</x:f>
      </x:c>
      <x:c r="FV24" s="117" t="n">
        <x:f>IF(FV$3&gt;=$B$8,MAX(0,MAX(0,FV23)*'Вводные'!$B$21-FU25),0)</x:f>
      </x:c>
      <x:c r="FW24" s="117" t="n">
        <x:f>IF(FW$3&gt;=$B$8,MAX(0,MAX(0,FW23)*'Вводные'!$B$21-FV25),0)</x:f>
      </x:c>
      <x:c r="FX24" s="117" t="n">
        <x:f>IF(FX$3&gt;=$B$8,MAX(0,MAX(0,FX23)*'Вводные'!$B$21-FW25),0)</x:f>
      </x:c>
      <x:c r="FY24" s="117" t="n">
        <x:f>IF(FY$3&gt;=$B$8,MAX(0,MAX(0,FY23)*'Вводные'!$B$21-FX25),0)</x:f>
      </x:c>
      <x:c r="FZ24" s="117" t="n">
        <x:f>IF(FZ$3&gt;=$B$8,MAX(0,MAX(0,FZ23)*'Вводные'!$B$21-FY25),0)</x:f>
      </x:c>
      <x:c r="GA24" s="117" t="n">
        <x:f>IF(GA$3&gt;=$B$8,MAX(0,MAX(0,GA23)*'Вводные'!$B$21-FZ25),0)</x:f>
      </x:c>
    </x:row>
    <x:row r="25">
      <x:c r="A25" t="str">
        <x:v>Налог уплачен накопленно</x:v>
      </x:c>
      <x:c r="B25" t="n">
        <x:f>GA25</x:f>
      </x:c>
      <x:c r="C25" t="str">
        <x:v>млн ₽</x:v>
      </x:c>
      <x:c r="D25" s="117" t="n">
        <x:f>D24</x:f>
      </x:c>
      <x:c r="E25" s="117" t="n">
        <x:f>D25+E24</x:f>
      </x:c>
      <x:c r="F25" s="117" t="n">
        <x:f>E25+F24</x:f>
      </x:c>
      <x:c r="G25" s="117" t="n">
        <x:f>F25+G24</x:f>
      </x:c>
      <x:c r="H25" s="117" t="n">
        <x:f>G25+H24</x:f>
      </x:c>
      <x:c r="I25" s="117" t="n">
        <x:f>H25+I24</x:f>
      </x:c>
      <x:c r="J25" s="117" t="n">
        <x:f>I25+J24</x:f>
      </x:c>
      <x:c r="K25" s="117" t="n">
        <x:f>J25+K24</x:f>
      </x:c>
      <x:c r="L25" s="117" t="n">
        <x:f>K25+L24</x:f>
      </x:c>
      <x:c r="M25" s="117" t="n">
        <x:f>L25+M24</x:f>
      </x:c>
      <x:c r="N25" s="117" t="n">
        <x:f>M25+N24</x:f>
      </x:c>
      <x:c r="O25" s="117" t="n">
        <x:f>N25+O24</x:f>
      </x:c>
      <x:c r="P25" s="117" t="n">
        <x:f>O25+P24</x:f>
      </x:c>
      <x:c r="Q25" s="117" t="n">
        <x:f>P25+Q24</x:f>
      </x:c>
      <x:c r="R25" s="117" t="n">
        <x:f>Q25+R24</x:f>
      </x:c>
      <x:c r="S25" s="117" t="n">
        <x:f>R25+S24</x:f>
      </x:c>
      <x:c r="T25" s="117" t="n">
        <x:f>S25+T24</x:f>
      </x:c>
      <x:c r="U25" s="117" t="n">
        <x:f>T25+U24</x:f>
      </x:c>
      <x:c r="V25" s="117" t="n">
        <x:f>U25+V24</x:f>
      </x:c>
      <x:c r="W25" s="117" t="n">
        <x:f>V25+W24</x:f>
      </x:c>
      <x:c r="X25" s="117" t="n">
        <x:f>W25+X24</x:f>
      </x:c>
      <x:c r="Y25" s="117" t="n">
        <x:f>X25+Y24</x:f>
      </x:c>
      <x:c r="Z25" s="117" t="n">
        <x:f>Y25+Z24</x:f>
      </x:c>
      <x:c r="AA25" s="117" t="n">
        <x:f>Z25+AA24</x:f>
      </x:c>
      <x:c r="AB25" s="117" t="n">
        <x:f>AA25+AB24</x:f>
      </x:c>
      <x:c r="AC25" s="117" t="n">
        <x:f>AB25+AC24</x:f>
      </x:c>
      <x:c r="AD25" s="117" t="n">
        <x:f>AC25+AD24</x:f>
      </x:c>
      <x:c r="AE25" s="117" t="n">
        <x:f>AD25+AE24</x:f>
      </x:c>
      <x:c r="AF25" s="117" t="n">
        <x:f>AE25+AF24</x:f>
      </x:c>
      <x:c r="AG25" s="117" t="n">
        <x:f>AF25+AG24</x:f>
      </x:c>
      <x:c r="AH25" s="117" t="n">
        <x:f>AG25+AH24</x:f>
      </x:c>
      <x:c r="AI25" s="117" t="n">
        <x:f>AH25+AI24</x:f>
      </x:c>
      <x:c r="AJ25" s="117" t="n">
        <x:f>AI25+AJ24</x:f>
      </x:c>
      <x:c r="AK25" s="117" t="n">
        <x:f>AJ25+AK24</x:f>
      </x:c>
      <x:c r="AL25" s="117" t="n">
        <x:f>AK25+AL24</x:f>
      </x:c>
      <x:c r="AM25" s="117" t="n">
        <x:f>AL25+AM24</x:f>
      </x:c>
      <x:c r="AN25" s="117" t="n">
        <x:f>AM25+AN24</x:f>
      </x:c>
      <x:c r="AO25" s="117" t="n">
        <x:f>AN25+AO24</x:f>
      </x:c>
      <x:c r="AP25" s="117" t="n">
        <x:f>AO25+AP24</x:f>
      </x:c>
      <x:c r="AQ25" s="117" t="n">
        <x:f>AP25+AQ24</x:f>
      </x:c>
      <x:c r="AR25" s="117" t="n">
        <x:f>AQ25+AR24</x:f>
      </x:c>
      <x:c r="AS25" s="117" t="n">
        <x:f>AR25+AS24</x:f>
      </x:c>
      <x:c r="AT25" s="117" t="n">
        <x:f>AS25+AT24</x:f>
      </x:c>
      <x:c r="AU25" s="117" t="n">
        <x:f>AT25+AU24</x:f>
      </x:c>
      <x:c r="AV25" s="117" t="n">
        <x:f>AU25+AV24</x:f>
      </x:c>
      <x:c r="AW25" s="117" t="n">
        <x:f>AV25+AW24</x:f>
      </x:c>
      <x:c r="AX25" s="117" t="n">
        <x:f>AW25+AX24</x:f>
      </x:c>
      <x:c r="AY25" s="117" t="n">
        <x:f>AX25+AY24</x:f>
      </x:c>
      <x:c r="AZ25" s="117" t="n">
        <x:f>AY25+AZ24</x:f>
      </x:c>
      <x:c r="BA25" s="117" t="n">
        <x:f>AZ25+BA24</x:f>
      </x:c>
      <x:c r="BB25" s="117" t="n">
        <x:f>BA25+BB24</x:f>
      </x:c>
      <x:c r="BC25" s="117" t="n">
        <x:f>BB25+BC24</x:f>
      </x:c>
      <x:c r="BD25" s="117" t="n">
        <x:f>BC25+BD24</x:f>
      </x:c>
      <x:c r="BE25" s="117" t="n">
        <x:f>BD25+BE24</x:f>
      </x:c>
      <x:c r="BF25" s="117" t="n">
        <x:f>BE25+BF24</x:f>
      </x:c>
      <x:c r="BG25" s="117" t="n">
        <x:f>BF25+BG24</x:f>
      </x:c>
      <x:c r="BH25" s="117" t="n">
        <x:f>BG25+BH24</x:f>
      </x:c>
      <x:c r="BI25" s="117" t="n">
        <x:f>BH25+BI24</x:f>
      </x:c>
      <x:c r="BJ25" s="117" t="n">
        <x:f>BI25+BJ24</x:f>
      </x:c>
      <x:c r="BK25" s="117" t="n">
        <x:f>BJ25+BK24</x:f>
      </x:c>
      <x:c r="BL25" s="117" t="n">
        <x:f>BK25+BL24</x:f>
      </x:c>
      <x:c r="BM25" s="117" t="n">
        <x:f>BL25+BM24</x:f>
      </x:c>
      <x:c r="BN25" s="117" t="n">
        <x:f>BM25+BN24</x:f>
      </x:c>
      <x:c r="BO25" s="117" t="n">
        <x:f>BN25+BO24</x:f>
      </x:c>
      <x:c r="BP25" s="117" t="n">
        <x:f>BO25+BP24</x:f>
      </x:c>
      <x:c r="BQ25" s="117" t="n">
        <x:f>BP25+BQ24</x:f>
      </x:c>
      <x:c r="BR25" s="117" t="n">
        <x:f>BQ25+BR24</x:f>
      </x:c>
      <x:c r="BS25" s="117" t="n">
        <x:f>BR25+BS24</x:f>
      </x:c>
      <x:c r="BT25" s="117" t="n">
        <x:f>BS25+BT24</x:f>
      </x:c>
      <x:c r="BU25" s="117" t="n">
        <x:f>BT25+BU24</x:f>
      </x:c>
      <x:c r="BV25" s="117" t="n">
        <x:f>BU25+BV24</x:f>
      </x:c>
      <x:c r="BW25" s="117" t="n">
        <x:f>BV25+BW24</x:f>
      </x:c>
      <x:c r="BX25" s="117" t="n">
        <x:f>BW25+BX24</x:f>
      </x:c>
      <x:c r="BY25" s="117" t="n">
        <x:f>BX25+BY24</x:f>
      </x:c>
      <x:c r="BZ25" s="117" t="n">
        <x:f>BY25+BZ24</x:f>
      </x:c>
      <x:c r="CA25" s="117" t="n">
        <x:f>BZ25+CA24</x:f>
      </x:c>
      <x:c r="CB25" s="117" t="n">
        <x:f>CA25+CB24</x:f>
      </x:c>
      <x:c r="CC25" s="117" t="n">
        <x:f>CB25+CC24</x:f>
      </x:c>
      <x:c r="CD25" s="117" t="n">
        <x:f>CC25+CD24</x:f>
      </x:c>
      <x:c r="CE25" s="117" t="n">
        <x:f>CD25+CE24</x:f>
      </x:c>
      <x:c r="CF25" s="117" t="n">
        <x:f>CE25+CF24</x:f>
      </x:c>
      <x:c r="CG25" s="117" t="n">
        <x:f>CF25+CG24</x:f>
      </x:c>
      <x:c r="CH25" s="117" t="n">
        <x:f>CG25+CH24</x:f>
      </x:c>
      <x:c r="CI25" s="117" t="n">
        <x:f>CH25+CI24</x:f>
      </x:c>
      <x:c r="CJ25" s="117" t="n">
        <x:f>CI25+CJ24</x:f>
      </x:c>
      <x:c r="CK25" s="117" t="n">
        <x:f>CJ25+CK24</x:f>
      </x:c>
      <x:c r="CL25" s="117" t="n">
        <x:f>CK25+CL24</x:f>
      </x:c>
      <x:c r="CM25" s="117" t="n">
        <x:f>CL25+CM24</x:f>
      </x:c>
      <x:c r="CN25" s="117" t="n">
        <x:f>CM25+CN24</x:f>
      </x:c>
      <x:c r="CO25" s="117" t="n">
        <x:f>CN25+CO24</x:f>
      </x:c>
      <x:c r="CP25" s="117" t="n">
        <x:f>CO25+CP24</x:f>
      </x:c>
      <x:c r="CQ25" s="117" t="n">
        <x:f>CP25+CQ24</x:f>
      </x:c>
      <x:c r="CR25" s="117" t="n">
        <x:f>CQ25+CR24</x:f>
      </x:c>
      <x:c r="CS25" s="117" t="n">
        <x:f>CR25+CS24</x:f>
      </x:c>
      <x:c r="CT25" s="117" t="n">
        <x:f>CS25+CT24</x:f>
      </x:c>
      <x:c r="CU25" s="117" t="n">
        <x:f>CT25+CU24</x:f>
      </x:c>
      <x:c r="CV25" s="117" t="n">
        <x:f>CU25+CV24</x:f>
      </x:c>
      <x:c r="CW25" s="117" t="n">
        <x:f>CV25+CW24</x:f>
      </x:c>
      <x:c r="CX25" s="117" t="n">
        <x:f>CW25+CX24</x:f>
      </x:c>
      <x:c r="CY25" s="117" t="n">
        <x:f>CX25+CY24</x:f>
      </x:c>
      <x:c r="CZ25" s="117" t="n">
        <x:f>CY25+CZ24</x:f>
      </x:c>
      <x:c r="DA25" s="117" t="n">
        <x:f>CZ25+DA24</x:f>
      </x:c>
      <x:c r="DB25" s="117" t="n">
        <x:f>DA25+DB24</x:f>
      </x:c>
      <x:c r="DC25" s="117" t="n">
        <x:f>DB25+DC24</x:f>
      </x:c>
      <x:c r="DD25" s="117" t="n">
        <x:f>DC25+DD24</x:f>
      </x:c>
      <x:c r="DE25" s="117" t="n">
        <x:f>DD25+DE24</x:f>
      </x:c>
      <x:c r="DF25" s="117" t="n">
        <x:f>DE25+DF24</x:f>
      </x:c>
      <x:c r="DG25" s="117" t="n">
        <x:f>DF25+DG24</x:f>
      </x:c>
      <x:c r="DH25" s="117" t="n">
        <x:f>DG25+DH24</x:f>
      </x:c>
      <x:c r="DI25" s="117" t="n">
        <x:f>DH25+DI24</x:f>
      </x:c>
      <x:c r="DJ25" s="117" t="n">
        <x:f>DI25+DJ24</x:f>
      </x:c>
      <x:c r="DK25" s="117" t="n">
        <x:f>DJ25+DK24</x:f>
      </x:c>
      <x:c r="DL25" s="117" t="n">
        <x:f>DK25+DL24</x:f>
      </x:c>
      <x:c r="DM25" s="117" t="n">
        <x:f>DL25+DM24</x:f>
      </x:c>
      <x:c r="DN25" s="117" t="n">
        <x:f>DM25+DN24</x:f>
      </x:c>
      <x:c r="DO25" s="117" t="n">
        <x:f>DN25+DO24</x:f>
      </x:c>
      <x:c r="DP25" s="117" t="n">
        <x:f>DO25+DP24</x:f>
      </x:c>
      <x:c r="DQ25" s="117" t="n">
        <x:f>DP25+DQ24</x:f>
      </x:c>
      <x:c r="DR25" s="117" t="n">
        <x:f>DQ25+DR24</x:f>
      </x:c>
      <x:c r="DS25" s="117" t="n">
        <x:f>DR25+DS24</x:f>
      </x:c>
      <x:c r="DT25" s="117" t="n">
        <x:f>DS25+DT24</x:f>
      </x:c>
      <x:c r="DU25" s="117" t="n">
        <x:f>DT25+DU24</x:f>
      </x:c>
      <x:c r="DV25" s="117" t="n">
        <x:f>DU25+DV24</x:f>
      </x:c>
      <x:c r="DW25" s="117" t="n">
        <x:f>DV25+DW24</x:f>
      </x:c>
      <x:c r="DX25" s="117" t="n">
        <x:f>DW25+DX24</x:f>
      </x:c>
      <x:c r="DY25" s="117" t="n">
        <x:f>DX25+DY24</x:f>
      </x:c>
      <x:c r="DZ25" s="117" t="n">
        <x:f>DY25+DZ24</x:f>
      </x:c>
      <x:c r="EA25" s="117" t="n">
        <x:f>DZ25+EA24</x:f>
      </x:c>
      <x:c r="EB25" s="117" t="n">
        <x:f>EA25+EB24</x:f>
      </x:c>
      <x:c r="EC25" s="117" t="n">
        <x:f>EB25+EC24</x:f>
      </x:c>
      <x:c r="ED25" s="117" t="n">
        <x:f>EC25+ED24</x:f>
      </x:c>
      <x:c r="EE25" s="117" t="n">
        <x:f>ED25+EE24</x:f>
      </x:c>
      <x:c r="EF25" s="117" t="n">
        <x:f>EE25+EF24</x:f>
      </x:c>
      <x:c r="EG25" s="117" t="n">
        <x:f>EF25+EG24</x:f>
      </x:c>
      <x:c r="EH25" s="117" t="n">
        <x:f>EG25+EH24</x:f>
      </x:c>
      <x:c r="EI25" s="117" t="n">
        <x:f>EH25+EI24</x:f>
      </x:c>
      <x:c r="EJ25" s="117" t="n">
        <x:f>EI25+EJ24</x:f>
      </x:c>
      <x:c r="EK25" s="117" t="n">
        <x:f>EJ25+EK24</x:f>
      </x:c>
      <x:c r="EL25" s="117" t="n">
        <x:f>EK25+EL24</x:f>
      </x:c>
      <x:c r="EM25" s="117" t="n">
        <x:f>EL25+EM24</x:f>
      </x:c>
      <x:c r="EN25" s="117" t="n">
        <x:f>EM25+EN24</x:f>
      </x:c>
      <x:c r="EO25" s="117" t="n">
        <x:f>EN25+EO24</x:f>
      </x:c>
      <x:c r="EP25" s="117" t="n">
        <x:f>EO25+EP24</x:f>
      </x:c>
      <x:c r="EQ25" s="117" t="n">
        <x:f>EP25+EQ24</x:f>
      </x:c>
      <x:c r="ER25" s="117" t="n">
        <x:f>EQ25+ER24</x:f>
      </x:c>
      <x:c r="ES25" s="117" t="n">
        <x:f>ER25+ES24</x:f>
      </x:c>
      <x:c r="ET25" s="117" t="n">
        <x:f>ES25+ET24</x:f>
      </x:c>
      <x:c r="EU25" s="117" t="n">
        <x:f>ET25+EU24</x:f>
      </x:c>
      <x:c r="EV25" s="117" t="n">
        <x:f>EU25+EV24</x:f>
      </x:c>
      <x:c r="EW25" s="117" t="n">
        <x:f>EV25+EW24</x:f>
      </x:c>
      <x:c r="EX25" s="117" t="n">
        <x:f>EW25+EX24</x:f>
      </x:c>
      <x:c r="EY25" s="117" t="n">
        <x:f>EX25+EY24</x:f>
      </x:c>
      <x:c r="EZ25" s="117" t="n">
        <x:f>EY25+EZ24</x:f>
      </x:c>
      <x:c r="FA25" s="117" t="n">
        <x:f>EZ25+FA24</x:f>
      </x:c>
      <x:c r="FB25" s="117" t="n">
        <x:f>FA25+FB24</x:f>
      </x:c>
      <x:c r="FC25" s="117" t="n">
        <x:f>FB25+FC24</x:f>
      </x:c>
      <x:c r="FD25" s="117" t="n">
        <x:f>FC25+FD24</x:f>
      </x:c>
      <x:c r="FE25" s="117" t="n">
        <x:f>FD25+FE24</x:f>
      </x:c>
      <x:c r="FF25" s="117" t="n">
        <x:f>FE25+FF24</x:f>
      </x:c>
      <x:c r="FG25" s="117" t="n">
        <x:f>FF25+FG24</x:f>
      </x:c>
      <x:c r="FH25" s="117" t="n">
        <x:f>FG25+FH24</x:f>
      </x:c>
      <x:c r="FI25" s="117" t="n">
        <x:f>FH25+FI24</x:f>
      </x:c>
      <x:c r="FJ25" s="117" t="n">
        <x:f>FI25+FJ24</x:f>
      </x:c>
      <x:c r="FK25" s="117" t="n">
        <x:f>FJ25+FK24</x:f>
      </x:c>
      <x:c r="FL25" s="117" t="n">
        <x:f>FK25+FL24</x:f>
      </x:c>
      <x:c r="FM25" s="117" t="n">
        <x:f>FL25+FM24</x:f>
      </x:c>
      <x:c r="FN25" s="117" t="n">
        <x:f>FM25+FN24</x:f>
      </x:c>
      <x:c r="FO25" s="117" t="n">
        <x:f>FN25+FO24</x:f>
      </x:c>
      <x:c r="FP25" s="117" t="n">
        <x:f>FO25+FP24</x:f>
      </x:c>
      <x:c r="FQ25" s="117" t="n">
        <x:f>FP25+FQ24</x:f>
      </x:c>
      <x:c r="FR25" s="117" t="n">
        <x:f>FQ25+FR24</x:f>
      </x:c>
      <x:c r="FS25" s="117" t="n">
        <x:f>FR25+FS24</x:f>
      </x:c>
      <x:c r="FT25" s="117" t="n">
        <x:f>FS25+FT24</x:f>
      </x:c>
      <x:c r="FU25" s="117" t="n">
        <x:f>FT25+FU24</x:f>
      </x:c>
      <x:c r="FV25" s="117" t="n">
        <x:f>FU25+FV24</x:f>
      </x:c>
      <x:c r="FW25" s="117" t="n">
        <x:f>FV25+FW24</x:f>
      </x:c>
      <x:c r="FX25" s="117" t="n">
        <x:f>FW25+FX24</x:f>
      </x:c>
      <x:c r="FY25" s="117" t="n">
        <x:f>FX25+FY24</x:f>
      </x:c>
      <x:c r="FZ25" s="117" t="n">
        <x:f>FY25+FZ24</x:f>
      </x:c>
      <x:c r="GA25" s="117" t="n">
        <x:f>FZ25+GA24</x:f>
      </x:c>
    </x:row>
    <x:row r="26">
      <x:c r="A26"/>
      <x:c r="B26"/>
      <x:c r="C26"/>
      <x:c r="D26" s="117"/>
      <x:c r="E26" s="117"/>
      <x:c r="F26" s="117"/>
      <x:c r="G26" s="117"/>
      <x:c r="H26" s="117"/>
      <x:c r="I26" s="117"/>
      <x:c r="J26" s="117"/>
      <x:c r="K26" s="117"/>
      <x:c r="L26" s="117"/>
      <x:c r="M26" s="117"/>
      <x:c r="N26" s="117"/>
      <x:c r="O26" s="117"/>
      <x:c r="P26" s="117"/>
      <x:c r="Q26" s="117"/>
      <x:c r="R26" s="117"/>
      <x:c r="S26" s="117"/>
      <x:c r="T26" s="117"/>
      <x:c r="U26" s="117"/>
      <x:c r="V26" s="117"/>
      <x:c r="W26" s="117"/>
      <x:c r="X26" s="117"/>
      <x:c r="Y26" s="117"/>
      <x:c r="Z26" s="117"/>
      <x:c r="AA26" s="117"/>
      <x:c r="AB26" s="117"/>
      <x:c r="AC26" s="117"/>
      <x:c r="AD26" s="117"/>
      <x:c r="AE26" s="117"/>
      <x:c r="AF26" s="117"/>
      <x:c r="AG26" s="117"/>
      <x:c r="AH26" s="117"/>
      <x:c r="AI26" s="117"/>
      <x:c r="AJ26" s="117"/>
      <x:c r="AK26" s="117"/>
      <x:c r="AL26" s="117"/>
      <x:c r="AM26" s="117"/>
      <x:c r="AN26" s="117"/>
      <x:c r="AO26" s="117"/>
      <x:c r="AP26" s="117"/>
      <x:c r="AQ26" s="117"/>
      <x:c r="AR26" s="117"/>
      <x:c r="AS26" s="117"/>
      <x:c r="AT26" s="117"/>
      <x:c r="AU26" s="117"/>
      <x:c r="AV26" s="117"/>
      <x:c r="AW26" s="117"/>
      <x:c r="AX26" s="117"/>
      <x:c r="AY26" s="117"/>
      <x:c r="AZ26" s="117"/>
      <x:c r="BA26" s="117"/>
      <x:c r="BB26" s="117"/>
      <x:c r="BC26" s="117"/>
      <x:c r="BD26" s="117"/>
      <x:c r="BE26" s="117"/>
      <x:c r="BF26" s="117"/>
      <x:c r="BG26" s="117"/>
      <x:c r="BH26" s="117"/>
      <x:c r="BI26" s="117"/>
      <x:c r="BJ26" s="117"/>
      <x:c r="BK26" s="117"/>
      <x:c r="BL26" s="117"/>
      <x:c r="BM26" s="117"/>
      <x:c r="BN26" s="117"/>
      <x:c r="BO26" s="117"/>
      <x:c r="BP26" s="117"/>
      <x:c r="BQ26" s="117"/>
      <x:c r="BR26" s="117"/>
      <x:c r="BS26" s="117"/>
      <x:c r="BT26" s="117"/>
      <x:c r="BU26" s="117"/>
      <x:c r="BV26" s="117"/>
      <x:c r="BW26" s="117"/>
      <x:c r="BX26" s="117"/>
      <x:c r="BY26" s="117"/>
      <x:c r="BZ26" s="117"/>
      <x:c r="CA26" s="117"/>
      <x:c r="CB26" s="117"/>
      <x:c r="CC26" s="117"/>
      <x:c r="CD26" s="117"/>
      <x:c r="CE26" s="117"/>
      <x:c r="CF26" s="117"/>
      <x:c r="CG26" s="117"/>
      <x:c r="CH26" s="117"/>
      <x:c r="CI26" s="117"/>
      <x:c r="CJ26" s="117"/>
      <x:c r="CK26" s="117"/>
      <x:c r="CL26" s="117"/>
      <x:c r="CM26" s="117"/>
      <x:c r="CN26" s="117"/>
      <x:c r="CO26" s="117"/>
      <x:c r="CP26" s="117"/>
      <x:c r="CQ26" s="117"/>
      <x:c r="CR26" s="117"/>
      <x:c r="CS26" s="117"/>
      <x:c r="CT26" s="117"/>
      <x:c r="CU26" s="117"/>
      <x:c r="CV26" s="117"/>
      <x:c r="CW26" s="117"/>
      <x:c r="CX26" s="117"/>
      <x:c r="CY26" s="117"/>
      <x:c r="CZ26" s="117"/>
      <x:c r="DA26" s="117"/>
      <x:c r="DB26" s="117"/>
      <x:c r="DC26" s="117"/>
      <x:c r="DD26" s="117"/>
      <x:c r="DE26" s="117"/>
      <x:c r="DF26" s="117"/>
      <x:c r="DG26" s="117"/>
      <x:c r="DH26" s="117"/>
      <x:c r="DI26" s="117"/>
      <x:c r="DJ26" s="117"/>
      <x:c r="DK26" s="117"/>
      <x:c r="DL26" s="117"/>
      <x:c r="DM26" s="117"/>
      <x:c r="DN26" s="117"/>
      <x:c r="DO26" s="117"/>
      <x:c r="DP26" s="117"/>
      <x:c r="DQ26" s="117"/>
      <x:c r="DR26" s="117"/>
      <x:c r="DS26" s="117"/>
      <x:c r="DT26" s="117"/>
      <x:c r="DU26" s="117"/>
      <x:c r="DV26" s="117"/>
      <x:c r="DW26" s="117"/>
      <x:c r="DX26" s="117"/>
      <x:c r="DY26" s="117"/>
      <x:c r="DZ26" s="117"/>
      <x:c r="EA26" s="117"/>
      <x:c r="EB26" s="117"/>
      <x:c r="EC26" s="117"/>
      <x:c r="ED26" s="117"/>
      <x:c r="EE26" s="117"/>
      <x:c r="EF26" s="117"/>
      <x:c r="EG26" s="117"/>
      <x:c r="EH26" s="117"/>
      <x:c r="EI26" s="117"/>
      <x:c r="EJ26" s="117"/>
      <x:c r="EK26" s="117"/>
      <x:c r="EL26" s="117"/>
      <x:c r="EM26" s="117"/>
      <x:c r="EN26" s="117"/>
      <x:c r="EO26" s="117"/>
      <x:c r="EP26" s="117"/>
      <x:c r="EQ26" s="117"/>
      <x:c r="ER26" s="117"/>
      <x:c r="ES26" s="117"/>
      <x:c r="ET26" s="117"/>
      <x:c r="EU26" s="117"/>
      <x:c r="EV26" s="117"/>
      <x:c r="EW26" s="117"/>
      <x:c r="EX26" s="117"/>
      <x:c r="EY26" s="117"/>
      <x:c r="EZ26" s="117"/>
      <x:c r="FA26" s="117"/>
      <x:c r="FB26" s="117"/>
      <x:c r="FC26" s="117"/>
      <x:c r="FD26" s="117"/>
      <x:c r="FE26" s="117"/>
      <x:c r="FF26" s="117"/>
      <x:c r="FG26" s="117"/>
      <x:c r="FH26" s="117"/>
      <x:c r="FI26" s="117"/>
      <x:c r="FJ26" s="117"/>
      <x:c r="FK26" s="117"/>
      <x:c r="FL26" s="117"/>
      <x:c r="FM26" s="117"/>
      <x:c r="FN26" s="117"/>
      <x:c r="FO26" s="117"/>
      <x:c r="FP26" s="117"/>
      <x:c r="FQ26" s="117"/>
      <x:c r="FR26" s="117"/>
      <x:c r="FS26" s="117"/>
      <x:c r="FT26" s="117"/>
      <x:c r="FU26" s="117"/>
      <x:c r="FV26" s="117"/>
      <x:c r="FW26" s="117"/>
      <x:c r="FX26" s="117"/>
      <x:c r="FY26" s="117"/>
      <x:c r="FZ26" s="117"/>
      <x:c r="GA26" s="117"/>
    </x:row>
    <x:row r="27">
      <x:c r="A27" t="str">
        <x:v>Доступный денежный поток</x:v>
      </x:c>
      <x:c r="B27" t="n">
        <x:f>SUM(D27:GA27)</x:f>
      </x:c>
      <x:c r="C27" t="str">
        <x:v>млн ₽</x:v>
      </x:c>
      <x:c r="D27" s="117" t="n">
        <x:f>SUM(D14,D12)</x:f>
      </x:c>
      <x:c r="E27" s="117" t="n">
        <x:f>SUM(E14,E12)</x:f>
      </x:c>
      <x:c r="F27" s="117" t="n">
        <x:f>SUM(F14,F12)</x:f>
      </x:c>
      <x:c r="G27" s="117" t="n">
        <x:f>SUM(G14,G12)</x:f>
      </x:c>
      <x:c r="H27" s="117" t="n">
        <x:f>SUM(H14,H12)</x:f>
      </x:c>
      <x:c r="I27" s="117" t="n">
        <x:f>SUM(I14,I12)</x:f>
      </x:c>
      <x:c r="J27" s="117" t="n">
        <x:f>SUM(J14,J12)</x:f>
      </x:c>
      <x:c r="K27" s="117" t="n">
        <x:f>SUM(K14,K12)</x:f>
      </x:c>
      <x:c r="L27" s="117" t="n">
        <x:f>SUM(L14,L12)</x:f>
      </x:c>
      <x:c r="M27" s="117" t="n">
        <x:f>SUM(M14,M12)</x:f>
      </x:c>
      <x:c r="N27" s="117" t="n">
        <x:f>SUM(N14,N12)</x:f>
      </x:c>
      <x:c r="O27" s="117" t="n">
        <x:f>SUM(O14,O12)</x:f>
      </x:c>
      <x:c r="P27" s="117" t="n">
        <x:f>SUM(P14,P12)</x:f>
      </x:c>
      <x:c r="Q27" s="117" t="n">
        <x:f>SUM(Q14,Q12)</x:f>
      </x:c>
      <x:c r="R27" s="117" t="n">
        <x:f>SUM(R14,R12)</x:f>
      </x:c>
      <x:c r="S27" s="117" t="n">
        <x:f>SUM(S14,S12)</x:f>
      </x:c>
      <x:c r="T27" s="117" t="n">
        <x:f>SUM(T14,T12)</x:f>
      </x:c>
      <x:c r="U27" s="117" t="n">
        <x:f>SUM(U14,U12)</x:f>
      </x:c>
      <x:c r="V27" s="117" t="n">
        <x:f>SUM(V14,V12)</x:f>
      </x:c>
      <x:c r="W27" s="117" t="n">
        <x:f>SUM(W14,W12)</x:f>
      </x:c>
      <x:c r="X27" s="117" t="n">
        <x:f>SUM(X14,X12)</x:f>
      </x:c>
      <x:c r="Y27" s="117" t="n">
        <x:f>SUM(Y14,Y12)</x:f>
      </x:c>
      <x:c r="Z27" s="117" t="n">
        <x:f>SUM(Z14,Z12)</x:f>
      </x:c>
      <x:c r="AA27" s="117" t="n">
        <x:f>SUM(AA14,AA12)</x:f>
      </x:c>
      <x:c r="AB27" s="117" t="n">
        <x:f>SUM(AB14,AB12)</x:f>
      </x:c>
      <x:c r="AC27" s="117" t="n">
        <x:f>SUM(AC14,AC12)</x:f>
      </x:c>
      <x:c r="AD27" s="117" t="n">
        <x:f>SUM(AD14,AD12)</x:f>
      </x:c>
      <x:c r="AE27" s="117" t="n">
        <x:f>SUM(AE14,AE12)</x:f>
      </x:c>
      <x:c r="AF27" s="117" t="n">
        <x:f>SUM(AF14,AF12)</x:f>
      </x:c>
      <x:c r="AG27" s="117" t="n">
        <x:f>SUM(AG14,AG12)</x:f>
      </x:c>
      <x:c r="AH27" s="117" t="n">
        <x:f>SUM(AH14,AH12)</x:f>
      </x:c>
      <x:c r="AI27" s="117" t="n">
        <x:f>SUM(AI14,AI12)</x:f>
      </x:c>
      <x:c r="AJ27" s="117" t="n">
        <x:f>SUM(AJ14,AJ12)</x:f>
      </x:c>
      <x:c r="AK27" s="117" t="n">
        <x:f>SUM(AK14,AK12)</x:f>
      </x:c>
      <x:c r="AL27" s="117" t="n">
        <x:f>SUM(AL14,AL12)</x:f>
      </x:c>
      <x:c r="AM27" s="117" t="n">
        <x:f>SUM(AM14,AM12)</x:f>
      </x:c>
      <x:c r="AN27" s="117" t="n">
        <x:f>SUM(AN14,AN12)</x:f>
      </x:c>
      <x:c r="AO27" s="117" t="n">
        <x:f>SUM(AO14,AO12)</x:f>
      </x:c>
      <x:c r="AP27" s="117" t="n">
        <x:f>SUM(AP14,AP12)</x:f>
      </x:c>
      <x:c r="AQ27" s="117" t="n">
        <x:f>SUM(AQ14,AQ12)</x:f>
      </x:c>
      <x:c r="AR27" s="117" t="n">
        <x:f>SUM(AR14,AR12)</x:f>
      </x:c>
      <x:c r="AS27" s="117" t="n">
        <x:f>SUM(AS14,AS12)</x:f>
      </x:c>
      <x:c r="AT27" s="117" t="n">
        <x:f>SUM(AT14,AT12)</x:f>
      </x:c>
      <x:c r="AU27" s="117" t="n">
        <x:f>SUM(AU14,AU12)</x:f>
      </x:c>
      <x:c r="AV27" s="117" t="n">
        <x:f>SUM(AV14,AV12)</x:f>
      </x:c>
      <x:c r="AW27" s="117" t="n">
        <x:f>SUM(AW14,AW12)</x:f>
      </x:c>
      <x:c r="AX27" s="117" t="n">
        <x:f>SUM(AX14,AX12)</x:f>
      </x:c>
      <x:c r="AY27" s="117" t="n">
        <x:f>SUM(AY14,AY12)</x:f>
      </x:c>
      <x:c r="AZ27" s="117" t="n">
        <x:f>SUM(AZ14,AZ12)</x:f>
      </x:c>
      <x:c r="BA27" s="117" t="n">
        <x:f>SUM(BA14,BA12)</x:f>
      </x:c>
      <x:c r="BB27" s="117" t="n">
        <x:f>SUM(BB14,BB12)</x:f>
      </x:c>
      <x:c r="BC27" s="117" t="n">
        <x:f>SUM(BC14,BC12)</x:f>
      </x:c>
      <x:c r="BD27" s="117" t="n">
        <x:f>SUM(BD14,BD12)</x:f>
      </x:c>
      <x:c r="BE27" s="117" t="n">
        <x:f>SUM(BE14,BE12)</x:f>
      </x:c>
      <x:c r="BF27" s="117" t="n">
        <x:f>SUM(BF14,BF12)</x:f>
      </x:c>
      <x:c r="BG27" s="117" t="n">
        <x:f>SUM(BG14,BG12)</x:f>
      </x:c>
      <x:c r="BH27" s="117" t="n">
        <x:f>SUM(BH14,BH12)</x:f>
      </x:c>
      <x:c r="BI27" s="117" t="n">
        <x:f>SUM(BI14,BI12)</x:f>
      </x:c>
      <x:c r="BJ27" s="117" t="n">
        <x:f>SUM(BJ14,BJ12)</x:f>
      </x:c>
      <x:c r="BK27" s="117" t="n">
        <x:f>SUM(BK14,BK12)</x:f>
      </x:c>
      <x:c r="BL27" s="117" t="n">
        <x:f>SUM(BL14,BL12)</x:f>
      </x:c>
      <x:c r="BM27" s="117" t="n">
        <x:f>SUM(BM14,BM12)</x:f>
      </x:c>
      <x:c r="BN27" s="117" t="n">
        <x:f>SUM(BN14,BN12)</x:f>
      </x:c>
      <x:c r="BO27" s="117" t="n">
        <x:f>SUM(BO14,BO12)</x:f>
      </x:c>
      <x:c r="BP27" s="117" t="n">
        <x:f>SUM(BP14,BP12)</x:f>
      </x:c>
      <x:c r="BQ27" s="117" t="n">
        <x:f>SUM(BQ14,BQ12)</x:f>
      </x:c>
      <x:c r="BR27" s="117" t="n">
        <x:f>SUM(BR14,BR12)</x:f>
      </x:c>
      <x:c r="BS27" s="117" t="n">
        <x:f>SUM(BS14,BS12)</x:f>
      </x:c>
      <x:c r="BT27" s="117" t="n">
        <x:f>SUM(BT14,BT12)</x:f>
      </x:c>
      <x:c r="BU27" s="117" t="n">
        <x:f>SUM(BU14,BU12)</x:f>
      </x:c>
      <x:c r="BV27" s="117" t="n">
        <x:f>SUM(BV14,BV12)</x:f>
      </x:c>
      <x:c r="BW27" s="117" t="n">
        <x:f>SUM(BW14,BW12)</x:f>
      </x:c>
      <x:c r="BX27" s="117" t="n">
        <x:f>SUM(BX14,BX12)</x:f>
      </x:c>
      <x:c r="BY27" s="117" t="n">
        <x:f>SUM(BY14,BY12)</x:f>
      </x:c>
      <x:c r="BZ27" s="117" t="n">
        <x:f>SUM(BZ14,BZ12)</x:f>
      </x:c>
      <x:c r="CA27" s="117" t="n">
        <x:f>SUM(CA14,CA12)</x:f>
      </x:c>
      <x:c r="CB27" s="117" t="n">
        <x:f>SUM(CB14,CB12)</x:f>
      </x:c>
      <x:c r="CC27" s="117" t="n">
        <x:f>SUM(CC14,CC12)</x:f>
      </x:c>
      <x:c r="CD27" s="117" t="n">
        <x:f>SUM(CD14,CD12)</x:f>
      </x:c>
      <x:c r="CE27" s="117" t="n">
        <x:f>SUM(CE14,CE12)</x:f>
      </x:c>
      <x:c r="CF27" s="117" t="n">
        <x:f>SUM(CF14,CF12)</x:f>
      </x:c>
      <x:c r="CG27" s="117" t="n">
        <x:f>SUM(CG14,CG12)</x:f>
      </x:c>
      <x:c r="CH27" s="117" t="n">
        <x:f>SUM(CH14,CH12)</x:f>
      </x:c>
      <x:c r="CI27" s="117" t="n">
        <x:f>SUM(CI14,CI12)</x:f>
      </x:c>
      <x:c r="CJ27" s="117" t="n">
        <x:f>SUM(CJ14,CJ12)</x:f>
      </x:c>
      <x:c r="CK27" s="117" t="n">
        <x:f>SUM(CK14,CK12)</x:f>
      </x:c>
      <x:c r="CL27" s="117" t="n">
        <x:f>SUM(CL14,CL12)</x:f>
      </x:c>
      <x:c r="CM27" s="117" t="n">
        <x:f>SUM(CM14,CM12)</x:f>
      </x:c>
      <x:c r="CN27" s="117" t="n">
        <x:f>SUM(CN14,CN12)</x:f>
      </x:c>
      <x:c r="CO27" s="117" t="n">
        <x:f>SUM(CO14,CO12)</x:f>
      </x:c>
      <x:c r="CP27" s="117" t="n">
        <x:f>SUM(CP14,CP12)</x:f>
      </x:c>
      <x:c r="CQ27" s="117" t="n">
        <x:f>SUM(CQ14,CQ12)</x:f>
      </x:c>
      <x:c r="CR27" s="117" t="n">
        <x:f>SUM(CR14,CR12)</x:f>
      </x:c>
      <x:c r="CS27" s="117" t="n">
        <x:f>SUM(CS14,CS12)</x:f>
      </x:c>
      <x:c r="CT27" s="117" t="n">
        <x:f>SUM(CT14,CT12)</x:f>
      </x:c>
      <x:c r="CU27" s="117" t="n">
        <x:f>SUM(CU14,CU12)</x:f>
      </x:c>
      <x:c r="CV27" s="117" t="n">
        <x:f>SUM(CV14,CV12)</x:f>
      </x:c>
      <x:c r="CW27" s="117" t="n">
        <x:f>SUM(CW14,CW12)</x:f>
      </x:c>
      <x:c r="CX27" s="117" t="n">
        <x:f>SUM(CX14,CX12)</x:f>
      </x:c>
      <x:c r="CY27" s="117" t="n">
        <x:f>SUM(CY14,CY12)</x:f>
      </x:c>
      <x:c r="CZ27" s="117" t="n">
        <x:f>SUM(CZ14,CZ12)</x:f>
      </x:c>
      <x:c r="DA27" s="117" t="n">
        <x:f>SUM(DA14,DA12)</x:f>
      </x:c>
      <x:c r="DB27" s="117" t="n">
        <x:f>SUM(DB14,DB12)</x:f>
      </x:c>
      <x:c r="DC27" s="117" t="n">
        <x:f>SUM(DC14,DC12)</x:f>
      </x:c>
      <x:c r="DD27" s="117" t="n">
        <x:f>SUM(DD14,DD12)</x:f>
      </x:c>
      <x:c r="DE27" s="117" t="n">
        <x:f>SUM(DE14,DE12)</x:f>
      </x:c>
      <x:c r="DF27" s="117" t="n">
        <x:f>SUM(DF14,DF12)</x:f>
      </x:c>
      <x:c r="DG27" s="117" t="n">
        <x:f>SUM(DG14,DG12)</x:f>
      </x:c>
      <x:c r="DH27" s="117" t="n">
        <x:f>SUM(DH14,DH12)</x:f>
      </x:c>
      <x:c r="DI27" s="117" t="n">
        <x:f>SUM(DI14,DI12)</x:f>
      </x:c>
      <x:c r="DJ27" s="117" t="n">
        <x:f>SUM(DJ14,DJ12)</x:f>
      </x:c>
      <x:c r="DK27" s="117" t="n">
        <x:f>SUM(DK14,DK12)</x:f>
      </x:c>
      <x:c r="DL27" s="117" t="n">
        <x:f>SUM(DL14,DL12)</x:f>
      </x:c>
      <x:c r="DM27" s="117" t="n">
        <x:f>SUM(DM14,DM12)</x:f>
      </x:c>
      <x:c r="DN27" s="117" t="n">
        <x:f>SUM(DN14,DN12)</x:f>
      </x:c>
      <x:c r="DO27" s="117" t="n">
        <x:f>SUM(DO14,DO12)</x:f>
      </x:c>
      <x:c r="DP27" s="117" t="n">
        <x:f>SUM(DP14,DP12)</x:f>
      </x:c>
      <x:c r="DQ27" s="117" t="n">
        <x:f>SUM(DQ14,DQ12)</x:f>
      </x:c>
      <x:c r="DR27" s="117" t="n">
        <x:f>SUM(DR14,DR12)</x:f>
      </x:c>
      <x:c r="DS27" s="117" t="n">
        <x:f>SUM(DS14,DS12)</x:f>
      </x:c>
      <x:c r="DT27" s="117" t="n">
        <x:f>SUM(DT14,DT12)</x:f>
      </x:c>
      <x:c r="DU27" s="117" t="n">
        <x:f>SUM(DU14,DU12)</x:f>
      </x:c>
      <x:c r="DV27" s="117" t="n">
        <x:f>SUM(DV14,DV12)</x:f>
      </x:c>
      <x:c r="DW27" s="117" t="n">
        <x:f>SUM(DW14,DW12)</x:f>
      </x:c>
      <x:c r="DX27" s="117" t="n">
        <x:f>SUM(DX14,DX12)</x:f>
      </x:c>
      <x:c r="DY27" s="117" t="n">
        <x:f>SUM(DY14,DY12)</x:f>
      </x:c>
      <x:c r="DZ27" s="117" t="n">
        <x:f>SUM(DZ14,DZ12)</x:f>
      </x:c>
      <x:c r="EA27" s="117" t="n">
        <x:f>SUM(EA14,EA12)</x:f>
      </x:c>
      <x:c r="EB27" s="117" t="n">
        <x:f>SUM(EB14,EB12)</x:f>
      </x:c>
      <x:c r="EC27" s="117" t="n">
        <x:f>SUM(EC14,EC12)</x:f>
      </x:c>
      <x:c r="ED27" s="117" t="n">
        <x:f>SUM(ED14,ED12)</x:f>
      </x:c>
      <x:c r="EE27" s="117" t="n">
        <x:f>SUM(EE14,EE12)</x:f>
      </x:c>
      <x:c r="EF27" s="117" t="n">
        <x:f>SUM(EF14,EF12)</x:f>
      </x:c>
      <x:c r="EG27" s="117" t="n">
        <x:f>SUM(EG14,EG12)</x:f>
      </x:c>
      <x:c r="EH27" s="117" t="n">
        <x:f>SUM(EH14,EH12)</x:f>
      </x:c>
      <x:c r="EI27" s="117" t="n">
        <x:f>SUM(EI14,EI12)</x:f>
      </x:c>
      <x:c r="EJ27" s="117" t="n">
        <x:f>SUM(EJ14,EJ12)</x:f>
      </x:c>
      <x:c r="EK27" s="117" t="n">
        <x:f>SUM(EK14,EK12)</x:f>
      </x:c>
      <x:c r="EL27" s="117" t="n">
        <x:f>SUM(EL14,EL12)</x:f>
      </x:c>
      <x:c r="EM27" s="117" t="n">
        <x:f>SUM(EM14,EM12)</x:f>
      </x:c>
      <x:c r="EN27" s="117" t="n">
        <x:f>SUM(EN14,EN12)</x:f>
      </x:c>
      <x:c r="EO27" s="117" t="n">
        <x:f>SUM(EO14,EO12)</x:f>
      </x:c>
      <x:c r="EP27" s="117" t="n">
        <x:f>SUM(EP14,EP12)</x:f>
      </x:c>
      <x:c r="EQ27" s="117" t="n">
        <x:f>SUM(EQ14,EQ12)</x:f>
      </x:c>
      <x:c r="ER27" s="117" t="n">
        <x:f>SUM(ER14,ER12)</x:f>
      </x:c>
      <x:c r="ES27" s="117" t="n">
        <x:f>SUM(ES14,ES12)</x:f>
      </x:c>
      <x:c r="ET27" s="117" t="n">
        <x:f>SUM(ET14,ET12)</x:f>
      </x:c>
      <x:c r="EU27" s="117" t="n">
        <x:f>SUM(EU14,EU12)</x:f>
      </x:c>
      <x:c r="EV27" s="117" t="n">
        <x:f>SUM(EV14,EV12)</x:f>
      </x:c>
      <x:c r="EW27" s="117" t="n">
        <x:f>SUM(EW14,EW12)</x:f>
      </x:c>
      <x:c r="EX27" s="117" t="n">
        <x:f>SUM(EX14,EX12)</x:f>
      </x:c>
      <x:c r="EY27" s="117" t="n">
        <x:f>SUM(EY14,EY12)</x:f>
      </x:c>
      <x:c r="EZ27" s="117" t="n">
        <x:f>SUM(EZ14,EZ12)</x:f>
      </x:c>
      <x:c r="FA27" s="117" t="n">
        <x:f>SUM(FA14,FA12)</x:f>
      </x:c>
      <x:c r="FB27" s="117" t="n">
        <x:f>SUM(FB14,FB12)</x:f>
      </x:c>
      <x:c r="FC27" s="117" t="n">
        <x:f>SUM(FC14,FC12)</x:f>
      </x:c>
      <x:c r="FD27" s="117" t="n">
        <x:f>SUM(FD14,FD12)</x:f>
      </x:c>
      <x:c r="FE27" s="117" t="n">
        <x:f>SUM(FE14,FE12)</x:f>
      </x:c>
      <x:c r="FF27" s="117" t="n">
        <x:f>SUM(FF14,FF12)</x:f>
      </x:c>
      <x:c r="FG27" s="117" t="n">
        <x:f>SUM(FG14,FG12)</x:f>
      </x:c>
      <x:c r="FH27" s="117" t="n">
        <x:f>SUM(FH14,FH12)</x:f>
      </x:c>
      <x:c r="FI27" s="117" t="n">
        <x:f>SUM(FI14,FI12)</x:f>
      </x:c>
      <x:c r="FJ27" s="117" t="n">
        <x:f>SUM(FJ14,FJ12)</x:f>
      </x:c>
      <x:c r="FK27" s="117" t="n">
        <x:f>SUM(FK14,FK12)</x:f>
      </x:c>
      <x:c r="FL27" s="117" t="n">
        <x:f>SUM(FL14,FL12)</x:f>
      </x:c>
      <x:c r="FM27" s="117" t="n">
        <x:f>SUM(FM14,FM12)</x:f>
      </x:c>
      <x:c r="FN27" s="117" t="n">
        <x:f>SUM(FN14,FN12)</x:f>
      </x:c>
      <x:c r="FO27" s="117" t="n">
        <x:f>SUM(FO14,FO12)</x:f>
      </x:c>
      <x:c r="FP27" s="117" t="n">
        <x:f>SUM(FP14,FP12)</x:f>
      </x:c>
      <x:c r="FQ27" s="117" t="n">
        <x:f>SUM(FQ14,FQ12)</x:f>
      </x:c>
      <x:c r="FR27" s="117" t="n">
        <x:f>SUM(FR14,FR12)</x:f>
      </x:c>
      <x:c r="FS27" s="117" t="n">
        <x:f>SUM(FS14,FS12)</x:f>
      </x:c>
      <x:c r="FT27" s="117" t="n">
        <x:f>SUM(FT14,FT12)</x:f>
      </x:c>
      <x:c r="FU27" s="117" t="n">
        <x:f>SUM(FU14,FU12)</x:f>
      </x:c>
      <x:c r="FV27" s="117" t="n">
        <x:f>SUM(FV14,FV12)</x:f>
      </x:c>
      <x:c r="FW27" s="117" t="n">
        <x:f>SUM(FW14,FW12)</x:f>
      </x:c>
      <x:c r="FX27" s="117" t="n">
        <x:f>SUM(FX14,FX12)</x:f>
      </x:c>
      <x:c r="FY27" s="117" t="n">
        <x:f>SUM(FY14,FY12)</x:f>
      </x:c>
      <x:c r="FZ27" s="117" t="n">
        <x:f>SUM(FZ14,FZ12)</x:f>
      </x:c>
      <x:c r="GA27" s="117" t="n">
        <x:f>SUM(GA14,GA12)</x:f>
      </x:c>
    </x:row>
    <x:row r="28">
      <x:c r="A28" s="113" t="str">
        <x:v>CFADS после налога</x:v>
      </x:c>
      <x:c r="B28" s="113" t="n">
        <x:f>SUM(D28:GA28)</x:f>
      </x:c>
      <x:c r="C28" s="113" t="str">
        <x:v>млн ₽</x:v>
      </x:c>
      <x:c r="D28" s="120" t="n">
        <x:f>D27-D20-D24</x:f>
      </x:c>
      <x:c r="E28" s="120" t="n">
        <x:f>E27-E20-E24</x:f>
      </x:c>
      <x:c r="F28" s="120" t="n">
        <x:f>F27-F20-F24</x:f>
      </x:c>
      <x:c r="G28" s="120" t="n">
        <x:f>G27-G20-G24</x:f>
      </x:c>
      <x:c r="H28" s="120" t="n">
        <x:f>H27-H20-H24</x:f>
      </x:c>
      <x:c r="I28" s="120" t="n">
        <x:f>I27-I20-I24</x:f>
      </x:c>
      <x:c r="J28" s="120" t="n">
        <x:f>J27-J20-J24</x:f>
      </x:c>
      <x:c r="K28" s="120" t="n">
        <x:f>K27-K20-K24</x:f>
      </x:c>
      <x:c r="L28" s="120" t="n">
        <x:f>L27-L20-L24</x:f>
      </x:c>
      <x:c r="M28" s="120" t="n">
        <x:f>M27-M20-M24</x:f>
      </x:c>
      <x:c r="N28" s="120" t="n">
        <x:f>N27-N20-N24</x:f>
      </x:c>
      <x:c r="O28" s="120" t="n">
        <x:f>O27-O20-O24</x:f>
      </x:c>
      <x:c r="P28" s="120" t="n">
        <x:f>P27-P20-P24</x:f>
      </x:c>
      <x:c r="Q28" s="120" t="n">
        <x:f>Q27-Q20-Q24</x:f>
      </x:c>
      <x:c r="R28" s="120" t="n">
        <x:f>R27-R20-R24</x:f>
      </x:c>
      <x:c r="S28" s="120" t="n">
        <x:f>S27-S20-S24</x:f>
      </x:c>
      <x:c r="T28" s="120" t="n">
        <x:f>T27-T20-T24</x:f>
      </x:c>
      <x:c r="U28" s="120" t="n">
        <x:f>U27-U20-U24</x:f>
      </x:c>
      <x:c r="V28" s="120" t="n">
        <x:f>V27-V20-V24</x:f>
      </x:c>
      <x:c r="W28" s="120" t="n">
        <x:f>W27-W20-W24</x:f>
      </x:c>
      <x:c r="X28" s="120" t="n">
        <x:f>X27-X20-X24</x:f>
      </x:c>
      <x:c r="Y28" s="120" t="n">
        <x:f>Y27-Y20-Y24</x:f>
      </x:c>
      <x:c r="Z28" s="120" t="n">
        <x:f>Z27-Z20-Z24</x:f>
      </x:c>
      <x:c r="AA28" s="120" t="n">
        <x:f>AA27-AA20-AA24</x:f>
      </x:c>
      <x:c r="AB28" s="120" t="n">
        <x:f>AB27-AB20-AB24</x:f>
      </x:c>
      <x:c r="AC28" s="120" t="n">
        <x:f>AC27-AC20-AC24</x:f>
      </x:c>
      <x:c r="AD28" s="120" t="n">
        <x:f>AD27-AD20-AD24</x:f>
      </x:c>
      <x:c r="AE28" s="120" t="n">
        <x:f>AE27-AE20-AE24</x:f>
      </x:c>
      <x:c r="AF28" s="120" t="n">
        <x:f>AF27-AF20-AF24</x:f>
      </x:c>
      <x:c r="AG28" s="120" t="n">
        <x:f>AG27-AG20-AG24</x:f>
      </x:c>
      <x:c r="AH28" s="120" t="n">
        <x:f>AH27-AH20-AH24</x:f>
      </x:c>
      <x:c r="AI28" s="120" t="n">
        <x:f>AI27-AI20-AI24</x:f>
      </x:c>
      <x:c r="AJ28" s="120" t="n">
        <x:f>AJ27-AJ20-AJ24</x:f>
      </x:c>
      <x:c r="AK28" s="120" t="n">
        <x:f>AK27-AK20-AK24</x:f>
      </x:c>
      <x:c r="AL28" s="120" t="n">
        <x:f>AL27-AL20-AL24</x:f>
      </x:c>
      <x:c r="AM28" s="120" t="n">
        <x:f>AM27-AM20-AM24</x:f>
      </x:c>
      <x:c r="AN28" s="120" t="n">
        <x:f>AN27-AN20-AN24</x:f>
      </x:c>
      <x:c r="AO28" s="120" t="n">
        <x:f>AO27-AO20-AO24</x:f>
      </x:c>
      <x:c r="AP28" s="120" t="n">
        <x:f>AP27-AP20-AP24</x:f>
      </x:c>
      <x:c r="AQ28" s="120" t="n">
        <x:f>AQ27-AQ20-AQ24</x:f>
      </x:c>
      <x:c r="AR28" s="120" t="n">
        <x:f>AR27-AR20-AR24</x:f>
      </x:c>
      <x:c r="AS28" s="120" t="n">
        <x:f>AS27-AS20-AS24</x:f>
      </x:c>
      <x:c r="AT28" s="120" t="n">
        <x:f>AT27-AT20-AT24</x:f>
      </x:c>
      <x:c r="AU28" s="120" t="n">
        <x:f>AU27-AU20-AU24</x:f>
      </x:c>
      <x:c r="AV28" s="120" t="n">
        <x:f>AV27-AV20-AV24</x:f>
      </x:c>
      <x:c r="AW28" s="120" t="n">
        <x:f>AW27-AW20-AW24</x:f>
      </x:c>
      <x:c r="AX28" s="120" t="n">
        <x:f>AX27-AX20-AX24</x:f>
      </x:c>
      <x:c r="AY28" s="120" t="n">
        <x:f>AY27-AY20-AY24</x:f>
      </x:c>
      <x:c r="AZ28" s="120" t="n">
        <x:f>AZ27-AZ20-AZ24</x:f>
      </x:c>
      <x:c r="BA28" s="120" t="n">
        <x:f>BA27-BA20-BA24</x:f>
      </x:c>
      <x:c r="BB28" s="120" t="n">
        <x:f>BB27-BB20-BB24</x:f>
      </x:c>
      <x:c r="BC28" s="120" t="n">
        <x:f>BC27-BC20-BC24</x:f>
      </x:c>
      <x:c r="BD28" s="120" t="n">
        <x:f>BD27-BD20-BD24</x:f>
      </x:c>
      <x:c r="BE28" s="120" t="n">
        <x:f>BE27-BE20-BE24</x:f>
      </x:c>
      <x:c r="BF28" s="120" t="n">
        <x:f>BF27-BF20-BF24</x:f>
      </x:c>
      <x:c r="BG28" s="120" t="n">
        <x:f>BG27-BG20-BG24</x:f>
      </x:c>
      <x:c r="BH28" s="120" t="n">
        <x:f>BH27-BH20-BH24</x:f>
      </x:c>
      <x:c r="BI28" s="120" t="n">
        <x:f>BI27-BI20-BI24</x:f>
      </x:c>
      <x:c r="BJ28" s="120" t="n">
        <x:f>BJ27-BJ20-BJ24</x:f>
      </x:c>
      <x:c r="BK28" s="120" t="n">
        <x:f>BK27-BK20-BK24</x:f>
      </x:c>
      <x:c r="BL28" s="120" t="n">
        <x:f>BL27-BL20-BL24</x:f>
      </x:c>
      <x:c r="BM28" s="120" t="n">
        <x:f>BM27-BM20-BM24</x:f>
      </x:c>
      <x:c r="BN28" s="120" t="n">
        <x:f>BN27-BN20-BN24</x:f>
      </x:c>
      <x:c r="BO28" s="120" t="n">
        <x:f>BO27-BO20-BO24</x:f>
      </x:c>
      <x:c r="BP28" s="120" t="n">
        <x:f>BP27-BP20-BP24</x:f>
      </x:c>
      <x:c r="BQ28" s="120" t="n">
        <x:f>BQ27-BQ20-BQ24</x:f>
      </x:c>
      <x:c r="BR28" s="120" t="n">
        <x:f>BR27-BR20-BR24</x:f>
      </x:c>
      <x:c r="BS28" s="120" t="n">
        <x:f>BS27-BS20-BS24</x:f>
      </x:c>
      <x:c r="BT28" s="120" t="n">
        <x:f>BT27-BT20-BT24</x:f>
      </x:c>
      <x:c r="BU28" s="120" t="n">
        <x:f>BU27-BU20-BU24</x:f>
      </x:c>
      <x:c r="BV28" s="120" t="n">
        <x:f>BV27-BV20-BV24</x:f>
      </x:c>
      <x:c r="BW28" s="120" t="n">
        <x:f>BW27-BW20-BW24</x:f>
      </x:c>
      <x:c r="BX28" s="120" t="n">
        <x:f>BX27-BX20-BX24</x:f>
      </x:c>
      <x:c r="BY28" s="120" t="n">
        <x:f>BY27-BY20-BY24</x:f>
      </x:c>
      <x:c r="BZ28" s="120" t="n">
        <x:f>BZ27-BZ20-BZ24</x:f>
      </x:c>
      <x:c r="CA28" s="120" t="n">
        <x:f>CA27-CA20-CA24</x:f>
      </x:c>
      <x:c r="CB28" s="120" t="n">
        <x:f>CB27-CB20-CB24</x:f>
      </x:c>
      <x:c r="CC28" s="120" t="n">
        <x:f>CC27-CC20-CC24</x:f>
      </x:c>
      <x:c r="CD28" s="120" t="n">
        <x:f>CD27-CD20-CD24</x:f>
      </x:c>
      <x:c r="CE28" s="120" t="n">
        <x:f>CE27-CE20-CE24</x:f>
      </x:c>
      <x:c r="CF28" s="120" t="n">
        <x:f>CF27-CF20-CF24</x:f>
      </x:c>
      <x:c r="CG28" s="120" t="n">
        <x:f>CG27-CG20-CG24</x:f>
      </x:c>
      <x:c r="CH28" s="120" t="n">
        <x:f>CH27-CH20-CH24</x:f>
      </x:c>
      <x:c r="CI28" s="120" t="n">
        <x:f>CI27-CI20-CI24</x:f>
      </x:c>
      <x:c r="CJ28" s="120" t="n">
        <x:f>CJ27-CJ20-CJ24</x:f>
      </x:c>
      <x:c r="CK28" s="120" t="n">
        <x:f>CK27-CK20-CK24</x:f>
      </x:c>
      <x:c r="CL28" s="120" t="n">
        <x:f>CL27-CL20-CL24</x:f>
      </x:c>
      <x:c r="CM28" s="120" t="n">
        <x:f>CM27-CM20-CM24</x:f>
      </x:c>
      <x:c r="CN28" s="120" t="n">
        <x:f>CN27-CN20-CN24</x:f>
      </x:c>
      <x:c r="CO28" s="120" t="n">
        <x:f>CO27-CO20-CO24</x:f>
      </x:c>
      <x:c r="CP28" s="120" t="n">
        <x:f>CP27-CP20-CP24</x:f>
      </x:c>
      <x:c r="CQ28" s="120" t="n">
        <x:f>CQ27-CQ20-CQ24</x:f>
      </x:c>
      <x:c r="CR28" s="120" t="n">
        <x:f>CR27-CR20-CR24</x:f>
      </x:c>
      <x:c r="CS28" s="120" t="n">
        <x:f>CS27-CS20-CS24</x:f>
      </x:c>
      <x:c r="CT28" s="120" t="n">
        <x:f>CT27-CT20-CT24</x:f>
      </x:c>
      <x:c r="CU28" s="120" t="n">
        <x:f>CU27-CU20-CU24</x:f>
      </x:c>
      <x:c r="CV28" s="120" t="n">
        <x:f>CV27-CV20-CV24</x:f>
      </x:c>
      <x:c r="CW28" s="120" t="n">
        <x:f>CW27-CW20-CW24</x:f>
      </x:c>
      <x:c r="CX28" s="120" t="n">
        <x:f>CX27-CX20-CX24</x:f>
      </x:c>
      <x:c r="CY28" s="120" t="n">
        <x:f>CY27-CY20-CY24</x:f>
      </x:c>
      <x:c r="CZ28" s="120" t="n">
        <x:f>CZ27-CZ20-CZ24</x:f>
      </x:c>
      <x:c r="DA28" s="120" t="n">
        <x:f>DA27-DA20-DA24</x:f>
      </x:c>
      <x:c r="DB28" s="120" t="n">
        <x:f>DB27-DB20-DB24</x:f>
      </x:c>
      <x:c r="DC28" s="120" t="n">
        <x:f>DC27-DC20-DC24</x:f>
      </x:c>
      <x:c r="DD28" s="120" t="n">
        <x:f>DD27-DD20-DD24</x:f>
      </x:c>
      <x:c r="DE28" s="120" t="n">
        <x:f>DE27-DE20-DE24</x:f>
      </x:c>
      <x:c r="DF28" s="120" t="n">
        <x:f>DF27-DF20-DF24</x:f>
      </x:c>
      <x:c r="DG28" s="120" t="n">
        <x:f>DG27-DG20-DG24</x:f>
      </x:c>
      <x:c r="DH28" s="120" t="n">
        <x:f>DH27-DH20-DH24</x:f>
      </x:c>
      <x:c r="DI28" s="120" t="n">
        <x:f>DI27-DI20-DI24</x:f>
      </x:c>
      <x:c r="DJ28" s="120" t="n">
        <x:f>DJ27-DJ20-DJ24</x:f>
      </x:c>
      <x:c r="DK28" s="120" t="n">
        <x:f>DK27-DK20-DK24</x:f>
      </x:c>
      <x:c r="DL28" s="120" t="n">
        <x:f>DL27-DL20-DL24</x:f>
      </x:c>
      <x:c r="DM28" s="120" t="n">
        <x:f>DM27-DM20-DM24</x:f>
      </x:c>
      <x:c r="DN28" s="120" t="n">
        <x:f>DN27-DN20-DN24</x:f>
      </x:c>
      <x:c r="DO28" s="120" t="n">
        <x:f>DO27-DO20-DO24</x:f>
      </x:c>
      <x:c r="DP28" s="120" t="n">
        <x:f>DP27-DP20-DP24</x:f>
      </x:c>
      <x:c r="DQ28" s="120" t="n">
        <x:f>DQ27-DQ20-DQ24</x:f>
      </x:c>
      <x:c r="DR28" s="120" t="n">
        <x:f>DR27-DR20-DR24</x:f>
      </x:c>
      <x:c r="DS28" s="120" t="n">
        <x:f>DS27-DS20-DS24</x:f>
      </x:c>
      <x:c r="DT28" s="120" t="n">
        <x:f>DT27-DT20-DT24</x:f>
      </x:c>
      <x:c r="DU28" s="120" t="n">
        <x:f>DU27-DU20-DU24</x:f>
      </x:c>
      <x:c r="DV28" s="120" t="n">
        <x:f>DV27-DV20-DV24</x:f>
      </x:c>
      <x:c r="DW28" s="120" t="n">
        <x:f>DW27-DW20-DW24</x:f>
      </x:c>
      <x:c r="DX28" s="120" t="n">
        <x:f>DX27-DX20-DX24</x:f>
      </x:c>
      <x:c r="DY28" s="120" t="n">
        <x:f>DY27-DY20-DY24</x:f>
      </x:c>
      <x:c r="DZ28" s="120" t="n">
        <x:f>DZ27-DZ20-DZ24</x:f>
      </x:c>
      <x:c r="EA28" s="120" t="n">
        <x:f>EA27-EA20-EA24</x:f>
      </x:c>
      <x:c r="EB28" s="120" t="n">
        <x:f>EB27-EB20-EB24</x:f>
      </x:c>
      <x:c r="EC28" s="120" t="n">
        <x:f>EC27-EC20-EC24</x:f>
      </x:c>
      <x:c r="ED28" s="120" t="n">
        <x:f>ED27-ED20-ED24</x:f>
      </x:c>
      <x:c r="EE28" s="120" t="n">
        <x:f>EE27-EE20-EE24</x:f>
      </x:c>
      <x:c r="EF28" s="120" t="n">
        <x:f>EF27-EF20-EF24</x:f>
      </x:c>
      <x:c r="EG28" s="120" t="n">
        <x:f>EG27-EG20-EG24</x:f>
      </x:c>
      <x:c r="EH28" s="120" t="n">
        <x:f>EH27-EH20-EH24</x:f>
      </x:c>
      <x:c r="EI28" s="120" t="n">
        <x:f>EI27-EI20-EI24</x:f>
      </x:c>
      <x:c r="EJ28" s="120" t="n">
        <x:f>EJ27-EJ20-EJ24</x:f>
      </x:c>
      <x:c r="EK28" s="120" t="n">
        <x:f>EK27-EK20-EK24</x:f>
      </x:c>
      <x:c r="EL28" s="120" t="n">
        <x:f>EL27-EL20-EL24</x:f>
      </x:c>
      <x:c r="EM28" s="120" t="n">
        <x:f>EM27-EM20-EM24</x:f>
      </x:c>
      <x:c r="EN28" s="120" t="n">
        <x:f>EN27-EN20-EN24</x:f>
      </x:c>
      <x:c r="EO28" s="120" t="n">
        <x:f>EO27-EO20-EO24</x:f>
      </x:c>
      <x:c r="EP28" s="120" t="n">
        <x:f>EP27-EP20-EP24</x:f>
      </x:c>
      <x:c r="EQ28" s="120" t="n">
        <x:f>EQ27-EQ20-EQ24</x:f>
      </x:c>
      <x:c r="ER28" s="120" t="n">
        <x:f>ER27-ER20-ER24</x:f>
      </x:c>
      <x:c r="ES28" s="120" t="n">
        <x:f>ES27-ES20-ES24</x:f>
      </x:c>
      <x:c r="ET28" s="120" t="n">
        <x:f>ET27-ET20-ET24</x:f>
      </x:c>
      <x:c r="EU28" s="120" t="n">
        <x:f>EU27-EU20-EU24</x:f>
      </x:c>
      <x:c r="EV28" s="120" t="n">
        <x:f>EV27-EV20-EV24</x:f>
      </x:c>
      <x:c r="EW28" s="120" t="n">
        <x:f>EW27-EW20-EW24</x:f>
      </x:c>
      <x:c r="EX28" s="120" t="n">
        <x:f>EX27-EX20-EX24</x:f>
      </x:c>
      <x:c r="EY28" s="120" t="n">
        <x:f>EY27-EY20-EY24</x:f>
      </x:c>
      <x:c r="EZ28" s="120" t="n">
        <x:f>EZ27-EZ20-EZ24</x:f>
      </x:c>
      <x:c r="FA28" s="120" t="n">
        <x:f>FA27-FA20-FA24</x:f>
      </x:c>
      <x:c r="FB28" s="120" t="n">
        <x:f>FB27-FB20-FB24</x:f>
      </x:c>
      <x:c r="FC28" s="120" t="n">
        <x:f>FC27-FC20-FC24</x:f>
      </x:c>
      <x:c r="FD28" s="120" t="n">
        <x:f>FD27-FD20-FD24</x:f>
      </x:c>
      <x:c r="FE28" s="120" t="n">
        <x:f>FE27-FE20-FE24</x:f>
      </x:c>
      <x:c r="FF28" s="120" t="n">
        <x:f>FF27-FF20-FF24</x:f>
      </x:c>
      <x:c r="FG28" s="120" t="n">
        <x:f>FG27-FG20-FG24</x:f>
      </x:c>
      <x:c r="FH28" s="120" t="n">
        <x:f>FH27-FH20-FH24</x:f>
      </x:c>
      <x:c r="FI28" s="120" t="n">
        <x:f>FI27-FI20-FI24</x:f>
      </x:c>
      <x:c r="FJ28" s="120" t="n">
        <x:f>FJ27-FJ20-FJ24</x:f>
      </x:c>
      <x:c r="FK28" s="120" t="n">
        <x:f>FK27-FK20-FK24</x:f>
      </x:c>
      <x:c r="FL28" s="120" t="n">
        <x:f>FL27-FL20-FL24</x:f>
      </x:c>
      <x:c r="FM28" s="120" t="n">
        <x:f>FM27-FM20-FM24</x:f>
      </x:c>
      <x:c r="FN28" s="120" t="n">
        <x:f>FN27-FN20-FN24</x:f>
      </x:c>
      <x:c r="FO28" s="120" t="n">
        <x:f>FO27-FO20-FO24</x:f>
      </x:c>
      <x:c r="FP28" s="120" t="n">
        <x:f>FP27-FP20-FP24</x:f>
      </x:c>
      <x:c r="FQ28" s="120" t="n">
        <x:f>FQ27-FQ20-FQ24</x:f>
      </x:c>
      <x:c r="FR28" s="120" t="n">
        <x:f>FR27-FR20-FR24</x:f>
      </x:c>
      <x:c r="FS28" s="120" t="n">
        <x:f>FS27-FS20-FS24</x:f>
      </x:c>
      <x:c r="FT28" s="120" t="n">
        <x:f>FT27-FT20-FT24</x:f>
      </x:c>
      <x:c r="FU28" s="120" t="n">
        <x:f>FU27-FU20-FU24</x:f>
      </x:c>
      <x:c r="FV28" s="120" t="n">
        <x:f>FV27-FV20-FV24</x:f>
      </x:c>
      <x:c r="FW28" s="120" t="n">
        <x:f>FW27-FW20-FW24</x:f>
      </x:c>
      <x:c r="FX28" s="120" t="n">
        <x:f>FX27-FX20-FX24</x:f>
      </x:c>
      <x:c r="FY28" s="120" t="n">
        <x:f>FY27-FY20-FY24</x:f>
      </x:c>
      <x:c r="FZ28" s="120" t="n">
        <x:f>FZ27-FZ20-FZ24</x:f>
      </x:c>
      <x:c r="GA28" s="120" t="n">
        <x:f>GA27-GA20-GA24</x:f>
      </x:c>
    </x:row>
    <x:row r="29">
      <x:c r="A29"/>
      <x:c r="B29"/>
      <x:c r="C29"/>
      <x:c r="D29" s="117"/>
      <x:c r="E29" s="117"/>
      <x:c r="F29" s="117"/>
      <x:c r="G29" s="117"/>
      <x:c r="H29" s="117"/>
      <x:c r="I29" s="117"/>
      <x:c r="J29" s="117"/>
      <x:c r="K29" s="117"/>
      <x:c r="L29" s="117"/>
      <x:c r="M29" s="117"/>
      <x:c r="N29" s="117"/>
      <x:c r="O29" s="117"/>
      <x:c r="P29" s="117"/>
      <x:c r="Q29" s="117"/>
      <x:c r="R29" s="117"/>
      <x:c r="S29" s="117"/>
      <x:c r="T29" s="117"/>
      <x:c r="U29" s="117"/>
      <x:c r="V29" s="117"/>
      <x:c r="W29" s="117"/>
      <x:c r="X29" s="117"/>
      <x:c r="Y29" s="117"/>
      <x:c r="Z29" s="117"/>
      <x:c r="AA29" s="117"/>
      <x:c r="AB29" s="117"/>
      <x:c r="AC29" s="117"/>
      <x:c r="AD29" s="117"/>
      <x:c r="AE29" s="117"/>
      <x:c r="AF29" s="117"/>
      <x:c r="AG29" s="117"/>
      <x:c r="AH29" s="117"/>
      <x:c r="AI29" s="117"/>
      <x:c r="AJ29" s="117"/>
      <x:c r="AK29" s="117"/>
      <x:c r="AL29" s="117"/>
      <x:c r="AM29" s="117"/>
      <x:c r="AN29" s="117"/>
      <x:c r="AO29" s="117"/>
      <x:c r="AP29" s="117"/>
      <x:c r="AQ29" s="117"/>
      <x:c r="AR29" s="117"/>
      <x:c r="AS29" s="117"/>
      <x:c r="AT29" s="117"/>
      <x:c r="AU29" s="117"/>
      <x:c r="AV29" s="117"/>
      <x:c r="AW29" s="117"/>
      <x:c r="AX29" s="117"/>
      <x:c r="AY29" s="117"/>
      <x:c r="AZ29" s="117"/>
      <x:c r="BA29" s="117"/>
      <x:c r="BB29" s="117"/>
      <x:c r="BC29" s="117"/>
      <x:c r="BD29" s="117"/>
      <x:c r="BE29" s="117"/>
      <x:c r="BF29" s="117"/>
      <x:c r="BG29" s="117"/>
      <x:c r="BH29" s="117"/>
      <x:c r="BI29" s="117"/>
      <x:c r="BJ29" s="117"/>
      <x:c r="BK29" s="117"/>
      <x:c r="BL29" s="117"/>
      <x:c r="BM29" s="117"/>
      <x:c r="BN29" s="117"/>
      <x:c r="BO29" s="117"/>
      <x:c r="BP29" s="117"/>
      <x:c r="BQ29" s="117"/>
      <x:c r="BR29" s="117"/>
      <x:c r="BS29" s="117"/>
      <x:c r="BT29" s="117"/>
      <x:c r="BU29" s="117"/>
      <x:c r="BV29" s="117"/>
      <x:c r="BW29" s="117"/>
      <x:c r="BX29" s="117"/>
      <x:c r="BY29" s="117"/>
      <x:c r="BZ29" s="117"/>
      <x:c r="CA29" s="117"/>
      <x:c r="CB29" s="117"/>
      <x:c r="CC29" s="117"/>
      <x:c r="CD29" s="117"/>
      <x:c r="CE29" s="117"/>
      <x:c r="CF29" s="117"/>
      <x:c r="CG29" s="117"/>
      <x:c r="CH29" s="117"/>
      <x:c r="CI29" s="117"/>
      <x:c r="CJ29" s="117"/>
      <x:c r="CK29" s="117"/>
      <x:c r="CL29" s="117"/>
      <x:c r="CM29" s="117"/>
      <x:c r="CN29" s="117"/>
      <x:c r="CO29" s="117"/>
      <x:c r="CP29" s="117"/>
      <x:c r="CQ29" s="117"/>
      <x:c r="CR29" s="117"/>
      <x:c r="CS29" s="117"/>
      <x:c r="CT29" s="117"/>
      <x:c r="CU29" s="117"/>
      <x:c r="CV29" s="117"/>
      <x:c r="CW29" s="117"/>
      <x:c r="CX29" s="117"/>
      <x:c r="CY29" s="117"/>
      <x:c r="CZ29" s="117"/>
      <x:c r="DA29" s="117"/>
      <x:c r="DB29" s="117"/>
      <x:c r="DC29" s="117"/>
      <x:c r="DD29" s="117"/>
      <x:c r="DE29" s="117"/>
      <x:c r="DF29" s="117"/>
      <x:c r="DG29" s="117"/>
      <x:c r="DH29" s="117"/>
      <x:c r="DI29" s="117"/>
      <x:c r="DJ29" s="117"/>
      <x:c r="DK29" s="117"/>
      <x:c r="DL29" s="117"/>
      <x:c r="DM29" s="117"/>
      <x:c r="DN29" s="117"/>
      <x:c r="DO29" s="117"/>
      <x:c r="DP29" s="117"/>
      <x:c r="DQ29" s="117"/>
      <x:c r="DR29" s="117"/>
      <x:c r="DS29" s="117"/>
      <x:c r="DT29" s="117"/>
      <x:c r="DU29" s="117"/>
      <x:c r="DV29" s="117"/>
      <x:c r="DW29" s="117"/>
      <x:c r="DX29" s="117"/>
      <x:c r="DY29" s="117"/>
      <x:c r="DZ29" s="117"/>
      <x:c r="EA29" s="117"/>
      <x:c r="EB29" s="117"/>
      <x:c r="EC29" s="117"/>
      <x:c r="ED29" s="117"/>
      <x:c r="EE29" s="117"/>
      <x:c r="EF29" s="117"/>
      <x:c r="EG29" s="117"/>
      <x:c r="EH29" s="117"/>
      <x:c r="EI29" s="117"/>
      <x:c r="EJ29" s="117"/>
      <x:c r="EK29" s="117"/>
      <x:c r="EL29" s="117"/>
      <x:c r="EM29" s="117"/>
      <x:c r="EN29" s="117"/>
      <x:c r="EO29" s="117"/>
      <x:c r="EP29" s="117"/>
      <x:c r="EQ29" s="117"/>
      <x:c r="ER29" s="117"/>
      <x:c r="ES29" s="117"/>
      <x:c r="ET29" s="117"/>
      <x:c r="EU29" s="117"/>
      <x:c r="EV29" s="117"/>
      <x:c r="EW29" s="117"/>
      <x:c r="EX29" s="117"/>
      <x:c r="EY29" s="117"/>
      <x:c r="EZ29" s="117"/>
      <x:c r="FA29" s="117"/>
      <x:c r="FB29" s="117"/>
      <x:c r="FC29" s="117"/>
      <x:c r="FD29" s="117"/>
      <x:c r="FE29" s="117"/>
      <x:c r="FF29" s="117"/>
      <x:c r="FG29" s="117"/>
      <x:c r="FH29" s="117"/>
      <x:c r="FI29" s="117"/>
      <x:c r="FJ29" s="117"/>
      <x:c r="FK29" s="117"/>
      <x:c r="FL29" s="117"/>
      <x:c r="FM29" s="117"/>
      <x:c r="FN29" s="117"/>
      <x:c r="FO29" s="117"/>
      <x:c r="FP29" s="117"/>
      <x:c r="FQ29" s="117"/>
      <x:c r="FR29" s="117"/>
      <x:c r="FS29" s="117"/>
      <x:c r="FT29" s="117"/>
      <x:c r="FU29" s="117"/>
      <x:c r="FV29" s="117"/>
      <x:c r="FW29" s="117"/>
      <x:c r="FX29" s="117"/>
      <x:c r="FY29" s="117"/>
      <x:c r="FZ29" s="117"/>
      <x:c r="GA29" s="117"/>
    </x:row>
    <x:row r="30">
      <x:c r="A30" t="str">
        <x:v>БРИДЖ — долг на начало</x:v>
      </x:c>
      <x:c r="B30"/>
      <x:c r="C30" t="str">
        <x:v>млн ₽</x:v>
      </x:c>
      <x:c r="D30" s="117" t="n">
        <x:f>0</x:f>
      </x:c>
      <x:c r="E30" s="117" t="n">
        <x:f>D36</x:f>
      </x:c>
      <x:c r="F30" s="117" t="n">
        <x:f>E36</x:f>
      </x:c>
      <x:c r="G30" s="117" t="n">
        <x:f>F36</x:f>
      </x:c>
      <x:c r="H30" s="117" t="n">
        <x:f>G36</x:f>
      </x:c>
      <x:c r="I30" s="117" t="n">
        <x:f>H36</x:f>
      </x:c>
      <x:c r="J30" s="117" t="n">
        <x:f>I36</x:f>
      </x:c>
      <x:c r="K30" s="117" t="n">
        <x:f>J36</x:f>
      </x:c>
      <x:c r="L30" s="117" t="n">
        <x:f>K36</x:f>
      </x:c>
      <x:c r="M30" s="117" t="n">
        <x:f>L36</x:f>
      </x:c>
      <x:c r="N30" s="117" t="n">
        <x:f>M36</x:f>
      </x:c>
      <x:c r="O30" s="117" t="n">
        <x:f>N36</x:f>
      </x:c>
      <x:c r="P30" s="117" t="n">
        <x:f>O36</x:f>
      </x:c>
      <x:c r="Q30" s="117" t="n">
        <x:f>P36</x:f>
      </x:c>
      <x:c r="R30" s="117" t="n">
        <x:f>Q36</x:f>
      </x:c>
      <x:c r="S30" s="117" t="n">
        <x:f>R36</x:f>
      </x:c>
      <x:c r="T30" s="117" t="n">
        <x:f>S36</x:f>
      </x:c>
      <x:c r="U30" s="117" t="n">
        <x:f>T36</x:f>
      </x:c>
      <x:c r="V30" s="117" t="n">
        <x:f>U36</x:f>
      </x:c>
      <x:c r="W30" s="117" t="n">
        <x:f>V36</x:f>
      </x:c>
      <x:c r="X30" s="117" t="n">
        <x:f>W36</x:f>
      </x:c>
      <x:c r="Y30" s="117" t="n">
        <x:f>X36</x:f>
      </x:c>
      <x:c r="Z30" s="117" t="n">
        <x:f>Y36</x:f>
      </x:c>
      <x:c r="AA30" s="117" t="n">
        <x:f>Z36</x:f>
      </x:c>
      <x:c r="AB30" s="117" t="n">
        <x:f>AA36</x:f>
      </x:c>
      <x:c r="AC30" s="117" t="n">
        <x:f>AB36</x:f>
      </x:c>
      <x:c r="AD30" s="117" t="n">
        <x:f>AC36</x:f>
      </x:c>
      <x:c r="AE30" s="117" t="n">
        <x:f>AD36</x:f>
      </x:c>
      <x:c r="AF30" s="117" t="n">
        <x:f>AE36</x:f>
      </x:c>
      <x:c r="AG30" s="117" t="n">
        <x:f>AF36</x:f>
      </x:c>
      <x:c r="AH30" s="117" t="n">
        <x:f>AG36</x:f>
      </x:c>
      <x:c r="AI30" s="117" t="n">
        <x:f>AH36</x:f>
      </x:c>
      <x:c r="AJ30" s="117" t="n">
        <x:f>AI36</x:f>
      </x:c>
      <x:c r="AK30" s="117" t="n">
        <x:f>AJ36</x:f>
      </x:c>
      <x:c r="AL30" s="117" t="n">
        <x:f>AK36</x:f>
      </x:c>
      <x:c r="AM30" s="117" t="n">
        <x:f>AL36</x:f>
      </x:c>
      <x:c r="AN30" s="117" t="n">
        <x:f>AM36</x:f>
      </x:c>
      <x:c r="AO30" s="117" t="n">
        <x:f>AN36</x:f>
      </x:c>
      <x:c r="AP30" s="117" t="n">
        <x:f>AO36</x:f>
      </x:c>
      <x:c r="AQ30" s="117" t="n">
        <x:f>AP36</x:f>
      </x:c>
      <x:c r="AR30" s="117" t="n">
        <x:f>AQ36</x:f>
      </x:c>
      <x:c r="AS30" s="117" t="n">
        <x:f>AR36</x:f>
      </x:c>
      <x:c r="AT30" s="117" t="n">
        <x:f>AS36</x:f>
      </x:c>
      <x:c r="AU30" s="117" t="n">
        <x:f>AT36</x:f>
      </x:c>
      <x:c r="AV30" s="117" t="n">
        <x:f>AU36</x:f>
      </x:c>
      <x:c r="AW30" s="117" t="n">
        <x:f>AV36</x:f>
      </x:c>
      <x:c r="AX30" s="117" t="n">
        <x:f>AW36</x:f>
      </x:c>
      <x:c r="AY30" s="117" t="n">
        <x:f>AX36</x:f>
      </x:c>
      <x:c r="AZ30" s="117" t="n">
        <x:f>AY36</x:f>
      </x:c>
      <x:c r="BA30" s="117" t="n">
        <x:f>AZ36</x:f>
      </x:c>
      <x:c r="BB30" s="117" t="n">
        <x:f>BA36</x:f>
      </x:c>
      <x:c r="BC30" s="117" t="n">
        <x:f>BB36</x:f>
      </x:c>
      <x:c r="BD30" s="117" t="n">
        <x:f>BC36</x:f>
      </x:c>
      <x:c r="BE30" s="117" t="n">
        <x:f>BD36</x:f>
      </x:c>
      <x:c r="BF30" s="117" t="n">
        <x:f>BE36</x:f>
      </x:c>
      <x:c r="BG30" s="117" t="n">
        <x:f>BF36</x:f>
      </x:c>
      <x:c r="BH30" s="117" t="n">
        <x:f>BG36</x:f>
      </x:c>
      <x:c r="BI30" s="117" t="n">
        <x:f>BH36</x:f>
      </x:c>
      <x:c r="BJ30" s="117" t="n">
        <x:f>BI36</x:f>
      </x:c>
      <x:c r="BK30" s="117" t="n">
        <x:f>BJ36</x:f>
      </x:c>
      <x:c r="BL30" s="117" t="n">
        <x:f>BK36</x:f>
      </x:c>
      <x:c r="BM30" s="117" t="n">
        <x:f>BL36</x:f>
      </x:c>
      <x:c r="BN30" s="117" t="n">
        <x:f>BM36</x:f>
      </x:c>
      <x:c r="BO30" s="117" t="n">
        <x:f>BN36</x:f>
      </x:c>
      <x:c r="BP30" s="117" t="n">
        <x:f>BO36</x:f>
      </x:c>
      <x:c r="BQ30" s="117" t="n">
        <x:f>BP36</x:f>
      </x:c>
      <x:c r="BR30" s="117" t="n">
        <x:f>BQ36</x:f>
      </x:c>
      <x:c r="BS30" s="117" t="n">
        <x:f>BR36</x:f>
      </x:c>
      <x:c r="BT30" s="117" t="n">
        <x:f>BS36</x:f>
      </x:c>
      <x:c r="BU30" s="117" t="n">
        <x:f>BT36</x:f>
      </x:c>
      <x:c r="BV30" s="117" t="n">
        <x:f>BU36</x:f>
      </x:c>
      <x:c r="BW30" s="117" t="n">
        <x:f>BV36</x:f>
      </x:c>
      <x:c r="BX30" s="117" t="n">
        <x:f>BW36</x:f>
      </x:c>
      <x:c r="BY30" s="117" t="n">
        <x:f>BX36</x:f>
      </x:c>
      <x:c r="BZ30" s="117" t="n">
        <x:f>BY36</x:f>
      </x:c>
      <x:c r="CA30" s="117" t="n">
        <x:f>BZ36</x:f>
      </x:c>
      <x:c r="CB30" s="117" t="n">
        <x:f>CA36</x:f>
      </x:c>
      <x:c r="CC30" s="117" t="n">
        <x:f>CB36</x:f>
      </x:c>
      <x:c r="CD30" s="117" t="n">
        <x:f>CC36</x:f>
      </x:c>
      <x:c r="CE30" s="117" t="n">
        <x:f>CD36</x:f>
      </x:c>
      <x:c r="CF30" s="117" t="n">
        <x:f>CE36</x:f>
      </x:c>
      <x:c r="CG30" s="117" t="n">
        <x:f>CF36</x:f>
      </x:c>
      <x:c r="CH30" s="117" t="n">
        <x:f>CG36</x:f>
      </x:c>
      <x:c r="CI30" s="117" t="n">
        <x:f>CH36</x:f>
      </x:c>
      <x:c r="CJ30" s="117" t="n">
        <x:f>CI36</x:f>
      </x:c>
      <x:c r="CK30" s="117" t="n">
        <x:f>CJ36</x:f>
      </x:c>
      <x:c r="CL30" s="117" t="n">
        <x:f>CK36</x:f>
      </x:c>
      <x:c r="CM30" s="117" t="n">
        <x:f>CL36</x:f>
      </x:c>
      <x:c r="CN30" s="117" t="n">
        <x:f>CM36</x:f>
      </x:c>
      <x:c r="CO30" s="117" t="n">
        <x:f>CN36</x:f>
      </x:c>
      <x:c r="CP30" s="117" t="n">
        <x:f>CO36</x:f>
      </x:c>
      <x:c r="CQ30" s="117" t="n">
        <x:f>CP36</x:f>
      </x:c>
      <x:c r="CR30" s="117" t="n">
        <x:f>CQ36</x:f>
      </x:c>
      <x:c r="CS30" s="117" t="n">
        <x:f>CR36</x:f>
      </x:c>
      <x:c r="CT30" s="117" t="n">
        <x:f>CS36</x:f>
      </x:c>
      <x:c r="CU30" s="117" t="n">
        <x:f>CT36</x:f>
      </x:c>
      <x:c r="CV30" s="117" t="n">
        <x:f>CU36</x:f>
      </x:c>
      <x:c r="CW30" s="117" t="n">
        <x:f>CV36</x:f>
      </x:c>
      <x:c r="CX30" s="117" t="n">
        <x:f>CW36</x:f>
      </x:c>
      <x:c r="CY30" s="117" t="n">
        <x:f>CX36</x:f>
      </x:c>
      <x:c r="CZ30" s="117" t="n">
        <x:f>CY36</x:f>
      </x:c>
      <x:c r="DA30" s="117" t="n">
        <x:f>CZ36</x:f>
      </x:c>
      <x:c r="DB30" s="117" t="n">
        <x:f>DA36</x:f>
      </x:c>
      <x:c r="DC30" s="117" t="n">
        <x:f>DB36</x:f>
      </x:c>
      <x:c r="DD30" s="117" t="n">
        <x:f>DC36</x:f>
      </x:c>
      <x:c r="DE30" s="117" t="n">
        <x:f>DD36</x:f>
      </x:c>
      <x:c r="DF30" s="117" t="n">
        <x:f>DE36</x:f>
      </x:c>
      <x:c r="DG30" s="117" t="n">
        <x:f>DF36</x:f>
      </x:c>
      <x:c r="DH30" s="117" t="n">
        <x:f>DG36</x:f>
      </x:c>
      <x:c r="DI30" s="117" t="n">
        <x:f>DH36</x:f>
      </x:c>
      <x:c r="DJ30" s="117" t="n">
        <x:f>DI36</x:f>
      </x:c>
      <x:c r="DK30" s="117" t="n">
        <x:f>DJ36</x:f>
      </x:c>
      <x:c r="DL30" s="117" t="n">
        <x:f>DK36</x:f>
      </x:c>
      <x:c r="DM30" s="117" t="n">
        <x:f>DL36</x:f>
      </x:c>
      <x:c r="DN30" s="117" t="n">
        <x:f>DM36</x:f>
      </x:c>
      <x:c r="DO30" s="117" t="n">
        <x:f>DN36</x:f>
      </x:c>
      <x:c r="DP30" s="117" t="n">
        <x:f>DO36</x:f>
      </x:c>
      <x:c r="DQ30" s="117" t="n">
        <x:f>DP36</x:f>
      </x:c>
      <x:c r="DR30" s="117" t="n">
        <x:f>DQ36</x:f>
      </x:c>
      <x:c r="DS30" s="117" t="n">
        <x:f>DR36</x:f>
      </x:c>
      <x:c r="DT30" s="117" t="n">
        <x:f>DS36</x:f>
      </x:c>
      <x:c r="DU30" s="117" t="n">
        <x:f>DT36</x:f>
      </x:c>
      <x:c r="DV30" s="117" t="n">
        <x:f>DU36</x:f>
      </x:c>
      <x:c r="DW30" s="117" t="n">
        <x:f>DV36</x:f>
      </x:c>
      <x:c r="DX30" s="117" t="n">
        <x:f>DW36</x:f>
      </x:c>
      <x:c r="DY30" s="117" t="n">
        <x:f>DX36</x:f>
      </x:c>
      <x:c r="DZ30" s="117" t="n">
        <x:f>DY36</x:f>
      </x:c>
      <x:c r="EA30" s="117" t="n">
        <x:f>DZ36</x:f>
      </x:c>
      <x:c r="EB30" s="117" t="n">
        <x:f>EA36</x:f>
      </x:c>
      <x:c r="EC30" s="117" t="n">
        <x:f>EB36</x:f>
      </x:c>
      <x:c r="ED30" s="117" t="n">
        <x:f>EC36</x:f>
      </x:c>
      <x:c r="EE30" s="117" t="n">
        <x:f>ED36</x:f>
      </x:c>
      <x:c r="EF30" s="117" t="n">
        <x:f>EE36</x:f>
      </x:c>
      <x:c r="EG30" s="117" t="n">
        <x:f>EF36</x:f>
      </x:c>
      <x:c r="EH30" s="117" t="n">
        <x:f>EG36</x:f>
      </x:c>
      <x:c r="EI30" s="117" t="n">
        <x:f>EH36</x:f>
      </x:c>
      <x:c r="EJ30" s="117" t="n">
        <x:f>EI36</x:f>
      </x:c>
      <x:c r="EK30" s="117" t="n">
        <x:f>EJ36</x:f>
      </x:c>
      <x:c r="EL30" s="117" t="n">
        <x:f>EK36</x:f>
      </x:c>
      <x:c r="EM30" s="117" t="n">
        <x:f>EL36</x:f>
      </x:c>
      <x:c r="EN30" s="117" t="n">
        <x:f>EM36</x:f>
      </x:c>
      <x:c r="EO30" s="117" t="n">
        <x:f>EN36</x:f>
      </x:c>
      <x:c r="EP30" s="117" t="n">
        <x:f>EO36</x:f>
      </x:c>
      <x:c r="EQ30" s="117" t="n">
        <x:f>EP36</x:f>
      </x:c>
      <x:c r="ER30" s="117" t="n">
        <x:f>EQ36</x:f>
      </x:c>
      <x:c r="ES30" s="117" t="n">
        <x:f>ER36</x:f>
      </x:c>
      <x:c r="ET30" s="117" t="n">
        <x:f>ES36</x:f>
      </x:c>
      <x:c r="EU30" s="117" t="n">
        <x:f>ET36</x:f>
      </x:c>
      <x:c r="EV30" s="117" t="n">
        <x:f>EU36</x:f>
      </x:c>
      <x:c r="EW30" s="117" t="n">
        <x:f>EV36</x:f>
      </x:c>
      <x:c r="EX30" s="117" t="n">
        <x:f>EW36</x:f>
      </x:c>
      <x:c r="EY30" s="117" t="n">
        <x:f>EX36</x:f>
      </x:c>
      <x:c r="EZ30" s="117" t="n">
        <x:f>EY36</x:f>
      </x:c>
      <x:c r="FA30" s="117" t="n">
        <x:f>EZ36</x:f>
      </x:c>
      <x:c r="FB30" s="117" t="n">
        <x:f>FA36</x:f>
      </x:c>
      <x:c r="FC30" s="117" t="n">
        <x:f>FB36</x:f>
      </x:c>
      <x:c r="FD30" s="117" t="n">
        <x:f>FC36</x:f>
      </x:c>
      <x:c r="FE30" s="117" t="n">
        <x:f>FD36</x:f>
      </x:c>
      <x:c r="FF30" s="117" t="n">
        <x:f>FE36</x:f>
      </x:c>
      <x:c r="FG30" s="117" t="n">
        <x:f>FF36</x:f>
      </x:c>
      <x:c r="FH30" s="117" t="n">
        <x:f>FG36</x:f>
      </x:c>
      <x:c r="FI30" s="117" t="n">
        <x:f>FH36</x:f>
      </x:c>
      <x:c r="FJ30" s="117" t="n">
        <x:f>FI36</x:f>
      </x:c>
      <x:c r="FK30" s="117" t="n">
        <x:f>FJ36</x:f>
      </x:c>
      <x:c r="FL30" s="117" t="n">
        <x:f>FK36</x:f>
      </x:c>
      <x:c r="FM30" s="117" t="n">
        <x:f>FL36</x:f>
      </x:c>
      <x:c r="FN30" s="117" t="n">
        <x:f>FM36</x:f>
      </x:c>
      <x:c r="FO30" s="117" t="n">
        <x:f>FN36</x:f>
      </x:c>
      <x:c r="FP30" s="117" t="n">
        <x:f>FO36</x:f>
      </x:c>
      <x:c r="FQ30" s="117" t="n">
        <x:f>FP36</x:f>
      </x:c>
      <x:c r="FR30" s="117" t="n">
        <x:f>FQ36</x:f>
      </x:c>
      <x:c r="FS30" s="117" t="n">
        <x:f>FR36</x:f>
      </x:c>
      <x:c r="FT30" s="117" t="n">
        <x:f>FS36</x:f>
      </x:c>
      <x:c r="FU30" s="117" t="n">
        <x:f>FT36</x:f>
      </x:c>
      <x:c r="FV30" s="117" t="n">
        <x:f>FU36</x:f>
      </x:c>
      <x:c r="FW30" s="117" t="n">
        <x:f>FV36</x:f>
      </x:c>
      <x:c r="FX30" s="117" t="n">
        <x:f>FW36</x:f>
      </x:c>
      <x:c r="FY30" s="117" t="n">
        <x:f>FX36</x:f>
      </x:c>
      <x:c r="FZ30" s="117" t="n">
        <x:f>FY36</x:f>
      </x:c>
      <x:c r="GA30" s="117" t="n">
        <x:f>FZ36</x:f>
      </x:c>
    </x:row>
    <x:row r="31">
      <x:c r="A31" t="str">
        <x:v>БРИДЖ — ставка</x:v>
      </x:c>
      <x:c r="B31" t="n">
        <x:f>IFERROR(SUMPRODUCT(D31:GA31,--(D30:GA30&gt;0))/COUNTIF(D30:GA30,"&gt;0"),0)</x:f>
      </x:c>
      <x:c r="C31" t="str">
        <x:v>% год</x:v>
      </x:c>
      <x:c r="D31" s="121" t="n">
        <x:f>'Ставки'!D$6</x:f>
      </x:c>
      <x:c r="E31" s="121" t="n">
        <x:f>'Ставки'!E$6</x:f>
      </x:c>
      <x:c r="F31" s="121" t="n">
        <x:f>'Ставки'!F$6</x:f>
      </x:c>
      <x:c r="G31" s="121" t="n">
        <x:f>'Ставки'!G$6</x:f>
      </x:c>
      <x:c r="H31" s="121" t="n">
        <x:f>'Ставки'!H$6</x:f>
      </x:c>
      <x:c r="I31" s="121" t="n">
        <x:f>'Ставки'!I$6</x:f>
      </x:c>
      <x:c r="J31" s="121" t="n">
        <x:f>'Ставки'!J$6</x:f>
      </x:c>
      <x:c r="K31" s="121" t="n">
        <x:f>'Ставки'!K$6</x:f>
      </x:c>
      <x:c r="L31" s="121" t="n">
        <x:f>'Ставки'!L$6</x:f>
      </x:c>
      <x:c r="M31" s="121" t="n">
        <x:f>'Ставки'!M$6</x:f>
      </x:c>
      <x:c r="N31" s="121" t="n">
        <x:f>'Ставки'!N$6</x:f>
      </x:c>
      <x:c r="O31" s="121" t="n">
        <x:f>'Ставки'!O$6</x:f>
      </x:c>
      <x:c r="P31" s="121" t="n">
        <x:f>'Ставки'!P$6</x:f>
      </x:c>
      <x:c r="Q31" s="121" t="n">
        <x:f>'Ставки'!Q$6</x:f>
      </x:c>
      <x:c r="R31" s="121" t="n">
        <x:f>'Ставки'!R$6</x:f>
      </x:c>
      <x:c r="S31" s="121" t="n">
        <x:f>'Ставки'!S$6</x:f>
      </x:c>
      <x:c r="T31" s="121" t="n">
        <x:f>'Ставки'!T$6</x:f>
      </x:c>
      <x:c r="U31" s="121" t="n">
        <x:f>'Ставки'!U$6</x:f>
      </x:c>
      <x:c r="V31" s="121" t="n">
        <x:f>'Ставки'!V$6</x:f>
      </x:c>
      <x:c r="W31" s="121" t="n">
        <x:f>'Ставки'!W$6</x:f>
      </x:c>
      <x:c r="X31" s="121" t="n">
        <x:f>'Ставки'!X$6</x:f>
      </x:c>
      <x:c r="Y31" s="121" t="n">
        <x:f>'Ставки'!Y$6</x:f>
      </x:c>
      <x:c r="Z31" s="121" t="n">
        <x:f>'Ставки'!Z$6</x:f>
      </x:c>
      <x:c r="AA31" s="121" t="n">
        <x:f>'Ставки'!AA$6</x:f>
      </x:c>
      <x:c r="AB31" s="121" t="n">
        <x:f>'Ставки'!AB$6</x:f>
      </x:c>
      <x:c r="AC31" s="121" t="n">
        <x:f>'Ставки'!AC$6</x:f>
      </x:c>
      <x:c r="AD31" s="121" t="n">
        <x:f>'Ставки'!AD$6</x:f>
      </x:c>
      <x:c r="AE31" s="121" t="n">
        <x:f>'Ставки'!AE$6</x:f>
      </x:c>
      <x:c r="AF31" s="121" t="n">
        <x:f>'Ставки'!AF$6</x:f>
      </x:c>
      <x:c r="AG31" s="121" t="n">
        <x:f>'Ставки'!AG$6</x:f>
      </x:c>
      <x:c r="AH31" s="121" t="n">
        <x:f>'Ставки'!AH$6</x:f>
      </x:c>
      <x:c r="AI31" s="121" t="n">
        <x:f>'Ставки'!AI$6</x:f>
      </x:c>
      <x:c r="AJ31" s="121" t="n">
        <x:f>'Ставки'!AJ$6</x:f>
      </x:c>
      <x:c r="AK31" s="121" t="n">
        <x:f>'Ставки'!AK$6</x:f>
      </x:c>
      <x:c r="AL31" s="121" t="n">
        <x:f>'Ставки'!AL$6</x:f>
      </x:c>
      <x:c r="AM31" s="121" t="n">
        <x:f>'Ставки'!AM$6</x:f>
      </x:c>
      <x:c r="AN31" s="121" t="n">
        <x:f>'Ставки'!AN$6</x:f>
      </x:c>
      <x:c r="AO31" s="121" t="n">
        <x:f>'Ставки'!AO$6</x:f>
      </x:c>
      <x:c r="AP31" s="121" t="n">
        <x:f>'Ставки'!AP$6</x:f>
      </x:c>
      <x:c r="AQ31" s="121" t="n">
        <x:f>'Ставки'!AQ$6</x:f>
      </x:c>
      <x:c r="AR31" s="121" t="n">
        <x:f>'Ставки'!AR$6</x:f>
      </x:c>
      <x:c r="AS31" s="121" t="n">
        <x:f>'Ставки'!AS$6</x:f>
      </x:c>
      <x:c r="AT31" s="121" t="n">
        <x:f>'Ставки'!AT$6</x:f>
      </x:c>
      <x:c r="AU31" s="121" t="n">
        <x:f>'Ставки'!AU$6</x:f>
      </x:c>
      <x:c r="AV31" s="121" t="n">
        <x:f>'Ставки'!AV$6</x:f>
      </x:c>
      <x:c r="AW31" s="121" t="n">
        <x:f>'Ставки'!AW$6</x:f>
      </x:c>
      <x:c r="AX31" s="121" t="n">
        <x:f>'Ставки'!AX$6</x:f>
      </x:c>
      <x:c r="AY31" s="121" t="n">
        <x:f>'Ставки'!AY$6</x:f>
      </x:c>
      <x:c r="AZ31" s="121" t="n">
        <x:f>'Ставки'!AZ$6</x:f>
      </x:c>
      <x:c r="BA31" s="121" t="n">
        <x:f>'Ставки'!BA$6</x:f>
      </x:c>
      <x:c r="BB31" s="121" t="n">
        <x:f>'Ставки'!BB$6</x:f>
      </x:c>
      <x:c r="BC31" s="121" t="n">
        <x:f>'Ставки'!BC$6</x:f>
      </x:c>
      <x:c r="BD31" s="121" t="n">
        <x:f>'Ставки'!BD$6</x:f>
      </x:c>
      <x:c r="BE31" s="121" t="n">
        <x:f>'Ставки'!BE$6</x:f>
      </x:c>
      <x:c r="BF31" s="121" t="n">
        <x:f>'Ставки'!BF$6</x:f>
      </x:c>
      <x:c r="BG31" s="121" t="n">
        <x:f>'Ставки'!BG$6</x:f>
      </x:c>
      <x:c r="BH31" s="121" t="n">
        <x:f>'Ставки'!BH$6</x:f>
      </x:c>
      <x:c r="BI31" s="121" t="n">
        <x:f>'Ставки'!BI$6</x:f>
      </x:c>
      <x:c r="BJ31" s="121" t="n">
        <x:f>'Ставки'!BJ$6</x:f>
      </x:c>
      <x:c r="BK31" s="121" t="n">
        <x:f>'Ставки'!BK$6</x:f>
      </x:c>
      <x:c r="BL31" s="121" t="n">
        <x:f>'Ставки'!BL$6</x:f>
      </x:c>
      <x:c r="BM31" s="121" t="n">
        <x:f>'Ставки'!BM$6</x:f>
      </x:c>
      <x:c r="BN31" s="121" t="n">
        <x:f>'Ставки'!BN$6</x:f>
      </x:c>
      <x:c r="BO31" s="121" t="n">
        <x:f>'Ставки'!BO$6</x:f>
      </x:c>
      <x:c r="BP31" s="121" t="n">
        <x:f>'Ставки'!BP$6</x:f>
      </x:c>
      <x:c r="BQ31" s="121" t="n">
        <x:f>'Ставки'!BQ$6</x:f>
      </x:c>
      <x:c r="BR31" s="121" t="n">
        <x:f>'Ставки'!BR$6</x:f>
      </x:c>
      <x:c r="BS31" s="121" t="n">
        <x:f>'Ставки'!BS$6</x:f>
      </x:c>
      <x:c r="BT31" s="121" t="n">
        <x:f>'Ставки'!BT$6</x:f>
      </x:c>
      <x:c r="BU31" s="121" t="n">
        <x:f>'Ставки'!BU$6</x:f>
      </x:c>
      <x:c r="BV31" s="121" t="n">
        <x:f>'Ставки'!BV$6</x:f>
      </x:c>
      <x:c r="BW31" s="121" t="n">
        <x:f>'Ставки'!BW$6</x:f>
      </x:c>
      <x:c r="BX31" s="121" t="n">
        <x:f>'Ставки'!BX$6</x:f>
      </x:c>
      <x:c r="BY31" s="121" t="n">
        <x:f>'Ставки'!BY$6</x:f>
      </x:c>
      <x:c r="BZ31" s="121" t="n">
        <x:f>'Ставки'!BZ$6</x:f>
      </x:c>
      <x:c r="CA31" s="121" t="n">
        <x:f>'Ставки'!CA$6</x:f>
      </x:c>
      <x:c r="CB31" s="121" t="n">
        <x:f>'Ставки'!CB$6</x:f>
      </x:c>
      <x:c r="CC31" s="121" t="n">
        <x:f>'Ставки'!CC$6</x:f>
      </x:c>
      <x:c r="CD31" s="121" t="n">
        <x:f>'Ставки'!CD$6</x:f>
      </x:c>
      <x:c r="CE31" s="121" t="n">
        <x:f>'Ставки'!CE$6</x:f>
      </x:c>
      <x:c r="CF31" s="121" t="n">
        <x:f>'Ставки'!CF$6</x:f>
      </x:c>
      <x:c r="CG31" s="121" t="n">
        <x:f>'Ставки'!CG$6</x:f>
      </x:c>
      <x:c r="CH31" s="121" t="n">
        <x:f>'Ставки'!CH$6</x:f>
      </x:c>
      <x:c r="CI31" s="121" t="n">
        <x:f>'Ставки'!CI$6</x:f>
      </x:c>
      <x:c r="CJ31" s="121" t="n">
        <x:f>'Ставки'!CJ$6</x:f>
      </x:c>
      <x:c r="CK31" s="121" t="n">
        <x:f>'Ставки'!CK$6</x:f>
      </x:c>
      <x:c r="CL31" s="121" t="n">
        <x:f>'Ставки'!CL$6</x:f>
      </x:c>
      <x:c r="CM31" s="121" t="n">
        <x:f>'Ставки'!CM$6</x:f>
      </x:c>
      <x:c r="CN31" s="121" t="n">
        <x:f>'Ставки'!CN$6</x:f>
      </x:c>
      <x:c r="CO31" s="121" t="n">
        <x:f>'Ставки'!CO$6</x:f>
      </x:c>
      <x:c r="CP31" s="121" t="n">
        <x:f>'Ставки'!CP$6</x:f>
      </x:c>
      <x:c r="CQ31" s="121" t="n">
        <x:f>'Ставки'!CQ$6</x:f>
      </x:c>
      <x:c r="CR31" s="121" t="n">
        <x:f>'Ставки'!CR$6</x:f>
      </x:c>
      <x:c r="CS31" s="121" t="n">
        <x:f>'Ставки'!CS$6</x:f>
      </x:c>
      <x:c r="CT31" s="121" t="n">
        <x:f>'Ставки'!CT$6</x:f>
      </x:c>
      <x:c r="CU31" s="121" t="n">
        <x:f>'Ставки'!CU$6</x:f>
      </x:c>
      <x:c r="CV31" s="121" t="n">
        <x:f>'Ставки'!CV$6</x:f>
      </x:c>
      <x:c r="CW31" s="121" t="n">
        <x:f>'Ставки'!CW$6</x:f>
      </x:c>
      <x:c r="CX31" s="121" t="n">
        <x:f>'Ставки'!CX$6</x:f>
      </x:c>
      <x:c r="CY31" s="121" t="n">
        <x:f>'Ставки'!CY$6</x:f>
      </x:c>
      <x:c r="CZ31" s="121" t="n">
        <x:f>'Ставки'!CZ$6</x:f>
      </x:c>
      <x:c r="DA31" s="121" t="n">
        <x:f>'Ставки'!DA$6</x:f>
      </x:c>
      <x:c r="DB31" s="121" t="n">
        <x:f>'Ставки'!DB$6</x:f>
      </x:c>
      <x:c r="DC31" s="121" t="n">
        <x:f>'Ставки'!DC$6</x:f>
      </x:c>
      <x:c r="DD31" s="121" t="n">
        <x:f>'Ставки'!DD$6</x:f>
      </x:c>
      <x:c r="DE31" s="121" t="n">
        <x:f>'Ставки'!DE$6</x:f>
      </x:c>
      <x:c r="DF31" s="121" t="n">
        <x:f>'Ставки'!DF$6</x:f>
      </x:c>
      <x:c r="DG31" s="121" t="n">
        <x:f>'Ставки'!DG$6</x:f>
      </x:c>
      <x:c r="DH31" s="121" t="n">
        <x:f>'Ставки'!DH$6</x:f>
      </x:c>
      <x:c r="DI31" s="121" t="n">
        <x:f>'Ставки'!DI$6</x:f>
      </x:c>
      <x:c r="DJ31" s="121" t="n">
        <x:f>'Ставки'!DJ$6</x:f>
      </x:c>
      <x:c r="DK31" s="121" t="n">
        <x:f>'Ставки'!DK$6</x:f>
      </x:c>
      <x:c r="DL31" s="121" t="n">
        <x:f>'Ставки'!DL$6</x:f>
      </x:c>
      <x:c r="DM31" s="121" t="n">
        <x:f>'Ставки'!DM$6</x:f>
      </x:c>
      <x:c r="DN31" s="121" t="n">
        <x:f>'Ставки'!DN$6</x:f>
      </x:c>
      <x:c r="DO31" s="121" t="n">
        <x:f>'Ставки'!DO$6</x:f>
      </x:c>
      <x:c r="DP31" s="121" t="n">
        <x:f>'Ставки'!DP$6</x:f>
      </x:c>
      <x:c r="DQ31" s="121" t="n">
        <x:f>'Ставки'!DQ$6</x:f>
      </x:c>
      <x:c r="DR31" s="121" t="n">
        <x:f>'Ставки'!DR$6</x:f>
      </x:c>
      <x:c r="DS31" s="121" t="n">
        <x:f>'Ставки'!DS$6</x:f>
      </x:c>
      <x:c r="DT31" s="121" t="n">
        <x:f>'Ставки'!DT$6</x:f>
      </x:c>
      <x:c r="DU31" s="121" t="n">
        <x:f>'Ставки'!DU$6</x:f>
      </x:c>
      <x:c r="DV31" s="121" t="n">
        <x:f>'Ставки'!DV$6</x:f>
      </x:c>
      <x:c r="DW31" s="121" t="n">
        <x:f>'Ставки'!DW$6</x:f>
      </x:c>
      <x:c r="DX31" s="121" t="n">
        <x:f>'Ставки'!DX$6</x:f>
      </x:c>
      <x:c r="DY31" s="121" t="n">
        <x:f>'Ставки'!DY$6</x:f>
      </x:c>
      <x:c r="DZ31" s="121" t="n">
        <x:f>'Ставки'!DZ$6</x:f>
      </x:c>
      <x:c r="EA31" s="121" t="n">
        <x:f>'Ставки'!EA$6</x:f>
      </x:c>
      <x:c r="EB31" s="121" t="n">
        <x:f>'Ставки'!EB$6</x:f>
      </x:c>
      <x:c r="EC31" s="121" t="n">
        <x:f>'Ставки'!EC$6</x:f>
      </x:c>
      <x:c r="ED31" s="121" t="n">
        <x:f>'Ставки'!ED$6</x:f>
      </x:c>
      <x:c r="EE31" s="121" t="n">
        <x:f>'Ставки'!EE$6</x:f>
      </x:c>
      <x:c r="EF31" s="121" t="n">
        <x:f>'Ставки'!EF$6</x:f>
      </x:c>
      <x:c r="EG31" s="121" t="n">
        <x:f>'Ставки'!EG$6</x:f>
      </x:c>
      <x:c r="EH31" s="121" t="n">
        <x:f>'Ставки'!EH$6</x:f>
      </x:c>
      <x:c r="EI31" s="121" t="n">
        <x:f>'Ставки'!EI$6</x:f>
      </x:c>
      <x:c r="EJ31" s="121" t="n">
        <x:f>'Ставки'!EJ$6</x:f>
      </x:c>
      <x:c r="EK31" s="121" t="n">
        <x:f>'Ставки'!EK$6</x:f>
      </x:c>
      <x:c r="EL31" s="121" t="n">
        <x:f>'Ставки'!EL$6</x:f>
      </x:c>
      <x:c r="EM31" s="121" t="n">
        <x:f>'Ставки'!EM$6</x:f>
      </x:c>
      <x:c r="EN31" s="121" t="n">
        <x:f>'Ставки'!EN$6</x:f>
      </x:c>
      <x:c r="EO31" s="121" t="n">
        <x:f>'Ставки'!EO$6</x:f>
      </x:c>
      <x:c r="EP31" s="121" t="n">
        <x:f>'Ставки'!EP$6</x:f>
      </x:c>
      <x:c r="EQ31" s="121" t="n">
        <x:f>'Ставки'!EQ$6</x:f>
      </x:c>
      <x:c r="ER31" s="121" t="n">
        <x:f>'Ставки'!ER$6</x:f>
      </x:c>
      <x:c r="ES31" s="121" t="n">
        <x:f>'Ставки'!ES$6</x:f>
      </x:c>
      <x:c r="ET31" s="121" t="n">
        <x:f>'Ставки'!ET$6</x:f>
      </x:c>
      <x:c r="EU31" s="121" t="n">
        <x:f>'Ставки'!EU$6</x:f>
      </x:c>
      <x:c r="EV31" s="121" t="n">
        <x:f>'Ставки'!EV$6</x:f>
      </x:c>
      <x:c r="EW31" s="121" t="n">
        <x:f>'Ставки'!EW$6</x:f>
      </x:c>
      <x:c r="EX31" s="121" t="n">
        <x:f>'Ставки'!EX$6</x:f>
      </x:c>
      <x:c r="EY31" s="121" t="n">
        <x:f>'Ставки'!EY$6</x:f>
      </x:c>
      <x:c r="EZ31" s="121" t="n">
        <x:f>'Ставки'!EZ$6</x:f>
      </x:c>
      <x:c r="FA31" s="121" t="n">
        <x:f>'Ставки'!FA$6</x:f>
      </x:c>
      <x:c r="FB31" s="121" t="n">
        <x:f>'Ставки'!FB$6</x:f>
      </x:c>
      <x:c r="FC31" s="121" t="n">
        <x:f>'Ставки'!FC$6</x:f>
      </x:c>
      <x:c r="FD31" s="121" t="n">
        <x:f>'Ставки'!FD$6</x:f>
      </x:c>
      <x:c r="FE31" s="121" t="n">
        <x:f>'Ставки'!FE$6</x:f>
      </x:c>
      <x:c r="FF31" s="121" t="n">
        <x:f>'Ставки'!FF$6</x:f>
      </x:c>
      <x:c r="FG31" s="121" t="n">
        <x:f>'Ставки'!FG$6</x:f>
      </x:c>
      <x:c r="FH31" s="121" t="n">
        <x:f>'Ставки'!FH$6</x:f>
      </x:c>
      <x:c r="FI31" s="121" t="n">
        <x:f>'Ставки'!FI$6</x:f>
      </x:c>
      <x:c r="FJ31" s="121" t="n">
        <x:f>'Ставки'!FJ$6</x:f>
      </x:c>
      <x:c r="FK31" s="121" t="n">
        <x:f>'Ставки'!FK$6</x:f>
      </x:c>
      <x:c r="FL31" s="121" t="n">
        <x:f>'Ставки'!FL$6</x:f>
      </x:c>
      <x:c r="FM31" s="121" t="n">
        <x:f>'Ставки'!FM$6</x:f>
      </x:c>
      <x:c r="FN31" s="121" t="n">
        <x:f>'Ставки'!FN$6</x:f>
      </x:c>
      <x:c r="FO31" s="121" t="n">
        <x:f>'Ставки'!FO$6</x:f>
      </x:c>
      <x:c r="FP31" s="121" t="n">
        <x:f>'Ставки'!FP$6</x:f>
      </x:c>
      <x:c r="FQ31" s="121" t="n">
        <x:f>'Ставки'!FQ$6</x:f>
      </x:c>
      <x:c r="FR31" s="121" t="n">
        <x:f>'Ставки'!FR$6</x:f>
      </x:c>
      <x:c r="FS31" s="121" t="n">
        <x:f>'Ставки'!FS$6</x:f>
      </x:c>
      <x:c r="FT31" s="121" t="n">
        <x:f>'Ставки'!FT$6</x:f>
      </x:c>
      <x:c r="FU31" s="121" t="n">
        <x:f>'Ставки'!FU$6</x:f>
      </x:c>
      <x:c r="FV31" s="121" t="n">
        <x:f>'Ставки'!FV$6</x:f>
      </x:c>
      <x:c r="FW31" s="121" t="n">
        <x:f>'Ставки'!FW$6</x:f>
      </x:c>
      <x:c r="FX31" s="121" t="n">
        <x:f>'Ставки'!FX$6</x:f>
      </x:c>
      <x:c r="FY31" s="121" t="n">
        <x:f>'Ставки'!FY$6</x:f>
      </x:c>
      <x:c r="FZ31" s="121" t="n">
        <x:f>'Ставки'!FZ$6</x:f>
      </x:c>
      <x:c r="GA31" s="121" t="n">
        <x:f>'Ставки'!GA$6</x:f>
      </x:c>
    </x:row>
    <x:row r="32">
      <x:c r="A32" t="str">
        <x:v>БРИДЖ — проценты</x:v>
      </x:c>
      <x:c r="B32" t="n">
        <x:f>SUM(D32:GA32)</x:f>
      </x:c>
      <x:c r="C32" t="str">
        <x:v>млн ₽</x:v>
      </x:c>
      <x:c r="D32" s="117">
        <x:f>IF(AND(D$3&lt;$B$7,$B$5=1),(D30+D34)*D31/12,0)</x:f>
      </x:c>
      <x:c r="E32" s="117">
        <x:f>IF(AND(E$3&lt;$B$7,$B$5=1),(E30+E34)*E31/12,0)</x:f>
      </x:c>
      <x:c r="F32" s="117">
        <x:f>IF(AND(F$3&lt;$B$7,$B$5=1),(F30+F34)*F31/12,0)</x:f>
      </x:c>
      <x:c r="G32" s="117">
        <x:f>IF(AND(G$3&lt;$B$7,$B$5=1),(G30+G34)*G31/12,0)</x:f>
      </x:c>
      <x:c r="H32" s="117">
        <x:f>IF(AND(H$3&lt;$B$7,$B$5=1),(H30+H34)*H31/12,0)</x:f>
      </x:c>
      <x:c r="I32" s="117">
        <x:f>IF(AND(I$3&lt;$B$7,$B$5=1),(I30+I34)*I31/12,0)</x:f>
      </x:c>
      <x:c r="J32" s="117">
        <x:f>IF(AND(J$3&lt;$B$7,$B$5=1),(J30+J34)*J31/12,0)</x:f>
      </x:c>
      <x:c r="K32" s="117">
        <x:f>IF(AND(K$3&lt;$B$7,$B$5=1),(K30+K34)*K31/12,0)</x:f>
      </x:c>
      <x:c r="L32" s="117">
        <x:f>IF(AND(L$3&lt;$B$7,$B$5=1),(L30+L34)*L31/12,0)</x:f>
      </x:c>
      <x:c r="M32" s="117">
        <x:f>IF(AND(M$3&lt;$B$7,$B$5=1),(M30+M34)*M31/12,0)</x:f>
      </x:c>
      <x:c r="N32" s="117">
        <x:f>IF(AND(N$3&lt;$B$7,$B$5=1),(N30+N34)*N31/12,0)</x:f>
      </x:c>
      <x:c r="O32" s="117">
        <x:f>IF(AND(O$3&lt;$B$7,$B$5=1),(O30+O34)*O31/12,0)</x:f>
      </x:c>
      <x:c r="P32" s="117">
        <x:f>IF(AND(P$3&lt;$B$7,$B$5=1),(P30+P34)*P31/12,0)</x:f>
      </x:c>
      <x:c r="Q32" s="117">
        <x:f>IF(AND(Q$3&lt;$B$7,$B$5=1),(Q30+Q34)*Q31/12,0)</x:f>
      </x:c>
      <x:c r="R32" s="117">
        <x:f>IF(AND(R$3&lt;$B$7,$B$5=1),(R30+R34)*R31/12,0)</x:f>
      </x:c>
      <x:c r="S32" s="117">
        <x:f>IF(AND(S$3&lt;$B$7,$B$5=1),(S30+S34)*S31/12,0)</x:f>
      </x:c>
      <x:c r="T32" s="117">
        <x:f>IF(AND(T$3&lt;$B$7,$B$5=1),(T30+T34)*T31/12,0)</x:f>
      </x:c>
      <x:c r="U32" s="117">
        <x:f>IF(AND(U$3&lt;$B$7,$B$5=1),(U30+U34)*U31/12,0)</x:f>
      </x:c>
      <x:c r="V32" s="117">
        <x:f>IF(AND(V$3&lt;$B$7,$B$5=1),(V30+V34)*V31/12,0)</x:f>
      </x:c>
      <x:c r="W32" s="117">
        <x:f>IF(AND(W$3&lt;$B$7,$B$5=1),(W30+W34)*W31/12,0)</x:f>
      </x:c>
      <x:c r="X32" s="117">
        <x:f>IF(AND(X$3&lt;$B$7,$B$5=1),(X30+X34)*X31/12,0)</x:f>
      </x:c>
      <x:c r="Y32" s="117">
        <x:f>IF(AND(Y$3&lt;$B$7,$B$5=1),(Y30+Y34)*Y31/12,0)</x:f>
      </x:c>
      <x:c r="Z32" s="117">
        <x:f>IF(AND(Z$3&lt;$B$7,$B$5=1),(Z30+Z34)*Z31/12,0)</x:f>
      </x:c>
      <x:c r="AA32" s="117">
        <x:f>IF(AND(AA$3&lt;$B$7,$B$5=1),(AA30+AA34)*AA31/12,0)</x:f>
      </x:c>
      <x:c r="AB32" s="117">
        <x:f>IF(AND(AB$3&lt;$B$7,$B$5=1),(AB30+AB34)*AB31/12,0)</x:f>
      </x:c>
      <x:c r="AC32" s="117">
        <x:f>IF(AND(AC$3&lt;$B$7,$B$5=1),(AC30+AC34)*AC31/12,0)</x:f>
      </x:c>
      <x:c r="AD32" s="117">
        <x:f>IF(AND(AD$3&lt;$B$7,$B$5=1),(AD30+AD34)*AD31/12,0)</x:f>
      </x:c>
      <x:c r="AE32" s="117">
        <x:f>IF(AND(AE$3&lt;$B$7,$B$5=1),(AE30+AE34)*AE31/12,0)</x:f>
      </x:c>
      <x:c r="AF32" s="117">
        <x:f>IF(AND(AF$3&lt;$B$7,$B$5=1),(AF30+AF34)*AF31/12,0)</x:f>
      </x:c>
      <x:c r="AG32" s="117">
        <x:f>IF(AND(AG$3&lt;$B$7,$B$5=1),(AG30+AG34)*AG31/12,0)</x:f>
      </x:c>
      <x:c r="AH32" s="117">
        <x:f>IF(AND(AH$3&lt;$B$7,$B$5=1),(AH30+AH34)*AH31/12,0)</x:f>
      </x:c>
      <x:c r="AI32" s="117">
        <x:f>IF(AND(AI$3&lt;$B$7,$B$5=1),(AI30+AI34)*AI31/12,0)</x:f>
      </x:c>
      <x:c r="AJ32" s="117">
        <x:f>IF(AND(AJ$3&lt;$B$7,$B$5=1),(AJ30+AJ34)*AJ31/12,0)</x:f>
      </x:c>
      <x:c r="AK32" s="117">
        <x:f>IF(AND(AK$3&lt;$B$7,$B$5=1),(AK30+AK34)*AK31/12,0)</x:f>
      </x:c>
      <x:c r="AL32" s="117">
        <x:f>IF(AND(AL$3&lt;$B$7,$B$5=1),(AL30+AL34)*AL31/12,0)</x:f>
      </x:c>
      <x:c r="AM32" s="117">
        <x:f>IF(AND(AM$3&lt;$B$7,$B$5=1),(AM30+AM34)*AM31/12,0)</x:f>
      </x:c>
      <x:c r="AN32" s="117">
        <x:f>IF(AND(AN$3&lt;$B$7,$B$5=1),(AN30+AN34)*AN31/12,0)</x:f>
      </x:c>
      <x:c r="AO32" s="117">
        <x:f>IF(AND(AO$3&lt;$B$7,$B$5=1),(AO30+AO34)*AO31/12,0)</x:f>
      </x:c>
      <x:c r="AP32" s="117">
        <x:f>IF(AND(AP$3&lt;$B$7,$B$5=1),(AP30+AP34)*AP31/12,0)</x:f>
      </x:c>
      <x:c r="AQ32" s="117">
        <x:f>IF(AND(AQ$3&lt;$B$7,$B$5=1),(AQ30+AQ34)*AQ31/12,0)</x:f>
      </x:c>
      <x:c r="AR32" s="117">
        <x:f>IF(AND(AR$3&lt;$B$7,$B$5=1),(AR30+AR34)*AR31/12,0)</x:f>
      </x:c>
      <x:c r="AS32" s="117">
        <x:f>IF(AND(AS$3&lt;$B$7,$B$5=1),(AS30+AS34)*AS31/12,0)</x:f>
      </x:c>
      <x:c r="AT32" s="117">
        <x:f>IF(AND(AT$3&lt;$B$7,$B$5=1),(AT30+AT34)*AT31/12,0)</x:f>
      </x:c>
      <x:c r="AU32" s="117">
        <x:f>IF(AND(AU$3&lt;$B$7,$B$5=1),(AU30+AU34)*AU31/12,0)</x:f>
      </x:c>
      <x:c r="AV32" s="117">
        <x:f>IF(AND(AV$3&lt;$B$7,$B$5=1),(AV30+AV34)*AV31/12,0)</x:f>
      </x:c>
      <x:c r="AW32" s="117">
        <x:f>IF(AND(AW$3&lt;$B$7,$B$5=1),(AW30+AW34)*AW31/12,0)</x:f>
      </x:c>
      <x:c r="AX32" s="117">
        <x:f>IF(AND(AX$3&lt;$B$7,$B$5=1),(AX30+AX34)*AX31/12,0)</x:f>
      </x:c>
      <x:c r="AY32" s="117">
        <x:f>IF(AND(AY$3&lt;$B$7,$B$5=1),(AY30+AY34)*AY31/12,0)</x:f>
      </x:c>
      <x:c r="AZ32" s="117">
        <x:f>IF(AND(AZ$3&lt;$B$7,$B$5=1),(AZ30+AZ34)*AZ31/12,0)</x:f>
      </x:c>
      <x:c r="BA32" s="117">
        <x:f>IF(AND(BA$3&lt;$B$7,$B$5=1),(BA30+BA34)*BA31/12,0)</x:f>
      </x:c>
      <x:c r="BB32" s="117">
        <x:f>IF(AND(BB$3&lt;$B$7,$B$5=1),(BB30+BB34)*BB31/12,0)</x:f>
      </x:c>
      <x:c r="BC32" s="117">
        <x:f>IF(AND(BC$3&lt;$B$7,$B$5=1),(BC30+BC34)*BC31/12,0)</x:f>
      </x:c>
      <x:c r="BD32" s="117">
        <x:f>IF(AND(BD$3&lt;$B$7,$B$5=1),(BD30+BD34)*BD31/12,0)</x:f>
      </x:c>
      <x:c r="BE32" s="117">
        <x:f>IF(AND(BE$3&lt;$B$7,$B$5=1),(BE30+BE34)*BE31/12,0)</x:f>
      </x:c>
      <x:c r="BF32" s="117">
        <x:f>IF(AND(BF$3&lt;$B$7,$B$5=1),(BF30+BF34)*BF31/12,0)</x:f>
      </x:c>
      <x:c r="BG32" s="117">
        <x:f>IF(AND(BG$3&lt;$B$7,$B$5=1),(BG30+BG34)*BG31/12,0)</x:f>
      </x:c>
      <x:c r="BH32" s="117">
        <x:f>IF(AND(BH$3&lt;$B$7,$B$5=1),(BH30+BH34)*BH31/12,0)</x:f>
      </x:c>
      <x:c r="BI32" s="117">
        <x:f>IF(AND(BI$3&lt;$B$7,$B$5=1),(BI30+BI34)*BI31/12,0)</x:f>
      </x:c>
      <x:c r="BJ32" s="117">
        <x:f>IF(AND(BJ$3&lt;$B$7,$B$5=1),(BJ30+BJ34)*BJ31/12,0)</x:f>
      </x:c>
      <x:c r="BK32" s="117">
        <x:f>IF(AND(BK$3&lt;$B$7,$B$5=1),(BK30+BK34)*BK31/12,0)</x:f>
      </x:c>
      <x:c r="BL32" s="117">
        <x:f>IF(AND(BL$3&lt;$B$7,$B$5=1),(BL30+BL34)*BL31/12,0)</x:f>
      </x:c>
      <x:c r="BM32" s="117">
        <x:f>IF(AND(BM$3&lt;$B$7,$B$5=1),(BM30+BM34)*BM31/12,0)</x:f>
      </x:c>
      <x:c r="BN32" s="117">
        <x:f>IF(AND(BN$3&lt;$B$7,$B$5=1),(BN30+BN34)*BN31/12,0)</x:f>
      </x:c>
      <x:c r="BO32" s="117">
        <x:f>IF(AND(BO$3&lt;$B$7,$B$5=1),(BO30+BO34)*BO31/12,0)</x:f>
      </x:c>
      <x:c r="BP32" s="117">
        <x:f>IF(AND(BP$3&lt;$B$7,$B$5=1),(BP30+BP34)*BP31/12,0)</x:f>
      </x:c>
      <x:c r="BQ32" s="117">
        <x:f>IF(AND(BQ$3&lt;$B$7,$B$5=1),(BQ30+BQ34)*BQ31/12,0)</x:f>
      </x:c>
      <x:c r="BR32" s="117">
        <x:f>IF(AND(BR$3&lt;$B$7,$B$5=1),(BR30+BR34)*BR31/12,0)</x:f>
      </x:c>
      <x:c r="BS32" s="117">
        <x:f>IF(AND(BS$3&lt;$B$7,$B$5=1),(BS30+BS34)*BS31/12,0)</x:f>
      </x:c>
      <x:c r="BT32" s="117">
        <x:f>IF(AND(BT$3&lt;$B$7,$B$5=1),(BT30+BT34)*BT31/12,0)</x:f>
      </x:c>
      <x:c r="BU32" s="117">
        <x:f>IF(AND(BU$3&lt;$B$7,$B$5=1),(BU30+BU34)*BU31/12,0)</x:f>
      </x:c>
      <x:c r="BV32" s="117">
        <x:f>IF(AND(BV$3&lt;$B$7,$B$5=1),(BV30+BV34)*BV31/12,0)</x:f>
      </x:c>
      <x:c r="BW32" s="117">
        <x:f>IF(AND(BW$3&lt;$B$7,$B$5=1),(BW30+BW34)*BW31/12,0)</x:f>
      </x:c>
      <x:c r="BX32" s="117">
        <x:f>IF(AND(BX$3&lt;$B$7,$B$5=1),(BX30+BX34)*BX31/12,0)</x:f>
      </x:c>
      <x:c r="BY32" s="117">
        <x:f>IF(AND(BY$3&lt;$B$7,$B$5=1),(BY30+BY34)*BY31/12,0)</x:f>
      </x:c>
      <x:c r="BZ32" s="117">
        <x:f>IF(AND(BZ$3&lt;$B$7,$B$5=1),(BZ30+BZ34)*BZ31/12,0)</x:f>
      </x:c>
      <x:c r="CA32" s="117">
        <x:f>IF(AND(CA$3&lt;$B$7,$B$5=1),(CA30+CA34)*CA31/12,0)</x:f>
      </x:c>
      <x:c r="CB32" s="117">
        <x:f>IF(AND(CB$3&lt;$B$7,$B$5=1),(CB30+CB34)*CB31/12,0)</x:f>
      </x:c>
      <x:c r="CC32" s="117">
        <x:f>IF(AND(CC$3&lt;$B$7,$B$5=1),(CC30+CC34)*CC31/12,0)</x:f>
      </x:c>
      <x:c r="CD32" s="117">
        <x:f>IF(AND(CD$3&lt;$B$7,$B$5=1),(CD30+CD34)*CD31/12,0)</x:f>
      </x:c>
      <x:c r="CE32" s="117">
        <x:f>IF(AND(CE$3&lt;$B$7,$B$5=1),(CE30+CE34)*CE31/12,0)</x:f>
      </x:c>
      <x:c r="CF32" s="117">
        <x:f>IF(AND(CF$3&lt;$B$7,$B$5=1),(CF30+CF34)*CF31/12,0)</x:f>
      </x:c>
      <x:c r="CG32" s="117">
        <x:f>IF(AND(CG$3&lt;$B$7,$B$5=1),(CG30+CG34)*CG31/12,0)</x:f>
      </x:c>
      <x:c r="CH32" s="117">
        <x:f>IF(AND(CH$3&lt;$B$7,$B$5=1),(CH30+CH34)*CH31/12,0)</x:f>
      </x:c>
      <x:c r="CI32" s="117">
        <x:f>IF(AND(CI$3&lt;$B$7,$B$5=1),(CI30+CI34)*CI31/12,0)</x:f>
      </x:c>
      <x:c r="CJ32" s="117">
        <x:f>IF(AND(CJ$3&lt;$B$7,$B$5=1),(CJ30+CJ34)*CJ31/12,0)</x:f>
      </x:c>
      <x:c r="CK32" s="117">
        <x:f>IF(AND(CK$3&lt;$B$7,$B$5=1),(CK30+CK34)*CK31/12,0)</x:f>
      </x:c>
      <x:c r="CL32" s="117">
        <x:f>IF(AND(CL$3&lt;$B$7,$B$5=1),(CL30+CL34)*CL31/12,0)</x:f>
      </x:c>
      <x:c r="CM32" s="117">
        <x:f>IF(AND(CM$3&lt;$B$7,$B$5=1),(CM30+CM34)*CM31/12,0)</x:f>
      </x:c>
      <x:c r="CN32" s="117">
        <x:f>IF(AND(CN$3&lt;$B$7,$B$5=1),(CN30+CN34)*CN31/12,0)</x:f>
      </x:c>
      <x:c r="CO32" s="117">
        <x:f>IF(AND(CO$3&lt;$B$7,$B$5=1),(CO30+CO34)*CO31/12,0)</x:f>
      </x:c>
      <x:c r="CP32" s="117">
        <x:f>IF(AND(CP$3&lt;$B$7,$B$5=1),(CP30+CP34)*CP31/12,0)</x:f>
      </x:c>
      <x:c r="CQ32" s="117">
        <x:f>IF(AND(CQ$3&lt;$B$7,$B$5=1),(CQ30+CQ34)*CQ31/12,0)</x:f>
      </x:c>
      <x:c r="CR32" s="117">
        <x:f>IF(AND(CR$3&lt;$B$7,$B$5=1),(CR30+CR34)*CR31/12,0)</x:f>
      </x:c>
      <x:c r="CS32" s="117">
        <x:f>IF(AND(CS$3&lt;$B$7,$B$5=1),(CS30+CS34)*CS31/12,0)</x:f>
      </x:c>
      <x:c r="CT32" s="117">
        <x:f>IF(AND(CT$3&lt;$B$7,$B$5=1),(CT30+CT34)*CT31/12,0)</x:f>
      </x:c>
      <x:c r="CU32" s="117">
        <x:f>IF(AND(CU$3&lt;$B$7,$B$5=1),(CU30+CU34)*CU31/12,0)</x:f>
      </x:c>
      <x:c r="CV32" s="117">
        <x:f>IF(AND(CV$3&lt;$B$7,$B$5=1),(CV30+CV34)*CV31/12,0)</x:f>
      </x:c>
      <x:c r="CW32" s="117">
        <x:f>IF(AND(CW$3&lt;$B$7,$B$5=1),(CW30+CW34)*CW31/12,0)</x:f>
      </x:c>
      <x:c r="CX32" s="117">
        <x:f>IF(AND(CX$3&lt;$B$7,$B$5=1),(CX30+CX34)*CX31/12,0)</x:f>
      </x:c>
      <x:c r="CY32" s="117">
        <x:f>IF(AND(CY$3&lt;$B$7,$B$5=1),(CY30+CY34)*CY31/12,0)</x:f>
      </x:c>
      <x:c r="CZ32" s="117">
        <x:f>IF(AND(CZ$3&lt;$B$7,$B$5=1),(CZ30+CZ34)*CZ31/12,0)</x:f>
      </x:c>
      <x:c r="DA32" s="117">
        <x:f>IF(AND(DA$3&lt;$B$7,$B$5=1),(DA30+DA34)*DA31/12,0)</x:f>
      </x:c>
      <x:c r="DB32" s="117">
        <x:f>IF(AND(DB$3&lt;$B$7,$B$5=1),(DB30+DB34)*DB31/12,0)</x:f>
      </x:c>
      <x:c r="DC32" s="117">
        <x:f>IF(AND(DC$3&lt;$B$7,$B$5=1),(DC30+DC34)*DC31/12,0)</x:f>
      </x:c>
      <x:c r="DD32" s="117">
        <x:f>IF(AND(DD$3&lt;$B$7,$B$5=1),(DD30+DD34)*DD31/12,0)</x:f>
      </x:c>
      <x:c r="DE32" s="117">
        <x:f>IF(AND(DE$3&lt;$B$7,$B$5=1),(DE30+DE34)*DE31/12,0)</x:f>
      </x:c>
      <x:c r="DF32" s="117">
        <x:f>IF(AND(DF$3&lt;$B$7,$B$5=1),(DF30+DF34)*DF31/12,0)</x:f>
      </x:c>
      <x:c r="DG32" s="117">
        <x:f>IF(AND(DG$3&lt;$B$7,$B$5=1),(DG30+DG34)*DG31/12,0)</x:f>
      </x:c>
      <x:c r="DH32" s="117">
        <x:f>IF(AND(DH$3&lt;$B$7,$B$5=1),(DH30+DH34)*DH31/12,0)</x:f>
      </x:c>
      <x:c r="DI32" s="117">
        <x:f>IF(AND(DI$3&lt;$B$7,$B$5=1),(DI30+DI34)*DI31/12,0)</x:f>
      </x:c>
      <x:c r="DJ32" s="117">
        <x:f>IF(AND(DJ$3&lt;$B$7,$B$5=1),(DJ30+DJ34)*DJ31/12,0)</x:f>
      </x:c>
      <x:c r="DK32" s="117">
        <x:f>IF(AND(DK$3&lt;$B$7,$B$5=1),(DK30+DK34)*DK31/12,0)</x:f>
      </x:c>
      <x:c r="DL32" s="117">
        <x:f>IF(AND(DL$3&lt;$B$7,$B$5=1),(DL30+DL34)*DL31/12,0)</x:f>
      </x:c>
      <x:c r="DM32" s="117">
        <x:f>IF(AND(DM$3&lt;$B$7,$B$5=1),(DM30+DM34)*DM31/12,0)</x:f>
      </x:c>
      <x:c r="DN32" s="117">
        <x:f>IF(AND(DN$3&lt;$B$7,$B$5=1),(DN30+DN34)*DN31/12,0)</x:f>
      </x:c>
      <x:c r="DO32" s="117">
        <x:f>IF(AND(DO$3&lt;$B$7,$B$5=1),(DO30+DO34)*DO31/12,0)</x:f>
      </x:c>
      <x:c r="DP32" s="117">
        <x:f>IF(AND(DP$3&lt;$B$7,$B$5=1),(DP30+DP34)*DP31/12,0)</x:f>
      </x:c>
      <x:c r="DQ32" s="117">
        <x:f>IF(AND(DQ$3&lt;$B$7,$B$5=1),(DQ30+DQ34)*DQ31/12,0)</x:f>
      </x:c>
      <x:c r="DR32" s="117">
        <x:f>IF(AND(DR$3&lt;$B$7,$B$5=1),(DR30+DR34)*DR31/12,0)</x:f>
      </x:c>
      <x:c r="DS32" s="117">
        <x:f>IF(AND(DS$3&lt;$B$7,$B$5=1),(DS30+DS34)*DS31/12,0)</x:f>
      </x:c>
      <x:c r="DT32" s="117">
        <x:f>IF(AND(DT$3&lt;$B$7,$B$5=1),(DT30+DT34)*DT31/12,0)</x:f>
      </x:c>
      <x:c r="DU32" s="117">
        <x:f>IF(AND(DU$3&lt;$B$7,$B$5=1),(DU30+DU34)*DU31/12,0)</x:f>
      </x:c>
      <x:c r="DV32" s="117">
        <x:f>IF(AND(DV$3&lt;$B$7,$B$5=1),(DV30+DV34)*DV31/12,0)</x:f>
      </x:c>
      <x:c r="DW32" s="117">
        <x:f>IF(AND(DW$3&lt;$B$7,$B$5=1),(DW30+DW34)*DW31/12,0)</x:f>
      </x:c>
      <x:c r="DX32" s="117">
        <x:f>IF(AND(DX$3&lt;$B$7,$B$5=1),(DX30+DX34)*DX31/12,0)</x:f>
      </x:c>
      <x:c r="DY32" s="117">
        <x:f>IF(AND(DY$3&lt;$B$7,$B$5=1),(DY30+DY34)*DY31/12,0)</x:f>
      </x:c>
      <x:c r="DZ32" s="117">
        <x:f>IF(AND(DZ$3&lt;$B$7,$B$5=1),(DZ30+DZ34)*DZ31/12,0)</x:f>
      </x:c>
      <x:c r="EA32" s="117">
        <x:f>IF(AND(EA$3&lt;$B$7,$B$5=1),(EA30+EA34)*EA31/12,0)</x:f>
      </x:c>
      <x:c r="EB32" s="117">
        <x:f>IF(AND(EB$3&lt;$B$7,$B$5=1),(EB30+EB34)*EB31/12,0)</x:f>
      </x:c>
      <x:c r="EC32" s="117">
        <x:f>IF(AND(EC$3&lt;$B$7,$B$5=1),(EC30+EC34)*EC31/12,0)</x:f>
      </x:c>
      <x:c r="ED32" s="117">
        <x:f>IF(AND(ED$3&lt;$B$7,$B$5=1),(ED30+ED34)*ED31/12,0)</x:f>
      </x:c>
      <x:c r="EE32" s="117">
        <x:f>IF(AND(EE$3&lt;$B$7,$B$5=1),(EE30+EE34)*EE31/12,0)</x:f>
      </x:c>
      <x:c r="EF32" s="117">
        <x:f>IF(AND(EF$3&lt;$B$7,$B$5=1),(EF30+EF34)*EF31/12,0)</x:f>
      </x:c>
      <x:c r="EG32" s="117">
        <x:f>IF(AND(EG$3&lt;$B$7,$B$5=1),(EG30+EG34)*EG31/12,0)</x:f>
      </x:c>
      <x:c r="EH32" s="117">
        <x:f>IF(AND(EH$3&lt;$B$7,$B$5=1),(EH30+EH34)*EH31/12,0)</x:f>
      </x:c>
      <x:c r="EI32" s="117">
        <x:f>IF(AND(EI$3&lt;$B$7,$B$5=1),(EI30+EI34)*EI31/12,0)</x:f>
      </x:c>
      <x:c r="EJ32" s="117">
        <x:f>IF(AND(EJ$3&lt;$B$7,$B$5=1),(EJ30+EJ34)*EJ31/12,0)</x:f>
      </x:c>
      <x:c r="EK32" s="117">
        <x:f>IF(AND(EK$3&lt;$B$7,$B$5=1),(EK30+EK34)*EK31/12,0)</x:f>
      </x:c>
      <x:c r="EL32" s="117">
        <x:f>IF(AND(EL$3&lt;$B$7,$B$5=1),(EL30+EL34)*EL31/12,0)</x:f>
      </x:c>
      <x:c r="EM32" s="117">
        <x:f>IF(AND(EM$3&lt;$B$7,$B$5=1),(EM30+EM34)*EM31/12,0)</x:f>
      </x:c>
      <x:c r="EN32" s="117">
        <x:f>IF(AND(EN$3&lt;$B$7,$B$5=1),(EN30+EN34)*EN31/12,0)</x:f>
      </x:c>
      <x:c r="EO32" s="117">
        <x:f>IF(AND(EO$3&lt;$B$7,$B$5=1),(EO30+EO34)*EO31/12,0)</x:f>
      </x:c>
      <x:c r="EP32" s="117">
        <x:f>IF(AND(EP$3&lt;$B$7,$B$5=1),(EP30+EP34)*EP31/12,0)</x:f>
      </x:c>
      <x:c r="EQ32" s="117">
        <x:f>IF(AND(EQ$3&lt;$B$7,$B$5=1),(EQ30+EQ34)*EQ31/12,0)</x:f>
      </x:c>
      <x:c r="ER32" s="117">
        <x:f>IF(AND(ER$3&lt;$B$7,$B$5=1),(ER30+ER34)*ER31/12,0)</x:f>
      </x:c>
      <x:c r="ES32" s="117">
        <x:f>IF(AND(ES$3&lt;$B$7,$B$5=1),(ES30+ES34)*ES31/12,0)</x:f>
      </x:c>
      <x:c r="ET32" s="117">
        <x:f>IF(AND(ET$3&lt;$B$7,$B$5=1),(ET30+ET34)*ET31/12,0)</x:f>
      </x:c>
      <x:c r="EU32" s="117">
        <x:f>IF(AND(EU$3&lt;$B$7,$B$5=1),(EU30+EU34)*EU31/12,0)</x:f>
      </x:c>
      <x:c r="EV32" s="117">
        <x:f>IF(AND(EV$3&lt;$B$7,$B$5=1),(EV30+EV34)*EV31/12,0)</x:f>
      </x:c>
      <x:c r="EW32" s="117">
        <x:f>IF(AND(EW$3&lt;$B$7,$B$5=1),(EW30+EW34)*EW31/12,0)</x:f>
      </x:c>
      <x:c r="EX32" s="117">
        <x:f>IF(AND(EX$3&lt;$B$7,$B$5=1),(EX30+EX34)*EX31/12,0)</x:f>
      </x:c>
      <x:c r="EY32" s="117">
        <x:f>IF(AND(EY$3&lt;$B$7,$B$5=1),(EY30+EY34)*EY31/12,0)</x:f>
      </x:c>
      <x:c r="EZ32" s="117">
        <x:f>IF(AND(EZ$3&lt;$B$7,$B$5=1),(EZ30+EZ34)*EZ31/12,0)</x:f>
      </x:c>
      <x:c r="FA32" s="117">
        <x:f>IF(AND(FA$3&lt;$B$7,$B$5=1),(FA30+FA34)*FA31/12,0)</x:f>
      </x:c>
      <x:c r="FB32" s="117">
        <x:f>IF(AND(FB$3&lt;$B$7,$B$5=1),(FB30+FB34)*FB31/12,0)</x:f>
      </x:c>
      <x:c r="FC32" s="117">
        <x:f>IF(AND(FC$3&lt;$B$7,$B$5=1),(FC30+FC34)*FC31/12,0)</x:f>
      </x:c>
      <x:c r="FD32" s="117">
        <x:f>IF(AND(FD$3&lt;$B$7,$B$5=1),(FD30+FD34)*FD31/12,0)</x:f>
      </x:c>
      <x:c r="FE32" s="117">
        <x:f>IF(AND(FE$3&lt;$B$7,$B$5=1),(FE30+FE34)*FE31/12,0)</x:f>
      </x:c>
      <x:c r="FF32" s="117">
        <x:f>IF(AND(FF$3&lt;$B$7,$B$5=1),(FF30+FF34)*FF31/12,0)</x:f>
      </x:c>
      <x:c r="FG32" s="117">
        <x:f>IF(AND(FG$3&lt;$B$7,$B$5=1),(FG30+FG34)*FG31/12,0)</x:f>
      </x:c>
      <x:c r="FH32" s="117">
        <x:f>IF(AND(FH$3&lt;$B$7,$B$5=1),(FH30+FH34)*FH31/12,0)</x:f>
      </x:c>
      <x:c r="FI32" s="117">
        <x:f>IF(AND(FI$3&lt;$B$7,$B$5=1),(FI30+FI34)*FI31/12,0)</x:f>
      </x:c>
      <x:c r="FJ32" s="117">
        <x:f>IF(AND(FJ$3&lt;$B$7,$B$5=1),(FJ30+FJ34)*FJ31/12,0)</x:f>
      </x:c>
      <x:c r="FK32" s="117">
        <x:f>IF(AND(FK$3&lt;$B$7,$B$5=1),(FK30+FK34)*FK31/12,0)</x:f>
      </x:c>
      <x:c r="FL32" s="117">
        <x:f>IF(AND(FL$3&lt;$B$7,$B$5=1),(FL30+FL34)*FL31/12,0)</x:f>
      </x:c>
      <x:c r="FM32" s="117">
        <x:f>IF(AND(FM$3&lt;$B$7,$B$5=1),(FM30+FM34)*FM31/12,0)</x:f>
      </x:c>
      <x:c r="FN32" s="117">
        <x:f>IF(AND(FN$3&lt;$B$7,$B$5=1),(FN30+FN34)*FN31/12,0)</x:f>
      </x:c>
      <x:c r="FO32" s="117">
        <x:f>IF(AND(FO$3&lt;$B$7,$B$5=1),(FO30+FO34)*FO31/12,0)</x:f>
      </x:c>
      <x:c r="FP32" s="117">
        <x:f>IF(AND(FP$3&lt;$B$7,$B$5=1),(FP30+FP34)*FP31/12,0)</x:f>
      </x:c>
      <x:c r="FQ32" s="117">
        <x:f>IF(AND(FQ$3&lt;$B$7,$B$5=1),(FQ30+FQ34)*FQ31/12,0)</x:f>
      </x:c>
      <x:c r="FR32" s="117">
        <x:f>IF(AND(FR$3&lt;$B$7,$B$5=1),(FR30+FR34)*FR31/12,0)</x:f>
      </x:c>
      <x:c r="FS32" s="117">
        <x:f>IF(AND(FS$3&lt;$B$7,$B$5=1),(FS30+FS34)*FS31/12,0)</x:f>
      </x:c>
      <x:c r="FT32" s="117">
        <x:f>IF(AND(FT$3&lt;$B$7,$B$5=1),(FT30+FT34)*FT31/12,0)</x:f>
      </x:c>
      <x:c r="FU32" s="117">
        <x:f>IF(AND(FU$3&lt;$B$7,$B$5=1),(FU30+FU34)*FU31/12,0)</x:f>
      </x:c>
      <x:c r="FV32" s="117">
        <x:f>IF(AND(FV$3&lt;$B$7,$B$5=1),(FV30+FV34)*FV31/12,0)</x:f>
      </x:c>
      <x:c r="FW32" s="117">
        <x:f>IF(AND(FW$3&lt;$B$7,$B$5=1),(FW30+FW34)*FW31/12,0)</x:f>
      </x:c>
      <x:c r="FX32" s="117">
        <x:f>IF(AND(FX$3&lt;$B$7,$B$5=1),(FX30+FX34)*FX31/12,0)</x:f>
      </x:c>
      <x:c r="FY32" s="117">
        <x:f>IF(AND(FY$3&lt;$B$7,$B$5=1),(FY30+FY34)*FY31/12,0)</x:f>
      </x:c>
      <x:c r="FZ32" s="117">
        <x:f>IF(AND(FZ$3&lt;$B$7,$B$5=1),(FZ30+FZ34)*FZ31/12,0)</x:f>
      </x:c>
      <x:c r="GA32" s="117">
        <x:f>IF(AND(GA$3&lt;$B$7,$B$5=1),(GA30+GA34)*GA31/12,0)</x:f>
      </x:c>
    </x:row>
    <x:row r="33">
      <x:c r="A33" t="str">
        <x:v>БРИДЖ — потребность</x:v>
      </x:c>
      <x:c r="B33"/>
      <x:c r="C33" t="str">
        <x:v>млн ₽</x:v>
      </x:c>
      <x:c r="D33" s="117">
        <x:f>IF(D$3&lt;$B$7,MAX(0,D20+D24-D27),0)</x:f>
      </x:c>
      <x:c r="E33" s="117">
        <x:f>IF(E$3&lt;$B$7,MAX(0,E20+E24-E27),0)</x:f>
      </x:c>
      <x:c r="F33" s="117">
        <x:f>IF(F$3&lt;$B$7,MAX(0,F20+F24-F27),0)</x:f>
      </x:c>
      <x:c r="G33" s="117">
        <x:f>IF(G$3&lt;$B$7,MAX(0,G20+G24-G27),0)</x:f>
      </x:c>
      <x:c r="H33" s="117">
        <x:f>IF(H$3&lt;$B$7,MAX(0,H20+H24-H27),0)</x:f>
      </x:c>
      <x:c r="I33" s="117">
        <x:f>IF(I$3&lt;$B$7,MAX(0,I20+I24-I27),0)</x:f>
      </x:c>
      <x:c r="J33" s="117">
        <x:f>IF(J$3&lt;$B$7,MAX(0,J20+J24-J27),0)</x:f>
      </x:c>
      <x:c r="K33" s="117">
        <x:f>IF(K$3&lt;$B$7,MAX(0,K20+K24-K27),0)</x:f>
      </x:c>
      <x:c r="L33" s="117">
        <x:f>IF(L$3&lt;$B$7,MAX(0,L20+L24-L27),0)</x:f>
      </x:c>
      <x:c r="M33" s="117">
        <x:f>IF(M$3&lt;$B$7,MAX(0,M20+M24-M27),0)</x:f>
      </x:c>
      <x:c r="N33" s="117">
        <x:f>IF(N$3&lt;$B$7,MAX(0,N20+N24-N27),0)</x:f>
      </x:c>
      <x:c r="O33" s="117">
        <x:f>IF(O$3&lt;$B$7,MAX(0,O20+O24-O27),0)</x:f>
      </x:c>
      <x:c r="P33" s="117">
        <x:f>IF(P$3&lt;$B$7,MAX(0,P20+P24-P27),0)</x:f>
      </x:c>
      <x:c r="Q33" s="117">
        <x:f>IF(Q$3&lt;$B$7,MAX(0,Q20+Q24-Q27),0)</x:f>
      </x:c>
      <x:c r="R33" s="117">
        <x:f>IF(R$3&lt;$B$7,MAX(0,R20+R24-R27),0)</x:f>
      </x:c>
      <x:c r="S33" s="117">
        <x:f>IF(S$3&lt;$B$7,MAX(0,S20+S24-S27),0)</x:f>
      </x:c>
      <x:c r="T33" s="117">
        <x:f>IF(T$3&lt;$B$7,MAX(0,T20+T24-T27),0)</x:f>
      </x:c>
      <x:c r="U33" s="117">
        <x:f>IF(U$3&lt;$B$7,MAX(0,U20+U24-U27),0)</x:f>
      </x:c>
      <x:c r="V33" s="117">
        <x:f>IF(V$3&lt;$B$7,MAX(0,V20+V24-V27),0)</x:f>
      </x:c>
      <x:c r="W33" s="117">
        <x:f>IF(W$3&lt;$B$7,MAX(0,W20+W24-W27),0)</x:f>
      </x:c>
      <x:c r="X33" s="117">
        <x:f>IF(X$3&lt;$B$7,MAX(0,X20+X24-X27),0)</x:f>
      </x:c>
      <x:c r="Y33" s="117">
        <x:f>IF(Y$3&lt;$B$7,MAX(0,Y20+Y24-Y27),0)</x:f>
      </x:c>
      <x:c r="Z33" s="117">
        <x:f>IF(Z$3&lt;$B$7,MAX(0,Z20+Z24-Z27),0)</x:f>
      </x:c>
      <x:c r="AA33" s="117">
        <x:f>IF(AA$3&lt;$B$7,MAX(0,AA20+AA24-AA27),0)</x:f>
      </x:c>
      <x:c r="AB33" s="117">
        <x:f>IF(AB$3&lt;$B$7,MAX(0,AB20+AB24-AB27),0)</x:f>
      </x:c>
      <x:c r="AC33" s="117">
        <x:f>IF(AC$3&lt;$B$7,MAX(0,AC20+AC24-AC27),0)</x:f>
      </x:c>
      <x:c r="AD33" s="117">
        <x:f>IF(AD$3&lt;$B$7,MAX(0,AD20+AD24-AD27),0)</x:f>
      </x:c>
      <x:c r="AE33" s="117">
        <x:f>IF(AE$3&lt;$B$7,MAX(0,AE20+AE24-AE27),0)</x:f>
      </x:c>
      <x:c r="AF33" s="117">
        <x:f>IF(AF$3&lt;$B$7,MAX(0,AF20+AF24-AF27),0)</x:f>
      </x:c>
      <x:c r="AG33" s="117">
        <x:f>IF(AG$3&lt;$B$7,MAX(0,AG20+AG24-AG27),0)</x:f>
      </x:c>
      <x:c r="AH33" s="117">
        <x:f>IF(AH$3&lt;$B$7,MAX(0,AH20+AH24-AH27),0)</x:f>
      </x:c>
      <x:c r="AI33" s="117">
        <x:f>IF(AI$3&lt;$B$7,MAX(0,AI20+AI24-AI27),0)</x:f>
      </x:c>
      <x:c r="AJ33" s="117">
        <x:f>IF(AJ$3&lt;$B$7,MAX(0,AJ20+AJ24-AJ27),0)</x:f>
      </x:c>
      <x:c r="AK33" s="117">
        <x:f>IF(AK$3&lt;$B$7,MAX(0,AK20+AK24-AK27),0)</x:f>
      </x:c>
      <x:c r="AL33" s="117">
        <x:f>IF(AL$3&lt;$B$7,MAX(0,AL20+AL24-AL27),0)</x:f>
      </x:c>
      <x:c r="AM33" s="117">
        <x:f>IF(AM$3&lt;$B$7,MAX(0,AM20+AM24-AM27),0)</x:f>
      </x:c>
      <x:c r="AN33" s="117">
        <x:f>IF(AN$3&lt;$B$7,MAX(0,AN20+AN24-AN27),0)</x:f>
      </x:c>
      <x:c r="AO33" s="117">
        <x:f>IF(AO$3&lt;$B$7,MAX(0,AO20+AO24-AO27),0)</x:f>
      </x:c>
      <x:c r="AP33" s="117">
        <x:f>IF(AP$3&lt;$B$7,MAX(0,AP20+AP24-AP27),0)</x:f>
      </x:c>
      <x:c r="AQ33" s="117">
        <x:f>IF(AQ$3&lt;$B$7,MAX(0,AQ20+AQ24-AQ27),0)</x:f>
      </x:c>
      <x:c r="AR33" s="117">
        <x:f>IF(AR$3&lt;$B$7,MAX(0,AR20+AR24-AR27),0)</x:f>
      </x:c>
      <x:c r="AS33" s="117">
        <x:f>IF(AS$3&lt;$B$7,MAX(0,AS20+AS24-AS27),0)</x:f>
      </x:c>
      <x:c r="AT33" s="117">
        <x:f>IF(AT$3&lt;$B$7,MAX(0,AT20+AT24-AT27),0)</x:f>
      </x:c>
      <x:c r="AU33" s="117">
        <x:f>IF(AU$3&lt;$B$7,MAX(0,AU20+AU24-AU27),0)</x:f>
      </x:c>
      <x:c r="AV33" s="117">
        <x:f>IF(AV$3&lt;$B$7,MAX(0,AV20+AV24-AV27),0)</x:f>
      </x:c>
      <x:c r="AW33" s="117">
        <x:f>IF(AW$3&lt;$B$7,MAX(0,AW20+AW24-AW27),0)</x:f>
      </x:c>
      <x:c r="AX33" s="117">
        <x:f>IF(AX$3&lt;$B$7,MAX(0,AX20+AX24-AX27),0)</x:f>
      </x:c>
      <x:c r="AY33" s="117">
        <x:f>IF(AY$3&lt;$B$7,MAX(0,AY20+AY24-AY27),0)</x:f>
      </x:c>
      <x:c r="AZ33" s="117">
        <x:f>IF(AZ$3&lt;$B$7,MAX(0,AZ20+AZ24-AZ27),0)</x:f>
      </x:c>
      <x:c r="BA33" s="117">
        <x:f>IF(BA$3&lt;$B$7,MAX(0,BA20+BA24-BA27),0)</x:f>
      </x:c>
      <x:c r="BB33" s="117">
        <x:f>IF(BB$3&lt;$B$7,MAX(0,BB20+BB24-BB27),0)</x:f>
      </x:c>
      <x:c r="BC33" s="117">
        <x:f>IF(BC$3&lt;$B$7,MAX(0,BC20+BC24-BC27),0)</x:f>
      </x:c>
      <x:c r="BD33" s="117">
        <x:f>IF(BD$3&lt;$B$7,MAX(0,BD20+BD24-BD27),0)</x:f>
      </x:c>
      <x:c r="BE33" s="117">
        <x:f>IF(BE$3&lt;$B$7,MAX(0,BE20+BE24-BE27),0)</x:f>
      </x:c>
      <x:c r="BF33" s="117">
        <x:f>IF(BF$3&lt;$B$7,MAX(0,BF20+BF24-BF27),0)</x:f>
      </x:c>
      <x:c r="BG33" s="117">
        <x:f>IF(BG$3&lt;$B$7,MAX(0,BG20+BG24-BG27),0)</x:f>
      </x:c>
      <x:c r="BH33" s="117">
        <x:f>IF(BH$3&lt;$B$7,MAX(0,BH20+BH24-BH27),0)</x:f>
      </x:c>
      <x:c r="BI33" s="117">
        <x:f>IF(BI$3&lt;$B$7,MAX(0,BI20+BI24-BI27),0)</x:f>
      </x:c>
      <x:c r="BJ33" s="117">
        <x:f>IF(BJ$3&lt;$B$7,MAX(0,BJ20+BJ24-BJ27),0)</x:f>
      </x:c>
      <x:c r="BK33" s="117">
        <x:f>IF(BK$3&lt;$B$7,MAX(0,BK20+BK24-BK27),0)</x:f>
      </x:c>
      <x:c r="BL33" s="117">
        <x:f>IF(BL$3&lt;$B$7,MAX(0,BL20+BL24-BL27),0)</x:f>
      </x:c>
      <x:c r="BM33" s="117">
        <x:f>IF(BM$3&lt;$B$7,MAX(0,BM20+BM24-BM27),0)</x:f>
      </x:c>
      <x:c r="BN33" s="117">
        <x:f>IF(BN$3&lt;$B$7,MAX(0,BN20+BN24-BN27),0)</x:f>
      </x:c>
      <x:c r="BO33" s="117">
        <x:f>IF(BO$3&lt;$B$7,MAX(0,BO20+BO24-BO27),0)</x:f>
      </x:c>
      <x:c r="BP33" s="117">
        <x:f>IF(BP$3&lt;$B$7,MAX(0,BP20+BP24-BP27),0)</x:f>
      </x:c>
      <x:c r="BQ33" s="117">
        <x:f>IF(BQ$3&lt;$B$7,MAX(0,BQ20+BQ24-BQ27),0)</x:f>
      </x:c>
      <x:c r="BR33" s="117">
        <x:f>IF(BR$3&lt;$B$7,MAX(0,BR20+BR24-BR27),0)</x:f>
      </x:c>
      <x:c r="BS33" s="117">
        <x:f>IF(BS$3&lt;$B$7,MAX(0,BS20+BS24-BS27),0)</x:f>
      </x:c>
      <x:c r="BT33" s="117">
        <x:f>IF(BT$3&lt;$B$7,MAX(0,BT20+BT24-BT27),0)</x:f>
      </x:c>
      <x:c r="BU33" s="117">
        <x:f>IF(BU$3&lt;$B$7,MAX(0,BU20+BU24-BU27),0)</x:f>
      </x:c>
      <x:c r="BV33" s="117">
        <x:f>IF(BV$3&lt;$B$7,MAX(0,BV20+BV24-BV27),0)</x:f>
      </x:c>
      <x:c r="BW33" s="117">
        <x:f>IF(BW$3&lt;$B$7,MAX(0,BW20+BW24-BW27),0)</x:f>
      </x:c>
      <x:c r="BX33" s="117">
        <x:f>IF(BX$3&lt;$B$7,MAX(0,BX20+BX24-BX27),0)</x:f>
      </x:c>
      <x:c r="BY33" s="117">
        <x:f>IF(BY$3&lt;$B$7,MAX(0,BY20+BY24-BY27),0)</x:f>
      </x:c>
      <x:c r="BZ33" s="117">
        <x:f>IF(BZ$3&lt;$B$7,MAX(0,BZ20+BZ24-BZ27),0)</x:f>
      </x:c>
      <x:c r="CA33" s="117">
        <x:f>IF(CA$3&lt;$B$7,MAX(0,CA20+CA24-CA27),0)</x:f>
      </x:c>
      <x:c r="CB33" s="117">
        <x:f>IF(CB$3&lt;$B$7,MAX(0,CB20+CB24-CB27),0)</x:f>
      </x:c>
      <x:c r="CC33" s="117">
        <x:f>IF(CC$3&lt;$B$7,MAX(0,CC20+CC24-CC27),0)</x:f>
      </x:c>
      <x:c r="CD33" s="117">
        <x:f>IF(CD$3&lt;$B$7,MAX(0,CD20+CD24-CD27),0)</x:f>
      </x:c>
      <x:c r="CE33" s="117">
        <x:f>IF(CE$3&lt;$B$7,MAX(0,CE20+CE24-CE27),0)</x:f>
      </x:c>
      <x:c r="CF33" s="117">
        <x:f>IF(CF$3&lt;$B$7,MAX(0,CF20+CF24-CF27),0)</x:f>
      </x:c>
      <x:c r="CG33" s="117">
        <x:f>IF(CG$3&lt;$B$7,MAX(0,CG20+CG24-CG27),0)</x:f>
      </x:c>
      <x:c r="CH33" s="117">
        <x:f>IF(CH$3&lt;$B$7,MAX(0,CH20+CH24-CH27),0)</x:f>
      </x:c>
      <x:c r="CI33" s="117">
        <x:f>IF(CI$3&lt;$B$7,MAX(0,CI20+CI24-CI27),0)</x:f>
      </x:c>
      <x:c r="CJ33" s="117">
        <x:f>IF(CJ$3&lt;$B$7,MAX(0,CJ20+CJ24-CJ27),0)</x:f>
      </x:c>
      <x:c r="CK33" s="117">
        <x:f>IF(CK$3&lt;$B$7,MAX(0,CK20+CK24-CK27),0)</x:f>
      </x:c>
      <x:c r="CL33" s="117">
        <x:f>IF(CL$3&lt;$B$7,MAX(0,CL20+CL24-CL27),0)</x:f>
      </x:c>
      <x:c r="CM33" s="117">
        <x:f>IF(CM$3&lt;$B$7,MAX(0,CM20+CM24-CM27),0)</x:f>
      </x:c>
      <x:c r="CN33" s="117">
        <x:f>IF(CN$3&lt;$B$7,MAX(0,CN20+CN24-CN27),0)</x:f>
      </x:c>
      <x:c r="CO33" s="117">
        <x:f>IF(CO$3&lt;$B$7,MAX(0,CO20+CO24-CO27),0)</x:f>
      </x:c>
      <x:c r="CP33" s="117">
        <x:f>IF(CP$3&lt;$B$7,MAX(0,CP20+CP24-CP27),0)</x:f>
      </x:c>
      <x:c r="CQ33" s="117">
        <x:f>IF(CQ$3&lt;$B$7,MAX(0,CQ20+CQ24-CQ27),0)</x:f>
      </x:c>
      <x:c r="CR33" s="117">
        <x:f>IF(CR$3&lt;$B$7,MAX(0,CR20+CR24-CR27),0)</x:f>
      </x:c>
      <x:c r="CS33" s="117">
        <x:f>IF(CS$3&lt;$B$7,MAX(0,CS20+CS24-CS27),0)</x:f>
      </x:c>
      <x:c r="CT33" s="117">
        <x:f>IF(CT$3&lt;$B$7,MAX(0,CT20+CT24-CT27),0)</x:f>
      </x:c>
      <x:c r="CU33" s="117">
        <x:f>IF(CU$3&lt;$B$7,MAX(0,CU20+CU24-CU27),0)</x:f>
      </x:c>
      <x:c r="CV33" s="117">
        <x:f>IF(CV$3&lt;$B$7,MAX(0,CV20+CV24-CV27),0)</x:f>
      </x:c>
      <x:c r="CW33" s="117">
        <x:f>IF(CW$3&lt;$B$7,MAX(0,CW20+CW24-CW27),0)</x:f>
      </x:c>
      <x:c r="CX33" s="117">
        <x:f>IF(CX$3&lt;$B$7,MAX(0,CX20+CX24-CX27),0)</x:f>
      </x:c>
      <x:c r="CY33" s="117">
        <x:f>IF(CY$3&lt;$B$7,MAX(0,CY20+CY24-CY27),0)</x:f>
      </x:c>
      <x:c r="CZ33" s="117">
        <x:f>IF(CZ$3&lt;$B$7,MAX(0,CZ20+CZ24-CZ27),0)</x:f>
      </x:c>
      <x:c r="DA33" s="117">
        <x:f>IF(DA$3&lt;$B$7,MAX(0,DA20+DA24-DA27),0)</x:f>
      </x:c>
      <x:c r="DB33" s="117">
        <x:f>IF(DB$3&lt;$B$7,MAX(0,DB20+DB24-DB27),0)</x:f>
      </x:c>
      <x:c r="DC33" s="117">
        <x:f>IF(DC$3&lt;$B$7,MAX(0,DC20+DC24-DC27),0)</x:f>
      </x:c>
      <x:c r="DD33" s="117">
        <x:f>IF(DD$3&lt;$B$7,MAX(0,DD20+DD24-DD27),0)</x:f>
      </x:c>
      <x:c r="DE33" s="117">
        <x:f>IF(DE$3&lt;$B$7,MAX(0,DE20+DE24-DE27),0)</x:f>
      </x:c>
      <x:c r="DF33" s="117">
        <x:f>IF(DF$3&lt;$B$7,MAX(0,DF20+DF24-DF27),0)</x:f>
      </x:c>
      <x:c r="DG33" s="117">
        <x:f>IF(DG$3&lt;$B$7,MAX(0,DG20+DG24-DG27),0)</x:f>
      </x:c>
      <x:c r="DH33" s="117">
        <x:f>IF(DH$3&lt;$B$7,MAX(0,DH20+DH24-DH27),0)</x:f>
      </x:c>
      <x:c r="DI33" s="117">
        <x:f>IF(DI$3&lt;$B$7,MAX(0,DI20+DI24-DI27),0)</x:f>
      </x:c>
      <x:c r="DJ33" s="117">
        <x:f>IF(DJ$3&lt;$B$7,MAX(0,DJ20+DJ24-DJ27),0)</x:f>
      </x:c>
      <x:c r="DK33" s="117">
        <x:f>IF(DK$3&lt;$B$7,MAX(0,DK20+DK24-DK27),0)</x:f>
      </x:c>
      <x:c r="DL33" s="117">
        <x:f>IF(DL$3&lt;$B$7,MAX(0,DL20+DL24-DL27),0)</x:f>
      </x:c>
      <x:c r="DM33" s="117">
        <x:f>IF(DM$3&lt;$B$7,MAX(0,DM20+DM24-DM27),0)</x:f>
      </x:c>
      <x:c r="DN33" s="117">
        <x:f>IF(DN$3&lt;$B$7,MAX(0,DN20+DN24-DN27),0)</x:f>
      </x:c>
      <x:c r="DO33" s="117">
        <x:f>IF(DO$3&lt;$B$7,MAX(0,DO20+DO24-DO27),0)</x:f>
      </x:c>
      <x:c r="DP33" s="117">
        <x:f>IF(DP$3&lt;$B$7,MAX(0,DP20+DP24-DP27),0)</x:f>
      </x:c>
      <x:c r="DQ33" s="117">
        <x:f>IF(DQ$3&lt;$B$7,MAX(0,DQ20+DQ24-DQ27),0)</x:f>
      </x:c>
      <x:c r="DR33" s="117">
        <x:f>IF(DR$3&lt;$B$7,MAX(0,DR20+DR24-DR27),0)</x:f>
      </x:c>
      <x:c r="DS33" s="117">
        <x:f>IF(DS$3&lt;$B$7,MAX(0,DS20+DS24-DS27),0)</x:f>
      </x:c>
      <x:c r="DT33" s="117">
        <x:f>IF(DT$3&lt;$B$7,MAX(0,DT20+DT24-DT27),0)</x:f>
      </x:c>
      <x:c r="DU33" s="117">
        <x:f>IF(DU$3&lt;$B$7,MAX(0,DU20+DU24-DU27),0)</x:f>
      </x:c>
      <x:c r="DV33" s="117">
        <x:f>IF(DV$3&lt;$B$7,MAX(0,DV20+DV24-DV27),0)</x:f>
      </x:c>
      <x:c r="DW33" s="117">
        <x:f>IF(DW$3&lt;$B$7,MAX(0,DW20+DW24-DW27),0)</x:f>
      </x:c>
      <x:c r="DX33" s="117">
        <x:f>IF(DX$3&lt;$B$7,MAX(0,DX20+DX24-DX27),0)</x:f>
      </x:c>
      <x:c r="DY33" s="117">
        <x:f>IF(DY$3&lt;$B$7,MAX(0,DY20+DY24-DY27),0)</x:f>
      </x:c>
      <x:c r="DZ33" s="117">
        <x:f>IF(DZ$3&lt;$B$7,MAX(0,DZ20+DZ24-DZ27),0)</x:f>
      </x:c>
      <x:c r="EA33" s="117">
        <x:f>IF(EA$3&lt;$B$7,MAX(0,EA20+EA24-EA27),0)</x:f>
      </x:c>
      <x:c r="EB33" s="117">
        <x:f>IF(EB$3&lt;$B$7,MAX(0,EB20+EB24-EB27),0)</x:f>
      </x:c>
      <x:c r="EC33" s="117">
        <x:f>IF(EC$3&lt;$B$7,MAX(0,EC20+EC24-EC27),0)</x:f>
      </x:c>
      <x:c r="ED33" s="117">
        <x:f>IF(ED$3&lt;$B$7,MAX(0,ED20+ED24-ED27),0)</x:f>
      </x:c>
      <x:c r="EE33" s="117">
        <x:f>IF(EE$3&lt;$B$7,MAX(0,EE20+EE24-EE27),0)</x:f>
      </x:c>
      <x:c r="EF33" s="117">
        <x:f>IF(EF$3&lt;$B$7,MAX(0,EF20+EF24-EF27),0)</x:f>
      </x:c>
      <x:c r="EG33" s="117">
        <x:f>IF(EG$3&lt;$B$7,MAX(0,EG20+EG24-EG27),0)</x:f>
      </x:c>
      <x:c r="EH33" s="117">
        <x:f>IF(EH$3&lt;$B$7,MAX(0,EH20+EH24-EH27),0)</x:f>
      </x:c>
      <x:c r="EI33" s="117">
        <x:f>IF(EI$3&lt;$B$7,MAX(0,EI20+EI24-EI27),0)</x:f>
      </x:c>
      <x:c r="EJ33" s="117">
        <x:f>IF(EJ$3&lt;$B$7,MAX(0,EJ20+EJ24-EJ27),0)</x:f>
      </x:c>
      <x:c r="EK33" s="117">
        <x:f>IF(EK$3&lt;$B$7,MAX(0,EK20+EK24-EK27),0)</x:f>
      </x:c>
      <x:c r="EL33" s="117">
        <x:f>IF(EL$3&lt;$B$7,MAX(0,EL20+EL24-EL27),0)</x:f>
      </x:c>
      <x:c r="EM33" s="117">
        <x:f>IF(EM$3&lt;$B$7,MAX(0,EM20+EM24-EM27),0)</x:f>
      </x:c>
      <x:c r="EN33" s="117">
        <x:f>IF(EN$3&lt;$B$7,MAX(0,EN20+EN24-EN27),0)</x:f>
      </x:c>
      <x:c r="EO33" s="117">
        <x:f>IF(EO$3&lt;$B$7,MAX(0,EO20+EO24-EO27),0)</x:f>
      </x:c>
      <x:c r="EP33" s="117">
        <x:f>IF(EP$3&lt;$B$7,MAX(0,EP20+EP24-EP27),0)</x:f>
      </x:c>
      <x:c r="EQ33" s="117">
        <x:f>IF(EQ$3&lt;$B$7,MAX(0,EQ20+EQ24-EQ27),0)</x:f>
      </x:c>
      <x:c r="ER33" s="117">
        <x:f>IF(ER$3&lt;$B$7,MAX(0,ER20+ER24-ER27),0)</x:f>
      </x:c>
      <x:c r="ES33" s="117">
        <x:f>IF(ES$3&lt;$B$7,MAX(0,ES20+ES24-ES27),0)</x:f>
      </x:c>
      <x:c r="ET33" s="117">
        <x:f>IF(ET$3&lt;$B$7,MAX(0,ET20+ET24-ET27),0)</x:f>
      </x:c>
      <x:c r="EU33" s="117">
        <x:f>IF(EU$3&lt;$B$7,MAX(0,EU20+EU24-EU27),0)</x:f>
      </x:c>
      <x:c r="EV33" s="117">
        <x:f>IF(EV$3&lt;$B$7,MAX(0,EV20+EV24-EV27),0)</x:f>
      </x:c>
      <x:c r="EW33" s="117">
        <x:f>IF(EW$3&lt;$B$7,MAX(0,EW20+EW24-EW27),0)</x:f>
      </x:c>
      <x:c r="EX33" s="117">
        <x:f>IF(EX$3&lt;$B$7,MAX(0,EX20+EX24-EX27),0)</x:f>
      </x:c>
      <x:c r="EY33" s="117">
        <x:f>IF(EY$3&lt;$B$7,MAX(0,EY20+EY24-EY27),0)</x:f>
      </x:c>
      <x:c r="EZ33" s="117">
        <x:f>IF(EZ$3&lt;$B$7,MAX(0,EZ20+EZ24-EZ27),0)</x:f>
      </x:c>
      <x:c r="FA33" s="117">
        <x:f>IF(FA$3&lt;$B$7,MAX(0,FA20+FA24-FA27),0)</x:f>
      </x:c>
      <x:c r="FB33" s="117">
        <x:f>IF(FB$3&lt;$B$7,MAX(0,FB20+FB24-FB27),0)</x:f>
      </x:c>
      <x:c r="FC33" s="117">
        <x:f>IF(FC$3&lt;$B$7,MAX(0,FC20+FC24-FC27),0)</x:f>
      </x:c>
      <x:c r="FD33" s="117">
        <x:f>IF(FD$3&lt;$B$7,MAX(0,FD20+FD24-FD27),0)</x:f>
      </x:c>
      <x:c r="FE33" s="117">
        <x:f>IF(FE$3&lt;$B$7,MAX(0,FE20+FE24-FE27),0)</x:f>
      </x:c>
      <x:c r="FF33" s="117">
        <x:f>IF(FF$3&lt;$B$7,MAX(0,FF20+FF24-FF27),0)</x:f>
      </x:c>
      <x:c r="FG33" s="117">
        <x:f>IF(FG$3&lt;$B$7,MAX(0,FG20+FG24-FG27),0)</x:f>
      </x:c>
      <x:c r="FH33" s="117">
        <x:f>IF(FH$3&lt;$B$7,MAX(0,FH20+FH24-FH27),0)</x:f>
      </x:c>
      <x:c r="FI33" s="117">
        <x:f>IF(FI$3&lt;$B$7,MAX(0,FI20+FI24-FI27),0)</x:f>
      </x:c>
      <x:c r="FJ33" s="117">
        <x:f>IF(FJ$3&lt;$B$7,MAX(0,FJ20+FJ24-FJ27),0)</x:f>
      </x:c>
      <x:c r="FK33" s="117">
        <x:f>IF(FK$3&lt;$B$7,MAX(0,FK20+FK24-FK27),0)</x:f>
      </x:c>
      <x:c r="FL33" s="117">
        <x:f>IF(FL$3&lt;$B$7,MAX(0,FL20+FL24-FL27),0)</x:f>
      </x:c>
      <x:c r="FM33" s="117">
        <x:f>IF(FM$3&lt;$B$7,MAX(0,FM20+FM24-FM27),0)</x:f>
      </x:c>
      <x:c r="FN33" s="117">
        <x:f>IF(FN$3&lt;$B$7,MAX(0,FN20+FN24-FN27),0)</x:f>
      </x:c>
      <x:c r="FO33" s="117">
        <x:f>IF(FO$3&lt;$B$7,MAX(0,FO20+FO24-FO27),0)</x:f>
      </x:c>
      <x:c r="FP33" s="117">
        <x:f>IF(FP$3&lt;$B$7,MAX(0,FP20+FP24-FP27),0)</x:f>
      </x:c>
      <x:c r="FQ33" s="117">
        <x:f>IF(FQ$3&lt;$B$7,MAX(0,FQ20+FQ24-FQ27),0)</x:f>
      </x:c>
      <x:c r="FR33" s="117">
        <x:f>IF(FR$3&lt;$B$7,MAX(0,FR20+FR24-FR27),0)</x:f>
      </x:c>
      <x:c r="FS33" s="117">
        <x:f>IF(FS$3&lt;$B$7,MAX(0,FS20+FS24-FS27),0)</x:f>
      </x:c>
      <x:c r="FT33" s="117">
        <x:f>IF(FT$3&lt;$B$7,MAX(0,FT20+FT24-FT27),0)</x:f>
      </x:c>
      <x:c r="FU33" s="117">
        <x:f>IF(FU$3&lt;$B$7,MAX(0,FU20+FU24-FU27),0)</x:f>
      </x:c>
      <x:c r="FV33" s="117">
        <x:f>IF(FV$3&lt;$B$7,MAX(0,FV20+FV24-FV27),0)</x:f>
      </x:c>
      <x:c r="FW33" s="117">
        <x:f>IF(FW$3&lt;$B$7,MAX(0,FW20+FW24-FW27),0)</x:f>
      </x:c>
      <x:c r="FX33" s="117">
        <x:f>IF(FX$3&lt;$B$7,MAX(0,FX20+FX24-FX27),0)</x:f>
      </x:c>
      <x:c r="FY33" s="117">
        <x:f>IF(FY$3&lt;$B$7,MAX(0,FY20+FY24-FY27),0)</x:f>
      </x:c>
      <x:c r="FZ33" s="117">
        <x:f>IF(FZ$3&lt;$B$7,MAX(0,FZ20+FZ24-FZ27),0)</x:f>
      </x:c>
      <x:c r="GA33" s="117">
        <x:f>IF(GA$3&lt;$B$7,MAX(0,GA20+GA24-GA27),0)</x:f>
      </x:c>
    </x:row>
    <x:row r="34">
      <x:c r="A34" t="str">
        <x:v>БРИДЖ — выборка</x:v>
      </x:c>
      <x:c r="B34" t="n">
        <x:f>SUM(D34:GA34)</x:f>
      </x:c>
      <x:c r="C34" t="str">
        <x:v>млн ₽</x:v>
      </x:c>
      <x:c r="D34" s="117">
        <x:f>MAX(0,D33-D56)</x:f>
      </x:c>
      <x:c r="E34" s="117">
        <x:f>MAX(0,E33-E56)</x:f>
      </x:c>
      <x:c r="F34" s="117">
        <x:f>MAX(0,F33-F56)</x:f>
      </x:c>
      <x:c r="G34" s="117">
        <x:f>MAX(0,G33-G56)</x:f>
      </x:c>
      <x:c r="H34" s="117">
        <x:f>MAX(0,H33-H56)</x:f>
      </x:c>
      <x:c r="I34" s="117">
        <x:f>MAX(0,I33-I56)</x:f>
      </x:c>
      <x:c r="J34" s="117">
        <x:f>MAX(0,J33-J56)</x:f>
      </x:c>
      <x:c r="K34" s="117">
        <x:f>MAX(0,K33-K56)</x:f>
      </x:c>
      <x:c r="L34" s="117">
        <x:f>MAX(0,L33-L56)</x:f>
      </x:c>
      <x:c r="M34" s="117">
        <x:f>MAX(0,M33-M56)</x:f>
      </x:c>
      <x:c r="N34" s="117">
        <x:f>MAX(0,N33-N56)</x:f>
      </x:c>
      <x:c r="O34" s="117">
        <x:f>MAX(0,O33-O56)</x:f>
      </x:c>
      <x:c r="P34" s="117">
        <x:f>MAX(0,P33-P56)</x:f>
      </x:c>
      <x:c r="Q34" s="117">
        <x:f>MAX(0,Q33-Q56)</x:f>
      </x:c>
      <x:c r="R34" s="117">
        <x:f>MAX(0,R33-R56)</x:f>
      </x:c>
      <x:c r="S34" s="117">
        <x:f>MAX(0,S33-S56)</x:f>
      </x:c>
      <x:c r="T34" s="117">
        <x:f>MAX(0,T33-T56)</x:f>
      </x:c>
      <x:c r="U34" s="117">
        <x:f>MAX(0,U33-U56)</x:f>
      </x:c>
      <x:c r="V34" s="117">
        <x:f>MAX(0,V33-V56)</x:f>
      </x:c>
      <x:c r="W34" s="117">
        <x:f>MAX(0,W33-W56)</x:f>
      </x:c>
      <x:c r="X34" s="117">
        <x:f>MAX(0,X33-X56)</x:f>
      </x:c>
      <x:c r="Y34" s="117">
        <x:f>MAX(0,Y33-Y56)</x:f>
      </x:c>
      <x:c r="Z34" s="117">
        <x:f>MAX(0,Z33-Z56)</x:f>
      </x:c>
      <x:c r="AA34" s="117">
        <x:f>MAX(0,AA33-AA56)</x:f>
      </x:c>
      <x:c r="AB34" s="117">
        <x:f>MAX(0,AB33-AB56)</x:f>
      </x:c>
      <x:c r="AC34" s="117">
        <x:f>MAX(0,AC33-AC56)</x:f>
      </x:c>
      <x:c r="AD34" s="117">
        <x:f>MAX(0,AD33-AD56)</x:f>
      </x:c>
      <x:c r="AE34" s="117">
        <x:f>MAX(0,AE33-AE56)</x:f>
      </x:c>
      <x:c r="AF34" s="117">
        <x:f>MAX(0,AF33-AF56)</x:f>
      </x:c>
      <x:c r="AG34" s="117">
        <x:f>MAX(0,AG33-AG56)</x:f>
      </x:c>
      <x:c r="AH34" s="117">
        <x:f>MAX(0,AH33-AH56)</x:f>
      </x:c>
      <x:c r="AI34" s="117">
        <x:f>MAX(0,AI33-AI56)</x:f>
      </x:c>
      <x:c r="AJ34" s="117">
        <x:f>MAX(0,AJ33-AJ56)</x:f>
      </x:c>
      <x:c r="AK34" s="117">
        <x:f>MAX(0,AK33-AK56)</x:f>
      </x:c>
      <x:c r="AL34" s="117">
        <x:f>MAX(0,AL33-AL56)</x:f>
      </x:c>
      <x:c r="AM34" s="117">
        <x:f>MAX(0,AM33-AM56)</x:f>
      </x:c>
      <x:c r="AN34" s="117">
        <x:f>MAX(0,AN33-AN56)</x:f>
      </x:c>
      <x:c r="AO34" s="117">
        <x:f>MAX(0,AO33-AO56)</x:f>
      </x:c>
      <x:c r="AP34" s="117">
        <x:f>MAX(0,AP33-AP56)</x:f>
      </x:c>
      <x:c r="AQ34" s="117">
        <x:f>MAX(0,AQ33-AQ56)</x:f>
      </x:c>
      <x:c r="AR34" s="117">
        <x:f>MAX(0,AR33-AR56)</x:f>
      </x:c>
      <x:c r="AS34" s="117">
        <x:f>MAX(0,AS33-AS56)</x:f>
      </x:c>
      <x:c r="AT34" s="117">
        <x:f>MAX(0,AT33-AT56)</x:f>
      </x:c>
      <x:c r="AU34" s="117">
        <x:f>MAX(0,AU33-AU56)</x:f>
      </x:c>
      <x:c r="AV34" s="117">
        <x:f>MAX(0,AV33-AV56)</x:f>
      </x:c>
      <x:c r="AW34" s="117">
        <x:f>MAX(0,AW33-AW56)</x:f>
      </x:c>
      <x:c r="AX34" s="117">
        <x:f>MAX(0,AX33-AX56)</x:f>
      </x:c>
      <x:c r="AY34" s="117">
        <x:f>MAX(0,AY33-AY56)</x:f>
      </x:c>
      <x:c r="AZ34" s="117">
        <x:f>MAX(0,AZ33-AZ56)</x:f>
      </x:c>
      <x:c r="BA34" s="117">
        <x:f>MAX(0,BA33-BA56)</x:f>
      </x:c>
      <x:c r="BB34" s="117">
        <x:f>MAX(0,BB33-BB56)</x:f>
      </x:c>
      <x:c r="BC34" s="117">
        <x:f>MAX(0,BC33-BC56)</x:f>
      </x:c>
      <x:c r="BD34" s="117">
        <x:f>MAX(0,BD33-BD56)</x:f>
      </x:c>
      <x:c r="BE34" s="117">
        <x:f>MAX(0,BE33-BE56)</x:f>
      </x:c>
      <x:c r="BF34" s="117">
        <x:f>MAX(0,BF33-BF56)</x:f>
      </x:c>
      <x:c r="BG34" s="117">
        <x:f>MAX(0,BG33-BG56)</x:f>
      </x:c>
      <x:c r="BH34" s="117">
        <x:f>MAX(0,BH33-BH56)</x:f>
      </x:c>
      <x:c r="BI34" s="117">
        <x:f>MAX(0,BI33-BI56)</x:f>
      </x:c>
      <x:c r="BJ34" s="117">
        <x:f>MAX(0,BJ33-BJ56)</x:f>
      </x:c>
      <x:c r="BK34" s="117">
        <x:f>MAX(0,BK33-BK56)</x:f>
      </x:c>
      <x:c r="BL34" s="117">
        <x:f>MAX(0,BL33-BL56)</x:f>
      </x:c>
      <x:c r="BM34" s="117">
        <x:f>MAX(0,BM33-BM56)</x:f>
      </x:c>
      <x:c r="BN34" s="117">
        <x:f>MAX(0,BN33-BN56)</x:f>
      </x:c>
      <x:c r="BO34" s="117">
        <x:f>MAX(0,BO33-BO56)</x:f>
      </x:c>
      <x:c r="BP34" s="117">
        <x:f>MAX(0,BP33-BP56)</x:f>
      </x:c>
      <x:c r="BQ34" s="117">
        <x:f>MAX(0,BQ33-BQ56)</x:f>
      </x:c>
      <x:c r="BR34" s="117">
        <x:f>MAX(0,BR33-BR56)</x:f>
      </x:c>
      <x:c r="BS34" s="117">
        <x:f>MAX(0,BS33-BS56)</x:f>
      </x:c>
      <x:c r="BT34" s="117">
        <x:f>MAX(0,BT33-BT56)</x:f>
      </x:c>
      <x:c r="BU34" s="117">
        <x:f>MAX(0,BU33-BU56)</x:f>
      </x:c>
      <x:c r="BV34" s="117">
        <x:f>MAX(0,BV33-BV56)</x:f>
      </x:c>
      <x:c r="BW34" s="117">
        <x:f>MAX(0,BW33-BW56)</x:f>
      </x:c>
      <x:c r="BX34" s="117">
        <x:f>MAX(0,BX33-BX56)</x:f>
      </x:c>
      <x:c r="BY34" s="117">
        <x:f>MAX(0,BY33-BY56)</x:f>
      </x:c>
      <x:c r="BZ34" s="117">
        <x:f>MAX(0,BZ33-BZ56)</x:f>
      </x:c>
      <x:c r="CA34" s="117">
        <x:f>MAX(0,CA33-CA56)</x:f>
      </x:c>
      <x:c r="CB34" s="117">
        <x:f>MAX(0,CB33-CB56)</x:f>
      </x:c>
      <x:c r="CC34" s="117">
        <x:f>MAX(0,CC33-CC56)</x:f>
      </x:c>
      <x:c r="CD34" s="117">
        <x:f>MAX(0,CD33-CD56)</x:f>
      </x:c>
      <x:c r="CE34" s="117">
        <x:f>MAX(0,CE33-CE56)</x:f>
      </x:c>
      <x:c r="CF34" s="117">
        <x:f>MAX(0,CF33-CF56)</x:f>
      </x:c>
      <x:c r="CG34" s="117">
        <x:f>MAX(0,CG33-CG56)</x:f>
      </x:c>
      <x:c r="CH34" s="117">
        <x:f>MAX(0,CH33-CH56)</x:f>
      </x:c>
      <x:c r="CI34" s="117">
        <x:f>MAX(0,CI33-CI56)</x:f>
      </x:c>
      <x:c r="CJ34" s="117">
        <x:f>MAX(0,CJ33-CJ56)</x:f>
      </x:c>
      <x:c r="CK34" s="117">
        <x:f>MAX(0,CK33-CK56)</x:f>
      </x:c>
      <x:c r="CL34" s="117">
        <x:f>MAX(0,CL33-CL56)</x:f>
      </x:c>
      <x:c r="CM34" s="117">
        <x:f>MAX(0,CM33-CM56)</x:f>
      </x:c>
      <x:c r="CN34" s="117">
        <x:f>MAX(0,CN33-CN56)</x:f>
      </x:c>
      <x:c r="CO34" s="117">
        <x:f>MAX(0,CO33-CO56)</x:f>
      </x:c>
      <x:c r="CP34" s="117">
        <x:f>MAX(0,CP33-CP56)</x:f>
      </x:c>
      <x:c r="CQ34" s="117">
        <x:f>MAX(0,CQ33-CQ56)</x:f>
      </x:c>
      <x:c r="CR34" s="117">
        <x:f>MAX(0,CR33-CR56)</x:f>
      </x:c>
      <x:c r="CS34" s="117">
        <x:f>MAX(0,CS33-CS56)</x:f>
      </x:c>
      <x:c r="CT34" s="117">
        <x:f>MAX(0,CT33-CT56)</x:f>
      </x:c>
      <x:c r="CU34" s="117">
        <x:f>MAX(0,CU33-CU56)</x:f>
      </x:c>
      <x:c r="CV34" s="117">
        <x:f>MAX(0,CV33-CV56)</x:f>
      </x:c>
      <x:c r="CW34" s="117">
        <x:f>MAX(0,CW33-CW56)</x:f>
      </x:c>
      <x:c r="CX34" s="117">
        <x:f>MAX(0,CX33-CX56)</x:f>
      </x:c>
      <x:c r="CY34" s="117">
        <x:f>MAX(0,CY33-CY56)</x:f>
      </x:c>
      <x:c r="CZ34" s="117">
        <x:f>MAX(0,CZ33-CZ56)</x:f>
      </x:c>
      <x:c r="DA34" s="117">
        <x:f>MAX(0,DA33-DA56)</x:f>
      </x:c>
      <x:c r="DB34" s="117">
        <x:f>MAX(0,DB33-DB56)</x:f>
      </x:c>
      <x:c r="DC34" s="117">
        <x:f>MAX(0,DC33-DC56)</x:f>
      </x:c>
      <x:c r="DD34" s="117">
        <x:f>MAX(0,DD33-DD56)</x:f>
      </x:c>
      <x:c r="DE34" s="117">
        <x:f>MAX(0,DE33-DE56)</x:f>
      </x:c>
      <x:c r="DF34" s="117">
        <x:f>MAX(0,DF33-DF56)</x:f>
      </x:c>
      <x:c r="DG34" s="117">
        <x:f>MAX(0,DG33-DG56)</x:f>
      </x:c>
      <x:c r="DH34" s="117">
        <x:f>MAX(0,DH33-DH56)</x:f>
      </x:c>
      <x:c r="DI34" s="117">
        <x:f>MAX(0,DI33-DI56)</x:f>
      </x:c>
      <x:c r="DJ34" s="117">
        <x:f>MAX(0,DJ33-DJ56)</x:f>
      </x:c>
      <x:c r="DK34" s="117">
        <x:f>MAX(0,DK33-DK56)</x:f>
      </x:c>
      <x:c r="DL34" s="117">
        <x:f>MAX(0,DL33-DL56)</x:f>
      </x:c>
      <x:c r="DM34" s="117">
        <x:f>MAX(0,DM33-DM56)</x:f>
      </x:c>
      <x:c r="DN34" s="117">
        <x:f>MAX(0,DN33-DN56)</x:f>
      </x:c>
      <x:c r="DO34" s="117">
        <x:f>MAX(0,DO33-DO56)</x:f>
      </x:c>
      <x:c r="DP34" s="117">
        <x:f>MAX(0,DP33-DP56)</x:f>
      </x:c>
      <x:c r="DQ34" s="117">
        <x:f>MAX(0,DQ33-DQ56)</x:f>
      </x:c>
      <x:c r="DR34" s="117">
        <x:f>MAX(0,DR33-DR56)</x:f>
      </x:c>
      <x:c r="DS34" s="117">
        <x:f>MAX(0,DS33-DS56)</x:f>
      </x:c>
      <x:c r="DT34" s="117">
        <x:f>MAX(0,DT33-DT56)</x:f>
      </x:c>
      <x:c r="DU34" s="117">
        <x:f>MAX(0,DU33-DU56)</x:f>
      </x:c>
      <x:c r="DV34" s="117">
        <x:f>MAX(0,DV33-DV56)</x:f>
      </x:c>
      <x:c r="DW34" s="117">
        <x:f>MAX(0,DW33-DW56)</x:f>
      </x:c>
      <x:c r="DX34" s="117">
        <x:f>MAX(0,DX33-DX56)</x:f>
      </x:c>
      <x:c r="DY34" s="117">
        <x:f>MAX(0,DY33-DY56)</x:f>
      </x:c>
      <x:c r="DZ34" s="117">
        <x:f>MAX(0,DZ33-DZ56)</x:f>
      </x:c>
      <x:c r="EA34" s="117">
        <x:f>MAX(0,EA33-EA56)</x:f>
      </x:c>
      <x:c r="EB34" s="117">
        <x:f>MAX(0,EB33-EB56)</x:f>
      </x:c>
      <x:c r="EC34" s="117">
        <x:f>MAX(0,EC33-EC56)</x:f>
      </x:c>
      <x:c r="ED34" s="117">
        <x:f>MAX(0,ED33-ED56)</x:f>
      </x:c>
      <x:c r="EE34" s="117">
        <x:f>MAX(0,EE33-EE56)</x:f>
      </x:c>
      <x:c r="EF34" s="117">
        <x:f>MAX(0,EF33-EF56)</x:f>
      </x:c>
      <x:c r="EG34" s="117">
        <x:f>MAX(0,EG33-EG56)</x:f>
      </x:c>
      <x:c r="EH34" s="117">
        <x:f>MAX(0,EH33-EH56)</x:f>
      </x:c>
      <x:c r="EI34" s="117">
        <x:f>MAX(0,EI33-EI56)</x:f>
      </x:c>
      <x:c r="EJ34" s="117">
        <x:f>MAX(0,EJ33-EJ56)</x:f>
      </x:c>
      <x:c r="EK34" s="117">
        <x:f>MAX(0,EK33-EK56)</x:f>
      </x:c>
      <x:c r="EL34" s="117">
        <x:f>MAX(0,EL33-EL56)</x:f>
      </x:c>
      <x:c r="EM34" s="117">
        <x:f>MAX(0,EM33-EM56)</x:f>
      </x:c>
      <x:c r="EN34" s="117">
        <x:f>MAX(0,EN33-EN56)</x:f>
      </x:c>
      <x:c r="EO34" s="117">
        <x:f>MAX(0,EO33-EO56)</x:f>
      </x:c>
      <x:c r="EP34" s="117">
        <x:f>MAX(0,EP33-EP56)</x:f>
      </x:c>
      <x:c r="EQ34" s="117">
        <x:f>MAX(0,EQ33-EQ56)</x:f>
      </x:c>
      <x:c r="ER34" s="117">
        <x:f>MAX(0,ER33-ER56)</x:f>
      </x:c>
      <x:c r="ES34" s="117">
        <x:f>MAX(0,ES33-ES56)</x:f>
      </x:c>
      <x:c r="ET34" s="117">
        <x:f>MAX(0,ET33-ET56)</x:f>
      </x:c>
      <x:c r="EU34" s="117">
        <x:f>MAX(0,EU33-EU56)</x:f>
      </x:c>
      <x:c r="EV34" s="117">
        <x:f>MAX(0,EV33-EV56)</x:f>
      </x:c>
      <x:c r="EW34" s="117">
        <x:f>MAX(0,EW33-EW56)</x:f>
      </x:c>
      <x:c r="EX34" s="117">
        <x:f>MAX(0,EX33-EX56)</x:f>
      </x:c>
      <x:c r="EY34" s="117">
        <x:f>MAX(0,EY33-EY56)</x:f>
      </x:c>
      <x:c r="EZ34" s="117">
        <x:f>MAX(0,EZ33-EZ56)</x:f>
      </x:c>
      <x:c r="FA34" s="117">
        <x:f>MAX(0,FA33-FA56)</x:f>
      </x:c>
      <x:c r="FB34" s="117">
        <x:f>MAX(0,FB33-FB56)</x:f>
      </x:c>
      <x:c r="FC34" s="117">
        <x:f>MAX(0,FC33-FC56)</x:f>
      </x:c>
      <x:c r="FD34" s="117">
        <x:f>MAX(0,FD33-FD56)</x:f>
      </x:c>
      <x:c r="FE34" s="117">
        <x:f>MAX(0,FE33-FE56)</x:f>
      </x:c>
      <x:c r="FF34" s="117">
        <x:f>MAX(0,FF33-FF56)</x:f>
      </x:c>
      <x:c r="FG34" s="117">
        <x:f>MAX(0,FG33-FG56)</x:f>
      </x:c>
      <x:c r="FH34" s="117">
        <x:f>MAX(0,FH33-FH56)</x:f>
      </x:c>
      <x:c r="FI34" s="117">
        <x:f>MAX(0,FI33-FI56)</x:f>
      </x:c>
      <x:c r="FJ34" s="117">
        <x:f>MAX(0,FJ33-FJ56)</x:f>
      </x:c>
      <x:c r="FK34" s="117">
        <x:f>MAX(0,FK33-FK56)</x:f>
      </x:c>
      <x:c r="FL34" s="117">
        <x:f>MAX(0,FL33-FL56)</x:f>
      </x:c>
      <x:c r="FM34" s="117">
        <x:f>MAX(0,FM33-FM56)</x:f>
      </x:c>
      <x:c r="FN34" s="117">
        <x:f>MAX(0,FN33-FN56)</x:f>
      </x:c>
      <x:c r="FO34" s="117">
        <x:f>MAX(0,FO33-FO56)</x:f>
      </x:c>
      <x:c r="FP34" s="117">
        <x:f>MAX(0,FP33-FP56)</x:f>
      </x:c>
      <x:c r="FQ34" s="117">
        <x:f>MAX(0,FQ33-FQ56)</x:f>
      </x:c>
      <x:c r="FR34" s="117">
        <x:f>MAX(0,FR33-FR56)</x:f>
      </x:c>
      <x:c r="FS34" s="117">
        <x:f>MAX(0,FS33-FS56)</x:f>
      </x:c>
      <x:c r="FT34" s="117">
        <x:f>MAX(0,FT33-FT56)</x:f>
      </x:c>
      <x:c r="FU34" s="117">
        <x:f>MAX(0,FU33-FU56)</x:f>
      </x:c>
      <x:c r="FV34" s="117">
        <x:f>MAX(0,FV33-FV56)</x:f>
      </x:c>
      <x:c r="FW34" s="117">
        <x:f>MAX(0,FW33-FW56)</x:f>
      </x:c>
      <x:c r="FX34" s="117">
        <x:f>MAX(0,FX33-FX56)</x:f>
      </x:c>
      <x:c r="FY34" s="117">
        <x:f>MAX(0,FY33-FY56)</x:f>
      </x:c>
      <x:c r="FZ34" s="117">
        <x:f>MAX(0,FZ33-FZ56)</x:f>
      </x:c>
      <x:c r="GA34" s="117">
        <x:f>MAX(0,GA33-GA56)</x:f>
      </x:c>
    </x:row>
    <x:row r="35">
      <x:c r="A35" t="str">
        <x:v>БРИДЖ — погашение</x:v>
      </x:c>
      <x:c r="B35" t="n">
        <x:f>SUM(D35:GA35)</x:f>
      </x:c>
      <x:c r="C35" t="str">
        <x:v>млн ₽</x:v>
      </x:c>
      <x:c r="D35" s="117">
        <x:f>IF(AND(YEAR(D$3)=YEAR($B$7),MONTH(D$3)=MONTH($B$7)),D30,0)</x:f>
      </x:c>
      <x:c r="E35" s="117">
        <x:f>IF(AND(YEAR(E$3)=YEAR($B$7),MONTH(E$3)=MONTH($B$7)),E30,0)</x:f>
      </x:c>
      <x:c r="F35" s="117">
        <x:f>IF(AND(YEAR(F$3)=YEAR($B$7),MONTH(F$3)=MONTH($B$7)),F30,0)</x:f>
      </x:c>
      <x:c r="G35" s="117">
        <x:f>IF(AND(YEAR(G$3)=YEAR($B$7),MONTH(G$3)=MONTH($B$7)),G30,0)</x:f>
      </x:c>
      <x:c r="H35" s="117">
        <x:f>IF(AND(YEAR(H$3)=YEAR($B$7),MONTH(H$3)=MONTH($B$7)),H30,0)</x:f>
      </x:c>
      <x:c r="I35" s="117">
        <x:f>IF(AND(YEAR(I$3)=YEAR($B$7),MONTH(I$3)=MONTH($B$7)),I30,0)</x:f>
      </x:c>
      <x:c r="J35" s="117">
        <x:f>IF(AND(YEAR(J$3)=YEAR($B$7),MONTH(J$3)=MONTH($B$7)),J30,0)</x:f>
      </x:c>
      <x:c r="K35" s="117">
        <x:f>IF(AND(YEAR(K$3)=YEAR($B$7),MONTH(K$3)=MONTH($B$7)),K30,0)</x:f>
      </x:c>
      <x:c r="L35" s="117">
        <x:f>IF(AND(YEAR(L$3)=YEAR($B$7),MONTH(L$3)=MONTH($B$7)),L30,0)</x:f>
      </x:c>
      <x:c r="M35" s="117">
        <x:f>IF(AND(YEAR(M$3)=YEAR($B$7),MONTH(M$3)=MONTH($B$7)),M30,0)</x:f>
      </x:c>
      <x:c r="N35" s="117">
        <x:f>IF(AND(YEAR(N$3)=YEAR($B$7),MONTH(N$3)=MONTH($B$7)),N30,0)</x:f>
      </x:c>
      <x:c r="O35" s="117">
        <x:f>IF(AND(YEAR(O$3)=YEAR($B$7),MONTH(O$3)=MONTH($B$7)),O30,0)</x:f>
      </x:c>
      <x:c r="P35" s="117">
        <x:f>IF(AND(YEAR(P$3)=YEAR($B$7),MONTH(P$3)=MONTH($B$7)),P30,0)</x:f>
      </x:c>
      <x:c r="Q35" s="117">
        <x:f>IF(AND(YEAR(Q$3)=YEAR($B$7),MONTH(Q$3)=MONTH($B$7)),Q30,0)</x:f>
      </x:c>
      <x:c r="R35" s="117">
        <x:f>IF(AND(YEAR(R$3)=YEAR($B$7),MONTH(R$3)=MONTH($B$7)),R30,0)</x:f>
      </x:c>
      <x:c r="S35" s="117">
        <x:f>IF(AND(YEAR(S$3)=YEAR($B$7),MONTH(S$3)=MONTH($B$7)),S30,0)</x:f>
      </x:c>
      <x:c r="T35" s="117">
        <x:f>IF(AND(YEAR(T$3)=YEAR($B$7),MONTH(T$3)=MONTH($B$7)),T30,0)</x:f>
      </x:c>
      <x:c r="U35" s="117">
        <x:f>IF(AND(YEAR(U$3)=YEAR($B$7),MONTH(U$3)=MONTH($B$7)),U30,0)</x:f>
      </x:c>
      <x:c r="V35" s="117">
        <x:f>IF(AND(YEAR(V$3)=YEAR($B$7),MONTH(V$3)=MONTH($B$7)),V30,0)</x:f>
      </x:c>
      <x:c r="W35" s="117">
        <x:f>IF(AND(YEAR(W$3)=YEAR($B$7),MONTH(W$3)=MONTH($B$7)),W30,0)</x:f>
      </x:c>
      <x:c r="X35" s="117">
        <x:f>IF(AND(YEAR(X$3)=YEAR($B$7),MONTH(X$3)=MONTH($B$7)),X30,0)</x:f>
      </x:c>
      <x:c r="Y35" s="117">
        <x:f>IF(AND(YEAR(Y$3)=YEAR($B$7),MONTH(Y$3)=MONTH($B$7)),Y30,0)</x:f>
      </x:c>
      <x:c r="Z35" s="117">
        <x:f>IF(AND(YEAR(Z$3)=YEAR($B$7),MONTH(Z$3)=MONTH($B$7)),Z30,0)</x:f>
      </x:c>
      <x:c r="AA35" s="117">
        <x:f>IF(AND(YEAR(AA$3)=YEAR($B$7),MONTH(AA$3)=MONTH($B$7)),AA30,0)</x:f>
      </x:c>
      <x:c r="AB35" s="117">
        <x:f>IF(AND(YEAR(AB$3)=YEAR($B$7),MONTH(AB$3)=MONTH($B$7)),AB30,0)</x:f>
      </x:c>
      <x:c r="AC35" s="117">
        <x:f>IF(AND(YEAR(AC$3)=YEAR($B$7),MONTH(AC$3)=MONTH($B$7)),AC30,0)</x:f>
      </x:c>
      <x:c r="AD35" s="117">
        <x:f>IF(AND(YEAR(AD$3)=YEAR($B$7),MONTH(AD$3)=MONTH($B$7)),AD30,0)</x:f>
      </x:c>
      <x:c r="AE35" s="117">
        <x:f>IF(AND(YEAR(AE$3)=YEAR($B$7),MONTH(AE$3)=MONTH($B$7)),AE30,0)</x:f>
      </x:c>
      <x:c r="AF35" s="117">
        <x:f>IF(AND(YEAR(AF$3)=YEAR($B$7),MONTH(AF$3)=MONTH($B$7)),AF30,0)</x:f>
      </x:c>
      <x:c r="AG35" s="117">
        <x:f>IF(AND(YEAR(AG$3)=YEAR($B$7),MONTH(AG$3)=MONTH($B$7)),AG30,0)</x:f>
      </x:c>
      <x:c r="AH35" s="117">
        <x:f>IF(AND(YEAR(AH$3)=YEAR($B$7),MONTH(AH$3)=MONTH($B$7)),AH30,0)</x:f>
      </x:c>
      <x:c r="AI35" s="117">
        <x:f>IF(AND(YEAR(AI$3)=YEAR($B$7),MONTH(AI$3)=MONTH($B$7)),AI30,0)</x:f>
      </x:c>
      <x:c r="AJ35" s="117">
        <x:f>IF(AND(YEAR(AJ$3)=YEAR($B$7),MONTH(AJ$3)=MONTH($B$7)),AJ30,0)</x:f>
      </x:c>
      <x:c r="AK35" s="117">
        <x:f>IF(AND(YEAR(AK$3)=YEAR($B$7),MONTH(AK$3)=MONTH($B$7)),AK30,0)</x:f>
      </x:c>
      <x:c r="AL35" s="117">
        <x:f>IF(AND(YEAR(AL$3)=YEAR($B$7),MONTH(AL$3)=MONTH($B$7)),AL30,0)</x:f>
      </x:c>
      <x:c r="AM35" s="117">
        <x:f>IF(AND(YEAR(AM$3)=YEAR($B$7),MONTH(AM$3)=MONTH($B$7)),AM30,0)</x:f>
      </x:c>
      <x:c r="AN35" s="117">
        <x:f>IF(AND(YEAR(AN$3)=YEAR($B$7),MONTH(AN$3)=MONTH($B$7)),AN30,0)</x:f>
      </x:c>
      <x:c r="AO35" s="117">
        <x:f>IF(AND(YEAR(AO$3)=YEAR($B$7),MONTH(AO$3)=MONTH($B$7)),AO30,0)</x:f>
      </x:c>
      <x:c r="AP35" s="117">
        <x:f>IF(AND(YEAR(AP$3)=YEAR($B$7),MONTH(AP$3)=MONTH($B$7)),AP30,0)</x:f>
      </x:c>
      <x:c r="AQ35" s="117">
        <x:f>IF(AND(YEAR(AQ$3)=YEAR($B$7),MONTH(AQ$3)=MONTH($B$7)),AQ30,0)</x:f>
      </x:c>
      <x:c r="AR35" s="117">
        <x:f>IF(AND(YEAR(AR$3)=YEAR($B$7),MONTH(AR$3)=MONTH($B$7)),AR30,0)</x:f>
      </x:c>
      <x:c r="AS35" s="117">
        <x:f>IF(AND(YEAR(AS$3)=YEAR($B$7),MONTH(AS$3)=MONTH($B$7)),AS30,0)</x:f>
      </x:c>
      <x:c r="AT35" s="117">
        <x:f>IF(AND(YEAR(AT$3)=YEAR($B$7),MONTH(AT$3)=MONTH($B$7)),AT30,0)</x:f>
      </x:c>
      <x:c r="AU35" s="117">
        <x:f>IF(AND(YEAR(AU$3)=YEAR($B$7),MONTH(AU$3)=MONTH($B$7)),AU30,0)</x:f>
      </x:c>
      <x:c r="AV35" s="117">
        <x:f>IF(AND(YEAR(AV$3)=YEAR($B$7),MONTH(AV$3)=MONTH($B$7)),AV30,0)</x:f>
      </x:c>
      <x:c r="AW35" s="117">
        <x:f>IF(AND(YEAR(AW$3)=YEAR($B$7),MONTH(AW$3)=MONTH($B$7)),AW30,0)</x:f>
      </x:c>
      <x:c r="AX35" s="117">
        <x:f>IF(AND(YEAR(AX$3)=YEAR($B$7),MONTH(AX$3)=MONTH($B$7)),AX30,0)</x:f>
      </x:c>
      <x:c r="AY35" s="117">
        <x:f>IF(AND(YEAR(AY$3)=YEAR($B$7),MONTH(AY$3)=MONTH($B$7)),AY30,0)</x:f>
      </x:c>
      <x:c r="AZ35" s="117">
        <x:f>IF(AND(YEAR(AZ$3)=YEAR($B$7),MONTH(AZ$3)=MONTH($B$7)),AZ30,0)</x:f>
      </x:c>
      <x:c r="BA35" s="117">
        <x:f>IF(AND(YEAR(BA$3)=YEAR($B$7),MONTH(BA$3)=MONTH($B$7)),BA30,0)</x:f>
      </x:c>
      <x:c r="BB35" s="117">
        <x:f>IF(AND(YEAR(BB$3)=YEAR($B$7),MONTH(BB$3)=MONTH($B$7)),BB30,0)</x:f>
      </x:c>
      <x:c r="BC35" s="117">
        <x:f>IF(AND(YEAR(BC$3)=YEAR($B$7),MONTH(BC$3)=MONTH($B$7)),BC30,0)</x:f>
      </x:c>
      <x:c r="BD35" s="117">
        <x:f>IF(AND(YEAR(BD$3)=YEAR($B$7),MONTH(BD$3)=MONTH($B$7)),BD30,0)</x:f>
      </x:c>
      <x:c r="BE35" s="117">
        <x:f>IF(AND(YEAR(BE$3)=YEAR($B$7),MONTH(BE$3)=MONTH($B$7)),BE30,0)</x:f>
      </x:c>
      <x:c r="BF35" s="117">
        <x:f>IF(AND(YEAR(BF$3)=YEAR($B$7),MONTH(BF$3)=MONTH($B$7)),BF30,0)</x:f>
      </x:c>
      <x:c r="BG35" s="117">
        <x:f>IF(AND(YEAR(BG$3)=YEAR($B$7),MONTH(BG$3)=MONTH($B$7)),BG30,0)</x:f>
      </x:c>
      <x:c r="BH35" s="117">
        <x:f>IF(AND(YEAR(BH$3)=YEAR($B$7),MONTH(BH$3)=MONTH($B$7)),BH30,0)</x:f>
      </x:c>
      <x:c r="BI35" s="117">
        <x:f>IF(AND(YEAR(BI$3)=YEAR($B$7),MONTH(BI$3)=MONTH($B$7)),BI30,0)</x:f>
      </x:c>
      <x:c r="BJ35" s="117">
        <x:f>IF(AND(YEAR(BJ$3)=YEAR($B$7),MONTH(BJ$3)=MONTH($B$7)),BJ30,0)</x:f>
      </x:c>
      <x:c r="BK35" s="117">
        <x:f>IF(AND(YEAR(BK$3)=YEAR($B$7),MONTH(BK$3)=MONTH($B$7)),BK30,0)</x:f>
      </x:c>
      <x:c r="BL35" s="117">
        <x:f>IF(AND(YEAR(BL$3)=YEAR($B$7),MONTH(BL$3)=MONTH($B$7)),BL30,0)</x:f>
      </x:c>
      <x:c r="BM35" s="117">
        <x:f>IF(AND(YEAR(BM$3)=YEAR($B$7),MONTH(BM$3)=MONTH($B$7)),BM30,0)</x:f>
      </x:c>
      <x:c r="BN35" s="117">
        <x:f>IF(AND(YEAR(BN$3)=YEAR($B$7),MONTH(BN$3)=MONTH($B$7)),BN30,0)</x:f>
      </x:c>
      <x:c r="BO35" s="117">
        <x:f>IF(AND(YEAR(BO$3)=YEAR($B$7),MONTH(BO$3)=MONTH($B$7)),BO30,0)</x:f>
      </x:c>
      <x:c r="BP35" s="117">
        <x:f>IF(AND(YEAR(BP$3)=YEAR($B$7),MONTH(BP$3)=MONTH($B$7)),BP30,0)</x:f>
      </x:c>
      <x:c r="BQ35" s="117">
        <x:f>IF(AND(YEAR(BQ$3)=YEAR($B$7),MONTH(BQ$3)=MONTH($B$7)),BQ30,0)</x:f>
      </x:c>
      <x:c r="BR35" s="117">
        <x:f>IF(AND(YEAR(BR$3)=YEAR($B$7),MONTH(BR$3)=MONTH($B$7)),BR30,0)</x:f>
      </x:c>
      <x:c r="BS35" s="117">
        <x:f>IF(AND(YEAR(BS$3)=YEAR($B$7),MONTH(BS$3)=MONTH($B$7)),BS30,0)</x:f>
      </x:c>
      <x:c r="BT35" s="117">
        <x:f>IF(AND(YEAR(BT$3)=YEAR($B$7),MONTH(BT$3)=MONTH($B$7)),BT30,0)</x:f>
      </x:c>
      <x:c r="BU35" s="117">
        <x:f>IF(AND(YEAR(BU$3)=YEAR($B$7),MONTH(BU$3)=MONTH($B$7)),BU30,0)</x:f>
      </x:c>
      <x:c r="BV35" s="117">
        <x:f>IF(AND(YEAR(BV$3)=YEAR($B$7),MONTH(BV$3)=MONTH($B$7)),BV30,0)</x:f>
      </x:c>
      <x:c r="BW35" s="117">
        <x:f>IF(AND(YEAR(BW$3)=YEAR($B$7),MONTH(BW$3)=MONTH($B$7)),BW30,0)</x:f>
      </x:c>
      <x:c r="BX35" s="117">
        <x:f>IF(AND(YEAR(BX$3)=YEAR($B$7),MONTH(BX$3)=MONTH($B$7)),BX30,0)</x:f>
      </x:c>
      <x:c r="BY35" s="117">
        <x:f>IF(AND(YEAR(BY$3)=YEAR($B$7),MONTH(BY$3)=MONTH($B$7)),BY30,0)</x:f>
      </x:c>
      <x:c r="BZ35" s="117">
        <x:f>IF(AND(YEAR(BZ$3)=YEAR($B$7),MONTH(BZ$3)=MONTH($B$7)),BZ30,0)</x:f>
      </x:c>
      <x:c r="CA35" s="117">
        <x:f>IF(AND(YEAR(CA$3)=YEAR($B$7),MONTH(CA$3)=MONTH($B$7)),CA30,0)</x:f>
      </x:c>
      <x:c r="CB35" s="117">
        <x:f>IF(AND(YEAR(CB$3)=YEAR($B$7),MONTH(CB$3)=MONTH($B$7)),CB30,0)</x:f>
      </x:c>
      <x:c r="CC35" s="117">
        <x:f>IF(AND(YEAR(CC$3)=YEAR($B$7),MONTH(CC$3)=MONTH($B$7)),CC30,0)</x:f>
      </x:c>
      <x:c r="CD35" s="117">
        <x:f>IF(AND(YEAR(CD$3)=YEAR($B$7),MONTH(CD$3)=MONTH($B$7)),CD30,0)</x:f>
      </x:c>
      <x:c r="CE35" s="117">
        <x:f>IF(AND(YEAR(CE$3)=YEAR($B$7),MONTH(CE$3)=MONTH($B$7)),CE30,0)</x:f>
      </x:c>
      <x:c r="CF35" s="117">
        <x:f>IF(AND(YEAR(CF$3)=YEAR($B$7),MONTH(CF$3)=MONTH($B$7)),CF30,0)</x:f>
      </x:c>
      <x:c r="CG35" s="117">
        <x:f>IF(AND(YEAR(CG$3)=YEAR($B$7),MONTH(CG$3)=MONTH($B$7)),CG30,0)</x:f>
      </x:c>
      <x:c r="CH35" s="117">
        <x:f>IF(AND(YEAR(CH$3)=YEAR($B$7),MONTH(CH$3)=MONTH($B$7)),CH30,0)</x:f>
      </x:c>
      <x:c r="CI35" s="117">
        <x:f>IF(AND(YEAR(CI$3)=YEAR($B$7),MONTH(CI$3)=MONTH($B$7)),CI30,0)</x:f>
      </x:c>
      <x:c r="CJ35" s="117">
        <x:f>IF(AND(YEAR(CJ$3)=YEAR($B$7),MONTH(CJ$3)=MONTH($B$7)),CJ30,0)</x:f>
      </x:c>
      <x:c r="CK35" s="117">
        <x:f>IF(AND(YEAR(CK$3)=YEAR($B$7),MONTH(CK$3)=MONTH($B$7)),CK30,0)</x:f>
      </x:c>
      <x:c r="CL35" s="117">
        <x:f>IF(AND(YEAR(CL$3)=YEAR($B$7),MONTH(CL$3)=MONTH($B$7)),CL30,0)</x:f>
      </x:c>
      <x:c r="CM35" s="117">
        <x:f>IF(AND(YEAR(CM$3)=YEAR($B$7),MONTH(CM$3)=MONTH($B$7)),CM30,0)</x:f>
      </x:c>
      <x:c r="CN35" s="117">
        <x:f>IF(AND(YEAR(CN$3)=YEAR($B$7),MONTH(CN$3)=MONTH($B$7)),CN30,0)</x:f>
      </x:c>
      <x:c r="CO35" s="117">
        <x:f>IF(AND(YEAR(CO$3)=YEAR($B$7),MONTH(CO$3)=MONTH($B$7)),CO30,0)</x:f>
      </x:c>
      <x:c r="CP35" s="117">
        <x:f>IF(AND(YEAR(CP$3)=YEAR($B$7),MONTH(CP$3)=MONTH($B$7)),CP30,0)</x:f>
      </x:c>
      <x:c r="CQ35" s="117">
        <x:f>IF(AND(YEAR(CQ$3)=YEAR($B$7),MONTH(CQ$3)=MONTH($B$7)),CQ30,0)</x:f>
      </x:c>
      <x:c r="CR35" s="117">
        <x:f>IF(AND(YEAR(CR$3)=YEAR($B$7),MONTH(CR$3)=MONTH($B$7)),CR30,0)</x:f>
      </x:c>
      <x:c r="CS35" s="117">
        <x:f>IF(AND(YEAR(CS$3)=YEAR($B$7),MONTH(CS$3)=MONTH($B$7)),CS30,0)</x:f>
      </x:c>
      <x:c r="CT35" s="117">
        <x:f>IF(AND(YEAR(CT$3)=YEAR($B$7),MONTH(CT$3)=MONTH($B$7)),CT30,0)</x:f>
      </x:c>
      <x:c r="CU35" s="117">
        <x:f>IF(AND(YEAR(CU$3)=YEAR($B$7),MONTH(CU$3)=MONTH($B$7)),CU30,0)</x:f>
      </x:c>
      <x:c r="CV35" s="117">
        <x:f>IF(AND(YEAR(CV$3)=YEAR($B$7),MONTH(CV$3)=MONTH($B$7)),CV30,0)</x:f>
      </x:c>
      <x:c r="CW35" s="117">
        <x:f>IF(AND(YEAR(CW$3)=YEAR($B$7),MONTH(CW$3)=MONTH($B$7)),CW30,0)</x:f>
      </x:c>
      <x:c r="CX35" s="117">
        <x:f>IF(AND(YEAR(CX$3)=YEAR($B$7),MONTH(CX$3)=MONTH($B$7)),CX30,0)</x:f>
      </x:c>
      <x:c r="CY35" s="117">
        <x:f>IF(AND(YEAR(CY$3)=YEAR($B$7),MONTH(CY$3)=MONTH($B$7)),CY30,0)</x:f>
      </x:c>
      <x:c r="CZ35" s="117">
        <x:f>IF(AND(YEAR(CZ$3)=YEAR($B$7),MONTH(CZ$3)=MONTH($B$7)),CZ30,0)</x:f>
      </x:c>
      <x:c r="DA35" s="117">
        <x:f>IF(AND(YEAR(DA$3)=YEAR($B$7),MONTH(DA$3)=MONTH($B$7)),DA30,0)</x:f>
      </x:c>
      <x:c r="DB35" s="117">
        <x:f>IF(AND(YEAR(DB$3)=YEAR($B$7),MONTH(DB$3)=MONTH($B$7)),DB30,0)</x:f>
      </x:c>
      <x:c r="DC35" s="117">
        <x:f>IF(AND(YEAR(DC$3)=YEAR($B$7),MONTH(DC$3)=MONTH($B$7)),DC30,0)</x:f>
      </x:c>
      <x:c r="DD35" s="117">
        <x:f>IF(AND(YEAR(DD$3)=YEAR($B$7),MONTH(DD$3)=MONTH($B$7)),DD30,0)</x:f>
      </x:c>
      <x:c r="DE35" s="117">
        <x:f>IF(AND(YEAR(DE$3)=YEAR($B$7),MONTH(DE$3)=MONTH($B$7)),DE30,0)</x:f>
      </x:c>
      <x:c r="DF35" s="117">
        <x:f>IF(AND(YEAR(DF$3)=YEAR($B$7),MONTH(DF$3)=MONTH($B$7)),DF30,0)</x:f>
      </x:c>
      <x:c r="DG35" s="117">
        <x:f>IF(AND(YEAR(DG$3)=YEAR($B$7),MONTH(DG$3)=MONTH($B$7)),DG30,0)</x:f>
      </x:c>
      <x:c r="DH35" s="117">
        <x:f>IF(AND(YEAR(DH$3)=YEAR($B$7),MONTH(DH$3)=MONTH($B$7)),DH30,0)</x:f>
      </x:c>
      <x:c r="DI35" s="117">
        <x:f>IF(AND(YEAR(DI$3)=YEAR($B$7),MONTH(DI$3)=MONTH($B$7)),DI30,0)</x:f>
      </x:c>
      <x:c r="DJ35" s="117">
        <x:f>IF(AND(YEAR(DJ$3)=YEAR($B$7),MONTH(DJ$3)=MONTH($B$7)),DJ30,0)</x:f>
      </x:c>
      <x:c r="DK35" s="117">
        <x:f>IF(AND(YEAR(DK$3)=YEAR($B$7),MONTH(DK$3)=MONTH($B$7)),DK30,0)</x:f>
      </x:c>
      <x:c r="DL35" s="117">
        <x:f>IF(AND(YEAR(DL$3)=YEAR($B$7),MONTH(DL$3)=MONTH($B$7)),DL30,0)</x:f>
      </x:c>
      <x:c r="DM35" s="117">
        <x:f>IF(AND(YEAR(DM$3)=YEAR($B$7),MONTH(DM$3)=MONTH($B$7)),DM30,0)</x:f>
      </x:c>
      <x:c r="DN35" s="117">
        <x:f>IF(AND(YEAR(DN$3)=YEAR($B$7),MONTH(DN$3)=MONTH($B$7)),DN30,0)</x:f>
      </x:c>
      <x:c r="DO35" s="117">
        <x:f>IF(AND(YEAR(DO$3)=YEAR($B$7),MONTH(DO$3)=MONTH($B$7)),DO30,0)</x:f>
      </x:c>
      <x:c r="DP35" s="117">
        <x:f>IF(AND(YEAR(DP$3)=YEAR($B$7),MONTH(DP$3)=MONTH($B$7)),DP30,0)</x:f>
      </x:c>
      <x:c r="DQ35" s="117">
        <x:f>IF(AND(YEAR(DQ$3)=YEAR($B$7),MONTH(DQ$3)=MONTH($B$7)),DQ30,0)</x:f>
      </x:c>
      <x:c r="DR35" s="117">
        <x:f>IF(AND(YEAR(DR$3)=YEAR($B$7),MONTH(DR$3)=MONTH($B$7)),DR30,0)</x:f>
      </x:c>
      <x:c r="DS35" s="117">
        <x:f>IF(AND(YEAR(DS$3)=YEAR($B$7),MONTH(DS$3)=MONTH($B$7)),DS30,0)</x:f>
      </x:c>
      <x:c r="DT35" s="117">
        <x:f>IF(AND(YEAR(DT$3)=YEAR($B$7),MONTH(DT$3)=MONTH($B$7)),DT30,0)</x:f>
      </x:c>
      <x:c r="DU35" s="117">
        <x:f>IF(AND(YEAR(DU$3)=YEAR($B$7),MONTH(DU$3)=MONTH($B$7)),DU30,0)</x:f>
      </x:c>
      <x:c r="DV35" s="117">
        <x:f>IF(AND(YEAR(DV$3)=YEAR($B$7),MONTH(DV$3)=MONTH($B$7)),DV30,0)</x:f>
      </x:c>
      <x:c r="DW35" s="117">
        <x:f>IF(AND(YEAR(DW$3)=YEAR($B$7),MONTH(DW$3)=MONTH($B$7)),DW30,0)</x:f>
      </x:c>
      <x:c r="DX35" s="117">
        <x:f>IF(AND(YEAR(DX$3)=YEAR($B$7),MONTH(DX$3)=MONTH($B$7)),DX30,0)</x:f>
      </x:c>
      <x:c r="DY35" s="117">
        <x:f>IF(AND(YEAR(DY$3)=YEAR($B$7),MONTH(DY$3)=MONTH($B$7)),DY30,0)</x:f>
      </x:c>
      <x:c r="DZ35" s="117">
        <x:f>IF(AND(YEAR(DZ$3)=YEAR($B$7),MONTH(DZ$3)=MONTH($B$7)),DZ30,0)</x:f>
      </x:c>
      <x:c r="EA35" s="117">
        <x:f>IF(AND(YEAR(EA$3)=YEAR($B$7),MONTH(EA$3)=MONTH($B$7)),EA30,0)</x:f>
      </x:c>
      <x:c r="EB35" s="117">
        <x:f>IF(AND(YEAR(EB$3)=YEAR($B$7),MONTH(EB$3)=MONTH($B$7)),EB30,0)</x:f>
      </x:c>
      <x:c r="EC35" s="117">
        <x:f>IF(AND(YEAR(EC$3)=YEAR($B$7),MONTH(EC$3)=MONTH($B$7)),EC30,0)</x:f>
      </x:c>
      <x:c r="ED35" s="117">
        <x:f>IF(AND(YEAR(ED$3)=YEAR($B$7),MONTH(ED$3)=MONTH($B$7)),ED30,0)</x:f>
      </x:c>
      <x:c r="EE35" s="117">
        <x:f>IF(AND(YEAR(EE$3)=YEAR($B$7),MONTH(EE$3)=MONTH($B$7)),EE30,0)</x:f>
      </x:c>
      <x:c r="EF35" s="117">
        <x:f>IF(AND(YEAR(EF$3)=YEAR($B$7),MONTH(EF$3)=MONTH($B$7)),EF30,0)</x:f>
      </x:c>
      <x:c r="EG35" s="117">
        <x:f>IF(AND(YEAR(EG$3)=YEAR($B$7),MONTH(EG$3)=MONTH($B$7)),EG30,0)</x:f>
      </x:c>
      <x:c r="EH35" s="117">
        <x:f>IF(AND(YEAR(EH$3)=YEAR($B$7),MONTH(EH$3)=MONTH($B$7)),EH30,0)</x:f>
      </x:c>
      <x:c r="EI35" s="117">
        <x:f>IF(AND(YEAR(EI$3)=YEAR($B$7),MONTH(EI$3)=MONTH($B$7)),EI30,0)</x:f>
      </x:c>
      <x:c r="EJ35" s="117">
        <x:f>IF(AND(YEAR(EJ$3)=YEAR($B$7),MONTH(EJ$3)=MONTH($B$7)),EJ30,0)</x:f>
      </x:c>
      <x:c r="EK35" s="117">
        <x:f>IF(AND(YEAR(EK$3)=YEAR($B$7),MONTH(EK$3)=MONTH($B$7)),EK30,0)</x:f>
      </x:c>
      <x:c r="EL35" s="117">
        <x:f>IF(AND(YEAR(EL$3)=YEAR($B$7),MONTH(EL$3)=MONTH($B$7)),EL30,0)</x:f>
      </x:c>
      <x:c r="EM35" s="117">
        <x:f>IF(AND(YEAR(EM$3)=YEAR($B$7),MONTH(EM$3)=MONTH($B$7)),EM30,0)</x:f>
      </x:c>
      <x:c r="EN35" s="117">
        <x:f>IF(AND(YEAR(EN$3)=YEAR($B$7),MONTH(EN$3)=MONTH($B$7)),EN30,0)</x:f>
      </x:c>
      <x:c r="EO35" s="117">
        <x:f>IF(AND(YEAR(EO$3)=YEAR($B$7),MONTH(EO$3)=MONTH($B$7)),EO30,0)</x:f>
      </x:c>
      <x:c r="EP35" s="117">
        <x:f>IF(AND(YEAR(EP$3)=YEAR($B$7),MONTH(EP$3)=MONTH($B$7)),EP30,0)</x:f>
      </x:c>
      <x:c r="EQ35" s="117">
        <x:f>IF(AND(YEAR(EQ$3)=YEAR($B$7),MONTH(EQ$3)=MONTH($B$7)),EQ30,0)</x:f>
      </x:c>
      <x:c r="ER35" s="117">
        <x:f>IF(AND(YEAR(ER$3)=YEAR($B$7),MONTH(ER$3)=MONTH($B$7)),ER30,0)</x:f>
      </x:c>
      <x:c r="ES35" s="117">
        <x:f>IF(AND(YEAR(ES$3)=YEAR($B$7),MONTH(ES$3)=MONTH($B$7)),ES30,0)</x:f>
      </x:c>
      <x:c r="ET35" s="117">
        <x:f>IF(AND(YEAR(ET$3)=YEAR($B$7),MONTH(ET$3)=MONTH($B$7)),ET30,0)</x:f>
      </x:c>
      <x:c r="EU35" s="117">
        <x:f>IF(AND(YEAR(EU$3)=YEAR($B$7),MONTH(EU$3)=MONTH($B$7)),EU30,0)</x:f>
      </x:c>
      <x:c r="EV35" s="117">
        <x:f>IF(AND(YEAR(EV$3)=YEAR($B$7),MONTH(EV$3)=MONTH($B$7)),EV30,0)</x:f>
      </x:c>
      <x:c r="EW35" s="117">
        <x:f>IF(AND(YEAR(EW$3)=YEAR($B$7),MONTH(EW$3)=MONTH($B$7)),EW30,0)</x:f>
      </x:c>
      <x:c r="EX35" s="117">
        <x:f>IF(AND(YEAR(EX$3)=YEAR($B$7),MONTH(EX$3)=MONTH($B$7)),EX30,0)</x:f>
      </x:c>
      <x:c r="EY35" s="117">
        <x:f>IF(AND(YEAR(EY$3)=YEAR($B$7),MONTH(EY$3)=MONTH($B$7)),EY30,0)</x:f>
      </x:c>
      <x:c r="EZ35" s="117">
        <x:f>IF(AND(YEAR(EZ$3)=YEAR($B$7),MONTH(EZ$3)=MONTH($B$7)),EZ30,0)</x:f>
      </x:c>
      <x:c r="FA35" s="117">
        <x:f>IF(AND(YEAR(FA$3)=YEAR($B$7),MONTH(FA$3)=MONTH($B$7)),FA30,0)</x:f>
      </x:c>
      <x:c r="FB35" s="117">
        <x:f>IF(AND(YEAR(FB$3)=YEAR($B$7),MONTH(FB$3)=MONTH($B$7)),FB30,0)</x:f>
      </x:c>
      <x:c r="FC35" s="117">
        <x:f>IF(AND(YEAR(FC$3)=YEAR($B$7),MONTH(FC$3)=MONTH($B$7)),FC30,0)</x:f>
      </x:c>
      <x:c r="FD35" s="117">
        <x:f>IF(AND(YEAR(FD$3)=YEAR($B$7),MONTH(FD$3)=MONTH($B$7)),FD30,0)</x:f>
      </x:c>
      <x:c r="FE35" s="117">
        <x:f>IF(AND(YEAR(FE$3)=YEAR($B$7),MONTH(FE$3)=MONTH($B$7)),FE30,0)</x:f>
      </x:c>
      <x:c r="FF35" s="117">
        <x:f>IF(AND(YEAR(FF$3)=YEAR($B$7),MONTH(FF$3)=MONTH($B$7)),FF30,0)</x:f>
      </x:c>
      <x:c r="FG35" s="117">
        <x:f>IF(AND(YEAR(FG$3)=YEAR($B$7),MONTH(FG$3)=MONTH($B$7)),FG30,0)</x:f>
      </x:c>
      <x:c r="FH35" s="117">
        <x:f>IF(AND(YEAR(FH$3)=YEAR($B$7),MONTH(FH$3)=MONTH($B$7)),FH30,0)</x:f>
      </x:c>
      <x:c r="FI35" s="117">
        <x:f>IF(AND(YEAR(FI$3)=YEAR($B$7),MONTH(FI$3)=MONTH($B$7)),FI30,0)</x:f>
      </x:c>
      <x:c r="FJ35" s="117">
        <x:f>IF(AND(YEAR(FJ$3)=YEAR($B$7),MONTH(FJ$3)=MONTH($B$7)),FJ30,0)</x:f>
      </x:c>
      <x:c r="FK35" s="117">
        <x:f>IF(AND(YEAR(FK$3)=YEAR($B$7),MONTH(FK$3)=MONTH($B$7)),FK30,0)</x:f>
      </x:c>
      <x:c r="FL35" s="117">
        <x:f>IF(AND(YEAR(FL$3)=YEAR($B$7),MONTH(FL$3)=MONTH($B$7)),FL30,0)</x:f>
      </x:c>
      <x:c r="FM35" s="117">
        <x:f>IF(AND(YEAR(FM$3)=YEAR($B$7),MONTH(FM$3)=MONTH($B$7)),FM30,0)</x:f>
      </x:c>
      <x:c r="FN35" s="117">
        <x:f>IF(AND(YEAR(FN$3)=YEAR($B$7),MONTH(FN$3)=MONTH($B$7)),FN30,0)</x:f>
      </x:c>
      <x:c r="FO35" s="117">
        <x:f>IF(AND(YEAR(FO$3)=YEAR($B$7),MONTH(FO$3)=MONTH($B$7)),FO30,0)</x:f>
      </x:c>
      <x:c r="FP35" s="117">
        <x:f>IF(AND(YEAR(FP$3)=YEAR($B$7),MONTH(FP$3)=MONTH($B$7)),FP30,0)</x:f>
      </x:c>
      <x:c r="FQ35" s="117">
        <x:f>IF(AND(YEAR(FQ$3)=YEAR($B$7),MONTH(FQ$3)=MONTH($B$7)),FQ30,0)</x:f>
      </x:c>
      <x:c r="FR35" s="117">
        <x:f>IF(AND(YEAR(FR$3)=YEAR($B$7),MONTH(FR$3)=MONTH($B$7)),FR30,0)</x:f>
      </x:c>
      <x:c r="FS35" s="117">
        <x:f>IF(AND(YEAR(FS$3)=YEAR($B$7),MONTH(FS$3)=MONTH($B$7)),FS30,0)</x:f>
      </x:c>
      <x:c r="FT35" s="117">
        <x:f>IF(AND(YEAR(FT$3)=YEAR($B$7),MONTH(FT$3)=MONTH($B$7)),FT30,0)</x:f>
      </x:c>
      <x:c r="FU35" s="117">
        <x:f>IF(AND(YEAR(FU$3)=YEAR($B$7),MONTH(FU$3)=MONTH($B$7)),FU30,0)</x:f>
      </x:c>
      <x:c r="FV35" s="117">
        <x:f>IF(AND(YEAR(FV$3)=YEAR($B$7),MONTH(FV$3)=MONTH($B$7)),FV30,0)</x:f>
      </x:c>
      <x:c r="FW35" s="117">
        <x:f>IF(AND(YEAR(FW$3)=YEAR($B$7),MONTH(FW$3)=MONTH($B$7)),FW30,0)</x:f>
      </x:c>
      <x:c r="FX35" s="117">
        <x:f>IF(AND(YEAR(FX$3)=YEAR($B$7),MONTH(FX$3)=MONTH($B$7)),FX30,0)</x:f>
      </x:c>
      <x:c r="FY35" s="117">
        <x:f>IF(AND(YEAR(FY$3)=YEAR($B$7),MONTH(FY$3)=MONTH($B$7)),FY30,0)</x:f>
      </x:c>
      <x:c r="FZ35" s="117">
        <x:f>IF(AND(YEAR(FZ$3)=YEAR($B$7),MONTH(FZ$3)=MONTH($B$7)),FZ30,0)</x:f>
      </x:c>
      <x:c r="GA35" s="117">
        <x:f>IF(AND(YEAR(GA$3)=YEAR($B$7),MONTH(GA$3)=MONTH($B$7)),GA30,0)</x:f>
      </x:c>
    </x:row>
    <x:row r="36">
      <x:c r="A36" s="113" t="str">
        <x:v>БРИДЖ — долг на конец</x:v>
      </x:c>
      <x:c r="B36" s="113" t="n">
        <x:f>GA36</x:f>
      </x:c>
      <x:c r="C36" s="113" t="str">
        <x:v>млн ₽</x:v>
      </x:c>
      <x:c r="D36" s="120">
        <x:f>MAX(0,D30+D34-D35)</x:f>
      </x:c>
      <x:c r="E36" s="120">
        <x:f>MAX(0,E30+E34-E35)</x:f>
      </x:c>
      <x:c r="F36" s="120">
        <x:f>MAX(0,F30+F34-F35)</x:f>
      </x:c>
      <x:c r="G36" s="120">
        <x:f>MAX(0,G30+G34-G35)</x:f>
      </x:c>
      <x:c r="H36" s="120">
        <x:f>MAX(0,H30+H34-H35)</x:f>
      </x:c>
      <x:c r="I36" s="120">
        <x:f>MAX(0,I30+I34-I35)</x:f>
      </x:c>
      <x:c r="J36" s="120">
        <x:f>MAX(0,J30+J34-J35)</x:f>
      </x:c>
      <x:c r="K36" s="120">
        <x:f>MAX(0,K30+K34-K35)</x:f>
      </x:c>
      <x:c r="L36" s="120">
        <x:f>MAX(0,L30+L34-L35)</x:f>
      </x:c>
      <x:c r="M36" s="120">
        <x:f>MAX(0,M30+M34-M35)</x:f>
      </x:c>
      <x:c r="N36" s="120">
        <x:f>MAX(0,N30+N34-N35)</x:f>
      </x:c>
      <x:c r="O36" s="120">
        <x:f>MAX(0,O30+O34-O35)</x:f>
      </x:c>
      <x:c r="P36" s="120">
        <x:f>MAX(0,P30+P34-P35)</x:f>
      </x:c>
      <x:c r="Q36" s="120">
        <x:f>MAX(0,Q30+Q34-Q35)</x:f>
      </x:c>
      <x:c r="R36" s="120">
        <x:f>MAX(0,R30+R34-R35)</x:f>
      </x:c>
      <x:c r="S36" s="120">
        <x:f>MAX(0,S30+S34-S35)</x:f>
      </x:c>
      <x:c r="T36" s="120">
        <x:f>MAX(0,T30+T34-T35)</x:f>
      </x:c>
      <x:c r="U36" s="120">
        <x:f>MAX(0,U30+U34-U35)</x:f>
      </x:c>
      <x:c r="V36" s="120">
        <x:f>MAX(0,V30+V34-V35)</x:f>
      </x:c>
      <x:c r="W36" s="120">
        <x:f>MAX(0,W30+W34-W35)</x:f>
      </x:c>
      <x:c r="X36" s="120">
        <x:f>MAX(0,X30+X34-X35)</x:f>
      </x:c>
      <x:c r="Y36" s="120">
        <x:f>MAX(0,Y30+Y34-Y35)</x:f>
      </x:c>
      <x:c r="Z36" s="120">
        <x:f>MAX(0,Z30+Z34-Z35)</x:f>
      </x:c>
      <x:c r="AA36" s="120">
        <x:f>MAX(0,AA30+AA34-AA35)</x:f>
      </x:c>
      <x:c r="AB36" s="120">
        <x:f>MAX(0,AB30+AB34-AB35)</x:f>
      </x:c>
      <x:c r="AC36" s="120">
        <x:f>MAX(0,AC30+AC34-AC35)</x:f>
      </x:c>
      <x:c r="AD36" s="120">
        <x:f>MAX(0,AD30+AD34-AD35)</x:f>
      </x:c>
      <x:c r="AE36" s="120">
        <x:f>MAX(0,AE30+AE34-AE35)</x:f>
      </x:c>
      <x:c r="AF36" s="120">
        <x:f>MAX(0,AF30+AF34-AF35)</x:f>
      </x:c>
      <x:c r="AG36" s="120">
        <x:f>MAX(0,AG30+AG34-AG35)</x:f>
      </x:c>
      <x:c r="AH36" s="120">
        <x:f>MAX(0,AH30+AH34-AH35)</x:f>
      </x:c>
      <x:c r="AI36" s="120">
        <x:f>MAX(0,AI30+AI34-AI35)</x:f>
      </x:c>
      <x:c r="AJ36" s="120">
        <x:f>MAX(0,AJ30+AJ34-AJ35)</x:f>
      </x:c>
      <x:c r="AK36" s="120">
        <x:f>MAX(0,AK30+AK34-AK35)</x:f>
      </x:c>
      <x:c r="AL36" s="120">
        <x:f>MAX(0,AL30+AL34-AL35)</x:f>
      </x:c>
      <x:c r="AM36" s="120">
        <x:f>MAX(0,AM30+AM34-AM35)</x:f>
      </x:c>
      <x:c r="AN36" s="120">
        <x:f>MAX(0,AN30+AN34-AN35)</x:f>
      </x:c>
      <x:c r="AO36" s="120">
        <x:f>MAX(0,AO30+AO34-AO35)</x:f>
      </x:c>
      <x:c r="AP36" s="120">
        <x:f>MAX(0,AP30+AP34-AP35)</x:f>
      </x:c>
      <x:c r="AQ36" s="120">
        <x:f>MAX(0,AQ30+AQ34-AQ35)</x:f>
      </x:c>
      <x:c r="AR36" s="120">
        <x:f>MAX(0,AR30+AR34-AR35)</x:f>
      </x:c>
      <x:c r="AS36" s="120">
        <x:f>MAX(0,AS30+AS34-AS35)</x:f>
      </x:c>
      <x:c r="AT36" s="120">
        <x:f>MAX(0,AT30+AT34-AT35)</x:f>
      </x:c>
      <x:c r="AU36" s="120">
        <x:f>MAX(0,AU30+AU34-AU35)</x:f>
      </x:c>
      <x:c r="AV36" s="120">
        <x:f>MAX(0,AV30+AV34-AV35)</x:f>
      </x:c>
      <x:c r="AW36" s="120">
        <x:f>MAX(0,AW30+AW34-AW35)</x:f>
      </x:c>
      <x:c r="AX36" s="120">
        <x:f>MAX(0,AX30+AX34-AX35)</x:f>
      </x:c>
      <x:c r="AY36" s="120">
        <x:f>MAX(0,AY30+AY34-AY35)</x:f>
      </x:c>
      <x:c r="AZ36" s="120">
        <x:f>MAX(0,AZ30+AZ34-AZ35)</x:f>
      </x:c>
      <x:c r="BA36" s="120">
        <x:f>MAX(0,BA30+BA34-BA35)</x:f>
      </x:c>
      <x:c r="BB36" s="120">
        <x:f>MAX(0,BB30+BB34-BB35)</x:f>
      </x:c>
      <x:c r="BC36" s="120">
        <x:f>MAX(0,BC30+BC34-BC35)</x:f>
      </x:c>
      <x:c r="BD36" s="120">
        <x:f>MAX(0,BD30+BD34-BD35)</x:f>
      </x:c>
      <x:c r="BE36" s="120">
        <x:f>MAX(0,BE30+BE34-BE35)</x:f>
      </x:c>
      <x:c r="BF36" s="120">
        <x:f>MAX(0,BF30+BF34-BF35)</x:f>
      </x:c>
      <x:c r="BG36" s="120">
        <x:f>MAX(0,BG30+BG34-BG35)</x:f>
      </x:c>
      <x:c r="BH36" s="120">
        <x:f>MAX(0,BH30+BH34-BH35)</x:f>
      </x:c>
      <x:c r="BI36" s="120">
        <x:f>MAX(0,BI30+BI34-BI35)</x:f>
      </x:c>
      <x:c r="BJ36" s="120">
        <x:f>MAX(0,BJ30+BJ34-BJ35)</x:f>
      </x:c>
      <x:c r="BK36" s="120">
        <x:f>MAX(0,BK30+BK34-BK35)</x:f>
      </x:c>
      <x:c r="BL36" s="120">
        <x:f>MAX(0,BL30+BL34-BL35)</x:f>
      </x:c>
      <x:c r="BM36" s="120">
        <x:f>MAX(0,BM30+BM34-BM35)</x:f>
      </x:c>
      <x:c r="BN36" s="120">
        <x:f>MAX(0,BN30+BN34-BN35)</x:f>
      </x:c>
      <x:c r="BO36" s="120">
        <x:f>MAX(0,BO30+BO34-BO35)</x:f>
      </x:c>
      <x:c r="BP36" s="120">
        <x:f>MAX(0,BP30+BP34-BP35)</x:f>
      </x:c>
      <x:c r="BQ36" s="120">
        <x:f>MAX(0,BQ30+BQ34-BQ35)</x:f>
      </x:c>
      <x:c r="BR36" s="120">
        <x:f>MAX(0,BR30+BR34-BR35)</x:f>
      </x:c>
      <x:c r="BS36" s="120">
        <x:f>MAX(0,BS30+BS34-BS35)</x:f>
      </x:c>
      <x:c r="BT36" s="120">
        <x:f>MAX(0,BT30+BT34-BT35)</x:f>
      </x:c>
      <x:c r="BU36" s="120">
        <x:f>MAX(0,BU30+BU34-BU35)</x:f>
      </x:c>
      <x:c r="BV36" s="120">
        <x:f>MAX(0,BV30+BV34-BV35)</x:f>
      </x:c>
      <x:c r="BW36" s="120">
        <x:f>MAX(0,BW30+BW34-BW35)</x:f>
      </x:c>
      <x:c r="BX36" s="120">
        <x:f>MAX(0,BX30+BX34-BX35)</x:f>
      </x:c>
      <x:c r="BY36" s="120">
        <x:f>MAX(0,BY30+BY34-BY35)</x:f>
      </x:c>
      <x:c r="BZ36" s="120">
        <x:f>MAX(0,BZ30+BZ34-BZ35)</x:f>
      </x:c>
      <x:c r="CA36" s="120">
        <x:f>MAX(0,CA30+CA34-CA35)</x:f>
      </x:c>
      <x:c r="CB36" s="120">
        <x:f>MAX(0,CB30+CB34-CB35)</x:f>
      </x:c>
      <x:c r="CC36" s="120">
        <x:f>MAX(0,CC30+CC34-CC35)</x:f>
      </x:c>
      <x:c r="CD36" s="120">
        <x:f>MAX(0,CD30+CD34-CD35)</x:f>
      </x:c>
      <x:c r="CE36" s="120">
        <x:f>MAX(0,CE30+CE34-CE35)</x:f>
      </x:c>
      <x:c r="CF36" s="120">
        <x:f>MAX(0,CF30+CF34-CF35)</x:f>
      </x:c>
      <x:c r="CG36" s="120">
        <x:f>MAX(0,CG30+CG34-CG35)</x:f>
      </x:c>
      <x:c r="CH36" s="120">
        <x:f>MAX(0,CH30+CH34-CH35)</x:f>
      </x:c>
      <x:c r="CI36" s="120">
        <x:f>MAX(0,CI30+CI34-CI35)</x:f>
      </x:c>
      <x:c r="CJ36" s="120">
        <x:f>MAX(0,CJ30+CJ34-CJ35)</x:f>
      </x:c>
      <x:c r="CK36" s="120">
        <x:f>MAX(0,CK30+CK34-CK35)</x:f>
      </x:c>
      <x:c r="CL36" s="120">
        <x:f>MAX(0,CL30+CL34-CL35)</x:f>
      </x:c>
      <x:c r="CM36" s="120">
        <x:f>MAX(0,CM30+CM34-CM35)</x:f>
      </x:c>
      <x:c r="CN36" s="120">
        <x:f>MAX(0,CN30+CN34-CN35)</x:f>
      </x:c>
      <x:c r="CO36" s="120">
        <x:f>MAX(0,CO30+CO34-CO35)</x:f>
      </x:c>
      <x:c r="CP36" s="120">
        <x:f>MAX(0,CP30+CP34-CP35)</x:f>
      </x:c>
      <x:c r="CQ36" s="120">
        <x:f>MAX(0,CQ30+CQ34-CQ35)</x:f>
      </x:c>
      <x:c r="CR36" s="120">
        <x:f>MAX(0,CR30+CR34-CR35)</x:f>
      </x:c>
      <x:c r="CS36" s="120">
        <x:f>MAX(0,CS30+CS34-CS35)</x:f>
      </x:c>
      <x:c r="CT36" s="120">
        <x:f>MAX(0,CT30+CT34-CT35)</x:f>
      </x:c>
      <x:c r="CU36" s="120">
        <x:f>MAX(0,CU30+CU34-CU35)</x:f>
      </x:c>
      <x:c r="CV36" s="120">
        <x:f>MAX(0,CV30+CV34-CV35)</x:f>
      </x:c>
      <x:c r="CW36" s="120">
        <x:f>MAX(0,CW30+CW34-CW35)</x:f>
      </x:c>
      <x:c r="CX36" s="120">
        <x:f>MAX(0,CX30+CX34-CX35)</x:f>
      </x:c>
      <x:c r="CY36" s="120">
        <x:f>MAX(0,CY30+CY34-CY35)</x:f>
      </x:c>
      <x:c r="CZ36" s="120">
        <x:f>MAX(0,CZ30+CZ34-CZ35)</x:f>
      </x:c>
      <x:c r="DA36" s="120">
        <x:f>MAX(0,DA30+DA34-DA35)</x:f>
      </x:c>
      <x:c r="DB36" s="120">
        <x:f>MAX(0,DB30+DB34-DB35)</x:f>
      </x:c>
      <x:c r="DC36" s="120">
        <x:f>MAX(0,DC30+DC34-DC35)</x:f>
      </x:c>
      <x:c r="DD36" s="120">
        <x:f>MAX(0,DD30+DD34-DD35)</x:f>
      </x:c>
      <x:c r="DE36" s="120">
        <x:f>MAX(0,DE30+DE34-DE35)</x:f>
      </x:c>
      <x:c r="DF36" s="120">
        <x:f>MAX(0,DF30+DF34-DF35)</x:f>
      </x:c>
      <x:c r="DG36" s="120">
        <x:f>MAX(0,DG30+DG34-DG35)</x:f>
      </x:c>
      <x:c r="DH36" s="120">
        <x:f>MAX(0,DH30+DH34-DH35)</x:f>
      </x:c>
      <x:c r="DI36" s="120">
        <x:f>MAX(0,DI30+DI34-DI35)</x:f>
      </x:c>
      <x:c r="DJ36" s="120">
        <x:f>MAX(0,DJ30+DJ34-DJ35)</x:f>
      </x:c>
      <x:c r="DK36" s="120">
        <x:f>MAX(0,DK30+DK34-DK35)</x:f>
      </x:c>
      <x:c r="DL36" s="120">
        <x:f>MAX(0,DL30+DL34-DL35)</x:f>
      </x:c>
      <x:c r="DM36" s="120">
        <x:f>MAX(0,DM30+DM34-DM35)</x:f>
      </x:c>
      <x:c r="DN36" s="120">
        <x:f>MAX(0,DN30+DN34-DN35)</x:f>
      </x:c>
      <x:c r="DO36" s="120">
        <x:f>MAX(0,DO30+DO34-DO35)</x:f>
      </x:c>
      <x:c r="DP36" s="120">
        <x:f>MAX(0,DP30+DP34-DP35)</x:f>
      </x:c>
      <x:c r="DQ36" s="120">
        <x:f>MAX(0,DQ30+DQ34-DQ35)</x:f>
      </x:c>
      <x:c r="DR36" s="120">
        <x:f>MAX(0,DR30+DR34-DR35)</x:f>
      </x:c>
      <x:c r="DS36" s="120">
        <x:f>MAX(0,DS30+DS34-DS35)</x:f>
      </x:c>
      <x:c r="DT36" s="120">
        <x:f>MAX(0,DT30+DT34-DT35)</x:f>
      </x:c>
      <x:c r="DU36" s="120">
        <x:f>MAX(0,DU30+DU34-DU35)</x:f>
      </x:c>
      <x:c r="DV36" s="120">
        <x:f>MAX(0,DV30+DV34-DV35)</x:f>
      </x:c>
      <x:c r="DW36" s="120">
        <x:f>MAX(0,DW30+DW34-DW35)</x:f>
      </x:c>
      <x:c r="DX36" s="120">
        <x:f>MAX(0,DX30+DX34-DX35)</x:f>
      </x:c>
      <x:c r="DY36" s="120">
        <x:f>MAX(0,DY30+DY34-DY35)</x:f>
      </x:c>
      <x:c r="DZ36" s="120">
        <x:f>MAX(0,DZ30+DZ34-DZ35)</x:f>
      </x:c>
      <x:c r="EA36" s="120">
        <x:f>MAX(0,EA30+EA34-EA35)</x:f>
      </x:c>
      <x:c r="EB36" s="120">
        <x:f>MAX(0,EB30+EB34-EB35)</x:f>
      </x:c>
      <x:c r="EC36" s="120">
        <x:f>MAX(0,EC30+EC34-EC35)</x:f>
      </x:c>
      <x:c r="ED36" s="120">
        <x:f>MAX(0,ED30+ED34-ED35)</x:f>
      </x:c>
      <x:c r="EE36" s="120">
        <x:f>MAX(0,EE30+EE34-EE35)</x:f>
      </x:c>
      <x:c r="EF36" s="120">
        <x:f>MAX(0,EF30+EF34-EF35)</x:f>
      </x:c>
      <x:c r="EG36" s="120">
        <x:f>MAX(0,EG30+EG34-EG35)</x:f>
      </x:c>
      <x:c r="EH36" s="120">
        <x:f>MAX(0,EH30+EH34-EH35)</x:f>
      </x:c>
      <x:c r="EI36" s="120">
        <x:f>MAX(0,EI30+EI34-EI35)</x:f>
      </x:c>
      <x:c r="EJ36" s="120">
        <x:f>MAX(0,EJ30+EJ34-EJ35)</x:f>
      </x:c>
      <x:c r="EK36" s="120">
        <x:f>MAX(0,EK30+EK34-EK35)</x:f>
      </x:c>
      <x:c r="EL36" s="120">
        <x:f>MAX(0,EL30+EL34-EL35)</x:f>
      </x:c>
      <x:c r="EM36" s="120">
        <x:f>MAX(0,EM30+EM34-EM35)</x:f>
      </x:c>
      <x:c r="EN36" s="120">
        <x:f>MAX(0,EN30+EN34-EN35)</x:f>
      </x:c>
      <x:c r="EO36" s="120">
        <x:f>MAX(0,EO30+EO34-EO35)</x:f>
      </x:c>
      <x:c r="EP36" s="120">
        <x:f>MAX(0,EP30+EP34-EP35)</x:f>
      </x:c>
      <x:c r="EQ36" s="120">
        <x:f>MAX(0,EQ30+EQ34-EQ35)</x:f>
      </x:c>
      <x:c r="ER36" s="120">
        <x:f>MAX(0,ER30+ER34-ER35)</x:f>
      </x:c>
      <x:c r="ES36" s="120">
        <x:f>MAX(0,ES30+ES34-ES35)</x:f>
      </x:c>
      <x:c r="ET36" s="120">
        <x:f>MAX(0,ET30+ET34-ET35)</x:f>
      </x:c>
      <x:c r="EU36" s="120">
        <x:f>MAX(0,EU30+EU34-EU35)</x:f>
      </x:c>
      <x:c r="EV36" s="120">
        <x:f>MAX(0,EV30+EV34-EV35)</x:f>
      </x:c>
      <x:c r="EW36" s="120">
        <x:f>MAX(0,EW30+EW34-EW35)</x:f>
      </x:c>
      <x:c r="EX36" s="120">
        <x:f>MAX(0,EX30+EX34-EX35)</x:f>
      </x:c>
      <x:c r="EY36" s="120">
        <x:f>MAX(0,EY30+EY34-EY35)</x:f>
      </x:c>
      <x:c r="EZ36" s="120">
        <x:f>MAX(0,EZ30+EZ34-EZ35)</x:f>
      </x:c>
      <x:c r="FA36" s="120">
        <x:f>MAX(0,FA30+FA34-FA35)</x:f>
      </x:c>
      <x:c r="FB36" s="120">
        <x:f>MAX(0,FB30+FB34-FB35)</x:f>
      </x:c>
      <x:c r="FC36" s="120">
        <x:f>MAX(0,FC30+FC34-FC35)</x:f>
      </x:c>
      <x:c r="FD36" s="120">
        <x:f>MAX(0,FD30+FD34-FD35)</x:f>
      </x:c>
      <x:c r="FE36" s="120">
        <x:f>MAX(0,FE30+FE34-FE35)</x:f>
      </x:c>
      <x:c r="FF36" s="120">
        <x:f>MAX(0,FF30+FF34-FF35)</x:f>
      </x:c>
      <x:c r="FG36" s="120">
        <x:f>MAX(0,FG30+FG34-FG35)</x:f>
      </x:c>
      <x:c r="FH36" s="120">
        <x:f>MAX(0,FH30+FH34-FH35)</x:f>
      </x:c>
      <x:c r="FI36" s="120">
        <x:f>MAX(0,FI30+FI34-FI35)</x:f>
      </x:c>
      <x:c r="FJ36" s="120">
        <x:f>MAX(0,FJ30+FJ34-FJ35)</x:f>
      </x:c>
      <x:c r="FK36" s="120">
        <x:f>MAX(0,FK30+FK34-FK35)</x:f>
      </x:c>
      <x:c r="FL36" s="120">
        <x:f>MAX(0,FL30+FL34-FL35)</x:f>
      </x:c>
      <x:c r="FM36" s="120">
        <x:f>MAX(0,FM30+FM34-FM35)</x:f>
      </x:c>
      <x:c r="FN36" s="120">
        <x:f>MAX(0,FN30+FN34-FN35)</x:f>
      </x:c>
      <x:c r="FO36" s="120">
        <x:f>MAX(0,FO30+FO34-FO35)</x:f>
      </x:c>
      <x:c r="FP36" s="120">
        <x:f>MAX(0,FP30+FP34-FP35)</x:f>
      </x:c>
      <x:c r="FQ36" s="120">
        <x:f>MAX(0,FQ30+FQ34-FQ35)</x:f>
      </x:c>
      <x:c r="FR36" s="120">
        <x:f>MAX(0,FR30+FR34-FR35)</x:f>
      </x:c>
      <x:c r="FS36" s="120">
        <x:f>MAX(0,FS30+FS34-FS35)</x:f>
      </x:c>
      <x:c r="FT36" s="120">
        <x:f>MAX(0,FT30+FT34-FT35)</x:f>
      </x:c>
      <x:c r="FU36" s="120">
        <x:f>MAX(0,FU30+FU34-FU35)</x:f>
      </x:c>
      <x:c r="FV36" s="120">
        <x:f>MAX(0,FV30+FV34-FV35)</x:f>
      </x:c>
      <x:c r="FW36" s="120">
        <x:f>MAX(0,FW30+FW34-FW35)</x:f>
      </x:c>
      <x:c r="FX36" s="120">
        <x:f>MAX(0,FX30+FX34-FX35)</x:f>
      </x:c>
      <x:c r="FY36" s="120">
        <x:f>MAX(0,FY30+FY34-FY35)</x:f>
      </x:c>
      <x:c r="FZ36" s="120">
        <x:f>MAX(0,FZ30+FZ34-FZ35)</x:f>
      </x:c>
      <x:c r="GA36" s="120">
        <x:f>MAX(0,GA30+GA34-GA35)</x:f>
      </x:c>
    </x:row>
    <x:row r="37">
      <x:c r="A37" t="inlineStr">
        <x:is>
          <x:t>БРИДЖ — проценты к уплате (накопленно)</x:t>
        </x:is>
      </x:c>
      <x:c r="B37"/>
      <x:c r="C37"/>
      <x:c r="D37" s="117">
        <x:f>IF(AND(D$3&lt;$B$7,$B$5=1),C37*(1+'Ставки'!D$6/12)+D32,0)</x:f>
      </x:c>
      <x:c r="E37" s="117">
        <x:f>IF(AND(E$3&lt;$B$7,$B$5=1),D37*(1+'Ставки'!E$6/12)+E32,0)</x:f>
      </x:c>
      <x:c r="F37" s="117">
        <x:f>IF(AND(F$3&lt;$B$7,$B$5=1),E37*(1+'Ставки'!F$6/12)+F32,0)</x:f>
      </x:c>
      <x:c r="G37" s="117">
        <x:f>IF(AND(G$3&lt;$B$7,$B$5=1),F37*(1+'Ставки'!G$6/12)+G32,0)</x:f>
      </x:c>
      <x:c r="H37" s="117">
        <x:f>IF(AND(H$3&lt;$B$7,$B$5=1),G37*(1+'Ставки'!H$6/12)+H32,0)</x:f>
      </x:c>
      <x:c r="I37" s="117">
        <x:f>IF(AND(I$3&lt;$B$7,$B$5=1),H37*(1+'Ставки'!I$6/12)+I32,0)</x:f>
      </x:c>
      <x:c r="J37" s="117">
        <x:f>IF(AND(J$3&lt;$B$7,$B$5=1),I37*(1+'Ставки'!J$6/12)+J32,0)</x:f>
      </x:c>
      <x:c r="K37" s="117">
        <x:f>IF(AND(K$3&lt;$B$7,$B$5=1),J37*(1+'Ставки'!K$6/12)+K32,0)</x:f>
      </x:c>
      <x:c r="L37" s="117">
        <x:f>IF(AND(L$3&lt;$B$7,$B$5=1),K37*(1+'Ставки'!L$6/12)+L32,0)</x:f>
      </x:c>
      <x:c r="M37" s="117">
        <x:f>IF(AND(M$3&lt;$B$7,$B$5=1),L37*(1+'Ставки'!M$6/12)+M32,0)</x:f>
      </x:c>
      <x:c r="N37" s="117">
        <x:f>IF(AND(N$3&lt;$B$7,$B$5=1),M37*(1+'Ставки'!N$6/12)+N32,0)</x:f>
      </x:c>
      <x:c r="O37" s="117">
        <x:f>IF(AND(O$3&lt;$B$7,$B$5=1),N37*(1+'Ставки'!O$6/12)+O32,0)</x:f>
      </x:c>
      <x:c r="P37" s="117">
        <x:f>IF(AND(P$3&lt;$B$7,$B$5=1),O37*(1+'Ставки'!P$6/12)+P32,0)</x:f>
      </x:c>
      <x:c r="Q37" s="117">
        <x:f>IF(AND(Q$3&lt;$B$7,$B$5=1),P37*(1+'Ставки'!Q$6/12)+Q32,0)</x:f>
      </x:c>
      <x:c r="R37" s="117">
        <x:f>IF(AND(R$3&lt;$B$7,$B$5=1),Q37*(1+'Ставки'!R$6/12)+R32,0)</x:f>
      </x:c>
      <x:c r="S37" s="117">
        <x:f>IF(AND(S$3&lt;$B$7,$B$5=1),R37*(1+'Ставки'!S$6/12)+S32,0)</x:f>
      </x:c>
      <x:c r="T37" s="117">
        <x:f>IF(AND(T$3&lt;$B$7,$B$5=1),S37*(1+'Ставки'!T$6/12)+T32,0)</x:f>
      </x:c>
      <x:c r="U37" s="117">
        <x:f>IF(AND(U$3&lt;$B$7,$B$5=1),T37*(1+'Ставки'!U$6/12)+U32,0)</x:f>
      </x:c>
      <x:c r="V37" s="117">
        <x:f>IF(AND(V$3&lt;$B$7,$B$5=1),U37*(1+'Ставки'!V$6/12)+V32,0)</x:f>
      </x:c>
      <x:c r="W37" s="117">
        <x:f>IF(AND(W$3&lt;$B$7,$B$5=1),V37*(1+'Ставки'!W$6/12)+W32,0)</x:f>
      </x:c>
      <x:c r="X37" s="117">
        <x:f>IF(AND(X$3&lt;$B$7,$B$5=1),W37*(1+'Ставки'!X$6/12)+X32,0)</x:f>
      </x:c>
      <x:c r="Y37" s="117">
        <x:f>IF(AND(Y$3&lt;$B$7,$B$5=1),X37*(1+'Ставки'!Y$6/12)+Y32,0)</x:f>
      </x:c>
      <x:c r="Z37" s="117">
        <x:f>IF(AND(Z$3&lt;$B$7,$B$5=1),Y37*(1+'Ставки'!Z$6/12)+Z32,0)</x:f>
      </x:c>
      <x:c r="AA37" s="117">
        <x:f>IF(AND(AA$3&lt;$B$7,$B$5=1),Z37*(1+'Ставки'!AA$6/12)+AA32,0)</x:f>
      </x:c>
      <x:c r="AB37" s="117">
        <x:f>IF(AND(AB$3&lt;$B$7,$B$5=1),AA37*(1+'Ставки'!AB$6/12)+AB32,0)</x:f>
      </x:c>
      <x:c r="AC37" s="117">
        <x:f>IF(AND(AC$3&lt;$B$7,$B$5=1),AB37*(1+'Ставки'!AC$6/12)+AC32,0)</x:f>
      </x:c>
      <x:c r="AD37" s="117">
        <x:f>IF(AND(AD$3&lt;$B$7,$B$5=1),AC37*(1+'Ставки'!AD$6/12)+AD32,0)</x:f>
      </x:c>
      <x:c r="AE37" s="117">
        <x:f>IF(AND(AE$3&lt;$B$7,$B$5=1),AD37*(1+'Ставки'!AE$6/12)+AE32,0)</x:f>
      </x:c>
      <x:c r="AF37" s="117">
        <x:f>IF(AND(AF$3&lt;$B$7,$B$5=1),AE37*(1+'Ставки'!AF$6/12)+AF32,0)</x:f>
      </x:c>
      <x:c r="AG37" s="117">
        <x:f>IF(AND(AG$3&lt;$B$7,$B$5=1),AF37*(1+'Ставки'!AG$6/12)+AG32,0)</x:f>
      </x:c>
      <x:c r="AH37" s="117">
        <x:f>IF(AND(AH$3&lt;$B$7,$B$5=1),AG37*(1+'Ставки'!AH$6/12)+AH32,0)</x:f>
      </x:c>
      <x:c r="AI37" s="117">
        <x:f>IF(AND(AI$3&lt;$B$7,$B$5=1),AH37*(1+'Ставки'!AI$6/12)+AI32,0)</x:f>
      </x:c>
      <x:c r="AJ37" s="117">
        <x:f>IF(AND(AJ$3&lt;$B$7,$B$5=1),AI37*(1+'Ставки'!AJ$6/12)+AJ32,0)</x:f>
      </x:c>
      <x:c r="AK37" s="117">
        <x:f>IF(AND(AK$3&lt;$B$7,$B$5=1),AJ37*(1+'Ставки'!AK$6/12)+AK32,0)</x:f>
      </x:c>
      <x:c r="AL37" s="117">
        <x:f>IF(AND(AL$3&lt;$B$7,$B$5=1),AK37*(1+'Ставки'!AL$6/12)+AL32,0)</x:f>
      </x:c>
      <x:c r="AM37" s="117">
        <x:f>IF(AND(AM$3&lt;$B$7,$B$5=1),AL37*(1+'Ставки'!AM$6/12)+AM32,0)</x:f>
      </x:c>
      <x:c r="AN37" s="117">
        <x:f>IF(AND(AN$3&lt;$B$7,$B$5=1),AM37*(1+'Ставки'!AN$6/12)+AN32,0)</x:f>
      </x:c>
      <x:c r="AO37" s="117">
        <x:f>IF(AND(AO$3&lt;$B$7,$B$5=1),AN37*(1+'Ставки'!AO$6/12)+AO32,0)</x:f>
      </x:c>
      <x:c r="AP37" s="117">
        <x:f>IF(AND(AP$3&lt;$B$7,$B$5=1),AO37*(1+'Ставки'!AP$6/12)+AP32,0)</x:f>
      </x:c>
      <x:c r="AQ37" s="117">
        <x:f>IF(AND(AQ$3&lt;$B$7,$B$5=1),AP37*(1+'Ставки'!AQ$6/12)+AQ32,0)</x:f>
      </x:c>
      <x:c r="AR37" s="117">
        <x:f>IF(AND(AR$3&lt;$B$7,$B$5=1),AQ37*(1+'Ставки'!AR$6/12)+AR32,0)</x:f>
      </x:c>
      <x:c r="AS37" s="117">
        <x:f>IF(AND(AS$3&lt;$B$7,$B$5=1),AR37*(1+'Ставки'!AS$6/12)+AS32,0)</x:f>
      </x:c>
      <x:c r="AT37" s="117">
        <x:f>IF(AND(AT$3&lt;$B$7,$B$5=1),AS37*(1+'Ставки'!AT$6/12)+AT32,0)</x:f>
      </x:c>
      <x:c r="AU37" s="117">
        <x:f>IF(AND(AU$3&lt;$B$7,$B$5=1),AT37*(1+'Ставки'!AU$6/12)+AU32,0)</x:f>
      </x:c>
      <x:c r="AV37" s="117">
        <x:f>IF(AND(AV$3&lt;$B$7,$B$5=1),AU37*(1+'Ставки'!AV$6/12)+AV32,0)</x:f>
      </x:c>
      <x:c r="AW37" s="117">
        <x:f>IF(AND(AW$3&lt;$B$7,$B$5=1),AV37*(1+'Ставки'!AW$6/12)+AW32,0)</x:f>
      </x:c>
      <x:c r="AX37" s="117">
        <x:f>IF(AND(AX$3&lt;$B$7,$B$5=1),AW37*(1+'Ставки'!AX$6/12)+AX32,0)</x:f>
      </x:c>
      <x:c r="AY37" s="117">
        <x:f>IF(AND(AY$3&lt;$B$7,$B$5=1),AX37*(1+'Ставки'!AY$6/12)+AY32,0)</x:f>
      </x:c>
      <x:c r="AZ37" s="117">
        <x:f>IF(AND(AZ$3&lt;$B$7,$B$5=1),AY37*(1+'Ставки'!AZ$6/12)+AZ32,0)</x:f>
      </x:c>
      <x:c r="BA37" s="117">
        <x:f>IF(AND(BA$3&lt;$B$7,$B$5=1),AZ37*(1+'Ставки'!BA$6/12)+BA32,0)</x:f>
      </x:c>
      <x:c r="BB37" s="117">
        <x:f>IF(AND(BB$3&lt;$B$7,$B$5=1),BA37*(1+'Ставки'!BB$6/12)+BB32,0)</x:f>
      </x:c>
      <x:c r="BC37" s="117">
        <x:f>IF(AND(BC$3&lt;$B$7,$B$5=1),BB37*(1+'Ставки'!BC$6/12)+BC32,0)</x:f>
      </x:c>
      <x:c r="BD37" s="117">
        <x:f>IF(AND(BD$3&lt;$B$7,$B$5=1),BC37*(1+'Ставки'!BD$6/12)+BD32,0)</x:f>
      </x:c>
      <x:c r="BE37" s="117">
        <x:f>IF(AND(BE$3&lt;$B$7,$B$5=1),BD37*(1+'Ставки'!BE$6/12)+BE32,0)</x:f>
      </x:c>
      <x:c r="BF37" s="117">
        <x:f>IF(AND(BF$3&lt;$B$7,$B$5=1),BE37*(1+'Ставки'!BF$6/12)+BF32,0)</x:f>
      </x:c>
      <x:c r="BG37" s="117">
        <x:f>IF(AND(BG$3&lt;$B$7,$B$5=1),BF37*(1+'Ставки'!BG$6/12)+BG32,0)</x:f>
      </x:c>
      <x:c r="BH37" s="117">
        <x:f>IF(AND(BH$3&lt;$B$7,$B$5=1),BG37*(1+'Ставки'!BH$6/12)+BH32,0)</x:f>
      </x:c>
      <x:c r="BI37" s="117">
        <x:f>IF(AND(BI$3&lt;$B$7,$B$5=1),BH37*(1+'Ставки'!BI$6/12)+BI32,0)</x:f>
      </x:c>
      <x:c r="BJ37" s="117">
        <x:f>IF(AND(BJ$3&lt;$B$7,$B$5=1),BI37*(1+'Ставки'!BJ$6/12)+BJ32,0)</x:f>
      </x:c>
      <x:c r="BK37" s="117">
        <x:f>IF(AND(BK$3&lt;$B$7,$B$5=1),BJ37*(1+'Ставки'!BK$6/12)+BK32,0)</x:f>
      </x:c>
      <x:c r="BL37" s="117">
        <x:f>IF(AND(BL$3&lt;$B$7,$B$5=1),BK37*(1+'Ставки'!BL$6/12)+BL32,0)</x:f>
      </x:c>
      <x:c r="BM37" s="117">
        <x:f>IF(AND(BM$3&lt;$B$7,$B$5=1),BL37*(1+'Ставки'!BM$6/12)+BM32,0)</x:f>
      </x:c>
      <x:c r="BN37" s="117">
        <x:f>IF(AND(BN$3&lt;$B$7,$B$5=1),BM37*(1+'Ставки'!BN$6/12)+BN32,0)</x:f>
      </x:c>
      <x:c r="BO37" s="117">
        <x:f>IF(AND(BO$3&lt;$B$7,$B$5=1),BN37*(1+'Ставки'!BO$6/12)+BO32,0)</x:f>
      </x:c>
      <x:c r="BP37" s="117">
        <x:f>IF(AND(BP$3&lt;$B$7,$B$5=1),BO37*(1+'Ставки'!BP$6/12)+BP32,0)</x:f>
      </x:c>
      <x:c r="BQ37" s="117">
        <x:f>IF(AND(BQ$3&lt;$B$7,$B$5=1),BP37*(1+'Ставки'!BQ$6/12)+BQ32,0)</x:f>
      </x:c>
      <x:c r="BR37" s="117">
        <x:f>IF(AND(BR$3&lt;$B$7,$B$5=1),BQ37*(1+'Ставки'!BR$6/12)+BR32,0)</x:f>
      </x:c>
      <x:c r="BS37" s="117">
        <x:f>IF(AND(BS$3&lt;$B$7,$B$5=1),BR37*(1+'Ставки'!BS$6/12)+BS32,0)</x:f>
      </x:c>
      <x:c r="BT37" s="117">
        <x:f>IF(AND(BT$3&lt;$B$7,$B$5=1),BS37*(1+'Ставки'!BT$6/12)+BT32,0)</x:f>
      </x:c>
      <x:c r="BU37" s="117">
        <x:f>IF(AND(BU$3&lt;$B$7,$B$5=1),BT37*(1+'Ставки'!BU$6/12)+BU32,0)</x:f>
      </x:c>
      <x:c r="BV37" s="117">
        <x:f>IF(AND(BV$3&lt;$B$7,$B$5=1),BU37*(1+'Ставки'!BV$6/12)+BV32,0)</x:f>
      </x:c>
      <x:c r="BW37" s="117">
        <x:f>IF(AND(BW$3&lt;$B$7,$B$5=1),BV37*(1+'Ставки'!BW$6/12)+BW32,0)</x:f>
      </x:c>
      <x:c r="BX37" s="117">
        <x:f>IF(AND(BX$3&lt;$B$7,$B$5=1),BW37*(1+'Ставки'!BX$6/12)+BX32,0)</x:f>
      </x:c>
      <x:c r="BY37" s="117">
        <x:f>IF(AND(BY$3&lt;$B$7,$B$5=1),BX37*(1+'Ставки'!BY$6/12)+BY32,0)</x:f>
      </x:c>
      <x:c r="BZ37" s="117">
        <x:f>IF(AND(BZ$3&lt;$B$7,$B$5=1),BY37*(1+'Ставки'!BZ$6/12)+BZ32,0)</x:f>
      </x:c>
      <x:c r="CA37" s="117">
        <x:f>IF(AND(CA$3&lt;$B$7,$B$5=1),BZ37*(1+'Ставки'!CA$6/12)+CA32,0)</x:f>
      </x:c>
      <x:c r="CB37" s="117">
        <x:f>IF(AND(CB$3&lt;$B$7,$B$5=1),CA37*(1+'Ставки'!CB$6/12)+CB32,0)</x:f>
      </x:c>
      <x:c r="CC37" s="117">
        <x:f>IF(AND(CC$3&lt;$B$7,$B$5=1),CB37*(1+'Ставки'!CC$6/12)+CC32,0)</x:f>
      </x:c>
      <x:c r="CD37" s="117">
        <x:f>IF(AND(CD$3&lt;$B$7,$B$5=1),CC37*(1+'Ставки'!CD$6/12)+CD32,0)</x:f>
      </x:c>
      <x:c r="CE37" s="117">
        <x:f>IF(AND(CE$3&lt;$B$7,$B$5=1),CD37*(1+'Ставки'!CE$6/12)+CE32,0)</x:f>
      </x:c>
      <x:c r="CF37" s="117">
        <x:f>IF(AND(CF$3&lt;$B$7,$B$5=1),CE37*(1+'Ставки'!CF$6/12)+CF32,0)</x:f>
      </x:c>
      <x:c r="CG37" s="117">
        <x:f>IF(AND(CG$3&lt;$B$7,$B$5=1),CF37*(1+'Ставки'!CG$6/12)+CG32,0)</x:f>
      </x:c>
      <x:c r="CH37" s="117">
        <x:f>IF(AND(CH$3&lt;$B$7,$B$5=1),CG37*(1+'Ставки'!CH$6/12)+CH32,0)</x:f>
      </x:c>
      <x:c r="CI37" s="117">
        <x:f>IF(AND(CI$3&lt;$B$7,$B$5=1),CH37*(1+'Ставки'!CI$6/12)+CI32,0)</x:f>
      </x:c>
      <x:c r="CJ37" s="117">
        <x:f>IF(AND(CJ$3&lt;$B$7,$B$5=1),CI37*(1+'Ставки'!CJ$6/12)+CJ32,0)</x:f>
      </x:c>
      <x:c r="CK37" s="117">
        <x:f>IF(AND(CK$3&lt;$B$7,$B$5=1),CJ37*(1+'Ставки'!CK$6/12)+CK32,0)</x:f>
      </x:c>
      <x:c r="CL37" s="117">
        <x:f>IF(AND(CL$3&lt;$B$7,$B$5=1),CK37*(1+'Ставки'!CL$6/12)+CL32,0)</x:f>
      </x:c>
      <x:c r="CM37" s="117">
        <x:f>IF(AND(CM$3&lt;$B$7,$B$5=1),CL37*(1+'Ставки'!CM$6/12)+CM32,0)</x:f>
      </x:c>
      <x:c r="CN37" s="117">
        <x:f>IF(AND(CN$3&lt;$B$7,$B$5=1),CM37*(1+'Ставки'!CN$6/12)+CN32,0)</x:f>
      </x:c>
      <x:c r="CO37" s="117">
        <x:f>IF(AND(CO$3&lt;$B$7,$B$5=1),CN37*(1+'Ставки'!CO$6/12)+CO32,0)</x:f>
      </x:c>
      <x:c r="CP37" s="117">
        <x:f>IF(AND(CP$3&lt;$B$7,$B$5=1),CO37*(1+'Ставки'!CP$6/12)+CP32,0)</x:f>
      </x:c>
      <x:c r="CQ37" s="117">
        <x:f>IF(AND(CQ$3&lt;$B$7,$B$5=1),CP37*(1+'Ставки'!CQ$6/12)+CQ32,0)</x:f>
      </x:c>
      <x:c r="CR37" s="117">
        <x:f>IF(AND(CR$3&lt;$B$7,$B$5=1),CQ37*(1+'Ставки'!CR$6/12)+CR32,0)</x:f>
      </x:c>
      <x:c r="CS37" s="117">
        <x:f>IF(AND(CS$3&lt;$B$7,$B$5=1),CR37*(1+'Ставки'!CS$6/12)+CS32,0)</x:f>
      </x:c>
      <x:c r="CT37" s="117">
        <x:f>IF(AND(CT$3&lt;$B$7,$B$5=1),CS37*(1+'Ставки'!CT$6/12)+CT32,0)</x:f>
      </x:c>
      <x:c r="CU37" s="117">
        <x:f>IF(AND(CU$3&lt;$B$7,$B$5=1),CT37*(1+'Ставки'!CU$6/12)+CU32,0)</x:f>
      </x:c>
      <x:c r="CV37" s="117">
        <x:f>IF(AND(CV$3&lt;$B$7,$B$5=1),CU37*(1+'Ставки'!CV$6/12)+CV32,0)</x:f>
      </x:c>
      <x:c r="CW37" s="117">
        <x:f>IF(AND(CW$3&lt;$B$7,$B$5=1),CV37*(1+'Ставки'!CW$6/12)+CW32,0)</x:f>
      </x:c>
      <x:c r="CX37" s="117">
        <x:f>IF(AND(CX$3&lt;$B$7,$B$5=1),CW37*(1+'Ставки'!CX$6/12)+CX32,0)</x:f>
      </x:c>
      <x:c r="CY37" s="117">
        <x:f>IF(AND(CY$3&lt;$B$7,$B$5=1),CX37*(1+'Ставки'!CY$6/12)+CY32,0)</x:f>
      </x:c>
      <x:c r="CZ37" s="117">
        <x:f>IF(AND(CZ$3&lt;$B$7,$B$5=1),CY37*(1+'Ставки'!CZ$6/12)+CZ32,0)</x:f>
      </x:c>
      <x:c r="DA37" s="117">
        <x:f>IF(AND(DA$3&lt;$B$7,$B$5=1),CZ37*(1+'Ставки'!DA$6/12)+DA32,0)</x:f>
      </x:c>
      <x:c r="DB37" s="117">
        <x:f>IF(AND(DB$3&lt;$B$7,$B$5=1),DA37*(1+'Ставки'!DB$6/12)+DB32,0)</x:f>
      </x:c>
      <x:c r="DC37" s="117">
        <x:f>IF(AND(DC$3&lt;$B$7,$B$5=1),DB37*(1+'Ставки'!DC$6/12)+DC32,0)</x:f>
      </x:c>
      <x:c r="DD37" s="117">
        <x:f>IF(AND(DD$3&lt;$B$7,$B$5=1),DC37*(1+'Ставки'!DD$6/12)+DD32,0)</x:f>
      </x:c>
      <x:c r="DE37" s="117">
        <x:f>IF(AND(DE$3&lt;$B$7,$B$5=1),DD37*(1+'Ставки'!DE$6/12)+DE32,0)</x:f>
      </x:c>
      <x:c r="DF37" s="117">
        <x:f>IF(AND(DF$3&lt;$B$7,$B$5=1),DE37*(1+'Ставки'!DF$6/12)+DF32,0)</x:f>
      </x:c>
      <x:c r="DG37" s="117">
        <x:f>IF(AND(DG$3&lt;$B$7,$B$5=1),DF37*(1+'Ставки'!DG$6/12)+DG32,0)</x:f>
      </x:c>
      <x:c r="DH37" s="117">
        <x:f>IF(AND(DH$3&lt;$B$7,$B$5=1),DG37*(1+'Ставки'!DH$6/12)+DH32,0)</x:f>
      </x:c>
      <x:c r="DI37" s="117">
        <x:f>IF(AND(DI$3&lt;$B$7,$B$5=1),DH37*(1+'Ставки'!DI$6/12)+DI32,0)</x:f>
      </x:c>
      <x:c r="DJ37" s="117">
        <x:f>IF(AND(DJ$3&lt;$B$7,$B$5=1),DI37*(1+'Ставки'!DJ$6/12)+DJ32,0)</x:f>
      </x:c>
      <x:c r="DK37" s="117">
        <x:f>IF(AND(DK$3&lt;$B$7,$B$5=1),DJ37*(1+'Ставки'!DK$6/12)+DK32,0)</x:f>
      </x:c>
      <x:c r="DL37" s="117">
        <x:f>IF(AND(DL$3&lt;$B$7,$B$5=1),DK37*(1+'Ставки'!DL$6/12)+DL32,0)</x:f>
      </x:c>
      <x:c r="DM37" s="117">
        <x:f>IF(AND(DM$3&lt;$B$7,$B$5=1),DL37*(1+'Ставки'!DM$6/12)+DM32,0)</x:f>
      </x:c>
      <x:c r="DN37" s="117">
        <x:f>IF(AND(DN$3&lt;$B$7,$B$5=1),DM37*(1+'Ставки'!DN$6/12)+DN32,0)</x:f>
      </x:c>
      <x:c r="DO37" s="117">
        <x:f>IF(AND(DO$3&lt;$B$7,$B$5=1),DN37*(1+'Ставки'!DO$6/12)+DO32,0)</x:f>
      </x:c>
      <x:c r="DP37" s="117">
        <x:f>IF(AND(DP$3&lt;$B$7,$B$5=1),DO37*(1+'Ставки'!DP$6/12)+DP32,0)</x:f>
      </x:c>
      <x:c r="DQ37" s="117">
        <x:f>IF(AND(DQ$3&lt;$B$7,$B$5=1),DP37*(1+'Ставки'!DQ$6/12)+DQ32,0)</x:f>
      </x:c>
      <x:c r="DR37" s="117">
        <x:f>IF(AND(DR$3&lt;$B$7,$B$5=1),DQ37*(1+'Ставки'!DR$6/12)+DR32,0)</x:f>
      </x:c>
      <x:c r="DS37" s="117">
        <x:f>IF(AND(DS$3&lt;$B$7,$B$5=1),DR37*(1+'Ставки'!DS$6/12)+DS32,0)</x:f>
      </x:c>
      <x:c r="DT37" s="117">
        <x:f>IF(AND(DT$3&lt;$B$7,$B$5=1),DS37*(1+'Ставки'!DT$6/12)+DT32,0)</x:f>
      </x:c>
      <x:c r="DU37" s="117">
        <x:f>IF(AND(DU$3&lt;$B$7,$B$5=1),DT37*(1+'Ставки'!DU$6/12)+DU32,0)</x:f>
      </x:c>
      <x:c r="DV37" s="117">
        <x:f>IF(AND(DV$3&lt;$B$7,$B$5=1),DU37*(1+'Ставки'!DV$6/12)+DV32,0)</x:f>
      </x:c>
      <x:c r="DW37" s="117">
        <x:f>IF(AND(DW$3&lt;$B$7,$B$5=1),DV37*(1+'Ставки'!DW$6/12)+DW32,0)</x:f>
      </x:c>
      <x:c r="DX37" s="117">
        <x:f>IF(AND(DX$3&lt;$B$7,$B$5=1),DW37*(1+'Ставки'!DX$6/12)+DX32,0)</x:f>
      </x:c>
      <x:c r="DY37" s="117">
        <x:f>IF(AND(DY$3&lt;$B$7,$B$5=1),DX37*(1+'Ставки'!DY$6/12)+DY32,0)</x:f>
      </x:c>
      <x:c r="DZ37" s="117">
        <x:f>IF(AND(DZ$3&lt;$B$7,$B$5=1),DY37*(1+'Ставки'!DZ$6/12)+DZ32,0)</x:f>
      </x:c>
      <x:c r="EA37" s="117">
        <x:f>IF(AND(EA$3&lt;$B$7,$B$5=1),DZ37*(1+'Ставки'!EA$6/12)+EA32,0)</x:f>
      </x:c>
      <x:c r="EB37" s="117">
        <x:f>IF(AND(EB$3&lt;$B$7,$B$5=1),EA37*(1+'Ставки'!EB$6/12)+EB32,0)</x:f>
      </x:c>
      <x:c r="EC37" s="117">
        <x:f>IF(AND(EC$3&lt;$B$7,$B$5=1),EB37*(1+'Ставки'!EC$6/12)+EC32,0)</x:f>
      </x:c>
      <x:c r="ED37" s="117">
        <x:f>IF(AND(ED$3&lt;$B$7,$B$5=1),EC37*(1+'Ставки'!ED$6/12)+ED32,0)</x:f>
      </x:c>
      <x:c r="EE37" s="117">
        <x:f>IF(AND(EE$3&lt;$B$7,$B$5=1),ED37*(1+'Ставки'!EE$6/12)+EE32,0)</x:f>
      </x:c>
      <x:c r="EF37" s="117">
        <x:f>IF(AND(EF$3&lt;$B$7,$B$5=1),EE37*(1+'Ставки'!EF$6/12)+EF32,0)</x:f>
      </x:c>
      <x:c r="EG37" s="117">
        <x:f>IF(AND(EG$3&lt;$B$7,$B$5=1),EF37*(1+'Ставки'!EG$6/12)+EG32,0)</x:f>
      </x:c>
      <x:c r="EH37" s="117">
        <x:f>IF(AND(EH$3&lt;$B$7,$B$5=1),EG37*(1+'Ставки'!EH$6/12)+EH32,0)</x:f>
      </x:c>
      <x:c r="EI37" s="117">
        <x:f>IF(AND(EI$3&lt;$B$7,$B$5=1),EH37*(1+'Ставки'!EI$6/12)+EI32,0)</x:f>
      </x:c>
      <x:c r="EJ37" s="117">
        <x:f>IF(AND(EJ$3&lt;$B$7,$B$5=1),EI37*(1+'Ставки'!EJ$6/12)+EJ32,0)</x:f>
      </x:c>
      <x:c r="EK37" s="117">
        <x:f>IF(AND(EK$3&lt;$B$7,$B$5=1),EJ37*(1+'Ставки'!EK$6/12)+EK32,0)</x:f>
      </x:c>
      <x:c r="EL37" s="117">
        <x:f>IF(AND(EL$3&lt;$B$7,$B$5=1),EK37*(1+'Ставки'!EL$6/12)+EL32,0)</x:f>
      </x:c>
      <x:c r="EM37" s="117">
        <x:f>IF(AND(EM$3&lt;$B$7,$B$5=1),EL37*(1+'Ставки'!EM$6/12)+EM32,0)</x:f>
      </x:c>
      <x:c r="EN37" s="117">
        <x:f>IF(AND(EN$3&lt;$B$7,$B$5=1),EM37*(1+'Ставки'!EN$6/12)+EN32,0)</x:f>
      </x:c>
      <x:c r="EO37" s="117">
        <x:f>IF(AND(EO$3&lt;$B$7,$B$5=1),EN37*(1+'Ставки'!EO$6/12)+EO32,0)</x:f>
      </x:c>
      <x:c r="EP37" s="117">
        <x:f>IF(AND(EP$3&lt;$B$7,$B$5=1),EO37*(1+'Ставки'!EP$6/12)+EP32,0)</x:f>
      </x:c>
      <x:c r="EQ37" s="117">
        <x:f>IF(AND(EQ$3&lt;$B$7,$B$5=1),EP37*(1+'Ставки'!EQ$6/12)+EQ32,0)</x:f>
      </x:c>
      <x:c r="ER37" s="117">
        <x:f>IF(AND(ER$3&lt;$B$7,$B$5=1),EQ37*(1+'Ставки'!ER$6/12)+ER32,0)</x:f>
      </x:c>
      <x:c r="ES37" s="117">
        <x:f>IF(AND(ES$3&lt;$B$7,$B$5=1),ER37*(1+'Ставки'!ES$6/12)+ES32,0)</x:f>
      </x:c>
      <x:c r="ET37" s="117">
        <x:f>IF(AND(ET$3&lt;$B$7,$B$5=1),ES37*(1+'Ставки'!ET$6/12)+ET32,0)</x:f>
      </x:c>
      <x:c r="EU37" s="117">
        <x:f>IF(AND(EU$3&lt;$B$7,$B$5=1),ET37*(1+'Ставки'!EU$6/12)+EU32,0)</x:f>
      </x:c>
      <x:c r="EV37" s="117">
        <x:f>IF(AND(EV$3&lt;$B$7,$B$5=1),EU37*(1+'Ставки'!EV$6/12)+EV32,0)</x:f>
      </x:c>
      <x:c r="EW37" s="117">
        <x:f>IF(AND(EW$3&lt;$B$7,$B$5=1),EV37*(1+'Ставки'!EW$6/12)+EW32,0)</x:f>
      </x:c>
      <x:c r="EX37" s="117">
        <x:f>IF(AND(EX$3&lt;$B$7,$B$5=1),EW37*(1+'Ставки'!EX$6/12)+EX32,0)</x:f>
      </x:c>
      <x:c r="EY37" s="117">
        <x:f>IF(AND(EY$3&lt;$B$7,$B$5=1),EX37*(1+'Ставки'!EY$6/12)+EY32,0)</x:f>
      </x:c>
      <x:c r="EZ37" s="117">
        <x:f>IF(AND(EZ$3&lt;$B$7,$B$5=1),EY37*(1+'Ставки'!EZ$6/12)+EZ32,0)</x:f>
      </x:c>
      <x:c r="FA37" s="117">
        <x:f>IF(AND(FA$3&lt;$B$7,$B$5=1),EZ37*(1+'Ставки'!FA$6/12)+FA32,0)</x:f>
      </x:c>
      <x:c r="FB37" s="117">
        <x:f>IF(AND(FB$3&lt;$B$7,$B$5=1),FA37*(1+'Ставки'!FB$6/12)+FB32,0)</x:f>
      </x:c>
      <x:c r="FC37" s="117">
        <x:f>IF(AND(FC$3&lt;$B$7,$B$5=1),FB37*(1+'Ставки'!FC$6/12)+FC32,0)</x:f>
      </x:c>
      <x:c r="FD37" s="117">
        <x:f>IF(AND(FD$3&lt;$B$7,$B$5=1),FC37*(1+'Ставки'!FD$6/12)+FD32,0)</x:f>
      </x:c>
      <x:c r="FE37" s="117">
        <x:f>IF(AND(FE$3&lt;$B$7,$B$5=1),FD37*(1+'Ставки'!FE$6/12)+FE32,0)</x:f>
      </x:c>
      <x:c r="FF37" s="117">
        <x:f>IF(AND(FF$3&lt;$B$7,$B$5=1),FE37*(1+'Ставки'!FF$6/12)+FF32,0)</x:f>
      </x:c>
      <x:c r="FG37" s="117">
        <x:f>IF(AND(FG$3&lt;$B$7,$B$5=1),FF37*(1+'Ставки'!FG$6/12)+FG32,0)</x:f>
      </x:c>
      <x:c r="FH37" s="117">
        <x:f>IF(AND(FH$3&lt;$B$7,$B$5=1),FG37*(1+'Ставки'!FH$6/12)+FH32,0)</x:f>
      </x:c>
      <x:c r="FI37" s="117">
        <x:f>IF(AND(FI$3&lt;$B$7,$B$5=1),FH37*(1+'Ставки'!FI$6/12)+FI32,0)</x:f>
      </x:c>
      <x:c r="FJ37" s="117">
        <x:f>IF(AND(FJ$3&lt;$B$7,$B$5=1),FI37*(1+'Ставки'!FJ$6/12)+FJ32,0)</x:f>
      </x:c>
      <x:c r="FK37" s="117">
        <x:f>IF(AND(FK$3&lt;$B$7,$B$5=1),FJ37*(1+'Ставки'!FK$6/12)+FK32,0)</x:f>
      </x:c>
      <x:c r="FL37" s="117">
        <x:f>IF(AND(FL$3&lt;$B$7,$B$5=1),FK37*(1+'Ставки'!FL$6/12)+FL32,0)</x:f>
      </x:c>
      <x:c r="FM37" s="117">
        <x:f>IF(AND(FM$3&lt;$B$7,$B$5=1),FL37*(1+'Ставки'!FM$6/12)+FM32,0)</x:f>
      </x:c>
      <x:c r="FN37" s="117">
        <x:f>IF(AND(FN$3&lt;$B$7,$B$5=1),FM37*(1+'Ставки'!FN$6/12)+FN32,0)</x:f>
      </x:c>
      <x:c r="FO37" s="117">
        <x:f>IF(AND(FO$3&lt;$B$7,$B$5=1),FN37*(1+'Ставки'!FO$6/12)+FO32,0)</x:f>
      </x:c>
      <x:c r="FP37" s="117">
        <x:f>IF(AND(FP$3&lt;$B$7,$B$5=1),FO37*(1+'Ставки'!FP$6/12)+FP32,0)</x:f>
      </x:c>
      <x:c r="FQ37" s="117">
        <x:f>IF(AND(FQ$3&lt;$B$7,$B$5=1),FP37*(1+'Ставки'!FQ$6/12)+FQ32,0)</x:f>
      </x:c>
      <x:c r="FR37" s="117">
        <x:f>IF(AND(FR$3&lt;$B$7,$B$5=1),FQ37*(1+'Ставки'!FR$6/12)+FR32,0)</x:f>
      </x:c>
      <x:c r="FS37" s="117">
        <x:f>IF(AND(FS$3&lt;$B$7,$B$5=1),FR37*(1+'Ставки'!FS$6/12)+FS32,0)</x:f>
      </x:c>
      <x:c r="FT37" s="117">
        <x:f>IF(AND(FT$3&lt;$B$7,$B$5=1),FS37*(1+'Ставки'!FT$6/12)+FT32,0)</x:f>
      </x:c>
      <x:c r="FU37" s="117">
        <x:f>IF(AND(FU$3&lt;$B$7,$B$5=1),FT37*(1+'Ставки'!FU$6/12)+FU32,0)</x:f>
      </x:c>
      <x:c r="FV37" s="117">
        <x:f>IF(AND(FV$3&lt;$B$7,$B$5=1),FU37*(1+'Ставки'!FV$6/12)+FV32,0)</x:f>
      </x:c>
      <x:c r="FW37" s="117">
        <x:f>IF(AND(FW$3&lt;$B$7,$B$5=1),FV37*(1+'Ставки'!FW$6/12)+FW32,0)</x:f>
      </x:c>
      <x:c r="FX37" s="117">
        <x:f>IF(AND(FX$3&lt;$B$7,$B$5=1),FW37*(1+'Ставки'!FX$6/12)+FX32,0)</x:f>
      </x:c>
      <x:c r="FY37" s="117">
        <x:f>IF(AND(FY$3&lt;$B$7,$B$5=1),FX37*(1+'Ставки'!FY$6/12)+FY32,0)</x:f>
      </x:c>
      <x:c r="FZ37" s="117">
        <x:f>IF(AND(FZ$3&lt;$B$7,$B$5=1),FY37*(1+'Ставки'!FZ$6/12)+FZ32,0)</x:f>
      </x:c>
      <x:c r="GA37" s="117">
        <x:f>IF(AND(GA$3&lt;$B$7,$B$5=1),FZ37*(1+'Ставки'!GA$6/12)+GA32,0)</x:f>
      </x:c>
    </x:row>
    <x:row r="38">
      <x:c r="A38" t="str">
        <x:v>ПФ — долг на начало</x:v>
      </x:c>
      <x:c r="B38"/>
      <x:c r="C38" t="str">
        <x:v>млн ₽</x:v>
      </x:c>
      <x:c r="D38" s="117" t="n">
        <x:f>0</x:f>
      </x:c>
      <x:c r="E38" s="117" t="n">
        <x:f>D47</x:f>
      </x:c>
      <x:c r="F38" s="117" t="n">
        <x:f>E47</x:f>
      </x:c>
      <x:c r="G38" s="117" t="n">
        <x:f>F47</x:f>
      </x:c>
      <x:c r="H38" s="117" t="n">
        <x:f>G47</x:f>
      </x:c>
      <x:c r="I38" s="117" t="n">
        <x:f>H47</x:f>
      </x:c>
      <x:c r="J38" s="117" t="n">
        <x:f>I47</x:f>
      </x:c>
      <x:c r="K38" s="117" t="n">
        <x:f>J47</x:f>
      </x:c>
      <x:c r="L38" s="117" t="n">
        <x:f>K47</x:f>
      </x:c>
      <x:c r="M38" s="117" t="n">
        <x:f>L47</x:f>
      </x:c>
      <x:c r="N38" s="117" t="n">
        <x:f>M47</x:f>
      </x:c>
      <x:c r="O38" s="117" t="n">
        <x:f>N47</x:f>
      </x:c>
      <x:c r="P38" s="117" t="n">
        <x:f>O47</x:f>
      </x:c>
      <x:c r="Q38" s="117" t="n">
        <x:f>P47</x:f>
      </x:c>
      <x:c r="R38" s="117" t="n">
        <x:f>Q47</x:f>
      </x:c>
      <x:c r="S38" s="117" t="n">
        <x:f>R47</x:f>
      </x:c>
      <x:c r="T38" s="117" t="n">
        <x:f>S47</x:f>
      </x:c>
      <x:c r="U38" s="117" t="n">
        <x:f>T47</x:f>
      </x:c>
      <x:c r="V38" s="117" t="n">
        <x:f>U47</x:f>
      </x:c>
      <x:c r="W38" s="117" t="n">
        <x:f>V47</x:f>
      </x:c>
      <x:c r="X38" s="117" t="n">
        <x:f>W47</x:f>
      </x:c>
      <x:c r="Y38" s="117" t="n">
        <x:f>X47</x:f>
      </x:c>
      <x:c r="Z38" s="117" t="n">
        <x:f>Y47</x:f>
      </x:c>
      <x:c r="AA38" s="117" t="n">
        <x:f>Z47</x:f>
      </x:c>
      <x:c r="AB38" s="117" t="n">
        <x:f>AA47</x:f>
      </x:c>
      <x:c r="AC38" s="117" t="n">
        <x:f>AB47</x:f>
      </x:c>
      <x:c r="AD38" s="117" t="n">
        <x:f>AC47</x:f>
      </x:c>
      <x:c r="AE38" s="117" t="n">
        <x:f>AD47</x:f>
      </x:c>
      <x:c r="AF38" s="117" t="n">
        <x:f>AE47</x:f>
      </x:c>
      <x:c r="AG38" s="117" t="n">
        <x:f>AF47</x:f>
      </x:c>
      <x:c r="AH38" s="117" t="n">
        <x:f>AG47</x:f>
      </x:c>
      <x:c r="AI38" s="117" t="n">
        <x:f>AH47</x:f>
      </x:c>
      <x:c r="AJ38" s="117" t="n">
        <x:f>AI47</x:f>
      </x:c>
      <x:c r="AK38" s="117" t="n">
        <x:f>AJ47</x:f>
      </x:c>
      <x:c r="AL38" s="117" t="n">
        <x:f>AK47</x:f>
      </x:c>
      <x:c r="AM38" s="117" t="n">
        <x:f>AL47</x:f>
      </x:c>
      <x:c r="AN38" s="117" t="n">
        <x:f>AM47</x:f>
      </x:c>
      <x:c r="AO38" s="117" t="n">
        <x:f>AN47</x:f>
      </x:c>
      <x:c r="AP38" s="117" t="n">
        <x:f>AO47</x:f>
      </x:c>
      <x:c r="AQ38" s="117" t="n">
        <x:f>AP47</x:f>
      </x:c>
      <x:c r="AR38" s="117" t="n">
        <x:f>AQ47</x:f>
      </x:c>
      <x:c r="AS38" s="117" t="n">
        <x:f>AR47</x:f>
      </x:c>
      <x:c r="AT38" s="117" t="n">
        <x:f>AS47</x:f>
      </x:c>
      <x:c r="AU38" s="117" t="n">
        <x:f>AT47</x:f>
      </x:c>
      <x:c r="AV38" s="117" t="n">
        <x:f>AU47</x:f>
      </x:c>
      <x:c r="AW38" s="117" t="n">
        <x:f>AV47</x:f>
      </x:c>
      <x:c r="AX38" s="117" t="n">
        <x:f>AW47</x:f>
      </x:c>
      <x:c r="AY38" s="117" t="n">
        <x:f>AX47</x:f>
      </x:c>
      <x:c r="AZ38" s="117" t="n">
        <x:f>AY47</x:f>
      </x:c>
      <x:c r="BA38" s="117" t="n">
        <x:f>AZ47</x:f>
      </x:c>
      <x:c r="BB38" s="117" t="n">
        <x:f>BA47</x:f>
      </x:c>
      <x:c r="BC38" s="117" t="n">
        <x:f>BB47</x:f>
      </x:c>
      <x:c r="BD38" s="117" t="n">
        <x:f>BC47</x:f>
      </x:c>
      <x:c r="BE38" s="117" t="n">
        <x:f>BD47</x:f>
      </x:c>
      <x:c r="BF38" s="117" t="n">
        <x:f>BE47</x:f>
      </x:c>
      <x:c r="BG38" s="117" t="n">
        <x:f>BF47</x:f>
      </x:c>
      <x:c r="BH38" s="117" t="n">
        <x:f>BG47</x:f>
      </x:c>
      <x:c r="BI38" s="117" t="n">
        <x:f>BH47</x:f>
      </x:c>
      <x:c r="BJ38" s="117" t="n">
        <x:f>BI47</x:f>
      </x:c>
      <x:c r="BK38" s="117" t="n">
        <x:f>BJ47</x:f>
      </x:c>
      <x:c r="BL38" s="117" t="n">
        <x:f>BK47</x:f>
      </x:c>
      <x:c r="BM38" s="117" t="n">
        <x:f>BL47</x:f>
      </x:c>
      <x:c r="BN38" s="117" t="n">
        <x:f>BM47</x:f>
      </x:c>
      <x:c r="BO38" s="117" t="n">
        <x:f>BN47</x:f>
      </x:c>
      <x:c r="BP38" s="117" t="n">
        <x:f>BO47</x:f>
      </x:c>
      <x:c r="BQ38" s="117" t="n">
        <x:f>BP47</x:f>
      </x:c>
      <x:c r="BR38" s="117" t="n">
        <x:f>BQ47</x:f>
      </x:c>
      <x:c r="BS38" s="117" t="n">
        <x:f>BR47</x:f>
      </x:c>
      <x:c r="BT38" s="117" t="n">
        <x:f>BS47</x:f>
      </x:c>
      <x:c r="BU38" s="117" t="n">
        <x:f>BT47</x:f>
      </x:c>
      <x:c r="BV38" s="117" t="n">
        <x:f>BU47</x:f>
      </x:c>
      <x:c r="BW38" s="117" t="n">
        <x:f>BV47</x:f>
      </x:c>
      <x:c r="BX38" s="117" t="n">
        <x:f>BW47</x:f>
      </x:c>
      <x:c r="BY38" s="117" t="n">
        <x:f>BX47</x:f>
      </x:c>
      <x:c r="BZ38" s="117" t="n">
        <x:f>BY47</x:f>
      </x:c>
      <x:c r="CA38" s="117" t="n">
        <x:f>BZ47</x:f>
      </x:c>
      <x:c r="CB38" s="117" t="n">
        <x:f>CA47</x:f>
      </x:c>
      <x:c r="CC38" s="117" t="n">
        <x:f>CB47</x:f>
      </x:c>
      <x:c r="CD38" s="117" t="n">
        <x:f>CC47</x:f>
      </x:c>
      <x:c r="CE38" s="117" t="n">
        <x:f>CD47</x:f>
      </x:c>
      <x:c r="CF38" s="117" t="n">
        <x:f>CE47</x:f>
      </x:c>
      <x:c r="CG38" s="117" t="n">
        <x:f>CF47</x:f>
      </x:c>
      <x:c r="CH38" s="117" t="n">
        <x:f>CG47</x:f>
      </x:c>
      <x:c r="CI38" s="117" t="n">
        <x:f>CH47</x:f>
      </x:c>
      <x:c r="CJ38" s="117" t="n">
        <x:f>CI47</x:f>
      </x:c>
      <x:c r="CK38" s="117" t="n">
        <x:f>CJ47</x:f>
      </x:c>
      <x:c r="CL38" s="117" t="n">
        <x:f>CK47</x:f>
      </x:c>
      <x:c r="CM38" s="117" t="n">
        <x:f>CL47</x:f>
      </x:c>
      <x:c r="CN38" s="117" t="n">
        <x:f>CM47</x:f>
      </x:c>
      <x:c r="CO38" s="117" t="n">
        <x:f>CN47</x:f>
      </x:c>
      <x:c r="CP38" s="117" t="n">
        <x:f>CO47</x:f>
      </x:c>
      <x:c r="CQ38" s="117" t="n">
        <x:f>CP47</x:f>
      </x:c>
      <x:c r="CR38" s="117" t="n">
        <x:f>CQ47</x:f>
      </x:c>
      <x:c r="CS38" s="117" t="n">
        <x:f>CR47</x:f>
      </x:c>
      <x:c r="CT38" s="117" t="n">
        <x:f>CS47</x:f>
      </x:c>
      <x:c r="CU38" s="117" t="n">
        <x:f>CT47</x:f>
      </x:c>
      <x:c r="CV38" s="117" t="n">
        <x:f>CU47</x:f>
      </x:c>
      <x:c r="CW38" s="117" t="n">
        <x:f>CV47</x:f>
      </x:c>
      <x:c r="CX38" s="117" t="n">
        <x:f>CW47</x:f>
      </x:c>
      <x:c r="CY38" s="117" t="n">
        <x:f>CX47</x:f>
      </x:c>
      <x:c r="CZ38" s="117" t="n">
        <x:f>CY47</x:f>
      </x:c>
      <x:c r="DA38" s="117" t="n">
        <x:f>CZ47</x:f>
      </x:c>
      <x:c r="DB38" s="117" t="n">
        <x:f>DA47</x:f>
      </x:c>
      <x:c r="DC38" s="117" t="n">
        <x:f>DB47</x:f>
      </x:c>
      <x:c r="DD38" s="117" t="n">
        <x:f>DC47</x:f>
      </x:c>
      <x:c r="DE38" s="117" t="n">
        <x:f>DD47</x:f>
      </x:c>
      <x:c r="DF38" s="117" t="n">
        <x:f>DE47</x:f>
      </x:c>
      <x:c r="DG38" s="117" t="n">
        <x:f>DF47</x:f>
      </x:c>
      <x:c r="DH38" s="117" t="n">
        <x:f>DG47</x:f>
      </x:c>
      <x:c r="DI38" s="117" t="n">
        <x:f>DH47</x:f>
      </x:c>
      <x:c r="DJ38" s="117" t="n">
        <x:f>DI47</x:f>
      </x:c>
      <x:c r="DK38" s="117" t="n">
        <x:f>DJ47</x:f>
      </x:c>
      <x:c r="DL38" s="117" t="n">
        <x:f>DK47</x:f>
      </x:c>
      <x:c r="DM38" s="117" t="n">
        <x:f>DL47</x:f>
      </x:c>
      <x:c r="DN38" s="117" t="n">
        <x:f>DM47</x:f>
      </x:c>
      <x:c r="DO38" s="117" t="n">
        <x:f>DN47</x:f>
      </x:c>
      <x:c r="DP38" s="117" t="n">
        <x:f>DO47</x:f>
      </x:c>
      <x:c r="DQ38" s="117" t="n">
        <x:f>DP47</x:f>
      </x:c>
      <x:c r="DR38" s="117" t="n">
        <x:f>DQ47</x:f>
      </x:c>
      <x:c r="DS38" s="117" t="n">
        <x:f>DR47</x:f>
      </x:c>
      <x:c r="DT38" s="117" t="n">
        <x:f>DS47</x:f>
      </x:c>
      <x:c r="DU38" s="117" t="n">
        <x:f>DT47</x:f>
      </x:c>
      <x:c r="DV38" s="117" t="n">
        <x:f>DU47</x:f>
      </x:c>
      <x:c r="DW38" s="117" t="n">
        <x:f>DV47</x:f>
      </x:c>
      <x:c r="DX38" s="117" t="n">
        <x:f>DW47</x:f>
      </x:c>
      <x:c r="DY38" s="117" t="n">
        <x:f>DX47</x:f>
      </x:c>
      <x:c r="DZ38" s="117" t="n">
        <x:f>DY47</x:f>
      </x:c>
      <x:c r="EA38" s="117" t="n">
        <x:f>DZ47</x:f>
      </x:c>
      <x:c r="EB38" s="117" t="n">
        <x:f>EA47</x:f>
      </x:c>
      <x:c r="EC38" s="117" t="n">
        <x:f>EB47</x:f>
      </x:c>
      <x:c r="ED38" s="117" t="n">
        <x:f>EC47</x:f>
      </x:c>
      <x:c r="EE38" s="117" t="n">
        <x:f>ED47</x:f>
      </x:c>
      <x:c r="EF38" s="117" t="n">
        <x:f>EE47</x:f>
      </x:c>
      <x:c r="EG38" s="117" t="n">
        <x:f>EF47</x:f>
      </x:c>
      <x:c r="EH38" s="117" t="n">
        <x:f>EG47</x:f>
      </x:c>
      <x:c r="EI38" s="117" t="n">
        <x:f>EH47</x:f>
      </x:c>
      <x:c r="EJ38" s="117" t="n">
        <x:f>EI47</x:f>
      </x:c>
      <x:c r="EK38" s="117" t="n">
        <x:f>EJ47</x:f>
      </x:c>
      <x:c r="EL38" s="117" t="n">
        <x:f>EK47</x:f>
      </x:c>
      <x:c r="EM38" s="117" t="n">
        <x:f>EL47</x:f>
      </x:c>
      <x:c r="EN38" s="117" t="n">
        <x:f>EM47</x:f>
      </x:c>
      <x:c r="EO38" s="117" t="n">
        <x:f>EN47</x:f>
      </x:c>
      <x:c r="EP38" s="117" t="n">
        <x:f>EO47</x:f>
      </x:c>
      <x:c r="EQ38" s="117" t="n">
        <x:f>EP47</x:f>
      </x:c>
      <x:c r="ER38" s="117" t="n">
        <x:f>EQ47</x:f>
      </x:c>
      <x:c r="ES38" s="117" t="n">
        <x:f>ER47</x:f>
      </x:c>
      <x:c r="ET38" s="117" t="n">
        <x:f>ES47</x:f>
      </x:c>
      <x:c r="EU38" s="117" t="n">
        <x:f>ET47</x:f>
      </x:c>
      <x:c r="EV38" s="117" t="n">
        <x:f>EU47</x:f>
      </x:c>
      <x:c r="EW38" s="117" t="n">
        <x:f>EV47</x:f>
      </x:c>
      <x:c r="EX38" s="117" t="n">
        <x:f>EW47</x:f>
      </x:c>
      <x:c r="EY38" s="117" t="n">
        <x:f>EX47</x:f>
      </x:c>
      <x:c r="EZ38" s="117" t="n">
        <x:f>EY47</x:f>
      </x:c>
      <x:c r="FA38" s="117" t="n">
        <x:f>EZ47</x:f>
      </x:c>
      <x:c r="FB38" s="117" t="n">
        <x:f>FA47</x:f>
      </x:c>
      <x:c r="FC38" s="117" t="n">
        <x:f>FB47</x:f>
      </x:c>
      <x:c r="FD38" s="117" t="n">
        <x:f>FC47</x:f>
      </x:c>
      <x:c r="FE38" s="117" t="n">
        <x:f>FD47</x:f>
      </x:c>
      <x:c r="FF38" s="117" t="n">
        <x:f>FE47</x:f>
      </x:c>
      <x:c r="FG38" s="117" t="n">
        <x:f>FF47</x:f>
      </x:c>
      <x:c r="FH38" s="117" t="n">
        <x:f>FG47</x:f>
      </x:c>
      <x:c r="FI38" s="117" t="n">
        <x:f>FH47</x:f>
      </x:c>
      <x:c r="FJ38" s="117" t="n">
        <x:f>FI47</x:f>
      </x:c>
      <x:c r="FK38" s="117" t="n">
        <x:f>FJ47</x:f>
      </x:c>
      <x:c r="FL38" s="117" t="n">
        <x:f>FK47</x:f>
      </x:c>
      <x:c r="FM38" s="117" t="n">
        <x:f>FL47</x:f>
      </x:c>
      <x:c r="FN38" s="117" t="n">
        <x:f>FM47</x:f>
      </x:c>
      <x:c r="FO38" s="117" t="n">
        <x:f>FN47</x:f>
      </x:c>
      <x:c r="FP38" s="117" t="n">
        <x:f>FO47</x:f>
      </x:c>
      <x:c r="FQ38" s="117" t="n">
        <x:f>FP47</x:f>
      </x:c>
      <x:c r="FR38" s="117" t="n">
        <x:f>FQ47</x:f>
      </x:c>
      <x:c r="FS38" s="117" t="n">
        <x:f>FR47</x:f>
      </x:c>
      <x:c r="FT38" s="117" t="n">
        <x:f>FS47</x:f>
      </x:c>
      <x:c r="FU38" s="117" t="n">
        <x:f>FT47</x:f>
      </x:c>
      <x:c r="FV38" s="117" t="n">
        <x:f>FU47</x:f>
      </x:c>
      <x:c r="FW38" s="117" t="n">
        <x:f>FV47</x:f>
      </x:c>
      <x:c r="FX38" s="117" t="n">
        <x:f>FW47</x:f>
      </x:c>
      <x:c r="FY38" s="117" t="n">
        <x:f>FX47</x:f>
      </x:c>
      <x:c r="FZ38" s="117" t="n">
        <x:f>FY47</x:f>
      </x:c>
      <x:c r="GA38" s="117" t="n">
        <x:f>FZ47</x:f>
      </x:c>
    </x:row>
    <x:row r="39">
      <x:c r="A39" t="str">
        <x:v>ПФ — базовая ставка</x:v>
      </x:c>
      <x:c r="B39"/>
      <x:c r="C39" t="str">
        <x:v>% год</x:v>
      </x:c>
      <x:c r="D39" s="121" t="n">
        <x:f>'Ставки'!D$7</x:f>
      </x:c>
      <x:c r="E39" s="121" t="n">
        <x:f>'Ставки'!E$7</x:f>
      </x:c>
      <x:c r="F39" s="121" t="n">
        <x:f>'Ставки'!F$7</x:f>
      </x:c>
      <x:c r="G39" s="121" t="n">
        <x:f>'Ставки'!G$7</x:f>
      </x:c>
      <x:c r="H39" s="121" t="n">
        <x:f>'Ставки'!H$7</x:f>
      </x:c>
      <x:c r="I39" s="121" t="n">
        <x:f>'Ставки'!I$7</x:f>
      </x:c>
      <x:c r="J39" s="121" t="n">
        <x:f>'Ставки'!J$7</x:f>
      </x:c>
      <x:c r="K39" s="121" t="n">
        <x:f>'Ставки'!K$7</x:f>
      </x:c>
      <x:c r="L39" s="121" t="n">
        <x:f>'Ставки'!L$7</x:f>
      </x:c>
      <x:c r="M39" s="121" t="n">
        <x:f>'Ставки'!M$7</x:f>
      </x:c>
      <x:c r="N39" s="121" t="n">
        <x:f>'Ставки'!N$7</x:f>
      </x:c>
      <x:c r="O39" s="121" t="n">
        <x:f>'Ставки'!O$7</x:f>
      </x:c>
      <x:c r="P39" s="121" t="n">
        <x:f>'Ставки'!P$7</x:f>
      </x:c>
      <x:c r="Q39" s="121" t="n">
        <x:f>'Ставки'!Q$7</x:f>
      </x:c>
      <x:c r="R39" s="121" t="n">
        <x:f>'Ставки'!R$7</x:f>
      </x:c>
      <x:c r="S39" s="121" t="n">
        <x:f>'Ставки'!S$7</x:f>
      </x:c>
      <x:c r="T39" s="121" t="n">
        <x:f>'Ставки'!T$7</x:f>
      </x:c>
      <x:c r="U39" s="121" t="n">
        <x:f>'Ставки'!U$7</x:f>
      </x:c>
      <x:c r="V39" s="121" t="n">
        <x:f>'Ставки'!V$7</x:f>
      </x:c>
      <x:c r="W39" s="121" t="n">
        <x:f>'Ставки'!W$7</x:f>
      </x:c>
      <x:c r="X39" s="121" t="n">
        <x:f>'Ставки'!X$7</x:f>
      </x:c>
      <x:c r="Y39" s="121" t="n">
        <x:f>'Ставки'!Y$7</x:f>
      </x:c>
      <x:c r="Z39" s="121" t="n">
        <x:f>'Ставки'!Z$7</x:f>
      </x:c>
      <x:c r="AA39" s="121" t="n">
        <x:f>'Ставки'!AA$7</x:f>
      </x:c>
      <x:c r="AB39" s="121" t="n">
        <x:f>'Ставки'!AB$7</x:f>
      </x:c>
      <x:c r="AC39" s="121" t="n">
        <x:f>'Ставки'!AC$7</x:f>
      </x:c>
      <x:c r="AD39" s="121" t="n">
        <x:f>'Ставки'!AD$7</x:f>
      </x:c>
      <x:c r="AE39" s="121" t="n">
        <x:f>'Ставки'!AE$7</x:f>
      </x:c>
      <x:c r="AF39" s="121" t="n">
        <x:f>'Ставки'!AF$7</x:f>
      </x:c>
      <x:c r="AG39" s="121" t="n">
        <x:f>'Ставки'!AG$7</x:f>
      </x:c>
      <x:c r="AH39" s="121" t="n">
        <x:f>'Ставки'!AH$7</x:f>
      </x:c>
      <x:c r="AI39" s="121" t="n">
        <x:f>'Ставки'!AI$7</x:f>
      </x:c>
      <x:c r="AJ39" s="121" t="n">
        <x:f>'Ставки'!AJ$7</x:f>
      </x:c>
      <x:c r="AK39" s="121" t="n">
        <x:f>'Ставки'!AK$7</x:f>
      </x:c>
      <x:c r="AL39" s="121" t="n">
        <x:f>'Ставки'!AL$7</x:f>
      </x:c>
      <x:c r="AM39" s="121" t="n">
        <x:f>'Ставки'!AM$7</x:f>
      </x:c>
      <x:c r="AN39" s="121" t="n">
        <x:f>'Ставки'!AN$7</x:f>
      </x:c>
      <x:c r="AO39" s="121" t="n">
        <x:f>'Ставки'!AO$7</x:f>
      </x:c>
      <x:c r="AP39" s="121" t="n">
        <x:f>'Ставки'!AP$7</x:f>
      </x:c>
      <x:c r="AQ39" s="121" t="n">
        <x:f>'Ставки'!AQ$7</x:f>
      </x:c>
      <x:c r="AR39" s="121" t="n">
        <x:f>'Ставки'!AR$7</x:f>
      </x:c>
      <x:c r="AS39" s="121" t="n">
        <x:f>'Ставки'!AS$7</x:f>
      </x:c>
      <x:c r="AT39" s="121" t="n">
        <x:f>'Ставки'!AT$7</x:f>
      </x:c>
      <x:c r="AU39" s="121" t="n">
        <x:f>'Ставки'!AU$7</x:f>
      </x:c>
      <x:c r="AV39" s="121" t="n">
        <x:f>'Ставки'!AV$7</x:f>
      </x:c>
      <x:c r="AW39" s="121" t="n">
        <x:f>'Ставки'!AW$7</x:f>
      </x:c>
      <x:c r="AX39" s="121" t="n">
        <x:f>'Ставки'!AX$7</x:f>
      </x:c>
      <x:c r="AY39" s="121" t="n">
        <x:f>'Ставки'!AY$7</x:f>
      </x:c>
      <x:c r="AZ39" s="121" t="n">
        <x:f>'Ставки'!AZ$7</x:f>
      </x:c>
      <x:c r="BA39" s="121" t="n">
        <x:f>'Ставки'!BA$7</x:f>
      </x:c>
      <x:c r="BB39" s="121" t="n">
        <x:f>'Ставки'!BB$7</x:f>
      </x:c>
      <x:c r="BC39" s="121" t="n">
        <x:f>'Ставки'!BC$7</x:f>
      </x:c>
      <x:c r="BD39" s="121" t="n">
        <x:f>'Ставки'!BD$7</x:f>
      </x:c>
      <x:c r="BE39" s="121" t="n">
        <x:f>'Ставки'!BE$7</x:f>
      </x:c>
      <x:c r="BF39" s="121" t="n">
        <x:f>'Ставки'!BF$7</x:f>
      </x:c>
      <x:c r="BG39" s="121" t="n">
        <x:f>'Ставки'!BG$7</x:f>
      </x:c>
      <x:c r="BH39" s="121" t="n">
        <x:f>'Ставки'!BH$7</x:f>
      </x:c>
      <x:c r="BI39" s="121" t="n">
        <x:f>'Ставки'!BI$7</x:f>
      </x:c>
      <x:c r="BJ39" s="121" t="n">
        <x:f>'Ставки'!BJ$7</x:f>
      </x:c>
      <x:c r="BK39" s="121" t="n">
        <x:f>'Ставки'!BK$7</x:f>
      </x:c>
      <x:c r="BL39" s="121" t="n">
        <x:f>'Ставки'!BL$7</x:f>
      </x:c>
      <x:c r="BM39" s="121" t="n">
        <x:f>'Ставки'!BM$7</x:f>
      </x:c>
      <x:c r="BN39" s="121" t="n">
        <x:f>'Ставки'!BN$7</x:f>
      </x:c>
      <x:c r="BO39" s="121" t="n">
        <x:f>'Ставки'!BO$7</x:f>
      </x:c>
      <x:c r="BP39" s="121" t="n">
        <x:f>'Ставки'!BP$7</x:f>
      </x:c>
      <x:c r="BQ39" s="121" t="n">
        <x:f>'Ставки'!BQ$7</x:f>
      </x:c>
      <x:c r="BR39" s="121" t="n">
        <x:f>'Ставки'!BR$7</x:f>
      </x:c>
      <x:c r="BS39" s="121" t="n">
        <x:f>'Ставки'!BS$7</x:f>
      </x:c>
      <x:c r="BT39" s="121" t="n">
        <x:f>'Ставки'!BT$7</x:f>
      </x:c>
      <x:c r="BU39" s="121" t="n">
        <x:f>'Ставки'!BU$7</x:f>
      </x:c>
      <x:c r="BV39" s="121" t="n">
        <x:f>'Ставки'!BV$7</x:f>
      </x:c>
      <x:c r="BW39" s="121" t="n">
        <x:f>'Ставки'!BW$7</x:f>
      </x:c>
      <x:c r="BX39" s="121" t="n">
        <x:f>'Ставки'!BX$7</x:f>
      </x:c>
      <x:c r="BY39" s="121" t="n">
        <x:f>'Ставки'!BY$7</x:f>
      </x:c>
      <x:c r="BZ39" s="121" t="n">
        <x:f>'Ставки'!BZ$7</x:f>
      </x:c>
      <x:c r="CA39" s="121" t="n">
        <x:f>'Ставки'!CA$7</x:f>
      </x:c>
      <x:c r="CB39" s="121" t="n">
        <x:f>'Ставки'!CB$7</x:f>
      </x:c>
      <x:c r="CC39" s="121" t="n">
        <x:f>'Ставки'!CC$7</x:f>
      </x:c>
      <x:c r="CD39" s="121" t="n">
        <x:f>'Ставки'!CD$7</x:f>
      </x:c>
      <x:c r="CE39" s="121" t="n">
        <x:f>'Ставки'!CE$7</x:f>
      </x:c>
      <x:c r="CF39" s="121" t="n">
        <x:f>'Ставки'!CF$7</x:f>
      </x:c>
      <x:c r="CG39" s="121" t="n">
        <x:f>'Ставки'!CG$7</x:f>
      </x:c>
      <x:c r="CH39" s="121" t="n">
        <x:f>'Ставки'!CH$7</x:f>
      </x:c>
      <x:c r="CI39" s="121" t="n">
        <x:f>'Ставки'!CI$7</x:f>
      </x:c>
      <x:c r="CJ39" s="121" t="n">
        <x:f>'Ставки'!CJ$7</x:f>
      </x:c>
      <x:c r="CK39" s="121" t="n">
        <x:f>'Ставки'!CK$7</x:f>
      </x:c>
      <x:c r="CL39" s="121" t="n">
        <x:f>'Ставки'!CL$7</x:f>
      </x:c>
      <x:c r="CM39" s="121" t="n">
        <x:f>'Ставки'!CM$7</x:f>
      </x:c>
      <x:c r="CN39" s="121" t="n">
        <x:f>'Ставки'!CN$7</x:f>
      </x:c>
      <x:c r="CO39" s="121" t="n">
        <x:f>'Ставки'!CO$7</x:f>
      </x:c>
      <x:c r="CP39" s="121" t="n">
        <x:f>'Ставки'!CP$7</x:f>
      </x:c>
      <x:c r="CQ39" s="121" t="n">
        <x:f>'Ставки'!CQ$7</x:f>
      </x:c>
      <x:c r="CR39" s="121" t="n">
        <x:f>'Ставки'!CR$7</x:f>
      </x:c>
      <x:c r="CS39" s="121" t="n">
        <x:f>'Ставки'!CS$7</x:f>
      </x:c>
      <x:c r="CT39" s="121" t="n">
        <x:f>'Ставки'!CT$7</x:f>
      </x:c>
      <x:c r="CU39" s="121" t="n">
        <x:f>'Ставки'!CU$7</x:f>
      </x:c>
      <x:c r="CV39" s="121" t="n">
        <x:f>'Ставки'!CV$7</x:f>
      </x:c>
      <x:c r="CW39" s="121" t="n">
        <x:f>'Ставки'!CW$7</x:f>
      </x:c>
      <x:c r="CX39" s="121" t="n">
        <x:f>'Ставки'!CX$7</x:f>
      </x:c>
      <x:c r="CY39" s="121" t="n">
        <x:f>'Ставки'!CY$7</x:f>
      </x:c>
      <x:c r="CZ39" s="121" t="n">
        <x:f>'Ставки'!CZ$7</x:f>
      </x:c>
      <x:c r="DA39" s="121" t="n">
        <x:f>'Ставки'!DA$7</x:f>
      </x:c>
      <x:c r="DB39" s="121" t="n">
        <x:f>'Ставки'!DB$7</x:f>
      </x:c>
      <x:c r="DC39" s="121" t="n">
        <x:f>'Ставки'!DC$7</x:f>
      </x:c>
      <x:c r="DD39" s="121" t="n">
        <x:f>'Ставки'!DD$7</x:f>
      </x:c>
      <x:c r="DE39" s="121" t="n">
        <x:f>'Ставки'!DE$7</x:f>
      </x:c>
      <x:c r="DF39" s="121" t="n">
        <x:f>'Ставки'!DF$7</x:f>
      </x:c>
      <x:c r="DG39" s="121" t="n">
        <x:f>'Ставки'!DG$7</x:f>
      </x:c>
      <x:c r="DH39" s="121" t="n">
        <x:f>'Ставки'!DH$7</x:f>
      </x:c>
      <x:c r="DI39" s="121" t="n">
        <x:f>'Ставки'!DI$7</x:f>
      </x:c>
      <x:c r="DJ39" s="121" t="n">
        <x:f>'Ставки'!DJ$7</x:f>
      </x:c>
      <x:c r="DK39" s="121" t="n">
        <x:f>'Ставки'!DK$7</x:f>
      </x:c>
      <x:c r="DL39" s="121" t="n">
        <x:f>'Ставки'!DL$7</x:f>
      </x:c>
      <x:c r="DM39" s="121" t="n">
        <x:f>'Ставки'!DM$7</x:f>
      </x:c>
      <x:c r="DN39" s="121" t="n">
        <x:f>'Ставки'!DN$7</x:f>
      </x:c>
      <x:c r="DO39" s="121" t="n">
        <x:f>'Ставки'!DO$7</x:f>
      </x:c>
      <x:c r="DP39" s="121" t="n">
        <x:f>'Ставки'!DP$7</x:f>
      </x:c>
      <x:c r="DQ39" s="121" t="n">
        <x:f>'Ставки'!DQ$7</x:f>
      </x:c>
      <x:c r="DR39" s="121" t="n">
        <x:f>'Ставки'!DR$7</x:f>
      </x:c>
      <x:c r="DS39" s="121" t="n">
        <x:f>'Ставки'!DS$7</x:f>
      </x:c>
      <x:c r="DT39" s="121" t="n">
        <x:f>'Ставки'!DT$7</x:f>
      </x:c>
      <x:c r="DU39" s="121" t="n">
        <x:f>'Ставки'!DU$7</x:f>
      </x:c>
      <x:c r="DV39" s="121" t="n">
        <x:f>'Ставки'!DV$7</x:f>
      </x:c>
      <x:c r="DW39" s="121" t="n">
        <x:f>'Ставки'!DW$7</x:f>
      </x:c>
      <x:c r="DX39" s="121" t="n">
        <x:f>'Ставки'!DX$7</x:f>
      </x:c>
      <x:c r="DY39" s="121" t="n">
        <x:f>'Ставки'!DY$7</x:f>
      </x:c>
      <x:c r="DZ39" s="121" t="n">
        <x:f>'Ставки'!DZ$7</x:f>
      </x:c>
      <x:c r="EA39" s="121" t="n">
        <x:f>'Ставки'!EA$7</x:f>
      </x:c>
      <x:c r="EB39" s="121" t="n">
        <x:f>'Ставки'!EB$7</x:f>
      </x:c>
      <x:c r="EC39" s="121" t="n">
        <x:f>'Ставки'!EC$7</x:f>
      </x:c>
      <x:c r="ED39" s="121" t="n">
        <x:f>'Ставки'!ED$7</x:f>
      </x:c>
      <x:c r="EE39" s="121" t="n">
        <x:f>'Ставки'!EE$7</x:f>
      </x:c>
      <x:c r="EF39" s="121" t="n">
        <x:f>'Ставки'!EF$7</x:f>
      </x:c>
      <x:c r="EG39" s="121" t="n">
        <x:f>'Ставки'!EG$7</x:f>
      </x:c>
      <x:c r="EH39" s="121" t="n">
        <x:f>'Ставки'!EH$7</x:f>
      </x:c>
      <x:c r="EI39" s="121" t="n">
        <x:f>'Ставки'!EI$7</x:f>
      </x:c>
      <x:c r="EJ39" s="121" t="n">
        <x:f>'Ставки'!EJ$7</x:f>
      </x:c>
      <x:c r="EK39" s="121" t="n">
        <x:f>'Ставки'!EK$7</x:f>
      </x:c>
      <x:c r="EL39" s="121" t="n">
        <x:f>'Ставки'!EL$7</x:f>
      </x:c>
      <x:c r="EM39" s="121" t="n">
        <x:f>'Ставки'!EM$7</x:f>
      </x:c>
      <x:c r="EN39" s="121" t="n">
        <x:f>'Ставки'!EN$7</x:f>
      </x:c>
      <x:c r="EO39" s="121" t="n">
        <x:f>'Ставки'!EO$7</x:f>
      </x:c>
      <x:c r="EP39" s="121" t="n">
        <x:f>'Ставки'!EP$7</x:f>
      </x:c>
      <x:c r="EQ39" s="121" t="n">
        <x:f>'Ставки'!EQ$7</x:f>
      </x:c>
      <x:c r="ER39" s="121" t="n">
        <x:f>'Ставки'!ER$7</x:f>
      </x:c>
      <x:c r="ES39" s="121" t="n">
        <x:f>'Ставки'!ES$7</x:f>
      </x:c>
      <x:c r="ET39" s="121" t="n">
        <x:f>'Ставки'!ET$7</x:f>
      </x:c>
      <x:c r="EU39" s="121" t="n">
        <x:f>'Ставки'!EU$7</x:f>
      </x:c>
      <x:c r="EV39" s="121" t="n">
        <x:f>'Ставки'!EV$7</x:f>
      </x:c>
      <x:c r="EW39" s="121" t="n">
        <x:f>'Ставки'!EW$7</x:f>
      </x:c>
      <x:c r="EX39" s="121" t="n">
        <x:f>'Ставки'!EX$7</x:f>
      </x:c>
      <x:c r="EY39" s="121" t="n">
        <x:f>'Ставки'!EY$7</x:f>
      </x:c>
      <x:c r="EZ39" s="121" t="n">
        <x:f>'Ставки'!EZ$7</x:f>
      </x:c>
      <x:c r="FA39" s="121" t="n">
        <x:f>'Ставки'!FA$7</x:f>
      </x:c>
      <x:c r="FB39" s="121" t="n">
        <x:f>'Ставки'!FB$7</x:f>
      </x:c>
      <x:c r="FC39" s="121" t="n">
        <x:f>'Ставки'!FC$7</x:f>
      </x:c>
      <x:c r="FD39" s="121" t="n">
        <x:f>'Ставки'!FD$7</x:f>
      </x:c>
      <x:c r="FE39" s="121" t="n">
        <x:f>'Ставки'!FE$7</x:f>
      </x:c>
      <x:c r="FF39" s="121" t="n">
        <x:f>'Ставки'!FF$7</x:f>
      </x:c>
      <x:c r="FG39" s="121" t="n">
        <x:f>'Ставки'!FG$7</x:f>
      </x:c>
      <x:c r="FH39" s="121" t="n">
        <x:f>'Ставки'!FH$7</x:f>
      </x:c>
      <x:c r="FI39" s="121" t="n">
        <x:f>'Ставки'!FI$7</x:f>
      </x:c>
      <x:c r="FJ39" s="121" t="n">
        <x:f>'Ставки'!FJ$7</x:f>
      </x:c>
      <x:c r="FK39" s="121" t="n">
        <x:f>'Ставки'!FK$7</x:f>
      </x:c>
      <x:c r="FL39" s="121" t="n">
        <x:f>'Ставки'!FL$7</x:f>
      </x:c>
      <x:c r="FM39" s="121" t="n">
        <x:f>'Ставки'!FM$7</x:f>
      </x:c>
      <x:c r="FN39" s="121" t="n">
        <x:f>'Ставки'!FN$7</x:f>
      </x:c>
      <x:c r="FO39" s="121" t="n">
        <x:f>'Ставки'!FO$7</x:f>
      </x:c>
      <x:c r="FP39" s="121" t="n">
        <x:f>'Ставки'!FP$7</x:f>
      </x:c>
      <x:c r="FQ39" s="121" t="n">
        <x:f>'Ставки'!FQ$7</x:f>
      </x:c>
      <x:c r="FR39" s="121" t="n">
        <x:f>'Ставки'!FR$7</x:f>
      </x:c>
      <x:c r="FS39" s="121" t="n">
        <x:f>'Ставки'!FS$7</x:f>
      </x:c>
      <x:c r="FT39" s="121" t="n">
        <x:f>'Ставки'!FT$7</x:f>
      </x:c>
      <x:c r="FU39" s="121" t="n">
        <x:f>'Ставки'!FU$7</x:f>
      </x:c>
      <x:c r="FV39" s="121" t="n">
        <x:f>'Ставки'!FV$7</x:f>
      </x:c>
      <x:c r="FW39" s="121" t="n">
        <x:f>'Ставки'!FW$7</x:f>
      </x:c>
      <x:c r="FX39" s="121" t="n">
        <x:f>'Ставки'!FX$7</x:f>
      </x:c>
      <x:c r="FY39" s="121" t="n">
        <x:f>'Ставки'!FY$7</x:f>
      </x:c>
      <x:c r="FZ39" s="121" t="n">
        <x:f>'Ставки'!FZ$7</x:f>
      </x:c>
      <x:c r="GA39" s="121" t="n">
        <x:f>'Ставки'!GA$7</x:f>
      </x:c>
    </x:row>
    <x:row r="40">
      <x:c r="A40" t="str">
        <x:v>Покрытие эскроу</x:v>
      </x:c>
      <x:c r="B40"/>
      <x:c r="C40" t="str">
        <x:v>×</x:v>
      </x:c>
      <x:c r="D40" s="122">
        <x:f>IFERROR((D13+D11)/MAX(1,D38+D45),0)</x:f>
      </x:c>
      <x:c r="E40" s="122">
        <x:f>IFERROR((E13+E11)/MAX(1,E38+E45),0)</x:f>
      </x:c>
      <x:c r="F40" s="122">
        <x:f>IFERROR((F13+F11)/MAX(1,F38+F45),0)</x:f>
      </x:c>
      <x:c r="G40" s="122">
        <x:f>IFERROR((G13+G11)/MAX(1,G38+G45),0)</x:f>
      </x:c>
      <x:c r="H40" s="122">
        <x:f>IFERROR((H13+H11)/MAX(1,H38+H45),0)</x:f>
      </x:c>
      <x:c r="I40" s="122">
        <x:f>IFERROR((I13+I11)/MAX(1,I38+I45),0)</x:f>
      </x:c>
      <x:c r="J40" s="122">
        <x:f>IFERROR((J13+J11)/MAX(1,J38+J45),0)</x:f>
      </x:c>
      <x:c r="K40" s="122">
        <x:f>IFERROR((K13+K11)/MAX(1,K38+K45),0)</x:f>
      </x:c>
      <x:c r="L40" s="122">
        <x:f>IFERROR((L13+L11)/MAX(1,L38+L45),0)</x:f>
      </x:c>
      <x:c r="M40" s="122">
        <x:f>IFERROR((M13+M11)/MAX(1,M38+M45),0)</x:f>
      </x:c>
      <x:c r="N40" s="122">
        <x:f>IFERROR((N13+N11)/MAX(1,N38+N45),0)</x:f>
      </x:c>
      <x:c r="O40" s="122">
        <x:f>IFERROR((O13+O11)/MAX(1,O38+O45),0)</x:f>
      </x:c>
      <x:c r="P40" s="122">
        <x:f>IFERROR((P13+P11)/MAX(1,P38+P45),0)</x:f>
      </x:c>
      <x:c r="Q40" s="122">
        <x:f>IFERROR((Q13+Q11)/MAX(1,Q38+Q45),0)</x:f>
      </x:c>
      <x:c r="R40" s="122">
        <x:f>IFERROR((R13+R11)/MAX(1,R38+R45),0)</x:f>
      </x:c>
      <x:c r="S40" s="122">
        <x:f>IFERROR((S13+S11)/MAX(1,S38+S45),0)</x:f>
      </x:c>
      <x:c r="T40" s="122">
        <x:f>IFERROR((T13+T11)/MAX(1,T38+T45),0)</x:f>
      </x:c>
      <x:c r="U40" s="122">
        <x:f>IFERROR((U13+U11)/MAX(1,U38+U45),0)</x:f>
      </x:c>
      <x:c r="V40" s="122">
        <x:f>IFERROR((V13+V11)/MAX(1,V38+V45),0)</x:f>
      </x:c>
      <x:c r="W40" s="122">
        <x:f>IFERROR((W13+W11)/MAX(1,W38+W45),0)</x:f>
      </x:c>
      <x:c r="X40" s="122">
        <x:f>IFERROR((X13+X11)/MAX(1,X38+X45),0)</x:f>
      </x:c>
      <x:c r="Y40" s="122">
        <x:f>IFERROR((Y13+Y11)/MAX(1,Y38+Y45),0)</x:f>
      </x:c>
      <x:c r="Z40" s="122">
        <x:f>IFERROR((Z13+Z11)/MAX(1,Z38+Z45),0)</x:f>
      </x:c>
      <x:c r="AA40" s="122">
        <x:f>IFERROR((AA13+AA11)/MAX(1,AA38+AA45),0)</x:f>
      </x:c>
      <x:c r="AB40" s="122">
        <x:f>IFERROR((AB13+AB11)/MAX(1,AB38+AB45),0)</x:f>
      </x:c>
      <x:c r="AC40" s="122">
        <x:f>IFERROR((AC13+AC11)/MAX(1,AC38+AC45),0)</x:f>
      </x:c>
      <x:c r="AD40" s="122">
        <x:f>IFERROR((AD13+AD11)/MAX(1,AD38+AD45),0)</x:f>
      </x:c>
      <x:c r="AE40" s="122">
        <x:f>IFERROR((AE13+AE11)/MAX(1,AE38+AE45),0)</x:f>
      </x:c>
      <x:c r="AF40" s="122">
        <x:f>IFERROR((AF13+AF11)/MAX(1,AF38+AF45),0)</x:f>
      </x:c>
      <x:c r="AG40" s="122">
        <x:f>IFERROR((AG13+AG11)/MAX(1,AG38+AG45),0)</x:f>
      </x:c>
      <x:c r="AH40" s="122">
        <x:f>IFERROR((AH13+AH11)/MAX(1,AH38+AH45),0)</x:f>
      </x:c>
      <x:c r="AI40" s="122">
        <x:f>IFERROR((AI13+AI11)/MAX(1,AI38+AI45),0)</x:f>
      </x:c>
      <x:c r="AJ40" s="122">
        <x:f>IFERROR((AJ13+AJ11)/MAX(1,AJ38+AJ45),0)</x:f>
      </x:c>
      <x:c r="AK40" s="122">
        <x:f>IFERROR((AK13+AK11)/MAX(1,AK38+AK45),0)</x:f>
      </x:c>
      <x:c r="AL40" s="122">
        <x:f>IFERROR((AL13+AL11)/MAX(1,AL38+AL45),0)</x:f>
      </x:c>
      <x:c r="AM40" s="122">
        <x:f>IFERROR((AM13+AM11)/MAX(1,AM38+AM45),0)</x:f>
      </x:c>
      <x:c r="AN40" s="122">
        <x:f>IFERROR((AN13+AN11)/MAX(1,AN38+AN45),0)</x:f>
      </x:c>
      <x:c r="AO40" s="122">
        <x:f>IFERROR((AO13+AO11)/MAX(1,AO38+AO45),0)</x:f>
      </x:c>
      <x:c r="AP40" s="122">
        <x:f>IFERROR((AP13+AP11)/MAX(1,AP38+AP45),0)</x:f>
      </x:c>
      <x:c r="AQ40" s="122">
        <x:f>IFERROR((AQ13+AQ11)/MAX(1,AQ38+AQ45),0)</x:f>
      </x:c>
      <x:c r="AR40" s="122">
        <x:f>IFERROR((AR13+AR11)/MAX(1,AR38+AR45),0)</x:f>
      </x:c>
      <x:c r="AS40" s="122">
        <x:f>IFERROR((AS13+AS11)/MAX(1,AS38+AS45),0)</x:f>
      </x:c>
      <x:c r="AT40" s="122">
        <x:f>IFERROR((AT13+AT11)/MAX(1,AT38+AT45),0)</x:f>
      </x:c>
      <x:c r="AU40" s="122">
        <x:f>IFERROR((AU13+AU11)/MAX(1,AU38+AU45),0)</x:f>
      </x:c>
      <x:c r="AV40" s="122">
        <x:f>IFERROR((AV13+AV11)/MAX(1,AV38+AV45),0)</x:f>
      </x:c>
      <x:c r="AW40" s="122">
        <x:f>IFERROR((AW13+AW11)/MAX(1,AW38+AW45),0)</x:f>
      </x:c>
      <x:c r="AX40" s="122">
        <x:f>IFERROR((AX13+AX11)/MAX(1,AX38+AX45),0)</x:f>
      </x:c>
      <x:c r="AY40" s="122">
        <x:f>IFERROR((AY13+AY11)/MAX(1,AY38+AY45),0)</x:f>
      </x:c>
      <x:c r="AZ40" s="122">
        <x:f>IFERROR((AZ13+AZ11)/MAX(1,AZ38+AZ45),0)</x:f>
      </x:c>
      <x:c r="BA40" s="122">
        <x:f>IFERROR((BA13+BA11)/MAX(1,BA38+BA45),0)</x:f>
      </x:c>
      <x:c r="BB40" s="122">
        <x:f>IFERROR((BB13+BB11)/MAX(1,BB38+BB45),0)</x:f>
      </x:c>
      <x:c r="BC40" s="122">
        <x:f>IFERROR((BC13+BC11)/MAX(1,BC38+BC45),0)</x:f>
      </x:c>
      <x:c r="BD40" s="122">
        <x:f>IFERROR((BD13+BD11)/MAX(1,BD38+BD45),0)</x:f>
      </x:c>
      <x:c r="BE40" s="122">
        <x:f>IFERROR((BE13+BE11)/MAX(1,BE38+BE45),0)</x:f>
      </x:c>
      <x:c r="BF40" s="122">
        <x:f>IFERROR((BF13+BF11)/MAX(1,BF38+BF45),0)</x:f>
      </x:c>
      <x:c r="BG40" s="122">
        <x:f>IFERROR((BG13+BG11)/MAX(1,BG38+BG45),0)</x:f>
      </x:c>
      <x:c r="BH40" s="122">
        <x:f>IFERROR((BH13+BH11)/MAX(1,BH38+BH45),0)</x:f>
      </x:c>
      <x:c r="BI40" s="122">
        <x:f>IFERROR((BI13+BI11)/MAX(1,BI38+BI45),0)</x:f>
      </x:c>
      <x:c r="BJ40" s="122">
        <x:f>IFERROR((BJ13+BJ11)/MAX(1,BJ38+BJ45),0)</x:f>
      </x:c>
      <x:c r="BK40" s="122">
        <x:f>IFERROR((BK13+BK11)/MAX(1,BK38+BK45),0)</x:f>
      </x:c>
      <x:c r="BL40" s="122">
        <x:f>IFERROR((BL13+BL11)/MAX(1,BL38+BL45),0)</x:f>
      </x:c>
      <x:c r="BM40" s="122">
        <x:f>IFERROR((BM13+BM11)/MAX(1,BM38+BM45),0)</x:f>
      </x:c>
      <x:c r="BN40" s="122">
        <x:f>IFERROR((BN13+BN11)/MAX(1,BN38+BN45),0)</x:f>
      </x:c>
      <x:c r="BO40" s="122">
        <x:f>IFERROR((BO13+BO11)/MAX(1,BO38+BO45),0)</x:f>
      </x:c>
      <x:c r="BP40" s="122">
        <x:f>IFERROR((BP13+BP11)/MAX(1,BP38+BP45),0)</x:f>
      </x:c>
      <x:c r="BQ40" s="122">
        <x:f>IFERROR((BQ13+BQ11)/MAX(1,BQ38+BQ45),0)</x:f>
      </x:c>
      <x:c r="BR40" s="122">
        <x:f>IFERROR((BR13+BR11)/MAX(1,BR38+BR45),0)</x:f>
      </x:c>
      <x:c r="BS40" s="122">
        <x:f>IFERROR((BS13+BS11)/MAX(1,BS38+BS45),0)</x:f>
      </x:c>
      <x:c r="BT40" s="122">
        <x:f>IFERROR((BT13+BT11)/MAX(1,BT38+BT45),0)</x:f>
      </x:c>
      <x:c r="BU40" s="122">
        <x:f>IFERROR((BU13+BU11)/MAX(1,BU38+BU45),0)</x:f>
      </x:c>
      <x:c r="BV40" s="122">
        <x:f>IFERROR((BV13+BV11)/MAX(1,BV38+BV45),0)</x:f>
      </x:c>
      <x:c r="BW40" s="122">
        <x:f>IFERROR((BW13+BW11)/MAX(1,BW38+BW45),0)</x:f>
      </x:c>
      <x:c r="BX40" s="122">
        <x:f>IFERROR((BX13+BX11)/MAX(1,BX38+BX45),0)</x:f>
      </x:c>
      <x:c r="BY40" s="122">
        <x:f>IFERROR((BY13+BY11)/MAX(1,BY38+BY45),0)</x:f>
      </x:c>
      <x:c r="BZ40" s="122">
        <x:f>IFERROR((BZ13+BZ11)/MAX(1,BZ38+BZ45),0)</x:f>
      </x:c>
      <x:c r="CA40" s="122">
        <x:f>IFERROR((CA13+CA11)/MAX(1,CA38+CA45),0)</x:f>
      </x:c>
      <x:c r="CB40" s="122">
        <x:f>IFERROR((CB13+CB11)/MAX(1,CB38+CB45),0)</x:f>
      </x:c>
      <x:c r="CC40" s="122">
        <x:f>IFERROR((CC13+CC11)/MAX(1,CC38+CC45),0)</x:f>
      </x:c>
      <x:c r="CD40" s="122">
        <x:f>IFERROR((CD13+CD11)/MAX(1,CD38+CD45),0)</x:f>
      </x:c>
      <x:c r="CE40" s="122">
        <x:f>IFERROR((CE13+CE11)/MAX(1,CE38+CE45),0)</x:f>
      </x:c>
      <x:c r="CF40" s="122">
        <x:f>IFERROR((CF13+CF11)/MAX(1,CF38+CF45),0)</x:f>
      </x:c>
      <x:c r="CG40" s="122">
        <x:f>IFERROR((CG13+CG11)/MAX(1,CG38+CG45),0)</x:f>
      </x:c>
      <x:c r="CH40" s="122">
        <x:f>IFERROR((CH13+CH11)/MAX(1,CH38+CH45),0)</x:f>
      </x:c>
      <x:c r="CI40" s="122">
        <x:f>IFERROR((CI13+CI11)/MAX(1,CI38+CI45),0)</x:f>
      </x:c>
      <x:c r="CJ40" s="122">
        <x:f>IFERROR((CJ13+CJ11)/MAX(1,CJ38+CJ45),0)</x:f>
      </x:c>
      <x:c r="CK40" s="122">
        <x:f>IFERROR((CK13+CK11)/MAX(1,CK38+CK45),0)</x:f>
      </x:c>
      <x:c r="CL40" s="122">
        <x:f>IFERROR((CL13+CL11)/MAX(1,CL38+CL45),0)</x:f>
      </x:c>
      <x:c r="CM40" s="122">
        <x:f>IFERROR((CM13+CM11)/MAX(1,CM38+CM45),0)</x:f>
      </x:c>
      <x:c r="CN40" s="122">
        <x:f>IFERROR((CN13+CN11)/MAX(1,CN38+CN45),0)</x:f>
      </x:c>
      <x:c r="CO40" s="122">
        <x:f>IFERROR((CO13+CO11)/MAX(1,CO38+CO45),0)</x:f>
      </x:c>
      <x:c r="CP40" s="122">
        <x:f>IFERROR((CP13+CP11)/MAX(1,CP38+CP45),0)</x:f>
      </x:c>
      <x:c r="CQ40" s="122">
        <x:f>IFERROR((CQ13+CQ11)/MAX(1,CQ38+CQ45),0)</x:f>
      </x:c>
      <x:c r="CR40" s="122">
        <x:f>IFERROR((CR13+CR11)/MAX(1,CR38+CR45),0)</x:f>
      </x:c>
      <x:c r="CS40" s="122">
        <x:f>IFERROR((CS13+CS11)/MAX(1,CS38+CS45),0)</x:f>
      </x:c>
      <x:c r="CT40" s="122">
        <x:f>IFERROR((CT13+CT11)/MAX(1,CT38+CT45),0)</x:f>
      </x:c>
      <x:c r="CU40" s="122">
        <x:f>IFERROR((CU13+CU11)/MAX(1,CU38+CU45),0)</x:f>
      </x:c>
      <x:c r="CV40" s="122">
        <x:f>IFERROR((CV13+CV11)/MAX(1,CV38+CV45),0)</x:f>
      </x:c>
      <x:c r="CW40" s="122">
        <x:f>IFERROR((CW13+CW11)/MAX(1,CW38+CW45),0)</x:f>
      </x:c>
      <x:c r="CX40" s="122">
        <x:f>IFERROR((CX13+CX11)/MAX(1,CX38+CX45),0)</x:f>
      </x:c>
      <x:c r="CY40" s="122">
        <x:f>IFERROR((CY13+CY11)/MAX(1,CY38+CY45),0)</x:f>
      </x:c>
      <x:c r="CZ40" s="122">
        <x:f>IFERROR((CZ13+CZ11)/MAX(1,CZ38+CZ45),0)</x:f>
      </x:c>
      <x:c r="DA40" s="122">
        <x:f>IFERROR((DA13+DA11)/MAX(1,DA38+DA45),0)</x:f>
      </x:c>
      <x:c r="DB40" s="122">
        <x:f>IFERROR((DB13+DB11)/MAX(1,DB38+DB45),0)</x:f>
      </x:c>
      <x:c r="DC40" s="122">
        <x:f>IFERROR((DC13+DC11)/MAX(1,DC38+DC45),0)</x:f>
      </x:c>
      <x:c r="DD40" s="122">
        <x:f>IFERROR((DD13+DD11)/MAX(1,DD38+DD45),0)</x:f>
      </x:c>
      <x:c r="DE40" s="122">
        <x:f>IFERROR((DE13+DE11)/MAX(1,DE38+DE45),0)</x:f>
      </x:c>
      <x:c r="DF40" s="122">
        <x:f>IFERROR((DF13+DF11)/MAX(1,DF38+DF45),0)</x:f>
      </x:c>
      <x:c r="DG40" s="122">
        <x:f>IFERROR((DG13+DG11)/MAX(1,DG38+DG45),0)</x:f>
      </x:c>
      <x:c r="DH40" s="122">
        <x:f>IFERROR((DH13+DH11)/MAX(1,DH38+DH45),0)</x:f>
      </x:c>
      <x:c r="DI40" s="122">
        <x:f>IFERROR((DI13+DI11)/MAX(1,DI38+DI45),0)</x:f>
      </x:c>
      <x:c r="DJ40" s="122">
        <x:f>IFERROR((DJ13+DJ11)/MAX(1,DJ38+DJ45),0)</x:f>
      </x:c>
      <x:c r="DK40" s="122">
        <x:f>IFERROR((DK13+DK11)/MAX(1,DK38+DK45),0)</x:f>
      </x:c>
      <x:c r="DL40" s="122">
        <x:f>IFERROR((DL13+DL11)/MAX(1,DL38+DL45),0)</x:f>
      </x:c>
      <x:c r="DM40" s="122">
        <x:f>IFERROR((DM13+DM11)/MAX(1,DM38+DM45),0)</x:f>
      </x:c>
      <x:c r="DN40" s="122">
        <x:f>IFERROR((DN13+DN11)/MAX(1,DN38+DN45),0)</x:f>
      </x:c>
      <x:c r="DO40" s="122">
        <x:f>IFERROR((DO13+DO11)/MAX(1,DO38+DO45),0)</x:f>
      </x:c>
      <x:c r="DP40" s="122">
        <x:f>IFERROR((DP13+DP11)/MAX(1,DP38+DP45),0)</x:f>
      </x:c>
      <x:c r="DQ40" s="122">
        <x:f>IFERROR((DQ13+DQ11)/MAX(1,DQ38+DQ45),0)</x:f>
      </x:c>
      <x:c r="DR40" s="122">
        <x:f>IFERROR((DR13+DR11)/MAX(1,DR38+DR45),0)</x:f>
      </x:c>
      <x:c r="DS40" s="122">
        <x:f>IFERROR((DS13+DS11)/MAX(1,DS38+DS45),0)</x:f>
      </x:c>
      <x:c r="DT40" s="122">
        <x:f>IFERROR((DT13+DT11)/MAX(1,DT38+DT45),0)</x:f>
      </x:c>
      <x:c r="DU40" s="122">
        <x:f>IFERROR((DU13+DU11)/MAX(1,DU38+DU45),0)</x:f>
      </x:c>
      <x:c r="DV40" s="122">
        <x:f>IFERROR((DV13+DV11)/MAX(1,DV38+DV45),0)</x:f>
      </x:c>
      <x:c r="DW40" s="122">
        <x:f>IFERROR((DW13+DW11)/MAX(1,DW38+DW45),0)</x:f>
      </x:c>
      <x:c r="DX40" s="122">
        <x:f>IFERROR((DX13+DX11)/MAX(1,DX38+DX45),0)</x:f>
      </x:c>
      <x:c r="DY40" s="122">
        <x:f>IFERROR((DY13+DY11)/MAX(1,DY38+DY45),0)</x:f>
      </x:c>
      <x:c r="DZ40" s="122">
        <x:f>IFERROR((DZ13+DZ11)/MAX(1,DZ38+DZ45),0)</x:f>
      </x:c>
      <x:c r="EA40" s="122">
        <x:f>IFERROR((EA13+EA11)/MAX(1,EA38+EA45),0)</x:f>
      </x:c>
      <x:c r="EB40" s="122">
        <x:f>IFERROR((EB13+EB11)/MAX(1,EB38+EB45),0)</x:f>
      </x:c>
      <x:c r="EC40" s="122">
        <x:f>IFERROR((EC13+EC11)/MAX(1,EC38+EC45),0)</x:f>
      </x:c>
      <x:c r="ED40" s="122">
        <x:f>IFERROR((ED13+ED11)/MAX(1,ED38+ED45),0)</x:f>
      </x:c>
      <x:c r="EE40" s="122">
        <x:f>IFERROR((EE13+EE11)/MAX(1,EE38+EE45),0)</x:f>
      </x:c>
      <x:c r="EF40" s="122">
        <x:f>IFERROR((EF13+EF11)/MAX(1,EF38+EF45),0)</x:f>
      </x:c>
      <x:c r="EG40" s="122">
        <x:f>IFERROR((EG13+EG11)/MAX(1,EG38+EG45),0)</x:f>
      </x:c>
      <x:c r="EH40" s="122">
        <x:f>IFERROR((EH13+EH11)/MAX(1,EH38+EH45),0)</x:f>
      </x:c>
      <x:c r="EI40" s="122">
        <x:f>IFERROR((EI13+EI11)/MAX(1,EI38+EI45),0)</x:f>
      </x:c>
      <x:c r="EJ40" s="122">
        <x:f>IFERROR((EJ13+EJ11)/MAX(1,EJ38+EJ45),0)</x:f>
      </x:c>
      <x:c r="EK40" s="122">
        <x:f>IFERROR((EK13+EK11)/MAX(1,EK38+EK45),0)</x:f>
      </x:c>
      <x:c r="EL40" s="122">
        <x:f>IFERROR((EL13+EL11)/MAX(1,EL38+EL45),0)</x:f>
      </x:c>
      <x:c r="EM40" s="122">
        <x:f>IFERROR((EM13+EM11)/MAX(1,EM38+EM45),0)</x:f>
      </x:c>
      <x:c r="EN40" s="122">
        <x:f>IFERROR((EN13+EN11)/MAX(1,EN38+EN45),0)</x:f>
      </x:c>
      <x:c r="EO40" s="122">
        <x:f>IFERROR((EO13+EO11)/MAX(1,EO38+EO45),0)</x:f>
      </x:c>
      <x:c r="EP40" s="122">
        <x:f>IFERROR((EP13+EP11)/MAX(1,EP38+EP45),0)</x:f>
      </x:c>
      <x:c r="EQ40" s="122">
        <x:f>IFERROR((EQ13+EQ11)/MAX(1,EQ38+EQ45),0)</x:f>
      </x:c>
      <x:c r="ER40" s="122">
        <x:f>IFERROR((ER13+ER11)/MAX(1,ER38+ER45),0)</x:f>
      </x:c>
      <x:c r="ES40" s="122">
        <x:f>IFERROR((ES13+ES11)/MAX(1,ES38+ES45),0)</x:f>
      </x:c>
      <x:c r="ET40" s="122">
        <x:f>IFERROR((ET13+ET11)/MAX(1,ET38+ET45),0)</x:f>
      </x:c>
      <x:c r="EU40" s="122">
        <x:f>IFERROR((EU13+EU11)/MAX(1,EU38+EU45),0)</x:f>
      </x:c>
      <x:c r="EV40" s="122">
        <x:f>IFERROR((EV13+EV11)/MAX(1,EV38+EV45),0)</x:f>
      </x:c>
      <x:c r="EW40" s="122">
        <x:f>IFERROR((EW13+EW11)/MAX(1,EW38+EW45),0)</x:f>
      </x:c>
      <x:c r="EX40" s="122">
        <x:f>IFERROR((EX13+EX11)/MAX(1,EX38+EX45),0)</x:f>
      </x:c>
      <x:c r="EY40" s="122">
        <x:f>IFERROR((EY13+EY11)/MAX(1,EY38+EY45),0)</x:f>
      </x:c>
      <x:c r="EZ40" s="122">
        <x:f>IFERROR((EZ13+EZ11)/MAX(1,EZ38+EZ45),0)</x:f>
      </x:c>
      <x:c r="FA40" s="122">
        <x:f>IFERROR((FA13+FA11)/MAX(1,FA38+FA45),0)</x:f>
      </x:c>
      <x:c r="FB40" s="122">
        <x:f>IFERROR((FB13+FB11)/MAX(1,FB38+FB45),0)</x:f>
      </x:c>
      <x:c r="FC40" s="122">
        <x:f>IFERROR((FC13+FC11)/MAX(1,FC38+FC45),0)</x:f>
      </x:c>
      <x:c r="FD40" s="122">
        <x:f>IFERROR((FD13+FD11)/MAX(1,FD38+FD45),0)</x:f>
      </x:c>
      <x:c r="FE40" s="122">
        <x:f>IFERROR((FE13+FE11)/MAX(1,FE38+FE45),0)</x:f>
      </x:c>
      <x:c r="FF40" s="122">
        <x:f>IFERROR((FF13+FF11)/MAX(1,FF38+FF45),0)</x:f>
      </x:c>
      <x:c r="FG40" s="122">
        <x:f>IFERROR((FG13+FG11)/MAX(1,FG38+FG45),0)</x:f>
      </x:c>
      <x:c r="FH40" s="122">
        <x:f>IFERROR((FH13+FH11)/MAX(1,FH38+FH45),0)</x:f>
      </x:c>
      <x:c r="FI40" s="122">
        <x:f>IFERROR((FI13+FI11)/MAX(1,FI38+FI45),0)</x:f>
      </x:c>
      <x:c r="FJ40" s="122">
        <x:f>IFERROR((FJ13+FJ11)/MAX(1,FJ38+FJ45),0)</x:f>
      </x:c>
      <x:c r="FK40" s="122">
        <x:f>IFERROR((FK13+FK11)/MAX(1,FK38+FK45),0)</x:f>
      </x:c>
      <x:c r="FL40" s="122">
        <x:f>IFERROR((FL13+FL11)/MAX(1,FL38+FL45),0)</x:f>
      </x:c>
      <x:c r="FM40" s="122">
        <x:f>IFERROR((FM13+FM11)/MAX(1,FM38+FM45),0)</x:f>
      </x:c>
      <x:c r="FN40" s="122">
        <x:f>IFERROR((FN13+FN11)/MAX(1,FN38+FN45),0)</x:f>
      </x:c>
      <x:c r="FO40" s="122">
        <x:f>IFERROR((FO13+FO11)/MAX(1,FO38+FO45),0)</x:f>
      </x:c>
      <x:c r="FP40" s="122">
        <x:f>IFERROR((FP13+FP11)/MAX(1,FP38+FP45),0)</x:f>
      </x:c>
      <x:c r="FQ40" s="122">
        <x:f>IFERROR((FQ13+FQ11)/MAX(1,FQ38+FQ45),0)</x:f>
      </x:c>
      <x:c r="FR40" s="122">
        <x:f>IFERROR((FR13+FR11)/MAX(1,FR38+FR45),0)</x:f>
      </x:c>
      <x:c r="FS40" s="122">
        <x:f>IFERROR((FS13+FS11)/MAX(1,FS38+FS45),0)</x:f>
      </x:c>
      <x:c r="FT40" s="122">
        <x:f>IFERROR((FT13+FT11)/MAX(1,FT38+FT45),0)</x:f>
      </x:c>
      <x:c r="FU40" s="122">
        <x:f>IFERROR((FU13+FU11)/MAX(1,FU38+FU45),0)</x:f>
      </x:c>
      <x:c r="FV40" s="122">
        <x:f>IFERROR((FV13+FV11)/MAX(1,FV38+FV45),0)</x:f>
      </x:c>
      <x:c r="FW40" s="122">
        <x:f>IFERROR((FW13+FW11)/MAX(1,FW38+FW45),0)</x:f>
      </x:c>
      <x:c r="FX40" s="122">
        <x:f>IFERROR((FX13+FX11)/MAX(1,FX38+FX45),0)</x:f>
      </x:c>
      <x:c r="FY40" s="122">
        <x:f>IFERROR((FY13+FY11)/MAX(1,FY38+FY45),0)</x:f>
      </x:c>
      <x:c r="FZ40" s="122">
        <x:f>IFERROR((FZ13+FZ11)/MAX(1,FZ38+FZ45),0)</x:f>
      </x:c>
      <x:c r="GA40" s="122">
        <x:f>IFERROR((GA13+GA11)/MAX(1,GA38+GA45),0)</x:f>
      </x:c>
    </x:row>
    <x:row r="41">
      <x:c r="A41" t="str">
        <x:v>ПФ — эффективная ставка</x:v>
      </x:c>
      <x:c r="B41" t="n">
        <x:f>IFERROR(SUMPRODUCT(D41:GA41,--(D38:GA38&gt;0))/COUNTIF(D38:GA38,"&gt;0"),0)</x:f>
      </x:c>
      <x:c r="C41" t="str">
        <x:v>% год</x:v>
      </x:c>
      <x:c r="D41" s="121" t="n">
        <x:f>D39*(1-MIN(1,D40))+'Вводные'!$B$28*MIN(1,D40)</x:f>
      </x:c>
      <x:c r="E41" s="121" t="n">
        <x:f>E39*(1-MIN(1,E40))+'Вводные'!$B$28*MIN(1,E40)</x:f>
      </x:c>
      <x:c r="F41" s="121" t="n">
        <x:f>F39*(1-MIN(1,F40))+'Вводные'!$B$28*MIN(1,F40)</x:f>
      </x:c>
      <x:c r="G41" s="121" t="n">
        <x:f>G39*(1-MIN(1,G40))+'Вводные'!$B$28*MIN(1,G40)</x:f>
      </x:c>
      <x:c r="H41" s="121" t="n">
        <x:f>H39*(1-MIN(1,H40))+'Вводные'!$B$28*MIN(1,H40)</x:f>
      </x:c>
      <x:c r="I41" s="121" t="n">
        <x:f>I39*(1-MIN(1,I40))+'Вводные'!$B$28*MIN(1,I40)</x:f>
      </x:c>
      <x:c r="J41" s="121" t="n">
        <x:f>J39*(1-MIN(1,J40))+'Вводные'!$B$28*MIN(1,J40)</x:f>
      </x:c>
      <x:c r="K41" s="121" t="n">
        <x:f>K39*(1-MIN(1,K40))+'Вводные'!$B$28*MIN(1,K40)</x:f>
      </x:c>
      <x:c r="L41" s="121" t="n">
        <x:f>L39*(1-MIN(1,L40))+'Вводные'!$B$28*MIN(1,L40)</x:f>
      </x:c>
      <x:c r="M41" s="121" t="n">
        <x:f>M39*(1-MIN(1,M40))+'Вводные'!$B$28*MIN(1,M40)</x:f>
      </x:c>
      <x:c r="N41" s="121" t="n">
        <x:f>N39*(1-MIN(1,N40))+'Вводные'!$B$28*MIN(1,N40)</x:f>
      </x:c>
      <x:c r="O41" s="121" t="n">
        <x:f>O39*(1-MIN(1,O40))+'Вводные'!$B$28*MIN(1,O40)</x:f>
      </x:c>
      <x:c r="P41" s="121" t="n">
        <x:f>P39*(1-MIN(1,P40))+'Вводные'!$B$28*MIN(1,P40)</x:f>
      </x:c>
      <x:c r="Q41" s="121" t="n">
        <x:f>Q39*(1-MIN(1,Q40))+'Вводные'!$B$28*MIN(1,Q40)</x:f>
      </x:c>
      <x:c r="R41" s="121" t="n">
        <x:f>R39*(1-MIN(1,R40))+'Вводные'!$B$28*MIN(1,R40)</x:f>
      </x:c>
      <x:c r="S41" s="121" t="n">
        <x:f>S39*(1-MIN(1,S40))+'Вводные'!$B$28*MIN(1,S40)</x:f>
      </x:c>
      <x:c r="T41" s="121" t="n">
        <x:f>T39*(1-MIN(1,T40))+'Вводные'!$B$28*MIN(1,T40)</x:f>
      </x:c>
      <x:c r="U41" s="121" t="n">
        <x:f>U39*(1-MIN(1,U40))+'Вводные'!$B$28*MIN(1,U40)</x:f>
      </x:c>
      <x:c r="V41" s="121" t="n">
        <x:f>V39*(1-MIN(1,V40))+'Вводные'!$B$28*MIN(1,V40)</x:f>
      </x:c>
      <x:c r="W41" s="121" t="n">
        <x:f>W39*(1-MIN(1,W40))+'Вводные'!$B$28*MIN(1,W40)</x:f>
      </x:c>
      <x:c r="X41" s="121" t="n">
        <x:f>X39*(1-MIN(1,X40))+'Вводные'!$B$28*MIN(1,X40)</x:f>
      </x:c>
      <x:c r="Y41" s="121" t="n">
        <x:f>Y39*(1-MIN(1,Y40))+'Вводные'!$B$28*MIN(1,Y40)</x:f>
      </x:c>
      <x:c r="Z41" s="121" t="n">
        <x:f>Z39*(1-MIN(1,Z40))+'Вводные'!$B$28*MIN(1,Z40)</x:f>
      </x:c>
      <x:c r="AA41" s="121" t="n">
        <x:f>AA39*(1-MIN(1,AA40))+'Вводные'!$B$28*MIN(1,AA40)</x:f>
      </x:c>
      <x:c r="AB41" s="121" t="n">
        <x:f>AB39*(1-MIN(1,AB40))+'Вводные'!$B$28*MIN(1,AB40)</x:f>
      </x:c>
      <x:c r="AC41" s="121" t="n">
        <x:f>AC39*(1-MIN(1,AC40))+'Вводные'!$B$28*MIN(1,AC40)</x:f>
      </x:c>
      <x:c r="AD41" s="121" t="n">
        <x:f>AD39*(1-MIN(1,AD40))+'Вводные'!$B$28*MIN(1,AD40)</x:f>
      </x:c>
      <x:c r="AE41" s="121" t="n">
        <x:f>AE39*(1-MIN(1,AE40))+'Вводные'!$B$28*MIN(1,AE40)</x:f>
      </x:c>
      <x:c r="AF41" s="121" t="n">
        <x:f>AF39*(1-MIN(1,AF40))+'Вводные'!$B$28*MIN(1,AF40)</x:f>
      </x:c>
      <x:c r="AG41" s="121" t="n">
        <x:f>AG39*(1-MIN(1,AG40))+'Вводные'!$B$28*MIN(1,AG40)</x:f>
      </x:c>
      <x:c r="AH41" s="121" t="n">
        <x:f>AH39*(1-MIN(1,AH40))+'Вводные'!$B$28*MIN(1,AH40)</x:f>
      </x:c>
      <x:c r="AI41" s="121" t="n">
        <x:f>AI39*(1-MIN(1,AI40))+'Вводные'!$B$28*MIN(1,AI40)</x:f>
      </x:c>
      <x:c r="AJ41" s="121" t="n">
        <x:f>AJ39*(1-MIN(1,AJ40))+'Вводные'!$B$28*MIN(1,AJ40)</x:f>
      </x:c>
      <x:c r="AK41" s="121" t="n">
        <x:f>AK39*(1-MIN(1,AK40))+'Вводные'!$B$28*MIN(1,AK40)</x:f>
      </x:c>
      <x:c r="AL41" s="121" t="n">
        <x:f>AL39*(1-MIN(1,AL40))+'Вводные'!$B$28*MIN(1,AL40)</x:f>
      </x:c>
      <x:c r="AM41" s="121" t="n">
        <x:f>AM39*(1-MIN(1,AM40))+'Вводные'!$B$28*MIN(1,AM40)</x:f>
      </x:c>
      <x:c r="AN41" s="121" t="n">
        <x:f>AN39*(1-MIN(1,AN40))+'Вводные'!$B$28*MIN(1,AN40)</x:f>
      </x:c>
      <x:c r="AO41" s="121" t="n">
        <x:f>AO39*(1-MIN(1,AO40))+'Вводные'!$B$28*MIN(1,AO40)</x:f>
      </x:c>
      <x:c r="AP41" s="121" t="n">
        <x:f>AP39*(1-MIN(1,AP40))+'Вводные'!$B$28*MIN(1,AP40)</x:f>
      </x:c>
      <x:c r="AQ41" s="121" t="n">
        <x:f>AQ39*(1-MIN(1,AQ40))+'Вводные'!$B$28*MIN(1,AQ40)</x:f>
      </x:c>
      <x:c r="AR41" s="121" t="n">
        <x:f>AR39*(1-MIN(1,AR40))+'Вводные'!$B$28*MIN(1,AR40)</x:f>
      </x:c>
      <x:c r="AS41" s="121" t="n">
        <x:f>AS39*(1-MIN(1,AS40))+'Вводные'!$B$28*MIN(1,AS40)</x:f>
      </x:c>
      <x:c r="AT41" s="121" t="n">
        <x:f>AT39*(1-MIN(1,AT40))+'Вводные'!$B$28*MIN(1,AT40)</x:f>
      </x:c>
      <x:c r="AU41" s="121" t="n">
        <x:f>AU39*(1-MIN(1,AU40))+'Вводные'!$B$28*MIN(1,AU40)</x:f>
      </x:c>
      <x:c r="AV41" s="121" t="n">
        <x:f>AV39*(1-MIN(1,AV40))+'Вводные'!$B$28*MIN(1,AV40)</x:f>
      </x:c>
      <x:c r="AW41" s="121" t="n">
        <x:f>AW39*(1-MIN(1,AW40))+'Вводные'!$B$28*MIN(1,AW40)</x:f>
      </x:c>
      <x:c r="AX41" s="121" t="n">
        <x:f>AX39*(1-MIN(1,AX40))+'Вводные'!$B$28*MIN(1,AX40)</x:f>
      </x:c>
      <x:c r="AY41" s="121" t="n">
        <x:f>AY39*(1-MIN(1,AY40))+'Вводные'!$B$28*MIN(1,AY40)</x:f>
      </x:c>
      <x:c r="AZ41" s="121" t="n">
        <x:f>AZ39*(1-MIN(1,AZ40))+'Вводные'!$B$28*MIN(1,AZ40)</x:f>
      </x:c>
      <x:c r="BA41" s="121" t="n">
        <x:f>BA39*(1-MIN(1,BA40))+'Вводные'!$B$28*MIN(1,BA40)</x:f>
      </x:c>
      <x:c r="BB41" s="121" t="n">
        <x:f>BB39*(1-MIN(1,BB40))+'Вводные'!$B$28*MIN(1,BB40)</x:f>
      </x:c>
      <x:c r="BC41" s="121" t="n">
        <x:f>BC39*(1-MIN(1,BC40))+'Вводные'!$B$28*MIN(1,BC40)</x:f>
      </x:c>
      <x:c r="BD41" s="121" t="n">
        <x:f>BD39*(1-MIN(1,BD40))+'Вводные'!$B$28*MIN(1,BD40)</x:f>
      </x:c>
      <x:c r="BE41" s="121" t="n">
        <x:f>BE39*(1-MIN(1,BE40))+'Вводные'!$B$28*MIN(1,BE40)</x:f>
      </x:c>
      <x:c r="BF41" s="121" t="n">
        <x:f>BF39*(1-MIN(1,BF40))+'Вводные'!$B$28*MIN(1,BF40)</x:f>
      </x:c>
      <x:c r="BG41" s="121" t="n">
        <x:f>BG39*(1-MIN(1,BG40))+'Вводные'!$B$28*MIN(1,BG40)</x:f>
      </x:c>
      <x:c r="BH41" s="121" t="n">
        <x:f>BH39*(1-MIN(1,BH40))+'Вводные'!$B$28*MIN(1,BH40)</x:f>
      </x:c>
      <x:c r="BI41" s="121" t="n">
        <x:f>BI39*(1-MIN(1,BI40))+'Вводные'!$B$28*MIN(1,BI40)</x:f>
      </x:c>
      <x:c r="BJ41" s="121" t="n">
        <x:f>BJ39*(1-MIN(1,BJ40))+'Вводные'!$B$28*MIN(1,BJ40)</x:f>
      </x:c>
      <x:c r="BK41" s="121" t="n">
        <x:f>BK39*(1-MIN(1,BK40))+'Вводные'!$B$28*MIN(1,BK40)</x:f>
      </x:c>
      <x:c r="BL41" s="121" t="n">
        <x:f>BL39*(1-MIN(1,BL40))+'Вводные'!$B$28*MIN(1,BL40)</x:f>
      </x:c>
      <x:c r="BM41" s="121" t="n">
        <x:f>BM39*(1-MIN(1,BM40))+'Вводные'!$B$28*MIN(1,BM40)</x:f>
      </x:c>
      <x:c r="BN41" s="121" t="n">
        <x:f>BN39*(1-MIN(1,BN40))+'Вводные'!$B$28*MIN(1,BN40)</x:f>
      </x:c>
      <x:c r="BO41" s="121" t="n">
        <x:f>BO39*(1-MIN(1,BO40))+'Вводные'!$B$28*MIN(1,BO40)</x:f>
      </x:c>
      <x:c r="BP41" s="121" t="n">
        <x:f>BP39*(1-MIN(1,BP40))+'Вводные'!$B$28*MIN(1,BP40)</x:f>
      </x:c>
      <x:c r="BQ41" s="121" t="n">
        <x:f>BQ39*(1-MIN(1,BQ40))+'Вводные'!$B$28*MIN(1,BQ40)</x:f>
      </x:c>
      <x:c r="BR41" s="121" t="n">
        <x:f>BR39*(1-MIN(1,BR40))+'Вводные'!$B$28*MIN(1,BR40)</x:f>
      </x:c>
      <x:c r="BS41" s="121" t="n">
        <x:f>BS39*(1-MIN(1,BS40))+'Вводные'!$B$28*MIN(1,BS40)</x:f>
      </x:c>
      <x:c r="BT41" s="121" t="n">
        <x:f>BT39*(1-MIN(1,BT40))+'Вводные'!$B$28*MIN(1,BT40)</x:f>
      </x:c>
      <x:c r="BU41" s="121" t="n">
        <x:f>BU39*(1-MIN(1,BU40))+'Вводные'!$B$28*MIN(1,BU40)</x:f>
      </x:c>
      <x:c r="BV41" s="121" t="n">
        <x:f>BV39*(1-MIN(1,BV40))+'Вводные'!$B$28*MIN(1,BV40)</x:f>
      </x:c>
      <x:c r="BW41" s="121" t="n">
        <x:f>BW39*(1-MIN(1,BW40))+'Вводные'!$B$28*MIN(1,BW40)</x:f>
      </x:c>
      <x:c r="BX41" s="121" t="n">
        <x:f>BX39*(1-MIN(1,BX40))+'Вводные'!$B$28*MIN(1,BX40)</x:f>
      </x:c>
      <x:c r="BY41" s="121" t="n">
        <x:f>BY39*(1-MIN(1,BY40))+'Вводные'!$B$28*MIN(1,BY40)</x:f>
      </x:c>
      <x:c r="BZ41" s="121" t="n">
        <x:f>BZ39*(1-MIN(1,BZ40))+'Вводные'!$B$28*MIN(1,BZ40)</x:f>
      </x:c>
      <x:c r="CA41" s="121" t="n">
        <x:f>CA39*(1-MIN(1,CA40))+'Вводные'!$B$28*MIN(1,CA40)</x:f>
      </x:c>
      <x:c r="CB41" s="121" t="n">
        <x:f>CB39*(1-MIN(1,CB40))+'Вводные'!$B$28*MIN(1,CB40)</x:f>
      </x:c>
      <x:c r="CC41" s="121" t="n">
        <x:f>CC39*(1-MIN(1,CC40))+'Вводные'!$B$28*MIN(1,CC40)</x:f>
      </x:c>
      <x:c r="CD41" s="121" t="n">
        <x:f>CD39*(1-MIN(1,CD40))+'Вводные'!$B$28*MIN(1,CD40)</x:f>
      </x:c>
      <x:c r="CE41" s="121" t="n">
        <x:f>CE39*(1-MIN(1,CE40))+'Вводные'!$B$28*MIN(1,CE40)</x:f>
      </x:c>
      <x:c r="CF41" s="121" t="n">
        <x:f>CF39*(1-MIN(1,CF40))+'Вводные'!$B$28*MIN(1,CF40)</x:f>
      </x:c>
      <x:c r="CG41" s="121" t="n">
        <x:f>CG39*(1-MIN(1,CG40))+'Вводные'!$B$28*MIN(1,CG40)</x:f>
      </x:c>
      <x:c r="CH41" s="121" t="n">
        <x:f>CH39*(1-MIN(1,CH40))+'Вводные'!$B$28*MIN(1,CH40)</x:f>
      </x:c>
      <x:c r="CI41" s="121" t="n">
        <x:f>CI39*(1-MIN(1,CI40))+'Вводные'!$B$28*MIN(1,CI40)</x:f>
      </x:c>
      <x:c r="CJ41" s="121" t="n">
        <x:f>CJ39*(1-MIN(1,CJ40))+'Вводные'!$B$28*MIN(1,CJ40)</x:f>
      </x:c>
      <x:c r="CK41" s="121" t="n">
        <x:f>CK39*(1-MIN(1,CK40))+'Вводные'!$B$28*MIN(1,CK40)</x:f>
      </x:c>
      <x:c r="CL41" s="121" t="n">
        <x:f>CL39*(1-MIN(1,CL40))+'Вводные'!$B$28*MIN(1,CL40)</x:f>
      </x:c>
      <x:c r="CM41" s="121" t="n">
        <x:f>CM39*(1-MIN(1,CM40))+'Вводные'!$B$28*MIN(1,CM40)</x:f>
      </x:c>
      <x:c r="CN41" s="121" t="n">
        <x:f>CN39*(1-MIN(1,CN40))+'Вводные'!$B$28*MIN(1,CN40)</x:f>
      </x:c>
      <x:c r="CO41" s="121" t="n">
        <x:f>CO39*(1-MIN(1,CO40))+'Вводные'!$B$28*MIN(1,CO40)</x:f>
      </x:c>
      <x:c r="CP41" s="121" t="n">
        <x:f>CP39*(1-MIN(1,CP40))+'Вводные'!$B$28*MIN(1,CP40)</x:f>
      </x:c>
      <x:c r="CQ41" s="121" t="n">
        <x:f>CQ39*(1-MIN(1,CQ40))+'Вводные'!$B$28*MIN(1,CQ40)</x:f>
      </x:c>
      <x:c r="CR41" s="121" t="n">
        <x:f>CR39*(1-MIN(1,CR40))+'Вводные'!$B$28*MIN(1,CR40)</x:f>
      </x:c>
      <x:c r="CS41" s="121" t="n">
        <x:f>CS39*(1-MIN(1,CS40))+'Вводные'!$B$28*MIN(1,CS40)</x:f>
      </x:c>
      <x:c r="CT41" s="121" t="n">
        <x:f>CT39*(1-MIN(1,CT40))+'Вводные'!$B$28*MIN(1,CT40)</x:f>
      </x:c>
      <x:c r="CU41" s="121" t="n">
        <x:f>CU39*(1-MIN(1,CU40))+'Вводные'!$B$28*MIN(1,CU40)</x:f>
      </x:c>
      <x:c r="CV41" s="121" t="n">
        <x:f>CV39*(1-MIN(1,CV40))+'Вводные'!$B$28*MIN(1,CV40)</x:f>
      </x:c>
      <x:c r="CW41" s="121" t="n">
        <x:f>CW39*(1-MIN(1,CW40))+'Вводные'!$B$28*MIN(1,CW40)</x:f>
      </x:c>
      <x:c r="CX41" s="121" t="n">
        <x:f>CX39*(1-MIN(1,CX40))+'Вводные'!$B$28*MIN(1,CX40)</x:f>
      </x:c>
      <x:c r="CY41" s="121" t="n">
        <x:f>CY39*(1-MIN(1,CY40))+'Вводные'!$B$28*MIN(1,CY40)</x:f>
      </x:c>
      <x:c r="CZ41" s="121" t="n">
        <x:f>CZ39*(1-MIN(1,CZ40))+'Вводные'!$B$28*MIN(1,CZ40)</x:f>
      </x:c>
      <x:c r="DA41" s="121" t="n">
        <x:f>DA39*(1-MIN(1,DA40))+'Вводные'!$B$28*MIN(1,DA40)</x:f>
      </x:c>
      <x:c r="DB41" s="121" t="n">
        <x:f>DB39*(1-MIN(1,DB40))+'Вводные'!$B$28*MIN(1,DB40)</x:f>
      </x:c>
      <x:c r="DC41" s="121" t="n">
        <x:f>DC39*(1-MIN(1,DC40))+'Вводные'!$B$28*MIN(1,DC40)</x:f>
      </x:c>
      <x:c r="DD41" s="121" t="n">
        <x:f>DD39*(1-MIN(1,DD40))+'Вводные'!$B$28*MIN(1,DD40)</x:f>
      </x:c>
      <x:c r="DE41" s="121" t="n">
        <x:f>DE39*(1-MIN(1,DE40))+'Вводные'!$B$28*MIN(1,DE40)</x:f>
      </x:c>
      <x:c r="DF41" s="121" t="n">
        <x:f>DF39*(1-MIN(1,DF40))+'Вводные'!$B$28*MIN(1,DF40)</x:f>
      </x:c>
      <x:c r="DG41" s="121" t="n">
        <x:f>DG39*(1-MIN(1,DG40))+'Вводные'!$B$28*MIN(1,DG40)</x:f>
      </x:c>
      <x:c r="DH41" s="121" t="n">
        <x:f>DH39*(1-MIN(1,DH40))+'Вводные'!$B$28*MIN(1,DH40)</x:f>
      </x:c>
      <x:c r="DI41" s="121" t="n">
        <x:f>DI39*(1-MIN(1,DI40))+'Вводные'!$B$28*MIN(1,DI40)</x:f>
      </x:c>
      <x:c r="DJ41" s="121" t="n">
        <x:f>DJ39*(1-MIN(1,DJ40))+'Вводные'!$B$28*MIN(1,DJ40)</x:f>
      </x:c>
      <x:c r="DK41" s="121" t="n">
        <x:f>DK39*(1-MIN(1,DK40))+'Вводные'!$B$28*MIN(1,DK40)</x:f>
      </x:c>
      <x:c r="DL41" s="121" t="n">
        <x:f>DL39*(1-MIN(1,DL40))+'Вводные'!$B$28*MIN(1,DL40)</x:f>
      </x:c>
      <x:c r="DM41" s="121" t="n">
        <x:f>DM39*(1-MIN(1,DM40))+'Вводные'!$B$28*MIN(1,DM40)</x:f>
      </x:c>
      <x:c r="DN41" s="121" t="n">
        <x:f>DN39*(1-MIN(1,DN40))+'Вводные'!$B$28*MIN(1,DN40)</x:f>
      </x:c>
      <x:c r="DO41" s="121" t="n">
        <x:f>DO39*(1-MIN(1,DO40))+'Вводные'!$B$28*MIN(1,DO40)</x:f>
      </x:c>
      <x:c r="DP41" s="121" t="n">
        <x:f>DP39*(1-MIN(1,DP40))+'Вводные'!$B$28*MIN(1,DP40)</x:f>
      </x:c>
      <x:c r="DQ41" s="121" t="n">
        <x:f>DQ39*(1-MIN(1,DQ40))+'Вводные'!$B$28*MIN(1,DQ40)</x:f>
      </x:c>
      <x:c r="DR41" s="121" t="n">
        <x:f>DR39*(1-MIN(1,DR40))+'Вводные'!$B$28*MIN(1,DR40)</x:f>
      </x:c>
      <x:c r="DS41" s="121" t="n">
        <x:f>DS39*(1-MIN(1,DS40))+'Вводные'!$B$28*MIN(1,DS40)</x:f>
      </x:c>
      <x:c r="DT41" s="121" t="n">
        <x:f>DT39*(1-MIN(1,DT40))+'Вводные'!$B$28*MIN(1,DT40)</x:f>
      </x:c>
      <x:c r="DU41" s="121" t="n">
        <x:f>DU39*(1-MIN(1,DU40))+'Вводные'!$B$28*MIN(1,DU40)</x:f>
      </x:c>
      <x:c r="DV41" s="121" t="n">
        <x:f>DV39*(1-MIN(1,DV40))+'Вводные'!$B$28*MIN(1,DV40)</x:f>
      </x:c>
      <x:c r="DW41" s="121" t="n">
        <x:f>DW39*(1-MIN(1,DW40))+'Вводные'!$B$28*MIN(1,DW40)</x:f>
      </x:c>
      <x:c r="DX41" s="121" t="n">
        <x:f>DX39*(1-MIN(1,DX40))+'Вводные'!$B$28*MIN(1,DX40)</x:f>
      </x:c>
      <x:c r="DY41" s="121" t="n">
        <x:f>DY39*(1-MIN(1,DY40))+'Вводные'!$B$28*MIN(1,DY40)</x:f>
      </x:c>
      <x:c r="DZ41" s="121" t="n">
        <x:f>DZ39*(1-MIN(1,DZ40))+'Вводные'!$B$28*MIN(1,DZ40)</x:f>
      </x:c>
      <x:c r="EA41" s="121" t="n">
        <x:f>EA39*(1-MIN(1,EA40))+'Вводные'!$B$28*MIN(1,EA40)</x:f>
      </x:c>
      <x:c r="EB41" s="121" t="n">
        <x:f>EB39*(1-MIN(1,EB40))+'Вводные'!$B$28*MIN(1,EB40)</x:f>
      </x:c>
      <x:c r="EC41" s="121" t="n">
        <x:f>EC39*(1-MIN(1,EC40))+'Вводные'!$B$28*MIN(1,EC40)</x:f>
      </x:c>
      <x:c r="ED41" s="121" t="n">
        <x:f>ED39*(1-MIN(1,ED40))+'Вводные'!$B$28*MIN(1,ED40)</x:f>
      </x:c>
      <x:c r="EE41" s="121" t="n">
        <x:f>EE39*(1-MIN(1,EE40))+'Вводные'!$B$28*MIN(1,EE40)</x:f>
      </x:c>
      <x:c r="EF41" s="121" t="n">
        <x:f>EF39*(1-MIN(1,EF40))+'Вводные'!$B$28*MIN(1,EF40)</x:f>
      </x:c>
      <x:c r="EG41" s="121" t="n">
        <x:f>EG39*(1-MIN(1,EG40))+'Вводные'!$B$28*MIN(1,EG40)</x:f>
      </x:c>
      <x:c r="EH41" s="121" t="n">
        <x:f>EH39*(1-MIN(1,EH40))+'Вводные'!$B$28*MIN(1,EH40)</x:f>
      </x:c>
      <x:c r="EI41" s="121" t="n">
        <x:f>EI39*(1-MIN(1,EI40))+'Вводные'!$B$28*MIN(1,EI40)</x:f>
      </x:c>
      <x:c r="EJ41" s="121" t="n">
        <x:f>EJ39*(1-MIN(1,EJ40))+'Вводные'!$B$28*MIN(1,EJ40)</x:f>
      </x:c>
      <x:c r="EK41" s="121" t="n">
        <x:f>EK39*(1-MIN(1,EK40))+'Вводные'!$B$28*MIN(1,EK40)</x:f>
      </x:c>
      <x:c r="EL41" s="121" t="n">
        <x:f>EL39*(1-MIN(1,EL40))+'Вводные'!$B$28*MIN(1,EL40)</x:f>
      </x:c>
      <x:c r="EM41" s="121" t="n">
        <x:f>EM39*(1-MIN(1,EM40))+'Вводные'!$B$28*MIN(1,EM40)</x:f>
      </x:c>
      <x:c r="EN41" s="121" t="n">
        <x:f>EN39*(1-MIN(1,EN40))+'Вводные'!$B$28*MIN(1,EN40)</x:f>
      </x:c>
      <x:c r="EO41" s="121" t="n">
        <x:f>EO39*(1-MIN(1,EO40))+'Вводные'!$B$28*MIN(1,EO40)</x:f>
      </x:c>
      <x:c r="EP41" s="121" t="n">
        <x:f>EP39*(1-MIN(1,EP40))+'Вводные'!$B$28*MIN(1,EP40)</x:f>
      </x:c>
      <x:c r="EQ41" s="121" t="n">
        <x:f>EQ39*(1-MIN(1,EQ40))+'Вводные'!$B$28*MIN(1,EQ40)</x:f>
      </x:c>
      <x:c r="ER41" s="121" t="n">
        <x:f>ER39*(1-MIN(1,ER40))+'Вводные'!$B$28*MIN(1,ER40)</x:f>
      </x:c>
      <x:c r="ES41" s="121" t="n">
        <x:f>ES39*(1-MIN(1,ES40))+'Вводные'!$B$28*MIN(1,ES40)</x:f>
      </x:c>
      <x:c r="ET41" s="121" t="n">
        <x:f>ET39*(1-MIN(1,ET40))+'Вводные'!$B$28*MIN(1,ET40)</x:f>
      </x:c>
      <x:c r="EU41" s="121" t="n">
        <x:f>EU39*(1-MIN(1,EU40))+'Вводные'!$B$28*MIN(1,EU40)</x:f>
      </x:c>
      <x:c r="EV41" s="121" t="n">
        <x:f>EV39*(1-MIN(1,EV40))+'Вводные'!$B$28*MIN(1,EV40)</x:f>
      </x:c>
      <x:c r="EW41" s="121" t="n">
        <x:f>EW39*(1-MIN(1,EW40))+'Вводные'!$B$28*MIN(1,EW40)</x:f>
      </x:c>
      <x:c r="EX41" s="121" t="n">
        <x:f>EX39*(1-MIN(1,EX40))+'Вводные'!$B$28*MIN(1,EX40)</x:f>
      </x:c>
      <x:c r="EY41" s="121" t="n">
        <x:f>EY39*(1-MIN(1,EY40))+'Вводные'!$B$28*MIN(1,EY40)</x:f>
      </x:c>
      <x:c r="EZ41" s="121" t="n">
        <x:f>EZ39*(1-MIN(1,EZ40))+'Вводные'!$B$28*MIN(1,EZ40)</x:f>
      </x:c>
      <x:c r="FA41" s="121" t="n">
        <x:f>FA39*(1-MIN(1,FA40))+'Вводные'!$B$28*MIN(1,FA40)</x:f>
      </x:c>
      <x:c r="FB41" s="121" t="n">
        <x:f>FB39*(1-MIN(1,FB40))+'Вводные'!$B$28*MIN(1,FB40)</x:f>
      </x:c>
      <x:c r="FC41" s="121" t="n">
        <x:f>FC39*(1-MIN(1,FC40))+'Вводные'!$B$28*MIN(1,FC40)</x:f>
      </x:c>
      <x:c r="FD41" s="121" t="n">
        <x:f>FD39*(1-MIN(1,FD40))+'Вводные'!$B$28*MIN(1,FD40)</x:f>
      </x:c>
      <x:c r="FE41" s="121" t="n">
        <x:f>FE39*(1-MIN(1,FE40))+'Вводные'!$B$28*MIN(1,FE40)</x:f>
      </x:c>
      <x:c r="FF41" s="121" t="n">
        <x:f>FF39*(1-MIN(1,FF40))+'Вводные'!$B$28*MIN(1,FF40)</x:f>
      </x:c>
      <x:c r="FG41" s="121" t="n">
        <x:f>FG39*(1-MIN(1,FG40))+'Вводные'!$B$28*MIN(1,FG40)</x:f>
      </x:c>
      <x:c r="FH41" s="121" t="n">
        <x:f>FH39*(1-MIN(1,FH40))+'Вводные'!$B$28*MIN(1,FH40)</x:f>
      </x:c>
      <x:c r="FI41" s="121" t="n">
        <x:f>FI39*(1-MIN(1,FI40))+'Вводные'!$B$28*MIN(1,FI40)</x:f>
      </x:c>
      <x:c r="FJ41" s="121" t="n">
        <x:f>FJ39*(1-MIN(1,FJ40))+'Вводные'!$B$28*MIN(1,FJ40)</x:f>
      </x:c>
      <x:c r="FK41" s="121" t="n">
        <x:f>FK39*(1-MIN(1,FK40))+'Вводные'!$B$28*MIN(1,FK40)</x:f>
      </x:c>
      <x:c r="FL41" s="121" t="n">
        <x:f>FL39*(1-MIN(1,FL40))+'Вводные'!$B$28*MIN(1,FL40)</x:f>
      </x:c>
      <x:c r="FM41" s="121" t="n">
        <x:f>FM39*(1-MIN(1,FM40))+'Вводные'!$B$28*MIN(1,FM40)</x:f>
      </x:c>
      <x:c r="FN41" s="121" t="n">
        <x:f>FN39*(1-MIN(1,FN40))+'Вводные'!$B$28*MIN(1,FN40)</x:f>
      </x:c>
      <x:c r="FO41" s="121" t="n">
        <x:f>FO39*(1-MIN(1,FO40))+'Вводные'!$B$28*MIN(1,FO40)</x:f>
      </x:c>
      <x:c r="FP41" s="121" t="n">
        <x:f>FP39*(1-MIN(1,FP40))+'Вводные'!$B$28*MIN(1,FP40)</x:f>
      </x:c>
      <x:c r="FQ41" s="121" t="n">
        <x:f>FQ39*(1-MIN(1,FQ40))+'Вводные'!$B$28*MIN(1,FQ40)</x:f>
      </x:c>
      <x:c r="FR41" s="121" t="n">
        <x:f>FR39*(1-MIN(1,FR40))+'Вводные'!$B$28*MIN(1,FR40)</x:f>
      </x:c>
      <x:c r="FS41" s="121" t="n">
        <x:f>FS39*(1-MIN(1,FS40))+'Вводные'!$B$28*MIN(1,FS40)</x:f>
      </x:c>
      <x:c r="FT41" s="121" t="n">
        <x:f>FT39*(1-MIN(1,FT40))+'Вводные'!$B$28*MIN(1,FT40)</x:f>
      </x:c>
      <x:c r="FU41" s="121" t="n">
        <x:f>FU39*(1-MIN(1,FU40))+'Вводные'!$B$28*MIN(1,FU40)</x:f>
      </x:c>
      <x:c r="FV41" s="121" t="n">
        <x:f>FV39*(1-MIN(1,FV40))+'Вводные'!$B$28*MIN(1,FV40)</x:f>
      </x:c>
      <x:c r="FW41" s="121" t="n">
        <x:f>FW39*(1-MIN(1,FW40))+'Вводные'!$B$28*MIN(1,FW40)</x:f>
      </x:c>
      <x:c r="FX41" s="121" t="n">
        <x:f>FX39*(1-MIN(1,FX40))+'Вводные'!$B$28*MIN(1,FX40)</x:f>
      </x:c>
      <x:c r="FY41" s="121" t="n">
        <x:f>FY39*(1-MIN(1,FY40))+'Вводные'!$B$28*MIN(1,FY40)</x:f>
      </x:c>
      <x:c r="FZ41" s="121" t="n">
        <x:f>FZ39*(1-MIN(1,FZ40))+'Вводные'!$B$28*MIN(1,FZ40)</x:f>
      </x:c>
      <x:c r="GA41" s="121" t="n">
        <x:f>GA39*(1-MIN(1,GA40))+'Вводные'!$B$28*MIN(1,GA40)</x:f>
      </x:c>
    </x:row>
    <x:row r="42">
      <x:c r="A42" t="str">
        <x:v>ПФ — проценты</x:v>
      </x:c>
      <x:c r="B42" t="n">
        <x:f>SUM(D42:GA42)</x:f>
      </x:c>
      <x:c r="C42" t="str">
        <x:v>млн ₽</x:v>
      </x:c>
      <x:c r="D42" s="117">
        <x:f>IF(AND((D38+D45)&gt;0,$B$5=1,D$3&lt;MAX(EDATE($B$8,MAX('Вводные'!$B$69+3,12)+1),IF('Вводные'!$B$71=0,0,EDATE('Вводные'!$B$71,1)))),(D38+D45)*D41/12,0)</x:f>
      </x:c>
      <x:c r="E42" s="117">
        <x:f>IF(AND((E38+E45)&gt;0,$B$5=1,E$3&lt;MAX(EDATE($B$8,MAX('Вводные'!$B$69+3,12)+1),IF('Вводные'!$B$71=0,0,EDATE('Вводные'!$B$71,1)))),(E38+E45)*E41/12,0)</x:f>
      </x:c>
      <x:c r="F42" s="117">
        <x:f>IF(AND((F38+F45)&gt;0,$B$5=1,F$3&lt;MAX(EDATE($B$8,MAX('Вводные'!$B$69+3,12)+1),IF('Вводные'!$B$71=0,0,EDATE('Вводные'!$B$71,1)))),(F38+F45)*F41/12,0)</x:f>
      </x:c>
      <x:c r="G42" s="117">
        <x:f>IF(AND((G38+G45)&gt;0,$B$5=1,G$3&lt;MAX(EDATE($B$8,MAX('Вводные'!$B$69+3,12)+1),IF('Вводные'!$B$71=0,0,EDATE('Вводные'!$B$71,1)))),(G38+G45)*G41/12,0)</x:f>
      </x:c>
      <x:c r="H42" s="117">
        <x:f>IF(AND((H38+H45)&gt;0,$B$5=1,H$3&lt;MAX(EDATE($B$8,MAX('Вводные'!$B$69+3,12)+1),IF('Вводные'!$B$71=0,0,EDATE('Вводные'!$B$71,1)))),(H38+H45)*H41/12,0)</x:f>
      </x:c>
      <x:c r="I42" s="117">
        <x:f>IF(AND((I38+I45)&gt;0,$B$5=1,I$3&lt;MAX(EDATE($B$8,MAX('Вводные'!$B$69+3,12)+1),IF('Вводные'!$B$71=0,0,EDATE('Вводные'!$B$71,1)))),(I38+I45)*I41/12,0)</x:f>
      </x:c>
      <x:c r="J42" s="117">
        <x:f>IF(AND((J38+J45)&gt;0,$B$5=1,J$3&lt;MAX(EDATE($B$8,MAX('Вводные'!$B$69+3,12)+1),IF('Вводные'!$B$71=0,0,EDATE('Вводные'!$B$71,1)))),(J38+J45)*J41/12,0)</x:f>
      </x:c>
      <x:c r="K42" s="117">
        <x:f>IF(AND((K38+K45)&gt;0,$B$5=1,K$3&lt;MAX(EDATE($B$8,MAX('Вводные'!$B$69+3,12)+1),IF('Вводные'!$B$71=0,0,EDATE('Вводные'!$B$71,1)))),(K38+K45)*K41/12,0)</x:f>
      </x:c>
      <x:c r="L42" s="117">
        <x:f>IF(AND((L38+L45)&gt;0,$B$5=1,L$3&lt;MAX(EDATE($B$8,MAX('Вводные'!$B$69+3,12)+1),IF('Вводные'!$B$71=0,0,EDATE('Вводные'!$B$71,1)))),(L38+L45)*L41/12,0)</x:f>
      </x:c>
      <x:c r="M42" s="117">
        <x:f>IF(AND((M38+M45)&gt;0,$B$5=1,M$3&lt;MAX(EDATE($B$8,MAX('Вводные'!$B$69+3,12)+1),IF('Вводные'!$B$71=0,0,EDATE('Вводные'!$B$71,1)))),(M38+M45)*M41/12,0)</x:f>
      </x:c>
      <x:c r="N42" s="117">
        <x:f>IF(AND((N38+N45)&gt;0,$B$5=1,N$3&lt;MAX(EDATE($B$8,MAX('Вводные'!$B$69+3,12)+1),IF('Вводные'!$B$71=0,0,EDATE('Вводные'!$B$71,1)))),(N38+N45)*N41/12,0)</x:f>
      </x:c>
      <x:c r="O42" s="117">
        <x:f>IF(AND((O38+O45)&gt;0,$B$5=1,O$3&lt;MAX(EDATE($B$8,MAX('Вводные'!$B$69+3,12)+1),IF('Вводные'!$B$71=0,0,EDATE('Вводные'!$B$71,1)))),(O38+O45)*O41/12,0)</x:f>
      </x:c>
      <x:c r="P42" s="117">
        <x:f>IF(AND((P38+P45)&gt;0,$B$5=1,P$3&lt;MAX(EDATE($B$8,MAX('Вводные'!$B$69+3,12)+1),IF('Вводные'!$B$71=0,0,EDATE('Вводные'!$B$71,1)))),(P38+P45)*P41/12,0)</x:f>
      </x:c>
      <x:c r="Q42" s="117">
        <x:f>IF(AND((Q38+Q45)&gt;0,$B$5=1,Q$3&lt;MAX(EDATE($B$8,MAX('Вводные'!$B$69+3,12)+1),IF('Вводные'!$B$71=0,0,EDATE('Вводные'!$B$71,1)))),(Q38+Q45)*Q41/12,0)</x:f>
      </x:c>
      <x:c r="R42" s="117">
        <x:f>IF(AND((R38+R45)&gt;0,$B$5=1,R$3&lt;MAX(EDATE($B$8,MAX('Вводные'!$B$69+3,12)+1),IF('Вводные'!$B$71=0,0,EDATE('Вводные'!$B$71,1)))),(R38+R45)*R41/12,0)</x:f>
      </x:c>
      <x:c r="S42" s="117">
        <x:f>IF(AND((S38+S45)&gt;0,$B$5=1,S$3&lt;MAX(EDATE($B$8,MAX('Вводные'!$B$69+3,12)+1),IF('Вводные'!$B$71=0,0,EDATE('Вводные'!$B$71,1)))),(S38+S45)*S41/12,0)</x:f>
      </x:c>
      <x:c r="T42" s="117">
        <x:f>IF(AND((T38+T45)&gt;0,$B$5=1,T$3&lt;MAX(EDATE($B$8,MAX('Вводные'!$B$69+3,12)+1),IF('Вводные'!$B$71=0,0,EDATE('Вводные'!$B$71,1)))),(T38+T45)*T41/12,0)</x:f>
      </x:c>
      <x:c r="U42" s="117">
        <x:f>IF(AND((U38+U45)&gt;0,$B$5=1,U$3&lt;MAX(EDATE($B$8,MAX('Вводные'!$B$69+3,12)+1),IF('Вводные'!$B$71=0,0,EDATE('Вводные'!$B$71,1)))),(U38+U45)*U41/12,0)</x:f>
      </x:c>
      <x:c r="V42" s="117">
        <x:f>IF(AND((V38+V45)&gt;0,$B$5=1,V$3&lt;MAX(EDATE($B$8,MAX('Вводные'!$B$69+3,12)+1),IF('Вводные'!$B$71=0,0,EDATE('Вводные'!$B$71,1)))),(V38+V45)*V41/12,0)</x:f>
      </x:c>
      <x:c r="W42" s="117">
        <x:f>IF(AND((W38+W45)&gt;0,$B$5=1,W$3&lt;MAX(EDATE($B$8,MAX('Вводные'!$B$69+3,12)+1),IF('Вводные'!$B$71=0,0,EDATE('Вводные'!$B$71,1)))),(W38+W45)*W41/12,0)</x:f>
      </x:c>
      <x:c r="X42" s="117">
        <x:f>IF(AND((X38+X45)&gt;0,$B$5=1,X$3&lt;MAX(EDATE($B$8,MAX('Вводные'!$B$69+3,12)+1),IF('Вводные'!$B$71=0,0,EDATE('Вводные'!$B$71,1)))),(X38+X45)*X41/12,0)</x:f>
      </x:c>
      <x:c r="Y42" s="117">
        <x:f>IF(AND((Y38+Y45)&gt;0,$B$5=1,Y$3&lt;MAX(EDATE($B$8,MAX('Вводные'!$B$69+3,12)+1),IF('Вводные'!$B$71=0,0,EDATE('Вводные'!$B$71,1)))),(Y38+Y45)*Y41/12,0)</x:f>
      </x:c>
      <x:c r="Z42" s="117">
        <x:f>IF(AND((Z38+Z45)&gt;0,$B$5=1,Z$3&lt;MAX(EDATE($B$8,MAX('Вводные'!$B$69+3,12)+1),IF('Вводные'!$B$71=0,0,EDATE('Вводные'!$B$71,1)))),(Z38+Z45)*Z41/12,0)</x:f>
      </x:c>
      <x:c r="AA42" s="117">
        <x:f>IF(AND((AA38+AA45)&gt;0,$B$5=1,AA$3&lt;MAX(EDATE($B$8,MAX('Вводные'!$B$69+3,12)+1),IF('Вводные'!$B$71=0,0,EDATE('Вводные'!$B$71,1)))),(AA38+AA45)*AA41/12,0)</x:f>
      </x:c>
      <x:c r="AB42" s="117">
        <x:f>IF(AND((AB38+AB45)&gt;0,$B$5=1,AB$3&lt;MAX(EDATE($B$8,MAX('Вводные'!$B$69+3,12)+1),IF('Вводные'!$B$71=0,0,EDATE('Вводные'!$B$71,1)))),(AB38+AB45)*AB41/12,0)</x:f>
      </x:c>
      <x:c r="AC42" s="117">
        <x:f>IF(AND((AC38+AC45)&gt;0,$B$5=1,AC$3&lt;MAX(EDATE($B$8,MAX('Вводные'!$B$69+3,12)+1),IF('Вводные'!$B$71=0,0,EDATE('Вводные'!$B$71,1)))),(AC38+AC45)*AC41/12,0)</x:f>
      </x:c>
      <x:c r="AD42" s="117">
        <x:f>IF(AND((AD38+AD45)&gt;0,$B$5=1,AD$3&lt;MAX(EDATE($B$8,MAX('Вводные'!$B$69+3,12)+1),IF('Вводные'!$B$71=0,0,EDATE('Вводные'!$B$71,1)))),(AD38+AD45)*AD41/12,0)</x:f>
      </x:c>
      <x:c r="AE42" s="117">
        <x:f>IF(AND((AE38+AE45)&gt;0,$B$5=1,AE$3&lt;MAX(EDATE($B$8,MAX('Вводные'!$B$69+3,12)+1),IF('Вводные'!$B$71=0,0,EDATE('Вводные'!$B$71,1)))),(AE38+AE45)*AE41/12,0)</x:f>
      </x:c>
      <x:c r="AF42" s="117">
        <x:f>IF(AND((AF38+AF45)&gt;0,$B$5=1,AF$3&lt;MAX(EDATE($B$8,MAX('Вводные'!$B$69+3,12)+1),IF('Вводные'!$B$71=0,0,EDATE('Вводные'!$B$71,1)))),(AF38+AF45)*AF41/12,0)</x:f>
      </x:c>
      <x:c r="AG42" s="117">
        <x:f>IF(AND((AG38+AG45)&gt;0,$B$5=1,AG$3&lt;MAX(EDATE($B$8,MAX('Вводные'!$B$69+3,12)+1),IF('Вводные'!$B$71=0,0,EDATE('Вводные'!$B$71,1)))),(AG38+AG45)*AG41/12,0)</x:f>
      </x:c>
      <x:c r="AH42" s="117">
        <x:f>IF(AND((AH38+AH45)&gt;0,$B$5=1,AH$3&lt;MAX(EDATE($B$8,MAX('Вводные'!$B$69+3,12)+1),IF('Вводные'!$B$71=0,0,EDATE('Вводные'!$B$71,1)))),(AH38+AH45)*AH41/12,0)</x:f>
      </x:c>
      <x:c r="AI42" s="117">
        <x:f>IF(AND((AI38+AI45)&gt;0,$B$5=1,AI$3&lt;MAX(EDATE($B$8,MAX('Вводные'!$B$69+3,12)+1),IF('Вводные'!$B$71=0,0,EDATE('Вводные'!$B$71,1)))),(AI38+AI45)*AI41/12,0)</x:f>
      </x:c>
      <x:c r="AJ42" s="117">
        <x:f>IF(AND((AJ38+AJ45)&gt;0,$B$5=1,AJ$3&lt;MAX(EDATE($B$8,MAX('Вводные'!$B$69+3,12)+1),IF('Вводные'!$B$71=0,0,EDATE('Вводные'!$B$71,1)))),(AJ38+AJ45)*AJ41/12,0)</x:f>
      </x:c>
      <x:c r="AK42" s="117">
        <x:f>IF(AND((AK38+AK45)&gt;0,$B$5=1,AK$3&lt;MAX(EDATE($B$8,MAX('Вводные'!$B$69+3,12)+1),IF('Вводные'!$B$71=0,0,EDATE('Вводные'!$B$71,1)))),(AK38+AK45)*AK41/12,0)</x:f>
      </x:c>
      <x:c r="AL42" s="117">
        <x:f>IF(AND((AL38+AL45)&gt;0,$B$5=1,AL$3&lt;MAX(EDATE($B$8,MAX('Вводные'!$B$69+3,12)+1),IF('Вводные'!$B$71=0,0,EDATE('Вводные'!$B$71,1)))),(AL38+AL45)*AL41/12,0)</x:f>
      </x:c>
      <x:c r="AM42" s="117">
        <x:f>IF(AND((AM38+AM45)&gt;0,$B$5=1,AM$3&lt;MAX(EDATE($B$8,MAX('Вводные'!$B$69+3,12)+1),IF('Вводные'!$B$71=0,0,EDATE('Вводные'!$B$71,1)))),(AM38+AM45)*AM41/12,0)</x:f>
      </x:c>
      <x:c r="AN42" s="117">
        <x:f>IF(AND((AN38+AN45)&gt;0,$B$5=1,AN$3&lt;MAX(EDATE($B$8,MAX('Вводные'!$B$69+3,12)+1),IF('Вводные'!$B$71=0,0,EDATE('Вводные'!$B$71,1)))),(AN38+AN45)*AN41/12,0)</x:f>
      </x:c>
      <x:c r="AO42" s="117">
        <x:f>IF(AND((AO38+AO45)&gt;0,$B$5=1,AO$3&lt;MAX(EDATE($B$8,MAX('Вводные'!$B$69+3,12)+1),IF('Вводные'!$B$71=0,0,EDATE('Вводные'!$B$71,1)))),(AO38+AO45)*AO41/12,0)</x:f>
      </x:c>
      <x:c r="AP42" s="117">
        <x:f>IF(AND((AP38+AP45)&gt;0,$B$5=1,AP$3&lt;MAX(EDATE($B$8,MAX('Вводные'!$B$69+3,12)+1),IF('Вводные'!$B$71=0,0,EDATE('Вводные'!$B$71,1)))),(AP38+AP45)*AP41/12,0)</x:f>
      </x:c>
      <x:c r="AQ42" s="117">
        <x:f>IF(AND((AQ38+AQ45)&gt;0,$B$5=1,AQ$3&lt;MAX(EDATE($B$8,MAX('Вводные'!$B$69+3,12)+1),IF('Вводные'!$B$71=0,0,EDATE('Вводные'!$B$71,1)))),(AQ38+AQ45)*AQ41/12,0)</x:f>
      </x:c>
      <x:c r="AR42" s="117">
        <x:f>IF(AND((AR38+AR45)&gt;0,$B$5=1,AR$3&lt;MAX(EDATE($B$8,MAX('Вводные'!$B$69+3,12)+1),IF('Вводные'!$B$71=0,0,EDATE('Вводные'!$B$71,1)))),(AR38+AR45)*AR41/12,0)</x:f>
      </x:c>
      <x:c r="AS42" s="117">
        <x:f>IF(AND((AS38+AS45)&gt;0,$B$5=1,AS$3&lt;MAX(EDATE($B$8,MAX('Вводные'!$B$69+3,12)+1),IF('Вводные'!$B$71=0,0,EDATE('Вводные'!$B$71,1)))),(AS38+AS45)*AS41/12,0)</x:f>
      </x:c>
      <x:c r="AT42" s="117">
        <x:f>IF(AND((AT38+AT45)&gt;0,$B$5=1,AT$3&lt;MAX(EDATE($B$8,MAX('Вводные'!$B$69+3,12)+1),IF('Вводные'!$B$71=0,0,EDATE('Вводные'!$B$71,1)))),(AT38+AT45)*AT41/12,0)</x:f>
      </x:c>
      <x:c r="AU42" s="117">
        <x:f>IF(AND((AU38+AU45)&gt;0,$B$5=1,AU$3&lt;MAX(EDATE($B$8,MAX('Вводные'!$B$69+3,12)+1),IF('Вводные'!$B$71=0,0,EDATE('Вводные'!$B$71,1)))),(AU38+AU45)*AU41/12,0)</x:f>
      </x:c>
      <x:c r="AV42" s="117">
        <x:f>IF(AND((AV38+AV45)&gt;0,$B$5=1,AV$3&lt;MAX(EDATE($B$8,MAX('Вводные'!$B$69+3,12)+1),IF('Вводные'!$B$71=0,0,EDATE('Вводные'!$B$71,1)))),(AV38+AV45)*AV41/12,0)</x:f>
      </x:c>
      <x:c r="AW42" s="117">
        <x:f>IF(AND((AW38+AW45)&gt;0,$B$5=1,AW$3&lt;MAX(EDATE($B$8,MAX('Вводные'!$B$69+3,12)+1),IF('Вводные'!$B$71=0,0,EDATE('Вводные'!$B$71,1)))),(AW38+AW45)*AW41/12,0)</x:f>
      </x:c>
      <x:c r="AX42" s="117">
        <x:f>IF(AND((AX38+AX45)&gt;0,$B$5=1,AX$3&lt;MAX(EDATE($B$8,MAX('Вводные'!$B$69+3,12)+1),IF('Вводные'!$B$71=0,0,EDATE('Вводные'!$B$71,1)))),(AX38+AX45)*AX41/12,0)</x:f>
      </x:c>
      <x:c r="AY42" s="117">
        <x:f>IF(AND((AY38+AY45)&gt;0,$B$5=1,AY$3&lt;MAX(EDATE($B$8,MAX('Вводные'!$B$69+3,12)+1),IF('Вводные'!$B$71=0,0,EDATE('Вводные'!$B$71,1)))),(AY38+AY45)*AY41/12,0)</x:f>
      </x:c>
      <x:c r="AZ42" s="117">
        <x:f>IF(AND((AZ38+AZ45)&gt;0,$B$5=1,AZ$3&lt;MAX(EDATE($B$8,MAX('Вводные'!$B$69+3,12)+1),IF('Вводные'!$B$71=0,0,EDATE('Вводные'!$B$71,1)))),(AZ38+AZ45)*AZ41/12,0)</x:f>
      </x:c>
      <x:c r="BA42" s="117">
        <x:f>IF(AND((BA38+BA45)&gt;0,$B$5=1,BA$3&lt;MAX(EDATE($B$8,MAX('Вводные'!$B$69+3,12)+1),IF('Вводные'!$B$71=0,0,EDATE('Вводные'!$B$71,1)))),(BA38+BA45)*BA41/12,0)</x:f>
      </x:c>
      <x:c r="BB42" s="117">
        <x:f>IF(AND((BB38+BB45)&gt;0,$B$5=1,BB$3&lt;MAX(EDATE($B$8,MAX('Вводные'!$B$69+3,12)+1),IF('Вводные'!$B$71=0,0,EDATE('Вводные'!$B$71,1)))),(BB38+BB45)*BB41/12,0)</x:f>
      </x:c>
      <x:c r="BC42" s="117">
        <x:f>IF(AND((BC38+BC45)&gt;0,$B$5=1,BC$3&lt;MAX(EDATE($B$8,MAX('Вводные'!$B$69+3,12)+1),IF('Вводные'!$B$71=0,0,EDATE('Вводные'!$B$71,1)))),(BC38+BC45)*BC41/12,0)</x:f>
      </x:c>
      <x:c r="BD42" s="117">
        <x:f>IF(AND((BD38+BD45)&gt;0,$B$5=1,BD$3&lt;MAX(EDATE($B$8,MAX('Вводные'!$B$69+3,12)+1),IF('Вводные'!$B$71=0,0,EDATE('Вводные'!$B$71,1)))),(BD38+BD45)*BD41/12,0)</x:f>
      </x:c>
      <x:c r="BE42" s="117">
        <x:f>IF(AND((BE38+BE45)&gt;0,$B$5=1,BE$3&lt;MAX(EDATE($B$8,MAX('Вводные'!$B$69+3,12)+1),IF('Вводные'!$B$71=0,0,EDATE('Вводные'!$B$71,1)))),(BE38+BE45)*BE41/12,0)</x:f>
      </x:c>
      <x:c r="BF42" s="117">
        <x:f>IF(AND((BF38+BF45)&gt;0,$B$5=1,BF$3&lt;MAX(EDATE($B$8,MAX('Вводные'!$B$69+3,12)+1),IF('Вводные'!$B$71=0,0,EDATE('Вводные'!$B$71,1)))),(BF38+BF45)*BF41/12,0)</x:f>
      </x:c>
      <x:c r="BG42" s="117">
        <x:f>IF(AND((BG38+BG45)&gt;0,$B$5=1,BG$3&lt;MAX(EDATE($B$8,MAX('Вводные'!$B$69+3,12)+1),IF('Вводные'!$B$71=0,0,EDATE('Вводные'!$B$71,1)))),(BG38+BG45)*BG41/12,0)</x:f>
      </x:c>
      <x:c r="BH42" s="117">
        <x:f>IF(AND((BH38+BH45)&gt;0,$B$5=1,BH$3&lt;MAX(EDATE($B$8,MAX('Вводные'!$B$69+3,12)+1),IF('Вводные'!$B$71=0,0,EDATE('Вводные'!$B$71,1)))),(BH38+BH45)*BH41/12,0)</x:f>
      </x:c>
      <x:c r="BI42" s="117">
        <x:f>IF(AND((BI38+BI45)&gt;0,$B$5=1,BI$3&lt;MAX(EDATE($B$8,MAX('Вводные'!$B$69+3,12)+1),IF('Вводные'!$B$71=0,0,EDATE('Вводные'!$B$71,1)))),(BI38+BI45)*BI41/12,0)</x:f>
      </x:c>
      <x:c r="BJ42" s="117">
        <x:f>IF(AND((BJ38+BJ45)&gt;0,$B$5=1,BJ$3&lt;MAX(EDATE($B$8,MAX('Вводные'!$B$69+3,12)+1),IF('Вводные'!$B$71=0,0,EDATE('Вводные'!$B$71,1)))),(BJ38+BJ45)*BJ41/12,0)</x:f>
      </x:c>
      <x:c r="BK42" s="117">
        <x:f>IF(AND((BK38+BK45)&gt;0,$B$5=1,BK$3&lt;MAX(EDATE($B$8,MAX('Вводные'!$B$69+3,12)+1),IF('Вводные'!$B$71=0,0,EDATE('Вводные'!$B$71,1)))),(BK38+BK45)*BK41/12,0)</x:f>
      </x:c>
      <x:c r="BL42" s="117">
        <x:f>IF(AND((BL38+BL45)&gt;0,$B$5=1,BL$3&lt;MAX(EDATE($B$8,MAX('Вводные'!$B$69+3,12)+1),IF('Вводные'!$B$71=0,0,EDATE('Вводные'!$B$71,1)))),(BL38+BL45)*BL41/12,0)</x:f>
      </x:c>
      <x:c r="BM42" s="117">
        <x:f>IF(AND((BM38+BM45)&gt;0,$B$5=1,BM$3&lt;MAX(EDATE($B$8,MAX('Вводные'!$B$69+3,12)+1),IF('Вводные'!$B$71=0,0,EDATE('Вводные'!$B$71,1)))),(BM38+BM45)*BM41/12,0)</x:f>
      </x:c>
      <x:c r="BN42" s="117">
        <x:f>IF(AND((BN38+BN45)&gt;0,$B$5=1,BN$3&lt;MAX(EDATE($B$8,MAX('Вводные'!$B$69+3,12)+1),IF('Вводные'!$B$71=0,0,EDATE('Вводные'!$B$71,1)))),(BN38+BN45)*BN41/12,0)</x:f>
      </x:c>
      <x:c r="BO42" s="117">
        <x:f>IF(AND((BO38+BO45)&gt;0,$B$5=1,BO$3&lt;MAX(EDATE($B$8,MAX('Вводные'!$B$69+3,12)+1),IF('Вводные'!$B$71=0,0,EDATE('Вводные'!$B$71,1)))),(BO38+BO45)*BO41/12,0)</x:f>
      </x:c>
      <x:c r="BP42" s="117">
        <x:f>IF(AND((BP38+BP45)&gt;0,$B$5=1,BP$3&lt;MAX(EDATE($B$8,MAX('Вводные'!$B$69+3,12)+1),IF('Вводные'!$B$71=0,0,EDATE('Вводные'!$B$71,1)))),(BP38+BP45)*BP41/12,0)</x:f>
      </x:c>
      <x:c r="BQ42" s="117">
        <x:f>IF(AND((BQ38+BQ45)&gt;0,$B$5=1,BQ$3&lt;MAX(EDATE($B$8,MAX('Вводные'!$B$69+3,12)+1),IF('Вводные'!$B$71=0,0,EDATE('Вводные'!$B$71,1)))),(BQ38+BQ45)*BQ41/12,0)</x:f>
      </x:c>
      <x:c r="BR42" s="117">
        <x:f>IF(AND((BR38+BR45)&gt;0,$B$5=1,BR$3&lt;MAX(EDATE($B$8,MAX('Вводные'!$B$69+3,12)+1),IF('Вводные'!$B$71=0,0,EDATE('Вводные'!$B$71,1)))),(BR38+BR45)*BR41/12,0)</x:f>
      </x:c>
      <x:c r="BS42" s="117">
        <x:f>IF(AND((BS38+BS45)&gt;0,$B$5=1,BS$3&lt;MAX(EDATE($B$8,MAX('Вводные'!$B$69+3,12)+1),IF('Вводные'!$B$71=0,0,EDATE('Вводные'!$B$71,1)))),(BS38+BS45)*BS41/12,0)</x:f>
      </x:c>
      <x:c r="BT42" s="117">
        <x:f>IF(AND((BT38+BT45)&gt;0,$B$5=1,BT$3&lt;MAX(EDATE($B$8,MAX('Вводные'!$B$69+3,12)+1),IF('Вводные'!$B$71=0,0,EDATE('Вводные'!$B$71,1)))),(BT38+BT45)*BT41/12,0)</x:f>
      </x:c>
      <x:c r="BU42" s="117">
        <x:f>IF(AND((BU38+BU45)&gt;0,$B$5=1,BU$3&lt;MAX(EDATE($B$8,MAX('Вводные'!$B$69+3,12)+1),IF('Вводные'!$B$71=0,0,EDATE('Вводные'!$B$71,1)))),(BU38+BU45)*BU41/12,0)</x:f>
      </x:c>
      <x:c r="BV42" s="117">
        <x:f>IF(AND((BV38+BV45)&gt;0,$B$5=1,BV$3&lt;MAX(EDATE($B$8,MAX('Вводные'!$B$69+3,12)+1),IF('Вводные'!$B$71=0,0,EDATE('Вводные'!$B$71,1)))),(BV38+BV45)*BV41/12,0)</x:f>
      </x:c>
      <x:c r="BW42" s="117">
        <x:f>IF(AND((BW38+BW45)&gt;0,$B$5=1,BW$3&lt;MAX(EDATE($B$8,MAX('Вводные'!$B$69+3,12)+1),IF('Вводные'!$B$71=0,0,EDATE('Вводные'!$B$71,1)))),(BW38+BW45)*BW41/12,0)</x:f>
      </x:c>
      <x:c r="BX42" s="117">
        <x:f>IF(AND((BX38+BX45)&gt;0,$B$5=1,BX$3&lt;MAX(EDATE($B$8,MAX('Вводные'!$B$69+3,12)+1),IF('Вводные'!$B$71=0,0,EDATE('Вводные'!$B$71,1)))),(BX38+BX45)*BX41/12,0)</x:f>
      </x:c>
      <x:c r="BY42" s="117">
        <x:f>IF(AND((BY38+BY45)&gt;0,$B$5=1,BY$3&lt;MAX(EDATE($B$8,MAX('Вводные'!$B$69+3,12)+1),IF('Вводные'!$B$71=0,0,EDATE('Вводные'!$B$71,1)))),(BY38+BY45)*BY41/12,0)</x:f>
      </x:c>
      <x:c r="BZ42" s="117">
        <x:f>IF(AND((BZ38+BZ45)&gt;0,$B$5=1,BZ$3&lt;MAX(EDATE($B$8,MAX('Вводные'!$B$69+3,12)+1),IF('Вводные'!$B$71=0,0,EDATE('Вводные'!$B$71,1)))),(BZ38+BZ45)*BZ41/12,0)</x:f>
      </x:c>
      <x:c r="CA42" s="117">
        <x:f>IF(AND((CA38+CA45)&gt;0,$B$5=1,CA$3&lt;MAX(EDATE($B$8,MAX('Вводные'!$B$69+3,12)+1),IF('Вводные'!$B$71=0,0,EDATE('Вводные'!$B$71,1)))),(CA38+CA45)*CA41/12,0)</x:f>
      </x:c>
      <x:c r="CB42" s="117">
        <x:f>IF(AND((CB38+CB45)&gt;0,$B$5=1,CB$3&lt;MAX(EDATE($B$8,MAX('Вводные'!$B$69+3,12)+1),IF('Вводные'!$B$71=0,0,EDATE('Вводные'!$B$71,1)))),(CB38+CB45)*CB41/12,0)</x:f>
      </x:c>
      <x:c r="CC42" s="117">
        <x:f>IF(AND((CC38+CC45)&gt;0,$B$5=1,CC$3&lt;MAX(EDATE($B$8,MAX('Вводные'!$B$69+3,12)+1),IF('Вводные'!$B$71=0,0,EDATE('Вводные'!$B$71,1)))),(CC38+CC45)*CC41/12,0)</x:f>
      </x:c>
      <x:c r="CD42" s="117">
        <x:f>IF(AND((CD38+CD45)&gt;0,$B$5=1,CD$3&lt;MAX(EDATE($B$8,MAX('Вводные'!$B$69+3,12)+1),IF('Вводные'!$B$71=0,0,EDATE('Вводные'!$B$71,1)))),(CD38+CD45)*CD41/12,0)</x:f>
      </x:c>
      <x:c r="CE42" s="117">
        <x:f>IF(AND((CE38+CE45)&gt;0,$B$5=1,CE$3&lt;MAX(EDATE($B$8,MAX('Вводные'!$B$69+3,12)+1),IF('Вводные'!$B$71=0,0,EDATE('Вводные'!$B$71,1)))),(CE38+CE45)*CE41/12,0)</x:f>
      </x:c>
      <x:c r="CF42" s="117">
        <x:f>IF(AND((CF38+CF45)&gt;0,$B$5=1,CF$3&lt;MAX(EDATE($B$8,MAX('Вводные'!$B$69+3,12)+1),IF('Вводные'!$B$71=0,0,EDATE('Вводные'!$B$71,1)))),(CF38+CF45)*CF41/12,0)</x:f>
      </x:c>
      <x:c r="CG42" s="117">
        <x:f>IF(AND((CG38+CG45)&gt;0,$B$5=1,CG$3&lt;MAX(EDATE($B$8,MAX('Вводные'!$B$69+3,12)+1),IF('Вводные'!$B$71=0,0,EDATE('Вводные'!$B$71,1)))),(CG38+CG45)*CG41/12,0)</x:f>
      </x:c>
      <x:c r="CH42" s="117">
        <x:f>IF(AND((CH38+CH45)&gt;0,$B$5=1,CH$3&lt;MAX(EDATE($B$8,MAX('Вводные'!$B$69+3,12)+1),IF('Вводные'!$B$71=0,0,EDATE('Вводные'!$B$71,1)))),(CH38+CH45)*CH41/12,0)</x:f>
      </x:c>
      <x:c r="CI42" s="117">
        <x:f>IF(AND((CI38+CI45)&gt;0,$B$5=1,CI$3&lt;MAX(EDATE($B$8,MAX('Вводные'!$B$69+3,12)+1),IF('Вводные'!$B$71=0,0,EDATE('Вводные'!$B$71,1)))),(CI38+CI45)*CI41/12,0)</x:f>
      </x:c>
      <x:c r="CJ42" s="117">
        <x:f>IF(AND((CJ38+CJ45)&gt;0,$B$5=1,CJ$3&lt;MAX(EDATE($B$8,MAX('Вводные'!$B$69+3,12)+1),IF('Вводные'!$B$71=0,0,EDATE('Вводные'!$B$71,1)))),(CJ38+CJ45)*CJ41/12,0)</x:f>
      </x:c>
      <x:c r="CK42" s="117">
        <x:f>IF(AND((CK38+CK45)&gt;0,$B$5=1,CK$3&lt;MAX(EDATE($B$8,MAX('Вводные'!$B$69+3,12)+1),IF('Вводные'!$B$71=0,0,EDATE('Вводные'!$B$71,1)))),(CK38+CK45)*CK41/12,0)</x:f>
      </x:c>
      <x:c r="CL42" s="117">
        <x:f>IF(AND((CL38+CL45)&gt;0,$B$5=1,CL$3&lt;MAX(EDATE($B$8,MAX('Вводные'!$B$69+3,12)+1),IF('Вводные'!$B$71=0,0,EDATE('Вводные'!$B$71,1)))),(CL38+CL45)*CL41/12,0)</x:f>
      </x:c>
      <x:c r="CM42" s="117">
        <x:f>IF(AND((CM38+CM45)&gt;0,$B$5=1,CM$3&lt;MAX(EDATE($B$8,MAX('Вводные'!$B$69+3,12)+1),IF('Вводные'!$B$71=0,0,EDATE('Вводные'!$B$71,1)))),(CM38+CM45)*CM41/12,0)</x:f>
      </x:c>
      <x:c r="CN42" s="117">
        <x:f>IF(AND((CN38+CN45)&gt;0,$B$5=1,CN$3&lt;MAX(EDATE($B$8,MAX('Вводные'!$B$69+3,12)+1),IF('Вводные'!$B$71=0,0,EDATE('Вводные'!$B$71,1)))),(CN38+CN45)*CN41/12,0)</x:f>
      </x:c>
      <x:c r="CO42" s="117">
        <x:f>IF(AND((CO38+CO45)&gt;0,$B$5=1,CO$3&lt;MAX(EDATE($B$8,MAX('Вводные'!$B$69+3,12)+1),IF('Вводные'!$B$71=0,0,EDATE('Вводные'!$B$71,1)))),(CO38+CO45)*CO41/12,0)</x:f>
      </x:c>
      <x:c r="CP42" s="117">
        <x:f>IF(AND((CP38+CP45)&gt;0,$B$5=1,CP$3&lt;MAX(EDATE($B$8,MAX('Вводные'!$B$69+3,12)+1),IF('Вводные'!$B$71=0,0,EDATE('Вводные'!$B$71,1)))),(CP38+CP45)*CP41/12,0)</x:f>
      </x:c>
      <x:c r="CQ42" s="117">
        <x:f>IF(AND((CQ38+CQ45)&gt;0,$B$5=1,CQ$3&lt;MAX(EDATE($B$8,MAX('Вводные'!$B$69+3,12)+1),IF('Вводные'!$B$71=0,0,EDATE('Вводные'!$B$71,1)))),(CQ38+CQ45)*CQ41/12,0)</x:f>
      </x:c>
      <x:c r="CR42" s="117">
        <x:f>IF(AND((CR38+CR45)&gt;0,$B$5=1,CR$3&lt;MAX(EDATE($B$8,MAX('Вводные'!$B$69+3,12)+1),IF('Вводные'!$B$71=0,0,EDATE('Вводные'!$B$71,1)))),(CR38+CR45)*CR41/12,0)</x:f>
      </x:c>
      <x:c r="CS42" s="117">
        <x:f>IF(AND((CS38+CS45)&gt;0,$B$5=1,CS$3&lt;MAX(EDATE($B$8,MAX('Вводные'!$B$69+3,12)+1),IF('Вводные'!$B$71=0,0,EDATE('Вводные'!$B$71,1)))),(CS38+CS45)*CS41/12,0)</x:f>
      </x:c>
      <x:c r="CT42" s="117">
        <x:f>IF(AND((CT38+CT45)&gt;0,$B$5=1,CT$3&lt;MAX(EDATE($B$8,MAX('Вводные'!$B$69+3,12)+1),IF('Вводные'!$B$71=0,0,EDATE('Вводные'!$B$71,1)))),(CT38+CT45)*CT41/12,0)</x:f>
      </x:c>
      <x:c r="CU42" s="117">
        <x:f>IF(AND((CU38+CU45)&gt;0,$B$5=1,CU$3&lt;MAX(EDATE($B$8,MAX('Вводные'!$B$69+3,12)+1),IF('Вводные'!$B$71=0,0,EDATE('Вводные'!$B$71,1)))),(CU38+CU45)*CU41/12,0)</x:f>
      </x:c>
      <x:c r="CV42" s="117">
        <x:f>IF(AND((CV38+CV45)&gt;0,$B$5=1,CV$3&lt;MAX(EDATE($B$8,MAX('Вводные'!$B$69+3,12)+1),IF('Вводные'!$B$71=0,0,EDATE('Вводные'!$B$71,1)))),(CV38+CV45)*CV41/12,0)</x:f>
      </x:c>
      <x:c r="CW42" s="117">
        <x:f>IF(AND((CW38+CW45)&gt;0,$B$5=1,CW$3&lt;MAX(EDATE($B$8,MAX('Вводные'!$B$69+3,12)+1),IF('Вводные'!$B$71=0,0,EDATE('Вводные'!$B$71,1)))),(CW38+CW45)*CW41/12,0)</x:f>
      </x:c>
      <x:c r="CX42" s="117">
        <x:f>IF(AND((CX38+CX45)&gt;0,$B$5=1,CX$3&lt;MAX(EDATE($B$8,MAX('Вводные'!$B$69+3,12)+1),IF('Вводные'!$B$71=0,0,EDATE('Вводные'!$B$71,1)))),(CX38+CX45)*CX41/12,0)</x:f>
      </x:c>
      <x:c r="CY42" s="117">
        <x:f>IF(AND((CY38+CY45)&gt;0,$B$5=1,CY$3&lt;MAX(EDATE($B$8,MAX('Вводные'!$B$69+3,12)+1),IF('Вводные'!$B$71=0,0,EDATE('Вводные'!$B$71,1)))),(CY38+CY45)*CY41/12,0)</x:f>
      </x:c>
      <x:c r="CZ42" s="117">
        <x:f>IF(AND((CZ38+CZ45)&gt;0,$B$5=1,CZ$3&lt;MAX(EDATE($B$8,MAX('Вводные'!$B$69+3,12)+1),IF('Вводные'!$B$71=0,0,EDATE('Вводные'!$B$71,1)))),(CZ38+CZ45)*CZ41/12,0)</x:f>
      </x:c>
      <x:c r="DA42" s="117">
        <x:f>IF(AND((DA38+DA45)&gt;0,$B$5=1,DA$3&lt;MAX(EDATE($B$8,MAX('Вводные'!$B$69+3,12)+1),IF('Вводные'!$B$71=0,0,EDATE('Вводные'!$B$71,1)))),(DA38+DA45)*DA41/12,0)</x:f>
      </x:c>
      <x:c r="DB42" s="117">
        <x:f>IF(AND((DB38+DB45)&gt;0,$B$5=1,DB$3&lt;MAX(EDATE($B$8,MAX('Вводные'!$B$69+3,12)+1),IF('Вводные'!$B$71=0,0,EDATE('Вводные'!$B$71,1)))),(DB38+DB45)*DB41/12,0)</x:f>
      </x:c>
      <x:c r="DC42" s="117">
        <x:f>IF(AND((DC38+DC45)&gt;0,$B$5=1,DC$3&lt;MAX(EDATE($B$8,MAX('Вводные'!$B$69+3,12)+1),IF('Вводные'!$B$71=0,0,EDATE('Вводные'!$B$71,1)))),(DC38+DC45)*DC41/12,0)</x:f>
      </x:c>
      <x:c r="DD42" s="117">
        <x:f>IF(AND((DD38+DD45)&gt;0,$B$5=1,DD$3&lt;MAX(EDATE($B$8,MAX('Вводные'!$B$69+3,12)+1),IF('Вводные'!$B$71=0,0,EDATE('Вводные'!$B$71,1)))),(DD38+DD45)*DD41/12,0)</x:f>
      </x:c>
      <x:c r="DE42" s="117">
        <x:f>IF(AND((DE38+DE45)&gt;0,$B$5=1,DE$3&lt;MAX(EDATE($B$8,MAX('Вводные'!$B$69+3,12)+1),IF('Вводные'!$B$71=0,0,EDATE('Вводные'!$B$71,1)))),(DE38+DE45)*DE41/12,0)</x:f>
      </x:c>
      <x:c r="DF42" s="117">
        <x:f>IF(AND((DF38+DF45)&gt;0,$B$5=1,DF$3&lt;MAX(EDATE($B$8,MAX('Вводные'!$B$69+3,12)+1),IF('Вводные'!$B$71=0,0,EDATE('Вводные'!$B$71,1)))),(DF38+DF45)*DF41/12,0)</x:f>
      </x:c>
      <x:c r="DG42" s="117">
        <x:f>IF(AND((DG38+DG45)&gt;0,$B$5=1,DG$3&lt;MAX(EDATE($B$8,MAX('Вводные'!$B$69+3,12)+1),IF('Вводные'!$B$71=0,0,EDATE('Вводные'!$B$71,1)))),(DG38+DG45)*DG41/12,0)</x:f>
      </x:c>
      <x:c r="DH42" s="117">
        <x:f>IF(AND((DH38+DH45)&gt;0,$B$5=1,DH$3&lt;MAX(EDATE($B$8,MAX('Вводные'!$B$69+3,12)+1),IF('Вводные'!$B$71=0,0,EDATE('Вводные'!$B$71,1)))),(DH38+DH45)*DH41/12,0)</x:f>
      </x:c>
      <x:c r="DI42" s="117">
        <x:f>IF(AND((DI38+DI45)&gt;0,$B$5=1,DI$3&lt;MAX(EDATE($B$8,MAX('Вводные'!$B$69+3,12)+1),IF('Вводные'!$B$71=0,0,EDATE('Вводные'!$B$71,1)))),(DI38+DI45)*DI41/12,0)</x:f>
      </x:c>
      <x:c r="DJ42" s="117">
        <x:f>IF(AND((DJ38+DJ45)&gt;0,$B$5=1,DJ$3&lt;MAX(EDATE($B$8,MAX('Вводные'!$B$69+3,12)+1),IF('Вводные'!$B$71=0,0,EDATE('Вводные'!$B$71,1)))),(DJ38+DJ45)*DJ41/12,0)</x:f>
      </x:c>
      <x:c r="DK42" s="117">
        <x:f>IF(AND((DK38+DK45)&gt;0,$B$5=1,DK$3&lt;MAX(EDATE($B$8,MAX('Вводные'!$B$69+3,12)+1),IF('Вводные'!$B$71=0,0,EDATE('Вводные'!$B$71,1)))),(DK38+DK45)*DK41/12,0)</x:f>
      </x:c>
      <x:c r="DL42" s="117">
        <x:f>IF(AND((DL38+DL45)&gt;0,$B$5=1,DL$3&lt;MAX(EDATE($B$8,MAX('Вводные'!$B$69+3,12)+1),IF('Вводные'!$B$71=0,0,EDATE('Вводные'!$B$71,1)))),(DL38+DL45)*DL41/12,0)</x:f>
      </x:c>
      <x:c r="DM42" s="117">
        <x:f>IF(AND((DM38+DM45)&gt;0,$B$5=1,DM$3&lt;MAX(EDATE($B$8,MAX('Вводные'!$B$69+3,12)+1),IF('Вводные'!$B$71=0,0,EDATE('Вводные'!$B$71,1)))),(DM38+DM45)*DM41/12,0)</x:f>
      </x:c>
      <x:c r="DN42" s="117">
        <x:f>IF(AND((DN38+DN45)&gt;0,$B$5=1,DN$3&lt;MAX(EDATE($B$8,MAX('Вводные'!$B$69+3,12)+1),IF('Вводные'!$B$71=0,0,EDATE('Вводные'!$B$71,1)))),(DN38+DN45)*DN41/12,0)</x:f>
      </x:c>
      <x:c r="DO42" s="117">
        <x:f>IF(AND((DO38+DO45)&gt;0,$B$5=1,DO$3&lt;MAX(EDATE($B$8,MAX('Вводные'!$B$69+3,12)+1),IF('Вводные'!$B$71=0,0,EDATE('Вводные'!$B$71,1)))),(DO38+DO45)*DO41/12,0)</x:f>
      </x:c>
      <x:c r="DP42" s="117">
        <x:f>IF(AND((DP38+DP45)&gt;0,$B$5=1,DP$3&lt;MAX(EDATE($B$8,MAX('Вводные'!$B$69+3,12)+1),IF('Вводные'!$B$71=0,0,EDATE('Вводные'!$B$71,1)))),(DP38+DP45)*DP41/12,0)</x:f>
      </x:c>
      <x:c r="DQ42" s="117">
        <x:f>IF(AND((DQ38+DQ45)&gt;0,$B$5=1,DQ$3&lt;MAX(EDATE($B$8,MAX('Вводные'!$B$69+3,12)+1),IF('Вводные'!$B$71=0,0,EDATE('Вводные'!$B$71,1)))),(DQ38+DQ45)*DQ41/12,0)</x:f>
      </x:c>
      <x:c r="DR42" s="117">
        <x:f>IF(AND((DR38+DR45)&gt;0,$B$5=1,DR$3&lt;MAX(EDATE($B$8,MAX('Вводные'!$B$69+3,12)+1),IF('Вводные'!$B$71=0,0,EDATE('Вводные'!$B$71,1)))),(DR38+DR45)*DR41/12,0)</x:f>
      </x:c>
      <x:c r="DS42" s="117">
        <x:f>IF(AND((DS38+DS45)&gt;0,$B$5=1,DS$3&lt;MAX(EDATE($B$8,MAX('Вводные'!$B$69+3,12)+1),IF('Вводные'!$B$71=0,0,EDATE('Вводные'!$B$71,1)))),(DS38+DS45)*DS41/12,0)</x:f>
      </x:c>
      <x:c r="DT42" s="117">
        <x:f>IF(AND((DT38+DT45)&gt;0,$B$5=1,DT$3&lt;MAX(EDATE($B$8,MAX('Вводные'!$B$69+3,12)+1),IF('Вводные'!$B$71=0,0,EDATE('Вводные'!$B$71,1)))),(DT38+DT45)*DT41/12,0)</x:f>
      </x:c>
      <x:c r="DU42" s="117">
        <x:f>IF(AND((DU38+DU45)&gt;0,$B$5=1,DU$3&lt;MAX(EDATE($B$8,MAX('Вводные'!$B$69+3,12)+1),IF('Вводные'!$B$71=0,0,EDATE('Вводные'!$B$71,1)))),(DU38+DU45)*DU41/12,0)</x:f>
      </x:c>
      <x:c r="DV42" s="117">
        <x:f>IF(AND((DV38+DV45)&gt;0,$B$5=1,DV$3&lt;MAX(EDATE($B$8,MAX('Вводные'!$B$69+3,12)+1),IF('Вводные'!$B$71=0,0,EDATE('Вводные'!$B$71,1)))),(DV38+DV45)*DV41/12,0)</x:f>
      </x:c>
      <x:c r="DW42" s="117">
        <x:f>IF(AND((DW38+DW45)&gt;0,$B$5=1,DW$3&lt;MAX(EDATE($B$8,MAX('Вводные'!$B$69+3,12)+1),IF('Вводные'!$B$71=0,0,EDATE('Вводные'!$B$71,1)))),(DW38+DW45)*DW41/12,0)</x:f>
      </x:c>
      <x:c r="DX42" s="117">
        <x:f>IF(AND((DX38+DX45)&gt;0,$B$5=1,DX$3&lt;MAX(EDATE($B$8,MAX('Вводные'!$B$69+3,12)+1),IF('Вводные'!$B$71=0,0,EDATE('Вводные'!$B$71,1)))),(DX38+DX45)*DX41/12,0)</x:f>
      </x:c>
      <x:c r="DY42" s="117">
        <x:f>IF(AND((DY38+DY45)&gt;0,$B$5=1,DY$3&lt;MAX(EDATE($B$8,MAX('Вводные'!$B$69+3,12)+1),IF('Вводные'!$B$71=0,0,EDATE('Вводные'!$B$71,1)))),(DY38+DY45)*DY41/12,0)</x:f>
      </x:c>
      <x:c r="DZ42" s="117">
        <x:f>IF(AND((DZ38+DZ45)&gt;0,$B$5=1,DZ$3&lt;MAX(EDATE($B$8,MAX('Вводные'!$B$69+3,12)+1),IF('Вводные'!$B$71=0,0,EDATE('Вводные'!$B$71,1)))),(DZ38+DZ45)*DZ41/12,0)</x:f>
      </x:c>
      <x:c r="EA42" s="117">
        <x:f>IF(AND((EA38+EA45)&gt;0,$B$5=1,EA$3&lt;MAX(EDATE($B$8,MAX('Вводные'!$B$69+3,12)+1),IF('Вводные'!$B$71=0,0,EDATE('Вводные'!$B$71,1)))),(EA38+EA45)*EA41/12,0)</x:f>
      </x:c>
      <x:c r="EB42" s="117">
        <x:f>IF(AND((EB38+EB45)&gt;0,$B$5=1,EB$3&lt;MAX(EDATE($B$8,MAX('Вводные'!$B$69+3,12)+1),IF('Вводные'!$B$71=0,0,EDATE('Вводные'!$B$71,1)))),(EB38+EB45)*EB41/12,0)</x:f>
      </x:c>
      <x:c r="EC42" s="117">
        <x:f>IF(AND((EC38+EC45)&gt;0,$B$5=1,EC$3&lt;MAX(EDATE($B$8,MAX('Вводные'!$B$69+3,12)+1),IF('Вводные'!$B$71=0,0,EDATE('Вводные'!$B$71,1)))),(EC38+EC45)*EC41/12,0)</x:f>
      </x:c>
      <x:c r="ED42" s="117">
        <x:f>IF(AND((ED38+ED45)&gt;0,$B$5=1,ED$3&lt;MAX(EDATE($B$8,MAX('Вводные'!$B$69+3,12)+1),IF('Вводные'!$B$71=0,0,EDATE('Вводные'!$B$71,1)))),(ED38+ED45)*ED41/12,0)</x:f>
      </x:c>
      <x:c r="EE42" s="117">
        <x:f>IF(AND((EE38+EE45)&gt;0,$B$5=1,EE$3&lt;MAX(EDATE($B$8,MAX('Вводные'!$B$69+3,12)+1),IF('Вводные'!$B$71=0,0,EDATE('Вводные'!$B$71,1)))),(EE38+EE45)*EE41/12,0)</x:f>
      </x:c>
      <x:c r="EF42" s="117">
        <x:f>IF(AND((EF38+EF45)&gt;0,$B$5=1,EF$3&lt;MAX(EDATE($B$8,MAX('Вводные'!$B$69+3,12)+1),IF('Вводные'!$B$71=0,0,EDATE('Вводные'!$B$71,1)))),(EF38+EF45)*EF41/12,0)</x:f>
      </x:c>
      <x:c r="EG42" s="117">
        <x:f>IF(AND((EG38+EG45)&gt;0,$B$5=1,EG$3&lt;MAX(EDATE($B$8,MAX('Вводные'!$B$69+3,12)+1),IF('Вводные'!$B$71=0,0,EDATE('Вводные'!$B$71,1)))),(EG38+EG45)*EG41/12,0)</x:f>
      </x:c>
      <x:c r="EH42" s="117">
        <x:f>IF(AND((EH38+EH45)&gt;0,$B$5=1,EH$3&lt;MAX(EDATE($B$8,MAX('Вводные'!$B$69+3,12)+1),IF('Вводные'!$B$71=0,0,EDATE('Вводные'!$B$71,1)))),(EH38+EH45)*EH41/12,0)</x:f>
      </x:c>
      <x:c r="EI42" s="117">
        <x:f>IF(AND((EI38+EI45)&gt;0,$B$5=1,EI$3&lt;MAX(EDATE($B$8,MAX('Вводные'!$B$69+3,12)+1),IF('Вводные'!$B$71=0,0,EDATE('Вводные'!$B$71,1)))),(EI38+EI45)*EI41/12,0)</x:f>
      </x:c>
      <x:c r="EJ42" s="117">
        <x:f>IF(AND((EJ38+EJ45)&gt;0,$B$5=1,EJ$3&lt;MAX(EDATE($B$8,MAX('Вводные'!$B$69+3,12)+1),IF('Вводные'!$B$71=0,0,EDATE('Вводные'!$B$71,1)))),(EJ38+EJ45)*EJ41/12,0)</x:f>
      </x:c>
      <x:c r="EK42" s="117">
        <x:f>IF(AND((EK38+EK45)&gt;0,$B$5=1,EK$3&lt;MAX(EDATE($B$8,MAX('Вводные'!$B$69+3,12)+1),IF('Вводные'!$B$71=0,0,EDATE('Вводные'!$B$71,1)))),(EK38+EK45)*EK41/12,0)</x:f>
      </x:c>
      <x:c r="EL42" s="117">
        <x:f>IF(AND((EL38+EL45)&gt;0,$B$5=1,EL$3&lt;MAX(EDATE($B$8,MAX('Вводные'!$B$69+3,12)+1),IF('Вводные'!$B$71=0,0,EDATE('Вводные'!$B$71,1)))),(EL38+EL45)*EL41/12,0)</x:f>
      </x:c>
      <x:c r="EM42" s="117">
        <x:f>IF(AND((EM38+EM45)&gt;0,$B$5=1,EM$3&lt;MAX(EDATE($B$8,MAX('Вводные'!$B$69+3,12)+1),IF('Вводные'!$B$71=0,0,EDATE('Вводные'!$B$71,1)))),(EM38+EM45)*EM41/12,0)</x:f>
      </x:c>
      <x:c r="EN42" s="117">
        <x:f>IF(AND((EN38+EN45)&gt;0,$B$5=1,EN$3&lt;MAX(EDATE($B$8,MAX('Вводные'!$B$69+3,12)+1),IF('Вводные'!$B$71=0,0,EDATE('Вводные'!$B$71,1)))),(EN38+EN45)*EN41/12,0)</x:f>
      </x:c>
      <x:c r="EO42" s="117">
        <x:f>IF(AND((EO38+EO45)&gt;0,$B$5=1,EO$3&lt;MAX(EDATE($B$8,MAX('Вводные'!$B$69+3,12)+1),IF('Вводные'!$B$71=0,0,EDATE('Вводные'!$B$71,1)))),(EO38+EO45)*EO41/12,0)</x:f>
      </x:c>
      <x:c r="EP42" s="117">
        <x:f>IF(AND((EP38+EP45)&gt;0,$B$5=1,EP$3&lt;MAX(EDATE($B$8,MAX('Вводные'!$B$69+3,12)+1),IF('Вводные'!$B$71=0,0,EDATE('Вводные'!$B$71,1)))),(EP38+EP45)*EP41/12,0)</x:f>
      </x:c>
      <x:c r="EQ42" s="117">
        <x:f>IF(AND((EQ38+EQ45)&gt;0,$B$5=1,EQ$3&lt;MAX(EDATE($B$8,MAX('Вводные'!$B$69+3,12)+1),IF('Вводные'!$B$71=0,0,EDATE('Вводные'!$B$71,1)))),(EQ38+EQ45)*EQ41/12,0)</x:f>
      </x:c>
      <x:c r="ER42" s="117">
        <x:f>IF(AND((ER38+ER45)&gt;0,$B$5=1,ER$3&lt;MAX(EDATE($B$8,MAX('Вводные'!$B$69+3,12)+1),IF('Вводные'!$B$71=0,0,EDATE('Вводные'!$B$71,1)))),(ER38+ER45)*ER41/12,0)</x:f>
      </x:c>
      <x:c r="ES42" s="117">
        <x:f>IF(AND((ES38+ES45)&gt;0,$B$5=1,ES$3&lt;MAX(EDATE($B$8,MAX('Вводные'!$B$69+3,12)+1),IF('Вводные'!$B$71=0,0,EDATE('Вводные'!$B$71,1)))),(ES38+ES45)*ES41/12,0)</x:f>
      </x:c>
      <x:c r="ET42" s="117">
        <x:f>IF(AND((ET38+ET45)&gt;0,$B$5=1,ET$3&lt;MAX(EDATE($B$8,MAX('Вводные'!$B$69+3,12)+1),IF('Вводные'!$B$71=0,0,EDATE('Вводные'!$B$71,1)))),(ET38+ET45)*ET41/12,0)</x:f>
      </x:c>
      <x:c r="EU42" s="117">
        <x:f>IF(AND((EU38+EU45)&gt;0,$B$5=1,EU$3&lt;MAX(EDATE($B$8,MAX('Вводные'!$B$69+3,12)+1),IF('Вводные'!$B$71=0,0,EDATE('Вводные'!$B$71,1)))),(EU38+EU45)*EU41/12,0)</x:f>
      </x:c>
      <x:c r="EV42" s="117">
        <x:f>IF(AND((EV38+EV45)&gt;0,$B$5=1,EV$3&lt;MAX(EDATE($B$8,MAX('Вводные'!$B$69+3,12)+1),IF('Вводные'!$B$71=0,0,EDATE('Вводные'!$B$71,1)))),(EV38+EV45)*EV41/12,0)</x:f>
      </x:c>
      <x:c r="EW42" s="117">
        <x:f>IF(AND((EW38+EW45)&gt;0,$B$5=1,EW$3&lt;MAX(EDATE($B$8,MAX('Вводные'!$B$69+3,12)+1),IF('Вводные'!$B$71=0,0,EDATE('Вводные'!$B$71,1)))),(EW38+EW45)*EW41/12,0)</x:f>
      </x:c>
      <x:c r="EX42" s="117">
        <x:f>IF(AND((EX38+EX45)&gt;0,$B$5=1,EX$3&lt;MAX(EDATE($B$8,MAX('Вводные'!$B$69+3,12)+1),IF('Вводные'!$B$71=0,0,EDATE('Вводные'!$B$71,1)))),(EX38+EX45)*EX41/12,0)</x:f>
      </x:c>
      <x:c r="EY42" s="117">
        <x:f>IF(AND((EY38+EY45)&gt;0,$B$5=1,EY$3&lt;MAX(EDATE($B$8,MAX('Вводные'!$B$69+3,12)+1),IF('Вводные'!$B$71=0,0,EDATE('Вводные'!$B$71,1)))),(EY38+EY45)*EY41/12,0)</x:f>
      </x:c>
      <x:c r="EZ42" s="117">
        <x:f>IF(AND((EZ38+EZ45)&gt;0,$B$5=1,EZ$3&lt;MAX(EDATE($B$8,MAX('Вводные'!$B$69+3,12)+1),IF('Вводные'!$B$71=0,0,EDATE('Вводные'!$B$71,1)))),(EZ38+EZ45)*EZ41/12,0)</x:f>
      </x:c>
      <x:c r="FA42" s="117">
        <x:f>IF(AND((FA38+FA45)&gt;0,$B$5=1,FA$3&lt;MAX(EDATE($B$8,MAX('Вводные'!$B$69+3,12)+1),IF('Вводные'!$B$71=0,0,EDATE('Вводные'!$B$71,1)))),(FA38+FA45)*FA41/12,0)</x:f>
      </x:c>
      <x:c r="FB42" s="117">
        <x:f>IF(AND((FB38+FB45)&gt;0,$B$5=1,FB$3&lt;MAX(EDATE($B$8,MAX('Вводные'!$B$69+3,12)+1),IF('Вводные'!$B$71=0,0,EDATE('Вводные'!$B$71,1)))),(FB38+FB45)*FB41/12,0)</x:f>
      </x:c>
      <x:c r="FC42" s="117">
        <x:f>IF(AND((FC38+FC45)&gt;0,$B$5=1,FC$3&lt;MAX(EDATE($B$8,MAX('Вводные'!$B$69+3,12)+1),IF('Вводные'!$B$71=0,0,EDATE('Вводные'!$B$71,1)))),(FC38+FC45)*FC41/12,0)</x:f>
      </x:c>
      <x:c r="FD42" s="117">
        <x:f>IF(AND((FD38+FD45)&gt;0,$B$5=1,FD$3&lt;MAX(EDATE($B$8,MAX('Вводные'!$B$69+3,12)+1),IF('Вводные'!$B$71=0,0,EDATE('Вводные'!$B$71,1)))),(FD38+FD45)*FD41/12,0)</x:f>
      </x:c>
      <x:c r="FE42" s="117">
        <x:f>IF(AND((FE38+FE45)&gt;0,$B$5=1,FE$3&lt;MAX(EDATE($B$8,MAX('Вводные'!$B$69+3,12)+1),IF('Вводные'!$B$71=0,0,EDATE('Вводные'!$B$71,1)))),(FE38+FE45)*FE41/12,0)</x:f>
      </x:c>
      <x:c r="FF42" s="117">
        <x:f>IF(AND((FF38+FF45)&gt;0,$B$5=1,FF$3&lt;MAX(EDATE($B$8,MAX('Вводные'!$B$69+3,12)+1),IF('Вводные'!$B$71=0,0,EDATE('Вводные'!$B$71,1)))),(FF38+FF45)*FF41/12,0)</x:f>
      </x:c>
      <x:c r="FG42" s="117">
        <x:f>IF(AND((FG38+FG45)&gt;0,$B$5=1,FG$3&lt;MAX(EDATE($B$8,MAX('Вводные'!$B$69+3,12)+1),IF('Вводные'!$B$71=0,0,EDATE('Вводные'!$B$71,1)))),(FG38+FG45)*FG41/12,0)</x:f>
      </x:c>
      <x:c r="FH42" s="117">
        <x:f>IF(AND((FH38+FH45)&gt;0,$B$5=1,FH$3&lt;MAX(EDATE($B$8,MAX('Вводные'!$B$69+3,12)+1),IF('Вводные'!$B$71=0,0,EDATE('Вводные'!$B$71,1)))),(FH38+FH45)*FH41/12,0)</x:f>
      </x:c>
      <x:c r="FI42" s="117">
        <x:f>IF(AND((FI38+FI45)&gt;0,$B$5=1,FI$3&lt;MAX(EDATE($B$8,MAX('Вводные'!$B$69+3,12)+1),IF('Вводные'!$B$71=0,0,EDATE('Вводные'!$B$71,1)))),(FI38+FI45)*FI41/12,0)</x:f>
      </x:c>
      <x:c r="FJ42" s="117">
        <x:f>IF(AND((FJ38+FJ45)&gt;0,$B$5=1,FJ$3&lt;MAX(EDATE($B$8,MAX('Вводные'!$B$69+3,12)+1),IF('Вводные'!$B$71=0,0,EDATE('Вводные'!$B$71,1)))),(FJ38+FJ45)*FJ41/12,0)</x:f>
      </x:c>
      <x:c r="FK42" s="117">
        <x:f>IF(AND((FK38+FK45)&gt;0,$B$5=1,FK$3&lt;MAX(EDATE($B$8,MAX('Вводные'!$B$69+3,12)+1),IF('Вводные'!$B$71=0,0,EDATE('Вводные'!$B$71,1)))),(FK38+FK45)*FK41/12,0)</x:f>
      </x:c>
      <x:c r="FL42" s="117">
        <x:f>IF(AND((FL38+FL45)&gt;0,$B$5=1,FL$3&lt;MAX(EDATE($B$8,MAX('Вводные'!$B$69+3,12)+1),IF('Вводные'!$B$71=0,0,EDATE('Вводные'!$B$71,1)))),(FL38+FL45)*FL41/12,0)</x:f>
      </x:c>
      <x:c r="FM42" s="117">
        <x:f>IF(AND((FM38+FM45)&gt;0,$B$5=1,FM$3&lt;MAX(EDATE($B$8,MAX('Вводные'!$B$69+3,12)+1),IF('Вводные'!$B$71=0,0,EDATE('Вводные'!$B$71,1)))),(FM38+FM45)*FM41/12,0)</x:f>
      </x:c>
      <x:c r="FN42" s="117">
        <x:f>IF(AND((FN38+FN45)&gt;0,$B$5=1,FN$3&lt;MAX(EDATE($B$8,MAX('Вводные'!$B$69+3,12)+1),IF('Вводные'!$B$71=0,0,EDATE('Вводные'!$B$71,1)))),(FN38+FN45)*FN41/12,0)</x:f>
      </x:c>
      <x:c r="FO42" s="117">
        <x:f>IF(AND((FO38+FO45)&gt;0,$B$5=1,FO$3&lt;MAX(EDATE($B$8,MAX('Вводные'!$B$69+3,12)+1),IF('Вводные'!$B$71=0,0,EDATE('Вводные'!$B$71,1)))),(FO38+FO45)*FO41/12,0)</x:f>
      </x:c>
      <x:c r="FP42" s="117">
        <x:f>IF(AND((FP38+FP45)&gt;0,$B$5=1,FP$3&lt;MAX(EDATE($B$8,MAX('Вводные'!$B$69+3,12)+1),IF('Вводные'!$B$71=0,0,EDATE('Вводные'!$B$71,1)))),(FP38+FP45)*FP41/12,0)</x:f>
      </x:c>
      <x:c r="FQ42" s="117">
        <x:f>IF(AND((FQ38+FQ45)&gt;0,$B$5=1,FQ$3&lt;MAX(EDATE($B$8,MAX('Вводные'!$B$69+3,12)+1),IF('Вводные'!$B$71=0,0,EDATE('Вводные'!$B$71,1)))),(FQ38+FQ45)*FQ41/12,0)</x:f>
      </x:c>
      <x:c r="FR42" s="117">
        <x:f>IF(AND((FR38+FR45)&gt;0,$B$5=1,FR$3&lt;MAX(EDATE($B$8,MAX('Вводные'!$B$69+3,12)+1),IF('Вводные'!$B$71=0,0,EDATE('Вводные'!$B$71,1)))),(FR38+FR45)*FR41/12,0)</x:f>
      </x:c>
      <x:c r="FS42" s="117">
        <x:f>IF(AND((FS38+FS45)&gt;0,$B$5=1,FS$3&lt;MAX(EDATE($B$8,MAX('Вводные'!$B$69+3,12)+1),IF('Вводные'!$B$71=0,0,EDATE('Вводные'!$B$71,1)))),(FS38+FS45)*FS41/12,0)</x:f>
      </x:c>
      <x:c r="FT42" s="117">
        <x:f>IF(AND((FT38+FT45)&gt;0,$B$5=1,FT$3&lt;MAX(EDATE($B$8,MAX('Вводные'!$B$69+3,12)+1),IF('Вводные'!$B$71=0,0,EDATE('Вводные'!$B$71,1)))),(FT38+FT45)*FT41/12,0)</x:f>
      </x:c>
      <x:c r="FU42" s="117">
        <x:f>IF(AND((FU38+FU45)&gt;0,$B$5=1,FU$3&lt;MAX(EDATE($B$8,MAX('Вводные'!$B$69+3,12)+1),IF('Вводные'!$B$71=0,0,EDATE('Вводные'!$B$71,1)))),(FU38+FU45)*FU41/12,0)</x:f>
      </x:c>
      <x:c r="FV42" s="117">
        <x:f>IF(AND((FV38+FV45)&gt;0,$B$5=1,FV$3&lt;MAX(EDATE($B$8,MAX('Вводные'!$B$69+3,12)+1),IF('Вводные'!$B$71=0,0,EDATE('Вводные'!$B$71,1)))),(FV38+FV45)*FV41/12,0)</x:f>
      </x:c>
      <x:c r="FW42" s="117">
        <x:f>IF(AND((FW38+FW45)&gt;0,$B$5=1,FW$3&lt;MAX(EDATE($B$8,MAX('Вводные'!$B$69+3,12)+1),IF('Вводные'!$B$71=0,0,EDATE('Вводные'!$B$71,1)))),(FW38+FW45)*FW41/12,0)</x:f>
      </x:c>
      <x:c r="FX42" s="117">
        <x:f>IF(AND((FX38+FX45)&gt;0,$B$5=1,FX$3&lt;MAX(EDATE($B$8,MAX('Вводные'!$B$69+3,12)+1),IF('Вводные'!$B$71=0,0,EDATE('Вводные'!$B$71,1)))),(FX38+FX45)*FX41/12,0)</x:f>
      </x:c>
      <x:c r="FY42" s="117">
        <x:f>IF(AND((FY38+FY45)&gt;0,$B$5=1,FY$3&lt;MAX(EDATE($B$8,MAX('Вводные'!$B$69+3,12)+1),IF('Вводные'!$B$71=0,0,EDATE('Вводные'!$B$71,1)))),(FY38+FY45)*FY41/12,0)</x:f>
      </x:c>
      <x:c r="FZ42" s="117">
        <x:f>IF(AND((FZ38+FZ45)&gt;0,$B$5=1,FZ$3&lt;MAX(EDATE($B$8,MAX('Вводные'!$B$69+3,12)+1),IF('Вводные'!$B$71=0,0,EDATE('Вводные'!$B$71,1)))),(FZ38+FZ45)*FZ41/12,0)</x:f>
      </x:c>
      <x:c r="GA42" s="117">
        <x:f>IF(AND((GA38+GA45)&gt;0,$B$5=1,GA$3&lt;MAX(EDATE($B$8,MAX('Вводные'!$B$69+3,12)+1),IF('Вводные'!$B$71=0,0,EDATE('Вводные'!$B$71,1)))),(GA38+GA45)*GA41/12,0)</x:f>
      </x:c>
    </x:row>
    <x:row r="43">
      <x:c r="A43" t="str">
        <x:v>ПФ — плата за лимит</x:v>
      </x:c>
      <x:c r="B43" t="n">
        <x:f>SUM(D43:GA43)</x:f>
      </x:c>
      <x:c r="C43" t="str">
        <x:v>млн ₽</x:v>
      </x:c>
      <x:c r="D43" s="117">
        <x:f>IF(AND(D$3&gt;=$B$7,D$3&lt;$B$8),MAX(0,'Вводные'!$B$26*'Вводные'!$V$89-(D38+D45))*'Вводные'!$B$29/12,0)</x:f>
      </x:c>
      <x:c r="E43" s="117">
        <x:f>IF(AND(E$3&gt;=$B$7,E$3&lt;$B$8),MAX(0,'Вводные'!$B$26*'Вводные'!$V$89-(E38+E45))*'Вводные'!$B$29/12,0)</x:f>
      </x:c>
      <x:c r="F43" s="117">
        <x:f>IF(AND(F$3&gt;=$B$7,F$3&lt;$B$8),MAX(0,'Вводные'!$B$26*'Вводные'!$V$89-(F38+F45))*'Вводные'!$B$29/12,0)</x:f>
      </x:c>
      <x:c r="G43" s="117">
        <x:f>IF(AND(G$3&gt;=$B$7,G$3&lt;$B$8),MAX(0,'Вводные'!$B$26*'Вводные'!$V$89-(G38+G45))*'Вводные'!$B$29/12,0)</x:f>
      </x:c>
      <x:c r="H43" s="117">
        <x:f>IF(AND(H$3&gt;=$B$7,H$3&lt;$B$8),MAX(0,'Вводные'!$B$26*'Вводные'!$V$89-(H38+H45))*'Вводные'!$B$29/12,0)</x:f>
      </x:c>
      <x:c r="I43" s="117">
        <x:f>IF(AND(I$3&gt;=$B$7,I$3&lt;$B$8),MAX(0,'Вводные'!$B$26*'Вводные'!$V$89-(I38+I45))*'Вводные'!$B$29/12,0)</x:f>
      </x:c>
      <x:c r="J43" s="117">
        <x:f>IF(AND(J$3&gt;=$B$7,J$3&lt;$B$8),MAX(0,'Вводные'!$B$26*'Вводные'!$V$89-(J38+J45))*'Вводные'!$B$29/12,0)</x:f>
      </x:c>
      <x:c r="K43" s="117">
        <x:f>IF(AND(K$3&gt;=$B$7,K$3&lt;$B$8),MAX(0,'Вводные'!$B$26*'Вводные'!$V$89-(K38+K45))*'Вводные'!$B$29/12,0)</x:f>
      </x:c>
      <x:c r="L43" s="117">
        <x:f>IF(AND(L$3&gt;=$B$7,L$3&lt;$B$8),MAX(0,'Вводные'!$B$26*'Вводные'!$V$89-(L38+L45))*'Вводные'!$B$29/12,0)</x:f>
      </x:c>
      <x:c r="M43" s="117">
        <x:f>IF(AND(M$3&gt;=$B$7,M$3&lt;$B$8),MAX(0,'Вводные'!$B$26*'Вводные'!$V$89-(M38+M45))*'Вводные'!$B$29/12,0)</x:f>
      </x:c>
      <x:c r="N43" s="117">
        <x:f>IF(AND(N$3&gt;=$B$7,N$3&lt;$B$8),MAX(0,'Вводные'!$B$26*'Вводные'!$V$89-(N38+N45))*'Вводные'!$B$29/12,0)</x:f>
      </x:c>
      <x:c r="O43" s="117">
        <x:f>IF(AND(O$3&gt;=$B$7,O$3&lt;$B$8),MAX(0,'Вводные'!$B$26*'Вводные'!$V$89-(O38+O45))*'Вводные'!$B$29/12,0)</x:f>
      </x:c>
      <x:c r="P43" s="117">
        <x:f>IF(AND(P$3&gt;=$B$7,P$3&lt;$B$8),MAX(0,'Вводные'!$B$26*'Вводные'!$V$89-(P38+P45))*'Вводные'!$B$29/12,0)</x:f>
      </x:c>
      <x:c r="Q43" s="117">
        <x:f>IF(AND(Q$3&gt;=$B$7,Q$3&lt;$B$8),MAX(0,'Вводные'!$B$26*'Вводные'!$V$89-(Q38+Q45))*'Вводные'!$B$29/12,0)</x:f>
      </x:c>
      <x:c r="R43" s="117">
        <x:f>IF(AND(R$3&gt;=$B$7,R$3&lt;$B$8),MAX(0,'Вводные'!$B$26*'Вводные'!$V$89-(R38+R45))*'Вводные'!$B$29/12,0)</x:f>
      </x:c>
      <x:c r="S43" s="117">
        <x:f>IF(AND(S$3&gt;=$B$7,S$3&lt;$B$8),MAX(0,'Вводные'!$B$26*'Вводные'!$V$89-(S38+S45))*'Вводные'!$B$29/12,0)</x:f>
      </x:c>
      <x:c r="T43" s="117">
        <x:f>IF(AND(T$3&gt;=$B$7,T$3&lt;$B$8),MAX(0,'Вводные'!$B$26*'Вводные'!$V$89-(T38+T45))*'Вводные'!$B$29/12,0)</x:f>
      </x:c>
      <x:c r="U43" s="117">
        <x:f>IF(AND(U$3&gt;=$B$7,U$3&lt;$B$8),MAX(0,'Вводные'!$B$26*'Вводные'!$V$89-(U38+U45))*'Вводные'!$B$29/12,0)</x:f>
      </x:c>
      <x:c r="V43" s="117">
        <x:f>IF(AND(V$3&gt;=$B$7,V$3&lt;$B$8),MAX(0,'Вводные'!$B$26*'Вводные'!$V$89-(V38+V45))*'Вводные'!$B$29/12,0)</x:f>
      </x:c>
      <x:c r="W43" s="117">
        <x:f>IF(AND(W$3&gt;=$B$7,W$3&lt;$B$8),MAX(0,'Вводные'!$B$26*'Вводные'!$V$89-(W38+W45))*'Вводные'!$B$29/12,0)</x:f>
      </x:c>
      <x:c r="X43" s="117">
        <x:f>IF(AND(X$3&gt;=$B$7,X$3&lt;$B$8),MAX(0,'Вводные'!$B$26*'Вводные'!$V$89-(X38+X45))*'Вводные'!$B$29/12,0)</x:f>
      </x:c>
      <x:c r="Y43" s="117">
        <x:f>IF(AND(Y$3&gt;=$B$7,Y$3&lt;$B$8),MAX(0,'Вводные'!$B$26*'Вводные'!$V$89-(Y38+Y45))*'Вводные'!$B$29/12,0)</x:f>
      </x:c>
      <x:c r="Z43" s="117">
        <x:f>IF(AND(Z$3&gt;=$B$7,Z$3&lt;$B$8),MAX(0,'Вводные'!$B$26*'Вводные'!$V$89-(Z38+Z45))*'Вводные'!$B$29/12,0)</x:f>
      </x:c>
      <x:c r="AA43" s="117">
        <x:f>IF(AND(AA$3&gt;=$B$7,AA$3&lt;$B$8),MAX(0,'Вводные'!$B$26*'Вводные'!$V$89-(AA38+AA45))*'Вводные'!$B$29/12,0)</x:f>
      </x:c>
      <x:c r="AB43" s="117">
        <x:f>IF(AND(AB$3&gt;=$B$7,AB$3&lt;$B$8),MAX(0,'Вводные'!$B$26*'Вводные'!$V$89-(AB38+AB45))*'Вводные'!$B$29/12,0)</x:f>
      </x:c>
      <x:c r="AC43" s="117">
        <x:f>IF(AND(AC$3&gt;=$B$7,AC$3&lt;$B$8),MAX(0,'Вводные'!$B$26*'Вводные'!$V$89-(AC38+AC45))*'Вводные'!$B$29/12,0)</x:f>
      </x:c>
      <x:c r="AD43" s="117">
        <x:f>IF(AND(AD$3&gt;=$B$7,AD$3&lt;$B$8),MAX(0,'Вводные'!$B$26*'Вводные'!$V$89-(AD38+AD45))*'Вводные'!$B$29/12,0)</x:f>
      </x:c>
      <x:c r="AE43" s="117">
        <x:f>IF(AND(AE$3&gt;=$B$7,AE$3&lt;$B$8),MAX(0,'Вводные'!$B$26*'Вводные'!$V$89-(AE38+AE45))*'Вводные'!$B$29/12,0)</x:f>
      </x:c>
      <x:c r="AF43" s="117">
        <x:f>IF(AND(AF$3&gt;=$B$7,AF$3&lt;$B$8),MAX(0,'Вводные'!$B$26*'Вводные'!$V$89-(AF38+AF45))*'Вводные'!$B$29/12,0)</x:f>
      </x:c>
      <x:c r="AG43" s="117">
        <x:f>IF(AND(AG$3&gt;=$B$7,AG$3&lt;$B$8),MAX(0,'Вводные'!$B$26*'Вводные'!$V$89-(AG38+AG45))*'Вводные'!$B$29/12,0)</x:f>
      </x:c>
      <x:c r="AH43" s="117">
        <x:f>IF(AND(AH$3&gt;=$B$7,AH$3&lt;$B$8),MAX(0,'Вводные'!$B$26*'Вводные'!$V$89-(AH38+AH45))*'Вводные'!$B$29/12,0)</x:f>
      </x:c>
      <x:c r="AI43" s="117">
        <x:f>IF(AND(AI$3&gt;=$B$7,AI$3&lt;$B$8),MAX(0,'Вводные'!$B$26*'Вводные'!$V$89-(AI38+AI45))*'Вводные'!$B$29/12,0)</x:f>
      </x:c>
      <x:c r="AJ43" s="117">
        <x:f>IF(AND(AJ$3&gt;=$B$7,AJ$3&lt;$B$8),MAX(0,'Вводные'!$B$26*'Вводные'!$V$89-(AJ38+AJ45))*'Вводные'!$B$29/12,0)</x:f>
      </x:c>
      <x:c r="AK43" s="117">
        <x:f>IF(AND(AK$3&gt;=$B$7,AK$3&lt;$B$8),MAX(0,'Вводные'!$B$26*'Вводные'!$V$89-(AK38+AK45))*'Вводные'!$B$29/12,0)</x:f>
      </x:c>
      <x:c r="AL43" s="117">
        <x:f>IF(AND(AL$3&gt;=$B$7,AL$3&lt;$B$8),MAX(0,'Вводные'!$B$26*'Вводные'!$V$89-(AL38+AL45))*'Вводные'!$B$29/12,0)</x:f>
      </x:c>
      <x:c r="AM43" s="117">
        <x:f>IF(AND(AM$3&gt;=$B$7,AM$3&lt;$B$8),MAX(0,'Вводные'!$B$26*'Вводные'!$V$89-(AM38+AM45))*'Вводные'!$B$29/12,0)</x:f>
      </x:c>
      <x:c r="AN43" s="117">
        <x:f>IF(AND(AN$3&gt;=$B$7,AN$3&lt;$B$8),MAX(0,'Вводные'!$B$26*'Вводные'!$V$89-(AN38+AN45))*'Вводные'!$B$29/12,0)</x:f>
      </x:c>
      <x:c r="AO43" s="117">
        <x:f>IF(AND(AO$3&gt;=$B$7,AO$3&lt;$B$8),MAX(0,'Вводные'!$B$26*'Вводные'!$V$89-(AO38+AO45))*'Вводные'!$B$29/12,0)</x:f>
      </x:c>
      <x:c r="AP43" s="117">
        <x:f>IF(AND(AP$3&gt;=$B$7,AP$3&lt;$B$8),MAX(0,'Вводные'!$B$26*'Вводные'!$V$89-(AP38+AP45))*'Вводные'!$B$29/12,0)</x:f>
      </x:c>
      <x:c r="AQ43" s="117">
        <x:f>IF(AND(AQ$3&gt;=$B$7,AQ$3&lt;$B$8),MAX(0,'Вводные'!$B$26*'Вводные'!$V$89-(AQ38+AQ45))*'Вводные'!$B$29/12,0)</x:f>
      </x:c>
      <x:c r="AR43" s="117">
        <x:f>IF(AND(AR$3&gt;=$B$7,AR$3&lt;$B$8),MAX(0,'Вводные'!$B$26*'Вводные'!$V$89-(AR38+AR45))*'Вводные'!$B$29/12,0)</x:f>
      </x:c>
      <x:c r="AS43" s="117">
        <x:f>IF(AND(AS$3&gt;=$B$7,AS$3&lt;$B$8),MAX(0,'Вводные'!$B$26*'Вводные'!$V$89-(AS38+AS45))*'Вводные'!$B$29/12,0)</x:f>
      </x:c>
      <x:c r="AT43" s="117">
        <x:f>IF(AND(AT$3&gt;=$B$7,AT$3&lt;$B$8),MAX(0,'Вводные'!$B$26*'Вводные'!$V$89-(AT38+AT45))*'Вводные'!$B$29/12,0)</x:f>
      </x:c>
      <x:c r="AU43" s="117">
        <x:f>IF(AND(AU$3&gt;=$B$7,AU$3&lt;$B$8),MAX(0,'Вводные'!$B$26*'Вводные'!$V$89-(AU38+AU45))*'Вводные'!$B$29/12,0)</x:f>
      </x:c>
      <x:c r="AV43" s="117">
        <x:f>IF(AND(AV$3&gt;=$B$7,AV$3&lt;$B$8),MAX(0,'Вводные'!$B$26*'Вводные'!$V$89-(AV38+AV45))*'Вводные'!$B$29/12,0)</x:f>
      </x:c>
      <x:c r="AW43" s="117">
        <x:f>IF(AND(AW$3&gt;=$B$7,AW$3&lt;$B$8),MAX(0,'Вводные'!$B$26*'Вводные'!$V$89-(AW38+AW45))*'Вводные'!$B$29/12,0)</x:f>
      </x:c>
      <x:c r="AX43" s="117">
        <x:f>IF(AND(AX$3&gt;=$B$7,AX$3&lt;$B$8),MAX(0,'Вводные'!$B$26*'Вводные'!$V$89-(AX38+AX45))*'Вводные'!$B$29/12,0)</x:f>
      </x:c>
      <x:c r="AY43" s="117">
        <x:f>IF(AND(AY$3&gt;=$B$7,AY$3&lt;$B$8),MAX(0,'Вводные'!$B$26*'Вводные'!$V$89-(AY38+AY45))*'Вводные'!$B$29/12,0)</x:f>
      </x:c>
      <x:c r="AZ43" s="117">
        <x:f>IF(AND(AZ$3&gt;=$B$7,AZ$3&lt;$B$8),MAX(0,'Вводные'!$B$26*'Вводные'!$V$89-(AZ38+AZ45))*'Вводные'!$B$29/12,0)</x:f>
      </x:c>
      <x:c r="BA43" s="117">
        <x:f>IF(AND(BA$3&gt;=$B$7,BA$3&lt;$B$8),MAX(0,'Вводные'!$B$26*'Вводные'!$V$89-(BA38+BA45))*'Вводные'!$B$29/12,0)</x:f>
      </x:c>
      <x:c r="BB43" s="117">
        <x:f>IF(AND(BB$3&gt;=$B$7,BB$3&lt;$B$8),MAX(0,'Вводные'!$B$26*'Вводные'!$V$89-(BB38+BB45))*'Вводные'!$B$29/12,0)</x:f>
      </x:c>
      <x:c r="BC43" s="117">
        <x:f>IF(AND(BC$3&gt;=$B$7,BC$3&lt;$B$8),MAX(0,'Вводные'!$B$26*'Вводные'!$V$89-(BC38+BC45))*'Вводные'!$B$29/12,0)</x:f>
      </x:c>
      <x:c r="BD43" s="117">
        <x:f>IF(AND(BD$3&gt;=$B$7,BD$3&lt;$B$8),MAX(0,'Вводные'!$B$26*'Вводные'!$V$89-(BD38+BD45))*'Вводные'!$B$29/12,0)</x:f>
      </x:c>
      <x:c r="BE43" s="117">
        <x:f>IF(AND(BE$3&gt;=$B$7,BE$3&lt;$B$8),MAX(0,'Вводные'!$B$26*'Вводные'!$V$89-(BE38+BE45))*'Вводные'!$B$29/12,0)</x:f>
      </x:c>
      <x:c r="BF43" s="117">
        <x:f>IF(AND(BF$3&gt;=$B$7,BF$3&lt;$B$8),MAX(0,'Вводные'!$B$26*'Вводные'!$V$89-(BF38+BF45))*'Вводные'!$B$29/12,0)</x:f>
      </x:c>
      <x:c r="BG43" s="117">
        <x:f>IF(AND(BG$3&gt;=$B$7,BG$3&lt;$B$8),MAX(0,'Вводные'!$B$26*'Вводные'!$V$89-(BG38+BG45))*'Вводные'!$B$29/12,0)</x:f>
      </x:c>
      <x:c r="BH43" s="117">
        <x:f>IF(AND(BH$3&gt;=$B$7,BH$3&lt;$B$8),MAX(0,'Вводные'!$B$26*'Вводные'!$V$89-(BH38+BH45))*'Вводные'!$B$29/12,0)</x:f>
      </x:c>
      <x:c r="BI43" s="117">
        <x:f>IF(AND(BI$3&gt;=$B$7,BI$3&lt;$B$8),MAX(0,'Вводные'!$B$26*'Вводные'!$V$89-(BI38+BI45))*'Вводные'!$B$29/12,0)</x:f>
      </x:c>
      <x:c r="BJ43" s="117">
        <x:f>IF(AND(BJ$3&gt;=$B$7,BJ$3&lt;$B$8),MAX(0,'Вводные'!$B$26*'Вводные'!$V$89-(BJ38+BJ45))*'Вводные'!$B$29/12,0)</x:f>
      </x:c>
      <x:c r="BK43" s="117">
        <x:f>IF(AND(BK$3&gt;=$B$7,BK$3&lt;$B$8),MAX(0,'Вводные'!$B$26*'Вводные'!$V$89-(BK38+BK45))*'Вводные'!$B$29/12,0)</x:f>
      </x:c>
      <x:c r="BL43" s="117">
        <x:f>IF(AND(BL$3&gt;=$B$7,BL$3&lt;$B$8),MAX(0,'Вводные'!$B$26*'Вводные'!$V$89-(BL38+BL45))*'Вводные'!$B$29/12,0)</x:f>
      </x:c>
      <x:c r="BM43" s="117">
        <x:f>IF(AND(BM$3&gt;=$B$7,BM$3&lt;$B$8),MAX(0,'Вводные'!$B$26*'Вводные'!$V$89-(BM38+BM45))*'Вводные'!$B$29/12,0)</x:f>
      </x:c>
      <x:c r="BN43" s="117">
        <x:f>IF(AND(BN$3&gt;=$B$7,BN$3&lt;$B$8),MAX(0,'Вводные'!$B$26*'Вводные'!$V$89-(BN38+BN45))*'Вводные'!$B$29/12,0)</x:f>
      </x:c>
      <x:c r="BO43" s="117">
        <x:f>IF(AND(BO$3&gt;=$B$7,BO$3&lt;$B$8),MAX(0,'Вводные'!$B$26*'Вводные'!$V$89-(BO38+BO45))*'Вводные'!$B$29/12,0)</x:f>
      </x:c>
      <x:c r="BP43" s="117">
        <x:f>IF(AND(BP$3&gt;=$B$7,BP$3&lt;$B$8),MAX(0,'Вводные'!$B$26*'Вводные'!$V$89-(BP38+BP45))*'Вводные'!$B$29/12,0)</x:f>
      </x:c>
      <x:c r="BQ43" s="117">
        <x:f>IF(AND(BQ$3&gt;=$B$7,BQ$3&lt;$B$8),MAX(0,'Вводные'!$B$26*'Вводные'!$V$89-(BQ38+BQ45))*'Вводные'!$B$29/12,0)</x:f>
      </x:c>
      <x:c r="BR43" s="117">
        <x:f>IF(AND(BR$3&gt;=$B$7,BR$3&lt;$B$8),MAX(0,'Вводные'!$B$26*'Вводные'!$V$89-(BR38+BR45))*'Вводные'!$B$29/12,0)</x:f>
      </x:c>
      <x:c r="BS43" s="117">
        <x:f>IF(AND(BS$3&gt;=$B$7,BS$3&lt;$B$8),MAX(0,'Вводные'!$B$26*'Вводные'!$V$89-(BS38+BS45))*'Вводные'!$B$29/12,0)</x:f>
      </x:c>
      <x:c r="BT43" s="117">
        <x:f>IF(AND(BT$3&gt;=$B$7,BT$3&lt;$B$8),MAX(0,'Вводные'!$B$26*'Вводные'!$V$89-(BT38+BT45))*'Вводные'!$B$29/12,0)</x:f>
      </x:c>
      <x:c r="BU43" s="117">
        <x:f>IF(AND(BU$3&gt;=$B$7,BU$3&lt;$B$8),MAX(0,'Вводные'!$B$26*'Вводные'!$V$89-(BU38+BU45))*'Вводные'!$B$29/12,0)</x:f>
      </x:c>
      <x:c r="BV43" s="117">
        <x:f>IF(AND(BV$3&gt;=$B$7,BV$3&lt;$B$8),MAX(0,'Вводные'!$B$26*'Вводные'!$V$89-(BV38+BV45))*'Вводные'!$B$29/12,0)</x:f>
      </x:c>
      <x:c r="BW43" s="117">
        <x:f>IF(AND(BW$3&gt;=$B$7,BW$3&lt;$B$8),MAX(0,'Вводные'!$B$26*'Вводные'!$V$89-(BW38+BW45))*'Вводные'!$B$29/12,0)</x:f>
      </x:c>
      <x:c r="BX43" s="117">
        <x:f>IF(AND(BX$3&gt;=$B$7,BX$3&lt;$B$8),MAX(0,'Вводные'!$B$26*'Вводные'!$V$89-(BX38+BX45))*'Вводные'!$B$29/12,0)</x:f>
      </x:c>
      <x:c r="BY43" s="117">
        <x:f>IF(AND(BY$3&gt;=$B$7,BY$3&lt;$B$8),MAX(0,'Вводные'!$B$26*'Вводные'!$V$89-(BY38+BY45))*'Вводные'!$B$29/12,0)</x:f>
      </x:c>
      <x:c r="BZ43" s="117">
        <x:f>IF(AND(BZ$3&gt;=$B$7,BZ$3&lt;$B$8),MAX(0,'Вводные'!$B$26*'Вводные'!$V$89-(BZ38+BZ45))*'Вводные'!$B$29/12,0)</x:f>
      </x:c>
      <x:c r="CA43" s="117">
        <x:f>IF(AND(CA$3&gt;=$B$7,CA$3&lt;$B$8),MAX(0,'Вводные'!$B$26*'Вводные'!$V$89-(CA38+CA45))*'Вводные'!$B$29/12,0)</x:f>
      </x:c>
      <x:c r="CB43" s="117">
        <x:f>IF(AND(CB$3&gt;=$B$7,CB$3&lt;$B$8),MAX(0,'Вводные'!$B$26*'Вводные'!$V$89-(CB38+CB45))*'Вводные'!$B$29/12,0)</x:f>
      </x:c>
      <x:c r="CC43" s="117">
        <x:f>IF(AND(CC$3&gt;=$B$7,CC$3&lt;$B$8),MAX(0,'Вводные'!$B$26*'Вводные'!$V$89-(CC38+CC45))*'Вводные'!$B$29/12,0)</x:f>
      </x:c>
      <x:c r="CD43" s="117">
        <x:f>IF(AND(CD$3&gt;=$B$7,CD$3&lt;$B$8),MAX(0,'Вводные'!$B$26*'Вводные'!$V$89-(CD38+CD45))*'Вводные'!$B$29/12,0)</x:f>
      </x:c>
      <x:c r="CE43" s="117">
        <x:f>IF(AND(CE$3&gt;=$B$7,CE$3&lt;$B$8),MAX(0,'Вводные'!$B$26*'Вводные'!$V$89-(CE38+CE45))*'Вводные'!$B$29/12,0)</x:f>
      </x:c>
      <x:c r="CF43" s="117">
        <x:f>IF(AND(CF$3&gt;=$B$7,CF$3&lt;$B$8),MAX(0,'Вводные'!$B$26*'Вводные'!$V$89-(CF38+CF45))*'Вводные'!$B$29/12,0)</x:f>
      </x:c>
      <x:c r="CG43" s="117">
        <x:f>IF(AND(CG$3&gt;=$B$7,CG$3&lt;$B$8),MAX(0,'Вводные'!$B$26*'Вводные'!$V$89-(CG38+CG45))*'Вводные'!$B$29/12,0)</x:f>
      </x:c>
      <x:c r="CH43" s="117">
        <x:f>IF(AND(CH$3&gt;=$B$7,CH$3&lt;$B$8),MAX(0,'Вводные'!$B$26*'Вводные'!$V$89-(CH38+CH45))*'Вводные'!$B$29/12,0)</x:f>
      </x:c>
      <x:c r="CI43" s="117">
        <x:f>IF(AND(CI$3&gt;=$B$7,CI$3&lt;$B$8),MAX(0,'Вводные'!$B$26*'Вводные'!$V$89-(CI38+CI45))*'Вводные'!$B$29/12,0)</x:f>
      </x:c>
      <x:c r="CJ43" s="117">
        <x:f>IF(AND(CJ$3&gt;=$B$7,CJ$3&lt;$B$8),MAX(0,'Вводные'!$B$26*'Вводные'!$V$89-(CJ38+CJ45))*'Вводные'!$B$29/12,0)</x:f>
      </x:c>
      <x:c r="CK43" s="117">
        <x:f>IF(AND(CK$3&gt;=$B$7,CK$3&lt;$B$8),MAX(0,'Вводные'!$B$26*'Вводные'!$V$89-(CK38+CK45))*'Вводные'!$B$29/12,0)</x:f>
      </x:c>
      <x:c r="CL43" s="117">
        <x:f>IF(AND(CL$3&gt;=$B$7,CL$3&lt;$B$8),MAX(0,'Вводные'!$B$26*'Вводные'!$V$89-(CL38+CL45))*'Вводные'!$B$29/12,0)</x:f>
      </x:c>
      <x:c r="CM43" s="117">
        <x:f>IF(AND(CM$3&gt;=$B$7,CM$3&lt;$B$8),MAX(0,'Вводные'!$B$26*'Вводные'!$V$89-(CM38+CM45))*'Вводные'!$B$29/12,0)</x:f>
      </x:c>
      <x:c r="CN43" s="117">
        <x:f>IF(AND(CN$3&gt;=$B$7,CN$3&lt;$B$8),MAX(0,'Вводные'!$B$26*'Вводные'!$V$89-(CN38+CN45))*'Вводные'!$B$29/12,0)</x:f>
      </x:c>
      <x:c r="CO43" s="117">
        <x:f>IF(AND(CO$3&gt;=$B$7,CO$3&lt;$B$8),MAX(0,'Вводные'!$B$26*'Вводные'!$V$89-(CO38+CO45))*'Вводные'!$B$29/12,0)</x:f>
      </x:c>
      <x:c r="CP43" s="117">
        <x:f>IF(AND(CP$3&gt;=$B$7,CP$3&lt;$B$8),MAX(0,'Вводные'!$B$26*'Вводные'!$V$89-(CP38+CP45))*'Вводные'!$B$29/12,0)</x:f>
      </x:c>
      <x:c r="CQ43" s="117">
        <x:f>IF(AND(CQ$3&gt;=$B$7,CQ$3&lt;$B$8),MAX(0,'Вводные'!$B$26*'Вводные'!$V$89-(CQ38+CQ45))*'Вводные'!$B$29/12,0)</x:f>
      </x:c>
      <x:c r="CR43" s="117">
        <x:f>IF(AND(CR$3&gt;=$B$7,CR$3&lt;$B$8),MAX(0,'Вводные'!$B$26*'Вводные'!$V$89-(CR38+CR45))*'Вводные'!$B$29/12,0)</x:f>
      </x:c>
      <x:c r="CS43" s="117">
        <x:f>IF(AND(CS$3&gt;=$B$7,CS$3&lt;$B$8),MAX(0,'Вводные'!$B$26*'Вводные'!$V$89-(CS38+CS45))*'Вводные'!$B$29/12,0)</x:f>
      </x:c>
      <x:c r="CT43" s="117">
        <x:f>IF(AND(CT$3&gt;=$B$7,CT$3&lt;$B$8),MAX(0,'Вводные'!$B$26*'Вводные'!$V$89-(CT38+CT45))*'Вводные'!$B$29/12,0)</x:f>
      </x:c>
      <x:c r="CU43" s="117">
        <x:f>IF(AND(CU$3&gt;=$B$7,CU$3&lt;$B$8),MAX(0,'Вводные'!$B$26*'Вводные'!$V$89-(CU38+CU45))*'Вводные'!$B$29/12,0)</x:f>
      </x:c>
      <x:c r="CV43" s="117">
        <x:f>IF(AND(CV$3&gt;=$B$7,CV$3&lt;$B$8),MAX(0,'Вводные'!$B$26*'Вводные'!$V$89-(CV38+CV45))*'Вводные'!$B$29/12,0)</x:f>
      </x:c>
      <x:c r="CW43" s="117">
        <x:f>IF(AND(CW$3&gt;=$B$7,CW$3&lt;$B$8),MAX(0,'Вводные'!$B$26*'Вводные'!$V$89-(CW38+CW45))*'Вводные'!$B$29/12,0)</x:f>
      </x:c>
      <x:c r="CX43" s="117">
        <x:f>IF(AND(CX$3&gt;=$B$7,CX$3&lt;$B$8),MAX(0,'Вводные'!$B$26*'Вводные'!$V$89-(CX38+CX45))*'Вводные'!$B$29/12,0)</x:f>
      </x:c>
      <x:c r="CY43" s="117">
        <x:f>IF(AND(CY$3&gt;=$B$7,CY$3&lt;$B$8),MAX(0,'Вводные'!$B$26*'Вводные'!$V$89-(CY38+CY45))*'Вводные'!$B$29/12,0)</x:f>
      </x:c>
      <x:c r="CZ43" s="117">
        <x:f>IF(AND(CZ$3&gt;=$B$7,CZ$3&lt;$B$8),MAX(0,'Вводные'!$B$26*'Вводные'!$V$89-(CZ38+CZ45))*'Вводные'!$B$29/12,0)</x:f>
      </x:c>
      <x:c r="DA43" s="117">
        <x:f>IF(AND(DA$3&gt;=$B$7,DA$3&lt;$B$8),MAX(0,'Вводные'!$B$26*'Вводные'!$V$89-(DA38+DA45))*'Вводные'!$B$29/12,0)</x:f>
      </x:c>
      <x:c r="DB43" s="117">
        <x:f>IF(AND(DB$3&gt;=$B$7,DB$3&lt;$B$8),MAX(0,'Вводные'!$B$26*'Вводные'!$V$89-(DB38+DB45))*'Вводные'!$B$29/12,0)</x:f>
      </x:c>
      <x:c r="DC43" s="117">
        <x:f>IF(AND(DC$3&gt;=$B$7,DC$3&lt;$B$8),MAX(0,'Вводные'!$B$26*'Вводные'!$V$89-(DC38+DC45))*'Вводные'!$B$29/12,0)</x:f>
      </x:c>
      <x:c r="DD43" s="117">
        <x:f>IF(AND(DD$3&gt;=$B$7,DD$3&lt;$B$8),MAX(0,'Вводные'!$B$26*'Вводные'!$V$89-(DD38+DD45))*'Вводные'!$B$29/12,0)</x:f>
      </x:c>
      <x:c r="DE43" s="117">
        <x:f>IF(AND(DE$3&gt;=$B$7,DE$3&lt;$B$8),MAX(0,'Вводные'!$B$26*'Вводные'!$V$89-(DE38+DE45))*'Вводные'!$B$29/12,0)</x:f>
      </x:c>
      <x:c r="DF43" s="117">
        <x:f>IF(AND(DF$3&gt;=$B$7,DF$3&lt;$B$8),MAX(0,'Вводные'!$B$26*'Вводные'!$V$89-(DF38+DF45))*'Вводные'!$B$29/12,0)</x:f>
      </x:c>
      <x:c r="DG43" s="117">
        <x:f>IF(AND(DG$3&gt;=$B$7,DG$3&lt;$B$8),MAX(0,'Вводные'!$B$26*'Вводные'!$V$89-(DG38+DG45))*'Вводные'!$B$29/12,0)</x:f>
      </x:c>
      <x:c r="DH43" s="117">
        <x:f>IF(AND(DH$3&gt;=$B$7,DH$3&lt;$B$8),MAX(0,'Вводные'!$B$26*'Вводные'!$V$89-(DH38+DH45))*'Вводные'!$B$29/12,0)</x:f>
      </x:c>
      <x:c r="DI43" s="117">
        <x:f>IF(AND(DI$3&gt;=$B$7,DI$3&lt;$B$8),MAX(0,'Вводные'!$B$26*'Вводные'!$V$89-(DI38+DI45))*'Вводные'!$B$29/12,0)</x:f>
      </x:c>
      <x:c r="DJ43" s="117">
        <x:f>IF(AND(DJ$3&gt;=$B$7,DJ$3&lt;$B$8),MAX(0,'Вводные'!$B$26*'Вводные'!$V$89-(DJ38+DJ45))*'Вводные'!$B$29/12,0)</x:f>
      </x:c>
      <x:c r="DK43" s="117">
        <x:f>IF(AND(DK$3&gt;=$B$7,DK$3&lt;$B$8),MAX(0,'Вводные'!$B$26*'Вводные'!$V$89-(DK38+DK45))*'Вводные'!$B$29/12,0)</x:f>
      </x:c>
      <x:c r="DL43" s="117">
        <x:f>IF(AND(DL$3&gt;=$B$7,DL$3&lt;$B$8),MAX(0,'Вводные'!$B$26*'Вводные'!$V$89-(DL38+DL45))*'Вводные'!$B$29/12,0)</x:f>
      </x:c>
      <x:c r="DM43" s="117">
        <x:f>IF(AND(DM$3&gt;=$B$7,DM$3&lt;$B$8),MAX(0,'Вводные'!$B$26*'Вводные'!$V$89-(DM38+DM45))*'Вводные'!$B$29/12,0)</x:f>
      </x:c>
      <x:c r="DN43" s="117">
        <x:f>IF(AND(DN$3&gt;=$B$7,DN$3&lt;$B$8),MAX(0,'Вводные'!$B$26*'Вводные'!$V$89-(DN38+DN45))*'Вводные'!$B$29/12,0)</x:f>
      </x:c>
      <x:c r="DO43" s="117">
        <x:f>IF(AND(DO$3&gt;=$B$7,DO$3&lt;$B$8),MAX(0,'Вводные'!$B$26*'Вводные'!$V$89-(DO38+DO45))*'Вводные'!$B$29/12,0)</x:f>
      </x:c>
      <x:c r="DP43" s="117">
        <x:f>IF(AND(DP$3&gt;=$B$7,DP$3&lt;$B$8),MAX(0,'Вводные'!$B$26*'Вводные'!$V$89-(DP38+DP45))*'Вводные'!$B$29/12,0)</x:f>
      </x:c>
      <x:c r="DQ43" s="117">
        <x:f>IF(AND(DQ$3&gt;=$B$7,DQ$3&lt;$B$8),MAX(0,'Вводные'!$B$26*'Вводные'!$V$89-(DQ38+DQ45))*'Вводные'!$B$29/12,0)</x:f>
      </x:c>
      <x:c r="DR43" s="117">
        <x:f>IF(AND(DR$3&gt;=$B$7,DR$3&lt;$B$8),MAX(0,'Вводные'!$B$26*'Вводные'!$V$89-(DR38+DR45))*'Вводные'!$B$29/12,0)</x:f>
      </x:c>
      <x:c r="DS43" s="117">
        <x:f>IF(AND(DS$3&gt;=$B$7,DS$3&lt;$B$8),MAX(0,'Вводные'!$B$26*'Вводные'!$V$89-(DS38+DS45))*'Вводные'!$B$29/12,0)</x:f>
      </x:c>
      <x:c r="DT43" s="117">
        <x:f>IF(AND(DT$3&gt;=$B$7,DT$3&lt;$B$8),MAX(0,'Вводные'!$B$26*'Вводные'!$V$89-(DT38+DT45))*'Вводные'!$B$29/12,0)</x:f>
      </x:c>
      <x:c r="DU43" s="117">
        <x:f>IF(AND(DU$3&gt;=$B$7,DU$3&lt;$B$8),MAX(0,'Вводные'!$B$26*'Вводные'!$V$89-(DU38+DU45))*'Вводные'!$B$29/12,0)</x:f>
      </x:c>
      <x:c r="DV43" s="117">
        <x:f>IF(AND(DV$3&gt;=$B$7,DV$3&lt;$B$8),MAX(0,'Вводные'!$B$26*'Вводные'!$V$89-(DV38+DV45))*'Вводные'!$B$29/12,0)</x:f>
      </x:c>
      <x:c r="DW43" s="117">
        <x:f>IF(AND(DW$3&gt;=$B$7,DW$3&lt;$B$8),MAX(0,'Вводные'!$B$26*'Вводные'!$V$89-(DW38+DW45))*'Вводные'!$B$29/12,0)</x:f>
      </x:c>
      <x:c r="DX43" s="117">
        <x:f>IF(AND(DX$3&gt;=$B$7,DX$3&lt;$B$8),MAX(0,'Вводные'!$B$26*'Вводные'!$V$89-(DX38+DX45))*'Вводные'!$B$29/12,0)</x:f>
      </x:c>
      <x:c r="DY43" s="117">
        <x:f>IF(AND(DY$3&gt;=$B$7,DY$3&lt;$B$8),MAX(0,'Вводные'!$B$26*'Вводные'!$V$89-(DY38+DY45))*'Вводные'!$B$29/12,0)</x:f>
      </x:c>
      <x:c r="DZ43" s="117">
        <x:f>IF(AND(DZ$3&gt;=$B$7,DZ$3&lt;$B$8),MAX(0,'Вводные'!$B$26*'Вводные'!$V$89-(DZ38+DZ45))*'Вводные'!$B$29/12,0)</x:f>
      </x:c>
      <x:c r="EA43" s="117">
        <x:f>IF(AND(EA$3&gt;=$B$7,EA$3&lt;$B$8),MAX(0,'Вводные'!$B$26*'Вводные'!$V$89-(EA38+EA45))*'Вводные'!$B$29/12,0)</x:f>
      </x:c>
      <x:c r="EB43" s="117">
        <x:f>IF(AND(EB$3&gt;=$B$7,EB$3&lt;$B$8),MAX(0,'Вводные'!$B$26*'Вводные'!$V$89-(EB38+EB45))*'Вводные'!$B$29/12,0)</x:f>
      </x:c>
      <x:c r="EC43" s="117">
        <x:f>IF(AND(EC$3&gt;=$B$7,EC$3&lt;$B$8),MAX(0,'Вводные'!$B$26*'Вводные'!$V$89-(EC38+EC45))*'Вводные'!$B$29/12,0)</x:f>
      </x:c>
      <x:c r="ED43" s="117">
        <x:f>IF(AND(ED$3&gt;=$B$7,ED$3&lt;$B$8),MAX(0,'Вводные'!$B$26*'Вводные'!$V$89-(ED38+ED45))*'Вводные'!$B$29/12,0)</x:f>
      </x:c>
      <x:c r="EE43" s="117">
        <x:f>IF(AND(EE$3&gt;=$B$7,EE$3&lt;$B$8),MAX(0,'Вводные'!$B$26*'Вводные'!$V$89-(EE38+EE45))*'Вводные'!$B$29/12,0)</x:f>
      </x:c>
      <x:c r="EF43" s="117">
        <x:f>IF(AND(EF$3&gt;=$B$7,EF$3&lt;$B$8),MAX(0,'Вводные'!$B$26*'Вводные'!$V$89-(EF38+EF45))*'Вводные'!$B$29/12,0)</x:f>
      </x:c>
      <x:c r="EG43" s="117">
        <x:f>IF(AND(EG$3&gt;=$B$7,EG$3&lt;$B$8),MAX(0,'Вводные'!$B$26*'Вводные'!$V$89-(EG38+EG45))*'Вводные'!$B$29/12,0)</x:f>
      </x:c>
      <x:c r="EH43" s="117">
        <x:f>IF(AND(EH$3&gt;=$B$7,EH$3&lt;$B$8),MAX(0,'Вводные'!$B$26*'Вводные'!$V$89-(EH38+EH45))*'Вводные'!$B$29/12,0)</x:f>
      </x:c>
      <x:c r="EI43" s="117">
        <x:f>IF(AND(EI$3&gt;=$B$7,EI$3&lt;$B$8),MAX(0,'Вводные'!$B$26*'Вводные'!$V$89-(EI38+EI45))*'Вводные'!$B$29/12,0)</x:f>
      </x:c>
      <x:c r="EJ43" s="117">
        <x:f>IF(AND(EJ$3&gt;=$B$7,EJ$3&lt;$B$8),MAX(0,'Вводные'!$B$26*'Вводные'!$V$89-(EJ38+EJ45))*'Вводные'!$B$29/12,0)</x:f>
      </x:c>
      <x:c r="EK43" s="117">
        <x:f>IF(AND(EK$3&gt;=$B$7,EK$3&lt;$B$8),MAX(0,'Вводные'!$B$26*'Вводные'!$V$89-(EK38+EK45))*'Вводные'!$B$29/12,0)</x:f>
      </x:c>
      <x:c r="EL43" s="117">
        <x:f>IF(AND(EL$3&gt;=$B$7,EL$3&lt;$B$8),MAX(0,'Вводные'!$B$26*'Вводные'!$V$89-(EL38+EL45))*'Вводные'!$B$29/12,0)</x:f>
      </x:c>
      <x:c r="EM43" s="117">
        <x:f>IF(AND(EM$3&gt;=$B$7,EM$3&lt;$B$8),MAX(0,'Вводные'!$B$26*'Вводные'!$V$89-(EM38+EM45))*'Вводные'!$B$29/12,0)</x:f>
      </x:c>
      <x:c r="EN43" s="117">
        <x:f>IF(AND(EN$3&gt;=$B$7,EN$3&lt;$B$8),MAX(0,'Вводные'!$B$26*'Вводные'!$V$89-(EN38+EN45))*'Вводные'!$B$29/12,0)</x:f>
      </x:c>
      <x:c r="EO43" s="117">
        <x:f>IF(AND(EO$3&gt;=$B$7,EO$3&lt;$B$8),MAX(0,'Вводные'!$B$26*'Вводные'!$V$89-(EO38+EO45))*'Вводные'!$B$29/12,0)</x:f>
      </x:c>
      <x:c r="EP43" s="117">
        <x:f>IF(AND(EP$3&gt;=$B$7,EP$3&lt;$B$8),MAX(0,'Вводные'!$B$26*'Вводные'!$V$89-(EP38+EP45))*'Вводные'!$B$29/12,0)</x:f>
      </x:c>
      <x:c r="EQ43" s="117">
        <x:f>IF(AND(EQ$3&gt;=$B$7,EQ$3&lt;$B$8),MAX(0,'Вводные'!$B$26*'Вводные'!$V$89-(EQ38+EQ45))*'Вводные'!$B$29/12,0)</x:f>
      </x:c>
      <x:c r="ER43" s="117">
        <x:f>IF(AND(ER$3&gt;=$B$7,ER$3&lt;$B$8),MAX(0,'Вводные'!$B$26*'Вводные'!$V$89-(ER38+ER45))*'Вводные'!$B$29/12,0)</x:f>
      </x:c>
      <x:c r="ES43" s="117">
        <x:f>IF(AND(ES$3&gt;=$B$7,ES$3&lt;$B$8),MAX(0,'Вводные'!$B$26*'Вводные'!$V$89-(ES38+ES45))*'Вводные'!$B$29/12,0)</x:f>
      </x:c>
      <x:c r="ET43" s="117">
        <x:f>IF(AND(ET$3&gt;=$B$7,ET$3&lt;$B$8),MAX(0,'Вводные'!$B$26*'Вводные'!$V$89-(ET38+ET45))*'Вводные'!$B$29/12,0)</x:f>
      </x:c>
      <x:c r="EU43" s="117">
        <x:f>IF(AND(EU$3&gt;=$B$7,EU$3&lt;$B$8),MAX(0,'Вводные'!$B$26*'Вводные'!$V$89-(EU38+EU45))*'Вводные'!$B$29/12,0)</x:f>
      </x:c>
      <x:c r="EV43" s="117">
        <x:f>IF(AND(EV$3&gt;=$B$7,EV$3&lt;$B$8),MAX(0,'Вводные'!$B$26*'Вводные'!$V$89-(EV38+EV45))*'Вводные'!$B$29/12,0)</x:f>
      </x:c>
      <x:c r="EW43" s="117">
        <x:f>IF(AND(EW$3&gt;=$B$7,EW$3&lt;$B$8),MAX(0,'Вводные'!$B$26*'Вводные'!$V$89-(EW38+EW45))*'Вводные'!$B$29/12,0)</x:f>
      </x:c>
      <x:c r="EX43" s="117">
        <x:f>IF(AND(EX$3&gt;=$B$7,EX$3&lt;$B$8),MAX(0,'Вводные'!$B$26*'Вводные'!$V$89-(EX38+EX45))*'Вводные'!$B$29/12,0)</x:f>
      </x:c>
      <x:c r="EY43" s="117">
        <x:f>IF(AND(EY$3&gt;=$B$7,EY$3&lt;$B$8),MAX(0,'Вводные'!$B$26*'Вводные'!$V$89-(EY38+EY45))*'Вводные'!$B$29/12,0)</x:f>
      </x:c>
      <x:c r="EZ43" s="117">
        <x:f>IF(AND(EZ$3&gt;=$B$7,EZ$3&lt;$B$8),MAX(0,'Вводные'!$B$26*'Вводные'!$V$89-(EZ38+EZ45))*'Вводные'!$B$29/12,0)</x:f>
      </x:c>
      <x:c r="FA43" s="117">
        <x:f>IF(AND(FA$3&gt;=$B$7,FA$3&lt;$B$8),MAX(0,'Вводные'!$B$26*'Вводные'!$V$89-(FA38+FA45))*'Вводные'!$B$29/12,0)</x:f>
      </x:c>
      <x:c r="FB43" s="117">
        <x:f>IF(AND(FB$3&gt;=$B$7,FB$3&lt;$B$8),MAX(0,'Вводные'!$B$26*'Вводные'!$V$89-(FB38+FB45))*'Вводные'!$B$29/12,0)</x:f>
      </x:c>
      <x:c r="FC43" s="117">
        <x:f>IF(AND(FC$3&gt;=$B$7,FC$3&lt;$B$8),MAX(0,'Вводные'!$B$26*'Вводные'!$V$89-(FC38+FC45))*'Вводные'!$B$29/12,0)</x:f>
      </x:c>
      <x:c r="FD43" s="117">
        <x:f>IF(AND(FD$3&gt;=$B$7,FD$3&lt;$B$8),MAX(0,'Вводные'!$B$26*'Вводные'!$V$89-(FD38+FD45))*'Вводные'!$B$29/12,0)</x:f>
      </x:c>
      <x:c r="FE43" s="117">
        <x:f>IF(AND(FE$3&gt;=$B$7,FE$3&lt;$B$8),MAX(0,'Вводные'!$B$26*'Вводные'!$V$89-(FE38+FE45))*'Вводные'!$B$29/12,0)</x:f>
      </x:c>
      <x:c r="FF43" s="117">
        <x:f>IF(AND(FF$3&gt;=$B$7,FF$3&lt;$B$8),MAX(0,'Вводные'!$B$26*'Вводные'!$V$89-(FF38+FF45))*'Вводные'!$B$29/12,0)</x:f>
      </x:c>
      <x:c r="FG43" s="117">
        <x:f>IF(AND(FG$3&gt;=$B$7,FG$3&lt;$B$8),MAX(0,'Вводные'!$B$26*'Вводные'!$V$89-(FG38+FG45))*'Вводные'!$B$29/12,0)</x:f>
      </x:c>
      <x:c r="FH43" s="117">
        <x:f>IF(AND(FH$3&gt;=$B$7,FH$3&lt;$B$8),MAX(0,'Вводные'!$B$26*'Вводные'!$V$89-(FH38+FH45))*'Вводные'!$B$29/12,0)</x:f>
      </x:c>
      <x:c r="FI43" s="117">
        <x:f>IF(AND(FI$3&gt;=$B$7,FI$3&lt;$B$8),MAX(0,'Вводные'!$B$26*'Вводные'!$V$89-(FI38+FI45))*'Вводные'!$B$29/12,0)</x:f>
      </x:c>
      <x:c r="FJ43" s="117">
        <x:f>IF(AND(FJ$3&gt;=$B$7,FJ$3&lt;$B$8),MAX(0,'Вводные'!$B$26*'Вводные'!$V$89-(FJ38+FJ45))*'Вводные'!$B$29/12,0)</x:f>
      </x:c>
      <x:c r="FK43" s="117">
        <x:f>IF(AND(FK$3&gt;=$B$7,FK$3&lt;$B$8),MAX(0,'Вводные'!$B$26*'Вводные'!$V$89-(FK38+FK45))*'Вводные'!$B$29/12,0)</x:f>
      </x:c>
      <x:c r="FL43" s="117">
        <x:f>IF(AND(FL$3&gt;=$B$7,FL$3&lt;$B$8),MAX(0,'Вводные'!$B$26*'Вводные'!$V$89-(FL38+FL45))*'Вводные'!$B$29/12,0)</x:f>
      </x:c>
      <x:c r="FM43" s="117">
        <x:f>IF(AND(FM$3&gt;=$B$7,FM$3&lt;$B$8),MAX(0,'Вводные'!$B$26*'Вводные'!$V$89-(FM38+FM45))*'Вводные'!$B$29/12,0)</x:f>
      </x:c>
      <x:c r="FN43" s="117">
        <x:f>IF(AND(FN$3&gt;=$B$7,FN$3&lt;$B$8),MAX(0,'Вводные'!$B$26*'Вводные'!$V$89-(FN38+FN45))*'Вводные'!$B$29/12,0)</x:f>
      </x:c>
      <x:c r="FO43" s="117">
        <x:f>IF(AND(FO$3&gt;=$B$7,FO$3&lt;$B$8),MAX(0,'Вводные'!$B$26*'Вводные'!$V$89-(FO38+FO45))*'Вводные'!$B$29/12,0)</x:f>
      </x:c>
      <x:c r="FP43" s="117">
        <x:f>IF(AND(FP$3&gt;=$B$7,FP$3&lt;$B$8),MAX(0,'Вводные'!$B$26*'Вводные'!$V$89-(FP38+FP45))*'Вводные'!$B$29/12,0)</x:f>
      </x:c>
      <x:c r="FQ43" s="117">
        <x:f>IF(AND(FQ$3&gt;=$B$7,FQ$3&lt;$B$8),MAX(0,'Вводные'!$B$26*'Вводные'!$V$89-(FQ38+FQ45))*'Вводные'!$B$29/12,0)</x:f>
      </x:c>
      <x:c r="FR43" s="117">
        <x:f>IF(AND(FR$3&gt;=$B$7,FR$3&lt;$B$8),MAX(0,'Вводные'!$B$26*'Вводные'!$V$89-(FR38+FR45))*'Вводные'!$B$29/12,0)</x:f>
      </x:c>
      <x:c r="FS43" s="117">
        <x:f>IF(AND(FS$3&gt;=$B$7,FS$3&lt;$B$8),MAX(0,'Вводные'!$B$26*'Вводные'!$V$89-(FS38+FS45))*'Вводные'!$B$29/12,0)</x:f>
      </x:c>
      <x:c r="FT43" s="117">
        <x:f>IF(AND(FT$3&gt;=$B$7,FT$3&lt;$B$8),MAX(0,'Вводные'!$B$26*'Вводные'!$V$89-(FT38+FT45))*'Вводные'!$B$29/12,0)</x:f>
      </x:c>
      <x:c r="FU43" s="117">
        <x:f>IF(AND(FU$3&gt;=$B$7,FU$3&lt;$B$8),MAX(0,'Вводные'!$B$26*'Вводные'!$V$89-(FU38+FU45))*'Вводные'!$B$29/12,0)</x:f>
      </x:c>
      <x:c r="FV43" s="117">
        <x:f>IF(AND(FV$3&gt;=$B$7,FV$3&lt;$B$8),MAX(0,'Вводные'!$B$26*'Вводные'!$V$89-(FV38+FV45))*'Вводные'!$B$29/12,0)</x:f>
      </x:c>
      <x:c r="FW43" s="117">
        <x:f>IF(AND(FW$3&gt;=$B$7,FW$3&lt;$B$8),MAX(0,'Вводные'!$B$26*'Вводные'!$V$89-(FW38+FW45))*'Вводные'!$B$29/12,0)</x:f>
      </x:c>
      <x:c r="FX43" s="117">
        <x:f>IF(AND(FX$3&gt;=$B$7,FX$3&lt;$B$8),MAX(0,'Вводные'!$B$26*'Вводные'!$V$89-(FX38+FX45))*'Вводные'!$B$29/12,0)</x:f>
      </x:c>
      <x:c r="FY43" s="117">
        <x:f>IF(AND(FY$3&gt;=$B$7,FY$3&lt;$B$8),MAX(0,'Вводные'!$B$26*'Вводные'!$V$89-(FY38+FY45))*'Вводные'!$B$29/12,0)</x:f>
      </x:c>
      <x:c r="FZ43" s="117">
        <x:f>IF(AND(FZ$3&gt;=$B$7,FZ$3&lt;$B$8),MAX(0,'Вводные'!$B$26*'Вводные'!$V$89-(FZ38+FZ45))*'Вводные'!$B$29/12,0)</x:f>
      </x:c>
      <x:c r="GA43" s="117">
        <x:f>IF(AND(GA$3&gt;=$B$7,GA$3&lt;$B$8),MAX(0,'Вводные'!$B$26*'Вводные'!$V$89-(GA38+GA45))*'Вводные'!$B$29/12,0)</x:f>
      </x:c>
    </x:row>
    <x:row r="44">
      <x:c r="A44" t="str">
        <x:v>ПФ — потребность</x:v>
      </x:c>
      <x:c r="B44"/>
      <x:c r="C44" t="str">
        <x:v>млн ₽</x:v>
      </x:c>
      <x:c r="D44" s="117">
        <x:f>IF(D$3&gt;=$B$7,MAX(0,D20)+D35+IF(AND(AND(YEAR(D$3)=YEAR($B$7),MONTH(D$3)=MONTH($B$7)),'Вводные'!$B$31="Оплата капиталом"),C37,0),0)</x:f>
      </x:c>
      <x:c r="E44" s="117">
        <x:f>IF(E$3&gt;=$B$7,MAX(0,E20)+E35+IF(AND(AND(YEAR(E$3)=YEAR($B$7),MONTH(E$3)=MONTH($B$7)),'Вводные'!$B$31="Оплата капиталом"),D37,0),0)</x:f>
      </x:c>
      <x:c r="F44" s="117">
        <x:f>IF(F$3&gt;=$B$7,MAX(0,F20)+F35+IF(AND(AND(YEAR(F$3)=YEAR($B$7),MONTH(F$3)=MONTH($B$7)),'Вводные'!$B$31="Оплата капиталом"),E37,0),0)</x:f>
      </x:c>
      <x:c r="G44" s="117">
        <x:f>IF(G$3&gt;=$B$7,MAX(0,G20)+G35+IF(AND(AND(YEAR(G$3)=YEAR($B$7),MONTH(G$3)=MONTH($B$7)),'Вводные'!$B$31="Оплата капиталом"),F37,0),0)</x:f>
      </x:c>
      <x:c r="H44" s="117">
        <x:f>IF(H$3&gt;=$B$7,MAX(0,H20)+H35+IF(AND(AND(YEAR(H$3)=YEAR($B$7),MONTH(H$3)=MONTH($B$7)),'Вводные'!$B$31="Оплата капиталом"),G37,0),0)</x:f>
      </x:c>
      <x:c r="I44" s="117">
        <x:f>IF(I$3&gt;=$B$7,MAX(0,I20)+I35+IF(AND(AND(YEAR(I$3)=YEAR($B$7),MONTH(I$3)=MONTH($B$7)),'Вводные'!$B$31="Оплата капиталом"),H37,0),0)</x:f>
      </x:c>
      <x:c r="J44" s="117">
        <x:f>IF(J$3&gt;=$B$7,MAX(0,J20)+J35+IF(AND(AND(YEAR(J$3)=YEAR($B$7),MONTH(J$3)=MONTH($B$7)),'Вводные'!$B$31="Оплата капиталом"),I37,0),0)</x:f>
      </x:c>
      <x:c r="K44" s="117">
        <x:f>IF(K$3&gt;=$B$7,MAX(0,K20)+K35+IF(AND(AND(YEAR(K$3)=YEAR($B$7),MONTH(K$3)=MONTH($B$7)),'Вводные'!$B$31="Оплата капиталом"),J37,0),0)</x:f>
      </x:c>
      <x:c r="L44" s="117">
        <x:f>IF(L$3&gt;=$B$7,MAX(0,L20)+L35+IF(AND(AND(YEAR(L$3)=YEAR($B$7),MONTH(L$3)=MONTH($B$7)),'Вводные'!$B$31="Оплата капиталом"),K37,0),0)</x:f>
      </x:c>
      <x:c r="M44" s="117">
        <x:f>IF(M$3&gt;=$B$7,MAX(0,M20)+M35+IF(AND(AND(YEAR(M$3)=YEAR($B$7),MONTH(M$3)=MONTH($B$7)),'Вводные'!$B$31="Оплата капиталом"),L37,0),0)</x:f>
      </x:c>
      <x:c r="N44" s="117">
        <x:f>IF(N$3&gt;=$B$7,MAX(0,N20)+N35+IF(AND(AND(YEAR(N$3)=YEAR($B$7),MONTH(N$3)=MONTH($B$7)),'Вводные'!$B$31="Оплата капиталом"),M37,0),0)</x:f>
      </x:c>
      <x:c r="O44" s="117">
        <x:f>IF(O$3&gt;=$B$7,MAX(0,O20)+O35+IF(AND(AND(YEAR(O$3)=YEAR($B$7),MONTH(O$3)=MONTH($B$7)),'Вводные'!$B$31="Оплата капиталом"),N37,0),0)</x:f>
      </x:c>
      <x:c r="P44" s="117">
        <x:f>IF(P$3&gt;=$B$7,MAX(0,P20)+P35+IF(AND(AND(YEAR(P$3)=YEAR($B$7),MONTH(P$3)=MONTH($B$7)),'Вводные'!$B$31="Оплата капиталом"),O37,0),0)</x:f>
      </x:c>
      <x:c r="Q44" s="117">
        <x:f>IF(Q$3&gt;=$B$7,MAX(0,Q20)+Q35+IF(AND(AND(YEAR(Q$3)=YEAR($B$7),MONTH(Q$3)=MONTH($B$7)),'Вводные'!$B$31="Оплата капиталом"),P37,0),0)</x:f>
      </x:c>
      <x:c r="R44" s="117">
        <x:f>IF(R$3&gt;=$B$7,MAX(0,R20)+R35+IF(AND(AND(YEAR(R$3)=YEAR($B$7),MONTH(R$3)=MONTH($B$7)),'Вводные'!$B$31="Оплата капиталом"),Q37,0),0)</x:f>
      </x:c>
      <x:c r="S44" s="117">
        <x:f>IF(S$3&gt;=$B$7,MAX(0,S20)+S35+IF(AND(AND(YEAR(S$3)=YEAR($B$7),MONTH(S$3)=MONTH($B$7)),'Вводные'!$B$31="Оплата капиталом"),R37,0),0)</x:f>
      </x:c>
      <x:c r="T44" s="117">
        <x:f>IF(T$3&gt;=$B$7,MAX(0,T20)+T35+IF(AND(AND(YEAR(T$3)=YEAR($B$7),MONTH(T$3)=MONTH($B$7)),'Вводные'!$B$31="Оплата капиталом"),S37,0),0)</x:f>
      </x:c>
      <x:c r="U44" s="117">
        <x:f>IF(U$3&gt;=$B$7,MAX(0,U20)+U35+IF(AND(AND(YEAR(U$3)=YEAR($B$7),MONTH(U$3)=MONTH($B$7)),'Вводные'!$B$31="Оплата капиталом"),T37,0),0)</x:f>
      </x:c>
      <x:c r="V44" s="117">
        <x:f>IF(V$3&gt;=$B$7,MAX(0,V20)+V35+IF(AND(AND(YEAR(V$3)=YEAR($B$7),MONTH(V$3)=MONTH($B$7)),'Вводные'!$B$31="Оплата капиталом"),U37,0),0)</x:f>
      </x:c>
      <x:c r="W44" s="117">
        <x:f>IF(W$3&gt;=$B$7,MAX(0,W20)+W35+IF(AND(AND(YEAR(W$3)=YEAR($B$7),MONTH(W$3)=MONTH($B$7)),'Вводные'!$B$31="Оплата капиталом"),V37,0),0)</x:f>
      </x:c>
      <x:c r="X44" s="117">
        <x:f>IF(X$3&gt;=$B$7,MAX(0,X20)+X35+IF(AND(AND(YEAR(X$3)=YEAR($B$7),MONTH(X$3)=MONTH($B$7)),'Вводные'!$B$31="Оплата капиталом"),W37,0),0)</x:f>
      </x:c>
      <x:c r="Y44" s="117">
        <x:f>IF(Y$3&gt;=$B$7,MAX(0,Y20)+Y35+IF(AND(AND(YEAR(Y$3)=YEAR($B$7),MONTH(Y$3)=MONTH($B$7)),'Вводные'!$B$31="Оплата капиталом"),X37,0),0)</x:f>
      </x:c>
      <x:c r="Z44" s="117">
        <x:f>IF(Z$3&gt;=$B$7,MAX(0,Z20)+Z35+IF(AND(AND(YEAR(Z$3)=YEAR($B$7),MONTH(Z$3)=MONTH($B$7)),'Вводные'!$B$31="Оплата капиталом"),Y37,0),0)</x:f>
      </x:c>
      <x:c r="AA44" s="117">
        <x:f>IF(AA$3&gt;=$B$7,MAX(0,AA20)+AA35+IF(AND(AND(YEAR(AA$3)=YEAR($B$7),MONTH(AA$3)=MONTH($B$7)),'Вводные'!$B$31="Оплата капиталом"),Z37,0),0)</x:f>
      </x:c>
      <x:c r="AB44" s="117">
        <x:f>IF(AB$3&gt;=$B$7,MAX(0,AB20)+AB35+IF(AND(AND(YEAR(AB$3)=YEAR($B$7),MONTH(AB$3)=MONTH($B$7)),'Вводные'!$B$31="Оплата капиталом"),AA37,0),0)</x:f>
      </x:c>
      <x:c r="AC44" s="117">
        <x:f>IF(AC$3&gt;=$B$7,MAX(0,AC20)+AC35+IF(AND(AND(YEAR(AC$3)=YEAR($B$7),MONTH(AC$3)=MONTH($B$7)),'Вводные'!$B$31="Оплата капиталом"),AB37,0),0)</x:f>
      </x:c>
      <x:c r="AD44" s="117">
        <x:f>IF(AD$3&gt;=$B$7,MAX(0,AD20)+AD35+IF(AND(AND(YEAR(AD$3)=YEAR($B$7),MONTH(AD$3)=MONTH($B$7)),'Вводные'!$B$31="Оплата капиталом"),AC37,0),0)</x:f>
      </x:c>
      <x:c r="AE44" s="117">
        <x:f>IF(AE$3&gt;=$B$7,MAX(0,AE20)+AE35+IF(AND(AND(YEAR(AE$3)=YEAR($B$7),MONTH(AE$3)=MONTH($B$7)),'Вводные'!$B$31="Оплата капиталом"),AD37,0),0)</x:f>
      </x:c>
      <x:c r="AF44" s="117">
        <x:f>IF(AF$3&gt;=$B$7,MAX(0,AF20)+AF35+IF(AND(AND(YEAR(AF$3)=YEAR($B$7),MONTH(AF$3)=MONTH($B$7)),'Вводные'!$B$31="Оплата капиталом"),AE37,0),0)</x:f>
      </x:c>
      <x:c r="AG44" s="117">
        <x:f>IF(AG$3&gt;=$B$7,MAX(0,AG20)+AG35+IF(AND(AND(YEAR(AG$3)=YEAR($B$7),MONTH(AG$3)=MONTH($B$7)),'Вводные'!$B$31="Оплата капиталом"),AF37,0),0)</x:f>
      </x:c>
      <x:c r="AH44" s="117">
        <x:f>IF(AH$3&gt;=$B$7,MAX(0,AH20)+AH35+IF(AND(AND(YEAR(AH$3)=YEAR($B$7),MONTH(AH$3)=MONTH($B$7)),'Вводные'!$B$31="Оплата капиталом"),AG37,0),0)</x:f>
      </x:c>
      <x:c r="AI44" s="117">
        <x:f>IF(AI$3&gt;=$B$7,MAX(0,AI20)+AI35+IF(AND(AND(YEAR(AI$3)=YEAR($B$7),MONTH(AI$3)=MONTH($B$7)),'Вводные'!$B$31="Оплата капиталом"),AH37,0),0)</x:f>
      </x:c>
      <x:c r="AJ44" s="117">
        <x:f>IF(AJ$3&gt;=$B$7,MAX(0,AJ20)+AJ35+IF(AND(AND(YEAR(AJ$3)=YEAR($B$7),MONTH(AJ$3)=MONTH($B$7)),'Вводные'!$B$31="Оплата капиталом"),AI37,0),0)</x:f>
      </x:c>
      <x:c r="AK44" s="117">
        <x:f>IF(AK$3&gt;=$B$7,MAX(0,AK20)+AK35+IF(AND(AND(YEAR(AK$3)=YEAR($B$7),MONTH(AK$3)=MONTH($B$7)),'Вводные'!$B$31="Оплата капиталом"),AJ37,0),0)</x:f>
      </x:c>
      <x:c r="AL44" s="117">
        <x:f>IF(AL$3&gt;=$B$7,MAX(0,AL20)+AL35+IF(AND(AND(YEAR(AL$3)=YEAR($B$7),MONTH(AL$3)=MONTH($B$7)),'Вводные'!$B$31="Оплата капиталом"),AK37,0),0)</x:f>
      </x:c>
      <x:c r="AM44" s="117">
        <x:f>IF(AM$3&gt;=$B$7,MAX(0,AM20)+AM35+IF(AND(AND(YEAR(AM$3)=YEAR($B$7),MONTH(AM$3)=MONTH($B$7)),'Вводные'!$B$31="Оплата капиталом"),AL37,0),0)</x:f>
      </x:c>
      <x:c r="AN44" s="117">
        <x:f>IF(AN$3&gt;=$B$7,MAX(0,AN20)+AN35+IF(AND(AND(YEAR(AN$3)=YEAR($B$7),MONTH(AN$3)=MONTH($B$7)),'Вводные'!$B$31="Оплата капиталом"),AM37,0),0)</x:f>
      </x:c>
      <x:c r="AO44" s="117">
        <x:f>IF(AO$3&gt;=$B$7,MAX(0,AO20)+AO35+IF(AND(AND(YEAR(AO$3)=YEAR($B$7),MONTH(AO$3)=MONTH($B$7)),'Вводные'!$B$31="Оплата капиталом"),AN37,0),0)</x:f>
      </x:c>
      <x:c r="AP44" s="117">
        <x:f>IF(AP$3&gt;=$B$7,MAX(0,AP20)+AP35+IF(AND(AND(YEAR(AP$3)=YEAR($B$7),MONTH(AP$3)=MONTH($B$7)),'Вводные'!$B$31="Оплата капиталом"),AO37,0),0)</x:f>
      </x:c>
      <x:c r="AQ44" s="117">
        <x:f>IF(AQ$3&gt;=$B$7,MAX(0,AQ20)+AQ35+IF(AND(AND(YEAR(AQ$3)=YEAR($B$7),MONTH(AQ$3)=MONTH($B$7)),'Вводные'!$B$31="Оплата капиталом"),AP37,0),0)</x:f>
      </x:c>
      <x:c r="AR44" s="117">
        <x:f>IF(AR$3&gt;=$B$7,MAX(0,AR20)+AR35+IF(AND(AND(YEAR(AR$3)=YEAR($B$7),MONTH(AR$3)=MONTH($B$7)),'Вводные'!$B$31="Оплата капиталом"),AQ37,0),0)</x:f>
      </x:c>
      <x:c r="AS44" s="117">
        <x:f>IF(AS$3&gt;=$B$7,MAX(0,AS20)+AS35+IF(AND(AND(YEAR(AS$3)=YEAR($B$7),MONTH(AS$3)=MONTH($B$7)),'Вводные'!$B$31="Оплата капиталом"),AR37,0),0)</x:f>
      </x:c>
      <x:c r="AT44" s="117">
        <x:f>IF(AT$3&gt;=$B$7,MAX(0,AT20)+AT35+IF(AND(AND(YEAR(AT$3)=YEAR($B$7),MONTH(AT$3)=MONTH($B$7)),'Вводные'!$B$31="Оплата капиталом"),AS37,0),0)</x:f>
      </x:c>
      <x:c r="AU44" s="117">
        <x:f>IF(AU$3&gt;=$B$7,MAX(0,AU20)+AU35+IF(AND(AND(YEAR(AU$3)=YEAR($B$7),MONTH(AU$3)=MONTH($B$7)),'Вводные'!$B$31="Оплата капиталом"),AT37,0),0)</x:f>
      </x:c>
      <x:c r="AV44" s="117">
        <x:f>IF(AV$3&gt;=$B$7,MAX(0,AV20)+AV35+IF(AND(AND(YEAR(AV$3)=YEAR($B$7),MONTH(AV$3)=MONTH($B$7)),'Вводные'!$B$31="Оплата капиталом"),AU37,0),0)</x:f>
      </x:c>
      <x:c r="AW44" s="117">
        <x:f>IF(AW$3&gt;=$B$7,MAX(0,AW20)+AW35+IF(AND(AND(YEAR(AW$3)=YEAR($B$7),MONTH(AW$3)=MONTH($B$7)),'Вводные'!$B$31="Оплата капиталом"),AV37,0),0)</x:f>
      </x:c>
      <x:c r="AX44" s="117">
        <x:f>IF(AX$3&gt;=$B$7,MAX(0,AX20)+AX35+IF(AND(AND(YEAR(AX$3)=YEAR($B$7),MONTH(AX$3)=MONTH($B$7)),'Вводные'!$B$31="Оплата капиталом"),AW37,0),0)</x:f>
      </x:c>
      <x:c r="AY44" s="117">
        <x:f>IF(AY$3&gt;=$B$7,MAX(0,AY20)+AY35+IF(AND(AND(YEAR(AY$3)=YEAR($B$7),MONTH(AY$3)=MONTH($B$7)),'Вводные'!$B$31="Оплата капиталом"),AX37,0),0)</x:f>
      </x:c>
      <x:c r="AZ44" s="117">
        <x:f>IF(AZ$3&gt;=$B$7,MAX(0,AZ20)+AZ35+IF(AND(AND(YEAR(AZ$3)=YEAR($B$7),MONTH(AZ$3)=MONTH($B$7)),'Вводные'!$B$31="Оплата капиталом"),AY37,0),0)</x:f>
      </x:c>
      <x:c r="BA44" s="117">
        <x:f>IF(BA$3&gt;=$B$7,MAX(0,BA20)+BA35+IF(AND(AND(YEAR(BA$3)=YEAR($B$7),MONTH(BA$3)=MONTH($B$7)),'Вводные'!$B$31="Оплата капиталом"),AZ37,0),0)</x:f>
      </x:c>
      <x:c r="BB44" s="117">
        <x:f>IF(BB$3&gt;=$B$7,MAX(0,BB20)+BB35+IF(AND(AND(YEAR(BB$3)=YEAR($B$7),MONTH(BB$3)=MONTH($B$7)),'Вводные'!$B$31="Оплата капиталом"),BA37,0),0)</x:f>
      </x:c>
      <x:c r="BC44" s="117">
        <x:f>IF(BC$3&gt;=$B$7,MAX(0,BC20)+BC35+IF(AND(AND(YEAR(BC$3)=YEAR($B$7),MONTH(BC$3)=MONTH($B$7)),'Вводные'!$B$31="Оплата капиталом"),BB37,0),0)</x:f>
      </x:c>
      <x:c r="BD44" s="117">
        <x:f>IF(BD$3&gt;=$B$7,MAX(0,BD20)+BD35+IF(AND(AND(YEAR(BD$3)=YEAR($B$7),MONTH(BD$3)=MONTH($B$7)),'Вводные'!$B$31="Оплата капиталом"),BC37,0),0)</x:f>
      </x:c>
      <x:c r="BE44" s="117">
        <x:f>IF(BE$3&gt;=$B$7,MAX(0,BE20)+BE35+IF(AND(AND(YEAR(BE$3)=YEAR($B$7),MONTH(BE$3)=MONTH($B$7)),'Вводные'!$B$31="Оплата капиталом"),BD37,0),0)</x:f>
      </x:c>
      <x:c r="BF44" s="117">
        <x:f>IF(BF$3&gt;=$B$7,MAX(0,BF20)+BF35+IF(AND(AND(YEAR(BF$3)=YEAR($B$7),MONTH(BF$3)=MONTH($B$7)),'Вводные'!$B$31="Оплата капиталом"),BE37,0),0)</x:f>
      </x:c>
      <x:c r="BG44" s="117">
        <x:f>IF(BG$3&gt;=$B$7,MAX(0,BG20)+BG35+IF(AND(AND(YEAR(BG$3)=YEAR($B$7),MONTH(BG$3)=MONTH($B$7)),'Вводные'!$B$31="Оплата капиталом"),BF37,0),0)</x:f>
      </x:c>
      <x:c r="BH44" s="117">
        <x:f>IF(BH$3&gt;=$B$7,MAX(0,BH20)+BH35+IF(AND(AND(YEAR(BH$3)=YEAR($B$7),MONTH(BH$3)=MONTH($B$7)),'Вводные'!$B$31="Оплата капиталом"),BG37,0),0)</x:f>
      </x:c>
      <x:c r="BI44" s="117">
        <x:f>IF(BI$3&gt;=$B$7,MAX(0,BI20)+BI35+IF(AND(AND(YEAR(BI$3)=YEAR($B$7),MONTH(BI$3)=MONTH($B$7)),'Вводные'!$B$31="Оплата капиталом"),BH37,0),0)</x:f>
      </x:c>
      <x:c r="BJ44" s="117">
        <x:f>IF(BJ$3&gt;=$B$7,MAX(0,BJ20)+BJ35+IF(AND(AND(YEAR(BJ$3)=YEAR($B$7),MONTH(BJ$3)=MONTH($B$7)),'Вводные'!$B$31="Оплата капиталом"),BI37,0),0)</x:f>
      </x:c>
      <x:c r="BK44" s="117">
        <x:f>IF(BK$3&gt;=$B$7,MAX(0,BK20)+BK35+IF(AND(AND(YEAR(BK$3)=YEAR($B$7),MONTH(BK$3)=MONTH($B$7)),'Вводные'!$B$31="Оплата капиталом"),BJ37,0),0)</x:f>
      </x:c>
      <x:c r="BL44" s="117">
        <x:f>IF(BL$3&gt;=$B$7,MAX(0,BL20)+BL35+IF(AND(AND(YEAR(BL$3)=YEAR($B$7),MONTH(BL$3)=MONTH($B$7)),'Вводные'!$B$31="Оплата капиталом"),BK37,0),0)</x:f>
      </x:c>
      <x:c r="BM44" s="117">
        <x:f>IF(BM$3&gt;=$B$7,MAX(0,BM20)+BM35+IF(AND(AND(YEAR(BM$3)=YEAR($B$7),MONTH(BM$3)=MONTH($B$7)),'Вводные'!$B$31="Оплата капиталом"),BL37,0),0)</x:f>
      </x:c>
      <x:c r="BN44" s="117">
        <x:f>IF(BN$3&gt;=$B$7,MAX(0,BN20)+BN35+IF(AND(AND(YEAR(BN$3)=YEAR($B$7),MONTH(BN$3)=MONTH($B$7)),'Вводные'!$B$31="Оплата капиталом"),BM37,0),0)</x:f>
      </x:c>
      <x:c r="BO44" s="117">
        <x:f>IF(BO$3&gt;=$B$7,MAX(0,BO20)+BO35+IF(AND(AND(YEAR(BO$3)=YEAR($B$7),MONTH(BO$3)=MONTH($B$7)),'Вводные'!$B$31="Оплата капиталом"),BN37,0),0)</x:f>
      </x:c>
      <x:c r="BP44" s="117">
        <x:f>IF(BP$3&gt;=$B$7,MAX(0,BP20)+BP35+IF(AND(AND(YEAR(BP$3)=YEAR($B$7),MONTH(BP$3)=MONTH($B$7)),'Вводные'!$B$31="Оплата капиталом"),BO37,0),0)</x:f>
      </x:c>
      <x:c r="BQ44" s="117">
        <x:f>IF(BQ$3&gt;=$B$7,MAX(0,BQ20)+BQ35+IF(AND(AND(YEAR(BQ$3)=YEAR($B$7),MONTH(BQ$3)=MONTH($B$7)),'Вводные'!$B$31="Оплата капиталом"),BP37,0),0)</x:f>
      </x:c>
      <x:c r="BR44" s="117">
        <x:f>IF(BR$3&gt;=$B$7,MAX(0,BR20)+BR35+IF(AND(AND(YEAR(BR$3)=YEAR($B$7),MONTH(BR$3)=MONTH($B$7)),'Вводные'!$B$31="Оплата капиталом"),BQ37,0),0)</x:f>
      </x:c>
      <x:c r="BS44" s="117">
        <x:f>IF(BS$3&gt;=$B$7,MAX(0,BS20)+BS35+IF(AND(AND(YEAR(BS$3)=YEAR($B$7),MONTH(BS$3)=MONTH($B$7)),'Вводные'!$B$31="Оплата капиталом"),BR37,0),0)</x:f>
      </x:c>
      <x:c r="BT44" s="117">
        <x:f>IF(BT$3&gt;=$B$7,MAX(0,BT20)+BT35+IF(AND(AND(YEAR(BT$3)=YEAR($B$7),MONTH(BT$3)=MONTH($B$7)),'Вводные'!$B$31="Оплата капиталом"),BS37,0),0)</x:f>
      </x:c>
      <x:c r="BU44" s="117">
        <x:f>IF(BU$3&gt;=$B$7,MAX(0,BU20)+BU35+IF(AND(AND(YEAR(BU$3)=YEAR($B$7),MONTH(BU$3)=MONTH($B$7)),'Вводные'!$B$31="Оплата капиталом"),BT37,0),0)</x:f>
      </x:c>
      <x:c r="BV44" s="117">
        <x:f>IF(BV$3&gt;=$B$7,MAX(0,BV20)+BV35+IF(AND(AND(YEAR(BV$3)=YEAR($B$7),MONTH(BV$3)=MONTH($B$7)),'Вводные'!$B$31="Оплата капиталом"),BU37,0),0)</x:f>
      </x:c>
      <x:c r="BW44" s="117">
        <x:f>IF(BW$3&gt;=$B$7,MAX(0,BW20)+BW35+IF(AND(AND(YEAR(BW$3)=YEAR($B$7),MONTH(BW$3)=MONTH($B$7)),'Вводные'!$B$31="Оплата капиталом"),BV37,0),0)</x:f>
      </x:c>
      <x:c r="BX44" s="117">
        <x:f>IF(BX$3&gt;=$B$7,MAX(0,BX20)+BX35+IF(AND(AND(YEAR(BX$3)=YEAR($B$7),MONTH(BX$3)=MONTH($B$7)),'Вводные'!$B$31="Оплата капиталом"),BW37,0),0)</x:f>
      </x:c>
      <x:c r="BY44" s="117">
        <x:f>IF(BY$3&gt;=$B$7,MAX(0,BY20)+BY35+IF(AND(AND(YEAR(BY$3)=YEAR($B$7),MONTH(BY$3)=MONTH($B$7)),'Вводные'!$B$31="Оплата капиталом"),BX37,0),0)</x:f>
      </x:c>
      <x:c r="BZ44" s="117">
        <x:f>IF(BZ$3&gt;=$B$7,MAX(0,BZ20)+BZ35+IF(AND(AND(YEAR(BZ$3)=YEAR($B$7),MONTH(BZ$3)=MONTH($B$7)),'Вводные'!$B$31="Оплата капиталом"),BY37,0),0)</x:f>
      </x:c>
      <x:c r="CA44" s="117">
        <x:f>IF(CA$3&gt;=$B$7,MAX(0,CA20)+CA35+IF(AND(AND(YEAR(CA$3)=YEAR($B$7),MONTH(CA$3)=MONTH($B$7)),'Вводные'!$B$31="Оплата капиталом"),BZ37,0),0)</x:f>
      </x:c>
      <x:c r="CB44" s="117">
        <x:f>IF(CB$3&gt;=$B$7,MAX(0,CB20)+CB35+IF(AND(AND(YEAR(CB$3)=YEAR($B$7),MONTH(CB$3)=MONTH($B$7)),'Вводные'!$B$31="Оплата капиталом"),CA37,0),0)</x:f>
      </x:c>
      <x:c r="CC44" s="117">
        <x:f>IF(CC$3&gt;=$B$7,MAX(0,CC20)+CC35+IF(AND(AND(YEAR(CC$3)=YEAR($B$7),MONTH(CC$3)=MONTH($B$7)),'Вводные'!$B$31="Оплата капиталом"),CB37,0),0)</x:f>
      </x:c>
      <x:c r="CD44" s="117">
        <x:f>IF(CD$3&gt;=$B$7,MAX(0,CD20)+CD35+IF(AND(AND(YEAR(CD$3)=YEAR($B$7),MONTH(CD$3)=MONTH($B$7)),'Вводные'!$B$31="Оплата капиталом"),CC37,0),0)</x:f>
      </x:c>
      <x:c r="CE44" s="117">
        <x:f>IF(CE$3&gt;=$B$7,MAX(0,CE20)+CE35+IF(AND(AND(YEAR(CE$3)=YEAR($B$7),MONTH(CE$3)=MONTH($B$7)),'Вводные'!$B$31="Оплата капиталом"),CD37,0),0)</x:f>
      </x:c>
      <x:c r="CF44" s="117">
        <x:f>IF(CF$3&gt;=$B$7,MAX(0,CF20)+CF35+IF(AND(AND(YEAR(CF$3)=YEAR($B$7),MONTH(CF$3)=MONTH($B$7)),'Вводные'!$B$31="Оплата капиталом"),CE37,0),0)</x:f>
      </x:c>
      <x:c r="CG44" s="117">
        <x:f>IF(CG$3&gt;=$B$7,MAX(0,CG20)+CG35+IF(AND(AND(YEAR(CG$3)=YEAR($B$7),MONTH(CG$3)=MONTH($B$7)),'Вводные'!$B$31="Оплата капиталом"),CF37,0),0)</x:f>
      </x:c>
      <x:c r="CH44" s="117">
        <x:f>IF(CH$3&gt;=$B$7,MAX(0,CH20)+CH35+IF(AND(AND(YEAR(CH$3)=YEAR($B$7),MONTH(CH$3)=MONTH($B$7)),'Вводные'!$B$31="Оплата капиталом"),CG37,0),0)</x:f>
      </x:c>
      <x:c r="CI44" s="117">
        <x:f>IF(CI$3&gt;=$B$7,MAX(0,CI20)+CI35+IF(AND(AND(YEAR(CI$3)=YEAR($B$7),MONTH(CI$3)=MONTH($B$7)),'Вводные'!$B$31="Оплата капиталом"),CH37,0),0)</x:f>
      </x:c>
      <x:c r="CJ44" s="117">
        <x:f>IF(CJ$3&gt;=$B$7,MAX(0,CJ20)+CJ35+IF(AND(AND(YEAR(CJ$3)=YEAR($B$7),MONTH(CJ$3)=MONTH($B$7)),'Вводные'!$B$31="Оплата капиталом"),CI37,0),0)</x:f>
      </x:c>
      <x:c r="CK44" s="117">
        <x:f>IF(CK$3&gt;=$B$7,MAX(0,CK20)+CK35+IF(AND(AND(YEAR(CK$3)=YEAR($B$7),MONTH(CK$3)=MONTH($B$7)),'Вводные'!$B$31="Оплата капиталом"),CJ37,0),0)</x:f>
      </x:c>
      <x:c r="CL44" s="117">
        <x:f>IF(CL$3&gt;=$B$7,MAX(0,CL20)+CL35+IF(AND(AND(YEAR(CL$3)=YEAR($B$7),MONTH(CL$3)=MONTH($B$7)),'Вводные'!$B$31="Оплата капиталом"),CK37,0),0)</x:f>
      </x:c>
      <x:c r="CM44" s="117">
        <x:f>IF(CM$3&gt;=$B$7,MAX(0,CM20)+CM35+IF(AND(AND(YEAR(CM$3)=YEAR($B$7),MONTH(CM$3)=MONTH($B$7)),'Вводные'!$B$31="Оплата капиталом"),CL37,0),0)</x:f>
      </x:c>
      <x:c r="CN44" s="117">
        <x:f>IF(CN$3&gt;=$B$7,MAX(0,CN20)+CN35+IF(AND(AND(YEAR(CN$3)=YEAR($B$7),MONTH(CN$3)=MONTH($B$7)),'Вводные'!$B$31="Оплата капиталом"),CM37,0),0)</x:f>
      </x:c>
      <x:c r="CO44" s="117">
        <x:f>IF(CO$3&gt;=$B$7,MAX(0,CO20)+CO35+IF(AND(AND(YEAR(CO$3)=YEAR($B$7),MONTH(CO$3)=MONTH($B$7)),'Вводные'!$B$31="Оплата капиталом"),CN37,0),0)</x:f>
      </x:c>
      <x:c r="CP44" s="117">
        <x:f>IF(CP$3&gt;=$B$7,MAX(0,CP20)+CP35+IF(AND(AND(YEAR(CP$3)=YEAR($B$7),MONTH(CP$3)=MONTH($B$7)),'Вводные'!$B$31="Оплата капиталом"),CO37,0),0)</x:f>
      </x:c>
      <x:c r="CQ44" s="117">
        <x:f>IF(CQ$3&gt;=$B$7,MAX(0,CQ20)+CQ35+IF(AND(AND(YEAR(CQ$3)=YEAR($B$7),MONTH(CQ$3)=MONTH($B$7)),'Вводные'!$B$31="Оплата капиталом"),CP37,0),0)</x:f>
      </x:c>
      <x:c r="CR44" s="117">
        <x:f>IF(CR$3&gt;=$B$7,MAX(0,CR20)+CR35+IF(AND(AND(YEAR(CR$3)=YEAR($B$7),MONTH(CR$3)=MONTH($B$7)),'Вводные'!$B$31="Оплата капиталом"),CQ37,0),0)</x:f>
      </x:c>
      <x:c r="CS44" s="117">
        <x:f>IF(CS$3&gt;=$B$7,MAX(0,CS20)+CS35+IF(AND(AND(YEAR(CS$3)=YEAR($B$7),MONTH(CS$3)=MONTH($B$7)),'Вводные'!$B$31="Оплата капиталом"),CR37,0),0)</x:f>
      </x:c>
      <x:c r="CT44" s="117">
        <x:f>IF(CT$3&gt;=$B$7,MAX(0,CT20)+CT35+IF(AND(AND(YEAR(CT$3)=YEAR($B$7),MONTH(CT$3)=MONTH($B$7)),'Вводные'!$B$31="Оплата капиталом"),CS37,0),0)</x:f>
      </x:c>
      <x:c r="CU44" s="117">
        <x:f>IF(CU$3&gt;=$B$7,MAX(0,CU20)+CU35+IF(AND(AND(YEAR(CU$3)=YEAR($B$7),MONTH(CU$3)=MONTH($B$7)),'Вводные'!$B$31="Оплата капиталом"),CT37,0),0)</x:f>
      </x:c>
      <x:c r="CV44" s="117">
        <x:f>IF(CV$3&gt;=$B$7,MAX(0,CV20)+CV35+IF(AND(AND(YEAR(CV$3)=YEAR($B$7),MONTH(CV$3)=MONTH($B$7)),'Вводные'!$B$31="Оплата капиталом"),CU37,0),0)</x:f>
      </x:c>
      <x:c r="CW44" s="117">
        <x:f>IF(CW$3&gt;=$B$7,MAX(0,CW20)+CW35+IF(AND(AND(YEAR(CW$3)=YEAR($B$7),MONTH(CW$3)=MONTH($B$7)),'Вводные'!$B$31="Оплата капиталом"),CV37,0),0)</x:f>
      </x:c>
      <x:c r="CX44" s="117">
        <x:f>IF(CX$3&gt;=$B$7,MAX(0,CX20)+CX35+IF(AND(AND(YEAR(CX$3)=YEAR($B$7),MONTH(CX$3)=MONTH($B$7)),'Вводные'!$B$31="Оплата капиталом"),CW37,0),0)</x:f>
      </x:c>
      <x:c r="CY44" s="117">
        <x:f>IF(CY$3&gt;=$B$7,MAX(0,CY20)+CY35+IF(AND(AND(YEAR(CY$3)=YEAR($B$7),MONTH(CY$3)=MONTH($B$7)),'Вводные'!$B$31="Оплата капиталом"),CX37,0),0)</x:f>
      </x:c>
      <x:c r="CZ44" s="117">
        <x:f>IF(CZ$3&gt;=$B$7,MAX(0,CZ20)+CZ35+IF(AND(AND(YEAR(CZ$3)=YEAR($B$7),MONTH(CZ$3)=MONTH($B$7)),'Вводные'!$B$31="Оплата капиталом"),CY37,0),0)</x:f>
      </x:c>
      <x:c r="DA44" s="117">
        <x:f>IF(DA$3&gt;=$B$7,MAX(0,DA20)+DA35+IF(AND(AND(YEAR(DA$3)=YEAR($B$7),MONTH(DA$3)=MONTH($B$7)),'Вводные'!$B$31="Оплата капиталом"),CZ37,0),0)</x:f>
      </x:c>
      <x:c r="DB44" s="117">
        <x:f>IF(DB$3&gt;=$B$7,MAX(0,DB20)+DB35+IF(AND(AND(YEAR(DB$3)=YEAR($B$7),MONTH(DB$3)=MONTH($B$7)),'Вводные'!$B$31="Оплата капиталом"),DA37,0),0)</x:f>
      </x:c>
      <x:c r="DC44" s="117">
        <x:f>IF(DC$3&gt;=$B$7,MAX(0,DC20)+DC35+IF(AND(AND(YEAR(DC$3)=YEAR($B$7),MONTH(DC$3)=MONTH($B$7)),'Вводные'!$B$31="Оплата капиталом"),DB37,0),0)</x:f>
      </x:c>
      <x:c r="DD44" s="117">
        <x:f>IF(DD$3&gt;=$B$7,MAX(0,DD20)+DD35+IF(AND(AND(YEAR(DD$3)=YEAR($B$7),MONTH(DD$3)=MONTH($B$7)),'Вводные'!$B$31="Оплата капиталом"),DC37,0),0)</x:f>
      </x:c>
      <x:c r="DE44" s="117">
        <x:f>IF(DE$3&gt;=$B$7,MAX(0,DE20)+DE35+IF(AND(AND(YEAR(DE$3)=YEAR($B$7),MONTH(DE$3)=MONTH($B$7)),'Вводные'!$B$31="Оплата капиталом"),DD37,0),0)</x:f>
      </x:c>
      <x:c r="DF44" s="117">
        <x:f>IF(DF$3&gt;=$B$7,MAX(0,DF20)+DF35+IF(AND(AND(YEAR(DF$3)=YEAR($B$7),MONTH(DF$3)=MONTH($B$7)),'Вводные'!$B$31="Оплата капиталом"),DE37,0),0)</x:f>
      </x:c>
      <x:c r="DG44" s="117">
        <x:f>IF(DG$3&gt;=$B$7,MAX(0,DG20)+DG35+IF(AND(AND(YEAR(DG$3)=YEAR($B$7),MONTH(DG$3)=MONTH($B$7)),'Вводные'!$B$31="Оплата капиталом"),DF37,0),0)</x:f>
      </x:c>
      <x:c r="DH44" s="117">
        <x:f>IF(DH$3&gt;=$B$7,MAX(0,DH20)+DH35+IF(AND(AND(YEAR(DH$3)=YEAR($B$7),MONTH(DH$3)=MONTH($B$7)),'Вводные'!$B$31="Оплата капиталом"),DG37,0),0)</x:f>
      </x:c>
      <x:c r="DI44" s="117">
        <x:f>IF(DI$3&gt;=$B$7,MAX(0,DI20)+DI35+IF(AND(AND(YEAR(DI$3)=YEAR($B$7),MONTH(DI$3)=MONTH($B$7)),'Вводные'!$B$31="Оплата капиталом"),DH37,0),0)</x:f>
      </x:c>
      <x:c r="DJ44" s="117">
        <x:f>IF(DJ$3&gt;=$B$7,MAX(0,DJ20)+DJ35+IF(AND(AND(YEAR(DJ$3)=YEAR($B$7),MONTH(DJ$3)=MONTH($B$7)),'Вводные'!$B$31="Оплата капиталом"),DI37,0),0)</x:f>
      </x:c>
      <x:c r="DK44" s="117">
        <x:f>IF(DK$3&gt;=$B$7,MAX(0,DK20)+DK35+IF(AND(AND(YEAR(DK$3)=YEAR($B$7),MONTH(DK$3)=MONTH($B$7)),'Вводные'!$B$31="Оплата капиталом"),DJ37,0),0)</x:f>
      </x:c>
      <x:c r="DL44" s="117">
        <x:f>IF(DL$3&gt;=$B$7,MAX(0,DL20)+DL35+IF(AND(AND(YEAR(DL$3)=YEAR($B$7),MONTH(DL$3)=MONTH($B$7)),'Вводные'!$B$31="Оплата капиталом"),DK37,0),0)</x:f>
      </x:c>
      <x:c r="DM44" s="117">
        <x:f>IF(DM$3&gt;=$B$7,MAX(0,DM20)+DM35+IF(AND(AND(YEAR(DM$3)=YEAR($B$7),MONTH(DM$3)=MONTH($B$7)),'Вводные'!$B$31="Оплата капиталом"),DL37,0),0)</x:f>
      </x:c>
      <x:c r="DN44" s="117">
        <x:f>IF(DN$3&gt;=$B$7,MAX(0,DN20)+DN35+IF(AND(AND(YEAR(DN$3)=YEAR($B$7),MONTH(DN$3)=MONTH($B$7)),'Вводные'!$B$31="Оплата капиталом"),DM37,0),0)</x:f>
      </x:c>
      <x:c r="DO44" s="117">
        <x:f>IF(DO$3&gt;=$B$7,MAX(0,DO20)+DO35+IF(AND(AND(YEAR(DO$3)=YEAR($B$7),MONTH(DO$3)=MONTH($B$7)),'Вводные'!$B$31="Оплата капиталом"),DN37,0),0)</x:f>
      </x:c>
      <x:c r="DP44" s="117">
        <x:f>IF(DP$3&gt;=$B$7,MAX(0,DP20)+DP35+IF(AND(AND(YEAR(DP$3)=YEAR($B$7),MONTH(DP$3)=MONTH($B$7)),'Вводные'!$B$31="Оплата капиталом"),DO37,0),0)</x:f>
      </x:c>
      <x:c r="DQ44" s="117">
        <x:f>IF(DQ$3&gt;=$B$7,MAX(0,DQ20)+DQ35+IF(AND(AND(YEAR(DQ$3)=YEAR($B$7),MONTH(DQ$3)=MONTH($B$7)),'Вводные'!$B$31="Оплата капиталом"),DP37,0),0)</x:f>
      </x:c>
      <x:c r="DR44" s="117">
        <x:f>IF(DR$3&gt;=$B$7,MAX(0,DR20)+DR35+IF(AND(AND(YEAR(DR$3)=YEAR($B$7),MONTH(DR$3)=MONTH($B$7)),'Вводные'!$B$31="Оплата капиталом"),DQ37,0),0)</x:f>
      </x:c>
      <x:c r="DS44" s="117">
        <x:f>IF(DS$3&gt;=$B$7,MAX(0,DS20)+DS35+IF(AND(AND(YEAR(DS$3)=YEAR($B$7),MONTH(DS$3)=MONTH($B$7)),'Вводные'!$B$31="Оплата капиталом"),DR37,0),0)</x:f>
      </x:c>
      <x:c r="DT44" s="117">
        <x:f>IF(DT$3&gt;=$B$7,MAX(0,DT20)+DT35+IF(AND(AND(YEAR(DT$3)=YEAR($B$7),MONTH(DT$3)=MONTH($B$7)),'Вводные'!$B$31="Оплата капиталом"),DS37,0),0)</x:f>
      </x:c>
      <x:c r="DU44" s="117">
        <x:f>IF(DU$3&gt;=$B$7,MAX(0,DU20)+DU35+IF(AND(AND(YEAR(DU$3)=YEAR($B$7),MONTH(DU$3)=MONTH($B$7)),'Вводные'!$B$31="Оплата капиталом"),DT37,0),0)</x:f>
      </x:c>
      <x:c r="DV44" s="117">
        <x:f>IF(DV$3&gt;=$B$7,MAX(0,DV20)+DV35+IF(AND(AND(YEAR(DV$3)=YEAR($B$7),MONTH(DV$3)=MONTH($B$7)),'Вводные'!$B$31="Оплата капиталом"),DU37,0),0)</x:f>
      </x:c>
      <x:c r="DW44" s="117">
        <x:f>IF(DW$3&gt;=$B$7,MAX(0,DW20)+DW35+IF(AND(AND(YEAR(DW$3)=YEAR($B$7),MONTH(DW$3)=MONTH($B$7)),'Вводные'!$B$31="Оплата капиталом"),DV37,0),0)</x:f>
      </x:c>
      <x:c r="DX44" s="117">
        <x:f>IF(DX$3&gt;=$B$7,MAX(0,DX20)+DX35+IF(AND(AND(YEAR(DX$3)=YEAR($B$7),MONTH(DX$3)=MONTH($B$7)),'Вводные'!$B$31="Оплата капиталом"),DW37,0),0)</x:f>
      </x:c>
      <x:c r="DY44" s="117">
        <x:f>IF(DY$3&gt;=$B$7,MAX(0,DY20)+DY35+IF(AND(AND(YEAR(DY$3)=YEAR($B$7),MONTH(DY$3)=MONTH($B$7)),'Вводные'!$B$31="Оплата капиталом"),DX37,0),0)</x:f>
      </x:c>
      <x:c r="DZ44" s="117">
        <x:f>IF(DZ$3&gt;=$B$7,MAX(0,DZ20)+DZ35+IF(AND(AND(YEAR(DZ$3)=YEAR($B$7),MONTH(DZ$3)=MONTH($B$7)),'Вводные'!$B$31="Оплата капиталом"),DY37,0),0)</x:f>
      </x:c>
      <x:c r="EA44" s="117">
        <x:f>IF(EA$3&gt;=$B$7,MAX(0,EA20)+EA35+IF(AND(AND(YEAR(EA$3)=YEAR($B$7),MONTH(EA$3)=MONTH($B$7)),'Вводные'!$B$31="Оплата капиталом"),DZ37,0),0)</x:f>
      </x:c>
      <x:c r="EB44" s="117">
        <x:f>IF(EB$3&gt;=$B$7,MAX(0,EB20)+EB35+IF(AND(AND(YEAR(EB$3)=YEAR($B$7),MONTH(EB$3)=MONTH($B$7)),'Вводные'!$B$31="Оплата капиталом"),EA37,0),0)</x:f>
      </x:c>
      <x:c r="EC44" s="117">
        <x:f>IF(EC$3&gt;=$B$7,MAX(0,EC20)+EC35+IF(AND(AND(YEAR(EC$3)=YEAR($B$7),MONTH(EC$3)=MONTH($B$7)),'Вводные'!$B$31="Оплата капиталом"),EB37,0),0)</x:f>
      </x:c>
      <x:c r="ED44" s="117">
        <x:f>IF(ED$3&gt;=$B$7,MAX(0,ED20)+ED35+IF(AND(AND(YEAR(ED$3)=YEAR($B$7),MONTH(ED$3)=MONTH($B$7)),'Вводные'!$B$31="Оплата капиталом"),EC37,0),0)</x:f>
      </x:c>
      <x:c r="EE44" s="117">
        <x:f>IF(EE$3&gt;=$B$7,MAX(0,EE20)+EE35+IF(AND(AND(YEAR(EE$3)=YEAR($B$7),MONTH(EE$3)=MONTH($B$7)),'Вводные'!$B$31="Оплата капиталом"),ED37,0),0)</x:f>
      </x:c>
      <x:c r="EF44" s="117">
        <x:f>IF(EF$3&gt;=$B$7,MAX(0,EF20)+EF35+IF(AND(AND(YEAR(EF$3)=YEAR($B$7),MONTH(EF$3)=MONTH($B$7)),'Вводные'!$B$31="Оплата капиталом"),EE37,0),0)</x:f>
      </x:c>
      <x:c r="EG44" s="117">
        <x:f>IF(EG$3&gt;=$B$7,MAX(0,EG20)+EG35+IF(AND(AND(YEAR(EG$3)=YEAR($B$7),MONTH(EG$3)=MONTH($B$7)),'Вводные'!$B$31="Оплата капиталом"),EF37,0),0)</x:f>
      </x:c>
      <x:c r="EH44" s="117">
        <x:f>IF(EH$3&gt;=$B$7,MAX(0,EH20)+EH35+IF(AND(AND(YEAR(EH$3)=YEAR($B$7),MONTH(EH$3)=MONTH($B$7)),'Вводные'!$B$31="Оплата капиталом"),EG37,0),0)</x:f>
      </x:c>
      <x:c r="EI44" s="117">
        <x:f>IF(EI$3&gt;=$B$7,MAX(0,EI20)+EI35+IF(AND(AND(YEAR(EI$3)=YEAR($B$7),MONTH(EI$3)=MONTH($B$7)),'Вводные'!$B$31="Оплата капиталом"),EH37,0),0)</x:f>
      </x:c>
      <x:c r="EJ44" s="117">
        <x:f>IF(EJ$3&gt;=$B$7,MAX(0,EJ20)+EJ35+IF(AND(AND(YEAR(EJ$3)=YEAR($B$7),MONTH(EJ$3)=MONTH($B$7)),'Вводные'!$B$31="Оплата капиталом"),EI37,0),0)</x:f>
      </x:c>
      <x:c r="EK44" s="117">
        <x:f>IF(EK$3&gt;=$B$7,MAX(0,EK20)+EK35+IF(AND(AND(YEAR(EK$3)=YEAR($B$7),MONTH(EK$3)=MONTH($B$7)),'Вводные'!$B$31="Оплата капиталом"),EJ37,0),0)</x:f>
      </x:c>
      <x:c r="EL44" s="117">
        <x:f>IF(EL$3&gt;=$B$7,MAX(0,EL20)+EL35+IF(AND(AND(YEAR(EL$3)=YEAR($B$7),MONTH(EL$3)=MONTH($B$7)),'Вводные'!$B$31="Оплата капиталом"),EK37,0),0)</x:f>
      </x:c>
      <x:c r="EM44" s="117">
        <x:f>IF(EM$3&gt;=$B$7,MAX(0,EM20)+EM35+IF(AND(AND(YEAR(EM$3)=YEAR($B$7),MONTH(EM$3)=MONTH($B$7)),'Вводные'!$B$31="Оплата капиталом"),EL37,0),0)</x:f>
      </x:c>
      <x:c r="EN44" s="117">
        <x:f>IF(EN$3&gt;=$B$7,MAX(0,EN20)+EN35+IF(AND(AND(YEAR(EN$3)=YEAR($B$7),MONTH(EN$3)=MONTH($B$7)),'Вводные'!$B$31="Оплата капиталом"),EM37,0),0)</x:f>
      </x:c>
      <x:c r="EO44" s="117">
        <x:f>IF(EO$3&gt;=$B$7,MAX(0,EO20)+EO35+IF(AND(AND(YEAR(EO$3)=YEAR($B$7),MONTH(EO$3)=MONTH($B$7)),'Вводные'!$B$31="Оплата капиталом"),EN37,0),0)</x:f>
      </x:c>
      <x:c r="EP44" s="117">
        <x:f>IF(EP$3&gt;=$B$7,MAX(0,EP20)+EP35+IF(AND(AND(YEAR(EP$3)=YEAR($B$7),MONTH(EP$3)=MONTH($B$7)),'Вводные'!$B$31="Оплата капиталом"),EO37,0),0)</x:f>
      </x:c>
      <x:c r="EQ44" s="117">
        <x:f>IF(EQ$3&gt;=$B$7,MAX(0,EQ20)+EQ35+IF(AND(AND(YEAR(EQ$3)=YEAR($B$7),MONTH(EQ$3)=MONTH($B$7)),'Вводные'!$B$31="Оплата капиталом"),EP37,0),0)</x:f>
      </x:c>
      <x:c r="ER44" s="117">
        <x:f>IF(ER$3&gt;=$B$7,MAX(0,ER20)+ER35+IF(AND(AND(YEAR(ER$3)=YEAR($B$7),MONTH(ER$3)=MONTH($B$7)),'Вводные'!$B$31="Оплата капиталом"),EQ37,0),0)</x:f>
      </x:c>
      <x:c r="ES44" s="117">
        <x:f>IF(ES$3&gt;=$B$7,MAX(0,ES20)+ES35+IF(AND(AND(YEAR(ES$3)=YEAR($B$7),MONTH(ES$3)=MONTH($B$7)),'Вводные'!$B$31="Оплата капиталом"),ER37,0),0)</x:f>
      </x:c>
      <x:c r="ET44" s="117">
        <x:f>IF(ET$3&gt;=$B$7,MAX(0,ET20)+ET35+IF(AND(AND(YEAR(ET$3)=YEAR($B$7),MONTH(ET$3)=MONTH($B$7)),'Вводные'!$B$31="Оплата капиталом"),ES37,0),0)</x:f>
      </x:c>
      <x:c r="EU44" s="117">
        <x:f>IF(EU$3&gt;=$B$7,MAX(0,EU20)+EU35+IF(AND(AND(YEAR(EU$3)=YEAR($B$7),MONTH(EU$3)=MONTH($B$7)),'Вводные'!$B$31="Оплата капиталом"),ET37,0),0)</x:f>
      </x:c>
      <x:c r="EV44" s="117">
        <x:f>IF(EV$3&gt;=$B$7,MAX(0,EV20)+EV35+IF(AND(AND(YEAR(EV$3)=YEAR($B$7),MONTH(EV$3)=MONTH($B$7)),'Вводные'!$B$31="Оплата капиталом"),EU37,0),0)</x:f>
      </x:c>
      <x:c r="EW44" s="117">
        <x:f>IF(EW$3&gt;=$B$7,MAX(0,EW20)+EW35+IF(AND(AND(YEAR(EW$3)=YEAR($B$7),MONTH(EW$3)=MONTH($B$7)),'Вводные'!$B$31="Оплата капиталом"),EV37,0),0)</x:f>
      </x:c>
      <x:c r="EX44" s="117">
        <x:f>IF(EX$3&gt;=$B$7,MAX(0,EX20)+EX35+IF(AND(AND(YEAR(EX$3)=YEAR($B$7),MONTH(EX$3)=MONTH($B$7)),'Вводные'!$B$31="Оплата капиталом"),EW37,0),0)</x:f>
      </x:c>
      <x:c r="EY44" s="117">
        <x:f>IF(EY$3&gt;=$B$7,MAX(0,EY20)+EY35+IF(AND(AND(YEAR(EY$3)=YEAR($B$7),MONTH(EY$3)=MONTH($B$7)),'Вводные'!$B$31="Оплата капиталом"),EX37,0),0)</x:f>
      </x:c>
      <x:c r="EZ44" s="117">
        <x:f>IF(EZ$3&gt;=$B$7,MAX(0,EZ20)+EZ35+IF(AND(AND(YEAR(EZ$3)=YEAR($B$7),MONTH(EZ$3)=MONTH($B$7)),'Вводные'!$B$31="Оплата капиталом"),EY37,0),0)</x:f>
      </x:c>
      <x:c r="FA44" s="117">
        <x:f>IF(FA$3&gt;=$B$7,MAX(0,FA20)+FA35+IF(AND(AND(YEAR(FA$3)=YEAR($B$7),MONTH(FA$3)=MONTH($B$7)),'Вводные'!$B$31="Оплата капиталом"),EZ37,0),0)</x:f>
      </x:c>
      <x:c r="FB44" s="117">
        <x:f>IF(FB$3&gt;=$B$7,MAX(0,FB20)+FB35+IF(AND(AND(YEAR(FB$3)=YEAR($B$7),MONTH(FB$3)=MONTH($B$7)),'Вводные'!$B$31="Оплата капиталом"),FA37,0),0)</x:f>
      </x:c>
      <x:c r="FC44" s="117">
        <x:f>IF(FC$3&gt;=$B$7,MAX(0,FC20)+FC35+IF(AND(AND(YEAR(FC$3)=YEAR($B$7),MONTH(FC$3)=MONTH($B$7)),'Вводные'!$B$31="Оплата капиталом"),FB37,0),0)</x:f>
      </x:c>
      <x:c r="FD44" s="117">
        <x:f>IF(FD$3&gt;=$B$7,MAX(0,FD20)+FD35+IF(AND(AND(YEAR(FD$3)=YEAR($B$7),MONTH(FD$3)=MONTH($B$7)),'Вводные'!$B$31="Оплата капиталом"),FC37,0),0)</x:f>
      </x:c>
      <x:c r="FE44" s="117">
        <x:f>IF(FE$3&gt;=$B$7,MAX(0,FE20)+FE35+IF(AND(AND(YEAR(FE$3)=YEAR($B$7),MONTH(FE$3)=MONTH($B$7)),'Вводные'!$B$31="Оплата капиталом"),FD37,0),0)</x:f>
      </x:c>
      <x:c r="FF44" s="117">
        <x:f>IF(FF$3&gt;=$B$7,MAX(0,FF20)+FF35+IF(AND(AND(YEAR(FF$3)=YEAR($B$7),MONTH(FF$3)=MONTH($B$7)),'Вводные'!$B$31="Оплата капиталом"),FE37,0),0)</x:f>
      </x:c>
      <x:c r="FG44" s="117">
        <x:f>IF(FG$3&gt;=$B$7,MAX(0,FG20)+FG35+IF(AND(AND(YEAR(FG$3)=YEAR($B$7),MONTH(FG$3)=MONTH($B$7)),'Вводные'!$B$31="Оплата капиталом"),FF37,0),0)</x:f>
      </x:c>
      <x:c r="FH44" s="117">
        <x:f>IF(FH$3&gt;=$B$7,MAX(0,FH20)+FH35+IF(AND(AND(YEAR(FH$3)=YEAR($B$7),MONTH(FH$3)=MONTH($B$7)),'Вводные'!$B$31="Оплата капиталом"),FG37,0),0)</x:f>
      </x:c>
      <x:c r="FI44" s="117">
        <x:f>IF(FI$3&gt;=$B$7,MAX(0,FI20)+FI35+IF(AND(AND(YEAR(FI$3)=YEAR($B$7),MONTH(FI$3)=MONTH($B$7)),'Вводные'!$B$31="Оплата капиталом"),FH37,0),0)</x:f>
      </x:c>
      <x:c r="FJ44" s="117">
        <x:f>IF(FJ$3&gt;=$B$7,MAX(0,FJ20)+FJ35+IF(AND(AND(YEAR(FJ$3)=YEAR($B$7),MONTH(FJ$3)=MONTH($B$7)),'Вводные'!$B$31="Оплата капиталом"),FI37,0),0)</x:f>
      </x:c>
      <x:c r="FK44" s="117">
        <x:f>IF(FK$3&gt;=$B$7,MAX(0,FK20)+FK35+IF(AND(AND(YEAR(FK$3)=YEAR($B$7),MONTH(FK$3)=MONTH($B$7)),'Вводные'!$B$31="Оплата капиталом"),FJ37,0),0)</x:f>
      </x:c>
      <x:c r="FL44" s="117">
        <x:f>IF(FL$3&gt;=$B$7,MAX(0,FL20)+FL35+IF(AND(AND(YEAR(FL$3)=YEAR($B$7),MONTH(FL$3)=MONTH($B$7)),'Вводные'!$B$31="Оплата капиталом"),FK37,0),0)</x:f>
      </x:c>
      <x:c r="FM44" s="117">
        <x:f>IF(FM$3&gt;=$B$7,MAX(0,FM20)+FM35+IF(AND(AND(YEAR(FM$3)=YEAR($B$7),MONTH(FM$3)=MONTH($B$7)),'Вводные'!$B$31="Оплата капиталом"),FL37,0),0)</x:f>
      </x:c>
      <x:c r="FN44" s="117">
        <x:f>IF(FN$3&gt;=$B$7,MAX(0,FN20)+FN35+IF(AND(AND(YEAR(FN$3)=YEAR($B$7),MONTH(FN$3)=MONTH($B$7)),'Вводные'!$B$31="Оплата капиталом"),FM37,0),0)</x:f>
      </x:c>
      <x:c r="FO44" s="117">
        <x:f>IF(FO$3&gt;=$B$7,MAX(0,FO20)+FO35+IF(AND(AND(YEAR(FO$3)=YEAR($B$7),MONTH(FO$3)=MONTH($B$7)),'Вводные'!$B$31="Оплата капиталом"),FN37,0),0)</x:f>
      </x:c>
      <x:c r="FP44" s="117">
        <x:f>IF(FP$3&gt;=$B$7,MAX(0,FP20)+FP35+IF(AND(AND(YEAR(FP$3)=YEAR($B$7),MONTH(FP$3)=MONTH($B$7)),'Вводные'!$B$31="Оплата капиталом"),FO37,0),0)</x:f>
      </x:c>
      <x:c r="FQ44" s="117">
        <x:f>IF(FQ$3&gt;=$B$7,MAX(0,FQ20)+FQ35+IF(AND(AND(YEAR(FQ$3)=YEAR($B$7),MONTH(FQ$3)=MONTH($B$7)),'Вводные'!$B$31="Оплата капиталом"),FP37,0),0)</x:f>
      </x:c>
      <x:c r="FR44" s="117">
        <x:f>IF(FR$3&gt;=$B$7,MAX(0,FR20)+FR35+IF(AND(AND(YEAR(FR$3)=YEAR($B$7),MONTH(FR$3)=MONTH($B$7)),'Вводные'!$B$31="Оплата капиталом"),FQ37,0),0)</x:f>
      </x:c>
      <x:c r="FS44" s="117">
        <x:f>IF(FS$3&gt;=$B$7,MAX(0,FS20)+FS35+IF(AND(AND(YEAR(FS$3)=YEAR($B$7),MONTH(FS$3)=MONTH($B$7)),'Вводные'!$B$31="Оплата капиталом"),FR37,0),0)</x:f>
      </x:c>
      <x:c r="FT44" s="117">
        <x:f>IF(FT$3&gt;=$B$7,MAX(0,FT20)+FT35+IF(AND(AND(YEAR(FT$3)=YEAR($B$7),MONTH(FT$3)=MONTH($B$7)),'Вводные'!$B$31="Оплата капиталом"),FS37,0),0)</x:f>
      </x:c>
      <x:c r="FU44" s="117">
        <x:f>IF(FU$3&gt;=$B$7,MAX(0,FU20)+FU35+IF(AND(AND(YEAR(FU$3)=YEAR($B$7),MONTH(FU$3)=MONTH($B$7)),'Вводные'!$B$31="Оплата капиталом"),FT37,0),0)</x:f>
      </x:c>
      <x:c r="FV44" s="117">
        <x:f>IF(FV$3&gt;=$B$7,MAX(0,FV20)+FV35+IF(AND(AND(YEAR(FV$3)=YEAR($B$7),MONTH(FV$3)=MONTH($B$7)),'Вводные'!$B$31="Оплата капиталом"),FU37,0),0)</x:f>
      </x:c>
      <x:c r="FW44" s="117">
        <x:f>IF(FW$3&gt;=$B$7,MAX(0,FW20)+FW35+IF(AND(AND(YEAR(FW$3)=YEAR($B$7),MONTH(FW$3)=MONTH($B$7)),'Вводные'!$B$31="Оплата капиталом"),FV37,0),0)</x:f>
      </x:c>
      <x:c r="FX44" s="117">
        <x:f>IF(FX$3&gt;=$B$7,MAX(0,FX20)+FX35+IF(AND(AND(YEAR(FX$3)=YEAR($B$7),MONTH(FX$3)=MONTH($B$7)),'Вводные'!$B$31="Оплата капиталом"),FW37,0),0)</x:f>
      </x:c>
      <x:c r="FY44" s="117">
        <x:f>IF(FY$3&gt;=$B$7,MAX(0,FY20)+FY35+IF(AND(AND(YEAR(FY$3)=YEAR($B$7),MONTH(FY$3)=MONTH($B$7)),'Вводные'!$B$31="Оплата капиталом"),FX37,0),0)</x:f>
      </x:c>
      <x:c r="FZ44" s="117">
        <x:f>IF(FZ$3&gt;=$B$7,MAX(0,FZ20)+FZ35+IF(AND(AND(YEAR(FZ$3)=YEAR($B$7),MONTH(FZ$3)=MONTH($B$7)),'Вводные'!$B$31="Оплата капиталом"),FY37,0),0)</x:f>
      </x:c>
      <x:c r="GA44" s="117">
        <x:f>IF(GA$3&gt;=$B$7,MAX(0,GA20)+GA35+IF(AND(AND(YEAR(GA$3)=YEAR($B$7),MONTH(GA$3)=MONTH($B$7)),'Вводные'!$B$31="Оплата капиталом"),FZ37,0),0)</x:f>
      </x:c>
    </x:row>
    <x:row r="45">
      <x:c r="A45" t="str">
        <x:v>ПФ — выборка</x:v>
      </x:c>
      <x:c r="B45" t="n">
        <x:f>SUM(D45:GA45)</x:f>
      </x:c>
      <x:c r="C45" t="str">
        <x:v>млн ₽</x:v>
      </x:c>
      <x:c r="D45" s="117" t="n">
        <x:f>D44</x:f>
      </x:c>
      <x:c r="E45" s="117" t="n">
        <x:f>E44</x:f>
      </x:c>
      <x:c r="F45" s="117" t="n">
        <x:f>F44</x:f>
      </x:c>
      <x:c r="G45" s="117" t="n">
        <x:f>G44</x:f>
      </x:c>
      <x:c r="H45" s="117" t="n">
        <x:f>H44</x:f>
      </x:c>
      <x:c r="I45" s="117" t="n">
        <x:f>I44</x:f>
      </x:c>
      <x:c r="J45" s="117" t="n">
        <x:f>J44</x:f>
      </x:c>
      <x:c r="K45" s="117" t="n">
        <x:f>K44</x:f>
      </x:c>
      <x:c r="L45" s="117" t="n">
        <x:f>L44</x:f>
      </x:c>
      <x:c r="M45" s="117" t="n">
        <x:f>M44</x:f>
      </x:c>
      <x:c r="N45" s="117" t="n">
        <x:f>N44</x:f>
      </x:c>
      <x:c r="O45" s="117" t="n">
        <x:f>O44</x:f>
      </x:c>
      <x:c r="P45" s="117" t="n">
        <x:f>P44</x:f>
      </x:c>
      <x:c r="Q45" s="117" t="n">
        <x:f>Q44</x:f>
      </x:c>
      <x:c r="R45" s="117" t="n">
        <x:f>R44</x:f>
      </x:c>
      <x:c r="S45" s="117" t="n">
        <x:f>S44</x:f>
      </x:c>
      <x:c r="T45" s="117" t="n">
        <x:f>T44</x:f>
      </x:c>
      <x:c r="U45" s="117" t="n">
        <x:f>U44</x:f>
      </x:c>
      <x:c r="V45" s="117" t="n">
        <x:f>V44</x:f>
      </x:c>
      <x:c r="W45" s="117" t="n">
        <x:f>W44</x:f>
      </x:c>
      <x:c r="X45" s="117" t="n">
        <x:f>X44</x:f>
      </x:c>
      <x:c r="Y45" s="117" t="n">
        <x:f>Y44</x:f>
      </x:c>
      <x:c r="Z45" s="117" t="n">
        <x:f>Z44</x:f>
      </x:c>
      <x:c r="AA45" s="117" t="n">
        <x:f>AA44</x:f>
      </x:c>
      <x:c r="AB45" s="117" t="n">
        <x:f>AB44</x:f>
      </x:c>
      <x:c r="AC45" s="117" t="n">
        <x:f>AC44</x:f>
      </x:c>
      <x:c r="AD45" s="117" t="n">
        <x:f>AD44</x:f>
      </x:c>
      <x:c r="AE45" s="117" t="n">
        <x:f>AE44</x:f>
      </x:c>
      <x:c r="AF45" s="117" t="n">
        <x:f>AF44</x:f>
      </x:c>
      <x:c r="AG45" s="117" t="n">
        <x:f>AG44</x:f>
      </x:c>
      <x:c r="AH45" s="117" t="n">
        <x:f>AH44</x:f>
      </x:c>
      <x:c r="AI45" s="117" t="n">
        <x:f>AI44</x:f>
      </x:c>
      <x:c r="AJ45" s="117" t="n">
        <x:f>AJ44</x:f>
      </x:c>
      <x:c r="AK45" s="117" t="n">
        <x:f>AK44</x:f>
      </x:c>
      <x:c r="AL45" s="117" t="n">
        <x:f>AL44</x:f>
      </x:c>
      <x:c r="AM45" s="117" t="n">
        <x:f>AM44</x:f>
      </x:c>
      <x:c r="AN45" s="117" t="n">
        <x:f>AN44</x:f>
      </x:c>
      <x:c r="AO45" s="117" t="n">
        <x:f>AO44</x:f>
      </x:c>
      <x:c r="AP45" s="117" t="n">
        <x:f>AP44</x:f>
      </x:c>
      <x:c r="AQ45" s="117" t="n">
        <x:f>AQ44</x:f>
      </x:c>
      <x:c r="AR45" s="117" t="n">
        <x:f>AR44</x:f>
      </x:c>
      <x:c r="AS45" s="117" t="n">
        <x:f>AS44</x:f>
      </x:c>
      <x:c r="AT45" s="117" t="n">
        <x:f>AT44</x:f>
      </x:c>
      <x:c r="AU45" s="117" t="n">
        <x:f>AU44</x:f>
      </x:c>
      <x:c r="AV45" s="117" t="n">
        <x:f>AV44</x:f>
      </x:c>
      <x:c r="AW45" s="117" t="n">
        <x:f>AW44</x:f>
      </x:c>
      <x:c r="AX45" s="117" t="n">
        <x:f>AX44</x:f>
      </x:c>
      <x:c r="AY45" s="117" t="n">
        <x:f>AY44</x:f>
      </x:c>
      <x:c r="AZ45" s="117" t="n">
        <x:f>AZ44</x:f>
      </x:c>
      <x:c r="BA45" s="117" t="n">
        <x:f>BA44</x:f>
      </x:c>
      <x:c r="BB45" s="117" t="n">
        <x:f>BB44</x:f>
      </x:c>
      <x:c r="BC45" s="117" t="n">
        <x:f>BC44</x:f>
      </x:c>
      <x:c r="BD45" s="117" t="n">
        <x:f>BD44</x:f>
      </x:c>
      <x:c r="BE45" s="117" t="n">
        <x:f>BE44</x:f>
      </x:c>
      <x:c r="BF45" s="117" t="n">
        <x:f>BF44</x:f>
      </x:c>
      <x:c r="BG45" s="117" t="n">
        <x:f>BG44</x:f>
      </x:c>
      <x:c r="BH45" s="117" t="n">
        <x:f>BH44</x:f>
      </x:c>
      <x:c r="BI45" s="117" t="n">
        <x:f>BI44</x:f>
      </x:c>
      <x:c r="BJ45" s="117" t="n">
        <x:f>BJ44</x:f>
      </x:c>
      <x:c r="BK45" s="117" t="n">
        <x:f>BK44</x:f>
      </x:c>
      <x:c r="BL45" s="117" t="n">
        <x:f>BL44</x:f>
      </x:c>
      <x:c r="BM45" s="117" t="n">
        <x:f>BM44</x:f>
      </x:c>
      <x:c r="BN45" s="117" t="n">
        <x:f>BN44</x:f>
      </x:c>
      <x:c r="BO45" s="117" t="n">
        <x:f>BO44</x:f>
      </x:c>
      <x:c r="BP45" s="117" t="n">
        <x:f>BP44</x:f>
      </x:c>
      <x:c r="BQ45" s="117" t="n">
        <x:f>BQ44</x:f>
      </x:c>
      <x:c r="BR45" s="117" t="n">
        <x:f>BR44</x:f>
      </x:c>
      <x:c r="BS45" s="117" t="n">
        <x:f>BS44</x:f>
      </x:c>
      <x:c r="BT45" s="117" t="n">
        <x:f>BT44</x:f>
      </x:c>
      <x:c r="BU45" s="117" t="n">
        <x:f>BU44</x:f>
      </x:c>
      <x:c r="BV45" s="117" t="n">
        <x:f>BV44</x:f>
      </x:c>
      <x:c r="BW45" s="117" t="n">
        <x:f>BW44</x:f>
      </x:c>
      <x:c r="BX45" s="117" t="n">
        <x:f>BX44</x:f>
      </x:c>
      <x:c r="BY45" s="117" t="n">
        <x:f>BY44</x:f>
      </x:c>
      <x:c r="BZ45" s="117" t="n">
        <x:f>BZ44</x:f>
      </x:c>
      <x:c r="CA45" s="117" t="n">
        <x:f>CA44</x:f>
      </x:c>
      <x:c r="CB45" s="117" t="n">
        <x:f>CB44</x:f>
      </x:c>
      <x:c r="CC45" s="117" t="n">
        <x:f>CC44</x:f>
      </x:c>
      <x:c r="CD45" s="117" t="n">
        <x:f>CD44</x:f>
      </x:c>
      <x:c r="CE45" s="117" t="n">
        <x:f>CE44</x:f>
      </x:c>
      <x:c r="CF45" s="117" t="n">
        <x:f>CF44</x:f>
      </x:c>
      <x:c r="CG45" s="117" t="n">
        <x:f>CG44</x:f>
      </x:c>
      <x:c r="CH45" s="117" t="n">
        <x:f>CH44</x:f>
      </x:c>
      <x:c r="CI45" s="117" t="n">
        <x:f>CI44</x:f>
      </x:c>
      <x:c r="CJ45" s="117" t="n">
        <x:f>CJ44</x:f>
      </x:c>
      <x:c r="CK45" s="117" t="n">
        <x:f>CK44</x:f>
      </x:c>
      <x:c r="CL45" s="117" t="n">
        <x:f>CL44</x:f>
      </x:c>
      <x:c r="CM45" s="117" t="n">
        <x:f>CM44</x:f>
      </x:c>
      <x:c r="CN45" s="117" t="n">
        <x:f>CN44</x:f>
      </x:c>
      <x:c r="CO45" s="117" t="n">
        <x:f>CO44</x:f>
      </x:c>
      <x:c r="CP45" s="117" t="n">
        <x:f>CP44</x:f>
      </x:c>
      <x:c r="CQ45" s="117" t="n">
        <x:f>CQ44</x:f>
      </x:c>
      <x:c r="CR45" s="117" t="n">
        <x:f>CR44</x:f>
      </x:c>
      <x:c r="CS45" s="117" t="n">
        <x:f>CS44</x:f>
      </x:c>
      <x:c r="CT45" s="117" t="n">
        <x:f>CT44</x:f>
      </x:c>
      <x:c r="CU45" s="117" t="n">
        <x:f>CU44</x:f>
      </x:c>
      <x:c r="CV45" s="117" t="n">
        <x:f>CV44</x:f>
      </x:c>
      <x:c r="CW45" s="117" t="n">
        <x:f>CW44</x:f>
      </x:c>
      <x:c r="CX45" s="117" t="n">
        <x:f>CX44</x:f>
      </x:c>
      <x:c r="CY45" s="117" t="n">
        <x:f>CY44</x:f>
      </x:c>
      <x:c r="CZ45" s="117" t="n">
        <x:f>CZ44</x:f>
      </x:c>
      <x:c r="DA45" s="117" t="n">
        <x:f>DA44</x:f>
      </x:c>
      <x:c r="DB45" s="117" t="n">
        <x:f>DB44</x:f>
      </x:c>
      <x:c r="DC45" s="117" t="n">
        <x:f>DC44</x:f>
      </x:c>
      <x:c r="DD45" s="117" t="n">
        <x:f>DD44</x:f>
      </x:c>
      <x:c r="DE45" s="117" t="n">
        <x:f>DE44</x:f>
      </x:c>
      <x:c r="DF45" s="117" t="n">
        <x:f>DF44</x:f>
      </x:c>
      <x:c r="DG45" s="117" t="n">
        <x:f>DG44</x:f>
      </x:c>
      <x:c r="DH45" s="117" t="n">
        <x:f>DH44</x:f>
      </x:c>
      <x:c r="DI45" s="117" t="n">
        <x:f>DI44</x:f>
      </x:c>
      <x:c r="DJ45" s="117" t="n">
        <x:f>DJ44</x:f>
      </x:c>
      <x:c r="DK45" s="117" t="n">
        <x:f>DK44</x:f>
      </x:c>
      <x:c r="DL45" s="117" t="n">
        <x:f>DL44</x:f>
      </x:c>
      <x:c r="DM45" s="117" t="n">
        <x:f>DM44</x:f>
      </x:c>
      <x:c r="DN45" s="117" t="n">
        <x:f>DN44</x:f>
      </x:c>
      <x:c r="DO45" s="117" t="n">
        <x:f>DO44</x:f>
      </x:c>
      <x:c r="DP45" s="117" t="n">
        <x:f>DP44</x:f>
      </x:c>
      <x:c r="DQ45" s="117" t="n">
        <x:f>DQ44</x:f>
      </x:c>
      <x:c r="DR45" s="117" t="n">
        <x:f>DR44</x:f>
      </x:c>
      <x:c r="DS45" s="117" t="n">
        <x:f>DS44</x:f>
      </x:c>
      <x:c r="DT45" s="117" t="n">
        <x:f>DT44</x:f>
      </x:c>
      <x:c r="DU45" s="117" t="n">
        <x:f>DU44</x:f>
      </x:c>
      <x:c r="DV45" s="117" t="n">
        <x:f>DV44</x:f>
      </x:c>
      <x:c r="DW45" s="117" t="n">
        <x:f>DW44</x:f>
      </x:c>
      <x:c r="DX45" s="117" t="n">
        <x:f>DX44</x:f>
      </x:c>
      <x:c r="DY45" s="117" t="n">
        <x:f>DY44</x:f>
      </x:c>
      <x:c r="DZ45" s="117" t="n">
        <x:f>DZ44</x:f>
      </x:c>
      <x:c r="EA45" s="117" t="n">
        <x:f>EA44</x:f>
      </x:c>
      <x:c r="EB45" s="117" t="n">
        <x:f>EB44</x:f>
      </x:c>
      <x:c r="EC45" s="117" t="n">
        <x:f>EC44</x:f>
      </x:c>
      <x:c r="ED45" s="117" t="n">
        <x:f>ED44</x:f>
      </x:c>
      <x:c r="EE45" s="117" t="n">
        <x:f>EE44</x:f>
      </x:c>
      <x:c r="EF45" s="117" t="n">
        <x:f>EF44</x:f>
      </x:c>
      <x:c r="EG45" s="117" t="n">
        <x:f>EG44</x:f>
      </x:c>
      <x:c r="EH45" s="117" t="n">
        <x:f>EH44</x:f>
      </x:c>
      <x:c r="EI45" s="117" t="n">
        <x:f>EI44</x:f>
      </x:c>
      <x:c r="EJ45" s="117" t="n">
        <x:f>EJ44</x:f>
      </x:c>
      <x:c r="EK45" s="117" t="n">
        <x:f>EK44</x:f>
      </x:c>
      <x:c r="EL45" s="117" t="n">
        <x:f>EL44</x:f>
      </x:c>
      <x:c r="EM45" s="117" t="n">
        <x:f>EM44</x:f>
      </x:c>
      <x:c r="EN45" s="117" t="n">
        <x:f>EN44</x:f>
      </x:c>
      <x:c r="EO45" s="117" t="n">
        <x:f>EO44</x:f>
      </x:c>
      <x:c r="EP45" s="117" t="n">
        <x:f>EP44</x:f>
      </x:c>
      <x:c r="EQ45" s="117" t="n">
        <x:f>EQ44</x:f>
      </x:c>
      <x:c r="ER45" s="117" t="n">
        <x:f>ER44</x:f>
      </x:c>
      <x:c r="ES45" s="117" t="n">
        <x:f>ES44</x:f>
      </x:c>
      <x:c r="ET45" s="117" t="n">
        <x:f>ET44</x:f>
      </x:c>
      <x:c r="EU45" s="117" t="n">
        <x:f>EU44</x:f>
      </x:c>
      <x:c r="EV45" s="117" t="n">
        <x:f>EV44</x:f>
      </x:c>
      <x:c r="EW45" s="117" t="n">
        <x:f>EW44</x:f>
      </x:c>
      <x:c r="EX45" s="117" t="n">
        <x:f>EX44</x:f>
      </x:c>
      <x:c r="EY45" s="117" t="n">
        <x:f>EY44</x:f>
      </x:c>
      <x:c r="EZ45" s="117" t="n">
        <x:f>EZ44</x:f>
      </x:c>
      <x:c r="FA45" s="117" t="n">
        <x:f>FA44</x:f>
      </x:c>
      <x:c r="FB45" s="117" t="n">
        <x:f>FB44</x:f>
      </x:c>
      <x:c r="FC45" s="117" t="n">
        <x:f>FC44</x:f>
      </x:c>
      <x:c r="FD45" s="117" t="n">
        <x:f>FD44</x:f>
      </x:c>
      <x:c r="FE45" s="117" t="n">
        <x:f>FE44</x:f>
      </x:c>
      <x:c r="FF45" s="117" t="n">
        <x:f>FF44</x:f>
      </x:c>
      <x:c r="FG45" s="117" t="n">
        <x:f>FG44</x:f>
      </x:c>
      <x:c r="FH45" s="117" t="n">
        <x:f>FH44</x:f>
      </x:c>
      <x:c r="FI45" s="117" t="n">
        <x:f>FI44</x:f>
      </x:c>
      <x:c r="FJ45" s="117" t="n">
        <x:f>FJ44</x:f>
      </x:c>
      <x:c r="FK45" s="117" t="n">
        <x:f>FK44</x:f>
      </x:c>
      <x:c r="FL45" s="117" t="n">
        <x:f>FL44</x:f>
      </x:c>
      <x:c r="FM45" s="117" t="n">
        <x:f>FM44</x:f>
      </x:c>
      <x:c r="FN45" s="117" t="n">
        <x:f>FN44</x:f>
      </x:c>
      <x:c r="FO45" s="117" t="n">
        <x:f>FO44</x:f>
      </x:c>
      <x:c r="FP45" s="117" t="n">
        <x:f>FP44</x:f>
      </x:c>
      <x:c r="FQ45" s="117" t="n">
        <x:f>FQ44</x:f>
      </x:c>
      <x:c r="FR45" s="117" t="n">
        <x:f>FR44</x:f>
      </x:c>
      <x:c r="FS45" s="117" t="n">
        <x:f>FS44</x:f>
      </x:c>
      <x:c r="FT45" s="117" t="n">
        <x:f>FT44</x:f>
      </x:c>
      <x:c r="FU45" s="117" t="n">
        <x:f>FU44</x:f>
      </x:c>
      <x:c r="FV45" s="117" t="n">
        <x:f>FV44</x:f>
      </x:c>
      <x:c r="FW45" s="117" t="n">
        <x:f>FW44</x:f>
      </x:c>
      <x:c r="FX45" s="117" t="n">
        <x:f>FX44</x:f>
      </x:c>
      <x:c r="FY45" s="117" t="n">
        <x:f>FY44</x:f>
      </x:c>
      <x:c r="FZ45" s="117" t="n">
        <x:f>FZ44</x:f>
      </x:c>
      <x:c r="GA45" s="117" t="n">
        <x:f>GA44</x:f>
      </x:c>
    </x:row>
    <x:row r="46">
      <x:c r="A46" t="str">
        <x:v>ПФ — погашение</x:v>
      </x:c>
      <x:c r="B46" t="n">
        <x:f>SUM(D46:GA46)</x:f>
      </x:c>
      <x:c r="C46" t="str">
        <x:v>млн ₽</x:v>
      </x:c>
      <x:c r="D46" s="117">
        <x:f>MIN(D38+D45,IF(AND(YEAR(D$3)=YEAR($B$8),MONTH(D$3)=MONTH($B$8)),D14,IF(D$3&gt;$B$8,D12,0)))</x:f>
      </x:c>
      <x:c r="E46" s="117">
        <x:f>MIN(E38+E45,IF(AND(YEAR(E$3)=YEAR($B$8),MONTH(E$3)=MONTH($B$8)),E14,IF(E$3&gt;$B$8,E12,0)))</x:f>
      </x:c>
      <x:c r="F46" s="117">
        <x:f>MIN(F38+F45,IF(AND(YEAR(F$3)=YEAR($B$8),MONTH(F$3)=MONTH($B$8)),F14,IF(F$3&gt;$B$8,F12,0)))</x:f>
      </x:c>
      <x:c r="G46" s="117">
        <x:f>MIN(G38+G45,IF(AND(YEAR(G$3)=YEAR($B$8),MONTH(G$3)=MONTH($B$8)),G14,IF(G$3&gt;$B$8,G12,0)))</x:f>
      </x:c>
      <x:c r="H46" s="117">
        <x:f>MIN(H38+H45,IF(AND(YEAR(H$3)=YEAR($B$8),MONTH(H$3)=MONTH($B$8)),H14,IF(H$3&gt;$B$8,H12,0)))</x:f>
      </x:c>
      <x:c r="I46" s="117">
        <x:f>MIN(I38+I45,IF(AND(YEAR(I$3)=YEAR($B$8),MONTH(I$3)=MONTH($B$8)),I14,IF(I$3&gt;$B$8,I12,0)))</x:f>
      </x:c>
      <x:c r="J46" s="117">
        <x:f>MIN(J38+J45,IF(AND(YEAR(J$3)=YEAR($B$8),MONTH(J$3)=MONTH($B$8)),J14,IF(J$3&gt;$B$8,J12,0)))</x:f>
      </x:c>
      <x:c r="K46" s="117">
        <x:f>MIN(K38+K45,IF(AND(YEAR(K$3)=YEAR($B$8),MONTH(K$3)=MONTH($B$8)),K14,IF(K$3&gt;$B$8,K12,0)))</x:f>
      </x:c>
      <x:c r="L46" s="117">
        <x:f>MIN(L38+L45,IF(AND(YEAR(L$3)=YEAR($B$8),MONTH(L$3)=MONTH($B$8)),L14,IF(L$3&gt;$B$8,L12,0)))</x:f>
      </x:c>
      <x:c r="M46" s="117">
        <x:f>MIN(M38+M45,IF(AND(YEAR(M$3)=YEAR($B$8),MONTH(M$3)=MONTH($B$8)),M14,IF(M$3&gt;$B$8,M12,0)))</x:f>
      </x:c>
      <x:c r="N46" s="117">
        <x:f>MIN(N38+N45,IF(AND(YEAR(N$3)=YEAR($B$8),MONTH(N$3)=MONTH($B$8)),N14,IF(N$3&gt;$B$8,N12,0)))</x:f>
      </x:c>
      <x:c r="O46" s="117">
        <x:f>MIN(O38+O45,IF(AND(YEAR(O$3)=YEAR($B$8),MONTH(O$3)=MONTH($B$8)),O14,IF(O$3&gt;$B$8,O12,0)))</x:f>
      </x:c>
      <x:c r="P46" s="117">
        <x:f>MIN(P38+P45,IF(AND(YEAR(P$3)=YEAR($B$8),MONTH(P$3)=MONTH($B$8)),P14,IF(P$3&gt;$B$8,P12,0)))</x:f>
      </x:c>
      <x:c r="Q46" s="117">
        <x:f>MIN(Q38+Q45,IF(AND(YEAR(Q$3)=YEAR($B$8),MONTH(Q$3)=MONTH($B$8)),Q14,IF(Q$3&gt;$B$8,Q12,0)))</x:f>
      </x:c>
      <x:c r="R46" s="117">
        <x:f>MIN(R38+R45,IF(AND(YEAR(R$3)=YEAR($B$8),MONTH(R$3)=MONTH($B$8)),R14,IF(R$3&gt;$B$8,R12,0)))</x:f>
      </x:c>
      <x:c r="S46" s="117">
        <x:f>MIN(S38+S45,IF(AND(YEAR(S$3)=YEAR($B$8),MONTH(S$3)=MONTH($B$8)),S14,IF(S$3&gt;$B$8,S12,0)))</x:f>
      </x:c>
      <x:c r="T46" s="117">
        <x:f>MIN(T38+T45,IF(AND(YEAR(T$3)=YEAR($B$8),MONTH(T$3)=MONTH($B$8)),T14,IF(T$3&gt;$B$8,T12,0)))</x:f>
      </x:c>
      <x:c r="U46" s="117">
        <x:f>MIN(U38+U45,IF(AND(YEAR(U$3)=YEAR($B$8),MONTH(U$3)=MONTH($B$8)),U14,IF(U$3&gt;$B$8,U12,0)))</x:f>
      </x:c>
      <x:c r="V46" s="117">
        <x:f>MIN(V38+V45,IF(AND(YEAR(V$3)=YEAR($B$8),MONTH(V$3)=MONTH($B$8)),V14,IF(V$3&gt;$B$8,V12,0)))</x:f>
      </x:c>
      <x:c r="W46" s="117">
        <x:f>MIN(W38+W45,IF(AND(YEAR(W$3)=YEAR($B$8),MONTH(W$3)=MONTH($B$8)),W14,IF(W$3&gt;$B$8,W12,0)))</x:f>
      </x:c>
      <x:c r="X46" s="117">
        <x:f>MIN(X38+X45,IF(AND(YEAR(X$3)=YEAR($B$8),MONTH(X$3)=MONTH($B$8)),X14,IF(X$3&gt;$B$8,X12,0)))</x:f>
      </x:c>
      <x:c r="Y46" s="117">
        <x:f>MIN(Y38+Y45,IF(AND(YEAR(Y$3)=YEAR($B$8),MONTH(Y$3)=MONTH($B$8)),Y14,IF(Y$3&gt;$B$8,Y12,0)))</x:f>
      </x:c>
      <x:c r="Z46" s="117">
        <x:f>MIN(Z38+Z45,IF(AND(YEAR(Z$3)=YEAR($B$8),MONTH(Z$3)=MONTH($B$8)),Z14,IF(Z$3&gt;$B$8,Z12,0)))</x:f>
      </x:c>
      <x:c r="AA46" s="117">
        <x:f>MIN(AA38+AA45,IF(AND(YEAR(AA$3)=YEAR($B$8),MONTH(AA$3)=MONTH($B$8)),AA14,IF(AA$3&gt;$B$8,AA12,0)))</x:f>
      </x:c>
      <x:c r="AB46" s="117">
        <x:f>MIN(AB38+AB45,IF(AND(YEAR(AB$3)=YEAR($B$8),MONTH(AB$3)=MONTH($B$8)),AB14,IF(AB$3&gt;$B$8,AB12,0)))</x:f>
      </x:c>
      <x:c r="AC46" s="117">
        <x:f>MIN(AC38+AC45,IF(AND(YEAR(AC$3)=YEAR($B$8),MONTH(AC$3)=MONTH($B$8)),AC14,IF(AC$3&gt;$B$8,AC12,0)))</x:f>
      </x:c>
      <x:c r="AD46" s="117">
        <x:f>MIN(AD38+AD45,IF(AND(YEAR(AD$3)=YEAR($B$8),MONTH(AD$3)=MONTH($B$8)),AD14,IF(AD$3&gt;$B$8,AD12,0)))</x:f>
      </x:c>
      <x:c r="AE46" s="117">
        <x:f>MIN(AE38+AE45,IF(AND(YEAR(AE$3)=YEAR($B$8),MONTH(AE$3)=MONTH($B$8)),AE14,IF(AE$3&gt;$B$8,AE12,0)))</x:f>
      </x:c>
      <x:c r="AF46" s="117">
        <x:f>MIN(AF38+AF45,IF(AND(YEAR(AF$3)=YEAR($B$8),MONTH(AF$3)=MONTH($B$8)),AF14,IF(AF$3&gt;$B$8,AF12,0)))</x:f>
      </x:c>
      <x:c r="AG46" s="117">
        <x:f>MIN(AG38+AG45,IF(AND(YEAR(AG$3)=YEAR($B$8),MONTH(AG$3)=MONTH($B$8)),AG14,IF(AG$3&gt;$B$8,AG12,0)))</x:f>
      </x:c>
      <x:c r="AH46" s="117">
        <x:f>MIN(AH38+AH45,IF(AND(YEAR(AH$3)=YEAR($B$8),MONTH(AH$3)=MONTH($B$8)),AH14,IF(AH$3&gt;$B$8,AH12,0)))</x:f>
      </x:c>
      <x:c r="AI46" s="117">
        <x:f>MIN(AI38+AI45,IF(AND(YEAR(AI$3)=YEAR($B$8),MONTH(AI$3)=MONTH($B$8)),AI14,IF(AI$3&gt;$B$8,AI12,0)))</x:f>
      </x:c>
      <x:c r="AJ46" s="117">
        <x:f>MIN(AJ38+AJ45,IF(AND(YEAR(AJ$3)=YEAR($B$8),MONTH(AJ$3)=MONTH($B$8)),AJ14,IF(AJ$3&gt;$B$8,AJ12,0)))</x:f>
      </x:c>
      <x:c r="AK46" s="117">
        <x:f>MIN(AK38+AK45,IF(AND(YEAR(AK$3)=YEAR($B$8),MONTH(AK$3)=MONTH($B$8)),AK14,IF(AK$3&gt;$B$8,AK12,0)))</x:f>
      </x:c>
      <x:c r="AL46" s="117">
        <x:f>MIN(AL38+AL45,IF(AND(YEAR(AL$3)=YEAR($B$8),MONTH(AL$3)=MONTH($B$8)),AL14,IF(AL$3&gt;$B$8,AL12,0)))</x:f>
      </x:c>
      <x:c r="AM46" s="117">
        <x:f>MIN(AM38+AM45,IF(AND(YEAR(AM$3)=YEAR($B$8),MONTH(AM$3)=MONTH($B$8)),AM14,IF(AM$3&gt;$B$8,AM12,0)))</x:f>
      </x:c>
      <x:c r="AN46" s="117">
        <x:f>MIN(AN38+AN45,IF(AND(YEAR(AN$3)=YEAR($B$8),MONTH(AN$3)=MONTH($B$8)),AN14,IF(AN$3&gt;$B$8,AN12,0)))</x:f>
      </x:c>
      <x:c r="AO46" s="117">
        <x:f>MIN(AO38+AO45,IF(AND(YEAR(AO$3)=YEAR($B$8),MONTH(AO$3)=MONTH($B$8)),AO14,IF(AO$3&gt;$B$8,AO12,0)))</x:f>
      </x:c>
      <x:c r="AP46" s="117">
        <x:f>MIN(AP38+AP45,IF(AND(YEAR(AP$3)=YEAR($B$8),MONTH(AP$3)=MONTH($B$8)),AP14,IF(AP$3&gt;$B$8,AP12,0)))</x:f>
      </x:c>
      <x:c r="AQ46" s="117">
        <x:f>MIN(AQ38+AQ45,IF(AND(YEAR(AQ$3)=YEAR($B$8),MONTH(AQ$3)=MONTH($B$8)),AQ14,IF(AQ$3&gt;$B$8,AQ12,0)))</x:f>
      </x:c>
      <x:c r="AR46" s="117">
        <x:f>MIN(AR38+AR45,IF(AND(YEAR(AR$3)=YEAR($B$8),MONTH(AR$3)=MONTH($B$8)),AR14,IF(AR$3&gt;$B$8,AR12,0)))</x:f>
      </x:c>
      <x:c r="AS46" s="117">
        <x:f>MIN(AS38+AS45,IF(AND(YEAR(AS$3)=YEAR($B$8),MONTH(AS$3)=MONTH($B$8)),AS14,IF(AS$3&gt;$B$8,AS12,0)))</x:f>
      </x:c>
      <x:c r="AT46" s="117">
        <x:f>MIN(AT38+AT45,IF(AND(YEAR(AT$3)=YEAR($B$8),MONTH(AT$3)=MONTH($B$8)),AT14,IF(AT$3&gt;$B$8,AT12,0)))</x:f>
      </x:c>
      <x:c r="AU46" s="117">
        <x:f>MIN(AU38+AU45,IF(AND(YEAR(AU$3)=YEAR($B$8),MONTH(AU$3)=MONTH($B$8)),AU14,IF(AU$3&gt;$B$8,AU12,0)))</x:f>
      </x:c>
      <x:c r="AV46" s="117">
        <x:f>MIN(AV38+AV45,IF(AND(YEAR(AV$3)=YEAR($B$8),MONTH(AV$3)=MONTH($B$8)),AV14,IF(AV$3&gt;$B$8,AV12,0)))</x:f>
      </x:c>
      <x:c r="AW46" s="117">
        <x:f>MIN(AW38+AW45,IF(AND(YEAR(AW$3)=YEAR($B$8),MONTH(AW$3)=MONTH($B$8)),AW14,IF(AW$3&gt;$B$8,AW12,0)))</x:f>
      </x:c>
      <x:c r="AX46" s="117">
        <x:f>MIN(AX38+AX45,IF(AND(YEAR(AX$3)=YEAR($B$8),MONTH(AX$3)=MONTH($B$8)),AX14,IF(AX$3&gt;$B$8,AX12,0)))</x:f>
      </x:c>
      <x:c r="AY46" s="117">
        <x:f>MIN(AY38+AY45,IF(AND(YEAR(AY$3)=YEAR($B$8),MONTH(AY$3)=MONTH($B$8)),AY14,IF(AY$3&gt;$B$8,AY12,0)))</x:f>
      </x:c>
      <x:c r="AZ46" s="117">
        <x:f>MIN(AZ38+AZ45,IF(AND(YEAR(AZ$3)=YEAR($B$8),MONTH(AZ$3)=MONTH($B$8)),AZ14,IF(AZ$3&gt;$B$8,AZ12,0)))</x:f>
      </x:c>
      <x:c r="BA46" s="117">
        <x:f>MIN(BA38+BA45,IF(AND(YEAR(BA$3)=YEAR($B$8),MONTH(BA$3)=MONTH($B$8)),BA14,IF(BA$3&gt;$B$8,BA12,0)))</x:f>
      </x:c>
      <x:c r="BB46" s="117">
        <x:f>MIN(BB38+BB45,IF(AND(YEAR(BB$3)=YEAR($B$8),MONTH(BB$3)=MONTH($B$8)),BB14,IF(BB$3&gt;$B$8,BB12,0)))</x:f>
      </x:c>
      <x:c r="BC46" s="117">
        <x:f>MIN(BC38+BC45,IF(AND(YEAR(BC$3)=YEAR($B$8),MONTH(BC$3)=MONTH($B$8)),BC14,IF(BC$3&gt;$B$8,BC12,0)))</x:f>
      </x:c>
      <x:c r="BD46" s="117">
        <x:f>MIN(BD38+BD45,IF(AND(YEAR(BD$3)=YEAR($B$8),MONTH(BD$3)=MONTH($B$8)),BD14,IF(BD$3&gt;$B$8,BD12,0)))</x:f>
      </x:c>
      <x:c r="BE46" s="117">
        <x:f>MIN(BE38+BE45,IF(AND(YEAR(BE$3)=YEAR($B$8),MONTH(BE$3)=MONTH($B$8)),BE14,IF(BE$3&gt;$B$8,BE12,0)))</x:f>
      </x:c>
      <x:c r="BF46" s="117">
        <x:f>MIN(BF38+BF45,IF(AND(YEAR(BF$3)=YEAR($B$8),MONTH(BF$3)=MONTH($B$8)),BF14,IF(BF$3&gt;$B$8,BF12,0)))</x:f>
      </x:c>
      <x:c r="BG46" s="117">
        <x:f>MIN(BG38+BG45,IF(AND(YEAR(BG$3)=YEAR($B$8),MONTH(BG$3)=MONTH($B$8)),BG14,IF(BG$3&gt;$B$8,BG12,0)))</x:f>
      </x:c>
      <x:c r="BH46" s="117">
        <x:f>MIN(BH38+BH45,IF(AND(YEAR(BH$3)=YEAR($B$8),MONTH(BH$3)=MONTH($B$8)),BH14,IF(BH$3&gt;$B$8,BH12,0)))</x:f>
      </x:c>
      <x:c r="BI46" s="117">
        <x:f>MIN(BI38+BI45,IF(AND(YEAR(BI$3)=YEAR($B$8),MONTH(BI$3)=MONTH($B$8)),BI14,IF(BI$3&gt;$B$8,BI12,0)))</x:f>
      </x:c>
      <x:c r="BJ46" s="117">
        <x:f>MIN(BJ38+BJ45,IF(AND(YEAR(BJ$3)=YEAR($B$8),MONTH(BJ$3)=MONTH($B$8)),BJ14,IF(BJ$3&gt;$B$8,BJ12,0)))</x:f>
      </x:c>
      <x:c r="BK46" s="117">
        <x:f>MIN(BK38+BK45,IF(AND(YEAR(BK$3)=YEAR($B$8),MONTH(BK$3)=MONTH($B$8)),BK14,IF(BK$3&gt;$B$8,BK12,0)))</x:f>
      </x:c>
      <x:c r="BL46" s="117">
        <x:f>MIN(BL38+BL45,IF(AND(YEAR(BL$3)=YEAR($B$8),MONTH(BL$3)=MONTH($B$8)),BL14,IF(BL$3&gt;$B$8,BL12,0)))</x:f>
      </x:c>
      <x:c r="BM46" s="117">
        <x:f>MIN(BM38+BM45,IF(AND(YEAR(BM$3)=YEAR($B$8),MONTH(BM$3)=MONTH($B$8)),BM14,IF(BM$3&gt;$B$8,BM12,0)))</x:f>
      </x:c>
      <x:c r="BN46" s="117">
        <x:f>MIN(BN38+BN45,IF(AND(YEAR(BN$3)=YEAR($B$8),MONTH(BN$3)=MONTH($B$8)),BN14,IF(BN$3&gt;$B$8,BN12,0)))</x:f>
      </x:c>
      <x:c r="BO46" s="117">
        <x:f>MIN(BO38+BO45,IF(AND(YEAR(BO$3)=YEAR($B$8),MONTH(BO$3)=MONTH($B$8)),BO14,IF(BO$3&gt;$B$8,BO12,0)))</x:f>
      </x:c>
      <x:c r="BP46" s="117">
        <x:f>MIN(BP38+BP45,IF(AND(YEAR(BP$3)=YEAR($B$8),MONTH(BP$3)=MONTH($B$8)),BP14,IF(BP$3&gt;$B$8,BP12,0)))</x:f>
      </x:c>
      <x:c r="BQ46" s="117">
        <x:f>MIN(BQ38+BQ45,IF(AND(YEAR(BQ$3)=YEAR($B$8),MONTH(BQ$3)=MONTH($B$8)),BQ14,IF(BQ$3&gt;$B$8,BQ12,0)))</x:f>
      </x:c>
      <x:c r="BR46" s="117">
        <x:f>MIN(BR38+BR45,IF(AND(YEAR(BR$3)=YEAR($B$8),MONTH(BR$3)=MONTH($B$8)),BR14,IF(BR$3&gt;$B$8,BR12,0)))</x:f>
      </x:c>
      <x:c r="BS46" s="117">
        <x:f>MIN(BS38+BS45,IF(AND(YEAR(BS$3)=YEAR($B$8),MONTH(BS$3)=MONTH($B$8)),BS14,IF(BS$3&gt;$B$8,BS12,0)))</x:f>
      </x:c>
      <x:c r="BT46" s="117">
        <x:f>MIN(BT38+BT45,IF(AND(YEAR(BT$3)=YEAR($B$8),MONTH(BT$3)=MONTH($B$8)),BT14,IF(BT$3&gt;$B$8,BT12,0)))</x:f>
      </x:c>
      <x:c r="BU46" s="117">
        <x:f>MIN(BU38+BU45,IF(AND(YEAR(BU$3)=YEAR($B$8),MONTH(BU$3)=MONTH($B$8)),BU14,IF(BU$3&gt;$B$8,BU12,0)))</x:f>
      </x:c>
      <x:c r="BV46" s="117">
        <x:f>MIN(BV38+BV45,IF(AND(YEAR(BV$3)=YEAR($B$8),MONTH(BV$3)=MONTH($B$8)),BV14,IF(BV$3&gt;$B$8,BV12,0)))</x:f>
      </x:c>
      <x:c r="BW46" s="117">
        <x:f>MIN(BW38+BW45,IF(AND(YEAR(BW$3)=YEAR($B$8),MONTH(BW$3)=MONTH($B$8)),BW14,IF(BW$3&gt;$B$8,BW12,0)))</x:f>
      </x:c>
      <x:c r="BX46" s="117">
        <x:f>MIN(BX38+BX45,IF(AND(YEAR(BX$3)=YEAR($B$8),MONTH(BX$3)=MONTH($B$8)),BX14,IF(BX$3&gt;$B$8,BX12,0)))</x:f>
      </x:c>
      <x:c r="BY46" s="117">
        <x:f>MIN(BY38+BY45,IF(AND(YEAR(BY$3)=YEAR($B$8),MONTH(BY$3)=MONTH($B$8)),BY14,IF(BY$3&gt;$B$8,BY12,0)))</x:f>
      </x:c>
      <x:c r="BZ46" s="117">
        <x:f>MIN(BZ38+BZ45,IF(AND(YEAR(BZ$3)=YEAR($B$8),MONTH(BZ$3)=MONTH($B$8)),BZ14,IF(BZ$3&gt;$B$8,BZ12,0)))</x:f>
      </x:c>
      <x:c r="CA46" s="117">
        <x:f>MIN(CA38+CA45,IF(AND(YEAR(CA$3)=YEAR($B$8),MONTH(CA$3)=MONTH($B$8)),CA14,IF(CA$3&gt;$B$8,CA12,0)))</x:f>
      </x:c>
      <x:c r="CB46" s="117">
        <x:f>MIN(CB38+CB45,IF(AND(YEAR(CB$3)=YEAR($B$8),MONTH(CB$3)=MONTH($B$8)),CB14,IF(CB$3&gt;$B$8,CB12,0)))</x:f>
      </x:c>
      <x:c r="CC46" s="117">
        <x:f>MIN(CC38+CC45,IF(AND(YEAR(CC$3)=YEAR($B$8),MONTH(CC$3)=MONTH($B$8)),CC14,IF(CC$3&gt;$B$8,CC12,0)))</x:f>
      </x:c>
      <x:c r="CD46" s="117">
        <x:f>MIN(CD38+CD45,IF(AND(YEAR(CD$3)=YEAR($B$8),MONTH(CD$3)=MONTH($B$8)),CD14,IF(CD$3&gt;$B$8,CD12,0)))</x:f>
      </x:c>
      <x:c r="CE46" s="117">
        <x:f>MIN(CE38+CE45,IF(AND(YEAR(CE$3)=YEAR($B$8),MONTH(CE$3)=MONTH($B$8)),CE14,IF(CE$3&gt;$B$8,CE12,0)))</x:f>
      </x:c>
      <x:c r="CF46" s="117">
        <x:f>MIN(CF38+CF45,IF(AND(YEAR(CF$3)=YEAR($B$8),MONTH(CF$3)=MONTH($B$8)),CF14,IF(CF$3&gt;$B$8,CF12,0)))</x:f>
      </x:c>
      <x:c r="CG46" s="117">
        <x:f>MIN(CG38+CG45,IF(AND(YEAR(CG$3)=YEAR($B$8),MONTH(CG$3)=MONTH($B$8)),CG14,IF(CG$3&gt;$B$8,CG12,0)))</x:f>
      </x:c>
      <x:c r="CH46" s="117">
        <x:f>MIN(CH38+CH45,IF(AND(YEAR(CH$3)=YEAR($B$8),MONTH(CH$3)=MONTH($B$8)),CH14,IF(CH$3&gt;$B$8,CH12,0)))</x:f>
      </x:c>
      <x:c r="CI46" s="117">
        <x:f>MIN(CI38+CI45,IF(AND(YEAR(CI$3)=YEAR($B$8),MONTH(CI$3)=MONTH($B$8)),CI14,IF(CI$3&gt;$B$8,CI12,0)))</x:f>
      </x:c>
      <x:c r="CJ46" s="117">
        <x:f>MIN(CJ38+CJ45,IF(AND(YEAR(CJ$3)=YEAR($B$8),MONTH(CJ$3)=MONTH($B$8)),CJ14,IF(CJ$3&gt;$B$8,CJ12,0)))</x:f>
      </x:c>
      <x:c r="CK46" s="117">
        <x:f>MIN(CK38+CK45,IF(AND(YEAR(CK$3)=YEAR($B$8),MONTH(CK$3)=MONTH($B$8)),CK14,IF(CK$3&gt;$B$8,CK12,0)))</x:f>
      </x:c>
      <x:c r="CL46" s="117">
        <x:f>MIN(CL38+CL45,IF(AND(YEAR(CL$3)=YEAR($B$8),MONTH(CL$3)=MONTH($B$8)),CL14,IF(CL$3&gt;$B$8,CL12,0)))</x:f>
      </x:c>
      <x:c r="CM46" s="117">
        <x:f>MIN(CM38+CM45,IF(AND(YEAR(CM$3)=YEAR($B$8),MONTH(CM$3)=MONTH($B$8)),CM14,IF(CM$3&gt;$B$8,CM12,0)))</x:f>
      </x:c>
      <x:c r="CN46" s="117">
        <x:f>MIN(CN38+CN45,IF(AND(YEAR(CN$3)=YEAR($B$8),MONTH(CN$3)=MONTH($B$8)),CN14,IF(CN$3&gt;$B$8,CN12,0)))</x:f>
      </x:c>
      <x:c r="CO46" s="117">
        <x:f>MIN(CO38+CO45,IF(AND(YEAR(CO$3)=YEAR($B$8),MONTH(CO$3)=MONTH($B$8)),CO14,IF(CO$3&gt;$B$8,CO12,0)))</x:f>
      </x:c>
      <x:c r="CP46" s="117">
        <x:f>MIN(CP38+CP45,IF(AND(YEAR(CP$3)=YEAR($B$8),MONTH(CP$3)=MONTH($B$8)),CP14,IF(CP$3&gt;$B$8,CP12,0)))</x:f>
      </x:c>
      <x:c r="CQ46" s="117">
        <x:f>MIN(CQ38+CQ45,IF(AND(YEAR(CQ$3)=YEAR($B$8),MONTH(CQ$3)=MONTH($B$8)),CQ14,IF(CQ$3&gt;$B$8,CQ12,0)))</x:f>
      </x:c>
      <x:c r="CR46" s="117">
        <x:f>MIN(CR38+CR45,IF(AND(YEAR(CR$3)=YEAR($B$8),MONTH(CR$3)=MONTH($B$8)),CR14,IF(CR$3&gt;$B$8,CR12,0)))</x:f>
      </x:c>
      <x:c r="CS46" s="117">
        <x:f>MIN(CS38+CS45,IF(AND(YEAR(CS$3)=YEAR($B$8),MONTH(CS$3)=MONTH($B$8)),CS14,IF(CS$3&gt;$B$8,CS12,0)))</x:f>
      </x:c>
      <x:c r="CT46" s="117">
        <x:f>MIN(CT38+CT45,IF(AND(YEAR(CT$3)=YEAR($B$8),MONTH(CT$3)=MONTH($B$8)),CT14,IF(CT$3&gt;$B$8,CT12,0)))</x:f>
      </x:c>
      <x:c r="CU46" s="117">
        <x:f>MIN(CU38+CU45,IF(AND(YEAR(CU$3)=YEAR($B$8),MONTH(CU$3)=MONTH($B$8)),CU14,IF(CU$3&gt;$B$8,CU12,0)))</x:f>
      </x:c>
      <x:c r="CV46" s="117">
        <x:f>MIN(CV38+CV45,IF(AND(YEAR(CV$3)=YEAR($B$8),MONTH(CV$3)=MONTH($B$8)),CV14,IF(CV$3&gt;$B$8,CV12,0)))</x:f>
      </x:c>
      <x:c r="CW46" s="117">
        <x:f>MIN(CW38+CW45,IF(AND(YEAR(CW$3)=YEAR($B$8),MONTH(CW$3)=MONTH($B$8)),CW14,IF(CW$3&gt;$B$8,CW12,0)))</x:f>
      </x:c>
      <x:c r="CX46" s="117">
        <x:f>MIN(CX38+CX45,IF(AND(YEAR(CX$3)=YEAR($B$8),MONTH(CX$3)=MONTH($B$8)),CX14,IF(CX$3&gt;$B$8,CX12,0)))</x:f>
      </x:c>
      <x:c r="CY46" s="117">
        <x:f>MIN(CY38+CY45,IF(AND(YEAR(CY$3)=YEAR($B$8),MONTH(CY$3)=MONTH($B$8)),CY14,IF(CY$3&gt;$B$8,CY12,0)))</x:f>
      </x:c>
      <x:c r="CZ46" s="117">
        <x:f>MIN(CZ38+CZ45,IF(AND(YEAR(CZ$3)=YEAR($B$8),MONTH(CZ$3)=MONTH($B$8)),CZ14,IF(CZ$3&gt;$B$8,CZ12,0)))</x:f>
      </x:c>
      <x:c r="DA46" s="117">
        <x:f>MIN(DA38+DA45,IF(AND(YEAR(DA$3)=YEAR($B$8),MONTH(DA$3)=MONTH($B$8)),DA14,IF(DA$3&gt;$B$8,DA12,0)))</x:f>
      </x:c>
      <x:c r="DB46" s="117">
        <x:f>MIN(DB38+DB45,IF(AND(YEAR(DB$3)=YEAR($B$8),MONTH(DB$3)=MONTH($B$8)),DB14,IF(DB$3&gt;$B$8,DB12,0)))</x:f>
      </x:c>
      <x:c r="DC46" s="117">
        <x:f>MIN(DC38+DC45,IF(AND(YEAR(DC$3)=YEAR($B$8),MONTH(DC$3)=MONTH($B$8)),DC14,IF(DC$3&gt;$B$8,DC12,0)))</x:f>
      </x:c>
      <x:c r="DD46" s="117">
        <x:f>MIN(DD38+DD45,IF(AND(YEAR(DD$3)=YEAR($B$8),MONTH(DD$3)=MONTH($B$8)),DD14,IF(DD$3&gt;$B$8,DD12,0)))</x:f>
      </x:c>
      <x:c r="DE46" s="117">
        <x:f>MIN(DE38+DE45,IF(AND(YEAR(DE$3)=YEAR($B$8),MONTH(DE$3)=MONTH($B$8)),DE14,IF(DE$3&gt;$B$8,DE12,0)))</x:f>
      </x:c>
      <x:c r="DF46" s="117">
        <x:f>MIN(DF38+DF45,IF(AND(YEAR(DF$3)=YEAR($B$8),MONTH(DF$3)=MONTH($B$8)),DF14,IF(DF$3&gt;$B$8,DF12,0)))</x:f>
      </x:c>
      <x:c r="DG46" s="117">
        <x:f>MIN(DG38+DG45,IF(AND(YEAR(DG$3)=YEAR($B$8),MONTH(DG$3)=MONTH($B$8)),DG14,IF(DG$3&gt;$B$8,DG12,0)))</x:f>
      </x:c>
      <x:c r="DH46" s="117">
        <x:f>MIN(DH38+DH45,IF(AND(YEAR(DH$3)=YEAR($B$8),MONTH(DH$3)=MONTH($B$8)),DH14,IF(DH$3&gt;$B$8,DH12,0)))</x:f>
      </x:c>
      <x:c r="DI46" s="117">
        <x:f>MIN(DI38+DI45,IF(AND(YEAR(DI$3)=YEAR($B$8),MONTH(DI$3)=MONTH($B$8)),DI14,IF(DI$3&gt;$B$8,DI12,0)))</x:f>
      </x:c>
      <x:c r="DJ46" s="117">
        <x:f>MIN(DJ38+DJ45,IF(AND(YEAR(DJ$3)=YEAR($B$8),MONTH(DJ$3)=MONTH($B$8)),DJ14,IF(DJ$3&gt;$B$8,DJ12,0)))</x:f>
      </x:c>
      <x:c r="DK46" s="117">
        <x:f>MIN(DK38+DK45,IF(AND(YEAR(DK$3)=YEAR($B$8),MONTH(DK$3)=MONTH($B$8)),DK14,IF(DK$3&gt;$B$8,DK12,0)))</x:f>
      </x:c>
      <x:c r="DL46" s="117">
        <x:f>MIN(DL38+DL45,IF(AND(YEAR(DL$3)=YEAR($B$8),MONTH(DL$3)=MONTH($B$8)),DL14,IF(DL$3&gt;$B$8,DL12,0)))</x:f>
      </x:c>
      <x:c r="DM46" s="117">
        <x:f>MIN(DM38+DM45,IF(AND(YEAR(DM$3)=YEAR($B$8),MONTH(DM$3)=MONTH($B$8)),DM14,IF(DM$3&gt;$B$8,DM12,0)))</x:f>
      </x:c>
      <x:c r="DN46" s="117">
        <x:f>MIN(DN38+DN45,IF(AND(YEAR(DN$3)=YEAR($B$8),MONTH(DN$3)=MONTH($B$8)),DN14,IF(DN$3&gt;$B$8,DN12,0)))</x:f>
      </x:c>
      <x:c r="DO46" s="117">
        <x:f>MIN(DO38+DO45,IF(AND(YEAR(DO$3)=YEAR($B$8),MONTH(DO$3)=MONTH($B$8)),DO14,IF(DO$3&gt;$B$8,DO12,0)))</x:f>
      </x:c>
      <x:c r="DP46" s="117">
        <x:f>MIN(DP38+DP45,IF(AND(YEAR(DP$3)=YEAR($B$8),MONTH(DP$3)=MONTH($B$8)),DP14,IF(DP$3&gt;$B$8,DP12,0)))</x:f>
      </x:c>
      <x:c r="DQ46" s="117">
        <x:f>MIN(DQ38+DQ45,IF(AND(YEAR(DQ$3)=YEAR($B$8),MONTH(DQ$3)=MONTH($B$8)),DQ14,IF(DQ$3&gt;$B$8,DQ12,0)))</x:f>
      </x:c>
      <x:c r="DR46" s="117">
        <x:f>MIN(DR38+DR45,IF(AND(YEAR(DR$3)=YEAR($B$8),MONTH(DR$3)=MONTH($B$8)),DR14,IF(DR$3&gt;$B$8,DR12,0)))</x:f>
      </x:c>
      <x:c r="DS46" s="117">
        <x:f>MIN(DS38+DS45,IF(AND(YEAR(DS$3)=YEAR($B$8),MONTH(DS$3)=MONTH($B$8)),DS14,IF(DS$3&gt;$B$8,DS12,0)))</x:f>
      </x:c>
      <x:c r="DT46" s="117">
        <x:f>MIN(DT38+DT45,IF(AND(YEAR(DT$3)=YEAR($B$8),MONTH(DT$3)=MONTH($B$8)),DT14,IF(DT$3&gt;$B$8,DT12,0)))</x:f>
      </x:c>
      <x:c r="DU46" s="117">
        <x:f>MIN(DU38+DU45,IF(AND(YEAR(DU$3)=YEAR($B$8),MONTH(DU$3)=MONTH($B$8)),DU14,IF(DU$3&gt;$B$8,DU12,0)))</x:f>
      </x:c>
      <x:c r="DV46" s="117">
        <x:f>MIN(DV38+DV45,IF(AND(YEAR(DV$3)=YEAR($B$8),MONTH(DV$3)=MONTH($B$8)),DV14,IF(DV$3&gt;$B$8,DV12,0)))</x:f>
      </x:c>
      <x:c r="DW46" s="117">
        <x:f>MIN(DW38+DW45,IF(AND(YEAR(DW$3)=YEAR($B$8),MONTH(DW$3)=MONTH($B$8)),DW14,IF(DW$3&gt;$B$8,DW12,0)))</x:f>
      </x:c>
      <x:c r="DX46" s="117">
        <x:f>MIN(DX38+DX45,IF(AND(YEAR(DX$3)=YEAR($B$8),MONTH(DX$3)=MONTH($B$8)),DX14,IF(DX$3&gt;$B$8,DX12,0)))</x:f>
      </x:c>
      <x:c r="DY46" s="117">
        <x:f>MIN(DY38+DY45,IF(AND(YEAR(DY$3)=YEAR($B$8),MONTH(DY$3)=MONTH($B$8)),DY14,IF(DY$3&gt;$B$8,DY12,0)))</x:f>
      </x:c>
      <x:c r="DZ46" s="117">
        <x:f>MIN(DZ38+DZ45,IF(AND(YEAR(DZ$3)=YEAR($B$8),MONTH(DZ$3)=MONTH($B$8)),DZ14,IF(DZ$3&gt;$B$8,DZ12,0)))</x:f>
      </x:c>
      <x:c r="EA46" s="117">
        <x:f>MIN(EA38+EA45,IF(AND(YEAR(EA$3)=YEAR($B$8),MONTH(EA$3)=MONTH($B$8)),EA14,IF(EA$3&gt;$B$8,EA12,0)))</x:f>
      </x:c>
      <x:c r="EB46" s="117">
        <x:f>MIN(EB38+EB45,IF(AND(YEAR(EB$3)=YEAR($B$8),MONTH(EB$3)=MONTH($B$8)),EB14,IF(EB$3&gt;$B$8,EB12,0)))</x:f>
      </x:c>
      <x:c r="EC46" s="117">
        <x:f>MIN(EC38+EC45,IF(AND(YEAR(EC$3)=YEAR($B$8),MONTH(EC$3)=MONTH($B$8)),EC14,IF(EC$3&gt;$B$8,EC12,0)))</x:f>
      </x:c>
      <x:c r="ED46" s="117">
        <x:f>MIN(ED38+ED45,IF(AND(YEAR(ED$3)=YEAR($B$8),MONTH(ED$3)=MONTH($B$8)),ED14,IF(ED$3&gt;$B$8,ED12,0)))</x:f>
      </x:c>
      <x:c r="EE46" s="117">
        <x:f>MIN(EE38+EE45,IF(AND(YEAR(EE$3)=YEAR($B$8),MONTH(EE$3)=MONTH($B$8)),EE14,IF(EE$3&gt;$B$8,EE12,0)))</x:f>
      </x:c>
      <x:c r="EF46" s="117">
        <x:f>MIN(EF38+EF45,IF(AND(YEAR(EF$3)=YEAR($B$8),MONTH(EF$3)=MONTH($B$8)),EF14,IF(EF$3&gt;$B$8,EF12,0)))</x:f>
      </x:c>
      <x:c r="EG46" s="117">
        <x:f>MIN(EG38+EG45,IF(AND(YEAR(EG$3)=YEAR($B$8),MONTH(EG$3)=MONTH($B$8)),EG14,IF(EG$3&gt;$B$8,EG12,0)))</x:f>
      </x:c>
      <x:c r="EH46" s="117">
        <x:f>MIN(EH38+EH45,IF(AND(YEAR(EH$3)=YEAR($B$8),MONTH(EH$3)=MONTH($B$8)),EH14,IF(EH$3&gt;$B$8,EH12,0)))</x:f>
      </x:c>
      <x:c r="EI46" s="117">
        <x:f>MIN(EI38+EI45,IF(AND(YEAR(EI$3)=YEAR($B$8),MONTH(EI$3)=MONTH($B$8)),EI14,IF(EI$3&gt;$B$8,EI12,0)))</x:f>
      </x:c>
      <x:c r="EJ46" s="117">
        <x:f>MIN(EJ38+EJ45,IF(AND(YEAR(EJ$3)=YEAR($B$8),MONTH(EJ$3)=MONTH($B$8)),EJ14,IF(EJ$3&gt;$B$8,EJ12,0)))</x:f>
      </x:c>
      <x:c r="EK46" s="117">
        <x:f>MIN(EK38+EK45,IF(AND(YEAR(EK$3)=YEAR($B$8),MONTH(EK$3)=MONTH($B$8)),EK14,IF(EK$3&gt;$B$8,EK12,0)))</x:f>
      </x:c>
      <x:c r="EL46" s="117">
        <x:f>MIN(EL38+EL45,IF(AND(YEAR(EL$3)=YEAR($B$8),MONTH(EL$3)=MONTH($B$8)),EL14,IF(EL$3&gt;$B$8,EL12,0)))</x:f>
      </x:c>
      <x:c r="EM46" s="117">
        <x:f>MIN(EM38+EM45,IF(AND(YEAR(EM$3)=YEAR($B$8),MONTH(EM$3)=MONTH($B$8)),EM14,IF(EM$3&gt;$B$8,EM12,0)))</x:f>
      </x:c>
      <x:c r="EN46" s="117">
        <x:f>MIN(EN38+EN45,IF(AND(YEAR(EN$3)=YEAR($B$8),MONTH(EN$3)=MONTH($B$8)),EN14,IF(EN$3&gt;$B$8,EN12,0)))</x:f>
      </x:c>
      <x:c r="EO46" s="117">
        <x:f>MIN(EO38+EO45,IF(AND(YEAR(EO$3)=YEAR($B$8),MONTH(EO$3)=MONTH($B$8)),EO14,IF(EO$3&gt;$B$8,EO12,0)))</x:f>
      </x:c>
      <x:c r="EP46" s="117">
        <x:f>MIN(EP38+EP45,IF(AND(YEAR(EP$3)=YEAR($B$8),MONTH(EP$3)=MONTH($B$8)),EP14,IF(EP$3&gt;$B$8,EP12,0)))</x:f>
      </x:c>
      <x:c r="EQ46" s="117">
        <x:f>MIN(EQ38+EQ45,IF(AND(YEAR(EQ$3)=YEAR($B$8),MONTH(EQ$3)=MONTH($B$8)),EQ14,IF(EQ$3&gt;$B$8,EQ12,0)))</x:f>
      </x:c>
      <x:c r="ER46" s="117">
        <x:f>MIN(ER38+ER45,IF(AND(YEAR(ER$3)=YEAR($B$8),MONTH(ER$3)=MONTH($B$8)),ER14,IF(ER$3&gt;$B$8,ER12,0)))</x:f>
      </x:c>
      <x:c r="ES46" s="117">
        <x:f>MIN(ES38+ES45,IF(AND(YEAR(ES$3)=YEAR($B$8),MONTH(ES$3)=MONTH($B$8)),ES14,IF(ES$3&gt;$B$8,ES12,0)))</x:f>
      </x:c>
      <x:c r="ET46" s="117">
        <x:f>MIN(ET38+ET45,IF(AND(YEAR(ET$3)=YEAR($B$8),MONTH(ET$3)=MONTH($B$8)),ET14,IF(ET$3&gt;$B$8,ET12,0)))</x:f>
      </x:c>
      <x:c r="EU46" s="117">
        <x:f>MIN(EU38+EU45,IF(AND(YEAR(EU$3)=YEAR($B$8),MONTH(EU$3)=MONTH($B$8)),EU14,IF(EU$3&gt;$B$8,EU12,0)))</x:f>
      </x:c>
      <x:c r="EV46" s="117">
        <x:f>MIN(EV38+EV45,IF(AND(YEAR(EV$3)=YEAR($B$8),MONTH(EV$3)=MONTH($B$8)),EV14,IF(EV$3&gt;$B$8,EV12,0)))</x:f>
      </x:c>
      <x:c r="EW46" s="117">
        <x:f>MIN(EW38+EW45,IF(AND(YEAR(EW$3)=YEAR($B$8),MONTH(EW$3)=MONTH($B$8)),EW14,IF(EW$3&gt;$B$8,EW12,0)))</x:f>
      </x:c>
      <x:c r="EX46" s="117">
        <x:f>MIN(EX38+EX45,IF(AND(YEAR(EX$3)=YEAR($B$8),MONTH(EX$3)=MONTH($B$8)),EX14,IF(EX$3&gt;$B$8,EX12,0)))</x:f>
      </x:c>
      <x:c r="EY46" s="117">
        <x:f>MIN(EY38+EY45,IF(AND(YEAR(EY$3)=YEAR($B$8),MONTH(EY$3)=MONTH($B$8)),EY14,IF(EY$3&gt;$B$8,EY12,0)))</x:f>
      </x:c>
      <x:c r="EZ46" s="117">
        <x:f>MIN(EZ38+EZ45,IF(AND(YEAR(EZ$3)=YEAR($B$8),MONTH(EZ$3)=MONTH($B$8)),EZ14,IF(EZ$3&gt;$B$8,EZ12,0)))</x:f>
      </x:c>
      <x:c r="FA46" s="117">
        <x:f>MIN(FA38+FA45,IF(AND(YEAR(FA$3)=YEAR($B$8),MONTH(FA$3)=MONTH($B$8)),FA14,IF(FA$3&gt;$B$8,FA12,0)))</x:f>
      </x:c>
      <x:c r="FB46" s="117">
        <x:f>MIN(FB38+FB45,IF(AND(YEAR(FB$3)=YEAR($B$8),MONTH(FB$3)=MONTH($B$8)),FB14,IF(FB$3&gt;$B$8,FB12,0)))</x:f>
      </x:c>
      <x:c r="FC46" s="117">
        <x:f>MIN(FC38+FC45,IF(AND(YEAR(FC$3)=YEAR($B$8),MONTH(FC$3)=MONTH($B$8)),FC14,IF(FC$3&gt;$B$8,FC12,0)))</x:f>
      </x:c>
      <x:c r="FD46" s="117">
        <x:f>MIN(FD38+FD45,IF(AND(YEAR(FD$3)=YEAR($B$8),MONTH(FD$3)=MONTH($B$8)),FD14,IF(FD$3&gt;$B$8,FD12,0)))</x:f>
      </x:c>
      <x:c r="FE46" s="117">
        <x:f>MIN(FE38+FE45,IF(AND(YEAR(FE$3)=YEAR($B$8),MONTH(FE$3)=MONTH($B$8)),FE14,IF(FE$3&gt;$B$8,FE12,0)))</x:f>
      </x:c>
      <x:c r="FF46" s="117">
        <x:f>MIN(FF38+FF45,IF(AND(YEAR(FF$3)=YEAR($B$8),MONTH(FF$3)=MONTH($B$8)),FF14,IF(FF$3&gt;$B$8,FF12,0)))</x:f>
      </x:c>
      <x:c r="FG46" s="117">
        <x:f>MIN(FG38+FG45,IF(AND(YEAR(FG$3)=YEAR($B$8),MONTH(FG$3)=MONTH($B$8)),FG14,IF(FG$3&gt;$B$8,FG12,0)))</x:f>
      </x:c>
      <x:c r="FH46" s="117">
        <x:f>MIN(FH38+FH45,IF(AND(YEAR(FH$3)=YEAR($B$8),MONTH(FH$3)=MONTH($B$8)),FH14,IF(FH$3&gt;$B$8,FH12,0)))</x:f>
      </x:c>
      <x:c r="FI46" s="117">
        <x:f>MIN(FI38+FI45,IF(AND(YEAR(FI$3)=YEAR($B$8),MONTH(FI$3)=MONTH($B$8)),FI14,IF(FI$3&gt;$B$8,FI12,0)))</x:f>
      </x:c>
      <x:c r="FJ46" s="117">
        <x:f>MIN(FJ38+FJ45,IF(AND(YEAR(FJ$3)=YEAR($B$8),MONTH(FJ$3)=MONTH($B$8)),FJ14,IF(FJ$3&gt;$B$8,FJ12,0)))</x:f>
      </x:c>
      <x:c r="FK46" s="117">
        <x:f>MIN(FK38+FK45,IF(AND(YEAR(FK$3)=YEAR($B$8),MONTH(FK$3)=MONTH($B$8)),FK14,IF(FK$3&gt;$B$8,FK12,0)))</x:f>
      </x:c>
      <x:c r="FL46" s="117">
        <x:f>MIN(FL38+FL45,IF(AND(YEAR(FL$3)=YEAR($B$8),MONTH(FL$3)=MONTH($B$8)),FL14,IF(FL$3&gt;$B$8,FL12,0)))</x:f>
      </x:c>
      <x:c r="FM46" s="117">
        <x:f>MIN(FM38+FM45,IF(AND(YEAR(FM$3)=YEAR($B$8),MONTH(FM$3)=MONTH($B$8)),FM14,IF(FM$3&gt;$B$8,FM12,0)))</x:f>
      </x:c>
      <x:c r="FN46" s="117">
        <x:f>MIN(FN38+FN45,IF(AND(YEAR(FN$3)=YEAR($B$8),MONTH(FN$3)=MONTH($B$8)),FN14,IF(FN$3&gt;$B$8,FN12,0)))</x:f>
      </x:c>
      <x:c r="FO46" s="117">
        <x:f>MIN(FO38+FO45,IF(AND(YEAR(FO$3)=YEAR($B$8),MONTH(FO$3)=MONTH($B$8)),FO14,IF(FO$3&gt;$B$8,FO12,0)))</x:f>
      </x:c>
      <x:c r="FP46" s="117">
        <x:f>MIN(FP38+FP45,IF(AND(YEAR(FP$3)=YEAR($B$8),MONTH(FP$3)=MONTH($B$8)),FP14,IF(FP$3&gt;$B$8,FP12,0)))</x:f>
      </x:c>
      <x:c r="FQ46" s="117">
        <x:f>MIN(FQ38+FQ45,IF(AND(YEAR(FQ$3)=YEAR($B$8),MONTH(FQ$3)=MONTH($B$8)),FQ14,IF(FQ$3&gt;$B$8,FQ12,0)))</x:f>
      </x:c>
      <x:c r="FR46" s="117">
        <x:f>MIN(FR38+FR45,IF(AND(YEAR(FR$3)=YEAR($B$8),MONTH(FR$3)=MONTH($B$8)),FR14,IF(FR$3&gt;$B$8,FR12,0)))</x:f>
      </x:c>
      <x:c r="FS46" s="117">
        <x:f>MIN(FS38+FS45,IF(AND(YEAR(FS$3)=YEAR($B$8),MONTH(FS$3)=MONTH($B$8)),FS14,IF(FS$3&gt;$B$8,FS12,0)))</x:f>
      </x:c>
      <x:c r="FT46" s="117">
        <x:f>MIN(FT38+FT45,IF(AND(YEAR(FT$3)=YEAR($B$8),MONTH(FT$3)=MONTH($B$8)),FT14,IF(FT$3&gt;$B$8,FT12,0)))</x:f>
      </x:c>
      <x:c r="FU46" s="117">
        <x:f>MIN(FU38+FU45,IF(AND(YEAR(FU$3)=YEAR($B$8),MONTH(FU$3)=MONTH($B$8)),FU14,IF(FU$3&gt;$B$8,FU12,0)))</x:f>
      </x:c>
      <x:c r="FV46" s="117">
        <x:f>MIN(FV38+FV45,IF(AND(YEAR(FV$3)=YEAR($B$8),MONTH(FV$3)=MONTH($B$8)),FV14,IF(FV$3&gt;$B$8,FV12,0)))</x:f>
      </x:c>
      <x:c r="FW46" s="117">
        <x:f>MIN(FW38+FW45,IF(AND(YEAR(FW$3)=YEAR($B$8),MONTH(FW$3)=MONTH($B$8)),FW14,IF(FW$3&gt;$B$8,FW12,0)))</x:f>
      </x:c>
      <x:c r="FX46" s="117">
        <x:f>MIN(FX38+FX45,IF(AND(YEAR(FX$3)=YEAR($B$8),MONTH(FX$3)=MONTH($B$8)),FX14,IF(FX$3&gt;$B$8,FX12,0)))</x:f>
      </x:c>
      <x:c r="FY46" s="117">
        <x:f>MIN(FY38+FY45,IF(AND(YEAR(FY$3)=YEAR($B$8),MONTH(FY$3)=MONTH($B$8)),FY14,IF(FY$3&gt;$B$8,FY12,0)))</x:f>
      </x:c>
      <x:c r="FZ46" s="117">
        <x:f>MIN(FZ38+FZ45,IF(AND(YEAR(FZ$3)=YEAR($B$8),MONTH(FZ$3)=MONTH($B$8)),FZ14,IF(FZ$3&gt;$B$8,FZ12,0)))</x:f>
      </x:c>
      <x:c r="GA46" s="117">
        <x:f>MIN(GA38+GA45,IF(AND(YEAR(GA$3)=YEAR($B$8),MONTH(GA$3)=MONTH($B$8)),GA14,IF(GA$3&gt;$B$8,GA12,0)))</x:f>
      </x:c>
    </x:row>
    <x:row r="47">
      <x:c r="A47" s="113" t="str">
        <x:v>ПФ — долг на конец</x:v>
      </x:c>
      <x:c r="B47" s="113" t="n">
        <x:f>GA47</x:f>
      </x:c>
      <x:c r="C47" s="113" t="str">
        <x:v>млн ₽</x:v>
      </x:c>
      <x:c r="D47" s="120">
        <x:f>MAX(0,D38+D45-D46)</x:f>
      </x:c>
      <x:c r="E47" s="120">
        <x:f>MAX(0,E38+E45-E46)</x:f>
      </x:c>
      <x:c r="F47" s="120">
        <x:f>MAX(0,F38+F45-F46)</x:f>
      </x:c>
      <x:c r="G47" s="120">
        <x:f>MAX(0,G38+G45-G46)</x:f>
      </x:c>
      <x:c r="H47" s="120">
        <x:f>MAX(0,H38+H45-H46)</x:f>
      </x:c>
      <x:c r="I47" s="120">
        <x:f>MAX(0,I38+I45-I46)</x:f>
      </x:c>
      <x:c r="J47" s="120">
        <x:f>MAX(0,J38+J45-J46)</x:f>
      </x:c>
      <x:c r="K47" s="120">
        <x:f>MAX(0,K38+K45-K46)</x:f>
      </x:c>
      <x:c r="L47" s="120">
        <x:f>MAX(0,L38+L45-L46)</x:f>
      </x:c>
      <x:c r="M47" s="120">
        <x:f>MAX(0,M38+M45-M46)</x:f>
      </x:c>
      <x:c r="N47" s="120">
        <x:f>MAX(0,N38+N45-N46)</x:f>
      </x:c>
      <x:c r="O47" s="120">
        <x:f>MAX(0,O38+O45-O46)</x:f>
      </x:c>
      <x:c r="P47" s="120">
        <x:f>MAX(0,P38+P45-P46)</x:f>
      </x:c>
      <x:c r="Q47" s="120">
        <x:f>MAX(0,Q38+Q45-Q46)</x:f>
      </x:c>
      <x:c r="R47" s="120">
        <x:f>MAX(0,R38+R45-R46)</x:f>
      </x:c>
      <x:c r="S47" s="120">
        <x:f>MAX(0,S38+S45-S46)</x:f>
      </x:c>
      <x:c r="T47" s="120">
        <x:f>MAX(0,T38+T45-T46)</x:f>
      </x:c>
      <x:c r="U47" s="120">
        <x:f>MAX(0,U38+U45-U46)</x:f>
      </x:c>
      <x:c r="V47" s="120">
        <x:f>MAX(0,V38+V45-V46)</x:f>
      </x:c>
      <x:c r="W47" s="120">
        <x:f>MAX(0,W38+W45-W46)</x:f>
      </x:c>
      <x:c r="X47" s="120">
        <x:f>MAX(0,X38+X45-X46)</x:f>
      </x:c>
      <x:c r="Y47" s="120">
        <x:f>MAX(0,Y38+Y45-Y46)</x:f>
      </x:c>
      <x:c r="Z47" s="120">
        <x:f>MAX(0,Z38+Z45-Z46)</x:f>
      </x:c>
      <x:c r="AA47" s="120">
        <x:f>MAX(0,AA38+AA45-AA46)</x:f>
      </x:c>
      <x:c r="AB47" s="120">
        <x:f>MAX(0,AB38+AB45-AB46)</x:f>
      </x:c>
      <x:c r="AC47" s="120">
        <x:f>MAX(0,AC38+AC45-AC46)</x:f>
      </x:c>
      <x:c r="AD47" s="120">
        <x:f>MAX(0,AD38+AD45-AD46)</x:f>
      </x:c>
      <x:c r="AE47" s="120">
        <x:f>MAX(0,AE38+AE45-AE46)</x:f>
      </x:c>
      <x:c r="AF47" s="120">
        <x:f>MAX(0,AF38+AF45-AF46)</x:f>
      </x:c>
      <x:c r="AG47" s="120">
        <x:f>MAX(0,AG38+AG45-AG46)</x:f>
      </x:c>
      <x:c r="AH47" s="120">
        <x:f>MAX(0,AH38+AH45-AH46)</x:f>
      </x:c>
      <x:c r="AI47" s="120">
        <x:f>MAX(0,AI38+AI45-AI46)</x:f>
      </x:c>
      <x:c r="AJ47" s="120">
        <x:f>MAX(0,AJ38+AJ45-AJ46)</x:f>
      </x:c>
      <x:c r="AK47" s="120">
        <x:f>MAX(0,AK38+AK45-AK46)</x:f>
      </x:c>
      <x:c r="AL47" s="120">
        <x:f>MAX(0,AL38+AL45-AL46)</x:f>
      </x:c>
      <x:c r="AM47" s="120">
        <x:f>MAX(0,AM38+AM45-AM46)</x:f>
      </x:c>
      <x:c r="AN47" s="120">
        <x:f>MAX(0,AN38+AN45-AN46)</x:f>
      </x:c>
      <x:c r="AO47" s="120">
        <x:f>MAX(0,AO38+AO45-AO46)</x:f>
      </x:c>
      <x:c r="AP47" s="120">
        <x:f>MAX(0,AP38+AP45-AP46)</x:f>
      </x:c>
      <x:c r="AQ47" s="120">
        <x:f>MAX(0,AQ38+AQ45-AQ46)</x:f>
      </x:c>
      <x:c r="AR47" s="120">
        <x:f>MAX(0,AR38+AR45-AR46)</x:f>
      </x:c>
      <x:c r="AS47" s="120">
        <x:f>MAX(0,AS38+AS45-AS46)</x:f>
      </x:c>
      <x:c r="AT47" s="120">
        <x:f>MAX(0,AT38+AT45-AT46)</x:f>
      </x:c>
      <x:c r="AU47" s="120">
        <x:f>MAX(0,AU38+AU45-AU46)</x:f>
      </x:c>
      <x:c r="AV47" s="120">
        <x:f>MAX(0,AV38+AV45-AV46)</x:f>
      </x:c>
      <x:c r="AW47" s="120">
        <x:f>MAX(0,AW38+AW45-AW46)</x:f>
      </x:c>
      <x:c r="AX47" s="120">
        <x:f>MAX(0,AX38+AX45-AX46)</x:f>
      </x:c>
      <x:c r="AY47" s="120">
        <x:f>MAX(0,AY38+AY45-AY46)</x:f>
      </x:c>
      <x:c r="AZ47" s="120">
        <x:f>MAX(0,AZ38+AZ45-AZ46)</x:f>
      </x:c>
      <x:c r="BA47" s="120">
        <x:f>MAX(0,BA38+BA45-BA46)</x:f>
      </x:c>
      <x:c r="BB47" s="120">
        <x:f>MAX(0,BB38+BB45-BB46)</x:f>
      </x:c>
      <x:c r="BC47" s="120">
        <x:f>MAX(0,BC38+BC45-BC46)</x:f>
      </x:c>
      <x:c r="BD47" s="120">
        <x:f>MAX(0,BD38+BD45-BD46)</x:f>
      </x:c>
      <x:c r="BE47" s="120">
        <x:f>MAX(0,BE38+BE45-BE46)</x:f>
      </x:c>
      <x:c r="BF47" s="120">
        <x:f>MAX(0,BF38+BF45-BF46)</x:f>
      </x:c>
      <x:c r="BG47" s="120">
        <x:f>MAX(0,BG38+BG45-BG46)</x:f>
      </x:c>
      <x:c r="BH47" s="120">
        <x:f>MAX(0,BH38+BH45-BH46)</x:f>
      </x:c>
      <x:c r="BI47" s="120">
        <x:f>MAX(0,BI38+BI45-BI46)</x:f>
      </x:c>
      <x:c r="BJ47" s="120">
        <x:f>MAX(0,BJ38+BJ45-BJ46)</x:f>
      </x:c>
      <x:c r="BK47" s="120">
        <x:f>MAX(0,BK38+BK45-BK46)</x:f>
      </x:c>
      <x:c r="BL47" s="120">
        <x:f>MAX(0,BL38+BL45-BL46)</x:f>
      </x:c>
      <x:c r="BM47" s="120">
        <x:f>MAX(0,BM38+BM45-BM46)</x:f>
      </x:c>
      <x:c r="BN47" s="120">
        <x:f>MAX(0,BN38+BN45-BN46)</x:f>
      </x:c>
      <x:c r="BO47" s="120">
        <x:f>MAX(0,BO38+BO45-BO46)</x:f>
      </x:c>
      <x:c r="BP47" s="120">
        <x:f>MAX(0,BP38+BP45-BP46)</x:f>
      </x:c>
      <x:c r="BQ47" s="120">
        <x:f>MAX(0,BQ38+BQ45-BQ46)</x:f>
      </x:c>
      <x:c r="BR47" s="120">
        <x:f>MAX(0,BR38+BR45-BR46)</x:f>
      </x:c>
      <x:c r="BS47" s="120">
        <x:f>MAX(0,BS38+BS45-BS46)</x:f>
      </x:c>
      <x:c r="BT47" s="120">
        <x:f>MAX(0,BT38+BT45-BT46)</x:f>
      </x:c>
      <x:c r="BU47" s="120">
        <x:f>MAX(0,BU38+BU45-BU46)</x:f>
      </x:c>
      <x:c r="BV47" s="120">
        <x:f>MAX(0,BV38+BV45-BV46)</x:f>
      </x:c>
      <x:c r="BW47" s="120">
        <x:f>MAX(0,BW38+BW45-BW46)</x:f>
      </x:c>
      <x:c r="BX47" s="120">
        <x:f>MAX(0,BX38+BX45-BX46)</x:f>
      </x:c>
      <x:c r="BY47" s="120">
        <x:f>MAX(0,BY38+BY45-BY46)</x:f>
      </x:c>
      <x:c r="BZ47" s="120">
        <x:f>MAX(0,BZ38+BZ45-BZ46)</x:f>
      </x:c>
      <x:c r="CA47" s="120">
        <x:f>MAX(0,CA38+CA45-CA46)</x:f>
      </x:c>
      <x:c r="CB47" s="120">
        <x:f>MAX(0,CB38+CB45-CB46)</x:f>
      </x:c>
      <x:c r="CC47" s="120">
        <x:f>MAX(0,CC38+CC45-CC46)</x:f>
      </x:c>
      <x:c r="CD47" s="120">
        <x:f>MAX(0,CD38+CD45-CD46)</x:f>
      </x:c>
      <x:c r="CE47" s="120">
        <x:f>MAX(0,CE38+CE45-CE46)</x:f>
      </x:c>
      <x:c r="CF47" s="120">
        <x:f>MAX(0,CF38+CF45-CF46)</x:f>
      </x:c>
      <x:c r="CG47" s="120">
        <x:f>MAX(0,CG38+CG45-CG46)</x:f>
      </x:c>
      <x:c r="CH47" s="120">
        <x:f>MAX(0,CH38+CH45-CH46)</x:f>
      </x:c>
      <x:c r="CI47" s="120">
        <x:f>MAX(0,CI38+CI45-CI46)</x:f>
      </x:c>
      <x:c r="CJ47" s="120">
        <x:f>MAX(0,CJ38+CJ45-CJ46)</x:f>
      </x:c>
      <x:c r="CK47" s="120">
        <x:f>MAX(0,CK38+CK45-CK46)</x:f>
      </x:c>
      <x:c r="CL47" s="120">
        <x:f>MAX(0,CL38+CL45-CL46)</x:f>
      </x:c>
      <x:c r="CM47" s="120">
        <x:f>MAX(0,CM38+CM45-CM46)</x:f>
      </x:c>
      <x:c r="CN47" s="120">
        <x:f>MAX(0,CN38+CN45-CN46)</x:f>
      </x:c>
      <x:c r="CO47" s="120">
        <x:f>MAX(0,CO38+CO45-CO46)</x:f>
      </x:c>
      <x:c r="CP47" s="120">
        <x:f>MAX(0,CP38+CP45-CP46)</x:f>
      </x:c>
      <x:c r="CQ47" s="120">
        <x:f>MAX(0,CQ38+CQ45-CQ46)</x:f>
      </x:c>
      <x:c r="CR47" s="120">
        <x:f>MAX(0,CR38+CR45-CR46)</x:f>
      </x:c>
      <x:c r="CS47" s="120">
        <x:f>MAX(0,CS38+CS45-CS46)</x:f>
      </x:c>
      <x:c r="CT47" s="120">
        <x:f>MAX(0,CT38+CT45-CT46)</x:f>
      </x:c>
      <x:c r="CU47" s="120">
        <x:f>MAX(0,CU38+CU45-CU46)</x:f>
      </x:c>
      <x:c r="CV47" s="120">
        <x:f>MAX(0,CV38+CV45-CV46)</x:f>
      </x:c>
      <x:c r="CW47" s="120">
        <x:f>MAX(0,CW38+CW45-CW46)</x:f>
      </x:c>
      <x:c r="CX47" s="120">
        <x:f>MAX(0,CX38+CX45-CX46)</x:f>
      </x:c>
      <x:c r="CY47" s="120">
        <x:f>MAX(0,CY38+CY45-CY46)</x:f>
      </x:c>
      <x:c r="CZ47" s="120">
        <x:f>MAX(0,CZ38+CZ45-CZ46)</x:f>
      </x:c>
      <x:c r="DA47" s="120">
        <x:f>MAX(0,DA38+DA45-DA46)</x:f>
      </x:c>
      <x:c r="DB47" s="120">
        <x:f>MAX(0,DB38+DB45-DB46)</x:f>
      </x:c>
      <x:c r="DC47" s="120">
        <x:f>MAX(0,DC38+DC45-DC46)</x:f>
      </x:c>
      <x:c r="DD47" s="120">
        <x:f>MAX(0,DD38+DD45-DD46)</x:f>
      </x:c>
      <x:c r="DE47" s="120">
        <x:f>MAX(0,DE38+DE45-DE46)</x:f>
      </x:c>
      <x:c r="DF47" s="120">
        <x:f>MAX(0,DF38+DF45-DF46)</x:f>
      </x:c>
      <x:c r="DG47" s="120">
        <x:f>MAX(0,DG38+DG45-DG46)</x:f>
      </x:c>
      <x:c r="DH47" s="120">
        <x:f>MAX(0,DH38+DH45-DH46)</x:f>
      </x:c>
      <x:c r="DI47" s="120">
        <x:f>MAX(0,DI38+DI45-DI46)</x:f>
      </x:c>
      <x:c r="DJ47" s="120">
        <x:f>MAX(0,DJ38+DJ45-DJ46)</x:f>
      </x:c>
      <x:c r="DK47" s="120">
        <x:f>MAX(0,DK38+DK45-DK46)</x:f>
      </x:c>
      <x:c r="DL47" s="120">
        <x:f>MAX(0,DL38+DL45-DL46)</x:f>
      </x:c>
      <x:c r="DM47" s="120">
        <x:f>MAX(0,DM38+DM45-DM46)</x:f>
      </x:c>
      <x:c r="DN47" s="120">
        <x:f>MAX(0,DN38+DN45-DN46)</x:f>
      </x:c>
      <x:c r="DO47" s="120">
        <x:f>MAX(0,DO38+DO45-DO46)</x:f>
      </x:c>
      <x:c r="DP47" s="120">
        <x:f>MAX(0,DP38+DP45-DP46)</x:f>
      </x:c>
      <x:c r="DQ47" s="120">
        <x:f>MAX(0,DQ38+DQ45-DQ46)</x:f>
      </x:c>
      <x:c r="DR47" s="120">
        <x:f>MAX(0,DR38+DR45-DR46)</x:f>
      </x:c>
      <x:c r="DS47" s="120">
        <x:f>MAX(0,DS38+DS45-DS46)</x:f>
      </x:c>
      <x:c r="DT47" s="120">
        <x:f>MAX(0,DT38+DT45-DT46)</x:f>
      </x:c>
      <x:c r="DU47" s="120">
        <x:f>MAX(0,DU38+DU45-DU46)</x:f>
      </x:c>
      <x:c r="DV47" s="120">
        <x:f>MAX(0,DV38+DV45-DV46)</x:f>
      </x:c>
      <x:c r="DW47" s="120">
        <x:f>MAX(0,DW38+DW45-DW46)</x:f>
      </x:c>
      <x:c r="DX47" s="120">
        <x:f>MAX(0,DX38+DX45-DX46)</x:f>
      </x:c>
      <x:c r="DY47" s="120">
        <x:f>MAX(0,DY38+DY45-DY46)</x:f>
      </x:c>
      <x:c r="DZ47" s="120">
        <x:f>MAX(0,DZ38+DZ45-DZ46)</x:f>
      </x:c>
      <x:c r="EA47" s="120">
        <x:f>MAX(0,EA38+EA45-EA46)</x:f>
      </x:c>
      <x:c r="EB47" s="120">
        <x:f>MAX(0,EB38+EB45-EB46)</x:f>
      </x:c>
      <x:c r="EC47" s="120">
        <x:f>MAX(0,EC38+EC45-EC46)</x:f>
      </x:c>
      <x:c r="ED47" s="120">
        <x:f>MAX(0,ED38+ED45-ED46)</x:f>
      </x:c>
      <x:c r="EE47" s="120">
        <x:f>MAX(0,EE38+EE45-EE46)</x:f>
      </x:c>
      <x:c r="EF47" s="120">
        <x:f>MAX(0,EF38+EF45-EF46)</x:f>
      </x:c>
      <x:c r="EG47" s="120">
        <x:f>MAX(0,EG38+EG45-EG46)</x:f>
      </x:c>
      <x:c r="EH47" s="120">
        <x:f>MAX(0,EH38+EH45-EH46)</x:f>
      </x:c>
      <x:c r="EI47" s="120">
        <x:f>MAX(0,EI38+EI45-EI46)</x:f>
      </x:c>
      <x:c r="EJ47" s="120">
        <x:f>MAX(0,EJ38+EJ45-EJ46)</x:f>
      </x:c>
      <x:c r="EK47" s="120">
        <x:f>MAX(0,EK38+EK45-EK46)</x:f>
      </x:c>
      <x:c r="EL47" s="120">
        <x:f>MAX(0,EL38+EL45-EL46)</x:f>
      </x:c>
      <x:c r="EM47" s="120">
        <x:f>MAX(0,EM38+EM45-EM46)</x:f>
      </x:c>
      <x:c r="EN47" s="120">
        <x:f>MAX(0,EN38+EN45-EN46)</x:f>
      </x:c>
      <x:c r="EO47" s="120">
        <x:f>MAX(0,EO38+EO45-EO46)</x:f>
      </x:c>
      <x:c r="EP47" s="120">
        <x:f>MAX(0,EP38+EP45-EP46)</x:f>
      </x:c>
      <x:c r="EQ47" s="120">
        <x:f>MAX(0,EQ38+EQ45-EQ46)</x:f>
      </x:c>
      <x:c r="ER47" s="120">
        <x:f>MAX(0,ER38+ER45-ER46)</x:f>
      </x:c>
      <x:c r="ES47" s="120">
        <x:f>MAX(0,ES38+ES45-ES46)</x:f>
      </x:c>
      <x:c r="ET47" s="120">
        <x:f>MAX(0,ET38+ET45-ET46)</x:f>
      </x:c>
      <x:c r="EU47" s="120">
        <x:f>MAX(0,EU38+EU45-EU46)</x:f>
      </x:c>
      <x:c r="EV47" s="120">
        <x:f>MAX(0,EV38+EV45-EV46)</x:f>
      </x:c>
      <x:c r="EW47" s="120">
        <x:f>MAX(0,EW38+EW45-EW46)</x:f>
      </x:c>
      <x:c r="EX47" s="120">
        <x:f>MAX(0,EX38+EX45-EX46)</x:f>
      </x:c>
      <x:c r="EY47" s="120">
        <x:f>MAX(0,EY38+EY45-EY46)</x:f>
      </x:c>
      <x:c r="EZ47" s="120">
        <x:f>MAX(0,EZ38+EZ45-EZ46)</x:f>
      </x:c>
      <x:c r="FA47" s="120">
        <x:f>MAX(0,FA38+FA45-FA46)</x:f>
      </x:c>
      <x:c r="FB47" s="120">
        <x:f>MAX(0,FB38+FB45-FB46)</x:f>
      </x:c>
      <x:c r="FC47" s="120">
        <x:f>MAX(0,FC38+FC45-FC46)</x:f>
      </x:c>
      <x:c r="FD47" s="120">
        <x:f>MAX(0,FD38+FD45-FD46)</x:f>
      </x:c>
      <x:c r="FE47" s="120">
        <x:f>MAX(0,FE38+FE45-FE46)</x:f>
      </x:c>
      <x:c r="FF47" s="120">
        <x:f>MAX(0,FF38+FF45-FF46)</x:f>
      </x:c>
      <x:c r="FG47" s="120">
        <x:f>MAX(0,FG38+FG45-FG46)</x:f>
      </x:c>
      <x:c r="FH47" s="120">
        <x:f>MAX(0,FH38+FH45-FH46)</x:f>
      </x:c>
      <x:c r="FI47" s="120">
        <x:f>MAX(0,FI38+FI45-FI46)</x:f>
      </x:c>
      <x:c r="FJ47" s="120">
        <x:f>MAX(0,FJ38+FJ45-FJ46)</x:f>
      </x:c>
      <x:c r="FK47" s="120">
        <x:f>MAX(0,FK38+FK45-FK46)</x:f>
      </x:c>
      <x:c r="FL47" s="120">
        <x:f>MAX(0,FL38+FL45-FL46)</x:f>
      </x:c>
      <x:c r="FM47" s="120">
        <x:f>MAX(0,FM38+FM45-FM46)</x:f>
      </x:c>
      <x:c r="FN47" s="120">
        <x:f>MAX(0,FN38+FN45-FN46)</x:f>
      </x:c>
      <x:c r="FO47" s="120">
        <x:f>MAX(0,FO38+FO45-FO46)</x:f>
      </x:c>
      <x:c r="FP47" s="120">
        <x:f>MAX(0,FP38+FP45-FP46)</x:f>
      </x:c>
      <x:c r="FQ47" s="120">
        <x:f>MAX(0,FQ38+FQ45-FQ46)</x:f>
      </x:c>
      <x:c r="FR47" s="120">
        <x:f>MAX(0,FR38+FR45-FR46)</x:f>
      </x:c>
      <x:c r="FS47" s="120">
        <x:f>MAX(0,FS38+FS45-FS46)</x:f>
      </x:c>
      <x:c r="FT47" s="120">
        <x:f>MAX(0,FT38+FT45-FT46)</x:f>
      </x:c>
      <x:c r="FU47" s="120">
        <x:f>MAX(0,FU38+FU45-FU46)</x:f>
      </x:c>
      <x:c r="FV47" s="120">
        <x:f>MAX(0,FV38+FV45-FV46)</x:f>
      </x:c>
      <x:c r="FW47" s="120">
        <x:f>MAX(0,FW38+FW45-FW46)</x:f>
      </x:c>
      <x:c r="FX47" s="120">
        <x:f>MAX(0,FX38+FX45-FX46)</x:f>
      </x:c>
      <x:c r="FY47" s="120">
        <x:f>MAX(0,FY38+FY45-FY46)</x:f>
      </x:c>
      <x:c r="FZ47" s="120">
        <x:f>MAX(0,FZ38+FZ45-FZ46)</x:f>
      </x:c>
      <x:c r="GA47" s="120">
        <x:f>MAX(0,GA38+GA45-GA46)</x:f>
      </x:c>
    </x:row>
    <x:row r="48">
      <x:c r="A48" t="inlineStr">
        <x:is>
          <x:t>ПФ — проценты к уплате (накопленно)</x:t>
        </x:is>
      </x:c>
      <x:c r="B48"/>
      <x:c r="C48"/>
      <x:c r="D48" s="117">
        <x:f>IF(AND(D$3&gt;=$B$7,D$3&lt;$B$8),C48*(1+D41/12)+D42+D43+IF(AND(AND(YEAR(D$3)=YEAR($B$7),MONTH(D$3)=MONTH($B$7)),'Вводные'!$B$31="Капитализация в ПФ"),C37,0),0)</x:f>
      </x:c>
      <x:c r="E48" s="117">
        <x:f>IF(AND(E$3&gt;=$B$7,E$3&lt;$B$8),D48*(1+E41/12)+E42+E43+IF(AND(AND(YEAR(E$3)=YEAR($B$7),MONTH(E$3)=MONTH($B$7)),'Вводные'!$B$31="Капитализация в ПФ"),D37,0),0)</x:f>
      </x:c>
      <x:c r="F48" s="117">
        <x:f>IF(AND(F$3&gt;=$B$7,F$3&lt;$B$8),E48*(1+F41/12)+F42+F43+IF(AND(AND(YEAR(F$3)=YEAR($B$7),MONTH(F$3)=MONTH($B$7)),'Вводные'!$B$31="Капитализация в ПФ"),E37,0),0)</x:f>
      </x:c>
      <x:c r="G48" s="117">
        <x:f>IF(AND(G$3&gt;=$B$7,G$3&lt;$B$8),F48*(1+G41/12)+G42+G43+IF(AND(AND(YEAR(G$3)=YEAR($B$7),MONTH(G$3)=MONTH($B$7)),'Вводные'!$B$31="Капитализация в ПФ"),F37,0),0)</x:f>
      </x:c>
      <x:c r="H48" s="117">
        <x:f>IF(AND(H$3&gt;=$B$7,H$3&lt;$B$8),G48*(1+H41/12)+H42+H43+IF(AND(AND(YEAR(H$3)=YEAR($B$7),MONTH(H$3)=MONTH($B$7)),'Вводные'!$B$31="Капитализация в ПФ"),G37,0),0)</x:f>
      </x:c>
      <x:c r="I48" s="117">
        <x:f>IF(AND(I$3&gt;=$B$7,I$3&lt;$B$8),H48*(1+I41/12)+I42+I43+IF(AND(AND(YEAR(I$3)=YEAR($B$7),MONTH(I$3)=MONTH($B$7)),'Вводные'!$B$31="Капитализация в ПФ"),H37,0),0)</x:f>
      </x:c>
      <x:c r="J48" s="117">
        <x:f>IF(AND(J$3&gt;=$B$7,J$3&lt;$B$8),I48*(1+J41/12)+J42+J43+IF(AND(AND(YEAR(J$3)=YEAR($B$7),MONTH(J$3)=MONTH($B$7)),'Вводные'!$B$31="Капитализация в ПФ"),I37,0),0)</x:f>
      </x:c>
      <x:c r="K48" s="117">
        <x:f>IF(AND(K$3&gt;=$B$7,K$3&lt;$B$8),J48*(1+K41/12)+K42+K43+IF(AND(AND(YEAR(K$3)=YEAR($B$7),MONTH(K$3)=MONTH($B$7)),'Вводные'!$B$31="Капитализация в ПФ"),J37,0),0)</x:f>
      </x:c>
      <x:c r="L48" s="117">
        <x:f>IF(AND(L$3&gt;=$B$7,L$3&lt;$B$8),K48*(1+L41/12)+L42+L43+IF(AND(AND(YEAR(L$3)=YEAR($B$7),MONTH(L$3)=MONTH($B$7)),'Вводные'!$B$31="Капитализация в ПФ"),K37,0),0)</x:f>
      </x:c>
      <x:c r="M48" s="117">
        <x:f>IF(AND(M$3&gt;=$B$7,M$3&lt;$B$8),L48*(1+M41/12)+M42+M43+IF(AND(AND(YEAR(M$3)=YEAR($B$7),MONTH(M$3)=MONTH($B$7)),'Вводные'!$B$31="Капитализация в ПФ"),L37,0),0)</x:f>
      </x:c>
      <x:c r="N48" s="117">
        <x:f>IF(AND(N$3&gt;=$B$7,N$3&lt;$B$8),M48*(1+N41/12)+N42+N43+IF(AND(AND(YEAR(N$3)=YEAR($B$7),MONTH(N$3)=MONTH($B$7)),'Вводные'!$B$31="Капитализация в ПФ"),M37,0),0)</x:f>
      </x:c>
      <x:c r="O48" s="117">
        <x:f>IF(AND(O$3&gt;=$B$7,O$3&lt;$B$8),N48*(1+O41/12)+O42+O43+IF(AND(AND(YEAR(O$3)=YEAR($B$7),MONTH(O$3)=MONTH($B$7)),'Вводные'!$B$31="Капитализация в ПФ"),N37,0),0)</x:f>
      </x:c>
      <x:c r="P48" s="117">
        <x:f>IF(AND(P$3&gt;=$B$7,P$3&lt;$B$8),O48*(1+P41/12)+P42+P43+IF(AND(AND(YEAR(P$3)=YEAR($B$7),MONTH(P$3)=MONTH($B$7)),'Вводные'!$B$31="Капитализация в ПФ"),O37,0),0)</x:f>
      </x:c>
      <x:c r="Q48" s="117">
        <x:f>IF(AND(Q$3&gt;=$B$7,Q$3&lt;$B$8),P48*(1+Q41/12)+Q42+Q43+IF(AND(AND(YEAR(Q$3)=YEAR($B$7),MONTH(Q$3)=MONTH($B$7)),'Вводные'!$B$31="Капитализация в ПФ"),P37,0),0)</x:f>
      </x:c>
      <x:c r="R48" s="117">
        <x:f>IF(AND(R$3&gt;=$B$7,R$3&lt;$B$8),Q48*(1+R41/12)+R42+R43+IF(AND(AND(YEAR(R$3)=YEAR($B$7),MONTH(R$3)=MONTH($B$7)),'Вводные'!$B$31="Капитализация в ПФ"),Q37,0),0)</x:f>
      </x:c>
      <x:c r="S48" s="117">
        <x:f>IF(AND(S$3&gt;=$B$7,S$3&lt;$B$8),R48*(1+S41/12)+S42+S43+IF(AND(AND(YEAR(S$3)=YEAR($B$7),MONTH(S$3)=MONTH($B$7)),'Вводные'!$B$31="Капитализация в ПФ"),R37,0),0)</x:f>
      </x:c>
      <x:c r="T48" s="117">
        <x:f>IF(AND(T$3&gt;=$B$7,T$3&lt;$B$8),S48*(1+T41/12)+T42+T43+IF(AND(AND(YEAR(T$3)=YEAR($B$7),MONTH(T$3)=MONTH($B$7)),'Вводные'!$B$31="Капитализация в ПФ"),S37,0),0)</x:f>
      </x:c>
      <x:c r="U48" s="117">
        <x:f>IF(AND(U$3&gt;=$B$7,U$3&lt;$B$8),T48*(1+U41/12)+U42+U43+IF(AND(AND(YEAR(U$3)=YEAR($B$7),MONTH(U$3)=MONTH($B$7)),'Вводные'!$B$31="Капитализация в ПФ"),T37,0),0)</x:f>
      </x:c>
      <x:c r="V48" s="117">
        <x:f>IF(AND(V$3&gt;=$B$7,V$3&lt;$B$8),U48*(1+V41/12)+V42+V43+IF(AND(AND(YEAR(V$3)=YEAR($B$7),MONTH(V$3)=MONTH($B$7)),'Вводные'!$B$31="Капитализация в ПФ"),U37,0),0)</x:f>
      </x:c>
      <x:c r="W48" s="117">
        <x:f>IF(AND(W$3&gt;=$B$7,W$3&lt;$B$8),V48*(1+W41/12)+W42+W43+IF(AND(AND(YEAR(W$3)=YEAR($B$7),MONTH(W$3)=MONTH($B$7)),'Вводные'!$B$31="Капитализация в ПФ"),V37,0),0)</x:f>
      </x:c>
      <x:c r="X48" s="117">
        <x:f>IF(AND(X$3&gt;=$B$7,X$3&lt;$B$8),W48*(1+X41/12)+X42+X43+IF(AND(AND(YEAR(X$3)=YEAR($B$7),MONTH(X$3)=MONTH($B$7)),'Вводные'!$B$31="Капитализация в ПФ"),W37,0),0)</x:f>
      </x:c>
      <x:c r="Y48" s="117">
        <x:f>IF(AND(Y$3&gt;=$B$7,Y$3&lt;$B$8),X48*(1+Y41/12)+Y42+Y43+IF(AND(AND(YEAR(Y$3)=YEAR($B$7),MONTH(Y$3)=MONTH($B$7)),'Вводные'!$B$31="Капитализация в ПФ"),X37,0),0)</x:f>
      </x:c>
      <x:c r="Z48" s="117">
        <x:f>IF(AND(Z$3&gt;=$B$7,Z$3&lt;$B$8),Y48*(1+Z41/12)+Z42+Z43+IF(AND(AND(YEAR(Z$3)=YEAR($B$7),MONTH(Z$3)=MONTH($B$7)),'Вводные'!$B$31="Капитализация в ПФ"),Y37,0),0)</x:f>
      </x:c>
      <x:c r="AA48" s="117">
        <x:f>IF(AND(AA$3&gt;=$B$7,AA$3&lt;$B$8),Z48*(1+AA41/12)+AA42+AA43+IF(AND(AND(YEAR(AA$3)=YEAR($B$7),MONTH(AA$3)=MONTH($B$7)),'Вводные'!$B$31="Капитализация в ПФ"),Z37,0),0)</x:f>
      </x:c>
      <x:c r="AB48" s="117">
        <x:f>IF(AND(AB$3&gt;=$B$7,AB$3&lt;$B$8),AA48*(1+AB41/12)+AB42+AB43+IF(AND(AND(YEAR(AB$3)=YEAR($B$7),MONTH(AB$3)=MONTH($B$7)),'Вводные'!$B$31="Капитализация в ПФ"),AA37,0),0)</x:f>
      </x:c>
      <x:c r="AC48" s="117">
        <x:f>IF(AND(AC$3&gt;=$B$7,AC$3&lt;$B$8),AB48*(1+AC41/12)+AC42+AC43+IF(AND(AND(YEAR(AC$3)=YEAR($B$7),MONTH(AC$3)=MONTH($B$7)),'Вводные'!$B$31="Капитализация в ПФ"),AB37,0),0)</x:f>
      </x:c>
      <x:c r="AD48" s="117">
        <x:f>IF(AND(AD$3&gt;=$B$7,AD$3&lt;$B$8),AC48*(1+AD41/12)+AD42+AD43+IF(AND(AND(YEAR(AD$3)=YEAR($B$7),MONTH(AD$3)=MONTH($B$7)),'Вводные'!$B$31="Капитализация в ПФ"),AC37,0),0)</x:f>
      </x:c>
      <x:c r="AE48" s="117">
        <x:f>IF(AND(AE$3&gt;=$B$7,AE$3&lt;$B$8),AD48*(1+AE41/12)+AE42+AE43+IF(AND(AND(YEAR(AE$3)=YEAR($B$7),MONTH(AE$3)=MONTH($B$7)),'Вводные'!$B$31="Капитализация в ПФ"),AD37,0),0)</x:f>
      </x:c>
      <x:c r="AF48" s="117">
        <x:f>IF(AND(AF$3&gt;=$B$7,AF$3&lt;$B$8),AE48*(1+AF41/12)+AF42+AF43+IF(AND(AND(YEAR(AF$3)=YEAR($B$7),MONTH(AF$3)=MONTH($B$7)),'Вводные'!$B$31="Капитализация в ПФ"),AE37,0),0)</x:f>
      </x:c>
      <x:c r="AG48" s="117">
        <x:f>IF(AND(AG$3&gt;=$B$7,AG$3&lt;$B$8),AF48*(1+AG41/12)+AG42+AG43+IF(AND(AND(YEAR(AG$3)=YEAR($B$7),MONTH(AG$3)=MONTH($B$7)),'Вводные'!$B$31="Капитализация в ПФ"),AF37,0),0)</x:f>
      </x:c>
      <x:c r="AH48" s="117">
        <x:f>IF(AND(AH$3&gt;=$B$7,AH$3&lt;$B$8),AG48*(1+AH41/12)+AH42+AH43+IF(AND(AND(YEAR(AH$3)=YEAR($B$7),MONTH(AH$3)=MONTH($B$7)),'Вводные'!$B$31="Капитализация в ПФ"),AG37,0),0)</x:f>
      </x:c>
      <x:c r="AI48" s="117">
        <x:f>IF(AND(AI$3&gt;=$B$7,AI$3&lt;$B$8),AH48*(1+AI41/12)+AI42+AI43+IF(AND(AND(YEAR(AI$3)=YEAR($B$7),MONTH(AI$3)=MONTH($B$7)),'Вводные'!$B$31="Капитализация в ПФ"),AH37,0),0)</x:f>
      </x:c>
      <x:c r="AJ48" s="117">
        <x:f>IF(AND(AJ$3&gt;=$B$7,AJ$3&lt;$B$8),AI48*(1+AJ41/12)+AJ42+AJ43+IF(AND(AND(YEAR(AJ$3)=YEAR($B$7),MONTH(AJ$3)=MONTH($B$7)),'Вводные'!$B$31="Капитализация в ПФ"),AI37,0),0)</x:f>
      </x:c>
      <x:c r="AK48" s="117">
        <x:f>IF(AND(AK$3&gt;=$B$7,AK$3&lt;$B$8),AJ48*(1+AK41/12)+AK42+AK43+IF(AND(AND(YEAR(AK$3)=YEAR($B$7),MONTH(AK$3)=MONTH($B$7)),'Вводные'!$B$31="Капитализация в ПФ"),AJ37,0),0)</x:f>
      </x:c>
      <x:c r="AL48" s="117">
        <x:f>IF(AND(AL$3&gt;=$B$7,AL$3&lt;$B$8),AK48*(1+AL41/12)+AL42+AL43+IF(AND(AND(YEAR(AL$3)=YEAR($B$7),MONTH(AL$3)=MONTH($B$7)),'Вводные'!$B$31="Капитализация в ПФ"),AK37,0),0)</x:f>
      </x:c>
      <x:c r="AM48" s="117">
        <x:f>IF(AND(AM$3&gt;=$B$7,AM$3&lt;$B$8),AL48*(1+AM41/12)+AM42+AM43+IF(AND(AND(YEAR(AM$3)=YEAR($B$7),MONTH(AM$3)=MONTH($B$7)),'Вводные'!$B$31="Капитализация в ПФ"),AL37,0),0)</x:f>
      </x:c>
      <x:c r="AN48" s="117">
        <x:f>IF(AND(AN$3&gt;=$B$7,AN$3&lt;$B$8),AM48*(1+AN41/12)+AN42+AN43+IF(AND(AND(YEAR(AN$3)=YEAR($B$7),MONTH(AN$3)=MONTH($B$7)),'Вводные'!$B$31="Капитализация в ПФ"),AM37,0),0)</x:f>
      </x:c>
      <x:c r="AO48" s="117">
        <x:f>IF(AND(AO$3&gt;=$B$7,AO$3&lt;$B$8),AN48*(1+AO41/12)+AO42+AO43+IF(AND(AND(YEAR(AO$3)=YEAR($B$7),MONTH(AO$3)=MONTH($B$7)),'Вводные'!$B$31="Капитализация в ПФ"),AN37,0),0)</x:f>
      </x:c>
      <x:c r="AP48" s="117">
        <x:f>IF(AND(AP$3&gt;=$B$7,AP$3&lt;$B$8),AO48*(1+AP41/12)+AP42+AP43+IF(AND(AND(YEAR(AP$3)=YEAR($B$7),MONTH(AP$3)=MONTH($B$7)),'Вводные'!$B$31="Капитализация в ПФ"),AO37,0),0)</x:f>
      </x:c>
      <x:c r="AQ48" s="117">
        <x:f>IF(AND(AQ$3&gt;=$B$7,AQ$3&lt;$B$8),AP48*(1+AQ41/12)+AQ42+AQ43+IF(AND(AND(YEAR(AQ$3)=YEAR($B$7),MONTH(AQ$3)=MONTH($B$7)),'Вводные'!$B$31="Капитализация в ПФ"),AP37,0),0)</x:f>
      </x:c>
      <x:c r="AR48" s="117">
        <x:f>IF(AND(AR$3&gt;=$B$7,AR$3&lt;$B$8),AQ48*(1+AR41/12)+AR42+AR43+IF(AND(AND(YEAR(AR$3)=YEAR($B$7),MONTH(AR$3)=MONTH($B$7)),'Вводные'!$B$31="Капитализация в ПФ"),AQ37,0),0)</x:f>
      </x:c>
      <x:c r="AS48" s="117">
        <x:f>IF(AND(AS$3&gt;=$B$7,AS$3&lt;$B$8),AR48*(1+AS41/12)+AS42+AS43+IF(AND(AND(YEAR(AS$3)=YEAR($B$7),MONTH(AS$3)=MONTH($B$7)),'Вводные'!$B$31="Капитализация в ПФ"),AR37,0),0)</x:f>
      </x:c>
      <x:c r="AT48" s="117">
        <x:f>IF(AND(AT$3&gt;=$B$7,AT$3&lt;$B$8),AS48*(1+AT41/12)+AT42+AT43+IF(AND(AND(YEAR(AT$3)=YEAR($B$7),MONTH(AT$3)=MONTH($B$7)),'Вводные'!$B$31="Капитализация в ПФ"),AS37,0),0)</x:f>
      </x:c>
      <x:c r="AU48" s="117">
        <x:f>IF(AND(AU$3&gt;=$B$7,AU$3&lt;$B$8),AT48*(1+AU41/12)+AU42+AU43+IF(AND(AND(YEAR(AU$3)=YEAR($B$7),MONTH(AU$3)=MONTH($B$7)),'Вводные'!$B$31="Капитализация в ПФ"),AT37,0),0)</x:f>
      </x:c>
      <x:c r="AV48" s="117">
        <x:f>IF(AND(AV$3&gt;=$B$7,AV$3&lt;$B$8),AU48*(1+AV41/12)+AV42+AV43+IF(AND(AND(YEAR(AV$3)=YEAR($B$7),MONTH(AV$3)=MONTH($B$7)),'Вводные'!$B$31="Капитализация в ПФ"),AU37,0),0)</x:f>
      </x:c>
      <x:c r="AW48" s="117">
        <x:f>IF(AND(AW$3&gt;=$B$7,AW$3&lt;$B$8),AV48*(1+AW41/12)+AW42+AW43+IF(AND(AND(YEAR(AW$3)=YEAR($B$7),MONTH(AW$3)=MONTH($B$7)),'Вводные'!$B$31="Капитализация в ПФ"),AV37,0),0)</x:f>
      </x:c>
      <x:c r="AX48" s="117">
        <x:f>IF(AND(AX$3&gt;=$B$7,AX$3&lt;$B$8),AW48*(1+AX41/12)+AX42+AX43+IF(AND(AND(YEAR(AX$3)=YEAR($B$7),MONTH(AX$3)=MONTH($B$7)),'Вводные'!$B$31="Капитализация в ПФ"),AW37,0),0)</x:f>
      </x:c>
      <x:c r="AY48" s="117">
        <x:f>IF(AND(AY$3&gt;=$B$7,AY$3&lt;$B$8),AX48*(1+AY41/12)+AY42+AY43+IF(AND(AND(YEAR(AY$3)=YEAR($B$7),MONTH(AY$3)=MONTH($B$7)),'Вводные'!$B$31="Капитализация в ПФ"),AX37,0),0)</x:f>
      </x:c>
      <x:c r="AZ48" s="117">
        <x:f>IF(AND(AZ$3&gt;=$B$7,AZ$3&lt;$B$8),AY48*(1+AZ41/12)+AZ42+AZ43+IF(AND(AND(YEAR(AZ$3)=YEAR($B$7),MONTH(AZ$3)=MONTH($B$7)),'Вводные'!$B$31="Капитализация в ПФ"),AY37,0),0)</x:f>
      </x:c>
      <x:c r="BA48" s="117">
        <x:f>IF(AND(BA$3&gt;=$B$7,BA$3&lt;$B$8),AZ48*(1+BA41/12)+BA42+BA43+IF(AND(AND(YEAR(BA$3)=YEAR($B$7),MONTH(BA$3)=MONTH($B$7)),'Вводные'!$B$31="Капитализация в ПФ"),AZ37,0),0)</x:f>
      </x:c>
      <x:c r="BB48" s="117">
        <x:f>IF(AND(BB$3&gt;=$B$7,BB$3&lt;$B$8),BA48*(1+BB41/12)+BB42+BB43+IF(AND(AND(YEAR(BB$3)=YEAR($B$7),MONTH(BB$3)=MONTH($B$7)),'Вводные'!$B$31="Капитализация в ПФ"),BA37,0),0)</x:f>
      </x:c>
      <x:c r="BC48" s="117">
        <x:f>IF(AND(BC$3&gt;=$B$7,BC$3&lt;$B$8),BB48*(1+BC41/12)+BC42+BC43+IF(AND(AND(YEAR(BC$3)=YEAR($B$7),MONTH(BC$3)=MONTH($B$7)),'Вводные'!$B$31="Капитализация в ПФ"),BB37,0),0)</x:f>
      </x:c>
      <x:c r="BD48" s="117">
        <x:f>IF(AND(BD$3&gt;=$B$7,BD$3&lt;$B$8),BC48*(1+BD41/12)+BD42+BD43+IF(AND(AND(YEAR(BD$3)=YEAR($B$7),MONTH(BD$3)=MONTH($B$7)),'Вводные'!$B$31="Капитализация в ПФ"),BC37,0),0)</x:f>
      </x:c>
      <x:c r="BE48" s="117">
        <x:f>IF(AND(BE$3&gt;=$B$7,BE$3&lt;$B$8),BD48*(1+BE41/12)+BE42+BE43+IF(AND(AND(YEAR(BE$3)=YEAR($B$7),MONTH(BE$3)=MONTH($B$7)),'Вводные'!$B$31="Капитализация в ПФ"),BD37,0),0)</x:f>
      </x:c>
      <x:c r="BF48" s="117">
        <x:f>IF(AND(BF$3&gt;=$B$7,BF$3&lt;$B$8),BE48*(1+BF41/12)+BF42+BF43+IF(AND(AND(YEAR(BF$3)=YEAR($B$7),MONTH(BF$3)=MONTH($B$7)),'Вводные'!$B$31="Капитализация в ПФ"),BE37,0),0)</x:f>
      </x:c>
      <x:c r="BG48" s="117">
        <x:f>IF(AND(BG$3&gt;=$B$7,BG$3&lt;$B$8),BF48*(1+BG41/12)+BG42+BG43+IF(AND(AND(YEAR(BG$3)=YEAR($B$7),MONTH(BG$3)=MONTH($B$7)),'Вводные'!$B$31="Капитализация в ПФ"),BF37,0),0)</x:f>
      </x:c>
      <x:c r="BH48" s="117">
        <x:f>IF(AND(BH$3&gt;=$B$7,BH$3&lt;$B$8),BG48*(1+BH41/12)+BH42+BH43+IF(AND(AND(YEAR(BH$3)=YEAR($B$7),MONTH(BH$3)=MONTH($B$7)),'Вводные'!$B$31="Капитализация в ПФ"),BG37,0),0)</x:f>
      </x:c>
      <x:c r="BI48" s="117">
        <x:f>IF(AND(BI$3&gt;=$B$7,BI$3&lt;$B$8),BH48*(1+BI41/12)+BI42+BI43+IF(AND(AND(YEAR(BI$3)=YEAR($B$7),MONTH(BI$3)=MONTH($B$7)),'Вводные'!$B$31="Капитализация в ПФ"),BH37,0),0)</x:f>
      </x:c>
      <x:c r="BJ48" s="117">
        <x:f>IF(AND(BJ$3&gt;=$B$7,BJ$3&lt;$B$8),BI48*(1+BJ41/12)+BJ42+BJ43+IF(AND(AND(YEAR(BJ$3)=YEAR($B$7),MONTH(BJ$3)=MONTH($B$7)),'Вводные'!$B$31="Капитализация в ПФ"),BI37,0),0)</x:f>
      </x:c>
      <x:c r="BK48" s="117">
        <x:f>IF(AND(BK$3&gt;=$B$7,BK$3&lt;$B$8),BJ48*(1+BK41/12)+BK42+BK43+IF(AND(AND(YEAR(BK$3)=YEAR($B$7),MONTH(BK$3)=MONTH($B$7)),'Вводные'!$B$31="Капитализация в ПФ"),BJ37,0),0)</x:f>
      </x:c>
      <x:c r="BL48" s="117">
        <x:f>IF(AND(BL$3&gt;=$B$7,BL$3&lt;$B$8),BK48*(1+BL41/12)+BL42+BL43+IF(AND(AND(YEAR(BL$3)=YEAR($B$7),MONTH(BL$3)=MONTH($B$7)),'Вводные'!$B$31="Капитализация в ПФ"),BK37,0),0)</x:f>
      </x:c>
      <x:c r="BM48" s="117">
        <x:f>IF(AND(BM$3&gt;=$B$7,BM$3&lt;$B$8),BL48*(1+BM41/12)+BM42+BM43+IF(AND(AND(YEAR(BM$3)=YEAR($B$7),MONTH(BM$3)=MONTH($B$7)),'Вводные'!$B$31="Капитализация в ПФ"),BL37,0),0)</x:f>
      </x:c>
      <x:c r="BN48" s="117">
        <x:f>IF(AND(BN$3&gt;=$B$7,BN$3&lt;$B$8),BM48*(1+BN41/12)+BN42+BN43+IF(AND(AND(YEAR(BN$3)=YEAR($B$7),MONTH(BN$3)=MONTH($B$7)),'Вводные'!$B$31="Капитализация в ПФ"),BM37,0),0)</x:f>
      </x:c>
      <x:c r="BO48" s="117">
        <x:f>IF(AND(BO$3&gt;=$B$7,BO$3&lt;$B$8),BN48*(1+BO41/12)+BO42+BO43+IF(AND(AND(YEAR(BO$3)=YEAR($B$7),MONTH(BO$3)=MONTH($B$7)),'Вводные'!$B$31="Капитализация в ПФ"),BN37,0),0)</x:f>
      </x:c>
      <x:c r="BP48" s="117">
        <x:f>IF(AND(BP$3&gt;=$B$7,BP$3&lt;$B$8),BO48*(1+BP41/12)+BP42+BP43+IF(AND(AND(YEAR(BP$3)=YEAR($B$7),MONTH(BP$3)=MONTH($B$7)),'Вводные'!$B$31="Капитализация в ПФ"),BO37,0),0)</x:f>
      </x:c>
      <x:c r="BQ48" s="117">
        <x:f>IF(AND(BQ$3&gt;=$B$7,BQ$3&lt;$B$8),BP48*(1+BQ41/12)+BQ42+BQ43+IF(AND(AND(YEAR(BQ$3)=YEAR($B$7),MONTH(BQ$3)=MONTH($B$7)),'Вводные'!$B$31="Капитализация в ПФ"),BP37,0),0)</x:f>
      </x:c>
      <x:c r="BR48" s="117">
        <x:f>IF(AND(BR$3&gt;=$B$7,BR$3&lt;$B$8),BQ48*(1+BR41/12)+BR42+BR43+IF(AND(AND(YEAR(BR$3)=YEAR($B$7),MONTH(BR$3)=MONTH($B$7)),'Вводные'!$B$31="Капитализация в ПФ"),BQ37,0),0)</x:f>
      </x:c>
      <x:c r="BS48" s="117">
        <x:f>IF(AND(BS$3&gt;=$B$7,BS$3&lt;$B$8),BR48*(1+BS41/12)+BS42+BS43+IF(AND(AND(YEAR(BS$3)=YEAR($B$7),MONTH(BS$3)=MONTH($B$7)),'Вводные'!$B$31="Капитализация в ПФ"),BR37,0),0)</x:f>
      </x:c>
      <x:c r="BT48" s="117">
        <x:f>IF(AND(BT$3&gt;=$B$7,BT$3&lt;$B$8),BS48*(1+BT41/12)+BT42+BT43+IF(AND(AND(YEAR(BT$3)=YEAR($B$7),MONTH(BT$3)=MONTH($B$7)),'Вводные'!$B$31="Капитализация в ПФ"),BS37,0),0)</x:f>
      </x:c>
      <x:c r="BU48" s="117">
        <x:f>IF(AND(BU$3&gt;=$B$7,BU$3&lt;$B$8),BT48*(1+BU41/12)+BU42+BU43+IF(AND(AND(YEAR(BU$3)=YEAR($B$7),MONTH(BU$3)=MONTH($B$7)),'Вводные'!$B$31="Капитализация в ПФ"),BT37,0),0)</x:f>
      </x:c>
      <x:c r="BV48" s="117">
        <x:f>IF(AND(BV$3&gt;=$B$7,BV$3&lt;$B$8),BU48*(1+BV41/12)+BV42+BV43+IF(AND(AND(YEAR(BV$3)=YEAR($B$7),MONTH(BV$3)=MONTH($B$7)),'Вводные'!$B$31="Капитализация в ПФ"),BU37,0),0)</x:f>
      </x:c>
      <x:c r="BW48" s="117">
        <x:f>IF(AND(BW$3&gt;=$B$7,BW$3&lt;$B$8),BV48*(1+BW41/12)+BW42+BW43+IF(AND(AND(YEAR(BW$3)=YEAR($B$7),MONTH(BW$3)=MONTH($B$7)),'Вводные'!$B$31="Капитализация в ПФ"),BV37,0),0)</x:f>
      </x:c>
      <x:c r="BX48" s="117">
        <x:f>IF(AND(BX$3&gt;=$B$7,BX$3&lt;$B$8),BW48*(1+BX41/12)+BX42+BX43+IF(AND(AND(YEAR(BX$3)=YEAR($B$7),MONTH(BX$3)=MONTH($B$7)),'Вводные'!$B$31="Капитализация в ПФ"),BW37,0),0)</x:f>
      </x:c>
      <x:c r="BY48" s="117">
        <x:f>IF(AND(BY$3&gt;=$B$7,BY$3&lt;$B$8),BX48*(1+BY41/12)+BY42+BY43+IF(AND(AND(YEAR(BY$3)=YEAR($B$7),MONTH(BY$3)=MONTH($B$7)),'Вводные'!$B$31="Капитализация в ПФ"),BX37,0),0)</x:f>
      </x:c>
      <x:c r="BZ48" s="117">
        <x:f>IF(AND(BZ$3&gt;=$B$7,BZ$3&lt;$B$8),BY48*(1+BZ41/12)+BZ42+BZ43+IF(AND(AND(YEAR(BZ$3)=YEAR($B$7),MONTH(BZ$3)=MONTH($B$7)),'Вводные'!$B$31="Капитализация в ПФ"),BY37,0),0)</x:f>
      </x:c>
      <x:c r="CA48" s="117">
        <x:f>IF(AND(CA$3&gt;=$B$7,CA$3&lt;$B$8),BZ48*(1+CA41/12)+CA42+CA43+IF(AND(AND(YEAR(CA$3)=YEAR($B$7),MONTH(CA$3)=MONTH($B$7)),'Вводные'!$B$31="Капитализация в ПФ"),BZ37,0),0)</x:f>
      </x:c>
      <x:c r="CB48" s="117">
        <x:f>IF(AND(CB$3&gt;=$B$7,CB$3&lt;$B$8),CA48*(1+CB41/12)+CB42+CB43+IF(AND(AND(YEAR(CB$3)=YEAR($B$7),MONTH(CB$3)=MONTH($B$7)),'Вводные'!$B$31="Капитализация в ПФ"),CA37,0),0)</x:f>
      </x:c>
      <x:c r="CC48" s="117">
        <x:f>IF(AND(CC$3&gt;=$B$7,CC$3&lt;$B$8),CB48*(1+CC41/12)+CC42+CC43+IF(AND(AND(YEAR(CC$3)=YEAR($B$7),MONTH(CC$3)=MONTH($B$7)),'Вводные'!$B$31="Капитализация в ПФ"),CB37,0),0)</x:f>
      </x:c>
      <x:c r="CD48" s="117">
        <x:f>IF(AND(CD$3&gt;=$B$7,CD$3&lt;$B$8),CC48*(1+CD41/12)+CD42+CD43+IF(AND(AND(YEAR(CD$3)=YEAR($B$7),MONTH(CD$3)=MONTH($B$7)),'Вводные'!$B$31="Капитализация в ПФ"),CC37,0),0)</x:f>
      </x:c>
      <x:c r="CE48" s="117">
        <x:f>IF(AND(CE$3&gt;=$B$7,CE$3&lt;$B$8),CD48*(1+CE41/12)+CE42+CE43+IF(AND(AND(YEAR(CE$3)=YEAR($B$7),MONTH(CE$3)=MONTH($B$7)),'Вводные'!$B$31="Капитализация в ПФ"),CD37,0),0)</x:f>
      </x:c>
      <x:c r="CF48" s="117">
        <x:f>IF(AND(CF$3&gt;=$B$7,CF$3&lt;$B$8),CE48*(1+CF41/12)+CF42+CF43+IF(AND(AND(YEAR(CF$3)=YEAR($B$7),MONTH(CF$3)=MONTH($B$7)),'Вводные'!$B$31="Капитализация в ПФ"),CE37,0),0)</x:f>
      </x:c>
      <x:c r="CG48" s="117">
        <x:f>IF(AND(CG$3&gt;=$B$7,CG$3&lt;$B$8),CF48*(1+CG41/12)+CG42+CG43+IF(AND(AND(YEAR(CG$3)=YEAR($B$7),MONTH(CG$3)=MONTH($B$7)),'Вводные'!$B$31="Капитализация в ПФ"),CF37,0),0)</x:f>
      </x:c>
      <x:c r="CH48" s="117">
        <x:f>IF(AND(CH$3&gt;=$B$7,CH$3&lt;$B$8),CG48*(1+CH41/12)+CH42+CH43+IF(AND(AND(YEAR(CH$3)=YEAR($B$7),MONTH(CH$3)=MONTH($B$7)),'Вводные'!$B$31="Капитализация в ПФ"),CG37,0),0)</x:f>
      </x:c>
      <x:c r="CI48" s="117">
        <x:f>IF(AND(CI$3&gt;=$B$7,CI$3&lt;$B$8),CH48*(1+CI41/12)+CI42+CI43+IF(AND(AND(YEAR(CI$3)=YEAR($B$7),MONTH(CI$3)=MONTH($B$7)),'Вводные'!$B$31="Капитализация в ПФ"),CH37,0),0)</x:f>
      </x:c>
      <x:c r="CJ48" s="117">
        <x:f>IF(AND(CJ$3&gt;=$B$7,CJ$3&lt;$B$8),CI48*(1+CJ41/12)+CJ42+CJ43+IF(AND(AND(YEAR(CJ$3)=YEAR($B$7),MONTH(CJ$3)=MONTH($B$7)),'Вводные'!$B$31="Капитализация в ПФ"),CI37,0),0)</x:f>
      </x:c>
      <x:c r="CK48" s="117">
        <x:f>IF(AND(CK$3&gt;=$B$7,CK$3&lt;$B$8),CJ48*(1+CK41/12)+CK42+CK43+IF(AND(AND(YEAR(CK$3)=YEAR($B$7),MONTH(CK$3)=MONTH($B$7)),'Вводные'!$B$31="Капитализация в ПФ"),CJ37,0),0)</x:f>
      </x:c>
      <x:c r="CL48" s="117">
        <x:f>IF(AND(CL$3&gt;=$B$7,CL$3&lt;$B$8),CK48*(1+CL41/12)+CL42+CL43+IF(AND(AND(YEAR(CL$3)=YEAR($B$7),MONTH(CL$3)=MONTH($B$7)),'Вводные'!$B$31="Капитализация в ПФ"),CK37,0),0)</x:f>
      </x:c>
      <x:c r="CM48" s="117">
        <x:f>IF(AND(CM$3&gt;=$B$7,CM$3&lt;$B$8),CL48*(1+CM41/12)+CM42+CM43+IF(AND(AND(YEAR(CM$3)=YEAR($B$7),MONTH(CM$3)=MONTH($B$7)),'Вводные'!$B$31="Капитализация в ПФ"),CL37,0),0)</x:f>
      </x:c>
      <x:c r="CN48" s="117">
        <x:f>IF(AND(CN$3&gt;=$B$7,CN$3&lt;$B$8),CM48*(1+CN41/12)+CN42+CN43+IF(AND(AND(YEAR(CN$3)=YEAR($B$7),MONTH(CN$3)=MONTH($B$7)),'Вводные'!$B$31="Капитализация в ПФ"),CM37,0),0)</x:f>
      </x:c>
      <x:c r="CO48" s="117">
        <x:f>IF(AND(CO$3&gt;=$B$7,CO$3&lt;$B$8),CN48*(1+CO41/12)+CO42+CO43+IF(AND(AND(YEAR(CO$3)=YEAR($B$7),MONTH(CO$3)=MONTH($B$7)),'Вводные'!$B$31="Капитализация в ПФ"),CN37,0),0)</x:f>
      </x:c>
      <x:c r="CP48" s="117">
        <x:f>IF(AND(CP$3&gt;=$B$7,CP$3&lt;$B$8),CO48*(1+CP41/12)+CP42+CP43+IF(AND(AND(YEAR(CP$3)=YEAR($B$7),MONTH(CP$3)=MONTH($B$7)),'Вводные'!$B$31="Капитализация в ПФ"),CO37,0),0)</x:f>
      </x:c>
      <x:c r="CQ48" s="117">
        <x:f>IF(AND(CQ$3&gt;=$B$7,CQ$3&lt;$B$8),CP48*(1+CQ41/12)+CQ42+CQ43+IF(AND(AND(YEAR(CQ$3)=YEAR($B$7),MONTH(CQ$3)=MONTH($B$7)),'Вводные'!$B$31="Капитализация в ПФ"),CP37,0),0)</x:f>
      </x:c>
      <x:c r="CR48" s="117">
        <x:f>IF(AND(CR$3&gt;=$B$7,CR$3&lt;$B$8),CQ48*(1+CR41/12)+CR42+CR43+IF(AND(AND(YEAR(CR$3)=YEAR($B$7),MONTH(CR$3)=MONTH($B$7)),'Вводные'!$B$31="Капитализация в ПФ"),CQ37,0),0)</x:f>
      </x:c>
      <x:c r="CS48" s="117">
        <x:f>IF(AND(CS$3&gt;=$B$7,CS$3&lt;$B$8),CR48*(1+CS41/12)+CS42+CS43+IF(AND(AND(YEAR(CS$3)=YEAR($B$7),MONTH(CS$3)=MONTH($B$7)),'Вводные'!$B$31="Капитализация в ПФ"),CR37,0),0)</x:f>
      </x:c>
      <x:c r="CT48" s="117">
        <x:f>IF(AND(CT$3&gt;=$B$7,CT$3&lt;$B$8),CS48*(1+CT41/12)+CT42+CT43+IF(AND(AND(YEAR(CT$3)=YEAR($B$7),MONTH(CT$3)=MONTH($B$7)),'Вводные'!$B$31="Капитализация в ПФ"),CS37,0),0)</x:f>
      </x:c>
      <x:c r="CU48" s="117">
        <x:f>IF(AND(CU$3&gt;=$B$7,CU$3&lt;$B$8),CT48*(1+CU41/12)+CU42+CU43+IF(AND(AND(YEAR(CU$3)=YEAR($B$7),MONTH(CU$3)=MONTH($B$7)),'Вводные'!$B$31="Капитализация в ПФ"),CT37,0),0)</x:f>
      </x:c>
      <x:c r="CV48" s="117">
        <x:f>IF(AND(CV$3&gt;=$B$7,CV$3&lt;$B$8),CU48*(1+CV41/12)+CV42+CV43+IF(AND(AND(YEAR(CV$3)=YEAR($B$7),MONTH(CV$3)=MONTH($B$7)),'Вводные'!$B$31="Капитализация в ПФ"),CU37,0),0)</x:f>
      </x:c>
      <x:c r="CW48" s="117">
        <x:f>IF(AND(CW$3&gt;=$B$7,CW$3&lt;$B$8),CV48*(1+CW41/12)+CW42+CW43+IF(AND(AND(YEAR(CW$3)=YEAR($B$7),MONTH(CW$3)=MONTH($B$7)),'Вводные'!$B$31="Капитализация в ПФ"),CV37,0),0)</x:f>
      </x:c>
      <x:c r="CX48" s="117">
        <x:f>IF(AND(CX$3&gt;=$B$7,CX$3&lt;$B$8),CW48*(1+CX41/12)+CX42+CX43+IF(AND(AND(YEAR(CX$3)=YEAR($B$7),MONTH(CX$3)=MONTH($B$7)),'Вводные'!$B$31="Капитализация в ПФ"),CW37,0),0)</x:f>
      </x:c>
      <x:c r="CY48" s="117">
        <x:f>IF(AND(CY$3&gt;=$B$7,CY$3&lt;$B$8),CX48*(1+CY41/12)+CY42+CY43+IF(AND(AND(YEAR(CY$3)=YEAR($B$7),MONTH(CY$3)=MONTH($B$7)),'Вводные'!$B$31="Капитализация в ПФ"),CX37,0),0)</x:f>
      </x:c>
      <x:c r="CZ48" s="117">
        <x:f>IF(AND(CZ$3&gt;=$B$7,CZ$3&lt;$B$8),CY48*(1+CZ41/12)+CZ42+CZ43+IF(AND(AND(YEAR(CZ$3)=YEAR($B$7),MONTH(CZ$3)=MONTH($B$7)),'Вводные'!$B$31="Капитализация в ПФ"),CY37,0),0)</x:f>
      </x:c>
      <x:c r="DA48" s="117">
        <x:f>IF(AND(DA$3&gt;=$B$7,DA$3&lt;$B$8),CZ48*(1+DA41/12)+DA42+DA43+IF(AND(AND(YEAR(DA$3)=YEAR($B$7),MONTH(DA$3)=MONTH($B$7)),'Вводные'!$B$31="Капитализация в ПФ"),CZ37,0),0)</x:f>
      </x:c>
      <x:c r="DB48" s="117">
        <x:f>IF(AND(DB$3&gt;=$B$7,DB$3&lt;$B$8),DA48*(1+DB41/12)+DB42+DB43+IF(AND(AND(YEAR(DB$3)=YEAR($B$7),MONTH(DB$3)=MONTH($B$7)),'Вводные'!$B$31="Капитализация в ПФ"),DA37,0),0)</x:f>
      </x:c>
      <x:c r="DC48" s="117">
        <x:f>IF(AND(DC$3&gt;=$B$7,DC$3&lt;$B$8),DB48*(1+DC41/12)+DC42+DC43+IF(AND(AND(YEAR(DC$3)=YEAR($B$7),MONTH(DC$3)=MONTH($B$7)),'Вводные'!$B$31="Капитализация в ПФ"),DB37,0),0)</x:f>
      </x:c>
      <x:c r="DD48" s="117">
        <x:f>IF(AND(DD$3&gt;=$B$7,DD$3&lt;$B$8),DC48*(1+DD41/12)+DD42+DD43+IF(AND(AND(YEAR(DD$3)=YEAR($B$7),MONTH(DD$3)=MONTH($B$7)),'Вводные'!$B$31="Капитализация в ПФ"),DC37,0),0)</x:f>
      </x:c>
      <x:c r="DE48" s="117">
        <x:f>IF(AND(DE$3&gt;=$B$7,DE$3&lt;$B$8),DD48*(1+DE41/12)+DE42+DE43+IF(AND(AND(YEAR(DE$3)=YEAR($B$7),MONTH(DE$3)=MONTH($B$7)),'Вводные'!$B$31="Капитализация в ПФ"),DD37,0),0)</x:f>
      </x:c>
      <x:c r="DF48" s="117">
        <x:f>IF(AND(DF$3&gt;=$B$7,DF$3&lt;$B$8),DE48*(1+DF41/12)+DF42+DF43+IF(AND(AND(YEAR(DF$3)=YEAR($B$7),MONTH(DF$3)=MONTH($B$7)),'Вводные'!$B$31="Капитализация в ПФ"),DE37,0),0)</x:f>
      </x:c>
      <x:c r="DG48" s="117">
        <x:f>IF(AND(DG$3&gt;=$B$7,DG$3&lt;$B$8),DF48*(1+DG41/12)+DG42+DG43+IF(AND(AND(YEAR(DG$3)=YEAR($B$7),MONTH(DG$3)=MONTH($B$7)),'Вводные'!$B$31="Капитализация в ПФ"),DF37,0),0)</x:f>
      </x:c>
      <x:c r="DH48" s="117">
        <x:f>IF(AND(DH$3&gt;=$B$7,DH$3&lt;$B$8),DG48*(1+DH41/12)+DH42+DH43+IF(AND(AND(YEAR(DH$3)=YEAR($B$7),MONTH(DH$3)=MONTH($B$7)),'Вводные'!$B$31="Капитализация в ПФ"),DG37,0),0)</x:f>
      </x:c>
      <x:c r="DI48" s="117">
        <x:f>IF(AND(DI$3&gt;=$B$7,DI$3&lt;$B$8),DH48*(1+DI41/12)+DI42+DI43+IF(AND(AND(YEAR(DI$3)=YEAR($B$7),MONTH(DI$3)=MONTH($B$7)),'Вводные'!$B$31="Капитализация в ПФ"),DH37,0),0)</x:f>
      </x:c>
      <x:c r="DJ48" s="117">
        <x:f>IF(AND(DJ$3&gt;=$B$7,DJ$3&lt;$B$8),DI48*(1+DJ41/12)+DJ42+DJ43+IF(AND(AND(YEAR(DJ$3)=YEAR($B$7),MONTH(DJ$3)=MONTH($B$7)),'Вводные'!$B$31="Капитализация в ПФ"),DI37,0),0)</x:f>
      </x:c>
      <x:c r="DK48" s="117">
        <x:f>IF(AND(DK$3&gt;=$B$7,DK$3&lt;$B$8),DJ48*(1+DK41/12)+DK42+DK43+IF(AND(AND(YEAR(DK$3)=YEAR($B$7),MONTH(DK$3)=MONTH($B$7)),'Вводные'!$B$31="Капитализация в ПФ"),DJ37,0),0)</x:f>
      </x:c>
      <x:c r="DL48" s="117">
        <x:f>IF(AND(DL$3&gt;=$B$7,DL$3&lt;$B$8),DK48*(1+DL41/12)+DL42+DL43+IF(AND(AND(YEAR(DL$3)=YEAR($B$7),MONTH(DL$3)=MONTH($B$7)),'Вводные'!$B$31="Капитализация в ПФ"),DK37,0),0)</x:f>
      </x:c>
      <x:c r="DM48" s="117">
        <x:f>IF(AND(DM$3&gt;=$B$7,DM$3&lt;$B$8),DL48*(1+DM41/12)+DM42+DM43+IF(AND(AND(YEAR(DM$3)=YEAR($B$7),MONTH(DM$3)=MONTH($B$7)),'Вводные'!$B$31="Капитализация в ПФ"),DL37,0),0)</x:f>
      </x:c>
      <x:c r="DN48" s="117">
        <x:f>IF(AND(DN$3&gt;=$B$7,DN$3&lt;$B$8),DM48*(1+DN41/12)+DN42+DN43+IF(AND(AND(YEAR(DN$3)=YEAR($B$7),MONTH(DN$3)=MONTH($B$7)),'Вводные'!$B$31="Капитализация в ПФ"),DM37,0),0)</x:f>
      </x:c>
      <x:c r="DO48" s="117">
        <x:f>IF(AND(DO$3&gt;=$B$7,DO$3&lt;$B$8),DN48*(1+DO41/12)+DO42+DO43+IF(AND(AND(YEAR(DO$3)=YEAR($B$7),MONTH(DO$3)=MONTH($B$7)),'Вводные'!$B$31="Капитализация в ПФ"),DN37,0),0)</x:f>
      </x:c>
      <x:c r="DP48" s="117">
        <x:f>IF(AND(DP$3&gt;=$B$7,DP$3&lt;$B$8),DO48*(1+DP41/12)+DP42+DP43+IF(AND(AND(YEAR(DP$3)=YEAR($B$7),MONTH(DP$3)=MONTH($B$7)),'Вводные'!$B$31="Капитализация в ПФ"),DO37,0),0)</x:f>
      </x:c>
      <x:c r="DQ48" s="117">
        <x:f>IF(AND(DQ$3&gt;=$B$7,DQ$3&lt;$B$8),DP48*(1+DQ41/12)+DQ42+DQ43+IF(AND(AND(YEAR(DQ$3)=YEAR($B$7),MONTH(DQ$3)=MONTH($B$7)),'Вводные'!$B$31="Капитализация в ПФ"),DP37,0),0)</x:f>
      </x:c>
      <x:c r="DR48" s="117">
        <x:f>IF(AND(DR$3&gt;=$B$7,DR$3&lt;$B$8),DQ48*(1+DR41/12)+DR42+DR43+IF(AND(AND(YEAR(DR$3)=YEAR($B$7),MONTH(DR$3)=MONTH($B$7)),'Вводные'!$B$31="Капитализация в ПФ"),DQ37,0),0)</x:f>
      </x:c>
      <x:c r="DS48" s="117">
        <x:f>IF(AND(DS$3&gt;=$B$7,DS$3&lt;$B$8),DR48*(1+DS41/12)+DS42+DS43+IF(AND(AND(YEAR(DS$3)=YEAR($B$7),MONTH(DS$3)=MONTH($B$7)),'Вводные'!$B$31="Капитализация в ПФ"),DR37,0),0)</x:f>
      </x:c>
      <x:c r="DT48" s="117">
        <x:f>IF(AND(DT$3&gt;=$B$7,DT$3&lt;$B$8),DS48*(1+DT41/12)+DT42+DT43+IF(AND(AND(YEAR(DT$3)=YEAR($B$7),MONTH(DT$3)=MONTH($B$7)),'Вводные'!$B$31="Капитализация в ПФ"),DS37,0),0)</x:f>
      </x:c>
      <x:c r="DU48" s="117">
        <x:f>IF(AND(DU$3&gt;=$B$7,DU$3&lt;$B$8),DT48*(1+DU41/12)+DU42+DU43+IF(AND(AND(YEAR(DU$3)=YEAR($B$7),MONTH(DU$3)=MONTH($B$7)),'Вводные'!$B$31="Капитализация в ПФ"),DT37,0),0)</x:f>
      </x:c>
      <x:c r="DV48" s="117">
        <x:f>IF(AND(DV$3&gt;=$B$7,DV$3&lt;$B$8),DU48*(1+DV41/12)+DV42+DV43+IF(AND(AND(YEAR(DV$3)=YEAR($B$7),MONTH(DV$3)=MONTH($B$7)),'Вводные'!$B$31="Капитализация в ПФ"),DU37,0),0)</x:f>
      </x:c>
      <x:c r="DW48" s="117">
        <x:f>IF(AND(DW$3&gt;=$B$7,DW$3&lt;$B$8),DV48*(1+DW41/12)+DW42+DW43+IF(AND(AND(YEAR(DW$3)=YEAR($B$7),MONTH(DW$3)=MONTH($B$7)),'Вводные'!$B$31="Капитализация в ПФ"),DV37,0),0)</x:f>
      </x:c>
      <x:c r="DX48" s="117">
        <x:f>IF(AND(DX$3&gt;=$B$7,DX$3&lt;$B$8),DW48*(1+DX41/12)+DX42+DX43+IF(AND(AND(YEAR(DX$3)=YEAR($B$7),MONTH(DX$3)=MONTH($B$7)),'Вводные'!$B$31="Капитализация в ПФ"),DW37,0),0)</x:f>
      </x:c>
      <x:c r="DY48" s="117">
        <x:f>IF(AND(DY$3&gt;=$B$7,DY$3&lt;$B$8),DX48*(1+DY41/12)+DY42+DY43+IF(AND(AND(YEAR(DY$3)=YEAR($B$7),MONTH(DY$3)=MONTH($B$7)),'Вводные'!$B$31="Капитализация в ПФ"),DX37,0),0)</x:f>
      </x:c>
      <x:c r="DZ48" s="117">
        <x:f>IF(AND(DZ$3&gt;=$B$7,DZ$3&lt;$B$8),DY48*(1+DZ41/12)+DZ42+DZ43+IF(AND(AND(YEAR(DZ$3)=YEAR($B$7),MONTH(DZ$3)=MONTH($B$7)),'Вводные'!$B$31="Капитализация в ПФ"),DY37,0),0)</x:f>
      </x:c>
      <x:c r="EA48" s="117">
        <x:f>IF(AND(EA$3&gt;=$B$7,EA$3&lt;$B$8),DZ48*(1+EA41/12)+EA42+EA43+IF(AND(AND(YEAR(EA$3)=YEAR($B$7),MONTH(EA$3)=MONTH($B$7)),'Вводные'!$B$31="Капитализация в ПФ"),DZ37,0),0)</x:f>
      </x:c>
      <x:c r="EB48" s="117">
        <x:f>IF(AND(EB$3&gt;=$B$7,EB$3&lt;$B$8),EA48*(1+EB41/12)+EB42+EB43+IF(AND(AND(YEAR(EB$3)=YEAR($B$7),MONTH(EB$3)=MONTH($B$7)),'Вводные'!$B$31="Капитализация в ПФ"),EA37,0),0)</x:f>
      </x:c>
      <x:c r="EC48" s="117">
        <x:f>IF(AND(EC$3&gt;=$B$7,EC$3&lt;$B$8),EB48*(1+EC41/12)+EC42+EC43+IF(AND(AND(YEAR(EC$3)=YEAR($B$7),MONTH(EC$3)=MONTH($B$7)),'Вводные'!$B$31="Капитализация в ПФ"),EB37,0),0)</x:f>
      </x:c>
      <x:c r="ED48" s="117">
        <x:f>IF(AND(ED$3&gt;=$B$7,ED$3&lt;$B$8),EC48*(1+ED41/12)+ED42+ED43+IF(AND(AND(YEAR(ED$3)=YEAR($B$7),MONTH(ED$3)=MONTH($B$7)),'Вводные'!$B$31="Капитализация в ПФ"),EC37,0),0)</x:f>
      </x:c>
      <x:c r="EE48" s="117">
        <x:f>IF(AND(EE$3&gt;=$B$7,EE$3&lt;$B$8),ED48*(1+EE41/12)+EE42+EE43+IF(AND(AND(YEAR(EE$3)=YEAR($B$7),MONTH(EE$3)=MONTH($B$7)),'Вводные'!$B$31="Капитализация в ПФ"),ED37,0),0)</x:f>
      </x:c>
      <x:c r="EF48" s="117">
        <x:f>IF(AND(EF$3&gt;=$B$7,EF$3&lt;$B$8),EE48*(1+EF41/12)+EF42+EF43+IF(AND(AND(YEAR(EF$3)=YEAR($B$7),MONTH(EF$3)=MONTH($B$7)),'Вводные'!$B$31="Капитализация в ПФ"),EE37,0),0)</x:f>
      </x:c>
      <x:c r="EG48" s="117">
        <x:f>IF(AND(EG$3&gt;=$B$7,EG$3&lt;$B$8),EF48*(1+EG41/12)+EG42+EG43+IF(AND(AND(YEAR(EG$3)=YEAR($B$7),MONTH(EG$3)=MONTH($B$7)),'Вводные'!$B$31="Капитализация в ПФ"),EF37,0),0)</x:f>
      </x:c>
      <x:c r="EH48" s="117">
        <x:f>IF(AND(EH$3&gt;=$B$7,EH$3&lt;$B$8),EG48*(1+EH41/12)+EH42+EH43+IF(AND(AND(YEAR(EH$3)=YEAR($B$7),MONTH(EH$3)=MONTH($B$7)),'Вводные'!$B$31="Капитализация в ПФ"),EG37,0),0)</x:f>
      </x:c>
      <x:c r="EI48" s="117">
        <x:f>IF(AND(EI$3&gt;=$B$7,EI$3&lt;$B$8),EH48*(1+EI41/12)+EI42+EI43+IF(AND(AND(YEAR(EI$3)=YEAR($B$7),MONTH(EI$3)=MONTH($B$7)),'Вводные'!$B$31="Капитализация в ПФ"),EH37,0),0)</x:f>
      </x:c>
      <x:c r="EJ48" s="117">
        <x:f>IF(AND(EJ$3&gt;=$B$7,EJ$3&lt;$B$8),EI48*(1+EJ41/12)+EJ42+EJ43+IF(AND(AND(YEAR(EJ$3)=YEAR($B$7),MONTH(EJ$3)=MONTH($B$7)),'Вводные'!$B$31="Капитализация в ПФ"),EI37,0),0)</x:f>
      </x:c>
      <x:c r="EK48" s="117">
        <x:f>IF(AND(EK$3&gt;=$B$7,EK$3&lt;$B$8),EJ48*(1+EK41/12)+EK42+EK43+IF(AND(AND(YEAR(EK$3)=YEAR($B$7),MONTH(EK$3)=MONTH($B$7)),'Вводные'!$B$31="Капитализация в ПФ"),EJ37,0),0)</x:f>
      </x:c>
      <x:c r="EL48" s="117">
        <x:f>IF(AND(EL$3&gt;=$B$7,EL$3&lt;$B$8),EK48*(1+EL41/12)+EL42+EL43+IF(AND(AND(YEAR(EL$3)=YEAR($B$7),MONTH(EL$3)=MONTH($B$7)),'Вводные'!$B$31="Капитализация в ПФ"),EK37,0),0)</x:f>
      </x:c>
      <x:c r="EM48" s="117">
        <x:f>IF(AND(EM$3&gt;=$B$7,EM$3&lt;$B$8),EL48*(1+EM41/12)+EM42+EM43+IF(AND(AND(YEAR(EM$3)=YEAR($B$7),MONTH(EM$3)=MONTH($B$7)),'Вводные'!$B$31="Капитализация в ПФ"),EL37,0),0)</x:f>
      </x:c>
      <x:c r="EN48" s="117">
        <x:f>IF(AND(EN$3&gt;=$B$7,EN$3&lt;$B$8),EM48*(1+EN41/12)+EN42+EN43+IF(AND(AND(YEAR(EN$3)=YEAR($B$7),MONTH(EN$3)=MONTH($B$7)),'Вводные'!$B$31="Капитализация в ПФ"),EM37,0),0)</x:f>
      </x:c>
      <x:c r="EO48" s="117">
        <x:f>IF(AND(EO$3&gt;=$B$7,EO$3&lt;$B$8),EN48*(1+EO41/12)+EO42+EO43+IF(AND(AND(YEAR(EO$3)=YEAR($B$7),MONTH(EO$3)=MONTH($B$7)),'Вводные'!$B$31="Капитализация в ПФ"),EN37,0),0)</x:f>
      </x:c>
      <x:c r="EP48" s="117">
        <x:f>IF(AND(EP$3&gt;=$B$7,EP$3&lt;$B$8),EO48*(1+EP41/12)+EP42+EP43+IF(AND(AND(YEAR(EP$3)=YEAR($B$7),MONTH(EP$3)=MONTH($B$7)),'Вводные'!$B$31="Капитализация в ПФ"),EO37,0),0)</x:f>
      </x:c>
      <x:c r="EQ48" s="117">
        <x:f>IF(AND(EQ$3&gt;=$B$7,EQ$3&lt;$B$8),EP48*(1+EQ41/12)+EQ42+EQ43+IF(AND(AND(YEAR(EQ$3)=YEAR($B$7),MONTH(EQ$3)=MONTH($B$7)),'Вводные'!$B$31="Капитализация в ПФ"),EP37,0),0)</x:f>
      </x:c>
      <x:c r="ER48" s="117">
        <x:f>IF(AND(ER$3&gt;=$B$7,ER$3&lt;$B$8),EQ48*(1+ER41/12)+ER42+ER43+IF(AND(AND(YEAR(ER$3)=YEAR($B$7),MONTH(ER$3)=MONTH($B$7)),'Вводные'!$B$31="Капитализация в ПФ"),EQ37,0),0)</x:f>
      </x:c>
      <x:c r="ES48" s="117">
        <x:f>IF(AND(ES$3&gt;=$B$7,ES$3&lt;$B$8),ER48*(1+ES41/12)+ES42+ES43+IF(AND(AND(YEAR(ES$3)=YEAR($B$7),MONTH(ES$3)=MONTH($B$7)),'Вводные'!$B$31="Капитализация в ПФ"),ER37,0),0)</x:f>
      </x:c>
      <x:c r="ET48" s="117">
        <x:f>IF(AND(ET$3&gt;=$B$7,ET$3&lt;$B$8),ES48*(1+ET41/12)+ET42+ET43+IF(AND(AND(YEAR(ET$3)=YEAR($B$7),MONTH(ET$3)=MONTH($B$7)),'Вводные'!$B$31="Капитализация в ПФ"),ES37,0),0)</x:f>
      </x:c>
      <x:c r="EU48" s="117">
        <x:f>IF(AND(EU$3&gt;=$B$7,EU$3&lt;$B$8),ET48*(1+EU41/12)+EU42+EU43+IF(AND(AND(YEAR(EU$3)=YEAR($B$7),MONTH(EU$3)=MONTH($B$7)),'Вводные'!$B$31="Капитализация в ПФ"),ET37,0),0)</x:f>
      </x:c>
      <x:c r="EV48" s="117">
        <x:f>IF(AND(EV$3&gt;=$B$7,EV$3&lt;$B$8),EU48*(1+EV41/12)+EV42+EV43+IF(AND(AND(YEAR(EV$3)=YEAR($B$7),MONTH(EV$3)=MONTH($B$7)),'Вводные'!$B$31="Капитализация в ПФ"),EU37,0),0)</x:f>
      </x:c>
      <x:c r="EW48" s="117">
        <x:f>IF(AND(EW$3&gt;=$B$7,EW$3&lt;$B$8),EV48*(1+EW41/12)+EW42+EW43+IF(AND(AND(YEAR(EW$3)=YEAR($B$7),MONTH(EW$3)=MONTH($B$7)),'Вводные'!$B$31="Капитализация в ПФ"),EV37,0),0)</x:f>
      </x:c>
      <x:c r="EX48" s="117">
        <x:f>IF(AND(EX$3&gt;=$B$7,EX$3&lt;$B$8),EW48*(1+EX41/12)+EX42+EX43+IF(AND(AND(YEAR(EX$3)=YEAR($B$7),MONTH(EX$3)=MONTH($B$7)),'Вводные'!$B$31="Капитализация в ПФ"),EW37,0),0)</x:f>
      </x:c>
      <x:c r="EY48" s="117">
        <x:f>IF(AND(EY$3&gt;=$B$7,EY$3&lt;$B$8),EX48*(1+EY41/12)+EY42+EY43+IF(AND(AND(YEAR(EY$3)=YEAR($B$7),MONTH(EY$3)=MONTH($B$7)),'Вводные'!$B$31="Капитализация в ПФ"),EX37,0),0)</x:f>
      </x:c>
      <x:c r="EZ48" s="117">
        <x:f>IF(AND(EZ$3&gt;=$B$7,EZ$3&lt;$B$8),EY48*(1+EZ41/12)+EZ42+EZ43+IF(AND(AND(YEAR(EZ$3)=YEAR($B$7),MONTH(EZ$3)=MONTH($B$7)),'Вводные'!$B$31="Капитализация в ПФ"),EY37,0),0)</x:f>
      </x:c>
      <x:c r="FA48" s="117">
        <x:f>IF(AND(FA$3&gt;=$B$7,FA$3&lt;$B$8),EZ48*(1+FA41/12)+FA42+FA43+IF(AND(AND(YEAR(FA$3)=YEAR($B$7),MONTH(FA$3)=MONTH($B$7)),'Вводные'!$B$31="Капитализация в ПФ"),EZ37,0),0)</x:f>
      </x:c>
      <x:c r="FB48" s="117">
        <x:f>IF(AND(FB$3&gt;=$B$7,FB$3&lt;$B$8),FA48*(1+FB41/12)+FB42+FB43+IF(AND(AND(YEAR(FB$3)=YEAR($B$7),MONTH(FB$3)=MONTH($B$7)),'Вводные'!$B$31="Капитализация в ПФ"),FA37,0),0)</x:f>
      </x:c>
      <x:c r="FC48" s="117">
        <x:f>IF(AND(FC$3&gt;=$B$7,FC$3&lt;$B$8),FB48*(1+FC41/12)+FC42+FC43+IF(AND(AND(YEAR(FC$3)=YEAR($B$7),MONTH(FC$3)=MONTH($B$7)),'Вводные'!$B$31="Капитализация в ПФ"),FB37,0),0)</x:f>
      </x:c>
      <x:c r="FD48" s="117">
        <x:f>IF(AND(FD$3&gt;=$B$7,FD$3&lt;$B$8),FC48*(1+FD41/12)+FD42+FD43+IF(AND(AND(YEAR(FD$3)=YEAR($B$7),MONTH(FD$3)=MONTH($B$7)),'Вводные'!$B$31="Капитализация в ПФ"),FC37,0),0)</x:f>
      </x:c>
      <x:c r="FE48" s="117">
        <x:f>IF(AND(FE$3&gt;=$B$7,FE$3&lt;$B$8),FD48*(1+FE41/12)+FE42+FE43+IF(AND(AND(YEAR(FE$3)=YEAR($B$7),MONTH(FE$3)=MONTH($B$7)),'Вводные'!$B$31="Капитализация в ПФ"),FD37,0),0)</x:f>
      </x:c>
      <x:c r="FF48" s="117">
        <x:f>IF(AND(FF$3&gt;=$B$7,FF$3&lt;$B$8),FE48*(1+FF41/12)+FF42+FF43+IF(AND(AND(YEAR(FF$3)=YEAR($B$7),MONTH(FF$3)=MONTH($B$7)),'Вводные'!$B$31="Капитализация в ПФ"),FE37,0),0)</x:f>
      </x:c>
      <x:c r="FG48" s="117">
        <x:f>IF(AND(FG$3&gt;=$B$7,FG$3&lt;$B$8),FF48*(1+FG41/12)+FG42+FG43+IF(AND(AND(YEAR(FG$3)=YEAR($B$7),MONTH(FG$3)=MONTH($B$7)),'Вводные'!$B$31="Капитализация в ПФ"),FF37,0),0)</x:f>
      </x:c>
      <x:c r="FH48" s="117">
        <x:f>IF(AND(FH$3&gt;=$B$7,FH$3&lt;$B$8),FG48*(1+FH41/12)+FH42+FH43+IF(AND(AND(YEAR(FH$3)=YEAR($B$7),MONTH(FH$3)=MONTH($B$7)),'Вводные'!$B$31="Капитализация в ПФ"),FG37,0),0)</x:f>
      </x:c>
      <x:c r="FI48" s="117">
        <x:f>IF(AND(FI$3&gt;=$B$7,FI$3&lt;$B$8),FH48*(1+FI41/12)+FI42+FI43+IF(AND(AND(YEAR(FI$3)=YEAR($B$7),MONTH(FI$3)=MONTH($B$7)),'Вводные'!$B$31="Капитализация в ПФ"),FH37,0),0)</x:f>
      </x:c>
      <x:c r="FJ48" s="117">
        <x:f>IF(AND(FJ$3&gt;=$B$7,FJ$3&lt;$B$8),FI48*(1+FJ41/12)+FJ42+FJ43+IF(AND(AND(YEAR(FJ$3)=YEAR($B$7),MONTH(FJ$3)=MONTH($B$7)),'Вводные'!$B$31="Капитализация в ПФ"),FI37,0),0)</x:f>
      </x:c>
      <x:c r="FK48" s="117">
        <x:f>IF(AND(FK$3&gt;=$B$7,FK$3&lt;$B$8),FJ48*(1+FK41/12)+FK42+FK43+IF(AND(AND(YEAR(FK$3)=YEAR($B$7),MONTH(FK$3)=MONTH($B$7)),'Вводные'!$B$31="Капитализация в ПФ"),FJ37,0),0)</x:f>
      </x:c>
      <x:c r="FL48" s="117">
        <x:f>IF(AND(FL$3&gt;=$B$7,FL$3&lt;$B$8),FK48*(1+FL41/12)+FL42+FL43+IF(AND(AND(YEAR(FL$3)=YEAR($B$7),MONTH(FL$3)=MONTH($B$7)),'Вводные'!$B$31="Капитализация в ПФ"),FK37,0),0)</x:f>
      </x:c>
      <x:c r="FM48" s="117">
        <x:f>IF(AND(FM$3&gt;=$B$7,FM$3&lt;$B$8),FL48*(1+FM41/12)+FM42+FM43+IF(AND(AND(YEAR(FM$3)=YEAR($B$7),MONTH(FM$3)=MONTH($B$7)),'Вводные'!$B$31="Капитализация в ПФ"),FL37,0),0)</x:f>
      </x:c>
      <x:c r="FN48" s="117">
        <x:f>IF(AND(FN$3&gt;=$B$7,FN$3&lt;$B$8),FM48*(1+FN41/12)+FN42+FN43+IF(AND(AND(YEAR(FN$3)=YEAR($B$7),MONTH(FN$3)=MONTH($B$7)),'Вводные'!$B$31="Капитализация в ПФ"),FM37,0),0)</x:f>
      </x:c>
      <x:c r="FO48" s="117">
        <x:f>IF(AND(FO$3&gt;=$B$7,FO$3&lt;$B$8),FN48*(1+FO41/12)+FO42+FO43+IF(AND(AND(YEAR(FO$3)=YEAR($B$7),MONTH(FO$3)=MONTH($B$7)),'Вводные'!$B$31="Капитализация в ПФ"),FN37,0),0)</x:f>
      </x:c>
      <x:c r="FP48" s="117">
        <x:f>IF(AND(FP$3&gt;=$B$7,FP$3&lt;$B$8),FO48*(1+FP41/12)+FP42+FP43+IF(AND(AND(YEAR(FP$3)=YEAR($B$7),MONTH(FP$3)=MONTH($B$7)),'Вводные'!$B$31="Капитализация в ПФ"),FO37,0),0)</x:f>
      </x:c>
      <x:c r="FQ48" s="117">
        <x:f>IF(AND(FQ$3&gt;=$B$7,FQ$3&lt;$B$8),FP48*(1+FQ41/12)+FQ42+FQ43+IF(AND(AND(YEAR(FQ$3)=YEAR($B$7),MONTH(FQ$3)=MONTH($B$7)),'Вводные'!$B$31="Капитализация в ПФ"),FP37,0),0)</x:f>
      </x:c>
      <x:c r="FR48" s="117">
        <x:f>IF(AND(FR$3&gt;=$B$7,FR$3&lt;$B$8),FQ48*(1+FR41/12)+FR42+FR43+IF(AND(AND(YEAR(FR$3)=YEAR($B$7),MONTH(FR$3)=MONTH($B$7)),'Вводные'!$B$31="Капитализация в ПФ"),FQ37,0),0)</x:f>
      </x:c>
      <x:c r="FS48" s="117">
        <x:f>IF(AND(FS$3&gt;=$B$7,FS$3&lt;$B$8),FR48*(1+FS41/12)+FS42+FS43+IF(AND(AND(YEAR(FS$3)=YEAR($B$7),MONTH(FS$3)=MONTH($B$7)),'Вводные'!$B$31="Капитализация в ПФ"),FR37,0),0)</x:f>
      </x:c>
      <x:c r="FT48" s="117">
        <x:f>IF(AND(FT$3&gt;=$B$7,FT$3&lt;$B$8),FS48*(1+FT41/12)+FT42+FT43+IF(AND(AND(YEAR(FT$3)=YEAR($B$7),MONTH(FT$3)=MONTH($B$7)),'Вводные'!$B$31="Капитализация в ПФ"),FS37,0),0)</x:f>
      </x:c>
      <x:c r="FU48" s="117">
        <x:f>IF(AND(FU$3&gt;=$B$7,FU$3&lt;$B$8),FT48*(1+FU41/12)+FU42+FU43+IF(AND(AND(YEAR(FU$3)=YEAR($B$7),MONTH(FU$3)=MONTH($B$7)),'Вводные'!$B$31="Капитализация в ПФ"),FT37,0),0)</x:f>
      </x:c>
      <x:c r="FV48" s="117">
        <x:f>IF(AND(FV$3&gt;=$B$7,FV$3&lt;$B$8),FU48*(1+FV41/12)+FV42+FV43+IF(AND(AND(YEAR(FV$3)=YEAR($B$7),MONTH(FV$3)=MONTH($B$7)),'Вводные'!$B$31="Капитализация в ПФ"),FU37,0),0)</x:f>
      </x:c>
      <x:c r="FW48" s="117">
        <x:f>IF(AND(FW$3&gt;=$B$7,FW$3&lt;$B$8),FV48*(1+FW41/12)+FW42+FW43+IF(AND(AND(YEAR(FW$3)=YEAR($B$7),MONTH(FW$3)=MONTH($B$7)),'Вводные'!$B$31="Капитализация в ПФ"),FV37,0),0)</x:f>
      </x:c>
      <x:c r="FX48" s="117">
        <x:f>IF(AND(FX$3&gt;=$B$7,FX$3&lt;$B$8),FW48*(1+FX41/12)+FX42+FX43+IF(AND(AND(YEAR(FX$3)=YEAR($B$7),MONTH(FX$3)=MONTH($B$7)),'Вводные'!$B$31="Капитализация в ПФ"),FW37,0),0)</x:f>
      </x:c>
      <x:c r="FY48" s="117">
        <x:f>IF(AND(FY$3&gt;=$B$7,FY$3&lt;$B$8),FX48*(1+FY41/12)+FY42+FY43+IF(AND(AND(YEAR(FY$3)=YEAR($B$7),MONTH(FY$3)=MONTH($B$7)),'Вводные'!$B$31="Капитализация в ПФ"),FX37,0),0)</x:f>
      </x:c>
      <x:c r="FZ48" s="117">
        <x:f>IF(AND(FZ$3&gt;=$B$7,FZ$3&lt;$B$8),FY48*(1+FZ41/12)+FZ42+FZ43+IF(AND(AND(YEAR(FZ$3)=YEAR($B$7),MONTH(FZ$3)=MONTH($B$7)),'Вводные'!$B$31="Капитализация в ПФ"),FY37,0),0)</x:f>
      </x:c>
      <x:c r="GA48" s="117">
        <x:f>IF(AND(GA$3&gt;=$B$7,GA$3&lt;$B$8),FZ48*(1+GA41/12)+GA42+GA43+IF(AND(AND(YEAR(GA$3)=YEAR($B$7),MONTH(GA$3)=MONTH($B$7)),'Вводные'!$B$31="Капитализация в ПФ"),FZ37,0),0)</x:f>
      </x:c>
    </x:row>
    <x:row r="49">
      <x:c r="A49" t="str">
        <x:v>Вклад собственного капитала</x:v>
      </x:c>
      <x:c r="B49" t="n">
        <x:f>SUM(D49:GA49)</x:f>
      </x:c>
      <x:c r="C49" t="str">
        <x:v>млн ₽</x:v>
      </x:c>
      <x:c r="D49" s="117">
        <x:f>MAX(0,D20+D24+D53+D57+D35+D46-D27-D34-D45)</x:f>
      </x:c>
      <x:c r="E49" s="117">
        <x:f>MAX(0,E20+E24+E53+E57+E35+E46-E27-E34-E45)</x:f>
      </x:c>
      <x:c r="F49" s="117">
        <x:f>MAX(0,F20+F24+F53+F57+F35+F46-F27-F34-F45)</x:f>
      </x:c>
      <x:c r="G49" s="117">
        <x:f>MAX(0,G20+G24+G53+G57+G35+G46-G27-G34-G45)</x:f>
      </x:c>
      <x:c r="H49" s="117">
        <x:f>MAX(0,H20+H24+H53+H57+H35+H46-H27-H34-H45)</x:f>
      </x:c>
      <x:c r="I49" s="117">
        <x:f>MAX(0,I20+I24+I53+I57+I35+I46-I27-I34-I45)</x:f>
      </x:c>
      <x:c r="J49" s="117">
        <x:f>MAX(0,J20+J24+J53+J57+J35+J46-J27-J34-J45)</x:f>
      </x:c>
      <x:c r="K49" s="117">
        <x:f>MAX(0,K20+K24+K53+K57+K35+K46-K27-K34-K45)</x:f>
      </x:c>
      <x:c r="L49" s="117">
        <x:f>MAX(0,L20+L24+L53+L57+L35+L46-L27-L34-L45)</x:f>
      </x:c>
      <x:c r="M49" s="117">
        <x:f>MAX(0,M20+M24+M53+M57+M35+M46-M27-M34-M45)</x:f>
      </x:c>
      <x:c r="N49" s="117">
        <x:f>MAX(0,N20+N24+N53+N57+N35+N46-N27-N34-N45)</x:f>
      </x:c>
      <x:c r="O49" s="117">
        <x:f>MAX(0,O20+O24+O53+O57+O35+O46-O27-O34-O45)</x:f>
      </x:c>
      <x:c r="P49" s="117">
        <x:f>MAX(0,P20+P24+P53+P57+P35+P46-P27-P34-P45)</x:f>
      </x:c>
      <x:c r="Q49" s="117">
        <x:f>MAX(0,Q20+Q24+Q53+Q57+Q35+Q46-Q27-Q34-Q45)</x:f>
      </x:c>
      <x:c r="R49" s="117">
        <x:f>MAX(0,R20+R24+R53+R57+R35+R46-R27-R34-R45)</x:f>
      </x:c>
      <x:c r="S49" s="117">
        <x:f>MAX(0,S20+S24+S53+S57+S35+S46-S27-S34-S45)</x:f>
      </x:c>
      <x:c r="T49" s="117">
        <x:f>MAX(0,T20+T24+T53+T57+T35+T46-T27-T34-T45)</x:f>
      </x:c>
      <x:c r="U49" s="117">
        <x:f>MAX(0,U20+U24+U53+U57+U35+U46-U27-U34-U45)</x:f>
      </x:c>
      <x:c r="V49" s="117">
        <x:f>MAX(0,V20+V24+V53+V57+V35+V46-V27-V34-V45)</x:f>
      </x:c>
      <x:c r="W49" s="117">
        <x:f>MAX(0,W20+W24+W53+W57+W35+W46-W27-W34-W45)</x:f>
      </x:c>
      <x:c r="X49" s="117">
        <x:f>MAX(0,X20+X24+X53+X57+X35+X46-X27-X34-X45)</x:f>
      </x:c>
      <x:c r="Y49" s="117">
        <x:f>MAX(0,Y20+Y24+Y53+Y57+Y35+Y46-Y27-Y34-Y45)</x:f>
      </x:c>
      <x:c r="Z49" s="117">
        <x:f>MAX(0,Z20+Z24+Z53+Z57+Z35+Z46-Z27-Z34-Z45)</x:f>
      </x:c>
      <x:c r="AA49" s="117">
        <x:f>MAX(0,AA20+AA24+AA53+AA57+AA35+AA46-AA27-AA34-AA45)</x:f>
      </x:c>
      <x:c r="AB49" s="117">
        <x:f>MAX(0,AB20+AB24+AB53+AB57+AB35+AB46-AB27-AB34-AB45)</x:f>
      </x:c>
      <x:c r="AC49" s="117">
        <x:f>MAX(0,AC20+AC24+AC53+AC57+AC35+AC46-AC27-AC34-AC45)</x:f>
      </x:c>
      <x:c r="AD49" s="117">
        <x:f>MAX(0,AD20+AD24+AD53+AD57+AD35+AD46-AD27-AD34-AD45)</x:f>
      </x:c>
      <x:c r="AE49" s="117">
        <x:f>MAX(0,AE20+AE24+AE53+AE57+AE35+AE46-AE27-AE34-AE45)</x:f>
      </x:c>
      <x:c r="AF49" s="117">
        <x:f>MAX(0,AF20+AF24+AF53+AF57+AF35+AF46-AF27-AF34-AF45)</x:f>
      </x:c>
      <x:c r="AG49" s="117">
        <x:f>MAX(0,AG20+AG24+AG53+AG57+AG35+AG46-AG27-AG34-AG45)</x:f>
      </x:c>
      <x:c r="AH49" s="117">
        <x:f>MAX(0,AH20+AH24+AH53+AH57+AH35+AH46-AH27-AH34-AH45)</x:f>
      </x:c>
      <x:c r="AI49" s="117">
        <x:f>MAX(0,AI20+AI24+AI53+AI57+AI35+AI46-AI27-AI34-AI45)</x:f>
      </x:c>
      <x:c r="AJ49" s="117">
        <x:f>MAX(0,AJ20+AJ24+AJ53+AJ57+AJ35+AJ46-AJ27-AJ34-AJ45)</x:f>
      </x:c>
      <x:c r="AK49" s="117">
        <x:f>MAX(0,AK20+AK24+AK53+AK57+AK35+AK46-AK27-AK34-AK45)</x:f>
      </x:c>
      <x:c r="AL49" s="117">
        <x:f>MAX(0,AL20+AL24+AL53+AL57+AL35+AL46-AL27-AL34-AL45)</x:f>
      </x:c>
      <x:c r="AM49" s="117">
        <x:f>MAX(0,AM20+AM24+AM53+AM57+AM35+AM46-AM27-AM34-AM45)</x:f>
      </x:c>
      <x:c r="AN49" s="117">
        <x:f>MAX(0,AN20+AN24+AN53+AN57+AN35+AN46-AN27-AN34-AN45)</x:f>
      </x:c>
      <x:c r="AO49" s="117">
        <x:f>MAX(0,AO20+AO24+AO53+AO57+AO35+AO46-AO27-AO34-AO45)</x:f>
      </x:c>
      <x:c r="AP49" s="117">
        <x:f>MAX(0,AP20+AP24+AP53+AP57+AP35+AP46-AP27-AP34-AP45)</x:f>
      </x:c>
      <x:c r="AQ49" s="117">
        <x:f>MAX(0,AQ20+AQ24+AQ53+AQ57+AQ35+AQ46-AQ27-AQ34-AQ45)</x:f>
      </x:c>
      <x:c r="AR49" s="117">
        <x:f>MAX(0,AR20+AR24+AR53+AR57+AR35+AR46-AR27-AR34-AR45)</x:f>
      </x:c>
      <x:c r="AS49" s="117">
        <x:f>MAX(0,AS20+AS24+AS53+AS57+AS35+AS46-AS27-AS34-AS45)</x:f>
      </x:c>
      <x:c r="AT49" s="117">
        <x:f>MAX(0,AT20+AT24+AT53+AT57+AT35+AT46-AT27-AT34-AT45)</x:f>
      </x:c>
      <x:c r="AU49" s="117">
        <x:f>MAX(0,AU20+AU24+AU53+AU57+AU35+AU46-AU27-AU34-AU45)</x:f>
      </x:c>
      <x:c r="AV49" s="117">
        <x:f>MAX(0,AV20+AV24+AV53+AV57+AV35+AV46-AV27-AV34-AV45)</x:f>
      </x:c>
      <x:c r="AW49" s="117">
        <x:f>MAX(0,AW20+AW24+AW53+AW57+AW35+AW46-AW27-AW34-AW45)</x:f>
      </x:c>
      <x:c r="AX49" s="117">
        <x:f>MAX(0,AX20+AX24+AX53+AX57+AX35+AX46-AX27-AX34-AX45)</x:f>
      </x:c>
      <x:c r="AY49" s="117">
        <x:f>MAX(0,AY20+AY24+AY53+AY57+AY35+AY46-AY27-AY34-AY45)</x:f>
      </x:c>
      <x:c r="AZ49" s="117">
        <x:f>MAX(0,AZ20+AZ24+AZ53+AZ57+AZ35+AZ46-AZ27-AZ34-AZ45)</x:f>
      </x:c>
      <x:c r="BA49" s="117">
        <x:f>MAX(0,BA20+BA24+BA53+BA57+BA35+BA46-BA27-BA34-BA45)</x:f>
      </x:c>
      <x:c r="BB49" s="117">
        <x:f>MAX(0,BB20+BB24+BB53+BB57+BB35+BB46-BB27-BB34-BB45)</x:f>
      </x:c>
      <x:c r="BC49" s="117">
        <x:f>MAX(0,BC20+BC24+BC53+BC57+BC35+BC46-BC27-BC34-BC45)</x:f>
      </x:c>
      <x:c r="BD49" s="117">
        <x:f>MAX(0,BD20+BD24+BD53+BD57+BD35+BD46-BD27-BD34-BD45)</x:f>
      </x:c>
      <x:c r="BE49" s="117">
        <x:f>MAX(0,BE20+BE24+BE53+BE57+BE35+BE46-BE27-BE34-BE45)</x:f>
      </x:c>
      <x:c r="BF49" s="117">
        <x:f>MAX(0,BF20+BF24+BF53+BF57+BF35+BF46-BF27-BF34-BF45)</x:f>
      </x:c>
      <x:c r="BG49" s="117">
        <x:f>MAX(0,BG20+BG24+BG53+BG57+BG35+BG46-BG27-BG34-BG45)</x:f>
      </x:c>
      <x:c r="BH49" s="117">
        <x:f>MAX(0,BH20+BH24+BH53+BH57+BH35+BH46-BH27-BH34-BH45)</x:f>
      </x:c>
      <x:c r="BI49" s="117">
        <x:f>MAX(0,BI20+BI24+BI53+BI57+BI35+BI46-BI27-BI34-BI45)</x:f>
      </x:c>
      <x:c r="BJ49" s="117">
        <x:f>MAX(0,BJ20+BJ24+BJ53+BJ57+BJ35+BJ46-BJ27-BJ34-BJ45)</x:f>
      </x:c>
      <x:c r="BK49" s="117">
        <x:f>MAX(0,BK20+BK24+BK53+BK57+BK35+BK46-BK27-BK34-BK45)</x:f>
      </x:c>
      <x:c r="BL49" s="117">
        <x:f>MAX(0,BL20+BL24+BL53+BL57+BL35+BL46-BL27-BL34-BL45)</x:f>
      </x:c>
      <x:c r="BM49" s="117">
        <x:f>MAX(0,BM20+BM24+BM53+BM57+BM35+BM46-BM27-BM34-BM45)</x:f>
      </x:c>
      <x:c r="BN49" s="117">
        <x:f>MAX(0,BN20+BN24+BN53+BN57+BN35+BN46-BN27-BN34-BN45)</x:f>
      </x:c>
      <x:c r="BO49" s="117">
        <x:f>MAX(0,BO20+BO24+BO53+BO57+BO35+BO46-BO27-BO34-BO45)</x:f>
      </x:c>
      <x:c r="BP49" s="117">
        <x:f>MAX(0,BP20+BP24+BP53+BP57+BP35+BP46-BP27-BP34-BP45)</x:f>
      </x:c>
      <x:c r="BQ49" s="117">
        <x:f>MAX(0,BQ20+BQ24+BQ53+BQ57+BQ35+BQ46-BQ27-BQ34-BQ45)</x:f>
      </x:c>
      <x:c r="BR49" s="117">
        <x:f>MAX(0,BR20+BR24+BR53+BR57+BR35+BR46-BR27-BR34-BR45)</x:f>
      </x:c>
      <x:c r="BS49" s="117">
        <x:f>MAX(0,BS20+BS24+BS53+BS57+BS35+BS46-BS27-BS34-BS45)</x:f>
      </x:c>
      <x:c r="BT49" s="117">
        <x:f>MAX(0,BT20+BT24+BT53+BT57+BT35+BT46-BT27-BT34-BT45)</x:f>
      </x:c>
      <x:c r="BU49" s="117">
        <x:f>MAX(0,BU20+BU24+BU53+BU57+BU35+BU46-BU27-BU34-BU45)</x:f>
      </x:c>
      <x:c r="BV49" s="117">
        <x:f>MAX(0,BV20+BV24+BV53+BV57+BV35+BV46-BV27-BV34-BV45)</x:f>
      </x:c>
      <x:c r="BW49" s="117">
        <x:f>MAX(0,BW20+BW24+BW53+BW57+BW35+BW46-BW27-BW34-BW45)</x:f>
      </x:c>
      <x:c r="BX49" s="117">
        <x:f>MAX(0,BX20+BX24+BX53+BX57+BX35+BX46-BX27-BX34-BX45)</x:f>
      </x:c>
      <x:c r="BY49" s="117">
        <x:f>MAX(0,BY20+BY24+BY53+BY57+BY35+BY46-BY27-BY34-BY45)</x:f>
      </x:c>
      <x:c r="BZ49" s="117">
        <x:f>MAX(0,BZ20+BZ24+BZ53+BZ57+BZ35+BZ46-BZ27-BZ34-BZ45)</x:f>
      </x:c>
      <x:c r="CA49" s="117">
        <x:f>MAX(0,CA20+CA24+CA53+CA57+CA35+CA46-CA27-CA34-CA45)</x:f>
      </x:c>
      <x:c r="CB49" s="117">
        <x:f>MAX(0,CB20+CB24+CB53+CB57+CB35+CB46-CB27-CB34-CB45)</x:f>
      </x:c>
      <x:c r="CC49" s="117">
        <x:f>MAX(0,CC20+CC24+CC53+CC57+CC35+CC46-CC27-CC34-CC45)</x:f>
      </x:c>
      <x:c r="CD49" s="117">
        <x:f>MAX(0,CD20+CD24+CD53+CD57+CD35+CD46-CD27-CD34-CD45)</x:f>
      </x:c>
      <x:c r="CE49" s="117">
        <x:f>MAX(0,CE20+CE24+CE53+CE57+CE35+CE46-CE27-CE34-CE45)</x:f>
      </x:c>
      <x:c r="CF49" s="117">
        <x:f>MAX(0,CF20+CF24+CF53+CF57+CF35+CF46-CF27-CF34-CF45)</x:f>
      </x:c>
      <x:c r="CG49" s="117">
        <x:f>MAX(0,CG20+CG24+CG53+CG57+CG35+CG46-CG27-CG34-CG45)</x:f>
      </x:c>
      <x:c r="CH49" s="117">
        <x:f>MAX(0,CH20+CH24+CH53+CH57+CH35+CH46-CH27-CH34-CH45)</x:f>
      </x:c>
      <x:c r="CI49" s="117">
        <x:f>MAX(0,CI20+CI24+CI53+CI57+CI35+CI46-CI27-CI34-CI45)</x:f>
      </x:c>
      <x:c r="CJ49" s="117">
        <x:f>MAX(0,CJ20+CJ24+CJ53+CJ57+CJ35+CJ46-CJ27-CJ34-CJ45)</x:f>
      </x:c>
      <x:c r="CK49" s="117">
        <x:f>MAX(0,CK20+CK24+CK53+CK57+CK35+CK46-CK27-CK34-CK45)</x:f>
      </x:c>
      <x:c r="CL49" s="117">
        <x:f>MAX(0,CL20+CL24+CL53+CL57+CL35+CL46-CL27-CL34-CL45)</x:f>
      </x:c>
      <x:c r="CM49" s="117">
        <x:f>MAX(0,CM20+CM24+CM53+CM57+CM35+CM46-CM27-CM34-CM45)</x:f>
      </x:c>
      <x:c r="CN49" s="117">
        <x:f>MAX(0,CN20+CN24+CN53+CN57+CN35+CN46-CN27-CN34-CN45)</x:f>
      </x:c>
      <x:c r="CO49" s="117">
        <x:f>MAX(0,CO20+CO24+CO53+CO57+CO35+CO46-CO27-CO34-CO45)</x:f>
      </x:c>
      <x:c r="CP49" s="117">
        <x:f>MAX(0,CP20+CP24+CP53+CP57+CP35+CP46-CP27-CP34-CP45)</x:f>
      </x:c>
      <x:c r="CQ49" s="117">
        <x:f>MAX(0,CQ20+CQ24+CQ53+CQ57+CQ35+CQ46-CQ27-CQ34-CQ45)</x:f>
      </x:c>
      <x:c r="CR49" s="117">
        <x:f>MAX(0,CR20+CR24+CR53+CR57+CR35+CR46-CR27-CR34-CR45)</x:f>
      </x:c>
      <x:c r="CS49" s="117">
        <x:f>MAX(0,CS20+CS24+CS53+CS57+CS35+CS46-CS27-CS34-CS45)</x:f>
      </x:c>
      <x:c r="CT49" s="117">
        <x:f>MAX(0,CT20+CT24+CT53+CT57+CT35+CT46-CT27-CT34-CT45)</x:f>
      </x:c>
      <x:c r="CU49" s="117">
        <x:f>MAX(0,CU20+CU24+CU53+CU57+CU35+CU46-CU27-CU34-CU45)</x:f>
      </x:c>
      <x:c r="CV49" s="117">
        <x:f>MAX(0,CV20+CV24+CV53+CV57+CV35+CV46-CV27-CV34-CV45)</x:f>
      </x:c>
      <x:c r="CW49" s="117">
        <x:f>MAX(0,CW20+CW24+CW53+CW57+CW35+CW46-CW27-CW34-CW45)</x:f>
      </x:c>
      <x:c r="CX49" s="117">
        <x:f>MAX(0,CX20+CX24+CX53+CX57+CX35+CX46-CX27-CX34-CX45)</x:f>
      </x:c>
      <x:c r="CY49" s="117">
        <x:f>MAX(0,CY20+CY24+CY53+CY57+CY35+CY46-CY27-CY34-CY45)</x:f>
      </x:c>
      <x:c r="CZ49" s="117">
        <x:f>MAX(0,CZ20+CZ24+CZ53+CZ57+CZ35+CZ46-CZ27-CZ34-CZ45)</x:f>
      </x:c>
      <x:c r="DA49" s="117">
        <x:f>MAX(0,DA20+DA24+DA53+DA57+DA35+DA46-DA27-DA34-DA45)</x:f>
      </x:c>
      <x:c r="DB49" s="117">
        <x:f>MAX(0,DB20+DB24+DB53+DB57+DB35+DB46-DB27-DB34-DB45)</x:f>
      </x:c>
      <x:c r="DC49" s="117">
        <x:f>MAX(0,DC20+DC24+DC53+DC57+DC35+DC46-DC27-DC34-DC45)</x:f>
      </x:c>
      <x:c r="DD49" s="117">
        <x:f>MAX(0,DD20+DD24+DD53+DD57+DD35+DD46-DD27-DD34-DD45)</x:f>
      </x:c>
      <x:c r="DE49" s="117">
        <x:f>MAX(0,DE20+DE24+DE53+DE57+DE35+DE46-DE27-DE34-DE45)</x:f>
      </x:c>
      <x:c r="DF49" s="117">
        <x:f>MAX(0,DF20+DF24+DF53+DF57+DF35+DF46-DF27-DF34-DF45)</x:f>
      </x:c>
      <x:c r="DG49" s="117">
        <x:f>MAX(0,DG20+DG24+DG53+DG57+DG35+DG46-DG27-DG34-DG45)</x:f>
      </x:c>
      <x:c r="DH49" s="117">
        <x:f>MAX(0,DH20+DH24+DH53+DH57+DH35+DH46-DH27-DH34-DH45)</x:f>
      </x:c>
      <x:c r="DI49" s="117">
        <x:f>MAX(0,DI20+DI24+DI53+DI57+DI35+DI46-DI27-DI34-DI45)</x:f>
      </x:c>
      <x:c r="DJ49" s="117">
        <x:f>MAX(0,DJ20+DJ24+DJ53+DJ57+DJ35+DJ46-DJ27-DJ34-DJ45)</x:f>
      </x:c>
      <x:c r="DK49" s="117">
        <x:f>MAX(0,DK20+DK24+DK53+DK57+DK35+DK46-DK27-DK34-DK45)</x:f>
      </x:c>
      <x:c r="DL49" s="117">
        <x:f>MAX(0,DL20+DL24+DL53+DL57+DL35+DL46-DL27-DL34-DL45)</x:f>
      </x:c>
      <x:c r="DM49" s="117">
        <x:f>MAX(0,DM20+DM24+DM53+DM57+DM35+DM46-DM27-DM34-DM45)</x:f>
      </x:c>
      <x:c r="DN49" s="117">
        <x:f>MAX(0,DN20+DN24+DN53+DN57+DN35+DN46-DN27-DN34-DN45)</x:f>
      </x:c>
      <x:c r="DO49" s="117">
        <x:f>MAX(0,DO20+DO24+DO53+DO57+DO35+DO46-DO27-DO34-DO45)</x:f>
      </x:c>
      <x:c r="DP49" s="117">
        <x:f>MAX(0,DP20+DP24+DP53+DP57+DP35+DP46-DP27-DP34-DP45)</x:f>
      </x:c>
      <x:c r="DQ49" s="117">
        <x:f>MAX(0,DQ20+DQ24+DQ53+DQ57+DQ35+DQ46-DQ27-DQ34-DQ45)</x:f>
      </x:c>
      <x:c r="DR49" s="117">
        <x:f>MAX(0,DR20+DR24+DR53+DR57+DR35+DR46-DR27-DR34-DR45)</x:f>
      </x:c>
      <x:c r="DS49" s="117">
        <x:f>MAX(0,DS20+DS24+DS53+DS57+DS35+DS46-DS27-DS34-DS45)</x:f>
      </x:c>
      <x:c r="DT49" s="117">
        <x:f>MAX(0,DT20+DT24+DT53+DT57+DT35+DT46-DT27-DT34-DT45)</x:f>
      </x:c>
      <x:c r="DU49" s="117">
        <x:f>MAX(0,DU20+DU24+DU53+DU57+DU35+DU46-DU27-DU34-DU45)</x:f>
      </x:c>
      <x:c r="DV49" s="117">
        <x:f>MAX(0,DV20+DV24+DV53+DV57+DV35+DV46-DV27-DV34-DV45)</x:f>
      </x:c>
      <x:c r="DW49" s="117">
        <x:f>MAX(0,DW20+DW24+DW53+DW57+DW35+DW46-DW27-DW34-DW45)</x:f>
      </x:c>
      <x:c r="DX49" s="117">
        <x:f>MAX(0,DX20+DX24+DX53+DX57+DX35+DX46-DX27-DX34-DX45)</x:f>
      </x:c>
      <x:c r="DY49" s="117">
        <x:f>MAX(0,DY20+DY24+DY53+DY57+DY35+DY46-DY27-DY34-DY45)</x:f>
      </x:c>
      <x:c r="DZ49" s="117">
        <x:f>MAX(0,DZ20+DZ24+DZ53+DZ57+DZ35+DZ46-DZ27-DZ34-DZ45)</x:f>
      </x:c>
      <x:c r="EA49" s="117">
        <x:f>MAX(0,EA20+EA24+EA53+EA57+EA35+EA46-EA27-EA34-EA45)</x:f>
      </x:c>
      <x:c r="EB49" s="117">
        <x:f>MAX(0,EB20+EB24+EB53+EB57+EB35+EB46-EB27-EB34-EB45)</x:f>
      </x:c>
      <x:c r="EC49" s="117">
        <x:f>MAX(0,EC20+EC24+EC53+EC57+EC35+EC46-EC27-EC34-EC45)</x:f>
      </x:c>
      <x:c r="ED49" s="117">
        <x:f>MAX(0,ED20+ED24+ED53+ED57+ED35+ED46-ED27-ED34-ED45)</x:f>
      </x:c>
      <x:c r="EE49" s="117">
        <x:f>MAX(0,EE20+EE24+EE53+EE57+EE35+EE46-EE27-EE34-EE45)</x:f>
      </x:c>
      <x:c r="EF49" s="117">
        <x:f>MAX(0,EF20+EF24+EF53+EF57+EF35+EF46-EF27-EF34-EF45)</x:f>
      </x:c>
      <x:c r="EG49" s="117">
        <x:f>MAX(0,EG20+EG24+EG53+EG57+EG35+EG46-EG27-EG34-EG45)</x:f>
      </x:c>
      <x:c r="EH49" s="117">
        <x:f>MAX(0,EH20+EH24+EH53+EH57+EH35+EH46-EH27-EH34-EH45)</x:f>
      </x:c>
      <x:c r="EI49" s="117">
        <x:f>MAX(0,EI20+EI24+EI53+EI57+EI35+EI46-EI27-EI34-EI45)</x:f>
      </x:c>
      <x:c r="EJ49" s="117">
        <x:f>MAX(0,EJ20+EJ24+EJ53+EJ57+EJ35+EJ46-EJ27-EJ34-EJ45)</x:f>
      </x:c>
      <x:c r="EK49" s="117">
        <x:f>MAX(0,EK20+EK24+EK53+EK57+EK35+EK46-EK27-EK34-EK45)</x:f>
      </x:c>
      <x:c r="EL49" s="117">
        <x:f>MAX(0,EL20+EL24+EL53+EL57+EL35+EL46-EL27-EL34-EL45)</x:f>
      </x:c>
      <x:c r="EM49" s="117">
        <x:f>MAX(0,EM20+EM24+EM53+EM57+EM35+EM46-EM27-EM34-EM45)</x:f>
      </x:c>
      <x:c r="EN49" s="117">
        <x:f>MAX(0,EN20+EN24+EN53+EN57+EN35+EN46-EN27-EN34-EN45)</x:f>
      </x:c>
      <x:c r="EO49" s="117">
        <x:f>MAX(0,EO20+EO24+EO53+EO57+EO35+EO46-EO27-EO34-EO45)</x:f>
      </x:c>
      <x:c r="EP49" s="117">
        <x:f>MAX(0,EP20+EP24+EP53+EP57+EP35+EP46-EP27-EP34-EP45)</x:f>
      </x:c>
      <x:c r="EQ49" s="117">
        <x:f>MAX(0,EQ20+EQ24+EQ53+EQ57+EQ35+EQ46-EQ27-EQ34-EQ45)</x:f>
      </x:c>
      <x:c r="ER49" s="117">
        <x:f>MAX(0,ER20+ER24+ER53+ER57+ER35+ER46-ER27-ER34-ER45)</x:f>
      </x:c>
      <x:c r="ES49" s="117">
        <x:f>MAX(0,ES20+ES24+ES53+ES57+ES35+ES46-ES27-ES34-ES45)</x:f>
      </x:c>
      <x:c r="ET49" s="117">
        <x:f>MAX(0,ET20+ET24+ET53+ET57+ET35+ET46-ET27-ET34-ET45)</x:f>
      </x:c>
      <x:c r="EU49" s="117">
        <x:f>MAX(0,EU20+EU24+EU53+EU57+EU35+EU46-EU27-EU34-EU45)</x:f>
      </x:c>
      <x:c r="EV49" s="117">
        <x:f>MAX(0,EV20+EV24+EV53+EV57+EV35+EV46-EV27-EV34-EV45)</x:f>
      </x:c>
      <x:c r="EW49" s="117">
        <x:f>MAX(0,EW20+EW24+EW53+EW57+EW35+EW46-EW27-EW34-EW45)</x:f>
      </x:c>
      <x:c r="EX49" s="117">
        <x:f>MAX(0,EX20+EX24+EX53+EX57+EX35+EX46-EX27-EX34-EX45)</x:f>
      </x:c>
      <x:c r="EY49" s="117">
        <x:f>MAX(0,EY20+EY24+EY53+EY57+EY35+EY46-EY27-EY34-EY45)</x:f>
      </x:c>
      <x:c r="EZ49" s="117">
        <x:f>MAX(0,EZ20+EZ24+EZ53+EZ57+EZ35+EZ46-EZ27-EZ34-EZ45)</x:f>
      </x:c>
      <x:c r="FA49" s="117">
        <x:f>MAX(0,FA20+FA24+FA53+FA57+FA35+FA46-FA27-FA34-FA45)</x:f>
      </x:c>
      <x:c r="FB49" s="117">
        <x:f>MAX(0,FB20+FB24+FB53+FB57+FB35+FB46-FB27-FB34-FB45)</x:f>
      </x:c>
      <x:c r="FC49" s="117">
        <x:f>MAX(0,FC20+FC24+FC53+FC57+FC35+FC46-FC27-FC34-FC45)</x:f>
      </x:c>
      <x:c r="FD49" s="117">
        <x:f>MAX(0,FD20+FD24+FD53+FD57+FD35+FD46-FD27-FD34-FD45)</x:f>
      </x:c>
      <x:c r="FE49" s="117">
        <x:f>MAX(0,FE20+FE24+FE53+FE57+FE35+FE46-FE27-FE34-FE45)</x:f>
      </x:c>
      <x:c r="FF49" s="117">
        <x:f>MAX(0,FF20+FF24+FF53+FF57+FF35+FF46-FF27-FF34-FF45)</x:f>
      </x:c>
      <x:c r="FG49" s="117">
        <x:f>MAX(0,FG20+FG24+FG53+FG57+FG35+FG46-FG27-FG34-FG45)</x:f>
      </x:c>
      <x:c r="FH49" s="117">
        <x:f>MAX(0,FH20+FH24+FH53+FH57+FH35+FH46-FH27-FH34-FH45)</x:f>
      </x:c>
      <x:c r="FI49" s="117">
        <x:f>MAX(0,FI20+FI24+FI53+FI57+FI35+FI46-FI27-FI34-FI45)</x:f>
      </x:c>
      <x:c r="FJ49" s="117">
        <x:f>MAX(0,FJ20+FJ24+FJ53+FJ57+FJ35+FJ46-FJ27-FJ34-FJ45)</x:f>
      </x:c>
      <x:c r="FK49" s="117">
        <x:f>MAX(0,FK20+FK24+FK53+FK57+FK35+FK46-FK27-FK34-FK45)</x:f>
      </x:c>
      <x:c r="FL49" s="117">
        <x:f>MAX(0,FL20+FL24+FL53+FL57+FL35+FL46-FL27-FL34-FL45)</x:f>
      </x:c>
      <x:c r="FM49" s="117">
        <x:f>MAX(0,FM20+FM24+FM53+FM57+FM35+FM46-FM27-FM34-FM45)</x:f>
      </x:c>
      <x:c r="FN49" s="117">
        <x:f>MAX(0,FN20+FN24+FN53+FN57+FN35+FN46-FN27-FN34-FN45)</x:f>
      </x:c>
      <x:c r="FO49" s="117">
        <x:f>MAX(0,FO20+FO24+FO53+FO57+FO35+FO46-FO27-FO34-FO45)</x:f>
      </x:c>
      <x:c r="FP49" s="117">
        <x:f>MAX(0,FP20+FP24+FP53+FP57+FP35+FP46-FP27-FP34-FP45)</x:f>
      </x:c>
      <x:c r="FQ49" s="117">
        <x:f>MAX(0,FQ20+FQ24+FQ53+FQ57+FQ35+FQ46-FQ27-FQ34-FQ45)</x:f>
      </x:c>
      <x:c r="FR49" s="117">
        <x:f>MAX(0,FR20+FR24+FR53+FR57+FR35+FR46-FR27-FR34-FR45)</x:f>
      </x:c>
      <x:c r="FS49" s="117">
        <x:f>MAX(0,FS20+FS24+FS53+FS57+FS35+FS46-FS27-FS34-FS45)</x:f>
      </x:c>
      <x:c r="FT49" s="117">
        <x:f>MAX(0,FT20+FT24+FT53+FT57+FT35+FT46-FT27-FT34-FT45)</x:f>
      </x:c>
      <x:c r="FU49" s="117">
        <x:f>MAX(0,FU20+FU24+FU53+FU57+FU35+FU46-FU27-FU34-FU45)</x:f>
      </x:c>
      <x:c r="FV49" s="117">
        <x:f>MAX(0,FV20+FV24+FV53+FV57+FV35+FV46-FV27-FV34-FV45)</x:f>
      </x:c>
      <x:c r="FW49" s="117">
        <x:f>MAX(0,FW20+FW24+FW53+FW57+FW35+FW46-FW27-FW34-FW45)</x:f>
      </x:c>
      <x:c r="FX49" s="117">
        <x:f>MAX(0,FX20+FX24+FX53+FX57+FX35+FX46-FX27-FX34-FX45)</x:f>
      </x:c>
      <x:c r="FY49" s="117">
        <x:f>MAX(0,FY20+FY24+FY53+FY57+FY35+FY46-FY27-FY34-FY45)</x:f>
      </x:c>
      <x:c r="FZ49" s="117">
        <x:f>MAX(0,FZ20+FZ24+FZ53+FZ57+FZ35+FZ46-FZ27-FZ34-FZ45)</x:f>
      </x:c>
      <x:c r="GA49" s="117">
        <x:f>MAX(0,GA20+GA24+GA53+GA57+GA35+GA46-GA27-GA34-GA45)</x:f>
      </x:c>
    </x:row>
    <x:row r="50">
      <x:c r="A50" t="str">
        <x:v>Распределение собственнику</x:v>
      </x:c>
      <x:c r="B50" t="n">
        <x:f>SUM(D50:GA50)</x:f>
      </x:c>
      <x:c r="C50" t="str">
        <x:v>млн ₽</x:v>
      </x:c>
      <x:c r="D50" s="117">
        <x:f>MAX(0,D27+D34+D45-D20-D24-D53-D57-D35-D46)</x:f>
      </x:c>
      <x:c r="E50" s="117">
        <x:f>MAX(0,E27+E34+E45-E20-E24-E53-E57-E35-E46)</x:f>
      </x:c>
      <x:c r="F50" s="117">
        <x:f>MAX(0,F27+F34+F45-F20-F24-F53-F57-F35-F46)</x:f>
      </x:c>
      <x:c r="G50" s="117">
        <x:f>MAX(0,G27+G34+G45-G20-G24-G53-G57-G35-G46)</x:f>
      </x:c>
      <x:c r="H50" s="117">
        <x:f>MAX(0,H27+H34+H45-H20-H24-H53-H57-H35-H46)</x:f>
      </x:c>
      <x:c r="I50" s="117">
        <x:f>MAX(0,I27+I34+I45-I20-I24-I53-I57-I35-I46)</x:f>
      </x:c>
      <x:c r="J50" s="117">
        <x:f>MAX(0,J27+J34+J45-J20-J24-J53-J57-J35-J46)</x:f>
      </x:c>
      <x:c r="K50" s="117">
        <x:f>MAX(0,K27+K34+K45-K20-K24-K53-K57-K35-K46)</x:f>
      </x:c>
      <x:c r="L50" s="117">
        <x:f>MAX(0,L27+L34+L45-L20-L24-L53-L57-L35-L46)</x:f>
      </x:c>
      <x:c r="M50" s="117">
        <x:f>MAX(0,M27+M34+M45-M20-M24-M53-M57-M35-M46)</x:f>
      </x:c>
      <x:c r="N50" s="117">
        <x:f>MAX(0,N27+N34+N45-N20-N24-N53-N57-N35-N46)</x:f>
      </x:c>
      <x:c r="O50" s="117">
        <x:f>MAX(0,O27+O34+O45-O20-O24-O53-O57-O35-O46)</x:f>
      </x:c>
      <x:c r="P50" s="117">
        <x:f>MAX(0,P27+P34+P45-P20-P24-P53-P57-P35-P46)</x:f>
      </x:c>
      <x:c r="Q50" s="117">
        <x:f>MAX(0,Q27+Q34+Q45-Q20-Q24-Q53-Q57-Q35-Q46)</x:f>
      </x:c>
      <x:c r="R50" s="117">
        <x:f>MAX(0,R27+R34+R45-R20-R24-R53-R57-R35-R46)</x:f>
      </x:c>
      <x:c r="S50" s="117">
        <x:f>MAX(0,S27+S34+S45-S20-S24-S53-S57-S35-S46)</x:f>
      </x:c>
      <x:c r="T50" s="117">
        <x:f>MAX(0,T27+T34+T45-T20-T24-T53-T57-T35-T46)</x:f>
      </x:c>
      <x:c r="U50" s="117">
        <x:f>MAX(0,U27+U34+U45-U20-U24-U53-U57-U35-U46)</x:f>
      </x:c>
      <x:c r="V50" s="117">
        <x:f>MAX(0,V27+V34+V45-V20-V24-V53-V57-V35-V46)</x:f>
      </x:c>
      <x:c r="W50" s="117">
        <x:f>MAX(0,W27+W34+W45-W20-W24-W53-W57-W35-W46)</x:f>
      </x:c>
      <x:c r="X50" s="117">
        <x:f>MAX(0,X27+X34+X45-X20-X24-X53-X57-X35-X46)</x:f>
      </x:c>
      <x:c r="Y50" s="117">
        <x:f>MAX(0,Y27+Y34+Y45-Y20-Y24-Y53-Y57-Y35-Y46)</x:f>
      </x:c>
      <x:c r="Z50" s="117">
        <x:f>MAX(0,Z27+Z34+Z45-Z20-Z24-Z53-Z57-Z35-Z46)</x:f>
      </x:c>
      <x:c r="AA50" s="117">
        <x:f>MAX(0,AA27+AA34+AA45-AA20-AA24-AA53-AA57-AA35-AA46)</x:f>
      </x:c>
      <x:c r="AB50" s="117">
        <x:f>MAX(0,AB27+AB34+AB45-AB20-AB24-AB53-AB57-AB35-AB46)</x:f>
      </x:c>
      <x:c r="AC50" s="117">
        <x:f>MAX(0,AC27+AC34+AC45-AC20-AC24-AC53-AC57-AC35-AC46)</x:f>
      </x:c>
      <x:c r="AD50" s="117">
        <x:f>MAX(0,AD27+AD34+AD45-AD20-AD24-AD53-AD57-AD35-AD46)</x:f>
      </x:c>
      <x:c r="AE50" s="117">
        <x:f>MAX(0,AE27+AE34+AE45-AE20-AE24-AE53-AE57-AE35-AE46)</x:f>
      </x:c>
      <x:c r="AF50" s="117">
        <x:f>MAX(0,AF27+AF34+AF45-AF20-AF24-AF53-AF57-AF35-AF46)</x:f>
      </x:c>
      <x:c r="AG50" s="117">
        <x:f>MAX(0,AG27+AG34+AG45-AG20-AG24-AG53-AG57-AG35-AG46)</x:f>
      </x:c>
      <x:c r="AH50" s="117">
        <x:f>MAX(0,AH27+AH34+AH45-AH20-AH24-AH53-AH57-AH35-AH46)</x:f>
      </x:c>
      <x:c r="AI50" s="117">
        <x:f>MAX(0,AI27+AI34+AI45-AI20-AI24-AI53-AI57-AI35-AI46)</x:f>
      </x:c>
      <x:c r="AJ50" s="117">
        <x:f>MAX(0,AJ27+AJ34+AJ45-AJ20-AJ24-AJ53-AJ57-AJ35-AJ46)</x:f>
      </x:c>
      <x:c r="AK50" s="117">
        <x:f>MAX(0,AK27+AK34+AK45-AK20-AK24-AK53-AK57-AK35-AK46)</x:f>
      </x:c>
      <x:c r="AL50" s="117">
        <x:f>MAX(0,AL27+AL34+AL45-AL20-AL24-AL53-AL57-AL35-AL46)</x:f>
      </x:c>
      <x:c r="AM50" s="117">
        <x:f>MAX(0,AM27+AM34+AM45-AM20-AM24-AM53-AM57-AM35-AM46)</x:f>
      </x:c>
      <x:c r="AN50" s="117">
        <x:f>MAX(0,AN27+AN34+AN45-AN20-AN24-AN53-AN57-AN35-AN46)</x:f>
      </x:c>
      <x:c r="AO50" s="117">
        <x:f>MAX(0,AO27+AO34+AO45-AO20-AO24-AO53-AO57-AO35-AO46)</x:f>
      </x:c>
      <x:c r="AP50" s="117">
        <x:f>MAX(0,AP27+AP34+AP45-AP20-AP24-AP53-AP57-AP35-AP46)</x:f>
      </x:c>
      <x:c r="AQ50" s="117">
        <x:f>MAX(0,AQ27+AQ34+AQ45-AQ20-AQ24-AQ53-AQ57-AQ35-AQ46)</x:f>
      </x:c>
      <x:c r="AR50" s="117">
        <x:f>MAX(0,AR27+AR34+AR45-AR20-AR24-AR53-AR57-AR35-AR46)</x:f>
      </x:c>
      <x:c r="AS50" s="117">
        <x:f>MAX(0,AS27+AS34+AS45-AS20-AS24-AS53-AS57-AS35-AS46)</x:f>
      </x:c>
      <x:c r="AT50" s="117">
        <x:f>MAX(0,AT27+AT34+AT45-AT20-AT24-AT53-AT57-AT35-AT46)</x:f>
      </x:c>
      <x:c r="AU50" s="117">
        <x:f>MAX(0,AU27+AU34+AU45-AU20-AU24-AU53-AU57-AU35-AU46)</x:f>
      </x:c>
      <x:c r="AV50" s="117">
        <x:f>MAX(0,AV27+AV34+AV45-AV20-AV24-AV53-AV57-AV35-AV46)</x:f>
      </x:c>
      <x:c r="AW50" s="117">
        <x:f>MAX(0,AW27+AW34+AW45-AW20-AW24-AW53-AW57-AW35-AW46)</x:f>
      </x:c>
      <x:c r="AX50" s="117">
        <x:f>MAX(0,AX27+AX34+AX45-AX20-AX24-AX53-AX57-AX35-AX46)</x:f>
      </x:c>
      <x:c r="AY50" s="117">
        <x:f>MAX(0,AY27+AY34+AY45-AY20-AY24-AY53-AY57-AY35-AY46)</x:f>
      </x:c>
      <x:c r="AZ50" s="117">
        <x:f>MAX(0,AZ27+AZ34+AZ45-AZ20-AZ24-AZ53-AZ57-AZ35-AZ46)</x:f>
      </x:c>
      <x:c r="BA50" s="117">
        <x:f>MAX(0,BA27+BA34+BA45-BA20-BA24-BA53-BA57-BA35-BA46)</x:f>
      </x:c>
      <x:c r="BB50" s="117">
        <x:f>MAX(0,BB27+BB34+BB45-BB20-BB24-BB53-BB57-BB35-BB46)</x:f>
      </x:c>
      <x:c r="BC50" s="117">
        <x:f>MAX(0,BC27+BC34+BC45-BC20-BC24-BC53-BC57-BC35-BC46)</x:f>
      </x:c>
      <x:c r="BD50" s="117">
        <x:f>MAX(0,BD27+BD34+BD45-BD20-BD24-BD53-BD57-BD35-BD46)</x:f>
      </x:c>
      <x:c r="BE50" s="117">
        <x:f>MAX(0,BE27+BE34+BE45-BE20-BE24-BE53-BE57-BE35-BE46)</x:f>
      </x:c>
      <x:c r="BF50" s="117">
        <x:f>MAX(0,BF27+BF34+BF45-BF20-BF24-BF53-BF57-BF35-BF46)</x:f>
      </x:c>
      <x:c r="BG50" s="117">
        <x:f>MAX(0,BG27+BG34+BG45-BG20-BG24-BG53-BG57-BG35-BG46)</x:f>
      </x:c>
      <x:c r="BH50" s="117">
        <x:f>MAX(0,BH27+BH34+BH45-BH20-BH24-BH53-BH57-BH35-BH46)</x:f>
      </x:c>
      <x:c r="BI50" s="117">
        <x:f>MAX(0,BI27+BI34+BI45-BI20-BI24-BI53-BI57-BI35-BI46)</x:f>
      </x:c>
      <x:c r="BJ50" s="117">
        <x:f>MAX(0,BJ27+BJ34+BJ45-BJ20-BJ24-BJ53-BJ57-BJ35-BJ46)</x:f>
      </x:c>
      <x:c r="BK50" s="117">
        <x:f>MAX(0,BK27+BK34+BK45-BK20-BK24-BK53-BK57-BK35-BK46)</x:f>
      </x:c>
      <x:c r="BL50" s="117">
        <x:f>MAX(0,BL27+BL34+BL45-BL20-BL24-BL53-BL57-BL35-BL46)</x:f>
      </x:c>
      <x:c r="BM50" s="117">
        <x:f>MAX(0,BM27+BM34+BM45-BM20-BM24-BM53-BM57-BM35-BM46)</x:f>
      </x:c>
      <x:c r="BN50" s="117">
        <x:f>MAX(0,BN27+BN34+BN45-BN20-BN24-BN53-BN57-BN35-BN46)</x:f>
      </x:c>
      <x:c r="BO50" s="117">
        <x:f>MAX(0,BO27+BO34+BO45-BO20-BO24-BO53-BO57-BO35-BO46)</x:f>
      </x:c>
      <x:c r="BP50" s="117">
        <x:f>MAX(0,BP27+BP34+BP45-BP20-BP24-BP53-BP57-BP35-BP46)</x:f>
      </x:c>
      <x:c r="BQ50" s="117">
        <x:f>MAX(0,BQ27+BQ34+BQ45-BQ20-BQ24-BQ53-BQ57-BQ35-BQ46)</x:f>
      </x:c>
      <x:c r="BR50" s="117">
        <x:f>MAX(0,BR27+BR34+BR45-BR20-BR24-BR53-BR57-BR35-BR46)</x:f>
      </x:c>
      <x:c r="BS50" s="117">
        <x:f>MAX(0,BS27+BS34+BS45-BS20-BS24-BS53-BS57-BS35-BS46)</x:f>
      </x:c>
      <x:c r="BT50" s="117">
        <x:f>MAX(0,BT27+BT34+BT45-BT20-BT24-BT53-BT57-BT35-BT46)</x:f>
      </x:c>
      <x:c r="BU50" s="117">
        <x:f>MAX(0,BU27+BU34+BU45-BU20-BU24-BU53-BU57-BU35-BU46)</x:f>
      </x:c>
      <x:c r="BV50" s="117">
        <x:f>MAX(0,BV27+BV34+BV45-BV20-BV24-BV53-BV57-BV35-BV46)</x:f>
      </x:c>
      <x:c r="BW50" s="117">
        <x:f>MAX(0,BW27+BW34+BW45-BW20-BW24-BW53-BW57-BW35-BW46)</x:f>
      </x:c>
      <x:c r="BX50" s="117">
        <x:f>MAX(0,BX27+BX34+BX45-BX20-BX24-BX53-BX57-BX35-BX46)</x:f>
      </x:c>
      <x:c r="BY50" s="117">
        <x:f>MAX(0,BY27+BY34+BY45-BY20-BY24-BY53-BY57-BY35-BY46)</x:f>
      </x:c>
      <x:c r="BZ50" s="117">
        <x:f>MAX(0,BZ27+BZ34+BZ45-BZ20-BZ24-BZ53-BZ57-BZ35-BZ46)</x:f>
      </x:c>
      <x:c r="CA50" s="117">
        <x:f>MAX(0,CA27+CA34+CA45-CA20-CA24-CA53-CA57-CA35-CA46)</x:f>
      </x:c>
      <x:c r="CB50" s="117">
        <x:f>MAX(0,CB27+CB34+CB45-CB20-CB24-CB53-CB57-CB35-CB46)</x:f>
      </x:c>
      <x:c r="CC50" s="117">
        <x:f>MAX(0,CC27+CC34+CC45-CC20-CC24-CC53-CC57-CC35-CC46)</x:f>
      </x:c>
      <x:c r="CD50" s="117">
        <x:f>MAX(0,CD27+CD34+CD45-CD20-CD24-CD53-CD57-CD35-CD46)</x:f>
      </x:c>
      <x:c r="CE50" s="117">
        <x:f>MAX(0,CE27+CE34+CE45-CE20-CE24-CE53-CE57-CE35-CE46)</x:f>
      </x:c>
      <x:c r="CF50" s="117">
        <x:f>MAX(0,CF27+CF34+CF45-CF20-CF24-CF53-CF57-CF35-CF46)</x:f>
      </x:c>
      <x:c r="CG50" s="117">
        <x:f>MAX(0,CG27+CG34+CG45-CG20-CG24-CG53-CG57-CG35-CG46)</x:f>
      </x:c>
      <x:c r="CH50" s="117">
        <x:f>MAX(0,CH27+CH34+CH45-CH20-CH24-CH53-CH57-CH35-CH46)</x:f>
      </x:c>
      <x:c r="CI50" s="117">
        <x:f>MAX(0,CI27+CI34+CI45-CI20-CI24-CI53-CI57-CI35-CI46)</x:f>
      </x:c>
      <x:c r="CJ50" s="117">
        <x:f>MAX(0,CJ27+CJ34+CJ45-CJ20-CJ24-CJ53-CJ57-CJ35-CJ46)</x:f>
      </x:c>
      <x:c r="CK50" s="117">
        <x:f>MAX(0,CK27+CK34+CK45-CK20-CK24-CK53-CK57-CK35-CK46)</x:f>
      </x:c>
      <x:c r="CL50" s="117">
        <x:f>MAX(0,CL27+CL34+CL45-CL20-CL24-CL53-CL57-CL35-CL46)</x:f>
      </x:c>
      <x:c r="CM50" s="117">
        <x:f>MAX(0,CM27+CM34+CM45-CM20-CM24-CM53-CM57-CM35-CM46)</x:f>
      </x:c>
      <x:c r="CN50" s="117">
        <x:f>MAX(0,CN27+CN34+CN45-CN20-CN24-CN53-CN57-CN35-CN46)</x:f>
      </x:c>
      <x:c r="CO50" s="117">
        <x:f>MAX(0,CO27+CO34+CO45-CO20-CO24-CO53-CO57-CO35-CO46)</x:f>
      </x:c>
      <x:c r="CP50" s="117">
        <x:f>MAX(0,CP27+CP34+CP45-CP20-CP24-CP53-CP57-CP35-CP46)</x:f>
      </x:c>
      <x:c r="CQ50" s="117">
        <x:f>MAX(0,CQ27+CQ34+CQ45-CQ20-CQ24-CQ53-CQ57-CQ35-CQ46)</x:f>
      </x:c>
      <x:c r="CR50" s="117">
        <x:f>MAX(0,CR27+CR34+CR45-CR20-CR24-CR53-CR57-CR35-CR46)</x:f>
      </x:c>
      <x:c r="CS50" s="117">
        <x:f>MAX(0,CS27+CS34+CS45-CS20-CS24-CS53-CS57-CS35-CS46)</x:f>
      </x:c>
      <x:c r="CT50" s="117">
        <x:f>MAX(0,CT27+CT34+CT45-CT20-CT24-CT53-CT57-CT35-CT46)</x:f>
      </x:c>
      <x:c r="CU50" s="117">
        <x:f>MAX(0,CU27+CU34+CU45-CU20-CU24-CU53-CU57-CU35-CU46)</x:f>
      </x:c>
      <x:c r="CV50" s="117">
        <x:f>MAX(0,CV27+CV34+CV45-CV20-CV24-CV53-CV57-CV35-CV46)</x:f>
      </x:c>
      <x:c r="CW50" s="117">
        <x:f>MAX(0,CW27+CW34+CW45-CW20-CW24-CW53-CW57-CW35-CW46)</x:f>
      </x:c>
      <x:c r="CX50" s="117">
        <x:f>MAX(0,CX27+CX34+CX45-CX20-CX24-CX53-CX57-CX35-CX46)</x:f>
      </x:c>
      <x:c r="CY50" s="117">
        <x:f>MAX(0,CY27+CY34+CY45-CY20-CY24-CY53-CY57-CY35-CY46)</x:f>
      </x:c>
      <x:c r="CZ50" s="117">
        <x:f>MAX(0,CZ27+CZ34+CZ45-CZ20-CZ24-CZ53-CZ57-CZ35-CZ46)</x:f>
      </x:c>
      <x:c r="DA50" s="117">
        <x:f>MAX(0,DA27+DA34+DA45-DA20-DA24-DA53-DA57-DA35-DA46)</x:f>
      </x:c>
      <x:c r="DB50" s="117">
        <x:f>MAX(0,DB27+DB34+DB45-DB20-DB24-DB53-DB57-DB35-DB46)</x:f>
      </x:c>
      <x:c r="DC50" s="117">
        <x:f>MAX(0,DC27+DC34+DC45-DC20-DC24-DC53-DC57-DC35-DC46)</x:f>
      </x:c>
      <x:c r="DD50" s="117">
        <x:f>MAX(0,DD27+DD34+DD45-DD20-DD24-DD53-DD57-DD35-DD46)</x:f>
      </x:c>
      <x:c r="DE50" s="117">
        <x:f>MAX(0,DE27+DE34+DE45-DE20-DE24-DE53-DE57-DE35-DE46)</x:f>
      </x:c>
      <x:c r="DF50" s="117">
        <x:f>MAX(0,DF27+DF34+DF45-DF20-DF24-DF53-DF57-DF35-DF46)</x:f>
      </x:c>
      <x:c r="DG50" s="117">
        <x:f>MAX(0,DG27+DG34+DG45-DG20-DG24-DG53-DG57-DG35-DG46)</x:f>
      </x:c>
      <x:c r="DH50" s="117">
        <x:f>MAX(0,DH27+DH34+DH45-DH20-DH24-DH53-DH57-DH35-DH46)</x:f>
      </x:c>
      <x:c r="DI50" s="117">
        <x:f>MAX(0,DI27+DI34+DI45-DI20-DI24-DI53-DI57-DI35-DI46)</x:f>
      </x:c>
      <x:c r="DJ50" s="117">
        <x:f>MAX(0,DJ27+DJ34+DJ45-DJ20-DJ24-DJ53-DJ57-DJ35-DJ46)</x:f>
      </x:c>
      <x:c r="DK50" s="117">
        <x:f>MAX(0,DK27+DK34+DK45-DK20-DK24-DK53-DK57-DK35-DK46)</x:f>
      </x:c>
      <x:c r="DL50" s="117">
        <x:f>MAX(0,DL27+DL34+DL45-DL20-DL24-DL53-DL57-DL35-DL46)</x:f>
      </x:c>
      <x:c r="DM50" s="117">
        <x:f>MAX(0,DM27+DM34+DM45-DM20-DM24-DM53-DM57-DM35-DM46)</x:f>
      </x:c>
      <x:c r="DN50" s="117">
        <x:f>MAX(0,DN27+DN34+DN45-DN20-DN24-DN53-DN57-DN35-DN46)</x:f>
      </x:c>
      <x:c r="DO50" s="117">
        <x:f>MAX(0,DO27+DO34+DO45-DO20-DO24-DO53-DO57-DO35-DO46)</x:f>
      </x:c>
      <x:c r="DP50" s="117">
        <x:f>MAX(0,DP27+DP34+DP45-DP20-DP24-DP53-DP57-DP35-DP46)</x:f>
      </x:c>
      <x:c r="DQ50" s="117">
        <x:f>MAX(0,DQ27+DQ34+DQ45-DQ20-DQ24-DQ53-DQ57-DQ35-DQ46)</x:f>
      </x:c>
      <x:c r="DR50" s="117">
        <x:f>MAX(0,DR27+DR34+DR45-DR20-DR24-DR53-DR57-DR35-DR46)</x:f>
      </x:c>
      <x:c r="DS50" s="117">
        <x:f>MAX(0,DS27+DS34+DS45-DS20-DS24-DS53-DS57-DS35-DS46)</x:f>
      </x:c>
      <x:c r="DT50" s="117">
        <x:f>MAX(0,DT27+DT34+DT45-DT20-DT24-DT53-DT57-DT35-DT46)</x:f>
      </x:c>
      <x:c r="DU50" s="117">
        <x:f>MAX(0,DU27+DU34+DU45-DU20-DU24-DU53-DU57-DU35-DU46)</x:f>
      </x:c>
      <x:c r="DV50" s="117">
        <x:f>MAX(0,DV27+DV34+DV45-DV20-DV24-DV53-DV57-DV35-DV46)</x:f>
      </x:c>
      <x:c r="DW50" s="117">
        <x:f>MAX(0,DW27+DW34+DW45-DW20-DW24-DW53-DW57-DW35-DW46)</x:f>
      </x:c>
      <x:c r="DX50" s="117">
        <x:f>MAX(0,DX27+DX34+DX45-DX20-DX24-DX53-DX57-DX35-DX46)</x:f>
      </x:c>
      <x:c r="DY50" s="117">
        <x:f>MAX(0,DY27+DY34+DY45-DY20-DY24-DY53-DY57-DY35-DY46)</x:f>
      </x:c>
      <x:c r="DZ50" s="117">
        <x:f>MAX(0,DZ27+DZ34+DZ45-DZ20-DZ24-DZ53-DZ57-DZ35-DZ46)</x:f>
      </x:c>
      <x:c r="EA50" s="117">
        <x:f>MAX(0,EA27+EA34+EA45-EA20-EA24-EA53-EA57-EA35-EA46)</x:f>
      </x:c>
      <x:c r="EB50" s="117">
        <x:f>MAX(0,EB27+EB34+EB45-EB20-EB24-EB53-EB57-EB35-EB46)</x:f>
      </x:c>
      <x:c r="EC50" s="117">
        <x:f>MAX(0,EC27+EC34+EC45-EC20-EC24-EC53-EC57-EC35-EC46)</x:f>
      </x:c>
      <x:c r="ED50" s="117">
        <x:f>MAX(0,ED27+ED34+ED45-ED20-ED24-ED53-ED57-ED35-ED46)</x:f>
      </x:c>
      <x:c r="EE50" s="117">
        <x:f>MAX(0,EE27+EE34+EE45-EE20-EE24-EE53-EE57-EE35-EE46)</x:f>
      </x:c>
      <x:c r="EF50" s="117">
        <x:f>MAX(0,EF27+EF34+EF45-EF20-EF24-EF53-EF57-EF35-EF46)</x:f>
      </x:c>
      <x:c r="EG50" s="117">
        <x:f>MAX(0,EG27+EG34+EG45-EG20-EG24-EG53-EG57-EG35-EG46)</x:f>
      </x:c>
      <x:c r="EH50" s="117">
        <x:f>MAX(0,EH27+EH34+EH45-EH20-EH24-EH53-EH57-EH35-EH46)</x:f>
      </x:c>
      <x:c r="EI50" s="117">
        <x:f>MAX(0,EI27+EI34+EI45-EI20-EI24-EI53-EI57-EI35-EI46)</x:f>
      </x:c>
      <x:c r="EJ50" s="117">
        <x:f>MAX(0,EJ27+EJ34+EJ45-EJ20-EJ24-EJ53-EJ57-EJ35-EJ46)</x:f>
      </x:c>
      <x:c r="EK50" s="117">
        <x:f>MAX(0,EK27+EK34+EK45-EK20-EK24-EK53-EK57-EK35-EK46)</x:f>
      </x:c>
      <x:c r="EL50" s="117">
        <x:f>MAX(0,EL27+EL34+EL45-EL20-EL24-EL53-EL57-EL35-EL46)</x:f>
      </x:c>
      <x:c r="EM50" s="117">
        <x:f>MAX(0,EM27+EM34+EM45-EM20-EM24-EM53-EM57-EM35-EM46)</x:f>
      </x:c>
      <x:c r="EN50" s="117">
        <x:f>MAX(0,EN27+EN34+EN45-EN20-EN24-EN53-EN57-EN35-EN46)</x:f>
      </x:c>
      <x:c r="EO50" s="117">
        <x:f>MAX(0,EO27+EO34+EO45-EO20-EO24-EO53-EO57-EO35-EO46)</x:f>
      </x:c>
      <x:c r="EP50" s="117">
        <x:f>MAX(0,EP27+EP34+EP45-EP20-EP24-EP53-EP57-EP35-EP46)</x:f>
      </x:c>
      <x:c r="EQ50" s="117">
        <x:f>MAX(0,EQ27+EQ34+EQ45-EQ20-EQ24-EQ53-EQ57-EQ35-EQ46)</x:f>
      </x:c>
      <x:c r="ER50" s="117">
        <x:f>MAX(0,ER27+ER34+ER45-ER20-ER24-ER53-ER57-ER35-ER46)</x:f>
      </x:c>
      <x:c r="ES50" s="117">
        <x:f>MAX(0,ES27+ES34+ES45-ES20-ES24-ES53-ES57-ES35-ES46)</x:f>
      </x:c>
      <x:c r="ET50" s="117">
        <x:f>MAX(0,ET27+ET34+ET45-ET20-ET24-ET53-ET57-ET35-ET46)</x:f>
      </x:c>
      <x:c r="EU50" s="117">
        <x:f>MAX(0,EU27+EU34+EU45-EU20-EU24-EU53-EU57-EU35-EU46)</x:f>
      </x:c>
      <x:c r="EV50" s="117">
        <x:f>MAX(0,EV27+EV34+EV45-EV20-EV24-EV53-EV57-EV35-EV46)</x:f>
      </x:c>
      <x:c r="EW50" s="117">
        <x:f>MAX(0,EW27+EW34+EW45-EW20-EW24-EW53-EW57-EW35-EW46)</x:f>
      </x:c>
      <x:c r="EX50" s="117">
        <x:f>MAX(0,EX27+EX34+EX45-EX20-EX24-EX53-EX57-EX35-EX46)</x:f>
      </x:c>
      <x:c r="EY50" s="117">
        <x:f>MAX(0,EY27+EY34+EY45-EY20-EY24-EY53-EY57-EY35-EY46)</x:f>
      </x:c>
      <x:c r="EZ50" s="117">
        <x:f>MAX(0,EZ27+EZ34+EZ45-EZ20-EZ24-EZ53-EZ57-EZ35-EZ46)</x:f>
      </x:c>
      <x:c r="FA50" s="117">
        <x:f>MAX(0,FA27+FA34+FA45-FA20-FA24-FA53-FA57-FA35-FA46)</x:f>
      </x:c>
      <x:c r="FB50" s="117">
        <x:f>MAX(0,FB27+FB34+FB45-FB20-FB24-FB53-FB57-FB35-FB46)</x:f>
      </x:c>
      <x:c r="FC50" s="117">
        <x:f>MAX(0,FC27+FC34+FC45-FC20-FC24-FC53-FC57-FC35-FC46)</x:f>
      </x:c>
      <x:c r="FD50" s="117">
        <x:f>MAX(0,FD27+FD34+FD45-FD20-FD24-FD53-FD57-FD35-FD46)</x:f>
      </x:c>
      <x:c r="FE50" s="117">
        <x:f>MAX(0,FE27+FE34+FE45-FE20-FE24-FE53-FE57-FE35-FE46)</x:f>
      </x:c>
      <x:c r="FF50" s="117">
        <x:f>MAX(0,FF27+FF34+FF45-FF20-FF24-FF53-FF57-FF35-FF46)</x:f>
      </x:c>
      <x:c r="FG50" s="117">
        <x:f>MAX(0,FG27+FG34+FG45-FG20-FG24-FG53-FG57-FG35-FG46)</x:f>
      </x:c>
      <x:c r="FH50" s="117">
        <x:f>MAX(0,FH27+FH34+FH45-FH20-FH24-FH53-FH57-FH35-FH46)</x:f>
      </x:c>
      <x:c r="FI50" s="117">
        <x:f>MAX(0,FI27+FI34+FI45-FI20-FI24-FI53-FI57-FI35-FI46)</x:f>
      </x:c>
      <x:c r="FJ50" s="117">
        <x:f>MAX(0,FJ27+FJ34+FJ45-FJ20-FJ24-FJ53-FJ57-FJ35-FJ46)</x:f>
      </x:c>
      <x:c r="FK50" s="117">
        <x:f>MAX(0,FK27+FK34+FK45-FK20-FK24-FK53-FK57-FK35-FK46)</x:f>
      </x:c>
      <x:c r="FL50" s="117">
        <x:f>MAX(0,FL27+FL34+FL45-FL20-FL24-FL53-FL57-FL35-FL46)</x:f>
      </x:c>
      <x:c r="FM50" s="117">
        <x:f>MAX(0,FM27+FM34+FM45-FM20-FM24-FM53-FM57-FM35-FM46)</x:f>
      </x:c>
      <x:c r="FN50" s="117">
        <x:f>MAX(0,FN27+FN34+FN45-FN20-FN24-FN53-FN57-FN35-FN46)</x:f>
      </x:c>
      <x:c r="FO50" s="117">
        <x:f>MAX(0,FO27+FO34+FO45-FO20-FO24-FO53-FO57-FO35-FO46)</x:f>
      </x:c>
      <x:c r="FP50" s="117">
        <x:f>MAX(0,FP27+FP34+FP45-FP20-FP24-FP53-FP57-FP35-FP46)</x:f>
      </x:c>
      <x:c r="FQ50" s="117">
        <x:f>MAX(0,FQ27+FQ34+FQ45-FQ20-FQ24-FQ53-FQ57-FQ35-FQ46)</x:f>
      </x:c>
      <x:c r="FR50" s="117">
        <x:f>MAX(0,FR27+FR34+FR45-FR20-FR24-FR53-FR57-FR35-FR46)</x:f>
      </x:c>
      <x:c r="FS50" s="117">
        <x:f>MAX(0,FS27+FS34+FS45-FS20-FS24-FS53-FS57-FS35-FS46)</x:f>
      </x:c>
      <x:c r="FT50" s="117">
        <x:f>MAX(0,FT27+FT34+FT45-FT20-FT24-FT53-FT57-FT35-FT46)</x:f>
      </x:c>
      <x:c r="FU50" s="117">
        <x:f>MAX(0,FU27+FU34+FU45-FU20-FU24-FU53-FU57-FU35-FU46)</x:f>
      </x:c>
      <x:c r="FV50" s="117">
        <x:f>MAX(0,FV27+FV34+FV45-FV20-FV24-FV53-FV57-FV35-FV46)</x:f>
      </x:c>
      <x:c r="FW50" s="117">
        <x:f>MAX(0,FW27+FW34+FW45-FW20-FW24-FW53-FW57-FW35-FW46)</x:f>
      </x:c>
      <x:c r="FX50" s="117">
        <x:f>MAX(0,FX27+FX34+FX45-FX20-FX24-FX53-FX57-FX35-FX46)</x:f>
      </x:c>
      <x:c r="FY50" s="117">
        <x:f>MAX(0,FY27+FY34+FY45-FY20-FY24-FY53-FY57-FY35-FY46)</x:f>
      </x:c>
      <x:c r="FZ50" s="117">
        <x:f>MAX(0,FZ27+FZ34+FZ45-FZ20-FZ24-FZ53-FZ57-FZ35-FZ46)</x:f>
      </x:c>
      <x:c r="GA50" s="117">
        <x:f>MAX(0,GA27+GA34+GA45-GA20-GA24-GA53-GA57-GA35-GA46)</x:f>
      </x:c>
    </x:row>
    <x:row r="51">
      <x:c r="A51" s="113" t="str">
        <x:v>Чистый CF собственного капитала</x:v>
      </x:c>
      <x:c r="B51" s="113" t="n">
        <x:f>SUM(D51:GA51)</x:f>
      </x:c>
      <x:c r="C51" s="113" t="str">
        <x:v>млн ₽</x:v>
      </x:c>
      <x:c r="D51" s="120" t="n">
        <x:f>D50-D49</x:f>
      </x:c>
      <x:c r="E51" s="120" t="n">
        <x:f>E50-E49</x:f>
      </x:c>
      <x:c r="F51" s="120" t="n">
        <x:f>F50-F49</x:f>
      </x:c>
      <x:c r="G51" s="120" t="n">
        <x:f>G50-G49</x:f>
      </x:c>
      <x:c r="H51" s="120" t="n">
        <x:f>H50-H49</x:f>
      </x:c>
      <x:c r="I51" s="120" t="n">
        <x:f>I50-I49</x:f>
      </x:c>
      <x:c r="J51" s="120" t="n">
        <x:f>J50-J49</x:f>
      </x:c>
      <x:c r="K51" s="120" t="n">
        <x:f>K50-K49</x:f>
      </x:c>
      <x:c r="L51" s="120" t="n">
        <x:f>L50-L49</x:f>
      </x:c>
      <x:c r="M51" s="120" t="n">
        <x:f>M50-M49</x:f>
      </x:c>
      <x:c r="N51" s="120" t="n">
        <x:f>N50-N49</x:f>
      </x:c>
      <x:c r="O51" s="120" t="n">
        <x:f>O50-O49</x:f>
      </x:c>
      <x:c r="P51" s="120" t="n">
        <x:f>P50-P49</x:f>
      </x:c>
      <x:c r="Q51" s="120" t="n">
        <x:f>Q50-Q49</x:f>
      </x:c>
      <x:c r="R51" s="120" t="n">
        <x:f>R50-R49</x:f>
      </x:c>
      <x:c r="S51" s="120" t="n">
        <x:f>S50-S49</x:f>
      </x:c>
      <x:c r="T51" s="120" t="n">
        <x:f>T50-T49</x:f>
      </x:c>
      <x:c r="U51" s="120" t="n">
        <x:f>U50-U49</x:f>
      </x:c>
      <x:c r="V51" s="120" t="n">
        <x:f>V50-V49</x:f>
      </x:c>
      <x:c r="W51" s="120" t="n">
        <x:f>W50-W49</x:f>
      </x:c>
      <x:c r="X51" s="120" t="n">
        <x:f>X50-X49</x:f>
      </x:c>
      <x:c r="Y51" s="120" t="n">
        <x:f>Y50-Y49</x:f>
      </x:c>
      <x:c r="Z51" s="120" t="n">
        <x:f>Z50-Z49</x:f>
      </x:c>
      <x:c r="AA51" s="120" t="n">
        <x:f>AA50-AA49</x:f>
      </x:c>
      <x:c r="AB51" s="120" t="n">
        <x:f>AB50-AB49</x:f>
      </x:c>
      <x:c r="AC51" s="120" t="n">
        <x:f>AC50-AC49</x:f>
      </x:c>
      <x:c r="AD51" s="120" t="n">
        <x:f>AD50-AD49</x:f>
      </x:c>
      <x:c r="AE51" s="120" t="n">
        <x:f>AE50-AE49</x:f>
      </x:c>
      <x:c r="AF51" s="120" t="n">
        <x:f>AF50-AF49</x:f>
      </x:c>
      <x:c r="AG51" s="120" t="n">
        <x:f>AG50-AG49</x:f>
      </x:c>
      <x:c r="AH51" s="120" t="n">
        <x:f>AH50-AH49</x:f>
      </x:c>
      <x:c r="AI51" s="120" t="n">
        <x:f>AI50-AI49</x:f>
      </x:c>
      <x:c r="AJ51" s="120" t="n">
        <x:f>AJ50-AJ49</x:f>
      </x:c>
      <x:c r="AK51" s="120" t="n">
        <x:f>AK50-AK49</x:f>
      </x:c>
      <x:c r="AL51" s="120" t="n">
        <x:f>AL50-AL49</x:f>
      </x:c>
      <x:c r="AM51" s="120" t="n">
        <x:f>AM50-AM49</x:f>
      </x:c>
      <x:c r="AN51" s="120" t="n">
        <x:f>AN50-AN49</x:f>
      </x:c>
      <x:c r="AO51" s="120" t="n">
        <x:f>AO50-AO49</x:f>
      </x:c>
      <x:c r="AP51" s="120" t="n">
        <x:f>AP50-AP49</x:f>
      </x:c>
      <x:c r="AQ51" s="120" t="n">
        <x:f>AQ50-AQ49</x:f>
      </x:c>
      <x:c r="AR51" s="120" t="n">
        <x:f>AR50-AR49</x:f>
      </x:c>
      <x:c r="AS51" s="120" t="n">
        <x:f>AS50-AS49</x:f>
      </x:c>
      <x:c r="AT51" s="120" t="n">
        <x:f>AT50-AT49</x:f>
      </x:c>
      <x:c r="AU51" s="120" t="n">
        <x:f>AU50-AU49</x:f>
      </x:c>
      <x:c r="AV51" s="120" t="n">
        <x:f>AV50-AV49</x:f>
      </x:c>
      <x:c r="AW51" s="120" t="n">
        <x:f>AW50-AW49</x:f>
      </x:c>
      <x:c r="AX51" s="120" t="n">
        <x:f>AX50-AX49</x:f>
      </x:c>
      <x:c r="AY51" s="120" t="n">
        <x:f>AY50-AY49</x:f>
      </x:c>
      <x:c r="AZ51" s="120" t="n">
        <x:f>AZ50-AZ49</x:f>
      </x:c>
      <x:c r="BA51" s="120" t="n">
        <x:f>BA50-BA49</x:f>
      </x:c>
      <x:c r="BB51" s="120" t="n">
        <x:f>BB50-BB49</x:f>
      </x:c>
      <x:c r="BC51" s="120" t="n">
        <x:f>BC50-BC49</x:f>
      </x:c>
      <x:c r="BD51" s="120" t="n">
        <x:f>BD50-BD49</x:f>
      </x:c>
      <x:c r="BE51" s="120" t="n">
        <x:f>BE50-BE49</x:f>
      </x:c>
      <x:c r="BF51" s="120" t="n">
        <x:f>BF50-BF49</x:f>
      </x:c>
      <x:c r="BG51" s="120" t="n">
        <x:f>BG50-BG49</x:f>
      </x:c>
      <x:c r="BH51" s="120" t="n">
        <x:f>BH50-BH49</x:f>
      </x:c>
      <x:c r="BI51" s="120" t="n">
        <x:f>BI50-BI49</x:f>
      </x:c>
      <x:c r="BJ51" s="120" t="n">
        <x:f>BJ50-BJ49</x:f>
      </x:c>
      <x:c r="BK51" s="120" t="n">
        <x:f>BK50-BK49</x:f>
      </x:c>
      <x:c r="BL51" s="120" t="n">
        <x:f>BL50-BL49</x:f>
      </x:c>
      <x:c r="BM51" s="120" t="n">
        <x:f>BM50-BM49</x:f>
      </x:c>
      <x:c r="BN51" s="120" t="n">
        <x:f>BN50-BN49</x:f>
      </x:c>
      <x:c r="BO51" s="120" t="n">
        <x:f>BO50-BO49</x:f>
      </x:c>
      <x:c r="BP51" s="120" t="n">
        <x:f>BP50-BP49</x:f>
      </x:c>
      <x:c r="BQ51" s="120" t="n">
        <x:f>BQ50-BQ49</x:f>
      </x:c>
      <x:c r="BR51" s="120" t="n">
        <x:f>BR50-BR49</x:f>
      </x:c>
      <x:c r="BS51" s="120" t="n">
        <x:f>BS50-BS49</x:f>
      </x:c>
      <x:c r="BT51" s="120" t="n">
        <x:f>BT50-BT49</x:f>
      </x:c>
      <x:c r="BU51" s="120" t="n">
        <x:f>BU50-BU49</x:f>
      </x:c>
      <x:c r="BV51" s="120" t="n">
        <x:f>BV50-BV49</x:f>
      </x:c>
      <x:c r="BW51" s="120" t="n">
        <x:f>BW50-BW49</x:f>
      </x:c>
      <x:c r="BX51" s="120" t="n">
        <x:f>BX50-BX49</x:f>
      </x:c>
      <x:c r="BY51" s="120" t="n">
        <x:f>BY50-BY49</x:f>
      </x:c>
      <x:c r="BZ51" s="120" t="n">
        <x:f>BZ50-BZ49</x:f>
      </x:c>
      <x:c r="CA51" s="120" t="n">
        <x:f>CA50-CA49</x:f>
      </x:c>
      <x:c r="CB51" s="120" t="n">
        <x:f>CB50-CB49</x:f>
      </x:c>
      <x:c r="CC51" s="120" t="n">
        <x:f>CC50-CC49</x:f>
      </x:c>
      <x:c r="CD51" s="120" t="n">
        <x:f>CD50-CD49</x:f>
      </x:c>
      <x:c r="CE51" s="120" t="n">
        <x:f>CE50-CE49</x:f>
      </x:c>
      <x:c r="CF51" s="120" t="n">
        <x:f>CF50-CF49</x:f>
      </x:c>
      <x:c r="CG51" s="120" t="n">
        <x:f>CG50-CG49</x:f>
      </x:c>
      <x:c r="CH51" s="120" t="n">
        <x:f>CH50-CH49</x:f>
      </x:c>
      <x:c r="CI51" s="120" t="n">
        <x:f>CI50-CI49</x:f>
      </x:c>
      <x:c r="CJ51" s="120" t="n">
        <x:f>CJ50-CJ49</x:f>
      </x:c>
      <x:c r="CK51" s="120" t="n">
        <x:f>CK50-CK49</x:f>
      </x:c>
      <x:c r="CL51" s="120" t="n">
        <x:f>CL50-CL49</x:f>
      </x:c>
      <x:c r="CM51" s="120" t="n">
        <x:f>CM50-CM49</x:f>
      </x:c>
      <x:c r="CN51" s="120" t="n">
        <x:f>CN50-CN49</x:f>
      </x:c>
      <x:c r="CO51" s="120" t="n">
        <x:f>CO50-CO49</x:f>
      </x:c>
      <x:c r="CP51" s="120" t="n">
        <x:f>CP50-CP49</x:f>
      </x:c>
      <x:c r="CQ51" s="120" t="n">
        <x:f>CQ50-CQ49</x:f>
      </x:c>
      <x:c r="CR51" s="120" t="n">
        <x:f>CR50-CR49</x:f>
      </x:c>
      <x:c r="CS51" s="120" t="n">
        <x:f>CS50-CS49</x:f>
      </x:c>
      <x:c r="CT51" s="120" t="n">
        <x:f>CT50-CT49</x:f>
      </x:c>
      <x:c r="CU51" s="120" t="n">
        <x:f>CU50-CU49</x:f>
      </x:c>
      <x:c r="CV51" s="120" t="n">
        <x:f>CV50-CV49</x:f>
      </x:c>
      <x:c r="CW51" s="120" t="n">
        <x:f>CW50-CW49</x:f>
      </x:c>
      <x:c r="CX51" s="120" t="n">
        <x:f>CX50-CX49</x:f>
      </x:c>
      <x:c r="CY51" s="120" t="n">
        <x:f>CY50-CY49</x:f>
      </x:c>
      <x:c r="CZ51" s="120" t="n">
        <x:f>CZ50-CZ49</x:f>
      </x:c>
      <x:c r="DA51" s="120" t="n">
        <x:f>DA50-DA49</x:f>
      </x:c>
      <x:c r="DB51" s="120" t="n">
        <x:f>DB50-DB49</x:f>
      </x:c>
      <x:c r="DC51" s="120" t="n">
        <x:f>DC50-DC49</x:f>
      </x:c>
      <x:c r="DD51" s="120" t="n">
        <x:f>DD50-DD49</x:f>
      </x:c>
      <x:c r="DE51" s="120" t="n">
        <x:f>DE50-DE49</x:f>
      </x:c>
      <x:c r="DF51" s="120" t="n">
        <x:f>DF50-DF49</x:f>
      </x:c>
      <x:c r="DG51" s="120" t="n">
        <x:f>DG50-DG49</x:f>
      </x:c>
      <x:c r="DH51" s="120" t="n">
        <x:f>DH50-DH49</x:f>
      </x:c>
      <x:c r="DI51" s="120" t="n">
        <x:f>DI50-DI49</x:f>
      </x:c>
      <x:c r="DJ51" s="120" t="n">
        <x:f>DJ50-DJ49</x:f>
      </x:c>
      <x:c r="DK51" s="120" t="n">
        <x:f>DK50-DK49</x:f>
      </x:c>
      <x:c r="DL51" s="120" t="n">
        <x:f>DL50-DL49</x:f>
      </x:c>
      <x:c r="DM51" s="120" t="n">
        <x:f>DM50-DM49</x:f>
      </x:c>
      <x:c r="DN51" s="120" t="n">
        <x:f>DN50-DN49</x:f>
      </x:c>
      <x:c r="DO51" s="120" t="n">
        <x:f>DO50-DO49</x:f>
      </x:c>
      <x:c r="DP51" s="120" t="n">
        <x:f>DP50-DP49</x:f>
      </x:c>
      <x:c r="DQ51" s="120" t="n">
        <x:f>DQ50-DQ49</x:f>
      </x:c>
      <x:c r="DR51" s="120" t="n">
        <x:f>DR50-DR49</x:f>
      </x:c>
      <x:c r="DS51" s="120" t="n">
        <x:f>DS50-DS49</x:f>
      </x:c>
      <x:c r="DT51" s="120" t="n">
        <x:f>DT50-DT49</x:f>
      </x:c>
      <x:c r="DU51" s="120" t="n">
        <x:f>DU50-DU49</x:f>
      </x:c>
      <x:c r="DV51" s="120" t="n">
        <x:f>DV50-DV49</x:f>
      </x:c>
      <x:c r="DW51" s="120" t="n">
        <x:f>DW50-DW49</x:f>
      </x:c>
      <x:c r="DX51" s="120" t="n">
        <x:f>DX50-DX49</x:f>
      </x:c>
      <x:c r="DY51" s="120" t="n">
        <x:f>DY50-DY49</x:f>
      </x:c>
      <x:c r="DZ51" s="120" t="n">
        <x:f>DZ50-DZ49</x:f>
      </x:c>
      <x:c r="EA51" s="120" t="n">
        <x:f>EA50-EA49</x:f>
      </x:c>
      <x:c r="EB51" s="120" t="n">
        <x:f>EB50-EB49</x:f>
      </x:c>
      <x:c r="EC51" s="120" t="n">
        <x:f>EC50-EC49</x:f>
      </x:c>
      <x:c r="ED51" s="120" t="n">
        <x:f>ED50-ED49</x:f>
      </x:c>
      <x:c r="EE51" s="120" t="n">
        <x:f>EE50-EE49</x:f>
      </x:c>
      <x:c r="EF51" s="120" t="n">
        <x:f>EF50-EF49</x:f>
      </x:c>
      <x:c r="EG51" s="120" t="n">
        <x:f>EG50-EG49</x:f>
      </x:c>
      <x:c r="EH51" s="120" t="n">
        <x:f>EH50-EH49</x:f>
      </x:c>
      <x:c r="EI51" s="120" t="n">
        <x:f>EI50-EI49</x:f>
      </x:c>
      <x:c r="EJ51" s="120" t="n">
        <x:f>EJ50-EJ49</x:f>
      </x:c>
      <x:c r="EK51" s="120" t="n">
        <x:f>EK50-EK49</x:f>
      </x:c>
      <x:c r="EL51" s="120" t="n">
        <x:f>EL50-EL49</x:f>
      </x:c>
      <x:c r="EM51" s="120" t="n">
        <x:f>EM50-EM49</x:f>
      </x:c>
      <x:c r="EN51" s="120" t="n">
        <x:f>EN50-EN49</x:f>
      </x:c>
      <x:c r="EO51" s="120" t="n">
        <x:f>EO50-EO49</x:f>
      </x:c>
      <x:c r="EP51" s="120" t="n">
        <x:f>EP50-EP49</x:f>
      </x:c>
      <x:c r="EQ51" s="120" t="n">
        <x:f>EQ50-EQ49</x:f>
      </x:c>
      <x:c r="ER51" s="120" t="n">
        <x:f>ER50-ER49</x:f>
      </x:c>
      <x:c r="ES51" s="120" t="n">
        <x:f>ES50-ES49</x:f>
      </x:c>
      <x:c r="ET51" s="120" t="n">
        <x:f>ET50-ET49</x:f>
      </x:c>
      <x:c r="EU51" s="120" t="n">
        <x:f>EU50-EU49</x:f>
      </x:c>
      <x:c r="EV51" s="120" t="n">
        <x:f>EV50-EV49</x:f>
      </x:c>
      <x:c r="EW51" s="120" t="n">
        <x:f>EW50-EW49</x:f>
      </x:c>
      <x:c r="EX51" s="120" t="n">
        <x:f>EX50-EX49</x:f>
      </x:c>
      <x:c r="EY51" s="120" t="n">
        <x:f>EY50-EY49</x:f>
      </x:c>
      <x:c r="EZ51" s="120" t="n">
        <x:f>EZ50-EZ49</x:f>
      </x:c>
      <x:c r="FA51" s="120" t="n">
        <x:f>FA50-FA49</x:f>
      </x:c>
      <x:c r="FB51" s="120" t="n">
        <x:f>FB50-FB49</x:f>
      </x:c>
      <x:c r="FC51" s="120" t="n">
        <x:f>FC50-FC49</x:f>
      </x:c>
      <x:c r="FD51" s="120" t="n">
        <x:f>FD50-FD49</x:f>
      </x:c>
      <x:c r="FE51" s="120" t="n">
        <x:f>FE50-FE49</x:f>
      </x:c>
      <x:c r="FF51" s="120" t="n">
        <x:f>FF50-FF49</x:f>
      </x:c>
      <x:c r="FG51" s="120" t="n">
        <x:f>FG50-FG49</x:f>
      </x:c>
      <x:c r="FH51" s="120" t="n">
        <x:f>FH50-FH49</x:f>
      </x:c>
      <x:c r="FI51" s="120" t="n">
        <x:f>FI50-FI49</x:f>
      </x:c>
      <x:c r="FJ51" s="120" t="n">
        <x:f>FJ50-FJ49</x:f>
      </x:c>
      <x:c r="FK51" s="120" t="n">
        <x:f>FK50-FK49</x:f>
      </x:c>
      <x:c r="FL51" s="120" t="n">
        <x:f>FL50-FL49</x:f>
      </x:c>
      <x:c r="FM51" s="120" t="n">
        <x:f>FM50-FM49</x:f>
      </x:c>
      <x:c r="FN51" s="120" t="n">
        <x:f>FN50-FN49</x:f>
      </x:c>
      <x:c r="FO51" s="120" t="n">
        <x:f>FO50-FO49</x:f>
      </x:c>
      <x:c r="FP51" s="120" t="n">
        <x:f>FP50-FP49</x:f>
      </x:c>
      <x:c r="FQ51" s="120" t="n">
        <x:f>FQ50-FQ49</x:f>
      </x:c>
      <x:c r="FR51" s="120" t="n">
        <x:f>FR50-FR49</x:f>
      </x:c>
      <x:c r="FS51" s="120" t="n">
        <x:f>FS50-FS49</x:f>
      </x:c>
      <x:c r="FT51" s="120" t="n">
        <x:f>FT50-FT49</x:f>
      </x:c>
      <x:c r="FU51" s="120" t="n">
        <x:f>FU50-FU49</x:f>
      </x:c>
      <x:c r="FV51" s="120" t="n">
        <x:f>FV50-FV49</x:f>
      </x:c>
      <x:c r="FW51" s="120" t="n">
        <x:f>FW50-FW49</x:f>
      </x:c>
      <x:c r="FX51" s="120" t="n">
        <x:f>FX50-FX49</x:f>
      </x:c>
      <x:c r="FY51" s="120" t="n">
        <x:f>FY50-FY49</x:f>
      </x:c>
      <x:c r="FZ51" s="120" t="n">
        <x:f>FZ50-FZ49</x:f>
      </x:c>
      <x:c r="GA51" s="120" t="n">
        <x:f>GA50-GA49</x:f>
      </x:c>
    </x:row>
    <x:row r="52">
      <x:c r="A52" t="str">
        <x:v>Накопленный CF капитала</x:v>
      </x:c>
      <x:c r="B52" t="n">
        <x:f>GA52</x:f>
      </x:c>
      <x:c r="C52" t="str">
        <x:v>млн ₽</x:v>
      </x:c>
      <x:c r="D52" s="117" t="n">
        <x:f>D51</x:f>
      </x:c>
      <x:c r="E52" s="117" t="n">
        <x:f>D52+E51</x:f>
      </x:c>
      <x:c r="F52" s="117" t="n">
        <x:f>E52+F51</x:f>
      </x:c>
      <x:c r="G52" s="117" t="n">
        <x:f>F52+G51</x:f>
      </x:c>
      <x:c r="H52" s="117" t="n">
        <x:f>G52+H51</x:f>
      </x:c>
      <x:c r="I52" s="117" t="n">
        <x:f>H52+I51</x:f>
      </x:c>
      <x:c r="J52" s="117" t="n">
        <x:f>I52+J51</x:f>
      </x:c>
      <x:c r="K52" s="117" t="n">
        <x:f>J52+K51</x:f>
      </x:c>
      <x:c r="L52" s="117" t="n">
        <x:f>K52+L51</x:f>
      </x:c>
      <x:c r="M52" s="117" t="n">
        <x:f>L52+M51</x:f>
      </x:c>
      <x:c r="N52" s="117" t="n">
        <x:f>M52+N51</x:f>
      </x:c>
      <x:c r="O52" s="117" t="n">
        <x:f>N52+O51</x:f>
      </x:c>
      <x:c r="P52" s="117" t="n">
        <x:f>O52+P51</x:f>
      </x:c>
      <x:c r="Q52" s="117" t="n">
        <x:f>P52+Q51</x:f>
      </x:c>
      <x:c r="R52" s="117" t="n">
        <x:f>Q52+R51</x:f>
      </x:c>
      <x:c r="S52" s="117" t="n">
        <x:f>R52+S51</x:f>
      </x:c>
      <x:c r="T52" s="117" t="n">
        <x:f>S52+T51</x:f>
      </x:c>
      <x:c r="U52" s="117" t="n">
        <x:f>T52+U51</x:f>
      </x:c>
      <x:c r="V52" s="117" t="n">
        <x:f>U52+V51</x:f>
      </x:c>
      <x:c r="W52" s="117" t="n">
        <x:f>V52+W51</x:f>
      </x:c>
      <x:c r="X52" s="117" t="n">
        <x:f>W52+X51</x:f>
      </x:c>
      <x:c r="Y52" s="117" t="n">
        <x:f>X52+Y51</x:f>
      </x:c>
      <x:c r="Z52" s="117" t="n">
        <x:f>Y52+Z51</x:f>
      </x:c>
      <x:c r="AA52" s="117" t="n">
        <x:f>Z52+AA51</x:f>
      </x:c>
      <x:c r="AB52" s="117" t="n">
        <x:f>AA52+AB51</x:f>
      </x:c>
      <x:c r="AC52" s="117" t="n">
        <x:f>AB52+AC51</x:f>
      </x:c>
      <x:c r="AD52" s="117" t="n">
        <x:f>AC52+AD51</x:f>
      </x:c>
      <x:c r="AE52" s="117" t="n">
        <x:f>AD52+AE51</x:f>
      </x:c>
      <x:c r="AF52" s="117" t="n">
        <x:f>AE52+AF51</x:f>
      </x:c>
      <x:c r="AG52" s="117" t="n">
        <x:f>AF52+AG51</x:f>
      </x:c>
      <x:c r="AH52" s="117" t="n">
        <x:f>AG52+AH51</x:f>
      </x:c>
      <x:c r="AI52" s="117" t="n">
        <x:f>AH52+AI51</x:f>
      </x:c>
      <x:c r="AJ52" s="117" t="n">
        <x:f>AI52+AJ51</x:f>
      </x:c>
      <x:c r="AK52" s="117" t="n">
        <x:f>AJ52+AK51</x:f>
      </x:c>
      <x:c r="AL52" s="117" t="n">
        <x:f>AK52+AL51</x:f>
      </x:c>
      <x:c r="AM52" s="117" t="n">
        <x:f>AL52+AM51</x:f>
      </x:c>
      <x:c r="AN52" s="117" t="n">
        <x:f>AM52+AN51</x:f>
      </x:c>
      <x:c r="AO52" s="117" t="n">
        <x:f>AN52+AO51</x:f>
      </x:c>
      <x:c r="AP52" s="117" t="n">
        <x:f>AO52+AP51</x:f>
      </x:c>
      <x:c r="AQ52" s="117" t="n">
        <x:f>AP52+AQ51</x:f>
      </x:c>
      <x:c r="AR52" s="117" t="n">
        <x:f>AQ52+AR51</x:f>
      </x:c>
      <x:c r="AS52" s="117" t="n">
        <x:f>AR52+AS51</x:f>
      </x:c>
      <x:c r="AT52" s="117" t="n">
        <x:f>AS52+AT51</x:f>
      </x:c>
      <x:c r="AU52" s="117" t="n">
        <x:f>AT52+AU51</x:f>
      </x:c>
      <x:c r="AV52" s="117" t="n">
        <x:f>AU52+AV51</x:f>
      </x:c>
      <x:c r="AW52" s="117" t="n">
        <x:f>AV52+AW51</x:f>
      </x:c>
      <x:c r="AX52" s="117" t="n">
        <x:f>AW52+AX51</x:f>
      </x:c>
      <x:c r="AY52" s="117" t="n">
        <x:f>AX52+AY51</x:f>
      </x:c>
      <x:c r="AZ52" s="117" t="n">
        <x:f>AY52+AZ51</x:f>
      </x:c>
      <x:c r="BA52" s="117" t="n">
        <x:f>AZ52+BA51</x:f>
      </x:c>
      <x:c r="BB52" s="117" t="n">
        <x:f>BA52+BB51</x:f>
      </x:c>
      <x:c r="BC52" s="117" t="n">
        <x:f>BB52+BC51</x:f>
      </x:c>
      <x:c r="BD52" s="117" t="n">
        <x:f>BC52+BD51</x:f>
      </x:c>
      <x:c r="BE52" s="117" t="n">
        <x:f>BD52+BE51</x:f>
      </x:c>
      <x:c r="BF52" s="117" t="n">
        <x:f>BE52+BF51</x:f>
      </x:c>
      <x:c r="BG52" s="117" t="n">
        <x:f>BF52+BG51</x:f>
      </x:c>
      <x:c r="BH52" s="117" t="n">
        <x:f>BG52+BH51</x:f>
      </x:c>
      <x:c r="BI52" s="117" t="n">
        <x:f>BH52+BI51</x:f>
      </x:c>
      <x:c r="BJ52" s="117" t="n">
        <x:f>BI52+BJ51</x:f>
      </x:c>
      <x:c r="BK52" s="117" t="n">
        <x:f>BJ52+BK51</x:f>
      </x:c>
      <x:c r="BL52" s="117" t="n">
        <x:f>BK52+BL51</x:f>
      </x:c>
      <x:c r="BM52" s="117" t="n">
        <x:f>BL52+BM51</x:f>
      </x:c>
      <x:c r="BN52" s="117" t="n">
        <x:f>BM52+BN51</x:f>
      </x:c>
      <x:c r="BO52" s="117" t="n">
        <x:f>BN52+BO51</x:f>
      </x:c>
      <x:c r="BP52" s="117" t="n">
        <x:f>BO52+BP51</x:f>
      </x:c>
      <x:c r="BQ52" s="117" t="n">
        <x:f>BP52+BQ51</x:f>
      </x:c>
      <x:c r="BR52" s="117" t="n">
        <x:f>BQ52+BR51</x:f>
      </x:c>
      <x:c r="BS52" s="117" t="n">
        <x:f>BR52+BS51</x:f>
      </x:c>
      <x:c r="BT52" s="117" t="n">
        <x:f>BS52+BT51</x:f>
      </x:c>
      <x:c r="BU52" s="117" t="n">
        <x:f>BT52+BU51</x:f>
      </x:c>
      <x:c r="BV52" s="117" t="n">
        <x:f>BU52+BV51</x:f>
      </x:c>
      <x:c r="BW52" s="117" t="n">
        <x:f>BV52+BW51</x:f>
      </x:c>
      <x:c r="BX52" s="117" t="n">
        <x:f>BW52+BX51</x:f>
      </x:c>
      <x:c r="BY52" s="117" t="n">
        <x:f>BX52+BY51</x:f>
      </x:c>
      <x:c r="BZ52" s="117" t="n">
        <x:f>BY52+BZ51</x:f>
      </x:c>
      <x:c r="CA52" s="117" t="n">
        <x:f>BZ52+CA51</x:f>
      </x:c>
      <x:c r="CB52" s="117" t="n">
        <x:f>CA52+CB51</x:f>
      </x:c>
      <x:c r="CC52" s="117" t="n">
        <x:f>CB52+CC51</x:f>
      </x:c>
      <x:c r="CD52" s="117" t="n">
        <x:f>CC52+CD51</x:f>
      </x:c>
      <x:c r="CE52" s="117" t="n">
        <x:f>CD52+CE51</x:f>
      </x:c>
      <x:c r="CF52" s="117" t="n">
        <x:f>CE52+CF51</x:f>
      </x:c>
      <x:c r="CG52" s="117" t="n">
        <x:f>CF52+CG51</x:f>
      </x:c>
      <x:c r="CH52" s="117" t="n">
        <x:f>CG52+CH51</x:f>
      </x:c>
      <x:c r="CI52" s="117" t="n">
        <x:f>CH52+CI51</x:f>
      </x:c>
      <x:c r="CJ52" s="117" t="n">
        <x:f>CI52+CJ51</x:f>
      </x:c>
      <x:c r="CK52" s="117" t="n">
        <x:f>CJ52+CK51</x:f>
      </x:c>
      <x:c r="CL52" s="117" t="n">
        <x:f>CK52+CL51</x:f>
      </x:c>
      <x:c r="CM52" s="117" t="n">
        <x:f>CL52+CM51</x:f>
      </x:c>
      <x:c r="CN52" s="117" t="n">
        <x:f>CM52+CN51</x:f>
      </x:c>
      <x:c r="CO52" s="117" t="n">
        <x:f>CN52+CO51</x:f>
      </x:c>
      <x:c r="CP52" s="117" t="n">
        <x:f>CO52+CP51</x:f>
      </x:c>
      <x:c r="CQ52" s="117" t="n">
        <x:f>CP52+CQ51</x:f>
      </x:c>
      <x:c r="CR52" s="117" t="n">
        <x:f>CQ52+CR51</x:f>
      </x:c>
      <x:c r="CS52" s="117" t="n">
        <x:f>CR52+CS51</x:f>
      </x:c>
      <x:c r="CT52" s="117" t="n">
        <x:f>CS52+CT51</x:f>
      </x:c>
      <x:c r="CU52" s="117" t="n">
        <x:f>CT52+CU51</x:f>
      </x:c>
      <x:c r="CV52" s="117" t="n">
        <x:f>CU52+CV51</x:f>
      </x:c>
      <x:c r="CW52" s="117" t="n">
        <x:f>CV52+CW51</x:f>
      </x:c>
      <x:c r="CX52" s="117" t="n">
        <x:f>CW52+CX51</x:f>
      </x:c>
      <x:c r="CY52" s="117" t="n">
        <x:f>CX52+CY51</x:f>
      </x:c>
      <x:c r="CZ52" s="117" t="n">
        <x:f>CY52+CZ51</x:f>
      </x:c>
      <x:c r="DA52" s="117" t="n">
        <x:f>CZ52+DA51</x:f>
      </x:c>
      <x:c r="DB52" s="117" t="n">
        <x:f>DA52+DB51</x:f>
      </x:c>
      <x:c r="DC52" s="117" t="n">
        <x:f>DB52+DC51</x:f>
      </x:c>
      <x:c r="DD52" s="117" t="n">
        <x:f>DC52+DD51</x:f>
      </x:c>
      <x:c r="DE52" s="117" t="n">
        <x:f>DD52+DE51</x:f>
      </x:c>
      <x:c r="DF52" s="117" t="n">
        <x:f>DE52+DF51</x:f>
      </x:c>
      <x:c r="DG52" s="117" t="n">
        <x:f>DF52+DG51</x:f>
      </x:c>
      <x:c r="DH52" s="117" t="n">
        <x:f>DG52+DH51</x:f>
      </x:c>
      <x:c r="DI52" s="117" t="n">
        <x:f>DH52+DI51</x:f>
      </x:c>
      <x:c r="DJ52" s="117" t="n">
        <x:f>DI52+DJ51</x:f>
      </x:c>
      <x:c r="DK52" s="117" t="n">
        <x:f>DJ52+DK51</x:f>
      </x:c>
      <x:c r="DL52" s="117" t="n">
        <x:f>DK52+DL51</x:f>
      </x:c>
      <x:c r="DM52" s="117" t="n">
        <x:f>DL52+DM51</x:f>
      </x:c>
      <x:c r="DN52" s="117" t="n">
        <x:f>DM52+DN51</x:f>
      </x:c>
      <x:c r="DO52" s="117" t="n">
        <x:f>DN52+DO51</x:f>
      </x:c>
      <x:c r="DP52" s="117" t="n">
        <x:f>DO52+DP51</x:f>
      </x:c>
      <x:c r="DQ52" s="117" t="n">
        <x:f>DP52+DQ51</x:f>
      </x:c>
      <x:c r="DR52" s="117" t="n">
        <x:f>DQ52+DR51</x:f>
      </x:c>
      <x:c r="DS52" s="117" t="n">
        <x:f>DR52+DS51</x:f>
      </x:c>
      <x:c r="DT52" s="117" t="n">
        <x:f>DS52+DT51</x:f>
      </x:c>
      <x:c r="DU52" s="117" t="n">
        <x:f>DT52+DU51</x:f>
      </x:c>
      <x:c r="DV52" s="117" t="n">
        <x:f>DU52+DV51</x:f>
      </x:c>
      <x:c r="DW52" s="117" t="n">
        <x:f>DV52+DW51</x:f>
      </x:c>
      <x:c r="DX52" s="117" t="n">
        <x:f>DW52+DX51</x:f>
      </x:c>
      <x:c r="DY52" s="117" t="n">
        <x:f>DX52+DY51</x:f>
      </x:c>
      <x:c r="DZ52" s="117" t="n">
        <x:f>DY52+DZ51</x:f>
      </x:c>
      <x:c r="EA52" s="117" t="n">
        <x:f>DZ52+EA51</x:f>
      </x:c>
      <x:c r="EB52" s="117" t="n">
        <x:f>EA52+EB51</x:f>
      </x:c>
      <x:c r="EC52" s="117" t="n">
        <x:f>EB52+EC51</x:f>
      </x:c>
      <x:c r="ED52" s="117" t="n">
        <x:f>EC52+ED51</x:f>
      </x:c>
      <x:c r="EE52" s="117" t="n">
        <x:f>ED52+EE51</x:f>
      </x:c>
      <x:c r="EF52" s="117" t="n">
        <x:f>EE52+EF51</x:f>
      </x:c>
      <x:c r="EG52" s="117" t="n">
        <x:f>EF52+EG51</x:f>
      </x:c>
      <x:c r="EH52" s="117" t="n">
        <x:f>EG52+EH51</x:f>
      </x:c>
      <x:c r="EI52" s="117" t="n">
        <x:f>EH52+EI51</x:f>
      </x:c>
      <x:c r="EJ52" s="117" t="n">
        <x:f>EI52+EJ51</x:f>
      </x:c>
      <x:c r="EK52" s="117" t="n">
        <x:f>EJ52+EK51</x:f>
      </x:c>
      <x:c r="EL52" s="117" t="n">
        <x:f>EK52+EL51</x:f>
      </x:c>
      <x:c r="EM52" s="117" t="n">
        <x:f>EL52+EM51</x:f>
      </x:c>
      <x:c r="EN52" s="117" t="n">
        <x:f>EM52+EN51</x:f>
      </x:c>
      <x:c r="EO52" s="117" t="n">
        <x:f>EN52+EO51</x:f>
      </x:c>
      <x:c r="EP52" s="117" t="n">
        <x:f>EO52+EP51</x:f>
      </x:c>
      <x:c r="EQ52" s="117" t="n">
        <x:f>EP52+EQ51</x:f>
      </x:c>
      <x:c r="ER52" s="117" t="n">
        <x:f>EQ52+ER51</x:f>
      </x:c>
      <x:c r="ES52" s="117" t="n">
        <x:f>ER52+ES51</x:f>
      </x:c>
      <x:c r="ET52" s="117" t="n">
        <x:f>ES52+ET51</x:f>
      </x:c>
      <x:c r="EU52" s="117" t="n">
        <x:f>ET52+EU51</x:f>
      </x:c>
      <x:c r="EV52" s="117" t="n">
        <x:f>EU52+EV51</x:f>
      </x:c>
      <x:c r="EW52" s="117" t="n">
        <x:f>EV52+EW51</x:f>
      </x:c>
      <x:c r="EX52" s="117" t="n">
        <x:f>EW52+EX51</x:f>
      </x:c>
      <x:c r="EY52" s="117" t="n">
        <x:f>EX52+EY51</x:f>
      </x:c>
      <x:c r="EZ52" s="117" t="n">
        <x:f>EY52+EZ51</x:f>
      </x:c>
      <x:c r="FA52" s="117" t="n">
        <x:f>EZ52+FA51</x:f>
      </x:c>
      <x:c r="FB52" s="117" t="n">
        <x:f>FA52+FB51</x:f>
      </x:c>
      <x:c r="FC52" s="117" t="n">
        <x:f>FB52+FC51</x:f>
      </x:c>
      <x:c r="FD52" s="117" t="n">
        <x:f>FC52+FD51</x:f>
      </x:c>
      <x:c r="FE52" s="117" t="n">
        <x:f>FD52+FE51</x:f>
      </x:c>
      <x:c r="FF52" s="117" t="n">
        <x:f>FE52+FF51</x:f>
      </x:c>
      <x:c r="FG52" s="117" t="n">
        <x:f>FF52+FG51</x:f>
      </x:c>
      <x:c r="FH52" s="117" t="n">
        <x:f>FG52+FH51</x:f>
      </x:c>
      <x:c r="FI52" s="117" t="n">
        <x:f>FH52+FI51</x:f>
      </x:c>
      <x:c r="FJ52" s="117" t="n">
        <x:f>FI52+FJ51</x:f>
      </x:c>
      <x:c r="FK52" s="117" t="n">
        <x:f>FJ52+FK51</x:f>
      </x:c>
      <x:c r="FL52" s="117" t="n">
        <x:f>FK52+FL51</x:f>
      </x:c>
      <x:c r="FM52" s="117" t="n">
        <x:f>FL52+FM51</x:f>
      </x:c>
      <x:c r="FN52" s="117" t="n">
        <x:f>FM52+FN51</x:f>
      </x:c>
      <x:c r="FO52" s="117" t="n">
        <x:f>FN52+FO51</x:f>
      </x:c>
      <x:c r="FP52" s="117" t="n">
        <x:f>FO52+FP51</x:f>
      </x:c>
      <x:c r="FQ52" s="117" t="n">
        <x:f>FP52+FQ51</x:f>
      </x:c>
      <x:c r="FR52" s="117" t="n">
        <x:f>FQ52+FR51</x:f>
      </x:c>
      <x:c r="FS52" s="117" t="n">
        <x:f>FR52+FS51</x:f>
      </x:c>
      <x:c r="FT52" s="117" t="n">
        <x:f>FS52+FT51</x:f>
      </x:c>
      <x:c r="FU52" s="117" t="n">
        <x:f>FT52+FU51</x:f>
      </x:c>
      <x:c r="FV52" s="117" t="n">
        <x:f>FU52+FV51</x:f>
      </x:c>
      <x:c r="FW52" s="117" t="n">
        <x:f>FV52+FW51</x:f>
      </x:c>
      <x:c r="FX52" s="117" t="n">
        <x:f>FW52+FX51</x:f>
      </x:c>
      <x:c r="FY52" s="117" t="n">
        <x:f>FX52+FY51</x:f>
      </x:c>
      <x:c r="FZ52" s="117" t="n">
        <x:f>FY52+FZ51</x:f>
      </x:c>
      <x:c r="GA52" s="117" t="n">
        <x:f>FZ52+GA51</x:f>
      </x:c>
    </x:row>
    <x:row r="53">
      <x:c r="A53" t="inlineStr">
        <x:is>
          <x:t>ПФ — уплата процентов и комиссий</x:t>
        </x:is>
      </x:c>
      <x:c r="B53">
        <x:f>SUM(D53:GA53)</x:f>
      </x:c>
      <x:c r="C53"/>
      <x:c r="D53" s="117">
        <x:f>IF(D$3&lt;$B$8,0,IF(AND(YEAR(D$3)=YEAR($B$8),MONTH(D$3)=MONTH($B$8)),C48*(1+D41/12),0)+D42+D43)</x:f>
      </x:c>
      <x:c r="E53" s="117">
        <x:f>IF(E$3&lt;$B$8,0,IF(AND(YEAR(E$3)=YEAR($B$8),MONTH(E$3)=MONTH($B$8)),D48*(1+E41/12),0)+E42+E43)</x:f>
      </x:c>
      <x:c r="F53" s="117">
        <x:f>IF(F$3&lt;$B$8,0,IF(AND(YEAR(F$3)=YEAR($B$8),MONTH(F$3)=MONTH($B$8)),E48*(1+F41/12),0)+F42+F43)</x:f>
      </x:c>
      <x:c r="G53" s="117">
        <x:f>IF(G$3&lt;$B$8,0,IF(AND(YEAR(G$3)=YEAR($B$8),MONTH(G$3)=MONTH($B$8)),F48*(1+G41/12),0)+G42+G43)</x:f>
      </x:c>
      <x:c r="H53" s="117">
        <x:f>IF(H$3&lt;$B$8,0,IF(AND(YEAR(H$3)=YEAR($B$8),MONTH(H$3)=MONTH($B$8)),G48*(1+H41/12),0)+H42+H43)</x:f>
      </x:c>
      <x:c r="I53" s="117">
        <x:f>IF(I$3&lt;$B$8,0,IF(AND(YEAR(I$3)=YEAR($B$8),MONTH(I$3)=MONTH($B$8)),H48*(1+I41/12),0)+I42+I43)</x:f>
      </x:c>
      <x:c r="J53" s="117">
        <x:f>IF(J$3&lt;$B$8,0,IF(AND(YEAR(J$3)=YEAR($B$8),MONTH(J$3)=MONTH($B$8)),I48*(1+J41/12),0)+J42+J43)</x:f>
      </x:c>
      <x:c r="K53" s="117">
        <x:f>IF(K$3&lt;$B$8,0,IF(AND(YEAR(K$3)=YEAR($B$8),MONTH(K$3)=MONTH($B$8)),J48*(1+K41/12),0)+K42+K43)</x:f>
      </x:c>
      <x:c r="L53" s="117">
        <x:f>IF(L$3&lt;$B$8,0,IF(AND(YEAR(L$3)=YEAR($B$8),MONTH(L$3)=MONTH($B$8)),K48*(1+L41/12),0)+L42+L43)</x:f>
      </x:c>
      <x:c r="M53" s="117">
        <x:f>IF(M$3&lt;$B$8,0,IF(AND(YEAR(M$3)=YEAR($B$8),MONTH(M$3)=MONTH($B$8)),L48*(1+M41/12),0)+M42+M43)</x:f>
      </x:c>
      <x:c r="N53" s="117">
        <x:f>IF(N$3&lt;$B$8,0,IF(AND(YEAR(N$3)=YEAR($B$8),MONTH(N$3)=MONTH($B$8)),M48*(1+N41/12),0)+N42+N43)</x:f>
      </x:c>
      <x:c r="O53" s="117">
        <x:f>IF(O$3&lt;$B$8,0,IF(AND(YEAR(O$3)=YEAR($B$8),MONTH(O$3)=MONTH($B$8)),N48*(1+O41/12),0)+O42+O43)</x:f>
      </x:c>
      <x:c r="P53" s="117">
        <x:f>IF(P$3&lt;$B$8,0,IF(AND(YEAR(P$3)=YEAR($B$8),MONTH(P$3)=MONTH($B$8)),O48*(1+P41/12),0)+P42+P43)</x:f>
      </x:c>
      <x:c r="Q53" s="117">
        <x:f>IF(Q$3&lt;$B$8,0,IF(AND(YEAR(Q$3)=YEAR($B$8),MONTH(Q$3)=MONTH($B$8)),P48*(1+Q41/12),0)+Q42+Q43)</x:f>
      </x:c>
      <x:c r="R53" s="117">
        <x:f>IF(R$3&lt;$B$8,0,IF(AND(YEAR(R$3)=YEAR($B$8),MONTH(R$3)=MONTH($B$8)),Q48*(1+R41/12),0)+R42+R43)</x:f>
      </x:c>
      <x:c r="S53" s="117">
        <x:f>IF(S$3&lt;$B$8,0,IF(AND(YEAR(S$3)=YEAR($B$8),MONTH(S$3)=MONTH($B$8)),R48*(1+S41/12),0)+S42+S43)</x:f>
      </x:c>
      <x:c r="T53" s="117">
        <x:f>IF(T$3&lt;$B$8,0,IF(AND(YEAR(T$3)=YEAR($B$8),MONTH(T$3)=MONTH($B$8)),S48*(1+T41/12),0)+T42+T43)</x:f>
      </x:c>
      <x:c r="U53" s="117">
        <x:f>IF(U$3&lt;$B$8,0,IF(AND(YEAR(U$3)=YEAR($B$8),MONTH(U$3)=MONTH($B$8)),T48*(1+U41/12),0)+U42+U43)</x:f>
      </x:c>
      <x:c r="V53" s="117">
        <x:f>IF(V$3&lt;$B$8,0,IF(AND(YEAR(V$3)=YEAR($B$8),MONTH(V$3)=MONTH($B$8)),U48*(1+V41/12),0)+V42+V43)</x:f>
      </x:c>
      <x:c r="W53" s="117">
        <x:f>IF(W$3&lt;$B$8,0,IF(AND(YEAR(W$3)=YEAR($B$8),MONTH(W$3)=MONTH($B$8)),V48*(1+W41/12),0)+W42+W43)</x:f>
      </x:c>
      <x:c r="X53" s="117">
        <x:f>IF(X$3&lt;$B$8,0,IF(AND(YEAR(X$3)=YEAR($B$8),MONTH(X$3)=MONTH($B$8)),W48*(1+X41/12),0)+X42+X43)</x:f>
      </x:c>
      <x:c r="Y53" s="117">
        <x:f>IF(Y$3&lt;$B$8,0,IF(AND(YEAR(Y$3)=YEAR($B$8),MONTH(Y$3)=MONTH($B$8)),X48*(1+Y41/12),0)+Y42+Y43)</x:f>
      </x:c>
      <x:c r="Z53" s="117">
        <x:f>IF(Z$3&lt;$B$8,0,IF(AND(YEAR(Z$3)=YEAR($B$8),MONTH(Z$3)=MONTH($B$8)),Y48*(1+Z41/12),0)+Z42+Z43)</x:f>
      </x:c>
      <x:c r="AA53" s="117">
        <x:f>IF(AA$3&lt;$B$8,0,IF(AND(YEAR(AA$3)=YEAR($B$8),MONTH(AA$3)=MONTH($B$8)),Z48*(1+AA41/12),0)+AA42+AA43)</x:f>
      </x:c>
      <x:c r="AB53" s="117">
        <x:f>IF(AB$3&lt;$B$8,0,IF(AND(YEAR(AB$3)=YEAR($B$8),MONTH(AB$3)=MONTH($B$8)),AA48*(1+AB41/12),0)+AB42+AB43)</x:f>
      </x:c>
      <x:c r="AC53" s="117">
        <x:f>IF(AC$3&lt;$B$8,0,IF(AND(YEAR(AC$3)=YEAR($B$8),MONTH(AC$3)=MONTH($B$8)),AB48*(1+AC41/12),0)+AC42+AC43)</x:f>
      </x:c>
      <x:c r="AD53" s="117">
        <x:f>IF(AD$3&lt;$B$8,0,IF(AND(YEAR(AD$3)=YEAR($B$8),MONTH(AD$3)=MONTH($B$8)),AC48*(1+AD41/12),0)+AD42+AD43)</x:f>
      </x:c>
      <x:c r="AE53" s="117">
        <x:f>IF(AE$3&lt;$B$8,0,IF(AND(YEAR(AE$3)=YEAR($B$8),MONTH(AE$3)=MONTH($B$8)),AD48*(1+AE41/12),0)+AE42+AE43)</x:f>
      </x:c>
      <x:c r="AF53" s="117">
        <x:f>IF(AF$3&lt;$B$8,0,IF(AND(YEAR(AF$3)=YEAR($B$8),MONTH(AF$3)=MONTH($B$8)),AE48*(1+AF41/12),0)+AF42+AF43)</x:f>
      </x:c>
      <x:c r="AG53" s="117">
        <x:f>IF(AG$3&lt;$B$8,0,IF(AND(YEAR(AG$3)=YEAR($B$8),MONTH(AG$3)=MONTH($B$8)),AF48*(1+AG41/12),0)+AG42+AG43)</x:f>
      </x:c>
      <x:c r="AH53" s="117">
        <x:f>IF(AH$3&lt;$B$8,0,IF(AND(YEAR(AH$3)=YEAR($B$8),MONTH(AH$3)=MONTH($B$8)),AG48*(1+AH41/12),0)+AH42+AH43)</x:f>
      </x:c>
      <x:c r="AI53" s="117">
        <x:f>IF(AI$3&lt;$B$8,0,IF(AND(YEAR(AI$3)=YEAR($B$8),MONTH(AI$3)=MONTH($B$8)),AH48*(1+AI41/12),0)+AI42+AI43)</x:f>
      </x:c>
      <x:c r="AJ53" s="117">
        <x:f>IF(AJ$3&lt;$B$8,0,IF(AND(YEAR(AJ$3)=YEAR($B$8),MONTH(AJ$3)=MONTH($B$8)),AI48*(1+AJ41/12),0)+AJ42+AJ43)</x:f>
      </x:c>
      <x:c r="AK53" s="117">
        <x:f>IF(AK$3&lt;$B$8,0,IF(AND(YEAR(AK$3)=YEAR($B$8),MONTH(AK$3)=MONTH($B$8)),AJ48*(1+AK41/12),0)+AK42+AK43)</x:f>
      </x:c>
      <x:c r="AL53" s="117">
        <x:f>IF(AL$3&lt;$B$8,0,IF(AND(YEAR(AL$3)=YEAR($B$8),MONTH(AL$3)=MONTH($B$8)),AK48*(1+AL41/12),0)+AL42+AL43)</x:f>
      </x:c>
      <x:c r="AM53" s="117">
        <x:f>IF(AM$3&lt;$B$8,0,IF(AND(YEAR(AM$3)=YEAR($B$8),MONTH(AM$3)=MONTH($B$8)),AL48*(1+AM41/12),0)+AM42+AM43)</x:f>
      </x:c>
      <x:c r="AN53" s="117">
        <x:f>IF(AN$3&lt;$B$8,0,IF(AND(YEAR(AN$3)=YEAR($B$8),MONTH(AN$3)=MONTH($B$8)),AM48*(1+AN41/12),0)+AN42+AN43)</x:f>
      </x:c>
      <x:c r="AO53" s="117">
        <x:f>IF(AO$3&lt;$B$8,0,IF(AND(YEAR(AO$3)=YEAR($B$8),MONTH(AO$3)=MONTH($B$8)),AN48*(1+AO41/12),0)+AO42+AO43)</x:f>
      </x:c>
      <x:c r="AP53" s="117">
        <x:f>IF(AP$3&lt;$B$8,0,IF(AND(YEAR(AP$3)=YEAR($B$8),MONTH(AP$3)=MONTH($B$8)),AO48*(1+AP41/12),0)+AP42+AP43)</x:f>
      </x:c>
      <x:c r="AQ53" s="117">
        <x:f>IF(AQ$3&lt;$B$8,0,IF(AND(YEAR(AQ$3)=YEAR($B$8),MONTH(AQ$3)=MONTH($B$8)),AP48*(1+AQ41/12),0)+AQ42+AQ43)</x:f>
      </x:c>
      <x:c r="AR53" s="117">
        <x:f>IF(AR$3&lt;$B$8,0,IF(AND(YEAR(AR$3)=YEAR($B$8),MONTH(AR$3)=MONTH($B$8)),AQ48*(1+AR41/12),0)+AR42+AR43)</x:f>
      </x:c>
      <x:c r="AS53" s="117">
        <x:f>IF(AS$3&lt;$B$8,0,IF(AND(YEAR(AS$3)=YEAR($B$8),MONTH(AS$3)=MONTH($B$8)),AR48*(1+AS41/12),0)+AS42+AS43)</x:f>
      </x:c>
      <x:c r="AT53" s="117">
        <x:f>IF(AT$3&lt;$B$8,0,IF(AND(YEAR(AT$3)=YEAR($B$8),MONTH(AT$3)=MONTH($B$8)),AS48*(1+AT41/12),0)+AT42+AT43)</x:f>
      </x:c>
      <x:c r="AU53" s="117">
        <x:f>IF(AU$3&lt;$B$8,0,IF(AND(YEAR(AU$3)=YEAR($B$8),MONTH(AU$3)=MONTH($B$8)),AT48*(1+AU41/12),0)+AU42+AU43)</x:f>
      </x:c>
      <x:c r="AV53" s="117">
        <x:f>IF(AV$3&lt;$B$8,0,IF(AND(YEAR(AV$3)=YEAR($B$8),MONTH(AV$3)=MONTH($B$8)),AU48*(1+AV41/12),0)+AV42+AV43)</x:f>
      </x:c>
      <x:c r="AW53" s="117">
        <x:f>IF(AW$3&lt;$B$8,0,IF(AND(YEAR(AW$3)=YEAR($B$8),MONTH(AW$3)=MONTH($B$8)),AV48*(1+AW41/12),0)+AW42+AW43)</x:f>
      </x:c>
      <x:c r="AX53" s="117">
        <x:f>IF(AX$3&lt;$B$8,0,IF(AND(YEAR(AX$3)=YEAR($B$8),MONTH(AX$3)=MONTH($B$8)),AW48*(1+AX41/12),0)+AX42+AX43)</x:f>
      </x:c>
      <x:c r="AY53" s="117">
        <x:f>IF(AY$3&lt;$B$8,0,IF(AND(YEAR(AY$3)=YEAR($B$8),MONTH(AY$3)=MONTH($B$8)),AX48*(1+AY41/12),0)+AY42+AY43)</x:f>
      </x:c>
      <x:c r="AZ53" s="117">
        <x:f>IF(AZ$3&lt;$B$8,0,IF(AND(YEAR(AZ$3)=YEAR($B$8),MONTH(AZ$3)=MONTH($B$8)),AY48*(1+AZ41/12),0)+AZ42+AZ43)</x:f>
      </x:c>
      <x:c r="BA53" s="117">
        <x:f>IF(BA$3&lt;$B$8,0,IF(AND(YEAR(BA$3)=YEAR($B$8),MONTH(BA$3)=MONTH($B$8)),AZ48*(1+BA41/12),0)+BA42+BA43)</x:f>
      </x:c>
      <x:c r="BB53" s="117">
        <x:f>IF(BB$3&lt;$B$8,0,IF(AND(YEAR(BB$3)=YEAR($B$8),MONTH(BB$3)=MONTH($B$8)),BA48*(1+BB41/12),0)+BB42+BB43)</x:f>
      </x:c>
      <x:c r="BC53" s="117">
        <x:f>IF(BC$3&lt;$B$8,0,IF(AND(YEAR(BC$3)=YEAR($B$8),MONTH(BC$3)=MONTH($B$8)),BB48*(1+BC41/12),0)+BC42+BC43)</x:f>
      </x:c>
      <x:c r="BD53" s="117">
        <x:f>IF(BD$3&lt;$B$8,0,IF(AND(YEAR(BD$3)=YEAR($B$8),MONTH(BD$3)=MONTH($B$8)),BC48*(1+BD41/12),0)+BD42+BD43)</x:f>
      </x:c>
      <x:c r="BE53" s="117">
        <x:f>IF(BE$3&lt;$B$8,0,IF(AND(YEAR(BE$3)=YEAR($B$8),MONTH(BE$3)=MONTH($B$8)),BD48*(1+BE41/12),0)+BE42+BE43)</x:f>
      </x:c>
      <x:c r="BF53" s="117">
        <x:f>IF(BF$3&lt;$B$8,0,IF(AND(YEAR(BF$3)=YEAR($B$8),MONTH(BF$3)=MONTH($B$8)),BE48*(1+BF41/12),0)+BF42+BF43)</x:f>
      </x:c>
      <x:c r="BG53" s="117">
        <x:f>IF(BG$3&lt;$B$8,0,IF(AND(YEAR(BG$3)=YEAR($B$8),MONTH(BG$3)=MONTH($B$8)),BF48*(1+BG41/12),0)+BG42+BG43)</x:f>
      </x:c>
      <x:c r="BH53" s="117">
        <x:f>IF(BH$3&lt;$B$8,0,IF(AND(YEAR(BH$3)=YEAR($B$8),MONTH(BH$3)=MONTH($B$8)),BG48*(1+BH41/12),0)+BH42+BH43)</x:f>
      </x:c>
      <x:c r="BI53" s="117">
        <x:f>IF(BI$3&lt;$B$8,0,IF(AND(YEAR(BI$3)=YEAR($B$8),MONTH(BI$3)=MONTH($B$8)),BH48*(1+BI41/12),0)+BI42+BI43)</x:f>
      </x:c>
      <x:c r="BJ53" s="117">
        <x:f>IF(BJ$3&lt;$B$8,0,IF(AND(YEAR(BJ$3)=YEAR($B$8),MONTH(BJ$3)=MONTH($B$8)),BI48*(1+BJ41/12),0)+BJ42+BJ43)</x:f>
      </x:c>
      <x:c r="BK53" s="117">
        <x:f>IF(BK$3&lt;$B$8,0,IF(AND(YEAR(BK$3)=YEAR($B$8),MONTH(BK$3)=MONTH($B$8)),BJ48*(1+BK41/12),0)+BK42+BK43)</x:f>
      </x:c>
      <x:c r="BL53" s="117">
        <x:f>IF(BL$3&lt;$B$8,0,IF(AND(YEAR(BL$3)=YEAR($B$8),MONTH(BL$3)=MONTH($B$8)),BK48*(1+BL41/12),0)+BL42+BL43)</x:f>
      </x:c>
      <x:c r="BM53" s="117">
        <x:f>IF(BM$3&lt;$B$8,0,IF(AND(YEAR(BM$3)=YEAR($B$8),MONTH(BM$3)=MONTH($B$8)),BL48*(1+BM41/12),0)+BM42+BM43)</x:f>
      </x:c>
      <x:c r="BN53" s="117">
        <x:f>IF(BN$3&lt;$B$8,0,IF(AND(YEAR(BN$3)=YEAR($B$8),MONTH(BN$3)=MONTH($B$8)),BM48*(1+BN41/12),0)+BN42+BN43)</x:f>
      </x:c>
      <x:c r="BO53" s="117">
        <x:f>IF(BO$3&lt;$B$8,0,IF(AND(YEAR(BO$3)=YEAR($B$8),MONTH(BO$3)=MONTH($B$8)),BN48*(1+BO41/12),0)+BO42+BO43)</x:f>
      </x:c>
      <x:c r="BP53" s="117">
        <x:f>IF(BP$3&lt;$B$8,0,IF(AND(YEAR(BP$3)=YEAR($B$8),MONTH(BP$3)=MONTH($B$8)),BO48*(1+BP41/12),0)+BP42+BP43)</x:f>
      </x:c>
      <x:c r="BQ53" s="117">
        <x:f>IF(BQ$3&lt;$B$8,0,IF(AND(YEAR(BQ$3)=YEAR($B$8),MONTH(BQ$3)=MONTH($B$8)),BP48*(1+BQ41/12),0)+BQ42+BQ43)</x:f>
      </x:c>
      <x:c r="BR53" s="117">
        <x:f>IF(BR$3&lt;$B$8,0,IF(AND(YEAR(BR$3)=YEAR($B$8),MONTH(BR$3)=MONTH($B$8)),BQ48*(1+BR41/12),0)+BR42+BR43)</x:f>
      </x:c>
      <x:c r="BS53" s="117">
        <x:f>IF(BS$3&lt;$B$8,0,IF(AND(YEAR(BS$3)=YEAR($B$8),MONTH(BS$3)=MONTH($B$8)),BR48*(1+BS41/12),0)+BS42+BS43)</x:f>
      </x:c>
      <x:c r="BT53" s="117">
        <x:f>IF(BT$3&lt;$B$8,0,IF(AND(YEAR(BT$3)=YEAR($B$8),MONTH(BT$3)=MONTH($B$8)),BS48*(1+BT41/12),0)+BT42+BT43)</x:f>
      </x:c>
      <x:c r="BU53" s="117">
        <x:f>IF(BU$3&lt;$B$8,0,IF(AND(YEAR(BU$3)=YEAR($B$8),MONTH(BU$3)=MONTH($B$8)),BT48*(1+BU41/12),0)+BU42+BU43)</x:f>
      </x:c>
      <x:c r="BV53" s="117">
        <x:f>IF(BV$3&lt;$B$8,0,IF(AND(YEAR(BV$3)=YEAR($B$8),MONTH(BV$3)=MONTH($B$8)),BU48*(1+BV41/12),0)+BV42+BV43)</x:f>
      </x:c>
      <x:c r="BW53" s="117">
        <x:f>IF(BW$3&lt;$B$8,0,IF(AND(YEAR(BW$3)=YEAR($B$8),MONTH(BW$3)=MONTH($B$8)),BV48*(1+BW41/12),0)+BW42+BW43)</x:f>
      </x:c>
      <x:c r="BX53" s="117">
        <x:f>IF(BX$3&lt;$B$8,0,IF(AND(YEAR(BX$3)=YEAR($B$8),MONTH(BX$3)=MONTH($B$8)),BW48*(1+BX41/12),0)+BX42+BX43)</x:f>
      </x:c>
      <x:c r="BY53" s="117">
        <x:f>IF(BY$3&lt;$B$8,0,IF(AND(YEAR(BY$3)=YEAR($B$8),MONTH(BY$3)=MONTH($B$8)),BX48*(1+BY41/12),0)+BY42+BY43)</x:f>
      </x:c>
      <x:c r="BZ53" s="117">
        <x:f>IF(BZ$3&lt;$B$8,0,IF(AND(YEAR(BZ$3)=YEAR($B$8),MONTH(BZ$3)=MONTH($B$8)),BY48*(1+BZ41/12),0)+BZ42+BZ43)</x:f>
      </x:c>
      <x:c r="CA53" s="117">
        <x:f>IF(CA$3&lt;$B$8,0,IF(AND(YEAR(CA$3)=YEAR($B$8),MONTH(CA$3)=MONTH($B$8)),BZ48*(1+CA41/12),0)+CA42+CA43)</x:f>
      </x:c>
      <x:c r="CB53" s="117">
        <x:f>IF(CB$3&lt;$B$8,0,IF(AND(YEAR(CB$3)=YEAR($B$8),MONTH(CB$3)=MONTH($B$8)),CA48*(1+CB41/12),0)+CB42+CB43)</x:f>
      </x:c>
      <x:c r="CC53" s="117">
        <x:f>IF(CC$3&lt;$B$8,0,IF(AND(YEAR(CC$3)=YEAR($B$8),MONTH(CC$3)=MONTH($B$8)),CB48*(1+CC41/12),0)+CC42+CC43)</x:f>
      </x:c>
      <x:c r="CD53" s="117">
        <x:f>IF(CD$3&lt;$B$8,0,IF(AND(YEAR(CD$3)=YEAR($B$8),MONTH(CD$3)=MONTH($B$8)),CC48*(1+CD41/12),0)+CD42+CD43)</x:f>
      </x:c>
      <x:c r="CE53" s="117">
        <x:f>IF(CE$3&lt;$B$8,0,IF(AND(YEAR(CE$3)=YEAR($B$8),MONTH(CE$3)=MONTH($B$8)),CD48*(1+CE41/12),0)+CE42+CE43)</x:f>
      </x:c>
      <x:c r="CF53" s="117">
        <x:f>IF(CF$3&lt;$B$8,0,IF(AND(YEAR(CF$3)=YEAR($B$8),MONTH(CF$3)=MONTH($B$8)),CE48*(1+CF41/12),0)+CF42+CF43)</x:f>
      </x:c>
      <x:c r="CG53" s="117">
        <x:f>IF(CG$3&lt;$B$8,0,IF(AND(YEAR(CG$3)=YEAR($B$8),MONTH(CG$3)=MONTH($B$8)),CF48*(1+CG41/12),0)+CG42+CG43)</x:f>
      </x:c>
      <x:c r="CH53" s="117">
        <x:f>IF(CH$3&lt;$B$8,0,IF(AND(YEAR(CH$3)=YEAR($B$8),MONTH(CH$3)=MONTH($B$8)),CG48*(1+CH41/12),0)+CH42+CH43)</x:f>
      </x:c>
      <x:c r="CI53" s="117">
        <x:f>IF(CI$3&lt;$B$8,0,IF(AND(YEAR(CI$3)=YEAR($B$8),MONTH(CI$3)=MONTH($B$8)),CH48*(1+CI41/12),0)+CI42+CI43)</x:f>
      </x:c>
      <x:c r="CJ53" s="117">
        <x:f>IF(CJ$3&lt;$B$8,0,IF(AND(YEAR(CJ$3)=YEAR($B$8),MONTH(CJ$3)=MONTH($B$8)),CI48*(1+CJ41/12),0)+CJ42+CJ43)</x:f>
      </x:c>
      <x:c r="CK53" s="117">
        <x:f>IF(CK$3&lt;$B$8,0,IF(AND(YEAR(CK$3)=YEAR($B$8),MONTH(CK$3)=MONTH($B$8)),CJ48*(1+CK41/12),0)+CK42+CK43)</x:f>
      </x:c>
      <x:c r="CL53" s="117">
        <x:f>IF(CL$3&lt;$B$8,0,IF(AND(YEAR(CL$3)=YEAR($B$8),MONTH(CL$3)=MONTH($B$8)),CK48*(1+CL41/12),0)+CL42+CL43)</x:f>
      </x:c>
      <x:c r="CM53" s="117">
        <x:f>IF(CM$3&lt;$B$8,0,IF(AND(YEAR(CM$3)=YEAR($B$8),MONTH(CM$3)=MONTH($B$8)),CL48*(1+CM41/12),0)+CM42+CM43)</x:f>
      </x:c>
      <x:c r="CN53" s="117">
        <x:f>IF(CN$3&lt;$B$8,0,IF(AND(YEAR(CN$3)=YEAR($B$8),MONTH(CN$3)=MONTH($B$8)),CM48*(1+CN41/12),0)+CN42+CN43)</x:f>
      </x:c>
      <x:c r="CO53" s="117">
        <x:f>IF(CO$3&lt;$B$8,0,IF(AND(YEAR(CO$3)=YEAR($B$8),MONTH(CO$3)=MONTH($B$8)),CN48*(1+CO41/12),0)+CO42+CO43)</x:f>
      </x:c>
      <x:c r="CP53" s="117">
        <x:f>IF(CP$3&lt;$B$8,0,IF(AND(YEAR(CP$3)=YEAR($B$8),MONTH(CP$3)=MONTH($B$8)),CO48*(1+CP41/12),0)+CP42+CP43)</x:f>
      </x:c>
      <x:c r="CQ53" s="117">
        <x:f>IF(CQ$3&lt;$B$8,0,IF(AND(YEAR(CQ$3)=YEAR($B$8),MONTH(CQ$3)=MONTH($B$8)),CP48*(1+CQ41/12),0)+CQ42+CQ43)</x:f>
      </x:c>
      <x:c r="CR53" s="117">
        <x:f>IF(CR$3&lt;$B$8,0,IF(AND(YEAR(CR$3)=YEAR($B$8),MONTH(CR$3)=MONTH($B$8)),CQ48*(1+CR41/12),0)+CR42+CR43)</x:f>
      </x:c>
      <x:c r="CS53" s="117">
        <x:f>IF(CS$3&lt;$B$8,0,IF(AND(YEAR(CS$3)=YEAR($B$8),MONTH(CS$3)=MONTH($B$8)),CR48*(1+CS41/12),0)+CS42+CS43)</x:f>
      </x:c>
      <x:c r="CT53" s="117">
        <x:f>IF(CT$3&lt;$B$8,0,IF(AND(YEAR(CT$3)=YEAR($B$8),MONTH(CT$3)=MONTH($B$8)),CS48*(1+CT41/12),0)+CT42+CT43)</x:f>
      </x:c>
      <x:c r="CU53" s="117">
        <x:f>IF(CU$3&lt;$B$8,0,IF(AND(YEAR(CU$3)=YEAR($B$8),MONTH(CU$3)=MONTH($B$8)),CT48*(1+CU41/12),0)+CU42+CU43)</x:f>
      </x:c>
      <x:c r="CV53" s="117">
        <x:f>IF(CV$3&lt;$B$8,0,IF(AND(YEAR(CV$3)=YEAR($B$8),MONTH(CV$3)=MONTH($B$8)),CU48*(1+CV41/12),0)+CV42+CV43)</x:f>
      </x:c>
      <x:c r="CW53" s="117">
        <x:f>IF(CW$3&lt;$B$8,0,IF(AND(YEAR(CW$3)=YEAR($B$8),MONTH(CW$3)=MONTH($B$8)),CV48*(1+CW41/12),0)+CW42+CW43)</x:f>
      </x:c>
      <x:c r="CX53" s="117">
        <x:f>IF(CX$3&lt;$B$8,0,IF(AND(YEAR(CX$3)=YEAR($B$8),MONTH(CX$3)=MONTH($B$8)),CW48*(1+CX41/12),0)+CX42+CX43)</x:f>
      </x:c>
      <x:c r="CY53" s="117">
        <x:f>IF(CY$3&lt;$B$8,0,IF(AND(YEAR(CY$3)=YEAR($B$8),MONTH(CY$3)=MONTH($B$8)),CX48*(1+CY41/12),0)+CY42+CY43)</x:f>
      </x:c>
      <x:c r="CZ53" s="117">
        <x:f>IF(CZ$3&lt;$B$8,0,IF(AND(YEAR(CZ$3)=YEAR($B$8),MONTH(CZ$3)=MONTH($B$8)),CY48*(1+CZ41/12),0)+CZ42+CZ43)</x:f>
      </x:c>
      <x:c r="DA53" s="117">
        <x:f>IF(DA$3&lt;$B$8,0,IF(AND(YEAR(DA$3)=YEAR($B$8),MONTH(DA$3)=MONTH($B$8)),CZ48*(1+DA41/12),0)+DA42+DA43)</x:f>
      </x:c>
      <x:c r="DB53" s="117">
        <x:f>IF(DB$3&lt;$B$8,0,IF(AND(YEAR(DB$3)=YEAR($B$8),MONTH(DB$3)=MONTH($B$8)),DA48*(1+DB41/12),0)+DB42+DB43)</x:f>
      </x:c>
      <x:c r="DC53" s="117">
        <x:f>IF(DC$3&lt;$B$8,0,IF(AND(YEAR(DC$3)=YEAR($B$8),MONTH(DC$3)=MONTH($B$8)),DB48*(1+DC41/12),0)+DC42+DC43)</x:f>
      </x:c>
      <x:c r="DD53" s="117">
        <x:f>IF(DD$3&lt;$B$8,0,IF(AND(YEAR(DD$3)=YEAR($B$8),MONTH(DD$3)=MONTH($B$8)),DC48*(1+DD41/12),0)+DD42+DD43)</x:f>
      </x:c>
      <x:c r="DE53" s="117">
        <x:f>IF(DE$3&lt;$B$8,0,IF(AND(YEAR(DE$3)=YEAR($B$8),MONTH(DE$3)=MONTH($B$8)),DD48*(1+DE41/12),0)+DE42+DE43)</x:f>
      </x:c>
      <x:c r="DF53" s="117">
        <x:f>IF(DF$3&lt;$B$8,0,IF(AND(YEAR(DF$3)=YEAR($B$8),MONTH(DF$3)=MONTH($B$8)),DE48*(1+DF41/12),0)+DF42+DF43)</x:f>
      </x:c>
      <x:c r="DG53" s="117">
        <x:f>IF(DG$3&lt;$B$8,0,IF(AND(YEAR(DG$3)=YEAR($B$8),MONTH(DG$3)=MONTH($B$8)),DF48*(1+DG41/12),0)+DG42+DG43)</x:f>
      </x:c>
      <x:c r="DH53" s="117">
        <x:f>IF(DH$3&lt;$B$8,0,IF(AND(YEAR(DH$3)=YEAR($B$8),MONTH(DH$3)=MONTH($B$8)),DG48*(1+DH41/12),0)+DH42+DH43)</x:f>
      </x:c>
      <x:c r="DI53" s="117">
        <x:f>IF(DI$3&lt;$B$8,0,IF(AND(YEAR(DI$3)=YEAR($B$8),MONTH(DI$3)=MONTH($B$8)),DH48*(1+DI41/12),0)+DI42+DI43)</x:f>
      </x:c>
      <x:c r="DJ53" s="117">
        <x:f>IF(DJ$3&lt;$B$8,0,IF(AND(YEAR(DJ$3)=YEAR($B$8),MONTH(DJ$3)=MONTH($B$8)),DI48*(1+DJ41/12),0)+DJ42+DJ43)</x:f>
      </x:c>
      <x:c r="DK53" s="117">
        <x:f>IF(DK$3&lt;$B$8,0,IF(AND(YEAR(DK$3)=YEAR($B$8),MONTH(DK$3)=MONTH($B$8)),DJ48*(1+DK41/12),0)+DK42+DK43)</x:f>
      </x:c>
      <x:c r="DL53" s="117">
        <x:f>IF(DL$3&lt;$B$8,0,IF(AND(YEAR(DL$3)=YEAR($B$8),MONTH(DL$3)=MONTH($B$8)),DK48*(1+DL41/12),0)+DL42+DL43)</x:f>
      </x:c>
      <x:c r="DM53" s="117">
        <x:f>IF(DM$3&lt;$B$8,0,IF(AND(YEAR(DM$3)=YEAR($B$8),MONTH(DM$3)=MONTH($B$8)),DL48*(1+DM41/12),0)+DM42+DM43)</x:f>
      </x:c>
      <x:c r="DN53" s="117">
        <x:f>IF(DN$3&lt;$B$8,0,IF(AND(YEAR(DN$3)=YEAR($B$8),MONTH(DN$3)=MONTH($B$8)),DM48*(1+DN41/12),0)+DN42+DN43)</x:f>
      </x:c>
      <x:c r="DO53" s="117">
        <x:f>IF(DO$3&lt;$B$8,0,IF(AND(YEAR(DO$3)=YEAR($B$8),MONTH(DO$3)=MONTH($B$8)),DN48*(1+DO41/12),0)+DO42+DO43)</x:f>
      </x:c>
      <x:c r="DP53" s="117">
        <x:f>IF(DP$3&lt;$B$8,0,IF(AND(YEAR(DP$3)=YEAR($B$8),MONTH(DP$3)=MONTH($B$8)),DO48*(1+DP41/12),0)+DP42+DP43)</x:f>
      </x:c>
      <x:c r="DQ53" s="117">
        <x:f>IF(DQ$3&lt;$B$8,0,IF(AND(YEAR(DQ$3)=YEAR($B$8),MONTH(DQ$3)=MONTH($B$8)),DP48*(1+DQ41/12),0)+DQ42+DQ43)</x:f>
      </x:c>
      <x:c r="DR53" s="117">
        <x:f>IF(DR$3&lt;$B$8,0,IF(AND(YEAR(DR$3)=YEAR($B$8),MONTH(DR$3)=MONTH($B$8)),DQ48*(1+DR41/12),0)+DR42+DR43)</x:f>
      </x:c>
      <x:c r="DS53" s="117">
        <x:f>IF(DS$3&lt;$B$8,0,IF(AND(YEAR(DS$3)=YEAR($B$8),MONTH(DS$3)=MONTH($B$8)),DR48*(1+DS41/12),0)+DS42+DS43)</x:f>
      </x:c>
      <x:c r="DT53" s="117">
        <x:f>IF(DT$3&lt;$B$8,0,IF(AND(YEAR(DT$3)=YEAR($B$8),MONTH(DT$3)=MONTH($B$8)),DS48*(1+DT41/12),0)+DT42+DT43)</x:f>
      </x:c>
      <x:c r="DU53" s="117">
        <x:f>IF(DU$3&lt;$B$8,0,IF(AND(YEAR(DU$3)=YEAR($B$8),MONTH(DU$3)=MONTH($B$8)),DT48*(1+DU41/12),0)+DU42+DU43)</x:f>
      </x:c>
      <x:c r="DV53" s="117">
        <x:f>IF(DV$3&lt;$B$8,0,IF(AND(YEAR(DV$3)=YEAR($B$8),MONTH(DV$3)=MONTH($B$8)),DU48*(1+DV41/12),0)+DV42+DV43)</x:f>
      </x:c>
      <x:c r="DW53" s="117">
        <x:f>IF(DW$3&lt;$B$8,0,IF(AND(YEAR(DW$3)=YEAR($B$8),MONTH(DW$3)=MONTH($B$8)),DV48*(1+DW41/12),0)+DW42+DW43)</x:f>
      </x:c>
      <x:c r="DX53" s="117">
        <x:f>IF(DX$3&lt;$B$8,0,IF(AND(YEAR(DX$3)=YEAR($B$8),MONTH(DX$3)=MONTH($B$8)),DW48*(1+DX41/12),0)+DX42+DX43)</x:f>
      </x:c>
      <x:c r="DY53" s="117">
        <x:f>IF(DY$3&lt;$B$8,0,IF(AND(YEAR(DY$3)=YEAR($B$8),MONTH(DY$3)=MONTH($B$8)),DX48*(1+DY41/12),0)+DY42+DY43)</x:f>
      </x:c>
      <x:c r="DZ53" s="117">
        <x:f>IF(DZ$3&lt;$B$8,0,IF(AND(YEAR(DZ$3)=YEAR($B$8),MONTH(DZ$3)=MONTH($B$8)),DY48*(1+DZ41/12),0)+DZ42+DZ43)</x:f>
      </x:c>
      <x:c r="EA53" s="117">
        <x:f>IF(EA$3&lt;$B$8,0,IF(AND(YEAR(EA$3)=YEAR($B$8),MONTH(EA$3)=MONTH($B$8)),DZ48*(1+EA41/12),0)+EA42+EA43)</x:f>
      </x:c>
      <x:c r="EB53" s="117">
        <x:f>IF(EB$3&lt;$B$8,0,IF(AND(YEAR(EB$3)=YEAR($B$8),MONTH(EB$3)=MONTH($B$8)),EA48*(1+EB41/12),0)+EB42+EB43)</x:f>
      </x:c>
      <x:c r="EC53" s="117">
        <x:f>IF(EC$3&lt;$B$8,0,IF(AND(YEAR(EC$3)=YEAR($B$8),MONTH(EC$3)=MONTH($B$8)),EB48*(1+EC41/12),0)+EC42+EC43)</x:f>
      </x:c>
      <x:c r="ED53" s="117">
        <x:f>IF(ED$3&lt;$B$8,0,IF(AND(YEAR(ED$3)=YEAR($B$8),MONTH(ED$3)=MONTH($B$8)),EC48*(1+ED41/12),0)+ED42+ED43)</x:f>
      </x:c>
      <x:c r="EE53" s="117">
        <x:f>IF(EE$3&lt;$B$8,0,IF(AND(YEAR(EE$3)=YEAR($B$8),MONTH(EE$3)=MONTH($B$8)),ED48*(1+EE41/12),0)+EE42+EE43)</x:f>
      </x:c>
      <x:c r="EF53" s="117">
        <x:f>IF(EF$3&lt;$B$8,0,IF(AND(YEAR(EF$3)=YEAR($B$8),MONTH(EF$3)=MONTH($B$8)),EE48*(1+EF41/12),0)+EF42+EF43)</x:f>
      </x:c>
      <x:c r="EG53" s="117">
        <x:f>IF(EG$3&lt;$B$8,0,IF(AND(YEAR(EG$3)=YEAR($B$8),MONTH(EG$3)=MONTH($B$8)),EF48*(1+EG41/12),0)+EG42+EG43)</x:f>
      </x:c>
      <x:c r="EH53" s="117">
        <x:f>IF(EH$3&lt;$B$8,0,IF(AND(YEAR(EH$3)=YEAR($B$8),MONTH(EH$3)=MONTH($B$8)),EG48*(1+EH41/12),0)+EH42+EH43)</x:f>
      </x:c>
      <x:c r="EI53" s="117">
        <x:f>IF(EI$3&lt;$B$8,0,IF(AND(YEAR(EI$3)=YEAR($B$8),MONTH(EI$3)=MONTH($B$8)),EH48*(1+EI41/12),0)+EI42+EI43)</x:f>
      </x:c>
      <x:c r="EJ53" s="117">
        <x:f>IF(EJ$3&lt;$B$8,0,IF(AND(YEAR(EJ$3)=YEAR($B$8),MONTH(EJ$3)=MONTH($B$8)),EI48*(1+EJ41/12),0)+EJ42+EJ43)</x:f>
      </x:c>
      <x:c r="EK53" s="117">
        <x:f>IF(EK$3&lt;$B$8,0,IF(AND(YEAR(EK$3)=YEAR($B$8),MONTH(EK$3)=MONTH($B$8)),EJ48*(1+EK41/12),0)+EK42+EK43)</x:f>
      </x:c>
      <x:c r="EL53" s="117">
        <x:f>IF(EL$3&lt;$B$8,0,IF(AND(YEAR(EL$3)=YEAR($B$8),MONTH(EL$3)=MONTH($B$8)),EK48*(1+EL41/12),0)+EL42+EL43)</x:f>
      </x:c>
      <x:c r="EM53" s="117">
        <x:f>IF(EM$3&lt;$B$8,0,IF(AND(YEAR(EM$3)=YEAR($B$8),MONTH(EM$3)=MONTH($B$8)),EL48*(1+EM41/12),0)+EM42+EM43)</x:f>
      </x:c>
      <x:c r="EN53" s="117">
        <x:f>IF(EN$3&lt;$B$8,0,IF(AND(YEAR(EN$3)=YEAR($B$8),MONTH(EN$3)=MONTH($B$8)),EM48*(1+EN41/12),0)+EN42+EN43)</x:f>
      </x:c>
      <x:c r="EO53" s="117">
        <x:f>IF(EO$3&lt;$B$8,0,IF(AND(YEAR(EO$3)=YEAR($B$8),MONTH(EO$3)=MONTH($B$8)),EN48*(1+EO41/12),0)+EO42+EO43)</x:f>
      </x:c>
      <x:c r="EP53" s="117">
        <x:f>IF(EP$3&lt;$B$8,0,IF(AND(YEAR(EP$3)=YEAR($B$8),MONTH(EP$3)=MONTH($B$8)),EO48*(1+EP41/12),0)+EP42+EP43)</x:f>
      </x:c>
      <x:c r="EQ53" s="117">
        <x:f>IF(EQ$3&lt;$B$8,0,IF(AND(YEAR(EQ$3)=YEAR($B$8),MONTH(EQ$3)=MONTH($B$8)),EP48*(1+EQ41/12),0)+EQ42+EQ43)</x:f>
      </x:c>
      <x:c r="ER53" s="117">
        <x:f>IF(ER$3&lt;$B$8,0,IF(AND(YEAR(ER$3)=YEAR($B$8),MONTH(ER$3)=MONTH($B$8)),EQ48*(1+ER41/12),0)+ER42+ER43)</x:f>
      </x:c>
      <x:c r="ES53" s="117">
        <x:f>IF(ES$3&lt;$B$8,0,IF(AND(YEAR(ES$3)=YEAR($B$8),MONTH(ES$3)=MONTH($B$8)),ER48*(1+ES41/12),0)+ES42+ES43)</x:f>
      </x:c>
      <x:c r="ET53" s="117">
        <x:f>IF(ET$3&lt;$B$8,0,IF(AND(YEAR(ET$3)=YEAR($B$8),MONTH(ET$3)=MONTH($B$8)),ES48*(1+ET41/12),0)+ET42+ET43)</x:f>
      </x:c>
      <x:c r="EU53" s="117">
        <x:f>IF(EU$3&lt;$B$8,0,IF(AND(YEAR(EU$3)=YEAR($B$8),MONTH(EU$3)=MONTH($B$8)),ET48*(1+EU41/12),0)+EU42+EU43)</x:f>
      </x:c>
      <x:c r="EV53" s="117">
        <x:f>IF(EV$3&lt;$B$8,0,IF(AND(YEAR(EV$3)=YEAR($B$8),MONTH(EV$3)=MONTH($B$8)),EU48*(1+EV41/12),0)+EV42+EV43)</x:f>
      </x:c>
      <x:c r="EW53" s="117">
        <x:f>IF(EW$3&lt;$B$8,0,IF(AND(YEAR(EW$3)=YEAR($B$8),MONTH(EW$3)=MONTH($B$8)),EV48*(1+EW41/12),0)+EW42+EW43)</x:f>
      </x:c>
      <x:c r="EX53" s="117">
        <x:f>IF(EX$3&lt;$B$8,0,IF(AND(YEAR(EX$3)=YEAR($B$8),MONTH(EX$3)=MONTH($B$8)),EW48*(1+EX41/12),0)+EX42+EX43)</x:f>
      </x:c>
      <x:c r="EY53" s="117">
        <x:f>IF(EY$3&lt;$B$8,0,IF(AND(YEAR(EY$3)=YEAR($B$8),MONTH(EY$3)=MONTH($B$8)),EX48*(1+EY41/12),0)+EY42+EY43)</x:f>
      </x:c>
      <x:c r="EZ53" s="117">
        <x:f>IF(EZ$3&lt;$B$8,0,IF(AND(YEAR(EZ$3)=YEAR($B$8),MONTH(EZ$3)=MONTH($B$8)),EY48*(1+EZ41/12),0)+EZ42+EZ43)</x:f>
      </x:c>
      <x:c r="FA53" s="117">
        <x:f>IF(FA$3&lt;$B$8,0,IF(AND(YEAR(FA$3)=YEAR($B$8),MONTH(FA$3)=MONTH($B$8)),EZ48*(1+FA41/12),0)+FA42+FA43)</x:f>
      </x:c>
      <x:c r="FB53" s="117">
        <x:f>IF(FB$3&lt;$B$8,0,IF(AND(YEAR(FB$3)=YEAR($B$8),MONTH(FB$3)=MONTH($B$8)),FA48*(1+FB41/12),0)+FB42+FB43)</x:f>
      </x:c>
      <x:c r="FC53" s="117">
        <x:f>IF(FC$3&lt;$B$8,0,IF(AND(YEAR(FC$3)=YEAR($B$8),MONTH(FC$3)=MONTH($B$8)),FB48*(1+FC41/12),0)+FC42+FC43)</x:f>
      </x:c>
      <x:c r="FD53" s="117">
        <x:f>IF(FD$3&lt;$B$8,0,IF(AND(YEAR(FD$3)=YEAR($B$8),MONTH(FD$3)=MONTH($B$8)),FC48*(1+FD41/12),0)+FD42+FD43)</x:f>
      </x:c>
      <x:c r="FE53" s="117">
        <x:f>IF(FE$3&lt;$B$8,0,IF(AND(YEAR(FE$3)=YEAR($B$8),MONTH(FE$3)=MONTH($B$8)),FD48*(1+FE41/12),0)+FE42+FE43)</x:f>
      </x:c>
      <x:c r="FF53" s="117">
        <x:f>IF(FF$3&lt;$B$8,0,IF(AND(YEAR(FF$3)=YEAR($B$8),MONTH(FF$3)=MONTH($B$8)),FE48*(1+FF41/12),0)+FF42+FF43)</x:f>
      </x:c>
      <x:c r="FG53" s="117">
        <x:f>IF(FG$3&lt;$B$8,0,IF(AND(YEAR(FG$3)=YEAR($B$8),MONTH(FG$3)=MONTH($B$8)),FF48*(1+FG41/12),0)+FG42+FG43)</x:f>
      </x:c>
      <x:c r="FH53" s="117">
        <x:f>IF(FH$3&lt;$B$8,0,IF(AND(YEAR(FH$3)=YEAR($B$8),MONTH(FH$3)=MONTH($B$8)),FG48*(1+FH41/12),0)+FH42+FH43)</x:f>
      </x:c>
      <x:c r="FI53" s="117">
        <x:f>IF(FI$3&lt;$B$8,0,IF(AND(YEAR(FI$3)=YEAR($B$8),MONTH(FI$3)=MONTH($B$8)),FH48*(1+FI41/12),0)+FI42+FI43)</x:f>
      </x:c>
      <x:c r="FJ53" s="117">
        <x:f>IF(FJ$3&lt;$B$8,0,IF(AND(YEAR(FJ$3)=YEAR($B$8),MONTH(FJ$3)=MONTH($B$8)),FI48*(1+FJ41/12),0)+FJ42+FJ43)</x:f>
      </x:c>
      <x:c r="FK53" s="117">
        <x:f>IF(FK$3&lt;$B$8,0,IF(AND(YEAR(FK$3)=YEAR($B$8),MONTH(FK$3)=MONTH($B$8)),FJ48*(1+FK41/12),0)+FK42+FK43)</x:f>
      </x:c>
      <x:c r="FL53" s="117">
        <x:f>IF(FL$3&lt;$B$8,0,IF(AND(YEAR(FL$3)=YEAR($B$8),MONTH(FL$3)=MONTH($B$8)),FK48*(1+FL41/12),0)+FL42+FL43)</x:f>
      </x:c>
      <x:c r="FM53" s="117">
        <x:f>IF(FM$3&lt;$B$8,0,IF(AND(YEAR(FM$3)=YEAR($B$8),MONTH(FM$3)=MONTH($B$8)),FL48*(1+FM41/12),0)+FM42+FM43)</x:f>
      </x:c>
      <x:c r="FN53" s="117">
        <x:f>IF(FN$3&lt;$B$8,0,IF(AND(YEAR(FN$3)=YEAR($B$8),MONTH(FN$3)=MONTH($B$8)),FM48*(1+FN41/12),0)+FN42+FN43)</x:f>
      </x:c>
      <x:c r="FO53" s="117">
        <x:f>IF(FO$3&lt;$B$8,0,IF(AND(YEAR(FO$3)=YEAR($B$8),MONTH(FO$3)=MONTH($B$8)),FN48*(1+FO41/12),0)+FO42+FO43)</x:f>
      </x:c>
      <x:c r="FP53" s="117">
        <x:f>IF(FP$3&lt;$B$8,0,IF(AND(YEAR(FP$3)=YEAR($B$8),MONTH(FP$3)=MONTH($B$8)),FO48*(1+FP41/12),0)+FP42+FP43)</x:f>
      </x:c>
      <x:c r="FQ53" s="117">
        <x:f>IF(FQ$3&lt;$B$8,0,IF(AND(YEAR(FQ$3)=YEAR($B$8),MONTH(FQ$3)=MONTH($B$8)),FP48*(1+FQ41/12),0)+FQ42+FQ43)</x:f>
      </x:c>
      <x:c r="FR53" s="117">
        <x:f>IF(FR$3&lt;$B$8,0,IF(AND(YEAR(FR$3)=YEAR($B$8),MONTH(FR$3)=MONTH($B$8)),FQ48*(1+FR41/12),0)+FR42+FR43)</x:f>
      </x:c>
      <x:c r="FS53" s="117">
        <x:f>IF(FS$3&lt;$B$8,0,IF(AND(YEAR(FS$3)=YEAR($B$8),MONTH(FS$3)=MONTH($B$8)),FR48*(1+FS41/12),0)+FS42+FS43)</x:f>
      </x:c>
      <x:c r="FT53" s="117">
        <x:f>IF(FT$3&lt;$B$8,0,IF(AND(YEAR(FT$3)=YEAR($B$8),MONTH(FT$3)=MONTH($B$8)),FS48*(1+FT41/12),0)+FT42+FT43)</x:f>
      </x:c>
      <x:c r="FU53" s="117">
        <x:f>IF(FU$3&lt;$B$8,0,IF(AND(YEAR(FU$3)=YEAR($B$8),MONTH(FU$3)=MONTH($B$8)),FT48*(1+FU41/12),0)+FU42+FU43)</x:f>
      </x:c>
      <x:c r="FV53" s="117">
        <x:f>IF(FV$3&lt;$B$8,0,IF(AND(YEAR(FV$3)=YEAR($B$8),MONTH(FV$3)=MONTH($B$8)),FU48*(1+FV41/12),0)+FV42+FV43)</x:f>
      </x:c>
      <x:c r="FW53" s="117">
        <x:f>IF(FW$3&lt;$B$8,0,IF(AND(YEAR(FW$3)=YEAR($B$8),MONTH(FW$3)=MONTH($B$8)),FV48*(1+FW41/12),0)+FW42+FW43)</x:f>
      </x:c>
      <x:c r="FX53" s="117">
        <x:f>IF(FX$3&lt;$B$8,0,IF(AND(YEAR(FX$3)=YEAR($B$8),MONTH(FX$3)=MONTH($B$8)),FW48*(1+FX41/12),0)+FX42+FX43)</x:f>
      </x:c>
      <x:c r="FY53" s="117">
        <x:f>IF(FY$3&lt;$B$8,0,IF(AND(YEAR(FY$3)=YEAR($B$8),MONTH(FY$3)=MONTH($B$8)),FX48*(1+FY41/12),0)+FY42+FY43)</x:f>
      </x:c>
      <x:c r="FZ53" s="117">
        <x:f>IF(FZ$3&lt;$B$8,0,IF(AND(YEAR(FZ$3)=YEAR($B$8),MONTH(FZ$3)=MONTH($B$8)),FY48*(1+FZ41/12),0)+FZ42+FZ43)</x:f>
      </x:c>
      <x:c r="GA53" s="117">
        <x:f>IF(GA$3&lt;$B$8,0,IF(AND(YEAR(GA$3)=YEAR($B$8),MONTH(GA$3)=MONTH($B$8)),FZ48*(1+GA41/12),0)+GA42+GA43)</x:f>
      </x:c>
    </x:row>
    <x:row r="54">
      <x:c r="A54" s="113" t="str">
        <x:v>Проектный CF до финансирования</x:v>
      </x:c>
      <x:c r="B54" s="113" t="n">
        <x:f>SUM(D54:GA54)</x:f>
      </x:c>
      <x:c r="C54" s="113" t="str">
        <x:v>млн ₽</x:v>
      </x:c>
      <x:c r="D54" s="120" t="n">
        <x:f>D27-D20-D24</x:f>
      </x:c>
      <x:c r="E54" s="120" t="n">
        <x:f>E27-E20-E24</x:f>
      </x:c>
      <x:c r="F54" s="120" t="n">
        <x:f>F27-F20-F24</x:f>
      </x:c>
      <x:c r="G54" s="120" t="n">
        <x:f>G27-G20-G24</x:f>
      </x:c>
      <x:c r="H54" s="120" t="n">
        <x:f>H27-H20-H24</x:f>
      </x:c>
      <x:c r="I54" s="120" t="n">
        <x:f>I27-I20-I24</x:f>
      </x:c>
      <x:c r="J54" s="120" t="n">
        <x:f>J27-J20-J24</x:f>
      </x:c>
      <x:c r="K54" s="120" t="n">
        <x:f>K27-K20-K24</x:f>
      </x:c>
      <x:c r="L54" s="120" t="n">
        <x:f>L27-L20-L24</x:f>
      </x:c>
      <x:c r="M54" s="120" t="n">
        <x:f>M27-M20-M24</x:f>
      </x:c>
      <x:c r="N54" s="120" t="n">
        <x:f>N27-N20-N24</x:f>
      </x:c>
      <x:c r="O54" s="120" t="n">
        <x:f>O27-O20-O24</x:f>
      </x:c>
      <x:c r="P54" s="120" t="n">
        <x:f>P27-P20-P24</x:f>
      </x:c>
      <x:c r="Q54" s="120" t="n">
        <x:f>Q27-Q20-Q24</x:f>
      </x:c>
      <x:c r="R54" s="120" t="n">
        <x:f>R27-R20-R24</x:f>
      </x:c>
      <x:c r="S54" s="120" t="n">
        <x:f>S27-S20-S24</x:f>
      </x:c>
      <x:c r="T54" s="120" t="n">
        <x:f>T27-T20-T24</x:f>
      </x:c>
      <x:c r="U54" s="120" t="n">
        <x:f>U27-U20-U24</x:f>
      </x:c>
      <x:c r="V54" s="120" t="n">
        <x:f>V27-V20-V24</x:f>
      </x:c>
      <x:c r="W54" s="120" t="n">
        <x:f>W27-W20-W24</x:f>
      </x:c>
      <x:c r="X54" s="120" t="n">
        <x:f>X27-X20-X24</x:f>
      </x:c>
      <x:c r="Y54" s="120" t="n">
        <x:f>Y27-Y20-Y24</x:f>
      </x:c>
      <x:c r="Z54" s="120" t="n">
        <x:f>Z27-Z20-Z24</x:f>
      </x:c>
      <x:c r="AA54" s="120" t="n">
        <x:f>AA27-AA20-AA24</x:f>
      </x:c>
      <x:c r="AB54" s="120" t="n">
        <x:f>AB27-AB20-AB24</x:f>
      </x:c>
      <x:c r="AC54" s="120" t="n">
        <x:f>AC27-AC20-AC24</x:f>
      </x:c>
      <x:c r="AD54" s="120" t="n">
        <x:f>AD27-AD20-AD24</x:f>
      </x:c>
      <x:c r="AE54" s="120" t="n">
        <x:f>AE27-AE20-AE24</x:f>
      </x:c>
      <x:c r="AF54" s="120" t="n">
        <x:f>AF27-AF20-AF24</x:f>
      </x:c>
      <x:c r="AG54" s="120" t="n">
        <x:f>AG27-AG20-AG24</x:f>
      </x:c>
      <x:c r="AH54" s="120" t="n">
        <x:f>AH27-AH20-AH24</x:f>
      </x:c>
      <x:c r="AI54" s="120" t="n">
        <x:f>AI27-AI20-AI24</x:f>
      </x:c>
      <x:c r="AJ54" s="120" t="n">
        <x:f>AJ27-AJ20-AJ24</x:f>
      </x:c>
      <x:c r="AK54" s="120" t="n">
        <x:f>AK27-AK20-AK24</x:f>
      </x:c>
      <x:c r="AL54" s="120" t="n">
        <x:f>AL27-AL20-AL24</x:f>
      </x:c>
      <x:c r="AM54" s="120" t="n">
        <x:f>AM27-AM20-AM24</x:f>
      </x:c>
      <x:c r="AN54" s="120" t="n">
        <x:f>AN27-AN20-AN24</x:f>
      </x:c>
      <x:c r="AO54" s="120" t="n">
        <x:f>AO27-AO20-AO24</x:f>
      </x:c>
      <x:c r="AP54" s="120" t="n">
        <x:f>AP27-AP20-AP24</x:f>
      </x:c>
      <x:c r="AQ54" s="120" t="n">
        <x:f>AQ27-AQ20-AQ24</x:f>
      </x:c>
      <x:c r="AR54" s="120" t="n">
        <x:f>AR27-AR20-AR24</x:f>
      </x:c>
      <x:c r="AS54" s="120" t="n">
        <x:f>AS27-AS20-AS24</x:f>
      </x:c>
      <x:c r="AT54" s="120" t="n">
        <x:f>AT27-AT20-AT24</x:f>
      </x:c>
      <x:c r="AU54" s="120" t="n">
        <x:f>AU27-AU20-AU24</x:f>
      </x:c>
      <x:c r="AV54" s="120" t="n">
        <x:f>AV27-AV20-AV24</x:f>
      </x:c>
      <x:c r="AW54" s="120" t="n">
        <x:f>AW27-AW20-AW24</x:f>
      </x:c>
      <x:c r="AX54" s="120" t="n">
        <x:f>AX27-AX20-AX24</x:f>
      </x:c>
      <x:c r="AY54" s="120" t="n">
        <x:f>AY27-AY20-AY24</x:f>
      </x:c>
      <x:c r="AZ54" s="120" t="n">
        <x:f>AZ27-AZ20-AZ24</x:f>
      </x:c>
      <x:c r="BA54" s="120" t="n">
        <x:f>BA27-BA20-BA24</x:f>
      </x:c>
      <x:c r="BB54" s="120" t="n">
        <x:f>BB27-BB20-BB24</x:f>
      </x:c>
      <x:c r="BC54" s="120" t="n">
        <x:f>BC27-BC20-BC24</x:f>
      </x:c>
      <x:c r="BD54" s="120" t="n">
        <x:f>BD27-BD20-BD24</x:f>
      </x:c>
      <x:c r="BE54" s="120" t="n">
        <x:f>BE27-BE20-BE24</x:f>
      </x:c>
      <x:c r="BF54" s="120" t="n">
        <x:f>BF27-BF20-BF24</x:f>
      </x:c>
      <x:c r="BG54" s="120" t="n">
        <x:f>BG27-BG20-BG24</x:f>
      </x:c>
      <x:c r="BH54" s="120" t="n">
        <x:f>BH27-BH20-BH24</x:f>
      </x:c>
      <x:c r="BI54" s="120" t="n">
        <x:f>BI27-BI20-BI24</x:f>
      </x:c>
      <x:c r="BJ54" s="120" t="n">
        <x:f>BJ27-BJ20-BJ24</x:f>
      </x:c>
      <x:c r="BK54" s="120" t="n">
        <x:f>BK27-BK20-BK24</x:f>
      </x:c>
      <x:c r="BL54" s="120" t="n">
        <x:f>BL27-BL20-BL24</x:f>
      </x:c>
      <x:c r="BM54" s="120" t="n">
        <x:f>BM27-BM20-BM24</x:f>
      </x:c>
      <x:c r="BN54" s="120" t="n">
        <x:f>BN27-BN20-BN24</x:f>
      </x:c>
      <x:c r="BO54" s="120" t="n">
        <x:f>BO27-BO20-BO24</x:f>
      </x:c>
      <x:c r="BP54" s="120" t="n">
        <x:f>BP27-BP20-BP24</x:f>
      </x:c>
      <x:c r="BQ54" s="120" t="n">
        <x:f>BQ27-BQ20-BQ24</x:f>
      </x:c>
      <x:c r="BR54" s="120" t="n">
        <x:f>BR27-BR20-BR24</x:f>
      </x:c>
      <x:c r="BS54" s="120" t="n">
        <x:f>BS27-BS20-BS24</x:f>
      </x:c>
      <x:c r="BT54" s="120" t="n">
        <x:f>BT27-BT20-BT24</x:f>
      </x:c>
      <x:c r="BU54" s="120" t="n">
        <x:f>BU27-BU20-BU24</x:f>
      </x:c>
      <x:c r="BV54" s="120" t="n">
        <x:f>BV27-BV20-BV24</x:f>
      </x:c>
      <x:c r="BW54" s="120" t="n">
        <x:f>BW27-BW20-BW24</x:f>
      </x:c>
      <x:c r="BX54" s="120" t="n">
        <x:f>BX27-BX20-BX24</x:f>
      </x:c>
      <x:c r="BY54" s="120" t="n">
        <x:f>BY27-BY20-BY24</x:f>
      </x:c>
      <x:c r="BZ54" s="120" t="n">
        <x:f>BZ27-BZ20-BZ24</x:f>
      </x:c>
      <x:c r="CA54" s="120" t="n">
        <x:f>CA27-CA20-CA24</x:f>
      </x:c>
      <x:c r="CB54" s="120" t="n">
        <x:f>CB27-CB20-CB24</x:f>
      </x:c>
      <x:c r="CC54" s="120" t="n">
        <x:f>CC27-CC20-CC24</x:f>
      </x:c>
      <x:c r="CD54" s="120" t="n">
        <x:f>CD27-CD20-CD24</x:f>
      </x:c>
      <x:c r="CE54" s="120" t="n">
        <x:f>CE27-CE20-CE24</x:f>
      </x:c>
      <x:c r="CF54" s="120" t="n">
        <x:f>CF27-CF20-CF24</x:f>
      </x:c>
      <x:c r="CG54" s="120" t="n">
        <x:f>CG27-CG20-CG24</x:f>
      </x:c>
      <x:c r="CH54" s="120" t="n">
        <x:f>CH27-CH20-CH24</x:f>
      </x:c>
      <x:c r="CI54" s="120" t="n">
        <x:f>CI27-CI20-CI24</x:f>
      </x:c>
      <x:c r="CJ54" s="120" t="n">
        <x:f>CJ27-CJ20-CJ24</x:f>
      </x:c>
      <x:c r="CK54" s="120" t="n">
        <x:f>CK27-CK20-CK24</x:f>
      </x:c>
      <x:c r="CL54" s="120" t="n">
        <x:f>CL27-CL20-CL24</x:f>
      </x:c>
      <x:c r="CM54" s="120" t="n">
        <x:f>CM27-CM20-CM24</x:f>
      </x:c>
      <x:c r="CN54" s="120" t="n">
        <x:f>CN27-CN20-CN24</x:f>
      </x:c>
      <x:c r="CO54" s="120" t="n">
        <x:f>CO27-CO20-CO24</x:f>
      </x:c>
      <x:c r="CP54" s="120" t="n">
        <x:f>CP27-CP20-CP24</x:f>
      </x:c>
      <x:c r="CQ54" s="120" t="n">
        <x:f>CQ27-CQ20-CQ24</x:f>
      </x:c>
      <x:c r="CR54" s="120" t="n">
        <x:f>CR27-CR20-CR24</x:f>
      </x:c>
      <x:c r="CS54" s="120" t="n">
        <x:f>CS27-CS20-CS24</x:f>
      </x:c>
      <x:c r="CT54" s="120" t="n">
        <x:f>CT27-CT20-CT24</x:f>
      </x:c>
      <x:c r="CU54" s="120" t="n">
        <x:f>CU27-CU20-CU24</x:f>
      </x:c>
      <x:c r="CV54" s="120" t="n">
        <x:f>CV27-CV20-CV24</x:f>
      </x:c>
      <x:c r="CW54" s="120" t="n">
        <x:f>CW27-CW20-CW24</x:f>
      </x:c>
      <x:c r="CX54" s="120" t="n">
        <x:f>CX27-CX20-CX24</x:f>
      </x:c>
      <x:c r="CY54" s="120" t="n">
        <x:f>CY27-CY20-CY24</x:f>
      </x:c>
      <x:c r="CZ54" s="120" t="n">
        <x:f>CZ27-CZ20-CZ24</x:f>
      </x:c>
      <x:c r="DA54" s="120" t="n">
        <x:f>DA27-DA20-DA24</x:f>
      </x:c>
      <x:c r="DB54" s="120" t="n">
        <x:f>DB27-DB20-DB24</x:f>
      </x:c>
      <x:c r="DC54" s="120" t="n">
        <x:f>DC27-DC20-DC24</x:f>
      </x:c>
      <x:c r="DD54" s="120" t="n">
        <x:f>DD27-DD20-DD24</x:f>
      </x:c>
      <x:c r="DE54" s="120" t="n">
        <x:f>DE27-DE20-DE24</x:f>
      </x:c>
      <x:c r="DF54" s="120" t="n">
        <x:f>DF27-DF20-DF24</x:f>
      </x:c>
      <x:c r="DG54" s="120" t="n">
        <x:f>DG27-DG20-DG24</x:f>
      </x:c>
      <x:c r="DH54" s="120" t="n">
        <x:f>DH27-DH20-DH24</x:f>
      </x:c>
      <x:c r="DI54" s="120" t="n">
        <x:f>DI27-DI20-DI24</x:f>
      </x:c>
      <x:c r="DJ54" s="120" t="n">
        <x:f>DJ27-DJ20-DJ24</x:f>
      </x:c>
      <x:c r="DK54" s="120" t="n">
        <x:f>DK27-DK20-DK24</x:f>
      </x:c>
      <x:c r="DL54" s="120" t="n">
        <x:f>DL27-DL20-DL24</x:f>
      </x:c>
      <x:c r="DM54" s="120" t="n">
        <x:f>DM27-DM20-DM24</x:f>
      </x:c>
      <x:c r="DN54" s="120" t="n">
        <x:f>DN27-DN20-DN24</x:f>
      </x:c>
      <x:c r="DO54" s="120" t="n">
        <x:f>DO27-DO20-DO24</x:f>
      </x:c>
      <x:c r="DP54" s="120" t="n">
        <x:f>DP27-DP20-DP24</x:f>
      </x:c>
      <x:c r="DQ54" s="120" t="n">
        <x:f>DQ27-DQ20-DQ24</x:f>
      </x:c>
      <x:c r="DR54" s="120" t="n">
        <x:f>DR27-DR20-DR24</x:f>
      </x:c>
      <x:c r="DS54" s="120" t="n">
        <x:f>DS27-DS20-DS24</x:f>
      </x:c>
      <x:c r="DT54" s="120" t="n">
        <x:f>DT27-DT20-DT24</x:f>
      </x:c>
      <x:c r="DU54" s="120" t="n">
        <x:f>DU27-DU20-DU24</x:f>
      </x:c>
      <x:c r="DV54" s="120" t="n">
        <x:f>DV27-DV20-DV24</x:f>
      </x:c>
      <x:c r="DW54" s="120" t="n">
        <x:f>DW27-DW20-DW24</x:f>
      </x:c>
      <x:c r="DX54" s="120" t="n">
        <x:f>DX27-DX20-DX24</x:f>
      </x:c>
      <x:c r="DY54" s="120" t="n">
        <x:f>DY27-DY20-DY24</x:f>
      </x:c>
      <x:c r="DZ54" s="120" t="n">
        <x:f>DZ27-DZ20-DZ24</x:f>
      </x:c>
      <x:c r="EA54" s="120" t="n">
        <x:f>EA27-EA20-EA24</x:f>
      </x:c>
      <x:c r="EB54" s="120" t="n">
        <x:f>EB27-EB20-EB24</x:f>
      </x:c>
      <x:c r="EC54" s="120" t="n">
        <x:f>EC27-EC20-EC24</x:f>
      </x:c>
      <x:c r="ED54" s="120" t="n">
        <x:f>ED27-ED20-ED24</x:f>
      </x:c>
      <x:c r="EE54" s="120" t="n">
        <x:f>EE27-EE20-EE24</x:f>
      </x:c>
      <x:c r="EF54" s="120" t="n">
        <x:f>EF27-EF20-EF24</x:f>
      </x:c>
      <x:c r="EG54" s="120" t="n">
        <x:f>EG27-EG20-EG24</x:f>
      </x:c>
      <x:c r="EH54" s="120" t="n">
        <x:f>EH27-EH20-EH24</x:f>
      </x:c>
      <x:c r="EI54" s="120" t="n">
        <x:f>EI27-EI20-EI24</x:f>
      </x:c>
      <x:c r="EJ54" s="120" t="n">
        <x:f>EJ27-EJ20-EJ24</x:f>
      </x:c>
      <x:c r="EK54" s="120" t="n">
        <x:f>EK27-EK20-EK24</x:f>
      </x:c>
      <x:c r="EL54" s="120" t="n">
        <x:f>EL27-EL20-EL24</x:f>
      </x:c>
      <x:c r="EM54" s="120" t="n">
        <x:f>EM27-EM20-EM24</x:f>
      </x:c>
      <x:c r="EN54" s="120" t="n">
        <x:f>EN27-EN20-EN24</x:f>
      </x:c>
      <x:c r="EO54" s="120" t="n">
        <x:f>EO27-EO20-EO24</x:f>
      </x:c>
      <x:c r="EP54" s="120" t="n">
        <x:f>EP27-EP20-EP24</x:f>
      </x:c>
      <x:c r="EQ54" s="120" t="n">
        <x:f>EQ27-EQ20-EQ24</x:f>
      </x:c>
      <x:c r="ER54" s="120" t="n">
        <x:f>ER27-ER20-ER24</x:f>
      </x:c>
      <x:c r="ES54" s="120" t="n">
        <x:f>ES27-ES20-ES24</x:f>
      </x:c>
      <x:c r="ET54" s="120" t="n">
        <x:f>ET27-ET20-ET24</x:f>
      </x:c>
      <x:c r="EU54" s="120" t="n">
        <x:f>EU27-EU20-EU24</x:f>
      </x:c>
      <x:c r="EV54" s="120" t="n">
        <x:f>EV27-EV20-EV24</x:f>
      </x:c>
      <x:c r="EW54" s="120" t="n">
        <x:f>EW27-EW20-EW24</x:f>
      </x:c>
      <x:c r="EX54" s="120" t="n">
        <x:f>EX27-EX20-EX24</x:f>
      </x:c>
      <x:c r="EY54" s="120" t="n">
        <x:f>EY27-EY20-EY24</x:f>
      </x:c>
      <x:c r="EZ54" s="120" t="n">
        <x:f>EZ27-EZ20-EZ24</x:f>
      </x:c>
      <x:c r="FA54" s="120" t="n">
        <x:f>FA27-FA20-FA24</x:f>
      </x:c>
      <x:c r="FB54" s="120" t="n">
        <x:f>FB27-FB20-FB24</x:f>
      </x:c>
      <x:c r="FC54" s="120" t="n">
        <x:f>FC27-FC20-FC24</x:f>
      </x:c>
      <x:c r="FD54" s="120" t="n">
        <x:f>FD27-FD20-FD24</x:f>
      </x:c>
      <x:c r="FE54" s="120" t="n">
        <x:f>FE27-FE20-FE24</x:f>
      </x:c>
      <x:c r="FF54" s="120" t="n">
        <x:f>FF27-FF20-FF24</x:f>
      </x:c>
      <x:c r="FG54" s="120" t="n">
        <x:f>FG27-FG20-FG24</x:f>
      </x:c>
      <x:c r="FH54" s="120" t="n">
        <x:f>FH27-FH20-FH24</x:f>
      </x:c>
      <x:c r="FI54" s="120" t="n">
        <x:f>FI27-FI20-FI24</x:f>
      </x:c>
      <x:c r="FJ54" s="120" t="n">
        <x:f>FJ27-FJ20-FJ24</x:f>
      </x:c>
      <x:c r="FK54" s="120" t="n">
        <x:f>FK27-FK20-FK24</x:f>
      </x:c>
      <x:c r="FL54" s="120" t="n">
        <x:f>FL27-FL20-FL24</x:f>
      </x:c>
      <x:c r="FM54" s="120" t="n">
        <x:f>FM27-FM20-FM24</x:f>
      </x:c>
      <x:c r="FN54" s="120" t="n">
        <x:f>FN27-FN20-FN24</x:f>
      </x:c>
      <x:c r="FO54" s="120" t="n">
        <x:f>FO27-FO20-FO24</x:f>
      </x:c>
      <x:c r="FP54" s="120" t="n">
        <x:f>FP27-FP20-FP24</x:f>
      </x:c>
      <x:c r="FQ54" s="120" t="n">
        <x:f>FQ27-FQ20-FQ24</x:f>
      </x:c>
      <x:c r="FR54" s="120" t="n">
        <x:f>FR27-FR20-FR24</x:f>
      </x:c>
      <x:c r="FS54" s="120" t="n">
        <x:f>FS27-FS20-FS24</x:f>
      </x:c>
      <x:c r="FT54" s="120" t="n">
        <x:f>FT27-FT20-FT24</x:f>
      </x:c>
      <x:c r="FU54" s="120" t="n">
        <x:f>FU27-FU20-FU24</x:f>
      </x:c>
      <x:c r="FV54" s="120" t="n">
        <x:f>FV27-FV20-FV24</x:f>
      </x:c>
      <x:c r="FW54" s="120" t="n">
        <x:f>FW27-FW20-FW24</x:f>
      </x:c>
      <x:c r="FX54" s="120" t="n">
        <x:f>FX27-FX20-FX24</x:f>
      </x:c>
      <x:c r="FY54" s="120" t="n">
        <x:f>FY27-FY20-FY24</x:f>
      </x:c>
      <x:c r="FZ54" s="120" t="n">
        <x:f>FZ27-FZ20-FZ24</x:f>
      </x:c>
      <x:c r="GA54" s="120" t="n">
        <x:f>GA27-GA20-GA24</x:f>
      </x:c>
    </x:row>
    <x:row r="55">
      <x:c r="A55" t="str">
        <x:v>Накопленный проектный CF</x:v>
      </x:c>
      <x:c r="B55" t="n">
        <x:f>GA55</x:f>
      </x:c>
      <x:c r="C55" t="str">
        <x:v>млн ₽</x:v>
      </x:c>
      <x:c r="D55" s="117" t="n">
        <x:f>D54</x:f>
      </x:c>
      <x:c r="E55" s="117" t="n">
        <x:f>D55+E54</x:f>
      </x:c>
      <x:c r="F55" s="117" t="n">
        <x:f>E55+F54</x:f>
      </x:c>
      <x:c r="G55" s="117" t="n">
        <x:f>F55+G54</x:f>
      </x:c>
      <x:c r="H55" s="117" t="n">
        <x:f>G55+H54</x:f>
      </x:c>
      <x:c r="I55" s="117" t="n">
        <x:f>H55+I54</x:f>
      </x:c>
      <x:c r="J55" s="117" t="n">
        <x:f>I55+J54</x:f>
      </x:c>
      <x:c r="K55" s="117" t="n">
        <x:f>J55+K54</x:f>
      </x:c>
      <x:c r="L55" s="117" t="n">
        <x:f>K55+L54</x:f>
      </x:c>
      <x:c r="M55" s="117" t="n">
        <x:f>L55+M54</x:f>
      </x:c>
      <x:c r="N55" s="117" t="n">
        <x:f>M55+N54</x:f>
      </x:c>
      <x:c r="O55" s="117" t="n">
        <x:f>N55+O54</x:f>
      </x:c>
      <x:c r="P55" s="117" t="n">
        <x:f>O55+P54</x:f>
      </x:c>
      <x:c r="Q55" s="117" t="n">
        <x:f>P55+Q54</x:f>
      </x:c>
      <x:c r="R55" s="117" t="n">
        <x:f>Q55+R54</x:f>
      </x:c>
      <x:c r="S55" s="117" t="n">
        <x:f>R55+S54</x:f>
      </x:c>
      <x:c r="T55" s="117" t="n">
        <x:f>S55+T54</x:f>
      </x:c>
      <x:c r="U55" s="117" t="n">
        <x:f>T55+U54</x:f>
      </x:c>
      <x:c r="V55" s="117" t="n">
        <x:f>U55+V54</x:f>
      </x:c>
      <x:c r="W55" s="117" t="n">
        <x:f>V55+W54</x:f>
      </x:c>
      <x:c r="X55" s="117" t="n">
        <x:f>W55+X54</x:f>
      </x:c>
      <x:c r="Y55" s="117" t="n">
        <x:f>X55+Y54</x:f>
      </x:c>
      <x:c r="Z55" s="117" t="n">
        <x:f>Y55+Z54</x:f>
      </x:c>
      <x:c r="AA55" s="117" t="n">
        <x:f>Z55+AA54</x:f>
      </x:c>
      <x:c r="AB55" s="117" t="n">
        <x:f>AA55+AB54</x:f>
      </x:c>
      <x:c r="AC55" s="117" t="n">
        <x:f>AB55+AC54</x:f>
      </x:c>
      <x:c r="AD55" s="117" t="n">
        <x:f>AC55+AD54</x:f>
      </x:c>
      <x:c r="AE55" s="117" t="n">
        <x:f>AD55+AE54</x:f>
      </x:c>
      <x:c r="AF55" s="117" t="n">
        <x:f>AE55+AF54</x:f>
      </x:c>
      <x:c r="AG55" s="117" t="n">
        <x:f>AF55+AG54</x:f>
      </x:c>
      <x:c r="AH55" s="117" t="n">
        <x:f>AG55+AH54</x:f>
      </x:c>
      <x:c r="AI55" s="117" t="n">
        <x:f>AH55+AI54</x:f>
      </x:c>
      <x:c r="AJ55" s="117" t="n">
        <x:f>AI55+AJ54</x:f>
      </x:c>
      <x:c r="AK55" s="117" t="n">
        <x:f>AJ55+AK54</x:f>
      </x:c>
      <x:c r="AL55" s="117" t="n">
        <x:f>AK55+AL54</x:f>
      </x:c>
      <x:c r="AM55" s="117" t="n">
        <x:f>AL55+AM54</x:f>
      </x:c>
      <x:c r="AN55" s="117" t="n">
        <x:f>AM55+AN54</x:f>
      </x:c>
      <x:c r="AO55" s="117" t="n">
        <x:f>AN55+AO54</x:f>
      </x:c>
      <x:c r="AP55" s="117" t="n">
        <x:f>AO55+AP54</x:f>
      </x:c>
      <x:c r="AQ55" s="117" t="n">
        <x:f>AP55+AQ54</x:f>
      </x:c>
      <x:c r="AR55" s="117" t="n">
        <x:f>AQ55+AR54</x:f>
      </x:c>
      <x:c r="AS55" s="117" t="n">
        <x:f>AR55+AS54</x:f>
      </x:c>
      <x:c r="AT55" s="117" t="n">
        <x:f>AS55+AT54</x:f>
      </x:c>
      <x:c r="AU55" s="117" t="n">
        <x:f>AT55+AU54</x:f>
      </x:c>
      <x:c r="AV55" s="117" t="n">
        <x:f>AU55+AV54</x:f>
      </x:c>
      <x:c r="AW55" s="117" t="n">
        <x:f>AV55+AW54</x:f>
      </x:c>
      <x:c r="AX55" s="117" t="n">
        <x:f>AW55+AX54</x:f>
      </x:c>
      <x:c r="AY55" s="117" t="n">
        <x:f>AX55+AY54</x:f>
      </x:c>
      <x:c r="AZ55" s="117" t="n">
        <x:f>AY55+AZ54</x:f>
      </x:c>
      <x:c r="BA55" s="117" t="n">
        <x:f>AZ55+BA54</x:f>
      </x:c>
      <x:c r="BB55" s="117" t="n">
        <x:f>BA55+BB54</x:f>
      </x:c>
      <x:c r="BC55" s="117" t="n">
        <x:f>BB55+BC54</x:f>
      </x:c>
      <x:c r="BD55" s="117" t="n">
        <x:f>BC55+BD54</x:f>
      </x:c>
      <x:c r="BE55" s="117" t="n">
        <x:f>BD55+BE54</x:f>
      </x:c>
      <x:c r="BF55" s="117" t="n">
        <x:f>BE55+BF54</x:f>
      </x:c>
      <x:c r="BG55" s="117" t="n">
        <x:f>BF55+BG54</x:f>
      </x:c>
      <x:c r="BH55" s="117" t="n">
        <x:f>BG55+BH54</x:f>
      </x:c>
      <x:c r="BI55" s="117" t="n">
        <x:f>BH55+BI54</x:f>
      </x:c>
      <x:c r="BJ55" s="117" t="n">
        <x:f>BI55+BJ54</x:f>
      </x:c>
      <x:c r="BK55" s="117" t="n">
        <x:f>BJ55+BK54</x:f>
      </x:c>
      <x:c r="BL55" s="117" t="n">
        <x:f>BK55+BL54</x:f>
      </x:c>
      <x:c r="BM55" s="117" t="n">
        <x:f>BL55+BM54</x:f>
      </x:c>
      <x:c r="BN55" s="117" t="n">
        <x:f>BM55+BN54</x:f>
      </x:c>
      <x:c r="BO55" s="117" t="n">
        <x:f>BN55+BO54</x:f>
      </x:c>
      <x:c r="BP55" s="117" t="n">
        <x:f>BO55+BP54</x:f>
      </x:c>
      <x:c r="BQ55" s="117" t="n">
        <x:f>BP55+BQ54</x:f>
      </x:c>
      <x:c r="BR55" s="117" t="n">
        <x:f>BQ55+BR54</x:f>
      </x:c>
      <x:c r="BS55" s="117" t="n">
        <x:f>BR55+BS54</x:f>
      </x:c>
      <x:c r="BT55" s="117" t="n">
        <x:f>BS55+BT54</x:f>
      </x:c>
      <x:c r="BU55" s="117" t="n">
        <x:f>BT55+BU54</x:f>
      </x:c>
      <x:c r="BV55" s="117" t="n">
        <x:f>BU55+BV54</x:f>
      </x:c>
      <x:c r="BW55" s="117" t="n">
        <x:f>BV55+BW54</x:f>
      </x:c>
      <x:c r="BX55" s="117" t="n">
        <x:f>BW55+BX54</x:f>
      </x:c>
      <x:c r="BY55" s="117" t="n">
        <x:f>BX55+BY54</x:f>
      </x:c>
      <x:c r="BZ55" s="117" t="n">
        <x:f>BY55+BZ54</x:f>
      </x:c>
      <x:c r="CA55" s="117" t="n">
        <x:f>BZ55+CA54</x:f>
      </x:c>
      <x:c r="CB55" s="117" t="n">
        <x:f>CA55+CB54</x:f>
      </x:c>
      <x:c r="CC55" s="117" t="n">
        <x:f>CB55+CC54</x:f>
      </x:c>
      <x:c r="CD55" s="117" t="n">
        <x:f>CC55+CD54</x:f>
      </x:c>
      <x:c r="CE55" s="117" t="n">
        <x:f>CD55+CE54</x:f>
      </x:c>
      <x:c r="CF55" s="117" t="n">
        <x:f>CE55+CF54</x:f>
      </x:c>
      <x:c r="CG55" s="117" t="n">
        <x:f>CF55+CG54</x:f>
      </x:c>
      <x:c r="CH55" s="117" t="n">
        <x:f>CG55+CH54</x:f>
      </x:c>
      <x:c r="CI55" s="117" t="n">
        <x:f>CH55+CI54</x:f>
      </x:c>
      <x:c r="CJ55" s="117" t="n">
        <x:f>CI55+CJ54</x:f>
      </x:c>
      <x:c r="CK55" s="117" t="n">
        <x:f>CJ55+CK54</x:f>
      </x:c>
      <x:c r="CL55" s="117" t="n">
        <x:f>CK55+CL54</x:f>
      </x:c>
      <x:c r="CM55" s="117" t="n">
        <x:f>CL55+CM54</x:f>
      </x:c>
      <x:c r="CN55" s="117" t="n">
        <x:f>CM55+CN54</x:f>
      </x:c>
      <x:c r="CO55" s="117" t="n">
        <x:f>CN55+CO54</x:f>
      </x:c>
      <x:c r="CP55" s="117" t="n">
        <x:f>CO55+CP54</x:f>
      </x:c>
      <x:c r="CQ55" s="117" t="n">
        <x:f>CP55+CQ54</x:f>
      </x:c>
      <x:c r="CR55" s="117" t="n">
        <x:f>CQ55+CR54</x:f>
      </x:c>
      <x:c r="CS55" s="117" t="n">
        <x:f>CR55+CS54</x:f>
      </x:c>
      <x:c r="CT55" s="117" t="n">
        <x:f>CS55+CT54</x:f>
      </x:c>
      <x:c r="CU55" s="117" t="n">
        <x:f>CT55+CU54</x:f>
      </x:c>
      <x:c r="CV55" s="117" t="n">
        <x:f>CU55+CV54</x:f>
      </x:c>
      <x:c r="CW55" s="117" t="n">
        <x:f>CV55+CW54</x:f>
      </x:c>
      <x:c r="CX55" s="117" t="n">
        <x:f>CW55+CX54</x:f>
      </x:c>
      <x:c r="CY55" s="117" t="n">
        <x:f>CX55+CY54</x:f>
      </x:c>
      <x:c r="CZ55" s="117" t="n">
        <x:f>CY55+CZ54</x:f>
      </x:c>
      <x:c r="DA55" s="117" t="n">
        <x:f>CZ55+DA54</x:f>
      </x:c>
      <x:c r="DB55" s="117" t="n">
        <x:f>DA55+DB54</x:f>
      </x:c>
      <x:c r="DC55" s="117" t="n">
        <x:f>DB55+DC54</x:f>
      </x:c>
      <x:c r="DD55" s="117" t="n">
        <x:f>DC55+DD54</x:f>
      </x:c>
      <x:c r="DE55" s="117" t="n">
        <x:f>DD55+DE54</x:f>
      </x:c>
      <x:c r="DF55" s="117" t="n">
        <x:f>DE55+DF54</x:f>
      </x:c>
      <x:c r="DG55" s="117" t="n">
        <x:f>DF55+DG54</x:f>
      </x:c>
      <x:c r="DH55" s="117" t="n">
        <x:f>DG55+DH54</x:f>
      </x:c>
      <x:c r="DI55" s="117" t="n">
        <x:f>DH55+DI54</x:f>
      </x:c>
      <x:c r="DJ55" s="117" t="n">
        <x:f>DI55+DJ54</x:f>
      </x:c>
      <x:c r="DK55" s="117" t="n">
        <x:f>DJ55+DK54</x:f>
      </x:c>
      <x:c r="DL55" s="117" t="n">
        <x:f>DK55+DL54</x:f>
      </x:c>
      <x:c r="DM55" s="117" t="n">
        <x:f>DL55+DM54</x:f>
      </x:c>
      <x:c r="DN55" s="117" t="n">
        <x:f>DM55+DN54</x:f>
      </x:c>
      <x:c r="DO55" s="117" t="n">
        <x:f>DN55+DO54</x:f>
      </x:c>
      <x:c r="DP55" s="117" t="n">
        <x:f>DO55+DP54</x:f>
      </x:c>
      <x:c r="DQ55" s="117" t="n">
        <x:f>DP55+DQ54</x:f>
      </x:c>
      <x:c r="DR55" s="117" t="n">
        <x:f>DQ55+DR54</x:f>
      </x:c>
      <x:c r="DS55" s="117" t="n">
        <x:f>DR55+DS54</x:f>
      </x:c>
      <x:c r="DT55" s="117" t="n">
        <x:f>DS55+DT54</x:f>
      </x:c>
      <x:c r="DU55" s="117" t="n">
        <x:f>DT55+DU54</x:f>
      </x:c>
      <x:c r="DV55" s="117" t="n">
        <x:f>DU55+DV54</x:f>
      </x:c>
      <x:c r="DW55" s="117" t="n">
        <x:f>DV55+DW54</x:f>
      </x:c>
      <x:c r="DX55" s="117" t="n">
        <x:f>DW55+DX54</x:f>
      </x:c>
      <x:c r="DY55" s="117" t="n">
        <x:f>DX55+DY54</x:f>
      </x:c>
      <x:c r="DZ55" s="117" t="n">
        <x:f>DY55+DZ54</x:f>
      </x:c>
      <x:c r="EA55" s="117" t="n">
        <x:f>DZ55+EA54</x:f>
      </x:c>
      <x:c r="EB55" s="117" t="n">
        <x:f>EA55+EB54</x:f>
      </x:c>
      <x:c r="EC55" s="117" t="n">
        <x:f>EB55+EC54</x:f>
      </x:c>
      <x:c r="ED55" s="117" t="n">
        <x:f>EC55+ED54</x:f>
      </x:c>
      <x:c r="EE55" s="117" t="n">
        <x:f>ED55+EE54</x:f>
      </x:c>
      <x:c r="EF55" s="117" t="n">
        <x:f>EE55+EF54</x:f>
      </x:c>
      <x:c r="EG55" s="117" t="n">
        <x:f>EF55+EG54</x:f>
      </x:c>
      <x:c r="EH55" s="117" t="n">
        <x:f>EG55+EH54</x:f>
      </x:c>
      <x:c r="EI55" s="117" t="n">
        <x:f>EH55+EI54</x:f>
      </x:c>
      <x:c r="EJ55" s="117" t="n">
        <x:f>EI55+EJ54</x:f>
      </x:c>
      <x:c r="EK55" s="117" t="n">
        <x:f>EJ55+EK54</x:f>
      </x:c>
      <x:c r="EL55" s="117" t="n">
        <x:f>EK55+EL54</x:f>
      </x:c>
      <x:c r="EM55" s="117" t="n">
        <x:f>EL55+EM54</x:f>
      </x:c>
      <x:c r="EN55" s="117" t="n">
        <x:f>EM55+EN54</x:f>
      </x:c>
      <x:c r="EO55" s="117" t="n">
        <x:f>EN55+EO54</x:f>
      </x:c>
      <x:c r="EP55" s="117" t="n">
        <x:f>EO55+EP54</x:f>
      </x:c>
      <x:c r="EQ55" s="117" t="n">
        <x:f>EP55+EQ54</x:f>
      </x:c>
      <x:c r="ER55" s="117" t="n">
        <x:f>EQ55+ER54</x:f>
      </x:c>
      <x:c r="ES55" s="117" t="n">
        <x:f>ER55+ES54</x:f>
      </x:c>
      <x:c r="ET55" s="117" t="n">
        <x:f>ES55+ET54</x:f>
      </x:c>
      <x:c r="EU55" s="117" t="n">
        <x:f>ET55+EU54</x:f>
      </x:c>
      <x:c r="EV55" s="117" t="n">
        <x:f>EU55+EV54</x:f>
      </x:c>
      <x:c r="EW55" s="117" t="n">
        <x:f>EV55+EW54</x:f>
      </x:c>
      <x:c r="EX55" s="117" t="n">
        <x:f>EW55+EX54</x:f>
      </x:c>
      <x:c r="EY55" s="117" t="n">
        <x:f>EX55+EY54</x:f>
      </x:c>
      <x:c r="EZ55" s="117" t="n">
        <x:f>EY55+EZ54</x:f>
      </x:c>
      <x:c r="FA55" s="117" t="n">
        <x:f>EZ55+FA54</x:f>
      </x:c>
      <x:c r="FB55" s="117" t="n">
        <x:f>FA55+FB54</x:f>
      </x:c>
      <x:c r="FC55" s="117" t="n">
        <x:f>FB55+FC54</x:f>
      </x:c>
      <x:c r="FD55" s="117" t="n">
        <x:f>FC55+FD54</x:f>
      </x:c>
      <x:c r="FE55" s="117" t="n">
        <x:f>FD55+FE54</x:f>
      </x:c>
      <x:c r="FF55" s="117" t="n">
        <x:f>FE55+FF54</x:f>
      </x:c>
      <x:c r="FG55" s="117" t="n">
        <x:f>FF55+FG54</x:f>
      </x:c>
      <x:c r="FH55" s="117" t="n">
        <x:f>FG55+FH54</x:f>
      </x:c>
      <x:c r="FI55" s="117" t="n">
        <x:f>FH55+FI54</x:f>
      </x:c>
      <x:c r="FJ55" s="117" t="n">
        <x:f>FI55+FJ54</x:f>
      </x:c>
      <x:c r="FK55" s="117" t="n">
        <x:f>FJ55+FK54</x:f>
      </x:c>
      <x:c r="FL55" s="117" t="n">
        <x:f>FK55+FL54</x:f>
      </x:c>
      <x:c r="FM55" s="117" t="n">
        <x:f>FL55+FM54</x:f>
      </x:c>
      <x:c r="FN55" s="117" t="n">
        <x:f>FM55+FN54</x:f>
      </x:c>
      <x:c r="FO55" s="117" t="n">
        <x:f>FN55+FO54</x:f>
      </x:c>
      <x:c r="FP55" s="117" t="n">
        <x:f>FO55+FP54</x:f>
      </x:c>
      <x:c r="FQ55" s="117" t="n">
        <x:f>FP55+FQ54</x:f>
      </x:c>
      <x:c r="FR55" s="117" t="n">
        <x:f>FQ55+FR54</x:f>
      </x:c>
      <x:c r="FS55" s="117" t="n">
        <x:f>FR55+FS54</x:f>
      </x:c>
      <x:c r="FT55" s="117" t="n">
        <x:f>FS55+FT54</x:f>
      </x:c>
      <x:c r="FU55" s="117" t="n">
        <x:f>FT55+FU54</x:f>
      </x:c>
      <x:c r="FV55" s="117" t="n">
        <x:f>FU55+FV54</x:f>
      </x:c>
      <x:c r="FW55" s="117" t="n">
        <x:f>FV55+FW54</x:f>
      </x:c>
      <x:c r="FX55" s="117" t="n">
        <x:f>FW55+FX54</x:f>
      </x:c>
      <x:c r="FY55" s="117" t="n">
        <x:f>FX55+FY54</x:f>
      </x:c>
      <x:c r="FZ55" s="117" t="n">
        <x:f>FY55+FZ54</x:f>
      </x:c>
      <x:c r="GA55" s="117" t="n">
        <x:f>FZ55+GA54</x:f>
      </x:c>
    </x:row>
    <x:row r="56">
      <x:c r="A56" t="str">
        <x:v>Собственные средства — расход</x:v>
      </x:c>
      <x:c r="B56">
        <x:f>SUM(D56:GA56)</x:f>
      </x:c>
      <x:c r="C56" t="str">
        <x:v>млн ₽</x:v>
      </x:c>
      <x:c r="D56" s="117">
        <x:f>MIN(MAX(0,'Вводные'!$B$85*'Вводные'!$AI$89),D33)</x:f>
      </x:c>
      <x:c r="E56" s="117">
        <x:f>MIN(MAX(0,D59),E33)</x:f>
      </x:c>
      <x:c r="F56" s="117">
        <x:f>MIN(MAX(0,E59),F33)</x:f>
      </x:c>
      <x:c r="G56" s="117">
        <x:f>MIN(MAX(0,F59),G33)</x:f>
      </x:c>
      <x:c r="H56" s="117">
        <x:f>MIN(MAX(0,G59),H33)</x:f>
      </x:c>
      <x:c r="I56" s="117">
        <x:f>MIN(MAX(0,H59),I33)</x:f>
      </x:c>
      <x:c r="J56" s="117">
        <x:f>MIN(MAX(0,I59),J33)</x:f>
      </x:c>
      <x:c r="K56" s="117">
        <x:f>MIN(MAX(0,J59),K33)</x:f>
      </x:c>
      <x:c r="L56" s="117">
        <x:f>MIN(MAX(0,K59),L33)</x:f>
      </x:c>
      <x:c r="M56" s="117">
        <x:f>MIN(MAX(0,L59),M33)</x:f>
      </x:c>
      <x:c r="N56" s="117">
        <x:f>MIN(MAX(0,M59),N33)</x:f>
      </x:c>
      <x:c r="O56" s="117">
        <x:f>MIN(MAX(0,N59),O33)</x:f>
      </x:c>
      <x:c r="P56" s="117">
        <x:f>MIN(MAX(0,O59),P33)</x:f>
      </x:c>
      <x:c r="Q56" s="117">
        <x:f>MIN(MAX(0,P59),Q33)</x:f>
      </x:c>
      <x:c r="R56" s="117">
        <x:f>MIN(MAX(0,Q59),R33)</x:f>
      </x:c>
      <x:c r="S56" s="117">
        <x:f>MIN(MAX(0,R59),S33)</x:f>
      </x:c>
      <x:c r="T56" s="117">
        <x:f>MIN(MAX(0,S59),T33)</x:f>
      </x:c>
      <x:c r="U56" s="117">
        <x:f>MIN(MAX(0,T59),U33)</x:f>
      </x:c>
      <x:c r="V56" s="117">
        <x:f>MIN(MAX(0,U59),V33)</x:f>
      </x:c>
      <x:c r="W56" s="117">
        <x:f>MIN(MAX(0,V59),W33)</x:f>
      </x:c>
      <x:c r="X56" s="117">
        <x:f>MIN(MAX(0,W59),X33)</x:f>
      </x:c>
      <x:c r="Y56" s="117">
        <x:f>MIN(MAX(0,X59),Y33)</x:f>
      </x:c>
      <x:c r="Z56" s="117">
        <x:f>MIN(MAX(0,Y59),Z33)</x:f>
      </x:c>
      <x:c r="AA56" s="117">
        <x:f>MIN(MAX(0,Z59),AA33)</x:f>
      </x:c>
      <x:c r="AB56" s="117">
        <x:f>MIN(MAX(0,AA59),AB33)</x:f>
      </x:c>
      <x:c r="AC56" s="117">
        <x:f>MIN(MAX(0,AB59),AC33)</x:f>
      </x:c>
      <x:c r="AD56" s="117">
        <x:f>MIN(MAX(0,AC59),AD33)</x:f>
      </x:c>
      <x:c r="AE56" s="117">
        <x:f>MIN(MAX(0,AD59),AE33)</x:f>
      </x:c>
      <x:c r="AF56" s="117">
        <x:f>MIN(MAX(0,AE59),AF33)</x:f>
      </x:c>
      <x:c r="AG56" s="117">
        <x:f>MIN(MAX(0,AF59),AG33)</x:f>
      </x:c>
      <x:c r="AH56" s="117">
        <x:f>MIN(MAX(0,AG59),AH33)</x:f>
      </x:c>
      <x:c r="AI56" s="117">
        <x:f>MIN(MAX(0,AH59),AI33)</x:f>
      </x:c>
      <x:c r="AJ56" s="117">
        <x:f>MIN(MAX(0,AI59),AJ33)</x:f>
      </x:c>
      <x:c r="AK56" s="117">
        <x:f>MIN(MAX(0,AJ59),AK33)</x:f>
      </x:c>
      <x:c r="AL56" s="117">
        <x:f>MIN(MAX(0,AK59),AL33)</x:f>
      </x:c>
      <x:c r="AM56" s="117">
        <x:f>MIN(MAX(0,AL59),AM33)</x:f>
      </x:c>
      <x:c r="AN56" s="117">
        <x:f>MIN(MAX(0,AM59),AN33)</x:f>
      </x:c>
      <x:c r="AO56" s="117">
        <x:f>MIN(MAX(0,AN59),AO33)</x:f>
      </x:c>
      <x:c r="AP56" s="117">
        <x:f>MIN(MAX(0,AO59),AP33)</x:f>
      </x:c>
      <x:c r="AQ56" s="117">
        <x:f>MIN(MAX(0,AP59),AQ33)</x:f>
      </x:c>
      <x:c r="AR56" s="117">
        <x:f>MIN(MAX(0,AQ59),AR33)</x:f>
      </x:c>
      <x:c r="AS56" s="117">
        <x:f>MIN(MAX(0,AR59),AS33)</x:f>
      </x:c>
      <x:c r="AT56" s="117">
        <x:f>MIN(MAX(0,AS59),AT33)</x:f>
      </x:c>
      <x:c r="AU56" s="117">
        <x:f>MIN(MAX(0,AT59),AU33)</x:f>
      </x:c>
      <x:c r="AV56" s="117">
        <x:f>MIN(MAX(0,AU59),AV33)</x:f>
      </x:c>
      <x:c r="AW56" s="117">
        <x:f>MIN(MAX(0,AV59),AW33)</x:f>
      </x:c>
      <x:c r="AX56" s="117">
        <x:f>MIN(MAX(0,AW59),AX33)</x:f>
      </x:c>
      <x:c r="AY56" s="117">
        <x:f>MIN(MAX(0,AX59),AY33)</x:f>
      </x:c>
      <x:c r="AZ56" s="117">
        <x:f>MIN(MAX(0,AY59),AZ33)</x:f>
      </x:c>
      <x:c r="BA56" s="117">
        <x:f>MIN(MAX(0,AZ59),BA33)</x:f>
      </x:c>
      <x:c r="BB56" s="117">
        <x:f>MIN(MAX(0,BA59),BB33)</x:f>
      </x:c>
      <x:c r="BC56" s="117">
        <x:f>MIN(MAX(0,BB59),BC33)</x:f>
      </x:c>
      <x:c r="BD56" s="117">
        <x:f>MIN(MAX(0,BC59),BD33)</x:f>
      </x:c>
      <x:c r="BE56" s="117">
        <x:f>MIN(MAX(0,BD59),BE33)</x:f>
      </x:c>
      <x:c r="BF56" s="117">
        <x:f>MIN(MAX(0,BE59),BF33)</x:f>
      </x:c>
      <x:c r="BG56" s="117">
        <x:f>MIN(MAX(0,BF59),BG33)</x:f>
      </x:c>
      <x:c r="BH56" s="117">
        <x:f>MIN(MAX(0,BG59),BH33)</x:f>
      </x:c>
      <x:c r="BI56" s="117">
        <x:f>MIN(MAX(0,BH59),BI33)</x:f>
      </x:c>
      <x:c r="BJ56" s="117">
        <x:f>MIN(MAX(0,BI59),BJ33)</x:f>
      </x:c>
      <x:c r="BK56" s="117">
        <x:f>MIN(MAX(0,BJ59),BK33)</x:f>
      </x:c>
      <x:c r="BL56" s="117">
        <x:f>MIN(MAX(0,BK59),BL33)</x:f>
      </x:c>
      <x:c r="BM56" s="117">
        <x:f>MIN(MAX(0,BL59),BM33)</x:f>
      </x:c>
      <x:c r="BN56" s="117">
        <x:f>MIN(MAX(0,BM59),BN33)</x:f>
      </x:c>
      <x:c r="BO56" s="117">
        <x:f>MIN(MAX(0,BN59),BO33)</x:f>
      </x:c>
      <x:c r="BP56" s="117">
        <x:f>MIN(MAX(0,BO59),BP33)</x:f>
      </x:c>
      <x:c r="BQ56" s="117">
        <x:f>MIN(MAX(0,BP59),BQ33)</x:f>
      </x:c>
      <x:c r="BR56" s="117">
        <x:f>MIN(MAX(0,BQ59),BR33)</x:f>
      </x:c>
      <x:c r="BS56" s="117">
        <x:f>MIN(MAX(0,BR59),BS33)</x:f>
      </x:c>
      <x:c r="BT56" s="117">
        <x:f>MIN(MAX(0,BS59),BT33)</x:f>
      </x:c>
      <x:c r="BU56" s="117">
        <x:f>MIN(MAX(0,BT59),BU33)</x:f>
      </x:c>
      <x:c r="BV56" s="117">
        <x:f>MIN(MAX(0,BU59),BV33)</x:f>
      </x:c>
      <x:c r="BW56" s="117">
        <x:f>MIN(MAX(0,BV59),BW33)</x:f>
      </x:c>
      <x:c r="BX56" s="117">
        <x:f>MIN(MAX(0,BW59),BX33)</x:f>
      </x:c>
      <x:c r="BY56" s="117">
        <x:f>MIN(MAX(0,BX59),BY33)</x:f>
      </x:c>
      <x:c r="BZ56" s="117">
        <x:f>MIN(MAX(0,BY59),BZ33)</x:f>
      </x:c>
      <x:c r="CA56" s="117">
        <x:f>MIN(MAX(0,BZ59),CA33)</x:f>
      </x:c>
      <x:c r="CB56" s="117">
        <x:f>MIN(MAX(0,CA59),CB33)</x:f>
      </x:c>
      <x:c r="CC56" s="117">
        <x:f>MIN(MAX(0,CB59),CC33)</x:f>
      </x:c>
      <x:c r="CD56" s="117">
        <x:f>MIN(MAX(0,CC59),CD33)</x:f>
      </x:c>
      <x:c r="CE56" s="117">
        <x:f>MIN(MAX(0,CD59),CE33)</x:f>
      </x:c>
      <x:c r="CF56" s="117">
        <x:f>MIN(MAX(0,CE59),CF33)</x:f>
      </x:c>
      <x:c r="CG56" s="117">
        <x:f>MIN(MAX(0,CF59),CG33)</x:f>
      </x:c>
      <x:c r="CH56" s="117">
        <x:f>MIN(MAX(0,CG59),CH33)</x:f>
      </x:c>
      <x:c r="CI56" s="117">
        <x:f>MIN(MAX(0,CH59),CI33)</x:f>
      </x:c>
      <x:c r="CJ56" s="117">
        <x:f>MIN(MAX(0,CI59),CJ33)</x:f>
      </x:c>
      <x:c r="CK56" s="117">
        <x:f>MIN(MAX(0,CJ59),CK33)</x:f>
      </x:c>
      <x:c r="CL56" s="117">
        <x:f>MIN(MAX(0,CK59),CL33)</x:f>
      </x:c>
      <x:c r="CM56" s="117">
        <x:f>MIN(MAX(0,CL59),CM33)</x:f>
      </x:c>
      <x:c r="CN56" s="117">
        <x:f>MIN(MAX(0,CM59),CN33)</x:f>
      </x:c>
      <x:c r="CO56" s="117">
        <x:f>MIN(MAX(0,CN59),CO33)</x:f>
      </x:c>
      <x:c r="CP56" s="117">
        <x:f>MIN(MAX(0,CO59),CP33)</x:f>
      </x:c>
      <x:c r="CQ56" s="117">
        <x:f>MIN(MAX(0,CP59),CQ33)</x:f>
      </x:c>
      <x:c r="CR56" s="117">
        <x:f>MIN(MAX(0,CQ59),CR33)</x:f>
      </x:c>
      <x:c r="CS56" s="117">
        <x:f>MIN(MAX(0,CR59),CS33)</x:f>
      </x:c>
      <x:c r="CT56" s="117">
        <x:f>MIN(MAX(0,CS59),CT33)</x:f>
      </x:c>
      <x:c r="CU56" s="117">
        <x:f>MIN(MAX(0,CT59),CU33)</x:f>
      </x:c>
      <x:c r="CV56" s="117">
        <x:f>MIN(MAX(0,CU59),CV33)</x:f>
      </x:c>
      <x:c r="CW56" s="117">
        <x:f>MIN(MAX(0,CV59),CW33)</x:f>
      </x:c>
      <x:c r="CX56" s="117">
        <x:f>MIN(MAX(0,CW59),CX33)</x:f>
      </x:c>
      <x:c r="CY56" s="117">
        <x:f>MIN(MAX(0,CX59),CY33)</x:f>
      </x:c>
      <x:c r="CZ56" s="117">
        <x:f>MIN(MAX(0,CY59),CZ33)</x:f>
      </x:c>
      <x:c r="DA56" s="117">
        <x:f>MIN(MAX(0,CZ59),DA33)</x:f>
      </x:c>
      <x:c r="DB56" s="117">
        <x:f>MIN(MAX(0,DA59),DB33)</x:f>
      </x:c>
      <x:c r="DC56" s="117">
        <x:f>MIN(MAX(0,DB59),DC33)</x:f>
      </x:c>
      <x:c r="DD56" s="117">
        <x:f>MIN(MAX(0,DC59),DD33)</x:f>
      </x:c>
      <x:c r="DE56" s="117">
        <x:f>MIN(MAX(0,DD59),DE33)</x:f>
      </x:c>
      <x:c r="DF56" s="117">
        <x:f>MIN(MAX(0,DE59),DF33)</x:f>
      </x:c>
      <x:c r="DG56" s="117">
        <x:f>MIN(MAX(0,DF59),DG33)</x:f>
      </x:c>
      <x:c r="DH56" s="117">
        <x:f>MIN(MAX(0,DG59),DH33)</x:f>
      </x:c>
      <x:c r="DI56" s="117">
        <x:f>MIN(MAX(0,DH59),DI33)</x:f>
      </x:c>
      <x:c r="DJ56" s="117">
        <x:f>MIN(MAX(0,DI59),DJ33)</x:f>
      </x:c>
      <x:c r="DK56" s="117">
        <x:f>MIN(MAX(0,DJ59),DK33)</x:f>
      </x:c>
      <x:c r="DL56" s="117">
        <x:f>MIN(MAX(0,DK59),DL33)</x:f>
      </x:c>
      <x:c r="DM56" s="117">
        <x:f>MIN(MAX(0,DL59),DM33)</x:f>
      </x:c>
      <x:c r="DN56" s="117">
        <x:f>MIN(MAX(0,DM59),DN33)</x:f>
      </x:c>
      <x:c r="DO56" s="117">
        <x:f>MIN(MAX(0,DN59),DO33)</x:f>
      </x:c>
      <x:c r="DP56" s="117">
        <x:f>MIN(MAX(0,DO59),DP33)</x:f>
      </x:c>
      <x:c r="DQ56" s="117">
        <x:f>MIN(MAX(0,DP59),DQ33)</x:f>
      </x:c>
      <x:c r="DR56" s="117">
        <x:f>MIN(MAX(0,DQ59),DR33)</x:f>
      </x:c>
      <x:c r="DS56" s="117">
        <x:f>MIN(MAX(0,DR59),DS33)</x:f>
      </x:c>
      <x:c r="DT56" s="117">
        <x:f>MIN(MAX(0,DS59),DT33)</x:f>
      </x:c>
      <x:c r="DU56" s="117">
        <x:f>MIN(MAX(0,DT59),DU33)</x:f>
      </x:c>
      <x:c r="DV56" s="117">
        <x:f>MIN(MAX(0,DU59),DV33)</x:f>
      </x:c>
      <x:c r="DW56" s="117">
        <x:f>MIN(MAX(0,DV59),DW33)</x:f>
      </x:c>
      <x:c r="DX56" s="117">
        <x:f>MIN(MAX(0,DW59),DX33)</x:f>
      </x:c>
      <x:c r="DY56" s="117">
        <x:f>MIN(MAX(0,DX59),DY33)</x:f>
      </x:c>
      <x:c r="DZ56" s="117">
        <x:f>MIN(MAX(0,DY59),DZ33)</x:f>
      </x:c>
      <x:c r="EA56" s="117">
        <x:f>MIN(MAX(0,DZ59),EA33)</x:f>
      </x:c>
      <x:c r="EB56" s="117">
        <x:f>MIN(MAX(0,EA59),EB33)</x:f>
      </x:c>
      <x:c r="EC56" s="117">
        <x:f>MIN(MAX(0,EB59),EC33)</x:f>
      </x:c>
      <x:c r="ED56" s="117">
        <x:f>MIN(MAX(0,EC59),ED33)</x:f>
      </x:c>
      <x:c r="EE56" s="117">
        <x:f>MIN(MAX(0,ED59),EE33)</x:f>
      </x:c>
      <x:c r="EF56" s="117">
        <x:f>MIN(MAX(0,EE59),EF33)</x:f>
      </x:c>
      <x:c r="EG56" s="117">
        <x:f>MIN(MAX(0,EF59),EG33)</x:f>
      </x:c>
      <x:c r="EH56" s="117">
        <x:f>MIN(MAX(0,EG59),EH33)</x:f>
      </x:c>
      <x:c r="EI56" s="117">
        <x:f>MIN(MAX(0,EH59),EI33)</x:f>
      </x:c>
      <x:c r="EJ56" s="117">
        <x:f>MIN(MAX(0,EI59),EJ33)</x:f>
      </x:c>
      <x:c r="EK56" s="117">
        <x:f>MIN(MAX(0,EJ59),EK33)</x:f>
      </x:c>
      <x:c r="EL56" s="117">
        <x:f>MIN(MAX(0,EK59),EL33)</x:f>
      </x:c>
      <x:c r="EM56" s="117">
        <x:f>MIN(MAX(0,EL59),EM33)</x:f>
      </x:c>
      <x:c r="EN56" s="117">
        <x:f>MIN(MAX(0,EM59),EN33)</x:f>
      </x:c>
      <x:c r="EO56" s="117">
        <x:f>MIN(MAX(0,EN59),EO33)</x:f>
      </x:c>
      <x:c r="EP56" s="117">
        <x:f>MIN(MAX(0,EO59),EP33)</x:f>
      </x:c>
      <x:c r="EQ56" s="117">
        <x:f>MIN(MAX(0,EP59),EQ33)</x:f>
      </x:c>
      <x:c r="ER56" s="117">
        <x:f>MIN(MAX(0,EQ59),ER33)</x:f>
      </x:c>
      <x:c r="ES56" s="117">
        <x:f>MIN(MAX(0,ER59),ES33)</x:f>
      </x:c>
      <x:c r="ET56" s="117">
        <x:f>MIN(MAX(0,ES59),ET33)</x:f>
      </x:c>
      <x:c r="EU56" s="117">
        <x:f>MIN(MAX(0,ET59),EU33)</x:f>
      </x:c>
      <x:c r="EV56" s="117">
        <x:f>MIN(MAX(0,EU59),EV33)</x:f>
      </x:c>
      <x:c r="EW56" s="117">
        <x:f>MIN(MAX(0,EV59),EW33)</x:f>
      </x:c>
      <x:c r="EX56" s="117">
        <x:f>MIN(MAX(0,EW59),EX33)</x:f>
      </x:c>
      <x:c r="EY56" s="117">
        <x:f>MIN(MAX(0,EX59),EY33)</x:f>
      </x:c>
      <x:c r="EZ56" s="117">
        <x:f>MIN(MAX(0,EY59),EZ33)</x:f>
      </x:c>
      <x:c r="FA56" s="117">
        <x:f>MIN(MAX(0,EZ59),FA33)</x:f>
      </x:c>
      <x:c r="FB56" s="117">
        <x:f>MIN(MAX(0,FA59),FB33)</x:f>
      </x:c>
      <x:c r="FC56" s="117">
        <x:f>MIN(MAX(0,FB59),FC33)</x:f>
      </x:c>
      <x:c r="FD56" s="117">
        <x:f>MIN(MAX(0,FC59),FD33)</x:f>
      </x:c>
      <x:c r="FE56" s="117">
        <x:f>MIN(MAX(0,FD59),FE33)</x:f>
      </x:c>
      <x:c r="FF56" s="117">
        <x:f>MIN(MAX(0,FE59),FF33)</x:f>
      </x:c>
      <x:c r="FG56" s="117">
        <x:f>MIN(MAX(0,FF59),FG33)</x:f>
      </x:c>
      <x:c r="FH56" s="117">
        <x:f>MIN(MAX(0,FG59),FH33)</x:f>
      </x:c>
      <x:c r="FI56" s="117">
        <x:f>MIN(MAX(0,FH59),FI33)</x:f>
      </x:c>
      <x:c r="FJ56" s="117">
        <x:f>MIN(MAX(0,FI59),FJ33)</x:f>
      </x:c>
      <x:c r="FK56" s="117">
        <x:f>MIN(MAX(0,FJ59),FK33)</x:f>
      </x:c>
      <x:c r="FL56" s="117">
        <x:f>MIN(MAX(0,FK59),FL33)</x:f>
      </x:c>
      <x:c r="FM56" s="117">
        <x:f>MIN(MAX(0,FL59),FM33)</x:f>
      </x:c>
      <x:c r="FN56" s="117">
        <x:f>MIN(MAX(0,FM59),FN33)</x:f>
      </x:c>
      <x:c r="FO56" s="117">
        <x:f>MIN(MAX(0,FN59),FO33)</x:f>
      </x:c>
      <x:c r="FP56" s="117">
        <x:f>MIN(MAX(0,FO59),FP33)</x:f>
      </x:c>
      <x:c r="FQ56" s="117">
        <x:f>MIN(MAX(0,FP59),FQ33)</x:f>
      </x:c>
      <x:c r="FR56" s="117">
        <x:f>MIN(MAX(0,FQ59),FR33)</x:f>
      </x:c>
      <x:c r="FS56" s="117">
        <x:f>MIN(MAX(0,FR59),FS33)</x:f>
      </x:c>
      <x:c r="FT56" s="117">
        <x:f>MIN(MAX(0,FS59),FT33)</x:f>
      </x:c>
      <x:c r="FU56" s="117">
        <x:f>MIN(MAX(0,FT59),FU33)</x:f>
      </x:c>
      <x:c r="FV56" s="117">
        <x:f>MIN(MAX(0,FU59),FV33)</x:f>
      </x:c>
      <x:c r="FW56" s="117">
        <x:f>MIN(MAX(0,FV59),FW33)</x:f>
      </x:c>
      <x:c r="FX56" s="117">
        <x:f>MIN(MAX(0,FW59),FX33)</x:f>
      </x:c>
      <x:c r="FY56" s="117">
        <x:f>MIN(MAX(0,FX59),FY33)</x:f>
      </x:c>
      <x:c r="FZ56" s="117">
        <x:f>MIN(MAX(0,FY59),FZ33)</x:f>
      </x:c>
      <x:c r="GA56" s="117">
        <x:f>MIN(MAX(0,FZ59),GA33)</x:f>
      </x:c>
    </x:row>
    <x:row r="57">
      <x:c r="A57" t="inlineStr">
        <x:is>
          <x:t>Комиссии выдачи (БРИДЖ и резервирование ПФ)</x:t>
        </x:is>
      </x:c>
      <x:c r="B57">
        <x:f>SUM(D57:GA57)</x:f>
      </x:c>
      <x:c r="C57" t="str">
        <x:v>млн ₽</x:v>
      </x:c>
      <x:c r="D57" s="117">
        <x:f>IF(AND(YEAR(D$3)=YEAR($B$6),MONTH(D$3)=MONTH($B$6),$B$5=1),('CAPEX'!$B$48+'CAPEX'!$B$51+'CAPEX'!$B$52+IF('Вводные'!$B$37="Денежная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компенсация",'Вводные'!$B$56*'Вводные'!$R$89*'Вводные'!$H$6,0)))*'Вводные'!$B$30,0)+IF(AND(YEAR(D$3)=YEAR($B$7),MONTH(D$3)=MONTH($B$7),$B$5=1),'Вводные'!$B$26*'Вводные'!$V$89*'Вводные'!$B$30,0)</x:f>
      </x:c>
      <x:c r="E57" s="117">
        <x:f>IF(AND(YEAR(E$3)=YEAR($B$6),MONTH(E$3)=MONTH($B$6),$B$5=1),('CAPEX'!$B$48+'CAPEX'!$B$51+'CAPEX'!$B$52+IF('Вводные'!$B$37="Денежная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компенсация",'Вводные'!$B$56*'Вводные'!$R$89*'Вводные'!$H$6,0)))*'Вводные'!$B$30,0)+IF(AND(YEAR(E$3)=YEAR($B$7),MONTH(E$3)=MONTH($B$7),$B$5=1),'Вводные'!$B$26*'Вводные'!$V$89*'Вводные'!$B$30,0)</x:f>
      </x:c>
      <x:c r="F57" s="117">
        <x:f>IF(AND(YEAR(F$3)=YEAR($B$6),MONTH(F$3)=MONTH($B$6),$B$5=1),('CAPEX'!$B$48+'CAPEX'!$B$51+'CAPEX'!$B$52+IF('Вводные'!$B$37="Денежная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компенсация",'Вводные'!$B$56*'Вводные'!$R$89*'Вводные'!$H$6,0)))*'Вводные'!$B$30,0)+IF(AND(YEAR(F$3)=YEAR($B$7),MONTH(F$3)=MONTH($B$7),$B$5=1),'Вводные'!$B$26*'Вводные'!$V$89*'Вводные'!$B$30,0)</x:f>
      </x:c>
      <x:c r="G57" s="117">
        <x:f>IF(AND(YEAR(G$3)=YEAR($B$6),MONTH(G$3)=MONTH($B$6),$B$5=1),('CAPEX'!$B$48+'CAPEX'!$B$51+'CAPEX'!$B$52+IF('Вводные'!$B$37="Денежная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компенсация",'Вводные'!$B$56*'Вводные'!$R$89*'Вводные'!$H$6,0)))*'Вводные'!$B$30,0)+IF(AND(YEAR(G$3)=YEAR($B$7),MONTH(G$3)=MONTH($B$7),$B$5=1),'Вводные'!$B$26*'Вводные'!$V$89*'Вводные'!$B$30,0)</x:f>
      </x:c>
      <x:c r="H57" s="117">
        <x:f>IF(AND(YEAR(H$3)=YEAR($B$6),MONTH(H$3)=MONTH($B$6),$B$5=1),('CAPEX'!$B$48+'CAPEX'!$B$51+'CAPEX'!$B$52+IF('Вводные'!$B$37="Денежная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компенсация",'Вводные'!$B$56*'Вводные'!$R$89*'Вводные'!$H$6,0)))*'Вводные'!$B$30,0)+IF(AND(YEAR(H$3)=YEAR($B$7),MONTH(H$3)=MONTH($B$7),$B$5=1),'Вводные'!$B$26*'Вводные'!$V$89*'Вводные'!$B$30,0)</x:f>
      </x:c>
      <x:c r="I57" s="117">
        <x:f>IF(AND(YEAR(I$3)=YEAR($B$6),MONTH(I$3)=MONTH($B$6),$B$5=1),('CAPEX'!$B$48+'CAPEX'!$B$51+'CAPEX'!$B$52+IF('Вводные'!$B$37="Денежная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компенсация",'Вводные'!$B$56*'Вводные'!$R$89*'Вводные'!$H$6,0)))*'Вводные'!$B$30,0)+IF(AND(YEAR(I$3)=YEAR($B$7),MONTH(I$3)=MONTH($B$7),$B$5=1),'Вводные'!$B$26*'Вводные'!$V$89*'Вводные'!$B$30,0)</x:f>
      </x:c>
      <x:c r="J57" s="117">
        <x:f>IF(AND(YEAR(J$3)=YEAR($B$6),MONTH(J$3)=MONTH($B$6),$B$5=1),('CAPEX'!$B$48+'CAPEX'!$B$51+'CAPEX'!$B$52+IF('Вводные'!$B$37="Денежная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компенсация",'Вводные'!$B$56*'Вводные'!$R$89*'Вводные'!$H$6,0)))*'Вводные'!$B$30,0)+IF(AND(YEAR(J$3)=YEAR($B$7),MONTH(J$3)=MONTH($B$7),$B$5=1),'Вводные'!$B$26*'Вводные'!$V$89*'Вводные'!$B$30,0)</x:f>
      </x:c>
      <x:c r="K57" s="117">
        <x:f>IF(AND(YEAR(K$3)=YEAR($B$6),MONTH(K$3)=MONTH($B$6),$B$5=1),('CAPEX'!$B$48+'CAPEX'!$B$51+'CAPEX'!$B$52+IF('Вводные'!$B$37="Денежная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компенсация",'Вводные'!$B$56*'Вводные'!$R$89*'Вводные'!$H$6,0)))*'Вводные'!$B$30,0)+IF(AND(YEAR(K$3)=YEAR($B$7),MONTH(K$3)=MONTH($B$7),$B$5=1),'Вводные'!$B$26*'Вводные'!$V$89*'Вводные'!$B$30,0)</x:f>
      </x:c>
      <x:c r="L57" s="117">
        <x:f>IF(AND(YEAR(L$3)=YEAR($B$6),MONTH(L$3)=MONTH($B$6),$B$5=1),('CAPEX'!$B$48+'CAPEX'!$B$51+'CAPEX'!$B$52+IF('Вводные'!$B$37="Денежная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компенсация",'Вводные'!$B$56*'Вводные'!$R$89*'Вводные'!$H$6,0)))*'Вводные'!$B$30,0)+IF(AND(YEAR(L$3)=YEAR($B$7),MONTH(L$3)=MONTH($B$7),$B$5=1),'Вводные'!$B$26*'Вводные'!$V$89*'Вводные'!$B$30,0)</x:f>
      </x:c>
      <x:c r="M57" s="117">
        <x:f>IF(AND(YEAR(M$3)=YEAR($B$6),MONTH(M$3)=MONTH($B$6),$B$5=1),('CAPEX'!$B$48+'CAPEX'!$B$51+'CAPEX'!$B$52+IF('Вводные'!$B$37="Денежная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компенсация",'Вводные'!$B$56*'Вводные'!$R$89*'Вводные'!$H$6,0)))*'Вводные'!$B$30,0)+IF(AND(YEAR(M$3)=YEAR($B$7),MONTH(M$3)=MONTH($B$7),$B$5=1),'Вводные'!$B$26*'Вводные'!$V$89*'Вводные'!$B$30,0)</x:f>
      </x:c>
      <x:c r="N57" s="117">
        <x:f>IF(AND(YEAR(N$3)=YEAR($B$6),MONTH(N$3)=MONTH($B$6),$B$5=1),('CAPEX'!$B$48+'CAPEX'!$B$51+'CAPEX'!$B$52+IF('Вводные'!$B$37="Денежная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компенсация",'Вводные'!$B$56*'Вводные'!$R$89*'Вводные'!$H$6,0)))*'Вводные'!$B$30,0)+IF(AND(YEAR(N$3)=YEAR($B$7),MONTH(N$3)=MONTH($B$7),$B$5=1),'Вводные'!$B$26*'Вводные'!$V$89*'Вводные'!$B$30,0)</x:f>
      </x:c>
      <x:c r="O57" s="117">
        <x:f>IF(AND(YEAR(O$3)=YEAR($B$6),MONTH(O$3)=MONTH($B$6),$B$5=1),('CAPEX'!$B$48+'CAPEX'!$B$51+'CAPEX'!$B$52+IF('Вводные'!$B$37="Денежная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компенсация",'Вводные'!$B$56*'Вводные'!$R$89*'Вводные'!$H$6,0)))*'Вводные'!$B$30,0)+IF(AND(YEAR(O$3)=YEAR($B$7),MONTH(O$3)=MONTH($B$7),$B$5=1),'Вводные'!$B$26*'Вводные'!$V$89*'Вводные'!$B$30,0)</x:f>
      </x:c>
      <x:c r="P57" s="117">
        <x:f>IF(AND(YEAR(P$3)=YEAR($B$6),MONTH(P$3)=MONTH($B$6),$B$5=1),('CAPEX'!$B$48+'CAPEX'!$B$51+'CAPEX'!$B$52+IF('Вводные'!$B$37="Денежная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компенсация",'Вводные'!$B$56*'Вводные'!$R$89*'Вводные'!$H$6,0)))*'Вводные'!$B$30,0)+IF(AND(YEAR(P$3)=YEAR($B$7),MONTH(P$3)=MONTH($B$7),$B$5=1),'Вводные'!$B$26*'Вводные'!$V$89*'Вводные'!$B$30,0)</x:f>
      </x:c>
      <x:c r="Q57" s="117">
        <x:f>IF(AND(YEAR(Q$3)=YEAR($B$6),MONTH(Q$3)=MONTH($B$6),$B$5=1),('CAPEX'!$B$48+'CAPEX'!$B$51+'CAPEX'!$B$52+IF('Вводные'!$B$37="Денежная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компенсация",'Вводные'!$B$56*'Вводные'!$R$89*'Вводные'!$H$6,0)))*'Вводные'!$B$30,0)+IF(AND(YEAR(Q$3)=YEAR($B$7),MONTH(Q$3)=MONTH($B$7),$B$5=1),'Вводные'!$B$26*'Вводные'!$V$89*'Вводные'!$B$30,0)</x:f>
      </x:c>
      <x:c r="R57" s="117">
        <x:f>IF(AND(YEAR(R$3)=YEAR($B$6),MONTH(R$3)=MONTH($B$6),$B$5=1),('CAPEX'!$B$48+'CAPEX'!$B$51+'CAPEX'!$B$52+IF('Вводные'!$B$37="Денежная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компенсация",'Вводные'!$B$56*'Вводные'!$R$89*'Вводные'!$H$6,0)))*'Вводные'!$B$30,0)+IF(AND(YEAR(R$3)=YEAR($B$7),MONTH(R$3)=MONTH($B$7),$B$5=1),'Вводные'!$B$26*'Вводные'!$V$89*'Вводные'!$B$30,0)</x:f>
      </x:c>
      <x:c r="S57" s="117">
        <x:f>IF(AND(YEAR(S$3)=YEAR($B$6),MONTH(S$3)=MONTH($B$6),$B$5=1),('CAPEX'!$B$48+'CAPEX'!$B$51+'CAPEX'!$B$52+IF('Вводные'!$B$37="Денежная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компенсация",'Вводные'!$B$56*'Вводные'!$R$89*'Вводные'!$H$6,0)))*'Вводные'!$B$30,0)+IF(AND(YEAR(S$3)=YEAR($B$7),MONTH(S$3)=MONTH($B$7),$B$5=1),'Вводные'!$B$26*'Вводные'!$V$89*'Вводные'!$B$30,0)</x:f>
      </x:c>
      <x:c r="T57" s="117">
        <x:f>IF(AND(YEAR(T$3)=YEAR($B$6),MONTH(T$3)=MONTH($B$6),$B$5=1),('CAPEX'!$B$48+'CAPEX'!$B$51+'CAPEX'!$B$52+IF('Вводные'!$B$37="Денежная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компенсация",'Вводные'!$B$56*'Вводные'!$R$89*'Вводные'!$H$6,0)))*'Вводные'!$B$30,0)+IF(AND(YEAR(T$3)=YEAR($B$7),MONTH(T$3)=MONTH($B$7),$B$5=1),'Вводные'!$B$26*'Вводные'!$V$89*'Вводные'!$B$30,0)</x:f>
      </x:c>
      <x:c r="U57" s="117">
        <x:f>IF(AND(YEAR(U$3)=YEAR($B$6),MONTH(U$3)=MONTH($B$6),$B$5=1),('CAPEX'!$B$48+'CAPEX'!$B$51+'CAPEX'!$B$52+IF('Вводные'!$B$37="Денежная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компенсация",'Вводные'!$B$56*'Вводные'!$R$89*'Вводные'!$H$6,0)))*'Вводные'!$B$30,0)+IF(AND(YEAR(U$3)=YEAR($B$7),MONTH(U$3)=MONTH($B$7),$B$5=1),'Вводные'!$B$26*'Вводные'!$V$89*'Вводные'!$B$30,0)</x:f>
      </x:c>
      <x:c r="V57" s="117">
        <x:f>IF(AND(YEAR(V$3)=YEAR($B$6),MONTH(V$3)=MONTH($B$6),$B$5=1),('CAPEX'!$B$48+'CAPEX'!$B$51+'CAPEX'!$B$52+IF('Вводные'!$B$37="Денежная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компенсация",'Вводные'!$B$56*'Вводные'!$R$89*'Вводные'!$H$6,0)))*'Вводные'!$B$30,0)+IF(AND(YEAR(V$3)=YEAR($B$7),MONTH(V$3)=MONTH($B$7),$B$5=1),'Вводные'!$B$26*'Вводные'!$V$89*'Вводные'!$B$30,0)</x:f>
      </x:c>
      <x:c r="W57" s="117">
        <x:f>IF(AND(YEAR(W$3)=YEAR($B$6),MONTH(W$3)=MONTH($B$6),$B$5=1),('CAPEX'!$B$48+'CAPEX'!$B$51+'CAPEX'!$B$52+IF('Вводные'!$B$37="Денежная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компенсация",'Вводные'!$B$56*'Вводные'!$R$89*'Вводные'!$H$6,0)))*'Вводные'!$B$30,0)+IF(AND(YEAR(W$3)=YEAR($B$7),MONTH(W$3)=MONTH($B$7),$B$5=1),'Вводные'!$B$26*'Вводные'!$V$89*'Вводные'!$B$30,0)</x:f>
      </x:c>
      <x:c r="X57" s="117">
        <x:f>IF(AND(YEAR(X$3)=YEAR($B$6),MONTH(X$3)=MONTH($B$6),$B$5=1),('CAPEX'!$B$48+'CAPEX'!$B$51+'CAPEX'!$B$52+IF('Вводные'!$B$37="Денежная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компенсация",'Вводные'!$B$56*'Вводные'!$R$89*'Вводные'!$H$6,0)))*'Вводные'!$B$30,0)+IF(AND(YEAR(X$3)=YEAR($B$7),MONTH(X$3)=MONTH($B$7),$B$5=1),'Вводные'!$B$26*'Вводные'!$V$89*'Вводные'!$B$30,0)</x:f>
      </x:c>
      <x:c r="Y57" s="117">
        <x:f>IF(AND(YEAR(Y$3)=YEAR($B$6),MONTH(Y$3)=MONTH($B$6),$B$5=1),('CAPEX'!$B$48+'CAPEX'!$B$51+'CAPEX'!$B$52+IF('Вводные'!$B$37="Денежная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компенсация",'Вводные'!$B$56*'Вводные'!$R$89*'Вводные'!$H$6,0)))*'Вводные'!$B$30,0)+IF(AND(YEAR(Y$3)=YEAR($B$7),MONTH(Y$3)=MONTH($B$7),$B$5=1),'Вводные'!$B$26*'Вводные'!$V$89*'Вводные'!$B$30,0)</x:f>
      </x:c>
      <x:c r="Z57" s="117">
        <x:f>IF(AND(YEAR(Z$3)=YEAR($B$6),MONTH(Z$3)=MONTH($B$6),$B$5=1),('CAPEX'!$B$48+'CAPEX'!$B$51+'CAPEX'!$B$52+IF('Вводные'!$B$37="Денежная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компенсация",'Вводные'!$B$56*'Вводные'!$R$89*'Вводные'!$H$6,0)))*'Вводные'!$B$30,0)+IF(AND(YEAR(Z$3)=YEAR($B$7),MONTH(Z$3)=MONTH($B$7),$B$5=1),'Вводные'!$B$26*'Вводные'!$V$89*'Вводные'!$B$30,0)</x:f>
      </x:c>
      <x:c r="AA57" s="117">
        <x:f>IF(AND(YEAR(AA$3)=YEAR($B$6),MONTH(AA$3)=MONTH($B$6),$B$5=1),('CAPEX'!$B$48+'CAPEX'!$B$51+'CAPEX'!$B$52+IF('Вводные'!$B$37="Денежная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компенсация",'Вводные'!$B$56*'Вводные'!$R$89*'Вводные'!$H$6,0)))*'Вводные'!$B$30,0)+IF(AND(YEAR(AA$3)=YEAR($B$7),MONTH(AA$3)=MONTH($B$7),$B$5=1),'Вводные'!$B$26*'Вводные'!$V$89*'Вводные'!$B$30,0)</x:f>
      </x:c>
      <x:c r="AB57" s="117">
        <x:f>IF(AND(YEAR(AB$3)=YEAR($B$6),MONTH(AB$3)=MONTH($B$6),$B$5=1),('CAPEX'!$B$48+'CAPEX'!$B$51+'CAPEX'!$B$52+IF('Вводные'!$B$37="Денежная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компенсация",'Вводные'!$B$56*'Вводные'!$R$89*'Вводные'!$H$6,0)))*'Вводные'!$B$30,0)+IF(AND(YEAR(AB$3)=YEAR($B$7),MONTH(AB$3)=MONTH($B$7),$B$5=1),'Вводные'!$B$26*'Вводные'!$V$89*'Вводные'!$B$30,0)</x:f>
      </x:c>
      <x:c r="AC57" s="117">
        <x:f>IF(AND(YEAR(AC$3)=YEAR($B$6),MONTH(AC$3)=MONTH($B$6),$B$5=1),('CAPEX'!$B$48+'CAPEX'!$B$51+'CAPEX'!$B$52+IF('Вводные'!$B$37="Денежная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компенсация",'Вводные'!$B$56*'Вводные'!$R$89*'Вводные'!$H$6,0)))*'Вводные'!$B$30,0)+IF(AND(YEAR(AC$3)=YEAR($B$7),MONTH(AC$3)=MONTH($B$7),$B$5=1),'Вводные'!$B$26*'Вводные'!$V$89*'Вводные'!$B$30,0)</x:f>
      </x:c>
      <x:c r="AD57" s="117">
        <x:f>IF(AND(YEAR(AD$3)=YEAR($B$6),MONTH(AD$3)=MONTH($B$6),$B$5=1),('CAPEX'!$B$48+'CAPEX'!$B$51+'CAPEX'!$B$52+IF('Вводные'!$B$37="Денежная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компенсация",'Вводные'!$B$56*'Вводные'!$R$89*'Вводные'!$H$6,0)))*'Вводные'!$B$30,0)+IF(AND(YEAR(AD$3)=YEAR($B$7),MONTH(AD$3)=MONTH($B$7),$B$5=1),'Вводные'!$B$26*'Вводные'!$V$89*'Вводные'!$B$30,0)</x:f>
      </x:c>
      <x:c r="AE57" s="117">
        <x:f>IF(AND(YEAR(AE$3)=YEAR($B$6),MONTH(AE$3)=MONTH($B$6),$B$5=1),('CAPEX'!$B$48+'CAPEX'!$B$51+'CAPEX'!$B$52+IF('Вводные'!$B$37="Денежная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компенсация",'Вводные'!$B$56*'Вводные'!$R$89*'Вводные'!$H$6,0)))*'Вводные'!$B$30,0)+IF(AND(YEAR(AE$3)=YEAR($B$7),MONTH(AE$3)=MONTH($B$7),$B$5=1),'Вводные'!$B$26*'Вводные'!$V$89*'Вводные'!$B$30,0)</x:f>
      </x:c>
      <x:c r="AF57" s="117">
        <x:f>IF(AND(YEAR(AF$3)=YEAR($B$6),MONTH(AF$3)=MONTH($B$6),$B$5=1),('CAPEX'!$B$48+'CAPEX'!$B$51+'CAPEX'!$B$52+IF('Вводные'!$B$37="Денежная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компенсация",'Вводные'!$B$56*'Вводные'!$R$89*'Вводные'!$H$6,0)))*'Вводные'!$B$30,0)+IF(AND(YEAR(AF$3)=YEAR($B$7),MONTH(AF$3)=MONTH($B$7),$B$5=1),'Вводные'!$B$26*'Вводные'!$V$89*'Вводные'!$B$30,0)</x:f>
      </x:c>
      <x:c r="AG57" s="117">
        <x:f>IF(AND(YEAR(AG$3)=YEAR($B$6),MONTH(AG$3)=MONTH($B$6),$B$5=1),('CAPEX'!$B$48+'CAPEX'!$B$51+'CAPEX'!$B$52+IF('Вводные'!$B$37="Денежная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компенсация",'Вводные'!$B$56*'Вводные'!$R$89*'Вводные'!$H$6,0)))*'Вводные'!$B$30,0)+IF(AND(YEAR(AG$3)=YEAR($B$7),MONTH(AG$3)=MONTH($B$7),$B$5=1),'Вводные'!$B$26*'Вводные'!$V$89*'Вводные'!$B$30,0)</x:f>
      </x:c>
      <x:c r="AH57" s="117">
        <x:f>IF(AND(YEAR(AH$3)=YEAR($B$6),MONTH(AH$3)=MONTH($B$6),$B$5=1),('CAPEX'!$B$48+'CAPEX'!$B$51+'CAPEX'!$B$52+IF('Вводные'!$B$37="Денежная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компенсация",'Вводные'!$B$56*'Вводные'!$R$89*'Вводные'!$H$6,0)))*'Вводные'!$B$30,0)+IF(AND(YEAR(AH$3)=YEAR($B$7),MONTH(AH$3)=MONTH($B$7),$B$5=1),'Вводные'!$B$26*'Вводные'!$V$89*'Вводные'!$B$30,0)</x:f>
      </x:c>
      <x:c r="AI57" s="117">
        <x:f>IF(AND(YEAR(AI$3)=YEAR($B$6),MONTH(AI$3)=MONTH($B$6),$B$5=1),('CAPEX'!$B$48+'CAPEX'!$B$51+'CAPEX'!$B$52+IF('Вводные'!$B$37="Денежная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компенсация",'Вводные'!$B$56*'Вводные'!$R$89*'Вводные'!$H$6,0)))*'Вводные'!$B$30,0)+IF(AND(YEAR(AI$3)=YEAR($B$7),MONTH(AI$3)=MONTH($B$7),$B$5=1),'Вводные'!$B$26*'Вводные'!$V$89*'Вводные'!$B$30,0)</x:f>
      </x:c>
      <x:c r="AJ57" s="117">
        <x:f>IF(AND(YEAR(AJ$3)=YEAR($B$6),MONTH(AJ$3)=MONTH($B$6),$B$5=1),('CAPEX'!$B$48+'CAPEX'!$B$51+'CAPEX'!$B$52+IF('Вводные'!$B$37="Денежная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компенсация",'Вводные'!$B$56*'Вводные'!$R$89*'Вводные'!$H$6,0)))*'Вводные'!$B$30,0)+IF(AND(YEAR(AJ$3)=YEAR($B$7),MONTH(AJ$3)=MONTH($B$7),$B$5=1),'Вводные'!$B$26*'Вводные'!$V$89*'Вводные'!$B$30,0)</x:f>
      </x:c>
      <x:c r="AK57" s="117">
        <x:f>IF(AND(YEAR(AK$3)=YEAR($B$6),MONTH(AK$3)=MONTH($B$6),$B$5=1),('CAPEX'!$B$48+'CAPEX'!$B$51+'CAPEX'!$B$52+IF('Вводные'!$B$37="Денежная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компенсация",'Вводные'!$B$56*'Вводные'!$R$89*'Вводные'!$H$6,0)))*'Вводные'!$B$30,0)+IF(AND(YEAR(AK$3)=YEAR($B$7),MONTH(AK$3)=MONTH($B$7),$B$5=1),'Вводные'!$B$26*'Вводные'!$V$89*'Вводные'!$B$30,0)</x:f>
      </x:c>
      <x:c r="AL57" s="117">
        <x:f>IF(AND(YEAR(AL$3)=YEAR($B$6),MONTH(AL$3)=MONTH($B$6),$B$5=1),('CAPEX'!$B$48+'CAPEX'!$B$51+'CAPEX'!$B$52+IF('Вводные'!$B$37="Денежная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компенсация",'Вводные'!$B$56*'Вводные'!$R$89*'Вводные'!$H$6,0)))*'Вводные'!$B$30,0)+IF(AND(YEAR(AL$3)=YEAR($B$7),MONTH(AL$3)=MONTH($B$7),$B$5=1),'Вводные'!$B$26*'Вводные'!$V$89*'Вводные'!$B$30,0)</x:f>
      </x:c>
      <x:c r="AM57" s="117">
        <x:f>IF(AND(YEAR(AM$3)=YEAR($B$6),MONTH(AM$3)=MONTH($B$6),$B$5=1),('CAPEX'!$B$48+'CAPEX'!$B$51+'CAPEX'!$B$52+IF('Вводные'!$B$37="Денежная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компенсация",'Вводные'!$B$56*'Вводные'!$R$89*'Вводные'!$H$6,0)))*'Вводные'!$B$30,0)+IF(AND(YEAR(AM$3)=YEAR($B$7),MONTH(AM$3)=MONTH($B$7),$B$5=1),'Вводные'!$B$26*'Вводные'!$V$89*'Вводные'!$B$30,0)</x:f>
      </x:c>
      <x:c r="AN57" s="117">
        <x:f>IF(AND(YEAR(AN$3)=YEAR($B$6),MONTH(AN$3)=MONTH($B$6),$B$5=1),('CAPEX'!$B$48+'CAPEX'!$B$51+'CAPEX'!$B$52+IF('Вводные'!$B$37="Денежная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компенсация",'Вводные'!$B$56*'Вводные'!$R$89*'Вводные'!$H$6,0)))*'Вводные'!$B$30,0)+IF(AND(YEAR(AN$3)=YEAR($B$7),MONTH(AN$3)=MONTH($B$7),$B$5=1),'Вводные'!$B$26*'Вводные'!$V$89*'Вводные'!$B$30,0)</x:f>
      </x:c>
      <x:c r="AO57" s="117">
        <x:f>IF(AND(YEAR(AO$3)=YEAR($B$6),MONTH(AO$3)=MONTH($B$6),$B$5=1),('CAPEX'!$B$48+'CAPEX'!$B$51+'CAPEX'!$B$52+IF('Вводные'!$B$37="Денежная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компенсация",'Вводные'!$B$56*'Вводные'!$R$89*'Вводные'!$H$6,0)))*'Вводные'!$B$30,0)+IF(AND(YEAR(AO$3)=YEAR($B$7),MONTH(AO$3)=MONTH($B$7),$B$5=1),'Вводные'!$B$26*'Вводные'!$V$89*'Вводные'!$B$30,0)</x:f>
      </x:c>
      <x:c r="AP57" s="117">
        <x:f>IF(AND(YEAR(AP$3)=YEAR($B$6),MONTH(AP$3)=MONTH($B$6),$B$5=1),('CAPEX'!$B$48+'CAPEX'!$B$51+'CAPEX'!$B$52+IF('Вводные'!$B$37="Денежная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компенсация",'Вводные'!$B$56*'Вводные'!$R$89*'Вводные'!$H$6,0)))*'Вводные'!$B$30,0)+IF(AND(YEAR(AP$3)=YEAR($B$7),MONTH(AP$3)=MONTH($B$7),$B$5=1),'Вводные'!$B$26*'Вводные'!$V$89*'Вводные'!$B$30,0)</x:f>
      </x:c>
      <x:c r="AQ57" s="117">
        <x:f>IF(AND(YEAR(AQ$3)=YEAR($B$6),MONTH(AQ$3)=MONTH($B$6),$B$5=1),('CAPEX'!$B$48+'CAPEX'!$B$51+'CAPEX'!$B$52+IF('Вводные'!$B$37="Денежная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компенсация",'Вводные'!$B$56*'Вводные'!$R$89*'Вводные'!$H$6,0)))*'Вводные'!$B$30,0)+IF(AND(YEAR(AQ$3)=YEAR($B$7),MONTH(AQ$3)=MONTH($B$7),$B$5=1),'Вводные'!$B$26*'Вводные'!$V$89*'Вводные'!$B$30,0)</x:f>
      </x:c>
      <x:c r="AR57" s="117">
        <x:f>IF(AND(YEAR(AR$3)=YEAR($B$6),MONTH(AR$3)=MONTH($B$6),$B$5=1),('CAPEX'!$B$48+'CAPEX'!$B$51+'CAPEX'!$B$52+IF('Вводные'!$B$37="Денежная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компенсация",'Вводные'!$B$56*'Вводные'!$R$89*'Вводные'!$H$6,0)))*'Вводные'!$B$30,0)+IF(AND(YEAR(AR$3)=YEAR($B$7),MONTH(AR$3)=MONTH($B$7),$B$5=1),'Вводные'!$B$26*'Вводные'!$V$89*'Вводные'!$B$30,0)</x:f>
      </x:c>
      <x:c r="AS57" s="117">
        <x:f>IF(AND(YEAR(AS$3)=YEAR($B$6),MONTH(AS$3)=MONTH($B$6),$B$5=1),('CAPEX'!$B$48+'CAPEX'!$B$51+'CAPEX'!$B$52+IF('Вводные'!$B$37="Денежная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компенсация",'Вводные'!$B$56*'Вводные'!$R$89*'Вводные'!$H$6,0)))*'Вводные'!$B$30,0)+IF(AND(YEAR(AS$3)=YEAR($B$7),MONTH(AS$3)=MONTH($B$7),$B$5=1),'Вводные'!$B$26*'Вводные'!$V$89*'Вводные'!$B$30,0)</x:f>
      </x:c>
      <x:c r="AT57" s="117">
        <x:f>IF(AND(YEAR(AT$3)=YEAR($B$6),MONTH(AT$3)=MONTH($B$6),$B$5=1),('CAPEX'!$B$48+'CAPEX'!$B$51+'CAPEX'!$B$52+IF('Вводные'!$B$37="Денежная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компенсация",'Вводные'!$B$56*'Вводные'!$R$89*'Вводные'!$H$6,0)))*'Вводные'!$B$30,0)+IF(AND(YEAR(AT$3)=YEAR($B$7),MONTH(AT$3)=MONTH($B$7),$B$5=1),'Вводные'!$B$26*'Вводные'!$V$89*'Вводные'!$B$30,0)</x:f>
      </x:c>
      <x:c r="AU57" s="117">
        <x:f>IF(AND(YEAR(AU$3)=YEAR($B$6),MONTH(AU$3)=MONTH($B$6),$B$5=1),('CAPEX'!$B$48+'CAPEX'!$B$51+'CAPEX'!$B$52+IF('Вводные'!$B$37="Денежная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компенсация",'Вводные'!$B$56*'Вводные'!$R$89*'Вводные'!$H$6,0)))*'Вводные'!$B$30,0)+IF(AND(YEAR(AU$3)=YEAR($B$7),MONTH(AU$3)=MONTH($B$7),$B$5=1),'Вводные'!$B$26*'Вводные'!$V$89*'Вводные'!$B$30,0)</x:f>
      </x:c>
      <x:c r="AV57" s="117">
        <x:f>IF(AND(YEAR(AV$3)=YEAR($B$6),MONTH(AV$3)=MONTH($B$6),$B$5=1),('CAPEX'!$B$48+'CAPEX'!$B$51+'CAPEX'!$B$52+IF('Вводные'!$B$37="Денежная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компенсация",'Вводные'!$B$56*'Вводные'!$R$89*'Вводные'!$H$6,0)))*'Вводные'!$B$30,0)+IF(AND(YEAR(AV$3)=YEAR($B$7),MONTH(AV$3)=MONTH($B$7),$B$5=1),'Вводные'!$B$26*'Вводные'!$V$89*'Вводные'!$B$30,0)</x:f>
      </x:c>
      <x:c r="AW57" s="117">
        <x:f>IF(AND(YEAR(AW$3)=YEAR($B$6),MONTH(AW$3)=MONTH($B$6),$B$5=1),('CAPEX'!$B$48+'CAPEX'!$B$51+'CAPEX'!$B$52+IF('Вводные'!$B$37="Денежная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компенсация",'Вводные'!$B$56*'Вводные'!$R$89*'Вводные'!$H$6,0)))*'Вводные'!$B$30,0)+IF(AND(YEAR(AW$3)=YEAR($B$7),MONTH(AW$3)=MONTH($B$7),$B$5=1),'Вводные'!$B$26*'Вводные'!$V$89*'Вводные'!$B$30,0)</x:f>
      </x:c>
      <x:c r="AX57" s="117">
        <x:f>IF(AND(YEAR(AX$3)=YEAR($B$6),MONTH(AX$3)=MONTH($B$6),$B$5=1),('CAPEX'!$B$48+'CAPEX'!$B$51+'CAPEX'!$B$52+IF('Вводные'!$B$37="Денежная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компенсация",'Вводные'!$B$56*'Вводные'!$R$89*'Вводные'!$H$6,0)))*'Вводные'!$B$30,0)+IF(AND(YEAR(AX$3)=YEAR($B$7),MONTH(AX$3)=MONTH($B$7),$B$5=1),'Вводные'!$B$26*'Вводные'!$V$89*'Вводные'!$B$30,0)</x:f>
      </x:c>
      <x:c r="AY57" s="117">
        <x:f>IF(AND(YEAR(AY$3)=YEAR($B$6),MONTH(AY$3)=MONTH($B$6),$B$5=1),('CAPEX'!$B$48+'CAPEX'!$B$51+'CAPEX'!$B$52+IF('Вводные'!$B$37="Денежная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компенсация",'Вводные'!$B$56*'Вводные'!$R$89*'Вводные'!$H$6,0)))*'Вводные'!$B$30,0)+IF(AND(YEAR(AY$3)=YEAR($B$7),MONTH(AY$3)=MONTH($B$7),$B$5=1),'Вводные'!$B$26*'Вводные'!$V$89*'Вводные'!$B$30,0)</x:f>
      </x:c>
      <x:c r="AZ57" s="117">
        <x:f>IF(AND(YEAR(AZ$3)=YEAR($B$6),MONTH(AZ$3)=MONTH($B$6),$B$5=1),('CAPEX'!$B$48+'CAPEX'!$B$51+'CAPEX'!$B$52+IF('Вводные'!$B$37="Денежная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компенсация",'Вводные'!$B$56*'Вводные'!$R$89*'Вводные'!$H$6,0)))*'Вводные'!$B$30,0)+IF(AND(YEAR(AZ$3)=YEAR($B$7),MONTH(AZ$3)=MONTH($B$7),$B$5=1),'Вводные'!$B$26*'Вводные'!$V$89*'Вводные'!$B$30,0)</x:f>
      </x:c>
      <x:c r="BA57" s="117">
        <x:f>IF(AND(YEAR(BA$3)=YEAR($B$6),MONTH(BA$3)=MONTH($B$6),$B$5=1),('CAPEX'!$B$48+'CAPEX'!$B$51+'CAPEX'!$B$52+IF('Вводные'!$B$37="Денежная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компенсация",'Вводные'!$B$56*'Вводные'!$R$89*'Вводные'!$H$6,0)))*'Вводные'!$B$30,0)+IF(AND(YEAR(BA$3)=YEAR($B$7),MONTH(BA$3)=MONTH($B$7),$B$5=1),'Вводные'!$B$26*'Вводные'!$V$89*'Вводные'!$B$30,0)</x:f>
      </x:c>
      <x:c r="BB57" s="117">
        <x:f>IF(AND(YEAR(BB$3)=YEAR($B$6),MONTH(BB$3)=MONTH($B$6),$B$5=1),('CAPEX'!$B$48+'CAPEX'!$B$51+'CAPEX'!$B$52+IF('Вводные'!$B$37="Денежная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компенсация",'Вводные'!$B$56*'Вводные'!$R$89*'Вводные'!$H$6,0)))*'Вводные'!$B$30,0)+IF(AND(YEAR(BB$3)=YEAR($B$7),MONTH(BB$3)=MONTH($B$7),$B$5=1),'Вводные'!$B$26*'Вводные'!$V$89*'Вводные'!$B$30,0)</x:f>
      </x:c>
      <x:c r="BC57" s="117">
        <x:f>IF(AND(YEAR(BC$3)=YEAR($B$6),MONTH(BC$3)=MONTH($B$6),$B$5=1),('CAPEX'!$B$48+'CAPEX'!$B$51+'CAPEX'!$B$52+IF('Вводные'!$B$37="Денежная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компенсация",'Вводные'!$B$56*'Вводные'!$R$89*'Вводные'!$H$6,0)))*'Вводные'!$B$30,0)+IF(AND(YEAR(BC$3)=YEAR($B$7),MONTH(BC$3)=MONTH($B$7),$B$5=1),'Вводные'!$B$26*'Вводные'!$V$89*'Вводные'!$B$30,0)</x:f>
      </x:c>
      <x:c r="BD57" s="117">
        <x:f>IF(AND(YEAR(BD$3)=YEAR($B$6),MONTH(BD$3)=MONTH($B$6),$B$5=1),('CAPEX'!$B$48+'CAPEX'!$B$51+'CAPEX'!$B$52+IF('Вводные'!$B$37="Денежная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компенсация",'Вводные'!$B$56*'Вводные'!$R$89*'Вводные'!$H$6,0)))*'Вводные'!$B$30,0)+IF(AND(YEAR(BD$3)=YEAR($B$7),MONTH(BD$3)=MONTH($B$7),$B$5=1),'Вводные'!$B$26*'Вводные'!$V$89*'Вводные'!$B$30,0)</x:f>
      </x:c>
      <x:c r="BE57" s="117">
        <x:f>IF(AND(YEAR(BE$3)=YEAR($B$6),MONTH(BE$3)=MONTH($B$6),$B$5=1),('CAPEX'!$B$48+'CAPEX'!$B$51+'CAPEX'!$B$52+IF('Вводные'!$B$37="Денежная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компенсация",'Вводные'!$B$56*'Вводные'!$R$89*'Вводные'!$H$6,0)))*'Вводные'!$B$30,0)+IF(AND(YEAR(BE$3)=YEAR($B$7),MONTH(BE$3)=MONTH($B$7),$B$5=1),'Вводные'!$B$26*'Вводные'!$V$89*'Вводные'!$B$30,0)</x:f>
      </x:c>
      <x:c r="BF57" s="117">
        <x:f>IF(AND(YEAR(BF$3)=YEAR($B$6),MONTH(BF$3)=MONTH($B$6),$B$5=1),('CAPEX'!$B$48+'CAPEX'!$B$51+'CAPEX'!$B$52+IF('Вводные'!$B$37="Денежная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компенсация",'Вводные'!$B$56*'Вводные'!$R$89*'Вводные'!$H$6,0)))*'Вводные'!$B$30,0)+IF(AND(YEAR(BF$3)=YEAR($B$7),MONTH(BF$3)=MONTH($B$7),$B$5=1),'Вводные'!$B$26*'Вводные'!$V$89*'Вводные'!$B$30,0)</x:f>
      </x:c>
      <x:c r="BG57" s="117">
        <x:f>IF(AND(YEAR(BG$3)=YEAR($B$6),MONTH(BG$3)=MONTH($B$6),$B$5=1),('CAPEX'!$B$48+'CAPEX'!$B$51+'CAPEX'!$B$52+IF('Вводные'!$B$37="Денежная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компенсация",'Вводные'!$B$56*'Вводные'!$R$89*'Вводные'!$H$6,0)))*'Вводные'!$B$30,0)+IF(AND(YEAR(BG$3)=YEAR($B$7),MONTH(BG$3)=MONTH($B$7),$B$5=1),'Вводные'!$B$26*'Вводные'!$V$89*'Вводные'!$B$30,0)</x:f>
      </x:c>
      <x:c r="BH57" s="117">
        <x:f>IF(AND(YEAR(BH$3)=YEAR($B$6),MONTH(BH$3)=MONTH($B$6),$B$5=1),('CAPEX'!$B$48+'CAPEX'!$B$51+'CAPEX'!$B$52+IF('Вводные'!$B$37="Денежная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компенсация",'Вводные'!$B$56*'Вводные'!$R$89*'Вводные'!$H$6,0)))*'Вводные'!$B$30,0)+IF(AND(YEAR(BH$3)=YEAR($B$7),MONTH(BH$3)=MONTH($B$7),$B$5=1),'Вводные'!$B$26*'Вводные'!$V$89*'Вводные'!$B$30,0)</x:f>
      </x:c>
      <x:c r="BI57" s="117">
        <x:f>IF(AND(YEAR(BI$3)=YEAR($B$6),MONTH(BI$3)=MONTH($B$6),$B$5=1),('CAPEX'!$B$48+'CAPEX'!$B$51+'CAPEX'!$B$52+IF('Вводные'!$B$37="Денежная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компенсация",'Вводные'!$B$56*'Вводные'!$R$89*'Вводные'!$H$6,0)))*'Вводные'!$B$30,0)+IF(AND(YEAR(BI$3)=YEAR($B$7),MONTH(BI$3)=MONTH($B$7),$B$5=1),'Вводные'!$B$26*'Вводные'!$V$89*'Вводные'!$B$30,0)</x:f>
      </x:c>
      <x:c r="BJ57" s="117">
        <x:f>IF(AND(YEAR(BJ$3)=YEAR($B$6),MONTH(BJ$3)=MONTH($B$6),$B$5=1),('CAPEX'!$B$48+'CAPEX'!$B$51+'CAPEX'!$B$52+IF('Вводные'!$B$37="Денежная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компенсация",'Вводные'!$B$56*'Вводные'!$R$89*'Вводные'!$H$6,0)))*'Вводные'!$B$30,0)+IF(AND(YEAR(BJ$3)=YEAR($B$7),MONTH(BJ$3)=MONTH($B$7),$B$5=1),'Вводные'!$B$26*'Вводные'!$V$89*'Вводные'!$B$30,0)</x:f>
      </x:c>
      <x:c r="BK57" s="117">
        <x:f>IF(AND(YEAR(BK$3)=YEAR($B$6),MONTH(BK$3)=MONTH($B$6),$B$5=1),('CAPEX'!$B$48+'CAPEX'!$B$51+'CAPEX'!$B$52+IF('Вводные'!$B$37="Денежная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компенсация",'Вводные'!$B$56*'Вводные'!$R$89*'Вводные'!$H$6,0)))*'Вводные'!$B$30,0)+IF(AND(YEAR(BK$3)=YEAR($B$7),MONTH(BK$3)=MONTH($B$7),$B$5=1),'Вводные'!$B$26*'Вводные'!$V$89*'Вводные'!$B$30,0)</x:f>
      </x:c>
      <x:c r="BL57" s="117">
        <x:f>IF(AND(YEAR(BL$3)=YEAR($B$6),MONTH(BL$3)=MONTH($B$6),$B$5=1),('CAPEX'!$B$48+'CAPEX'!$B$51+'CAPEX'!$B$52+IF('Вводные'!$B$37="Денежная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компенсация",'Вводные'!$B$56*'Вводные'!$R$89*'Вводные'!$H$6,0)))*'Вводные'!$B$30,0)+IF(AND(YEAR(BL$3)=YEAR($B$7),MONTH(BL$3)=MONTH($B$7),$B$5=1),'Вводные'!$B$26*'Вводные'!$V$89*'Вводные'!$B$30,0)</x:f>
      </x:c>
      <x:c r="BM57" s="117">
        <x:f>IF(AND(YEAR(BM$3)=YEAR($B$6),MONTH(BM$3)=MONTH($B$6),$B$5=1),('CAPEX'!$B$48+'CAPEX'!$B$51+'CAPEX'!$B$52+IF('Вводные'!$B$37="Денежная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компенсация",'Вводные'!$B$56*'Вводные'!$R$89*'Вводные'!$H$6,0)))*'Вводные'!$B$30,0)+IF(AND(YEAR(BM$3)=YEAR($B$7),MONTH(BM$3)=MONTH($B$7),$B$5=1),'Вводные'!$B$26*'Вводные'!$V$89*'Вводные'!$B$30,0)</x:f>
      </x:c>
      <x:c r="BN57" s="117">
        <x:f>IF(AND(YEAR(BN$3)=YEAR($B$6),MONTH(BN$3)=MONTH($B$6),$B$5=1),('CAPEX'!$B$48+'CAPEX'!$B$51+'CAPEX'!$B$52+IF('Вводные'!$B$37="Денежная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компенсация",'Вводные'!$B$56*'Вводные'!$R$89*'Вводные'!$H$6,0)))*'Вводные'!$B$30,0)+IF(AND(YEAR(BN$3)=YEAR($B$7),MONTH(BN$3)=MONTH($B$7),$B$5=1),'Вводные'!$B$26*'Вводные'!$V$89*'Вводные'!$B$30,0)</x:f>
      </x:c>
      <x:c r="BO57" s="117">
        <x:f>IF(AND(YEAR(BO$3)=YEAR($B$6),MONTH(BO$3)=MONTH($B$6),$B$5=1),('CAPEX'!$B$48+'CAPEX'!$B$51+'CAPEX'!$B$52+IF('Вводные'!$B$37="Денежная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компенсация",'Вводные'!$B$56*'Вводные'!$R$89*'Вводные'!$H$6,0)))*'Вводные'!$B$30,0)+IF(AND(YEAR(BO$3)=YEAR($B$7),MONTH(BO$3)=MONTH($B$7),$B$5=1),'Вводные'!$B$26*'Вводные'!$V$89*'Вводные'!$B$30,0)</x:f>
      </x:c>
      <x:c r="BP57" s="117">
        <x:f>IF(AND(YEAR(BP$3)=YEAR($B$6),MONTH(BP$3)=MONTH($B$6),$B$5=1),('CAPEX'!$B$48+'CAPEX'!$B$51+'CAPEX'!$B$52+IF('Вводные'!$B$37="Денежная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компенсация",'Вводные'!$B$56*'Вводные'!$R$89*'Вводные'!$H$6,0)))*'Вводные'!$B$30,0)+IF(AND(YEAR(BP$3)=YEAR($B$7),MONTH(BP$3)=MONTH($B$7),$B$5=1),'Вводные'!$B$26*'Вводные'!$V$89*'Вводные'!$B$30,0)</x:f>
      </x:c>
      <x:c r="BQ57" s="117">
        <x:f>IF(AND(YEAR(BQ$3)=YEAR($B$6),MONTH(BQ$3)=MONTH($B$6),$B$5=1),('CAPEX'!$B$48+'CAPEX'!$B$51+'CAPEX'!$B$52+IF('Вводные'!$B$37="Денежная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компенсация",'Вводные'!$B$56*'Вводные'!$R$89*'Вводные'!$H$6,0)))*'Вводные'!$B$30,0)+IF(AND(YEAR(BQ$3)=YEAR($B$7),MONTH(BQ$3)=MONTH($B$7),$B$5=1),'Вводные'!$B$26*'Вводные'!$V$89*'Вводные'!$B$30,0)</x:f>
      </x:c>
      <x:c r="BR57" s="117">
        <x:f>IF(AND(YEAR(BR$3)=YEAR($B$6),MONTH(BR$3)=MONTH($B$6),$B$5=1),('CAPEX'!$B$48+'CAPEX'!$B$51+'CAPEX'!$B$52+IF('Вводные'!$B$37="Денежная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компенсация",'Вводные'!$B$56*'Вводные'!$R$89*'Вводные'!$H$6,0)))*'Вводные'!$B$30,0)+IF(AND(YEAR(BR$3)=YEAR($B$7),MONTH(BR$3)=MONTH($B$7),$B$5=1),'Вводные'!$B$26*'Вводные'!$V$89*'Вводные'!$B$30,0)</x:f>
      </x:c>
      <x:c r="BS57" s="117">
        <x:f>IF(AND(YEAR(BS$3)=YEAR($B$6),MONTH(BS$3)=MONTH($B$6),$B$5=1),('CAPEX'!$B$48+'CAPEX'!$B$51+'CAPEX'!$B$52+IF('Вводные'!$B$37="Денежная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компенсация",'Вводные'!$B$56*'Вводные'!$R$89*'Вводные'!$H$6,0)))*'Вводные'!$B$30,0)+IF(AND(YEAR(BS$3)=YEAR($B$7),MONTH(BS$3)=MONTH($B$7),$B$5=1),'Вводные'!$B$26*'Вводные'!$V$89*'Вводные'!$B$30,0)</x:f>
      </x:c>
      <x:c r="BT57" s="117">
        <x:f>IF(AND(YEAR(BT$3)=YEAR($B$6),MONTH(BT$3)=MONTH($B$6),$B$5=1),('CAPEX'!$B$48+'CAPEX'!$B$51+'CAPEX'!$B$52+IF('Вводные'!$B$37="Денежная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компенсация",'Вводные'!$B$56*'Вводные'!$R$89*'Вводные'!$H$6,0)))*'Вводные'!$B$30,0)+IF(AND(YEAR(BT$3)=YEAR($B$7),MONTH(BT$3)=MONTH($B$7),$B$5=1),'Вводные'!$B$26*'Вводные'!$V$89*'Вводные'!$B$30,0)</x:f>
      </x:c>
      <x:c r="BU57" s="117">
        <x:f>IF(AND(YEAR(BU$3)=YEAR($B$6),MONTH(BU$3)=MONTH($B$6),$B$5=1),('CAPEX'!$B$48+'CAPEX'!$B$51+'CAPEX'!$B$52+IF('Вводные'!$B$37="Денежная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компенсация",'Вводные'!$B$56*'Вводные'!$R$89*'Вводные'!$H$6,0)))*'Вводные'!$B$30,0)+IF(AND(YEAR(BU$3)=YEAR($B$7),MONTH(BU$3)=MONTH($B$7),$B$5=1),'Вводные'!$B$26*'Вводные'!$V$89*'Вводные'!$B$30,0)</x:f>
      </x:c>
      <x:c r="BV57" s="117">
        <x:f>IF(AND(YEAR(BV$3)=YEAR($B$6),MONTH(BV$3)=MONTH($B$6),$B$5=1),('CAPEX'!$B$48+'CAPEX'!$B$51+'CAPEX'!$B$52+IF('Вводные'!$B$37="Денежная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компенсация",'Вводные'!$B$56*'Вводные'!$R$89*'Вводные'!$H$6,0)))*'Вводные'!$B$30,0)+IF(AND(YEAR(BV$3)=YEAR($B$7),MONTH(BV$3)=MONTH($B$7),$B$5=1),'Вводные'!$B$26*'Вводные'!$V$89*'Вводные'!$B$30,0)</x:f>
      </x:c>
      <x:c r="BW57" s="117">
        <x:f>IF(AND(YEAR(BW$3)=YEAR($B$6),MONTH(BW$3)=MONTH($B$6),$B$5=1),('CAPEX'!$B$48+'CAPEX'!$B$51+'CAPEX'!$B$52+IF('Вводные'!$B$37="Денежная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компенсация",'Вводные'!$B$56*'Вводные'!$R$89*'Вводные'!$H$6,0)))*'Вводные'!$B$30,0)+IF(AND(YEAR(BW$3)=YEAR($B$7),MONTH(BW$3)=MONTH($B$7),$B$5=1),'Вводные'!$B$26*'Вводные'!$V$89*'Вводные'!$B$30,0)</x:f>
      </x:c>
      <x:c r="BX57" s="117">
        <x:f>IF(AND(YEAR(BX$3)=YEAR($B$6),MONTH(BX$3)=MONTH($B$6),$B$5=1),('CAPEX'!$B$48+'CAPEX'!$B$51+'CAPEX'!$B$52+IF('Вводные'!$B$37="Денежная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компенсация",'Вводные'!$B$56*'Вводные'!$R$89*'Вводные'!$H$6,0)))*'Вводные'!$B$30,0)+IF(AND(YEAR(BX$3)=YEAR($B$7),MONTH(BX$3)=MONTH($B$7),$B$5=1),'Вводные'!$B$26*'Вводные'!$V$89*'Вводные'!$B$30,0)</x:f>
      </x:c>
      <x:c r="BY57" s="117">
        <x:f>IF(AND(YEAR(BY$3)=YEAR($B$6),MONTH(BY$3)=MONTH($B$6),$B$5=1),('CAPEX'!$B$48+'CAPEX'!$B$51+'CAPEX'!$B$52+IF('Вводные'!$B$37="Денежная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компенсация",'Вводные'!$B$56*'Вводные'!$R$89*'Вводные'!$H$6,0)))*'Вводные'!$B$30,0)+IF(AND(YEAR(BY$3)=YEAR($B$7),MONTH(BY$3)=MONTH($B$7),$B$5=1),'Вводные'!$B$26*'Вводные'!$V$89*'Вводные'!$B$30,0)</x:f>
      </x:c>
      <x:c r="BZ57" s="117">
        <x:f>IF(AND(YEAR(BZ$3)=YEAR($B$6),MONTH(BZ$3)=MONTH($B$6),$B$5=1),('CAPEX'!$B$48+'CAPEX'!$B$51+'CAPEX'!$B$52+IF('Вводные'!$B$37="Денежная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компенсация",'Вводные'!$B$56*'Вводные'!$R$89*'Вводные'!$H$6,0)))*'Вводные'!$B$30,0)+IF(AND(YEAR(BZ$3)=YEAR($B$7),MONTH(BZ$3)=MONTH($B$7),$B$5=1),'Вводные'!$B$26*'Вводные'!$V$89*'Вводные'!$B$30,0)</x:f>
      </x:c>
      <x:c r="CA57" s="117">
        <x:f>IF(AND(YEAR(CA$3)=YEAR($B$6),MONTH(CA$3)=MONTH($B$6),$B$5=1),('CAPEX'!$B$48+'CAPEX'!$B$51+'CAPEX'!$B$52+IF('Вводные'!$B$37="Денежная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компенсация",'Вводные'!$B$56*'Вводные'!$R$89*'Вводные'!$H$6,0)))*'Вводные'!$B$30,0)+IF(AND(YEAR(CA$3)=YEAR($B$7),MONTH(CA$3)=MONTH($B$7),$B$5=1),'Вводные'!$B$26*'Вводные'!$V$89*'Вводные'!$B$30,0)</x:f>
      </x:c>
      <x:c r="CB57" s="117">
        <x:f>IF(AND(YEAR(CB$3)=YEAR($B$6),MONTH(CB$3)=MONTH($B$6),$B$5=1),('CAPEX'!$B$48+'CAPEX'!$B$51+'CAPEX'!$B$52+IF('Вводные'!$B$37="Денежная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компенсация",'Вводные'!$B$56*'Вводные'!$R$89*'Вводные'!$H$6,0)))*'Вводные'!$B$30,0)+IF(AND(YEAR(CB$3)=YEAR($B$7),MONTH(CB$3)=MONTH($B$7),$B$5=1),'Вводные'!$B$26*'Вводные'!$V$89*'Вводные'!$B$30,0)</x:f>
      </x:c>
      <x:c r="CC57" s="117">
        <x:f>IF(AND(YEAR(CC$3)=YEAR($B$6),MONTH(CC$3)=MONTH($B$6),$B$5=1),('CAPEX'!$B$48+'CAPEX'!$B$51+'CAPEX'!$B$52+IF('Вводные'!$B$37="Денежная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компенсация",'Вводные'!$B$56*'Вводные'!$R$89*'Вводные'!$H$6,0)))*'Вводные'!$B$30,0)+IF(AND(YEAR(CC$3)=YEAR($B$7),MONTH(CC$3)=MONTH($B$7),$B$5=1),'Вводные'!$B$26*'Вводные'!$V$89*'Вводные'!$B$30,0)</x:f>
      </x:c>
      <x:c r="CD57" s="117">
        <x:f>IF(AND(YEAR(CD$3)=YEAR($B$6),MONTH(CD$3)=MONTH($B$6),$B$5=1),('CAPEX'!$B$48+'CAPEX'!$B$51+'CAPEX'!$B$52+IF('Вводные'!$B$37="Денежная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компенсация",'Вводные'!$B$56*'Вводные'!$R$89*'Вводные'!$H$6,0)))*'Вводные'!$B$30,0)+IF(AND(YEAR(CD$3)=YEAR($B$7),MONTH(CD$3)=MONTH($B$7),$B$5=1),'Вводные'!$B$26*'Вводные'!$V$89*'Вводные'!$B$30,0)</x:f>
      </x:c>
      <x:c r="CE57" s="117">
        <x:f>IF(AND(YEAR(CE$3)=YEAR($B$6),MONTH(CE$3)=MONTH($B$6),$B$5=1),('CAPEX'!$B$48+'CAPEX'!$B$51+'CAPEX'!$B$52+IF('Вводные'!$B$37="Денежная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компенсация",'Вводные'!$B$56*'Вводные'!$R$89*'Вводные'!$H$6,0)))*'Вводные'!$B$30,0)+IF(AND(YEAR(CE$3)=YEAR($B$7),MONTH(CE$3)=MONTH($B$7),$B$5=1),'Вводные'!$B$26*'Вводные'!$V$89*'Вводные'!$B$30,0)</x:f>
      </x:c>
      <x:c r="CF57" s="117">
        <x:f>IF(AND(YEAR(CF$3)=YEAR($B$6),MONTH(CF$3)=MONTH($B$6),$B$5=1),('CAPEX'!$B$48+'CAPEX'!$B$51+'CAPEX'!$B$52+IF('Вводные'!$B$37="Денежная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компенсация",'Вводные'!$B$56*'Вводные'!$R$89*'Вводные'!$H$6,0)))*'Вводные'!$B$30,0)+IF(AND(YEAR(CF$3)=YEAR($B$7),MONTH(CF$3)=MONTH($B$7),$B$5=1),'Вводные'!$B$26*'Вводные'!$V$89*'Вводные'!$B$30,0)</x:f>
      </x:c>
      <x:c r="CG57" s="117">
        <x:f>IF(AND(YEAR(CG$3)=YEAR($B$6),MONTH(CG$3)=MONTH($B$6),$B$5=1),('CAPEX'!$B$48+'CAPEX'!$B$51+'CAPEX'!$B$52+IF('Вводные'!$B$37="Денежная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компенсация",'Вводные'!$B$56*'Вводные'!$R$89*'Вводные'!$H$6,0)))*'Вводные'!$B$30,0)+IF(AND(YEAR(CG$3)=YEAR($B$7),MONTH(CG$3)=MONTH($B$7),$B$5=1),'Вводные'!$B$26*'Вводные'!$V$89*'Вводные'!$B$30,0)</x:f>
      </x:c>
      <x:c r="CH57" s="117">
        <x:f>IF(AND(YEAR(CH$3)=YEAR($B$6),MONTH(CH$3)=MONTH($B$6),$B$5=1),('CAPEX'!$B$48+'CAPEX'!$B$51+'CAPEX'!$B$52+IF('Вводные'!$B$37="Денежная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компенсация",'Вводные'!$B$56*'Вводные'!$R$89*'Вводные'!$H$6,0)))*'Вводные'!$B$30,0)+IF(AND(YEAR(CH$3)=YEAR($B$7),MONTH(CH$3)=MONTH($B$7),$B$5=1),'Вводные'!$B$26*'Вводные'!$V$89*'Вводные'!$B$30,0)</x:f>
      </x:c>
      <x:c r="CI57" s="117">
        <x:f>IF(AND(YEAR(CI$3)=YEAR($B$6),MONTH(CI$3)=MONTH($B$6),$B$5=1),('CAPEX'!$B$48+'CAPEX'!$B$51+'CAPEX'!$B$52+IF('Вводные'!$B$37="Денежная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компенсация",'Вводные'!$B$56*'Вводные'!$R$89*'Вводные'!$H$6,0)))*'Вводные'!$B$30,0)+IF(AND(YEAR(CI$3)=YEAR($B$7),MONTH(CI$3)=MONTH($B$7),$B$5=1),'Вводные'!$B$26*'Вводные'!$V$89*'Вводные'!$B$30,0)</x:f>
      </x:c>
      <x:c r="CJ57" s="117">
        <x:f>IF(AND(YEAR(CJ$3)=YEAR($B$6),MONTH(CJ$3)=MONTH($B$6),$B$5=1),('CAPEX'!$B$48+'CAPEX'!$B$51+'CAPEX'!$B$52+IF('Вводные'!$B$37="Денежная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компенсация",'Вводные'!$B$56*'Вводные'!$R$89*'Вводные'!$H$6,0)))*'Вводные'!$B$30,0)+IF(AND(YEAR(CJ$3)=YEAR($B$7),MONTH(CJ$3)=MONTH($B$7),$B$5=1),'Вводные'!$B$26*'Вводные'!$V$89*'Вводные'!$B$30,0)</x:f>
      </x:c>
      <x:c r="CK57" s="117">
        <x:f>IF(AND(YEAR(CK$3)=YEAR($B$6),MONTH(CK$3)=MONTH($B$6),$B$5=1),('CAPEX'!$B$48+'CAPEX'!$B$51+'CAPEX'!$B$52+IF('Вводные'!$B$37="Денежная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компенсация",'Вводные'!$B$56*'Вводные'!$R$89*'Вводные'!$H$6,0)))*'Вводные'!$B$30,0)+IF(AND(YEAR(CK$3)=YEAR($B$7),MONTH(CK$3)=MONTH($B$7),$B$5=1),'Вводные'!$B$26*'Вводные'!$V$89*'Вводные'!$B$30,0)</x:f>
      </x:c>
      <x:c r="CL57" s="117">
        <x:f>IF(AND(YEAR(CL$3)=YEAR($B$6),MONTH(CL$3)=MONTH($B$6),$B$5=1),('CAPEX'!$B$48+'CAPEX'!$B$51+'CAPEX'!$B$52+IF('Вводные'!$B$37="Денежная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компенсация",'Вводные'!$B$56*'Вводные'!$R$89*'Вводные'!$H$6,0)))*'Вводные'!$B$30,0)+IF(AND(YEAR(CL$3)=YEAR($B$7),MONTH(CL$3)=MONTH($B$7),$B$5=1),'Вводные'!$B$26*'Вводные'!$V$89*'Вводные'!$B$30,0)</x:f>
      </x:c>
      <x:c r="CM57" s="117">
        <x:f>IF(AND(YEAR(CM$3)=YEAR($B$6),MONTH(CM$3)=MONTH($B$6),$B$5=1),('CAPEX'!$B$48+'CAPEX'!$B$51+'CAPEX'!$B$52+IF('Вводные'!$B$37="Денежная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компенсация",'Вводные'!$B$56*'Вводные'!$R$89*'Вводные'!$H$6,0)))*'Вводные'!$B$30,0)+IF(AND(YEAR(CM$3)=YEAR($B$7),MONTH(CM$3)=MONTH($B$7),$B$5=1),'Вводные'!$B$26*'Вводные'!$V$89*'Вводные'!$B$30,0)</x:f>
      </x:c>
      <x:c r="CN57" s="117">
        <x:f>IF(AND(YEAR(CN$3)=YEAR($B$6),MONTH(CN$3)=MONTH($B$6),$B$5=1),('CAPEX'!$B$48+'CAPEX'!$B$51+'CAPEX'!$B$52+IF('Вводные'!$B$37="Денежная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компенсация",'Вводные'!$B$56*'Вводные'!$R$89*'Вводные'!$H$6,0)))*'Вводные'!$B$30,0)+IF(AND(YEAR(CN$3)=YEAR($B$7),MONTH(CN$3)=MONTH($B$7),$B$5=1),'Вводные'!$B$26*'Вводные'!$V$89*'Вводные'!$B$30,0)</x:f>
      </x:c>
      <x:c r="CO57" s="117">
        <x:f>IF(AND(YEAR(CO$3)=YEAR($B$6),MONTH(CO$3)=MONTH($B$6),$B$5=1),('CAPEX'!$B$48+'CAPEX'!$B$51+'CAPEX'!$B$52+IF('Вводные'!$B$37="Денежная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компенсация",'Вводные'!$B$56*'Вводные'!$R$89*'Вводные'!$H$6,0)))*'Вводные'!$B$30,0)+IF(AND(YEAR(CO$3)=YEAR($B$7),MONTH(CO$3)=MONTH($B$7),$B$5=1),'Вводные'!$B$26*'Вводные'!$V$89*'Вводные'!$B$30,0)</x:f>
      </x:c>
      <x:c r="CP57" s="117">
        <x:f>IF(AND(YEAR(CP$3)=YEAR($B$6),MONTH(CP$3)=MONTH($B$6),$B$5=1),('CAPEX'!$B$48+'CAPEX'!$B$51+'CAPEX'!$B$52+IF('Вводные'!$B$37="Денежная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компенсация",'Вводные'!$B$56*'Вводные'!$R$89*'Вводные'!$H$6,0)))*'Вводные'!$B$30,0)+IF(AND(YEAR(CP$3)=YEAR($B$7),MONTH(CP$3)=MONTH($B$7),$B$5=1),'Вводные'!$B$26*'Вводные'!$V$89*'Вводные'!$B$30,0)</x:f>
      </x:c>
      <x:c r="CQ57" s="117">
        <x:f>IF(AND(YEAR(CQ$3)=YEAR($B$6),MONTH(CQ$3)=MONTH($B$6),$B$5=1),('CAPEX'!$B$48+'CAPEX'!$B$51+'CAPEX'!$B$52+IF('Вводные'!$B$37="Денежная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компенсация",'Вводные'!$B$56*'Вводные'!$R$89*'Вводные'!$H$6,0)))*'Вводные'!$B$30,0)+IF(AND(YEAR(CQ$3)=YEAR($B$7),MONTH(CQ$3)=MONTH($B$7),$B$5=1),'Вводные'!$B$26*'Вводные'!$V$89*'Вводные'!$B$30,0)</x:f>
      </x:c>
      <x:c r="CR57" s="117">
        <x:f>IF(AND(YEAR(CR$3)=YEAR($B$6),MONTH(CR$3)=MONTH($B$6),$B$5=1),('CAPEX'!$B$48+'CAPEX'!$B$51+'CAPEX'!$B$52+IF('Вводные'!$B$37="Денежная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компенсация",'Вводные'!$B$56*'Вводные'!$R$89*'Вводные'!$H$6,0)))*'Вводные'!$B$30,0)+IF(AND(YEAR(CR$3)=YEAR($B$7),MONTH(CR$3)=MONTH($B$7),$B$5=1),'Вводные'!$B$26*'Вводные'!$V$89*'Вводные'!$B$30,0)</x:f>
      </x:c>
      <x:c r="CS57" s="117">
        <x:f>IF(AND(YEAR(CS$3)=YEAR($B$6),MONTH(CS$3)=MONTH($B$6),$B$5=1),('CAPEX'!$B$48+'CAPEX'!$B$51+'CAPEX'!$B$52+IF('Вводные'!$B$37="Денежная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компенсация",'Вводные'!$B$56*'Вводные'!$R$89*'Вводные'!$H$6,0)))*'Вводные'!$B$30,0)+IF(AND(YEAR(CS$3)=YEAR($B$7),MONTH(CS$3)=MONTH($B$7),$B$5=1),'Вводные'!$B$26*'Вводные'!$V$89*'Вводные'!$B$30,0)</x:f>
      </x:c>
      <x:c r="CT57" s="117">
        <x:f>IF(AND(YEAR(CT$3)=YEAR($B$6),MONTH(CT$3)=MONTH($B$6),$B$5=1),('CAPEX'!$B$48+'CAPEX'!$B$51+'CAPEX'!$B$52+IF('Вводные'!$B$37="Денежная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компенсация",'Вводные'!$B$56*'Вводные'!$R$89*'Вводные'!$H$6,0)))*'Вводные'!$B$30,0)+IF(AND(YEAR(CT$3)=YEAR($B$7),MONTH(CT$3)=MONTH($B$7),$B$5=1),'Вводные'!$B$26*'Вводные'!$V$89*'Вводные'!$B$30,0)</x:f>
      </x:c>
      <x:c r="CU57" s="117">
        <x:f>IF(AND(YEAR(CU$3)=YEAR($B$6),MONTH(CU$3)=MONTH($B$6),$B$5=1),('CAPEX'!$B$48+'CAPEX'!$B$51+'CAPEX'!$B$52+IF('Вводные'!$B$37="Денежная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компенсация",'Вводные'!$B$56*'Вводные'!$R$89*'Вводные'!$H$6,0)))*'Вводные'!$B$30,0)+IF(AND(YEAR(CU$3)=YEAR($B$7),MONTH(CU$3)=MONTH($B$7),$B$5=1),'Вводные'!$B$26*'Вводные'!$V$89*'Вводные'!$B$30,0)</x:f>
      </x:c>
      <x:c r="CV57" s="117">
        <x:f>IF(AND(YEAR(CV$3)=YEAR($B$6),MONTH(CV$3)=MONTH($B$6),$B$5=1),('CAPEX'!$B$48+'CAPEX'!$B$51+'CAPEX'!$B$52+IF('Вводные'!$B$37="Денежная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компенсация",'Вводные'!$B$56*'Вводные'!$R$89*'Вводные'!$H$6,0)))*'Вводные'!$B$30,0)+IF(AND(YEAR(CV$3)=YEAR($B$7),MONTH(CV$3)=MONTH($B$7),$B$5=1),'Вводные'!$B$26*'Вводные'!$V$89*'Вводные'!$B$30,0)</x:f>
      </x:c>
      <x:c r="CW57" s="117">
        <x:f>IF(AND(YEAR(CW$3)=YEAR($B$6),MONTH(CW$3)=MONTH($B$6),$B$5=1),('CAPEX'!$B$48+'CAPEX'!$B$51+'CAPEX'!$B$52+IF('Вводные'!$B$37="Денежная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компенсация",'Вводные'!$B$56*'Вводные'!$R$89*'Вводные'!$H$6,0)))*'Вводные'!$B$30,0)+IF(AND(YEAR(CW$3)=YEAR($B$7),MONTH(CW$3)=MONTH($B$7),$B$5=1),'Вводные'!$B$26*'Вводные'!$V$89*'Вводные'!$B$30,0)</x:f>
      </x:c>
      <x:c r="CX57" s="117">
        <x:f>IF(AND(YEAR(CX$3)=YEAR($B$6),MONTH(CX$3)=MONTH($B$6),$B$5=1),('CAPEX'!$B$48+'CAPEX'!$B$51+'CAPEX'!$B$52+IF('Вводные'!$B$37="Денежная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компенсация",'Вводные'!$B$56*'Вводные'!$R$89*'Вводные'!$H$6,0)))*'Вводные'!$B$30,0)+IF(AND(YEAR(CX$3)=YEAR($B$7),MONTH(CX$3)=MONTH($B$7),$B$5=1),'Вводные'!$B$26*'Вводные'!$V$89*'Вводные'!$B$30,0)</x:f>
      </x:c>
      <x:c r="CY57" s="117">
        <x:f>IF(AND(YEAR(CY$3)=YEAR($B$6),MONTH(CY$3)=MONTH($B$6),$B$5=1),('CAPEX'!$B$48+'CAPEX'!$B$51+'CAPEX'!$B$52+IF('Вводные'!$B$37="Денежная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компенсация",'Вводные'!$B$56*'Вводные'!$R$89*'Вводные'!$H$6,0)))*'Вводные'!$B$30,0)+IF(AND(YEAR(CY$3)=YEAR($B$7),MONTH(CY$3)=MONTH($B$7),$B$5=1),'Вводные'!$B$26*'Вводные'!$V$89*'Вводные'!$B$30,0)</x:f>
      </x:c>
      <x:c r="CZ57" s="117">
        <x:f>IF(AND(YEAR(CZ$3)=YEAR($B$6),MONTH(CZ$3)=MONTH($B$6),$B$5=1),('CAPEX'!$B$48+'CAPEX'!$B$51+'CAPEX'!$B$52+IF('Вводные'!$B$37="Денежная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компенсация",'Вводные'!$B$56*'Вводные'!$R$89*'Вводные'!$H$6,0)))*'Вводные'!$B$30,0)+IF(AND(YEAR(CZ$3)=YEAR($B$7),MONTH(CZ$3)=MONTH($B$7),$B$5=1),'Вводные'!$B$26*'Вводные'!$V$89*'Вводные'!$B$30,0)</x:f>
      </x:c>
      <x:c r="DA57" s="117">
        <x:f>IF(AND(YEAR(DA$3)=YEAR($B$6),MONTH(DA$3)=MONTH($B$6),$B$5=1),('CAPEX'!$B$48+'CAPEX'!$B$51+'CAPEX'!$B$52+IF('Вводные'!$B$37="Денежная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компенсация",'Вводные'!$B$56*'Вводные'!$R$89*'Вводные'!$H$6,0)))*'Вводные'!$B$30,0)+IF(AND(YEAR(DA$3)=YEAR($B$7),MONTH(DA$3)=MONTH($B$7),$B$5=1),'Вводные'!$B$26*'Вводные'!$V$89*'Вводные'!$B$30,0)</x:f>
      </x:c>
      <x:c r="DB57" s="117">
        <x:f>IF(AND(YEAR(DB$3)=YEAR($B$6),MONTH(DB$3)=MONTH($B$6),$B$5=1),('CAPEX'!$B$48+'CAPEX'!$B$51+'CAPEX'!$B$52+IF('Вводные'!$B$37="Денежная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компенсация",'Вводные'!$B$56*'Вводные'!$R$89*'Вводные'!$H$6,0)))*'Вводные'!$B$30,0)+IF(AND(YEAR(DB$3)=YEAR($B$7),MONTH(DB$3)=MONTH($B$7),$B$5=1),'Вводные'!$B$26*'Вводные'!$V$89*'Вводные'!$B$30,0)</x:f>
      </x:c>
      <x:c r="DC57" s="117">
        <x:f>IF(AND(YEAR(DC$3)=YEAR($B$6),MONTH(DC$3)=MONTH($B$6),$B$5=1),('CAPEX'!$B$48+'CAPEX'!$B$51+'CAPEX'!$B$52+IF('Вводные'!$B$37="Денежная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компенсация",'Вводные'!$B$56*'Вводные'!$R$89*'Вводные'!$H$6,0)))*'Вводные'!$B$30,0)+IF(AND(YEAR(DC$3)=YEAR($B$7),MONTH(DC$3)=MONTH($B$7),$B$5=1),'Вводные'!$B$26*'Вводные'!$V$89*'Вводные'!$B$30,0)</x:f>
      </x:c>
      <x:c r="DD57" s="117">
        <x:f>IF(AND(YEAR(DD$3)=YEAR($B$6),MONTH(DD$3)=MONTH($B$6),$B$5=1),('CAPEX'!$B$48+'CAPEX'!$B$51+'CAPEX'!$B$52+IF('Вводные'!$B$37="Денежная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компенсация",'Вводные'!$B$56*'Вводные'!$R$89*'Вводные'!$H$6,0)))*'Вводные'!$B$30,0)+IF(AND(YEAR(DD$3)=YEAR($B$7),MONTH(DD$3)=MONTH($B$7),$B$5=1),'Вводные'!$B$26*'Вводные'!$V$89*'Вводные'!$B$30,0)</x:f>
      </x:c>
      <x:c r="DE57" s="117">
        <x:f>IF(AND(YEAR(DE$3)=YEAR($B$6),MONTH(DE$3)=MONTH($B$6),$B$5=1),('CAPEX'!$B$48+'CAPEX'!$B$51+'CAPEX'!$B$52+IF('Вводные'!$B$37="Денежная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компенсация",'Вводные'!$B$56*'Вводные'!$R$89*'Вводные'!$H$6,0)))*'Вводные'!$B$30,0)+IF(AND(YEAR(DE$3)=YEAR($B$7),MONTH(DE$3)=MONTH($B$7),$B$5=1),'Вводные'!$B$26*'Вводные'!$V$89*'Вводные'!$B$30,0)</x:f>
      </x:c>
      <x:c r="DF57" s="117">
        <x:f>IF(AND(YEAR(DF$3)=YEAR($B$6),MONTH(DF$3)=MONTH($B$6),$B$5=1),('CAPEX'!$B$48+'CAPEX'!$B$51+'CAPEX'!$B$52+IF('Вводные'!$B$37="Денежная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компенсация",'Вводные'!$B$56*'Вводные'!$R$89*'Вводные'!$H$6,0)))*'Вводные'!$B$30,0)+IF(AND(YEAR(DF$3)=YEAR($B$7),MONTH(DF$3)=MONTH($B$7),$B$5=1),'Вводные'!$B$26*'Вводные'!$V$89*'Вводные'!$B$30,0)</x:f>
      </x:c>
      <x:c r="DG57" s="117">
        <x:f>IF(AND(YEAR(DG$3)=YEAR($B$6),MONTH(DG$3)=MONTH($B$6),$B$5=1),('CAPEX'!$B$48+'CAPEX'!$B$51+'CAPEX'!$B$52+IF('Вводные'!$B$37="Денежная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компенсация",'Вводные'!$B$56*'Вводные'!$R$89*'Вводные'!$H$6,0)))*'Вводные'!$B$30,0)+IF(AND(YEAR(DG$3)=YEAR($B$7),MONTH(DG$3)=MONTH($B$7),$B$5=1),'Вводные'!$B$26*'Вводные'!$V$89*'Вводные'!$B$30,0)</x:f>
      </x:c>
      <x:c r="DH57" s="117">
        <x:f>IF(AND(YEAR(DH$3)=YEAR($B$6),MONTH(DH$3)=MONTH($B$6),$B$5=1),('CAPEX'!$B$48+'CAPEX'!$B$51+'CAPEX'!$B$52+IF('Вводные'!$B$37="Денежная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компенсация",'Вводные'!$B$56*'Вводные'!$R$89*'Вводные'!$H$6,0)))*'Вводные'!$B$30,0)+IF(AND(YEAR(DH$3)=YEAR($B$7),MONTH(DH$3)=MONTH($B$7),$B$5=1),'Вводные'!$B$26*'Вводные'!$V$89*'Вводные'!$B$30,0)</x:f>
      </x:c>
      <x:c r="DI57" s="117">
        <x:f>IF(AND(YEAR(DI$3)=YEAR($B$6),MONTH(DI$3)=MONTH($B$6),$B$5=1),('CAPEX'!$B$48+'CAPEX'!$B$51+'CAPEX'!$B$52+IF('Вводные'!$B$37="Денежная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компенсация",'Вводные'!$B$56*'Вводные'!$R$89*'Вводные'!$H$6,0)))*'Вводные'!$B$30,0)+IF(AND(YEAR(DI$3)=YEAR($B$7),MONTH(DI$3)=MONTH($B$7),$B$5=1),'Вводные'!$B$26*'Вводные'!$V$89*'Вводные'!$B$30,0)</x:f>
      </x:c>
      <x:c r="DJ57" s="117">
        <x:f>IF(AND(YEAR(DJ$3)=YEAR($B$6),MONTH(DJ$3)=MONTH($B$6),$B$5=1),('CAPEX'!$B$48+'CAPEX'!$B$51+'CAPEX'!$B$52+IF('Вводные'!$B$37="Денежная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компенсация",'Вводные'!$B$56*'Вводные'!$R$89*'Вводные'!$H$6,0)))*'Вводные'!$B$30,0)+IF(AND(YEAR(DJ$3)=YEAR($B$7),MONTH(DJ$3)=MONTH($B$7),$B$5=1),'Вводные'!$B$26*'Вводные'!$V$89*'Вводные'!$B$30,0)</x:f>
      </x:c>
      <x:c r="DK57" s="117">
        <x:f>IF(AND(YEAR(DK$3)=YEAR($B$6),MONTH(DK$3)=MONTH($B$6),$B$5=1),('CAPEX'!$B$48+'CAPEX'!$B$51+'CAPEX'!$B$52+IF('Вводные'!$B$37="Денежная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компенсация",'Вводные'!$B$56*'Вводные'!$R$89*'Вводные'!$H$6,0)))*'Вводные'!$B$30,0)+IF(AND(YEAR(DK$3)=YEAR($B$7),MONTH(DK$3)=MONTH($B$7),$B$5=1),'Вводные'!$B$26*'Вводные'!$V$89*'Вводные'!$B$30,0)</x:f>
      </x:c>
      <x:c r="DL57" s="117">
        <x:f>IF(AND(YEAR(DL$3)=YEAR($B$6),MONTH(DL$3)=MONTH($B$6),$B$5=1),('CAPEX'!$B$48+'CAPEX'!$B$51+'CAPEX'!$B$52+IF('Вводные'!$B$37="Денежная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компенсация",'Вводные'!$B$56*'Вводные'!$R$89*'Вводные'!$H$6,0)))*'Вводные'!$B$30,0)+IF(AND(YEAR(DL$3)=YEAR($B$7),MONTH(DL$3)=MONTH($B$7),$B$5=1),'Вводные'!$B$26*'Вводные'!$V$89*'Вводные'!$B$30,0)</x:f>
      </x:c>
      <x:c r="DM57" s="117">
        <x:f>IF(AND(YEAR(DM$3)=YEAR($B$6),MONTH(DM$3)=MONTH($B$6),$B$5=1),('CAPEX'!$B$48+'CAPEX'!$B$51+'CAPEX'!$B$52+IF('Вводные'!$B$37="Денежная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компенсация",'Вводные'!$B$56*'Вводные'!$R$89*'Вводные'!$H$6,0)))*'Вводные'!$B$30,0)+IF(AND(YEAR(DM$3)=YEAR($B$7),MONTH(DM$3)=MONTH($B$7),$B$5=1),'Вводные'!$B$26*'Вводные'!$V$89*'Вводные'!$B$30,0)</x:f>
      </x:c>
      <x:c r="DN57" s="117">
        <x:f>IF(AND(YEAR(DN$3)=YEAR($B$6),MONTH(DN$3)=MONTH($B$6),$B$5=1),('CAPEX'!$B$48+'CAPEX'!$B$51+'CAPEX'!$B$52+IF('Вводные'!$B$37="Денежная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компенсация",'Вводные'!$B$56*'Вводные'!$R$89*'Вводные'!$H$6,0)))*'Вводные'!$B$30,0)+IF(AND(YEAR(DN$3)=YEAR($B$7),MONTH(DN$3)=MONTH($B$7),$B$5=1),'Вводные'!$B$26*'Вводные'!$V$89*'Вводные'!$B$30,0)</x:f>
      </x:c>
      <x:c r="DO57" s="117">
        <x:f>IF(AND(YEAR(DO$3)=YEAR($B$6),MONTH(DO$3)=MONTH($B$6),$B$5=1),('CAPEX'!$B$48+'CAPEX'!$B$51+'CAPEX'!$B$52+IF('Вводные'!$B$37="Денежная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компенсация",'Вводные'!$B$56*'Вводные'!$R$89*'Вводные'!$H$6,0)))*'Вводные'!$B$30,0)+IF(AND(YEAR(DO$3)=YEAR($B$7),MONTH(DO$3)=MONTH($B$7),$B$5=1),'Вводные'!$B$26*'Вводные'!$V$89*'Вводные'!$B$30,0)</x:f>
      </x:c>
      <x:c r="DP57" s="117">
        <x:f>IF(AND(YEAR(DP$3)=YEAR($B$6),MONTH(DP$3)=MONTH($B$6),$B$5=1),('CAPEX'!$B$48+'CAPEX'!$B$51+'CAPEX'!$B$52+IF('Вводные'!$B$37="Денежная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компенсация",'Вводные'!$B$56*'Вводные'!$R$89*'Вводные'!$H$6,0)))*'Вводные'!$B$30,0)+IF(AND(YEAR(DP$3)=YEAR($B$7),MONTH(DP$3)=MONTH($B$7),$B$5=1),'Вводные'!$B$26*'Вводные'!$V$89*'Вводные'!$B$30,0)</x:f>
      </x:c>
      <x:c r="DQ57" s="117">
        <x:f>IF(AND(YEAR(DQ$3)=YEAR($B$6),MONTH(DQ$3)=MONTH($B$6),$B$5=1),('CAPEX'!$B$48+'CAPEX'!$B$51+'CAPEX'!$B$52+IF('Вводные'!$B$37="Денежная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компенсация",'Вводные'!$B$56*'Вводные'!$R$89*'Вводные'!$H$6,0)))*'Вводные'!$B$30,0)+IF(AND(YEAR(DQ$3)=YEAR($B$7),MONTH(DQ$3)=MONTH($B$7),$B$5=1),'Вводные'!$B$26*'Вводные'!$V$89*'Вводные'!$B$30,0)</x:f>
      </x:c>
      <x:c r="DR57" s="117">
        <x:f>IF(AND(YEAR(DR$3)=YEAR($B$6),MONTH(DR$3)=MONTH($B$6),$B$5=1),('CAPEX'!$B$48+'CAPEX'!$B$51+'CAPEX'!$B$52+IF('Вводные'!$B$37="Денежная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компенсация",'Вводные'!$B$56*'Вводные'!$R$89*'Вводные'!$H$6,0)))*'Вводные'!$B$30,0)+IF(AND(YEAR(DR$3)=YEAR($B$7),MONTH(DR$3)=MONTH($B$7),$B$5=1),'Вводные'!$B$26*'Вводные'!$V$89*'Вводные'!$B$30,0)</x:f>
      </x:c>
      <x:c r="DS57" s="117">
        <x:f>IF(AND(YEAR(DS$3)=YEAR($B$6),MONTH(DS$3)=MONTH($B$6),$B$5=1),('CAPEX'!$B$48+'CAPEX'!$B$51+'CAPEX'!$B$52+IF('Вводные'!$B$37="Денежная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компенсация",'Вводные'!$B$56*'Вводные'!$R$89*'Вводные'!$H$6,0)))*'Вводные'!$B$30,0)+IF(AND(YEAR(DS$3)=YEAR($B$7),MONTH(DS$3)=MONTH($B$7),$B$5=1),'Вводные'!$B$26*'Вводные'!$V$89*'Вводные'!$B$30,0)</x:f>
      </x:c>
      <x:c r="DT57" s="117">
        <x:f>IF(AND(YEAR(DT$3)=YEAR($B$6),MONTH(DT$3)=MONTH($B$6),$B$5=1),('CAPEX'!$B$48+'CAPEX'!$B$51+'CAPEX'!$B$52+IF('Вводные'!$B$37="Денежная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компенсация",'Вводные'!$B$56*'Вводные'!$R$89*'Вводные'!$H$6,0)))*'Вводные'!$B$30,0)+IF(AND(YEAR(DT$3)=YEAR($B$7),MONTH(DT$3)=MONTH($B$7),$B$5=1),'Вводные'!$B$26*'Вводные'!$V$89*'Вводные'!$B$30,0)</x:f>
      </x:c>
      <x:c r="DU57" s="117">
        <x:f>IF(AND(YEAR(DU$3)=YEAR($B$6),MONTH(DU$3)=MONTH($B$6),$B$5=1),('CAPEX'!$B$48+'CAPEX'!$B$51+'CAPEX'!$B$52+IF('Вводные'!$B$37="Денежная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компенсация",'Вводные'!$B$56*'Вводные'!$R$89*'Вводные'!$H$6,0)))*'Вводные'!$B$30,0)+IF(AND(YEAR(DU$3)=YEAR($B$7),MONTH(DU$3)=MONTH($B$7),$B$5=1),'Вводные'!$B$26*'Вводные'!$V$89*'Вводные'!$B$30,0)</x:f>
      </x:c>
      <x:c r="DV57" s="117">
        <x:f>IF(AND(YEAR(DV$3)=YEAR($B$6),MONTH(DV$3)=MONTH($B$6),$B$5=1),('CAPEX'!$B$48+'CAPEX'!$B$51+'CAPEX'!$B$52+IF('Вводные'!$B$37="Денежная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компенсация",'Вводные'!$B$56*'Вводные'!$R$89*'Вводные'!$H$6,0)))*'Вводные'!$B$30,0)+IF(AND(YEAR(DV$3)=YEAR($B$7),MONTH(DV$3)=MONTH($B$7),$B$5=1),'Вводные'!$B$26*'Вводные'!$V$89*'Вводные'!$B$30,0)</x:f>
      </x:c>
      <x:c r="DW57" s="117">
        <x:f>IF(AND(YEAR(DW$3)=YEAR($B$6),MONTH(DW$3)=MONTH($B$6),$B$5=1),('CAPEX'!$B$48+'CAPEX'!$B$51+'CAPEX'!$B$52+IF('Вводные'!$B$37="Денежная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компенсация",'Вводные'!$B$56*'Вводные'!$R$89*'Вводные'!$H$6,0)))*'Вводные'!$B$30,0)+IF(AND(YEAR(DW$3)=YEAR($B$7),MONTH(DW$3)=MONTH($B$7),$B$5=1),'Вводные'!$B$26*'Вводные'!$V$89*'Вводные'!$B$30,0)</x:f>
      </x:c>
      <x:c r="DX57" s="117">
        <x:f>IF(AND(YEAR(DX$3)=YEAR($B$6),MONTH(DX$3)=MONTH($B$6),$B$5=1),('CAPEX'!$B$48+'CAPEX'!$B$51+'CAPEX'!$B$52+IF('Вводные'!$B$37="Денежная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компенсация",'Вводные'!$B$56*'Вводные'!$R$89*'Вводные'!$H$6,0)))*'Вводные'!$B$30,0)+IF(AND(YEAR(DX$3)=YEAR($B$7),MONTH(DX$3)=MONTH($B$7),$B$5=1),'Вводные'!$B$26*'Вводные'!$V$89*'Вводные'!$B$30,0)</x:f>
      </x:c>
      <x:c r="DY57" s="117">
        <x:f>IF(AND(YEAR(DY$3)=YEAR($B$6),MONTH(DY$3)=MONTH($B$6),$B$5=1),('CAPEX'!$B$48+'CAPEX'!$B$51+'CAPEX'!$B$52+IF('Вводные'!$B$37="Денежная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компенсация",'Вводные'!$B$56*'Вводные'!$R$89*'Вводные'!$H$6,0)))*'Вводные'!$B$30,0)+IF(AND(YEAR(DY$3)=YEAR($B$7),MONTH(DY$3)=MONTH($B$7),$B$5=1),'Вводные'!$B$26*'Вводные'!$V$89*'Вводные'!$B$30,0)</x:f>
      </x:c>
      <x:c r="DZ57" s="117">
        <x:f>IF(AND(YEAR(DZ$3)=YEAR($B$6),MONTH(DZ$3)=MONTH($B$6),$B$5=1),('CAPEX'!$B$48+'CAPEX'!$B$51+'CAPEX'!$B$52+IF('Вводные'!$B$37="Денежная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компенсация",'Вводные'!$B$56*'Вводные'!$R$89*'Вводные'!$H$6,0)))*'Вводные'!$B$30,0)+IF(AND(YEAR(DZ$3)=YEAR($B$7),MONTH(DZ$3)=MONTH($B$7),$B$5=1),'Вводные'!$B$26*'Вводные'!$V$89*'Вводные'!$B$30,0)</x:f>
      </x:c>
      <x:c r="EA57" s="117">
        <x:f>IF(AND(YEAR(EA$3)=YEAR($B$6),MONTH(EA$3)=MONTH($B$6),$B$5=1),('CAPEX'!$B$48+'CAPEX'!$B$51+'CAPEX'!$B$52+IF('Вводные'!$B$37="Денежная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компенсация",'Вводные'!$B$56*'Вводные'!$R$89*'Вводные'!$H$6,0)))*'Вводные'!$B$30,0)+IF(AND(YEAR(EA$3)=YEAR($B$7),MONTH(EA$3)=MONTH($B$7),$B$5=1),'Вводные'!$B$26*'Вводные'!$V$89*'Вводные'!$B$30,0)</x:f>
      </x:c>
      <x:c r="EB57" s="117">
        <x:f>IF(AND(YEAR(EB$3)=YEAR($B$6),MONTH(EB$3)=MONTH($B$6),$B$5=1),('CAPEX'!$B$48+'CAPEX'!$B$51+'CAPEX'!$B$52+IF('Вводные'!$B$37="Денежная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компенсация",'Вводные'!$B$56*'Вводные'!$R$89*'Вводные'!$H$6,0)))*'Вводные'!$B$30,0)+IF(AND(YEAR(EB$3)=YEAR($B$7),MONTH(EB$3)=MONTH($B$7),$B$5=1),'Вводные'!$B$26*'Вводные'!$V$89*'Вводные'!$B$30,0)</x:f>
      </x:c>
      <x:c r="EC57" s="117">
        <x:f>IF(AND(YEAR(EC$3)=YEAR($B$6),MONTH(EC$3)=MONTH($B$6),$B$5=1),('CAPEX'!$B$48+'CAPEX'!$B$51+'CAPEX'!$B$52+IF('Вводные'!$B$37="Денежная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компенсация",'Вводные'!$B$56*'Вводные'!$R$89*'Вводные'!$H$6,0)))*'Вводные'!$B$30,0)+IF(AND(YEAR(EC$3)=YEAR($B$7),MONTH(EC$3)=MONTH($B$7),$B$5=1),'Вводные'!$B$26*'Вводные'!$V$89*'Вводные'!$B$30,0)</x:f>
      </x:c>
      <x:c r="ED57" s="117">
        <x:f>IF(AND(YEAR(ED$3)=YEAR($B$6),MONTH(ED$3)=MONTH($B$6),$B$5=1),('CAPEX'!$B$48+'CAPEX'!$B$51+'CAPEX'!$B$52+IF('Вводные'!$B$37="Денежная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компенсация",'Вводные'!$B$56*'Вводные'!$R$89*'Вводные'!$H$6,0)))*'Вводные'!$B$30,0)+IF(AND(YEAR(ED$3)=YEAR($B$7),MONTH(ED$3)=MONTH($B$7),$B$5=1),'Вводные'!$B$26*'Вводные'!$V$89*'Вводные'!$B$30,0)</x:f>
      </x:c>
      <x:c r="EE57" s="117">
        <x:f>IF(AND(YEAR(EE$3)=YEAR($B$6),MONTH(EE$3)=MONTH($B$6),$B$5=1),('CAPEX'!$B$48+'CAPEX'!$B$51+'CAPEX'!$B$52+IF('Вводные'!$B$37="Денежная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компенсация",'Вводные'!$B$56*'Вводные'!$R$89*'Вводные'!$H$6,0)))*'Вводные'!$B$30,0)+IF(AND(YEAR(EE$3)=YEAR($B$7),MONTH(EE$3)=MONTH($B$7),$B$5=1),'Вводные'!$B$26*'Вводные'!$V$89*'Вводные'!$B$30,0)</x:f>
      </x:c>
      <x:c r="EF57" s="117">
        <x:f>IF(AND(YEAR(EF$3)=YEAR($B$6),MONTH(EF$3)=MONTH($B$6),$B$5=1),('CAPEX'!$B$48+'CAPEX'!$B$51+'CAPEX'!$B$52+IF('Вводные'!$B$37="Денежная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компенсация",'Вводные'!$B$56*'Вводные'!$R$89*'Вводные'!$H$6,0)))*'Вводные'!$B$30,0)+IF(AND(YEAR(EF$3)=YEAR($B$7),MONTH(EF$3)=MONTH($B$7),$B$5=1),'Вводные'!$B$26*'Вводные'!$V$89*'Вводные'!$B$30,0)</x:f>
      </x:c>
      <x:c r="EG57" s="117">
        <x:f>IF(AND(YEAR(EG$3)=YEAR($B$6),MONTH(EG$3)=MONTH($B$6),$B$5=1),('CAPEX'!$B$48+'CAPEX'!$B$51+'CAPEX'!$B$52+IF('Вводные'!$B$37="Денежная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компенсация",'Вводные'!$B$56*'Вводные'!$R$89*'Вводные'!$H$6,0)))*'Вводные'!$B$30,0)+IF(AND(YEAR(EG$3)=YEAR($B$7),MONTH(EG$3)=MONTH($B$7),$B$5=1),'Вводные'!$B$26*'Вводные'!$V$89*'Вводные'!$B$30,0)</x:f>
      </x:c>
      <x:c r="EH57" s="117">
        <x:f>IF(AND(YEAR(EH$3)=YEAR($B$6),MONTH(EH$3)=MONTH($B$6),$B$5=1),('CAPEX'!$B$48+'CAPEX'!$B$51+'CAPEX'!$B$52+IF('Вводные'!$B$37="Денежная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компенсация",'Вводные'!$B$56*'Вводные'!$R$89*'Вводные'!$H$6,0)))*'Вводные'!$B$30,0)+IF(AND(YEAR(EH$3)=YEAR($B$7),MONTH(EH$3)=MONTH($B$7),$B$5=1),'Вводные'!$B$26*'Вводные'!$V$89*'Вводные'!$B$30,0)</x:f>
      </x:c>
      <x:c r="EI57" s="117">
        <x:f>IF(AND(YEAR(EI$3)=YEAR($B$6),MONTH(EI$3)=MONTH($B$6),$B$5=1),('CAPEX'!$B$48+'CAPEX'!$B$51+'CAPEX'!$B$52+IF('Вводные'!$B$37="Денежная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компенсация",'Вводные'!$B$56*'Вводные'!$R$89*'Вводные'!$H$6,0)))*'Вводные'!$B$30,0)+IF(AND(YEAR(EI$3)=YEAR($B$7),MONTH(EI$3)=MONTH($B$7),$B$5=1),'Вводные'!$B$26*'Вводные'!$V$89*'Вводные'!$B$30,0)</x:f>
      </x:c>
      <x:c r="EJ57" s="117">
        <x:f>IF(AND(YEAR(EJ$3)=YEAR($B$6),MONTH(EJ$3)=MONTH($B$6),$B$5=1),('CAPEX'!$B$48+'CAPEX'!$B$51+'CAPEX'!$B$52+IF('Вводные'!$B$37="Денежная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компенсация",'Вводные'!$B$56*'Вводные'!$R$89*'Вводные'!$H$6,0)))*'Вводные'!$B$30,0)+IF(AND(YEAR(EJ$3)=YEAR($B$7),MONTH(EJ$3)=MONTH($B$7),$B$5=1),'Вводные'!$B$26*'Вводные'!$V$89*'Вводные'!$B$30,0)</x:f>
      </x:c>
      <x:c r="EK57" s="117">
        <x:f>IF(AND(YEAR(EK$3)=YEAR($B$6),MONTH(EK$3)=MONTH($B$6),$B$5=1),('CAPEX'!$B$48+'CAPEX'!$B$51+'CAPEX'!$B$52+IF('Вводные'!$B$37="Денежная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компенсация",'Вводные'!$B$56*'Вводные'!$R$89*'Вводные'!$H$6,0)))*'Вводные'!$B$30,0)+IF(AND(YEAR(EK$3)=YEAR($B$7),MONTH(EK$3)=MONTH($B$7),$B$5=1),'Вводные'!$B$26*'Вводные'!$V$89*'Вводные'!$B$30,0)</x:f>
      </x:c>
      <x:c r="EL57" s="117">
        <x:f>IF(AND(YEAR(EL$3)=YEAR($B$6),MONTH(EL$3)=MONTH($B$6),$B$5=1),('CAPEX'!$B$48+'CAPEX'!$B$51+'CAPEX'!$B$52+IF('Вводные'!$B$37="Денежная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компенсация",'Вводные'!$B$56*'Вводные'!$R$89*'Вводные'!$H$6,0)))*'Вводные'!$B$30,0)+IF(AND(YEAR(EL$3)=YEAR($B$7),MONTH(EL$3)=MONTH($B$7),$B$5=1),'Вводные'!$B$26*'Вводные'!$V$89*'Вводные'!$B$30,0)</x:f>
      </x:c>
      <x:c r="EM57" s="117">
        <x:f>IF(AND(YEAR(EM$3)=YEAR($B$6),MONTH(EM$3)=MONTH($B$6),$B$5=1),('CAPEX'!$B$48+'CAPEX'!$B$51+'CAPEX'!$B$52+IF('Вводные'!$B$37="Денежная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компенсация",'Вводные'!$B$56*'Вводные'!$R$89*'Вводные'!$H$6,0)))*'Вводные'!$B$30,0)+IF(AND(YEAR(EM$3)=YEAR($B$7),MONTH(EM$3)=MONTH($B$7),$B$5=1),'Вводные'!$B$26*'Вводные'!$V$89*'Вводные'!$B$30,0)</x:f>
      </x:c>
      <x:c r="EN57" s="117">
        <x:f>IF(AND(YEAR(EN$3)=YEAR($B$6),MONTH(EN$3)=MONTH($B$6),$B$5=1),('CAPEX'!$B$48+'CAPEX'!$B$51+'CAPEX'!$B$52+IF('Вводные'!$B$37="Денежная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компенсация",'Вводные'!$B$56*'Вводные'!$R$89*'Вводные'!$H$6,0)))*'Вводные'!$B$30,0)+IF(AND(YEAR(EN$3)=YEAR($B$7),MONTH(EN$3)=MONTH($B$7),$B$5=1),'Вводные'!$B$26*'Вводные'!$V$89*'Вводные'!$B$30,0)</x:f>
      </x:c>
      <x:c r="EO57" s="117">
        <x:f>IF(AND(YEAR(EO$3)=YEAR($B$6),MONTH(EO$3)=MONTH($B$6),$B$5=1),('CAPEX'!$B$48+'CAPEX'!$B$51+'CAPEX'!$B$52+IF('Вводные'!$B$37="Денежная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компенсация",'Вводные'!$B$56*'Вводные'!$R$89*'Вводные'!$H$6,0)))*'Вводные'!$B$30,0)+IF(AND(YEAR(EO$3)=YEAR($B$7),MONTH(EO$3)=MONTH($B$7),$B$5=1),'Вводные'!$B$26*'Вводные'!$V$89*'Вводные'!$B$30,0)</x:f>
      </x:c>
      <x:c r="EP57" s="117">
        <x:f>IF(AND(YEAR(EP$3)=YEAR($B$6),MONTH(EP$3)=MONTH($B$6),$B$5=1),('CAPEX'!$B$48+'CAPEX'!$B$51+'CAPEX'!$B$52+IF('Вводные'!$B$37="Денежная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компенсация",'Вводные'!$B$56*'Вводные'!$R$89*'Вводные'!$H$6,0)))*'Вводные'!$B$30,0)+IF(AND(YEAR(EP$3)=YEAR($B$7),MONTH(EP$3)=MONTH($B$7),$B$5=1),'Вводные'!$B$26*'Вводные'!$V$89*'Вводные'!$B$30,0)</x:f>
      </x:c>
      <x:c r="EQ57" s="117">
        <x:f>IF(AND(YEAR(EQ$3)=YEAR($B$6),MONTH(EQ$3)=MONTH($B$6),$B$5=1),('CAPEX'!$B$48+'CAPEX'!$B$51+'CAPEX'!$B$52+IF('Вводные'!$B$37="Денежная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компенсация",'Вводные'!$B$56*'Вводные'!$R$89*'Вводные'!$H$6,0)))*'Вводные'!$B$30,0)+IF(AND(YEAR(EQ$3)=YEAR($B$7),MONTH(EQ$3)=MONTH($B$7),$B$5=1),'Вводные'!$B$26*'Вводные'!$V$89*'Вводные'!$B$30,0)</x:f>
      </x:c>
      <x:c r="ER57" s="117">
        <x:f>IF(AND(YEAR(ER$3)=YEAR($B$6),MONTH(ER$3)=MONTH($B$6),$B$5=1),('CAPEX'!$B$48+'CAPEX'!$B$51+'CAPEX'!$B$52+IF('Вводные'!$B$37="Денежная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компенсация",'Вводные'!$B$56*'Вводные'!$R$89*'Вводные'!$H$6,0)))*'Вводные'!$B$30,0)+IF(AND(YEAR(ER$3)=YEAR($B$7),MONTH(ER$3)=MONTH($B$7),$B$5=1),'Вводные'!$B$26*'Вводные'!$V$89*'Вводные'!$B$30,0)</x:f>
      </x:c>
      <x:c r="ES57" s="117">
        <x:f>IF(AND(YEAR(ES$3)=YEAR($B$6),MONTH(ES$3)=MONTH($B$6),$B$5=1),('CAPEX'!$B$48+'CAPEX'!$B$51+'CAPEX'!$B$52+IF('Вводные'!$B$37="Денежная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компенсация",'Вводные'!$B$56*'Вводные'!$R$89*'Вводные'!$H$6,0)))*'Вводные'!$B$30,0)+IF(AND(YEAR(ES$3)=YEAR($B$7),MONTH(ES$3)=MONTH($B$7),$B$5=1),'Вводные'!$B$26*'Вводные'!$V$89*'Вводные'!$B$30,0)</x:f>
      </x:c>
      <x:c r="ET57" s="117">
        <x:f>IF(AND(YEAR(ET$3)=YEAR($B$6),MONTH(ET$3)=MONTH($B$6),$B$5=1),('CAPEX'!$B$48+'CAPEX'!$B$51+'CAPEX'!$B$52+IF('Вводные'!$B$37="Денежная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компенсация",'Вводные'!$B$56*'Вводные'!$R$89*'Вводные'!$H$6,0)))*'Вводные'!$B$30,0)+IF(AND(YEAR(ET$3)=YEAR($B$7),MONTH(ET$3)=MONTH($B$7),$B$5=1),'Вводные'!$B$26*'Вводные'!$V$89*'Вводные'!$B$30,0)</x:f>
      </x:c>
      <x:c r="EU57" s="117">
        <x:f>IF(AND(YEAR(EU$3)=YEAR($B$6),MONTH(EU$3)=MONTH($B$6),$B$5=1),('CAPEX'!$B$48+'CAPEX'!$B$51+'CAPEX'!$B$52+IF('Вводные'!$B$37="Денежная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компенсация",'Вводные'!$B$56*'Вводные'!$R$89*'Вводные'!$H$6,0)))*'Вводные'!$B$30,0)+IF(AND(YEAR(EU$3)=YEAR($B$7),MONTH(EU$3)=MONTH($B$7),$B$5=1),'Вводные'!$B$26*'Вводные'!$V$89*'Вводные'!$B$30,0)</x:f>
      </x:c>
      <x:c r="EV57" s="117">
        <x:f>IF(AND(YEAR(EV$3)=YEAR($B$6),MONTH(EV$3)=MONTH($B$6),$B$5=1),('CAPEX'!$B$48+'CAPEX'!$B$51+'CAPEX'!$B$52+IF('Вводные'!$B$37="Денежная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компенсация",'Вводные'!$B$56*'Вводные'!$R$89*'Вводные'!$H$6,0)))*'Вводные'!$B$30,0)+IF(AND(YEAR(EV$3)=YEAR($B$7),MONTH(EV$3)=MONTH($B$7),$B$5=1),'Вводные'!$B$26*'Вводные'!$V$89*'Вводные'!$B$30,0)</x:f>
      </x:c>
      <x:c r="EW57" s="117">
        <x:f>IF(AND(YEAR(EW$3)=YEAR($B$6),MONTH(EW$3)=MONTH($B$6),$B$5=1),('CAPEX'!$B$48+'CAPEX'!$B$51+'CAPEX'!$B$52+IF('Вводные'!$B$37="Денежная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компенсация",'Вводные'!$B$56*'Вводные'!$R$89*'Вводные'!$H$6,0)))*'Вводные'!$B$30,0)+IF(AND(YEAR(EW$3)=YEAR($B$7),MONTH(EW$3)=MONTH($B$7),$B$5=1),'Вводные'!$B$26*'Вводные'!$V$89*'Вводные'!$B$30,0)</x:f>
      </x:c>
      <x:c r="EX57" s="117">
        <x:f>IF(AND(YEAR(EX$3)=YEAR($B$6),MONTH(EX$3)=MONTH($B$6),$B$5=1),('CAPEX'!$B$48+'CAPEX'!$B$51+'CAPEX'!$B$52+IF('Вводные'!$B$37="Денежная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компенсация",'Вводные'!$B$56*'Вводные'!$R$89*'Вводные'!$H$6,0)))*'Вводные'!$B$30,0)+IF(AND(YEAR(EX$3)=YEAR($B$7),MONTH(EX$3)=MONTH($B$7),$B$5=1),'Вводные'!$B$26*'Вводные'!$V$89*'Вводные'!$B$30,0)</x:f>
      </x:c>
      <x:c r="EY57" s="117">
        <x:f>IF(AND(YEAR(EY$3)=YEAR($B$6),MONTH(EY$3)=MONTH($B$6),$B$5=1),('CAPEX'!$B$48+'CAPEX'!$B$51+'CAPEX'!$B$52+IF('Вводные'!$B$37="Денежная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компенсация",'Вводные'!$B$56*'Вводные'!$R$89*'Вводные'!$H$6,0)))*'Вводные'!$B$30,0)+IF(AND(YEAR(EY$3)=YEAR($B$7),MONTH(EY$3)=MONTH($B$7),$B$5=1),'Вводные'!$B$26*'Вводные'!$V$89*'Вводные'!$B$30,0)</x:f>
      </x:c>
      <x:c r="EZ57" s="117">
        <x:f>IF(AND(YEAR(EZ$3)=YEAR($B$6),MONTH(EZ$3)=MONTH($B$6),$B$5=1),('CAPEX'!$B$48+'CAPEX'!$B$51+'CAPEX'!$B$52+IF('Вводные'!$B$37="Денежная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компенсация",'Вводные'!$B$56*'Вводные'!$R$89*'Вводные'!$H$6,0)))*'Вводные'!$B$30,0)+IF(AND(YEAR(EZ$3)=YEAR($B$7),MONTH(EZ$3)=MONTH($B$7),$B$5=1),'Вводные'!$B$26*'Вводные'!$V$89*'Вводные'!$B$30,0)</x:f>
      </x:c>
      <x:c r="FA57" s="117">
        <x:f>IF(AND(YEAR(FA$3)=YEAR($B$6),MONTH(FA$3)=MONTH($B$6),$B$5=1),('CAPEX'!$B$48+'CAPEX'!$B$51+'CAPEX'!$B$52+IF('Вводные'!$B$37="Денежная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компенсация",'Вводные'!$B$56*'Вводные'!$R$89*'Вводные'!$H$6,0)))*'Вводные'!$B$30,0)+IF(AND(YEAR(FA$3)=YEAR($B$7),MONTH(FA$3)=MONTH($B$7),$B$5=1),'Вводные'!$B$26*'Вводные'!$V$89*'Вводные'!$B$30,0)</x:f>
      </x:c>
      <x:c r="FB57" s="117">
        <x:f>IF(AND(YEAR(FB$3)=YEAR($B$6),MONTH(FB$3)=MONTH($B$6),$B$5=1),('CAPEX'!$B$48+'CAPEX'!$B$51+'CAPEX'!$B$52+IF('Вводные'!$B$37="Денежная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компенсация",'Вводные'!$B$56*'Вводные'!$R$89*'Вводные'!$H$6,0)))*'Вводные'!$B$30,0)+IF(AND(YEAR(FB$3)=YEAR($B$7),MONTH(FB$3)=MONTH($B$7),$B$5=1),'Вводные'!$B$26*'Вводные'!$V$89*'Вводные'!$B$30,0)</x:f>
      </x:c>
      <x:c r="FC57" s="117">
        <x:f>IF(AND(YEAR(FC$3)=YEAR($B$6),MONTH(FC$3)=MONTH($B$6),$B$5=1),('CAPEX'!$B$48+'CAPEX'!$B$51+'CAPEX'!$B$52+IF('Вводные'!$B$37="Денежная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компенсация",'Вводные'!$B$56*'Вводные'!$R$89*'Вводные'!$H$6,0)))*'Вводные'!$B$30,0)+IF(AND(YEAR(FC$3)=YEAR($B$7),MONTH(FC$3)=MONTH($B$7),$B$5=1),'Вводные'!$B$26*'Вводные'!$V$89*'Вводные'!$B$30,0)</x:f>
      </x:c>
      <x:c r="FD57" s="117">
        <x:f>IF(AND(YEAR(FD$3)=YEAR($B$6),MONTH(FD$3)=MONTH($B$6),$B$5=1),('CAPEX'!$B$48+'CAPEX'!$B$51+'CAPEX'!$B$52+IF('Вводные'!$B$37="Денежная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компенсация",'Вводные'!$B$56*'Вводные'!$R$89*'Вводные'!$H$6,0)))*'Вводные'!$B$30,0)+IF(AND(YEAR(FD$3)=YEAR($B$7),MONTH(FD$3)=MONTH($B$7),$B$5=1),'Вводные'!$B$26*'Вводные'!$V$89*'Вводные'!$B$30,0)</x:f>
      </x:c>
      <x:c r="FE57" s="117">
        <x:f>IF(AND(YEAR(FE$3)=YEAR($B$6),MONTH(FE$3)=MONTH($B$6),$B$5=1),('CAPEX'!$B$48+'CAPEX'!$B$51+'CAPEX'!$B$52+IF('Вводные'!$B$37="Денежная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компенсация",'Вводные'!$B$56*'Вводные'!$R$89*'Вводные'!$H$6,0)))*'Вводные'!$B$30,0)+IF(AND(YEAR(FE$3)=YEAR($B$7),MONTH(FE$3)=MONTH($B$7),$B$5=1),'Вводные'!$B$26*'Вводные'!$V$89*'Вводные'!$B$30,0)</x:f>
      </x:c>
      <x:c r="FF57" s="117">
        <x:f>IF(AND(YEAR(FF$3)=YEAR($B$6),MONTH(FF$3)=MONTH($B$6),$B$5=1),('CAPEX'!$B$48+'CAPEX'!$B$51+'CAPEX'!$B$52+IF('Вводные'!$B$37="Денежная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компенсация",'Вводные'!$B$56*'Вводные'!$R$89*'Вводные'!$H$6,0)))*'Вводные'!$B$30,0)+IF(AND(YEAR(FF$3)=YEAR($B$7),MONTH(FF$3)=MONTH($B$7),$B$5=1),'Вводные'!$B$26*'Вводные'!$V$89*'Вводные'!$B$30,0)</x:f>
      </x:c>
      <x:c r="FG57" s="117">
        <x:f>IF(AND(YEAR(FG$3)=YEAR($B$6),MONTH(FG$3)=MONTH($B$6),$B$5=1),('CAPEX'!$B$48+'CAPEX'!$B$51+'CAPEX'!$B$52+IF('Вводные'!$B$37="Денежная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компенсация",'Вводные'!$B$56*'Вводные'!$R$89*'Вводные'!$H$6,0)))*'Вводные'!$B$30,0)+IF(AND(YEAR(FG$3)=YEAR($B$7),MONTH(FG$3)=MONTH($B$7),$B$5=1),'Вводные'!$B$26*'Вводные'!$V$89*'Вводные'!$B$30,0)</x:f>
      </x:c>
      <x:c r="FH57" s="117">
        <x:f>IF(AND(YEAR(FH$3)=YEAR($B$6),MONTH(FH$3)=MONTH($B$6),$B$5=1),('CAPEX'!$B$48+'CAPEX'!$B$51+'CAPEX'!$B$52+IF('Вводные'!$B$37="Денежная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компенсация",'Вводные'!$B$56*'Вводные'!$R$89*'Вводные'!$H$6,0)))*'Вводные'!$B$30,0)+IF(AND(YEAR(FH$3)=YEAR($B$7),MONTH(FH$3)=MONTH($B$7),$B$5=1),'Вводные'!$B$26*'Вводные'!$V$89*'Вводные'!$B$30,0)</x:f>
      </x:c>
      <x:c r="FI57" s="117">
        <x:f>IF(AND(YEAR(FI$3)=YEAR($B$6),MONTH(FI$3)=MONTH($B$6),$B$5=1),('CAPEX'!$B$48+'CAPEX'!$B$51+'CAPEX'!$B$52+IF('Вводные'!$B$37="Денежная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компенсация",'Вводные'!$B$56*'Вводные'!$R$89*'Вводные'!$H$6,0)))*'Вводные'!$B$30,0)+IF(AND(YEAR(FI$3)=YEAR($B$7),MONTH(FI$3)=MONTH($B$7),$B$5=1),'Вводные'!$B$26*'Вводные'!$V$89*'Вводные'!$B$30,0)</x:f>
      </x:c>
      <x:c r="FJ57" s="117">
        <x:f>IF(AND(YEAR(FJ$3)=YEAR($B$6),MONTH(FJ$3)=MONTH($B$6),$B$5=1),('CAPEX'!$B$48+'CAPEX'!$B$51+'CAPEX'!$B$52+IF('Вводные'!$B$37="Денежная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компенсация",'Вводные'!$B$56*'Вводные'!$R$89*'Вводные'!$H$6,0)))*'Вводные'!$B$30,0)+IF(AND(YEAR(FJ$3)=YEAR($B$7),MONTH(FJ$3)=MONTH($B$7),$B$5=1),'Вводные'!$B$26*'Вводные'!$V$89*'Вводные'!$B$30,0)</x:f>
      </x:c>
      <x:c r="FK57" s="117">
        <x:f>IF(AND(YEAR(FK$3)=YEAR($B$6),MONTH(FK$3)=MONTH($B$6),$B$5=1),('CAPEX'!$B$48+'CAPEX'!$B$51+'CAPEX'!$B$52+IF('Вводные'!$B$37="Денежная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компенсация",'Вводные'!$B$56*'Вводные'!$R$89*'Вводные'!$H$6,0)))*'Вводные'!$B$30,0)+IF(AND(YEAR(FK$3)=YEAR($B$7),MONTH(FK$3)=MONTH($B$7),$B$5=1),'Вводные'!$B$26*'Вводные'!$V$89*'Вводные'!$B$30,0)</x:f>
      </x:c>
      <x:c r="FL57" s="117">
        <x:f>IF(AND(YEAR(FL$3)=YEAR($B$6),MONTH(FL$3)=MONTH($B$6),$B$5=1),('CAPEX'!$B$48+'CAPEX'!$B$51+'CAPEX'!$B$52+IF('Вводные'!$B$37="Денежная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компенсация",'Вводные'!$B$56*'Вводные'!$R$89*'Вводные'!$H$6,0)))*'Вводные'!$B$30,0)+IF(AND(YEAR(FL$3)=YEAR($B$7),MONTH(FL$3)=MONTH($B$7),$B$5=1),'Вводные'!$B$26*'Вводные'!$V$89*'Вводные'!$B$30,0)</x:f>
      </x:c>
      <x:c r="FM57" s="117">
        <x:f>IF(AND(YEAR(FM$3)=YEAR($B$6),MONTH(FM$3)=MONTH($B$6),$B$5=1),('CAPEX'!$B$48+'CAPEX'!$B$51+'CAPEX'!$B$52+IF('Вводные'!$B$37="Денежная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компенсация",'Вводные'!$B$56*'Вводные'!$R$89*'Вводные'!$H$6,0)))*'Вводные'!$B$30,0)+IF(AND(YEAR(FM$3)=YEAR($B$7),MONTH(FM$3)=MONTH($B$7),$B$5=1),'Вводные'!$B$26*'Вводные'!$V$89*'Вводные'!$B$30,0)</x:f>
      </x:c>
      <x:c r="FN57" s="117">
        <x:f>IF(AND(YEAR(FN$3)=YEAR($B$6),MONTH(FN$3)=MONTH($B$6),$B$5=1),('CAPEX'!$B$48+'CAPEX'!$B$51+'CAPEX'!$B$52+IF('Вводные'!$B$37="Денежная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компенсация",'Вводные'!$B$56*'Вводные'!$R$89*'Вводные'!$H$6,0)))*'Вводные'!$B$30,0)+IF(AND(YEAR(FN$3)=YEAR($B$7),MONTH(FN$3)=MONTH($B$7),$B$5=1),'Вводные'!$B$26*'Вводные'!$V$89*'Вводные'!$B$30,0)</x:f>
      </x:c>
      <x:c r="FO57" s="117">
        <x:f>IF(AND(YEAR(FO$3)=YEAR($B$6),MONTH(FO$3)=MONTH($B$6),$B$5=1),('CAPEX'!$B$48+'CAPEX'!$B$51+'CAPEX'!$B$52+IF('Вводные'!$B$37="Денежная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компенсация",'Вводные'!$B$56*'Вводные'!$R$89*'Вводные'!$H$6,0)))*'Вводные'!$B$30,0)+IF(AND(YEAR(FO$3)=YEAR($B$7),MONTH(FO$3)=MONTH($B$7),$B$5=1),'Вводные'!$B$26*'Вводные'!$V$89*'Вводные'!$B$30,0)</x:f>
      </x:c>
      <x:c r="FP57" s="117">
        <x:f>IF(AND(YEAR(FP$3)=YEAR($B$6),MONTH(FP$3)=MONTH($B$6),$B$5=1),('CAPEX'!$B$48+'CAPEX'!$B$51+'CAPEX'!$B$52+IF('Вводные'!$B$37="Денежная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компенсация",'Вводные'!$B$56*'Вводные'!$R$89*'Вводные'!$H$6,0)))*'Вводные'!$B$30,0)+IF(AND(YEAR(FP$3)=YEAR($B$7),MONTH(FP$3)=MONTH($B$7),$B$5=1),'Вводные'!$B$26*'Вводные'!$V$89*'Вводные'!$B$30,0)</x:f>
      </x:c>
      <x:c r="FQ57" s="117">
        <x:f>IF(AND(YEAR(FQ$3)=YEAR($B$6),MONTH(FQ$3)=MONTH($B$6),$B$5=1),('CAPEX'!$B$48+'CAPEX'!$B$51+'CAPEX'!$B$52+IF('Вводные'!$B$37="Денежная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компенсация",'Вводные'!$B$56*'Вводные'!$R$89*'Вводные'!$H$6,0)))*'Вводные'!$B$30,0)+IF(AND(YEAR(FQ$3)=YEAR($B$7),MONTH(FQ$3)=MONTH($B$7),$B$5=1),'Вводные'!$B$26*'Вводные'!$V$89*'Вводные'!$B$30,0)</x:f>
      </x:c>
      <x:c r="FR57" s="117">
        <x:f>IF(AND(YEAR(FR$3)=YEAR($B$6),MONTH(FR$3)=MONTH($B$6),$B$5=1),('CAPEX'!$B$48+'CAPEX'!$B$51+'CAPEX'!$B$52+IF('Вводные'!$B$37="Денежная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компенсация",'Вводные'!$B$56*'Вводные'!$R$89*'Вводные'!$H$6,0)))*'Вводные'!$B$30,0)+IF(AND(YEAR(FR$3)=YEAR($B$7),MONTH(FR$3)=MONTH($B$7),$B$5=1),'Вводные'!$B$26*'Вводные'!$V$89*'Вводные'!$B$30,0)</x:f>
      </x:c>
      <x:c r="FS57" s="117">
        <x:f>IF(AND(YEAR(FS$3)=YEAR($B$6),MONTH(FS$3)=MONTH($B$6),$B$5=1),('CAPEX'!$B$48+'CAPEX'!$B$51+'CAPEX'!$B$52+IF('Вводные'!$B$37="Денежная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компенсация",'Вводные'!$B$56*'Вводные'!$R$89*'Вводные'!$H$6,0)))*'Вводные'!$B$30,0)+IF(AND(YEAR(FS$3)=YEAR($B$7),MONTH(FS$3)=MONTH($B$7),$B$5=1),'Вводные'!$B$26*'Вводные'!$V$89*'Вводные'!$B$30,0)</x:f>
      </x:c>
      <x:c r="FT57" s="117">
        <x:f>IF(AND(YEAR(FT$3)=YEAR($B$6),MONTH(FT$3)=MONTH($B$6),$B$5=1),('CAPEX'!$B$48+'CAPEX'!$B$51+'CAPEX'!$B$52+IF('Вводные'!$B$37="Денежная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компенсация",'Вводные'!$B$56*'Вводные'!$R$89*'Вводные'!$H$6,0)))*'Вводные'!$B$30,0)+IF(AND(YEAR(FT$3)=YEAR($B$7),MONTH(FT$3)=MONTH($B$7),$B$5=1),'Вводные'!$B$26*'Вводные'!$V$89*'Вводные'!$B$30,0)</x:f>
      </x:c>
      <x:c r="FU57" s="117">
        <x:f>IF(AND(YEAR(FU$3)=YEAR($B$6),MONTH(FU$3)=MONTH($B$6),$B$5=1),('CAPEX'!$B$48+'CAPEX'!$B$51+'CAPEX'!$B$52+IF('Вводные'!$B$37="Денежная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компенсация",'Вводные'!$B$56*'Вводные'!$R$89*'Вводные'!$H$6,0)))*'Вводные'!$B$30,0)+IF(AND(YEAR(FU$3)=YEAR($B$7),MONTH(FU$3)=MONTH($B$7),$B$5=1),'Вводные'!$B$26*'Вводные'!$V$89*'Вводные'!$B$30,0)</x:f>
      </x:c>
      <x:c r="FV57" s="117">
        <x:f>IF(AND(YEAR(FV$3)=YEAR($B$6),MONTH(FV$3)=MONTH($B$6),$B$5=1),('CAPEX'!$B$48+'CAPEX'!$B$51+'CAPEX'!$B$52+IF('Вводные'!$B$37="Денежная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компенсация",'Вводные'!$B$56*'Вводные'!$R$89*'Вводные'!$H$6,0)))*'Вводные'!$B$30,0)+IF(AND(YEAR(FV$3)=YEAR($B$7),MONTH(FV$3)=MONTH($B$7),$B$5=1),'Вводные'!$B$26*'Вводные'!$V$89*'Вводные'!$B$30,0)</x:f>
      </x:c>
      <x:c r="FW57" s="117">
        <x:f>IF(AND(YEAR(FW$3)=YEAR($B$6),MONTH(FW$3)=MONTH($B$6),$B$5=1),('CAPEX'!$B$48+'CAPEX'!$B$51+'CAPEX'!$B$52+IF('Вводные'!$B$37="Денежная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компенсация",'Вводные'!$B$56*'Вводные'!$R$89*'Вводные'!$H$6,0)))*'Вводные'!$B$30,0)+IF(AND(YEAR(FW$3)=YEAR($B$7),MONTH(FW$3)=MONTH($B$7),$B$5=1),'Вводные'!$B$26*'Вводные'!$V$89*'Вводные'!$B$30,0)</x:f>
      </x:c>
      <x:c r="FX57" s="117">
        <x:f>IF(AND(YEAR(FX$3)=YEAR($B$6),MONTH(FX$3)=MONTH($B$6),$B$5=1),('CAPEX'!$B$48+'CAPEX'!$B$51+'CAPEX'!$B$52+IF('Вводные'!$B$37="Денежная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компенсация",'Вводные'!$B$56*'Вводные'!$R$89*'Вводные'!$H$6,0)))*'Вводные'!$B$30,0)+IF(AND(YEAR(FX$3)=YEAR($B$7),MONTH(FX$3)=MONTH($B$7),$B$5=1),'Вводные'!$B$26*'Вводные'!$V$89*'Вводные'!$B$30,0)</x:f>
      </x:c>
      <x:c r="FY57" s="117">
        <x:f>IF(AND(YEAR(FY$3)=YEAR($B$6),MONTH(FY$3)=MONTH($B$6),$B$5=1),('CAPEX'!$B$48+'CAPEX'!$B$51+'CAPEX'!$B$52+IF('Вводные'!$B$37="Денежная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компенсация",'Вводные'!$B$56*'Вводные'!$R$89*'Вводные'!$H$6,0)))*'Вводные'!$B$30,0)+IF(AND(YEAR(FY$3)=YEAR($B$7),MONTH(FY$3)=MONTH($B$7),$B$5=1),'Вводные'!$B$26*'Вводные'!$V$89*'Вводные'!$B$30,0)</x:f>
      </x:c>
      <x:c r="FZ57" s="117">
        <x:f>IF(AND(YEAR(FZ$3)=YEAR($B$6),MONTH(FZ$3)=MONTH($B$6),$B$5=1),('CAPEX'!$B$48+'CAPEX'!$B$51+'CAPEX'!$B$52+IF('Вводные'!$B$37="Денежная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компенсация",'Вводные'!$B$56*'Вводные'!$R$89*'Вводные'!$H$6,0)))*'Вводные'!$B$30,0)+IF(AND(YEAR(FZ$3)=YEAR($B$7),MONTH(FZ$3)=MONTH($B$7),$B$5=1),'Вводные'!$B$26*'Вводные'!$V$89*'Вводные'!$B$30,0)</x:f>
      </x:c>
      <x:c r="GA57" s="117">
        <x:f>IF(AND(YEAR(GA$3)=YEAR($B$6),MONTH(GA$3)=MONTH($B$6),$B$5=1),('CAPEX'!$B$48+'CAPEX'!$B$51+'CAPEX'!$B$52+IF('Вводные'!$B$37="Денежная компенсация",'CAPEX'!$B$65,IF('Вводные'!$B$37="Строительство и компенсация",'Вводные'!$B$56*'Вводные'!$R$89*'Вводные'!$H$6,0)))*'Вводные'!$B$30,0)+IF(AND(YEAR(GA$3)=YEAR($B$7),MONTH(GA$3)=MONTH($B$7),$B$5=1),'Вводные'!$B$26*'Вводные'!$V$89*'Вводные'!$B$30,0)</x:f>
      </x:c>
    </x:row>
    <x:row r="58">
      <x:c r="A58" t="inlineStr">
        <x:is>
          <x:t/>
        </x:is>
      </x:c>
      <x:c r="B58" s="126"/>
      <x:c r="C58" s="126" t="str">
        <x:v>×</x:v>
      </x:c>
      <x:c r="D58" s="125"/>
      <x:c r="E58" s="125"/>
      <x:c r="F58" s="125"/>
      <x:c r="G58" s="125"/>
      <x:c r="H58" s="125"/>
      <x:c r="I58" s="125"/>
      <x:c r="J58" s="125"/>
      <x:c r="K58" s="125"/>
      <x:c r="L58" s="125"/>
      <x:c r="M58" s="125"/>
      <x:c r="N58" s="125"/>
      <x:c r="O58" s="125"/>
      <x:c r="P58" s="125"/>
      <x:c r="Q58" s="125"/>
      <x:c r="R58" s="125"/>
      <x:c r="S58" s="125"/>
      <x:c r="T58" s="125"/>
      <x:c r="U58" s="125"/>
      <x:c r="V58" s="125"/>
      <x:c r="W58" s="125"/>
      <x:c r="X58" s="125"/>
      <x:c r="Y58" s="125"/>
      <x:c r="Z58" s="125"/>
      <x:c r="AA58" s="125"/>
      <x:c r="AB58" s="125"/>
      <x:c r="AC58" s="125"/>
      <x:c r="AD58" s="125"/>
      <x:c r="AE58" s="125"/>
      <x:c r="AF58" s="125"/>
      <x:c r="AG58" s="125"/>
      <x:c r="AH58" s="125"/>
      <x:c r="AI58" s="125"/>
      <x:c r="AJ58" s="125"/>
      <x:c r="AK58" s="125"/>
      <x:c r="AL58" s="125"/>
      <x:c r="AM58" s="125"/>
      <x:c r="AN58" s="125"/>
      <x:c r="AO58" s="125"/>
      <x:c r="AP58" s="125"/>
      <x:c r="AQ58" s="125"/>
      <x:c r="AR58" s="125"/>
      <x:c r="AS58" s="125"/>
      <x:c r="AT58" s="125"/>
      <x:c r="AU58" s="125"/>
      <x:c r="AV58" s="125"/>
      <x:c r="AW58" s="125"/>
      <x:c r="AX58" s="125"/>
      <x:c r="AY58" s="125"/>
      <x:c r="AZ58" s="125"/>
      <x:c r="BA58" s="125"/>
      <x:c r="BB58" s="125"/>
      <x:c r="BC58" s="125"/>
      <x:c r="BD58" s="125"/>
      <x:c r="BE58" s="125"/>
      <x:c r="BF58" s="125"/>
      <x:c r="BG58" s="125"/>
      <x:c r="BH58" s="125"/>
      <x:c r="BI58" s="125"/>
      <x:c r="BJ58" s="125"/>
      <x:c r="BK58" s="125"/>
      <x:c r="BL58" s="125"/>
      <x:c r="BM58" s="125"/>
      <x:c r="BN58" s="125"/>
      <x:c r="BO58" s="125"/>
      <x:c r="BP58" s="125"/>
      <x:c r="BQ58" s="125"/>
      <x:c r="BR58" s="125"/>
      <x:c r="BS58" s="125"/>
      <x:c r="BT58" s="125"/>
      <x:c r="BU58" s="125"/>
      <x:c r="BV58" s="125"/>
      <x:c r="BW58" s="125"/>
      <x:c r="BX58" s="125"/>
      <x:c r="BY58" s="125"/>
      <x:c r="BZ58" s="125"/>
      <x:c r="CA58" s="125"/>
      <x:c r="CB58" s="125"/>
      <x:c r="CC58" s="125"/>
      <x:c r="CD58" s="125"/>
      <x:c r="CE58" s="125"/>
      <x:c r="CF58" s="125"/>
      <x:c r="CG58" s="125"/>
      <x:c r="CH58" s="125"/>
      <x:c r="CI58" s="125"/>
      <x:c r="CJ58" s="125"/>
      <x:c r="CK58" s="125"/>
      <x:c r="CL58" s="125"/>
      <x:c r="CM58" s="125"/>
      <x:c r="CN58" s="125"/>
      <x:c r="CO58" s="125"/>
      <x:c r="CP58" s="125"/>
      <x:c r="CQ58" s="125"/>
      <x:c r="CR58" s="125"/>
      <x:c r="CS58" s="125"/>
      <x:c r="CT58" s="125"/>
      <x:c r="CU58" s="125"/>
      <x:c r="CV58" s="125"/>
      <x:c r="CW58" s="125"/>
      <x:c r="CX58" s="125"/>
      <x:c r="CY58" s="125"/>
      <x:c r="CZ58" s="125"/>
      <x:c r="DA58" s="125"/>
      <x:c r="DB58" s="125"/>
      <x:c r="DC58" s="125"/>
      <x:c r="DD58" s="125"/>
      <x:c r="DE58" s="125"/>
      <x:c r="DF58" s="125"/>
      <x:c r="DG58" s="125"/>
      <x:c r="DH58" s="125"/>
      <x:c r="DI58" s="125"/>
      <x:c r="DJ58" s="125"/>
      <x:c r="DK58" s="125"/>
      <x:c r="DL58" s="125"/>
      <x:c r="DM58" s="125"/>
      <x:c r="DN58" s="125"/>
      <x:c r="DO58" s="125"/>
      <x:c r="DP58" s="125"/>
      <x:c r="DQ58" s="125"/>
      <x:c r="DR58" s="125"/>
      <x:c r="DS58" s="125"/>
      <x:c r="DT58" s="125"/>
      <x:c r="DU58" s="125"/>
      <x:c r="DV58" s="125"/>
      <x:c r="DW58" s="125"/>
      <x:c r="DX58" s="125"/>
      <x:c r="DY58" s="125"/>
      <x:c r="DZ58" s="125"/>
      <x:c r="EA58" s="125"/>
      <x:c r="EB58" s="125"/>
      <x:c r="EC58" s="125"/>
      <x:c r="ED58" s="125"/>
      <x:c r="EE58" s="125"/>
      <x:c r="EF58" s="125"/>
      <x:c r="EG58" s="125"/>
      <x:c r="EH58" s="125"/>
      <x:c r="EI58" s="125"/>
      <x:c r="EJ58" s="125"/>
      <x:c r="EK58" s="125"/>
      <x:c r="EL58" s="125"/>
      <x:c r="EM58" s="125"/>
      <x:c r="EN58" s="125"/>
      <x:c r="EO58" s="125"/>
      <x:c r="EP58" s="125"/>
      <x:c r="EQ58" s="125"/>
      <x:c r="ER58" s="125"/>
      <x:c r="ES58" s="125"/>
      <x:c r="ET58" s="125"/>
      <x:c r="EU58" s="125"/>
      <x:c r="EV58" s="125"/>
      <x:c r="EW58" s="125"/>
      <x:c r="EX58" s="125"/>
      <x:c r="EY58" s="125"/>
      <x:c r="EZ58" s="125"/>
      <x:c r="FA58" s="125"/>
      <x:c r="FB58" s="125"/>
      <x:c r="FC58" s="125"/>
      <x:c r="FD58" s="125"/>
      <x:c r="FE58" s="125"/>
      <x:c r="FF58" s="125"/>
      <x:c r="FG58" s="125"/>
      <x:c r="FH58" s="125"/>
      <x:c r="FI58" s="125"/>
      <x:c r="FJ58" s="125"/>
      <x:c r="FK58" s="125"/>
      <x:c r="FL58" s="125"/>
      <x:c r="FM58" s="125"/>
      <x:c r="FN58" s="125"/>
      <x:c r="FO58" s="125"/>
      <x:c r="FP58" s="125"/>
      <x:c r="FQ58" s="125"/>
      <x:c r="FR58" s="125"/>
      <x:c r="FS58" s="125"/>
      <x:c r="FT58" s="125"/>
      <x:c r="FU58" s="125"/>
      <x:c r="FV58" s="125"/>
      <x:c r="FW58" s="125"/>
      <x:c r="FX58" s="125"/>
      <x:c r="FY58" s="125"/>
      <x:c r="FZ58" s="125"/>
      <x:c r="GA58" s="125"/>
    </x:row>
    <x:row r="59">
      <x:c r="A59" t="str">
        <x:v>Собственные средства — остаток</x:v>
      </x:c>
      <x:c r="B59">
        <x:f>GA59</x:f>
      </x:c>
      <x:c r="C59" t="str">
        <x:v>млн ₽</x:v>
      </x:c>
      <x:c r="D59" s="117">
        <x:f>MAX(0,'Вводные'!$B$85*'Вводные'!$AI$89-D56)</x:f>
      </x:c>
      <x:c r="E59" s="117">
        <x:f>MAX(0,D59-E56)</x:f>
      </x:c>
      <x:c r="F59" s="117">
        <x:f>MAX(0,E59-F56)</x:f>
      </x:c>
      <x:c r="G59" s="117">
        <x:f>MAX(0,F59-G56)</x:f>
      </x:c>
      <x:c r="H59" s="117">
        <x:f>MAX(0,G59-H56)</x:f>
      </x:c>
      <x:c r="I59" s="117">
        <x:f>MAX(0,H59-I56)</x:f>
      </x:c>
      <x:c r="J59" s="117">
        <x:f>MAX(0,I59-J56)</x:f>
      </x:c>
      <x:c r="K59" s="117">
        <x:f>MAX(0,J59-K56)</x:f>
      </x:c>
      <x:c r="L59" s="117">
        <x:f>MAX(0,K59-L56)</x:f>
      </x:c>
      <x:c r="M59" s="117">
        <x:f>MAX(0,L59-M56)</x:f>
      </x:c>
      <x:c r="N59" s="117">
        <x:f>MAX(0,M59-N56)</x:f>
      </x:c>
      <x:c r="O59" s="117">
        <x:f>MAX(0,N59-O56)</x:f>
      </x:c>
      <x:c r="P59" s="117">
        <x:f>MAX(0,O59-P56)</x:f>
      </x:c>
      <x:c r="Q59" s="117">
        <x:f>MAX(0,P59-Q56)</x:f>
      </x:c>
      <x:c r="R59" s="117">
        <x:f>MAX(0,Q59-R56)</x:f>
      </x:c>
      <x:c r="S59" s="117">
        <x:f>MAX(0,R59-S56)</x:f>
      </x:c>
      <x:c r="T59" s="117">
        <x:f>MAX(0,S59-T56)</x:f>
      </x:c>
      <x:c r="U59" s="117">
        <x:f>MAX(0,T59-U56)</x:f>
      </x:c>
      <x:c r="V59" s="117">
        <x:f>MAX(0,U59-V56)</x:f>
      </x:c>
      <x:c r="W59" s="117">
        <x:f>MAX(0,V59-W56)</x:f>
      </x:c>
      <x:c r="X59" s="117">
        <x:f>MAX(0,W59-X56)</x:f>
      </x:c>
      <x:c r="Y59" s="117">
        <x:f>MAX(0,X59-Y56)</x:f>
      </x:c>
      <x:c r="Z59" s="117">
        <x:f>MAX(0,Y59-Z56)</x:f>
      </x:c>
      <x:c r="AA59" s="117">
        <x:f>MAX(0,Z59-AA56)</x:f>
      </x:c>
      <x:c r="AB59" s="117">
        <x:f>MAX(0,AA59-AB56)</x:f>
      </x:c>
      <x:c r="AC59" s="117">
        <x:f>MAX(0,AB59-AC56)</x:f>
      </x:c>
      <x:c r="AD59" s="117">
        <x:f>MAX(0,AC59-AD56)</x:f>
      </x:c>
      <x:c r="AE59" s="117">
        <x:f>MAX(0,AD59-AE56)</x:f>
      </x:c>
      <x:c r="AF59" s="117">
        <x:f>MAX(0,AE59-AF56)</x:f>
      </x:c>
      <x:c r="AG59" s="117">
        <x:f>MAX(0,AF59-AG56)</x:f>
      </x:c>
      <x:c r="AH59" s="117">
        <x:f>MAX(0,AG59-AH56)</x:f>
      </x:c>
      <x:c r="AI59" s="117">
        <x:f>MAX(0,AH59-AI56)</x:f>
      </x:c>
      <x:c r="AJ59" s="117">
        <x:f>MAX(0,AI59-AJ56)</x:f>
      </x:c>
      <x:c r="AK59" s="117">
        <x:f>MAX(0,AJ59-AK56)</x:f>
      </x:c>
      <x:c r="AL59" s="117">
        <x:f>MAX(0,AK59-AL56)</x:f>
      </x:c>
      <x:c r="AM59" s="117">
        <x:f>MAX(0,AL59-AM56)</x:f>
      </x:c>
      <x:c r="AN59" s="117">
        <x:f>MAX(0,AM59-AN56)</x:f>
      </x:c>
      <x:c r="AO59" s="117">
        <x:f>MAX(0,AN59-AO56)</x:f>
      </x:c>
      <x:c r="AP59" s="117">
        <x:f>MAX(0,AO59-AP56)</x:f>
      </x:c>
      <x:c r="AQ59" s="117">
        <x:f>MAX(0,AP59-AQ56)</x:f>
      </x:c>
      <x:c r="AR59" s="117">
        <x:f>MAX(0,AQ59-AR56)</x:f>
      </x:c>
      <x:c r="AS59" s="117">
        <x:f>MAX(0,AR59-AS56)</x:f>
      </x:c>
      <x:c r="AT59" s="117">
        <x:f>MAX(0,AS59-AT56)</x:f>
      </x:c>
      <x:c r="AU59" s="117">
        <x:f>MAX(0,AT59-AU56)</x:f>
      </x:c>
      <x:c r="AV59" s="117">
        <x:f>MAX(0,AU59-AV56)</x:f>
      </x:c>
      <x:c r="AW59" s="117">
        <x:f>MAX(0,AV59-AW56)</x:f>
      </x:c>
      <x:c r="AX59" s="117">
        <x:f>MAX(0,AW59-AX56)</x:f>
      </x:c>
      <x:c r="AY59" s="117">
        <x:f>MAX(0,AX59-AY56)</x:f>
      </x:c>
      <x:c r="AZ59" s="117">
        <x:f>MAX(0,AY59-AZ56)</x:f>
      </x:c>
      <x:c r="BA59" s="117">
        <x:f>MAX(0,AZ59-BA56)</x:f>
      </x:c>
      <x:c r="BB59" s="117">
        <x:f>MAX(0,BA59-BB56)</x:f>
      </x:c>
      <x:c r="BC59" s="117">
        <x:f>MAX(0,BB59-BC56)</x:f>
      </x:c>
      <x:c r="BD59" s="117">
        <x:f>MAX(0,BC59-BD56)</x:f>
      </x:c>
      <x:c r="BE59" s="117">
        <x:f>MAX(0,BD59-BE56)</x:f>
      </x:c>
      <x:c r="BF59" s="117">
        <x:f>MAX(0,BE59-BF56)</x:f>
      </x:c>
      <x:c r="BG59" s="117">
        <x:f>MAX(0,BF59-BG56)</x:f>
      </x:c>
      <x:c r="BH59" s="117">
        <x:f>MAX(0,BG59-BH56)</x:f>
      </x:c>
      <x:c r="BI59" s="117">
        <x:f>MAX(0,BH59-BI56)</x:f>
      </x:c>
      <x:c r="BJ59" s="117">
        <x:f>MAX(0,BI59-BJ56)</x:f>
      </x:c>
      <x:c r="BK59" s="117">
        <x:f>MAX(0,BJ59-BK56)</x:f>
      </x:c>
      <x:c r="BL59" s="117">
        <x:f>MAX(0,BK59-BL56)</x:f>
      </x:c>
      <x:c r="BM59" s="117">
        <x:f>MAX(0,BL59-BM56)</x:f>
      </x:c>
      <x:c r="BN59" s="117">
        <x:f>MAX(0,BM59-BN56)</x:f>
      </x:c>
      <x:c r="BO59" s="117">
        <x:f>MAX(0,BN59-BO56)</x:f>
      </x:c>
      <x:c r="BP59" s="117">
        <x:f>MAX(0,BO59-BP56)</x:f>
      </x:c>
      <x:c r="BQ59" s="117">
        <x:f>MAX(0,BP59-BQ56)</x:f>
      </x:c>
      <x:c r="BR59" s="117">
        <x:f>MAX(0,BQ59-BR56)</x:f>
      </x:c>
      <x:c r="BS59" s="117">
        <x:f>MAX(0,BR59-BS56)</x:f>
      </x:c>
      <x:c r="BT59" s="117">
        <x:f>MAX(0,BS59-BT56)</x:f>
      </x:c>
      <x:c r="BU59" s="117">
        <x:f>MAX(0,BT59-BU56)</x:f>
      </x:c>
      <x:c r="BV59" s="117">
        <x:f>MAX(0,BU59-BV56)</x:f>
      </x:c>
      <x:c r="BW59" s="117">
        <x:f>MAX(0,BV59-BW56)</x:f>
      </x:c>
      <x:c r="BX59" s="117">
        <x:f>MAX(0,BW59-BX56)</x:f>
      </x:c>
      <x:c r="BY59" s="117">
        <x:f>MAX(0,BX59-BY56)</x:f>
      </x:c>
      <x:c r="BZ59" s="117">
        <x:f>MAX(0,BY59-BZ56)</x:f>
      </x:c>
      <x:c r="CA59" s="117">
        <x:f>MAX(0,BZ59-CA56)</x:f>
      </x:c>
      <x:c r="CB59" s="117">
        <x:f>MAX(0,CA59-CB56)</x:f>
      </x:c>
      <x:c r="CC59" s="117">
        <x:f>MAX(0,CB59-CC56)</x:f>
      </x:c>
      <x:c r="CD59" s="117">
        <x:f>MAX(0,CC59-CD56)</x:f>
      </x:c>
      <x:c r="CE59" s="117">
        <x:f>MAX(0,CD59-CE56)</x:f>
      </x:c>
      <x:c r="CF59" s="117">
        <x:f>MAX(0,CE59-CF56)</x:f>
      </x:c>
      <x:c r="CG59" s="117">
        <x:f>MAX(0,CF59-CG56)</x:f>
      </x:c>
      <x:c r="CH59" s="117">
        <x:f>MAX(0,CG59-CH56)</x:f>
      </x:c>
      <x:c r="CI59" s="117">
        <x:f>MAX(0,CH59-CI56)</x:f>
      </x:c>
      <x:c r="CJ59" s="117">
        <x:f>MAX(0,CI59-CJ56)</x:f>
      </x:c>
      <x:c r="CK59" s="117">
        <x:f>MAX(0,CJ59-CK56)</x:f>
      </x:c>
      <x:c r="CL59" s="117">
        <x:f>MAX(0,CK59-CL56)</x:f>
      </x:c>
      <x:c r="CM59" s="117">
        <x:f>MAX(0,CL59-CM56)</x:f>
      </x:c>
      <x:c r="CN59" s="117">
        <x:f>MAX(0,CM59-CN56)</x:f>
      </x:c>
      <x:c r="CO59" s="117">
        <x:f>MAX(0,CN59-CO56)</x:f>
      </x:c>
      <x:c r="CP59" s="117">
        <x:f>MAX(0,CO59-CP56)</x:f>
      </x:c>
      <x:c r="CQ59" s="117">
        <x:f>MAX(0,CP59-CQ56)</x:f>
      </x:c>
      <x:c r="CR59" s="117">
        <x:f>MAX(0,CQ59-CR56)</x:f>
      </x:c>
      <x:c r="CS59" s="117">
        <x:f>MAX(0,CR59-CS56)</x:f>
      </x:c>
      <x:c r="CT59" s="117">
        <x:f>MAX(0,CS59-CT56)</x:f>
      </x:c>
      <x:c r="CU59" s="117">
        <x:f>MAX(0,CT59-CU56)</x:f>
      </x:c>
      <x:c r="CV59" s="117">
        <x:f>MAX(0,CU59-CV56)</x:f>
      </x:c>
      <x:c r="CW59" s="117">
        <x:f>MAX(0,CV59-CW56)</x:f>
      </x:c>
      <x:c r="CX59" s="117">
        <x:f>MAX(0,CW59-CX56)</x:f>
      </x:c>
      <x:c r="CY59" s="117">
        <x:f>MAX(0,CX59-CY56)</x:f>
      </x:c>
      <x:c r="CZ59" s="117">
        <x:f>MAX(0,CY59-CZ56)</x:f>
      </x:c>
      <x:c r="DA59" s="117">
        <x:f>MAX(0,CZ59-DA56)</x:f>
      </x:c>
      <x:c r="DB59" s="117">
        <x:f>MAX(0,DA59-DB56)</x:f>
      </x:c>
      <x:c r="DC59" s="117">
        <x:f>MAX(0,DB59-DC56)</x:f>
      </x:c>
      <x:c r="DD59" s="117">
        <x:f>MAX(0,DC59-DD56)</x:f>
      </x:c>
      <x:c r="DE59" s="117">
        <x:f>MAX(0,DD59-DE56)</x:f>
      </x:c>
      <x:c r="DF59" s="117">
        <x:f>MAX(0,DE59-DF56)</x:f>
      </x:c>
      <x:c r="DG59" s="117">
        <x:f>MAX(0,DF59-DG56)</x:f>
      </x:c>
      <x:c r="DH59" s="117">
        <x:f>MAX(0,DG59-DH56)</x:f>
      </x:c>
      <x:c r="DI59" s="117">
        <x:f>MAX(0,DH59-DI56)</x:f>
      </x:c>
      <x:c r="DJ59" s="117">
        <x:f>MAX(0,DI59-DJ56)</x:f>
      </x:c>
      <x:c r="DK59" s="117">
        <x:f>MAX(0,DJ59-DK56)</x:f>
      </x:c>
      <x:c r="DL59" s="117">
        <x:f>MAX(0,DK59-DL56)</x:f>
      </x:c>
      <x:c r="DM59" s="117">
        <x:f>MAX(0,DL59-DM56)</x:f>
      </x:c>
      <x:c r="DN59" s="117">
        <x:f>MAX(0,DM59-DN56)</x:f>
      </x:c>
      <x:c r="DO59" s="117">
        <x:f>MAX(0,DN59-DO56)</x:f>
      </x:c>
      <x:c r="DP59" s="117">
        <x:f>MAX(0,DO59-DP56)</x:f>
      </x:c>
      <x:c r="DQ59" s="117">
        <x:f>MAX(0,DP59-DQ56)</x:f>
      </x:c>
      <x:c r="DR59" s="117">
        <x:f>MAX(0,DQ59-DR56)</x:f>
      </x:c>
      <x:c r="DS59" s="117">
        <x:f>MAX(0,DR59-DS56)</x:f>
      </x:c>
      <x:c r="DT59" s="117">
        <x:f>MAX(0,DS59-DT56)</x:f>
      </x:c>
      <x:c r="DU59" s="117">
        <x:f>MAX(0,DT59-DU56)</x:f>
      </x:c>
      <x:c r="DV59" s="117">
        <x:f>MAX(0,DU59-DV56)</x:f>
      </x:c>
      <x:c r="DW59" s="117">
        <x:f>MAX(0,DV59-DW56)</x:f>
      </x:c>
      <x:c r="DX59" s="117">
        <x:f>MAX(0,DW59-DX56)</x:f>
      </x:c>
      <x:c r="DY59" s="117">
        <x:f>MAX(0,DX59-DY56)</x:f>
      </x:c>
      <x:c r="DZ59" s="117">
        <x:f>MAX(0,DY59-DZ56)</x:f>
      </x:c>
      <x:c r="EA59" s="117">
        <x:f>MAX(0,DZ59-EA56)</x:f>
      </x:c>
      <x:c r="EB59" s="117">
        <x:f>MAX(0,EA59-EB56)</x:f>
      </x:c>
      <x:c r="EC59" s="117">
        <x:f>MAX(0,EB59-EC56)</x:f>
      </x:c>
      <x:c r="ED59" s="117">
        <x:f>MAX(0,EC59-ED56)</x:f>
      </x:c>
      <x:c r="EE59" s="117">
        <x:f>MAX(0,ED59-EE56)</x:f>
      </x:c>
      <x:c r="EF59" s="117">
        <x:f>MAX(0,EE59-EF56)</x:f>
      </x:c>
      <x:c r="EG59" s="117">
        <x:f>MAX(0,EF59-EG56)</x:f>
      </x:c>
      <x:c r="EH59" s="117">
        <x:f>MAX(0,EG59-EH56)</x:f>
      </x:c>
      <x:c r="EI59" s="117">
        <x:f>MAX(0,EH59-EI56)</x:f>
      </x:c>
      <x:c r="EJ59" s="117">
        <x:f>MAX(0,EI59-EJ56)</x:f>
      </x:c>
      <x:c r="EK59" s="117">
        <x:f>MAX(0,EJ59-EK56)</x:f>
      </x:c>
      <x:c r="EL59" s="117">
        <x:f>MAX(0,EK59-EL56)</x:f>
      </x:c>
      <x:c r="EM59" s="117">
        <x:f>MAX(0,EL59-EM56)</x:f>
      </x:c>
      <x:c r="EN59" s="117">
        <x:f>MAX(0,EM59-EN56)</x:f>
      </x:c>
      <x:c r="EO59" s="117">
        <x:f>MAX(0,EN59-EO56)</x:f>
      </x:c>
      <x:c r="EP59" s="117">
        <x:f>MAX(0,EO59-EP56)</x:f>
      </x:c>
      <x:c r="EQ59" s="117">
        <x:f>MAX(0,EP59-EQ56)</x:f>
      </x:c>
      <x:c r="ER59" s="117">
        <x:f>MAX(0,EQ59-ER56)</x:f>
      </x:c>
      <x:c r="ES59" s="117">
        <x:f>MAX(0,ER59-ES56)</x:f>
      </x:c>
      <x:c r="ET59" s="117">
        <x:f>MAX(0,ES59-ET56)</x:f>
      </x:c>
      <x:c r="EU59" s="117">
        <x:f>MAX(0,ET59-EU56)</x:f>
      </x:c>
      <x:c r="EV59" s="117">
        <x:f>MAX(0,EU59-EV56)</x:f>
      </x:c>
      <x:c r="EW59" s="117">
        <x:f>MAX(0,EV59-EW56)</x:f>
      </x:c>
      <x:c r="EX59" s="117">
        <x:f>MAX(0,EW59-EX56)</x:f>
      </x:c>
      <x:c r="EY59" s="117">
        <x:f>MAX(0,EX59-EY56)</x:f>
      </x:c>
      <x:c r="EZ59" s="117">
        <x:f>MAX(0,EY59-EZ56)</x:f>
      </x:c>
      <x:c r="FA59" s="117">
        <x:f>MAX(0,EZ59-FA56)</x:f>
      </x:c>
      <x:c r="FB59" s="117">
        <x:f>MAX(0,FA59-FB56)</x:f>
      </x:c>
      <x:c r="FC59" s="117">
        <x:f>MAX(0,FB59-FC56)</x:f>
      </x:c>
      <x:c r="FD59" s="117">
        <x:f>MAX(0,FC59-FD56)</x:f>
      </x:c>
      <x:c r="FE59" s="117">
        <x:f>MAX(0,FD59-FE56)</x:f>
      </x:c>
      <x:c r="FF59" s="117">
        <x:f>MAX(0,FE59-FF56)</x:f>
      </x:c>
      <x:c r="FG59" s="117">
        <x:f>MAX(0,FF59-FG56)</x:f>
      </x:c>
      <x:c r="FH59" s="117">
        <x:f>MAX(0,FG59-FH56)</x:f>
      </x:c>
      <x:c r="FI59" s="117">
        <x:f>MAX(0,FH59-FI56)</x:f>
      </x:c>
      <x:c r="FJ59" s="117">
        <x:f>MAX(0,FI59-FJ56)</x:f>
      </x:c>
      <x:c r="FK59" s="117">
        <x:f>MAX(0,FJ59-FK56)</x:f>
      </x:c>
      <x:c r="FL59" s="117">
        <x:f>MAX(0,FK59-FL56)</x:f>
      </x:c>
      <x:c r="FM59" s="117">
        <x:f>MAX(0,FL59-FM56)</x:f>
      </x:c>
      <x:c r="FN59" s="117">
        <x:f>MAX(0,FM59-FN56)</x:f>
      </x:c>
      <x:c r="FO59" s="117">
        <x:f>MAX(0,FN59-FO56)</x:f>
      </x:c>
      <x:c r="FP59" s="117">
        <x:f>MAX(0,FO59-FP56)</x:f>
      </x:c>
      <x:c r="FQ59" s="117">
        <x:f>MAX(0,FP59-FQ56)</x:f>
      </x:c>
      <x:c r="FR59" s="117">
        <x:f>MAX(0,FQ59-FR56)</x:f>
      </x:c>
      <x:c r="FS59" s="117">
        <x:f>MAX(0,FR59-FS56)</x:f>
      </x:c>
      <x:c r="FT59" s="117">
        <x:f>MAX(0,FS59-FT56)</x:f>
      </x:c>
      <x:c r="FU59" s="117">
        <x:f>MAX(0,FT59-FU56)</x:f>
      </x:c>
      <x:c r="FV59" s="117">
        <x:f>MAX(0,FU59-FV56)</x:f>
      </x:c>
      <x:c r="FW59" s="117">
        <x:f>MAX(0,FV59-FW56)</x:f>
      </x:c>
      <x:c r="FX59" s="117">
        <x:f>MAX(0,FW59-FX56)</x:f>
      </x:c>
      <x:c r="FY59" s="117">
        <x:f>MAX(0,FX59-FY56)</x:f>
      </x:c>
      <x:c r="FZ59" s="117">
        <x:f>MAX(0,FY59-FZ56)</x:f>
      </x:c>
      <x:c r="GA59" s="117">
        <x:f>MAX(0,FZ59-GA56)</x:f>
      </x:c>
    </x:row>
    <x:row r="60">
      <x:c r="A60" s="128" t="str">
        <x:v>CHECK: roll-forward БРИДЖ</x:v>
      </x:c>
      <x:c r="B60" s="128" t="n">
        <x:f>MAX(MAX(D60:GA60),-MIN(D60:GA60))</x:f>
      </x:c>
      <x:c r="C60" s="128" t="str">
        <x:v>млн ₽</x:v>
      </x:c>
      <x:c r="D60" s="118">
        <x:f>D36-(D30+D34-D35)</x:f>
      </x:c>
      <x:c r="E60" s="118">
        <x:f>E36-(E30+E34-E35)</x:f>
      </x:c>
      <x:c r="F60" s="118">
        <x:f>F36-(F30+F34-F35)</x:f>
      </x:c>
      <x:c r="G60" s="118">
        <x:f>G36-(G30+G34-G35)</x:f>
      </x:c>
      <x:c r="H60" s="118">
        <x:f>H36-(H30+H34-H35)</x:f>
      </x:c>
      <x:c r="I60" s="118">
        <x:f>I36-(I30+I34-I35)</x:f>
      </x:c>
      <x:c r="J60" s="118">
        <x:f>J36-(J30+J34-J35)</x:f>
      </x:c>
      <x:c r="K60" s="118">
        <x:f>K36-(K30+K34-K35)</x:f>
      </x:c>
      <x:c r="L60" s="118">
        <x:f>L36-(L30+L34-L35)</x:f>
      </x:c>
      <x:c r="M60" s="118">
        <x:f>M36-(M30+M34-M35)</x:f>
      </x:c>
      <x:c r="N60" s="118">
        <x:f>N36-(N30+N34-N35)</x:f>
      </x:c>
      <x:c r="O60" s="118">
        <x:f>O36-(O30+O34-O35)</x:f>
      </x:c>
      <x:c r="P60" s="118">
        <x:f>P36-(P30+P34-P35)</x:f>
      </x:c>
      <x:c r="Q60" s="118">
        <x:f>Q36-(Q30+Q34-Q35)</x:f>
      </x:c>
      <x:c r="R60" s="118">
        <x:f>R36-(R30+R34-R35)</x:f>
      </x:c>
      <x:c r="S60" s="118">
        <x:f>S36-(S30+S34-S35)</x:f>
      </x:c>
      <x:c r="T60" s="118">
        <x:f>T36-(T30+T34-T35)</x:f>
      </x:c>
      <x:c r="U60" s="118">
        <x:f>U36-(U30+U34-U35)</x:f>
      </x:c>
      <x:c r="V60" s="118">
        <x:f>V36-(V30+V34-V35)</x:f>
      </x:c>
      <x:c r="W60" s="118">
        <x:f>W36-(W30+W34-W35)</x:f>
      </x:c>
      <x:c r="X60" s="118">
        <x:f>X36-(X30+X34-X35)</x:f>
      </x:c>
      <x:c r="Y60" s="118">
        <x:f>Y36-(Y30+Y34-Y35)</x:f>
      </x:c>
      <x:c r="Z60" s="118">
        <x:f>Z36-(Z30+Z34-Z35)</x:f>
      </x:c>
      <x:c r="AA60" s="118">
        <x:f>AA36-(AA30+AA34-AA35)</x:f>
      </x:c>
      <x:c r="AB60" s="118">
        <x:f>AB36-(AB30+AB34-AB35)</x:f>
      </x:c>
      <x:c r="AC60" s="118">
        <x:f>AC36-(AC30+AC34-AC35)</x:f>
      </x:c>
      <x:c r="AD60" s="118">
        <x:f>AD36-(AD30+AD34-AD35)</x:f>
      </x:c>
      <x:c r="AE60" s="118">
        <x:f>AE36-(AE30+AE34-AE35)</x:f>
      </x:c>
      <x:c r="AF60" s="118">
        <x:f>AF36-(AF30+AF34-AF35)</x:f>
      </x:c>
      <x:c r="AG60" s="118">
        <x:f>AG36-(AG30+AG34-AG35)</x:f>
      </x:c>
      <x:c r="AH60" s="118">
        <x:f>AH36-(AH30+AH34-AH35)</x:f>
      </x:c>
      <x:c r="AI60" s="118">
        <x:f>AI36-(AI30+AI34-AI35)</x:f>
      </x:c>
      <x:c r="AJ60" s="118">
        <x:f>AJ36-(AJ30+AJ34-AJ35)</x:f>
      </x:c>
      <x:c r="AK60" s="118">
        <x:f>AK36-(AK30+AK34-AK35)</x:f>
      </x:c>
      <x:c r="AL60" s="118">
        <x:f>AL36-(AL30+AL34-AL35)</x:f>
      </x:c>
      <x:c r="AM60" s="118">
        <x:f>AM36-(AM30+AM34-AM35)</x:f>
      </x:c>
      <x:c r="AN60" s="118">
        <x:f>AN36-(AN30+AN34-AN35)</x:f>
      </x:c>
      <x:c r="AO60" s="118">
        <x:f>AO36-(AO30+AO34-AO35)</x:f>
      </x:c>
      <x:c r="AP60" s="118">
        <x:f>AP36-(AP30+AP34-AP35)</x:f>
      </x:c>
      <x:c r="AQ60" s="118">
        <x:f>AQ36-(AQ30+AQ34-AQ35)</x:f>
      </x:c>
      <x:c r="AR60" s="118">
        <x:f>AR36-(AR30+AR34-AR35)</x:f>
      </x:c>
      <x:c r="AS60" s="118">
        <x:f>AS36-(AS30+AS34-AS35)</x:f>
      </x:c>
      <x:c r="AT60" s="118">
        <x:f>AT36-(AT30+AT34-AT35)</x:f>
      </x:c>
      <x:c r="AU60" s="118">
        <x:f>AU36-(AU30+AU34-AU35)</x:f>
      </x:c>
      <x:c r="AV60" s="118">
        <x:f>AV36-(AV30+AV34-AV35)</x:f>
      </x:c>
      <x:c r="AW60" s="118">
        <x:f>AW36-(AW30+AW34-AW35)</x:f>
      </x:c>
      <x:c r="AX60" s="118">
        <x:f>AX36-(AX30+AX34-AX35)</x:f>
      </x:c>
      <x:c r="AY60" s="118">
        <x:f>AY36-(AY30+AY34-AY35)</x:f>
      </x:c>
      <x:c r="AZ60" s="118">
        <x:f>AZ36-(AZ30+AZ34-AZ35)</x:f>
      </x:c>
      <x:c r="BA60" s="118">
        <x:f>BA36-(BA30+BA34-BA35)</x:f>
      </x:c>
      <x:c r="BB60" s="118">
        <x:f>BB36-(BB30+BB34-BB35)</x:f>
      </x:c>
      <x:c r="BC60" s="118">
        <x:f>BC36-(BC30+BC34-BC35)</x:f>
      </x:c>
      <x:c r="BD60" s="118">
        <x:f>BD36-(BD30+BD34-BD35)</x:f>
      </x:c>
      <x:c r="BE60" s="118">
        <x:f>BE36-(BE30+BE34-BE35)</x:f>
      </x:c>
      <x:c r="BF60" s="118">
        <x:f>BF36-(BF30+BF34-BF35)</x:f>
      </x:c>
      <x:c r="BG60" s="118">
        <x:f>BG36-(BG30+BG34-BG35)</x:f>
      </x:c>
      <x:c r="BH60" s="118">
        <x:f>BH36-(BH30+BH34-BH35)</x:f>
      </x:c>
      <x:c r="BI60" s="118">
        <x:f>BI36-(BI30+BI34-BI35)</x:f>
      </x:c>
      <x:c r="BJ60" s="118">
        <x:f>BJ36-(BJ30+BJ34-BJ35)</x:f>
      </x:c>
      <x:c r="BK60" s="118">
        <x:f>BK36-(BK30+BK34-BK35)</x:f>
      </x:c>
      <x:c r="BL60" s="118">
        <x:f>BL36-(BL30+BL34-BL35)</x:f>
      </x:c>
      <x:c r="BM60" s="118">
        <x:f>BM36-(BM30+BM34-BM35)</x:f>
      </x:c>
      <x:c r="BN60" s="118">
        <x:f>BN36-(BN30+BN34-BN35)</x:f>
      </x:c>
      <x:c r="BO60" s="118">
        <x:f>BO36-(BO30+BO34-BO35)</x:f>
      </x:c>
      <x:c r="BP60" s="118">
        <x:f>BP36-(BP30+BP34-BP35)</x:f>
      </x:c>
      <x:c r="BQ60" s="118">
        <x:f>BQ36-(BQ30+BQ34-BQ35)</x:f>
      </x:c>
      <x:c r="BR60" s="118">
        <x:f>BR36-(BR30+BR34-BR35)</x:f>
      </x:c>
      <x:c r="BS60" s="118">
        <x:f>BS36-(BS30+BS34-BS35)</x:f>
      </x:c>
      <x:c r="BT60" s="118">
        <x:f>BT36-(BT30+BT34-BT35)</x:f>
      </x:c>
      <x:c r="BU60" s="118">
        <x:f>BU36-(BU30+BU34-BU35)</x:f>
      </x:c>
      <x:c r="BV60" s="118">
        <x:f>BV36-(BV30+BV34-BV35)</x:f>
      </x:c>
      <x:c r="BW60" s="118">
        <x:f>BW36-(BW30+BW34-BW35)</x:f>
      </x:c>
      <x:c r="BX60" s="118">
        <x:f>BX36-(BX30+BX34-BX35)</x:f>
      </x:c>
      <x:c r="BY60" s="118">
        <x:f>BY36-(BY30+BY34-BY35)</x:f>
      </x:c>
      <x:c r="BZ60" s="118">
        <x:f>BZ36-(BZ30+BZ34-BZ35)</x:f>
      </x:c>
      <x:c r="CA60" s="118">
        <x:f>CA36-(CA30+CA34-CA35)</x:f>
      </x:c>
      <x:c r="CB60" s="118">
        <x:f>CB36-(CB30+CB34-CB35)</x:f>
      </x:c>
      <x:c r="CC60" s="118">
        <x:f>CC36-(CC30+CC34-CC35)</x:f>
      </x:c>
      <x:c r="CD60" s="118">
        <x:f>CD36-(CD30+CD34-CD35)</x:f>
      </x:c>
      <x:c r="CE60" s="118">
        <x:f>CE36-(CE30+CE34-CE35)</x:f>
      </x:c>
      <x:c r="CF60" s="118">
        <x:f>CF36-(CF30+CF34-CF35)</x:f>
      </x:c>
      <x:c r="CG60" s="118">
        <x:f>CG36-(CG30+CG34-CG35)</x:f>
      </x:c>
      <x:c r="CH60" s="118">
        <x:f>CH36-(CH30+CH34-CH35)</x:f>
      </x:c>
      <x:c r="CI60" s="118">
        <x:f>CI36-(CI30+CI34-CI35)</x:f>
      </x:c>
      <x:c r="CJ60" s="118">
        <x:f>CJ36-(CJ30+CJ34-CJ35)</x:f>
      </x:c>
      <x:c r="CK60" s="118">
        <x:f>CK36-(CK30+CK34-CK35)</x:f>
      </x:c>
      <x:c r="CL60" s="118">
        <x:f>CL36-(CL30+CL34-CL35)</x:f>
      </x:c>
      <x:c r="CM60" s="118">
        <x:f>CM36-(CM30+CM34-CM35)</x:f>
      </x:c>
      <x:c r="CN60" s="118">
        <x:f>CN36-(CN30+CN34-CN35)</x:f>
      </x:c>
      <x:c r="CO60" s="118">
        <x:f>CO36-(CO30+CO34-CO35)</x:f>
      </x:c>
      <x:c r="CP60" s="118">
        <x:f>CP36-(CP30+CP34-CP35)</x:f>
      </x:c>
      <x:c r="CQ60" s="118">
        <x:f>CQ36-(CQ30+CQ34-CQ35)</x:f>
      </x:c>
      <x:c r="CR60" s="118">
        <x:f>CR36-(CR30+CR34-CR35)</x:f>
      </x:c>
      <x:c r="CS60" s="118">
        <x:f>CS36-(CS30+CS34-CS35)</x:f>
      </x:c>
      <x:c r="CT60" s="118">
        <x:f>CT36-(CT30+CT34-CT35)</x:f>
      </x:c>
      <x:c r="CU60" s="118">
        <x:f>CU36-(CU30+CU34-CU35)</x:f>
      </x:c>
      <x:c r="CV60" s="118">
        <x:f>CV36-(CV30+CV34-CV35)</x:f>
      </x:c>
      <x:c r="CW60" s="118">
        <x:f>CW36-(CW30+CW34-CW35)</x:f>
      </x:c>
      <x:c r="CX60" s="118">
        <x:f>CX36-(CX30+CX34-CX35)</x:f>
      </x:c>
      <x:c r="CY60" s="118">
        <x:f>CY36-(CY30+CY34-CY35)</x:f>
      </x:c>
      <x:c r="CZ60" s="118">
        <x:f>CZ36-(CZ30+CZ34-CZ35)</x:f>
      </x:c>
      <x:c r="DA60" s="118">
        <x:f>DA36-(DA30+DA34-DA35)</x:f>
      </x:c>
      <x:c r="DB60" s="118">
        <x:f>DB36-(DB30+DB34-DB35)</x:f>
      </x:c>
      <x:c r="DC60" s="118">
        <x:f>DC36-(DC30+DC34-DC35)</x:f>
      </x:c>
      <x:c r="DD60" s="118">
        <x:f>DD36-(DD30+DD34-DD35)</x:f>
      </x:c>
      <x:c r="DE60" s="118">
        <x:f>DE36-(DE30+DE34-DE35)</x:f>
      </x:c>
      <x:c r="DF60" s="118">
        <x:f>DF36-(DF30+DF34-DF35)</x:f>
      </x:c>
      <x:c r="DG60" s="118">
        <x:f>DG36-(DG30+DG34-DG35)</x:f>
      </x:c>
      <x:c r="DH60" s="118">
        <x:f>DH36-(DH30+DH34-DH35)</x:f>
      </x:c>
      <x:c r="DI60" s="118">
        <x:f>DI36-(DI30+DI34-DI35)</x:f>
      </x:c>
      <x:c r="DJ60" s="118">
        <x:f>DJ36-(DJ30+DJ34-DJ35)</x:f>
      </x:c>
      <x:c r="DK60" s="118">
        <x:f>DK36-(DK30+DK34-DK35)</x:f>
      </x:c>
      <x:c r="DL60" s="118">
        <x:f>DL36-(DL30+DL34-DL35)</x:f>
      </x:c>
      <x:c r="DM60" s="118">
        <x:f>DM36-(DM30+DM34-DM35)</x:f>
      </x:c>
      <x:c r="DN60" s="118">
        <x:f>DN36-(DN30+DN34-DN35)</x:f>
      </x:c>
      <x:c r="DO60" s="118">
        <x:f>DO36-(DO30+DO34-DO35)</x:f>
      </x:c>
      <x:c r="DP60" s="118">
        <x:f>DP36-(DP30+DP34-DP35)</x:f>
      </x:c>
      <x:c r="DQ60" s="118">
        <x:f>DQ36-(DQ30+DQ34-DQ35)</x:f>
      </x:c>
      <x:c r="DR60" s="118">
        <x:f>DR36-(DR30+DR34-DR35)</x:f>
      </x:c>
      <x:c r="DS60" s="118">
        <x:f>DS36-(DS30+DS34-DS35)</x:f>
      </x:c>
      <x:c r="DT60" s="118">
        <x:f>DT36-(DT30+DT34-DT35)</x:f>
      </x:c>
      <x:c r="DU60" s="118">
        <x:f>DU36-(DU30+DU34-DU35)</x:f>
      </x:c>
      <x:c r="DV60" s="118">
        <x:f>DV36-(DV30+DV34-DV35)</x:f>
      </x:c>
      <x:c r="DW60" s="118">
        <x:f>DW36-(DW30+DW34-DW35)</x:f>
      </x:c>
      <x:c r="DX60" s="118">
        <x:f>DX36-(DX30+DX34-DX35)</x:f>
      </x:c>
      <x:c r="DY60" s="118">
        <x:f>DY36-(DY30+DY34-DY35)</x:f>
      </x:c>
      <x:c r="DZ60" s="118">
        <x:f>DZ36-(DZ30+DZ34-DZ35)</x:f>
      </x:c>
      <x:c r="EA60" s="118">
        <x:f>EA36-(EA30+EA34-EA35)</x:f>
      </x:c>
      <x:c r="EB60" s="118">
        <x:f>EB36-(EB30+EB34-EB35)</x:f>
      </x:c>
      <x:c r="EC60" s="118">
        <x:f>EC36-(EC30+EC34-EC35)</x:f>
      </x:c>
      <x:c r="ED60" s="118">
        <x:f>ED36-(ED30+ED34-ED35)</x:f>
      </x:c>
      <x:c r="EE60" s="118">
        <x:f>EE36-(EE30+EE34-EE35)</x:f>
      </x:c>
      <x:c r="EF60" s="118">
        <x:f>EF36-(EF30+EF34-EF35)</x:f>
      </x:c>
      <x:c r="EG60" s="118">
        <x:f>EG36-(EG30+EG34-EG35)</x:f>
      </x:c>
      <x:c r="EH60" s="118">
        <x:f>EH36-(EH30+EH34-EH35)</x:f>
      </x:c>
      <x:c r="EI60" s="118">
        <x:f>EI36-(EI30+EI34-EI35)</x:f>
      </x:c>
      <x:c r="EJ60" s="118">
        <x:f>EJ36-(EJ30+EJ34-EJ35)</x:f>
      </x:c>
      <x:c r="EK60" s="118">
        <x:f>EK36-(EK30+EK34-EK35)</x:f>
      </x:c>
      <x:c r="EL60" s="118">
        <x:f>EL36-(EL30+EL34-EL35)</x:f>
      </x:c>
      <x:c r="EM60" s="118">
        <x:f>EM36-(EM30+EM34-EM35)</x:f>
      </x:c>
      <x:c r="EN60" s="118">
        <x:f>EN36-(EN30+EN34-EN35)</x:f>
      </x:c>
      <x:c r="EO60" s="118">
        <x:f>EO36-(EO30+EO34-EO35)</x:f>
      </x:c>
      <x:c r="EP60" s="118">
        <x:f>EP36-(EP30+EP34-EP35)</x:f>
      </x:c>
      <x:c r="EQ60" s="118">
        <x:f>EQ36-(EQ30+EQ34-EQ35)</x:f>
      </x:c>
      <x:c r="ER60" s="118">
        <x:f>ER36-(ER30+ER34-ER35)</x:f>
      </x:c>
      <x:c r="ES60" s="118">
        <x:f>ES36-(ES30+ES34-ES35)</x:f>
      </x:c>
      <x:c r="ET60" s="118">
        <x:f>ET36-(ET30+ET34-ET35)</x:f>
      </x:c>
      <x:c r="EU60" s="118">
        <x:f>EU36-(EU30+EU34-EU35)</x:f>
      </x:c>
      <x:c r="EV60" s="118">
        <x:f>EV36-(EV30+EV34-EV35)</x:f>
      </x:c>
      <x:c r="EW60" s="118">
        <x:f>EW36-(EW30+EW34-EW35)</x:f>
      </x:c>
      <x:c r="EX60" s="118">
        <x:f>EX36-(EX30+EX34-EX35)</x:f>
      </x:c>
      <x:c r="EY60" s="118">
        <x:f>EY36-(EY30+EY34-EY35)</x:f>
      </x:c>
      <x:c r="EZ60" s="118">
        <x:f>EZ36-(EZ30+EZ34-EZ35)</x:f>
      </x:c>
      <x:c r="FA60" s="118">
        <x:f>FA36-(FA30+FA34-FA35)</x:f>
      </x:c>
      <x:c r="FB60" s="118">
        <x:f>FB36-(FB30+FB34-FB35)</x:f>
      </x:c>
      <x:c r="FC60" s="118">
        <x:f>FC36-(FC30+FC34-FC35)</x:f>
      </x:c>
      <x:c r="FD60" s="118">
        <x:f>FD36-(FD30+FD34-FD35)</x:f>
      </x:c>
      <x:c r="FE60" s="118">
        <x:f>FE36-(FE30+FE34-FE35)</x:f>
      </x:c>
      <x:c r="FF60" s="118">
        <x:f>FF36-(FF30+FF34-FF35)</x:f>
      </x:c>
      <x:c r="FG60" s="118">
        <x:f>FG36-(FG30+FG34-FG35)</x:f>
      </x:c>
      <x:c r="FH60" s="118">
        <x:f>FH36-(FH30+FH34-FH35)</x:f>
      </x:c>
      <x:c r="FI60" s="118">
        <x:f>FI36-(FI30+FI34-FI35)</x:f>
      </x:c>
      <x:c r="FJ60" s="118">
        <x:f>FJ36-(FJ30+FJ34-FJ35)</x:f>
      </x:c>
      <x:c r="FK60" s="118">
        <x:f>FK36-(FK30+FK34-FK35)</x:f>
      </x:c>
      <x:c r="FL60" s="118">
        <x:f>FL36-(FL30+FL34-FL35)</x:f>
      </x:c>
      <x:c r="FM60" s="118">
        <x:f>FM36-(FM30+FM34-FM35)</x:f>
      </x:c>
      <x:c r="FN60" s="118">
        <x:f>FN36-(FN30+FN34-FN35)</x:f>
      </x:c>
      <x:c r="FO60" s="118">
        <x:f>FO36-(FO30+FO34-FO35)</x:f>
      </x:c>
      <x:c r="FP60" s="118">
        <x:f>FP36-(FP30+FP34-FP35)</x:f>
      </x:c>
      <x:c r="FQ60" s="118">
        <x:f>FQ36-(FQ30+FQ34-FQ35)</x:f>
      </x:c>
      <x:c r="FR60" s="118">
        <x:f>FR36-(FR30+FR34-FR35)</x:f>
      </x:c>
      <x:c r="FS60" s="118">
        <x:f>FS36-(FS30+FS34-FS35)</x:f>
      </x:c>
      <x:c r="FT60" s="118">
        <x:f>FT36-(FT30+FT34-FT35)</x:f>
      </x:c>
      <x:c r="FU60" s="118">
        <x:f>FU36-(FU30+FU34-FU35)</x:f>
      </x:c>
      <x:c r="FV60" s="118">
        <x:f>FV36-(FV30+FV34-FV35)</x:f>
      </x:c>
      <x:c r="FW60" s="118">
        <x:f>FW36-(FW30+FW34-FW35)</x:f>
      </x:c>
      <x:c r="FX60" s="118">
        <x:f>FX36-(FX30+FX34-FX35)</x:f>
      </x:c>
      <x:c r="FY60" s="118">
        <x:f>FY36-(FY30+FY34-FY35)</x:f>
      </x:c>
      <x:c r="FZ60" s="118">
        <x:f>FZ36-(FZ30+FZ34-FZ35)</x:f>
      </x:c>
      <x:c r="GA60" s="118">
        <x:f>GA36-(GA30+GA34-GA35)</x:f>
      </x:c>
    </x:row>
    <x:row r="61">
      <x:c r="A61" s="128" t="str">
        <x:v>CHECK: roll-forward ПФ</x:v>
      </x:c>
      <x:c r="B61" s="128" t="n">
        <x:f>MAX(MAX(D61:GA61),-MIN(D61:GA61))</x:f>
      </x:c>
      <x:c r="C61" s="128" t="str">
        <x:v>млн ₽</x:v>
      </x:c>
      <x:c r="D61" s="118">
        <x:f>D47-(D38+D45-D46)</x:f>
      </x:c>
      <x:c r="E61" s="118">
        <x:f>E47-(E38+E45-E46)</x:f>
      </x:c>
      <x:c r="F61" s="118">
        <x:f>F47-(F38+F45-F46)</x:f>
      </x:c>
      <x:c r="G61" s="118">
        <x:f>G47-(G38+G45-G46)</x:f>
      </x:c>
      <x:c r="H61" s="118">
        <x:f>H47-(H38+H45-H46)</x:f>
      </x:c>
      <x:c r="I61" s="118">
        <x:f>I47-(I38+I45-I46)</x:f>
      </x:c>
      <x:c r="J61" s="118">
        <x:f>J47-(J38+J45-J46)</x:f>
      </x:c>
      <x:c r="K61" s="118">
        <x:f>K47-(K38+K45-K46)</x:f>
      </x:c>
      <x:c r="L61" s="118">
        <x:f>L47-(L38+L45-L46)</x:f>
      </x:c>
      <x:c r="M61" s="118">
        <x:f>M47-(M38+M45-M46)</x:f>
      </x:c>
      <x:c r="N61" s="118">
        <x:f>N47-(N38+N45-N46)</x:f>
      </x:c>
      <x:c r="O61" s="118">
        <x:f>O47-(O38+O45-O46)</x:f>
      </x:c>
      <x:c r="P61" s="118">
        <x:f>P47-(P38+P45-P46)</x:f>
      </x:c>
      <x:c r="Q61" s="118">
        <x:f>Q47-(Q38+Q45-Q46)</x:f>
      </x:c>
      <x:c r="R61" s="118">
        <x:f>R47-(R38+R45-R46)</x:f>
      </x:c>
      <x:c r="S61" s="118">
        <x:f>S47-(S38+S45-S46)</x:f>
      </x:c>
      <x:c r="T61" s="118">
        <x:f>T47-(T38+T45-T46)</x:f>
      </x:c>
      <x:c r="U61" s="118">
        <x:f>U47-(U38+U45-U46)</x:f>
      </x:c>
      <x:c r="V61" s="118">
        <x:f>V47-(V38+V45-V46)</x:f>
      </x:c>
      <x:c r="W61" s="118">
        <x:f>W47-(W38+W45-W46)</x:f>
      </x:c>
      <x:c r="X61" s="118">
        <x:f>X47-(X38+X45-X46)</x:f>
      </x:c>
      <x:c r="Y61" s="118">
        <x:f>Y47-(Y38+Y45-Y46)</x:f>
      </x:c>
      <x:c r="Z61" s="118">
        <x:f>Z47-(Z38+Z45-Z46)</x:f>
      </x:c>
      <x:c r="AA61" s="118">
        <x:f>AA47-(AA38+AA45-AA46)</x:f>
      </x:c>
      <x:c r="AB61" s="118">
        <x:f>AB47-(AB38+AB45-AB46)</x:f>
      </x:c>
      <x:c r="AC61" s="118">
        <x:f>AC47-(AC38+AC45-AC46)</x:f>
      </x:c>
      <x:c r="AD61" s="118">
        <x:f>AD47-(AD38+AD45-AD46)</x:f>
      </x:c>
      <x:c r="AE61" s="118">
        <x:f>AE47-(AE38+AE45-AE46)</x:f>
      </x:c>
      <x:c r="AF61" s="118">
        <x:f>AF47-(AF38+AF45-AF46)</x:f>
      </x:c>
      <x:c r="AG61" s="118">
        <x:f>AG47-(AG38+AG45-AG46)</x:f>
      </x:c>
      <x:c r="AH61" s="118">
        <x:f>AH47-(AH38+AH45-AH46)</x:f>
      </x:c>
      <x:c r="AI61" s="118">
        <x:f>AI47-(AI38+AI45-AI46)</x:f>
      </x:c>
      <x:c r="AJ61" s="118">
        <x:f>AJ47-(AJ38+AJ45-AJ46)</x:f>
      </x:c>
      <x:c r="AK61" s="118">
        <x:f>AK47-(AK38+AK45-AK46)</x:f>
      </x:c>
      <x:c r="AL61" s="118">
        <x:f>AL47-(AL38+AL45-AL46)</x:f>
      </x:c>
      <x:c r="AM61" s="118">
        <x:f>AM47-(AM38+AM45-AM46)</x:f>
      </x:c>
      <x:c r="AN61" s="118">
        <x:f>AN47-(AN38+AN45-AN46)</x:f>
      </x:c>
      <x:c r="AO61" s="118">
        <x:f>AO47-(AO38+AO45-AO46)</x:f>
      </x:c>
      <x:c r="AP61" s="118">
        <x:f>AP47-(AP38+AP45-AP46)</x:f>
      </x:c>
      <x:c r="AQ61" s="118">
        <x:f>AQ47-(AQ38+AQ45-AQ46)</x:f>
      </x:c>
      <x:c r="AR61" s="118">
        <x:f>AR47-(AR38+AR45-AR46)</x:f>
      </x:c>
      <x:c r="AS61" s="118">
        <x:f>AS47-(AS38+AS45-AS46)</x:f>
      </x:c>
      <x:c r="AT61" s="118">
        <x:f>AT47-(AT38+AT45-AT46)</x:f>
      </x:c>
      <x:c r="AU61" s="118">
        <x:f>AU47-(AU38+AU45-AU46)</x:f>
      </x:c>
      <x:c r="AV61" s="118">
        <x:f>AV47-(AV38+AV45-AV46)</x:f>
      </x:c>
      <x:c r="AW61" s="118">
        <x:f>AW47-(AW38+AW45-AW46)</x:f>
      </x:c>
      <x:c r="AX61" s="118">
        <x:f>AX47-(AX38+AX45-AX46)</x:f>
      </x:c>
      <x:c r="AY61" s="118">
        <x:f>AY47-(AY38+AY45-AY46)</x:f>
      </x:c>
      <x:c r="AZ61" s="118">
        <x:f>AZ47-(AZ38+AZ45-AZ46)</x:f>
      </x:c>
      <x:c r="BA61" s="118">
        <x:f>BA47-(BA38+BA45-BA46)</x:f>
      </x:c>
      <x:c r="BB61" s="118">
        <x:f>BB47-(BB38+BB45-BB46)</x:f>
      </x:c>
      <x:c r="BC61" s="118">
        <x:f>BC47-(BC38+BC45-BC46)</x:f>
      </x:c>
      <x:c r="BD61" s="118">
        <x:f>BD47-(BD38+BD45-BD46)</x:f>
      </x:c>
      <x:c r="BE61" s="118">
        <x:f>BE47-(BE38+BE45-BE46)</x:f>
      </x:c>
      <x:c r="BF61" s="118">
        <x:f>BF47-(BF38+BF45-BF46)</x:f>
      </x:c>
      <x:c r="BG61" s="118">
        <x:f>BG47-(BG38+BG45-BG46)</x:f>
      </x:c>
      <x:c r="BH61" s="118">
        <x:f>BH47-(BH38+BH45-BH46)</x:f>
      </x:c>
      <x:c r="BI61" s="118">
        <x:f>BI47-(BI38+BI45-BI46)</x:f>
      </x:c>
      <x:c r="BJ61" s="118">
        <x:f>BJ47-(BJ38+BJ45-BJ46)</x:f>
      </x:c>
      <x:c r="BK61" s="118">
        <x:f>BK47-(BK38+BK45-BK46)</x:f>
      </x:c>
      <x:c r="BL61" s="118">
        <x:f>BL47-(BL38+BL45-BL46)</x:f>
      </x:c>
      <x:c r="BM61" s="118">
        <x:f>BM47-(BM38+BM45-BM46)</x:f>
      </x:c>
      <x:c r="BN61" s="118">
        <x:f>BN47-(BN38+BN45-BN46)</x:f>
      </x:c>
      <x:c r="BO61" s="118">
        <x:f>BO47-(BO38+BO45-BO46)</x:f>
      </x:c>
      <x:c r="BP61" s="118">
        <x:f>BP47-(BP38+BP45-BP46)</x:f>
      </x:c>
      <x:c r="BQ61" s="118">
        <x:f>BQ47-(BQ38+BQ45-BQ46)</x:f>
      </x:c>
      <x:c r="BR61" s="118">
        <x:f>BR47-(BR38+BR45-BR46)</x:f>
      </x:c>
      <x:c r="BS61" s="118">
        <x:f>BS47-(BS38+BS45-BS46)</x:f>
      </x:c>
      <x:c r="BT61" s="118">
        <x:f>BT47-(BT38+BT45-BT46)</x:f>
      </x:c>
      <x:c r="BU61" s="118">
        <x:f>BU47-(BU38+BU45-BU46)</x:f>
      </x:c>
      <x:c r="BV61" s="118">
        <x:f>BV47-(BV38+BV45-BV46)</x:f>
      </x:c>
      <x:c r="BW61" s="118">
        <x:f>BW47-(BW38+BW45-BW46)</x:f>
      </x:c>
      <x:c r="BX61" s="118">
        <x:f>BX47-(BX38+BX45-BX46)</x:f>
      </x:c>
      <x:c r="BY61" s="118">
        <x:f>BY47-(BY38+BY45-BY46)</x:f>
      </x:c>
      <x:c r="BZ61" s="118">
        <x:f>BZ47-(BZ38+BZ45-BZ46)</x:f>
      </x:c>
      <x:c r="CA61" s="118">
        <x:f>CA47-(CA38+CA45-CA46)</x:f>
      </x:c>
      <x:c r="CB61" s="118">
        <x:f>CB47-(CB38+CB45-CB46)</x:f>
      </x:c>
      <x:c r="CC61" s="118">
        <x:f>CC47-(CC38+CC45-CC46)</x:f>
      </x:c>
      <x:c r="CD61" s="118">
        <x:f>CD47-(CD38+CD45-CD46)</x:f>
      </x:c>
      <x:c r="CE61" s="118">
        <x:f>CE47-(CE38+CE45-CE46)</x:f>
      </x:c>
      <x:c r="CF61" s="118">
        <x:f>CF47-(CF38+CF45-CF46)</x:f>
      </x:c>
      <x:c r="CG61" s="118">
        <x:f>CG47-(CG38+CG45-CG46)</x:f>
      </x:c>
      <x:c r="CH61" s="118">
        <x:f>CH47-(CH38+CH45-CH46)</x:f>
      </x:c>
      <x:c r="CI61" s="118">
        <x:f>CI47-(CI38+CI45-CI46)</x:f>
      </x:c>
      <x:c r="CJ61" s="118">
        <x:f>CJ47-(CJ38+CJ45-CJ46)</x:f>
      </x:c>
      <x:c r="CK61" s="118">
        <x:f>CK47-(CK38+CK45-CK46)</x:f>
      </x:c>
      <x:c r="CL61" s="118">
        <x:f>CL47-(CL38+CL45-CL46)</x:f>
      </x:c>
      <x:c r="CM61" s="118">
        <x:f>CM47-(CM38+CM45-CM46)</x:f>
      </x:c>
      <x:c r="CN61" s="118">
        <x:f>CN47-(CN38+CN45-CN46)</x:f>
      </x:c>
      <x:c r="CO61" s="118">
        <x:f>CO47-(CO38+CO45-CO46)</x:f>
      </x:c>
      <x:c r="CP61" s="118">
        <x:f>CP47-(CP38+CP45-CP46)</x:f>
      </x:c>
      <x:c r="CQ61" s="118">
        <x:f>CQ47-(CQ38+CQ45-CQ46)</x:f>
      </x:c>
      <x:c r="CR61" s="118">
        <x:f>CR47-(CR38+CR45-CR46)</x:f>
      </x:c>
      <x:c r="CS61" s="118">
        <x:f>CS47-(CS38+CS45-CS46)</x:f>
      </x:c>
      <x:c r="CT61" s="118">
        <x:f>CT47-(CT38+CT45-CT46)</x:f>
      </x:c>
      <x:c r="CU61" s="118">
        <x:f>CU47-(CU38+CU45-CU46)</x:f>
      </x:c>
      <x:c r="CV61" s="118">
        <x:f>CV47-(CV38+CV45-CV46)</x:f>
      </x:c>
      <x:c r="CW61" s="118">
        <x:f>CW47-(CW38+CW45-CW46)</x:f>
      </x:c>
      <x:c r="CX61" s="118">
        <x:f>CX47-(CX38+CX45-CX46)</x:f>
      </x:c>
      <x:c r="CY61" s="118">
        <x:f>CY47-(CY38+CY45-CY46)</x:f>
      </x:c>
      <x:c r="CZ61" s="118">
        <x:f>CZ47-(CZ38+CZ45-CZ46)</x:f>
      </x:c>
      <x:c r="DA61" s="118">
        <x:f>DA47-(DA38+DA45-DA46)</x:f>
      </x:c>
      <x:c r="DB61" s="118">
        <x:f>DB47-(DB38+DB45-DB46)</x:f>
      </x:c>
      <x:c r="DC61" s="118">
        <x:f>DC47-(DC38+DC45-DC46)</x:f>
      </x:c>
      <x:c r="DD61" s="118">
        <x:f>DD47-(DD38+DD45-DD46)</x:f>
      </x:c>
      <x:c r="DE61" s="118">
        <x:f>DE47-(DE38+DE45-DE46)</x:f>
      </x:c>
      <x:c r="DF61" s="118">
        <x:f>DF47-(DF38+DF45-DF46)</x:f>
      </x:c>
      <x:c r="DG61" s="118">
        <x:f>DG47-(DG38+DG45-DG46)</x:f>
      </x:c>
      <x:c r="DH61" s="118">
        <x:f>DH47-(DH38+DH45-DH46)</x:f>
      </x:c>
      <x:c r="DI61" s="118">
        <x:f>DI47-(DI38+DI45-DI46)</x:f>
      </x:c>
      <x:c r="DJ61" s="118">
        <x:f>DJ47-(DJ38+DJ45-DJ46)</x:f>
      </x:c>
      <x:c r="DK61" s="118">
        <x:f>DK47-(DK38+DK45-DK46)</x:f>
      </x:c>
      <x:c r="DL61" s="118">
        <x:f>DL47-(DL38+DL45-DL46)</x:f>
      </x:c>
      <x:c r="DM61" s="118">
        <x:f>DM47-(DM38+DM45-DM46)</x:f>
      </x:c>
      <x:c r="DN61" s="118">
        <x:f>DN47-(DN38+DN45-DN46)</x:f>
      </x:c>
      <x:c r="DO61" s="118">
        <x:f>DO47-(DO38+DO45-DO46)</x:f>
      </x:c>
      <x:c r="DP61" s="118">
        <x:f>DP47-(DP38+DP45-DP46)</x:f>
      </x:c>
      <x:c r="DQ61" s="118">
        <x:f>DQ47-(DQ38+DQ45-DQ46)</x:f>
      </x:c>
      <x:c r="DR61" s="118">
        <x:f>DR47-(DR38+DR45-DR46)</x:f>
      </x:c>
      <x:c r="DS61" s="118">
        <x:f>DS47-(DS38+DS45-DS46)</x:f>
      </x:c>
      <x:c r="DT61" s="118">
        <x:f>DT47-(DT38+DT45-DT46)</x:f>
      </x:c>
      <x:c r="DU61" s="118">
        <x:f>DU47-(DU38+DU45-DU46)</x:f>
      </x:c>
      <x:c r="DV61" s="118">
        <x:f>DV47-(DV38+DV45-DV46)</x:f>
      </x:c>
      <x:c r="DW61" s="118">
        <x:f>DW47-(DW38+DW45-DW46)</x:f>
      </x:c>
      <x:c r="DX61" s="118">
        <x:f>DX47-(DX38+DX45-DX46)</x:f>
      </x:c>
      <x:c r="DY61" s="118">
        <x:f>DY47-(DY38+DY45-DY46)</x:f>
      </x:c>
      <x:c r="DZ61" s="118">
        <x:f>DZ47-(DZ38+DZ45-DZ46)</x:f>
      </x:c>
      <x:c r="EA61" s="118">
        <x:f>EA47-(EA38+EA45-EA46)</x:f>
      </x:c>
      <x:c r="EB61" s="118">
        <x:f>EB47-(EB38+EB45-EB46)</x:f>
      </x:c>
      <x:c r="EC61" s="118">
        <x:f>EC47-(EC38+EC45-EC46)</x:f>
      </x:c>
      <x:c r="ED61" s="118">
        <x:f>ED47-(ED38+ED45-ED46)</x:f>
      </x:c>
      <x:c r="EE61" s="118">
        <x:f>EE47-(EE38+EE45-EE46)</x:f>
      </x:c>
      <x:c r="EF61" s="118">
        <x:f>EF47-(EF38+EF45-EF46)</x:f>
      </x:c>
      <x:c r="EG61" s="118">
        <x:f>EG47-(EG38+EG45-EG46)</x:f>
      </x:c>
      <x:c r="EH61" s="118">
        <x:f>EH47-(EH38+EH45-EH46)</x:f>
      </x:c>
      <x:c r="EI61" s="118">
        <x:f>EI47-(EI38+EI45-EI46)</x:f>
      </x:c>
      <x:c r="EJ61" s="118">
        <x:f>EJ47-(EJ38+EJ45-EJ46)</x:f>
      </x:c>
      <x:c r="EK61" s="118">
        <x:f>EK47-(EK38+EK45-EK46)</x:f>
      </x:c>
      <x:c r="EL61" s="118">
        <x:f>EL47-(EL38+EL45-EL46)</x:f>
      </x:c>
      <x:c r="EM61" s="118">
        <x:f>EM47-(EM38+EM45-EM46)</x:f>
      </x:c>
      <x:c r="EN61" s="118">
        <x:f>EN47-(EN38+EN45-EN46)</x:f>
      </x:c>
      <x:c r="EO61" s="118">
        <x:f>EO47-(EO38+EO45-EO46)</x:f>
      </x:c>
      <x:c r="EP61" s="118">
        <x:f>EP47-(EP38+EP45-EP46)</x:f>
      </x:c>
      <x:c r="EQ61" s="118">
        <x:f>EQ47-(EQ38+EQ45-EQ46)</x:f>
      </x:c>
      <x:c r="ER61" s="118">
        <x:f>ER47-(ER38+ER45-ER46)</x:f>
      </x:c>
      <x:c r="ES61" s="118">
        <x:f>ES47-(ES38+ES45-ES46)</x:f>
      </x:c>
      <x:c r="ET61" s="118">
        <x:f>ET47-(ET38+ET45-ET46)</x:f>
      </x:c>
      <x:c r="EU61" s="118">
        <x:f>EU47-(EU38+EU45-EU46)</x:f>
      </x:c>
      <x:c r="EV61" s="118">
        <x:f>EV47-(EV38+EV45-EV46)</x:f>
      </x:c>
      <x:c r="EW61" s="118">
        <x:f>EW47-(EW38+EW45-EW46)</x:f>
      </x:c>
      <x:c r="EX61" s="118">
        <x:f>EX47-(EX38+EX45-EX46)</x:f>
      </x:c>
      <x:c r="EY61" s="118">
        <x:f>EY47-(EY38+EY45-EY46)</x:f>
      </x:c>
      <x:c r="EZ61" s="118">
        <x:f>EZ47-(EZ38+EZ45-EZ46)</x:f>
      </x:c>
      <x:c r="FA61" s="118">
        <x:f>FA47-(FA38+FA45-FA46)</x:f>
      </x:c>
      <x:c r="FB61" s="118">
        <x:f>FB47-(FB38+FB45-FB46)</x:f>
      </x:c>
      <x:c r="FC61" s="118">
        <x:f>FC47-(FC38+FC45-FC46)</x:f>
      </x:c>
      <x:c r="FD61" s="118">
        <x:f>FD47-(FD38+FD45-FD46)</x:f>
      </x:c>
      <x:c r="FE61" s="118">
        <x:f>FE47-(FE38+FE45-FE46)</x:f>
      </x:c>
      <x:c r="FF61" s="118">
        <x:f>FF47-(FF38+FF45-FF46)</x:f>
      </x:c>
      <x:c r="FG61" s="118">
        <x:f>FG47-(FG38+FG45-FG46)</x:f>
      </x:c>
      <x:c r="FH61" s="118">
        <x:f>FH47-(FH38+FH45-FH46)</x:f>
      </x:c>
      <x:c r="FI61" s="118">
        <x:f>FI47-(FI38+FI45-FI46)</x:f>
      </x:c>
      <x:c r="FJ61" s="118">
        <x:f>FJ47-(FJ38+FJ45-FJ46)</x:f>
      </x:c>
      <x:c r="FK61" s="118">
        <x:f>FK47-(FK38+FK45-FK46)</x:f>
      </x:c>
      <x:c r="FL61" s="118">
        <x:f>FL47-(FL38+FL45-FL46)</x:f>
      </x:c>
      <x:c r="FM61" s="118">
        <x:f>FM47-(FM38+FM45-FM46)</x:f>
      </x:c>
      <x:c r="FN61" s="118">
        <x:f>FN47-(FN38+FN45-FN46)</x:f>
      </x:c>
      <x:c r="FO61" s="118">
        <x:f>FO47-(FO38+FO45-FO46)</x:f>
      </x:c>
      <x:c r="FP61" s="118">
        <x:f>FP47-(FP38+FP45-FP46)</x:f>
      </x:c>
      <x:c r="FQ61" s="118">
        <x:f>FQ47-(FQ38+FQ45-FQ46)</x:f>
      </x:c>
      <x:c r="FR61" s="118">
        <x:f>FR47-(FR38+FR45-FR46)</x:f>
      </x:c>
      <x:c r="FS61" s="118">
        <x:f>FS47-(FS38+FS45-FS46)</x:f>
      </x:c>
      <x:c r="FT61" s="118">
        <x:f>FT47-(FT38+FT45-FT46)</x:f>
      </x:c>
      <x:c r="FU61" s="118">
        <x:f>FU47-(FU38+FU45-FU46)</x:f>
      </x:c>
      <x:c r="FV61" s="118">
        <x:f>FV47-(FV38+FV45-FV46)</x:f>
      </x:c>
      <x:c r="FW61" s="118">
        <x:f>FW47-(FW38+FW45-FW46)</x:f>
      </x:c>
      <x:c r="FX61" s="118">
        <x:f>FX47-(FX38+FX45-FX46)</x:f>
      </x:c>
      <x:c r="FY61" s="118">
        <x:f>FY47-(FY38+FY45-FY46)</x:f>
      </x:c>
      <x:c r="FZ61" s="118">
        <x:f>FZ47-(FZ38+FZ45-FZ46)</x:f>
      </x:c>
      <x:c r="GA61" s="118">
        <x:f>GA47-(GA38+GA45-GA46)</x:f>
      </x:c>
    </x:row>
    <x:row r="62">
      <x:c r="A62" s="128" t="str">
        <x:v>CHECK: roll-forward эскроу</x:v>
      </x:c>
      <x:c r="B62" s="128" t="n">
        <x:f>MAX(MAX(D62:GA62),-MIN(D62:GA62))</x:f>
      </x:c>
      <x:c r="C62" s="128" t="str">
        <x:v>млн ₽</x:v>
      </x:c>
      <x:c r="D62" s="118" t="n">
        <x:f>D15-(D13+D11-D14)</x:f>
      </x:c>
      <x:c r="E62" s="118" t="n">
        <x:f>E15-(E13+E11-E14)</x:f>
      </x:c>
      <x:c r="F62" s="118" t="n">
        <x:f>F15-(F13+F11-F14)</x:f>
      </x:c>
      <x:c r="G62" s="118" t="n">
        <x:f>G15-(G13+G11-G14)</x:f>
      </x:c>
      <x:c r="H62" s="118" t="n">
        <x:f>H15-(H13+H11-H14)</x:f>
      </x:c>
      <x:c r="I62" s="118" t="n">
        <x:f>I15-(I13+I11-I14)</x:f>
      </x:c>
      <x:c r="J62" s="118" t="n">
        <x:f>J15-(J13+J11-J14)</x:f>
      </x:c>
      <x:c r="K62" s="118" t="n">
        <x:f>K15-(K13+K11-K14)</x:f>
      </x:c>
      <x:c r="L62" s="118" t="n">
        <x:f>L15-(L13+L11-L14)</x:f>
      </x:c>
      <x:c r="M62" s="118" t="n">
        <x:f>M15-(M13+M11-M14)</x:f>
      </x:c>
      <x:c r="N62" s="118" t="n">
        <x:f>N15-(N13+N11-N14)</x:f>
      </x:c>
      <x:c r="O62" s="118" t="n">
        <x:f>O15-(O13+O11-O14)</x:f>
      </x:c>
      <x:c r="P62" s="118" t="n">
        <x:f>P15-(P13+P11-P14)</x:f>
      </x:c>
      <x:c r="Q62" s="118" t="n">
        <x:f>Q15-(Q13+Q11-Q14)</x:f>
      </x:c>
      <x:c r="R62" s="118" t="n">
        <x:f>R15-(R13+R11-R14)</x:f>
      </x:c>
      <x:c r="S62" s="118" t="n">
        <x:f>S15-(S13+S11-S14)</x:f>
      </x:c>
      <x:c r="T62" s="118" t="n">
        <x:f>T15-(T13+T11-T14)</x:f>
      </x:c>
      <x:c r="U62" s="118" t="n">
        <x:f>U15-(U13+U11-U14)</x:f>
      </x:c>
      <x:c r="V62" s="118" t="n">
        <x:f>V15-(V13+V11-V14)</x:f>
      </x:c>
      <x:c r="W62" s="118" t="n">
        <x:f>W15-(W13+W11-W14)</x:f>
      </x:c>
      <x:c r="X62" s="118" t="n">
        <x:f>X15-(X13+X11-X14)</x:f>
      </x:c>
      <x:c r="Y62" s="118" t="n">
        <x:f>Y15-(Y13+Y11-Y14)</x:f>
      </x:c>
      <x:c r="Z62" s="118" t="n">
        <x:f>Z15-(Z13+Z11-Z14)</x:f>
      </x:c>
      <x:c r="AA62" s="118" t="n">
        <x:f>AA15-(AA13+AA11-AA14)</x:f>
      </x:c>
      <x:c r="AB62" s="118" t="n">
        <x:f>AB15-(AB13+AB11-AB14)</x:f>
      </x:c>
      <x:c r="AC62" s="118" t="n">
        <x:f>AC15-(AC13+AC11-AC14)</x:f>
      </x:c>
      <x:c r="AD62" s="118" t="n">
        <x:f>AD15-(AD13+AD11-AD14)</x:f>
      </x:c>
      <x:c r="AE62" s="118" t="n">
        <x:f>AE15-(AE13+AE11-AE14)</x:f>
      </x:c>
      <x:c r="AF62" s="118" t="n">
        <x:f>AF15-(AF13+AF11-AF14)</x:f>
      </x:c>
      <x:c r="AG62" s="118" t="n">
        <x:f>AG15-(AG13+AG11-AG14)</x:f>
      </x:c>
      <x:c r="AH62" s="118" t="n">
        <x:f>AH15-(AH13+AH11-AH14)</x:f>
      </x:c>
      <x:c r="AI62" s="118" t="n">
        <x:f>AI15-(AI13+AI11-AI14)</x:f>
      </x:c>
      <x:c r="AJ62" s="118" t="n">
        <x:f>AJ15-(AJ13+AJ11-AJ14)</x:f>
      </x:c>
      <x:c r="AK62" s="118" t="n">
        <x:f>AK15-(AK13+AK11-AK14)</x:f>
      </x:c>
      <x:c r="AL62" s="118" t="n">
        <x:f>AL15-(AL13+AL11-AL14)</x:f>
      </x:c>
      <x:c r="AM62" s="118" t="n">
        <x:f>AM15-(AM13+AM11-AM14)</x:f>
      </x:c>
      <x:c r="AN62" s="118" t="n">
        <x:f>AN15-(AN13+AN11-AN14)</x:f>
      </x:c>
      <x:c r="AO62" s="118" t="n">
        <x:f>AO15-(AO13+AO11-AO14)</x:f>
      </x:c>
      <x:c r="AP62" s="118" t="n">
        <x:f>AP15-(AP13+AP11-AP14)</x:f>
      </x:c>
      <x:c r="AQ62" s="118" t="n">
        <x:f>AQ15-(AQ13+AQ11-AQ14)</x:f>
      </x:c>
      <x:c r="AR62" s="118" t="n">
        <x:f>AR15-(AR13+AR11-AR14)</x:f>
      </x:c>
      <x:c r="AS62" s="118" t="n">
        <x:f>AS15-(AS13+AS11-AS14)</x:f>
      </x:c>
      <x:c r="AT62" s="118" t="n">
        <x:f>AT15-(AT13+AT11-AT14)</x:f>
      </x:c>
      <x:c r="AU62" s="118" t="n">
        <x:f>AU15-(AU13+AU11-AU14)</x:f>
      </x:c>
      <x:c r="AV62" s="118" t="n">
        <x:f>AV15-(AV13+AV11-AV14)</x:f>
      </x:c>
      <x:c r="AW62" s="118" t="n">
        <x:f>AW15-(AW13+AW11-AW14)</x:f>
      </x:c>
      <x:c r="AX62" s="118" t="n">
        <x:f>AX15-(AX13+AX11-AX14)</x:f>
      </x:c>
      <x:c r="AY62" s="118" t="n">
        <x:f>AY15-(AY13+AY11-AY14)</x:f>
      </x:c>
      <x:c r="AZ62" s="118" t="n">
        <x:f>AZ15-(AZ13+AZ11-AZ14)</x:f>
      </x:c>
      <x:c r="BA62" s="118" t="n">
        <x:f>BA15-(BA13+BA11-BA14)</x:f>
      </x:c>
      <x:c r="BB62" s="118" t="n">
        <x:f>BB15-(BB13+BB11-BB14)</x:f>
      </x:c>
      <x:c r="BC62" s="118" t="n">
        <x:f>BC15-(BC13+BC11-BC14)</x:f>
      </x:c>
      <x:c r="BD62" s="118" t="n">
        <x:f>BD15-(BD13+BD11-BD14)</x:f>
      </x:c>
      <x:c r="BE62" s="118" t="n">
        <x:f>BE15-(BE13+BE11-BE14)</x:f>
      </x:c>
      <x:c r="BF62" s="118" t="n">
        <x:f>BF15-(BF13+BF11-BF14)</x:f>
      </x:c>
      <x:c r="BG62" s="118" t="n">
        <x:f>BG15-(BG13+BG11-BG14)</x:f>
      </x:c>
      <x:c r="BH62" s="118" t="n">
        <x:f>BH15-(BH13+BH11-BH14)</x:f>
      </x:c>
      <x:c r="BI62" s="118" t="n">
        <x:f>BI15-(BI13+BI11-BI14)</x:f>
      </x:c>
      <x:c r="BJ62" s="118" t="n">
        <x:f>BJ15-(BJ13+BJ11-BJ14)</x:f>
      </x:c>
      <x:c r="BK62" s="118" t="n">
        <x:f>BK15-(BK13+BK11-BK14)</x:f>
      </x:c>
      <x:c r="BL62" s="118" t="n">
        <x:f>BL15-(BL13+BL11-BL14)</x:f>
      </x:c>
      <x:c r="BM62" s="118" t="n">
        <x:f>BM15-(BM13+BM11-BM14)</x:f>
      </x:c>
      <x:c r="BN62" s="118" t="n">
        <x:f>BN15-(BN13+BN11-BN14)</x:f>
      </x:c>
      <x:c r="BO62" s="118" t="n">
        <x:f>BO15-(BO13+BO11-BO14)</x:f>
      </x:c>
      <x:c r="BP62" s="118" t="n">
        <x:f>BP15-(BP13+BP11-BP14)</x:f>
      </x:c>
      <x:c r="BQ62" s="118" t="n">
        <x:f>BQ15-(BQ13+BQ11-BQ14)</x:f>
      </x:c>
      <x:c r="BR62" s="118" t="n">
        <x:f>BR15-(BR13+BR11-BR14)</x:f>
      </x:c>
      <x:c r="BS62" s="118" t="n">
        <x:f>BS15-(BS13+BS11-BS14)</x:f>
      </x:c>
      <x:c r="BT62" s="118" t="n">
        <x:f>BT15-(BT13+BT11-BT14)</x:f>
      </x:c>
      <x:c r="BU62" s="118" t="n">
        <x:f>BU15-(BU13+BU11-BU14)</x:f>
      </x:c>
      <x:c r="BV62" s="118" t="n">
        <x:f>BV15-(BV13+BV11-BV14)</x:f>
      </x:c>
      <x:c r="BW62" s="118" t="n">
        <x:f>BW15-(BW13+BW11-BW14)</x:f>
      </x:c>
      <x:c r="BX62" s="118" t="n">
        <x:f>BX15-(BX13+BX11-BX14)</x:f>
      </x:c>
      <x:c r="BY62" s="118" t="n">
        <x:f>BY15-(BY13+BY11-BY14)</x:f>
      </x:c>
      <x:c r="BZ62" s="118" t="n">
        <x:f>BZ15-(BZ13+BZ11-BZ14)</x:f>
      </x:c>
      <x:c r="CA62" s="118" t="n">
        <x:f>CA15-(CA13+CA11-CA14)</x:f>
      </x:c>
      <x:c r="CB62" s="118" t="n">
        <x:f>CB15-(CB13+CB11-CB14)</x:f>
      </x:c>
      <x:c r="CC62" s="118" t="n">
        <x:f>CC15-(CC13+CC11-CC14)</x:f>
      </x:c>
      <x:c r="CD62" s="118" t="n">
        <x:f>CD15-(CD13+CD11-CD14)</x:f>
      </x:c>
      <x:c r="CE62" s="118" t="n">
        <x:f>CE15-(CE13+CE11-CE14)</x:f>
      </x:c>
      <x:c r="CF62" s="118" t="n">
        <x:f>CF15-(CF13+CF11-CF14)</x:f>
      </x:c>
      <x:c r="CG62" s="118" t="n">
        <x:f>CG15-(CG13+CG11-CG14)</x:f>
      </x:c>
      <x:c r="CH62" s="118" t="n">
        <x:f>CH15-(CH13+CH11-CH14)</x:f>
      </x:c>
      <x:c r="CI62" s="118" t="n">
        <x:f>CI15-(CI13+CI11-CI14)</x:f>
      </x:c>
      <x:c r="CJ62" s="118" t="n">
        <x:f>CJ15-(CJ13+CJ11-CJ14)</x:f>
      </x:c>
      <x:c r="CK62" s="118" t="n">
        <x:f>CK15-(CK13+CK11-CK14)</x:f>
      </x:c>
      <x:c r="CL62" s="118" t="n">
        <x:f>CL15-(CL13+CL11-CL14)</x:f>
      </x:c>
      <x:c r="CM62" s="118" t="n">
        <x:f>CM15-(CM13+CM11-CM14)</x:f>
      </x:c>
      <x:c r="CN62" s="118" t="n">
        <x:f>CN15-(CN13+CN11-CN14)</x:f>
      </x:c>
      <x:c r="CO62" s="118" t="n">
        <x:f>CO15-(CO13+CO11-CO14)</x:f>
      </x:c>
      <x:c r="CP62" s="118" t="n">
        <x:f>CP15-(CP13+CP11-CP14)</x:f>
      </x:c>
      <x:c r="CQ62" s="118" t="n">
        <x:f>CQ15-(CQ13+CQ11-CQ14)</x:f>
      </x:c>
      <x:c r="CR62" s="118" t="n">
        <x:f>CR15-(CR13+CR11-CR14)</x:f>
      </x:c>
      <x:c r="CS62" s="118" t="n">
        <x:f>CS15-(CS13+CS11-CS14)</x:f>
      </x:c>
      <x:c r="CT62" s="118" t="n">
        <x:f>CT15-(CT13+CT11-CT14)</x:f>
      </x:c>
      <x:c r="CU62" s="118" t="n">
        <x:f>CU15-(CU13+CU11-CU14)</x:f>
      </x:c>
      <x:c r="CV62" s="118" t="n">
        <x:f>CV15-(CV13+CV11-CV14)</x:f>
      </x:c>
      <x:c r="CW62" s="118" t="n">
        <x:f>CW15-(CW13+CW11-CW14)</x:f>
      </x:c>
      <x:c r="CX62" s="118" t="n">
        <x:f>CX15-(CX13+CX11-CX14)</x:f>
      </x:c>
      <x:c r="CY62" s="118" t="n">
        <x:f>CY15-(CY13+CY11-CY14)</x:f>
      </x:c>
      <x:c r="CZ62" s="118" t="n">
        <x:f>CZ15-(CZ13+CZ11-CZ14)</x:f>
      </x:c>
      <x:c r="DA62" s="118" t="n">
        <x:f>DA15-(DA13+DA11-DA14)</x:f>
      </x:c>
      <x:c r="DB62" s="118" t="n">
        <x:f>DB15-(DB13+DB11-DB14)</x:f>
      </x:c>
      <x:c r="DC62" s="118" t="n">
        <x:f>DC15-(DC13+DC11-DC14)</x:f>
      </x:c>
      <x:c r="DD62" s="118" t="n">
        <x:f>DD15-(DD13+DD11-DD14)</x:f>
      </x:c>
      <x:c r="DE62" s="118" t="n">
        <x:f>DE15-(DE13+DE11-DE14)</x:f>
      </x:c>
      <x:c r="DF62" s="118" t="n">
        <x:f>DF15-(DF13+DF11-DF14)</x:f>
      </x:c>
      <x:c r="DG62" s="118" t="n">
        <x:f>DG15-(DG13+DG11-DG14)</x:f>
      </x:c>
      <x:c r="DH62" s="118" t="n">
        <x:f>DH15-(DH13+DH11-DH14)</x:f>
      </x:c>
      <x:c r="DI62" s="118" t="n">
        <x:f>DI15-(DI13+DI11-DI14)</x:f>
      </x:c>
      <x:c r="DJ62" s="118" t="n">
        <x:f>DJ15-(DJ13+DJ11-DJ14)</x:f>
      </x:c>
      <x:c r="DK62" s="118" t="n">
        <x:f>DK15-(DK13+DK11-DK14)</x:f>
      </x:c>
      <x:c r="DL62" s="118" t="n">
        <x:f>DL15-(DL13+DL11-DL14)</x:f>
      </x:c>
      <x:c r="DM62" s="118" t="n">
        <x:f>DM15-(DM13+DM11-DM14)</x:f>
      </x:c>
      <x:c r="DN62" s="118" t="n">
        <x:f>DN15-(DN13+DN11-DN14)</x:f>
      </x:c>
      <x:c r="DO62" s="118" t="n">
        <x:f>DO15-(DO13+DO11-DO14)</x:f>
      </x:c>
      <x:c r="DP62" s="118" t="n">
        <x:f>DP15-(DP13+DP11-DP14)</x:f>
      </x:c>
      <x:c r="DQ62" s="118" t="n">
        <x:f>DQ15-(DQ13+DQ11-DQ14)</x:f>
      </x:c>
      <x:c r="DR62" s="118" t="n">
        <x:f>DR15-(DR13+DR11-DR14)</x:f>
      </x:c>
      <x:c r="DS62" s="118" t="n">
        <x:f>DS15-(DS13+DS11-DS14)</x:f>
      </x:c>
      <x:c r="DT62" s="118" t="n">
        <x:f>DT15-(DT13+DT11-DT14)</x:f>
      </x:c>
      <x:c r="DU62" s="118" t="n">
        <x:f>DU15-(DU13+DU11-DU14)</x:f>
      </x:c>
      <x:c r="DV62" s="118" t="n">
        <x:f>DV15-(DV13+DV11-DV14)</x:f>
      </x:c>
      <x:c r="DW62" s="118" t="n">
        <x:f>DW15-(DW13+DW11-DW14)</x:f>
      </x:c>
      <x:c r="DX62" s="118" t="n">
        <x:f>DX15-(DX13+DX11-DX14)</x:f>
      </x:c>
      <x:c r="DY62" s="118" t="n">
        <x:f>DY15-(DY13+DY11-DY14)</x:f>
      </x:c>
      <x:c r="DZ62" s="118" t="n">
        <x:f>DZ15-(DZ13+DZ11-DZ14)</x:f>
      </x:c>
      <x:c r="EA62" s="118" t="n">
        <x:f>EA15-(EA13+EA11-EA14)</x:f>
      </x:c>
      <x:c r="EB62" s="118" t="n">
        <x:f>EB15-(EB13+EB11-EB14)</x:f>
      </x:c>
      <x:c r="EC62" s="118" t="n">
        <x:f>EC15-(EC13+EC11-EC14)</x:f>
      </x:c>
      <x:c r="ED62" s="118" t="n">
        <x:f>ED15-(ED13+ED11-ED14)</x:f>
      </x:c>
      <x:c r="EE62" s="118" t="n">
        <x:f>EE15-(EE13+EE11-EE14)</x:f>
      </x:c>
      <x:c r="EF62" s="118" t="n">
        <x:f>EF15-(EF13+EF11-EF14)</x:f>
      </x:c>
      <x:c r="EG62" s="118" t="n">
        <x:f>EG15-(EG13+EG11-EG14)</x:f>
      </x:c>
      <x:c r="EH62" s="118" t="n">
        <x:f>EH15-(EH13+EH11-EH14)</x:f>
      </x:c>
      <x:c r="EI62" s="118" t="n">
        <x:f>EI15-(EI13+EI11-EI14)</x:f>
      </x:c>
      <x:c r="EJ62" s="118" t="n">
        <x:f>EJ15-(EJ13+EJ11-EJ14)</x:f>
      </x:c>
      <x:c r="EK62" s="118" t="n">
        <x:f>EK15-(EK13+EK11-EK14)</x:f>
      </x:c>
      <x:c r="EL62" s="118" t="n">
        <x:f>EL15-(EL13+EL11-EL14)</x:f>
      </x:c>
      <x:c r="EM62" s="118" t="n">
        <x:f>EM15-(EM13+EM11-EM14)</x:f>
      </x:c>
      <x:c r="EN62" s="118" t="n">
        <x:f>EN15-(EN13+EN11-EN14)</x:f>
      </x:c>
      <x:c r="EO62" s="118" t="n">
        <x:f>EO15-(EO13+EO11-EO14)</x:f>
      </x:c>
      <x:c r="EP62" s="118" t="n">
        <x:f>EP15-(EP13+EP11-EP14)</x:f>
      </x:c>
      <x:c r="EQ62" s="118" t="n">
        <x:f>EQ15-(EQ13+EQ11-EQ14)</x:f>
      </x:c>
      <x:c r="ER62" s="118" t="n">
        <x:f>ER15-(ER13+ER11-ER14)</x:f>
      </x:c>
      <x:c r="ES62" s="118" t="n">
        <x:f>ES15-(ES13+ES11-ES14)</x:f>
      </x:c>
      <x:c r="ET62" s="118" t="n">
        <x:f>ET15-(ET13+ET11-ET14)</x:f>
      </x:c>
      <x:c r="EU62" s="118" t="n">
        <x:f>EU15-(EU13+EU11-EU14)</x:f>
      </x:c>
      <x:c r="EV62" s="118" t="n">
        <x:f>EV15-(EV13+EV11-EV14)</x:f>
      </x:c>
      <x:c r="EW62" s="118" t="n">
        <x:f>EW15-(EW13+EW11-EW14)</x:f>
      </x:c>
      <x:c r="EX62" s="118" t="n">
        <x:f>EX15-(EX13+EX11-EX14)</x:f>
      </x:c>
      <x:c r="EY62" s="118" t="n">
        <x:f>EY15-(EY13+EY11-EY14)</x:f>
      </x:c>
      <x:c r="EZ62" s="118" t="n">
        <x:f>EZ15-(EZ13+EZ11-EZ14)</x:f>
      </x:c>
      <x:c r="FA62" s="118" t="n">
        <x:f>FA15-(FA13+FA11-FA14)</x:f>
      </x:c>
      <x:c r="FB62" s="118" t="n">
        <x:f>FB15-(FB13+FB11-FB14)</x:f>
      </x:c>
      <x:c r="FC62" s="118" t="n">
        <x:f>FC15-(FC13+FC11-FC14)</x:f>
      </x:c>
      <x:c r="FD62" s="118" t="n">
        <x:f>FD15-(FD13+FD11-FD14)</x:f>
      </x:c>
      <x:c r="FE62" s="118" t="n">
        <x:f>FE15-(FE13+FE11-FE14)</x:f>
      </x:c>
      <x:c r="FF62" s="118" t="n">
        <x:f>FF15-(FF13+FF11-FF14)</x:f>
      </x:c>
      <x:c r="FG62" s="118" t="n">
        <x:f>FG15-(FG13+FG11-FG14)</x:f>
      </x:c>
      <x:c r="FH62" s="118" t="n">
        <x:f>FH15-(FH13+FH11-FH14)</x:f>
      </x:c>
      <x:c r="FI62" s="118" t="n">
        <x:f>FI15-(FI13+FI11-FI14)</x:f>
      </x:c>
      <x:c r="FJ62" s="118" t="n">
        <x:f>FJ15-(FJ13+FJ11-FJ14)</x:f>
      </x:c>
      <x:c r="FK62" s="118" t="n">
        <x:f>FK15-(FK13+FK11-FK14)</x:f>
      </x:c>
      <x:c r="FL62" s="118" t="n">
        <x:f>FL15-(FL13+FL11-FL14)</x:f>
      </x:c>
      <x:c r="FM62" s="118" t="n">
        <x:f>FM15-(FM13+FM11-FM14)</x:f>
      </x:c>
      <x:c r="FN62" s="118" t="n">
        <x:f>FN15-(FN13+FN11-FN14)</x:f>
      </x:c>
      <x:c r="FO62" s="118" t="n">
        <x:f>FO15-(FO13+FO11-FO14)</x:f>
      </x:c>
      <x:c r="FP62" s="118" t="n">
        <x:f>FP15-(FP13+FP11-FP14)</x:f>
      </x:c>
      <x:c r="FQ62" s="118" t="n">
        <x:f>FQ15-(FQ13+FQ11-FQ14)</x:f>
      </x:c>
      <x:c r="FR62" s="118" t="n">
        <x:f>FR15-(FR13+FR11-FR14)</x:f>
      </x:c>
      <x:c r="FS62" s="118" t="n">
        <x:f>FS15-(FS13+FS11-FS14)</x:f>
      </x:c>
      <x:c r="FT62" s="118" t="n">
        <x:f>FT15-(FT13+FT11-FT14)</x:f>
      </x:c>
      <x:c r="FU62" s="118" t="n">
        <x:f>FU15-(FU13+FU11-FU14)</x:f>
      </x:c>
      <x:c r="FV62" s="118" t="n">
        <x:f>FV15-(FV13+FV11-FV14)</x:f>
      </x:c>
      <x:c r="FW62" s="118" t="n">
        <x:f>FW15-(FW13+FW11-FW14)</x:f>
      </x:c>
      <x:c r="FX62" s="118" t="n">
        <x:f>FX15-(FX13+FX11-FX14)</x:f>
      </x:c>
      <x:c r="FY62" s="118" t="n">
        <x:f>FY15-(FY13+FY11-FY14)</x:f>
      </x:c>
      <x:c r="FZ62" s="118" t="n">
        <x:f>FZ15-(FZ13+FZ11-FZ14)</x:f>
      </x:c>
      <x:c r="GA62" s="118" t="n">
        <x:f>GA15-(GA13+GA11-GA14)</x:f>
      </x:c>
    </x:row>
    <x:row r="63">
      <x:c r="A63" s="128" t="str">
        <x:v>CHECK: дефицит фондирования</x:v>
      </x:c>
      <x:c r="B63" s="128" t="n">
        <x:f>MAX(MAX(D63:GA63),-MIN(D63:GA63))</x:f>
      </x:c>
      <x:c r="C63" s="128" t="str">
        <x:v>млн ₽</x:v>
      </x:c>
      <x:c r="D63" s="118">
        <x:f>D27+D34+D45+D49-D20-D24-D53-D57-D35-D46-D50</x:f>
      </x:c>
      <x:c r="E63" s="118">
        <x:f>E27+E34+E45+E49-E20-E24-E53-E57-E35-E46-E50</x:f>
      </x:c>
      <x:c r="F63" s="118">
        <x:f>F27+F34+F45+F49-F20-F24-F53-F57-F35-F46-F50</x:f>
      </x:c>
      <x:c r="G63" s="118">
        <x:f>G27+G34+G45+G49-G20-G24-G53-G57-G35-G46-G50</x:f>
      </x:c>
      <x:c r="H63" s="118">
        <x:f>H27+H34+H45+H49-H20-H24-H53-H57-H35-H46-H50</x:f>
      </x:c>
      <x:c r="I63" s="118">
        <x:f>I27+I34+I45+I49-I20-I24-I53-I57-I35-I46-I50</x:f>
      </x:c>
      <x:c r="J63" s="118">
        <x:f>J27+J34+J45+J49-J20-J24-J53-J57-J35-J46-J50</x:f>
      </x:c>
      <x:c r="K63" s="118">
        <x:f>K27+K34+K45+K49-K20-K24-K53-K57-K35-K46-K50</x:f>
      </x:c>
      <x:c r="L63" s="118">
        <x:f>L27+L34+L45+L49-L20-L24-L53-L57-L35-L46-L50</x:f>
      </x:c>
      <x:c r="M63" s="118">
        <x:f>M27+M34+M45+M49-M20-M24-M53-M57-M35-M46-M50</x:f>
      </x:c>
      <x:c r="N63" s="118">
        <x:f>N27+N34+N45+N49-N20-N24-N53-N57-N35-N46-N50</x:f>
      </x:c>
      <x:c r="O63" s="118">
        <x:f>O27+O34+O45+O49-O20-O24-O53-O57-O35-O46-O50</x:f>
      </x:c>
      <x:c r="P63" s="118">
        <x:f>P27+P34+P45+P49-P20-P24-P53-P57-P35-P46-P50</x:f>
      </x:c>
      <x:c r="Q63" s="118">
        <x:f>Q27+Q34+Q45+Q49-Q20-Q24-Q53-Q57-Q35-Q46-Q50</x:f>
      </x:c>
      <x:c r="R63" s="118">
        <x:f>R27+R34+R45+R49-R20-R24-R53-R57-R35-R46-R50</x:f>
      </x:c>
      <x:c r="S63" s="118">
        <x:f>S27+S34+S45+S49-S20-S24-S53-S57-S35-S46-S50</x:f>
      </x:c>
      <x:c r="T63" s="118">
        <x:f>T27+T34+T45+T49-T20-T24-T53-T57-T35-T46-T50</x:f>
      </x:c>
      <x:c r="U63" s="118">
        <x:f>U27+U34+U45+U49-U20-U24-U53-U57-U35-U46-U50</x:f>
      </x:c>
      <x:c r="V63" s="118">
        <x:f>V27+V34+V45+V49-V20-V24-V53-V57-V35-V46-V50</x:f>
      </x:c>
      <x:c r="W63" s="118">
        <x:f>W27+W34+W45+W49-W20-W24-W53-W57-W35-W46-W50</x:f>
      </x:c>
      <x:c r="X63" s="118">
        <x:f>X27+X34+X45+X49-X20-X24-X53-X57-X35-X46-X50</x:f>
      </x:c>
      <x:c r="Y63" s="118">
        <x:f>Y27+Y34+Y45+Y49-Y20-Y24-Y53-Y57-Y35-Y46-Y50</x:f>
      </x:c>
      <x:c r="Z63" s="118">
        <x:f>Z27+Z34+Z45+Z49-Z20-Z24-Z53-Z57-Z35-Z46-Z50</x:f>
      </x:c>
      <x:c r="AA63" s="118">
        <x:f>AA27+AA34+AA45+AA49-AA20-AA24-AA53-AA57-AA35-AA46-AA50</x:f>
      </x:c>
      <x:c r="AB63" s="118">
        <x:f>AB27+AB34+AB45+AB49-AB20-AB24-AB53-AB57-AB35-AB46-AB50</x:f>
      </x:c>
      <x:c r="AC63" s="118">
        <x:f>AC27+AC34+AC45+AC49-AC20-AC24-AC53-AC57-AC35-AC46-AC50</x:f>
      </x:c>
      <x:c r="AD63" s="118">
        <x:f>AD27+AD34+AD45+AD49-AD20-AD24-AD53-AD57-AD35-AD46-AD50</x:f>
      </x:c>
      <x:c r="AE63" s="118">
        <x:f>AE27+AE34+AE45+AE49-AE20-AE24-AE53-AE57-AE35-AE46-AE50</x:f>
      </x:c>
      <x:c r="AF63" s="118">
        <x:f>AF27+AF34+AF45+AF49-AF20-AF24-AF53-AF57-AF35-AF46-AF50</x:f>
      </x:c>
      <x:c r="AG63" s="118">
        <x:f>AG27+AG34+AG45+AG49-AG20-AG24-AG53-AG57-AG35-AG46-AG50</x:f>
      </x:c>
      <x:c r="AH63" s="118">
        <x:f>AH27+AH34+AH45+AH49-AH20-AH24-AH53-AH57-AH35-AH46-AH50</x:f>
      </x:c>
      <x:c r="AI63" s="118">
        <x:f>AI27+AI34+AI45+AI49-AI20-AI24-AI53-AI57-AI35-AI46-AI50</x:f>
      </x:c>
      <x:c r="AJ63" s="118">
        <x:f>AJ27+AJ34+AJ45+AJ49-AJ20-AJ24-AJ53-AJ57-AJ35-AJ46-AJ50</x:f>
      </x:c>
      <x:c r="AK63" s="118">
        <x:f>AK27+AK34+AK45+AK49-AK20-AK24-AK53-AK57-AK35-AK46-AK50</x:f>
      </x:c>
      <x:c r="AL63" s="118">
        <x:f>AL27+AL34+AL45+AL49-AL20-AL24-AL53-AL57-AL35-AL46-AL50</x:f>
      </x:c>
      <x:c r="AM63" s="118">
        <x:f>AM27+AM34+AM45+AM49-AM20-AM24-AM53-AM57-AM35-AM46-AM50</x:f>
      </x:c>
      <x:c r="AN63" s="118">
        <x:f>AN27+AN34+AN45+AN49-AN20-AN24-AN53-AN57-AN35-AN46-AN50</x:f>
      </x:c>
      <x:c r="AO63" s="118">
        <x:f>AO27+AO34+AO45+AO49-AO20-AO24-AO53-AO57-AO35-AO46-AO50</x:f>
      </x:c>
      <x:c r="AP63" s="118">
        <x:f>AP27+AP34+AP45+AP49-AP20-AP24-AP53-AP57-AP35-AP46-AP50</x:f>
      </x:c>
      <x:c r="AQ63" s="118">
        <x:f>AQ27+AQ34+AQ45+AQ49-AQ20-AQ24-AQ53-AQ57-AQ35-AQ46-AQ50</x:f>
      </x:c>
      <x:c r="AR63" s="118">
        <x:f>AR27+AR34+AR45+AR49-AR20-AR24-AR53-AR57-AR35-AR46-AR50</x:f>
      </x:c>
      <x:c r="AS63" s="118">
        <x:f>AS27+AS34+AS45+AS49-AS20-AS24-AS53-AS57-AS35-AS46-AS50</x:f>
      </x:c>
      <x:c r="AT63" s="118">
        <x:f>AT27+AT34+AT45+AT49-AT20-AT24-AT53-AT57-AT35-AT46-AT50</x:f>
      </x:c>
      <x:c r="AU63" s="118">
        <x:f>AU27+AU34+AU45+AU49-AU20-AU24-AU53-AU57-AU35-AU46-AU50</x:f>
      </x:c>
      <x:c r="AV63" s="118">
        <x:f>AV27+AV34+AV45+AV49-AV20-AV24-AV53-AV57-AV35-AV46-AV50</x:f>
      </x:c>
      <x:c r="AW63" s="118">
        <x:f>AW27+AW34+AW45+AW49-AW20-AW24-AW53-AW57-AW35-AW46-AW50</x:f>
      </x:c>
      <x:c r="AX63" s="118">
        <x:f>AX27+AX34+AX45+AX49-AX20-AX24-AX53-AX57-AX35-AX46-AX50</x:f>
      </x:c>
      <x:c r="AY63" s="118">
        <x:f>AY27+AY34+AY45+AY49-AY20-AY24-AY53-AY57-AY35-AY46-AY50</x:f>
      </x:c>
      <x:c r="AZ63" s="118">
        <x:f>AZ27+AZ34+AZ45+AZ49-AZ20-AZ24-AZ53-AZ57-AZ35-AZ46-AZ50</x:f>
      </x:c>
      <x:c r="BA63" s="118">
        <x:f>BA27+BA34+BA45+BA49-BA20-BA24-BA53-BA57-BA35-BA46-BA50</x:f>
      </x:c>
      <x:c r="BB63" s="118">
        <x:f>BB27+BB34+BB45+BB49-BB20-BB24-BB53-BB57-BB35-BB46-BB50</x:f>
      </x:c>
      <x:c r="BC63" s="118">
        <x:f>BC27+BC34+BC45+BC49-BC20-BC24-BC53-BC57-BC35-BC46-BC50</x:f>
      </x:c>
      <x:c r="BD63" s="118">
        <x:f>BD27+BD34+BD45+BD49-BD20-BD24-BD53-BD57-BD35-BD46-BD50</x:f>
      </x:c>
      <x:c r="BE63" s="118">
        <x:f>BE27+BE34+BE45+BE49-BE20-BE24-BE53-BE57-BE35-BE46-BE50</x:f>
      </x:c>
      <x:c r="BF63" s="118">
        <x:f>BF27+BF34+BF45+BF49-BF20-BF24-BF53-BF57-BF35-BF46-BF50</x:f>
      </x:c>
      <x:c r="BG63" s="118">
        <x:f>BG27+BG34+BG45+BG49-BG20-BG24-BG53-BG57-BG35-BG46-BG50</x:f>
      </x:c>
      <x:c r="BH63" s="118">
        <x:f>BH27+BH34+BH45+BH49-BH20-BH24-BH53-BH57-BH35-BH46-BH50</x:f>
      </x:c>
      <x:c r="BI63" s="118">
        <x:f>BI27+BI34+BI45+BI49-BI20-BI24-BI53-BI57-BI35-BI46-BI50</x:f>
      </x:c>
      <x:c r="BJ63" s="118">
        <x:f>BJ27+BJ34+BJ45+BJ49-BJ20-BJ24-BJ53-BJ57-BJ35-BJ46-BJ50</x:f>
      </x:c>
      <x:c r="BK63" s="118">
        <x:f>BK27+BK34+BK45+BK49-BK20-BK24-BK53-BK57-BK35-BK46-BK50</x:f>
      </x:c>
      <x:c r="BL63" s="118">
        <x:f>BL27+BL34+BL45+BL49-BL20-BL24-BL53-BL57-BL35-BL46-BL50</x:f>
      </x:c>
      <x:c r="BM63" s="118">
        <x:f>BM27+BM34+BM45+BM49-BM20-BM24-BM53-BM57-BM35-BM46-BM50</x:f>
      </x:c>
      <x:c r="BN63" s="118">
        <x:f>BN27+BN34+BN45+BN49-BN20-BN24-BN53-BN57-BN35-BN46-BN50</x:f>
      </x:c>
      <x:c r="BO63" s="118">
        <x:f>BO27+BO34+BO45+BO49-BO20-BO24-BO53-BO57-BO35-BO46-BO50</x:f>
      </x:c>
      <x:c r="BP63" s="118">
        <x:f>BP27+BP34+BP45+BP49-BP20-BP24-BP53-BP57-BP35-BP46-BP50</x:f>
      </x:c>
      <x:c r="BQ63" s="118">
        <x:f>BQ27+BQ34+BQ45+BQ49-BQ20-BQ24-BQ53-BQ57-BQ35-BQ46-BQ50</x:f>
      </x:c>
      <x:c r="BR63" s="118">
        <x:f>BR27+BR34+BR45+BR49-BR20-BR24-BR53-BR57-BR35-BR46-BR50</x:f>
      </x:c>
      <x:c r="BS63" s="118">
        <x:f>BS27+BS34+BS45+BS49-BS20-BS24-BS53-BS57-BS35-BS46-BS50</x:f>
      </x:c>
      <x:c r="BT63" s="118">
        <x:f>BT27+BT34+BT45+BT49-BT20-BT24-BT53-BT57-BT35-BT46-BT50</x:f>
      </x:c>
      <x:c r="BU63" s="118">
        <x:f>BU27+BU34+BU45+BU49-BU20-BU24-BU53-BU57-BU35-BU46-BU50</x:f>
      </x:c>
      <x:c r="BV63" s="118">
        <x:f>BV27+BV34+BV45+BV49-BV20-BV24-BV53-BV57-BV35-BV46-BV50</x:f>
      </x:c>
      <x:c r="BW63" s="118">
        <x:f>BW27+BW34+BW45+BW49-BW20-BW24-BW53-BW57-BW35-BW46-BW50</x:f>
      </x:c>
      <x:c r="BX63" s="118">
        <x:f>BX27+BX34+BX45+BX49-BX20-BX24-BX53-BX57-BX35-BX46-BX50</x:f>
      </x:c>
      <x:c r="BY63" s="118">
        <x:f>BY27+BY34+BY45+BY49-BY20-BY24-BY53-BY57-BY35-BY46-BY50</x:f>
      </x:c>
      <x:c r="BZ63" s="118">
        <x:f>BZ27+BZ34+BZ45+BZ49-BZ20-BZ24-BZ53-BZ57-BZ35-BZ46-BZ50</x:f>
      </x:c>
      <x:c r="CA63" s="118">
        <x:f>CA27+CA34+CA45+CA49-CA20-CA24-CA53-CA57-CA35-CA46-CA50</x:f>
      </x:c>
      <x:c r="CB63" s="118">
        <x:f>CB27+CB34+CB45+CB49-CB20-CB24-CB53-CB57-CB35-CB46-CB50</x:f>
      </x:c>
      <x:c r="CC63" s="118">
        <x:f>CC27+CC34+CC45+CC49-CC20-CC24-CC53-CC57-CC35-CC46-CC50</x:f>
      </x:c>
      <x:c r="CD63" s="118">
        <x:f>CD27+CD34+CD45+CD49-CD20-CD24-CD53-CD57-CD35-CD46-CD50</x:f>
      </x:c>
      <x:c r="CE63" s="118">
        <x:f>CE27+CE34+CE45+CE49-CE20-CE24-CE53-CE57-CE35-CE46-CE50</x:f>
      </x:c>
      <x:c r="CF63" s="118">
        <x:f>CF27+CF34+CF45+CF49-CF20-CF24-CF53-CF57-CF35-CF46-CF50</x:f>
      </x:c>
      <x:c r="CG63" s="118">
        <x:f>CG27+CG34+CG45+CG49-CG20-CG24-CG53-CG57-CG35-CG46-CG50</x:f>
      </x:c>
      <x:c r="CH63" s="118">
        <x:f>CH27+CH34+CH45+CH49-CH20-CH24-CH53-CH57-CH35-CH46-CH50</x:f>
      </x:c>
      <x:c r="CI63" s="118">
        <x:f>CI27+CI34+CI45+CI49-CI20-CI24-CI53-CI57-CI35-CI46-CI50</x:f>
      </x:c>
      <x:c r="CJ63" s="118">
        <x:f>CJ27+CJ34+CJ45+CJ49-CJ20-CJ24-CJ53-CJ57-CJ35-CJ46-CJ50</x:f>
      </x:c>
      <x:c r="CK63" s="118">
        <x:f>CK27+CK34+CK45+CK49-CK20-CK24-CK53-CK57-CK35-CK46-CK50</x:f>
      </x:c>
      <x:c r="CL63" s="118">
        <x:f>CL27+CL34+CL45+CL49-CL20-CL24-CL53-CL57-CL35-CL46-CL50</x:f>
      </x:c>
      <x:c r="CM63" s="118">
        <x:f>CM27+CM34+CM45+CM49-CM20-CM24-CM53-CM57-CM35-CM46-CM50</x:f>
      </x:c>
      <x:c r="CN63" s="118">
        <x:f>CN27+CN34+CN45+CN49-CN20-CN24-CN53-CN57-CN35-CN46-CN50</x:f>
      </x:c>
      <x:c r="CO63" s="118">
        <x:f>CO27+CO34+CO45+CO49-CO20-CO24-CO53-CO57-CO35-CO46-CO50</x:f>
      </x:c>
      <x:c r="CP63" s="118">
        <x:f>CP27+CP34+CP45+CP49-CP20-CP24-CP53-CP57-CP35-CP46-CP50</x:f>
      </x:c>
      <x:c r="CQ63" s="118">
        <x:f>CQ27+CQ34+CQ45+CQ49-CQ20-CQ24-CQ53-CQ57-CQ35-CQ46-CQ50</x:f>
      </x:c>
      <x:c r="CR63" s="118">
        <x:f>CR27+CR34+CR45+CR49-CR20-CR24-CR53-CR57-CR35-CR46-CR50</x:f>
      </x:c>
      <x:c r="CS63" s="118">
        <x:f>CS27+CS34+CS45+CS49-CS20-CS24-CS53-CS57-CS35-CS46-CS50</x:f>
      </x:c>
      <x:c r="CT63" s="118">
        <x:f>CT27+CT34+CT45+CT49-CT20-CT24-CT53-CT57-CT35-CT46-CT50</x:f>
      </x:c>
      <x:c r="CU63" s="118">
        <x:f>CU27+CU34+CU45+CU49-CU20-CU24-CU53-CU57-CU35-CU46-CU50</x:f>
      </x:c>
      <x:c r="CV63" s="118">
        <x:f>CV27+CV34+CV45+CV49-CV20-CV24-CV53-CV57-CV35-CV46-CV50</x:f>
      </x:c>
      <x:c r="CW63" s="118">
        <x:f>CW27+CW34+CW45+CW49-CW20-CW24-CW53-CW57-CW35-CW46-CW50</x:f>
      </x:c>
      <x:c r="CX63" s="118">
        <x:f>CX27+CX34+CX45+CX49-CX20-CX24-CX53-CX57-CX35-CX46-CX50</x:f>
      </x:c>
      <x:c r="CY63" s="118">
        <x:f>CY27+CY34+CY45+CY49-CY20-CY24-CY53-CY57-CY35-CY46-CY50</x:f>
      </x:c>
      <x:c r="CZ63" s="118">
        <x:f>CZ27+CZ34+CZ45+CZ49-CZ20-CZ24-CZ53-CZ57-CZ35-CZ46-CZ50</x:f>
      </x:c>
      <x:c r="DA63" s="118">
        <x:f>DA27+DA34+DA45+DA49-DA20-DA24-DA53-DA57-DA35-DA46-DA50</x:f>
      </x:c>
      <x:c r="DB63" s="118">
        <x:f>DB27+DB34+DB45+DB49-DB20-DB24-DB53-DB57-DB35-DB46-DB50</x:f>
      </x:c>
      <x:c r="DC63" s="118">
        <x:f>DC27+DC34+DC45+DC49-DC20-DC24-DC53-DC57-DC35-DC46-DC50</x:f>
      </x:c>
      <x:c r="DD63" s="118">
        <x:f>DD27+DD34+DD45+DD49-DD20-DD24-DD53-DD57-DD35-DD46-DD50</x:f>
      </x:c>
      <x:c r="DE63" s="118">
        <x:f>DE27+DE34+DE45+DE49-DE20-DE24-DE53-DE57-DE35-DE46-DE50</x:f>
      </x:c>
      <x:c r="DF63" s="118">
        <x:f>DF27+DF34+DF45+DF49-DF20-DF24-DF53-DF57-DF35-DF46-DF50</x:f>
      </x:c>
      <x:c r="DG63" s="118">
        <x:f>DG27+DG34+DG45+DG49-DG20-DG24-DG53-DG57-DG35-DG46-DG50</x:f>
      </x:c>
      <x:c r="DH63" s="118">
        <x:f>DH27+DH34+DH45+DH49-DH20-DH24-DH53-DH57-DH35-DH46-DH50</x:f>
      </x:c>
      <x:c r="DI63" s="118">
        <x:f>DI27+DI34+DI45+DI49-DI20-DI24-DI53-DI57-DI35-DI46-DI50</x:f>
      </x:c>
      <x:c r="DJ63" s="118">
        <x:f>DJ27+DJ34+DJ45+DJ49-DJ20-DJ24-DJ53-DJ57-DJ35-DJ46-DJ50</x:f>
      </x:c>
      <x:c r="DK63" s="118">
        <x:f>DK27+DK34+DK45+DK49-DK20-DK24-DK53-DK57-DK35-DK46-DK50</x:f>
      </x:c>
      <x:c r="DL63" s="118">
        <x:f>DL27+DL34+DL45+DL49-DL20-DL24-DL53-DL57-DL35-DL46-DL50</x:f>
      </x:c>
      <x:c r="DM63" s="118">
        <x:f>DM27+DM34+DM45+DM49-DM20-DM24-DM53-DM57-DM35-DM46-DM50</x:f>
      </x:c>
      <x:c r="DN63" s="118">
        <x:f>DN27+DN34+DN45+DN49-DN20-DN24-DN53-DN57-DN35-DN46-DN50</x:f>
      </x:c>
      <x:c r="DO63" s="118">
        <x:f>DO27+DO34+DO45+DO49-DO20-DO24-DO53-DO57-DO35-DO46-DO50</x:f>
      </x:c>
      <x:c r="DP63" s="118">
        <x:f>DP27+DP34+DP45+DP49-DP20-DP24-DP53-DP57-DP35-DP46-DP50</x:f>
      </x:c>
      <x:c r="DQ63" s="118">
        <x:f>DQ27+DQ34+DQ45+DQ49-DQ20-DQ24-DQ53-DQ57-DQ35-DQ46-DQ50</x:f>
      </x:c>
      <x:c r="DR63" s="118">
        <x:f>DR27+DR34+DR45+DR49-DR20-DR24-DR53-DR57-DR35-DR46-DR50</x:f>
      </x:c>
      <x:c r="DS63" s="118">
        <x:f>DS27+DS34+DS45+DS49-DS20-DS24-DS53-DS57-DS35-DS46-DS50</x:f>
      </x:c>
      <x:c r="DT63" s="118">
        <x:f>DT27+DT34+DT45+DT49-DT20-DT24-DT53-DT57-DT35-DT46-DT50</x:f>
      </x:c>
      <x:c r="DU63" s="118">
        <x:f>DU27+DU34+DU45+DU49-DU20-DU24-DU53-DU57-DU35-DU46-DU50</x:f>
      </x:c>
      <x:c r="DV63" s="118">
        <x:f>DV27+DV34+DV45+DV49-DV20-DV24-DV53-DV57-DV35-DV46-DV50</x:f>
      </x:c>
      <x:c r="DW63" s="118">
        <x:f>DW27+DW34+DW45+DW49-DW20-DW24-DW53-DW57-DW35-DW46-DW50</x:f>
      </x:c>
      <x:c r="DX63" s="118">
        <x:f>DX27+DX34+DX45+DX49-DX20-DX24-DX53-DX57-DX35-DX46-DX50</x:f>
      </x:c>
      <x:c r="DY63" s="118">
        <x:f>DY27+DY34+DY45+DY49-DY20-DY24-DY53-DY57-DY35-DY46-DY50</x:f>
      </x:c>
      <x:c r="DZ63" s="118">
        <x:f>DZ27+DZ34+DZ45+DZ49-DZ20-DZ24-DZ53-DZ57-DZ35-DZ46-DZ50</x:f>
      </x:c>
      <x:c r="EA63" s="118">
        <x:f>EA27+EA34+EA45+EA49-EA20-EA24-EA53-EA57-EA35-EA46-EA50</x:f>
      </x:c>
      <x:c r="EB63" s="118">
        <x:f>EB27+EB34+EB45+EB49-EB20-EB24-EB53-EB57-EB35-EB46-EB50</x:f>
      </x:c>
      <x:c r="EC63" s="118">
        <x:f>EC27+EC34+EC45+EC49-EC20-EC24-EC53-EC57-EC35-EC46-EC50</x:f>
      </x:c>
      <x:c r="ED63" s="118">
        <x:f>ED27+ED34+ED45+ED49-ED20-ED24-ED53-ED57-ED35-ED46-ED50</x:f>
      </x:c>
      <x:c r="EE63" s="118">
        <x:f>EE27+EE34+EE45+EE49-EE20-EE24-EE53-EE57-EE35-EE46-EE50</x:f>
      </x:c>
      <x:c r="EF63" s="118">
        <x:f>EF27+EF34+EF45+EF49-EF20-EF24-EF53-EF57-EF35-EF46-EF50</x:f>
      </x:c>
      <x:c r="EG63" s="118">
        <x:f>EG27+EG34+EG45+EG49-EG20-EG24-EG53-EG57-EG35-EG46-EG50</x:f>
      </x:c>
      <x:c r="EH63" s="118">
        <x:f>EH27+EH34+EH45+EH49-EH20-EH24-EH53-EH57-EH35-EH46-EH50</x:f>
      </x:c>
      <x:c r="EI63" s="118">
        <x:f>EI27+EI34+EI45+EI49-EI20-EI24-EI53-EI57-EI35-EI46-EI50</x:f>
      </x:c>
      <x:c r="EJ63" s="118">
        <x:f>EJ27+EJ34+EJ45+EJ49-EJ20-EJ24-EJ53-EJ57-EJ35-EJ46-EJ50</x:f>
      </x:c>
      <x:c r="EK63" s="118">
        <x:f>EK27+EK34+EK45+EK49-EK20-EK24-EK53-EK57-EK35-EK46-EK50</x:f>
      </x:c>
      <x:c r="EL63" s="118">
        <x:f>EL27+EL34+EL45+EL49-EL20-EL24-EL53-EL57-EL35-EL46-EL50</x:f>
      </x:c>
      <x:c r="EM63" s="118">
        <x:f>EM27+EM34+EM45+EM49-EM20-EM24-EM53-EM57-EM35-EM46-EM50</x:f>
      </x:c>
      <x:c r="EN63" s="118">
        <x:f>EN27+EN34+EN45+EN49-EN20-EN24-EN53-EN57-EN35-EN46-EN50</x:f>
      </x:c>
      <x:c r="EO63" s="118">
        <x:f>EO27+EO34+EO45+EO49-EO20-EO24-EO53-EO57-EO35-EO46-EO50</x:f>
      </x:c>
      <x:c r="EP63" s="118">
        <x:f>EP27+EP34+EP45+EP49-EP20-EP24-EP53-EP57-EP35-EP46-EP50</x:f>
      </x:c>
      <x:c r="EQ63" s="118">
        <x:f>EQ27+EQ34+EQ45+EQ49-EQ20-EQ24-EQ53-EQ57-EQ35-EQ46-EQ50</x:f>
      </x:c>
      <x:c r="ER63" s="118">
        <x:f>ER27+ER34+ER45+ER49-ER20-ER24-ER53-ER57-ER35-ER46-ER50</x:f>
      </x:c>
      <x:c r="ES63" s="118">
        <x:f>ES27+ES34+ES45+ES49-ES20-ES24-ES53-ES57-ES35-ES46-ES50</x:f>
      </x:c>
      <x:c r="ET63" s="118">
        <x:f>ET27+ET34+ET45+ET49-ET20-ET24-ET53-ET57-ET35-ET46-ET50</x:f>
      </x:c>
      <x:c r="EU63" s="118">
        <x:f>EU27+EU34+EU45+EU49-EU20-EU24-EU53-EU57-EU35-EU46-EU50</x:f>
      </x:c>
      <x:c r="EV63" s="118">
        <x:f>EV27+EV34+EV45+EV49-EV20-EV24-EV53-EV57-EV35-EV46-EV50</x:f>
      </x:c>
      <x:c r="EW63" s="118">
        <x:f>EW27+EW34+EW45+EW49-EW20-EW24-EW53-EW57-EW35-EW46-EW50</x:f>
      </x:c>
      <x:c r="EX63" s="118">
        <x:f>EX27+EX34+EX45+EX49-EX20-EX24-EX53-EX57-EX35-EX46-EX50</x:f>
      </x:c>
      <x:c r="EY63" s="118">
        <x:f>EY27+EY34+EY45+EY49-EY20-EY24-EY53-EY57-EY35-EY46-EY50</x:f>
      </x:c>
      <x:c r="EZ63" s="118">
        <x:f>EZ27+EZ34+EZ45+EZ49-EZ20-EZ24-EZ53-EZ57-EZ35-EZ46-EZ50</x:f>
      </x:c>
      <x:c r="FA63" s="118">
        <x:f>FA27+FA34+FA45+FA49-FA20-FA24-FA53-FA57-FA35-FA46-FA50</x:f>
      </x:c>
      <x:c r="FB63" s="118">
        <x:f>FB27+FB34+FB45+FB49-FB20-FB24-FB53-FB57-FB35-FB46-FB50</x:f>
      </x:c>
      <x:c r="FC63" s="118">
        <x:f>FC27+FC34+FC45+FC49-FC20-FC24-FC53-FC57-FC35-FC46-FC50</x:f>
      </x:c>
      <x:c r="FD63" s="118">
        <x:f>FD27+FD34+FD45+FD49-FD20-FD24-FD53-FD57-FD35-FD46-FD50</x:f>
      </x:c>
      <x:c r="FE63" s="118">
        <x:f>FE27+FE34+FE45+FE49-FE20-FE24-FE53-FE57-FE35-FE46-FE50</x:f>
      </x:c>
      <x:c r="FF63" s="118">
        <x:f>FF27+FF34+FF45+FF49-FF20-FF24-FF53-FF57-FF35-FF46-FF50</x:f>
      </x:c>
      <x:c r="FG63" s="118">
        <x:f>FG27+FG34+FG45+FG49-FG20-FG24-FG53-FG57-FG35-FG46-FG50</x:f>
      </x:c>
      <x:c r="FH63" s="118">
        <x:f>FH27+FH34+FH45+FH49-FH20-FH24-FH53-FH57-FH35-FH46-FH50</x:f>
      </x:c>
      <x:c r="FI63" s="118">
        <x:f>FI27+FI34+FI45+FI49-FI20-FI24-FI53-FI57-FI35-FI46-FI50</x:f>
      </x:c>
      <x:c r="FJ63" s="118">
        <x:f>FJ27+FJ34+FJ45+FJ49-FJ20-FJ24-FJ53-FJ57-FJ35-FJ46-FJ50</x:f>
      </x:c>
      <x:c r="FK63" s="118">
        <x:f>FK27+FK34+FK45+FK49-FK20-FK24-FK53-FK57-FK35-FK46-FK50</x:f>
      </x:c>
      <x:c r="FL63" s="118">
        <x:f>FL27+FL34+FL45+FL49-FL20-FL24-FL53-FL57-FL35-FL46-FL50</x:f>
      </x:c>
      <x:c r="FM63" s="118">
        <x:f>FM27+FM34+FM45+FM49-FM20-FM24-FM53-FM57-FM35-FM46-FM50</x:f>
      </x:c>
      <x:c r="FN63" s="118">
        <x:f>FN27+FN34+FN45+FN49-FN20-FN24-FN53-FN57-FN35-FN46-FN50</x:f>
      </x:c>
      <x:c r="FO63" s="118">
        <x:f>FO27+FO34+FO45+FO49-FO20-FO24-FO53-FO57-FO35-FO46-FO50</x:f>
      </x:c>
      <x:c r="FP63" s="118">
        <x:f>FP27+FP34+FP45+FP49-FP20-FP24-FP53-FP57-FP35-FP46-FP50</x:f>
      </x:c>
      <x:c r="FQ63" s="118">
        <x:f>FQ27+FQ34+FQ45+FQ49-FQ20-FQ24-FQ53-FQ57-FQ35-FQ46-FQ50</x:f>
      </x:c>
      <x:c r="FR63" s="118">
        <x:f>FR27+FR34+FR45+FR49-FR20-FR24-FR53-FR57-FR35-FR46-FR50</x:f>
      </x:c>
      <x:c r="FS63" s="118">
        <x:f>FS27+FS34+FS45+FS49-FS20-FS24-FS53-FS57-FS35-FS46-FS50</x:f>
      </x:c>
      <x:c r="FT63" s="118">
        <x:f>FT27+FT34+FT45+FT49-FT20-FT24-FT53-FT57-FT35-FT46-FT50</x:f>
      </x:c>
      <x:c r="FU63" s="118">
        <x:f>FU27+FU34+FU45+FU49-FU20-FU24-FU53-FU57-FU35-FU46-FU50</x:f>
      </x:c>
      <x:c r="FV63" s="118">
        <x:f>FV27+FV34+FV45+FV49-FV20-FV24-FV53-FV57-FV35-FV46-FV50</x:f>
      </x:c>
      <x:c r="FW63" s="118">
        <x:f>FW27+FW34+FW45+FW49-FW20-FW24-FW53-FW57-FW35-FW46-FW50</x:f>
      </x:c>
      <x:c r="FX63" s="118">
        <x:f>FX27+FX34+FX45+FX49-FX20-FX24-FX53-FX57-FX35-FX46-FX50</x:f>
      </x:c>
      <x:c r="FY63" s="118">
        <x:f>FY27+FY34+FY45+FY49-FY20-FY24-FY53-FY57-FY35-FY46-FY50</x:f>
      </x:c>
      <x:c r="FZ63" s="118">
        <x:f>FZ27+FZ34+FZ45+FZ49-FZ20-FZ24-FZ53-FZ57-FZ35-FZ46-FZ50</x:f>
      </x:c>
      <x:c r="GA63" s="118">
        <x:f>GA27+GA34+GA45+GA49-GA20-GA24-GA53-GA57-GA35-GA46-GA50</x:f>
      </x:c>
    </x:row>
    <x:row r="66" ht="21" customHeight="1">
      <x:c r="A66" s="52" t="str">
        <x:v>СВОДКА ОЧЕРЕДИ 2</x:v>
      </x:c>
      <x:c r="B66" s="53" t="str">
        <x:v>СВОДКА ОЧЕРЕДИ 2</x:v>
      </x:c>
      <x:c r="C66" s="54" t="str">
        <x:v>СВОДКА ОЧЕРЕДИ 2</x:v>
      </x:c>
    </x:row>
    <x:row r="67">
      <x:c r="A67" s="99" t="str">
        <x:v>Выручка</x:v>
      </x:c>
      <x:c r="B67" s="116" t="n">
        <x:f>B10</x:f>
      </x:c>
      <x:c r="C67" s="99" t="str">
        <x:v>млн ₽</x:v>
      </x:c>
    </x:row>
    <x:row r="68">
      <x:c r="A68" s="99" t="str">
        <x:v>CAPEX</x:v>
      </x:c>
      <x:c r="B68" s="116" t="n">
        <x:f>B17</x:f>
      </x:c>
      <x:c r="C68" s="99" t="str">
        <x:v>млн ₽</x:v>
      </x:c>
    </x:row>
    <x:row r="69">
      <x:c r="A69" s="99" t="str">
        <x:v>Коммерческие расходы</x:v>
      </x:c>
      <x:c r="B69" s="116" t="n">
        <x:f>SUM(B18:B19)</x:f>
      </x:c>
      <x:c r="C69" s="99" t="str">
        <x:v>млн ₽</x:v>
      </x:c>
    </x:row>
    <x:row r="70">
      <x:c r="A70" s="99" t="str">
        <x:v>EBITDA</x:v>
      </x:c>
      <x:c r="B70" s="116" t="n">
        <x:f>B10-B20</x:f>
      </x:c>
      <x:c r="C70" s="99" t="str">
        <x:v>млн ₽</x:v>
      </x:c>
    </x:row>
    <x:row r="71">
      <x:c r="A71" s="99" t="str">
        <x:v>Проценты БРИДЖ</x:v>
      </x:c>
      <x:c r="B71" s="116" t="n">
        <x:f>B32</x:f>
      </x:c>
      <x:c r="C71" s="99" t="str">
        <x:v>млн ₽</x:v>
      </x:c>
    </x:row>
    <x:row r="72">
      <x:c r="A72" s="99" t="str">
        <x:v>Проценты ПФ</x:v>
      </x:c>
      <x:c r="B72" s="116" t="n">
        <x:f>B42</x:f>
      </x:c>
      <x:c r="C72" s="99" t="str">
        <x:v>млн ₽</x:v>
      </x:c>
    </x:row>
    <x:row r="73">
      <x:c r="A73" s="99" t="str">
        <x:v>Комиссии ПФ</x:v>
      </x:c>
      <x:c r="B73" s="116" t="n">
        <x:f>B43</x:f>
      </x:c>
      <x:c r="C73" s="99" t="str">
        <x:v>млн ₽</x:v>
      </x:c>
    </x:row>
    <x:row r="74">
      <x:c r="A74" s="99" t="str">
        <x:v>Стоимость финансирования (кассовая)</x:v>
      </x:c>
      <x:c r="B74" s="116" t="n">
        <x:f>SUM(B53,B57)+IF('Вводные'!$B$31="Оплата капиталом",MAX(D37:GA37),0)</x:f>
      </x:c>
      <x:c r="C74" s="99" t="str">
        <x:v>млн ₽</x:v>
      </x:c>
    </x:row>
    <x:row r="75">
      <x:c r="A75" s="99" t="str">
        <x:v>Прибыль до налога</x:v>
      </x:c>
      <x:c r="B75" s="116" t="n">
        <x:f>B10-B20-B74</x:f>
      </x:c>
      <x:c r="C75" s="99" t="str">
        <x:v>млн ₽</x:v>
      </x:c>
    </x:row>
    <x:row r="76">
      <x:c r="A76" s="99" t="str">
        <x:v>Налог на прибыль</x:v>
      </x:c>
      <x:c r="B76" s="116" t="n">
        <x:f>B24</x:f>
      </x:c>
      <x:c r="C76" s="99" t="str">
        <x:v>млн ₽</x:v>
      </x:c>
    </x:row>
    <x:row r="77">
      <x:c r="A77" s="99" t="str">
        <x:v>Чистая прибыль (кассовая по очереди)</x:v>
      </x:c>
      <x:c r="B77" s="116" t="n">
        <x:f>B75-B76-B21</x:f>
      </x:c>
      <x:c r="C77" s="99" t="str">
        <x:v>млн ₽</x:v>
      </x:c>
    </x:row>
    <x:row r="78">
      <x:c r="A78" s="99" t="str">
        <x:v>Вложено собственного капитала</x:v>
      </x:c>
      <x:c r="B78" s="116" t="n">
        <x:f>B49</x:f>
      </x:c>
      <x:c r="C78" s="99" t="str">
        <x:v>млн ₽</x:v>
      </x:c>
    </x:row>
    <x:row r="79">
      <x:c r="A79" s="99" t="str">
        <x:v>Распределено собственнику</x:v>
      </x:c>
      <x:c r="B79" s="116" t="n">
        <x:f>B50</x:f>
      </x:c>
      <x:c r="C79" s="99" t="str">
        <x:v>млн ₽</x:v>
      </x:c>
    </x:row>
    <x:row r="80">
      <x:c r="A80" s="99" t="str">
        <x:v>IRR собственного капитала</x:v>
      </x:c>
      <x:c r="B80" s="130" t="str">
        <x:f>IF(B86&gt;0.5,"N/A (долг не погашен)",IF(B49&lt;1,"N/A (капитал не привлекался)",IF(AND(MIN(D51:GA51)&lt;0,MAX(D51:GA51)&gt;0),IFERROR(XIRR(D51:GA51,D3:GA3,0.1),IFERROR(XIRR(D51:GA51,D3:GA3,1),IFERROR(XIRR(D51:GA51,D3:GA3,5),""))),"")))</x:f>
      </x:c>
      <x:c r="C80" s="99" t="str">
        <x:v>% год</x:v>
      </x:c>
    </x:row>
    <x:row r="81">
      <x:c r="A81" s="99" t="str">
        <x:v>NPV собственного капитала</x:v>
      </x:c>
      <x:c r="B81" s="116" t="n">
        <x:f>IF(B86&gt;0.5,"N/A (долг не погашен)",D51+NPV('Вводные'!$B$23/12,E51:GA51))</x:f>
      </x:c>
      <x:c r="C81" s="99" t="str">
        <x:v>млн ₽</x:v>
      </x:c>
    </x:row>
    <x:row r="82">
      <x:c r="A82" t="inlineStr">
        <x:is>
          <x:t>Пиковый долг БРИДЖ (тело долга)</x:t>
        </x:is>
      </x:c>
      <x:c r="B82" s="116" t="n">
        <x:f>MAX(D36:GA36)</x:f>
      </x:c>
      <x:c r="C82" s="99" t="str">
        <x:v>млн ₽</x:v>
      </x:c>
    </x:row>
    <x:row r="83">
      <x:c r="A83" s="99" t="str">
        <x:v>Пиковый долг ПФ</x:v>
      </x:c>
      <x:c r="B83" s="116" t="n">
        <x:f>MAX(D47:GA47)</x:f>
      </x:c>
      <x:c r="C83" s="99" t="str">
        <x:v>млн ₽</x:v>
      </x:c>
    </x:row>
    <x:row r="84">
      <x:c r="A84" s="99" t="str">
        <x:v>Пиковый эскроу</x:v>
      </x:c>
      <x:c r="B84" s="116" t="n">
        <x:f>MAX(D15:GA15)</x:f>
      </x:c>
      <x:c r="C84" s="99" t="str">
        <x:v>млн ₽</x:v>
      </x:c>
    </x:row>
    <x:row r="85">
      <x:c r="A85" t="inlineStr">
        <x:is>
          <x:t>LLCR очереди (за весь срок)</x:t>
        </x:is>
      </x:c>
      <x:c r="B85" s="131" t="n">
        <x:f>IFERROR((B67-B68-B69-B76-B21+SUM(D45:GA45))/(SUM(D45:GA45)+B74),0)</x:f>
      </x:c>
      <x:c r="C85" s="99" t="str">
        <x:v>×</x:v>
      </x:c>
    </x:row>
    <x:row r="86">
      <x:c r="A86" s="99" t="str">
        <x:v>Непогашенный долг на конец проекта</x:v>
      </x:c>
      <x:c r="B86" s="116" t="n">
        <x:f>B36+B47</x:f>
      </x:c>
      <x:c r="C86" s="99" t="str">
        <x:v>млн ₽</x:v>
      </x:c>
    </x:row>
  </x:sheetData>
  <x:mergeCells>
    <x:mergeCell ref="A1:GA1"/>
    <x:mergeCell ref="A66:C6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5" hidden="0" customWidth="1"/>
    <x:col min="3" max="3" width="12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  <x:col min="45" max="45" width="11" hidden="0" customWidth="1"/>
    <x:col min="46" max="46" width="11" hidden="0" customWidth="1"/>
    <x:col min="47" max="47" width="11" hidden="0" customWidth="1"/>
    <x:col min="48" max="48" width="11" hidden="0" customWidth="1"/>
    <x:col min="49" max="49" width="11" hidden="0" customWidth="1"/>
    <x:col min="50" max="50" width="11" hidden="0" customWidth="1"/>
    <x:col min="51" max="51" width="11" hidden="0" customWidth="1"/>
    <x:col min="52" max="52" width="11" hidden="0" customWidth="1"/>
    <x:col min="53" max="53" width="11" hidden="0" customWidth="1"/>
    <x:col min="54" max="54" width="11" hidden="0" customWidth="1"/>
    <x:col min="55" max="55" width="11" hidden="0" customWidth="1"/>
    <x:col min="56" max="56" width="11" hidden="0" customWidth="1"/>
    <x:col min="57" max="57" width="11" hidden="0" customWidth="1"/>
    <x:col min="58" max="58" width="11" hidden="0" customWidth="1"/>
    <x:col min="59" max="59" width="11" hidden="0" customWidth="1"/>
    <x:col min="60" max="60" width="11" hidden="0" customWidth="1"/>
    <x:col min="61" max="61" width="11" hidden="0" customWidth="1"/>
    <x:col min="62" max="62" width="11" hidden="0" customWidth="1"/>
    <x:col min="63" max="63" width="11" hidden="0" customWidth="1"/>
    <x:col min="64" max="64" width="11" hidden="0" customWidth="1"/>
    <x:col min="65" max="65" width="11" hidden="0" customWidth="1"/>
    <x:col min="66" max="66" width="11" hidden="0" customWidth="1"/>
    <x:col min="67" max="67" width="11" hidden="0" customWidth="1"/>
    <x:col min="68" max="68" width="11" hidden="0" customWidth="1"/>
    <x:col min="69" max="69" width="11" hidden="0" customWidth="1"/>
    <x:col min="70" max="70" width="11" hidden="0" customWidth="1"/>
    <x:col min="71" max="71" width="11" hidden="0" customWidth="1"/>
    <x:col min="72" max="72" width="11" hidden="0" customWidth="1"/>
    <x:col min="73" max="73" width="11" hidden="0" customWidth="1"/>
    <x:col min="74" max="74" width="11" hidden="0" customWidth="1"/>
    <x:col min="75" max="75" width="11" hidden="0" customWidth="1"/>
    <x:col min="76" max="76" width="11" hidden="0" customWidth="1"/>
    <x:col min="77" max="77" width="11" hidden="0" customWidth="1"/>
    <x:col min="78" max="78" width="11" hidden="0" customWidth="1"/>
    <x:col min="79" max="79" width="11" hidden="0" customWidth="1"/>
    <x:col min="80" max="80" width="11" hidden="0" customWidth="1"/>
    <x:col min="81" max="81" width="11" hidden="0" customWidth="1"/>
    <x:col min="82" max="82" width="11" hidden="0" customWidth="1"/>
    <x:col min="83" max="83" width="11" hidden="0" customWidth="1"/>
    <x:col min="84" max="84" width="11" hidden="0" customWidth="1"/>
    <x:col min="85" max="85" width="11" hidden="0" customWidth="1"/>
    <x:col min="86" max="86" width="11" hidden="0" customWidth="1"/>
    <x:col min="87" max="87" width="11" hidden="0" customWidth="1"/>
    <x:col min="88" max="88" width="11" hidden="0" customWidth="1"/>
    <x:col min="89" max="89" width="11" hidden="0" customWidth="1"/>
    <x:col min="90" max="90" width="11" hidden="0" customWidth="1"/>
    <x:col min="91" max="91" width="11" hidden="0" customWidth="1"/>
    <x:col min="92" max="92" width="11" hidden="0" customWidth="1"/>
    <x:col min="93" max="93" width="11" hidden="0" customWidth="1"/>
    <x:col min="94" max="94" width="11" hidden="0" customWidth="1"/>
    <x:col min="95" max="95" width="11" hidden="0" customWidth="1"/>
    <x:col min="96" max="96" width="11" hidden="0" customWidth="1"/>
    <x:col min="97" max="97" width="11" hidden="0" customWidth="1"/>
    <x:col min="98" max="98" width="11" hidden="0" customWidth="1"/>
    <x:col min="99" max="99" width="11" hidden="0" customWidth="1"/>
    <x:col min="100" max="100" width="11" hidden="0" customWidth="1"/>
    <x:col min="101" max="101" width="11" hidden="0" customWidth="1"/>
    <x:col min="102" max="102" width="11" hidden="0" customWidth="1"/>
    <x:col min="103" max="103" width="11" hidden="0" customWidth="1"/>
    <x:col min="104" max="104" width="11" hidden="0" customWidth="1"/>
    <x:col min="105" max="105" width="11" hidden="0" customWidth="1"/>
    <x:col min="106" max="106" width="11" hidden="0" customWidth="1"/>
    <x:col min="107" max="107" width="11" hidden="0" customWidth="1"/>
    <x:col min="108" max="108" width="11" hidden="0" customWidth="1"/>
    <x:col min="109" max="109" width="11" hidden="0" customWidth="1"/>
    <x:col min="110" max="110" width="11" hidden="0" customWidth="1"/>
    <x:col min="111" max="111" width="11" hidden="0" customWidth="1"/>
    <x:col min="112" max="112" width="11" hidden="0" customWidth="1"/>
    <x:col min="113" max="113" width="11" hidden="0" customWidth="1"/>
    <x:col min="114" max="114" width="11" hidden="0" customWidth="1"/>
    <x:col min="115" max="115" width="11" hidden="0" customWidth="1"/>
    <x:col min="116" max="116" width="11" hidden="0" customWidth="1"/>
    <x:col min="117" max="117" width="11" hidden="0" customWidth="1"/>
    <x:col min="118" max="118" width="11" hidden="0" customWidth="1"/>
    <x:col min="119" max="119" width="11" hidden="0" customWidth="1"/>
    <x:col min="120" max="120" width="11" hidden="0" customWidth="1"/>
    <x:col min="121" max="121" width="11" hidden="0" customWidth="1"/>
    <x:col min="122" max="122" width="11" hidden="0" customWidth="1"/>
    <x:col min="123" max="123" width="11" hidden="0" customWidth="1"/>
    <x:col min="124" max="124" width="11" hidden="0" customWidth="1"/>
    <x:col min="125" max="125" width="11" hidden="0" customWidth="1"/>
    <x:col min="126" max="126" width="11" hidden="0" customWidth="1"/>
    <x:col min="127" max="127" width="11" hidden="0" customWidth="1"/>
    <x:col min="128" max="128" width="11" hidden="0" customWidth="1"/>
    <x:col min="129" max="129" width="11" hidden="0" customWidth="1"/>
    <x:col min="130" max="130" width="11" hidden="0" customWidth="1"/>
    <x:col min="131" max="131" width="11" hidden="0" customWidth="1"/>
    <x:col min="132" max="132" width="11" hidden="0" customWidth="1"/>
    <x:col min="133" max="133" width="11" hidden="0" customWidth="1"/>
    <x:col min="134" max="134" width="11" hidden="0" customWidth="1"/>
    <x:col min="135" max="135" width="11" hidden="0" customWidth="1"/>
    <x:col min="136" max="136" width="11" hidden="0" customWidth="1"/>
    <x:col min="137" max="137" width="11" hidden="0" customWidth="1"/>
    <x:col min="138" max="138" width="11" hidden="0" customWidth="1"/>
    <x:col min="139" max="139" width="11" hidden="0" customWidth="1"/>
    <x:col min="140" max="140" width="11" hidden="0" customWidth="1"/>
    <x:col min="141" max="141" width="11" hidden="0" customWidth="1"/>
    <x:col min="142" max="142" width="11" hidden="0" customWidth="1"/>
    <x:col min="143" max="143" width="11" hidden="0" customWidth="1"/>
    <x:col min="144" max="144" width="11" hidden="0" customWidth="1"/>
    <x:col min="145" max="145" width="11" hidden="0" customWidth="1"/>
    <x:col min="146" max="146" width="11" hidden="0" customWidth="1"/>
    <x:col min="147" max="147" width="11" hidden="0" customWidth="1"/>
    <x:col min="148" max="148" width="11" hidden="0" customWidth="1"/>
    <x:col min="149" max="149" width="11" hidden="0" customWidth="1"/>
    <x:col min="150" max="150" width="11" hidden="0" customWidth="1"/>
    <x:col min="151" max="151" width="11" hidden="0" customWidth="1"/>
    <x:col min="152" max="152" width="11" hidden="0" customWidth="1"/>
    <x:col min="153" max="153" width="11" hidden="0" customWidth="1"/>
    <x:col min="154" max="154" width="11" hidden="0" customWidth="1"/>
    <x:col min="155" max="155" width="11" hidden="0" customWidth="1"/>
    <x:col min="156" max="156" width="11" hidden="0" customWidth="1"/>
    <x:col min="157" max="157" width="11" hidden="0" customWidth="1"/>
    <x:col min="158" max="158" width="11" hidden="0" customWidth="1"/>
    <x:col min="159" max="159" width="11" hidden="0" customWidth="1"/>
    <x:col min="160" max="160" width="11" hidden="0" customWidth="1"/>
    <x:col min="161" max="161" width="11" hidden="0" customWidth="1"/>
    <x:col min="162" max="162" width="11" hidden="0" customWidth="1"/>
    <x:col min="163" max="163" width="11" hidden="0" customWidth="1"/>
    <x:col min="164" max="164" width="11" hidden="0" customWidth="1"/>
    <x:col min="165" max="165" width="11" hidden="0" customWidth="1"/>
    <x:col min="166" max="166" width="11" hidden="0" customWidth="1"/>
    <x:col min="167" max="167" width="11" hidden="0" customWidth="1"/>
    <x:col min="168" max="168" width="11" hidden="0" customWidth="1"/>
    <x:col min="169" max="169" width="11" hidden="0" customWidth="1"/>
    <x:col min="170" max="170" width="11" hidden="0" customWidth="1"/>
    <x:col min="171" max="171" width="11" hidden="0" customWidth="1"/>
    <x:col min="172" max="172" width="11" hidden="0" customWidth="1"/>
    <x:col min="173" max="173" width="11" hidden="0" customWidth="1"/>
    <x:col min="174" max="174" width="11" hidden="0" customWidth="1"/>
    <x:col min="175" max="175" width="11" hidden="0" customWidth="1"/>
    <x:col min="176" max="176" width="11" hidden="0" customWidth="1"/>
    <x:col min="177" max="177" width="11" hidden="0" customWidth="1"/>
    <x:col min="178" max="178" width="11" hidden="0" customWidth="1"/>
    <x:col min="179" max="179" width="11" hidden="0" customWidth="1"/>
    <x:col min="180" max="180" width="11" hidden="0" customWidth="1"/>
    <x:col min="181" max="181" width="11" hidden="0" customWidth="1"/>
    <x:col min="182" max="182" width="11" hidden="0" customWidth="1"/>
    <x:col min="183" max="183" width="11" hidden="0" customWidth="1"/>
  </x:cols>
  <x:sheetData>
    <x:row r="1" ht="28" customHeight="1">
      <x:c r="A1" s="4" t="str">
        <x:v>ДЕНЕЖНЫЙ ПОТОК · ОЧЕРЕДЬ 3</x:v>
      </x:c>
      <x:c r="B1" s="4" t="str">
        <x:v>ДЕНЕЖНЫЙ ПОТОК · ОЧЕРЕДЬ 3</x:v>
      </x:c>
      <x:c r="C1" s="4" t="str">
        <x:v>ДЕНЕЖНЫЙ ПОТОК · ОЧЕРЕДЬ 3</x:v>
      </x:c>
      <x:c r="D1" s="4" t="str">
        <x:v>ДЕНЕЖНЫЙ ПОТОК · ОЧЕРЕДЬ 3</x:v>
      </x:c>
      <x:c r="E1" s="4" t="str">
        <x:v>ДЕНЕЖНЫЙ ПОТОК · ОЧЕРЕДЬ 3</x:v>
      </x:c>
      <x:c r="F1" s="4" t="str">
        <x:v>ДЕНЕЖНЫЙ ПОТОК · ОЧЕРЕДЬ 3</x:v>
      </x:c>
      <x:c r="G1" s="4" t="str">
        <x:v>ДЕНЕЖНЫЙ ПОТОК · ОЧЕРЕДЬ 3</x:v>
      </x:c>
      <x:c r="H1" s="4" t="str">
        <x:v>ДЕНЕЖНЫЙ ПОТОК · ОЧЕРЕДЬ 3</x:v>
      </x:c>
      <x:c r="I1" s="4" t="str">
        <x:v>ДЕНЕЖНЫЙ ПОТОК · ОЧЕРЕДЬ 3</x:v>
      </x:c>
      <x:c r="J1" s="4" t="str">
        <x:v>ДЕНЕЖНЫЙ ПОТОК · ОЧЕРЕДЬ 3</x:v>
      </x:c>
      <x:c r="K1" s="4" t="str">
        <x:v>ДЕНЕЖНЫЙ ПОТОК · ОЧЕРЕДЬ 3</x:v>
      </x:c>
      <x:c r="L1" s="4" t="str">
        <x:v>ДЕНЕЖНЫЙ ПОТОК · ОЧЕРЕДЬ 3</x:v>
      </x:c>
      <x:c r="M1" s="4" t="str">
        <x:v>ДЕНЕЖНЫЙ ПОТОК · ОЧЕРЕДЬ 3</x:v>
      </x:c>
      <x:c r="N1" s="4" t="str">
        <x:v>ДЕНЕЖНЫЙ ПОТОК · ОЧЕРЕДЬ 3</x:v>
      </x:c>
      <x:c r="O1" s="4" t="str">
        <x:v>ДЕНЕЖНЫЙ ПОТОК · ОЧЕРЕДЬ 3</x:v>
      </x:c>
      <x:c r="P1" s="4" t="str">
        <x:v>ДЕНЕЖНЫЙ ПОТОК · ОЧЕРЕДЬ 3</x:v>
      </x:c>
      <x:c r="Q1" s="4" t="str">
        <x:v>ДЕНЕЖНЫЙ ПОТОК · ОЧЕРЕДЬ 3</x:v>
      </x:c>
      <x:c r="R1" s="4" t="str">
        <x:v>ДЕНЕЖНЫЙ ПОТОК · ОЧЕРЕДЬ 3</x:v>
      </x:c>
      <x:c r="S1" s="4" t="str">
        <x:v>ДЕНЕЖНЫЙ ПОТОК · ОЧЕРЕДЬ 3</x:v>
      </x:c>
      <x:c r="T1" s="4" t="str">
        <x:v>ДЕНЕЖНЫЙ ПОТОК · ОЧЕРЕДЬ 3</x:v>
      </x:c>
      <x:c r="U1" s="4" t="str">
        <x:v>ДЕНЕЖНЫЙ ПОТОК · ОЧЕРЕДЬ 3</x:v>
      </x:c>
      <x:c r="V1" s="4" t="str">
        <x:v>ДЕНЕЖНЫЙ ПОТОК · ОЧЕРЕДЬ 3</x:v>
      </x:c>
      <x:c r="W1" s="4" t="str">
        <x:v>ДЕНЕЖНЫЙ ПОТОК · ОЧЕРЕДЬ 3</x:v>
      </x:c>
      <x:c r="X1" s="4" t="str">
        <x:v>ДЕНЕЖНЫЙ ПОТОК · ОЧЕРЕДЬ 3</x:v>
      </x:c>
      <x:c r="Y1" s="4" t="str">
        <x:v>ДЕНЕЖНЫЙ ПОТОК · ОЧЕРЕДЬ 3</x:v>
      </x:c>
      <x:c r="Z1" s="4" t="str">
        <x:v>ДЕНЕЖНЫЙ ПОТОК · ОЧЕРЕДЬ 3</x:v>
      </x:c>
      <x:c r="AA1" s="4" t="str">
        <x:v>ДЕНЕЖНЫЙ ПОТОК · ОЧЕРЕДЬ 3</x:v>
      </x:c>
      <x:c r="AB1" s="4" t="str">
        <x:v>ДЕНЕЖНЫЙ ПОТОК · ОЧЕРЕДЬ 3</x:v>
      </x:c>
      <x:c r="AC1" s="4" t="str">
        <x:v>ДЕНЕЖНЫЙ ПОТОК · ОЧЕРЕДЬ 3</x:v>
      </x:c>
      <x:c r="AD1" s="4" t="str">
        <x:v>ДЕНЕЖНЫЙ ПОТОК · ОЧЕРЕДЬ 3</x:v>
      </x:c>
      <x:c r="AE1" s="4" t="str">
        <x:v>ДЕНЕЖНЫЙ ПОТОК · ОЧЕРЕДЬ 3</x:v>
      </x:c>
      <x:c r="AF1" s="4" t="str">
        <x:v>ДЕНЕЖНЫЙ ПОТОК · ОЧЕРЕДЬ 3</x:v>
      </x:c>
      <x:c r="AG1" s="4" t="str">
        <x:v>ДЕНЕЖНЫЙ ПОТОК · ОЧЕРЕДЬ 3</x:v>
      </x:c>
      <x:c r="AH1" s="4" t="str">
        <x:v>ДЕНЕЖНЫЙ ПОТОК · ОЧЕРЕДЬ 3</x:v>
      </x:c>
      <x:c r="AI1" s="4" t="str">
        <x:v>ДЕНЕЖНЫЙ ПОТОК · ОЧЕРЕДЬ 3</x:v>
      </x:c>
      <x:c r="AJ1" s="4" t="str">
        <x:v>ДЕНЕЖНЫЙ ПОТОК · ОЧЕРЕДЬ 3</x:v>
      </x:c>
      <x:c r="AK1" s="4" t="str">
        <x:v>ДЕНЕЖНЫЙ ПОТОК · ОЧЕРЕДЬ 3</x:v>
      </x:c>
      <x:c r="AL1" s="4" t="str">
        <x:v>ДЕНЕЖНЫЙ ПОТОК · ОЧЕРЕДЬ 3</x:v>
      </x:c>
      <x:c r="AM1" s="4" t="str">
        <x:v>ДЕНЕЖНЫЙ ПОТОК · ОЧЕРЕДЬ 3</x:v>
      </x:c>
      <x:c r="AN1" s="4" t="str">
        <x:v>ДЕНЕЖНЫЙ ПОТОК · ОЧЕРЕДЬ 3</x:v>
      </x:c>
      <x:c r="AO1" s="4" t="str">
        <x:v>ДЕНЕЖНЫЙ ПОТОК · ОЧЕРЕДЬ 3</x:v>
      </x:c>
      <x:c r="AP1" s="4" t="str">
        <x:v>ДЕНЕЖНЫЙ ПОТОК · ОЧЕРЕДЬ 3</x:v>
      </x:c>
      <x:c r="AQ1" s="4" t="str">
        <x:v>ДЕНЕЖНЫЙ ПОТОК · ОЧЕРЕДЬ 3</x:v>
      </x:c>
      <x:c r="AR1" s="4" t="str">
        <x:v>ДЕНЕЖНЫЙ ПОТОК · ОЧЕРЕДЬ 3</x:v>
      </x:c>
      <x:c r="AS1" s="4" t="str">
        <x:v>ДЕНЕЖНЫЙ ПОТОК · ОЧЕРЕДЬ 3</x:v>
      </x:c>
      <x:c r="AT1" s="4" t="str">
        <x:v>ДЕНЕЖНЫЙ ПОТОК · ОЧЕРЕДЬ 3</x:v>
      </x:c>
      <x:c r="AU1" s="4" t="str">
        <x:v>ДЕНЕЖНЫЙ ПОТОК · ОЧЕРЕДЬ 3</x:v>
      </x:c>
      <x:c r="AV1" s="4" t="str">
        <x:v>ДЕНЕЖНЫЙ ПОТОК · ОЧЕРЕДЬ 3</x:v>
      </x:c>
      <x:c r="AW1" s="4" t="str">
        <x:v>ДЕНЕЖНЫЙ ПОТОК · ОЧЕРЕДЬ 3</x:v>
      </x:c>
      <x:c r="AX1" s="4" t="str">
        <x:v>ДЕНЕЖНЫЙ ПОТОК · ОЧЕРЕДЬ 3</x:v>
      </x:c>
      <x:c r="AY1" s="4" t="str">
        <x:v>ДЕНЕЖНЫЙ ПОТОК · ОЧЕРЕДЬ 3</x:v>
      </x:c>
      <x:c r="AZ1" s="4" t="str">
        <x:v>ДЕНЕЖНЫЙ ПОТОК · ОЧЕРЕДЬ 3</x:v>
      </x:c>
      <x:c r="BA1" s="4" t="str">
        <x:v>ДЕНЕЖНЫЙ ПОТОК · ОЧЕРЕДЬ 3</x:v>
      </x:c>
      <x:c r="BB1" s="4" t="str">
        <x:v>ДЕНЕЖНЫЙ ПОТОК · ОЧЕРЕДЬ 3</x:v>
      </x:c>
      <x:c r="BC1" s="4" t="str">
        <x:v>ДЕНЕЖНЫЙ ПОТОК · ОЧЕРЕДЬ 3</x:v>
      </x:c>
      <x:c r="BD1" s="4" t="str">
        <x:v>ДЕНЕЖНЫЙ ПОТОК · ОЧЕРЕДЬ 3</x:v>
      </x:c>
      <x:c r="BE1" s="4" t="str">
        <x:v>ДЕНЕЖНЫЙ ПОТОК · ОЧЕРЕДЬ 3</x:v>
      </x:c>
      <x:c r="BF1" s="4" t="str">
        <x:v>ДЕНЕЖНЫЙ ПОТОК · ОЧЕРЕДЬ 3</x:v>
      </x:c>
      <x:c r="BG1" s="4" t="str">
        <x:v>ДЕНЕЖНЫЙ ПОТОК · ОЧЕРЕДЬ 3</x:v>
      </x:c>
      <x:c r="BH1" s="4" t="str">
        <x:v>ДЕНЕЖНЫЙ ПОТОК · ОЧЕРЕДЬ 3</x:v>
      </x:c>
      <x:c r="BI1" s="4" t="str">
        <x:v>ДЕНЕЖНЫЙ ПОТОК · ОЧЕРЕДЬ 3</x:v>
      </x:c>
      <x:c r="BJ1" s="4" t="str">
        <x:v>ДЕНЕЖНЫЙ ПОТОК · ОЧЕРЕДЬ 3</x:v>
      </x:c>
      <x:c r="BK1" s="4" t="str">
        <x:v>ДЕНЕЖНЫЙ ПОТОК · ОЧЕРЕДЬ 3</x:v>
      </x:c>
      <x:c r="BL1" s="4" t="str">
        <x:v>ДЕНЕЖНЫЙ ПОТОК · ОЧЕРЕДЬ 3</x:v>
      </x:c>
      <x:c r="BM1" s="4" t="str">
        <x:v>ДЕНЕЖНЫЙ ПОТОК · ОЧЕРЕДЬ 3</x:v>
      </x:c>
      <x:c r="BN1" s="4" t="str">
        <x:v>ДЕНЕЖНЫЙ ПОТОК · ОЧЕРЕДЬ 3</x:v>
      </x:c>
      <x:c r="BO1" s="4" t="str">
        <x:v>ДЕНЕЖНЫЙ ПОТОК · ОЧЕРЕДЬ 3</x:v>
      </x:c>
      <x:c r="BP1" s="4" t="str">
        <x:v>ДЕНЕЖНЫЙ ПОТОК · ОЧЕРЕДЬ 3</x:v>
      </x:c>
      <x:c r="BQ1" s="4" t="str">
        <x:v>ДЕНЕЖНЫЙ ПОТОК · ОЧЕРЕДЬ 3</x:v>
      </x:c>
      <x:c r="BR1" s="4" t="str">
        <x:v>ДЕНЕЖНЫЙ ПОТОК · ОЧЕРЕДЬ 3</x:v>
      </x:c>
      <x:c r="BS1" s="4" t="str">
        <x:v>ДЕНЕЖНЫЙ ПОТОК · ОЧЕРЕДЬ 3</x:v>
      </x:c>
      <x:c r="BT1" s="4" t="str">
        <x:v>ДЕНЕЖНЫЙ ПОТОК · ОЧЕРЕДЬ 3</x:v>
      </x:c>
      <x:c r="BU1" s="4" t="str">
        <x:v>ДЕНЕЖНЫЙ ПОТОК · ОЧЕРЕДЬ 3</x:v>
      </x:c>
      <x:c r="BV1" s="4" t="str">
        <x:v>ДЕНЕЖНЫЙ ПОТОК · ОЧЕРЕДЬ 3</x:v>
      </x:c>
      <x:c r="BW1" s="4" t="str">
        <x:v>ДЕНЕЖНЫЙ ПОТОК · ОЧЕРЕДЬ 3</x:v>
      </x:c>
      <x:c r="BX1" s="4" t="str">
        <x:v>ДЕНЕЖНЫЙ ПОТОК · ОЧЕРЕДЬ 3</x:v>
      </x:c>
      <x:c r="BY1" s="4" t="str">
        <x:v>ДЕНЕЖНЫЙ ПОТОК · ОЧЕРЕДЬ 3</x:v>
      </x:c>
      <x:c r="BZ1" s="4" t="str">
        <x:v>ДЕНЕЖНЫЙ ПОТОК · ОЧЕРЕДЬ 3</x:v>
      </x:c>
      <x:c r="CA1" s="4" t="str">
        <x:v>ДЕНЕЖНЫЙ ПОТОК · ОЧЕРЕДЬ 3</x:v>
      </x:c>
      <x:c r="CB1" s="4" t="str">
        <x:v>ДЕНЕЖНЫЙ ПОТОК · ОЧЕРЕДЬ 3</x:v>
      </x:c>
      <x:c r="CC1" s="4" t="str">
        <x:v>ДЕНЕЖНЫЙ ПОТОК · ОЧЕРЕДЬ 3</x:v>
      </x:c>
      <x:c r="CD1" s="4" t="str">
        <x:v>ДЕНЕЖНЫЙ ПОТОК · ОЧЕРЕДЬ 3</x:v>
      </x:c>
      <x:c r="CE1" s="4" t="str">
        <x:v>ДЕНЕЖНЫЙ ПОТОК · ОЧЕРЕДЬ 3</x:v>
      </x:c>
      <x:c r="CF1" s="4" t="str">
        <x:v>ДЕНЕЖНЫЙ ПОТОК · ОЧЕРЕДЬ 3</x:v>
      </x:c>
      <x:c r="CG1" s="4" t="str">
        <x:v>ДЕНЕЖНЫЙ ПОТОК · ОЧЕРЕДЬ 3</x:v>
      </x:c>
      <x:c r="CH1" s="4" t="str">
        <x:v>ДЕНЕЖНЫЙ ПОТОК · ОЧЕРЕДЬ 3</x:v>
      </x:c>
      <x:c r="CI1" s="4" t="str">
        <x:v>ДЕНЕЖНЫЙ ПОТОК · ОЧЕРЕДЬ 3</x:v>
      </x:c>
      <x:c r="CJ1" s="4" t="str">
        <x:v>ДЕНЕЖНЫЙ ПОТОК · ОЧЕРЕДЬ 3</x:v>
      </x:c>
      <x:c r="CK1" s="4" t="str">
        <x:v>ДЕНЕЖНЫЙ ПОТОК · ОЧЕРЕДЬ 3</x:v>
      </x:c>
      <x:c r="CL1" s="4" t="str">
        <x:v>ДЕНЕЖНЫЙ ПОТОК · ОЧЕРЕДЬ 3</x:v>
      </x:c>
      <x:c r="CM1" s="4" t="str">
        <x:v>ДЕНЕЖНЫЙ ПОТОК · ОЧЕРЕДЬ 3</x:v>
      </x:c>
      <x:c r="CN1" s="4" t="str">
        <x:v>ДЕНЕЖНЫЙ ПОТОК · ОЧЕРЕДЬ 3</x:v>
      </x:c>
      <x:c r="CO1" s="4" t="str">
        <x:v>ДЕНЕЖНЫЙ ПОТОК · ОЧЕРЕДЬ 3</x:v>
      </x:c>
      <x:c r="CP1" s="4" t="str">
        <x:v>ДЕНЕЖНЫЙ ПОТОК · ОЧЕРЕДЬ 3</x:v>
      </x:c>
      <x:c r="CQ1" s="4" t="str">
        <x:v>ДЕНЕЖНЫЙ ПОТОК · ОЧЕРЕДЬ 3</x:v>
      </x:c>
      <x:c r="CR1" s="4" t="str">
        <x:v>ДЕНЕЖНЫЙ ПОТОК · ОЧЕРЕДЬ 3</x:v>
      </x:c>
      <x:c r="CS1" s="4" t="str">
        <x:v>ДЕНЕЖНЫЙ ПОТОК · ОЧЕРЕДЬ 3</x:v>
      </x:c>
      <x:c r="CT1" s="4" t="str">
        <x:v>ДЕНЕЖНЫЙ ПОТОК · ОЧЕРЕДЬ 3</x:v>
      </x:c>
      <x:c r="CU1" s="4" t="str">
        <x:v>ДЕНЕЖНЫЙ ПОТОК · ОЧЕРЕДЬ 3</x:v>
      </x:c>
      <x:c r="CV1" s="4" t="str">
        <x:v>ДЕНЕЖНЫЙ ПОТОК · ОЧЕРЕДЬ 3</x:v>
      </x:c>
      <x:c r="CW1" s="4" t="str">
        <x:v>ДЕНЕЖНЫЙ ПОТОК · ОЧЕРЕДЬ 3</x:v>
      </x:c>
      <x:c r="CX1" s="4" t="str">
        <x:v>ДЕНЕЖНЫЙ ПОТОК · ОЧЕРЕДЬ 3</x:v>
      </x:c>
      <x:c r="CY1" s="4" t="str">
        <x:v>ДЕНЕЖНЫЙ ПОТОК · ОЧЕРЕДЬ 3</x:v>
      </x:c>
      <x:c r="CZ1" s="4" t="str">
        <x:v>ДЕНЕЖНЫЙ ПОТОК · ОЧЕРЕДЬ 3</x:v>
      </x:c>
      <x:c r="DA1" s="4" t="str">
        <x:v>ДЕНЕЖНЫЙ ПОТОК · ОЧЕРЕДЬ 3</x:v>
      </x:c>
      <x:c r="DB1" s="4" t="str">
        <x:v>ДЕНЕЖНЫЙ ПОТОК · ОЧЕРЕДЬ 3</x:v>
      </x:c>
      <x:c r="DC1" s="4" t="str">
        <x:v>ДЕНЕЖНЫЙ ПОТОК · ОЧЕРЕДЬ 3</x:v>
      </x:c>
      <x:c r="DD1" s="4" t="str">
        <x:v>ДЕНЕЖНЫЙ ПОТОК · ОЧЕРЕДЬ 3</x:v>
      </x:c>
      <x:c r="DE1" s="4" t="str">
        <x:v>ДЕНЕЖНЫЙ ПОТОК · ОЧЕРЕДЬ 3</x:v>
      </x:c>
      <x:c r="DF1" s="4" t="str">
        <x:v>ДЕНЕЖНЫЙ ПОТОК · ОЧЕРЕДЬ 3</x:v>
      </x:c>
      <x:c r="DG1" s="4" t="str">
        <x:v>ДЕНЕЖНЫЙ ПОТОК · ОЧЕРЕДЬ 3</x:v>
      </x:c>
      <x:c r="DH1" s="4" t="str">
        <x:v>ДЕНЕЖНЫЙ ПОТОК · ОЧЕРЕДЬ 3</x:v>
      </x:c>
      <x:c r="DI1" s="4" t="str">
        <x:v>ДЕНЕЖНЫЙ ПОТОК · ОЧЕРЕДЬ 3</x:v>
      </x:c>
      <x:c r="DJ1" s="4" t="str">
        <x:v>ДЕНЕЖНЫЙ ПОТОК · ОЧЕРЕДЬ 3</x:v>
      </x:c>
      <x:c r="DK1" s="4" t="str">
        <x:v>ДЕНЕЖНЫЙ ПОТОК · ОЧЕРЕДЬ 3</x:v>
      </x:c>
      <x:c r="DL1" s="4" t="str">
        <x:v>ДЕНЕЖНЫЙ ПОТОК · ОЧЕРЕДЬ 3</x:v>
      </x:c>
      <x:c r="DM1" s="4" t="str">
        <x:v>ДЕНЕЖНЫЙ ПОТОК · ОЧЕРЕДЬ 3</x:v>
      </x:c>
      <x:c r="DN1" s="4" t="str">
        <x:v>ДЕНЕЖНЫЙ ПОТОК · ОЧЕРЕДЬ 3</x:v>
      </x:c>
      <x:c r="DO1" s="4" t="str">
        <x:v>ДЕНЕЖНЫЙ ПОТОК · ОЧЕРЕДЬ 3</x:v>
      </x:c>
      <x:c r="DP1" s="4" t="str">
        <x:v>ДЕНЕЖНЫЙ ПОТОК · ОЧЕРЕДЬ 3</x:v>
      </x:c>
      <x:c r="DQ1" s="4" t="str">
        <x:v>ДЕНЕЖНЫЙ ПОТОК · ОЧЕРЕДЬ 3</x:v>
      </x:c>
      <x:c r="DR1" s="4" t="str">
        <x:v>ДЕНЕЖНЫЙ ПОТОК · ОЧЕРЕДЬ 3</x:v>
      </x:c>
      <x:c r="DS1" s="4" t="str">
        <x:v>ДЕНЕЖНЫЙ ПОТОК · ОЧЕРЕДЬ 3</x:v>
      </x:c>
      <x:c r="DT1" s="4" t="str"/>
      <x:c r="DU1" s="4" t="str"/>
      <x:c r="DV1" s="4" t="str"/>
      <x:c r="DW1" s="4" t="str"/>
      <x:c r="DX1" s="4" t="str"/>
      <x:c r="DY1" s="4" t="str"/>
      <x:c r="DZ1" s="4" t="str"/>
      <x:c r="EA1" s="4" t="str"/>
      <x:c r="EB1" s="4" t="str"/>
      <x:c r="EC1" s="4" t="str"/>
      <x:c r="ED1" s="4" t="str"/>
      <x:c r="EE1" s="4" t="str"/>
      <x:c r="EF1" s="4" t="str"/>
      <x:c r="EG1" s="4" t="str"/>
      <x:c r="EH1" s="4" t="str"/>
      <x:c r="EI1" s="4" t="str"/>
      <x:c r="EJ1" s="4" t="str"/>
      <x:c r="EK1" s="4" t="str"/>
      <x:c r="EL1" s="4" t="str"/>
      <x:c r="EM1" s="4" t="str"/>
      <x:c r="EN1" s="4" t="str"/>
      <x:c r="EO1" s="4" t="str"/>
      <x:c r="EP1" s="4" t="str"/>
      <x:c r="EQ1" s="4" t="str"/>
      <x:c r="ER1" s="4" t="str"/>
      <x:c r="ES1" s="4" t="str"/>
      <x:c r="ET1" s="4" t="str"/>
      <x:c r="EU1" s="4" t="str"/>
      <x:c r="EV1" s="4" t="str"/>
      <x:c r="EW1" s="4" t="str"/>
      <x:c r="EX1" s="4" t="str"/>
      <x:c r="EY1" s="4" t="str"/>
      <x:c r="EZ1" s="4" t="str"/>
      <x:c r="FA1" s="4" t="str"/>
      <x:c r="FB1" s="4" t="str"/>
      <x:c r="FC1" s="4" t="str"/>
      <x:c r="FD1" s="4" t="str"/>
      <x:c r="FE1" s="4" t="str"/>
      <x:c r="FF1" s="4" t="str"/>
      <x:c r="FG1" s="4" t="str"/>
      <x:c r="FH1" s="4" t="str"/>
      <x:c r="FI1" s="4" t="str"/>
      <x:c r="FJ1" s="4" t="str"/>
      <x:c r="FK1" s="4" t="str"/>
      <x:c r="FL1" s="4" t="str"/>
      <x:c r="FM1" s="4" t="str"/>
      <x:c r="FN1" s="4" t="str"/>
      <x:c r="FO1" s="4" t="str"/>
      <x:c r="FP1" s="4" t="str"/>
      <x:c r="FQ1" s="4" t="str"/>
      <x:c r="FR1" s="4" t="str"/>
      <x:c r="FS1" s="4" t="str"/>
      <x:c r="FT1" s="4" t="str"/>
      <x:c r="FU1" s="4" t="str"/>
      <x:c r="FV1" s="4" t="str"/>
      <x:c r="FW1" s="4" t="str"/>
      <x:c r="FX1" s="4" t="str"/>
      <x:c r="FY1" s="4" t="str"/>
      <x:c r="FZ1" s="4" t="str"/>
      <x:c r="GA1" s="4" t="str"/>
    </x:row>
    <x:row r="3">
      <x:c r="A3" s="23" t="str">
        <x:v>Показатель</x:v>
      </x:c>
      <x:c r="B3" s="23" t="str">
        <x:v>Итого / значение</x:v>
      </x:c>
      <x:c r="C3" s="23" t="str">
        <x:v>Ед.</x:v>
      </x:c>
      <x:c r="D3" s="102" t="n">
        <x:f>'Ставки'!$D$3</x:f>
      </x:c>
      <x:c r="E3" s="102" t="n">
        <x:f>'Ставки'!$E$3</x:f>
      </x:c>
      <x:c r="F3" s="102" t="n">
        <x:f>'Ставки'!$F$3</x:f>
      </x:c>
      <x:c r="G3" s="102" t="n">
        <x:f>'Ставки'!$G$3</x:f>
      </x:c>
      <x:c r="H3" s="102" t="n">
        <x:f>'Ставки'!$H$3</x:f>
      </x:c>
      <x:c r="I3" s="102" t="n">
        <x:f>'Ставки'!$I$3</x:f>
      </x:c>
      <x:c r="J3" s="102" t="n">
        <x:f>'Ставки'!$J$3</x:f>
      </x:c>
      <x:c r="K3" s="102" t="n">
        <x:f>'Ставки'!$K$3</x:f>
      </x:c>
      <x:c r="L3" s="102" t="n">
        <x:f>'Ставки'!$L$3</x:f>
      </x:c>
      <x:c r="M3" s="102" t="n">
        <x:f>'Ставки'!$M$3</x:f>
      </x:c>
      <x:c r="N3" s="102" t="n">
        <x:f>'Ставки'!$N$3</x:f>
      </x:c>
      <x:c r="O3" s="102" t="n">
        <x:f>'Ставки'!$O$3</x:f>
      </x:c>
      <x:c r="P3" s="102" t="n">
        <x:f>'Ставки'!$P$3</x:f>
      </x:c>
      <x:c r="Q3" s="102" t="n">
        <x:f>'Ставки'!$Q$3</x:f>
      </x:c>
      <x:c r="R3" s="102" t="n">
        <x:f>'Ставки'!$R$3</x:f>
      </x:c>
      <x:c r="S3" s="102" t="n">
        <x:f>'Ставки'!$S$3</x:f>
      </x:c>
      <x:c r="T3" s="102" t="n">
        <x:f>'Ставки'!$T$3</x:f>
      </x:c>
      <x:c r="U3" s="102" t="n">
        <x:f>'Ставки'!$U$3</x:f>
      </x:c>
      <x:c r="V3" s="102" t="n">
        <x:f>'Ставки'!$V$3</x:f>
      </x:c>
      <x:c r="W3" s="102" t="n">
        <x:f>'Ставки'!$W$3</x:f>
      </x:c>
      <x:c r="X3" s="102" t="n">
        <x:f>'Ставки'!$X$3</x:f>
      </x:c>
      <x:c r="Y3" s="102" t="n">
        <x:f>'Ставки'!$Y$3</x:f>
      </x:c>
      <x:c r="Z3" s="102" t="n">
        <x:f>'Ставки'!$Z$3</x:f>
      </x:c>
      <x:c r="AA3" s="102" t="n">
        <x:f>'Ставки'!$AA$3</x:f>
      </x:c>
      <x:c r="AB3" s="102" t="n">
        <x:f>'Ставки'!$AB$3</x:f>
      </x:c>
      <x:c r="AC3" s="102" t="n">
        <x:f>'Ставки'!$AC$3</x:f>
      </x:c>
      <x:c r="AD3" s="102" t="n">
        <x:f>'Ставки'!$AD$3</x:f>
      </x:c>
      <x:c r="AE3" s="102" t="n">
        <x:f>'Ставки'!$AE$3</x:f>
      </x:c>
      <x:c r="AF3" s="102" t="n">
        <x:f>'Ставки'!$AF$3</x:f>
      </x:c>
      <x:c r="AG3" s="102" t="n">
        <x:f>'Ставки'!$AG$3</x:f>
      </x:c>
      <x:c r="AH3" s="102" t="n">
        <x:f>'Ставки'!$AH$3</x:f>
      </x:c>
      <x:c r="AI3" s="102" t="n">
        <x:f>'Ставки'!$AI$3</x:f>
      </x:c>
      <x:c r="AJ3" s="102" t="n">
        <x:f>'Ставки'!$AJ$3</x:f>
      </x:c>
      <x:c r="AK3" s="102" t="n">
        <x:f>'Ставки'!$AK$3</x:f>
      </x:c>
      <x:c r="AL3" s="102" t="n">
        <x:f>'Ставки'!$AL$3</x:f>
      </x:c>
      <x:c r="AM3" s="102" t="n">
        <x:f>'Ставки'!$AM$3</x:f>
      </x:c>
      <x:c r="AN3" s="102" t="n">
        <x:f>'Ставки'!$AN$3</x:f>
      </x:c>
      <x:c r="AO3" s="102" t="n">
        <x:f>'Ставки'!$AO$3</x:f>
      </x:c>
      <x:c r="AP3" s="102" t="n">
        <x:f>'Ставки'!$AP$3</x:f>
      </x:c>
      <x:c r="AQ3" s="102" t="n">
        <x:f>'Ставки'!$AQ$3</x:f>
      </x:c>
      <x:c r="AR3" s="102" t="n">
        <x:f>'Ставки'!$AR$3</x:f>
      </x:c>
      <x:c r="AS3" s="102" t="n">
        <x:f>'Ставки'!$AS$3</x:f>
      </x:c>
      <x:c r="AT3" s="102" t="n">
        <x:f>'Ставки'!$AT$3</x:f>
      </x:c>
      <x:c r="AU3" s="102" t="n">
        <x:f>'Ставки'!$AU$3</x:f>
      </x:c>
      <x:c r="AV3" s="102" t="n">
        <x:f>'Ставки'!$AV$3</x:f>
      </x:c>
      <x:c r="AW3" s="102" t="n">
        <x:f>'Ставки'!$AW$3</x:f>
      </x:c>
      <x:c r="AX3" s="102" t="n">
        <x:f>'Ставки'!$AX$3</x:f>
      </x:c>
      <x:c r="AY3" s="102" t="n">
        <x:f>'Ставки'!$AY$3</x:f>
      </x:c>
      <x:c r="AZ3" s="102" t="n">
        <x:f>'Ставки'!$AZ$3</x:f>
      </x:c>
      <x:c r="BA3" s="102" t="n">
        <x:f>'Ставки'!$BA$3</x:f>
      </x:c>
      <x:c r="BB3" s="102" t="n">
        <x:f>'Ставки'!$BB$3</x:f>
      </x:c>
      <x:c r="BC3" s="102" t="n">
        <x:f>'Ставки'!$BC$3</x:f>
      </x:c>
      <x:c r="BD3" s="102" t="n">
        <x:f>'Ставки'!$BD$3</x:f>
      </x:c>
      <x:c r="BE3" s="102" t="n">
        <x:f>'Ставки'!$BE$3</x:f>
      </x:c>
      <x:c r="BF3" s="102" t="n">
        <x:f>'Ставки'!$BF$3</x:f>
      </x:c>
      <x:c r="BG3" s="102" t="n">
        <x:f>'Ставки'!$BG$3</x:f>
      </x:c>
      <x:c r="BH3" s="102" t="n">
        <x:f>'Ставки'!$BH$3</x:f>
      </x:c>
      <x:c r="BI3" s="102" t="n">
        <x:f>'Ставки'!$BI$3</x:f>
      </x:c>
      <x:c r="BJ3" s="102" t="n">
        <x:f>'Ставки'!$BJ$3</x:f>
      </x:c>
      <x:c r="BK3" s="102" t="n">
        <x:f>'Ставки'!$BK$3</x:f>
      </x:c>
      <x:c r="BL3" s="102" t="n">
        <x:f>'Ставки'!$BL$3</x:f>
      </x:c>
      <x:c r="BM3" s="102" t="n">
        <x:f>'Ставки'!$BM$3</x:f>
      </x:c>
      <x:c r="BN3" s="102" t="n">
        <x:f>'Ставки'!$BN$3</x:f>
      </x:c>
      <x:c r="BO3" s="102" t="n">
        <x:f>'Ставки'!$BO$3</x:f>
      </x:c>
      <x:c r="BP3" s="102" t="n">
        <x:f>'Ставки'!$BP$3</x:f>
      </x:c>
      <x:c r="BQ3" s="102" t="n">
        <x:f>'Ставки'!$BQ$3</x:f>
      </x:c>
      <x:c r="BR3" s="102" t="n">
        <x:f>'Ставки'!$BR$3</x:f>
      </x:c>
      <x:c r="BS3" s="102" t="n">
        <x:f>'Ставки'!$BS$3</x:f>
      </x:c>
      <x:c r="BT3" s="102" t="n">
        <x:f>'Ставки'!$BT$3</x:f>
      </x:c>
      <x:c r="BU3" s="102" t="n">
        <x:f>'Ставки'!$BU$3</x:f>
      </x:c>
      <x:c r="BV3" s="102" t="n">
        <x:f>'Ставки'!$BV$3</x:f>
      </x:c>
      <x:c r="BW3" s="102" t="n">
        <x:f>'Ставки'!$BW$3</x:f>
      </x:c>
      <x:c r="BX3" s="102" t="n">
        <x:f>'Ставки'!$BX$3</x:f>
      </x:c>
      <x:c r="BY3" s="102" t="n">
        <x:f>'Ставки'!$BY$3</x:f>
      </x:c>
      <x:c r="BZ3" s="102" t="n">
        <x:f>'Ставки'!$BZ$3</x:f>
      </x:c>
      <x:c r="CA3" s="102" t="n">
        <x:f>'Ставки'!$CA$3</x:f>
      </x:c>
      <x:c r="CB3" s="102" t="n">
        <x:f>'Ставки'!$CB$3</x:f>
      </x:c>
      <x:c r="CC3" s="102" t="n">
        <x:f>'Ставки'!$CC$3</x:f>
      </x:c>
      <x:c r="CD3" s="102" t="n">
        <x:f>'Ставки'!$CD$3</x:f>
      </x:c>
      <x:c r="CE3" s="102" t="n">
        <x:f>'Ставки'!$CE$3</x:f>
      </x:c>
      <x:c r="CF3" s="102" t="n">
        <x:f>'Ставки'!$CF$3</x:f>
      </x:c>
      <x:c r="CG3" s="102" t="n">
        <x:f>'Ставки'!$CG$3</x:f>
      </x:c>
      <x:c r="CH3" s="102" t="n">
        <x:f>'Ставки'!$CH$3</x:f>
      </x:c>
      <x:c r="CI3" s="102" t="n">
        <x:f>'Ставки'!$CI$3</x:f>
      </x:c>
      <x:c r="CJ3" s="102" t="n">
        <x:f>'Ставки'!$CJ$3</x:f>
      </x:c>
      <x:c r="CK3" s="102" t="n">
        <x:f>'Ставки'!$CK$3</x:f>
      </x:c>
      <x:c r="CL3" s="102" t="n">
        <x:f>'Ставки'!$CL$3</x:f>
      </x:c>
      <x:c r="CM3" s="102" t="n">
        <x:f>'Ставки'!$CM$3</x:f>
      </x:c>
      <x:c r="CN3" s="102" t="n">
        <x:f>'Ставки'!$CN$3</x:f>
      </x:c>
      <x:c r="CO3" s="102" t="n">
        <x:f>'Ставки'!$CO$3</x:f>
      </x:c>
      <x:c r="CP3" s="102" t="n">
        <x:f>'Ставки'!$CP$3</x:f>
      </x:c>
      <x:c r="CQ3" s="102" t="n">
        <x:f>'Ставки'!$CQ$3</x:f>
      </x:c>
      <x:c r="CR3" s="102" t="n">
        <x:f>'Ставки'!$CR$3</x:f>
      </x:c>
      <x:c r="CS3" s="102" t="n">
        <x:f>'Ставки'!$CS$3</x:f>
      </x:c>
      <x:c r="CT3" s="102" t="n">
        <x:f>'Ставки'!$CT$3</x:f>
      </x:c>
      <x:c r="CU3" s="102" t="n">
        <x:f>'Ставки'!$CU$3</x:f>
      </x:c>
      <x:c r="CV3" s="102" t="n">
        <x:f>'Ставки'!$CV$3</x:f>
      </x:c>
      <x:c r="CW3" s="102" t="n">
        <x:f>'Ставки'!$CW$3</x:f>
      </x:c>
      <x:c r="CX3" s="102" t="n">
        <x:f>'Ставки'!$CX$3</x:f>
      </x:c>
      <x:c r="CY3" s="102" t="n">
        <x:f>'Ставки'!$CY$3</x:f>
      </x:c>
      <x:c r="CZ3" s="102" t="n">
        <x:f>'Ставки'!$CZ$3</x:f>
      </x:c>
      <x:c r="DA3" s="102" t="n">
        <x:f>'Ставки'!$DA$3</x:f>
      </x:c>
      <x:c r="DB3" s="102" t="n">
        <x:f>'Ставки'!$DB$3</x:f>
      </x:c>
      <x:c r="DC3" s="102" t="n">
        <x:f>'Ставки'!$DC$3</x:f>
      </x:c>
      <x:c r="DD3" s="102" t="n">
        <x:f>'Ставки'!$DD$3</x:f>
      </x:c>
      <x:c r="DE3" s="102" t="n">
        <x:f>'Ставки'!$DE$3</x:f>
      </x:c>
      <x:c r="DF3" s="102" t="n">
        <x:f>'Ставки'!$DF$3</x:f>
      </x:c>
      <x:c r="DG3" s="102" t="n">
        <x:f>'Ставки'!$DG$3</x:f>
      </x:c>
      <x:c r="DH3" s="102" t="n">
        <x:f>'Ставки'!$DH$3</x:f>
      </x:c>
      <x:c r="DI3" s="102" t="n">
        <x:f>'Ставки'!$DI$3</x:f>
      </x:c>
      <x:c r="DJ3" s="102" t="n">
        <x:f>'Ставки'!$DJ$3</x:f>
      </x:c>
      <x:c r="DK3" s="102" t="n">
        <x:f>'Ставки'!$DK$3</x:f>
      </x:c>
      <x:c r="DL3" s="102" t="n">
        <x:f>'Ставки'!$DL$3</x:f>
      </x:c>
      <x:c r="DM3" s="102" t="n">
        <x:f>'Ставки'!$DM$3</x:f>
      </x:c>
      <x:c r="DN3" s="102" t="n">
        <x:f>'Ставки'!$DN$3</x:f>
      </x:c>
      <x:c r="DO3" s="102" t="n">
        <x:f>'Ставки'!$DO$3</x:f>
      </x:c>
      <x:c r="DP3" s="102" t="n">
        <x:f>'Ставки'!$DP$3</x:f>
      </x:c>
      <x:c r="DQ3" s="102" t="n">
        <x:f>'Ставки'!$DQ$3</x:f>
      </x:c>
      <x:c r="DR3" s="102" t="n">
        <x:f>'Ставки'!$DR$3</x:f>
      </x:c>
      <x:c r="DS3" s="102" t="n">
        <x:f>'Ставки'!$DS$3</x:f>
      </x:c>
      <x:c r="DT3" s="102" t="n">
        <x:f>'Ставки'!$DT$3</x:f>
      </x:c>
      <x:c r="DU3" s="102" t="n">
        <x:f>'Ставки'!$DU$3</x:f>
      </x:c>
      <x:c r="DV3" s="102" t="n">
        <x:f>'Ставки'!$DV$3</x:f>
      </x:c>
      <x:c r="DW3" s="102" t="n">
        <x:f>'Ставки'!$DW$3</x:f>
      </x:c>
      <x:c r="DX3" s="102" t="n">
        <x:f>'Ставки'!$DX$3</x:f>
      </x:c>
      <x:c r="DY3" s="102" t="n">
        <x:f>'Ставки'!$DY$3</x:f>
      </x:c>
      <x:c r="DZ3" s="102" t="n">
        <x:f>'Ставки'!$DZ$3</x:f>
      </x:c>
      <x:c r="EA3" s="102" t="n">
        <x:f>'Ставки'!$EA$3</x:f>
      </x:c>
      <x:c r="EB3" s="102" t="n">
        <x:f>'Ставки'!$EB$3</x:f>
      </x:c>
      <x:c r="EC3" s="102" t="n">
        <x:f>'Ставки'!$EC$3</x:f>
      </x:c>
      <x:c r="ED3" s="102" t="n">
        <x:f>'Ставки'!$ED$3</x:f>
      </x:c>
      <x:c r="EE3" s="102" t="n">
        <x:f>'Ставки'!$EE$3</x:f>
      </x:c>
      <x:c r="EF3" s="102" t="n">
        <x:f>'Ставки'!$EF$3</x:f>
      </x:c>
      <x:c r="EG3" s="102" t="n">
        <x:f>'Ставки'!$EG$3</x:f>
      </x:c>
      <x:c r="EH3" s="102" t="n">
        <x:f>'Ставки'!$EH$3</x:f>
      </x:c>
      <x:c r="EI3" s="102" t="n">
        <x:f>'Ставки'!$EI$3</x:f>
      </x:c>
      <x:c r="EJ3" s="102" t="n">
        <x:f>'Ставки'!$EJ$3</x:f>
      </x:c>
      <x:c r="EK3" s="102" t="n">
        <x:f>'Ставки'!$EK$3</x:f>
      </x:c>
      <x:c r="EL3" s="102" t="n">
        <x:f>'Ставки'!$EL$3</x:f>
      </x:c>
      <x:c r="EM3" s="102" t="n">
        <x:f>'Ставки'!$EM$3</x:f>
      </x:c>
      <x:c r="EN3" s="102" t="n">
        <x:f>'Ставки'!$EN$3</x:f>
      </x:c>
      <x:c r="EO3" s="102" t="n">
        <x:f>'Ставки'!$EO$3</x:f>
      </x:c>
      <x:c r="EP3" s="102" t="n">
        <x:f>'Ставки'!$EP$3</x:f>
      </x:c>
      <x:c r="EQ3" s="102" t="n">
        <x:f>'Ставки'!$EQ$3</x:f>
      </x:c>
      <x:c r="ER3" s="102" t="n">
        <x:f>'Ставки'!$ER$3</x:f>
      </x:c>
      <x:c r="ES3" s="102" t="n">
        <x:f>'Ставки'!$ES$3</x:f>
      </x:c>
      <x:c r="ET3" s="102" t="n">
        <x:f>'Ставки'!$ET$3</x:f>
      </x:c>
      <x:c r="EU3" s="102" t="n">
        <x:f>'Ставки'!$EU$3</x:f>
      </x:c>
      <x:c r="EV3" s="102" t="n">
        <x:f>'Ставки'!$EV$3</x:f>
      </x:c>
      <x:c r="EW3" s="102" t="n">
        <x:f>'Ставки'!$EW$3</x:f>
      </x:c>
      <x:c r="EX3" s="102" t="n">
        <x:f>'Ставки'!$EX$3</x:f>
      </x:c>
      <x:c r="EY3" s="102" t="n">
        <x:f>'Ставки'!$EY$3</x:f>
      </x:c>
      <x:c r="EZ3" s="102" t="n">
        <x:f>'Ставки'!$EZ$3</x:f>
      </x:c>
      <x:c r="FA3" s="102" t="n">
        <x:f>'Ставки'!$FA$3</x:f>
      </x:c>
      <x:c r="FB3" s="102" t="n">
        <x:f>'Ставки'!$FB$3</x:f>
      </x:c>
      <x:c r="FC3" s="102" t="n">
        <x:f>'Ставки'!$FC$3</x:f>
      </x:c>
      <x:c r="FD3" s="102" t="n">
        <x:f>'Ставки'!$FD$3</x:f>
      </x:c>
      <x:c r="FE3" s="102" t="n">
        <x:f>'Ставки'!$FE$3</x:f>
      </x:c>
      <x:c r="FF3" s="102" t="n">
        <x:f>'Ставки'!$FF$3</x:f>
      </x:c>
      <x:c r="FG3" s="102" t="n">
        <x:f>'Ставки'!$FG$3</x:f>
      </x:c>
      <x:c r="FH3" s="102" t="n">
        <x:f>'Ставки'!$FH$3</x:f>
      </x:c>
      <x:c r="FI3" s="102" t="n">
        <x:f>'Ставки'!$FI$3</x:f>
      </x:c>
      <x:c r="FJ3" s="102" t="n">
        <x:f>'Ставки'!$FJ$3</x:f>
      </x:c>
      <x:c r="FK3" s="102" t="n">
        <x:f>'Ставки'!$FK$3</x:f>
      </x:c>
      <x:c r="FL3" s="102" t="n">
        <x:f>'Ставки'!$FL$3</x:f>
      </x:c>
      <x:c r="FM3" s="102" t="n">
        <x:f>'Ставки'!$FM$3</x:f>
      </x:c>
      <x:c r="FN3" s="102" t="n">
        <x:f>'Ставки'!$FN$3</x:f>
      </x:c>
      <x:c r="FO3" s="102" t="n">
        <x:f>'Ставки'!$FO$3</x:f>
      </x:c>
      <x:c r="FP3" s="102" t="n">
        <x:f>'Ставки'!$FP$3</x:f>
      </x:c>
      <x:c r="FQ3" s="102" t="n">
        <x:f>'Ставки'!$FQ$3</x:f>
      </x:c>
      <x:c r="FR3" s="102" t="n">
        <x:f>'Ставки'!$FR$3</x:f>
      </x:c>
      <x:c r="FS3" s="102" t="n">
        <x:f>'Ставки'!$FS$3</x:f>
      </x:c>
      <x:c r="FT3" s="102" t="n">
        <x:f>'Ставки'!$FT$3</x:f>
      </x:c>
      <x:c r="FU3" s="102" t="n">
        <x:f>'Ставки'!$FU$3</x:f>
      </x:c>
      <x:c r="FV3" s="102" t="n">
        <x:f>'Ставки'!$FV$3</x:f>
      </x:c>
      <x:c r="FW3" s="102" t="n">
        <x:f>'Ставки'!$FW$3</x:f>
      </x:c>
      <x:c r="FX3" s="102" t="n">
        <x:f>'Ставки'!$FX$3</x:f>
      </x:c>
      <x:c r="FY3" s="102" t="n">
        <x:f>'Ставки'!$FY$3</x:f>
      </x:c>
      <x:c r="FZ3" s="102" t="n">
        <x:f>'Ставки'!$FZ$3</x:f>
      </x:c>
      <x:c r="GA3" s="102" t="n">
        <x:f>'Ставки'!$GA$3</x:f>
      </x:c>
    </x:row>
    <x:row r="4">
      <x:c r="A4" t="str">
        <x:v>Период</x:v>
      </x:c>
      <x:c r="B4"/>
      <x:c r="C4" t="str">
        <x:v>№</x:v>
      </x:c>
      <x:c r="D4" s="104" t="n">
        <x:f>1</x:f>
      </x:c>
      <x:c r="E4" s="104" t="n">
        <x:f>2</x:f>
      </x:c>
      <x:c r="F4" s="104" t="n">
        <x:f>3</x:f>
      </x:c>
      <x:c r="G4" s="104" t="n">
        <x:f>4</x:f>
      </x:c>
      <x:c r="H4" s="104" t="n">
        <x:f>5</x:f>
      </x:c>
      <x:c r="I4" s="104" t="n">
        <x:f>6</x:f>
      </x:c>
      <x:c r="J4" s="104" t="n">
        <x:f>7</x:f>
      </x:c>
      <x:c r="K4" s="104" t="n">
        <x:f>8</x:f>
      </x:c>
      <x:c r="L4" s="104" t="n">
        <x:f>9</x:f>
      </x:c>
      <x:c r="M4" s="104" t="n">
        <x:f>10</x:f>
      </x:c>
      <x:c r="N4" s="104" t="n">
        <x:f>11</x:f>
      </x:c>
      <x:c r="O4" s="104" t="n">
        <x:f>12</x:f>
      </x:c>
      <x:c r="P4" s="104" t="n">
        <x:f>13</x:f>
      </x:c>
      <x:c r="Q4" s="104" t="n">
        <x:f>14</x:f>
      </x:c>
      <x:c r="R4" s="104" t="n">
        <x:f>15</x:f>
      </x:c>
      <x:c r="S4" s="104" t="n">
        <x:f>16</x:f>
      </x:c>
      <x:c r="T4" s="104" t="n">
        <x:f>17</x:f>
      </x:c>
      <x:c r="U4" s="104" t="n">
        <x:f>18</x:f>
      </x:c>
      <x:c r="V4" s="104" t="n">
        <x:f>19</x:f>
      </x:c>
      <x:c r="W4" s="104" t="n">
        <x:f>20</x:f>
      </x:c>
      <x:c r="X4" s="104" t="n">
        <x:f>21</x:f>
      </x:c>
      <x:c r="Y4" s="104" t="n">
        <x:f>22</x:f>
      </x:c>
      <x:c r="Z4" s="104" t="n">
        <x:f>23</x:f>
      </x:c>
      <x:c r="AA4" s="104" t="n">
        <x:f>24</x:f>
      </x:c>
      <x:c r="AB4" s="104" t="n">
        <x:f>25</x:f>
      </x:c>
      <x:c r="AC4" s="104" t="n">
        <x:f>26</x:f>
      </x:c>
      <x:c r="AD4" s="104" t="n">
        <x:f>27</x:f>
      </x:c>
      <x:c r="AE4" s="104" t="n">
        <x:f>28</x:f>
      </x:c>
      <x:c r="AF4" s="104" t="n">
        <x:f>29</x:f>
      </x:c>
      <x:c r="AG4" s="104" t="n">
        <x:f>30</x:f>
      </x:c>
      <x:c r="AH4" s="104" t="n">
        <x:f>31</x:f>
      </x:c>
      <x:c r="AI4" s="104" t="n">
        <x:f>32</x:f>
      </x:c>
      <x:c r="AJ4" s="104" t="n">
        <x:f>33</x:f>
      </x:c>
      <x:c r="AK4" s="104" t="n">
        <x:f>34</x:f>
      </x:c>
      <x:c r="AL4" s="104" t="n">
        <x:f>35</x:f>
      </x:c>
      <x:c r="AM4" s="104" t="n">
        <x:f>36</x:f>
      </x:c>
      <x:c r="AN4" s="104" t="n">
        <x:f>37</x:f>
      </x:c>
      <x:c r="AO4" s="104" t="n">
        <x:f>38</x:f>
      </x:c>
      <x:c r="AP4" s="104" t="n">
        <x:f>39</x:f>
      </x:c>
      <x:c r="AQ4" s="104" t="n">
        <x:f>40</x:f>
      </x:c>
      <x:c r="AR4" s="104" t="n">
        <x:f>41</x:f>
      </x:c>
      <x:c r="AS4" s="104" t="n">
        <x:f>42</x:f>
      </x:c>
      <x:c r="AT4" s="104" t="n">
        <x:f>43</x:f>
      </x:c>
      <x:c r="AU4" s="104" t="n">
        <x:f>44</x:f>
      </x:c>
      <x:c r="AV4" s="104" t="n">
        <x:f>45</x:f>
      </x:c>
      <x:c r="AW4" s="104" t="n">
        <x:f>46</x:f>
      </x:c>
      <x:c r="AX4" s="104" t="n">
        <x:f>47</x:f>
      </x:c>
      <x:c r="AY4" s="104" t="n">
        <x:f>48</x:f>
      </x:c>
      <x:c r="AZ4" s="104" t="n">
        <x:f>49</x:f>
      </x:c>
      <x:c r="BA4" s="104" t="n">
        <x:f>50</x:f>
      </x:c>
      <x:c r="BB4" s="104" t="n">
        <x:f>51</x:f>
      </x:c>
      <x:c r="BC4" s="104" t="n">
        <x:f>52</x:f>
      </x:c>
      <x:c r="BD4" s="104" t="n">
        <x:f>53</x:f>
      </x:c>
      <x:c r="BE4" s="104" t="n">
        <x:f>54</x:f>
      </x:c>
      <x:c r="BF4" s="104" t="n">
        <x:f>55</x:f>
      </x:c>
      <x:c r="BG4" s="104" t="n">
        <x:f>56</x:f>
      </x:c>
      <x:c r="BH4" s="104" t="n">
        <x:f>57</x:f>
      </x:c>
      <x:c r="BI4" s="104" t="n">
        <x:f>58</x:f>
      </x:c>
      <x:c r="BJ4" s="104" t="n">
        <x:f>59</x:f>
      </x:c>
      <x:c r="BK4" s="104" t="n">
        <x:f>60</x:f>
      </x:c>
      <x:c r="BL4" s="104" t="n">
        <x:f>61</x:f>
      </x:c>
      <x:c r="BM4" s="104" t="n">
        <x:f>62</x:f>
      </x:c>
      <x:c r="BN4" s="104" t="n">
        <x:f>63</x:f>
      </x:c>
      <x:c r="BO4" s="104" t="n">
        <x:f>64</x:f>
      </x:c>
      <x:c r="BP4" s="104" t="n">
        <x:f>65</x:f>
      </x:c>
      <x:c r="BQ4" s="104" t="n">
        <x:f>66</x:f>
      </x:c>
      <x:c r="BR4" s="104" t="n">
        <x:f>67</x:f>
      </x:c>
      <x:c r="BS4" s="104" t="n">
        <x:f>68</x:f>
      </x:c>
      <x:c r="BT4" s="104" t="n">
        <x:f>69</x:f>
      </x:c>
      <x:c r="BU4" s="104" t="n">
        <x:f>70</x:f>
      </x:c>
      <x:c r="BV4" s="104" t="n">
        <x:f>71</x:f>
      </x:c>
      <x:c r="BW4" s="104" t="n">
        <x:f>72</x:f>
      </x:c>
      <x:c r="BX4" s="104" t="n">
        <x:f>73</x:f>
      </x:c>
      <x:c r="BY4" s="104" t="n">
        <x:f>74</x:f>
      </x:c>
      <x:c r="BZ4" s="104" t="n">
        <x:f>75</x:f>
      </x:c>
      <x:c r="CA4" s="104" t="n">
        <x:f>76</x:f>
      </x:c>
      <x:c r="CB4" s="104" t="n">
        <x:f>77</x:f>
      </x:c>
      <x:c r="CC4" s="104" t="n">
        <x:f>78</x:f>
      </x:c>
      <x:c r="CD4" s="104" t="n">
        <x:f>79</x:f>
      </x:c>
      <x:c r="CE4" s="104" t="n">
        <x:f>80</x:f>
      </x:c>
      <x:c r="CF4" s="104" t="n">
        <x:f>81</x:f>
      </x:c>
      <x:c r="CG4" s="104" t="n">
        <x:f>82</x:f>
      </x:c>
      <x:c r="CH4" s="104" t="n">
        <x:f>83</x:f>
      </x:c>
      <x:c r="CI4" s="104" t="n">
        <x:f>84</x:f>
      </x:c>
      <x:c r="CJ4" s="104" t="n">
        <x:f>85</x:f>
      </x:c>
      <x:c r="CK4" s="104" t="n">
        <x:f>86</x:f>
      </x:c>
      <x:c r="CL4" s="104" t="n">
        <x:f>87</x:f>
      </x:c>
      <x:c r="CM4" s="104" t="n">
        <x:f>88</x:f>
      </x:c>
      <x:c r="CN4" s="104" t="n">
        <x:f>89</x:f>
      </x:c>
      <x:c r="CO4" s="104" t="n">
        <x:f>90</x:f>
      </x:c>
      <x:c r="CP4" s="104" t="n">
        <x:f>91</x:f>
      </x:c>
      <x:c r="CQ4" s="104" t="n">
        <x:f>92</x:f>
      </x:c>
      <x:c r="CR4" s="104" t="n">
        <x:f>93</x:f>
      </x:c>
      <x:c r="CS4" s="104" t="n">
        <x:f>94</x:f>
      </x:c>
      <x:c r="CT4" s="104" t="n">
        <x:f>95</x:f>
      </x:c>
      <x:c r="CU4" s="104" t="n">
        <x:f>96</x:f>
      </x:c>
      <x:c r="CV4" s="104" t="n">
        <x:f>97</x:f>
      </x:c>
      <x:c r="CW4" s="104" t="n">
        <x:f>98</x:f>
      </x:c>
      <x:c r="CX4" s="104" t="n">
        <x:f>99</x:f>
      </x:c>
      <x:c r="CY4" s="104" t="n">
        <x:f>100</x:f>
      </x:c>
      <x:c r="CZ4" s="104" t="n">
        <x:f>101</x:f>
      </x:c>
      <x:c r="DA4" s="104" t="n">
        <x:f>102</x:f>
      </x:c>
      <x:c r="DB4" s="104" t="n">
        <x:f>103</x:f>
      </x:c>
      <x:c r="DC4" s="104" t="n">
        <x:f>104</x:f>
      </x:c>
      <x:c r="DD4" s="104" t="n">
        <x:f>105</x:f>
      </x:c>
      <x:c r="DE4" s="104" t="n">
        <x:f>106</x:f>
      </x:c>
      <x:c r="DF4" s="104" t="n">
        <x:f>107</x:f>
      </x:c>
      <x:c r="DG4" s="104" t="n">
        <x:f>108</x:f>
      </x:c>
      <x:c r="DH4" s="104" t="n">
        <x:f>109</x:f>
      </x:c>
      <x:c r="DI4" s="104" t="n">
        <x:f>110</x:f>
      </x:c>
      <x:c r="DJ4" s="104" t="n">
        <x:f>111</x:f>
      </x:c>
      <x:c r="DK4" s="104" t="n">
        <x:f>112</x:f>
      </x:c>
      <x:c r="DL4" s="104" t="n">
        <x:f>113</x:f>
      </x:c>
      <x:c r="DM4" s="104" t="n">
        <x:f>114</x:f>
      </x:c>
      <x:c r="DN4" s="104" t="n">
        <x:f>115</x:f>
      </x:c>
      <x:c r="DO4" s="104" t="n">
        <x:f>116</x:f>
      </x:c>
      <x:c r="DP4" s="104" t="n">
        <x:f>117</x:f>
      </x:c>
      <x:c r="DQ4" s="104" t="n">
        <x:f>118</x:f>
      </x:c>
      <x:c r="DR4" s="104" t="n">
        <x:f>119</x:f>
      </x:c>
      <x:c r="DS4" s="104" t="n">
        <x:f>120</x:f>
      </x:c>
      <x:c r="DT4" s="104" t="n">
        <x:f>121</x:f>
      </x:c>
      <x:c r="DU4" s="104" t="n">
        <x:f>122</x:f>
      </x:c>
      <x:c r="DV4" s="104" t="n">
        <x:f>123</x:f>
      </x:c>
      <x:c r="DW4" s="104" t="n">
        <x:f>124</x:f>
      </x:c>
      <x:c r="DX4" s="104" t="n">
        <x:f>125</x:f>
      </x:c>
      <x:c r="DY4" s="104" t="n">
        <x:f>126</x:f>
      </x:c>
      <x:c r="DZ4" s="104" t="n">
        <x:f>127</x:f>
      </x:c>
      <x:c r="EA4" s="104" t="n">
        <x:f>128</x:f>
      </x:c>
      <x:c r="EB4" s="104" t="n">
        <x:f>129</x:f>
      </x:c>
      <x:c r="EC4" s="104" t="n">
        <x:f>130</x:f>
      </x:c>
      <x:c r="ED4" s="104" t="n">
        <x:f>131</x:f>
      </x:c>
      <x:c r="EE4" s="104" t="n">
        <x:f>132</x:f>
      </x:c>
      <x:c r="EF4" s="104" t="n">
        <x:f>133</x:f>
      </x:c>
      <x:c r="EG4" s="104" t="n">
        <x:f>134</x:f>
      </x:c>
      <x:c r="EH4" s="104" t="n">
        <x:f>135</x:f>
      </x:c>
      <x:c r="EI4" s="104" t="n">
        <x:f>136</x:f>
      </x:c>
      <x:c r="EJ4" s="104" t="n">
        <x:f>137</x:f>
      </x:c>
      <x:c r="EK4" s="104" t="n">
        <x:f>138</x:f>
      </x:c>
      <x:c r="EL4" s="104" t="n">
        <x:f>139</x:f>
      </x:c>
      <x:c r="EM4" s="104" t="n">
        <x:f>140</x:f>
      </x:c>
      <x:c r="EN4" s="104" t="n">
        <x:f>141</x:f>
      </x:c>
      <x:c r="EO4" s="104" t="n">
        <x:f>142</x:f>
      </x:c>
      <x:c r="EP4" s="104" t="n">
        <x:f>143</x:f>
      </x:c>
      <x:c r="EQ4" s="104" t="n">
        <x:f>144</x:f>
      </x:c>
      <x:c r="ER4" s="104" t="n">
        <x:f>145</x:f>
      </x:c>
      <x:c r="ES4" s="104" t="n">
        <x:f>146</x:f>
      </x:c>
      <x:c r="ET4" s="104" t="n">
        <x:f>147</x:f>
      </x:c>
      <x:c r="EU4" s="104" t="n">
        <x:f>148</x:f>
      </x:c>
      <x:c r="EV4" s="104" t="n">
        <x:f>149</x:f>
      </x:c>
      <x:c r="EW4" s="104" t="n">
        <x:f>150</x:f>
      </x:c>
      <x:c r="EX4" s="104" t="n">
        <x:f>151</x:f>
      </x:c>
      <x:c r="EY4" s="104" t="n">
        <x:f>152</x:f>
      </x:c>
      <x:c r="EZ4" s="104" t="n">
        <x:f>153</x:f>
      </x:c>
      <x:c r="FA4" s="104" t="n">
        <x:f>154</x:f>
      </x:c>
      <x:c r="FB4" s="104" t="n">
        <x:f>155</x:f>
      </x:c>
      <x:c r="FC4" s="104" t="n">
        <x:f>156</x:f>
      </x:c>
      <x:c r="FD4" s="104" t="n">
        <x:f>157</x:f>
      </x:c>
      <x:c r="FE4" s="104" t="n">
        <x:f>158</x:f>
      </x:c>
      <x:c r="FF4" s="104" t="n">
        <x:f>159</x:f>
      </x:c>
      <x:c r="FG4" s="104" t="n">
        <x:f>160</x:f>
      </x:c>
      <x:c r="FH4" s="104" t="n">
        <x:f>161</x:f>
      </x:c>
      <x:c r="FI4" s="104" t="n">
        <x:f>162</x:f>
      </x:c>
      <x:c r="FJ4" s="104" t="n">
        <x:f>163</x:f>
      </x:c>
      <x:c r="FK4" s="104" t="n">
        <x:f>164</x:f>
      </x:c>
      <x:c r="FL4" s="104" t="n">
        <x:f>165</x:f>
      </x:c>
      <x:c r="FM4" s="104" t="n">
        <x:f>166</x:f>
      </x:c>
      <x:c r="FN4" s="104" t="n">
        <x:f>167</x:f>
      </x:c>
      <x:c r="FO4" s="104" t="n">
        <x:f>168</x:f>
      </x:c>
      <x:c r="FP4" s="104" t="n">
        <x:f>169</x:f>
      </x:c>
      <x:c r="FQ4" s="104" t="n">
        <x:f>170</x:f>
      </x:c>
      <x:c r="FR4" s="104" t="n">
        <x:f>171</x:f>
      </x:c>
      <x:c r="FS4" s="104" t="n">
        <x:f>172</x:f>
      </x:c>
      <x:c r="FT4" s="104" t="n">
        <x:f>173</x:f>
      </x:c>
      <x:c r="FU4" s="104" t="n">
        <x:f>174</x:f>
      </x:c>
      <x:c r="FV4" s="104" t="n">
        <x:f>175</x:f>
      </x:c>
      <x:c r="FW4" s="104" t="n">
        <x:f>176</x:f>
      </x:c>
      <x:c r="FX4" s="104" t="n">
        <x:f>177</x:f>
      </x:c>
      <x:c r="FY4" s="104" t="n">
        <x:f>178</x:f>
      </x:c>
      <x:c r="FZ4" s="104" t="n">
        <x:f>179</x:f>
      </x:c>
      <x:c r="GA4" s="104" t="n">
        <x:f>180</x:f>
      </x:c>
    </x:row>
    <x:row r="5">
      <x:c r="A5" t="str">
        <x:v>Очередь включена</x:v>
      </x:c>
      <x:c r="B5" t="n">
        <x:f>--('Вводные'!$B$90="Да")</x:f>
      </x:c>
      <x:c r="C5" t="str">
        <x:v>0/1</x:v>
      </x:c>
      <x:c r="D5" t="n">
        <x:f>$B$5</x:f>
      </x:c>
      <x:c r="E5" t="n">
        <x:f>$B$5</x:f>
      </x:c>
      <x:c r="F5" t="n">
        <x:f>$B$5</x:f>
      </x:c>
      <x:c r="G5" t="n">
        <x:f>$B$5</x:f>
      </x:c>
      <x:c r="H5" t="n">
        <x:f>$B$5</x:f>
      </x:c>
      <x:c r="I5" t="n">
        <x:f>$B$5</x:f>
      </x:c>
      <x:c r="J5" t="n">
        <x:f>$B$5</x:f>
      </x:c>
      <x:c r="K5" t="n">
        <x:f>$B$5</x:f>
      </x:c>
      <x:c r="L5" t="n">
        <x:f>$B$5</x:f>
      </x:c>
      <x:c r="M5" t="n">
        <x:f>$B$5</x:f>
      </x:c>
      <x:c r="N5" t="n">
        <x:f>$B$5</x:f>
      </x:c>
      <x:c r="O5" t="n">
        <x:f>$B$5</x:f>
      </x:c>
      <x:c r="P5" t="n">
        <x:f>$B$5</x:f>
      </x:c>
      <x:c r="Q5" t="n">
        <x:f>$B$5</x:f>
      </x:c>
      <x:c r="R5" t="n">
        <x:f>$B$5</x:f>
      </x:c>
      <x:c r="S5" t="n">
        <x:f>$B$5</x:f>
      </x:c>
      <x:c r="T5" t="n">
        <x:f>$B$5</x:f>
      </x:c>
      <x:c r="U5" t="n">
        <x:f>$B$5</x:f>
      </x:c>
      <x:c r="V5" t="n">
        <x:f>$B$5</x:f>
      </x:c>
      <x:c r="W5" t="n">
        <x:f>$B$5</x:f>
      </x:c>
      <x:c r="X5" t="n">
        <x:f>$B$5</x:f>
      </x:c>
      <x:c r="Y5" t="n">
        <x:f>$B$5</x:f>
      </x:c>
      <x:c r="Z5" t="n">
        <x:f>$B$5</x:f>
      </x:c>
      <x:c r="AA5" t="n">
        <x:f>$B$5</x:f>
      </x:c>
      <x:c r="AB5" t="n">
        <x:f>$B$5</x:f>
      </x:c>
      <x:c r="AC5" t="n">
        <x:f>$B$5</x:f>
      </x:c>
      <x:c r="AD5" t="n">
        <x:f>$B$5</x:f>
      </x:c>
      <x:c r="AE5" t="n">
        <x:f>$B$5</x:f>
      </x:c>
      <x:c r="AF5" t="n">
        <x:f>$B$5</x:f>
      </x:c>
      <x:c r="AG5" t="n">
        <x:f>$B$5</x:f>
      </x:c>
      <x:c r="AH5" t="n">
        <x:f>$B$5</x:f>
      </x:c>
      <x:c r="AI5" t="n">
        <x:f>$B$5</x:f>
      </x:c>
      <x:c r="AJ5" t="n">
        <x:f>$B$5</x:f>
      </x:c>
      <x:c r="AK5" t="n">
        <x:f>$B$5</x:f>
      </x:c>
      <x:c r="AL5" t="n">
        <x:f>$B$5</x:f>
      </x:c>
      <x:c r="AM5" t="n">
        <x:f>$B$5</x:f>
      </x:c>
      <x:c r="AN5" t="n">
        <x:f>$B$5</x:f>
      </x:c>
      <x:c r="AO5" t="n">
        <x:f>$B$5</x:f>
      </x:c>
      <x:c r="AP5" t="n">
        <x:f>$B$5</x:f>
      </x:c>
      <x:c r="AQ5" t="n">
        <x:f>$B$5</x:f>
      </x:c>
      <x:c r="AR5" t="n">
        <x:f>$B$5</x:f>
      </x:c>
      <x:c r="AS5" t="n">
        <x:f>$B$5</x:f>
      </x:c>
      <x:c r="AT5" t="n">
        <x:f>$B$5</x:f>
      </x:c>
      <x:c r="AU5" t="n">
        <x:f>$B$5</x:f>
      </x:c>
      <x:c r="AV5" t="n">
        <x:f>$B$5</x:f>
      </x:c>
      <x:c r="AW5" t="n">
        <x:f>$B$5</x:f>
      </x:c>
      <x:c r="AX5" t="n">
        <x:f>$B$5</x:f>
      </x:c>
      <x:c r="AY5" t="n">
        <x:f>$B$5</x:f>
      </x:c>
      <x:c r="AZ5" t="n">
        <x:f>$B$5</x:f>
      </x:c>
      <x:c r="BA5" t="n">
        <x:f>$B$5</x:f>
      </x:c>
      <x:c r="BB5" t="n">
        <x:f>$B$5</x:f>
      </x:c>
      <x:c r="BC5" t="n">
        <x:f>$B$5</x:f>
      </x:c>
      <x:c r="BD5" t="n">
        <x:f>$B$5</x:f>
      </x:c>
      <x:c r="BE5" t="n">
        <x:f>$B$5</x:f>
      </x:c>
      <x:c r="BF5" t="n">
        <x:f>$B$5</x:f>
      </x:c>
      <x:c r="BG5" t="n">
        <x:f>$B$5</x:f>
      </x:c>
      <x:c r="BH5" t="n">
        <x:f>$B$5</x:f>
      </x:c>
      <x:c r="BI5" t="n">
        <x:f>$B$5</x:f>
      </x:c>
      <x:c r="BJ5" t="n">
        <x:f>$B$5</x:f>
      </x:c>
      <x:c r="BK5" t="n">
        <x:f>$B$5</x:f>
      </x:c>
      <x:c r="BL5" t="n">
        <x:f>$B$5</x:f>
      </x:c>
      <x:c r="BM5" t="n">
        <x:f>$B$5</x:f>
      </x:c>
      <x:c r="BN5" t="n">
        <x:f>$B$5</x:f>
      </x:c>
      <x:c r="BO5" t="n">
        <x:f>$B$5</x:f>
      </x:c>
      <x:c r="BP5" t="n">
        <x:f>$B$5</x:f>
      </x:c>
      <x:c r="BQ5" t="n">
        <x:f>$B$5</x:f>
      </x:c>
      <x:c r="BR5" t="n">
        <x:f>$B$5</x:f>
      </x:c>
      <x:c r="BS5" t="n">
        <x:f>$B$5</x:f>
      </x:c>
      <x:c r="BT5" t="n">
        <x:f>$B$5</x:f>
      </x:c>
      <x:c r="BU5" t="n">
        <x:f>$B$5</x:f>
      </x:c>
      <x:c r="BV5" t="n">
        <x:f>$B$5</x:f>
      </x:c>
      <x:c r="BW5" t="n">
        <x:f>$B$5</x:f>
      </x:c>
      <x:c r="BX5" t="n">
        <x:f>$B$5</x:f>
      </x:c>
      <x:c r="BY5" t="n">
        <x:f>$B$5</x:f>
      </x:c>
      <x:c r="BZ5" t="n">
        <x:f>$B$5</x:f>
      </x:c>
      <x:c r="CA5" t="n">
        <x:f>$B$5</x:f>
      </x:c>
      <x:c r="CB5" t="n">
        <x:f>$B$5</x:f>
      </x:c>
      <x:c r="CC5" t="n">
        <x:f>$B$5</x:f>
      </x:c>
      <x:c r="CD5" t="n">
        <x:f>$B$5</x:f>
      </x:c>
      <x:c r="CE5" t="n">
        <x:f>$B$5</x:f>
      </x:c>
      <x:c r="CF5" t="n">
        <x:f>$B$5</x:f>
      </x:c>
      <x:c r="CG5" t="n">
        <x:f>$B$5</x:f>
      </x:c>
      <x:c r="CH5" t="n">
        <x:f>$B$5</x:f>
      </x:c>
      <x:c r="CI5" t="n">
        <x:f>$B$5</x:f>
      </x:c>
      <x:c r="CJ5" t="n">
        <x:f>$B$5</x:f>
      </x:c>
      <x:c r="CK5" t="n">
        <x:f>$B$5</x:f>
      </x:c>
      <x:c r="CL5" t="n">
        <x:f>$B$5</x:f>
      </x:c>
      <x:c r="CM5" t="n">
        <x:f>$B$5</x:f>
      </x:c>
      <x:c r="CN5" t="n">
        <x:f>$B$5</x:f>
      </x:c>
      <x:c r="CO5" t="n">
        <x:f>$B$5</x:f>
      </x:c>
      <x:c r="CP5" t="n">
        <x:f>$B$5</x:f>
      </x:c>
      <x:c r="CQ5" t="n">
        <x:f>$B$5</x:f>
      </x:c>
      <x:c r="CR5" t="n">
        <x:f>$B$5</x:f>
      </x:c>
      <x:c r="CS5" t="n">
        <x:f>$B$5</x:f>
      </x:c>
      <x:c r="CT5" t="n">
        <x:f>$B$5</x:f>
      </x:c>
      <x:c r="CU5" t="n">
        <x:f>$B$5</x:f>
      </x:c>
      <x:c r="CV5" t="n">
        <x:f>$B$5</x:f>
      </x:c>
      <x:c r="CW5" t="n">
        <x:f>$B$5</x:f>
      </x:c>
      <x:c r="CX5" t="n">
        <x:f>$B$5</x:f>
      </x:c>
      <x:c r="CY5" t="n">
        <x:f>$B$5</x:f>
      </x:c>
      <x:c r="CZ5" t="n">
        <x:f>$B$5</x:f>
      </x:c>
      <x:c r="DA5" t="n">
        <x:f>$B$5</x:f>
      </x:c>
      <x:c r="DB5" t="n">
        <x:f>$B$5</x:f>
      </x:c>
      <x:c r="DC5" t="n">
        <x:f>$B$5</x:f>
      </x:c>
      <x:c r="DD5" t="n">
        <x:f>$B$5</x:f>
      </x:c>
      <x:c r="DE5" t="n">
        <x:f>$B$5</x:f>
      </x:c>
      <x:c r="DF5" t="n">
        <x:f>$B$5</x:f>
      </x:c>
      <x:c r="DG5" t="n">
        <x:f>$B$5</x:f>
      </x:c>
      <x:c r="DH5" t="n">
        <x:f>$B$5</x:f>
      </x:c>
      <x:c r="DI5" t="n">
        <x:f>$B$5</x:f>
      </x:c>
      <x:c r="DJ5" t="n">
        <x:f>$B$5</x:f>
      </x:c>
      <x:c r="DK5" t="n">
        <x:f>$B$5</x:f>
      </x:c>
      <x:c r="DL5" t="n">
        <x:f>$B$5</x:f>
      </x:c>
      <x:c r="DM5" t="n">
        <x:f>$B$5</x:f>
      </x:c>
      <x:c r="DN5" t="n">
        <x:f>$B$5</x:f>
      </x:c>
      <x:c r="DO5" t="n">
        <x:f>$B$5</x:f>
      </x:c>
      <x:c r="DP5" t="n">
        <x:f>$B$5</x:f>
      </x:c>
      <x:c r="DQ5" t="n">
        <x:f>$B$5</x:f>
      </x:c>
      <x:c r="DR5" t="n">
        <x:f>$B$5</x:f>
      </x:c>
      <x:c r="DS5" t="n">
        <x:f>$B$5</x:f>
      </x:c>
      <x:c r="DT5" t="n">
        <x:f>$B$5</x:f>
      </x:c>
      <x:c r="DU5" t="n">
        <x:f>$B$5</x:f>
      </x:c>
      <x:c r="DV5" t="n">
        <x:f>$B$5</x:f>
      </x:c>
      <x:c r="DW5" t="n">
        <x:f>$B$5</x:f>
      </x:c>
      <x:c r="DX5" t="n">
        <x:f>$B$5</x:f>
      </x:c>
      <x:c r="DY5" t="n">
        <x:f>$B$5</x:f>
      </x:c>
      <x:c r="DZ5" t="n">
        <x:f>$B$5</x:f>
      </x:c>
      <x:c r="EA5" t="n">
        <x:f>$B$5</x:f>
      </x:c>
      <x:c r="EB5" t="n">
        <x:f>$B$5</x:f>
      </x:c>
      <x:c r="EC5" t="n">
        <x:f>$B$5</x:f>
      </x:c>
      <x:c r="ED5" t="n">
        <x:f>$B$5</x:f>
      </x:c>
      <x:c r="EE5" t="n">
        <x:f>$B$5</x:f>
      </x:c>
      <x:c r="EF5" t="n">
        <x:f>$B$5</x:f>
      </x:c>
      <x:c r="EG5" t="n">
        <x:f>$B$5</x:f>
      </x:c>
      <x:c r="EH5" t="n">
        <x:f>$B$5</x:f>
      </x:c>
      <x:c r="EI5" t="n">
        <x:f>$B$5</x:f>
      </x:c>
      <x:c r="EJ5" t="n">
        <x:f>$B$5</x:f>
      </x:c>
      <x:c r="EK5" t="n">
        <x:f>$B$5</x:f>
      </x:c>
      <x:c r="EL5" t="n">
        <x:f>$B$5</x:f>
      </x:c>
      <x:c r="EM5" t="n">
        <x:f>$B$5</x:f>
      </x:c>
      <x:c r="EN5" t="n">
        <x:f>$B$5</x:f>
      </x:c>
      <x:c r="EO5" t="n">
        <x:f>$B$5</x:f>
      </x:c>
      <x:c r="EP5" t="n">
        <x:f>$B$5</x:f>
      </x:c>
      <x:c r="EQ5" t="n">
        <x:f>$B$5</x:f>
      </x:c>
      <x:c r="ER5" t="n">
        <x:f>$B$5</x:f>
      </x:c>
      <x:c r="ES5" t="n">
        <x:f>$B$5</x:f>
      </x:c>
      <x:c r="ET5" t="n">
        <x:f>$B$5</x:f>
      </x:c>
      <x:c r="EU5" t="n">
        <x:f>$B$5</x:f>
      </x:c>
      <x:c r="EV5" t="n">
        <x:f>$B$5</x:f>
      </x:c>
      <x:c r="EW5" t="n">
        <x:f>$B$5</x:f>
      </x:c>
      <x:c r="EX5" t="n">
        <x:f>$B$5</x:f>
      </x:c>
      <x:c r="EY5" t="n">
        <x:f>$B$5</x:f>
      </x:c>
      <x:c r="EZ5" t="n">
        <x:f>$B$5</x:f>
      </x:c>
      <x:c r="FA5" t="n">
        <x:f>$B$5</x:f>
      </x:c>
      <x:c r="FB5" t="n">
        <x:f>$B$5</x:f>
      </x:c>
      <x:c r="FC5" t="n">
        <x:f>$B$5</x:f>
      </x:c>
      <x:c r="FD5" t="n">
        <x:f>$B$5</x:f>
      </x:c>
      <x:c r="FE5" t="n">
        <x:f>$B$5</x:f>
      </x:c>
      <x:c r="FF5" t="n">
        <x:f>$B$5</x:f>
      </x:c>
      <x:c r="FG5" t="n">
        <x:f>$B$5</x:f>
      </x:c>
      <x:c r="FH5" t="n">
        <x:f>$B$5</x:f>
      </x:c>
      <x:c r="FI5" t="n">
        <x:f>$B$5</x:f>
      </x:c>
      <x:c r="FJ5" t="n">
        <x:f>$B$5</x:f>
      </x:c>
      <x:c r="FK5" t="n">
        <x:f>$B$5</x:f>
      </x:c>
      <x:c r="FL5" t="n">
        <x:f>$B$5</x:f>
      </x:c>
      <x:c r="FM5" t="n">
        <x:f>$B$5</x:f>
      </x:c>
      <x:c r="FN5" t="n">
        <x:f>$B$5</x:f>
      </x:c>
      <x:c r="FO5" t="n">
        <x:f>$B$5</x:f>
      </x:c>
      <x:c r="FP5" t="n">
        <x:f>$B$5</x:f>
      </x:c>
      <x:c r="FQ5" t="n">
        <x:f>$B$5</x:f>
      </x:c>
      <x:c r="FR5" t="n">
        <x:f>$B$5</x:f>
      </x:c>
      <x:c r="FS5" t="n">
        <x:f>$B$5</x:f>
      </x:c>
      <x:c r="FT5" t="n">
        <x:f>$B$5</x:f>
      </x:c>
      <x:c r="FU5" t="n">
        <x:f>$B$5</x:f>
      </x:c>
      <x:c r="FV5" t="n">
        <x:f>$B$5</x:f>
      </x:c>
      <x:c r="FW5" t="n">
        <x:f>$B$5</x:f>
      </x:c>
      <x:c r="FX5" t="n">
        <x:f>$B$5</x:f>
      </x:c>
      <x:c r="FY5" t="n">
        <x:f>$B$5</x:f>
      </x:c>
      <x:c r="FZ5" t="n">
        <x:f>$B$5</x:f>
      </x:c>
      <x:c r="GA5" t="n">
        <x:f>$B$5</x:f>
      </x:c>
    </x:row>
    <x:row r="6">
      <x:c r="A6" t="str">
        <x:v>Начало очереди</x:v>
      </x:c>
      <x:c r="B6" s="106" t="n">
        <x:f>EDATE('Вводные'!$D$90,'Вводные'!$H$9)</x:f>
      </x:c>
      <x:c r="C6" t="str">
        <x:v>дата</x:v>
      </x:c>
    </x:row>
    <x:row r="7">
      <x:c r="A7" t="str">
        <x:v>РнС / открытие ПФ</x:v>
      </x:c>
      <x:c r="B7" s="106" t="n">
        <x:f>EDATE(B6,'Вводные'!$E$90)</x:f>
      </x:c>
      <x:c r="C7" t="str">
        <x:v>дата</x:v>
      </x:c>
    </x:row>
    <x:row r="8">
      <x:c r="A8" t="str">
        <x:v>РВЭ</x:v>
      </x:c>
      <x:c r="B8" s="106" t="n">
        <x:f>EDATE(B7,'Вводные'!$F$90)</x:f>
      </x:c>
      <x:c r="C8" t="str">
        <x:v>дата</x:v>
      </x:c>
    </x:row>
    <x:row r="9">
      <x:c r="A9"/>
      <x:c r="B9"/>
      <x:c r="C9"/>
    </x:row>
    <x:row r="10">
      <x:c r="A10" t="str">
        <x:v>Продажи по договорам</x:v>
      </x:c>
      <x:c r="B10" t="n">
        <x:f>SUM(D10:GA10)</x:f>
      </x:c>
      <x:c r="C10" t="str">
        <x:v>млн ₽</x:v>
      </x:c>
      <x:c r="D10" s="117" t="n">
        <x:f>'Продажи'!D72+'ОБЪЕКТЫ'!D108</x:f>
      </x:c>
      <x:c r="E10" s="117" t="n">
        <x:f>'Продажи'!E72+'ОБЪЕКТЫ'!E108</x:f>
      </x:c>
      <x:c r="F10" s="117" t="n">
        <x:f>'Продажи'!F72+'ОБЪЕКТЫ'!F108</x:f>
      </x:c>
      <x:c r="G10" s="117" t="n">
        <x:f>'Продажи'!G72+'ОБЪЕКТЫ'!G108</x:f>
      </x:c>
      <x:c r="H10" s="117" t="n">
        <x:f>'Продажи'!H72+'ОБЪЕКТЫ'!H108</x:f>
      </x:c>
      <x:c r="I10" s="117" t="n">
        <x:f>'Продажи'!I72+'ОБЪЕКТЫ'!I108</x:f>
      </x:c>
      <x:c r="J10" s="117" t="n">
        <x:f>'Продажи'!J72+'ОБЪЕКТЫ'!J108</x:f>
      </x:c>
      <x:c r="K10" s="117" t="n">
        <x:f>'Продажи'!K72+'ОБЪЕКТЫ'!K108</x:f>
      </x:c>
      <x:c r="L10" s="117" t="n">
        <x:f>'Продажи'!L72+'ОБЪЕКТЫ'!L108</x:f>
      </x:c>
      <x:c r="M10" s="117" t="n">
        <x:f>'Продажи'!M72+'ОБЪЕКТЫ'!M108</x:f>
      </x:c>
      <x:c r="N10" s="117" t="n">
        <x:f>'Продажи'!N72+'ОБЪЕКТЫ'!N108</x:f>
      </x:c>
      <x:c r="O10" s="117" t="n">
        <x:f>'Продажи'!O72+'ОБЪЕКТЫ'!O108</x:f>
      </x:c>
      <x:c r="P10" s="117" t="n">
        <x:f>'Продажи'!P72+'ОБЪЕКТЫ'!P108</x:f>
      </x:c>
      <x:c r="Q10" s="117" t="n">
        <x:f>'Продажи'!Q72+'ОБЪЕКТЫ'!Q108</x:f>
      </x:c>
      <x:c r="R10" s="117" t="n">
        <x:f>'Продажи'!R72+'ОБЪЕКТЫ'!R108</x:f>
      </x:c>
      <x:c r="S10" s="117" t="n">
        <x:f>'Продажи'!S72+'ОБЪЕКТЫ'!S108</x:f>
      </x:c>
      <x:c r="T10" s="117" t="n">
        <x:f>'Продажи'!T72+'ОБЪЕКТЫ'!T108</x:f>
      </x:c>
      <x:c r="U10" s="117" t="n">
        <x:f>'Продажи'!U72+'ОБЪЕКТЫ'!U108</x:f>
      </x:c>
      <x:c r="V10" s="117" t="n">
        <x:f>'Продажи'!V72+'ОБЪЕКТЫ'!V108</x:f>
      </x:c>
      <x:c r="W10" s="117" t="n">
        <x:f>'Продажи'!W72+'ОБЪЕКТЫ'!W108</x:f>
      </x:c>
      <x:c r="X10" s="117" t="n">
        <x:f>'Продажи'!X72+'ОБЪЕКТЫ'!X108</x:f>
      </x:c>
      <x:c r="Y10" s="117" t="n">
        <x:f>'Продажи'!Y72+'ОБЪЕКТЫ'!Y108</x:f>
      </x:c>
      <x:c r="Z10" s="117" t="n">
        <x:f>'Продажи'!Z72+'ОБЪЕКТЫ'!Z108</x:f>
      </x:c>
      <x:c r="AA10" s="117" t="n">
        <x:f>'Продажи'!AA72+'ОБЪЕКТЫ'!AA108</x:f>
      </x:c>
      <x:c r="AB10" s="117" t="n">
        <x:f>'Продажи'!AB72+'ОБЪЕКТЫ'!AB108</x:f>
      </x:c>
      <x:c r="AC10" s="117" t="n">
        <x:f>'Продажи'!AC72+'ОБЪЕКТЫ'!AC108</x:f>
      </x:c>
      <x:c r="AD10" s="117" t="n">
        <x:f>'Продажи'!AD72+'ОБЪЕКТЫ'!AD108</x:f>
      </x:c>
      <x:c r="AE10" s="117" t="n">
        <x:f>'Продажи'!AE72+'ОБЪЕКТЫ'!AE108</x:f>
      </x:c>
      <x:c r="AF10" s="117" t="n">
        <x:f>'Продажи'!AF72+'ОБЪЕКТЫ'!AF108</x:f>
      </x:c>
      <x:c r="AG10" s="117" t="n">
        <x:f>'Продажи'!AG72+'ОБЪЕКТЫ'!AG108</x:f>
      </x:c>
      <x:c r="AH10" s="117" t="n">
        <x:f>'Продажи'!AH72+'ОБЪЕКТЫ'!AH108</x:f>
      </x:c>
      <x:c r="AI10" s="117" t="n">
        <x:f>'Продажи'!AI72+'ОБЪЕКТЫ'!AI108</x:f>
      </x:c>
      <x:c r="AJ10" s="117" t="n">
        <x:f>'Продажи'!AJ72+'ОБЪЕКТЫ'!AJ108</x:f>
      </x:c>
      <x:c r="AK10" s="117" t="n">
        <x:f>'Продажи'!AK72+'ОБЪЕКТЫ'!AK108</x:f>
      </x:c>
      <x:c r="AL10" s="117" t="n">
        <x:f>'Продажи'!AL72+'ОБЪЕКТЫ'!AL108</x:f>
      </x:c>
      <x:c r="AM10" s="117" t="n">
        <x:f>'Продажи'!AM72+'ОБЪЕКТЫ'!AM108</x:f>
      </x:c>
      <x:c r="AN10" s="117" t="n">
        <x:f>'Продажи'!AN72+'ОБЪЕКТЫ'!AN108</x:f>
      </x:c>
      <x:c r="AO10" s="117" t="n">
        <x:f>'Продажи'!AO72+'ОБЪЕКТЫ'!AO108</x:f>
      </x:c>
      <x:c r="AP10" s="117" t="n">
        <x:f>'Продажи'!AP72+'ОБЪЕКТЫ'!AP108</x:f>
      </x:c>
      <x:c r="AQ10" s="117" t="n">
        <x:f>'Продажи'!AQ72+'ОБЪЕКТЫ'!AQ108</x:f>
      </x:c>
      <x:c r="AR10" s="117" t="n">
        <x:f>'Продажи'!AR72+'ОБЪЕКТЫ'!AR108</x:f>
      </x:c>
      <x:c r="AS10" s="117" t="n">
        <x:f>'Продажи'!AS72+'ОБЪЕКТЫ'!AS108</x:f>
      </x:c>
      <x:c r="AT10" s="117" t="n">
        <x:f>'Продажи'!AT72+'ОБЪЕКТЫ'!AT108</x:f>
      </x:c>
      <x:c r="AU10" s="117" t="n">
        <x:f>'Продажи'!AU72+'ОБЪЕКТЫ'!AU108</x:f>
      </x:c>
      <x:c r="AV10" s="117" t="n">
        <x:f>'Продажи'!AV72+'ОБЪЕКТЫ'!AV108</x:f>
      </x:c>
      <x:c r="AW10" s="117" t="n">
        <x:f>'Продажи'!AW72+'ОБЪЕКТЫ'!AW108</x:f>
      </x:c>
      <x:c r="AX10" s="117" t="n">
        <x:f>'Продажи'!AX72+'ОБЪЕКТЫ'!AX108</x:f>
      </x:c>
      <x:c r="AY10" s="117" t="n">
        <x:f>'Продажи'!AY72+'ОБЪЕКТЫ'!AY108</x:f>
      </x:c>
      <x:c r="AZ10" s="117" t="n">
        <x:f>'Продажи'!AZ72+'ОБЪЕКТЫ'!AZ108</x:f>
      </x:c>
      <x:c r="BA10" s="117" t="n">
        <x:f>'Продажи'!BA72+'ОБЪЕКТЫ'!BA108</x:f>
      </x:c>
      <x:c r="BB10" s="117" t="n">
        <x:f>'Продажи'!BB72+'ОБЪЕКТЫ'!BB108</x:f>
      </x:c>
      <x:c r="BC10" s="117" t="n">
        <x:f>'Продажи'!BC72+'ОБЪЕКТЫ'!BC108</x:f>
      </x:c>
      <x:c r="BD10" s="117" t="n">
        <x:f>'Продажи'!BD72+'ОБЪЕКТЫ'!BD108</x:f>
      </x:c>
      <x:c r="BE10" s="117" t="n">
        <x:f>'Продажи'!BE72+'ОБЪЕКТЫ'!BE108</x:f>
      </x:c>
      <x:c r="BF10" s="117" t="n">
        <x:f>'Продажи'!BF72+'ОБЪЕКТЫ'!BF108</x:f>
      </x:c>
      <x:c r="BG10" s="117" t="n">
        <x:f>'Продажи'!BG72+'ОБЪЕКТЫ'!BG108</x:f>
      </x:c>
      <x:c r="BH10" s="117" t="n">
        <x:f>'Продажи'!BH72+'ОБЪЕКТЫ'!BH108</x:f>
      </x:c>
      <x:c r="BI10" s="117" t="n">
        <x:f>'Продажи'!BI72+'ОБЪЕКТЫ'!BI108</x:f>
      </x:c>
      <x:c r="BJ10" s="117" t="n">
        <x:f>'Продажи'!BJ72+'ОБЪЕКТЫ'!BJ108</x:f>
      </x:c>
      <x:c r="BK10" s="117" t="n">
        <x:f>'Продажи'!BK72+'ОБЪЕКТЫ'!BK108</x:f>
      </x:c>
      <x:c r="BL10" s="117" t="n">
        <x:f>'Продажи'!BL72+'ОБЪЕКТЫ'!BL108</x:f>
      </x:c>
      <x:c r="BM10" s="117" t="n">
        <x:f>'Продажи'!BM72+'ОБЪЕКТЫ'!BM108</x:f>
      </x:c>
      <x:c r="BN10" s="117" t="n">
        <x:f>'Продажи'!BN72+'ОБЪЕКТЫ'!BN108</x:f>
      </x:c>
      <x:c r="BO10" s="117" t="n">
        <x:f>'Продажи'!BO72+'ОБЪЕКТЫ'!BO108</x:f>
      </x:c>
      <x:c r="BP10" s="117" t="n">
        <x:f>'Продажи'!BP72+'ОБЪЕКТЫ'!BP108</x:f>
      </x:c>
      <x:c r="BQ10" s="117" t="n">
        <x:f>'Продажи'!BQ72+'ОБЪЕКТЫ'!BQ108</x:f>
      </x:c>
      <x:c r="BR10" s="117" t="n">
        <x:f>'Продажи'!BR72+'ОБЪЕКТЫ'!BR108</x:f>
      </x:c>
      <x:c r="BS10" s="117" t="n">
        <x:f>'Продажи'!BS72+'ОБЪЕКТЫ'!BS108</x:f>
      </x:c>
      <x:c r="BT10" s="117" t="n">
        <x:f>'Продажи'!BT72+'ОБЪЕКТЫ'!BT108</x:f>
      </x:c>
      <x:c r="BU10" s="117" t="n">
        <x:f>'Продажи'!BU72+'ОБЪЕКТЫ'!BU108</x:f>
      </x:c>
      <x:c r="BV10" s="117" t="n">
        <x:f>'Продажи'!BV72+'ОБЪЕКТЫ'!BV108</x:f>
      </x:c>
      <x:c r="BW10" s="117" t="n">
        <x:f>'Продажи'!BW72+'ОБЪЕКТЫ'!BW108</x:f>
      </x:c>
      <x:c r="BX10" s="117" t="n">
        <x:f>'Продажи'!BX72+'ОБЪЕКТЫ'!BX108</x:f>
      </x:c>
      <x:c r="BY10" s="117" t="n">
        <x:f>'Продажи'!BY72+'ОБЪЕКТЫ'!BY108</x:f>
      </x:c>
      <x:c r="BZ10" s="117" t="n">
        <x:f>'Продажи'!BZ72+'ОБЪЕКТЫ'!BZ108</x:f>
      </x:c>
      <x:c r="CA10" s="117" t="n">
        <x:f>'Продажи'!CA72+'ОБЪЕКТЫ'!CA108</x:f>
      </x:c>
      <x:c r="CB10" s="117" t="n">
        <x:f>'Продажи'!CB72+'ОБЪЕКТЫ'!CB108</x:f>
      </x:c>
      <x:c r="CC10" s="117" t="n">
        <x:f>'Продажи'!CC72+'ОБЪЕКТЫ'!CC108</x:f>
      </x:c>
      <x:c r="CD10" s="117" t="n">
        <x:f>'Продажи'!CD72+'ОБЪЕКТЫ'!CD108</x:f>
      </x:c>
      <x:c r="CE10" s="117" t="n">
        <x:f>'Продажи'!CE72+'ОБЪЕКТЫ'!CE108</x:f>
      </x:c>
      <x:c r="CF10" s="117" t="n">
        <x:f>'Продажи'!CF72+'ОБЪЕКТЫ'!CF108</x:f>
      </x:c>
      <x:c r="CG10" s="117" t="n">
        <x:f>'Продажи'!CG72+'ОБЪЕКТЫ'!CG108</x:f>
      </x:c>
      <x:c r="CH10" s="117" t="n">
        <x:f>'Продажи'!CH72+'ОБЪЕКТЫ'!CH108</x:f>
      </x:c>
      <x:c r="CI10" s="117" t="n">
        <x:f>'Продажи'!CI72+'ОБЪЕКТЫ'!CI108</x:f>
      </x:c>
      <x:c r="CJ10" s="117" t="n">
        <x:f>'Продажи'!CJ72+'ОБЪЕКТЫ'!CJ108</x:f>
      </x:c>
      <x:c r="CK10" s="117" t="n">
        <x:f>'Продажи'!CK72+'ОБЪЕКТЫ'!CK108</x:f>
      </x:c>
      <x:c r="CL10" s="117" t="n">
        <x:f>'Продажи'!CL72+'ОБЪЕКТЫ'!CL108</x:f>
      </x:c>
      <x:c r="CM10" s="117" t="n">
        <x:f>'Продажи'!CM72+'ОБЪЕКТЫ'!CM108</x:f>
      </x:c>
      <x:c r="CN10" s="117" t="n">
        <x:f>'Продажи'!CN72+'ОБЪЕКТЫ'!CN108</x:f>
      </x:c>
      <x:c r="CO10" s="117" t="n">
        <x:f>'Продажи'!CO72+'ОБЪЕКТЫ'!CO108</x:f>
      </x:c>
      <x:c r="CP10" s="117" t="n">
        <x:f>'Продажи'!CP72+'ОБЪЕКТЫ'!CP108</x:f>
      </x:c>
      <x:c r="CQ10" s="117" t="n">
        <x:f>'Продажи'!CQ72+'ОБЪЕКТЫ'!CQ108</x:f>
      </x:c>
      <x:c r="CR10" s="117" t="n">
        <x:f>'Продажи'!CR72+'ОБЪЕКТЫ'!CR108</x:f>
      </x:c>
      <x:c r="CS10" s="117" t="n">
        <x:f>'Продажи'!CS72+'ОБЪЕКТЫ'!CS108</x:f>
      </x:c>
      <x:c r="CT10" s="117" t="n">
        <x:f>'Продажи'!CT72+'ОБЪЕКТЫ'!CT108</x:f>
      </x:c>
      <x:c r="CU10" s="117" t="n">
        <x:f>'Продажи'!CU72+'ОБЪЕКТЫ'!CU108</x:f>
      </x:c>
      <x:c r="CV10" s="117" t="n">
        <x:f>'Продажи'!CV72+'ОБЪЕКТЫ'!CV108</x:f>
      </x:c>
      <x:c r="CW10" s="117" t="n">
        <x:f>'Продажи'!CW72+'ОБЪЕКТЫ'!CW108</x:f>
      </x:c>
      <x:c r="CX10" s="117" t="n">
        <x:f>'Продажи'!CX72+'ОБЪЕКТЫ'!CX108</x:f>
      </x:c>
      <x:c r="CY10" s="117" t="n">
        <x:f>'Продажи'!CY72+'ОБЪЕКТЫ'!CY108</x:f>
      </x:c>
      <x:c r="CZ10" s="117" t="n">
        <x:f>'Продажи'!CZ72+'ОБЪЕКТЫ'!CZ108</x:f>
      </x:c>
      <x:c r="DA10" s="117" t="n">
        <x:f>'Продажи'!DA72+'ОБЪЕКТЫ'!DA108</x:f>
      </x:c>
      <x:c r="DB10" s="117" t="n">
        <x:f>'Продажи'!DB72+'ОБЪЕКТЫ'!DB108</x:f>
      </x:c>
      <x:c r="DC10" s="117" t="n">
        <x:f>'Продажи'!DC72+'ОБЪЕКТЫ'!DC108</x:f>
      </x:c>
      <x:c r="DD10" s="117" t="n">
        <x:f>'Продажи'!DD72+'ОБЪЕКТЫ'!DD108</x:f>
      </x:c>
      <x:c r="DE10" s="117" t="n">
        <x:f>'Продажи'!DE72+'ОБЪЕКТЫ'!DE108</x:f>
      </x:c>
      <x:c r="DF10" s="117" t="n">
        <x:f>'Продажи'!DF72+'ОБЪЕКТЫ'!DF108</x:f>
      </x:c>
      <x:c r="DG10" s="117" t="n">
        <x:f>'Продажи'!DG72+'ОБЪЕКТЫ'!DG108</x:f>
      </x:c>
      <x:c r="DH10" s="117" t="n">
        <x:f>'Продажи'!DH72+'ОБЪЕКТЫ'!DH108</x:f>
      </x:c>
      <x:c r="DI10" s="117" t="n">
        <x:f>'Продажи'!DI72+'ОБЪЕКТЫ'!DI108</x:f>
      </x:c>
      <x:c r="DJ10" s="117" t="n">
        <x:f>'Продажи'!DJ72+'ОБЪЕКТЫ'!DJ108</x:f>
      </x:c>
      <x:c r="DK10" s="117" t="n">
        <x:f>'Продажи'!DK72+'ОБЪЕКТЫ'!DK108</x:f>
      </x:c>
      <x:c r="DL10" s="117" t="n">
        <x:f>'Продажи'!DL72+'ОБЪЕКТЫ'!DL108</x:f>
      </x:c>
      <x:c r="DM10" s="117" t="n">
        <x:f>'Продажи'!DM72+'ОБЪЕКТЫ'!DM108</x:f>
      </x:c>
      <x:c r="DN10" s="117" t="n">
        <x:f>'Продажи'!DN72+'ОБЪЕКТЫ'!DN108</x:f>
      </x:c>
      <x:c r="DO10" s="117" t="n">
        <x:f>'Продажи'!DO72+'ОБЪЕКТЫ'!DO108</x:f>
      </x:c>
      <x:c r="DP10" s="117" t="n">
        <x:f>'Продажи'!DP72+'ОБЪЕКТЫ'!DP108</x:f>
      </x:c>
      <x:c r="DQ10" s="117" t="n">
        <x:f>'Продажи'!DQ72+'ОБЪЕКТЫ'!DQ108</x:f>
      </x:c>
      <x:c r="DR10" s="117" t="n">
        <x:f>'Продажи'!DR72+'ОБЪЕКТЫ'!DR108</x:f>
      </x:c>
      <x:c r="DS10" s="117" t="n">
        <x:f>'Продажи'!DS72+'ОБЪЕКТЫ'!DS108</x:f>
      </x:c>
      <x:c r="DT10" s="117" t="n">
        <x:f>'Продажи'!DT72+'ОБЪЕКТЫ'!DT108</x:f>
      </x:c>
      <x:c r="DU10" s="117" t="n">
        <x:f>'Продажи'!DU72+'ОБЪЕКТЫ'!DU108</x:f>
      </x:c>
      <x:c r="DV10" s="117" t="n">
        <x:f>'Продажи'!DV72+'ОБЪЕКТЫ'!DV108</x:f>
      </x:c>
      <x:c r="DW10" s="117" t="n">
        <x:f>'Продажи'!DW72+'ОБЪЕКТЫ'!DW108</x:f>
      </x:c>
      <x:c r="DX10" s="117" t="n">
        <x:f>'Продажи'!DX72+'ОБЪЕКТЫ'!DX108</x:f>
      </x:c>
      <x:c r="DY10" s="117" t="n">
        <x:f>'Продажи'!DY72+'ОБЪЕКТЫ'!DY108</x:f>
      </x:c>
      <x:c r="DZ10" s="117" t="n">
        <x:f>'Продажи'!DZ72+'ОБЪЕКТЫ'!DZ108</x:f>
      </x:c>
      <x:c r="EA10" s="117" t="n">
        <x:f>'Продажи'!EA72+'ОБЪЕКТЫ'!EA108</x:f>
      </x:c>
      <x:c r="EB10" s="117" t="n">
        <x:f>'Продажи'!EB72+'ОБЪЕКТЫ'!EB108</x:f>
      </x:c>
      <x:c r="EC10" s="117" t="n">
        <x:f>'Продажи'!EC72+'ОБЪЕКТЫ'!EC108</x:f>
      </x:c>
      <x:c r="ED10" s="117" t="n">
        <x:f>'Продажи'!ED72+'ОБЪЕКТЫ'!ED108</x:f>
      </x:c>
      <x:c r="EE10" s="117" t="n">
        <x:f>'Продажи'!EE72+'ОБЪЕКТЫ'!EE108</x:f>
      </x:c>
      <x:c r="EF10" s="117" t="n">
        <x:f>'Продажи'!EF72+'ОБЪЕКТЫ'!EF108</x:f>
      </x:c>
      <x:c r="EG10" s="117" t="n">
        <x:f>'Продажи'!EG72+'ОБЪЕКТЫ'!EG108</x:f>
      </x:c>
      <x:c r="EH10" s="117" t="n">
        <x:f>'Продажи'!EH72+'ОБЪЕКТЫ'!EH108</x:f>
      </x:c>
      <x:c r="EI10" s="117" t="n">
        <x:f>'Продажи'!EI72+'ОБЪЕКТЫ'!EI108</x:f>
      </x:c>
      <x:c r="EJ10" s="117" t="n">
        <x:f>'Продажи'!EJ72+'ОБЪЕКТЫ'!EJ108</x:f>
      </x:c>
      <x:c r="EK10" s="117" t="n">
        <x:f>'Продажи'!EK72+'ОБЪЕКТЫ'!EK108</x:f>
      </x:c>
      <x:c r="EL10" s="117" t="n">
        <x:f>'Продажи'!EL72+'ОБЪЕКТЫ'!EL108</x:f>
      </x:c>
      <x:c r="EM10" s="117" t="n">
        <x:f>'Продажи'!EM72+'ОБЪЕКТЫ'!EM108</x:f>
      </x:c>
      <x:c r="EN10" s="117" t="n">
        <x:f>'Продажи'!EN72+'ОБЪЕКТЫ'!EN108</x:f>
      </x:c>
      <x:c r="EO10" s="117" t="n">
        <x:f>'Продажи'!EO72+'ОБЪЕКТЫ'!EO108</x:f>
      </x:c>
      <x:c r="EP10" s="117" t="n">
        <x:f>'Продажи'!EP72+'ОБЪЕКТЫ'!EP108</x:f>
      </x:c>
      <x:c r="EQ10" s="117" t="n">
        <x:f>'Продажи'!EQ72+'ОБЪЕКТЫ'!EQ108</x:f>
      </x:c>
      <x:c r="ER10" s="117" t="n">
        <x:f>'Продажи'!ER72+'ОБЪЕКТЫ'!ER108</x:f>
      </x:c>
      <x:c r="ES10" s="117" t="n">
        <x:f>'Продажи'!ES72+'ОБЪЕКТЫ'!ES108</x:f>
      </x:c>
      <x:c r="ET10" s="117" t="n">
        <x:f>'Продажи'!ET72+'ОБЪЕКТЫ'!ET108</x:f>
      </x:c>
      <x:c r="EU10" s="117" t="n">
        <x:f>'Продажи'!EU72+'ОБЪЕКТЫ'!EU108</x:f>
      </x:c>
      <x:c r="EV10" s="117" t="n">
        <x:f>'Продажи'!EV72+'ОБЪЕКТЫ'!EV108</x:f>
      </x:c>
      <x:c r="EW10" s="117" t="n">
        <x:f>'Продажи'!EW72+'ОБЪЕКТЫ'!EW108</x:f>
      </x:c>
      <x:c r="EX10" s="117" t="n">
        <x:f>'Продажи'!EX72+'ОБЪЕКТЫ'!EX108</x:f>
      </x:c>
      <x:c r="EY10" s="117" t="n">
        <x:f>'Продажи'!EY72+'ОБЪЕКТЫ'!EY108</x:f>
      </x:c>
      <x:c r="EZ10" s="117" t="n">
        <x:f>'Продажи'!EZ72+'ОБЪЕКТЫ'!EZ108</x:f>
      </x:c>
      <x:c r="FA10" s="117" t="n">
        <x:f>'Продажи'!FA72+'ОБЪЕКТЫ'!FA108</x:f>
      </x:c>
      <x:c r="FB10" s="117" t="n">
        <x:f>'Продажи'!FB72+'ОБЪЕКТЫ'!FB108</x:f>
      </x:c>
      <x:c r="FC10" s="117" t="n">
        <x:f>'Продажи'!FC72+'ОБЪЕКТЫ'!FC108</x:f>
      </x:c>
      <x:c r="FD10" s="117" t="n">
        <x:f>'Продажи'!FD72+'ОБЪЕКТЫ'!FD108</x:f>
      </x:c>
      <x:c r="FE10" s="117" t="n">
        <x:f>'Продажи'!FE72+'ОБЪЕКТЫ'!FE108</x:f>
      </x:c>
      <x:c r="FF10" s="117" t="n">
        <x:f>'Продажи'!FF72+'ОБЪЕКТЫ'!FF108</x:f>
      </x:c>
      <x:c r="FG10" s="117" t="n">
        <x:f>'Продажи'!FG72+'ОБЪЕКТЫ'!FG108</x:f>
      </x:c>
      <x:c r="FH10" s="117" t="n">
        <x:f>'Продажи'!FH72+'ОБЪЕКТЫ'!FH108</x:f>
      </x:c>
      <x:c r="FI10" s="117" t="n">
        <x:f>'Продажи'!FI72+'ОБЪЕКТЫ'!FI108</x:f>
      </x:c>
      <x:c r="FJ10" s="117" t="n">
        <x:f>'Продажи'!FJ72+'ОБЪЕКТЫ'!FJ108</x:f>
      </x:c>
      <x:c r="FK10" s="117" t="n">
        <x:f>'Продажи'!FK72+'ОБЪЕКТЫ'!FK108</x:f>
      </x:c>
      <x:c r="FL10" s="117" t="n">
        <x:f>'Продажи'!FL72+'ОБЪЕКТЫ'!FL108</x:f>
      </x:c>
      <x:c r="FM10" s="117" t="n">
        <x:f>'Продажи'!FM72+'ОБЪЕКТЫ'!FM108</x:f>
      </x:c>
      <x:c r="FN10" s="117" t="n">
        <x:f>'Продажи'!FN72+'ОБЪЕКТЫ'!FN108</x:f>
      </x:c>
      <x:c r="FO10" s="117" t="n">
        <x:f>'Продажи'!FO72+'ОБЪЕКТЫ'!FO108</x:f>
      </x:c>
      <x:c r="FP10" s="117" t="n">
        <x:f>'Продажи'!FP72+'ОБЪЕКТЫ'!FP108</x:f>
      </x:c>
      <x:c r="FQ10" s="117" t="n">
        <x:f>'Продажи'!FQ72+'ОБЪЕКТЫ'!FQ108</x:f>
      </x:c>
      <x:c r="FR10" s="117" t="n">
        <x:f>'Продажи'!FR72+'ОБЪЕКТЫ'!FR108</x:f>
      </x:c>
      <x:c r="FS10" s="117" t="n">
        <x:f>'Продажи'!FS72+'ОБЪЕКТЫ'!FS108</x:f>
      </x:c>
      <x:c r="FT10" s="117" t="n">
        <x:f>'Продажи'!FT72+'ОБЪЕКТЫ'!FT108</x:f>
      </x:c>
      <x:c r="FU10" s="117" t="n">
        <x:f>'Продажи'!FU72+'ОБЪЕКТЫ'!FU108</x:f>
      </x:c>
      <x:c r="FV10" s="117" t="n">
        <x:f>'Продажи'!FV72+'ОБЪЕКТЫ'!FV108</x:f>
      </x:c>
      <x:c r="FW10" s="117" t="n">
        <x:f>'Продажи'!FW72+'ОБЪЕКТЫ'!FW108</x:f>
      </x:c>
      <x:c r="FX10" s="117" t="n">
        <x:f>'Продажи'!FX72+'ОБЪЕКТЫ'!FX108</x:f>
      </x:c>
      <x:c r="FY10" s="117" t="n">
        <x:f>'Продажи'!FY72+'ОБЪЕКТЫ'!FY108</x:f>
      </x:c>
      <x:c r="FZ10" s="117" t="n">
        <x:f>'Продажи'!FZ72+'ОБЪЕКТЫ'!FZ108</x:f>
      </x:c>
      <x:c r="GA10" s="117" t="n">
        <x:f>'Продажи'!GA72+'ОБЪЕКТЫ'!GA108</x:f>
      </x:c>
    </x:row>
    <x:row r="11">
      <x:c r="A11" t="str">
        <x:v>Поступления на эскроу</x:v>
      </x:c>
      <x:c r="B11" t="n">
        <x:f>SUM(D11:GA11)</x:f>
      </x:c>
      <x:c r="C11" t="str">
        <x:v>млн ₽</x:v>
      </x:c>
      <x:c r="D11" s="117" t="n">
        <x:f>IF(D$3&lt;$B$8,'Продажи'!D72,0)+'ОБЪЕКТЫ'!D109</x:f>
      </x:c>
      <x:c r="E11" s="117" t="n">
        <x:f>IF(E$3&lt;$B$8,'Продажи'!E72,0)+'ОБЪЕКТЫ'!E109</x:f>
      </x:c>
      <x:c r="F11" s="117" t="n">
        <x:f>IF(F$3&lt;$B$8,'Продажи'!F72,0)+'ОБЪЕКТЫ'!F109</x:f>
      </x:c>
      <x:c r="G11" s="117" t="n">
        <x:f>IF(G$3&lt;$B$8,'Продажи'!G72,0)+'ОБЪЕКТЫ'!G109</x:f>
      </x:c>
      <x:c r="H11" s="117" t="n">
        <x:f>IF(H$3&lt;$B$8,'Продажи'!H72,0)+'ОБЪЕКТЫ'!H109</x:f>
      </x:c>
      <x:c r="I11" s="117" t="n">
        <x:f>IF(I$3&lt;$B$8,'Продажи'!I72,0)+'ОБЪЕКТЫ'!I109</x:f>
      </x:c>
      <x:c r="J11" s="117" t="n">
        <x:f>IF(J$3&lt;$B$8,'Продажи'!J72,0)+'ОБЪЕКТЫ'!J109</x:f>
      </x:c>
      <x:c r="K11" s="117" t="n">
        <x:f>IF(K$3&lt;$B$8,'Продажи'!K72,0)+'ОБЪЕКТЫ'!K109</x:f>
      </x:c>
      <x:c r="L11" s="117" t="n">
        <x:f>IF(L$3&lt;$B$8,'Продажи'!L72,0)+'ОБЪЕКТЫ'!L109</x:f>
      </x:c>
      <x:c r="M11" s="117" t="n">
        <x:f>IF(M$3&lt;$B$8,'Продажи'!M72,0)+'ОБЪЕКТЫ'!M109</x:f>
      </x:c>
      <x:c r="N11" s="117" t="n">
        <x:f>IF(N$3&lt;$B$8,'Продажи'!N72,0)+'ОБЪЕКТЫ'!N109</x:f>
      </x:c>
      <x:c r="O11" s="117" t="n">
        <x:f>IF(O$3&lt;$B$8,'Продажи'!O72,0)+'ОБЪЕКТЫ'!O109</x:f>
      </x:c>
      <x:c r="P11" s="117" t="n">
        <x:f>IF(P$3&lt;$B$8,'Продажи'!P72,0)+'ОБЪЕКТЫ'!P109</x:f>
      </x:c>
      <x:c r="Q11" s="117" t="n">
        <x:f>IF(Q$3&lt;$B$8,'Продажи'!Q72,0)+'ОБЪЕКТЫ'!Q109</x:f>
      </x:c>
      <x:c r="R11" s="117" t="n">
        <x:f>IF(R$3&lt;$B$8,'Продажи'!R72,0)+'ОБЪЕКТЫ'!R109</x:f>
      </x:c>
      <x:c r="S11" s="117" t="n">
        <x:f>IF(S$3&lt;$B$8,'Продажи'!S72,0)+'ОБЪЕКТЫ'!S109</x:f>
      </x:c>
      <x:c r="T11" s="117" t="n">
        <x:f>IF(T$3&lt;$B$8,'Продажи'!T72,0)+'ОБЪЕКТЫ'!T109</x:f>
      </x:c>
      <x:c r="U11" s="117" t="n">
        <x:f>IF(U$3&lt;$B$8,'Продажи'!U72,0)+'ОБЪЕКТЫ'!U109</x:f>
      </x:c>
      <x:c r="V11" s="117" t="n">
        <x:f>IF(V$3&lt;$B$8,'Продажи'!V72,0)+'ОБЪЕКТЫ'!V109</x:f>
      </x:c>
      <x:c r="W11" s="117" t="n">
        <x:f>IF(W$3&lt;$B$8,'Продажи'!W72,0)+'ОБЪЕКТЫ'!W109</x:f>
      </x:c>
      <x:c r="X11" s="117" t="n">
        <x:f>IF(X$3&lt;$B$8,'Продажи'!X72,0)+'ОБЪЕКТЫ'!X109</x:f>
      </x:c>
      <x:c r="Y11" s="117" t="n">
        <x:f>IF(Y$3&lt;$B$8,'Продажи'!Y72,0)+'ОБЪЕКТЫ'!Y109</x:f>
      </x:c>
      <x:c r="Z11" s="117" t="n">
        <x:f>IF(Z$3&lt;$B$8,'Продажи'!Z72,0)+'ОБЪЕКТЫ'!Z109</x:f>
      </x:c>
      <x:c r="AA11" s="117" t="n">
        <x:f>IF(AA$3&lt;$B$8,'Продажи'!AA72,0)+'ОБЪЕКТЫ'!AA109</x:f>
      </x:c>
      <x:c r="AB11" s="117" t="n">
        <x:f>IF(AB$3&lt;$B$8,'Продажи'!AB72,0)+'ОБЪЕКТЫ'!AB109</x:f>
      </x:c>
      <x:c r="AC11" s="117" t="n">
        <x:f>IF(AC$3&lt;$B$8,'Продажи'!AC72,0)+'ОБЪЕКТЫ'!AC109</x:f>
      </x:c>
      <x:c r="AD11" s="117" t="n">
        <x:f>IF(AD$3&lt;$B$8,'Продажи'!AD72,0)+'ОБЪЕКТЫ'!AD109</x:f>
      </x:c>
      <x:c r="AE11" s="117" t="n">
        <x:f>IF(AE$3&lt;$B$8,'Продажи'!AE72,0)+'ОБЪЕКТЫ'!AE109</x:f>
      </x:c>
      <x:c r="AF11" s="117" t="n">
        <x:f>IF(AF$3&lt;$B$8,'Продажи'!AF72,0)+'ОБЪЕКТЫ'!AF109</x:f>
      </x:c>
      <x:c r="AG11" s="117" t="n">
        <x:f>IF(AG$3&lt;$B$8,'Продажи'!AG72,0)+'ОБЪЕКТЫ'!AG109</x:f>
      </x:c>
      <x:c r="AH11" s="117" t="n">
        <x:f>IF(AH$3&lt;$B$8,'Продажи'!AH72,0)+'ОБЪЕКТЫ'!AH109</x:f>
      </x:c>
      <x:c r="AI11" s="117" t="n">
        <x:f>IF(AI$3&lt;$B$8,'Продажи'!AI72,0)+'ОБЪЕКТЫ'!AI109</x:f>
      </x:c>
      <x:c r="AJ11" s="117" t="n">
        <x:f>IF(AJ$3&lt;$B$8,'Продажи'!AJ72,0)+'ОБЪЕКТЫ'!AJ109</x:f>
      </x:c>
      <x:c r="AK11" s="117" t="n">
        <x:f>IF(AK$3&lt;$B$8,'Продажи'!AK72,0)+'ОБЪЕКТЫ'!AK109</x:f>
      </x:c>
      <x:c r="AL11" s="117" t="n">
        <x:f>IF(AL$3&lt;$B$8,'Продажи'!AL72,0)+'ОБЪЕКТЫ'!AL109</x:f>
      </x:c>
      <x:c r="AM11" s="117" t="n">
        <x:f>IF(AM$3&lt;$B$8,'Продажи'!AM72,0)+'ОБЪЕКТЫ'!AM109</x:f>
      </x:c>
      <x:c r="AN11" s="117" t="n">
        <x:f>IF(AN$3&lt;$B$8,'Продажи'!AN72,0)+'ОБЪЕКТЫ'!AN109</x:f>
      </x:c>
      <x:c r="AO11" s="117" t="n">
        <x:f>IF(AO$3&lt;$B$8,'Продажи'!AO72,0)+'ОБЪЕКТЫ'!AO109</x:f>
      </x:c>
      <x:c r="AP11" s="117" t="n">
        <x:f>IF(AP$3&lt;$B$8,'Продажи'!AP72,0)+'ОБЪЕКТЫ'!AP109</x:f>
      </x:c>
      <x:c r="AQ11" s="117" t="n">
        <x:f>IF(AQ$3&lt;$B$8,'Продажи'!AQ72,0)+'ОБЪЕКТЫ'!AQ109</x:f>
      </x:c>
      <x:c r="AR11" s="117" t="n">
        <x:f>IF(AR$3&lt;$B$8,'Продажи'!AR72,0)+'ОБЪЕКТЫ'!AR109</x:f>
      </x:c>
      <x:c r="AS11" s="117" t="n">
        <x:f>IF(AS$3&lt;$B$8,'Продажи'!AS72,0)+'ОБЪЕКТЫ'!AS109</x:f>
      </x:c>
      <x:c r="AT11" s="117" t="n">
        <x:f>IF(AT$3&lt;$B$8,'Продажи'!AT72,0)+'ОБЪЕКТЫ'!AT109</x:f>
      </x:c>
      <x:c r="AU11" s="117" t="n">
        <x:f>IF(AU$3&lt;$B$8,'Продажи'!AU72,0)+'ОБЪЕКТЫ'!AU109</x:f>
      </x:c>
      <x:c r="AV11" s="117" t="n">
        <x:f>IF(AV$3&lt;$B$8,'Продажи'!AV72,0)+'ОБЪЕКТЫ'!AV109</x:f>
      </x:c>
      <x:c r="AW11" s="117" t="n">
        <x:f>IF(AW$3&lt;$B$8,'Продажи'!AW72,0)+'ОБЪЕКТЫ'!AW109</x:f>
      </x:c>
      <x:c r="AX11" s="117" t="n">
        <x:f>IF(AX$3&lt;$B$8,'Продажи'!AX72,0)+'ОБЪЕКТЫ'!AX109</x:f>
      </x:c>
      <x:c r="AY11" s="117" t="n">
        <x:f>IF(AY$3&lt;$B$8,'Продажи'!AY72,0)+'ОБЪЕКТЫ'!AY109</x:f>
      </x:c>
      <x:c r="AZ11" s="117" t="n">
        <x:f>IF(AZ$3&lt;$B$8,'Продажи'!AZ72,0)+'ОБЪЕКТЫ'!AZ109</x:f>
      </x:c>
      <x:c r="BA11" s="117" t="n">
        <x:f>IF(BA$3&lt;$B$8,'Продажи'!BA72,0)+'ОБЪЕКТЫ'!BA109</x:f>
      </x:c>
      <x:c r="BB11" s="117" t="n">
        <x:f>IF(BB$3&lt;$B$8,'Продажи'!BB72,0)+'ОБЪЕКТЫ'!BB109</x:f>
      </x:c>
      <x:c r="BC11" s="117" t="n">
        <x:f>IF(BC$3&lt;$B$8,'Продажи'!BC72,0)+'ОБЪЕКТЫ'!BC109</x:f>
      </x:c>
      <x:c r="BD11" s="117" t="n">
        <x:f>IF(BD$3&lt;$B$8,'Продажи'!BD72,0)+'ОБЪЕКТЫ'!BD109</x:f>
      </x:c>
      <x:c r="BE11" s="117" t="n">
        <x:f>IF(BE$3&lt;$B$8,'Продажи'!BE72,0)+'ОБЪЕКТЫ'!BE109</x:f>
      </x:c>
      <x:c r="BF11" s="117" t="n">
        <x:f>IF(BF$3&lt;$B$8,'Продажи'!BF72,0)+'ОБЪЕКТЫ'!BF109</x:f>
      </x:c>
      <x:c r="BG11" s="117" t="n">
        <x:f>IF(BG$3&lt;$B$8,'Продажи'!BG72,0)+'ОБЪЕКТЫ'!BG109</x:f>
      </x:c>
      <x:c r="BH11" s="117" t="n">
        <x:f>IF(BH$3&lt;$B$8,'Продажи'!BH72,0)+'ОБЪЕКТЫ'!BH109</x:f>
      </x:c>
      <x:c r="BI11" s="117" t="n">
        <x:f>IF(BI$3&lt;$B$8,'Продажи'!BI72,0)+'ОБЪЕКТЫ'!BI109</x:f>
      </x:c>
      <x:c r="BJ11" s="117" t="n">
        <x:f>IF(BJ$3&lt;$B$8,'Продажи'!BJ72,0)+'ОБЪЕКТЫ'!BJ109</x:f>
      </x:c>
      <x:c r="BK11" s="117" t="n">
        <x:f>IF(BK$3&lt;$B$8,'Продажи'!BK72,0)+'ОБЪЕКТЫ'!BK109</x:f>
      </x:c>
      <x:c r="BL11" s="117" t="n">
        <x:f>IF(BL$3&lt;$B$8,'Продажи'!BL72,0)+'ОБЪЕКТЫ'!BL109</x:f>
      </x:c>
      <x:c r="BM11" s="117" t="n">
        <x:f>IF(BM$3&lt;$B$8,'Продажи'!BM72,0)+'ОБЪЕКТЫ'!BM109</x:f>
      </x:c>
      <x:c r="BN11" s="117" t="n">
        <x:f>IF(BN$3&lt;$B$8,'Продажи'!BN72,0)+'ОБЪЕКТЫ'!BN109</x:f>
      </x:c>
      <x:c r="BO11" s="117" t="n">
        <x:f>IF(BO$3&lt;$B$8,'Продажи'!BO72,0)+'ОБЪЕКТЫ'!BO109</x:f>
      </x:c>
      <x:c r="BP11" s="117" t="n">
        <x:f>IF(BP$3&lt;$B$8,'Продажи'!BP72,0)+'ОБЪЕКТЫ'!BP109</x:f>
      </x:c>
      <x:c r="BQ11" s="117" t="n">
        <x:f>IF(BQ$3&lt;$B$8,'Продажи'!BQ72,0)+'ОБЪЕКТЫ'!BQ109</x:f>
      </x:c>
      <x:c r="BR11" s="117" t="n">
        <x:f>IF(BR$3&lt;$B$8,'Продажи'!BR72,0)+'ОБЪЕКТЫ'!BR109</x:f>
      </x:c>
      <x:c r="BS11" s="117" t="n">
        <x:f>IF(BS$3&lt;$B$8,'Продажи'!BS72,0)+'ОБЪЕКТЫ'!BS109</x:f>
      </x:c>
      <x:c r="BT11" s="117" t="n">
        <x:f>IF(BT$3&lt;$B$8,'Продажи'!BT72,0)+'ОБЪЕКТЫ'!BT109</x:f>
      </x:c>
      <x:c r="BU11" s="117" t="n">
        <x:f>IF(BU$3&lt;$B$8,'Продажи'!BU72,0)+'ОБЪЕКТЫ'!BU109</x:f>
      </x:c>
      <x:c r="BV11" s="117" t="n">
        <x:f>IF(BV$3&lt;$B$8,'Продажи'!BV72,0)+'ОБЪЕКТЫ'!BV109</x:f>
      </x:c>
      <x:c r="BW11" s="117" t="n">
        <x:f>IF(BW$3&lt;$B$8,'Продажи'!BW72,0)+'ОБЪЕКТЫ'!BW109</x:f>
      </x:c>
      <x:c r="BX11" s="117" t="n">
        <x:f>IF(BX$3&lt;$B$8,'Продажи'!BX72,0)+'ОБЪЕКТЫ'!BX109</x:f>
      </x:c>
      <x:c r="BY11" s="117" t="n">
        <x:f>IF(BY$3&lt;$B$8,'Продажи'!BY72,0)+'ОБЪЕКТЫ'!BY109</x:f>
      </x:c>
      <x:c r="BZ11" s="117" t="n">
        <x:f>IF(BZ$3&lt;$B$8,'Продажи'!BZ72,0)+'ОБЪЕКТЫ'!BZ109</x:f>
      </x:c>
      <x:c r="CA11" s="117" t="n">
        <x:f>IF(CA$3&lt;$B$8,'Продажи'!CA72,0)+'ОБЪЕКТЫ'!CA109</x:f>
      </x:c>
      <x:c r="CB11" s="117" t="n">
        <x:f>IF(CB$3&lt;$B$8,'Продажи'!CB72,0)+'ОБЪЕКТЫ'!CB109</x:f>
      </x:c>
      <x:c r="CC11" s="117" t="n">
        <x:f>IF(CC$3&lt;$B$8,'Продажи'!CC72,0)+'ОБЪЕКТЫ'!CC109</x:f>
      </x:c>
      <x:c r="CD11" s="117" t="n">
        <x:f>IF(CD$3&lt;$B$8,'Продажи'!CD72,0)+'ОБЪЕКТЫ'!CD109</x:f>
      </x:c>
      <x:c r="CE11" s="117" t="n">
        <x:f>IF(CE$3&lt;$B$8,'Продажи'!CE72,0)+'ОБЪЕКТЫ'!CE109</x:f>
      </x:c>
      <x:c r="CF11" s="117" t="n">
        <x:f>IF(CF$3&lt;$B$8,'Продажи'!CF72,0)+'ОБЪЕКТЫ'!CF109</x:f>
      </x:c>
      <x:c r="CG11" s="117" t="n">
        <x:f>IF(CG$3&lt;$B$8,'Продажи'!CG72,0)+'ОБЪЕКТЫ'!CG109</x:f>
      </x:c>
      <x:c r="CH11" s="117" t="n">
        <x:f>IF(CH$3&lt;$B$8,'Продажи'!CH72,0)+'ОБЪЕКТЫ'!CH109</x:f>
      </x:c>
      <x:c r="CI11" s="117" t="n">
        <x:f>IF(CI$3&lt;$B$8,'Продажи'!CI72,0)+'ОБЪЕКТЫ'!CI109</x:f>
      </x:c>
      <x:c r="CJ11" s="117" t="n">
        <x:f>IF(CJ$3&lt;$B$8,'Продажи'!CJ72,0)+'ОБЪЕКТЫ'!CJ109</x:f>
      </x:c>
      <x:c r="CK11" s="117" t="n">
        <x:f>IF(CK$3&lt;$B$8,'Продажи'!CK72,0)+'ОБЪЕКТЫ'!CK109</x:f>
      </x:c>
      <x:c r="CL11" s="117" t="n">
        <x:f>IF(CL$3&lt;$B$8,'Продажи'!CL72,0)+'ОБЪЕКТЫ'!CL109</x:f>
      </x:c>
      <x:c r="CM11" s="117" t="n">
        <x:f>IF(CM$3&lt;$B$8,'Продажи'!CM72,0)+'ОБЪЕКТЫ'!CM109</x:f>
      </x:c>
      <x:c r="CN11" s="117" t="n">
        <x:f>IF(CN$3&lt;$B$8,'Продажи'!CN72,0)+'ОБЪЕКТЫ'!CN109</x:f>
      </x:c>
      <x:c r="CO11" s="117" t="n">
        <x:f>IF(CO$3&lt;$B$8,'Продажи'!CO72,0)+'ОБЪЕКТЫ'!CO109</x:f>
      </x:c>
      <x:c r="CP11" s="117" t="n">
        <x:f>IF(CP$3&lt;$B$8,'Продажи'!CP72,0)+'ОБЪЕКТЫ'!CP109</x:f>
      </x:c>
      <x:c r="CQ11" s="117" t="n">
        <x:f>IF(CQ$3&lt;$B$8,'Продажи'!CQ72,0)+'ОБЪЕКТЫ'!CQ109</x:f>
      </x:c>
      <x:c r="CR11" s="117" t="n">
        <x:f>IF(CR$3&lt;$B$8,'Продажи'!CR72,0)+'ОБЪЕКТЫ'!CR109</x:f>
      </x:c>
      <x:c r="CS11" s="117" t="n">
        <x:f>IF(CS$3&lt;$B$8,'Продажи'!CS72,0)+'ОБЪЕКТЫ'!CS109</x:f>
      </x:c>
      <x:c r="CT11" s="117" t="n">
        <x:f>IF(CT$3&lt;$B$8,'Продажи'!CT72,0)+'ОБЪЕКТЫ'!CT109</x:f>
      </x:c>
      <x:c r="CU11" s="117" t="n">
        <x:f>IF(CU$3&lt;$B$8,'Продажи'!CU72,0)+'ОБЪЕКТЫ'!CU109</x:f>
      </x:c>
      <x:c r="CV11" s="117" t="n">
        <x:f>IF(CV$3&lt;$B$8,'Продажи'!CV72,0)+'ОБЪЕКТЫ'!CV109</x:f>
      </x:c>
      <x:c r="CW11" s="117" t="n">
        <x:f>IF(CW$3&lt;$B$8,'Продажи'!CW72,0)+'ОБЪЕКТЫ'!CW109</x:f>
      </x:c>
      <x:c r="CX11" s="117" t="n">
        <x:f>IF(CX$3&lt;$B$8,'Продажи'!CX72,0)+'ОБЪЕКТЫ'!CX109</x:f>
      </x:c>
      <x:c r="CY11" s="117" t="n">
        <x:f>IF(CY$3&lt;$B$8,'Продажи'!CY72,0)+'ОБЪЕКТЫ'!CY109</x:f>
      </x:c>
      <x:c r="CZ11" s="117" t="n">
        <x:f>IF(CZ$3&lt;$B$8,'Продажи'!CZ72,0)+'ОБЪЕКТЫ'!CZ109</x:f>
      </x:c>
      <x:c r="DA11" s="117" t="n">
        <x:f>IF(DA$3&lt;$B$8,'Продажи'!DA72,0)+'ОБЪЕКТЫ'!DA109</x:f>
      </x:c>
      <x:c r="DB11" s="117" t="n">
        <x:f>IF(DB$3&lt;$B$8,'Продажи'!DB72,0)+'ОБЪЕКТЫ'!DB109</x:f>
      </x:c>
      <x:c r="DC11" s="117" t="n">
        <x:f>IF(DC$3&lt;$B$8,'Продажи'!DC72,0)+'ОБЪЕКТЫ'!DC109</x:f>
      </x:c>
      <x:c r="DD11" s="117" t="n">
        <x:f>IF(DD$3&lt;$B$8,'Продажи'!DD72,0)+'ОБЪЕКТЫ'!DD109</x:f>
      </x:c>
      <x:c r="DE11" s="117" t="n">
        <x:f>IF(DE$3&lt;$B$8,'Продажи'!DE72,0)+'ОБЪЕКТЫ'!DE109</x:f>
      </x:c>
      <x:c r="DF11" s="117" t="n">
        <x:f>IF(DF$3&lt;$B$8,'Продажи'!DF72,0)+'ОБЪЕКТЫ'!DF109</x:f>
      </x:c>
      <x:c r="DG11" s="117" t="n">
        <x:f>IF(DG$3&lt;$B$8,'Продажи'!DG72,0)+'ОБЪЕКТЫ'!DG109</x:f>
      </x:c>
      <x:c r="DH11" s="117" t="n">
        <x:f>IF(DH$3&lt;$B$8,'Продажи'!DH72,0)+'ОБЪЕКТЫ'!DH109</x:f>
      </x:c>
      <x:c r="DI11" s="117" t="n">
        <x:f>IF(DI$3&lt;$B$8,'Продажи'!DI72,0)+'ОБЪЕКТЫ'!DI109</x:f>
      </x:c>
      <x:c r="DJ11" s="117" t="n">
        <x:f>IF(DJ$3&lt;$B$8,'Продажи'!DJ72,0)+'ОБЪЕКТЫ'!DJ109</x:f>
      </x:c>
      <x:c r="DK11" s="117" t="n">
        <x:f>IF(DK$3&lt;$B$8,'Продажи'!DK72,0)+'ОБЪЕКТЫ'!DK109</x:f>
      </x:c>
      <x:c r="DL11" s="117" t="n">
        <x:f>IF(DL$3&lt;$B$8,'Продажи'!DL72,0)+'ОБЪЕКТЫ'!DL109</x:f>
      </x:c>
      <x:c r="DM11" s="117" t="n">
        <x:f>IF(DM$3&lt;$B$8,'Продажи'!DM72,0)+'ОБЪЕКТЫ'!DM109</x:f>
      </x:c>
      <x:c r="DN11" s="117" t="n">
        <x:f>IF(DN$3&lt;$B$8,'Продажи'!DN72,0)+'ОБЪЕКТЫ'!DN109</x:f>
      </x:c>
      <x:c r="DO11" s="117" t="n">
        <x:f>IF(DO$3&lt;$B$8,'Продажи'!DO72,0)+'ОБЪЕКТЫ'!DO109</x:f>
      </x:c>
      <x:c r="DP11" s="117" t="n">
        <x:f>IF(DP$3&lt;$B$8,'Продажи'!DP72,0)+'ОБЪЕКТЫ'!DP109</x:f>
      </x:c>
      <x:c r="DQ11" s="117" t="n">
        <x:f>IF(DQ$3&lt;$B$8,'Продажи'!DQ72,0)+'ОБЪЕКТЫ'!DQ109</x:f>
      </x:c>
      <x:c r="DR11" s="117" t="n">
        <x:f>IF(DR$3&lt;$B$8,'Продажи'!DR72,0)+'ОБЪЕКТЫ'!DR109</x:f>
      </x:c>
      <x:c r="DS11" s="117" t="n">
        <x:f>IF(DS$3&lt;$B$8,'Продажи'!DS72,0)+'ОБЪЕКТЫ'!DS109</x:f>
      </x:c>
      <x:c r="DT11" s="117" t="n">
        <x:f>IF(DT$3&lt;$B$8,'Продажи'!DT72,0)+'ОБЪЕКТЫ'!DT109</x:f>
      </x:c>
      <x:c r="DU11" s="117" t="n">
        <x:f>IF(DU$3&lt;$B$8,'Продажи'!DU72,0)+'ОБЪЕКТЫ'!DU109</x:f>
      </x:c>
      <x:c r="DV11" s="117" t="n">
        <x:f>IF(DV$3&lt;$B$8,'Продажи'!DV72,0)+'ОБЪЕКТЫ'!DV109</x:f>
      </x:c>
      <x:c r="DW11" s="117" t="n">
        <x:f>IF(DW$3&lt;$B$8,'Продажи'!DW72,0)+'ОБЪЕКТЫ'!DW109</x:f>
      </x:c>
      <x:c r="DX11" s="117" t="n">
        <x:f>IF(DX$3&lt;$B$8,'Продажи'!DX72,0)+'ОБЪЕКТЫ'!DX109</x:f>
      </x:c>
      <x:c r="DY11" s="117" t="n">
        <x:f>IF(DY$3&lt;$B$8,'Продажи'!DY72,0)+'ОБЪЕКТЫ'!DY109</x:f>
      </x:c>
      <x:c r="DZ11" s="117" t="n">
        <x:f>IF(DZ$3&lt;$B$8,'Продажи'!DZ72,0)+'ОБЪЕКТЫ'!DZ109</x:f>
      </x:c>
      <x:c r="EA11" s="117" t="n">
        <x:f>IF(EA$3&lt;$B$8,'Продажи'!EA72,0)+'ОБЪЕКТЫ'!EA109</x:f>
      </x:c>
      <x:c r="EB11" s="117" t="n">
        <x:f>IF(EB$3&lt;$B$8,'Продажи'!EB72,0)+'ОБЪЕКТЫ'!EB109</x:f>
      </x:c>
      <x:c r="EC11" s="117" t="n">
        <x:f>IF(EC$3&lt;$B$8,'Продажи'!EC72,0)+'ОБЪЕКТЫ'!EC109</x:f>
      </x:c>
      <x:c r="ED11" s="117" t="n">
        <x:f>IF(ED$3&lt;$B$8,'Продажи'!ED72,0)+'ОБЪЕКТЫ'!ED109</x:f>
      </x:c>
      <x:c r="EE11" s="117" t="n">
        <x:f>IF(EE$3&lt;$B$8,'Продажи'!EE72,0)+'ОБЪЕКТЫ'!EE109</x:f>
      </x:c>
      <x:c r="EF11" s="117" t="n">
        <x:f>IF(EF$3&lt;$B$8,'Продажи'!EF72,0)+'ОБЪЕКТЫ'!EF109</x:f>
      </x:c>
      <x:c r="EG11" s="117" t="n">
        <x:f>IF(EG$3&lt;$B$8,'Продажи'!EG72,0)+'ОБЪЕКТЫ'!EG109</x:f>
      </x:c>
      <x:c r="EH11" s="117" t="n">
        <x:f>IF(EH$3&lt;$B$8,'Продажи'!EH72,0)+'ОБЪЕКТЫ'!EH109</x:f>
      </x:c>
      <x:c r="EI11" s="117" t="n">
        <x:f>IF(EI$3&lt;$B$8,'Продажи'!EI72,0)+'ОБЪЕКТЫ'!EI109</x:f>
      </x:c>
      <x:c r="EJ11" s="117" t="n">
        <x:f>IF(EJ$3&lt;$B$8,'Продажи'!EJ72,0)+'ОБЪЕКТЫ'!EJ109</x:f>
      </x:c>
      <x:c r="EK11" s="117" t="n">
        <x:f>IF(EK$3&lt;$B$8,'Продажи'!EK72,0)+'ОБЪЕКТЫ'!EK109</x:f>
      </x:c>
      <x:c r="EL11" s="117" t="n">
        <x:f>IF(EL$3&lt;$B$8,'Продажи'!EL72,0)+'ОБЪЕКТЫ'!EL109</x:f>
      </x:c>
      <x:c r="EM11" s="117" t="n">
        <x:f>IF(EM$3&lt;$B$8,'Продажи'!EM72,0)+'ОБЪЕКТЫ'!EM109</x:f>
      </x:c>
      <x:c r="EN11" s="117" t="n">
        <x:f>IF(EN$3&lt;$B$8,'Продажи'!EN72,0)+'ОБЪЕКТЫ'!EN109</x:f>
      </x:c>
      <x:c r="EO11" s="117" t="n">
        <x:f>IF(EO$3&lt;$B$8,'Продажи'!EO72,0)+'ОБЪЕКТЫ'!EO109</x:f>
      </x:c>
      <x:c r="EP11" s="117" t="n">
        <x:f>IF(EP$3&lt;$B$8,'Продажи'!EP72,0)+'ОБЪЕКТЫ'!EP109</x:f>
      </x:c>
      <x:c r="EQ11" s="117" t="n">
        <x:f>IF(EQ$3&lt;$B$8,'Продажи'!EQ72,0)+'ОБЪЕКТЫ'!EQ109</x:f>
      </x:c>
      <x:c r="ER11" s="117" t="n">
        <x:f>IF(ER$3&lt;$B$8,'Продажи'!ER72,0)+'ОБЪЕКТЫ'!ER109</x:f>
      </x:c>
      <x:c r="ES11" s="117" t="n">
        <x:f>IF(ES$3&lt;$B$8,'Продажи'!ES72,0)+'ОБЪЕКТЫ'!ES109</x:f>
      </x:c>
      <x:c r="ET11" s="117" t="n">
        <x:f>IF(ET$3&lt;$B$8,'Продажи'!ET72,0)+'ОБЪЕКТЫ'!ET109</x:f>
      </x:c>
      <x:c r="EU11" s="117" t="n">
        <x:f>IF(EU$3&lt;$B$8,'Продажи'!EU72,0)+'ОБЪЕКТЫ'!EU109</x:f>
      </x:c>
      <x:c r="EV11" s="117" t="n">
        <x:f>IF(EV$3&lt;$B$8,'Продажи'!EV72,0)+'ОБЪЕКТЫ'!EV109</x:f>
      </x:c>
      <x:c r="EW11" s="117" t="n">
        <x:f>IF(EW$3&lt;$B$8,'Продажи'!EW72,0)+'ОБЪЕКТЫ'!EW109</x:f>
      </x:c>
      <x:c r="EX11" s="117" t="n">
        <x:f>IF(EX$3&lt;$B$8,'Продажи'!EX72,0)+'ОБЪЕКТЫ'!EX109</x:f>
      </x:c>
      <x:c r="EY11" s="117" t="n">
        <x:f>IF(EY$3&lt;$B$8,'Продажи'!EY72,0)+'ОБЪЕКТЫ'!EY109</x:f>
      </x:c>
      <x:c r="EZ11" s="117" t="n">
        <x:f>IF(EZ$3&lt;$B$8,'Продажи'!EZ72,0)+'ОБЪЕКТЫ'!EZ109</x:f>
      </x:c>
      <x:c r="FA11" s="117" t="n">
        <x:f>IF(FA$3&lt;$B$8,'Продажи'!FA72,0)+'ОБЪЕКТЫ'!FA109</x:f>
      </x:c>
      <x:c r="FB11" s="117" t="n">
        <x:f>IF(FB$3&lt;$B$8,'Продажи'!FB72,0)+'ОБЪЕКТЫ'!FB109</x:f>
      </x:c>
      <x:c r="FC11" s="117" t="n">
        <x:f>IF(FC$3&lt;$B$8,'Продажи'!FC72,0)+'ОБЪЕКТЫ'!FC109</x:f>
      </x:c>
      <x:c r="FD11" s="117" t="n">
        <x:f>IF(FD$3&lt;$B$8,'Продажи'!FD72,0)+'ОБЪЕКТЫ'!FD109</x:f>
      </x:c>
      <x:c r="FE11" s="117" t="n">
        <x:f>IF(FE$3&lt;$B$8,'Продажи'!FE72,0)+'ОБЪЕКТЫ'!FE109</x:f>
      </x:c>
      <x:c r="FF11" s="117" t="n">
        <x:f>IF(FF$3&lt;$B$8,'Продажи'!FF72,0)+'ОБЪЕКТЫ'!FF109</x:f>
      </x:c>
      <x:c r="FG11" s="117" t="n">
        <x:f>IF(FG$3&lt;$B$8,'Продажи'!FG72,0)+'ОБЪЕКТЫ'!FG109</x:f>
      </x:c>
      <x:c r="FH11" s="117" t="n">
        <x:f>IF(FH$3&lt;$B$8,'Продажи'!FH72,0)+'ОБЪЕКТЫ'!FH109</x:f>
      </x:c>
      <x:c r="FI11" s="117" t="n">
        <x:f>IF(FI$3&lt;$B$8,'Продажи'!FI72,0)+'ОБЪЕКТЫ'!FI109</x:f>
      </x:c>
      <x:c r="FJ11" s="117" t="n">
        <x:f>IF(FJ$3&lt;$B$8,'Продажи'!FJ72,0)+'ОБЪЕКТЫ'!FJ109</x:f>
      </x:c>
      <x:c r="FK11" s="117" t="n">
        <x:f>IF(FK$3&lt;$B$8,'Продажи'!FK72,0)+'ОБЪЕКТЫ'!FK109</x:f>
      </x:c>
      <x:c r="FL11" s="117" t="n">
        <x:f>IF(FL$3&lt;$B$8,'Продажи'!FL72,0)+'ОБЪЕКТЫ'!FL109</x:f>
      </x:c>
      <x:c r="FM11" s="117" t="n">
        <x:f>IF(FM$3&lt;$B$8,'Продажи'!FM72,0)+'ОБЪЕКТЫ'!FM109</x:f>
      </x:c>
      <x:c r="FN11" s="117" t="n">
        <x:f>IF(FN$3&lt;$B$8,'Продажи'!FN72,0)+'ОБЪЕКТЫ'!FN109</x:f>
      </x:c>
      <x:c r="FO11" s="117" t="n">
        <x:f>IF(FO$3&lt;$B$8,'Продажи'!FO72,0)+'ОБЪЕКТЫ'!FO109</x:f>
      </x:c>
      <x:c r="FP11" s="117" t="n">
        <x:f>IF(FP$3&lt;$B$8,'Продажи'!FP72,0)+'ОБЪЕКТЫ'!FP109</x:f>
      </x:c>
      <x:c r="FQ11" s="117" t="n">
        <x:f>IF(FQ$3&lt;$B$8,'Продажи'!FQ72,0)+'ОБЪЕКТЫ'!FQ109</x:f>
      </x:c>
      <x:c r="FR11" s="117" t="n">
        <x:f>IF(FR$3&lt;$B$8,'Продажи'!FR72,0)+'ОБЪЕКТЫ'!FR109</x:f>
      </x:c>
      <x:c r="FS11" s="117" t="n">
        <x:f>IF(FS$3&lt;$B$8,'Продажи'!FS72,0)+'ОБЪЕКТЫ'!FS109</x:f>
      </x:c>
      <x:c r="FT11" s="117" t="n">
        <x:f>IF(FT$3&lt;$B$8,'Продажи'!FT72,0)+'ОБЪЕКТЫ'!FT109</x:f>
      </x:c>
      <x:c r="FU11" s="117" t="n">
        <x:f>IF(FU$3&lt;$B$8,'Продажи'!FU72,0)+'ОБЪЕКТЫ'!FU109</x:f>
      </x:c>
      <x:c r="FV11" s="117" t="n">
        <x:f>IF(FV$3&lt;$B$8,'Продажи'!FV72,0)+'ОБЪЕКТЫ'!FV109</x:f>
      </x:c>
      <x:c r="FW11" s="117" t="n">
        <x:f>IF(FW$3&lt;$B$8,'Продажи'!FW72,0)+'ОБЪЕКТЫ'!FW109</x:f>
      </x:c>
      <x:c r="FX11" s="117" t="n">
        <x:f>IF(FX$3&lt;$B$8,'Продажи'!FX72,0)+'ОБЪЕКТЫ'!FX109</x:f>
      </x:c>
      <x:c r="FY11" s="117" t="n">
        <x:f>IF(FY$3&lt;$B$8,'Продажи'!FY72,0)+'ОБЪЕКТЫ'!FY109</x:f>
      </x:c>
      <x:c r="FZ11" s="117" t="n">
        <x:f>IF(FZ$3&lt;$B$8,'Продажи'!FZ72,0)+'ОБЪЕКТЫ'!FZ109</x:f>
      </x:c>
      <x:c r="GA11" s="117" t="n">
        <x:f>IF(GA$3&lt;$B$8,'Продажи'!GA72,0)+'ОБЪЕКТЫ'!GA109</x:f>
      </x:c>
    </x:row>
    <x:row r="12">
      <x:c r="A12" t="str">
        <x:v>Прямые поступления после РВЭ</x:v>
      </x:c>
      <x:c r="B12" t="n">
        <x:f>SUM(D12:GA12)</x:f>
      </x:c>
      <x:c r="C12" t="str">
        <x:v>млн ₽</x:v>
      </x:c>
      <x:c r="D12" s="117" t="n">
        <x:f>IF(D$3&gt;=$B$8,'Продажи'!D72,0)+'ОБЪЕКТЫ'!D110</x:f>
      </x:c>
      <x:c r="E12" s="117" t="n">
        <x:f>IF(E$3&gt;=$B$8,'Продажи'!E72,0)+'ОБЪЕКТЫ'!E110</x:f>
      </x:c>
      <x:c r="F12" s="117" t="n">
        <x:f>IF(F$3&gt;=$B$8,'Продажи'!F72,0)+'ОБЪЕКТЫ'!F110</x:f>
      </x:c>
      <x:c r="G12" s="117" t="n">
        <x:f>IF(G$3&gt;=$B$8,'Продажи'!G72,0)+'ОБЪЕКТЫ'!G110</x:f>
      </x:c>
      <x:c r="H12" s="117" t="n">
        <x:f>IF(H$3&gt;=$B$8,'Продажи'!H72,0)+'ОБЪЕКТЫ'!H110</x:f>
      </x:c>
      <x:c r="I12" s="117" t="n">
        <x:f>IF(I$3&gt;=$B$8,'Продажи'!I72,0)+'ОБЪЕКТЫ'!I110</x:f>
      </x:c>
      <x:c r="J12" s="117" t="n">
        <x:f>IF(J$3&gt;=$B$8,'Продажи'!J72,0)+'ОБЪЕКТЫ'!J110</x:f>
      </x:c>
      <x:c r="K12" s="117" t="n">
        <x:f>IF(K$3&gt;=$B$8,'Продажи'!K72,0)+'ОБЪЕКТЫ'!K110</x:f>
      </x:c>
      <x:c r="L12" s="117" t="n">
        <x:f>IF(L$3&gt;=$B$8,'Продажи'!L72,0)+'ОБЪЕКТЫ'!L110</x:f>
      </x:c>
      <x:c r="M12" s="117" t="n">
        <x:f>IF(M$3&gt;=$B$8,'Продажи'!M72,0)+'ОБЪЕКТЫ'!M110</x:f>
      </x:c>
      <x:c r="N12" s="117" t="n">
        <x:f>IF(N$3&gt;=$B$8,'Продажи'!N72,0)+'ОБЪЕКТЫ'!N110</x:f>
      </x:c>
      <x:c r="O12" s="117" t="n">
        <x:f>IF(O$3&gt;=$B$8,'Продажи'!O72,0)+'ОБЪЕКТЫ'!O110</x:f>
      </x:c>
      <x:c r="P12" s="117" t="n">
        <x:f>IF(P$3&gt;=$B$8,'Продажи'!P72,0)+'ОБЪЕКТЫ'!P110</x:f>
      </x:c>
      <x:c r="Q12" s="117" t="n">
        <x:f>IF(Q$3&gt;=$B$8,'Продажи'!Q72,0)+'ОБЪЕКТЫ'!Q110</x:f>
      </x:c>
      <x:c r="R12" s="117" t="n">
        <x:f>IF(R$3&gt;=$B$8,'Продажи'!R72,0)+'ОБЪЕКТЫ'!R110</x:f>
      </x:c>
      <x:c r="S12" s="117" t="n">
        <x:f>IF(S$3&gt;=$B$8,'Продажи'!S72,0)+'ОБЪЕКТЫ'!S110</x:f>
      </x:c>
      <x:c r="T12" s="117" t="n">
        <x:f>IF(T$3&gt;=$B$8,'Продажи'!T72,0)+'ОБЪЕКТЫ'!T110</x:f>
      </x:c>
      <x:c r="U12" s="117" t="n">
        <x:f>IF(U$3&gt;=$B$8,'Продажи'!U72,0)+'ОБЪЕКТЫ'!U110</x:f>
      </x:c>
      <x:c r="V12" s="117" t="n">
        <x:f>IF(V$3&gt;=$B$8,'Продажи'!V72,0)+'ОБЪЕКТЫ'!V110</x:f>
      </x:c>
      <x:c r="W12" s="117" t="n">
        <x:f>IF(W$3&gt;=$B$8,'Продажи'!W72,0)+'ОБЪЕКТЫ'!W110</x:f>
      </x:c>
      <x:c r="X12" s="117" t="n">
        <x:f>IF(X$3&gt;=$B$8,'Продажи'!X72,0)+'ОБЪЕКТЫ'!X110</x:f>
      </x:c>
      <x:c r="Y12" s="117" t="n">
        <x:f>IF(Y$3&gt;=$B$8,'Продажи'!Y72,0)+'ОБЪЕКТЫ'!Y110</x:f>
      </x:c>
      <x:c r="Z12" s="117" t="n">
        <x:f>IF(Z$3&gt;=$B$8,'Продажи'!Z72,0)+'ОБЪЕКТЫ'!Z110</x:f>
      </x:c>
      <x:c r="AA12" s="117" t="n">
        <x:f>IF(AA$3&gt;=$B$8,'Продажи'!AA72,0)+'ОБЪЕКТЫ'!AA110</x:f>
      </x:c>
      <x:c r="AB12" s="117" t="n">
        <x:f>IF(AB$3&gt;=$B$8,'Продажи'!AB72,0)+'ОБЪЕКТЫ'!AB110</x:f>
      </x:c>
      <x:c r="AC12" s="117" t="n">
        <x:f>IF(AC$3&gt;=$B$8,'Продажи'!AC72,0)+'ОБЪЕКТЫ'!AC110</x:f>
      </x:c>
      <x:c r="AD12" s="117" t="n">
        <x:f>IF(AD$3&gt;=$B$8,'Продажи'!AD72,0)+'ОБЪЕКТЫ'!AD110</x:f>
      </x:c>
      <x:c r="AE12" s="117" t="n">
        <x:f>IF(AE$3&gt;=$B$8,'Продажи'!AE72,0)+'ОБЪЕКТЫ'!AE110</x:f>
      </x:c>
      <x:c r="AF12" s="117" t="n">
        <x:f>IF(AF$3&gt;=$B$8,'Продажи'!AF72,0)+'ОБЪЕКТЫ'!AF110</x:f>
      </x:c>
      <x:c r="AG12" s="117" t="n">
        <x:f>IF(AG$3&gt;=$B$8,'Продажи'!AG72,0)+'ОБЪЕКТЫ'!AG110</x:f>
      </x:c>
      <x:c r="AH12" s="117" t="n">
        <x:f>IF(AH$3&gt;=$B$8,'Продажи'!AH72,0)+'ОБЪЕКТЫ'!AH110</x:f>
      </x:c>
      <x:c r="AI12" s="117" t="n">
        <x:f>IF(AI$3&gt;=$B$8,'Продажи'!AI72,0)+'ОБЪЕКТЫ'!AI110</x:f>
      </x:c>
      <x:c r="AJ12" s="117" t="n">
        <x:f>IF(AJ$3&gt;=$B$8,'Продажи'!AJ72,0)+'ОБЪЕКТЫ'!AJ110</x:f>
      </x:c>
      <x:c r="AK12" s="117" t="n">
        <x:f>IF(AK$3&gt;=$B$8,'Продажи'!AK72,0)+'ОБЪЕКТЫ'!AK110</x:f>
      </x:c>
      <x:c r="AL12" s="117" t="n">
        <x:f>IF(AL$3&gt;=$B$8,'Продажи'!AL72,0)+'ОБЪЕКТЫ'!AL110</x:f>
      </x:c>
      <x:c r="AM12" s="117" t="n">
        <x:f>IF(AM$3&gt;=$B$8,'Продажи'!AM72,0)+'ОБЪЕКТЫ'!AM110</x:f>
      </x:c>
      <x:c r="AN12" s="117" t="n">
        <x:f>IF(AN$3&gt;=$B$8,'Продажи'!AN72,0)+'ОБЪЕКТЫ'!AN110</x:f>
      </x:c>
      <x:c r="AO12" s="117" t="n">
        <x:f>IF(AO$3&gt;=$B$8,'Продажи'!AO72,0)+'ОБЪЕКТЫ'!AO110</x:f>
      </x:c>
      <x:c r="AP12" s="117" t="n">
        <x:f>IF(AP$3&gt;=$B$8,'Продажи'!AP72,0)+'ОБЪЕКТЫ'!AP110</x:f>
      </x:c>
      <x:c r="AQ12" s="117" t="n">
        <x:f>IF(AQ$3&gt;=$B$8,'Продажи'!AQ72,0)+'ОБЪЕКТЫ'!AQ110</x:f>
      </x:c>
      <x:c r="AR12" s="117" t="n">
        <x:f>IF(AR$3&gt;=$B$8,'Продажи'!AR72,0)+'ОБЪЕКТЫ'!AR110</x:f>
      </x:c>
      <x:c r="AS12" s="117" t="n">
        <x:f>IF(AS$3&gt;=$B$8,'Продажи'!AS72,0)+'ОБЪЕКТЫ'!AS110</x:f>
      </x:c>
      <x:c r="AT12" s="117" t="n">
        <x:f>IF(AT$3&gt;=$B$8,'Продажи'!AT72,0)+'ОБЪЕКТЫ'!AT110</x:f>
      </x:c>
      <x:c r="AU12" s="117" t="n">
        <x:f>IF(AU$3&gt;=$B$8,'Продажи'!AU72,0)+'ОБЪЕКТЫ'!AU110</x:f>
      </x:c>
      <x:c r="AV12" s="117" t="n">
        <x:f>IF(AV$3&gt;=$B$8,'Продажи'!AV72,0)+'ОБЪЕКТЫ'!AV110</x:f>
      </x:c>
      <x:c r="AW12" s="117" t="n">
        <x:f>IF(AW$3&gt;=$B$8,'Продажи'!AW72,0)+'ОБЪЕКТЫ'!AW110</x:f>
      </x:c>
      <x:c r="AX12" s="117" t="n">
        <x:f>IF(AX$3&gt;=$B$8,'Продажи'!AX72,0)+'ОБЪЕКТЫ'!AX110</x:f>
      </x:c>
      <x:c r="AY12" s="117" t="n">
        <x:f>IF(AY$3&gt;=$B$8,'Продажи'!AY72,0)+'ОБЪЕКТЫ'!AY110</x:f>
      </x:c>
      <x:c r="AZ12" s="117" t="n">
        <x:f>IF(AZ$3&gt;=$B$8,'Продажи'!AZ72,0)+'ОБЪЕКТЫ'!AZ110</x:f>
      </x:c>
      <x:c r="BA12" s="117" t="n">
        <x:f>IF(BA$3&gt;=$B$8,'Продажи'!BA72,0)+'ОБЪЕКТЫ'!BA110</x:f>
      </x:c>
      <x:c r="BB12" s="117" t="n">
        <x:f>IF(BB$3&gt;=$B$8,'Продажи'!BB72,0)+'ОБЪЕКТЫ'!BB110</x:f>
      </x:c>
      <x:c r="BC12" s="117" t="n">
        <x:f>IF(BC$3&gt;=$B$8,'Продажи'!BC72,0)+'ОБЪЕКТЫ'!BC110</x:f>
      </x:c>
      <x:c r="BD12" s="117" t="n">
        <x:f>IF(BD$3&gt;=$B$8,'Продажи'!BD72,0)+'ОБЪЕКТЫ'!BD110</x:f>
      </x:c>
      <x:c r="BE12" s="117" t="n">
        <x:f>IF(BE$3&gt;=$B$8,'Продажи'!BE72,0)+'ОБЪЕКТЫ'!BE110</x:f>
      </x:c>
      <x:c r="BF12" s="117" t="n">
        <x:f>IF(BF$3&gt;=$B$8,'Продажи'!BF72,0)+'ОБЪЕКТЫ'!BF110</x:f>
      </x:c>
      <x:c r="BG12" s="117" t="n">
        <x:f>IF(BG$3&gt;=$B$8,'Продажи'!BG72,0)+'ОБЪЕКТЫ'!BG110</x:f>
      </x:c>
      <x:c r="BH12" s="117" t="n">
        <x:f>IF(BH$3&gt;=$B$8,'Продажи'!BH72,0)+'ОБЪЕКТЫ'!BH110</x:f>
      </x:c>
      <x:c r="BI12" s="117" t="n">
        <x:f>IF(BI$3&gt;=$B$8,'Продажи'!BI72,0)+'ОБЪЕКТЫ'!BI110</x:f>
      </x:c>
      <x:c r="BJ12" s="117" t="n">
        <x:f>IF(BJ$3&gt;=$B$8,'Продажи'!BJ72,0)+'ОБЪЕКТЫ'!BJ110</x:f>
      </x:c>
      <x:c r="BK12" s="117" t="n">
        <x:f>IF(BK$3&gt;=$B$8,'Продажи'!BK72,0)+'ОБЪЕКТЫ'!BK110</x:f>
      </x:c>
      <x:c r="BL12" s="117" t="n">
        <x:f>IF(BL$3&gt;=$B$8,'Продажи'!BL72,0)+'ОБЪЕКТЫ'!BL110</x:f>
      </x:c>
      <x:c r="BM12" s="117" t="n">
        <x:f>IF(BM$3&gt;=$B$8,'Продажи'!BM72,0)+'ОБЪЕКТЫ'!BM110</x:f>
      </x:c>
      <x:c r="BN12" s="117" t="n">
        <x:f>IF(BN$3&gt;=$B$8,'Продажи'!BN72,0)+'ОБЪЕКТЫ'!BN110</x:f>
      </x:c>
      <x:c r="BO12" s="117" t="n">
        <x:f>IF(BO$3&gt;=$B$8,'Продажи'!BO72,0)+'ОБЪЕКТЫ'!BO110</x:f>
      </x:c>
      <x:c r="BP12" s="117" t="n">
        <x:f>IF(BP$3&gt;=$B$8,'Продажи'!BP72,0)+'ОБЪЕКТЫ'!BP110</x:f>
      </x:c>
      <x:c r="BQ12" s="117" t="n">
        <x:f>IF(BQ$3&gt;=$B$8,'Продажи'!BQ72,0)+'ОБЪЕКТЫ'!BQ110</x:f>
      </x:c>
      <x:c r="BR12" s="117" t="n">
        <x:f>IF(BR$3&gt;=$B$8,'Продажи'!BR72,0)+'ОБЪЕКТЫ'!BR110</x:f>
      </x:c>
      <x:c r="BS12" s="117" t="n">
        <x:f>IF(BS$3&gt;=$B$8,'Продажи'!BS72,0)+'ОБЪЕКТЫ'!BS110</x:f>
      </x:c>
      <x:c r="BT12" s="117" t="n">
        <x:f>IF(BT$3&gt;=$B$8,'Продажи'!BT72,0)+'ОБЪЕКТЫ'!BT110</x:f>
      </x:c>
      <x:c r="BU12" s="117" t="n">
        <x:f>IF(BU$3&gt;=$B$8,'Продажи'!BU72,0)+'ОБЪЕКТЫ'!BU110</x:f>
      </x:c>
      <x:c r="BV12" s="117" t="n">
        <x:f>IF(BV$3&gt;=$B$8,'Продажи'!BV72,0)+'ОБЪЕКТЫ'!BV110</x:f>
      </x:c>
      <x:c r="BW12" s="117" t="n">
        <x:f>IF(BW$3&gt;=$B$8,'Продажи'!BW72,0)+'ОБЪЕКТЫ'!BW110</x:f>
      </x:c>
      <x:c r="BX12" s="117" t="n">
        <x:f>IF(BX$3&gt;=$B$8,'Продажи'!BX72,0)+'ОБЪЕКТЫ'!BX110</x:f>
      </x:c>
      <x:c r="BY12" s="117" t="n">
        <x:f>IF(BY$3&gt;=$B$8,'Продажи'!BY72,0)+'ОБЪЕКТЫ'!BY110</x:f>
      </x:c>
      <x:c r="BZ12" s="117" t="n">
        <x:f>IF(BZ$3&gt;=$B$8,'Продажи'!BZ72,0)+'ОБЪЕКТЫ'!BZ110</x:f>
      </x:c>
      <x:c r="CA12" s="117" t="n">
        <x:f>IF(CA$3&gt;=$B$8,'Продажи'!CA72,0)+'ОБЪЕКТЫ'!CA110</x:f>
      </x:c>
      <x:c r="CB12" s="117" t="n">
        <x:f>IF(CB$3&gt;=$B$8,'Продажи'!CB72,0)+'ОБЪЕКТЫ'!CB110</x:f>
      </x:c>
      <x:c r="CC12" s="117" t="n">
        <x:f>IF(CC$3&gt;=$B$8,'Продажи'!CC72,0)+'ОБЪЕКТЫ'!CC110</x:f>
      </x:c>
      <x:c r="CD12" s="117" t="n">
        <x:f>IF(CD$3&gt;=$B$8,'Продажи'!CD72,0)+'ОБЪЕКТЫ'!CD110</x:f>
      </x:c>
      <x:c r="CE12" s="117" t="n">
        <x:f>IF(CE$3&gt;=$B$8,'Продажи'!CE72,0)+'ОБЪЕКТЫ'!CE110</x:f>
      </x:c>
      <x:c r="CF12" s="117" t="n">
        <x:f>IF(CF$3&gt;=$B$8,'Продажи'!CF72,0)+'ОБЪЕКТЫ'!CF110</x:f>
      </x:c>
      <x:c r="CG12" s="117" t="n">
        <x:f>IF(CG$3&gt;=$B$8,'Продажи'!CG72,0)+'ОБЪЕКТЫ'!CG110</x:f>
      </x:c>
      <x:c r="CH12" s="117" t="n">
        <x:f>IF(CH$3&gt;=$B$8,'Продажи'!CH72,0)+'ОБЪЕКТЫ'!CH110</x:f>
      </x:c>
      <x:c r="CI12" s="117" t="n">
        <x:f>IF(CI$3&gt;=$B$8,'Продажи'!CI72,0)+'ОБЪЕКТЫ'!CI110</x:f>
      </x:c>
      <x:c r="CJ12" s="117" t="n">
        <x:f>IF(CJ$3&gt;=$B$8,'Продажи'!CJ72,0)+'ОБЪЕКТЫ'!CJ110</x:f>
      </x:c>
      <x:c r="CK12" s="117" t="n">
        <x:f>IF(CK$3&gt;=$B$8,'Продажи'!CK72,0)+'ОБЪЕКТЫ'!CK110</x:f>
      </x:c>
      <x:c r="CL12" s="117" t="n">
        <x:f>IF(CL$3&gt;=$B$8,'Продажи'!CL72,0)+'ОБЪЕКТЫ'!CL110</x:f>
      </x:c>
      <x:c r="CM12" s="117" t="n">
        <x:f>IF(CM$3&gt;=$B$8,'Продажи'!CM72,0)+'ОБЪЕКТЫ'!CM110</x:f>
      </x:c>
      <x:c r="CN12" s="117" t="n">
        <x:f>IF(CN$3&gt;=$B$8,'Продажи'!CN72,0)+'ОБЪЕКТЫ'!CN110</x:f>
      </x:c>
      <x:c r="CO12" s="117" t="n">
        <x:f>IF(CO$3&gt;=$B$8,'Продажи'!CO72,0)+'ОБЪЕКТЫ'!CO110</x:f>
      </x:c>
      <x:c r="CP12" s="117" t="n">
        <x:f>IF(CP$3&gt;=$B$8,'Продажи'!CP72,0)+'ОБЪЕКТЫ'!CP110</x:f>
      </x:c>
      <x:c r="CQ12" s="117" t="n">
        <x:f>IF(CQ$3&gt;=$B$8,'Продажи'!CQ72,0)+'ОБЪЕКТЫ'!CQ110</x:f>
      </x:c>
      <x:c r="CR12" s="117" t="n">
        <x:f>IF(CR$3&gt;=$B$8,'Продажи'!CR72,0)+'ОБЪЕКТЫ'!CR110</x:f>
      </x:c>
      <x:c r="CS12" s="117" t="n">
        <x:f>IF(CS$3&gt;=$B$8,'Продажи'!CS72,0)+'ОБЪЕКТЫ'!CS110</x:f>
      </x:c>
      <x:c r="CT12" s="117" t="n">
        <x:f>IF(CT$3&gt;=$B$8,'Продажи'!CT72,0)+'ОБЪЕКТЫ'!CT110</x:f>
      </x:c>
      <x:c r="CU12" s="117" t="n">
        <x:f>IF(CU$3&gt;=$B$8,'Продажи'!CU72,0)+'ОБЪЕКТЫ'!CU110</x:f>
      </x:c>
      <x:c r="CV12" s="117" t="n">
        <x:f>IF(CV$3&gt;=$B$8,'Продажи'!CV72,0)+'ОБЪЕКТЫ'!CV110</x:f>
      </x:c>
      <x:c r="CW12" s="117" t="n">
        <x:f>IF(CW$3&gt;=$B$8,'Продажи'!CW72,0)+'ОБЪЕКТЫ'!CW110</x:f>
      </x:c>
      <x:c r="CX12" s="117" t="n">
        <x:f>IF(CX$3&gt;=$B$8,'Продажи'!CX72,0)+'ОБЪЕКТЫ'!CX110</x:f>
      </x:c>
      <x:c r="CY12" s="117" t="n">
        <x:f>IF(CY$3&gt;=$B$8,'Продажи'!CY72,0)+'ОБЪЕКТЫ'!CY110</x:f>
      </x:c>
      <x:c r="CZ12" s="117" t="n">
        <x:f>IF(CZ$3&gt;=$B$8,'Продажи'!CZ72,0)+'ОБЪЕКТЫ'!CZ110</x:f>
      </x:c>
      <x:c r="DA12" s="117" t="n">
        <x:f>IF(DA$3&gt;=$B$8,'Продажи'!DA72,0)+'ОБЪЕКТЫ'!DA110</x:f>
      </x:c>
      <x:c r="DB12" s="117" t="n">
        <x:f>IF(DB$3&gt;=$B$8,'Продажи'!DB72,0)+'ОБЪЕКТЫ'!DB110</x:f>
      </x:c>
      <x:c r="DC12" s="117" t="n">
        <x:f>IF(DC$3&gt;=$B$8,'Продажи'!DC72,0)+'ОБЪЕКТЫ'!DC110</x:f>
      </x:c>
      <x:c r="DD12" s="117" t="n">
        <x:f>IF(DD$3&gt;=$B$8,'Продажи'!DD72,0)+'ОБЪЕКТЫ'!DD110</x:f>
      </x:c>
      <x:c r="DE12" s="117" t="n">
        <x:f>IF(DE$3&gt;=$B$8,'Продажи'!DE72,0)+'ОБЪЕКТЫ'!DE110</x:f>
      </x:c>
      <x:c r="DF12" s="117" t="n">
        <x:f>IF(DF$3&gt;=$B$8,'Продажи'!DF72,0)+'ОБЪЕКТЫ'!DF110</x:f>
      </x:c>
      <x:c r="DG12" s="117" t="n">
        <x:f>IF(DG$3&gt;=$B$8,'Продажи'!DG72,0)+'ОБЪЕКТЫ'!DG110</x:f>
      </x:c>
      <x:c r="DH12" s="117" t="n">
        <x:f>IF(DH$3&gt;=$B$8,'Продажи'!DH72,0)+'ОБЪЕКТЫ'!DH110</x:f>
      </x:c>
      <x:c r="DI12" s="117" t="n">
        <x:f>IF(DI$3&gt;=$B$8,'Продажи'!DI72,0)+'ОБЪЕКТЫ'!DI110</x:f>
      </x:c>
      <x:c r="DJ12" s="117" t="n">
        <x:f>IF(DJ$3&gt;=$B$8,'Продажи'!DJ72,0)+'ОБЪЕКТЫ'!DJ110</x:f>
      </x:c>
      <x:c r="DK12" s="117" t="n">
        <x:f>IF(DK$3&gt;=$B$8,'Продажи'!DK72,0)+'ОБЪЕКТЫ'!DK110</x:f>
      </x:c>
      <x:c r="DL12" s="117" t="n">
        <x:f>IF(DL$3&gt;=$B$8,'Продажи'!DL72,0)+'ОБЪЕКТЫ'!DL110</x:f>
      </x:c>
      <x:c r="DM12" s="117" t="n">
        <x:f>IF(DM$3&gt;=$B$8,'Продажи'!DM72,0)+'ОБЪЕКТЫ'!DM110</x:f>
      </x:c>
      <x:c r="DN12" s="117" t="n">
        <x:f>IF(DN$3&gt;=$B$8,'Продажи'!DN72,0)+'ОБЪЕКТЫ'!DN110</x:f>
      </x:c>
      <x:c r="DO12" s="117" t="n">
        <x:f>IF(DO$3&gt;=$B$8,'Продажи'!DO72,0)+'ОБЪЕКТЫ'!DO110</x:f>
      </x:c>
      <x:c r="DP12" s="117" t="n">
        <x:f>IF(DP$3&gt;=$B$8,'Продажи'!DP72,0)+'ОБЪЕКТЫ'!DP110</x:f>
      </x:c>
      <x:c r="DQ12" s="117" t="n">
        <x:f>IF(DQ$3&gt;=$B$8,'Продажи'!DQ72,0)+'ОБЪЕКТЫ'!DQ110</x:f>
      </x:c>
      <x:c r="DR12" s="117" t="n">
        <x:f>IF(DR$3&gt;=$B$8,'Продажи'!DR72,0)+'ОБЪЕКТЫ'!DR110</x:f>
      </x:c>
      <x:c r="DS12" s="117" t="n">
        <x:f>IF(DS$3&gt;=$B$8,'Продажи'!DS72,0)+'ОБЪЕКТЫ'!DS110</x:f>
      </x:c>
      <x:c r="DT12" s="117" t="n">
        <x:f>IF(DT$3&gt;=$B$8,'Продажи'!DT72,0)+'ОБЪЕКТЫ'!DT110</x:f>
      </x:c>
      <x:c r="DU12" s="117" t="n">
        <x:f>IF(DU$3&gt;=$B$8,'Продажи'!DU72,0)+'ОБЪЕКТЫ'!DU110</x:f>
      </x:c>
      <x:c r="DV12" s="117" t="n">
        <x:f>IF(DV$3&gt;=$B$8,'Продажи'!DV72,0)+'ОБЪЕКТЫ'!DV110</x:f>
      </x:c>
      <x:c r="DW12" s="117" t="n">
        <x:f>IF(DW$3&gt;=$B$8,'Продажи'!DW72,0)+'ОБЪЕКТЫ'!DW110</x:f>
      </x:c>
      <x:c r="DX12" s="117" t="n">
        <x:f>IF(DX$3&gt;=$B$8,'Продажи'!DX72,0)+'ОБЪЕКТЫ'!DX110</x:f>
      </x:c>
      <x:c r="DY12" s="117" t="n">
        <x:f>IF(DY$3&gt;=$B$8,'Продажи'!DY72,0)+'ОБЪЕКТЫ'!DY110</x:f>
      </x:c>
      <x:c r="DZ12" s="117" t="n">
        <x:f>IF(DZ$3&gt;=$B$8,'Продажи'!DZ72,0)+'ОБЪЕКТЫ'!DZ110</x:f>
      </x:c>
      <x:c r="EA12" s="117" t="n">
        <x:f>IF(EA$3&gt;=$B$8,'Продажи'!EA72,0)+'ОБЪЕКТЫ'!EA110</x:f>
      </x:c>
      <x:c r="EB12" s="117" t="n">
        <x:f>IF(EB$3&gt;=$B$8,'Продажи'!EB72,0)+'ОБЪЕКТЫ'!EB110</x:f>
      </x:c>
      <x:c r="EC12" s="117" t="n">
        <x:f>IF(EC$3&gt;=$B$8,'Продажи'!EC72,0)+'ОБЪЕКТЫ'!EC110</x:f>
      </x:c>
      <x:c r="ED12" s="117" t="n">
        <x:f>IF(ED$3&gt;=$B$8,'Продажи'!ED72,0)+'ОБЪЕКТЫ'!ED110</x:f>
      </x:c>
      <x:c r="EE12" s="117" t="n">
        <x:f>IF(EE$3&gt;=$B$8,'Продажи'!EE72,0)+'ОБЪЕКТЫ'!EE110</x:f>
      </x:c>
      <x:c r="EF12" s="117" t="n">
        <x:f>IF(EF$3&gt;=$B$8,'Продажи'!EF72,0)+'ОБЪЕКТЫ'!EF110</x:f>
      </x:c>
      <x:c r="EG12" s="117" t="n">
        <x:f>IF(EG$3&gt;=$B$8,'Продажи'!EG72,0)+'ОБЪЕКТЫ'!EG110</x:f>
      </x:c>
      <x:c r="EH12" s="117" t="n">
        <x:f>IF(EH$3&gt;=$B$8,'Продажи'!EH72,0)+'ОБЪЕКТЫ'!EH110</x:f>
      </x:c>
      <x:c r="EI12" s="117" t="n">
        <x:f>IF(EI$3&gt;=$B$8,'Продажи'!EI72,0)+'ОБЪЕКТЫ'!EI110</x:f>
      </x:c>
      <x:c r="EJ12" s="117" t="n">
        <x:f>IF(EJ$3&gt;=$B$8,'Продажи'!EJ72,0)+'ОБЪЕКТЫ'!EJ110</x:f>
      </x:c>
      <x:c r="EK12" s="117" t="n">
        <x:f>IF(EK$3&gt;=$B$8,'Продажи'!EK72,0)+'ОБЪЕКТЫ'!EK110</x:f>
      </x:c>
      <x:c r="EL12" s="117" t="n">
        <x:f>IF(EL$3&gt;=$B$8,'Продажи'!EL72,0)+'ОБЪЕКТЫ'!EL110</x:f>
      </x:c>
      <x:c r="EM12" s="117" t="n">
        <x:f>IF(EM$3&gt;=$B$8,'Продажи'!EM72,0)+'ОБЪЕКТЫ'!EM110</x:f>
      </x:c>
      <x:c r="EN12" s="117" t="n">
        <x:f>IF(EN$3&gt;=$B$8,'Продажи'!EN72,0)+'ОБЪЕКТЫ'!EN110</x:f>
      </x:c>
      <x:c r="EO12" s="117" t="n">
        <x:f>IF(EO$3&gt;=$B$8,'Продажи'!EO72,0)+'ОБЪЕКТЫ'!EO110</x:f>
      </x:c>
      <x:c r="EP12" s="117" t="n">
        <x:f>IF(EP$3&gt;=$B$8,'Продажи'!EP72,0)+'ОБЪЕКТЫ'!EP110</x:f>
      </x:c>
      <x:c r="EQ12" s="117" t="n">
        <x:f>IF(EQ$3&gt;=$B$8,'Продажи'!EQ72,0)+'ОБЪЕКТЫ'!EQ110</x:f>
      </x:c>
      <x:c r="ER12" s="117" t="n">
        <x:f>IF(ER$3&gt;=$B$8,'Продажи'!ER72,0)+'ОБЪЕКТЫ'!ER110</x:f>
      </x:c>
      <x:c r="ES12" s="117" t="n">
        <x:f>IF(ES$3&gt;=$B$8,'Продажи'!ES72,0)+'ОБЪЕКТЫ'!ES110</x:f>
      </x:c>
      <x:c r="ET12" s="117" t="n">
        <x:f>IF(ET$3&gt;=$B$8,'Продажи'!ET72,0)+'ОБЪЕКТЫ'!ET110</x:f>
      </x:c>
      <x:c r="EU12" s="117" t="n">
        <x:f>IF(EU$3&gt;=$B$8,'Продажи'!EU72,0)+'ОБЪЕКТЫ'!EU110</x:f>
      </x:c>
      <x:c r="EV12" s="117" t="n">
        <x:f>IF(EV$3&gt;=$B$8,'Продажи'!EV72,0)+'ОБЪЕКТЫ'!EV110</x:f>
      </x:c>
      <x:c r="EW12" s="117" t="n">
        <x:f>IF(EW$3&gt;=$B$8,'Продажи'!EW72,0)+'ОБЪЕКТЫ'!EW110</x:f>
      </x:c>
      <x:c r="EX12" s="117" t="n">
        <x:f>IF(EX$3&gt;=$B$8,'Продажи'!EX72,0)+'ОБЪЕКТЫ'!EX110</x:f>
      </x:c>
      <x:c r="EY12" s="117" t="n">
        <x:f>IF(EY$3&gt;=$B$8,'Продажи'!EY72,0)+'ОБЪЕКТЫ'!EY110</x:f>
      </x:c>
      <x:c r="EZ12" s="117" t="n">
        <x:f>IF(EZ$3&gt;=$B$8,'Продажи'!EZ72,0)+'ОБЪЕКТЫ'!EZ110</x:f>
      </x:c>
      <x:c r="FA12" s="117" t="n">
        <x:f>IF(FA$3&gt;=$B$8,'Продажи'!FA72,0)+'ОБЪЕКТЫ'!FA110</x:f>
      </x:c>
      <x:c r="FB12" s="117" t="n">
        <x:f>IF(FB$3&gt;=$B$8,'Продажи'!FB72,0)+'ОБЪЕКТЫ'!FB110</x:f>
      </x:c>
      <x:c r="FC12" s="117" t="n">
        <x:f>IF(FC$3&gt;=$B$8,'Продажи'!FC72,0)+'ОБЪЕКТЫ'!FC110</x:f>
      </x:c>
      <x:c r="FD12" s="117" t="n">
        <x:f>IF(FD$3&gt;=$B$8,'Продажи'!FD72,0)+'ОБЪЕКТЫ'!FD110</x:f>
      </x:c>
      <x:c r="FE12" s="117" t="n">
        <x:f>IF(FE$3&gt;=$B$8,'Продажи'!FE72,0)+'ОБЪЕКТЫ'!FE110</x:f>
      </x:c>
      <x:c r="FF12" s="117" t="n">
        <x:f>IF(FF$3&gt;=$B$8,'Продажи'!FF72,0)+'ОБЪЕКТЫ'!FF110</x:f>
      </x:c>
      <x:c r="FG12" s="117" t="n">
        <x:f>IF(FG$3&gt;=$B$8,'Продажи'!FG72,0)+'ОБЪЕКТЫ'!FG110</x:f>
      </x:c>
      <x:c r="FH12" s="117" t="n">
        <x:f>IF(FH$3&gt;=$B$8,'Продажи'!FH72,0)+'ОБЪЕКТЫ'!FH110</x:f>
      </x:c>
      <x:c r="FI12" s="117" t="n">
        <x:f>IF(FI$3&gt;=$B$8,'Продажи'!FI72,0)+'ОБЪЕКТЫ'!FI110</x:f>
      </x:c>
      <x:c r="FJ12" s="117" t="n">
        <x:f>IF(FJ$3&gt;=$B$8,'Продажи'!FJ72,0)+'ОБЪЕКТЫ'!FJ110</x:f>
      </x:c>
      <x:c r="FK12" s="117" t="n">
        <x:f>IF(FK$3&gt;=$B$8,'Продажи'!FK72,0)+'ОБЪЕКТЫ'!FK110</x:f>
      </x:c>
      <x:c r="FL12" s="117" t="n">
        <x:f>IF(FL$3&gt;=$B$8,'Продажи'!FL72,0)+'ОБЪЕКТЫ'!FL110</x:f>
      </x:c>
      <x:c r="FM12" s="117" t="n">
        <x:f>IF(FM$3&gt;=$B$8,'Продажи'!FM72,0)+'ОБЪЕКТЫ'!FM110</x:f>
      </x:c>
      <x:c r="FN12" s="117" t="n">
        <x:f>IF(FN$3&gt;=$B$8,'Продажи'!FN72,0)+'ОБЪЕКТЫ'!FN110</x:f>
      </x:c>
      <x:c r="FO12" s="117" t="n">
        <x:f>IF(FO$3&gt;=$B$8,'Продажи'!FO72,0)+'ОБЪЕКТЫ'!FO110</x:f>
      </x:c>
      <x:c r="FP12" s="117" t="n">
        <x:f>IF(FP$3&gt;=$B$8,'Продажи'!FP72,0)+'ОБЪЕКТЫ'!FP110</x:f>
      </x:c>
      <x:c r="FQ12" s="117" t="n">
        <x:f>IF(FQ$3&gt;=$B$8,'Продажи'!FQ72,0)+'ОБЪЕКТЫ'!FQ110</x:f>
      </x:c>
      <x:c r="FR12" s="117" t="n">
        <x:f>IF(FR$3&gt;=$B$8,'Продажи'!FR72,0)+'ОБЪЕКТЫ'!FR110</x:f>
      </x:c>
      <x:c r="FS12" s="117" t="n">
        <x:f>IF(FS$3&gt;=$B$8,'Продажи'!FS72,0)+'ОБЪЕКТЫ'!FS110</x:f>
      </x:c>
      <x:c r="FT12" s="117" t="n">
        <x:f>IF(FT$3&gt;=$B$8,'Продажи'!FT72,0)+'ОБЪЕКТЫ'!FT110</x:f>
      </x:c>
      <x:c r="FU12" s="117" t="n">
        <x:f>IF(FU$3&gt;=$B$8,'Продажи'!FU72,0)+'ОБЪЕКТЫ'!FU110</x:f>
      </x:c>
      <x:c r="FV12" s="117" t="n">
        <x:f>IF(FV$3&gt;=$B$8,'Продажи'!FV72,0)+'ОБЪЕКТЫ'!FV110</x:f>
      </x:c>
      <x:c r="FW12" s="117" t="n">
        <x:f>IF(FW$3&gt;=$B$8,'Продажи'!FW72,0)+'ОБЪЕКТЫ'!FW110</x:f>
      </x:c>
      <x:c r="FX12" s="117" t="n">
        <x:f>IF(FX$3&gt;=$B$8,'Продажи'!FX72,0)+'ОБЪЕКТЫ'!FX110</x:f>
      </x:c>
      <x:c r="FY12" s="117" t="n">
        <x:f>IF(FY$3&gt;=$B$8,'Продажи'!FY72,0)+'ОБЪЕКТЫ'!FY110</x:f>
      </x:c>
      <x:c r="FZ12" s="117" t="n">
        <x:f>IF(FZ$3&gt;=$B$8,'Продажи'!FZ72,0)+'ОБЪЕКТЫ'!FZ110</x:f>
      </x:c>
      <x:c r="GA12" s="117" t="n">
        <x:f>IF(GA$3&gt;=$B$8,'Продажи'!GA72,0)+'ОБЪЕКТЫ'!GA110</x:f>
      </x:c>
    </x:row>
    <x:row r="13">
      <x:c r="A13" t="str">
        <x:v>Эскроу на начало</x:v>
      </x:c>
      <x:c r="B13"/>
      <x:c r="C13" t="str">
        <x:v>млн ₽</x:v>
      </x:c>
      <x:c r="D13" s="117" t="n">
        <x:f>0</x:f>
      </x:c>
      <x:c r="E13" s="117" t="n">
        <x:f>D15</x:f>
      </x:c>
      <x:c r="F13" s="117" t="n">
        <x:f>E15</x:f>
      </x:c>
      <x:c r="G13" s="117" t="n">
        <x:f>F15</x:f>
      </x:c>
      <x:c r="H13" s="117" t="n">
        <x:f>G15</x:f>
      </x:c>
      <x:c r="I13" s="117" t="n">
        <x:f>H15</x:f>
      </x:c>
      <x:c r="J13" s="117" t="n">
        <x:f>I15</x:f>
      </x:c>
      <x:c r="K13" s="117" t="n">
        <x:f>J15</x:f>
      </x:c>
      <x:c r="L13" s="117" t="n">
        <x:f>K15</x:f>
      </x:c>
      <x:c r="M13" s="117" t="n">
        <x:f>L15</x:f>
      </x:c>
      <x:c r="N13" s="117" t="n">
        <x:f>M15</x:f>
      </x:c>
      <x:c r="O13" s="117" t="n">
        <x:f>N15</x:f>
      </x:c>
      <x:c r="P13" s="117" t="n">
        <x:f>O15</x:f>
      </x:c>
      <x:c r="Q13" s="117" t="n">
        <x:f>P15</x:f>
      </x:c>
      <x:c r="R13" s="117" t="n">
        <x:f>Q15</x:f>
      </x:c>
      <x:c r="S13" s="117" t="n">
        <x:f>R15</x:f>
      </x:c>
      <x:c r="T13" s="117" t="n">
        <x:f>S15</x:f>
      </x:c>
      <x:c r="U13" s="117" t="n">
        <x:f>T15</x:f>
      </x:c>
      <x:c r="V13" s="117" t="n">
        <x:f>U15</x:f>
      </x:c>
      <x:c r="W13" s="117" t="n">
        <x:f>V15</x:f>
      </x:c>
      <x:c r="X13" s="117" t="n">
        <x:f>W15</x:f>
      </x:c>
      <x:c r="Y13" s="117" t="n">
        <x:f>X15</x:f>
      </x:c>
      <x:c r="Z13" s="117" t="n">
        <x:f>Y15</x:f>
      </x:c>
      <x:c r="AA13" s="117" t="n">
        <x:f>Z15</x:f>
      </x:c>
      <x:c r="AB13" s="117" t="n">
        <x:f>AA15</x:f>
      </x:c>
      <x:c r="AC13" s="117" t="n">
        <x:f>AB15</x:f>
      </x:c>
      <x:c r="AD13" s="117" t="n">
        <x:f>AC15</x:f>
      </x:c>
      <x:c r="AE13" s="117" t="n">
        <x:f>AD15</x:f>
      </x:c>
      <x:c r="AF13" s="117" t="n">
        <x:f>AE15</x:f>
      </x:c>
      <x:c r="AG13" s="117" t="n">
        <x:f>AF15</x:f>
      </x:c>
      <x:c r="AH13" s="117" t="n">
        <x:f>AG15</x:f>
      </x:c>
      <x:c r="AI13" s="117" t="n">
        <x:f>AH15</x:f>
      </x:c>
      <x:c r="AJ13" s="117" t="n">
        <x:f>AI15</x:f>
      </x:c>
      <x:c r="AK13" s="117" t="n">
        <x:f>AJ15</x:f>
      </x:c>
      <x:c r="AL13" s="117" t="n">
        <x:f>AK15</x:f>
      </x:c>
      <x:c r="AM13" s="117" t="n">
        <x:f>AL15</x:f>
      </x:c>
      <x:c r="AN13" s="117" t="n">
        <x:f>AM15</x:f>
      </x:c>
      <x:c r="AO13" s="117" t="n">
        <x:f>AN15</x:f>
      </x:c>
      <x:c r="AP13" s="117" t="n">
        <x:f>AO15</x:f>
      </x:c>
      <x:c r="AQ13" s="117" t="n">
        <x:f>AP15</x:f>
      </x:c>
      <x:c r="AR13" s="117" t="n">
        <x:f>AQ15</x:f>
      </x:c>
      <x:c r="AS13" s="117" t="n">
        <x:f>AR15</x:f>
      </x:c>
      <x:c r="AT13" s="117" t="n">
        <x:f>AS15</x:f>
      </x:c>
      <x:c r="AU13" s="117" t="n">
        <x:f>AT15</x:f>
      </x:c>
      <x:c r="AV13" s="117" t="n">
        <x:f>AU15</x:f>
      </x:c>
      <x:c r="AW13" s="117" t="n">
        <x:f>AV15</x:f>
      </x:c>
      <x:c r="AX13" s="117" t="n">
        <x:f>AW15</x:f>
      </x:c>
      <x:c r="AY13" s="117" t="n">
        <x:f>AX15</x:f>
      </x:c>
      <x:c r="AZ13" s="117" t="n">
        <x:f>AY15</x:f>
      </x:c>
      <x:c r="BA13" s="117" t="n">
        <x:f>AZ15</x:f>
      </x:c>
      <x:c r="BB13" s="117" t="n">
        <x:f>BA15</x:f>
      </x:c>
      <x:c r="BC13" s="117" t="n">
        <x:f>BB15</x:f>
      </x:c>
      <x:c r="BD13" s="117" t="n">
        <x:f>BC15</x:f>
      </x:c>
      <x:c r="BE13" s="117" t="n">
        <x:f>BD15</x:f>
      </x:c>
      <x:c r="BF13" s="117" t="n">
        <x:f>BE15</x:f>
      </x:c>
      <x:c r="BG13" s="117" t="n">
        <x:f>BF15</x:f>
      </x:c>
      <x:c r="BH13" s="117" t="n">
        <x:f>BG15</x:f>
      </x:c>
      <x:c r="BI13" s="117" t="n">
        <x:f>BH15</x:f>
      </x:c>
      <x:c r="BJ13" s="117" t="n">
        <x:f>BI15</x:f>
      </x:c>
      <x:c r="BK13" s="117" t="n">
        <x:f>BJ15</x:f>
      </x:c>
      <x:c r="BL13" s="117" t="n">
        <x:f>BK15</x:f>
      </x:c>
      <x:c r="BM13" s="117" t="n">
        <x:f>BL15</x:f>
      </x:c>
      <x:c r="BN13" s="117" t="n">
        <x:f>BM15</x:f>
      </x:c>
      <x:c r="BO13" s="117" t="n">
        <x:f>BN15</x:f>
      </x:c>
      <x:c r="BP13" s="117" t="n">
        <x:f>BO15</x:f>
      </x:c>
      <x:c r="BQ13" s="117" t="n">
        <x:f>BP15</x:f>
      </x:c>
      <x:c r="BR13" s="117" t="n">
        <x:f>BQ15</x:f>
      </x:c>
      <x:c r="BS13" s="117" t="n">
        <x:f>BR15</x:f>
      </x:c>
      <x:c r="BT13" s="117" t="n">
        <x:f>BS15</x:f>
      </x:c>
      <x:c r="BU13" s="117" t="n">
        <x:f>BT15</x:f>
      </x:c>
      <x:c r="BV13" s="117" t="n">
        <x:f>BU15</x:f>
      </x:c>
      <x:c r="BW13" s="117" t="n">
        <x:f>BV15</x:f>
      </x:c>
      <x:c r="BX13" s="117" t="n">
        <x:f>BW15</x:f>
      </x:c>
      <x:c r="BY13" s="117" t="n">
        <x:f>BX15</x:f>
      </x:c>
      <x:c r="BZ13" s="117" t="n">
        <x:f>BY15</x:f>
      </x:c>
      <x:c r="CA13" s="117" t="n">
        <x:f>BZ15</x:f>
      </x:c>
      <x:c r="CB13" s="117" t="n">
        <x:f>CA15</x:f>
      </x:c>
      <x:c r="CC13" s="117" t="n">
        <x:f>CB15</x:f>
      </x:c>
      <x:c r="CD13" s="117" t="n">
        <x:f>CC15</x:f>
      </x:c>
      <x:c r="CE13" s="117" t="n">
        <x:f>CD15</x:f>
      </x:c>
      <x:c r="CF13" s="117" t="n">
        <x:f>CE15</x:f>
      </x:c>
      <x:c r="CG13" s="117" t="n">
        <x:f>CF15</x:f>
      </x:c>
      <x:c r="CH13" s="117" t="n">
        <x:f>CG15</x:f>
      </x:c>
      <x:c r="CI13" s="117" t="n">
        <x:f>CH15</x:f>
      </x:c>
      <x:c r="CJ13" s="117" t="n">
        <x:f>CI15</x:f>
      </x:c>
      <x:c r="CK13" s="117" t="n">
        <x:f>CJ15</x:f>
      </x:c>
      <x:c r="CL13" s="117" t="n">
        <x:f>CK15</x:f>
      </x:c>
      <x:c r="CM13" s="117" t="n">
        <x:f>CL15</x:f>
      </x:c>
      <x:c r="CN13" s="117" t="n">
        <x:f>CM15</x:f>
      </x:c>
      <x:c r="CO13" s="117" t="n">
        <x:f>CN15</x:f>
      </x:c>
      <x:c r="CP13" s="117" t="n">
        <x:f>CO15</x:f>
      </x:c>
      <x:c r="CQ13" s="117" t="n">
        <x:f>CP15</x:f>
      </x:c>
      <x:c r="CR13" s="117" t="n">
        <x:f>CQ15</x:f>
      </x:c>
      <x:c r="CS13" s="117" t="n">
        <x:f>CR15</x:f>
      </x:c>
      <x:c r="CT13" s="117" t="n">
        <x:f>CS15</x:f>
      </x:c>
      <x:c r="CU13" s="117" t="n">
        <x:f>CT15</x:f>
      </x:c>
      <x:c r="CV13" s="117" t="n">
        <x:f>CU15</x:f>
      </x:c>
      <x:c r="CW13" s="117" t="n">
        <x:f>CV15</x:f>
      </x:c>
      <x:c r="CX13" s="117" t="n">
        <x:f>CW15</x:f>
      </x:c>
      <x:c r="CY13" s="117" t="n">
        <x:f>CX15</x:f>
      </x:c>
      <x:c r="CZ13" s="117" t="n">
        <x:f>CY15</x:f>
      </x:c>
      <x:c r="DA13" s="117" t="n">
        <x:f>CZ15</x:f>
      </x:c>
      <x:c r="DB13" s="117" t="n">
        <x:f>DA15</x:f>
      </x:c>
      <x:c r="DC13" s="117" t="n">
        <x:f>DB15</x:f>
      </x:c>
      <x:c r="DD13" s="117" t="n">
        <x:f>DC15</x:f>
      </x:c>
      <x:c r="DE13" s="117" t="n">
        <x:f>DD15</x:f>
      </x:c>
      <x:c r="DF13" s="117" t="n">
        <x:f>DE15</x:f>
      </x:c>
      <x:c r="DG13" s="117" t="n">
        <x:f>DF15</x:f>
      </x:c>
      <x:c r="DH13" s="117" t="n">
        <x:f>DG15</x:f>
      </x:c>
      <x:c r="DI13" s="117" t="n">
        <x:f>DH15</x:f>
      </x:c>
      <x:c r="DJ13" s="117" t="n">
        <x:f>DI15</x:f>
      </x:c>
      <x:c r="DK13" s="117" t="n">
        <x:f>DJ15</x:f>
      </x:c>
      <x:c r="DL13" s="117" t="n">
        <x:f>DK15</x:f>
      </x:c>
      <x:c r="DM13" s="117" t="n">
        <x:f>DL15</x:f>
      </x:c>
      <x:c r="DN13" s="117" t="n">
        <x:f>DM15</x:f>
      </x:c>
      <x:c r="DO13" s="117" t="n">
        <x:f>DN15</x:f>
      </x:c>
      <x:c r="DP13" s="117" t="n">
        <x:f>DO15</x:f>
      </x:c>
      <x:c r="DQ13" s="117" t="n">
        <x:f>DP15</x:f>
      </x:c>
      <x:c r="DR13" s="117" t="n">
        <x:f>DQ15</x:f>
      </x:c>
      <x:c r="DS13" s="117" t="n">
        <x:f>DR15</x:f>
      </x:c>
      <x:c r="DT13" s="117" t="n">
        <x:f>DS15</x:f>
      </x:c>
      <x:c r="DU13" s="117" t="n">
        <x:f>DT15</x:f>
      </x:c>
      <x:c r="DV13" s="117" t="n">
        <x:f>DU15</x:f>
      </x:c>
      <x:c r="DW13" s="117" t="n">
        <x:f>DV15</x:f>
      </x:c>
      <x:c r="DX13" s="117" t="n">
        <x:f>DW15</x:f>
      </x:c>
      <x:c r="DY13" s="117" t="n">
        <x:f>DX15</x:f>
      </x:c>
      <x:c r="DZ13" s="117" t="n">
        <x:f>DY15</x:f>
      </x:c>
      <x:c r="EA13" s="117" t="n">
        <x:f>DZ15</x:f>
      </x:c>
      <x:c r="EB13" s="117" t="n">
        <x:f>EA15</x:f>
      </x:c>
      <x:c r="EC13" s="117" t="n">
        <x:f>EB15</x:f>
      </x:c>
      <x:c r="ED13" s="117" t="n">
        <x:f>EC15</x:f>
      </x:c>
      <x:c r="EE13" s="117" t="n">
        <x:f>ED15</x:f>
      </x:c>
      <x:c r="EF13" s="117" t="n">
        <x:f>EE15</x:f>
      </x:c>
      <x:c r="EG13" s="117" t="n">
        <x:f>EF15</x:f>
      </x:c>
      <x:c r="EH13" s="117" t="n">
        <x:f>EG15</x:f>
      </x:c>
      <x:c r="EI13" s="117" t="n">
        <x:f>EH15</x:f>
      </x:c>
      <x:c r="EJ13" s="117" t="n">
        <x:f>EI15</x:f>
      </x:c>
      <x:c r="EK13" s="117" t="n">
        <x:f>EJ15</x:f>
      </x:c>
      <x:c r="EL13" s="117" t="n">
        <x:f>EK15</x:f>
      </x:c>
      <x:c r="EM13" s="117" t="n">
        <x:f>EL15</x:f>
      </x:c>
      <x:c r="EN13" s="117" t="n">
        <x:f>EM15</x:f>
      </x:c>
      <x:c r="EO13" s="117" t="n">
        <x:f>EN15</x:f>
      </x:c>
      <x:c r="EP13" s="117" t="n">
        <x:f>EO15</x:f>
      </x:c>
      <x:c r="EQ13" s="117" t="n">
        <x:f>EP15</x:f>
      </x:c>
      <x:c r="ER13" s="117" t="n">
        <x:f>EQ15</x:f>
      </x:c>
      <x:c r="ES13" s="117" t="n">
        <x:f>ER15</x:f>
      </x:c>
      <x:c r="ET13" s="117" t="n">
        <x:f>ES15</x:f>
      </x:c>
      <x:c r="EU13" s="117" t="n">
        <x:f>ET15</x:f>
      </x:c>
      <x:c r="EV13" s="117" t="n">
        <x:f>EU15</x:f>
      </x:c>
      <x:c r="EW13" s="117" t="n">
        <x:f>EV15</x:f>
      </x:c>
      <x:c r="EX13" s="117" t="n">
        <x:f>EW15</x:f>
      </x:c>
      <x:c r="EY13" s="117" t="n">
        <x:f>EX15</x:f>
      </x:c>
      <x:c r="EZ13" s="117" t="n">
        <x:f>EY15</x:f>
      </x:c>
      <x:c r="FA13" s="117" t="n">
        <x:f>EZ15</x:f>
      </x:c>
      <x:c r="FB13" s="117" t="n">
        <x:f>FA15</x:f>
      </x:c>
      <x:c r="FC13" s="117" t="n">
        <x:f>FB15</x:f>
      </x:c>
      <x:c r="FD13" s="117" t="n">
        <x:f>FC15</x:f>
      </x:c>
      <x:c r="FE13" s="117" t="n">
        <x:f>FD15</x:f>
      </x:c>
      <x:c r="FF13" s="117" t="n">
        <x:f>FE15</x:f>
      </x:c>
      <x:c r="FG13" s="117" t="n">
        <x:f>FF15</x:f>
      </x:c>
      <x:c r="FH13" s="117" t="n">
        <x:f>FG15</x:f>
      </x:c>
      <x:c r="FI13" s="117" t="n">
        <x:f>FH15</x:f>
      </x:c>
      <x:c r="FJ13" s="117" t="n">
        <x:f>FI15</x:f>
      </x:c>
      <x:c r="FK13" s="117" t="n">
        <x:f>FJ15</x:f>
      </x:c>
      <x:c r="FL13" s="117" t="n">
        <x:f>FK15</x:f>
      </x:c>
      <x:c r="FM13" s="117" t="n">
        <x:f>FL15</x:f>
      </x:c>
      <x:c r="FN13" s="117" t="n">
        <x:f>FM15</x:f>
      </x:c>
      <x:c r="FO13" s="117" t="n">
        <x:f>FN15</x:f>
      </x:c>
      <x:c r="FP13" s="117" t="n">
        <x:f>FO15</x:f>
      </x:c>
      <x:c r="FQ13" s="117" t="n">
        <x:f>FP15</x:f>
      </x:c>
      <x:c r="FR13" s="117" t="n">
        <x:f>FQ15</x:f>
      </x:c>
      <x:c r="FS13" s="117" t="n">
        <x:f>FR15</x:f>
      </x:c>
      <x:c r="FT13" s="117" t="n">
        <x:f>FS15</x:f>
      </x:c>
      <x:c r="FU13" s="117" t="n">
        <x:f>FT15</x:f>
      </x:c>
      <x:c r="FV13" s="117" t="n">
        <x:f>FU15</x:f>
      </x:c>
      <x:c r="FW13" s="117" t="n">
        <x:f>FV15</x:f>
      </x:c>
      <x:c r="FX13" s="117" t="n">
        <x:f>FW15</x:f>
      </x:c>
      <x:c r="FY13" s="117" t="n">
        <x:f>FX15</x:f>
      </x:c>
      <x:c r="FZ13" s="117" t="n">
        <x:f>FY15</x:f>
      </x:c>
      <x:c r="GA13" s="117" t="n">
        <x:f>FZ15</x:f>
      </x:c>
    </x:row>
    <x:row r="14">
      <x:c r="A14" t="str">
        <x:v>Раскрытие эскроу</x:v>
      </x:c>
      <x:c r="B14" t="n">
        <x:f>SUM(D14:GA14)</x:f>
      </x:c>
      <x:c r="C14" t="str">
        <x:v>млн ₽</x:v>
      </x:c>
      <x:c r="D14" s="117" t="n">
        <x:f>0+'ОБЪЕКТЫ'!D111</x:f>
      </x:c>
      <x:c r="E14" s="117" t="n">
        <x:f>IF(AND(YEAR(E$3)=YEAR($B$8),MONTH(E$3)=MONTH($B$8)),SUM('Продажи'!$D$72:'Продажи'!D$72),0)+'ОБЪЕКТЫ'!E111</x:f>
      </x:c>
      <x:c r="F14" s="117" t="n">
        <x:f>IF(AND(YEAR(F$3)=YEAR($B$8),MONTH(F$3)=MONTH($B$8)),SUM('Продажи'!$D$72:'Продажи'!E$72),0)+'ОБЪЕКТЫ'!F111</x:f>
      </x:c>
      <x:c r="G14" s="117" t="n">
        <x:f>IF(AND(YEAR(G$3)=YEAR($B$8),MONTH(G$3)=MONTH($B$8)),SUM('Продажи'!$D$72:'Продажи'!F$72),0)+'ОБЪЕКТЫ'!G111</x:f>
      </x:c>
      <x:c r="H14" s="117" t="n">
        <x:f>IF(AND(YEAR(H$3)=YEAR($B$8),MONTH(H$3)=MONTH($B$8)),SUM('Продажи'!$D$72:'Продажи'!G$72),0)+'ОБЪЕКТЫ'!H111</x:f>
      </x:c>
      <x:c r="I14" s="117" t="n">
        <x:f>IF(AND(YEAR(I$3)=YEAR($B$8),MONTH(I$3)=MONTH($B$8)),SUM('Продажи'!$D$72:'Продажи'!H$72),0)+'ОБЪЕКТЫ'!I111</x:f>
      </x:c>
      <x:c r="J14" s="117" t="n">
        <x:f>IF(AND(YEAR(J$3)=YEAR($B$8),MONTH(J$3)=MONTH($B$8)),SUM('Продажи'!$D$72:'Продажи'!I$72),0)+'ОБЪЕКТЫ'!J111</x:f>
      </x:c>
      <x:c r="K14" s="117" t="n">
        <x:f>IF(AND(YEAR(K$3)=YEAR($B$8),MONTH(K$3)=MONTH($B$8)),SUM('Продажи'!$D$72:'Продажи'!J$72),0)+'ОБЪЕКТЫ'!K111</x:f>
      </x:c>
      <x:c r="L14" s="117" t="n">
        <x:f>IF(AND(YEAR(L$3)=YEAR($B$8),MONTH(L$3)=MONTH($B$8)),SUM('Продажи'!$D$72:'Продажи'!K$72),0)+'ОБЪЕКТЫ'!L111</x:f>
      </x:c>
      <x:c r="M14" s="117" t="n">
        <x:f>IF(AND(YEAR(M$3)=YEAR($B$8),MONTH(M$3)=MONTH($B$8)),SUM('Продажи'!$D$72:'Продажи'!L$72),0)+'ОБЪЕКТЫ'!M111</x:f>
      </x:c>
      <x:c r="N14" s="117" t="n">
        <x:f>IF(AND(YEAR(N$3)=YEAR($B$8),MONTH(N$3)=MONTH($B$8)),SUM('Продажи'!$D$72:'Продажи'!M$72),0)+'ОБЪЕКТЫ'!N111</x:f>
      </x:c>
      <x:c r="O14" s="117" t="n">
        <x:f>IF(AND(YEAR(O$3)=YEAR($B$8),MONTH(O$3)=MONTH($B$8)),SUM('Продажи'!$D$72:'Продажи'!N$72),0)+'ОБЪЕКТЫ'!O111</x:f>
      </x:c>
      <x:c r="P14" s="117" t="n">
        <x:f>IF(AND(YEAR(P$3)=YEAR($B$8),MONTH(P$3)=MONTH($B$8)),SUM('Продажи'!$D$72:'Продажи'!O$72),0)+'ОБЪЕКТЫ'!P111</x:f>
      </x:c>
      <x:c r="Q14" s="117" t="n">
        <x:f>IF(AND(YEAR(Q$3)=YEAR($B$8),MONTH(Q$3)=MONTH($B$8)),SUM('Продажи'!$D$72:'Продажи'!P$72),0)+'ОБЪЕКТЫ'!Q111</x:f>
      </x:c>
      <x:c r="R14" s="117" t="n">
        <x:f>IF(AND(YEAR(R$3)=YEAR($B$8),MONTH(R$3)=MONTH($B$8)),SUM('Продажи'!$D$72:'Продажи'!Q$72),0)+'ОБЪЕКТЫ'!R111</x:f>
      </x:c>
      <x:c r="S14" s="117" t="n">
        <x:f>IF(AND(YEAR(S$3)=YEAR($B$8),MONTH(S$3)=MONTH($B$8)),SUM('Продажи'!$D$72:'Продажи'!R$72),0)+'ОБЪЕКТЫ'!S111</x:f>
      </x:c>
      <x:c r="T14" s="117" t="n">
        <x:f>IF(AND(YEAR(T$3)=YEAR($B$8),MONTH(T$3)=MONTH($B$8)),SUM('Продажи'!$D$72:'Продажи'!S$72),0)+'ОБЪЕКТЫ'!T111</x:f>
      </x:c>
      <x:c r="U14" s="117" t="n">
        <x:f>IF(AND(YEAR(U$3)=YEAR($B$8),MONTH(U$3)=MONTH($B$8)),SUM('Продажи'!$D$72:'Продажи'!T$72),0)+'ОБЪЕКТЫ'!U111</x:f>
      </x:c>
      <x:c r="V14" s="117" t="n">
        <x:f>IF(AND(YEAR(V$3)=YEAR($B$8),MONTH(V$3)=MONTH($B$8)),SUM('Продажи'!$D$72:'Продажи'!U$72),0)+'ОБЪЕКТЫ'!V111</x:f>
      </x:c>
      <x:c r="W14" s="117" t="n">
        <x:f>IF(AND(YEAR(W$3)=YEAR($B$8),MONTH(W$3)=MONTH($B$8)),SUM('Продажи'!$D$72:'Продажи'!V$72),0)+'ОБЪЕКТЫ'!W111</x:f>
      </x:c>
      <x:c r="X14" s="117" t="n">
        <x:f>IF(AND(YEAR(X$3)=YEAR($B$8),MONTH(X$3)=MONTH($B$8)),SUM('Продажи'!$D$72:'Продажи'!W$72),0)+'ОБЪЕКТЫ'!X111</x:f>
      </x:c>
      <x:c r="Y14" s="117" t="n">
        <x:f>IF(AND(YEAR(Y$3)=YEAR($B$8),MONTH(Y$3)=MONTH($B$8)),SUM('Продажи'!$D$72:'Продажи'!X$72),0)+'ОБЪЕКТЫ'!Y111</x:f>
      </x:c>
      <x:c r="Z14" s="117" t="n">
        <x:f>IF(AND(YEAR(Z$3)=YEAR($B$8),MONTH(Z$3)=MONTH($B$8)),SUM('Продажи'!$D$72:'Продажи'!Y$72),0)+'ОБЪЕКТЫ'!Z111</x:f>
      </x:c>
      <x:c r="AA14" s="117" t="n">
        <x:f>IF(AND(YEAR(AA$3)=YEAR($B$8),MONTH(AA$3)=MONTH($B$8)),SUM('Продажи'!$D$72:'Продажи'!Z$72),0)+'ОБЪЕКТЫ'!AA111</x:f>
      </x:c>
      <x:c r="AB14" s="117" t="n">
        <x:f>IF(AND(YEAR(AB$3)=YEAR($B$8),MONTH(AB$3)=MONTH($B$8)),SUM('Продажи'!$D$72:'Продажи'!AA$72),0)+'ОБЪЕКТЫ'!AB111</x:f>
      </x:c>
      <x:c r="AC14" s="117" t="n">
        <x:f>IF(AND(YEAR(AC$3)=YEAR($B$8),MONTH(AC$3)=MONTH($B$8)),SUM('Продажи'!$D$72:'Продажи'!AB$72),0)+'ОБЪЕКТЫ'!AC111</x:f>
      </x:c>
      <x:c r="AD14" s="117" t="n">
        <x:f>IF(AND(YEAR(AD$3)=YEAR($B$8),MONTH(AD$3)=MONTH($B$8)),SUM('Продажи'!$D$72:'Продажи'!AC$72),0)+'ОБЪЕКТЫ'!AD111</x:f>
      </x:c>
      <x:c r="AE14" s="117" t="n">
        <x:f>IF(AND(YEAR(AE$3)=YEAR($B$8),MONTH(AE$3)=MONTH($B$8)),SUM('Продажи'!$D$72:'Продажи'!AD$72),0)+'ОБЪЕКТЫ'!AE111</x:f>
      </x:c>
      <x:c r="AF14" s="117" t="n">
        <x:f>IF(AND(YEAR(AF$3)=YEAR($B$8),MONTH(AF$3)=MONTH($B$8)),SUM('Продажи'!$D$72:'Продажи'!AE$72),0)+'ОБЪЕКТЫ'!AF111</x:f>
      </x:c>
      <x:c r="AG14" s="117" t="n">
        <x:f>IF(AND(YEAR(AG$3)=YEAR($B$8),MONTH(AG$3)=MONTH($B$8)),SUM('Продажи'!$D$72:'Продажи'!AF$72),0)+'ОБЪЕКТЫ'!AG111</x:f>
      </x:c>
      <x:c r="AH14" s="117" t="n">
        <x:f>IF(AND(YEAR(AH$3)=YEAR($B$8),MONTH(AH$3)=MONTH($B$8)),SUM('Продажи'!$D$72:'Продажи'!AG$72),0)+'ОБЪЕКТЫ'!AH111</x:f>
      </x:c>
      <x:c r="AI14" s="117" t="n">
        <x:f>IF(AND(YEAR(AI$3)=YEAR($B$8),MONTH(AI$3)=MONTH($B$8)),SUM('Продажи'!$D$72:'Продажи'!AH$72),0)+'ОБЪЕКТЫ'!AI111</x:f>
      </x:c>
      <x:c r="AJ14" s="117" t="n">
        <x:f>IF(AND(YEAR(AJ$3)=YEAR($B$8),MONTH(AJ$3)=MONTH($B$8)),SUM('Продажи'!$D$72:'Продажи'!AI$72),0)+'ОБЪЕКТЫ'!AJ111</x:f>
      </x:c>
      <x:c r="AK14" s="117" t="n">
        <x:f>IF(AND(YEAR(AK$3)=YEAR($B$8),MONTH(AK$3)=MONTH($B$8)),SUM('Продажи'!$D$72:'Продажи'!AJ$72),0)+'ОБЪЕКТЫ'!AK111</x:f>
      </x:c>
      <x:c r="AL14" s="117" t="n">
        <x:f>IF(AND(YEAR(AL$3)=YEAR($B$8),MONTH(AL$3)=MONTH($B$8)),SUM('Продажи'!$D$72:'Продажи'!AK$72),0)+'ОБЪЕКТЫ'!AL111</x:f>
      </x:c>
      <x:c r="AM14" s="117" t="n">
        <x:f>IF(AND(YEAR(AM$3)=YEAR($B$8),MONTH(AM$3)=MONTH($B$8)),SUM('Продажи'!$D$72:'Продажи'!AL$72),0)+'ОБЪЕКТЫ'!AM111</x:f>
      </x:c>
      <x:c r="AN14" s="117" t="n">
        <x:f>IF(AND(YEAR(AN$3)=YEAR($B$8),MONTH(AN$3)=MONTH($B$8)),SUM('Продажи'!$D$72:'Продажи'!AM$72),0)+'ОБЪЕКТЫ'!AN111</x:f>
      </x:c>
      <x:c r="AO14" s="117" t="n">
        <x:f>IF(AND(YEAR(AO$3)=YEAR($B$8),MONTH(AO$3)=MONTH($B$8)),SUM('Продажи'!$D$72:'Продажи'!AN$72),0)+'ОБЪЕКТЫ'!AO111</x:f>
      </x:c>
      <x:c r="AP14" s="117" t="n">
        <x:f>IF(AND(YEAR(AP$3)=YEAR($B$8),MONTH(AP$3)=MONTH($B$8)),SUM('Продажи'!$D$72:'Продажи'!AO$72),0)+'ОБЪЕКТЫ'!AP111</x:f>
      </x:c>
      <x:c r="AQ14" s="117" t="n">
        <x:f>IF(AND(YEAR(AQ$3)=YEAR($B$8),MONTH(AQ$3)=MONTH($B$8)),SUM('Продажи'!$D$72:'Продажи'!AP$72),0)+'ОБЪЕКТЫ'!AQ111</x:f>
      </x:c>
      <x:c r="AR14" s="117" t="n">
        <x:f>IF(AND(YEAR(AR$3)=YEAR($B$8),MONTH(AR$3)=MONTH($B$8)),SUM('Продажи'!$D$72:'Продажи'!AQ$72),0)+'ОБЪЕКТЫ'!AR111</x:f>
      </x:c>
      <x:c r="AS14" s="117" t="n">
        <x:f>IF(AND(YEAR(AS$3)=YEAR($B$8),MONTH(AS$3)=MONTH($B$8)),SUM('Продажи'!$D$72:'Продажи'!AR$72),0)+'ОБЪЕКТЫ'!AS111</x:f>
      </x:c>
      <x:c r="AT14" s="117" t="n">
        <x:f>IF(AND(YEAR(AT$3)=YEAR($B$8),MONTH(AT$3)=MONTH($B$8)),SUM('Продажи'!$D$72:'Продажи'!AS$72),0)+'ОБЪЕКТЫ'!AT111</x:f>
      </x:c>
      <x:c r="AU14" s="117" t="n">
        <x:f>IF(AND(YEAR(AU$3)=YEAR($B$8),MONTH(AU$3)=MONTH($B$8)),SUM('Продажи'!$D$72:'Продажи'!AT$72),0)+'ОБЪЕКТЫ'!AU111</x:f>
      </x:c>
      <x:c r="AV14" s="117" t="n">
        <x:f>IF(AND(YEAR(AV$3)=YEAR($B$8),MONTH(AV$3)=MONTH($B$8)),SUM('Продажи'!$D$72:'Продажи'!AU$72),0)+'ОБЪЕКТЫ'!AV111</x:f>
      </x:c>
      <x:c r="AW14" s="117" t="n">
        <x:f>IF(AND(YEAR(AW$3)=YEAR($B$8),MONTH(AW$3)=MONTH($B$8)),SUM('Продажи'!$D$72:'Продажи'!AV$72),0)+'ОБЪЕКТЫ'!AW111</x:f>
      </x:c>
      <x:c r="AX14" s="117" t="n">
        <x:f>IF(AND(YEAR(AX$3)=YEAR($B$8),MONTH(AX$3)=MONTH($B$8)),SUM('Продажи'!$D$72:'Продажи'!AW$72),0)+'ОБЪЕКТЫ'!AX111</x:f>
      </x:c>
      <x:c r="AY14" s="117" t="n">
        <x:f>IF(AND(YEAR(AY$3)=YEAR($B$8),MONTH(AY$3)=MONTH($B$8)),SUM('Продажи'!$D$72:'Продажи'!AX$72),0)+'ОБЪЕКТЫ'!AY111</x:f>
      </x:c>
      <x:c r="AZ14" s="117" t="n">
        <x:f>IF(AND(YEAR(AZ$3)=YEAR($B$8),MONTH(AZ$3)=MONTH($B$8)),SUM('Продажи'!$D$72:'Продажи'!AY$72),0)+'ОБЪЕКТЫ'!AZ111</x:f>
      </x:c>
      <x:c r="BA14" s="117" t="n">
        <x:f>IF(AND(YEAR(BA$3)=YEAR($B$8),MONTH(BA$3)=MONTH($B$8)),SUM('Продажи'!$D$72:'Продажи'!AZ$72),0)+'ОБЪЕКТЫ'!BA111</x:f>
      </x:c>
      <x:c r="BB14" s="117" t="n">
        <x:f>IF(AND(YEAR(BB$3)=YEAR($B$8),MONTH(BB$3)=MONTH($B$8)),SUM('Продажи'!$D$72:'Продажи'!BA$72),0)+'ОБЪЕКТЫ'!BB111</x:f>
      </x:c>
      <x:c r="BC14" s="117" t="n">
        <x:f>IF(AND(YEAR(BC$3)=YEAR($B$8),MONTH(BC$3)=MONTH($B$8)),SUM('Продажи'!$D$72:'Продажи'!BB$72),0)+'ОБЪЕКТЫ'!BC111</x:f>
      </x:c>
      <x:c r="BD14" s="117" t="n">
        <x:f>IF(AND(YEAR(BD$3)=YEAR($B$8),MONTH(BD$3)=MONTH($B$8)),SUM('Продажи'!$D$72:'Продажи'!BC$72),0)+'ОБЪЕКТЫ'!BD111</x:f>
      </x:c>
      <x:c r="BE14" s="117" t="n">
        <x:f>IF(AND(YEAR(BE$3)=YEAR($B$8),MONTH(BE$3)=MONTH($B$8)),SUM('Продажи'!$D$72:'Продажи'!BD$72),0)+'ОБЪЕКТЫ'!BE111</x:f>
      </x:c>
      <x:c r="BF14" s="117" t="n">
        <x:f>IF(AND(YEAR(BF$3)=YEAR($B$8),MONTH(BF$3)=MONTH($B$8)),SUM('Продажи'!$D$72:'Продажи'!BE$72),0)+'ОБЪЕКТЫ'!BF111</x:f>
      </x:c>
      <x:c r="BG14" s="117" t="n">
        <x:f>IF(AND(YEAR(BG$3)=YEAR($B$8),MONTH(BG$3)=MONTH($B$8)),SUM('Продажи'!$D$72:'Продажи'!BF$72),0)+'ОБЪЕКТЫ'!BG111</x:f>
      </x:c>
      <x:c r="BH14" s="117" t="n">
        <x:f>IF(AND(YEAR(BH$3)=YEAR($B$8),MONTH(BH$3)=MONTH($B$8)),SUM('Продажи'!$D$72:'Продажи'!BG$72),0)+'ОБЪЕКТЫ'!BH111</x:f>
      </x:c>
      <x:c r="BI14" s="117" t="n">
        <x:f>IF(AND(YEAR(BI$3)=YEAR($B$8),MONTH(BI$3)=MONTH($B$8)),SUM('Продажи'!$D$72:'Продажи'!BH$72),0)+'ОБЪЕКТЫ'!BI111</x:f>
      </x:c>
      <x:c r="BJ14" s="117" t="n">
        <x:f>IF(AND(YEAR(BJ$3)=YEAR($B$8),MONTH(BJ$3)=MONTH($B$8)),SUM('Продажи'!$D$72:'Продажи'!BI$72),0)+'ОБЪЕКТЫ'!BJ111</x:f>
      </x:c>
      <x:c r="BK14" s="117" t="n">
        <x:f>IF(AND(YEAR(BK$3)=YEAR($B$8),MONTH(BK$3)=MONTH($B$8)),SUM('Продажи'!$D$72:'Продажи'!BJ$72),0)+'ОБЪЕКТЫ'!BK111</x:f>
      </x:c>
      <x:c r="BL14" s="117" t="n">
        <x:f>IF(AND(YEAR(BL$3)=YEAR($B$8),MONTH(BL$3)=MONTH($B$8)),SUM('Продажи'!$D$72:'Продажи'!BK$72),0)+'ОБЪЕКТЫ'!BL111</x:f>
      </x:c>
      <x:c r="BM14" s="117" t="n">
        <x:f>IF(AND(YEAR(BM$3)=YEAR($B$8),MONTH(BM$3)=MONTH($B$8)),SUM('Продажи'!$D$72:'Продажи'!BL$72),0)+'ОБЪЕКТЫ'!BM111</x:f>
      </x:c>
      <x:c r="BN14" s="117" t="n">
        <x:f>IF(AND(YEAR(BN$3)=YEAR($B$8),MONTH(BN$3)=MONTH($B$8)),SUM('Продажи'!$D$72:'Продажи'!BM$72),0)+'ОБЪЕКТЫ'!BN111</x:f>
      </x:c>
      <x:c r="BO14" s="117" t="n">
        <x:f>IF(AND(YEAR(BO$3)=YEAR($B$8),MONTH(BO$3)=MONTH($B$8)),SUM('Продажи'!$D$72:'Продажи'!BN$72),0)+'ОБЪЕКТЫ'!BO111</x:f>
      </x:c>
      <x:c r="BP14" s="117" t="n">
        <x:f>IF(AND(YEAR(BP$3)=YEAR($B$8),MONTH(BP$3)=MONTH($B$8)),SUM('Продажи'!$D$72:'Продажи'!BO$72),0)+'ОБЪЕКТЫ'!BP111</x:f>
      </x:c>
      <x:c r="BQ14" s="117" t="n">
        <x:f>IF(AND(YEAR(BQ$3)=YEAR($B$8),MONTH(BQ$3)=MONTH($B$8)),SUM('Продажи'!$D$72:'Продажи'!BP$72),0)+'ОБЪЕКТЫ'!BQ111</x:f>
      </x:c>
      <x:c r="BR14" s="117" t="n">
        <x:f>IF(AND(YEAR(BR$3)=YEAR($B$8),MONTH(BR$3)=MONTH($B$8)),SUM('Продажи'!$D$72:'Продажи'!BQ$72),0)+'ОБЪЕКТЫ'!BR111</x:f>
      </x:c>
      <x:c r="BS14" s="117" t="n">
        <x:f>IF(AND(YEAR(BS$3)=YEAR($B$8),MONTH(BS$3)=MONTH($B$8)),SUM('Продажи'!$D$72:'Продажи'!BR$72),0)+'ОБЪЕКТЫ'!BS111</x:f>
      </x:c>
      <x:c r="BT14" s="117" t="n">
        <x:f>IF(AND(YEAR(BT$3)=YEAR($B$8),MONTH(BT$3)=MONTH($B$8)),SUM('Продажи'!$D$72:'Продажи'!BS$72),0)+'ОБЪЕКТЫ'!BT111</x:f>
      </x:c>
      <x:c r="BU14" s="117" t="n">
        <x:f>IF(AND(YEAR(BU$3)=YEAR($B$8),MONTH(BU$3)=MONTH($B$8)),SUM('Продажи'!$D$72:'Продажи'!BT$72),0)+'ОБЪЕКТЫ'!BU111</x:f>
      </x:c>
      <x:c r="BV14" s="117" t="n">
        <x:f>IF(AND(YEAR(BV$3)=YEAR($B$8),MONTH(BV$3)=MONTH($B$8)),SUM('Продажи'!$D$72:'Продажи'!BU$72),0)+'ОБЪЕКТЫ'!BV111</x:f>
      </x:c>
      <x:c r="BW14" s="117" t="n">
        <x:f>IF(AND(YEAR(BW$3)=YEAR($B$8),MONTH(BW$3)=MONTH($B$8)),SUM('Продажи'!$D$72:'Продажи'!BV$72),0)+'ОБЪЕКТЫ'!BW111</x:f>
      </x:c>
      <x:c r="BX14" s="117" t="n">
        <x:f>IF(AND(YEAR(BX$3)=YEAR($B$8),MONTH(BX$3)=MONTH($B$8)),SUM('Продажи'!$D$72:'Продажи'!BW$72),0)+'ОБЪЕКТЫ'!BX111</x:f>
      </x:c>
      <x:c r="BY14" s="117" t="n">
        <x:f>IF(AND(YEAR(BY$3)=YEAR($B$8),MONTH(BY$3)=MONTH($B$8)),SUM('Продажи'!$D$72:'Продажи'!BX$72),0)+'ОБЪЕКТЫ'!BY111</x:f>
      </x:c>
      <x:c r="BZ14" s="117" t="n">
        <x:f>IF(AND(YEAR(BZ$3)=YEAR($B$8),MONTH(BZ$3)=MONTH($B$8)),SUM('Продажи'!$D$72:'Продажи'!BY$72),0)+'ОБЪЕКТЫ'!BZ111</x:f>
      </x:c>
      <x:c r="CA14" s="117" t="n">
        <x:f>IF(AND(YEAR(CA$3)=YEAR($B$8),MONTH(CA$3)=MONTH($B$8)),SUM('Продажи'!$D$72:'Продажи'!BZ$72),0)+'ОБЪЕКТЫ'!CA111</x:f>
      </x:c>
      <x:c r="CB14" s="117" t="n">
        <x:f>IF(AND(YEAR(CB$3)=YEAR($B$8),MONTH(CB$3)=MONTH($B$8)),SUM('Продажи'!$D$72:'Продажи'!CA$72),0)+'ОБЪЕКТЫ'!CB111</x:f>
      </x:c>
      <x:c r="CC14" s="117" t="n">
        <x:f>IF(AND(YEAR(CC$3)=YEAR($B$8),MONTH(CC$3)=MONTH($B$8)),SUM('Продажи'!$D$72:'Продажи'!CB$72),0)+'ОБЪЕКТЫ'!CC111</x:f>
      </x:c>
      <x:c r="CD14" s="117" t="n">
        <x:f>IF(AND(YEAR(CD$3)=YEAR($B$8),MONTH(CD$3)=MONTH($B$8)),SUM('Продажи'!$D$72:'Продажи'!CC$72),0)+'ОБЪЕКТЫ'!CD111</x:f>
      </x:c>
      <x:c r="CE14" s="117" t="n">
        <x:f>IF(AND(YEAR(CE$3)=YEAR($B$8),MONTH(CE$3)=MONTH($B$8)),SUM('Продажи'!$D$72:'Продажи'!CD$72),0)+'ОБЪЕКТЫ'!CE111</x:f>
      </x:c>
      <x:c r="CF14" s="117" t="n">
        <x:f>IF(AND(YEAR(CF$3)=YEAR($B$8),MONTH(CF$3)=MONTH($B$8)),SUM('Продажи'!$D$72:'Продажи'!CE$72),0)+'ОБЪЕКТЫ'!CF111</x:f>
      </x:c>
      <x:c r="CG14" s="117" t="n">
        <x:f>IF(AND(YEAR(CG$3)=YEAR($B$8),MONTH(CG$3)=MONTH($B$8)),SUM('Продажи'!$D$72:'Продажи'!CF$72),0)+'ОБЪЕКТЫ'!CG111</x:f>
      </x:c>
      <x:c r="CH14" s="117" t="n">
        <x:f>IF(AND(YEAR(CH$3)=YEAR($B$8),MONTH(CH$3)=MONTH($B$8)),SUM('Продажи'!$D$72:'Продажи'!CG$72),0)+'ОБЪЕКТЫ'!CH111</x:f>
      </x:c>
      <x:c r="CI14" s="117" t="n">
        <x:f>IF(AND(YEAR(CI$3)=YEAR($B$8),MONTH(CI$3)=MONTH($B$8)),SUM('Продажи'!$D$72:'Продажи'!CH$72),0)+'ОБЪЕКТЫ'!CI111</x:f>
      </x:c>
      <x:c r="CJ14" s="117" t="n">
        <x:f>IF(AND(YEAR(CJ$3)=YEAR($B$8),MONTH(CJ$3)=MONTH($B$8)),SUM('Продажи'!$D$72:'Продажи'!CI$72),0)+'ОБЪЕКТЫ'!CJ111</x:f>
      </x:c>
      <x:c r="CK14" s="117" t="n">
        <x:f>IF(AND(YEAR(CK$3)=YEAR($B$8),MONTH(CK$3)=MONTH($B$8)),SUM('Продажи'!$D$72:'Продажи'!CJ$72),0)+'ОБЪЕКТЫ'!CK111</x:f>
      </x:c>
      <x:c r="CL14" s="117" t="n">
        <x:f>IF(AND(YEAR(CL$3)=YEAR($B$8),MONTH(CL$3)=MONTH($B$8)),SUM('Продажи'!$D$72:'Продажи'!CK$72),0)+'ОБЪЕКТЫ'!CL111</x:f>
      </x:c>
      <x:c r="CM14" s="117" t="n">
        <x:f>IF(AND(YEAR(CM$3)=YEAR($B$8),MONTH(CM$3)=MONTH($B$8)),SUM('Продажи'!$D$72:'Продажи'!CL$72),0)+'ОБЪЕКТЫ'!CM111</x:f>
      </x:c>
      <x:c r="CN14" s="117" t="n">
        <x:f>IF(AND(YEAR(CN$3)=YEAR($B$8),MONTH(CN$3)=MONTH($B$8)),SUM('Продажи'!$D$72:'Продажи'!CM$72),0)+'ОБЪЕКТЫ'!CN111</x:f>
      </x:c>
      <x:c r="CO14" s="117" t="n">
        <x:f>IF(AND(YEAR(CO$3)=YEAR($B$8),MONTH(CO$3)=MONTH($B$8)),SUM('Продажи'!$D$72:'Продажи'!CN$72),0)+'ОБЪЕКТЫ'!CO111</x:f>
      </x:c>
      <x:c r="CP14" s="117" t="n">
        <x:f>IF(AND(YEAR(CP$3)=YEAR($B$8),MONTH(CP$3)=MONTH($B$8)),SUM('Продажи'!$D$72:'Продажи'!CO$72),0)+'ОБЪЕКТЫ'!CP111</x:f>
      </x:c>
      <x:c r="CQ14" s="117" t="n">
        <x:f>IF(AND(YEAR(CQ$3)=YEAR($B$8),MONTH(CQ$3)=MONTH($B$8)),SUM('Продажи'!$D$72:'Продажи'!CP$72),0)+'ОБЪЕКТЫ'!CQ111</x:f>
      </x:c>
      <x:c r="CR14" s="117" t="n">
        <x:f>IF(AND(YEAR(CR$3)=YEAR($B$8),MONTH(CR$3)=MONTH($B$8)),SUM('Продажи'!$D$72:'Продажи'!CQ$72),0)+'ОБЪЕКТЫ'!CR111</x:f>
      </x:c>
      <x:c r="CS14" s="117" t="n">
        <x:f>IF(AND(YEAR(CS$3)=YEAR($B$8),MONTH(CS$3)=MONTH($B$8)),SUM('Продажи'!$D$72:'Продажи'!CR$72),0)+'ОБЪЕКТЫ'!CS111</x:f>
      </x:c>
      <x:c r="CT14" s="117" t="n">
        <x:f>IF(AND(YEAR(CT$3)=YEAR($B$8),MONTH(CT$3)=MONTH($B$8)),SUM('Продажи'!$D$72:'Продажи'!CS$72),0)+'ОБЪЕКТЫ'!CT111</x:f>
      </x:c>
      <x:c r="CU14" s="117" t="n">
        <x:f>IF(AND(YEAR(CU$3)=YEAR($B$8),MONTH(CU$3)=MONTH($B$8)),SUM('Продажи'!$D$72:'Продажи'!CT$72),0)+'ОБЪЕКТЫ'!CU111</x:f>
      </x:c>
      <x:c r="CV14" s="117" t="n">
        <x:f>IF(AND(YEAR(CV$3)=YEAR($B$8),MONTH(CV$3)=MONTH($B$8)),SUM('Продажи'!$D$72:'Продажи'!CU$72),0)+'ОБЪЕКТЫ'!CV111</x:f>
      </x:c>
      <x:c r="CW14" s="117" t="n">
        <x:f>IF(AND(YEAR(CW$3)=YEAR($B$8),MONTH(CW$3)=MONTH($B$8)),SUM('Продажи'!$D$72:'Продажи'!CV$72),0)+'ОБЪЕКТЫ'!CW111</x:f>
      </x:c>
      <x:c r="CX14" s="117" t="n">
        <x:f>IF(AND(YEAR(CX$3)=YEAR($B$8),MONTH(CX$3)=MONTH($B$8)),SUM('Продажи'!$D$72:'Продажи'!CW$72),0)+'ОБЪЕКТЫ'!CX111</x:f>
      </x:c>
      <x:c r="CY14" s="117" t="n">
        <x:f>IF(AND(YEAR(CY$3)=YEAR($B$8),MONTH(CY$3)=MONTH($B$8)),SUM('Продажи'!$D$72:'Продажи'!CX$72),0)+'ОБЪЕКТЫ'!CY111</x:f>
      </x:c>
      <x:c r="CZ14" s="117" t="n">
        <x:f>IF(AND(YEAR(CZ$3)=YEAR($B$8),MONTH(CZ$3)=MONTH($B$8)),SUM('Продажи'!$D$72:'Продажи'!CY$72),0)+'ОБЪЕКТЫ'!CZ111</x:f>
      </x:c>
      <x:c r="DA14" s="117" t="n">
        <x:f>IF(AND(YEAR(DA$3)=YEAR($B$8),MONTH(DA$3)=MONTH($B$8)),SUM('Продажи'!$D$72:'Продажи'!CZ$72),0)+'ОБЪЕКТЫ'!DA111</x:f>
      </x:c>
      <x:c r="DB14" s="117" t="n">
        <x:f>IF(AND(YEAR(DB$3)=YEAR($B$8),MONTH(DB$3)=MONTH($B$8)),SUM('Продажи'!$D$72:'Продажи'!DA$72),0)+'ОБЪЕКТЫ'!DB111</x:f>
      </x:c>
      <x:c r="DC14" s="117" t="n">
        <x:f>IF(AND(YEAR(DC$3)=YEAR($B$8),MONTH(DC$3)=MONTH($B$8)),SUM('Продажи'!$D$72:'Продажи'!DB$72),0)+'ОБЪЕКТЫ'!DC111</x:f>
      </x:c>
      <x:c r="DD14" s="117" t="n">
        <x:f>IF(AND(YEAR(DD$3)=YEAR($B$8),MONTH(DD$3)=MONTH($B$8)),SUM('Продажи'!$D$72:'Продажи'!DC$72),0)+'ОБЪЕКТЫ'!DD111</x:f>
      </x:c>
      <x:c r="DE14" s="117" t="n">
        <x:f>IF(AND(YEAR(DE$3)=YEAR($B$8),MONTH(DE$3)=MONTH($B$8)),SUM('Продажи'!$D$72:'Продажи'!DD$72),0)+'ОБЪЕКТЫ'!DE111</x:f>
      </x:c>
      <x:c r="DF14" s="117" t="n">
        <x:f>IF(AND(YEAR(DF$3)=YEAR($B$8),MONTH(DF$3)=MONTH($B$8)),SUM('Продажи'!$D$72:'Продажи'!DE$72),0)+'ОБЪЕКТЫ'!DF111</x:f>
      </x:c>
      <x:c r="DG14" s="117" t="n">
        <x:f>IF(AND(YEAR(DG$3)=YEAR($B$8),MONTH(DG$3)=MONTH($B$8)),SUM('Продажи'!$D$72:'Продажи'!DF$72),0)+'ОБЪЕКТЫ'!DG111</x:f>
      </x:c>
      <x:c r="DH14" s="117" t="n">
        <x:f>IF(AND(YEAR(DH$3)=YEAR($B$8),MONTH(DH$3)=MONTH($B$8)),SUM('Продажи'!$D$72:'Продажи'!DG$72),0)+'ОБЪЕКТЫ'!DH111</x:f>
      </x:c>
      <x:c r="DI14" s="117" t="n">
        <x:f>IF(AND(YEAR(DI$3)=YEAR($B$8),MONTH(DI$3)=MONTH($B$8)),SUM('Продажи'!$D$72:'Продажи'!DH$72),0)+'ОБЪЕКТЫ'!DI111</x:f>
      </x:c>
      <x:c r="DJ14" s="117" t="n">
        <x:f>IF(AND(YEAR(DJ$3)=YEAR($B$8),MONTH(DJ$3)=MONTH($B$8)),SUM('Продажи'!$D$72:'Продажи'!DI$72),0)+'ОБЪЕКТЫ'!DJ111</x:f>
      </x:c>
      <x:c r="DK14" s="117" t="n">
        <x:f>IF(AND(YEAR(DK$3)=YEAR($B$8),MONTH(DK$3)=MONTH($B$8)),SUM('Продажи'!$D$72:'Продажи'!DJ$72),0)+'ОБЪЕКТЫ'!DK111</x:f>
      </x:c>
      <x:c r="DL14" s="117" t="n">
        <x:f>IF(AND(YEAR(DL$3)=YEAR($B$8),MONTH(DL$3)=MONTH($B$8)),SUM('Продажи'!$D$72:'Продажи'!DK$72),0)+'ОБЪЕКТЫ'!DL111</x:f>
      </x:c>
      <x:c r="DM14" s="117" t="n">
        <x:f>IF(AND(YEAR(DM$3)=YEAR($B$8),MONTH(DM$3)=MONTH($B$8)),SUM('Продажи'!$D$72:'Продажи'!DL$72),0)+'ОБЪЕКТЫ'!DM111</x:f>
      </x:c>
      <x:c r="DN14" s="117" t="n">
        <x:f>IF(AND(YEAR(DN$3)=YEAR($B$8),MONTH(DN$3)=MONTH($B$8)),SUM('Продажи'!$D$72:'Продажи'!DM$72),0)+'ОБЪЕКТЫ'!DN111</x:f>
      </x:c>
      <x:c r="DO14" s="117" t="n">
        <x:f>IF(AND(YEAR(DO$3)=YEAR($B$8),MONTH(DO$3)=MONTH($B$8)),SUM('Продажи'!$D$72:'Продажи'!DN$72),0)+'ОБЪЕКТЫ'!DO111</x:f>
      </x:c>
      <x:c r="DP14" s="117" t="n">
        <x:f>IF(AND(YEAR(DP$3)=YEAR($B$8),MONTH(DP$3)=MONTH($B$8)),SUM('Продажи'!$D$72:'Продажи'!DO$72),0)+'ОБЪЕКТЫ'!DP111</x:f>
      </x:c>
      <x:c r="DQ14" s="117" t="n">
        <x:f>IF(AND(YEAR(DQ$3)=YEAR($B$8),MONTH(DQ$3)=MONTH($B$8)),SUM('Продажи'!$D$72:'Продажи'!DP$72),0)+'ОБЪЕКТЫ'!DQ111</x:f>
      </x:c>
      <x:c r="DR14" s="117" t="n">
        <x:f>IF(AND(YEAR(DR$3)=YEAR($B$8),MONTH(DR$3)=MONTH($B$8)),SUM('Продажи'!$D$72:'Продажи'!DQ$72),0)+'ОБЪЕКТЫ'!DR111</x:f>
      </x:c>
      <x:c r="DS14" s="117" t="n">
        <x:f>IF(AND(YEAR(DS$3)=YEAR($B$8),MONTH(DS$3)=MONTH($B$8)),SUM('Продажи'!$D$72:'Продажи'!DR$72),0)+'ОБЪЕКТЫ'!DS111</x:f>
      </x:c>
      <x:c r="DT14" s="117" t="n">
        <x:f>IF(AND(YEAR(DT$3)=YEAR($B$8),MONTH(DT$3)=MONTH($B$8)),SUM('Продажи'!$D$72:'Продажи'!GA$72),0)+'ОБЪЕКТЫ'!DT111</x:f>
      </x:c>
      <x:c r="DU14" s="117" t="n">
        <x:f>IF(AND(YEAR(DU$3)=YEAR($B$8),MONTH(DU$3)=MONTH($B$8)),SUM('Продажи'!$D$72:'Продажи'!DT$72),0)+'ОБЪЕКТЫ'!DU111</x:f>
      </x:c>
      <x:c r="DV14" s="117" t="n">
        <x:f>IF(AND(YEAR(DV$3)=YEAR($B$8),MONTH(DV$3)=MONTH($B$8)),SUM('Продажи'!$D$72:'Продажи'!DU$72),0)+'ОБЪЕКТЫ'!DV111</x:f>
      </x:c>
      <x:c r="DW14" s="117" t="n">
        <x:f>IF(AND(YEAR(DW$3)=YEAR($B$8),MONTH(DW$3)=MONTH($B$8)),SUM('Продажи'!$D$72:'Продажи'!DV$72),0)+'ОБЪЕКТЫ'!DW111</x:f>
      </x:c>
      <x:c r="DX14" s="117" t="n">
        <x:f>IF(AND(YEAR(DX$3)=YEAR($B$8),MONTH(DX$3)=MONTH($B$8)),SUM('Продажи'!$D$72:'Продажи'!DW$72),0)+'ОБЪЕКТЫ'!DX111</x:f>
      </x:c>
      <x:c r="DY14" s="117" t="n">
        <x:f>IF(AND(YEAR(DY$3)=YEAR($B$8),MONTH(DY$3)=MONTH($B$8)),SUM('Продажи'!$D$72:'Продажи'!DX$72),0)+'ОБЪЕКТЫ'!DY111</x:f>
      </x:c>
      <x:c r="DZ14" s="117" t="n">
        <x:f>IF(AND(YEAR(DZ$3)=YEAR($B$8),MONTH(DZ$3)=MONTH($B$8)),SUM('Продажи'!$D$72:'Продажи'!DY$72),0)+'ОБЪЕКТЫ'!DZ111</x:f>
      </x:c>
      <x:c r="EA14" s="117" t="n">
        <x:f>IF(AND(YEAR(EA$3)=YEAR($B$8),MONTH(EA$3)=MONTH($B$8)),SUM('Продажи'!$D$72:'Продажи'!DZ$72),0)+'ОБЪЕКТЫ'!EA111</x:f>
      </x:c>
      <x:c r="EB14" s="117" t="n">
        <x:f>IF(AND(YEAR(EB$3)=YEAR($B$8),MONTH(EB$3)=MONTH($B$8)),SUM('Продажи'!$D$72:'Продажи'!EA$72),0)+'ОБЪЕКТЫ'!EB111</x:f>
      </x:c>
      <x:c r="EC14" s="117" t="n">
        <x:f>IF(AND(YEAR(EC$3)=YEAR($B$8),MONTH(EC$3)=MONTH($B$8)),SUM('Продажи'!$D$72:'Продажи'!EB$72),0)+'ОБЪЕКТЫ'!EC111</x:f>
      </x:c>
      <x:c r="ED14" s="117" t="n">
        <x:f>IF(AND(YEAR(ED$3)=YEAR($B$8),MONTH(ED$3)=MONTH($B$8)),SUM('Продажи'!$D$72:'Продажи'!EC$72),0)+'ОБЪЕКТЫ'!ED111</x:f>
      </x:c>
      <x:c r="EE14" s="117" t="n">
        <x:f>IF(AND(YEAR(EE$3)=YEAR($B$8),MONTH(EE$3)=MONTH($B$8)),SUM('Продажи'!$D$72:'Продажи'!ED$72),0)+'ОБЪЕКТЫ'!EE111</x:f>
      </x:c>
      <x:c r="EF14" s="117" t="n">
        <x:f>IF(AND(YEAR(EF$3)=YEAR($B$8),MONTH(EF$3)=MONTH($B$8)),SUM('Продажи'!$D$72:'Продажи'!EE$72),0)+'ОБЪЕКТЫ'!EF111</x:f>
      </x:c>
      <x:c r="EG14" s="117" t="n">
        <x:f>IF(AND(YEAR(EG$3)=YEAR($B$8),MONTH(EG$3)=MONTH($B$8)),SUM('Продажи'!$D$72:'Продажи'!EF$72),0)+'ОБЪЕКТЫ'!EG111</x:f>
      </x:c>
      <x:c r="EH14" s="117" t="n">
        <x:f>IF(AND(YEAR(EH$3)=YEAR($B$8),MONTH(EH$3)=MONTH($B$8)),SUM('Продажи'!$D$72:'Продажи'!EG$72),0)+'ОБЪЕКТЫ'!EH111</x:f>
      </x:c>
      <x:c r="EI14" s="117" t="n">
        <x:f>IF(AND(YEAR(EI$3)=YEAR($B$8),MONTH(EI$3)=MONTH($B$8)),SUM('Продажи'!$D$72:'Продажи'!EH$72),0)+'ОБЪЕКТЫ'!EI111</x:f>
      </x:c>
      <x:c r="EJ14" s="117" t="n">
        <x:f>IF(AND(YEAR(EJ$3)=YEAR($B$8),MONTH(EJ$3)=MONTH($B$8)),SUM('Продажи'!$D$72:'Продажи'!EI$72),0)+'ОБЪЕКТЫ'!EJ111</x:f>
      </x:c>
      <x:c r="EK14" s="117" t="n">
        <x:f>IF(AND(YEAR(EK$3)=YEAR($B$8),MONTH(EK$3)=MONTH($B$8)),SUM('Продажи'!$D$72:'Продажи'!EJ$72),0)+'ОБЪЕКТЫ'!EK111</x:f>
      </x:c>
      <x:c r="EL14" s="117" t="n">
        <x:f>IF(AND(YEAR(EL$3)=YEAR($B$8),MONTH(EL$3)=MONTH($B$8)),SUM('Продажи'!$D$72:'Продажи'!EK$72),0)+'ОБЪЕКТЫ'!EL111</x:f>
      </x:c>
      <x:c r="EM14" s="117" t="n">
        <x:f>IF(AND(YEAR(EM$3)=YEAR($B$8),MONTH(EM$3)=MONTH($B$8)),SUM('Продажи'!$D$72:'Продажи'!EL$72),0)+'ОБЪЕКТЫ'!EM111</x:f>
      </x:c>
      <x:c r="EN14" s="117" t="n">
        <x:f>IF(AND(YEAR(EN$3)=YEAR($B$8),MONTH(EN$3)=MONTH($B$8)),SUM('Продажи'!$D$72:'Продажи'!EM$72),0)+'ОБЪЕКТЫ'!EN111</x:f>
      </x:c>
      <x:c r="EO14" s="117" t="n">
        <x:f>IF(AND(YEAR(EO$3)=YEAR($B$8),MONTH(EO$3)=MONTH($B$8)),SUM('Продажи'!$D$72:'Продажи'!EN$72),0)+'ОБЪЕКТЫ'!EO111</x:f>
      </x:c>
      <x:c r="EP14" s="117" t="n">
        <x:f>IF(AND(YEAR(EP$3)=YEAR($B$8),MONTH(EP$3)=MONTH($B$8)),SUM('Продажи'!$D$72:'Продажи'!EO$72),0)+'ОБЪЕКТЫ'!EP111</x:f>
      </x:c>
      <x:c r="EQ14" s="117" t="n">
        <x:f>IF(AND(YEAR(EQ$3)=YEAR($B$8),MONTH(EQ$3)=MONTH($B$8)),SUM('Продажи'!$D$72:'Продажи'!EP$72),0)+'ОБЪЕКТЫ'!EQ111</x:f>
      </x:c>
      <x:c r="ER14" s="117" t="n">
        <x:f>IF(AND(YEAR(ER$3)=YEAR($B$8),MONTH(ER$3)=MONTH($B$8)),SUM('Продажи'!$D$72:'Продажи'!EQ$72),0)+'ОБЪЕКТЫ'!ER111</x:f>
      </x:c>
      <x:c r="ES14" s="117" t="n">
        <x:f>IF(AND(YEAR(ES$3)=YEAR($B$8),MONTH(ES$3)=MONTH($B$8)),SUM('Продажи'!$D$72:'Продажи'!ER$72),0)+'ОБЪЕКТЫ'!ES111</x:f>
      </x:c>
      <x:c r="ET14" s="117" t="n">
        <x:f>IF(AND(YEAR(ET$3)=YEAR($B$8),MONTH(ET$3)=MONTH($B$8)),SUM('Продажи'!$D$72:'Продажи'!ES$72),0)+'ОБЪЕКТЫ'!ET111</x:f>
      </x:c>
      <x:c r="EU14" s="117" t="n">
        <x:f>IF(AND(YEAR(EU$3)=YEAR($B$8),MONTH(EU$3)=MONTH($B$8)),SUM('Продажи'!$D$72:'Продажи'!ET$72),0)+'ОБЪЕКТЫ'!EU111</x:f>
      </x:c>
      <x:c r="EV14" s="117" t="n">
        <x:f>IF(AND(YEAR(EV$3)=YEAR($B$8),MONTH(EV$3)=MONTH($B$8)),SUM('Продажи'!$D$72:'Продажи'!EU$72),0)+'ОБЪЕКТЫ'!EV111</x:f>
      </x:c>
      <x:c r="EW14" s="117" t="n">
        <x:f>IF(AND(YEAR(EW$3)=YEAR($B$8),MONTH(EW$3)=MONTH($B$8)),SUM('Продажи'!$D$72:'Продажи'!EV$72),0)+'ОБЪЕКТЫ'!EW111</x:f>
      </x:c>
      <x:c r="EX14" s="117" t="n">
        <x:f>IF(AND(YEAR(EX$3)=YEAR($B$8),MONTH(EX$3)=MONTH($B$8)),SUM('Продажи'!$D$72:'Продажи'!EW$72),0)+'ОБЪЕКТЫ'!EX111</x:f>
      </x:c>
      <x:c r="EY14" s="117" t="n">
        <x:f>IF(AND(YEAR(EY$3)=YEAR($B$8),MONTH(EY$3)=MONTH($B$8)),SUM('Продажи'!$D$72:'Продажи'!EX$72),0)+'ОБЪЕКТЫ'!EY111</x:f>
      </x:c>
      <x:c r="EZ14" s="117" t="n">
        <x:f>IF(AND(YEAR(EZ$3)=YEAR($B$8),MONTH(EZ$3)=MONTH($B$8)),SUM('Продажи'!$D$72:'Продажи'!EY$72),0)+'ОБЪЕКТЫ'!EZ111</x:f>
      </x:c>
      <x:c r="FA14" s="117" t="n">
        <x:f>IF(AND(YEAR(FA$3)=YEAR($B$8),MONTH(FA$3)=MONTH($B$8)),SUM('Продажи'!$D$72:'Продажи'!EZ$72),0)+'ОБЪЕКТЫ'!FA111</x:f>
      </x:c>
      <x:c r="FB14" s="117" t="n">
        <x:f>IF(AND(YEAR(FB$3)=YEAR($B$8),MONTH(FB$3)=MONTH($B$8)),SUM('Продажи'!$D$72:'Продажи'!FA$72),0)+'ОБЪЕКТЫ'!FB111</x:f>
      </x:c>
      <x:c r="FC14" s="117" t="n">
        <x:f>IF(AND(YEAR(FC$3)=YEAR($B$8),MONTH(FC$3)=MONTH($B$8)),SUM('Продажи'!$D$72:'Продажи'!FB$72),0)+'ОБЪЕКТЫ'!FC111</x:f>
      </x:c>
      <x:c r="FD14" s="117" t="n">
        <x:f>IF(AND(YEAR(FD$3)=YEAR($B$8),MONTH(FD$3)=MONTH($B$8)),SUM('Продажи'!$D$72:'Продажи'!FC$72),0)+'ОБЪЕКТЫ'!FD111</x:f>
      </x:c>
      <x:c r="FE14" s="117" t="n">
        <x:f>IF(AND(YEAR(FE$3)=YEAR($B$8),MONTH(FE$3)=MONTH($B$8)),SUM('Продажи'!$D$72:'Продажи'!FD$72),0)+'ОБЪЕКТЫ'!FE111</x:f>
      </x:c>
      <x:c r="FF14" s="117" t="n">
        <x:f>IF(AND(YEAR(FF$3)=YEAR($B$8),MONTH(FF$3)=MONTH($B$8)),SUM('Продажи'!$D$72:'Продажи'!FE$72),0)+'ОБЪЕКТЫ'!FF111</x:f>
      </x:c>
      <x:c r="FG14" s="117" t="n">
        <x:f>IF(AND(YEAR(FG$3)=YEAR($B$8),MONTH(FG$3)=MONTH($B$8)),SUM('Продажи'!$D$72:'Продажи'!FF$72),0)+'ОБЪЕКТЫ'!FG111</x:f>
      </x:c>
      <x:c r="FH14" s="117" t="n">
        <x:f>IF(AND(YEAR(FH$3)=YEAR($B$8),MONTH(FH$3)=MONTH($B$8)),SUM('Продажи'!$D$72:'Продажи'!FG$72),0)+'ОБЪЕКТЫ'!FH111</x:f>
      </x:c>
      <x:c r="FI14" s="117" t="n">
        <x:f>IF(AND(YEAR(FI$3)=YEAR($B$8),MONTH(FI$3)=MONTH($B$8)),SUM('Продажи'!$D$72:'Продажи'!FH$72),0)+'ОБЪЕКТЫ'!FI111</x:f>
      </x:c>
      <x:c r="FJ14" s="117" t="n">
        <x:f>IF(AND(YEAR(FJ$3)=YEAR($B$8),MONTH(FJ$3)=MONTH($B$8)),SUM('Продажи'!$D$72:'Продажи'!FI$72),0)+'ОБЪЕКТЫ'!FJ111</x:f>
      </x:c>
      <x:c r="FK14" s="117" t="n">
        <x:f>IF(AND(YEAR(FK$3)=YEAR($B$8),MONTH(FK$3)=MONTH($B$8)),SUM('Продажи'!$D$72:'Продажи'!FJ$72),0)+'ОБЪЕКТЫ'!FK111</x:f>
      </x:c>
      <x:c r="FL14" s="117" t="n">
        <x:f>IF(AND(YEAR(FL$3)=YEAR($B$8),MONTH(FL$3)=MONTH($B$8)),SUM('Продажи'!$D$72:'Продажи'!FK$72),0)+'ОБЪЕКТЫ'!FL111</x:f>
      </x:c>
      <x:c r="FM14" s="117" t="n">
        <x:f>IF(AND(YEAR(FM$3)=YEAR($B$8),MONTH(FM$3)=MONTH($B$8)),SUM('Продажи'!$D$72:'Продажи'!FL$72),0)+'ОБЪЕКТЫ'!FM111</x:f>
      </x:c>
      <x:c r="FN14" s="117" t="n">
        <x:f>IF(AND(YEAR(FN$3)=YEAR($B$8),MONTH(FN$3)=MONTH($B$8)),SUM('Продажи'!$D$72:'Продажи'!FM$72),0)+'ОБЪЕКТЫ'!FN111</x:f>
      </x:c>
      <x:c r="FO14" s="117" t="n">
        <x:f>IF(AND(YEAR(FO$3)=YEAR($B$8),MONTH(FO$3)=MONTH($B$8)),SUM('Продажи'!$D$72:'Продажи'!FN$72),0)+'ОБЪЕКТЫ'!FO111</x:f>
      </x:c>
      <x:c r="FP14" s="117" t="n">
        <x:f>IF(AND(YEAR(FP$3)=YEAR($B$8),MONTH(FP$3)=MONTH($B$8)),SUM('Продажи'!$D$72:'Продажи'!FO$72),0)+'ОБЪЕКТЫ'!FP111</x:f>
      </x:c>
      <x:c r="FQ14" s="117" t="n">
        <x:f>IF(AND(YEAR(FQ$3)=YEAR($B$8),MONTH(FQ$3)=MONTH($B$8)),SUM('Продажи'!$D$72:'Продажи'!FP$72),0)+'ОБЪЕКТЫ'!FQ111</x:f>
      </x:c>
      <x:c r="FR14" s="117" t="n">
        <x:f>IF(AND(YEAR(FR$3)=YEAR($B$8),MONTH(FR$3)=MONTH($B$8)),SUM('Продажи'!$D$72:'Продажи'!FQ$72),0)+'ОБЪЕКТЫ'!FR111</x:f>
      </x:c>
      <x:c r="FS14" s="117" t="n">
        <x:f>IF(AND(YEAR(FS$3)=YEAR($B$8),MONTH(FS$3)=MONTH($B$8)),SUM('Продажи'!$D$72:'Продажи'!FR$72),0)+'ОБЪЕКТЫ'!FS111</x:f>
      </x:c>
      <x:c r="FT14" s="117" t="n">
        <x:f>IF(AND(YEAR(FT$3)=YEAR($B$8),MONTH(FT$3)=MONTH($B$8)),SUM('Продажи'!$D$72:'Продажи'!FS$72),0)+'ОБЪЕКТЫ'!FT111</x:f>
      </x:c>
      <x:c r="FU14" s="117" t="n">
        <x:f>IF(AND(YEAR(FU$3)=YEAR($B$8),MONTH(FU$3)=MONTH($B$8)),SUM('Продажи'!$D$72:'Продажи'!FT$72),0)+'ОБЪЕКТЫ'!FU111</x:f>
      </x:c>
      <x:c r="FV14" s="117" t="n">
        <x:f>IF(AND(YEAR(FV$3)=YEAR($B$8),MONTH(FV$3)=MONTH($B$8)),SUM('Продажи'!$D$72:'Продажи'!FU$72),0)+'ОБЪЕКТЫ'!FV111</x:f>
      </x:c>
      <x:c r="FW14" s="117" t="n">
        <x:f>IF(AND(YEAR(FW$3)=YEAR($B$8),MONTH(FW$3)=MONTH($B$8)),SUM('Продажи'!$D$72:'Продажи'!FV$72),0)+'ОБЪЕКТЫ'!FW111</x:f>
      </x:c>
      <x:c r="FX14" s="117" t="n">
        <x:f>IF(AND(YEAR(FX$3)=YEAR($B$8),MONTH(FX$3)=MONTH($B$8)),SUM('Продажи'!$D$72:'Продажи'!FW$72),0)+'ОБЪЕКТЫ'!FX111</x:f>
      </x:c>
      <x:c r="FY14" s="117" t="n">
        <x:f>IF(AND(YEAR(FY$3)=YEAR($B$8),MONTH(FY$3)=MONTH($B$8)),SUM('Продажи'!$D$72:'Продажи'!FX$72),0)+'ОБЪЕКТЫ'!FY111</x:f>
      </x:c>
      <x:c r="FZ14" s="117" t="n">
        <x:f>IF(AND(YEAR(FZ$3)=YEAR($B$8),MONTH(FZ$3)=MONTH($B$8)),SUM('Продажи'!$D$72:'Продажи'!FY$72),0)+'ОБЪЕКТЫ'!FZ111</x:f>
      </x:c>
      <x:c r="GA14" s="117" t="n">
        <x:f>IF(AND(YEAR(GA$3)=YEAR($B$8),MONTH(GA$3)=MONTH($B$8)),SUM('Продажи'!$D$72:'Продажи'!FZ$72),0)+'ОБЪЕКТЫ'!GA111</x:f>
      </x:c>
    </x:row>
    <x:row r="15">
      <x:c r="A15" t="str">
        <x:v>Эскроу на конец</x:v>
      </x:c>
      <x:c r="B15" t="n">
        <x:f>GA15</x:f>
      </x:c>
      <x:c r="C15" t="str">
        <x:v>млн ₽</x:v>
      </x:c>
      <x:c r="D15" s="117" t="n">
        <x:f>MAX(0,D13+D11-D14)</x:f>
      </x:c>
      <x:c r="E15" s="117" t="n">
        <x:f>MAX(0,E13+E11-E14)</x:f>
      </x:c>
      <x:c r="F15" s="117" t="n">
        <x:f>MAX(0,F13+F11-F14)</x:f>
      </x:c>
      <x:c r="G15" s="117" t="n">
        <x:f>MAX(0,G13+G11-G14)</x:f>
      </x:c>
      <x:c r="H15" s="117" t="n">
        <x:f>MAX(0,H13+H11-H14)</x:f>
      </x:c>
      <x:c r="I15" s="117" t="n">
        <x:f>MAX(0,I13+I11-I14)</x:f>
      </x:c>
      <x:c r="J15" s="117" t="n">
        <x:f>MAX(0,J13+J11-J14)</x:f>
      </x:c>
      <x:c r="K15" s="117" t="n">
        <x:f>MAX(0,K13+K11-K14)</x:f>
      </x:c>
      <x:c r="L15" s="117" t="n">
        <x:f>MAX(0,L13+L11-L14)</x:f>
      </x:c>
      <x:c r="M15" s="117" t="n">
        <x:f>MAX(0,M13+M11-M14)</x:f>
      </x:c>
      <x:c r="N15" s="117" t="n">
        <x:f>MAX(0,N13+N11-N14)</x:f>
      </x:c>
      <x:c r="O15" s="117" t="n">
        <x:f>MAX(0,O13+O11-O14)</x:f>
      </x:c>
      <x:c r="P15" s="117" t="n">
        <x:f>MAX(0,P13+P11-P14)</x:f>
      </x:c>
      <x:c r="Q15" s="117" t="n">
        <x:f>MAX(0,Q13+Q11-Q14)</x:f>
      </x:c>
      <x:c r="R15" s="117" t="n">
        <x:f>MAX(0,R13+R11-R14)</x:f>
      </x:c>
      <x:c r="S15" s="117" t="n">
        <x:f>MAX(0,S13+S11-S14)</x:f>
      </x:c>
      <x:c r="T15" s="117" t="n">
        <x:f>MAX(0,T13+T11-T14)</x:f>
      </x:c>
      <x:c r="U15" s="117" t="n">
        <x:f>MAX(0,U13+U11-U14)</x:f>
      </x:c>
      <x:c r="V15" s="117" t="n">
        <x:f>MAX(0,V13+V11-V14)</x:f>
      </x:c>
      <x:c r="W15" s="117" t="n">
        <x:f>MAX(0,W13+W11-W14)</x:f>
      </x:c>
      <x:c r="X15" s="117" t="n">
        <x:f>MAX(0,X13+X11-X14)</x:f>
      </x:c>
      <x:c r="Y15" s="117" t="n">
        <x:f>MAX(0,Y13+Y11-Y14)</x:f>
      </x:c>
      <x:c r="Z15" s="117" t="n">
        <x:f>MAX(0,Z13+Z11-Z14)</x:f>
      </x:c>
      <x:c r="AA15" s="117" t="n">
        <x:f>MAX(0,AA13+AA11-AA14)</x:f>
      </x:c>
      <x:c r="AB15" s="117" t="n">
        <x:f>MAX(0,AB13+AB11-AB14)</x:f>
      </x:c>
      <x:c r="AC15" s="117" t="n">
        <x:f>MAX(0,AC13+AC11-AC14)</x:f>
      </x:c>
      <x:c r="AD15" s="117" t="n">
        <x:f>MAX(0,AD13+AD11-AD14)</x:f>
      </x:c>
      <x:c r="AE15" s="117" t="n">
        <x:f>MAX(0,AE13+AE11-AE14)</x:f>
      </x:c>
      <x:c r="AF15" s="117" t="n">
        <x:f>MAX(0,AF13+AF11-AF14)</x:f>
      </x:c>
      <x:c r="AG15" s="117" t="n">
        <x:f>MAX(0,AG13+AG11-AG14)</x:f>
      </x:c>
      <x:c r="AH15" s="117" t="n">
        <x:f>MAX(0,AH13+AH11-AH14)</x:f>
      </x:c>
      <x:c r="AI15" s="117" t="n">
        <x:f>MAX(0,AI13+AI11-AI14)</x:f>
      </x:c>
      <x:c r="AJ15" s="117" t="n">
        <x:f>MAX(0,AJ13+AJ11-AJ14)</x:f>
      </x:c>
      <x:c r="AK15" s="117" t="n">
        <x:f>MAX(0,AK13+AK11-AK14)</x:f>
      </x:c>
      <x:c r="AL15" s="117" t="n">
        <x:f>MAX(0,AL13+AL11-AL14)</x:f>
      </x:c>
      <x:c r="AM15" s="117" t="n">
        <x:f>MAX(0,AM13+AM11-AM14)</x:f>
      </x:c>
      <x:c r="AN15" s="117" t="n">
        <x:f>MAX(0,AN13+AN11-AN14)</x:f>
      </x:c>
      <x:c r="AO15" s="117" t="n">
        <x:f>MAX(0,AO13+AO11-AO14)</x:f>
      </x:c>
      <x:c r="AP15" s="117" t="n">
        <x:f>MAX(0,AP13+AP11-AP14)</x:f>
      </x:c>
      <x:c r="AQ15" s="117" t="n">
        <x:f>MAX(0,AQ13+AQ11-AQ14)</x:f>
      </x:c>
      <x:c r="AR15" s="117" t="n">
        <x:f>MAX(0,AR13+AR11-AR14)</x:f>
      </x:c>
      <x:c r="AS15" s="117" t="n">
        <x:f>MAX(0,AS13+AS11-AS14)</x:f>
      </x:c>
      <x:c r="AT15" s="117" t="n">
        <x:f>MAX(0,AT13+AT11-AT14)</x:f>
      </x:c>
      <x:c r="AU15" s="117" t="n">
        <x:f>MAX(0,AU13+AU11-AU14)</x:f>
      </x:c>
      <x:c r="AV15" s="117" t="n">
        <x:f>MAX(0,AV13+AV11-AV14)</x:f>
      </x:c>
      <x:c r="AW15" s="117" t="n">
        <x:f>MAX(0,AW13+AW11-AW14)</x:f>
      </x:c>
      <x:c r="AX15" s="117" t="n">
        <x:f>MAX(0,AX13+AX11-AX14)</x:f>
      </x:c>
      <x:c r="AY15" s="117" t="n">
        <x:f>MAX(0,AY13+AY11-AY14)</x:f>
      </x:c>
      <x:c r="AZ15" s="117" t="n">
        <x:f>MAX(0,AZ13+AZ11-AZ14)</x:f>
      </x:c>
      <x:c r="BA15" s="117" t="n">
        <x:f>MAX(0,BA13+BA11-BA14)</x:f>
      </x:c>
      <x:c r="BB15" s="117" t="n">
        <x:f>MAX(0,BB13+BB11-BB14)</x:f>
      </x:c>
      <x:c r="BC15" s="117" t="n">
        <x:f>MAX(0,BC13+BC11-BC14)</x:f>
      </x:c>
      <x:c r="BD15" s="117" t="n">
        <x:f>MAX(0,BD13+BD11-BD14)</x:f>
      </x:c>
      <x:c r="BE15" s="117" t="n">
        <x:f>MAX(0,BE13+BE11-BE14)</x:f>
      </x:c>
      <x:c r="BF15" s="117" t="n">
        <x:f>MAX(0,BF13+BF11-BF14)</x:f>
      </x:c>
      <x:c r="BG15" s="117" t="n">
        <x:f>MAX(0,BG13+BG11-BG14)</x:f>
      </x:c>
      <x:c r="BH15" s="117" t="n">
        <x:f>MAX(0,BH13+BH11-BH14)</x:f>
      </x:c>
      <x:c r="BI15" s="117" t="n">
        <x:f>MAX(0,BI13+BI11-BI14)</x:f>
      </x:c>
      <x:c r="BJ15" s="117" t="n">
        <x:f>MAX(0,BJ13+BJ11-BJ14)</x:f>
      </x:c>
      <x:c r="BK15" s="117" t="n">
        <x:f>MAX(0,BK13+BK11-BK14)</x:f>
      </x:c>
      <x:c r="BL15" s="117" t="n">
        <x:f>MAX(0,BL13+BL11-BL14)</x:f>
      </x:c>
      <x:c r="BM15" s="117" t="n">
        <x:f>MAX(0,BM13+BM11-BM14)</x:f>
      </x:c>
      <x:c r="BN15" s="117" t="n">
        <x:f>MAX(0,BN13+BN11-BN14)</x:f>
      </x:c>
      <x:c r="BO15" s="117" t="n">
        <x:f>MAX(0,BO13+BO11-BO14)</x:f>
      </x:c>
      <x:c r="BP15" s="117" t="n">
        <x:f>MAX(0,BP13+BP11-BP14)</x:f>
      </x:c>
      <x:c r="BQ15" s="117" t="n">
        <x:f>MAX(0,BQ13+BQ11-BQ14)</x:f>
      </x:c>
      <x:c r="BR15" s="117" t="n">
        <x:f>MAX(0,BR13+BR11-BR14)</x:f>
      </x:c>
      <x:c r="BS15" s="117" t="n">
        <x:f>MAX(0,BS13+BS11-BS14)</x:f>
      </x:c>
      <x:c r="BT15" s="117" t="n">
        <x:f>MAX(0,BT13+BT11-BT14)</x:f>
      </x:c>
      <x:c r="BU15" s="117" t="n">
        <x:f>MAX(0,BU13+BU11-BU14)</x:f>
      </x:c>
      <x:c r="BV15" s="117" t="n">
        <x:f>MAX(0,BV13+BV11-BV14)</x:f>
      </x:c>
      <x:c r="BW15" s="117" t="n">
        <x:f>MAX(0,BW13+BW11-BW14)</x:f>
      </x:c>
      <x:c r="BX15" s="117" t="n">
        <x:f>MAX(0,BX13+BX11-BX14)</x:f>
      </x:c>
      <x:c r="BY15" s="117" t="n">
        <x:f>MAX(0,BY13+BY11-BY14)</x:f>
      </x:c>
      <x:c r="BZ15" s="117" t="n">
        <x:f>MAX(0,BZ13+BZ11-BZ14)</x:f>
      </x:c>
      <x:c r="CA15" s="117" t="n">
        <x:f>MAX(0,CA13+CA11-CA14)</x:f>
      </x:c>
      <x:c r="CB15" s="117" t="n">
        <x:f>MAX(0,CB13+CB11-CB14)</x:f>
      </x:c>
      <x:c r="CC15" s="117" t="n">
        <x:f>MAX(0,CC13+CC11-CC14)</x:f>
      </x:c>
      <x:c r="CD15" s="117" t="n">
        <x:f>MAX(0,CD13+CD11-CD14)</x:f>
      </x:c>
      <x:c r="CE15" s="117" t="n">
        <x:f>MAX(0,CE13+CE11-CE14)</x:f>
      </x:c>
      <x:c r="CF15" s="117" t="n">
        <x:f>MAX(0,CF13+CF11-CF14)</x:f>
      </x:c>
      <x:c r="CG15" s="117" t="n">
        <x:f>MAX(0,CG13+CG11-CG14)</x:f>
      </x:c>
      <x:c r="CH15" s="117" t="n">
        <x:f>MAX(0,CH13+CH11-CH14)</x:f>
      </x:c>
      <x:c r="CI15" s="117" t="n">
        <x:f>MAX(0,CI13+CI11-CI14)</x:f>
      </x:c>
      <x:c r="CJ15" s="117" t="n">
        <x:f>MAX(0,CJ13+CJ11-CJ14)</x:f>
      </x:c>
      <x:c r="CK15" s="117" t="n">
        <x:f>MAX(0,CK13+CK11-CK14)</x:f>
      </x:c>
      <x:c r="CL15" s="117" t="n">
        <x:f>MAX(0,CL13+CL11-CL14)</x:f>
      </x:c>
      <x:c r="CM15" s="117" t="n">
        <x:f>MAX(0,CM13+CM11-CM14)</x:f>
      </x:c>
      <x:c r="CN15" s="117" t="n">
        <x:f>MAX(0,CN13+CN11-CN14)</x:f>
      </x:c>
      <x:c r="CO15" s="117" t="n">
        <x:f>MAX(0,CO13+CO11-CO14)</x:f>
      </x:c>
      <x:c r="CP15" s="117" t="n">
        <x:f>MAX(0,CP13+CP11-CP14)</x:f>
      </x:c>
      <x:c r="CQ15" s="117" t="n">
        <x:f>MAX(0,CQ13+CQ11-CQ14)</x:f>
      </x:c>
      <x:c r="CR15" s="117" t="n">
        <x:f>MAX(0,CR13+CR11-CR14)</x:f>
      </x:c>
      <x:c r="CS15" s="117" t="n">
        <x:f>MAX(0,CS13+CS11-CS14)</x:f>
      </x:c>
      <x:c r="CT15" s="117" t="n">
        <x:f>MAX(0,CT13+CT11-CT14)</x:f>
      </x:c>
      <x:c r="CU15" s="117" t="n">
        <x:f>MAX(0,CU13+CU11-CU14)</x:f>
      </x:c>
      <x:c r="CV15" s="117" t="n">
        <x:f>MAX(0,CV13+CV11-CV14)</x:f>
      </x:c>
      <x:c r="CW15" s="117" t="n">
        <x:f>MAX(0,CW13+CW11-CW14)</x:f>
      </x:c>
      <x:c r="CX15" s="117" t="n">
        <x:f>MAX(0,CX13+CX11-CX14)</x:f>
      </x:c>
      <x:c r="CY15" s="117" t="n">
        <x:f>MAX(0,CY13+CY11-CY14)</x:f>
      </x:c>
      <x:c r="CZ15" s="117" t="n">
        <x:f>MAX(0,CZ13+CZ11-CZ14)</x:f>
      </x:c>
      <x:c r="DA15" s="117" t="n">
        <x:f>MAX(0,DA13+DA11-DA14)</x:f>
      </x:c>
      <x:c r="DB15" s="117" t="n">
        <x:f>MAX(0,DB13+DB11-DB14)</x:f>
      </x:c>
      <x:c r="DC15" s="117" t="n">
        <x:f>MAX(0,DC13+DC11-DC14)</x:f>
      </x:c>
      <x:c r="DD15" s="117" t="n">
        <x:f>MAX(0,DD13+DD11-DD14)</x:f>
      </x:c>
      <x:c r="DE15" s="117" t="n">
        <x:f>MAX(0,DE13+DE11-DE14)</x:f>
      </x:c>
      <x:c r="DF15" s="117" t="n">
        <x:f>MAX(0,DF13+DF11-DF14)</x:f>
      </x:c>
      <x:c r="DG15" s="117" t="n">
        <x:f>MAX(0,DG13+DG11-DG14)</x:f>
      </x:c>
      <x:c r="DH15" s="117" t="n">
        <x:f>MAX(0,DH13+DH11-DH14)</x:f>
      </x:c>
      <x:c r="DI15" s="117" t="n">
        <x:f>MAX(0,DI13+DI11-DI14)</x:f>
      </x:c>
      <x:c r="DJ15" s="117" t="n">
        <x:f>MAX(0,DJ13+DJ11-DJ14)</x:f>
      </x:c>
      <x:c r="DK15" s="117" t="n">
        <x:f>MAX(0,DK13+DK11-DK14)</x:f>
      </x:c>
      <x:c r="DL15" s="117" t="n">
        <x:f>MAX(0,DL13+DL11-DL14)</x:f>
      </x:c>
      <x:c r="DM15" s="117" t="n">
        <x:f>MAX(0,DM13+DM11-DM14)</x:f>
      </x:c>
      <x:c r="DN15" s="117" t="n">
        <x:f>MAX(0,DN13+DN11-DN14)</x:f>
      </x:c>
      <x:c r="DO15" s="117" t="n">
        <x:f>MAX(0,DO13+DO11-DO14)</x:f>
      </x:c>
      <x:c r="DP15" s="117" t="n">
        <x:f>MAX(0,DP13+DP11-DP14)</x:f>
      </x:c>
      <x:c r="DQ15" s="117" t="n">
        <x:f>MAX(0,DQ13+DQ11-DQ14)</x:f>
      </x:c>
      <x:c r="DR15" s="117" t="n">
        <x:f>MAX(0,DR13+DR11-DR14)</x:f>
      </x:c>
      <x:c r="DS15" s="117" t="n">
        <x:f>MAX(0,DS13+DS11-DS14)</x:f>
      </x:c>
      <x:c r="DT15" s="117" t="n">
        <x:f>MAX(0,DT13+DT11-DT14)</x:f>
      </x:c>
      <x:c r="DU15" s="117" t="n">
        <x:f>MAX(0,DU13+DU11-DU14)</x:f>
      </x:c>
      <x:c r="DV15" s="117" t="n">
        <x:f>MAX(0,DV13+DV11-DV14)</x:f>
      </x:c>
      <x:c r="DW15" s="117" t="n">
        <x:f>MAX(0,DW13+DW11-DW14)</x:f>
      </x:c>
      <x:c r="DX15" s="117" t="n">
        <x:f>MAX(0,DX13+DX11-DX14)</x:f>
      </x:c>
      <x:c r="DY15" s="117" t="n">
        <x:f>MAX(0,DY13+DY11-DY14)</x:f>
      </x:c>
      <x:c r="DZ15" s="117" t="n">
        <x:f>MAX(0,DZ13+DZ11-DZ14)</x:f>
      </x:c>
      <x:c r="EA15" s="117" t="n">
        <x:f>MAX(0,EA13+EA11-EA14)</x:f>
      </x:c>
      <x:c r="EB15" s="117" t="n">
        <x:f>MAX(0,EB13+EB11-EB14)</x:f>
      </x:c>
      <x:c r="EC15" s="117" t="n">
        <x:f>MAX(0,EC13+EC11-EC14)</x:f>
      </x:c>
      <x:c r="ED15" s="117" t="n">
        <x:f>MAX(0,ED13+ED11-ED14)</x:f>
      </x:c>
      <x:c r="EE15" s="117" t="n">
        <x:f>MAX(0,EE13+EE11-EE14)</x:f>
      </x:c>
      <x:c r="EF15" s="117" t="n">
        <x:f>MAX(0,EF13+EF11-EF14)</x:f>
      </x:c>
      <x:c r="EG15" s="117" t="n">
        <x:f>MAX(0,EG13+EG11-EG14)</x:f>
      </x:c>
      <x:c r="EH15" s="117" t="n">
        <x:f>MAX(0,EH13+EH11-EH14)</x:f>
      </x:c>
      <x:c r="EI15" s="117" t="n">
        <x:f>MAX(0,EI13+EI11-EI14)</x:f>
      </x:c>
      <x:c r="EJ15" s="117" t="n">
        <x:f>MAX(0,EJ13+EJ11-EJ14)</x:f>
      </x:c>
      <x:c r="EK15" s="117" t="n">
        <x:f>MAX(0,EK13+EK11-EK14)</x:f>
      </x:c>
      <x:c r="EL15" s="117" t="n">
        <x:f>MAX(0,EL13+EL11-EL14)</x:f>
      </x:c>
      <x:c r="EM15" s="117" t="n">
        <x:f>MAX(0,EM13+EM11-EM14)</x:f>
      </x:c>
      <x:c r="EN15" s="117" t="n">
        <x:f>MAX(0,EN13+EN11-EN14)</x:f>
      </x:c>
      <x:c r="EO15" s="117" t="n">
        <x:f>MAX(0,EO13+EO11-EO14)</x:f>
      </x:c>
      <x:c r="EP15" s="117" t="n">
        <x:f>MAX(0,EP13+EP11-EP14)</x:f>
      </x:c>
      <x:c r="EQ15" s="117" t="n">
        <x:f>MAX(0,EQ13+EQ11-EQ14)</x:f>
      </x:c>
      <x:c r="ER15" s="117" t="n">
        <x:f>MAX(0,ER13+ER11-ER14)</x:f>
      </x:c>
      <x:c r="ES15" s="117" t="n">
        <x:f>MAX(0,ES13+ES11-ES14)</x:f>
      </x:c>
      <x:c r="ET15" s="117" t="n">
        <x:f>MAX(0,ET13+ET11-ET14)</x:f>
      </x:c>
      <x:c r="EU15" s="117" t="n">
        <x:f>MAX(0,EU13+EU11-EU14)</x:f>
      </x:c>
      <x:c r="EV15" s="117" t="n">
        <x:f>MAX(0,EV13+EV11-EV14)</x:f>
      </x:c>
      <x:c r="EW15" s="117" t="n">
        <x:f>MAX(0,EW13+EW11-EW14)</x:f>
      </x:c>
      <x:c r="EX15" s="117" t="n">
        <x:f>MAX(0,EX13+EX11-EX14)</x:f>
      </x:c>
      <x:c r="EY15" s="117" t="n">
        <x:f>MAX(0,EY13+EY11-EY14)</x:f>
      </x:c>
      <x:c r="EZ15" s="117" t="n">
        <x:f>MAX(0,EZ13+EZ11-EZ14)</x:f>
      </x:c>
      <x:c r="FA15" s="117" t="n">
        <x:f>MAX(0,FA13+FA11-FA14)</x:f>
      </x:c>
      <x:c r="FB15" s="117" t="n">
        <x:f>MAX(0,FB13+FB11-FB14)</x:f>
      </x:c>
      <x:c r="FC15" s="117" t="n">
        <x:f>MAX(0,FC13+FC11-FC14)</x:f>
      </x:c>
      <x:c r="FD15" s="117" t="n">
        <x:f>MAX(0,FD13+FD11-FD14)</x:f>
      </x:c>
      <x:c r="FE15" s="117" t="n">
        <x:f>MAX(0,FE13+FE11-FE14)</x:f>
      </x:c>
      <x:c r="FF15" s="117" t="n">
        <x:f>MAX(0,FF13+FF11-FF14)</x:f>
      </x:c>
      <x:c r="FG15" s="117" t="n">
        <x:f>MAX(0,FG13+FG11-FG14)</x:f>
      </x:c>
      <x:c r="FH15" s="117" t="n">
        <x:f>MAX(0,FH13+FH11-FH14)</x:f>
      </x:c>
      <x:c r="FI15" s="117" t="n">
        <x:f>MAX(0,FI13+FI11-FI14)</x:f>
      </x:c>
      <x:c r="FJ15" s="117" t="n">
        <x:f>MAX(0,FJ13+FJ11-FJ14)</x:f>
      </x:c>
      <x:c r="FK15" s="117" t="n">
        <x:f>MAX(0,FK13+FK11-FK14)</x:f>
      </x:c>
      <x:c r="FL15" s="117" t="n">
        <x:f>MAX(0,FL13+FL11-FL14)</x:f>
      </x:c>
      <x:c r="FM15" s="117" t="n">
        <x:f>MAX(0,FM13+FM11-FM14)</x:f>
      </x:c>
      <x:c r="FN15" s="117" t="n">
        <x:f>MAX(0,FN13+FN11-FN14)</x:f>
      </x:c>
      <x:c r="FO15" s="117" t="n">
        <x:f>MAX(0,FO13+FO11-FO14)</x:f>
      </x:c>
      <x:c r="FP15" s="117" t="n">
        <x:f>MAX(0,FP13+FP11-FP14)</x:f>
      </x:c>
      <x:c r="FQ15" s="117" t="n">
        <x:f>MAX(0,FQ13+FQ11-FQ14)</x:f>
      </x:c>
      <x:c r="FR15" s="117" t="n">
        <x:f>MAX(0,FR13+FR11-FR14)</x:f>
      </x:c>
      <x:c r="FS15" s="117" t="n">
        <x:f>MAX(0,FS13+FS11-FS14)</x:f>
      </x:c>
      <x:c r="FT15" s="117" t="n">
        <x:f>MAX(0,FT13+FT11-FT14)</x:f>
      </x:c>
      <x:c r="FU15" s="117" t="n">
        <x:f>MAX(0,FU13+FU11-FU14)</x:f>
      </x:c>
      <x:c r="FV15" s="117" t="n">
        <x:f>MAX(0,FV13+FV11-FV14)</x:f>
      </x:c>
      <x:c r="FW15" s="117" t="n">
        <x:f>MAX(0,FW13+FW11-FW14)</x:f>
      </x:c>
      <x:c r="FX15" s="117" t="n">
        <x:f>MAX(0,FX13+FX11-FX14)</x:f>
      </x:c>
      <x:c r="FY15" s="117" t="n">
        <x:f>MAX(0,FY13+FY11-FY14)</x:f>
      </x:c>
      <x:c r="FZ15" s="117" t="n">
        <x:f>MAX(0,FZ13+FZ11-FZ14)</x:f>
      </x:c>
      <x:c r="GA15" s="117" t="n">
        <x:f>MAX(0,GA13+GA11-GA14)</x:f>
      </x:c>
    </x:row>
    <x:row r="16">
      <x:c r="A16"/>
      <x:c r="B16"/>
      <x:c r="C16"/>
      <x:c r="D16" s="117"/>
      <x:c r="E16" s="117"/>
      <x:c r="F16" s="117"/>
      <x:c r="G16" s="117"/>
      <x:c r="H16" s="117"/>
      <x:c r="I16" s="117"/>
      <x:c r="J16" s="117"/>
      <x:c r="K16" s="117"/>
      <x:c r="L16" s="117"/>
      <x:c r="M16" s="117"/>
      <x:c r="N16" s="117"/>
      <x:c r="O16" s="117"/>
      <x:c r="P16" s="117"/>
      <x:c r="Q16" s="117"/>
      <x:c r="R16" s="117"/>
      <x:c r="S16" s="117"/>
      <x:c r="T16" s="117"/>
      <x:c r="U16" s="117"/>
      <x:c r="V16" s="117"/>
      <x:c r="W16" s="117"/>
      <x:c r="X16" s="117"/>
      <x:c r="Y16" s="117"/>
      <x:c r="Z16" s="117"/>
      <x:c r="AA16" s="117"/>
      <x:c r="AB16" s="117"/>
      <x:c r="AC16" s="117"/>
      <x:c r="AD16" s="117"/>
      <x:c r="AE16" s="117"/>
      <x:c r="AF16" s="117"/>
      <x:c r="AG16" s="117"/>
      <x:c r="AH16" s="117"/>
      <x:c r="AI16" s="117"/>
      <x:c r="AJ16" s="117"/>
      <x:c r="AK16" s="117"/>
      <x:c r="AL16" s="117"/>
      <x:c r="AM16" s="117"/>
      <x:c r="AN16" s="117"/>
      <x:c r="AO16" s="117"/>
      <x:c r="AP16" s="117"/>
      <x:c r="AQ16" s="117"/>
      <x:c r="AR16" s="117"/>
      <x:c r="AS16" s="117"/>
      <x:c r="AT16" s="117"/>
      <x:c r="AU16" s="117"/>
      <x:c r="AV16" s="117"/>
      <x:c r="AW16" s="117"/>
      <x:c r="AX16" s="117"/>
      <x:c r="AY16" s="117"/>
      <x:c r="AZ16" s="117"/>
      <x:c r="BA16" s="117"/>
      <x:c r="BB16" s="117"/>
      <x:c r="BC16" s="117"/>
      <x:c r="BD16" s="117"/>
      <x:c r="BE16" s="117"/>
      <x:c r="BF16" s="117"/>
      <x:c r="BG16" s="117"/>
      <x:c r="BH16" s="117"/>
      <x:c r="BI16" s="117"/>
      <x:c r="BJ16" s="117"/>
      <x:c r="BK16" s="117"/>
      <x:c r="BL16" s="117"/>
      <x:c r="BM16" s="117"/>
      <x:c r="BN16" s="117"/>
      <x:c r="BO16" s="117"/>
      <x:c r="BP16" s="117"/>
      <x:c r="BQ16" s="117"/>
      <x:c r="BR16" s="117"/>
      <x:c r="BS16" s="117"/>
      <x:c r="BT16" s="117"/>
      <x:c r="BU16" s="117"/>
      <x:c r="BV16" s="117"/>
      <x:c r="BW16" s="117"/>
      <x:c r="BX16" s="117"/>
      <x:c r="BY16" s="117"/>
      <x:c r="BZ16" s="117"/>
      <x:c r="CA16" s="117"/>
      <x:c r="CB16" s="117"/>
      <x:c r="CC16" s="117"/>
      <x:c r="CD16" s="117"/>
      <x:c r="CE16" s="117"/>
      <x:c r="CF16" s="117"/>
      <x:c r="CG16" s="117"/>
      <x:c r="CH16" s="117"/>
      <x:c r="CI16" s="117"/>
      <x:c r="CJ16" s="117"/>
      <x:c r="CK16" s="117"/>
      <x:c r="CL16" s="117"/>
      <x:c r="CM16" s="117"/>
      <x:c r="CN16" s="117"/>
      <x:c r="CO16" s="117"/>
      <x:c r="CP16" s="117"/>
      <x:c r="CQ16" s="117"/>
      <x:c r="CR16" s="117"/>
      <x:c r="CS16" s="117"/>
      <x:c r="CT16" s="117"/>
      <x:c r="CU16" s="117"/>
      <x:c r="CV16" s="117"/>
      <x:c r="CW16" s="117"/>
      <x:c r="CX16" s="117"/>
      <x:c r="CY16" s="117"/>
      <x:c r="CZ16" s="117"/>
      <x:c r="DA16" s="117"/>
      <x:c r="DB16" s="117"/>
      <x:c r="DC16" s="117"/>
      <x:c r="DD16" s="117"/>
      <x:c r="DE16" s="117"/>
      <x:c r="DF16" s="117"/>
      <x:c r="DG16" s="117"/>
      <x:c r="DH16" s="117"/>
      <x:c r="DI16" s="117"/>
      <x:c r="DJ16" s="117"/>
      <x:c r="DK16" s="117"/>
      <x:c r="DL16" s="117"/>
      <x:c r="DM16" s="117"/>
      <x:c r="DN16" s="117"/>
      <x:c r="DO16" s="117"/>
      <x:c r="DP16" s="117"/>
      <x:c r="DQ16" s="117"/>
      <x:c r="DR16" s="117"/>
      <x:c r="DS16" s="117"/>
      <x:c r="DT16" s="117"/>
      <x:c r="DU16" s="117"/>
      <x:c r="DV16" s="117"/>
      <x:c r="DW16" s="117"/>
      <x:c r="DX16" s="117"/>
      <x:c r="DY16" s="117"/>
      <x:c r="DZ16" s="117"/>
      <x:c r="EA16" s="117"/>
      <x:c r="EB16" s="117"/>
      <x:c r="EC16" s="117"/>
      <x:c r="ED16" s="117"/>
      <x:c r="EE16" s="117"/>
      <x:c r="EF16" s="117"/>
      <x:c r="EG16" s="117"/>
      <x:c r="EH16" s="117"/>
      <x:c r="EI16" s="117"/>
      <x:c r="EJ16" s="117"/>
      <x:c r="EK16" s="117"/>
      <x:c r="EL16" s="117"/>
      <x:c r="EM16" s="117"/>
      <x:c r="EN16" s="117"/>
      <x:c r="EO16" s="117"/>
      <x:c r="EP16" s="117"/>
      <x:c r="EQ16" s="117"/>
      <x:c r="ER16" s="117"/>
      <x:c r="ES16" s="117"/>
      <x:c r="ET16" s="117"/>
      <x:c r="EU16" s="117"/>
      <x:c r="EV16" s="117"/>
      <x:c r="EW16" s="117"/>
      <x:c r="EX16" s="117"/>
      <x:c r="EY16" s="117"/>
      <x:c r="EZ16" s="117"/>
      <x:c r="FA16" s="117"/>
      <x:c r="FB16" s="117"/>
      <x:c r="FC16" s="117"/>
      <x:c r="FD16" s="117"/>
      <x:c r="FE16" s="117"/>
      <x:c r="FF16" s="117"/>
      <x:c r="FG16" s="117"/>
      <x:c r="FH16" s="117"/>
      <x:c r="FI16" s="117"/>
      <x:c r="FJ16" s="117"/>
      <x:c r="FK16" s="117"/>
      <x:c r="FL16" s="117"/>
      <x:c r="FM16" s="117"/>
      <x:c r="FN16" s="117"/>
      <x:c r="FO16" s="117"/>
      <x:c r="FP16" s="117"/>
      <x:c r="FQ16" s="117"/>
      <x:c r="FR16" s="117"/>
      <x:c r="FS16" s="117"/>
      <x:c r="FT16" s="117"/>
      <x:c r="FU16" s="117"/>
      <x:c r="FV16" s="117"/>
      <x:c r="FW16" s="117"/>
      <x:c r="FX16" s="117"/>
      <x:c r="FY16" s="117"/>
      <x:c r="FZ16" s="117"/>
      <x:c r="GA16" s="117"/>
    </x:row>
    <x:row r="17">
      <x:c r="A17" t="str">
        <x:v>CAPEX</x:v>
      </x:c>
      <x:c r="B17" t="n">
        <x:f>SUM(D17:GA17)</x:f>
      </x:c>
      <x:c r="C17" t="str">
        <x:v>млн ₽</x:v>
      </x:c>
      <x:c r="D17" s="117" t="n">
        <x:f>'CAPEX'!D100</x:f>
      </x:c>
      <x:c r="E17" s="117" t="n">
        <x:f>'CAPEX'!E100</x:f>
      </x:c>
      <x:c r="F17" s="117" t="n">
        <x:f>'CAPEX'!F100</x:f>
      </x:c>
      <x:c r="G17" s="117" t="n">
        <x:f>'CAPEX'!G100</x:f>
      </x:c>
      <x:c r="H17" s="117" t="n">
        <x:f>'CAPEX'!H100</x:f>
      </x:c>
      <x:c r="I17" s="117" t="n">
        <x:f>'CAPEX'!I100</x:f>
      </x:c>
      <x:c r="J17" s="117" t="n">
        <x:f>'CAPEX'!J100</x:f>
      </x:c>
      <x:c r="K17" s="117" t="n">
        <x:f>'CAPEX'!K100</x:f>
      </x:c>
      <x:c r="L17" s="117" t="n">
        <x:f>'CAPEX'!L100</x:f>
      </x:c>
      <x:c r="M17" s="117" t="n">
        <x:f>'CAPEX'!M100</x:f>
      </x:c>
      <x:c r="N17" s="117" t="n">
        <x:f>'CAPEX'!N100</x:f>
      </x:c>
      <x:c r="O17" s="117" t="n">
        <x:f>'CAPEX'!O100</x:f>
      </x:c>
      <x:c r="P17" s="117" t="n">
        <x:f>'CAPEX'!P100</x:f>
      </x:c>
      <x:c r="Q17" s="117" t="n">
        <x:f>'CAPEX'!Q100</x:f>
      </x:c>
      <x:c r="R17" s="117" t="n">
        <x:f>'CAPEX'!R100</x:f>
      </x:c>
      <x:c r="S17" s="117" t="n">
        <x:f>'CAPEX'!S100</x:f>
      </x:c>
      <x:c r="T17" s="117" t="n">
        <x:f>'CAPEX'!T100</x:f>
      </x:c>
      <x:c r="U17" s="117" t="n">
        <x:f>'CAPEX'!U100</x:f>
      </x:c>
      <x:c r="V17" s="117" t="n">
        <x:f>'CAPEX'!V100</x:f>
      </x:c>
      <x:c r="W17" s="117" t="n">
        <x:f>'CAPEX'!W100</x:f>
      </x:c>
      <x:c r="X17" s="117" t="n">
        <x:f>'CAPEX'!X100</x:f>
      </x:c>
      <x:c r="Y17" s="117" t="n">
        <x:f>'CAPEX'!Y100</x:f>
      </x:c>
      <x:c r="Z17" s="117" t="n">
        <x:f>'CAPEX'!Z100</x:f>
      </x:c>
      <x:c r="AA17" s="117" t="n">
        <x:f>'CAPEX'!AA100</x:f>
      </x:c>
      <x:c r="AB17" s="117" t="n">
        <x:f>'CAPEX'!AB100</x:f>
      </x:c>
      <x:c r="AC17" s="117" t="n">
        <x:f>'CAPEX'!AC100</x:f>
      </x:c>
      <x:c r="AD17" s="117" t="n">
        <x:f>'CAPEX'!AD100</x:f>
      </x:c>
      <x:c r="AE17" s="117" t="n">
        <x:f>'CAPEX'!AE100</x:f>
      </x:c>
      <x:c r="AF17" s="117" t="n">
        <x:f>'CAPEX'!AF100</x:f>
      </x:c>
      <x:c r="AG17" s="117" t="n">
        <x:f>'CAPEX'!AG100</x:f>
      </x:c>
      <x:c r="AH17" s="117" t="n">
        <x:f>'CAPEX'!AH100</x:f>
      </x:c>
      <x:c r="AI17" s="117" t="n">
        <x:f>'CAPEX'!AI100</x:f>
      </x:c>
      <x:c r="AJ17" s="117" t="n">
        <x:f>'CAPEX'!AJ100</x:f>
      </x:c>
      <x:c r="AK17" s="117" t="n">
        <x:f>'CAPEX'!AK100</x:f>
      </x:c>
      <x:c r="AL17" s="117" t="n">
        <x:f>'CAPEX'!AL100</x:f>
      </x:c>
      <x:c r="AM17" s="117" t="n">
        <x:f>'CAPEX'!AM100</x:f>
      </x:c>
      <x:c r="AN17" s="117" t="n">
        <x:f>'CAPEX'!AN100</x:f>
      </x:c>
      <x:c r="AO17" s="117" t="n">
        <x:f>'CAPEX'!AO100</x:f>
      </x:c>
      <x:c r="AP17" s="117" t="n">
        <x:f>'CAPEX'!AP100</x:f>
      </x:c>
      <x:c r="AQ17" s="117" t="n">
        <x:f>'CAPEX'!AQ100</x:f>
      </x:c>
      <x:c r="AR17" s="117" t="n">
        <x:f>'CAPEX'!AR100</x:f>
      </x:c>
      <x:c r="AS17" s="117" t="n">
        <x:f>'CAPEX'!AS100</x:f>
      </x:c>
      <x:c r="AT17" s="117" t="n">
        <x:f>'CAPEX'!AT100</x:f>
      </x:c>
      <x:c r="AU17" s="117" t="n">
        <x:f>'CAPEX'!AU100</x:f>
      </x:c>
      <x:c r="AV17" s="117" t="n">
        <x:f>'CAPEX'!AV100</x:f>
      </x:c>
      <x:c r="AW17" s="117" t="n">
        <x:f>'CAPEX'!AW100</x:f>
      </x:c>
      <x:c r="AX17" s="117" t="n">
        <x:f>'CAPEX'!AX100</x:f>
      </x:c>
      <x:c r="AY17" s="117" t="n">
        <x:f>'CAPEX'!AY100</x:f>
      </x:c>
      <x:c r="AZ17" s="117" t="n">
        <x:f>'CAPEX'!AZ100</x:f>
      </x:c>
      <x:c r="BA17" s="117" t="n">
        <x:f>'CAPEX'!BA100</x:f>
      </x:c>
      <x:c r="BB17" s="117" t="n">
        <x:f>'CAPEX'!BB100</x:f>
      </x:c>
      <x:c r="BC17" s="117" t="n">
        <x:f>'CAPEX'!BC100</x:f>
      </x:c>
      <x:c r="BD17" s="117" t="n">
        <x:f>'CAPEX'!BD100</x:f>
      </x:c>
      <x:c r="BE17" s="117" t="n">
        <x:f>'CAPEX'!BE100</x:f>
      </x:c>
      <x:c r="BF17" s="117" t="n">
        <x:f>'CAPEX'!BF100</x:f>
      </x:c>
      <x:c r="BG17" s="117" t="n">
        <x:f>'CAPEX'!BG100</x:f>
      </x:c>
      <x:c r="BH17" s="117" t="n">
        <x:f>'CAPEX'!BH100</x:f>
      </x:c>
      <x:c r="BI17" s="117" t="n">
        <x:f>'CAPEX'!BI100</x:f>
      </x:c>
      <x:c r="BJ17" s="117" t="n">
        <x:f>'CAPEX'!BJ100</x:f>
      </x:c>
      <x:c r="BK17" s="117" t="n">
        <x:f>'CAPEX'!BK100</x:f>
      </x:c>
      <x:c r="BL17" s="117" t="n">
        <x:f>'CAPEX'!BL100</x:f>
      </x:c>
      <x:c r="BM17" s="117" t="n">
        <x:f>'CAPEX'!BM100</x:f>
      </x:c>
      <x:c r="BN17" s="117" t="n">
        <x:f>'CAPEX'!BN100</x:f>
      </x:c>
      <x:c r="BO17" s="117" t="n">
        <x:f>'CAPEX'!BO100</x:f>
      </x:c>
      <x:c r="BP17" s="117" t="n">
        <x:f>'CAPEX'!BP100</x:f>
      </x:c>
      <x:c r="BQ17" s="117" t="n">
        <x:f>'CAPEX'!BQ100</x:f>
      </x:c>
      <x:c r="BR17" s="117" t="n">
        <x:f>'CAPEX'!BR100</x:f>
      </x:c>
      <x:c r="BS17" s="117" t="n">
        <x:f>'CAPEX'!BS100</x:f>
      </x:c>
      <x:c r="BT17" s="117" t="n">
        <x:f>'CAPEX'!BT100</x:f>
      </x:c>
      <x:c r="BU17" s="117" t="n">
        <x:f>'CAPEX'!BU100</x:f>
      </x:c>
      <x:c r="BV17" s="117" t="n">
        <x:f>'CAPEX'!BV100</x:f>
      </x:c>
      <x:c r="BW17" s="117" t="n">
        <x:f>'CAPEX'!BW100</x:f>
      </x:c>
      <x:c r="BX17" s="117" t="n">
        <x:f>'CAPEX'!BX100</x:f>
      </x:c>
      <x:c r="BY17" s="117" t="n">
        <x:f>'CAPEX'!BY100</x:f>
      </x:c>
      <x:c r="BZ17" s="117" t="n">
        <x:f>'CAPEX'!BZ100</x:f>
      </x:c>
      <x:c r="CA17" s="117" t="n">
        <x:f>'CAPEX'!CA100</x:f>
      </x:c>
      <x:c r="CB17" s="117" t="n">
        <x:f>'CAPEX'!CB100</x:f>
      </x:c>
      <x:c r="CC17" s="117" t="n">
        <x:f>'CAPEX'!CC100</x:f>
      </x:c>
      <x:c r="CD17" s="117" t="n">
        <x:f>'CAPEX'!CD100</x:f>
      </x:c>
      <x:c r="CE17" s="117" t="n">
        <x:f>'CAPEX'!CE100</x:f>
      </x:c>
      <x:c r="CF17" s="117" t="n">
        <x:f>'CAPEX'!CF100</x:f>
      </x:c>
      <x:c r="CG17" s="117" t="n">
        <x:f>'CAPEX'!CG100</x:f>
      </x:c>
      <x:c r="CH17" s="117" t="n">
        <x:f>'CAPEX'!CH100</x:f>
      </x:c>
      <x:c r="CI17" s="117" t="n">
        <x:f>'CAPEX'!CI100</x:f>
      </x:c>
      <x:c r="CJ17" s="117" t="n">
        <x:f>'CAPEX'!CJ100</x:f>
      </x:c>
      <x:c r="CK17" s="117" t="n">
        <x:f>'CAPEX'!CK100</x:f>
      </x:c>
      <x:c r="CL17" s="117" t="n">
        <x:f>'CAPEX'!CL100</x:f>
      </x:c>
      <x:c r="CM17" s="117" t="n">
        <x:f>'CAPEX'!CM100</x:f>
      </x:c>
      <x:c r="CN17" s="117" t="n">
        <x:f>'CAPEX'!CN100</x:f>
      </x:c>
      <x:c r="CO17" s="117" t="n">
        <x:f>'CAPEX'!CO100</x:f>
      </x:c>
      <x:c r="CP17" s="117" t="n">
        <x:f>'CAPEX'!CP100</x:f>
      </x:c>
      <x:c r="CQ17" s="117" t="n">
        <x:f>'CAPEX'!CQ100</x:f>
      </x:c>
      <x:c r="CR17" s="117" t="n">
        <x:f>'CAPEX'!CR100</x:f>
      </x:c>
      <x:c r="CS17" s="117" t="n">
        <x:f>'CAPEX'!CS100</x:f>
      </x:c>
      <x:c r="CT17" s="117" t="n">
        <x:f>'CAPEX'!CT100</x:f>
      </x:c>
      <x:c r="CU17" s="117" t="n">
        <x:f>'CAPEX'!CU100</x:f>
      </x:c>
      <x:c r="CV17" s="117" t="n">
        <x:f>'CAPEX'!CV100</x:f>
      </x:c>
      <x:c r="CW17" s="117" t="n">
        <x:f>'CAPEX'!CW100</x:f>
      </x:c>
      <x:c r="CX17" s="117" t="n">
        <x:f>'CAPEX'!CX100</x:f>
      </x:c>
      <x:c r="CY17" s="117" t="n">
        <x:f>'CAPEX'!CY100</x:f>
      </x:c>
      <x:c r="CZ17" s="117" t="n">
        <x:f>'CAPEX'!CZ100</x:f>
      </x:c>
      <x:c r="DA17" s="117" t="n">
        <x:f>'CAPEX'!DA100</x:f>
      </x:c>
      <x:c r="DB17" s="117" t="n">
        <x:f>'CAPEX'!DB100</x:f>
      </x:c>
      <x:c r="DC17" s="117" t="n">
        <x:f>'CAPEX'!DC100</x:f>
      </x:c>
      <x:c r="DD17" s="117" t="n">
        <x:f>'CAPEX'!DD100</x:f>
      </x:c>
      <x:c r="DE17" s="117" t="n">
        <x:f>'CAPEX'!DE100</x:f>
      </x:c>
      <x:c r="DF17" s="117" t="n">
        <x:f>'CAPEX'!DF100</x:f>
      </x:c>
      <x:c r="DG17" s="117" t="n">
        <x:f>'CAPEX'!DG100</x:f>
      </x:c>
      <x:c r="DH17" s="117" t="n">
        <x:f>'CAPEX'!DH100</x:f>
      </x:c>
      <x:c r="DI17" s="117" t="n">
        <x:f>'CAPEX'!DI100</x:f>
      </x:c>
      <x:c r="DJ17" s="117" t="n">
        <x:f>'CAPEX'!DJ100</x:f>
      </x:c>
      <x:c r="DK17" s="117" t="n">
        <x:f>'CAPEX'!DK100</x:f>
      </x:c>
      <x:c r="DL17" s="117" t="n">
        <x:f>'CAPEX'!DL100</x:f>
      </x:c>
      <x:c r="DM17" s="117" t="n">
        <x:f>'CAPEX'!DM100</x:f>
      </x:c>
      <x:c r="DN17" s="117" t="n">
        <x:f>'CAPEX'!DN100</x:f>
      </x:c>
      <x:c r="DO17" s="117" t="n">
        <x:f>'CAPEX'!DO100</x:f>
      </x:c>
      <x:c r="DP17" s="117" t="n">
        <x:f>'CAPEX'!DP100</x:f>
      </x:c>
      <x:c r="DQ17" s="117" t="n">
        <x:f>'CAPEX'!DQ100</x:f>
      </x:c>
      <x:c r="DR17" s="117" t="n">
        <x:f>'CAPEX'!DR100</x:f>
      </x:c>
      <x:c r="DS17" s="117" t="n">
        <x:f>'CAPEX'!DS100</x:f>
      </x:c>
      <x:c r="DT17" s="117" t="n">
        <x:f>'CAPEX'!DT100</x:f>
      </x:c>
      <x:c r="DU17" s="117" t="n">
        <x:f>'CAPEX'!DU100</x:f>
      </x:c>
      <x:c r="DV17" s="117" t="n">
        <x:f>'CAPEX'!DV100</x:f>
      </x:c>
      <x:c r="DW17" s="117" t="n">
        <x:f>'CAPEX'!DW100</x:f>
      </x:c>
      <x:c r="DX17" s="117" t="n">
        <x:f>'CAPEX'!DX100</x:f>
      </x:c>
      <x:c r="DY17" s="117" t="n">
        <x:f>'CAPEX'!DY100</x:f>
      </x:c>
      <x:c r="DZ17" s="117" t="n">
        <x:f>'CAPEX'!DZ100</x:f>
      </x:c>
      <x:c r="EA17" s="117" t="n">
        <x:f>'CAPEX'!EA100</x:f>
      </x:c>
      <x:c r="EB17" s="117" t="n">
        <x:f>'CAPEX'!EB100</x:f>
      </x:c>
      <x:c r="EC17" s="117" t="n">
        <x:f>'CAPEX'!EC100</x:f>
      </x:c>
      <x:c r="ED17" s="117" t="n">
        <x:f>'CAPEX'!ED100</x:f>
      </x:c>
      <x:c r="EE17" s="117" t="n">
        <x:f>'CAPEX'!EE100</x:f>
      </x:c>
      <x:c r="EF17" s="117" t="n">
        <x:f>'CAPEX'!EF100</x:f>
      </x:c>
      <x:c r="EG17" s="117" t="n">
        <x:f>'CAPEX'!EG100</x:f>
      </x:c>
      <x:c r="EH17" s="117" t="n">
        <x:f>'CAPEX'!EH100</x:f>
      </x:c>
      <x:c r="EI17" s="117" t="n">
        <x:f>'CAPEX'!EI100</x:f>
      </x:c>
      <x:c r="EJ17" s="117" t="n">
        <x:f>'CAPEX'!EJ100</x:f>
      </x:c>
      <x:c r="EK17" s="117" t="n">
        <x:f>'CAPEX'!EK100</x:f>
      </x:c>
      <x:c r="EL17" s="117" t="n">
        <x:f>'CAPEX'!EL100</x:f>
      </x:c>
      <x:c r="EM17" s="117" t="n">
        <x:f>'CAPEX'!EM100</x:f>
      </x:c>
      <x:c r="EN17" s="117" t="n">
        <x:f>'CAPEX'!EN100</x:f>
      </x:c>
      <x:c r="EO17" s="117" t="n">
        <x:f>'CAPEX'!EO100</x:f>
      </x:c>
      <x:c r="EP17" s="117" t="n">
        <x:f>'CAPEX'!EP100</x:f>
      </x:c>
      <x:c r="EQ17" s="117" t="n">
        <x:f>'CAPEX'!EQ100</x:f>
      </x:c>
      <x:c r="ER17" s="117" t="n">
        <x:f>'CAPEX'!ER100</x:f>
      </x:c>
      <x:c r="ES17" s="117" t="n">
        <x:f>'CAPEX'!ES100</x:f>
      </x:c>
      <x:c r="ET17" s="117" t="n">
        <x:f>'CAPEX'!ET100</x:f>
      </x:c>
      <x:c r="EU17" s="117" t="n">
        <x:f>'CAPEX'!EU100</x:f>
      </x:c>
      <x:c r="EV17" s="117" t="n">
        <x:f>'CAPEX'!EV100</x:f>
      </x:c>
      <x:c r="EW17" s="117" t="n">
        <x:f>'CAPEX'!EW100</x:f>
      </x:c>
      <x:c r="EX17" s="117" t="n">
        <x:f>'CAPEX'!EX100</x:f>
      </x:c>
      <x:c r="EY17" s="117" t="n">
        <x:f>'CAPEX'!EY100</x:f>
      </x:c>
      <x:c r="EZ17" s="117" t="n">
        <x:f>'CAPEX'!EZ100</x:f>
      </x:c>
      <x:c r="FA17" s="117" t="n">
        <x:f>'CAPEX'!FA100</x:f>
      </x:c>
      <x:c r="FB17" s="117" t="n">
        <x:f>'CAPEX'!FB100</x:f>
      </x:c>
      <x:c r="FC17" s="117" t="n">
        <x:f>'CAPEX'!FC100</x:f>
      </x:c>
      <x:c r="FD17" s="117" t="n">
        <x:f>'CAPEX'!FD100</x:f>
      </x:c>
      <x:c r="FE17" s="117" t="n">
        <x:f>'CAPEX'!FE100</x:f>
      </x:c>
      <x:c r="FF17" s="117" t="n">
        <x:f>'CAPEX'!FF100</x:f>
      </x:c>
      <x:c r="FG17" s="117" t="n">
        <x:f>'CAPEX'!FG100</x:f>
      </x:c>
      <x:c r="FH17" s="117" t="n">
        <x:f>'CAPEX'!FH100</x:f>
      </x:c>
      <x:c r="FI17" s="117" t="n">
        <x:f>'CAPEX'!FI100</x:f>
      </x:c>
      <x:c r="FJ17" s="117" t="n">
        <x:f>'CAPEX'!FJ100</x:f>
      </x:c>
      <x:c r="FK17" s="117" t="n">
        <x:f>'CAPEX'!FK100</x:f>
      </x:c>
      <x:c r="FL17" s="117" t="n">
        <x:f>'CAPEX'!FL100</x:f>
      </x:c>
      <x:c r="FM17" s="117" t="n">
        <x:f>'CAPEX'!FM100</x:f>
      </x:c>
      <x:c r="FN17" s="117" t="n">
        <x:f>'CAPEX'!FN100</x:f>
      </x:c>
      <x:c r="FO17" s="117" t="n">
        <x:f>'CAPEX'!FO100</x:f>
      </x:c>
      <x:c r="FP17" s="117" t="n">
        <x:f>'CAPEX'!FP100</x:f>
      </x:c>
      <x:c r="FQ17" s="117" t="n">
        <x:f>'CAPEX'!FQ100</x:f>
      </x:c>
      <x:c r="FR17" s="117" t="n">
        <x:f>'CAPEX'!FR100</x:f>
      </x:c>
      <x:c r="FS17" s="117" t="n">
        <x:f>'CAPEX'!FS100</x:f>
      </x:c>
      <x:c r="FT17" s="117" t="n">
        <x:f>'CAPEX'!FT100</x:f>
      </x:c>
      <x:c r="FU17" s="117" t="n">
        <x:f>'CAPEX'!FU100</x:f>
      </x:c>
      <x:c r="FV17" s="117" t="n">
        <x:f>'CAPEX'!FV100</x:f>
      </x:c>
      <x:c r="FW17" s="117" t="n">
        <x:f>'CAPEX'!FW100</x:f>
      </x:c>
      <x:c r="FX17" s="117" t="n">
        <x:f>'CAPEX'!FX100</x:f>
      </x:c>
      <x:c r="FY17" s="117" t="n">
        <x:f>'CAPEX'!FY100</x:f>
      </x:c>
      <x:c r="FZ17" s="117" t="n">
        <x:f>'CAPEX'!FZ100</x:f>
      </x:c>
      <x:c r="GA17" s="117" t="n">
        <x:f>'CAPEX'!GA100</x:f>
      </x:c>
    </x:row>
    <x:row r="18">
      <x:c r="A18" t="str">
        <x:v>Маркетинг</x:v>
      </x:c>
      <x:c r="B18" t="n">
        <x:f>SUM(D18:GA18)</x:f>
      </x:c>
      <x:c r="C18" t="str">
        <x:v>млн ₽</x:v>
      </x:c>
      <x:c r="D18" s="117" t="n">
        <x:f>'CAPEX'!D101</x:f>
      </x:c>
      <x:c r="E18" s="117" t="n">
        <x:f>'CAPEX'!E101</x:f>
      </x:c>
      <x:c r="F18" s="117" t="n">
        <x:f>'CAPEX'!F101</x:f>
      </x:c>
      <x:c r="G18" s="117" t="n">
        <x:f>'CAPEX'!G101</x:f>
      </x:c>
      <x:c r="H18" s="117" t="n">
        <x:f>'CAPEX'!H101</x:f>
      </x:c>
      <x:c r="I18" s="117" t="n">
        <x:f>'CAPEX'!I101</x:f>
      </x:c>
      <x:c r="J18" s="117" t="n">
        <x:f>'CAPEX'!J101</x:f>
      </x:c>
      <x:c r="K18" s="117" t="n">
        <x:f>'CAPEX'!K101</x:f>
      </x:c>
      <x:c r="L18" s="117" t="n">
        <x:f>'CAPEX'!L101</x:f>
      </x:c>
      <x:c r="M18" s="117" t="n">
        <x:f>'CAPEX'!M101</x:f>
      </x:c>
      <x:c r="N18" s="117" t="n">
        <x:f>'CAPEX'!N101</x:f>
      </x:c>
      <x:c r="O18" s="117" t="n">
        <x:f>'CAPEX'!O101</x:f>
      </x:c>
      <x:c r="P18" s="117" t="n">
        <x:f>'CAPEX'!P101</x:f>
      </x:c>
      <x:c r="Q18" s="117" t="n">
        <x:f>'CAPEX'!Q101</x:f>
      </x:c>
      <x:c r="R18" s="117" t="n">
        <x:f>'CAPEX'!R101</x:f>
      </x:c>
      <x:c r="S18" s="117" t="n">
        <x:f>'CAPEX'!S101</x:f>
      </x:c>
      <x:c r="T18" s="117" t="n">
        <x:f>'CAPEX'!T101</x:f>
      </x:c>
      <x:c r="U18" s="117" t="n">
        <x:f>'CAPEX'!U101</x:f>
      </x:c>
      <x:c r="V18" s="117" t="n">
        <x:f>'CAPEX'!V101</x:f>
      </x:c>
      <x:c r="W18" s="117" t="n">
        <x:f>'CAPEX'!W101</x:f>
      </x:c>
      <x:c r="X18" s="117" t="n">
        <x:f>'CAPEX'!X101</x:f>
      </x:c>
      <x:c r="Y18" s="117" t="n">
        <x:f>'CAPEX'!Y101</x:f>
      </x:c>
      <x:c r="Z18" s="117" t="n">
        <x:f>'CAPEX'!Z101</x:f>
      </x:c>
      <x:c r="AA18" s="117" t="n">
        <x:f>'CAPEX'!AA101</x:f>
      </x:c>
      <x:c r="AB18" s="117" t="n">
        <x:f>'CAPEX'!AB101</x:f>
      </x:c>
      <x:c r="AC18" s="117" t="n">
        <x:f>'CAPEX'!AC101</x:f>
      </x:c>
      <x:c r="AD18" s="117" t="n">
        <x:f>'CAPEX'!AD101</x:f>
      </x:c>
      <x:c r="AE18" s="117" t="n">
        <x:f>'CAPEX'!AE101</x:f>
      </x:c>
      <x:c r="AF18" s="117" t="n">
        <x:f>'CAPEX'!AF101</x:f>
      </x:c>
      <x:c r="AG18" s="117" t="n">
        <x:f>'CAPEX'!AG101</x:f>
      </x:c>
      <x:c r="AH18" s="117" t="n">
        <x:f>'CAPEX'!AH101</x:f>
      </x:c>
      <x:c r="AI18" s="117" t="n">
        <x:f>'CAPEX'!AI101</x:f>
      </x:c>
      <x:c r="AJ18" s="117" t="n">
        <x:f>'CAPEX'!AJ101</x:f>
      </x:c>
      <x:c r="AK18" s="117" t="n">
        <x:f>'CAPEX'!AK101</x:f>
      </x:c>
      <x:c r="AL18" s="117" t="n">
        <x:f>'CAPEX'!AL101</x:f>
      </x:c>
      <x:c r="AM18" s="117" t="n">
        <x:f>'CAPEX'!AM101</x:f>
      </x:c>
      <x:c r="AN18" s="117" t="n">
        <x:f>'CAPEX'!AN101</x:f>
      </x:c>
      <x:c r="AO18" s="117" t="n">
        <x:f>'CAPEX'!AO101</x:f>
      </x:c>
      <x:c r="AP18" s="117" t="n">
        <x:f>'CAPEX'!AP101</x:f>
      </x:c>
      <x:c r="AQ18" s="117" t="n">
        <x:f>'CAPEX'!AQ101</x:f>
      </x:c>
      <x:c r="AR18" s="117" t="n">
        <x:f>'CAPEX'!AR101</x:f>
      </x:c>
      <x:c r="AS18" s="117" t="n">
        <x:f>'CAPEX'!AS101</x:f>
      </x:c>
      <x:c r="AT18" s="117" t="n">
        <x:f>'CAPEX'!AT101</x:f>
      </x:c>
      <x:c r="AU18" s="117" t="n">
        <x:f>'CAPEX'!AU101</x:f>
      </x:c>
      <x:c r="AV18" s="117" t="n">
        <x:f>'CAPEX'!AV101</x:f>
      </x:c>
      <x:c r="AW18" s="117" t="n">
        <x:f>'CAPEX'!AW101</x:f>
      </x:c>
      <x:c r="AX18" s="117" t="n">
        <x:f>'CAPEX'!AX101</x:f>
      </x:c>
      <x:c r="AY18" s="117" t="n">
        <x:f>'CAPEX'!AY101</x:f>
      </x:c>
      <x:c r="AZ18" s="117" t="n">
        <x:f>'CAPEX'!AZ101</x:f>
      </x:c>
      <x:c r="BA18" s="117" t="n">
        <x:f>'CAPEX'!BA101</x:f>
      </x:c>
      <x:c r="BB18" s="117" t="n">
        <x:f>'CAPEX'!BB101</x:f>
      </x:c>
      <x:c r="BC18" s="117" t="n">
        <x:f>'CAPEX'!BC101</x:f>
      </x:c>
      <x:c r="BD18" s="117" t="n">
        <x:f>'CAPEX'!BD101</x:f>
      </x:c>
      <x:c r="BE18" s="117" t="n">
        <x:f>'CAPEX'!BE101</x:f>
      </x:c>
      <x:c r="BF18" s="117" t="n">
        <x:f>'CAPEX'!BF101</x:f>
      </x:c>
      <x:c r="BG18" s="117" t="n">
        <x:f>'CAPEX'!BG101</x:f>
      </x:c>
      <x:c r="BH18" s="117" t="n">
        <x:f>'CAPEX'!BH101</x:f>
      </x:c>
      <x:c r="BI18" s="117" t="n">
        <x:f>'CAPEX'!BI101</x:f>
      </x:c>
      <x:c r="BJ18" s="117" t="n">
        <x:f>'CAPEX'!BJ101</x:f>
      </x:c>
      <x:c r="BK18" s="117" t="n">
        <x:f>'CAPEX'!BK101</x:f>
      </x:c>
      <x:c r="BL18" s="117" t="n">
        <x:f>'CAPEX'!BL101</x:f>
      </x:c>
      <x:c r="BM18" s="117" t="n">
        <x:f>'CAPEX'!BM101</x:f>
      </x:c>
      <x:c r="BN18" s="117" t="n">
        <x:f>'CAPEX'!BN101</x:f>
      </x:c>
      <x:c r="BO18" s="117" t="n">
        <x:f>'CAPEX'!BO101</x:f>
      </x:c>
      <x:c r="BP18" s="117" t="n">
        <x:f>'CAPEX'!BP101</x:f>
      </x:c>
      <x:c r="BQ18" s="117" t="n">
        <x:f>'CAPEX'!BQ101</x:f>
      </x:c>
      <x:c r="BR18" s="117" t="n">
        <x:f>'CAPEX'!BR101</x:f>
      </x:c>
      <x:c r="BS18" s="117" t="n">
        <x:f>'CAPEX'!BS101</x:f>
      </x:c>
      <x:c r="BT18" s="117" t="n">
        <x:f>'CAPEX'!BT101</x:f>
      </x:c>
      <x:c r="BU18" s="117" t="n">
        <x:f>'CAPEX'!BU101</x:f>
      </x:c>
      <x:c r="BV18" s="117" t="n">
        <x:f>'CAPEX'!BV101</x:f>
      </x:c>
      <x:c r="BW18" s="117" t="n">
        <x:f>'CAPEX'!BW101</x:f>
      </x:c>
      <x:c r="BX18" s="117" t="n">
        <x:f>'CAPEX'!BX101</x:f>
      </x:c>
      <x:c r="BY18" s="117" t="n">
        <x:f>'CAPEX'!BY101</x:f>
      </x:c>
      <x:c r="BZ18" s="117" t="n">
        <x:f>'CAPEX'!BZ101</x:f>
      </x:c>
      <x:c r="CA18" s="117" t="n">
        <x:f>'CAPEX'!CA101</x:f>
      </x:c>
      <x:c r="CB18" s="117" t="n">
        <x:f>'CAPEX'!CB101</x:f>
      </x:c>
      <x:c r="CC18" s="117" t="n">
        <x:f>'CAPEX'!CC101</x:f>
      </x:c>
      <x:c r="CD18" s="117" t="n">
        <x:f>'CAPEX'!CD101</x:f>
      </x:c>
      <x:c r="CE18" s="117" t="n">
        <x:f>'CAPEX'!CE101</x:f>
      </x:c>
      <x:c r="CF18" s="117" t="n">
        <x:f>'CAPEX'!CF101</x:f>
      </x:c>
      <x:c r="CG18" s="117" t="n">
        <x:f>'CAPEX'!CG101</x:f>
      </x:c>
      <x:c r="CH18" s="117" t="n">
        <x:f>'CAPEX'!CH101</x:f>
      </x:c>
      <x:c r="CI18" s="117" t="n">
        <x:f>'CAPEX'!CI101</x:f>
      </x:c>
      <x:c r="CJ18" s="117" t="n">
        <x:f>'CAPEX'!CJ101</x:f>
      </x:c>
      <x:c r="CK18" s="117" t="n">
        <x:f>'CAPEX'!CK101</x:f>
      </x:c>
      <x:c r="CL18" s="117" t="n">
        <x:f>'CAPEX'!CL101</x:f>
      </x:c>
      <x:c r="CM18" s="117" t="n">
        <x:f>'CAPEX'!CM101</x:f>
      </x:c>
      <x:c r="CN18" s="117" t="n">
        <x:f>'CAPEX'!CN101</x:f>
      </x:c>
      <x:c r="CO18" s="117" t="n">
        <x:f>'CAPEX'!CO101</x:f>
      </x:c>
      <x:c r="CP18" s="117" t="n">
        <x:f>'CAPEX'!CP101</x:f>
      </x:c>
      <x:c r="CQ18" s="117" t="n">
        <x:f>'CAPEX'!CQ101</x:f>
      </x:c>
      <x:c r="CR18" s="117" t="n">
        <x:f>'CAPEX'!CR101</x:f>
      </x:c>
      <x:c r="CS18" s="117" t="n">
        <x:f>'CAPEX'!CS101</x:f>
      </x:c>
      <x:c r="CT18" s="117" t="n">
        <x:f>'CAPEX'!CT101</x:f>
      </x:c>
      <x:c r="CU18" s="117" t="n">
        <x:f>'CAPEX'!CU101</x:f>
      </x:c>
      <x:c r="CV18" s="117" t="n">
        <x:f>'CAPEX'!CV101</x:f>
      </x:c>
      <x:c r="CW18" s="117" t="n">
        <x:f>'CAPEX'!CW101</x:f>
      </x:c>
      <x:c r="CX18" s="117" t="n">
        <x:f>'CAPEX'!CX101</x:f>
      </x:c>
      <x:c r="CY18" s="117" t="n">
        <x:f>'CAPEX'!CY101</x:f>
      </x:c>
      <x:c r="CZ18" s="117" t="n">
        <x:f>'CAPEX'!CZ101</x:f>
      </x:c>
      <x:c r="DA18" s="117" t="n">
        <x:f>'CAPEX'!DA101</x:f>
      </x:c>
      <x:c r="DB18" s="117" t="n">
        <x:f>'CAPEX'!DB101</x:f>
      </x:c>
      <x:c r="DC18" s="117" t="n">
        <x:f>'CAPEX'!DC101</x:f>
      </x:c>
      <x:c r="DD18" s="117" t="n">
        <x:f>'CAPEX'!DD101</x:f>
      </x:c>
      <x:c r="DE18" s="117" t="n">
        <x:f>'CAPEX'!DE101</x:f>
      </x:c>
      <x:c r="DF18" s="117" t="n">
        <x:f>'CAPEX'!DF101</x:f>
      </x:c>
      <x:c r="DG18" s="117" t="n">
        <x:f>'CAPEX'!DG101</x:f>
      </x:c>
      <x:c r="DH18" s="117" t="n">
        <x:f>'CAPEX'!DH101</x:f>
      </x:c>
      <x:c r="DI18" s="117" t="n">
        <x:f>'CAPEX'!DI101</x:f>
      </x:c>
      <x:c r="DJ18" s="117" t="n">
        <x:f>'CAPEX'!DJ101</x:f>
      </x:c>
      <x:c r="DK18" s="117" t="n">
        <x:f>'CAPEX'!DK101</x:f>
      </x:c>
      <x:c r="DL18" s="117" t="n">
        <x:f>'CAPEX'!DL101</x:f>
      </x:c>
      <x:c r="DM18" s="117" t="n">
        <x:f>'CAPEX'!DM101</x:f>
      </x:c>
      <x:c r="DN18" s="117" t="n">
        <x:f>'CAPEX'!DN101</x:f>
      </x:c>
      <x:c r="DO18" s="117" t="n">
        <x:f>'CAPEX'!DO101</x:f>
      </x:c>
      <x:c r="DP18" s="117" t="n">
        <x:f>'CAPEX'!DP101</x:f>
      </x:c>
      <x:c r="DQ18" s="117" t="n">
        <x:f>'CAPEX'!DQ101</x:f>
      </x:c>
      <x:c r="DR18" s="117" t="n">
        <x:f>'CAPEX'!DR101</x:f>
      </x:c>
      <x:c r="DS18" s="117" t="n">
        <x:f>'CAPEX'!DS101</x:f>
      </x:c>
      <x:c r="DT18" s="117" t="n">
        <x:f>'CAPEX'!DT101</x:f>
      </x:c>
      <x:c r="DU18" s="117" t="n">
        <x:f>'CAPEX'!DU101</x:f>
      </x:c>
      <x:c r="DV18" s="117" t="n">
        <x:f>'CAPEX'!DV101</x:f>
      </x:c>
      <x:c r="DW18" s="117" t="n">
        <x:f>'CAPEX'!DW101</x:f>
      </x:c>
      <x:c r="DX18" s="117" t="n">
        <x:f>'CAPEX'!DX101</x:f>
      </x:c>
      <x:c r="DY18" s="117" t="n">
        <x:f>'CAPEX'!DY101</x:f>
      </x:c>
      <x:c r="DZ18" s="117" t="n">
        <x:f>'CAPEX'!DZ101</x:f>
      </x:c>
      <x:c r="EA18" s="117" t="n">
        <x:f>'CAPEX'!EA101</x:f>
      </x:c>
      <x:c r="EB18" s="117" t="n">
        <x:f>'CAPEX'!EB101</x:f>
      </x:c>
      <x:c r="EC18" s="117" t="n">
        <x:f>'CAPEX'!EC101</x:f>
      </x:c>
      <x:c r="ED18" s="117" t="n">
        <x:f>'CAPEX'!ED101</x:f>
      </x:c>
      <x:c r="EE18" s="117" t="n">
        <x:f>'CAPEX'!EE101</x:f>
      </x:c>
      <x:c r="EF18" s="117" t="n">
        <x:f>'CAPEX'!EF101</x:f>
      </x:c>
      <x:c r="EG18" s="117" t="n">
        <x:f>'CAPEX'!EG101</x:f>
      </x:c>
      <x:c r="EH18" s="117" t="n">
        <x:f>'CAPEX'!EH101</x:f>
      </x:c>
      <x:c r="EI18" s="117" t="n">
        <x:f>'CAPEX'!EI101</x:f>
      </x:c>
      <x:c r="EJ18" s="117" t="n">
        <x:f>'CAPEX'!EJ101</x:f>
      </x:c>
      <x:c r="EK18" s="117" t="n">
        <x:f>'CAPEX'!EK101</x:f>
      </x:c>
      <x:c r="EL18" s="117" t="n">
        <x:f>'CAPEX'!EL101</x:f>
      </x:c>
      <x:c r="EM18" s="117" t="n">
        <x:f>'CAPEX'!EM101</x:f>
      </x:c>
      <x:c r="EN18" s="117" t="n">
        <x:f>'CAPEX'!EN101</x:f>
      </x:c>
      <x:c r="EO18" s="117" t="n">
        <x:f>'CAPEX'!EO101</x:f>
      </x:c>
      <x:c r="EP18" s="117" t="n">
        <x:f>'CAPEX'!EP101</x:f>
      </x:c>
      <x:c r="EQ18" s="117" t="n">
        <x:f>'CAPEX'!EQ101</x:f>
      </x:c>
      <x:c r="ER18" s="117" t="n">
        <x:f>'CAPEX'!ER101</x:f>
      </x:c>
      <x:c r="ES18" s="117" t="n">
        <x:f>'CAPEX'!ES101</x:f>
      </x:c>
      <x:c r="ET18" s="117" t="n">
        <x:f>'CAPEX'!ET101</x:f>
      </x:c>
      <x:c r="EU18" s="117" t="n">
        <x:f>'CAPEX'!EU101</x:f>
      </x:c>
      <x:c r="EV18" s="117" t="n">
        <x:f>'CAPEX'!EV101</x:f>
      </x:c>
      <x:c r="EW18" s="117" t="n">
        <x:f>'CAPEX'!EW101</x:f>
      </x:c>
      <x:c r="EX18" s="117" t="n">
        <x:f>'CAPEX'!EX101</x:f>
      </x:c>
      <x:c r="EY18" s="117" t="n">
        <x:f>'CAPEX'!EY101</x:f>
      </x:c>
      <x:c r="EZ18" s="117" t="n">
        <x:f>'CAPEX'!EZ101</x:f>
      </x:c>
      <x:c r="FA18" s="117" t="n">
        <x:f>'CAPEX'!FA101</x:f>
      </x:c>
      <x:c r="FB18" s="117" t="n">
        <x:f>'CAPEX'!FB101</x:f>
      </x:c>
      <x:c r="FC18" s="117" t="n">
        <x:f>'CAPEX'!FC101</x:f>
      </x:c>
      <x:c r="FD18" s="117" t="n">
        <x:f>'CAPEX'!FD101</x:f>
      </x:c>
      <x:c r="FE18" s="117" t="n">
        <x:f>'CAPEX'!FE101</x:f>
      </x:c>
      <x:c r="FF18" s="117" t="n">
        <x:f>'CAPEX'!FF101</x:f>
      </x:c>
      <x:c r="FG18" s="117" t="n">
        <x:f>'CAPEX'!FG101</x:f>
      </x:c>
      <x:c r="FH18" s="117" t="n">
        <x:f>'CAPEX'!FH101</x:f>
      </x:c>
      <x:c r="FI18" s="117" t="n">
        <x:f>'CAPEX'!FI101</x:f>
      </x:c>
      <x:c r="FJ18" s="117" t="n">
        <x:f>'CAPEX'!FJ101</x:f>
      </x:c>
      <x:c r="FK18" s="117" t="n">
        <x:f>'CAPEX'!FK101</x:f>
      </x:c>
      <x:c r="FL18" s="117" t="n">
        <x:f>'CAPEX'!FL101</x:f>
      </x:c>
      <x:c r="FM18" s="117" t="n">
        <x:f>'CAPEX'!FM101</x:f>
      </x:c>
      <x:c r="FN18" s="117" t="n">
        <x:f>'CAPEX'!FN101</x:f>
      </x:c>
      <x:c r="FO18" s="117" t="n">
        <x:f>'CAPEX'!FO101</x:f>
      </x:c>
      <x:c r="FP18" s="117" t="n">
        <x:f>'CAPEX'!FP101</x:f>
      </x:c>
      <x:c r="FQ18" s="117" t="n">
        <x:f>'CAPEX'!FQ101</x:f>
      </x:c>
      <x:c r="FR18" s="117" t="n">
        <x:f>'CAPEX'!FR101</x:f>
      </x:c>
      <x:c r="FS18" s="117" t="n">
        <x:f>'CAPEX'!FS101</x:f>
      </x:c>
      <x:c r="FT18" s="117" t="n">
        <x:f>'CAPEX'!FT101</x:f>
      </x:c>
      <x:c r="FU18" s="117" t="n">
        <x:f>'CAPEX'!FU101</x:f>
      </x:c>
      <x:c r="FV18" s="117" t="n">
        <x:f>'CAPEX'!FV101</x:f>
      </x:c>
      <x:c r="FW18" s="117" t="n">
        <x:f>'CAPEX'!FW101</x:f>
      </x:c>
      <x:c r="FX18" s="117" t="n">
        <x:f>'CAPEX'!FX101</x:f>
      </x:c>
      <x:c r="FY18" s="117" t="n">
        <x:f>'CAPEX'!FY101</x:f>
      </x:c>
      <x:c r="FZ18" s="117" t="n">
        <x:f>'CAPEX'!FZ101</x:f>
      </x:c>
      <x:c r="GA18" s="117" t="n">
        <x:f>'CAPEX'!GA101</x:f>
      </x:c>
    </x:row>
    <x:row r="19">
      <x:c r="A19" t="str">
        <x:v>Расходы на продажи</x:v>
      </x:c>
      <x:c r="B19" t="n">
        <x:f>SUM(D19:GA19)</x:f>
      </x:c>
      <x:c r="C19" t="str">
        <x:v>млн ₽</x:v>
      </x:c>
      <x:c r="D19" s="117" t="n">
        <x:f>'CAPEX'!D102</x:f>
      </x:c>
      <x:c r="E19" s="117" t="n">
        <x:f>'CAPEX'!E102</x:f>
      </x:c>
      <x:c r="F19" s="117" t="n">
        <x:f>'CAPEX'!F102</x:f>
      </x:c>
      <x:c r="G19" s="117" t="n">
        <x:f>'CAPEX'!G102</x:f>
      </x:c>
      <x:c r="H19" s="117" t="n">
        <x:f>'CAPEX'!H102</x:f>
      </x:c>
      <x:c r="I19" s="117" t="n">
        <x:f>'CAPEX'!I102</x:f>
      </x:c>
      <x:c r="J19" s="117" t="n">
        <x:f>'CAPEX'!J102</x:f>
      </x:c>
      <x:c r="K19" s="117" t="n">
        <x:f>'CAPEX'!K102</x:f>
      </x:c>
      <x:c r="L19" s="117" t="n">
        <x:f>'CAPEX'!L102</x:f>
      </x:c>
      <x:c r="M19" s="117" t="n">
        <x:f>'CAPEX'!M102</x:f>
      </x:c>
      <x:c r="N19" s="117" t="n">
        <x:f>'CAPEX'!N102</x:f>
      </x:c>
      <x:c r="O19" s="117" t="n">
        <x:f>'CAPEX'!O102</x:f>
      </x:c>
      <x:c r="P19" s="117" t="n">
        <x:f>'CAPEX'!P102</x:f>
      </x:c>
      <x:c r="Q19" s="117" t="n">
        <x:f>'CAPEX'!Q102</x:f>
      </x:c>
      <x:c r="R19" s="117" t="n">
        <x:f>'CAPEX'!R102</x:f>
      </x:c>
      <x:c r="S19" s="117" t="n">
        <x:f>'CAPEX'!S102</x:f>
      </x:c>
      <x:c r="T19" s="117" t="n">
        <x:f>'CAPEX'!T102</x:f>
      </x:c>
      <x:c r="U19" s="117" t="n">
        <x:f>'CAPEX'!U102</x:f>
      </x:c>
      <x:c r="V19" s="117" t="n">
        <x:f>'CAPEX'!V102</x:f>
      </x:c>
      <x:c r="W19" s="117" t="n">
        <x:f>'CAPEX'!W102</x:f>
      </x:c>
      <x:c r="X19" s="117" t="n">
        <x:f>'CAPEX'!X102</x:f>
      </x:c>
      <x:c r="Y19" s="117" t="n">
        <x:f>'CAPEX'!Y102</x:f>
      </x:c>
      <x:c r="Z19" s="117" t="n">
        <x:f>'CAPEX'!Z102</x:f>
      </x:c>
      <x:c r="AA19" s="117" t="n">
        <x:f>'CAPEX'!AA102</x:f>
      </x:c>
      <x:c r="AB19" s="117" t="n">
        <x:f>'CAPEX'!AB102</x:f>
      </x:c>
      <x:c r="AC19" s="117" t="n">
        <x:f>'CAPEX'!AC102</x:f>
      </x:c>
      <x:c r="AD19" s="117" t="n">
        <x:f>'CAPEX'!AD102</x:f>
      </x:c>
      <x:c r="AE19" s="117" t="n">
        <x:f>'CAPEX'!AE102</x:f>
      </x:c>
      <x:c r="AF19" s="117" t="n">
        <x:f>'CAPEX'!AF102</x:f>
      </x:c>
      <x:c r="AG19" s="117" t="n">
        <x:f>'CAPEX'!AG102</x:f>
      </x:c>
      <x:c r="AH19" s="117" t="n">
        <x:f>'CAPEX'!AH102</x:f>
      </x:c>
      <x:c r="AI19" s="117" t="n">
        <x:f>'CAPEX'!AI102</x:f>
      </x:c>
      <x:c r="AJ19" s="117" t="n">
        <x:f>'CAPEX'!AJ102</x:f>
      </x:c>
      <x:c r="AK19" s="117" t="n">
        <x:f>'CAPEX'!AK102</x:f>
      </x:c>
      <x:c r="AL19" s="117" t="n">
        <x:f>'CAPEX'!AL102</x:f>
      </x:c>
      <x:c r="AM19" s="117" t="n">
        <x:f>'CAPEX'!AM102</x:f>
      </x:c>
      <x:c r="AN19" s="117" t="n">
        <x:f>'CAPEX'!AN102</x:f>
      </x:c>
      <x:c r="AO19" s="117" t="n">
        <x:f>'CAPEX'!AO102</x:f>
      </x:c>
      <x:c r="AP19" s="117" t="n">
        <x:f>'CAPEX'!AP102</x:f>
      </x:c>
      <x:c r="AQ19" s="117" t="n">
        <x:f>'CAPEX'!AQ102</x:f>
      </x:c>
      <x:c r="AR19" s="117" t="n">
        <x:f>'CAPEX'!AR102</x:f>
      </x:c>
      <x:c r="AS19" s="117" t="n">
        <x:f>'CAPEX'!AS102</x:f>
      </x:c>
      <x:c r="AT19" s="117" t="n">
        <x:f>'CAPEX'!AT102</x:f>
      </x:c>
      <x:c r="AU19" s="117" t="n">
        <x:f>'CAPEX'!AU102</x:f>
      </x:c>
      <x:c r="AV19" s="117" t="n">
        <x:f>'CAPEX'!AV102</x:f>
      </x:c>
      <x:c r="AW19" s="117" t="n">
        <x:f>'CAPEX'!AW102</x:f>
      </x:c>
      <x:c r="AX19" s="117" t="n">
        <x:f>'CAPEX'!AX102</x:f>
      </x:c>
      <x:c r="AY19" s="117" t="n">
        <x:f>'CAPEX'!AY102</x:f>
      </x:c>
      <x:c r="AZ19" s="117" t="n">
        <x:f>'CAPEX'!AZ102</x:f>
      </x:c>
      <x:c r="BA19" s="117" t="n">
        <x:f>'CAPEX'!BA102</x:f>
      </x:c>
      <x:c r="BB19" s="117" t="n">
        <x:f>'CAPEX'!BB102</x:f>
      </x:c>
      <x:c r="BC19" s="117" t="n">
        <x:f>'CAPEX'!BC102</x:f>
      </x:c>
      <x:c r="BD19" s="117" t="n">
        <x:f>'CAPEX'!BD102</x:f>
      </x:c>
      <x:c r="BE19" s="117" t="n">
        <x:f>'CAPEX'!BE102</x:f>
      </x:c>
      <x:c r="BF19" s="117" t="n">
        <x:f>'CAPEX'!BF102</x:f>
      </x:c>
      <x:c r="BG19" s="117" t="n">
        <x:f>'CAPEX'!BG102</x:f>
      </x:c>
      <x:c r="BH19" s="117" t="n">
        <x:f>'CAPEX'!BH102</x:f>
      </x:c>
      <x:c r="BI19" s="117" t="n">
        <x:f>'CAPEX'!BI102</x:f>
      </x:c>
      <x:c r="BJ19" s="117" t="n">
        <x:f>'CAPEX'!BJ102</x:f>
      </x:c>
      <x:c r="BK19" s="117" t="n">
        <x:f>'CAPEX'!BK102</x:f>
      </x:c>
      <x:c r="BL19" s="117" t="n">
        <x:f>'CAPEX'!BL102</x:f>
      </x:c>
      <x:c r="BM19" s="117" t="n">
        <x:f>'CAPEX'!BM102</x:f>
      </x:c>
      <x:c r="BN19" s="117" t="n">
        <x:f>'CAPEX'!BN102</x:f>
      </x:c>
      <x:c r="BO19" s="117" t="n">
        <x:f>'CAPEX'!BO102</x:f>
      </x:c>
      <x:c r="BP19" s="117" t="n">
        <x:f>'CAPEX'!BP102</x:f>
      </x:c>
      <x:c r="BQ19" s="117" t="n">
        <x:f>'CAPEX'!BQ102</x:f>
      </x:c>
      <x:c r="BR19" s="117" t="n">
        <x:f>'CAPEX'!BR102</x:f>
      </x:c>
      <x:c r="BS19" s="117" t="n">
        <x:f>'CAPEX'!BS102</x:f>
      </x:c>
      <x:c r="BT19" s="117" t="n">
        <x:f>'CAPEX'!BT102</x:f>
      </x:c>
      <x:c r="BU19" s="117" t="n">
        <x:f>'CAPEX'!BU102</x:f>
      </x:c>
      <x:c r="BV19" s="117" t="n">
        <x:f>'CAPEX'!BV102</x:f>
      </x:c>
      <x:c r="BW19" s="117" t="n">
        <x:f>'CAPEX'!BW102</x:f>
      </x:c>
      <x:c r="BX19" s="117" t="n">
        <x:f>'CAPEX'!BX102</x:f>
      </x:c>
      <x:c r="BY19" s="117" t="n">
        <x:f>'CAPEX'!BY102</x:f>
      </x:c>
      <x:c r="BZ19" s="117" t="n">
        <x:f>'CAPEX'!BZ102</x:f>
      </x:c>
      <x:c r="CA19" s="117" t="n">
        <x:f>'CAPEX'!CA102</x:f>
      </x:c>
      <x:c r="CB19" s="117" t="n">
        <x:f>'CAPEX'!CB102</x:f>
      </x:c>
      <x:c r="CC19" s="117" t="n">
        <x:f>'CAPEX'!CC102</x:f>
      </x:c>
      <x:c r="CD19" s="117" t="n">
        <x:f>'CAPEX'!CD102</x:f>
      </x:c>
      <x:c r="CE19" s="117" t="n">
        <x:f>'CAPEX'!CE102</x:f>
      </x:c>
      <x:c r="CF19" s="117" t="n">
        <x:f>'CAPEX'!CF102</x:f>
      </x:c>
      <x:c r="CG19" s="117" t="n">
        <x:f>'CAPEX'!CG102</x:f>
      </x:c>
      <x:c r="CH19" s="117" t="n">
        <x:f>'CAPEX'!CH102</x:f>
      </x:c>
      <x:c r="CI19" s="117" t="n">
        <x:f>'CAPEX'!CI102</x:f>
      </x:c>
      <x:c r="CJ19" s="117" t="n">
        <x:f>'CAPEX'!CJ102</x:f>
      </x:c>
      <x:c r="CK19" s="117" t="n">
        <x:f>'CAPEX'!CK102</x:f>
      </x:c>
      <x:c r="CL19" s="117" t="n">
        <x:f>'CAPEX'!CL102</x:f>
      </x:c>
      <x:c r="CM19" s="117" t="n">
        <x:f>'CAPEX'!CM102</x:f>
      </x:c>
      <x:c r="CN19" s="117" t="n">
        <x:f>'CAPEX'!CN102</x:f>
      </x:c>
      <x:c r="CO19" s="117" t="n">
        <x:f>'CAPEX'!CO102</x:f>
      </x:c>
      <x:c r="CP19" s="117" t="n">
        <x:f>'CAPEX'!CP102</x:f>
      </x:c>
      <x:c r="CQ19" s="117" t="n">
        <x:f>'CAPEX'!CQ102</x:f>
      </x:c>
      <x:c r="CR19" s="117" t="n">
        <x:f>'CAPEX'!CR102</x:f>
      </x:c>
      <x:c r="CS19" s="117" t="n">
        <x:f>'CAPEX'!CS102</x:f>
      </x:c>
      <x:c r="CT19" s="117" t="n">
        <x:f>'CAPEX'!CT102</x:f>
      </x:c>
      <x:c r="CU19" s="117" t="n">
        <x:f>'CAPEX'!CU102</x:f>
      </x:c>
      <x:c r="CV19" s="117" t="n">
        <x:f>'CAPEX'!CV102</x:f>
      </x:c>
      <x:c r="CW19" s="117" t="n">
        <x:f>'CAPEX'!CW102</x:f>
      </x:c>
      <x:c r="CX19" s="117" t="n">
        <x:f>'CAPEX'!CX102</x:f>
      </x:c>
      <x:c r="CY19" s="117" t="n">
        <x:f>'CAPEX'!CY102</x:f>
      </x:c>
      <x:c r="CZ19" s="117" t="n">
        <x:f>'CAPEX'!CZ102</x:f>
      </x:c>
      <x:c r="DA19" s="117" t="n">
        <x:f>'CAPEX'!DA102</x:f>
      </x:c>
      <x:c r="DB19" s="117" t="n">
        <x:f>'CAPEX'!DB102</x:f>
      </x:c>
      <x:c r="DC19" s="117" t="n">
        <x:f>'CAPEX'!DC102</x:f>
      </x:c>
      <x:c r="DD19" s="117" t="n">
        <x:f>'CAPEX'!DD102</x:f>
      </x:c>
      <x:c r="DE19" s="117" t="n">
        <x:f>'CAPEX'!DE102</x:f>
      </x:c>
      <x:c r="DF19" s="117" t="n">
        <x:f>'CAPEX'!DF102</x:f>
      </x:c>
      <x:c r="DG19" s="117" t="n">
        <x:f>'CAPEX'!DG102</x:f>
      </x:c>
      <x:c r="DH19" s="117" t="n">
        <x:f>'CAPEX'!DH102</x:f>
      </x:c>
      <x:c r="DI19" s="117" t="n">
        <x:f>'CAPEX'!DI102</x:f>
      </x:c>
      <x:c r="DJ19" s="117" t="n">
        <x:f>'CAPEX'!DJ102</x:f>
      </x:c>
      <x:c r="DK19" s="117" t="n">
        <x:f>'CAPEX'!DK102</x:f>
      </x:c>
      <x:c r="DL19" s="117" t="n">
        <x:f>'CAPEX'!DL102</x:f>
      </x:c>
      <x:c r="DM19" s="117" t="n">
        <x:f>'CAPEX'!DM102</x:f>
      </x:c>
      <x:c r="DN19" s="117" t="n">
        <x:f>'CAPEX'!DN102</x:f>
      </x:c>
      <x:c r="DO19" s="117" t="n">
        <x:f>'CAPEX'!DO102</x:f>
      </x:c>
      <x:c r="DP19" s="117" t="n">
        <x:f>'CAPEX'!DP102</x:f>
      </x:c>
      <x:c r="DQ19" s="117" t="n">
        <x:f>'CAPEX'!DQ102</x:f>
      </x:c>
      <x:c r="DR19" s="117" t="n">
        <x:f>'CAPEX'!DR102</x:f>
      </x:c>
      <x:c r="DS19" s="117" t="n">
        <x:f>'CAPEX'!DS102</x:f>
      </x:c>
      <x:c r="DT19" s="117" t="n">
        <x:f>'CAPEX'!DT102</x:f>
      </x:c>
      <x:c r="DU19" s="117" t="n">
        <x:f>'CAPEX'!DU102</x:f>
      </x:c>
      <x:c r="DV19" s="117" t="n">
        <x:f>'CAPEX'!DV102</x:f>
      </x:c>
      <x:c r="DW19" s="117" t="n">
        <x:f>'CAPEX'!DW102</x:f>
      </x:c>
      <x:c r="DX19" s="117" t="n">
        <x:f>'CAPEX'!DX102</x:f>
      </x:c>
      <x:c r="DY19" s="117" t="n">
        <x:f>'CAPEX'!DY102</x:f>
      </x:c>
      <x:c r="DZ19" s="117" t="n">
        <x:f>'CAPEX'!DZ102</x:f>
      </x:c>
      <x:c r="EA19" s="117" t="n">
        <x:f>'CAPEX'!EA102</x:f>
      </x:c>
      <x:c r="EB19" s="117" t="n">
        <x:f>'CAPEX'!EB102</x:f>
      </x:c>
      <x:c r="EC19" s="117" t="n">
        <x:f>'CAPEX'!EC102</x:f>
      </x:c>
      <x:c r="ED19" s="117" t="n">
        <x:f>'CAPEX'!ED102</x:f>
      </x:c>
      <x:c r="EE19" s="117" t="n">
        <x:f>'CAPEX'!EE102</x:f>
      </x:c>
      <x:c r="EF19" s="117" t="n">
        <x:f>'CAPEX'!EF102</x:f>
      </x:c>
      <x:c r="EG19" s="117" t="n">
        <x:f>'CAPEX'!EG102</x:f>
      </x:c>
      <x:c r="EH19" s="117" t="n">
        <x:f>'CAPEX'!EH102</x:f>
      </x:c>
      <x:c r="EI19" s="117" t="n">
        <x:f>'CAPEX'!EI102</x:f>
      </x:c>
      <x:c r="EJ19" s="117" t="n">
        <x:f>'CAPEX'!EJ102</x:f>
      </x:c>
      <x:c r="EK19" s="117" t="n">
        <x:f>'CAPEX'!EK102</x:f>
      </x:c>
      <x:c r="EL19" s="117" t="n">
        <x:f>'CAPEX'!EL102</x:f>
      </x:c>
      <x:c r="EM19" s="117" t="n">
        <x:f>'CAPEX'!EM102</x:f>
      </x:c>
      <x:c r="EN19" s="117" t="n">
        <x:f>'CAPEX'!EN102</x:f>
      </x:c>
      <x:c r="EO19" s="117" t="n">
        <x:f>'CAPEX'!EO102</x:f>
      </x:c>
      <x:c r="EP19" s="117" t="n">
        <x:f>'CAPEX'!EP102</x:f>
      </x:c>
      <x:c r="EQ19" s="117" t="n">
        <x:f>'CAPEX'!EQ102</x:f>
      </x:c>
      <x:c r="ER19" s="117" t="n">
        <x:f>'CAPEX'!ER102</x:f>
      </x:c>
      <x:c r="ES19" s="117" t="n">
        <x:f>'CAPEX'!ES102</x:f>
      </x:c>
      <x:c r="ET19" s="117" t="n">
        <x:f>'CAPEX'!ET102</x:f>
      </x:c>
      <x:c r="EU19" s="117" t="n">
        <x:f>'CAPEX'!EU102</x:f>
      </x:c>
      <x:c r="EV19" s="117" t="n">
        <x:f>'CAPEX'!EV102</x:f>
      </x:c>
      <x:c r="EW19" s="117" t="n">
        <x:f>'CAPEX'!EW102</x:f>
      </x:c>
      <x:c r="EX19" s="117" t="n">
        <x:f>'CAPEX'!EX102</x:f>
      </x:c>
      <x:c r="EY19" s="117" t="n">
        <x:f>'CAPEX'!EY102</x:f>
      </x:c>
      <x:c r="EZ19" s="117" t="n">
        <x:f>'CAPEX'!EZ102</x:f>
      </x:c>
      <x:c r="FA19" s="117" t="n">
        <x:f>'CAPEX'!FA102</x:f>
      </x:c>
      <x:c r="FB19" s="117" t="n">
        <x:f>'CAPEX'!FB102</x:f>
      </x:c>
      <x:c r="FC19" s="117" t="n">
        <x:f>'CAPEX'!FC102</x:f>
      </x:c>
      <x:c r="FD19" s="117" t="n">
        <x:f>'CAPEX'!FD102</x:f>
      </x:c>
      <x:c r="FE19" s="117" t="n">
        <x:f>'CAPEX'!FE102</x:f>
      </x:c>
      <x:c r="FF19" s="117" t="n">
        <x:f>'CAPEX'!FF102</x:f>
      </x:c>
      <x:c r="FG19" s="117" t="n">
        <x:f>'CAPEX'!FG102</x:f>
      </x:c>
      <x:c r="FH19" s="117" t="n">
        <x:f>'CAPEX'!FH102</x:f>
      </x:c>
      <x:c r="FI19" s="117" t="n">
        <x:f>'CAPEX'!FI102</x:f>
      </x:c>
      <x:c r="FJ19" s="117" t="n">
        <x:f>'CAPEX'!FJ102</x:f>
      </x:c>
      <x:c r="FK19" s="117" t="n">
        <x:f>'CAPEX'!FK102</x:f>
      </x:c>
      <x:c r="FL19" s="117" t="n">
        <x:f>'CAPEX'!FL102</x:f>
      </x:c>
      <x:c r="FM19" s="117" t="n">
        <x:f>'CAPEX'!FM102</x:f>
      </x:c>
      <x:c r="FN19" s="117" t="n">
        <x:f>'CAPEX'!FN102</x:f>
      </x:c>
      <x:c r="FO19" s="117" t="n">
        <x:f>'CAPEX'!FO102</x:f>
      </x:c>
      <x:c r="FP19" s="117" t="n">
        <x:f>'CAPEX'!FP102</x:f>
      </x:c>
      <x:c r="FQ19" s="117" t="n">
        <x:f>'CAPEX'!FQ102</x:f>
      </x:c>
      <x:c r="FR19" s="117" t="n">
        <x:f>'CAPEX'!FR102</x:f>
      </x:c>
      <x:c r="FS19" s="117" t="n">
        <x:f>'CAPEX'!FS102</x:f>
      </x:c>
      <x:c r="FT19" s="117" t="n">
        <x:f>'CAPEX'!FT102</x:f>
      </x:c>
      <x:c r="FU19" s="117" t="n">
        <x:f>'CAPEX'!FU102</x:f>
      </x:c>
      <x:c r="FV19" s="117" t="n">
        <x:f>'CAPEX'!FV102</x:f>
      </x:c>
      <x:c r="FW19" s="117" t="n">
        <x:f>'CAPEX'!FW102</x:f>
      </x:c>
      <x:c r="FX19" s="117" t="n">
        <x:f>'CAPEX'!FX102</x:f>
      </x:c>
      <x:c r="FY19" s="117" t="n">
        <x:f>'CAPEX'!FY102</x:f>
      </x:c>
      <x:c r="FZ19" s="117" t="n">
        <x:f>'CAPEX'!FZ102</x:f>
      </x:c>
      <x:c r="GA19" s="117" t="n">
        <x:f>'CAPEX'!GA102</x:f>
      </x:c>
    </x:row>
    <x:row r="20">
      <x:c r="A20" s="113" t="str">
        <x:v>Расходы проекта всего</x:v>
      </x:c>
      <x:c r="B20" s="113" t="n">
        <x:f>SUM(D20:GA20)</x:f>
      </x:c>
      <x:c r="C20" s="113" t="str">
        <x:v>млн ₽</x:v>
      </x:c>
      <x:c r="D20" s="120" t="n">
        <x:f>SUM(D17:D19)</x:f>
      </x:c>
      <x:c r="E20" s="120" t="n">
        <x:f>SUM(E17:E19)</x:f>
      </x:c>
      <x:c r="F20" s="120" t="n">
        <x:f>SUM(F17:F19)</x:f>
      </x:c>
      <x:c r="G20" s="120" t="n">
        <x:f>SUM(G17:G19)</x:f>
      </x:c>
      <x:c r="H20" s="120" t="n">
        <x:f>SUM(H17:H19)</x:f>
      </x:c>
      <x:c r="I20" s="120" t="n">
        <x:f>SUM(I17:I19)</x:f>
      </x:c>
      <x:c r="J20" s="120" t="n">
        <x:f>SUM(J17:J19)</x:f>
      </x:c>
      <x:c r="K20" s="120" t="n">
        <x:f>SUM(K17:K19)</x:f>
      </x:c>
      <x:c r="L20" s="120" t="n">
        <x:f>SUM(L17:L19)</x:f>
      </x:c>
      <x:c r="M20" s="120" t="n">
        <x:f>SUM(M17:M19)</x:f>
      </x:c>
      <x:c r="N20" s="120" t="n">
        <x:f>SUM(N17:N19)</x:f>
      </x:c>
      <x:c r="O20" s="120" t="n">
        <x:f>SUM(O17:O19)</x:f>
      </x:c>
      <x:c r="P20" s="120" t="n">
        <x:f>SUM(P17:P19)</x:f>
      </x:c>
      <x:c r="Q20" s="120" t="n">
        <x:f>SUM(Q17:Q19)</x:f>
      </x:c>
      <x:c r="R20" s="120" t="n">
        <x:f>SUM(R17:R19)</x:f>
      </x:c>
      <x:c r="S20" s="120" t="n">
        <x:f>SUM(S17:S19)</x:f>
      </x:c>
      <x:c r="T20" s="120" t="n">
        <x:f>SUM(T17:T19)</x:f>
      </x:c>
      <x:c r="U20" s="120" t="n">
        <x:f>SUM(U17:U19)</x:f>
      </x:c>
      <x:c r="V20" s="120" t="n">
        <x:f>SUM(V17:V19)</x:f>
      </x:c>
      <x:c r="W20" s="120" t="n">
        <x:f>SUM(W17:W19)</x:f>
      </x:c>
      <x:c r="X20" s="120" t="n">
        <x:f>SUM(X17:X19)</x:f>
      </x:c>
      <x:c r="Y20" s="120" t="n">
        <x:f>SUM(Y17:Y19)</x:f>
      </x:c>
      <x:c r="Z20" s="120" t="n">
        <x:f>SUM(Z17:Z19)</x:f>
      </x:c>
      <x:c r="AA20" s="120" t="n">
        <x:f>SUM(AA17:AA19)</x:f>
      </x:c>
      <x:c r="AB20" s="120" t="n">
        <x:f>SUM(AB17:AB19)</x:f>
      </x:c>
      <x:c r="AC20" s="120" t="n">
        <x:f>SUM(AC17:AC19)</x:f>
      </x:c>
      <x:c r="AD20" s="120" t="n">
        <x:f>SUM(AD17:AD19)</x:f>
      </x:c>
      <x:c r="AE20" s="120" t="n">
        <x:f>SUM(AE17:AE19)</x:f>
      </x:c>
      <x:c r="AF20" s="120" t="n">
        <x:f>SUM(AF17:AF19)</x:f>
      </x:c>
      <x:c r="AG20" s="120" t="n">
        <x:f>SUM(AG17:AG19)</x:f>
      </x:c>
      <x:c r="AH20" s="120" t="n">
        <x:f>SUM(AH17:AH19)</x:f>
      </x:c>
      <x:c r="AI20" s="120" t="n">
        <x:f>SUM(AI17:AI19)</x:f>
      </x:c>
      <x:c r="AJ20" s="120" t="n">
        <x:f>SUM(AJ17:AJ19)</x:f>
      </x:c>
      <x:c r="AK20" s="120" t="n">
        <x:f>SUM(AK17:AK19)</x:f>
      </x:c>
      <x:c r="AL20" s="120" t="n">
        <x:f>SUM(AL17:AL19)</x:f>
      </x:c>
      <x:c r="AM20" s="120" t="n">
        <x:f>SUM(AM17:AM19)</x:f>
      </x:c>
      <x:c r="AN20" s="120" t="n">
        <x:f>SUM(AN17:AN19)</x:f>
      </x:c>
      <x:c r="AO20" s="120" t="n">
        <x:f>SUM(AO17:AO19)</x:f>
      </x:c>
      <x:c r="AP20" s="120" t="n">
        <x:f>SUM(AP17:AP19)</x:f>
      </x:c>
      <x:c r="AQ20" s="120" t="n">
        <x:f>SUM(AQ17:AQ19)</x:f>
      </x:c>
      <x:c r="AR20" s="120" t="n">
        <x:f>SUM(AR17:AR19)</x:f>
      </x:c>
      <x:c r="AS20" s="120" t="n">
        <x:f>SUM(AS17:AS19)</x:f>
      </x:c>
      <x:c r="AT20" s="120" t="n">
        <x:f>SUM(AT17:AT19)</x:f>
      </x:c>
      <x:c r="AU20" s="120" t="n">
        <x:f>SUM(AU17:AU19)</x:f>
      </x:c>
      <x:c r="AV20" s="120" t="n">
        <x:f>SUM(AV17:AV19)</x:f>
      </x:c>
      <x:c r="AW20" s="120" t="n">
        <x:f>SUM(AW17:AW19)</x:f>
      </x:c>
      <x:c r="AX20" s="120" t="n">
        <x:f>SUM(AX17:AX19)</x:f>
      </x:c>
      <x:c r="AY20" s="120" t="n">
        <x:f>SUM(AY17:AY19)</x:f>
      </x:c>
      <x:c r="AZ20" s="120" t="n">
        <x:f>SUM(AZ17:AZ19)</x:f>
      </x:c>
      <x:c r="BA20" s="120" t="n">
        <x:f>SUM(BA17:BA19)</x:f>
      </x:c>
      <x:c r="BB20" s="120" t="n">
        <x:f>SUM(BB17:BB19)</x:f>
      </x:c>
      <x:c r="BC20" s="120" t="n">
        <x:f>SUM(BC17:BC19)</x:f>
      </x:c>
      <x:c r="BD20" s="120" t="n">
        <x:f>SUM(BD17:BD19)</x:f>
      </x:c>
      <x:c r="BE20" s="120" t="n">
        <x:f>SUM(BE17:BE19)</x:f>
      </x:c>
      <x:c r="BF20" s="120" t="n">
        <x:f>SUM(BF17:BF19)</x:f>
      </x:c>
      <x:c r="BG20" s="120" t="n">
        <x:f>SUM(BG17:BG19)</x:f>
      </x:c>
      <x:c r="BH20" s="120" t="n">
        <x:f>SUM(BH17:BH19)</x:f>
      </x:c>
      <x:c r="BI20" s="120" t="n">
        <x:f>SUM(BI17:BI19)</x:f>
      </x:c>
      <x:c r="BJ20" s="120" t="n">
        <x:f>SUM(BJ17:BJ19)</x:f>
      </x:c>
      <x:c r="BK20" s="120" t="n">
        <x:f>SUM(BK17:BK19)</x:f>
      </x:c>
      <x:c r="BL20" s="120" t="n">
        <x:f>SUM(BL17:BL19)</x:f>
      </x:c>
      <x:c r="BM20" s="120" t="n">
        <x:f>SUM(BM17:BM19)</x:f>
      </x:c>
      <x:c r="BN20" s="120" t="n">
        <x:f>SUM(BN17:BN19)</x:f>
      </x:c>
      <x:c r="BO20" s="120" t="n">
        <x:f>SUM(BO17:BO19)</x:f>
      </x:c>
      <x:c r="BP20" s="120" t="n">
        <x:f>SUM(BP17:BP19)</x:f>
      </x:c>
      <x:c r="BQ20" s="120" t="n">
        <x:f>SUM(BQ17:BQ19)</x:f>
      </x:c>
      <x:c r="BR20" s="120" t="n">
        <x:f>SUM(BR17:BR19)</x:f>
      </x:c>
      <x:c r="BS20" s="120" t="n">
        <x:f>SUM(BS17:BS19)</x:f>
      </x:c>
      <x:c r="BT20" s="120" t="n">
        <x:f>SUM(BT17:BT19)</x:f>
      </x:c>
      <x:c r="BU20" s="120" t="n">
        <x:f>SUM(BU17:BU19)</x:f>
      </x:c>
      <x:c r="BV20" s="120" t="n">
        <x:f>SUM(BV17:BV19)</x:f>
      </x:c>
      <x:c r="BW20" s="120" t="n">
        <x:f>SUM(BW17:BW19)</x:f>
      </x:c>
      <x:c r="BX20" s="120" t="n">
        <x:f>SUM(BX17:BX19)</x:f>
      </x:c>
      <x:c r="BY20" s="120" t="n">
        <x:f>SUM(BY17:BY19)</x:f>
      </x:c>
      <x:c r="BZ20" s="120" t="n">
        <x:f>SUM(BZ17:BZ19)</x:f>
      </x:c>
      <x:c r="CA20" s="120" t="n">
        <x:f>SUM(CA17:CA19)</x:f>
      </x:c>
      <x:c r="CB20" s="120" t="n">
        <x:f>SUM(CB17:CB19)</x:f>
      </x:c>
      <x:c r="CC20" s="120" t="n">
        <x:f>SUM(CC17:CC19)</x:f>
      </x:c>
      <x:c r="CD20" s="120" t="n">
        <x:f>SUM(CD17:CD19)</x:f>
      </x:c>
      <x:c r="CE20" s="120" t="n">
        <x:f>SUM(CE17:CE19)</x:f>
      </x:c>
      <x:c r="CF20" s="120" t="n">
        <x:f>SUM(CF17:CF19)</x:f>
      </x:c>
      <x:c r="CG20" s="120" t="n">
        <x:f>SUM(CG17:CG19)</x:f>
      </x:c>
      <x:c r="CH20" s="120" t="n">
        <x:f>SUM(CH17:CH19)</x:f>
      </x:c>
      <x:c r="CI20" s="120" t="n">
        <x:f>SUM(CI17:CI19)</x:f>
      </x:c>
      <x:c r="CJ20" s="120" t="n">
        <x:f>SUM(CJ17:CJ19)</x:f>
      </x:c>
      <x:c r="CK20" s="120" t="n">
        <x:f>SUM(CK17:CK19)</x:f>
      </x:c>
      <x:c r="CL20" s="120" t="n">
        <x:f>SUM(CL17:CL19)</x:f>
      </x:c>
      <x:c r="CM20" s="120" t="n">
        <x:f>SUM(CM17:CM19)</x:f>
      </x:c>
      <x:c r="CN20" s="120" t="n">
        <x:f>SUM(CN17:CN19)</x:f>
      </x:c>
      <x:c r="CO20" s="120" t="n">
        <x:f>SUM(CO17:CO19)</x:f>
      </x:c>
      <x:c r="CP20" s="120" t="n">
        <x:f>SUM(CP17:CP19)</x:f>
      </x:c>
      <x:c r="CQ20" s="120" t="n">
        <x:f>SUM(CQ17:CQ19)</x:f>
      </x:c>
      <x:c r="CR20" s="120" t="n">
        <x:f>SUM(CR17:CR19)</x:f>
      </x:c>
      <x:c r="CS20" s="120" t="n">
        <x:f>SUM(CS17:CS19)</x:f>
      </x:c>
      <x:c r="CT20" s="120" t="n">
        <x:f>SUM(CT17:CT19)</x:f>
      </x:c>
      <x:c r="CU20" s="120" t="n">
        <x:f>SUM(CU17:CU19)</x:f>
      </x:c>
      <x:c r="CV20" s="120" t="n">
        <x:f>SUM(CV17:CV19)</x:f>
      </x:c>
      <x:c r="CW20" s="120" t="n">
        <x:f>SUM(CW17:CW19)</x:f>
      </x:c>
      <x:c r="CX20" s="120" t="n">
        <x:f>SUM(CX17:CX19)</x:f>
      </x:c>
      <x:c r="CY20" s="120" t="n">
        <x:f>SUM(CY17:CY19)</x:f>
      </x:c>
      <x:c r="CZ20" s="120" t="n">
        <x:f>SUM(CZ17:CZ19)</x:f>
      </x:c>
      <x:c r="DA20" s="120" t="n">
        <x:f>SUM(DA17:DA19)</x:f>
      </x:c>
      <x:c r="DB20" s="120" t="n">
        <x:f>SUM(DB17:DB19)</x:f>
      </x:c>
      <x:c r="DC20" s="120" t="n">
        <x:f>SUM(DC17:DC19)</x:f>
      </x:c>
      <x:c r="DD20" s="120" t="n">
        <x:f>SUM(DD17:DD19)</x:f>
      </x:c>
      <x:c r="DE20" s="120" t="n">
        <x:f>SUM(DE17:DE19)</x:f>
      </x:c>
      <x:c r="DF20" s="120" t="n">
        <x:f>SUM(DF17:DF19)</x:f>
      </x:c>
      <x:c r="DG20" s="120" t="n">
        <x:f>SUM(DG17:DG19)</x:f>
      </x:c>
      <x:c r="DH20" s="120" t="n">
        <x:f>SUM(DH17:DH19)</x:f>
      </x:c>
      <x:c r="DI20" s="120" t="n">
        <x:f>SUM(DI17:DI19)</x:f>
      </x:c>
      <x:c r="DJ20" s="120" t="n">
        <x:f>SUM(DJ17:DJ19)</x:f>
      </x:c>
      <x:c r="DK20" s="120" t="n">
        <x:f>SUM(DK17:DK19)</x:f>
      </x:c>
      <x:c r="DL20" s="120" t="n">
        <x:f>SUM(DL17:DL19)</x:f>
      </x:c>
      <x:c r="DM20" s="120" t="n">
        <x:f>SUM(DM17:DM19)</x:f>
      </x:c>
      <x:c r="DN20" s="120" t="n">
        <x:f>SUM(DN17:DN19)</x:f>
      </x:c>
      <x:c r="DO20" s="120" t="n">
        <x:f>SUM(DO17:DO19)</x:f>
      </x:c>
      <x:c r="DP20" s="120" t="n">
        <x:f>SUM(DP17:DP19)</x:f>
      </x:c>
      <x:c r="DQ20" s="120" t="n">
        <x:f>SUM(DQ17:DQ19)</x:f>
      </x:c>
      <x:c r="DR20" s="120" t="n">
        <x:f>SUM(DR17:DR19)</x:f>
      </x:c>
      <x:c r="DS20" s="120" t="n">
        <x:f>SUM(DS17:DS19)</x:f>
      </x:c>
      <x:c r="DT20" s="120" t="n">
        <x:f>SUM(DT17:DT19)</x:f>
      </x:c>
      <x:c r="DU20" s="120" t="n">
        <x:f>SUM(DU17:DU19)</x:f>
      </x:c>
      <x:c r="DV20" s="120" t="n">
        <x:f>SUM(DV17:DV19)</x:f>
      </x:c>
      <x:c r="DW20" s="120" t="n">
        <x:f>SUM(DW17:DW19)</x:f>
      </x:c>
      <x:c r="DX20" s="120" t="n">
        <x:f>SUM(DX17:DX19)</x:f>
      </x:c>
      <x:c r="DY20" s="120" t="n">
        <x:f>SUM(DY17:DY19)</x:f>
      </x:c>
      <x:c r="DZ20" s="120" t="n">
        <x:f>SUM(DZ17:DZ19)</x:f>
      </x:c>
      <x:c r="EA20" s="120" t="n">
        <x:f>SUM(EA17:EA19)</x:f>
      </x:c>
      <x:c r="EB20" s="120" t="n">
        <x:f>SUM(EB17:EB19)</x:f>
      </x:c>
      <x:c r="EC20" s="120" t="n">
        <x:f>SUM(EC17:EC19)</x:f>
      </x:c>
      <x:c r="ED20" s="120" t="n">
        <x:f>SUM(ED17:ED19)</x:f>
      </x:c>
      <x:c r="EE20" s="120" t="n">
        <x:f>SUM(EE17:EE19)</x:f>
      </x:c>
      <x:c r="EF20" s="120" t="n">
        <x:f>SUM(EF17:EF19)</x:f>
      </x:c>
      <x:c r="EG20" s="120" t="n">
        <x:f>SUM(EG17:EG19)</x:f>
      </x:c>
      <x:c r="EH20" s="120" t="n">
        <x:f>SUM(EH17:EH19)</x:f>
      </x:c>
      <x:c r="EI20" s="120" t="n">
        <x:f>SUM(EI17:EI19)</x:f>
      </x:c>
      <x:c r="EJ20" s="120" t="n">
        <x:f>SUM(EJ17:EJ19)</x:f>
      </x:c>
      <x:c r="EK20" s="120" t="n">
        <x:f>SUM(EK17:EK19)</x:f>
      </x:c>
      <x:c r="EL20" s="120" t="n">
        <x:f>SUM(EL17:EL19)</x:f>
      </x:c>
      <x:c r="EM20" s="120" t="n">
        <x:f>SUM(EM17:EM19)</x:f>
      </x:c>
      <x:c r="EN20" s="120" t="n">
        <x:f>SUM(EN17:EN19)</x:f>
      </x:c>
      <x:c r="EO20" s="120" t="n">
        <x:f>SUM(EO17:EO19)</x:f>
      </x:c>
      <x:c r="EP20" s="120" t="n">
        <x:f>SUM(EP17:EP19)</x:f>
      </x:c>
      <x:c r="EQ20" s="120" t="n">
        <x:f>SUM(EQ17:EQ19)</x:f>
      </x:c>
      <x:c r="ER20" s="120" t="n">
        <x:f>SUM(ER17:ER19)</x:f>
      </x:c>
      <x:c r="ES20" s="120" t="n">
        <x:f>SUM(ES17:ES19)</x:f>
      </x:c>
      <x:c r="ET20" s="120" t="n">
        <x:f>SUM(ET17:ET19)</x:f>
      </x:c>
      <x:c r="EU20" s="120" t="n">
        <x:f>SUM(EU17:EU19)</x:f>
      </x:c>
      <x:c r="EV20" s="120" t="n">
        <x:f>SUM(EV17:EV19)</x:f>
      </x:c>
      <x:c r="EW20" s="120" t="n">
        <x:f>SUM(EW17:EW19)</x:f>
      </x:c>
      <x:c r="EX20" s="120" t="n">
        <x:f>SUM(EX17:EX19)</x:f>
      </x:c>
      <x:c r="EY20" s="120" t="n">
        <x:f>SUM(EY17:EY19)</x:f>
      </x:c>
      <x:c r="EZ20" s="120" t="n">
        <x:f>SUM(EZ17:EZ19)</x:f>
      </x:c>
      <x:c r="FA20" s="120" t="n">
        <x:f>SUM(FA17:FA19)</x:f>
      </x:c>
      <x:c r="FB20" s="120" t="n">
        <x:f>SUM(FB17:FB19)</x:f>
      </x:c>
      <x:c r="FC20" s="120" t="n">
        <x:f>SUM(FC17:FC19)</x:f>
      </x:c>
      <x:c r="FD20" s="120" t="n">
        <x:f>SUM(FD17:FD19)</x:f>
      </x:c>
      <x:c r="FE20" s="120" t="n">
        <x:f>SUM(FE17:FE19)</x:f>
      </x:c>
      <x:c r="FF20" s="120" t="n">
        <x:f>SUM(FF17:FF19)</x:f>
      </x:c>
      <x:c r="FG20" s="120" t="n">
        <x:f>SUM(FG17:FG19)</x:f>
      </x:c>
      <x:c r="FH20" s="120" t="n">
        <x:f>SUM(FH17:FH19)</x:f>
      </x:c>
      <x:c r="FI20" s="120" t="n">
        <x:f>SUM(FI17:FI19)</x:f>
      </x:c>
      <x:c r="FJ20" s="120" t="n">
        <x:f>SUM(FJ17:FJ19)</x:f>
      </x:c>
      <x:c r="FK20" s="120" t="n">
        <x:f>SUM(FK17:FK19)</x:f>
      </x:c>
      <x:c r="FL20" s="120" t="n">
        <x:f>SUM(FL17:FL19)</x:f>
      </x:c>
      <x:c r="FM20" s="120" t="n">
        <x:f>SUM(FM17:FM19)</x:f>
      </x:c>
      <x:c r="FN20" s="120" t="n">
        <x:f>SUM(FN17:FN19)</x:f>
      </x:c>
      <x:c r="FO20" s="120" t="n">
        <x:f>SUM(FO17:FO19)</x:f>
      </x:c>
      <x:c r="FP20" s="120" t="n">
        <x:f>SUM(FP17:FP19)</x:f>
      </x:c>
      <x:c r="FQ20" s="120" t="n">
        <x:f>SUM(FQ17:FQ19)</x:f>
      </x:c>
      <x:c r="FR20" s="120" t="n">
        <x:f>SUM(FR17:FR19)</x:f>
      </x:c>
      <x:c r="FS20" s="120" t="n">
        <x:f>SUM(FS17:FS19)</x:f>
      </x:c>
      <x:c r="FT20" s="120" t="n">
        <x:f>SUM(FT17:FT19)</x:f>
      </x:c>
      <x:c r="FU20" s="120" t="n">
        <x:f>SUM(FU17:FU19)</x:f>
      </x:c>
      <x:c r="FV20" s="120" t="n">
        <x:f>SUM(FV17:FV19)</x:f>
      </x:c>
      <x:c r="FW20" s="120" t="n">
        <x:f>SUM(FW17:FW19)</x:f>
      </x:c>
      <x:c r="FX20" s="120" t="n">
        <x:f>SUM(FX17:FX19)</x:f>
      </x:c>
      <x:c r="FY20" s="120" t="n">
        <x:f>SUM(FY17:FY19)</x:f>
      </x:c>
      <x:c r="FZ20" s="120" t="n">
        <x:f>SUM(FZ17:FZ19)</x:f>
      </x:c>
      <x:c r="GA20" s="120" t="n">
        <x:f>SUM(GA17:GA19)</x:f>
      </x:c>
    </x:row>
    <x:row r="21">
      <x:c r="A21" t="str">
        <x:v>НДС к уплате</x:v>
      </x:c>
      <x:c r="B21" t="n">
        <x:f>SUM(D21:GA21)</x:f>
      </x:c>
      <x:c r="C21" t="str">
        <x:v>млн ₽</x:v>
      </x:c>
      <x:c r="D21" s="117" t="n">
        <x:f>IF(D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E21" s="117" t="n">
        <x:f>IF(E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F21" s="117" t="n">
        <x:f>IF(F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G21" s="117" t="n">
        <x:f>IF(G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H21" s="117" t="n">
        <x:f>IF(H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I21" s="117" t="n">
        <x:f>IF(I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J21" s="117" t="n">
        <x:f>IF(J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K21" s="117" t="n">
        <x:f>IF(K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L21" s="117" t="n">
        <x:f>IF(L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M21" s="117" t="n">
        <x:f>IF(M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N21" s="117" t="n">
        <x:f>IF(N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O21" s="117" t="n">
        <x:f>IF(O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P21" s="117" t="n">
        <x:f>IF(P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Q21" s="117" t="n">
        <x:f>IF(Q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R21" s="117" t="n">
        <x:f>IF(R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S21" s="117" t="n">
        <x:f>IF(S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T21" s="117" t="n">
        <x:f>IF(T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U21" s="117" t="n">
        <x:f>IF(U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V21" s="117" t="n">
        <x:f>IF(V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W21" s="117" t="n">
        <x:f>IF(W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X21" s="117" t="n">
        <x:f>IF(X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Y21" s="117" t="n">
        <x:f>IF(Y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Z21" s="117" t="n">
        <x:f>IF(Z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AA21" s="117" t="n">
        <x:f>IF(AA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AB21" s="117" t="n">
        <x:f>IF(AB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AC21" s="117" t="n">
        <x:f>IF(AC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AD21" s="117" t="n">
        <x:f>IF(AD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AE21" s="117" t="n">
        <x:f>IF(AE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AF21" s="117" t="n">
        <x:f>IF(AF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AG21" s="117" t="n">
        <x:f>IF(AG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AH21" s="117" t="n">
        <x:f>IF(AH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AI21" s="117" t="n">
        <x:f>IF(AI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AJ21" s="117" t="n">
        <x:f>IF(AJ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AK21" s="117" t="n">
        <x:f>IF(AK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AL21" s="117" t="n">
        <x:f>IF(AL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AM21" s="117" t="n">
        <x:f>IF(AM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AN21" s="117" t="n">
        <x:f>IF(AN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AO21" s="117" t="n">
        <x:f>IF(AO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AP21" s="117" t="n">
        <x:f>IF(AP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AQ21" s="117" t="n">
        <x:f>IF(AQ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AR21" s="117" t="n">
        <x:f>IF(AR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AS21" s="117" t="n">
        <x:f>IF(AS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AT21" s="117" t="n">
        <x:f>IF(AT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AU21" s="117" t="n">
        <x:f>IF(AU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AV21" s="117" t="n">
        <x:f>IF(AV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AW21" s="117" t="n">
        <x:f>IF(AW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AX21" s="117" t="n">
        <x:f>IF(AX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AY21" s="117" t="n">
        <x:f>IF(AY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AZ21" s="117" t="n">
        <x:f>IF(AZ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BA21" s="117" t="n">
        <x:f>IF(BA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BB21" s="117" t="n">
        <x:f>IF(BB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BC21" s="117" t="n">
        <x:f>IF(BC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BD21" s="117" t="n">
        <x:f>IF(BD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BE21" s="117" t="n">
        <x:f>IF(BE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BF21" s="117" t="n">
        <x:f>IF(BF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BG21" s="117" t="n">
        <x:f>IF(BG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BH21" s="117" t="n">
        <x:f>IF(BH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BI21" s="117" t="n">
        <x:f>IF(BI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BJ21" s="117" t="n">
        <x:f>IF(BJ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BK21" s="117" t="n">
        <x:f>IF(BK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BL21" s="117" t="n">
        <x:f>IF(BL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BM21" s="117" t="n">
        <x:f>IF(BM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BN21" s="117" t="n">
        <x:f>IF(BN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BO21" s="117" t="n">
        <x:f>IF(BO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BP21" s="117" t="n">
        <x:f>IF(BP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BQ21" s="117" t="n">
        <x:f>IF(BQ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BR21" s="117" t="n">
        <x:f>IF(BR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BS21" s="117" t="n">
        <x:f>IF(BS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BT21" s="117" t="n">
        <x:f>IF(BT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BU21" s="117" t="n">
        <x:f>IF(BU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BV21" s="117" t="n">
        <x:f>IF(BV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BW21" s="117" t="n">
        <x:f>IF(BW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BX21" s="117" t="n">
        <x:f>IF(BX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BY21" s="117" t="n">
        <x:f>IF(BY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BZ21" s="117" t="n">
        <x:f>IF(BZ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CA21" s="117" t="n">
        <x:f>IF(CA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CB21" s="117" t="n">
        <x:f>IF(CB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CC21" s="117" t="n">
        <x:f>IF(CC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CD21" s="117" t="n">
        <x:f>IF(CD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CE21" s="117" t="n">
        <x:f>IF(CE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CF21" s="117" t="n">
        <x:f>IF(CF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CG21" s="117" t="n">
        <x:f>IF(CG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CH21" s="117" t="n">
        <x:f>IF(CH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CI21" s="117" t="n">
        <x:f>IF(CI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CJ21" s="117" t="n">
        <x:f>IF(CJ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CK21" s="117" t="n">
        <x:f>IF(CK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CL21" s="117" t="n">
        <x:f>IF(CL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CM21" s="117" t="n">
        <x:f>IF(CM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CN21" s="117" t="n">
        <x:f>IF(CN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CO21" s="117" t="n">
        <x:f>IF(CO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CP21" s="117" t="n">
        <x:f>IF(CP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CQ21" s="117" t="n">
        <x:f>IF(CQ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CR21" s="117" t="n">
        <x:f>IF(CR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CS21" s="117" t="n">
        <x:f>IF(CS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CT21" s="117" t="n">
        <x:f>IF(CT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CU21" s="117" t="n">
        <x:f>IF(CU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CV21" s="117" t="n">
        <x:f>IF(CV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CW21" s="117" t="n">
        <x:f>IF(CW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CX21" s="117" t="n">
        <x:f>IF(CX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CY21" s="117" t="n">
        <x:f>IF(CY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CZ21" s="117" t="n">
        <x:f>IF(CZ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DA21" s="117" t="n">
        <x:f>IF(DA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DB21" s="117" t="n">
        <x:f>IF(DB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DC21" s="117" t="n">
        <x:f>IF(DC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DD21" s="117" t="n">
        <x:f>IF(DD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DE21" s="117" t="n">
        <x:f>IF(DE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DF21" s="117" t="n">
        <x:f>IF(DF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DG21" s="117" t="n">
        <x:f>IF(DG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DH21" s="117" t="n">
        <x:f>IF(DH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DI21" s="117" t="n">
        <x:f>IF(DI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DJ21" s="117" t="n">
        <x:f>IF(DJ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DK21" s="117" t="n">
        <x:f>IF(DK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DL21" s="117" t="n">
        <x:f>IF(DL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DM21" s="117" t="n">
        <x:f>IF(DM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DN21" s="117" t="n">
        <x:f>IF(DN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DO21" s="117" t="n">
        <x:f>IF(DO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DP21" s="117" t="n">
        <x:f>IF(DP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DQ21" s="117" t="n">
        <x:f>IF(DQ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DR21" s="117" t="n">
        <x:f>IF(DR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DS21" s="117" t="n">
        <x:f>IF(DS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DT21" s="117" t="n">
        <x:f>IF(DT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DU21" s="117" t="n">
        <x:f>IF(DU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DV21" s="117" t="n">
        <x:f>IF(DV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DW21" s="117" t="n">
        <x:f>IF(DW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DX21" s="117" t="n">
        <x:f>IF(DX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DY21" s="117" t="n">
        <x:f>IF(DY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DZ21" s="117" t="n">
        <x:f>IF(DZ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EA21" s="117" t="n">
        <x:f>IF(EA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EB21" s="117" t="n">
        <x:f>IF(EB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EC21" s="117" t="n">
        <x:f>IF(EC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ED21" s="117" t="n">
        <x:f>IF(ED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EE21" s="117" t="n">
        <x:f>IF(EE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EF21" s="117" t="n">
        <x:f>IF(EF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EG21" s="117" t="n">
        <x:f>IF(EG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EH21" s="117" t="n">
        <x:f>IF(EH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EI21" s="117" t="n">
        <x:f>IF(EI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EJ21" s="117" t="n">
        <x:f>IF(EJ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EK21" s="117" t="n">
        <x:f>IF(EK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EL21" s="117" t="n">
        <x:f>IF(EL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EM21" s="117" t="n">
        <x:f>IF(EM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EN21" s="117" t="n">
        <x:f>IF(EN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EO21" s="117" t="n">
        <x:f>IF(EO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EP21" s="117" t="n">
        <x:f>IF(EP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EQ21" s="117" t="n">
        <x:f>IF(EQ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ER21" s="117" t="n">
        <x:f>IF(ER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ES21" s="117" t="n">
        <x:f>IF(ES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ET21" s="117" t="n">
        <x:f>IF(ET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EU21" s="117" t="n">
        <x:f>IF(EU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EV21" s="117" t="n">
        <x:f>IF(EV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EW21" s="117" t="n">
        <x:f>IF(EW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EX21" s="117" t="n">
        <x:f>IF(EX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EY21" s="117" t="n">
        <x:f>IF(EY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EZ21" s="117" t="n">
        <x:f>IF(EZ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FA21" s="117" t="n">
        <x:f>IF(FA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FB21" s="117" t="n">
        <x:f>IF(FB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FC21" s="117" t="n">
        <x:f>IF(FC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FD21" s="117" t="n">
        <x:f>IF(FD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FE21" s="117" t="n">
        <x:f>IF(FE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FF21" s="117" t="n">
        <x:f>IF(FF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FG21" s="117" t="n">
        <x:f>IF(FG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FH21" s="117" t="n">
        <x:f>IF(FH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FI21" s="117" t="n">
        <x:f>IF(FI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FJ21" s="117" t="n">
        <x:f>IF(FJ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FK21" s="117" t="n">
        <x:f>IF(FK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FL21" s="117" t="n">
        <x:f>IF(FL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FM21" s="117" t="n">
        <x:f>IF(FM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FN21" s="117" t="n">
        <x:f>IF(FN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FO21" s="117" t="n">
        <x:f>IF(FO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FP21" s="117" t="n">
        <x:f>IF(FP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FQ21" s="117" t="n">
        <x:f>IF(FQ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FR21" s="117" t="n">
        <x:f>IF(FR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FS21" s="117" t="n">
        <x:f>IF(FS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FT21" s="117" t="n">
        <x:f>IF(FT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FU21" s="117" t="n">
        <x:f>IF(FU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FV21" s="117" t="n">
        <x:f>IF(FV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FW21" s="117" t="n">
        <x:f>IF(FW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FX21" s="117" t="n">
        <x:f>IF(FX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FY21" s="117" t="n">
        <x:f>IF(FY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FZ21" s="117" t="n">
        <x:f>IF(FZ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  <x:c r="GA21" s="117" t="n">
        <x:f>IF(GA$3=$B$8,MAX(0,(SUM($D$10:$GA$10)-SUM('Продажи'!$D$62:$GA$62))*('Вводные'!$B$22/(1+'Вводные'!$B$22))-(SUM($D$20:$GA$20)-'Вводные'!$B$15*'Вводные'!$P$90-'Вводные'!$B$16*'Вводные'!$Q$90)*('Вводные'!$B$22/(1+'Вводные'!$B$22))*IFERROR((SUM($D$10:$GA$10)-SUM('Продажи'!$D$62:$GA$62))/SUM($D$10:$GA$10),0)),0)</x:f>
      </x:c>
    </x:row>
    <x:row r="22">
      <x:c r="A22" t="str">
        <x:v>Налоговая прибыль текущего месяца</x:v>
      </x:c>
      <x:c r="B22"/>
      <x:c r="C22" t="str">
        <x:v>млн ₽</x:v>
      </x:c>
      <x:c r="D22" s="117">
        <x:f>D10-IFERROR((SUM($D$20:$GA$20)-'ОБЪЕКТЫ'!$B$112)*('Продажи'!D60+'Продажи'!D63+'Продажи'!D66+'Продажи'!D69)/(SUM('Продажи'!$D$60:$GA$60)+SUM('Продажи'!$D$63:$GA$63)+SUM('Продажи'!$D$66:$GA$66)+SUM('Продажи'!$D$69:$GA$69)),0)-IF('ОБЪЕКТЫ'!$B$8=3,IFERROR('ОБЪЕКТЫ'!$B$28*'ОБЪЕКТЫ'!D22/'ОБЪЕКТЫ'!$B$22,0),0)-IF('ОБЪЕКТЫ'!$B$36=3,IFERROR('ОБЪЕКТЫ'!$B$56*'ОБЪЕКТЫ'!D50/'ОБЪЕКТЫ'!$B$50,0),0)-IF('ОБЪЕКТЫ'!$B$64=3,IFERROR('ОБЪЕКТЫ'!$B$84*'ОБЪЕКТЫ'!D78/'ОБЪЕКТЫ'!$B$78,0),0)-D53-D57-D21</x:f>
      </x:c>
      <x:c r="E22" s="117">
        <x:f>E10-IFERROR((SUM($D$20:$GA$20)-'ОБЪЕКТЫ'!$B$112)*('Продажи'!E60+'Продажи'!E63+'Продажи'!E66+'Продажи'!E69)/(SUM('Продажи'!$D$60:$GA$60)+SUM('Продажи'!$D$63:$GA$63)+SUM('Продажи'!$D$66:$GA$66)+SUM('Продажи'!$D$69:$GA$69)),0)-IF('ОБЪЕКТЫ'!$B$8=3,IFERROR('ОБЪЕКТЫ'!$B$28*'ОБЪЕКТЫ'!E22/'ОБЪЕКТЫ'!$B$22,0),0)-IF('ОБЪЕКТЫ'!$B$36=3,IFERROR('ОБЪЕКТЫ'!$B$56*'ОБЪЕКТЫ'!E50/'ОБЪЕКТЫ'!$B$50,0),0)-IF('ОБЪЕКТЫ'!$B$64=3,IFERROR('ОБЪЕКТЫ'!$B$84*'ОБЪЕКТЫ'!E78/'ОБЪЕКТЫ'!$B$78,0),0)-E53-E57-E21</x:f>
      </x:c>
      <x:c r="F22" s="117">
        <x:f>F10-IFERROR((SUM($D$20:$GA$20)-'ОБЪЕКТЫ'!$B$112)*('Продажи'!F60+'Продажи'!F63+'Продажи'!F66+'Продажи'!F69)/(SUM('Продажи'!$D$60:$GA$60)+SUM('Продажи'!$D$63:$GA$63)+SUM('Продажи'!$D$66:$GA$66)+SUM('Продажи'!$D$69:$GA$69)),0)-IF('ОБЪЕКТЫ'!$B$8=3,IFERROR('ОБЪЕКТЫ'!$B$28*'ОБЪЕКТЫ'!F22/'ОБЪЕКТЫ'!$B$22,0),0)-IF('ОБЪЕКТЫ'!$B$36=3,IFERROR('ОБЪЕКТЫ'!$B$56*'ОБЪЕКТЫ'!F50/'ОБЪЕКТЫ'!$B$50,0),0)-IF('ОБЪЕКТЫ'!$B$64=3,IFERROR('ОБЪЕКТЫ'!$B$84*'ОБЪЕКТЫ'!F78/'ОБЪЕКТЫ'!$B$78,0),0)-F53-F57-F21</x:f>
      </x:c>
      <x:c r="G22" s="117">
        <x:f>G10-IFERROR((SUM($D$20:$GA$20)-'ОБЪЕКТЫ'!$B$112)*('Продажи'!G60+'Продажи'!G63+'Продажи'!G66+'Продажи'!G69)/(SUM('Продажи'!$D$60:$GA$60)+SUM('Продажи'!$D$63:$GA$63)+SUM('Продажи'!$D$66:$GA$66)+SUM('Продажи'!$D$69:$GA$69)),0)-IF('ОБЪЕКТЫ'!$B$8=3,IFERROR('ОБЪЕКТЫ'!$B$28*'ОБЪЕКТЫ'!G22/'ОБЪЕКТЫ'!$B$22,0),0)-IF('ОБЪЕКТЫ'!$B$36=3,IFERROR('ОБЪЕКТЫ'!$B$56*'ОБЪЕКТЫ'!G50/'ОБЪЕКТЫ'!$B$50,0),0)-IF('ОБЪЕКТЫ'!$B$64=3,IFERROR('ОБЪЕКТЫ'!$B$84*'ОБЪЕКТЫ'!G78/'ОБЪЕКТЫ'!$B$78,0),0)-G53-G57-G21</x:f>
      </x:c>
      <x:c r="H22" s="117">
        <x:f>H10-IFERROR((SUM($D$20:$GA$20)-'ОБЪЕКТЫ'!$B$112)*('Продажи'!H60+'Продажи'!H63+'Продажи'!H66+'Продажи'!H69)/(SUM('Продажи'!$D$60:$GA$60)+SUM('Продажи'!$D$63:$GA$63)+SUM('Продажи'!$D$66:$GA$66)+SUM('Продажи'!$D$69:$GA$69)),0)-IF('ОБЪЕКТЫ'!$B$8=3,IFERROR('ОБЪЕКТЫ'!$B$28*'ОБЪЕКТЫ'!H22/'ОБЪЕКТЫ'!$B$22,0),0)-IF('ОБЪЕКТЫ'!$B$36=3,IFERROR('ОБЪЕКТЫ'!$B$56*'ОБЪЕКТЫ'!H50/'ОБЪЕКТЫ'!$B$50,0),0)-IF('ОБЪЕКТЫ'!$B$64=3,IFERROR('ОБЪЕКТЫ'!$B$84*'ОБЪЕКТЫ'!H78/'ОБЪЕКТЫ'!$B$78,0),0)-H53-H57-H21</x:f>
      </x:c>
      <x:c r="I22" s="117">
        <x:f>I10-IFERROR((SUM($D$20:$GA$20)-'ОБЪЕКТЫ'!$B$112)*('Продажи'!I60+'Продажи'!I63+'Продажи'!I66+'Продажи'!I69)/(SUM('Продажи'!$D$60:$GA$60)+SUM('Продажи'!$D$63:$GA$63)+SUM('Продажи'!$D$66:$GA$66)+SUM('Продажи'!$D$69:$GA$69)),0)-IF('ОБЪЕКТЫ'!$B$8=3,IFERROR('ОБЪЕКТЫ'!$B$28*'ОБЪЕКТЫ'!I22/'ОБЪЕКТЫ'!$B$22,0),0)-IF('ОБЪЕКТЫ'!$B$36=3,IFERROR('ОБЪЕКТЫ'!$B$56*'ОБЪЕКТЫ'!I50/'ОБЪЕКТЫ'!$B$50,0),0)-IF('ОБЪЕКТЫ'!$B$64=3,IFERROR('ОБЪЕКТЫ'!$B$84*'ОБЪЕКТЫ'!I78/'ОБЪЕКТЫ'!$B$78,0),0)-I53-I57-I21</x:f>
      </x:c>
      <x:c r="J22" s="117">
        <x:f>J10-IFERROR((SUM($D$20:$GA$20)-'ОБЪЕКТЫ'!$B$112)*('Продажи'!J60+'Продажи'!J63+'Продажи'!J66+'Продажи'!J69)/(SUM('Продажи'!$D$60:$GA$60)+SUM('Продажи'!$D$63:$GA$63)+SUM('Продажи'!$D$66:$GA$66)+SUM('Продажи'!$D$69:$GA$69)),0)-IF('ОБЪЕКТЫ'!$B$8=3,IFERROR('ОБЪЕКТЫ'!$B$28*'ОБЪЕКТЫ'!J22/'ОБЪЕКТЫ'!$B$22,0),0)-IF('ОБЪЕКТЫ'!$B$36=3,IFERROR('ОБЪЕКТЫ'!$B$56*'ОБЪЕКТЫ'!J50/'ОБЪЕКТЫ'!$B$50,0),0)-IF('ОБЪЕКТЫ'!$B$64=3,IFERROR('ОБЪЕКТЫ'!$B$84*'ОБЪЕКТЫ'!J78/'ОБЪЕКТЫ'!$B$78,0),0)-J53-J57-J21</x:f>
      </x:c>
      <x:c r="K22" s="117">
        <x:f>K10-IFERROR((SUM($D$20:$GA$20)-'ОБЪЕКТЫ'!$B$112)*('Продажи'!K60+'Продажи'!K63+'Продажи'!K66+'Продажи'!K69)/(SUM('Продажи'!$D$60:$GA$60)+SUM('Продажи'!$D$63:$GA$63)+SUM('Продажи'!$D$66:$GA$66)+SUM('Продажи'!$D$69:$GA$69)),0)-IF('ОБЪЕКТЫ'!$B$8=3,IFERROR('ОБЪЕКТЫ'!$B$28*'ОБЪЕКТЫ'!K22/'ОБЪЕКТЫ'!$B$22,0),0)-IF('ОБЪЕКТЫ'!$B$36=3,IFERROR('ОБЪЕКТЫ'!$B$56*'ОБЪЕКТЫ'!K50/'ОБЪЕКТЫ'!$B$50,0),0)-IF('ОБЪЕКТЫ'!$B$64=3,IFERROR('ОБЪЕКТЫ'!$B$84*'ОБЪЕКТЫ'!K78/'ОБЪЕКТЫ'!$B$78,0),0)-K53-K57-K21</x:f>
      </x:c>
      <x:c r="L22" s="117">
        <x:f>L10-IFERROR((SUM($D$20:$GA$20)-'ОБЪЕКТЫ'!$B$112)*('Продажи'!L60+'Продажи'!L63+'Продажи'!L66+'Продажи'!L69)/(SUM('Продажи'!$D$60:$GA$60)+SUM('Продажи'!$D$63:$GA$63)+SUM('Продажи'!$D$66:$GA$66)+SUM('Продажи'!$D$69:$GA$69)),0)-IF('ОБЪЕКТЫ'!$B$8=3,IFERROR('ОБЪЕКТЫ'!$B$28*'ОБЪЕКТЫ'!L22/'ОБЪЕКТЫ'!$B$22,0),0)-IF('ОБЪЕКТЫ'!$B$36=3,IFERROR('ОБЪЕКТЫ'!$B$56*'ОБЪЕКТЫ'!L50/'ОБЪЕКТЫ'!$B$50,0),0)-IF('ОБЪЕКТЫ'!$B$64=3,IFERROR('ОБЪЕКТЫ'!$B$84*'ОБЪЕКТЫ'!L78/'ОБЪЕКТЫ'!$B$78,0),0)-L53-L57-L21</x:f>
      </x:c>
      <x:c r="M22" s="117">
        <x:f>M10-IFERROR((SUM($D$20:$GA$20)-'ОБЪЕКТЫ'!$B$112)*('Продажи'!M60+'Продажи'!M63+'Продажи'!M66+'Продажи'!M69)/(SUM('Продажи'!$D$60:$GA$60)+SUM('Продажи'!$D$63:$GA$63)+SUM('Продажи'!$D$66:$GA$66)+SUM('Продажи'!$D$69:$GA$69)),0)-IF('ОБЪЕКТЫ'!$B$8=3,IFERROR('ОБЪЕКТЫ'!$B$28*'ОБЪЕКТЫ'!M22/'ОБЪЕКТЫ'!$B$22,0),0)-IF('ОБЪЕКТЫ'!$B$36=3,IFERROR('ОБЪЕКТЫ'!$B$56*'ОБЪЕКТЫ'!M50/'ОБЪЕКТЫ'!$B$50,0),0)-IF('ОБЪЕКТЫ'!$B$64=3,IFERROR('ОБЪЕКТЫ'!$B$84*'ОБЪЕКТЫ'!M78/'ОБЪЕКТЫ'!$B$78,0),0)-M53-M57-M21</x:f>
      </x:c>
      <x:c r="N22" s="117">
        <x:f>N10-IFERROR((SUM($D$20:$GA$20)-'ОБЪЕКТЫ'!$B$112)*('Продажи'!N60+'Продажи'!N63+'Продажи'!N66+'Продажи'!N69)/(SUM('Продажи'!$D$60:$GA$60)+SUM('Продажи'!$D$63:$GA$63)+SUM('Продажи'!$D$66:$GA$66)+SUM('Продажи'!$D$69:$GA$69)),0)-IF('ОБЪЕКТЫ'!$B$8=3,IFERROR('ОБЪЕКТЫ'!$B$28*'ОБЪЕКТЫ'!N22/'ОБЪЕКТЫ'!$B$22,0),0)-IF('ОБЪЕКТЫ'!$B$36=3,IFERROR('ОБЪЕКТЫ'!$B$56*'ОБЪЕКТЫ'!N50/'ОБЪЕКТЫ'!$B$50,0),0)-IF('ОБЪЕКТЫ'!$B$64=3,IFERROR('ОБЪЕКТЫ'!$B$84*'ОБЪЕКТЫ'!N78/'ОБЪЕКТЫ'!$B$78,0),0)-N53-N57-N21</x:f>
      </x:c>
      <x:c r="O22" s="117">
        <x:f>O10-IFERROR((SUM($D$20:$GA$20)-'ОБЪЕКТЫ'!$B$112)*('Продажи'!O60+'Продажи'!O63+'Продажи'!O66+'Продажи'!O69)/(SUM('Продажи'!$D$60:$GA$60)+SUM('Продажи'!$D$63:$GA$63)+SUM('Продажи'!$D$66:$GA$66)+SUM('Продажи'!$D$69:$GA$69)),0)-IF('ОБЪЕКТЫ'!$B$8=3,IFERROR('ОБЪЕКТЫ'!$B$28*'ОБЪЕКТЫ'!O22/'ОБЪЕКТЫ'!$B$22,0),0)-IF('ОБЪЕКТЫ'!$B$36=3,IFERROR('ОБЪЕКТЫ'!$B$56*'ОБЪЕКТЫ'!O50/'ОБЪЕКТЫ'!$B$50,0),0)-IF('ОБЪЕКТЫ'!$B$64=3,IFERROR('ОБЪЕКТЫ'!$B$84*'ОБЪЕКТЫ'!O78/'ОБЪЕКТЫ'!$B$78,0),0)-O53-O57-O21</x:f>
      </x:c>
      <x:c r="P22" s="117">
        <x:f>P10-IFERROR((SUM($D$20:$GA$20)-'ОБЪЕКТЫ'!$B$112)*('Продажи'!P60+'Продажи'!P63+'Продажи'!P66+'Продажи'!P69)/(SUM('Продажи'!$D$60:$GA$60)+SUM('Продажи'!$D$63:$GA$63)+SUM('Продажи'!$D$66:$GA$66)+SUM('Продажи'!$D$69:$GA$69)),0)-IF('ОБЪЕКТЫ'!$B$8=3,IFERROR('ОБЪЕКТЫ'!$B$28*'ОБЪЕКТЫ'!P22/'ОБЪЕКТЫ'!$B$22,0),0)-IF('ОБЪЕКТЫ'!$B$36=3,IFERROR('ОБЪЕКТЫ'!$B$56*'ОБЪЕКТЫ'!P50/'ОБЪЕКТЫ'!$B$50,0),0)-IF('ОБЪЕКТЫ'!$B$64=3,IFERROR('ОБЪЕКТЫ'!$B$84*'ОБЪЕКТЫ'!P78/'ОБЪЕКТЫ'!$B$78,0),0)-P53-P57-P21</x:f>
      </x:c>
      <x:c r="Q22" s="117">
        <x:f>Q10-IFERROR((SUM($D$20:$GA$20)-'ОБЪЕКТЫ'!$B$112)*('Продажи'!Q60+'Продажи'!Q63+'Продажи'!Q66+'Продажи'!Q69)/(SUM('Продажи'!$D$60:$GA$60)+SUM('Продажи'!$D$63:$GA$63)+SUM('Продажи'!$D$66:$GA$66)+SUM('Продажи'!$D$69:$GA$69)),0)-IF('ОБЪЕКТЫ'!$B$8=3,IFERROR('ОБЪЕКТЫ'!$B$28*'ОБЪЕКТЫ'!Q22/'ОБЪЕКТЫ'!$B$22,0),0)-IF('ОБЪЕКТЫ'!$B$36=3,IFERROR('ОБЪЕКТЫ'!$B$56*'ОБЪЕКТЫ'!Q50/'ОБЪЕКТЫ'!$B$50,0),0)-IF('ОБЪЕКТЫ'!$B$64=3,IFERROR('ОБЪЕКТЫ'!$B$84*'ОБЪЕКТЫ'!Q78/'ОБЪЕКТЫ'!$B$78,0),0)-Q53-Q57-Q21</x:f>
      </x:c>
      <x:c r="R22" s="117">
        <x:f>R10-IFERROR((SUM($D$20:$GA$20)-'ОБЪЕКТЫ'!$B$112)*('Продажи'!R60+'Продажи'!R63+'Продажи'!R66+'Продажи'!R69)/(SUM('Продажи'!$D$60:$GA$60)+SUM('Продажи'!$D$63:$GA$63)+SUM('Продажи'!$D$66:$GA$66)+SUM('Продажи'!$D$69:$GA$69)),0)-IF('ОБЪЕКТЫ'!$B$8=3,IFERROR('ОБЪЕКТЫ'!$B$28*'ОБЪЕКТЫ'!R22/'ОБЪЕКТЫ'!$B$22,0),0)-IF('ОБЪЕКТЫ'!$B$36=3,IFERROR('ОБЪЕКТЫ'!$B$56*'ОБЪЕКТЫ'!R50/'ОБЪЕКТЫ'!$B$50,0),0)-IF('ОБЪЕКТЫ'!$B$64=3,IFERROR('ОБЪЕКТЫ'!$B$84*'ОБЪЕКТЫ'!R78/'ОБЪЕКТЫ'!$B$78,0),0)-R53-R57-R21</x:f>
      </x:c>
      <x:c r="S22" s="117">
        <x:f>S10-IFERROR((SUM($D$20:$GA$20)-'ОБЪЕКТЫ'!$B$112)*('Продажи'!S60+'Продажи'!S63+'Продажи'!S66+'Продажи'!S69)/(SUM('Продажи'!$D$60:$GA$60)+SUM('Продажи'!$D$63:$GA$63)+SUM('Продажи'!$D$66:$GA$66)+SUM('Продажи'!$D$69:$GA$69)),0)-IF('ОБЪЕКТЫ'!$B$8=3,IFERROR('ОБЪЕКТЫ'!$B$28*'ОБЪЕКТЫ'!S22/'ОБЪЕКТЫ'!$B$22,0),0)-IF('ОБЪЕКТЫ'!$B$36=3,IFERROR('ОБЪЕКТЫ'!$B$56*'ОБЪЕКТЫ'!S50/'ОБЪЕКТЫ'!$B$50,0),0)-IF('ОБЪЕКТЫ'!$B$64=3,IFERROR('ОБЪЕКТЫ'!$B$84*'ОБЪЕКТЫ'!S78/'ОБЪЕКТЫ'!$B$78,0),0)-S53-S57-S21</x:f>
      </x:c>
      <x:c r="T22" s="117">
        <x:f>T10-IFERROR((SUM($D$20:$GA$20)-'ОБЪЕКТЫ'!$B$112)*('Продажи'!T60+'Продажи'!T63+'Продажи'!T66+'Продажи'!T69)/(SUM('Продажи'!$D$60:$GA$60)+SUM('Продажи'!$D$63:$GA$63)+SUM('Продажи'!$D$66:$GA$66)+SUM('Продажи'!$D$69:$GA$69)),0)-IF('ОБЪЕКТЫ'!$B$8=3,IFERROR('ОБЪЕКТЫ'!$B$28*'ОБЪЕКТЫ'!T22/'ОБЪЕКТЫ'!$B$22,0),0)-IF('ОБЪЕКТЫ'!$B$36=3,IFERROR('ОБЪЕКТЫ'!$B$56*'ОБЪЕКТЫ'!T50/'ОБЪЕКТЫ'!$B$50,0),0)-IF('ОБЪЕКТЫ'!$B$64=3,IFERROR('ОБЪЕКТЫ'!$B$84*'ОБЪЕКТЫ'!T78/'ОБЪЕКТЫ'!$B$78,0),0)-T53-T57-T21</x:f>
      </x:c>
      <x:c r="U22" s="117">
        <x:f>U10-IFERROR((SUM($D$20:$GA$20)-'ОБЪЕКТЫ'!$B$112)*('Продажи'!U60+'Продажи'!U63+'Продажи'!U66+'Продажи'!U69)/(SUM('Продажи'!$D$60:$GA$60)+SUM('Продажи'!$D$63:$GA$63)+SUM('Продажи'!$D$66:$GA$66)+SUM('Продажи'!$D$69:$GA$69)),0)-IF('ОБЪЕКТЫ'!$B$8=3,IFERROR('ОБЪЕКТЫ'!$B$28*'ОБЪЕКТЫ'!U22/'ОБЪЕКТЫ'!$B$22,0),0)-IF('ОБЪЕКТЫ'!$B$36=3,IFERROR('ОБЪЕКТЫ'!$B$56*'ОБЪЕКТЫ'!U50/'ОБЪЕКТЫ'!$B$50,0),0)-IF('ОБЪЕКТЫ'!$B$64=3,IFERROR('ОБЪЕКТЫ'!$B$84*'ОБЪЕКТЫ'!U78/'ОБЪЕКТЫ'!$B$78,0),0)-U53-U57-U21</x:f>
      </x:c>
      <x:c r="V22" s="117">
        <x:f>V10-IFERROR((SUM($D$20:$GA$20)-'ОБЪЕКТЫ'!$B$112)*('Продажи'!V60+'Продажи'!V63+'Продажи'!V66+'Продажи'!V69)/(SUM('Продажи'!$D$60:$GA$60)+SUM('Продажи'!$D$63:$GA$63)+SUM('Продажи'!$D$66:$GA$66)+SUM('Продажи'!$D$69:$GA$69)),0)-IF('ОБЪЕКТЫ'!$B$8=3,IFERROR('ОБЪЕКТЫ'!$B$28*'ОБЪЕКТЫ'!V22/'ОБЪЕКТЫ'!$B$22,0),0)-IF('ОБЪЕКТЫ'!$B$36=3,IFERROR('ОБЪЕКТЫ'!$B$56*'ОБЪЕКТЫ'!V50/'ОБЪЕКТЫ'!$B$50,0),0)-IF('ОБЪЕКТЫ'!$B$64=3,IFERROR('ОБЪЕКТЫ'!$B$84*'ОБЪЕКТЫ'!V78/'ОБЪЕКТЫ'!$B$78,0),0)-V53-V57-V21</x:f>
      </x:c>
      <x:c r="W22" s="117">
        <x:f>W10-IFERROR((SUM($D$20:$GA$20)-'ОБЪЕКТЫ'!$B$112)*('Продажи'!W60+'Продажи'!W63+'Продажи'!W66+'Продажи'!W69)/(SUM('Продажи'!$D$60:$GA$60)+SUM('Продажи'!$D$63:$GA$63)+SUM('Продажи'!$D$66:$GA$66)+SUM('Продажи'!$D$69:$GA$69)),0)-IF('ОБЪЕКТЫ'!$B$8=3,IFERROR('ОБЪЕКТЫ'!$B$28*'ОБЪЕКТЫ'!W22/'ОБЪЕКТЫ'!$B$22,0),0)-IF('ОБЪЕКТЫ'!$B$36=3,IFERROR('ОБЪЕКТЫ'!$B$56*'ОБЪЕКТЫ'!W50/'ОБЪЕКТЫ'!$B$50,0),0)-IF('ОБЪЕКТЫ'!$B$64=3,IFERROR('ОБЪЕКТЫ'!$B$84*'ОБЪЕКТЫ'!W78/'ОБЪЕКТЫ'!$B$78,0),0)-W53-W57-W21</x:f>
      </x:c>
      <x:c r="X22" s="117">
        <x:f>X10-IFERROR((SUM($D$20:$GA$20)-'ОБЪЕКТЫ'!$B$112)*('Продажи'!X60+'Продажи'!X63+'Продажи'!X66+'Продажи'!X69)/(SUM('Продажи'!$D$60:$GA$60)+SUM('Продажи'!$D$63:$GA$63)+SUM('Продажи'!$D$66:$GA$66)+SUM('Продажи'!$D$69:$GA$69)),0)-IF('ОБЪЕКТЫ'!$B$8=3,IFERROR('ОБЪЕКТЫ'!$B$28*'ОБЪЕКТЫ'!X22/'ОБЪЕКТЫ'!$B$22,0),0)-IF('ОБЪЕКТЫ'!$B$36=3,IFERROR('ОБЪЕКТЫ'!$B$56*'ОБЪЕКТЫ'!X50/'ОБЪЕКТЫ'!$B$50,0),0)-IF('ОБЪЕКТЫ'!$B$64=3,IFERROR('ОБЪЕКТЫ'!$B$84*'ОБЪЕКТЫ'!X78/'ОБЪЕКТЫ'!$B$78,0),0)-X53-X57-X21</x:f>
      </x:c>
      <x:c r="Y22" s="117">
        <x:f>Y10-IFERROR((SUM($D$20:$GA$20)-'ОБЪЕКТЫ'!$B$112)*('Продажи'!Y60+'Продажи'!Y63+'Продажи'!Y66+'Продажи'!Y69)/(SUM('Продажи'!$D$60:$GA$60)+SUM('Продажи'!$D$63:$GA$63)+SUM('Продажи'!$D$66:$GA$66)+SUM('Продажи'!$D$69:$GA$69)),0)-IF('ОБЪЕКТЫ'!$B$8=3,IFERROR('ОБЪЕКТЫ'!$B$28*'ОБЪЕКТЫ'!Y22/'ОБЪЕКТЫ'!$B$22,0),0)-IF('ОБЪЕКТЫ'!$B$36=3,IFERROR('ОБЪЕКТЫ'!$B$56*'ОБЪЕКТЫ'!Y50/'ОБЪЕКТЫ'!$B$50,0),0)-IF('ОБЪЕКТЫ'!$B$64=3,IFERROR('ОБЪЕКТЫ'!$B$84*'ОБЪЕКТЫ'!Y78/'ОБЪЕКТЫ'!$B$78,0),0)-Y53-Y57-Y21</x:f>
      </x:c>
      <x:c r="Z22" s="117">
        <x:f>Z10-IFERROR((SUM($D$20:$GA$20)-'ОБЪЕКТЫ'!$B$112)*('Продажи'!Z60+'Продажи'!Z63+'Продажи'!Z66+'Продажи'!Z69)/(SUM('Продажи'!$D$60:$GA$60)+SUM('Продажи'!$D$63:$GA$63)+SUM('Продажи'!$D$66:$GA$66)+SUM('Продажи'!$D$69:$GA$69)),0)-IF('ОБЪЕКТЫ'!$B$8=3,IFERROR('ОБЪЕКТЫ'!$B$28*'ОБЪЕКТЫ'!Z22/'ОБЪЕКТЫ'!$B$22,0),0)-IF('ОБЪЕКТЫ'!$B$36=3,IFERROR('ОБЪЕКТЫ'!$B$56*'ОБЪЕКТЫ'!Z50/'ОБЪЕКТЫ'!$B$50,0),0)-IF('ОБЪЕКТЫ'!$B$64=3,IFERROR('ОБЪЕКТЫ'!$B$84*'ОБЪЕКТЫ'!Z78/'ОБЪЕКТЫ'!$B$78,0),0)-Z53-Z57-Z21</x:f>
      </x:c>
      <x:c r="AA22" s="117">
        <x:f>AA10-IFERROR((SUM($D$20:$GA$20)-'ОБЪЕКТЫ'!$B$112)*('Продажи'!AA60+'Продажи'!AA63+'Продажи'!AA66+'Продажи'!AA69)/(SUM('Продажи'!$D$60:$GA$60)+SUM('Продажи'!$D$63:$GA$63)+SUM('Продажи'!$D$66:$GA$66)+SUM('Продажи'!$D$69:$GA$69)),0)-IF('ОБЪЕКТЫ'!$B$8=3,IFERROR('ОБЪЕКТЫ'!$B$28*'ОБЪЕКТЫ'!AA22/'ОБЪЕКТЫ'!$B$22,0),0)-IF('ОБЪЕКТЫ'!$B$36=3,IFERROR('ОБЪЕКТЫ'!$B$56*'ОБЪЕКТЫ'!AA50/'ОБЪЕКТЫ'!$B$50,0),0)-IF('ОБЪЕКТЫ'!$B$64=3,IFERROR('ОБЪЕКТЫ'!$B$84*'ОБЪЕКТЫ'!AA78/'ОБЪЕКТЫ'!$B$78,0),0)-AA53-AA57-AA21</x:f>
      </x:c>
      <x:c r="AB22" s="117">
        <x:f>AB10-IFERROR((SUM($D$20:$GA$20)-'ОБЪЕКТЫ'!$B$112)*('Продажи'!AB60+'Продажи'!AB63+'Продажи'!AB66+'Продажи'!AB69)/(SUM('Продажи'!$D$60:$GA$60)+SUM('Продажи'!$D$63:$GA$63)+SUM('Продажи'!$D$66:$GA$66)+SUM('Продажи'!$D$69:$GA$69)),0)-IF('ОБЪЕКТЫ'!$B$8=3,IFERROR('ОБЪЕКТЫ'!$B$28*'ОБЪЕКТЫ'!AB22/'ОБЪЕКТЫ'!$B$22,0),0)-IF('ОБЪЕКТЫ'!$B$36=3,IFERROR('ОБЪЕКТЫ'!$B$56*'ОБЪЕКТЫ'!AB50/'ОБЪЕКТЫ'!$B$50,0),0)-IF('ОБЪЕКТЫ'!$B$64=3,IFERROR('ОБЪЕКТЫ'!$B$84*'ОБЪЕКТЫ'!AB78/'ОБЪЕКТЫ'!$B$78,0),0)-AB53-AB57-AB21</x:f>
      </x:c>
      <x:c r="AC22" s="117">
        <x:f>AC10-IFERROR((SUM($D$20:$GA$20)-'ОБЪЕКТЫ'!$B$112)*('Продажи'!AC60+'Продажи'!AC63+'Продажи'!AC66+'Продажи'!AC69)/(SUM('Продажи'!$D$60:$GA$60)+SUM('Продажи'!$D$63:$GA$63)+SUM('Продажи'!$D$66:$GA$66)+SUM('Продажи'!$D$69:$GA$69)),0)-IF('ОБЪЕКТЫ'!$B$8=3,IFERROR('ОБЪЕКТЫ'!$B$28*'ОБЪЕКТЫ'!AC22/'ОБЪЕКТЫ'!$B$22,0),0)-IF('ОБЪЕКТЫ'!$B$36=3,IFERROR('ОБЪЕКТЫ'!$B$56*'ОБЪЕКТЫ'!AC50/'ОБЪЕКТЫ'!$B$50,0),0)-IF('ОБЪЕКТЫ'!$B$64=3,IFERROR('ОБЪЕКТЫ'!$B$84*'ОБЪЕКТЫ'!AC78/'ОБЪЕКТЫ'!$B$78,0),0)-AC53-AC57-AC21</x:f>
      </x:c>
      <x:c r="AD22" s="117">
        <x:f>AD10-IFERROR((SUM($D$20:$GA$20)-'ОБЪЕКТЫ'!$B$112)*('Продажи'!AD60+'Продажи'!AD63+'Продажи'!AD66+'Продажи'!AD69)/(SUM('Продажи'!$D$60:$GA$60)+SUM('Продажи'!$D$63:$GA$63)+SUM('Продажи'!$D$66:$GA$66)+SUM('Продажи'!$D$69:$GA$69)),0)-IF('ОБЪЕКТЫ'!$B$8=3,IFERROR('ОБЪЕКТЫ'!$B$28*'ОБЪЕКТЫ'!AD22/'ОБЪЕКТЫ'!$B$22,0),0)-IF('ОБЪЕКТЫ'!$B$36=3,IFERROR('ОБЪЕКТЫ'!$B$56*'ОБЪЕКТЫ'!AD50/'ОБЪЕКТЫ'!$B$50,0),0)-IF('ОБЪЕКТЫ'!$B$64=3,IFERROR('ОБЪЕКТЫ'!$B$84*'ОБЪЕКТЫ'!AD78/'ОБЪЕКТЫ'!$B$78,0),0)-AD53-AD57-AD21</x:f>
      </x:c>
      <x:c r="AE22" s="117">
        <x:f>AE10-IFERROR((SUM($D$20:$GA$20)-'ОБЪЕКТЫ'!$B$112)*('Продажи'!AE60+'Продажи'!AE63+'Продажи'!AE66+'Продажи'!AE69)/(SUM('Продажи'!$D$60:$GA$60)+SUM('Продажи'!$D$63:$GA$63)+SUM('Продажи'!$D$66:$GA$66)+SUM('Продажи'!$D$69:$GA$69)),0)-IF('ОБЪЕКТЫ'!$B$8=3,IFERROR('ОБЪЕКТЫ'!$B$28*'ОБЪЕКТЫ'!AE22/'ОБЪЕКТЫ'!$B$22,0),0)-IF('ОБЪЕКТЫ'!$B$36=3,IFERROR('ОБЪЕКТЫ'!$B$56*'ОБЪЕКТЫ'!AE50/'ОБЪЕКТЫ'!$B$50,0),0)-IF('ОБЪЕКТЫ'!$B$64=3,IFERROR('ОБЪЕКТЫ'!$B$84*'ОБЪЕКТЫ'!AE78/'ОБЪЕКТЫ'!$B$78,0),0)-AE53-AE57-AE21</x:f>
      </x:c>
      <x:c r="AF22" s="117">
        <x:f>AF10-IFERROR((SUM($D$20:$GA$20)-'ОБЪЕКТЫ'!$B$112)*('Продажи'!AF60+'Продажи'!AF63+'Продажи'!AF66+'Продажи'!AF69)/(SUM('Продажи'!$D$60:$GA$60)+SUM('Продажи'!$D$63:$GA$63)+SUM('Продажи'!$D$66:$GA$66)+SUM('Продажи'!$D$69:$GA$69)),0)-IF('ОБЪЕКТЫ'!$B$8=3,IFERROR('ОБЪЕКТЫ'!$B$28*'ОБЪЕКТЫ'!AF22/'ОБЪЕКТЫ'!$B$22,0),0)-IF('ОБЪЕКТЫ'!$B$36=3,IFERROR('ОБЪЕКТЫ'!$B$56*'ОБЪЕКТЫ'!AF50/'ОБЪЕКТЫ'!$B$50,0),0)-IF('ОБЪЕКТЫ'!$B$64=3,IFERROR('ОБЪЕКТЫ'!$B$84*'ОБЪЕКТЫ'!AF78/'ОБЪЕКТЫ'!$B$78,0),0)-AF53-AF57-AF21</x:f>
      </x:c>
      <x:c r="AG22" s="117">
        <x:f>AG10-IFERROR((SUM($D$20:$GA$20)-'ОБЪЕКТЫ'!$B$112)*('Продажи'!AG60+'Продажи'!AG63+'Продажи'!AG66+'Продажи'!AG69)/(SUM('Продажи'!$D$60:$GA$60)+SUM('Продажи'!$D$63:$GA$63)+SUM('Продажи'!$D$66:$GA$66)+SUM('Продажи'!$D$69:$GA$69)),0)-IF('ОБЪЕКТЫ'!$B$8=3,IFERROR('ОБЪЕКТЫ'!$B$28*'ОБЪЕКТЫ'!AG22/'ОБЪЕКТЫ'!$B$22,0),0)-IF('ОБЪЕКТЫ'!$B$36=3,IFERROR('ОБЪЕКТЫ'!$B$56*'ОБЪЕКТЫ'!AG50/'ОБЪЕКТЫ'!$B$50,0),0)-IF('ОБЪЕКТЫ'!$B$64=3,IFERROR('ОБЪЕКТЫ'!$B$84*'ОБЪЕКТЫ'!AG78/'ОБЪЕКТЫ'!$B$78,0),0)-AG53-AG57-AG21</x:f>
      </x:c>
      <x:c r="AH22" s="117">
        <x:f>AH10-IFERROR((SUM($D$20:$GA$20)-'ОБЪЕКТЫ'!$B$112)*('Продажи'!AH60+'Продажи'!AH63+'Продажи'!AH66+'Продажи'!AH69)/(SUM('Продажи'!$D$60:$GA$60)+SUM('Продажи'!$D$63:$GA$63)+SUM('Продажи'!$D$66:$GA$66)+SUM('Продажи'!$D$69:$GA$69)),0)-IF('ОБЪЕКТЫ'!$B$8=3,IFERROR('ОБЪЕКТЫ'!$B$28*'ОБЪЕКТЫ'!AH22/'ОБЪЕКТЫ'!$B$22,0),0)-IF('ОБЪЕКТЫ'!$B$36=3,IFERROR('ОБЪЕКТЫ'!$B$56*'ОБЪЕКТЫ'!AH50/'ОБЪЕКТЫ'!$B$50,0),0)-IF('ОБЪЕКТЫ'!$B$64=3,IFERROR('ОБЪЕКТЫ'!$B$84*'ОБЪЕКТЫ'!AH78/'ОБЪЕКТЫ'!$B$78,0),0)-AH53-AH57-AH21</x:f>
      </x:c>
      <x:c r="AI22" s="117">
        <x:f>AI10-IFERROR((SUM($D$20:$GA$20)-'ОБЪЕКТЫ'!$B$112)*('Продажи'!AI60+'Продажи'!AI63+'Продажи'!AI66+'Продажи'!AI69)/(SUM('Продажи'!$D$60:$GA$60)+SUM('Продажи'!$D$63:$GA$63)+SUM('Продажи'!$D$66:$GA$66)+SUM('Продажи'!$D$69:$GA$69)),0)-IF('ОБЪЕКТЫ'!$B$8=3,IFERROR('ОБЪЕКТЫ'!$B$28*'ОБЪЕКТЫ'!AI22/'ОБЪЕКТЫ'!$B$22,0),0)-IF('ОБЪЕКТЫ'!$B$36=3,IFERROR('ОБЪЕКТЫ'!$B$56*'ОБЪЕКТЫ'!AI50/'ОБЪЕКТЫ'!$B$50,0),0)-IF('ОБЪЕКТЫ'!$B$64=3,IFERROR('ОБЪЕКТЫ'!$B$84*'ОБЪЕКТЫ'!AI78/'ОБЪЕКТЫ'!$B$78,0),0)-AI53-AI57-AI21</x:f>
      </x:c>
      <x:c r="AJ22" s="117">
        <x:f>AJ10-IFERROR((SUM($D$20:$GA$20)-'ОБЪЕКТЫ'!$B$112)*('Продажи'!AJ60+'Продажи'!AJ63+'Продажи'!AJ66+'Продажи'!AJ69)/(SUM('Продажи'!$D$60:$GA$60)+SUM('Продажи'!$D$63:$GA$63)+SUM('Продажи'!$D$66:$GA$66)+SUM('Продажи'!$D$69:$GA$69)),0)-IF('ОБЪЕКТЫ'!$B$8=3,IFERROR('ОБЪЕКТЫ'!$B$28*'ОБЪЕКТЫ'!AJ22/'ОБЪЕКТЫ'!$B$22,0),0)-IF('ОБЪЕКТЫ'!$B$36=3,IFERROR('ОБЪЕКТЫ'!$B$56*'ОБЪЕКТЫ'!AJ50/'ОБЪЕКТЫ'!$B$50,0),0)-IF('ОБЪЕКТЫ'!$B$64=3,IFERROR('ОБЪЕКТЫ'!$B$84*'ОБЪЕКТЫ'!AJ78/'ОБЪЕКТЫ'!$B$78,0),0)-AJ53-AJ57-AJ21</x:f>
      </x:c>
      <x:c r="AK22" s="117">
        <x:f>AK10-IFERROR((SUM($D$20:$GA$20)-'ОБЪЕКТЫ'!$B$112)*('Продажи'!AK60+'Продажи'!AK63+'Продажи'!AK66+'Продажи'!AK69)/(SUM('Продажи'!$D$60:$GA$60)+SUM('Продажи'!$D$63:$GA$63)+SUM('Продажи'!$D$66:$GA$66)+SUM('Продажи'!$D$69:$GA$69)),0)-IF('ОБЪЕКТЫ'!$B$8=3,IFERROR('ОБЪЕКТЫ'!$B$28*'ОБЪЕКТЫ'!AK22/'ОБЪЕКТЫ'!$B$22,0),0)-IF('ОБЪЕКТЫ'!$B$36=3,IFERROR('ОБЪЕКТЫ'!$B$56*'ОБЪЕКТЫ'!AK50/'ОБЪЕКТЫ'!$B$50,0),0)-IF('ОБЪЕКТЫ'!$B$64=3,IFERROR('ОБЪЕКТЫ'!$B$84*'ОБЪЕКТЫ'!AK78/'ОБЪЕКТЫ'!$B$78,0),0)-AK53-AK57-AK21</x:f>
      </x:c>
      <x:c r="AL22" s="117">
        <x:f>AL10-IFERROR((SUM($D$20:$GA$20)-'ОБЪЕКТЫ'!$B$112)*('Продажи'!AL60+'Продажи'!AL63+'Продажи'!AL66+'Продажи'!AL69)/(SUM('Продажи'!$D$60:$GA$60)+SUM('Продажи'!$D$63:$GA$63)+SUM('Продажи'!$D$66:$GA$66)+SUM('Продажи'!$D$69:$GA$69)),0)-IF('ОБЪЕКТЫ'!$B$8=3,IFERROR('ОБЪЕКТЫ'!$B$28*'ОБЪЕКТЫ'!AL22/'ОБЪЕКТЫ'!$B$22,0),0)-IF('ОБЪЕКТЫ'!$B$36=3,IFERROR('ОБЪЕКТЫ'!$B$56*'ОБЪЕКТЫ'!AL50/'ОБЪЕКТЫ'!$B$50,0),0)-IF('ОБЪЕКТЫ'!$B$64=3,IFERROR('ОБЪЕКТЫ'!$B$84*'ОБЪЕКТЫ'!AL78/'ОБЪЕКТЫ'!$B$78,0),0)-AL53-AL57-AL21</x:f>
      </x:c>
      <x:c r="AM22" s="117">
        <x:f>AM10-IFERROR((SUM($D$20:$GA$20)-'ОБЪЕКТЫ'!$B$112)*('Продажи'!AM60+'Продажи'!AM63+'Продажи'!AM66+'Продажи'!AM69)/(SUM('Продажи'!$D$60:$GA$60)+SUM('Продажи'!$D$63:$GA$63)+SUM('Продажи'!$D$66:$GA$66)+SUM('Продажи'!$D$69:$GA$69)),0)-IF('ОБЪЕКТЫ'!$B$8=3,IFERROR('ОБЪЕКТЫ'!$B$28*'ОБЪЕКТЫ'!AM22/'ОБЪЕКТЫ'!$B$22,0),0)-IF('ОБЪЕКТЫ'!$B$36=3,IFERROR('ОБЪЕКТЫ'!$B$56*'ОБЪЕКТЫ'!AM50/'ОБЪЕКТЫ'!$B$50,0),0)-IF('ОБЪЕКТЫ'!$B$64=3,IFERROR('ОБЪЕКТЫ'!$B$84*'ОБЪЕКТЫ'!AM78/'ОБЪЕКТЫ'!$B$78,0),0)-AM53-AM57-AM21</x:f>
      </x:c>
      <x:c r="AN22" s="117">
        <x:f>AN10-IFERROR((SUM($D$20:$GA$20)-'ОБЪЕКТЫ'!$B$112)*('Продажи'!AN60+'Продажи'!AN63+'Продажи'!AN66+'Продажи'!AN69)/(SUM('Продажи'!$D$60:$GA$60)+SUM('Продажи'!$D$63:$GA$63)+SUM('Продажи'!$D$66:$GA$66)+SUM('Продажи'!$D$69:$GA$69)),0)-IF('ОБЪЕКТЫ'!$B$8=3,IFERROR('ОБЪЕКТЫ'!$B$28*'ОБЪЕКТЫ'!AN22/'ОБЪЕКТЫ'!$B$22,0),0)-IF('ОБЪЕКТЫ'!$B$36=3,IFERROR('ОБЪЕКТЫ'!$B$56*'ОБЪЕКТЫ'!AN50/'ОБЪЕКТЫ'!$B$50,0),0)-IF('ОБЪЕКТЫ'!$B$64=3,IFERROR('ОБЪЕКТЫ'!$B$84*'ОБЪЕКТЫ'!AN78/'ОБЪЕКТЫ'!$B$78,0),0)-AN53-AN57-AN21</x:f>
      </x:c>
      <x:c r="AO22" s="117">
        <x:f>AO10-IFERROR((SUM($D$20:$GA$20)-'ОБЪЕКТЫ'!$B$112)*('Продажи'!AO60+'Продажи'!AO63+'Продажи'!AO66+'Продажи'!AO69)/(SUM('Продажи'!$D$60:$GA$60)+SUM('Продажи'!$D$63:$GA$63)+SUM('Продажи'!$D$66:$GA$66)+SUM('Продажи'!$D$69:$GA$69)),0)-IF('ОБЪЕКТЫ'!$B$8=3,IFERROR('ОБЪЕКТЫ'!$B$28*'ОБЪЕКТЫ'!AO22/'ОБЪЕКТЫ'!$B$22,0),0)-IF('ОБЪЕКТЫ'!$B$36=3,IFERROR('ОБЪЕКТЫ'!$B$56*'ОБЪЕКТЫ'!AO50/'ОБЪЕКТЫ'!$B$50,0),0)-IF('ОБЪЕКТЫ'!$B$64=3,IFERROR('ОБЪЕКТЫ'!$B$84*'ОБЪЕКТЫ'!AO78/'ОБЪЕКТЫ'!$B$78,0),0)-AO53-AO57-AO21</x:f>
      </x:c>
      <x:c r="AP22" s="117">
        <x:f>AP10-IFERROR((SUM($D$20:$GA$20)-'ОБЪЕКТЫ'!$B$112)*('Продажи'!AP60+'Продажи'!AP63+'Продажи'!AP66+'Продажи'!AP69)/(SUM('Продажи'!$D$60:$GA$60)+SUM('Продажи'!$D$63:$GA$63)+SUM('Продажи'!$D$66:$GA$66)+SUM('Продажи'!$D$69:$GA$69)),0)-IF('ОБЪЕКТЫ'!$B$8=3,IFERROR('ОБЪЕКТЫ'!$B$28*'ОБЪЕКТЫ'!AP22/'ОБЪЕКТЫ'!$B$22,0),0)-IF('ОБЪЕКТЫ'!$B$36=3,IFERROR('ОБЪЕКТЫ'!$B$56*'ОБЪЕКТЫ'!AP50/'ОБЪЕКТЫ'!$B$50,0),0)-IF('ОБЪЕКТЫ'!$B$64=3,IFERROR('ОБЪЕКТЫ'!$B$84*'ОБЪЕКТЫ'!AP78/'ОБЪЕКТЫ'!$B$78,0),0)-AP53-AP57-AP21</x:f>
      </x:c>
      <x:c r="AQ22" s="117">
        <x:f>AQ10-IFERROR((SUM($D$20:$GA$20)-'ОБЪЕКТЫ'!$B$112)*('Продажи'!AQ60+'Продажи'!AQ63+'Продажи'!AQ66+'Продажи'!AQ69)/(SUM('Продажи'!$D$60:$GA$60)+SUM('Продажи'!$D$63:$GA$63)+SUM('Продажи'!$D$66:$GA$66)+SUM('Продажи'!$D$69:$GA$69)),0)-IF('ОБЪЕКТЫ'!$B$8=3,IFERROR('ОБЪЕКТЫ'!$B$28*'ОБЪЕКТЫ'!AQ22/'ОБЪЕКТЫ'!$B$22,0),0)-IF('ОБЪЕКТЫ'!$B$36=3,IFERROR('ОБЪЕКТЫ'!$B$56*'ОБЪЕКТЫ'!AQ50/'ОБЪЕКТЫ'!$B$50,0),0)-IF('ОБЪЕКТЫ'!$B$64=3,IFERROR('ОБЪЕКТЫ'!$B$84*'ОБЪЕКТЫ'!AQ78/'ОБЪЕКТЫ'!$B$78,0),0)-AQ53-AQ57-AQ21</x:f>
      </x:c>
      <x:c r="AR22" s="117">
        <x:f>AR10-IFERROR((SUM($D$20:$GA$20)-'ОБЪЕКТЫ'!$B$112)*('Продажи'!AR60+'Продажи'!AR63+'Продажи'!AR66+'Продажи'!AR69)/(SUM('Продажи'!$D$60:$GA$60)+SUM('Продажи'!$D$63:$GA$63)+SUM('Продажи'!$D$66:$GA$66)+SUM('Продажи'!$D$69:$GA$69)),0)-IF('ОБЪЕКТЫ'!$B$8=3,IFERROR('ОБЪЕКТЫ'!$B$28*'ОБЪЕКТЫ'!AR22/'ОБЪЕКТЫ'!$B$22,0),0)-IF('ОБЪЕКТЫ'!$B$36=3,IFERROR('ОБЪЕКТЫ'!$B$56*'ОБЪЕКТЫ'!AR50/'ОБЪЕКТЫ'!$B$50,0),0)-IF('ОБЪЕКТЫ'!$B$64=3,IFERROR('ОБЪЕКТЫ'!$B$84*'ОБЪЕКТЫ'!AR78/'ОБЪЕКТЫ'!$B$78,0),0)-AR53-AR57-AR21</x:f>
      </x:c>
      <x:c r="AS22" s="117">
        <x:f>AS10-IFERROR((SUM($D$20:$GA$20)-'ОБЪЕКТЫ'!$B$112)*('Продажи'!AS60+'Продажи'!AS63+'Продажи'!AS66+'Продажи'!AS69)/(SUM('Продажи'!$D$60:$GA$60)+SUM('Продажи'!$D$63:$GA$63)+SUM('Продажи'!$D$66:$GA$66)+SUM('Продажи'!$D$69:$GA$69)),0)-IF('ОБЪЕКТЫ'!$B$8=3,IFERROR('ОБЪЕКТЫ'!$B$28*'ОБЪЕКТЫ'!AS22/'ОБЪЕКТЫ'!$B$22,0),0)-IF('ОБЪЕКТЫ'!$B$36=3,IFERROR('ОБЪЕКТЫ'!$B$56*'ОБЪЕКТЫ'!AS50/'ОБЪЕКТЫ'!$B$50,0),0)-IF('ОБЪЕКТЫ'!$B$64=3,IFERROR('ОБЪЕКТЫ'!$B$84*'ОБЪЕКТЫ'!AS78/'ОБЪЕКТЫ'!$B$78,0),0)-AS53-AS57-AS21</x:f>
      </x:c>
      <x:c r="AT22" s="117">
        <x:f>AT10-IFERROR((SUM($D$20:$GA$20)-'ОБЪЕКТЫ'!$B$112)*('Продажи'!AT60+'Продажи'!AT63+'Продажи'!AT66+'Продажи'!AT69)/(SUM('Продажи'!$D$60:$GA$60)+SUM('Продажи'!$D$63:$GA$63)+SUM('Продажи'!$D$66:$GA$66)+SUM('Продажи'!$D$69:$GA$69)),0)-IF('ОБЪЕКТЫ'!$B$8=3,IFERROR('ОБЪЕКТЫ'!$B$28*'ОБЪЕКТЫ'!AT22/'ОБЪЕКТЫ'!$B$22,0),0)-IF('ОБЪЕКТЫ'!$B$36=3,IFERROR('ОБЪЕКТЫ'!$B$56*'ОБЪЕКТЫ'!AT50/'ОБЪЕКТЫ'!$B$50,0),0)-IF('ОБЪЕКТЫ'!$B$64=3,IFERROR('ОБЪЕКТЫ'!$B$84*'ОБЪЕКТЫ'!AT78/'ОБЪЕКТЫ'!$B$78,0),0)-AT53-AT57-AT21</x:f>
      </x:c>
      <x:c r="AU22" s="117">
        <x:f>AU10-IFERROR((SUM($D$20:$GA$20)-'ОБЪЕКТЫ'!$B$112)*('Продажи'!AU60+'Продажи'!AU63+'Продажи'!AU66+'Продажи'!AU69)/(SUM('Продажи'!$D$60:$GA$60)+SUM('Продажи'!$D$63:$GA$63)+SUM('Продажи'!$D$66:$GA$66)+SUM('Продажи'!$D$69:$GA$69)),0)-IF('ОБЪЕКТЫ'!$B$8=3,IFERROR('ОБЪЕКТЫ'!$B$28*'ОБЪЕКТЫ'!AU22/'ОБЪЕКТЫ'!$B$22,0),0)-IF('ОБЪЕКТЫ'!$B$36=3,IFERROR('ОБЪЕКТЫ'!$B$56*'ОБЪЕКТЫ'!AU50/'ОБЪЕКТЫ'!$B$50,0),0)-IF('ОБЪЕКТЫ'!$B$64=3,IFERROR('ОБЪЕКТЫ'!$B$84*'ОБЪЕКТЫ'!AU78/'ОБЪЕКТЫ'!$B$78,0),0)-AU53-AU57-AU21</x:f>
      </x:c>
      <x:c r="AV22" s="117">
        <x:f>AV10-IFERROR((SUM($D$20:$GA$20)-'ОБЪЕКТЫ'!$B$112)*('Продажи'!AV60+'Продажи'!AV63+'Продажи'!AV66+'Продажи'!AV69)/(SUM('Продажи'!$D$60:$GA$60)+SUM('Продажи'!$D$63:$GA$63)+SUM('Продажи'!$D$66:$GA$66)+SUM('Продажи'!$D$69:$GA$69)),0)-IF('ОБЪЕКТЫ'!$B$8=3,IFERROR('ОБЪЕКТЫ'!$B$28*'ОБЪЕКТЫ'!AV22/'ОБЪЕКТЫ'!$B$22,0),0)-IF('ОБЪЕКТЫ'!$B$36=3,IFERROR('ОБЪЕКТЫ'!$B$56*'ОБЪЕКТЫ'!AV50/'ОБЪЕКТЫ'!$B$50,0),0)-IF('ОБЪЕКТЫ'!$B$64=3,IFERROR('ОБЪЕКТЫ'!$B$84*'ОБЪЕКТЫ'!AV78/'ОБЪЕКТЫ'!$B$78,0),0)-AV53-AV57-AV21</x:f>
      </x:c>
      <x:c r="AW22" s="117">
        <x:f>AW10-IFERROR((SUM($D$20:$GA$20)-'ОБЪЕКТЫ'!$B$112)*('Продажи'!AW60+'Продажи'!AW63+'Продажи'!AW66+'Продажи'!AW69)/(SUM('Продажи'!$D$60:$GA$60)+SUM('Продажи'!$D$63:$GA$63)+SUM('Продажи'!$D$66:$GA$66)+SUM('Продажи'!$D$69:$GA$69)),0)-IF('ОБЪЕКТЫ'!$B$8=3,IFERROR('ОБЪЕКТЫ'!$B$28*'ОБЪЕКТЫ'!AW22/'ОБЪЕКТЫ'!$B$22,0),0)-IF('ОБЪЕКТЫ'!$B$36=3,IFERROR('ОБЪЕКТЫ'!$B$56*'ОБЪЕКТЫ'!AW50/'ОБЪЕКТЫ'!$B$50,0),0)-IF('ОБЪЕКТЫ'!$B$64=3,IFERROR('ОБЪЕКТЫ'!$B$84*'ОБЪЕКТЫ'!AW78/'ОБЪЕКТЫ'!$B$78,0),0)-AW53-AW57-AW21</x:f>
      </x:c>
      <x:c r="AX22" s="117">
        <x:f>AX10-IFERROR((SUM($D$20:$GA$20)-'ОБЪЕКТЫ'!$B$112)*('Продажи'!AX60+'Продажи'!AX63+'Продажи'!AX66+'Продажи'!AX69)/(SUM('Продажи'!$D$60:$GA$60)+SUM('Продажи'!$D$63:$GA$63)+SUM('Продажи'!$D$66:$GA$66)+SUM('Продажи'!$D$69:$GA$69)),0)-IF('ОБЪЕКТЫ'!$B$8=3,IFERROR('ОБЪЕКТЫ'!$B$28*'ОБЪЕКТЫ'!AX22/'ОБЪЕКТЫ'!$B$22,0),0)-IF('ОБЪЕКТЫ'!$B$36=3,IFERROR('ОБЪЕКТЫ'!$B$56*'ОБЪЕКТЫ'!AX50/'ОБЪЕКТЫ'!$B$50,0),0)-IF('ОБЪЕКТЫ'!$B$64=3,IFERROR('ОБЪЕКТЫ'!$B$84*'ОБЪЕКТЫ'!AX78/'ОБЪЕКТЫ'!$B$78,0),0)-AX53-AX57-AX21</x:f>
      </x:c>
      <x:c r="AY22" s="117">
        <x:f>AY10-IFERROR((SUM($D$20:$GA$20)-'ОБЪЕКТЫ'!$B$112)*('Продажи'!AY60+'Продажи'!AY63+'Продажи'!AY66+'Продажи'!AY69)/(SUM('Продажи'!$D$60:$GA$60)+SUM('Продажи'!$D$63:$GA$63)+SUM('Продажи'!$D$66:$GA$66)+SUM('Продажи'!$D$69:$GA$69)),0)-IF('ОБЪЕКТЫ'!$B$8=3,IFERROR('ОБЪЕКТЫ'!$B$28*'ОБЪЕКТЫ'!AY22/'ОБЪЕКТЫ'!$B$22,0),0)-IF('ОБЪЕКТЫ'!$B$36=3,IFERROR('ОБЪЕКТЫ'!$B$56*'ОБЪЕКТЫ'!AY50/'ОБЪЕКТЫ'!$B$50,0),0)-IF('ОБЪЕКТЫ'!$B$64=3,IFERROR('ОБЪЕКТЫ'!$B$84*'ОБЪЕКТЫ'!AY78/'ОБЪЕКТЫ'!$B$78,0),0)-AY53-AY57-AY21</x:f>
      </x:c>
      <x:c r="AZ22" s="117">
        <x:f>AZ10-IFERROR((SUM($D$20:$GA$20)-'ОБЪЕКТЫ'!$B$112)*('Продажи'!AZ60+'Продажи'!AZ63+'Продажи'!AZ66+'Продажи'!AZ69)/(SUM('Продажи'!$D$60:$GA$60)+SUM('Продажи'!$D$63:$GA$63)+SUM('Продажи'!$D$66:$GA$66)+SUM('Продажи'!$D$69:$GA$69)),0)-IF('ОБЪЕКТЫ'!$B$8=3,IFERROR('ОБЪЕКТЫ'!$B$28*'ОБЪЕКТЫ'!AZ22/'ОБЪЕКТЫ'!$B$22,0),0)-IF('ОБЪЕКТЫ'!$B$36=3,IFERROR('ОБЪЕКТЫ'!$B$56*'ОБЪЕКТЫ'!AZ50/'ОБЪЕКТЫ'!$B$50,0),0)-IF('ОБЪЕКТЫ'!$B$64=3,IFERROR('ОБЪЕКТЫ'!$B$84*'ОБЪЕКТЫ'!AZ78/'ОБЪЕКТЫ'!$B$78,0),0)-AZ53-AZ57-AZ21</x:f>
      </x:c>
      <x:c r="BA22" s="117">
        <x:f>BA10-IFERROR((SUM($D$20:$GA$20)-'ОБЪЕКТЫ'!$B$112)*('Продажи'!BA60+'Продажи'!BA63+'Продажи'!BA66+'Продажи'!BA69)/(SUM('Продажи'!$D$60:$GA$60)+SUM('Продажи'!$D$63:$GA$63)+SUM('Продажи'!$D$66:$GA$66)+SUM('Продажи'!$D$69:$GA$69)),0)-IF('ОБЪЕКТЫ'!$B$8=3,IFERROR('ОБЪЕКТЫ'!$B$28*'ОБЪЕКТЫ'!BA22/'ОБЪЕКТЫ'!$B$22,0),0)-IF('ОБЪЕКТЫ'!$B$36=3,IFERROR('ОБЪЕКТЫ'!$B$56*'ОБЪЕКТЫ'!BA50/'ОБЪЕКТЫ'!$B$50,0),0)-IF('ОБЪЕКТЫ'!$B$64=3,IFERROR('ОБЪЕКТЫ'!$B$84*'ОБЪЕКТЫ'!BA78/'ОБЪЕКТЫ'!$B$78,0),0)-BA53-BA57-BA21</x:f>
      </x:c>
      <x:c r="BB22" s="117">
        <x:f>BB10-IFERROR((SUM($D$20:$GA$20)-'ОБЪЕКТЫ'!$B$112)*('Продажи'!BB60+'Продажи'!BB63+'Продажи'!BB66+'Продажи'!BB69)/(SUM('Продажи'!$D$60:$GA$60)+SUM('Продажи'!$D$63:$GA$63)+SUM('Продажи'!$D$66:$GA$66)+SUM('Продажи'!$D$69:$GA$69)),0)-IF('ОБЪЕКТЫ'!$B$8=3,IFERROR('ОБЪЕКТЫ'!$B$28*'ОБЪЕКТЫ'!BB22/'ОБЪЕКТЫ'!$B$22,0),0)-IF('ОБЪЕКТЫ'!$B$36=3,IFERROR('ОБЪЕКТЫ'!$B$56*'ОБЪЕКТЫ'!BB50/'ОБЪЕКТЫ'!$B$50,0),0)-IF('ОБЪЕКТЫ'!$B$64=3,IFERROR('ОБЪЕКТЫ'!$B$84*'ОБЪЕКТЫ'!BB78/'ОБЪЕКТЫ'!$B$78,0),0)-BB53-BB57-BB21</x:f>
      </x:c>
      <x:c r="BC22" s="117">
        <x:f>BC10-IFERROR((SUM($D$20:$GA$20)-'ОБЪЕКТЫ'!$B$112)*('Продажи'!BC60+'Продажи'!BC63+'Продажи'!BC66+'Продажи'!BC69)/(SUM('Продажи'!$D$60:$GA$60)+SUM('Продажи'!$D$63:$GA$63)+SUM('Продажи'!$D$66:$GA$66)+SUM('Продажи'!$D$69:$GA$69)),0)-IF('ОБЪЕКТЫ'!$B$8=3,IFERROR('ОБЪЕКТЫ'!$B$28*'ОБЪЕКТЫ'!BC22/'ОБЪЕКТЫ'!$B$22,0),0)-IF('ОБЪЕКТЫ'!$B$36=3,IFERROR('ОБЪЕКТЫ'!$B$56*'ОБЪЕКТЫ'!BC50/'ОБЪЕКТЫ'!$B$50,0),0)-IF('ОБЪЕКТЫ'!$B$64=3,IFERROR('ОБЪЕКТЫ'!$B$84*'ОБЪЕКТЫ'!BC78/'ОБЪЕКТЫ'!$B$78,0),0)-BC53-BC57-BC21</x:f>
      </x:c>
      <x:c r="BD22" s="117">
        <x:f>BD10-IFERROR((SUM($D$20:$GA$20)-'ОБЪЕКТЫ'!$B$112)*('Продажи'!BD60+'Продажи'!BD63+'Продажи'!BD66+'Продажи'!BD69)/(SUM('Продажи'!$D$60:$GA$60)+SUM('Продажи'!$D$63:$GA$63)+SUM('Продажи'!$D$66:$GA$66)+SUM('Продажи'!$D$69:$GA$69)),0)-IF('ОБЪЕКТЫ'!$B$8=3,IFERROR('ОБЪЕКТЫ'!$B$28*'ОБЪЕКТЫ'!BD22/'ОБЪЕКТЫ'!$B$22,0),0)-IF('ОБЪЕКТЫ'!$B$36=3,IFERROR('ОБЪЕКТЫ'!$B$56*'ОБЪЕКТЫ'!BD50/'ОБЪЕКТЫ'!$B$50,0),0)-IF('ОБЪЕКТЫ'!$B$64=3,IFERROR('ОБЪЕКТЫ'!$B$84*'ОБЪЕКТЫ'!BD78/'ОБЪЕКТЫ'!$B$78,0),0)-BD53-BD57-BD21</x:f>
      </x:c>
      <x:c r="BE22" s="117">
        <x:f>BE10-IFERROR((SUM($D$20:$GA$20)-'ОБЪЕКТЫ'!$B$112)*('Продажи'!BE60+'Продажи'!BE63+'Продажи'!BE66+'Продажи'!BE69)/(SUM('Продажи'!$D$60:$GA$60)+SUM('Продажи'!$D$63:$GA$63)+SUM('Продажи'!$D$66:$GA$66)+SUM('Продажи'!$D$69:$GA$69)),0)-IF('ОБЪЕКТЫ'!$B$8=3,IFERROR('ОБЪЕКТЫ'!$B$28*'ОБЪЕКТЫ'!BE22/'ОБЪЕКТЫ'!$B$22,0),0)-IF('ОБЪЕКТЫ'!$B$36=3,IFERROR('ОБЪЕКТЫ'!$B$56*'ОБЪЕКТЫ'!BE50/'ОБЪЕКТЫ'!$B$50,0),0)-IF('ОБЪЕКТЫ'!$B$64=3,IFERROR('ОБЪЕКТЫ'!$B$84*'ОБЪЕКТЫ'!BE78/'ОБЪЕКТЫ'!$B$78,0),0)-BE53-BE57-BE21</x:f>
      </x:c>
      <x:c r="BF22" s="117">
        <x:f>BF10-IFERROR((SUM($D$20:$GA$20)-'ОБЪЕКТЫ'!$B$112)*('Продажи'!BF60+'Продажи'!BF63+'Продажи'!BF66+'Продажи'!BF69)/(SUM('Продажи'!$D$60:$GA$60)+SUM('Продажи'!$D$63:$GA$63)+SUM('Продажи'!$D$66:$GA$66)+SUM('Продажи'!$D$69:$GA$69)),0)-IF('ОБЪЕКТЫ'!$B$8=3,IFERROR('ОБЪЕКТЫ'!$B$28*'ОБЪЕКТЫ'!BF22/'ОБЪЕКТЫ'!$B$22,0),0)-IF('ОБЪЕКТЫ'!$B$36=3,IFERROR('ОБЪЕКТЫ'!$B$56*'ОБЪЕКТЫ'!BF50/'ОБЪЕКТЫ'!$B$50,0),0)-IF('ОБЪЕКТЫ'!$B$64=3,IFERROR('ОБЪЕКТЫ'!$B$84*'ОБЪЕКТЫ'!BF78/'ОБЪЕКТЫ'!$B$78,0),0)-BF53-BF57-BF21</x:f>
      </x:c>
      <x:c r="BG22" s="117">
        <x:f>BG10-IFERROR((SUM($D$20:$GA$20)-'ОБЪЕКТЫ'!$B$112)*('Продажи'!BG60+'Продажи'!BG63+'Продажи'!BG66+'Продажи'!BG69)/(SUM('Продажи'!$D$60:$GA$60)+SUM('Продажи'!$D$63:$GA$63)+SUM('Продажи'!$D$66:$GA$66)+SUM('Продажи'!$D$69:$GA$69)),0)-IF('ОБЪЕКТЫ'!$B$8=3,IFERROR('ОБЪЕКТЫ'!$B$28*'ОБЪЕКТЫ'!BG22/'ОБЪЕКТЫ'!$B$22,0),0)-IF('ОБЪЕКТЫ'!$B$36=3,IFERROR('ОБЪЕКТЫ'!$B$56*'ОБЪЕКТЫ'!BG50/'ОБЪЕКТЫ'!$B$50,0),0)-IF('ОБЪЕКТЫ'!$B$64=3,IFERROR('ОБЪЕКТЫ'!$B$84*'ОБЪЕКТЫ'!BG78/'ОБЪЕКТЫ'!$B$78,0),0)-BG53-BG57-BG21</x:f>
      </x:c>
      <x:c r="BH22" s="117">
        <x:f>BH10-IFERROR((SUM($D$20:$GA$20)-'ОБЪЕКТЫ'!$B$112)*('Продажи'!BH60+'Продажи'!BH63+'Продажи'!BH66+'Продажи'!BH69)/(SUM('Продажи'!$D$60:$GA$60)+SUM('Продажи'!$D$63:$GA$63)+SUM('Продажи'!$D$66:$GA$66)+SUM('Продажи'!$D$69:$GA$69)),0)-IF('ОБЪЕКТЫ'!$B$8=3,IFERROR('ОБЪЕКТЫ'!$B$28*'ОБЪЕКТЫ'!BH22/'ОБЪЕКТЫ'!$B$22,0),0)-IF('ОБЪЕКТЫ'!$B$36=3,IFERROR('ОБЪЕКТЫ'!$B$56*'ОБЪЕКТЫ'!BH50/'ОБЪЕКТЫ'!$B$50,0),0)-IF('ОБЪЕКТЫ'!$B$64=3,IFERROR('ОБЪЕКТЫ'!$B$84*'ОБЪЕКТЫ'!BH78/'ОБЪЕКТЫ'!$B$78,0),0)-BH53-BH57-BH21</x:f>
      </x:c>
      <x:c r="BI22" s="117">
        <x:f>BI10-IFERROR((SUM($D$20:$GA$20)-'ОБЪЕКТЫ'!$B$112)*('Продажи'!BI60+'Продажи'!BI63+'Продажи'!BI66+'Продажи'!BI69)/(SUM('Продажи'!$D$60:$GA$60)+SUM('Продажи'!$D$63:$GA$63)+SUM('Продажи'!$D$66:$GA$66)+SUM('Продажи'!$D$69:$GA$69)),0)-IF('ОБЪЕКТЫ'!$B$8=3,IFERROR('ОБЪЕКТЫ'!$B$28*'ОБЪЕКТЫ'!BI22/'ОБЪЕКТЫ'!$B$22,0),0)-IF('ОБЪЕКТЫ'!$B$36=3,IFERROR('ОБЪЕКТЫ'!$B$56*'ОБЪЕКТЫ'!BI50/'ОБЪЕКТЫ'!$B$50,0),0)-IF('ОБЪЕКТЫ'!$B$64=3,IFERROR('ОБЪЕКТЫ'!$B$84*'ОБЪЕКТЫ'!BI78/'ОБЪЕКТЫ'!$B$78,0),0)-BI53-BI57-BI21</x:f>
      </x:c>
      <x:c r="BJ22" s="117">
        <x:f>BJ10-IFERROR((SUM($D$20:$GA$20)-'ОБЪЕКТЫ'!$B$112)*('Продажи'!BJ60+'Продажи'!BJ63+'Продажи'!BJ66+'Продажи'!BJ69)/(SUM('Продажи'!$D$60:$GA$60)+SUM('Продажи'!$D$63:$GA$63)+SUM('Продажи'!$D$66:$GA$66)+SUM('Продажи'!$D$69:$GA$69)),0)-IF('ОБЪЕКТЫ'!$B$8=3,IFERROR('ОБЪЕКТЫ'!$B$28*'ОБЪЕКТЫ'!BJ22/'ОБЪЕКТЫ'!$B$22,0),0)-IF('ОБЪЕКТЫ'!$B$36=3,IFERROR('ОБЪЕКТЫ'!$B$56*'ОБЪЕКТЫ'!BJ50/'ОБЪЕКТЫ'!$B$50,0),0)-IF('ОБЪЕКТЫ'!$B$64=3,IFERROR('ОБЪЕКТЫ'!$B$84*'ОБЪЕКТЫ'!BJ78/'ОБЪЕКТЫ'!$B$78,0),0)-BJ53-BJ57-BJ21</x:f>
      </x:c>
      <x:c r="BK22" s="117">
        <x:f>BK10-IFERROR((SUM($D$20:$GA$20)-'ОБЪЕКТЫ'!$B$112)*('Продажи'!BK60+'Продажи'!BK63+'Продажи'!BK66+'Продажи'!BK69)/(SUM('Продажи'!$D$60:$GA$60)+SUM('Продажи'!$D$63:$GA$63)+SUM('Продажи'!$D$66:$GA$66)+SUM('Продажи'!$D$69:$GA$69)),0)-IF('ОБЪЕКТЫ'!$B$8=3,IFERROR('ОБЪЕКТЫ'!$B$28*'ОБЪЕКТЫ'!BK22/'ОБЪЕКТЫ'!$B$22,0),0)-IF('ОБЪЕКТЫ'!$B$36=3,IFERROR('ОБЪЕКТЫ'!$B$56*'ОБЪЕКТЫ'!BK50/'ОБЪЕКТЫ'!$B$50,0),0)-IF('ОБЪЕКТЫ'!$B$64=3,IFERROR('ОБЪЕКТЫ'!$B$84*'ОБЪЕКТЫ'!BK78/'ОБЪЕКТЫ'!$B$78,0),0)-BK53-BK57-BK21</x:f>
      </x:c>
      <x:c r="BL22" s="117">
        <x:f>BL10-IFERROR((SUM($D$20:$GA$20)-'ОБЪЕКТЫ'!$B$112)*('Продажи'!BL60+'Продажи'!BL63+'Продажи'!BL66+'Продажи'!BL69)/(SUM('Продажи'!$D$60:$GA$60)+SUM('Продажи'!$D$63:$GA$63)+SUM('Продажи'!$D$66:$GA$66)+SUM('Продажи'!$D$69:$GA$69)),0)-IF('ОБЪЕКТЫ'!$B$8=3,IFERROR('ОБЪЕКТЫ'!$B$28*'ОБЪЕКТЫ'!BL22/'ОБЪЕКТЫ'!$B$22,0),0)-IF('ОБЪЕКТЫ'!$B$36=3,IFERROR('ОБЪЕКТЫ'!$B$56*'ОБЪЕКТЫ'!BL50/'ОБЪЕКТЫ'!$B$50,0),0)-IF('ОБЪЕКТЫ'!$B$64=3,IFERROR('ОБЪЕКТЫ'!$B$84*'ОБЪЕКТЫ'!BL78/'ОБЪЕКТЫ'!$B$78,0),0)-BL53-BL57-BL21</x:f>
      </x:c>
      <x:c r="BM22" s="117">
        <x:f>BM10-IFERROR((SUM($D$20:$GA$20)-'ОБЪЕКТЫ'!$B$112)*('Продажи'!BM60+'Продажи'!BM63+'Продажи'!BM66+'Продажи'!BM69)/(SUM('Продажи'!$D$60:$GA$60)+SUM('Продажи'!$D$63:$GA$63)+SUM('Продажи'!$D$66:$GA$66)+SUM('Продажи'!$D$69:$GA$69)),0)-IF('ОБЪЕКТЫ'!$B$8=3,IFERROR('ОБЪЕКТЫ'!$B$28*'ОБЪЕКТЫ'!BM22/'ОБЪЕКТЫ'!$B$22,0),0)-IF('ОБЪЕКТЫ'!$B$36=3,IFERROR('ОБЪЕКТЫ'!$B$56*'ОБЪЕКТЫ'!BM50/'ОБЪЕКТЫ'!$B$50,0),0)-IF('ОБЪЕКТЫ'!$B$64=3,IFERROR('ОБЪЕКТЫ'!$B$84*'ОБЪЕКТЫ'!BM78/'ОБЪЕКТЫ'!$B$78,0),0)-BM53-BM57-BM21</x:f>
      </x:c>
      <x:c r="BN22" s="117">
        <x:f>BN10-IFERROR((SUM($D$20:$GA$20)-'ОБЪЕКТЫ'!$B$112)*('Продажи'!BN60+'Продажи'!BN63+'Продажи'!BN66+'Продажи'!BN69)/(SUM('Продажи'!$D$60:$GA$60)+SUM('Продажи'!$D$63:$GA$63)+SUM('Продажи'!$D$66:$GA$66)+SUM('Продажи'!$D$69:$GA$69)),0)-IF('ОБЪЕКТЫ'!$B$8=3,IFERROR('ОБЪЕКТЫ'!$B$28*'ОБЪЕКТЫ'!BN22/'ОБЪЕКТЫ'!$B$22,0),0)-IF('ОБЪЕКТЫ'!$B$36=3,IFERROR('ОБЪЕКТЫ'!$B$56*'ОБЪЕКТЫ'!BN50/'ОБЪЕКТЫ'!$B$50,0),0)-IF('ОБЪЕКТЫ'!$B$64=3,IFERROR('ОБЪЕКТЫ'!$B$84*'ОБЪЕКТЫ'!BN78/'ОБЪЕКТЫ'!$B$78,0),0)-BN53-BN57-BN21</x:f>
      </x:c>
      <x:c r="BO22" s="117">
        <x:f>BO10-IFERROR((SUM($D$20:$GA$20)-'ОБЪЕКТЫ'!$B$112)*('Продажи'!BO60+'Продажи'!BO63+'Продажи'!BO66+'Продажи'!BO69)/(SUM('Продажи'!$D$60:$GA$60)+SUM('Продажи'!$D$63:$GA$63)+SUM('Продажи'!$D$66:$GA$66)+SUM('Продажи'!$D$69:$GA$69)),0)-IF('ОБЪЕКТЫ'!$B$8=3,IFERROR('ОБЪЕКТЫ'!$B$28*'ОБЪЕКТЫ'!BO22/'ОБЪЕКТЫ'!$B$22,0),0)-IF('ОБЪЕКТЫ'!$B$36=3,IFERROR('ОБЪЕКТЫ'!$B$56*'ОБЪЕКТЫ'!BO50/'ОБЪЕКТЫ'!$B$50,0),0)-IF('ОБЪЕКТЫ'!$B$64=3,IFERROR('ОБЪЕКТЫ'!$B$84*'ОБЪЕКТЫ'!BO78/'ОБЪЕКТЫ'!$B$78,0),0)-BO53-BO57-BO21</x:f>
      </x:c>
      <x:c r="BP22" s="117">
        <x:f>BP10-IFERROR((SUM($D$20:$GA$20)-'ОБЪЕКТЫ'!$B$112)*('Продажи'!BP60+'Продажи'!BP63+'Продажи'!BP66+'Продажи'!BP69)/(SUM('Продажи'!$D$60:$GA$60)+SUM('Продажи'!$D$63:$GA$63)+SUM('Продажи'!$D$66:$GA$66)+SUM('Продажи'!$D$69:$GA$69)),0)-IF('ОБЪЕКТЫ'!$B$8=3,IFERROR('ОБЪЕКТЫ'!$B$28*'ОБЪЕКТЫ'!BP22/'ОБЪЕКТЫ'!$B$22,0),0)-IF('ОБЪЕКТЫ'!$B$36=3,IFERROR('ОБЪЕКТЫ'!$B$56*'ОБЪЕКТЫ'!BP50/'ОБЪЕКТЫ'!$B$50,0),0)-IF('ОБЪЕКТЫ'!$B$64=3,IFERROR('ОБЪЕКТЫ'!$B$84*'ОБЪЕКТЫ'!BP78/'ОБЪЕКТЫ'!$B$78,0),0)-BP53-BP57-BP21</x:f>
      </x:c>
      <x:c r="BQ22" s="117">
        <x:f>BQ10-IFERROR((SUM($D$20:$GA$20)-'ОБЪЕКТЫ'!$B$112)*('Продажи'!BQ60+'Продажи'!BQ63+'Продажи'!BQ66+'Продажи'!BQ69)/(SUM('Продажи'!$D$60:$GA$60)+SUM('Продажи'!$D$63:$GA$63)+SUM('Продажи'!$D$66:$GA$66)+SUM('Продажи'!$D$69:$GA$69)),0)-IF('ОБЪЕКТЫ'!$B$8=3,IFERROR('ОБЪЕКТЫ'!$B$28*'ОБЪЕКТЫ'!BQ22/'ОБЪЕКТЫ'!$B$22,0),0)-IF('ОБЪЕКТЫ'!$B$36=3,IFERROR('ОБЪЕКТЫ'!$B$56*'ОБЪЕКТЫ'!BQ50/'ОБЪЕКТЫ'!$B$50,0),0)-IF('ОБЪЕКТЫ'!$B$64=3,IFERROR('ОБЪЕКТЫ'!$B$84*'ОБЪЕКТЫ'!BQ78/'ОБЪЕКТЫ'!$B$78,0),0)-BQ53-BQ57-BQ21</x:f>
      </x:c>
      <x:c r="BR22" s="117">
        <x:f>BR10-IFERROR((SUM($D$20:$GA$20)-'ОБЪЕКТЫ'!$B$112)*('Продажи'!BR60+'Продажи'!BR63+'Продажи'!BR66+'Продажи'!BR69)/(SUM('Продажи'!$D$60:$GA$60)+SUM('Продажи'!$D$63:$GA$63)+SUM('Продажи'!$D$66:$GA$66)+SUM('Продажи'!$D$69:$GA$69)),0)-IF('ОБЪЕКТЫ'!$B$8=3,IFERROR('ОБЪЕКТЫ'!$B$28*'ОБЪЕКТЫ'!BR22/'ОБЪЕКТЫ'!$B$22,0),0)-IF('ОБЪЕКТЫ'!$B$36=3,IFERROR('ОБЪЕКТЫ'!$B$56*'ОБЪЕКТЫ'!BR50/'ОБЪЕКТЫ'!$B$50,0),0)-IF('ОБЪЕКТЫ'!$B$64=3,IFERROR('ОБЪЕКТЫ'!$B$84*'ОБЪЕКТЫ'!BR78/'ОБЪЕКТЫ'!$B$78,0),0)-BR53-BR57-BR21</x:f>
      </x:c>
      <x:c r="BS22" s="117">
        <x:f>BS10-IFERROR((SUM($D$20:$GA$20)-'ОБЪЕКТЫ'!$B$112)*('Продажи'!BS60+'Продажи'!BS63+'Продажи'!BS66+'Продажи'!BS69)/(SUM('Продажи'!$D$60:$GA$60)+SUM('Продажи'!$D$63:$GA$63)+SUM('Продажи'!$D$66:$GA$66)+SUM('Продажи'!$D$69:$GA$69)),0)-IF('ОБЪЕКТЫ'!$B$8=3,IFERROR('ОБЪЕКТЫ'!$B$28*'ОБЪЕКТЫ'!BS22/'ОБЪЕКТЫ'!$B$22,0),0)-IF('ОБЪЕКТЫ'!$B$36=3,IFERROR('ОБЪЕКТЫ'!$B$56*'ОБЪЕКТЫ'!BS50/'ОБЪЕКТЫ'!$B$50,0),0)-IF('ОБЪЕКТЫ'!$B$64=3,IFERROR('ОБЪЕКТЫ'!$B$84*'ОБЪЕКТЫ'!BS78/'ОБЪЕКТЫ'!$B$78,0),0)-BS53-BS57-BS21</x:f>
      </x:c>
      <x:c r="BT22" s="117">
        <x:f>BT10-IFERROR((SUM($D$20:$GA$20)-'ОБЪЕКТЫ'!$B$112)*('Продажи'!BT60+'Продажи'!BT63+'Продажи'!BT66+'Продажи'!BT69)/(SUM('Продажи'!$D$60:$GA$60)+SUM('Продажи'!$D$63:$GA$63)+SUM('Продажи'!$D$66:$GA$66)+SUM('Продажи'!$D$69:$GA$69)),0)-IF('ОБЪЕКТЫ'!$B$8=3,IFERROR('ОБЪЕКТЫ'!$B$28*'ОБЪЕКТЫ'!BT22/'ОБЪЕКТЫ'!$B$22,0),0)-IF('ОБЪЕКТЫ'!$B$36=3,IFERROR('ОБЪЕКТЫ'!$B$56*'ОБЪЕКТЫ'!BT50/'ОБЪЕКТЫ'!$B$50,0),0)-IF('ОБЪЕКТЫ'!$B$64=3,IFERROR('ОБЪЕКТЫ'!$B$84*'ОБЪЕКТЫ'!BT78/'ОБЪЕКТЫ'!$B$78,0),0)-BT53-BT57-BT21</x:f>
      </x:c>
      <x:c r="BU22" s="117">
        <x:f>BU10-IFERROR((SUM($D$20:$GA$20)-'ОБЪЕКТЫ'!$B$112)*('Продажи'!BU60+'Продажи'!BU63+'Продажи'!BU66+'Продажи'!BU69)/(SUM('Продажи'!$D$60:$GA$60)+SUM('Продажи'!$D$63:$GA$63)+SUM('Продажи'!$D$66:$GA$66)+SUM('Продажи'!$D$69:$GA$69)),0)-IF('ОБЪЕКТЫ'!$B$8=3,IFERROR('ОБЪЕКТЫ'!$B$28*'ОБЪЕКТЫ'!BU22/'ОБЪЕКТЫ'!$B$22,0),0)-IF('ОБЪЕКТЫ'!$B$36=3,IFERROR('ОБЪЕКТЫ'!$B$56*'ОБЪЕКТЫ'!BU50/'ОБЪЕКТЫ'!$B$50,0),0)-IF('ОБЪЕКТЫ'!$B$64=3,IFERROR('ОБЪЕКТЫ'!$B$84*'ОБЪЕКТЫ'!BU78/'ОБЪЕКТЫ'!$B$78,0),0)-BU53-BU57-BU21</x:f>
      </x:c>
      <x:c r="BV22" s="117">
        <x:f>BV10-IFERROR((SUM($D$20:$GA$20)-'ОБЪЕКТЫ'!$B$112)*('Продажи'!BV60+'Продажи'!BV63+'Продажи'!BV66+'Продажи'!BV69)/(SUM('Продажи'!$D$60:$GA$60)+SUM('Продажи'!$D$63:$GA$63)+SUM('Продажи'!$D$66:$GA$66)+SUM('Продажи'!$D$69:$GA$69)),0)-IF('ОБЪЕКТЫ'!$B$8=3,IFERROR('ОБЪЕКТЫ'!$B$28*'ОБЪЕКТЫ'!BV22/'ОБЪЕКТЫ'!$B$22,0),0)-IF('ОБЪЕКТЫ'!$B$36=3,IFERROR('ОБЪЕКТЫ'!$B$56*'ОБЪЕКТЫ'!BV50/'ОБЪЕКТЫ'!$B$50,0),0)-IF('ОБЪЕКТЫ'!$B$64=3,IFERROR('ОБЪЕКТЫ'!$B$84*'ОБЪЕКТЫ'!BV78/'ОБЪЕКТЫ'!$B$78,0),0)-BV53-BV57-BV21</x:f>
      </x:c>
      <x:c r="BW22" s="117">
        <x:f>BW10-IFERROR((SUM($D$20:$GA$20)-'ОБЪЕКТЫ'!$B$112)*('Продажи'!BW60+'Продажи'!BW63+'Продажи'!BW66+'Продажи'!BW69)/(SUM('Продажи'!$D$60:$GA$60)+SUM('Продажи'!$D$63:$GA$63)+SUM('Продажи'!$D$66:$GA$66)+SUM('Продажи'!$D$69:$GA$69)),0)-IF('ОБЪЕКТЫ'!$B$8=3,IFERROR('ОБЪЕКТЫ'!$B$28*'ОБЪЕКТЫ'!BW22/'ОБЪЕКТЫ'!$B$22,0),0)-IF('ОБЪЕКТЫ'!$B$36=3,IFERROR('ОБЪЕКТЫ'!$B$56*'ОБЪЕКТЫ'!BW50/'ОБЪЕКТЫ'!$B$50,0),0)-IF('ОБЪЕКТЫ'!$B$64=3,IFERROR('ОБЪЕКТЫ'!$B$84*'ОБЪЕКТЫ'!BW78/'ОБЪЕКТЫ'!$B$78,0),0)-BW53-BW57-BW21</x:f>
      </x:c>
      <x:c r="BX22" s="117">
        <x:f>BX10-IFERROR((SUM($D$20:$GA$20)-'ОБЪЕКТЫ'!$B$112)*('Продажи'!BX60+'Продажи'!BX63+'Продажи'!BX66+'Продажи'!BX69)/(SUM('Продажи'!$D$60:$GA$60)+SUM('Продажи'!$D$63:$GA$63)+SUM('Продажи'!$D$66:$GA$66)+SUM('Продажи'!$D$69:$GA$69)),0)-IF('ОБЪЕКТЫ'!$B$8=3,IFERROR('ОБЪЕКТЫ'!$B$28*'ОБЪЕКТЫ'!BX22/'ОБЪЕКТЫ'!$B$22,0),0)-IF('ОБЪЕКТЫ'!$B$36=3,IFERROR('ОБЪЕКТЫ'!$B$56*'ОБЪЕКТЫ'!BX50/'ОБЪЕКТЫ'!$B$50,0),0)-IF('ОБЪЕКТЫ'!$B$64=3,IFERROR('ОБЪЕКТЫ'!$B$84*'ОБЪЕКТЫ'!BX78/'ОБЪЕКТЫ'!$B$78,0),0)-BX53-BX57-BX21</x:f>
      </x:c>
      <x:c r="BY22" s="117">
        <x:f>BY10-IFERROR((SUM($D$20:$GA$20)-'ОБЪЕКТЫ'!$B$112)*('Продажи'!BY60+'Продажи'!BY63+'Продажи'!BY66+'Продажи'!BY69)/(SUM('Продажи'!$D$60:$GA$60)+SUM('Продажи'!$D$63:$GA$63)+SUM('Продажи'!$D$66:$GA$66)+SUM('Продажи'!$D$69:$GA$69)),0)-IF('ОБЪЕКТЫ'!$B$8=3,IFERROR('ОБЪЕКТЫ'!$B$28*'ОБЪЕКТЫ'!BY22/'ОБЪЕКТЫ'!$B$22,0),0)-IF('ОБЪЕКТЫ'!$B$36=3,IFERROR('ОБЪЕКТЫ'!$B$56*'ОБЪЕКТЫ'!BY50/'ОБЪЕКТЫ'!$B$50,0),0)-IF('ОБЪЕКТЫ'!$B$64=3,IFERROR('ОБЪЕКТЫ'!$B$84*'ОБЪЕКТЫ'!BY78/'ОБЪЕКТЫ'!$B$78,0),0)-BY53-BY57-BY21</x:f>
      </x:c>
      <x:c r="BZ22" s="117">
        <x:f>BZ10-IFERROR((SUM($D$20:$GA$20)-'ОБЪЕКТЫ'!$B$112)*('Продажи'!BZ60+'Продажи'!BZ63+'Продажи'!BZ66+'Продажи'!BZ69)/(SUM('Продажи'!$D$60:$GA$60)+SUM('Продажи'!$D$63:$GA$63)+SUM('Продажи'!$D$66:$GA$66)+SUM('Продажи'!$D$69:$GA$69)),0)-IF('ОБЪЕКТЫ'!$B$8=3,IFERROR('ОБЪЕКТЫ'!$B$28*'ОБЪЕКТЫ'!BZ22/'ОБЪЕКТЫ'!$B$22,0),0)-IF('ОБЪЕКТЫ'!$B$36=3,IFERROR('ОБЪЕКТЫ'!$B$56*'ОБЪЕКТЫ'!BZ50/'ОБЪЕКТЫ'!$B$50,0),0)-IF('ОБЪЕКТЫ'!$B$64=3,IFERROR('ОБЪЕКТЫ'!$B$84*'ОБЪЕКТЫ'!BZ78/'ОБЪЕКТЫ'!$B$78,0),0)-BZ53-BZ57-BZ21</x:f>
      </x:c>
      <x:c r="CA22" s="117">
        <x:f>CA10-IFERROR((SUM($D$20:$GA$20)-'ОБЪЕКТЫ'!$B$112)*('Продажи'!CA60+'Продажи'!CA63+'Продажи'!CA66+'Продажи'!CA69)/(SUM('Продажи'!$D$60:$GA$60)+SUM('Продажи'!$D$63:$GA$63)+SUM('Продажи'!$D$66:$GA$66)+SUM('Продажи'!$D$69:$GA$69)),0)-IF('ОБЪЕКТЫ'!$B$8=3,IFERROR('ОБЪЕКТЫ'!$B$28*'ОБЪЕКТЫ'!CA22/'ОБЪЕКТЫ'!$B$22,0),0)-IF('ОБЪЕКТЫ'!$B$36=3,IFERROR('ОБЪЕКТЫ'!$B$56*'ОБЪЕКТЫ'!CA50/'ОБЪЕКТЫ'!$B$50,0),0)-IF('ОБЪЕКТЫ'!$B$64=3,IFERROR('ОБЪЕКТЫ'!$B$84*'ОБЪЕКТЫ'!CA78/'ОБЪЕКТЫ'!$B$78,0),0)-CA53-CA57-CA21</x:f>
      </x:c>
      <x:c r="CB22" s="117">
        <x:f>CB10-IFERROR((SUM($D$20:$GA$20)-'ОБЪЕКТЫ'!$B$112)*('Продажи'!CB60+'Продажи'!CB63+'Продажи'!CB66+'Продажи'!CB69)/(SUM('Продажи'!$D$60:$GA$60)+SUM('Продажи'!$D$63:$GA$63)+SUM('Продажи'!$D$66:$GA$66)+SUM('Продажи'!$D$69:$GA$69)),0)-IF('ОБЪЕКТЫ'!$B$8=3,IFERROR('ОБЪЕКТЫ'!$B$28*'ОБЪЕКТЫ'!CB22/'ОБЪЕКТЫ'!$B$22,0),0)-IF('ОБЪЕКТЫ'!$B$36=3,IFERROR('ОБЪЕКТЫ'!$B$56*'ОБЪЕКТЫ'!CB50/'ОБЪЕКТЫ'!$B$50,0),0)-IF('ОБЪЕКТЫ'!$B$64=3,IFERROR('ОБЪЕКТЫ'!$B$84*'ОБЪЕКТЫ'!CB78/'ОБЪЕКТЫ'!$B$78,0),0)-CB53-CB57-CB21</x:f>
      </x:c>
      <x:c r="CC22" s="117">
        <x:f>CC10-IFERROR((SUM($D$20:$GA$20)-'ОБЪЕКТЫ'!$B$112)*('Продажи'!CC60+'Продажи'!CC63+'Продажи'!CC66+'Продажи'!CC69)/(SUM('Продажи'!$D$60:$GA$60)+SUM('Продажи'!$D$63:$GA$63)+SUM('Продажи'!$D$66:$GA$66)+SUM('Продажи'!$D$69:$GA$69)),0)-IF('ОБЪЕКТЫ'!$B$8=3,IFERROR('ОБЪЕКТЫ'!$B$28*'ОБЪЕКТЫ'!CC22/'ОБЪЕКТЫ'!$B$22,0),0)-IF('ОБЪЕКТЫ'!$B$36=3,IFERROR('ОБЪЕКТЫ'!$B$56*'ОБЪЕКТЫ'!CC50/'ОБЪЕКТЫ'!$B$50,0),0)-IF('ОБЪЕКТЫ'!$B$64=3,IFERROR('ОБЪЕКТЫ'!$B$84*'ОБЪЕКТЫ'!CC78/'ОБЪЕКТЫ'!$B$78,0),0)-CC53-CC57-CC21</x:f>
      </x:c>
      <x:c r="CD22" s="117">
        <x:f>CD10-IFERROR((SUM($D$20:$GA$20)-'ОБЪЕКТЫ'!$B$112)*('Продажи'!CD60+'Продажи'!CD63+'Продажи'!CD66+'Продажи'!CD69)/(SUM('Продажи'!$D$60:$GA$60)+SUM('Продажи'!$D$63:$GA$63)+SUM('Продажи'!$D$66:$GA$66)+SUM('Продажи'!$D$69:$GA$69)),0)-IF('ОБЪЕКТЫ'!$B$8=3,IFERROR('ОБЪЕКТЫ'!$B$28*'ОБЪЕКТЫ'!CD22/'ОБЪЕКТЫ'!$B$22,0),0)-IF('ОБЪЕКТЫ'!$B$36=3,IFERROR('ОБЪЕКТЫ'!$B$56*'ОБЪЕКТЫ'!CD50/'ОБЪЕКТЫ'!$B$50,0),0)-IF('ОБЪЕКТЫ'!$B$64=3,IFERROR('ОБЪЕКТЫ'!$B$84*'ОБЪЕКТЫ'!CD78/'ОБЪЕКТЫ'!$B$78,0),0)-CD53-CD57-CD21</x:f>
      </x:c>
      <x:c r="CE22" s="117">
        <x:f>CE10-IFERROR((SUM($D$20:$GA$20)-'ОБЪЕКТЫ'!$B$112)*('Продажи'!CE60+'Продажи'!CE63+'Продажи'!CE66+'Продажи'!CE69)/(SUM('Продажи'!$D$60:$GA$60)+SUM('Продажи'!$D$63:$GA$63)+SUM('Продажи'!$D$66:$GA$66)+SUM('Продажи'!$D$69:$GA$69)),0)-IF('ОБЪЕКТЫ'!$B$8=3,IFERROR('ОБЪЕКТЫ'!$B$28*'ОБЪЕКТЫ'!CE22/'ОБЪЕКТЫ'!$B$22,0),0)-IF('ОБЪЕКТЫ'!$B$36=3,IFERROR('ОБЪЕКТЫ'!$B$56*'ОБЪЕКТЫ'!CE50/'ОБЪЕКТЫ'!$B$50,0),0)-IF('ОБЪЕКТЫ'!$B$64=3,IFERROR('ОБЪЕКТЫ'!$B$84*'ОБЪЕКТЫ'!CE78/'ОБЪЕКТЫ'!$B$78,0),0)-CE53-CE57-CE21</x:f>
      </x:c>
      <x:c r="CF22" s="117">
        <x:f>CF10-IFERROR((SUM($D$20:$GA$20)-'ОБЪЕКТЫ'!$B$112)*('Продажи'!CF60+'Продажи'!CF63+'Продажи'!CF66+'Продажи'!CF69)/(SUM('Продажи'!$D$60:$GA$60)+SUM('Продажи'!$D$63:$GA$63)+SUM('Продажи'!$D$66:$GA$66)+SUM('Продажи'!$D$69:$GA$69)),0)-IF('ОБЪЕКТЫ'!$B$8=3,IFERROR('ОБЪЕКТЫ'!$B$28*'ОБЪЕКТЫ'!CF22/'ОБЪЕКТЫ'!$B$22,0),0)-IF('ОБЪЕКТЫ'!$B$36=3,IFERROR('ОБЪЕКТЫ'!$B$56*'ОБЪЕКТЫ'!CF50/'ОБЪЕКТЫ'!$B$50,0),0)-IF('ОБЪЕКТЫ'!$B$64=3,IFERROR('ОБЪЕКТЫ'!$B$84*'ОБЪЕКТЫ'!CF78/'ОБЪЕКТЫ'!$B$78,0),0)-CF53-CF57-CF21</x:f>
      </x:c>
      <x:c r="CG22" s="117">
        <x:f>CG10-IFERROR((SUM($D$20:$GA$20)-'ОБЪЕКТЫ'!$B$112)*('Продажи'!CG60+'Продажи'!CG63+'Продажи'!CG66+'Продажи'!CG69)/(SUM('Продажи'!$D$60:$GA$60)+SUM('Продажи'!$D$63:$GA$63)+SUM('Продажи'!$D$66:$GA$66)+SUM('Продажи'!$D$69:$GA$69)),0)-IF('ОБЪЕКТЫ'!$B$8=3,IFERROR('ОБЪЕКТЫ'!$B$28*'ОБЪЕКТЫ'!CG22/'ОБЪЕКТЫ'!$B$22,0),0)-IF('ОБЪЕКТЫ'!$B$36=3,IFERROR('ОБЪЕКТЫ'!$B$56*'ОБЪЕКТЫ'!CG50/'ОБЪЕКТЫ'!$B$50,0),0)-IF('ОБЪЕКТЫ'!$B$64=3,IFERROR('ОБЪЕКТЫ'!$B$84*'ОБЪЕКТЫ'!CG78/'ОБЪЕКТЫ'!$B$78,0),0)-CG53-CG57-CG21</x:f>
      </x:c>
      <x:c r="CH22" s="117">
        <x:f>CH10-IFERROR((SUM($D$20:$GA$20)-'ОБЪЕКТЫ'!$B$112)*('Продажи'!CH60+'Продажи'!CH63+'Продажи'!CH66+'Продажи'!CH69)/(SUM('Продажи'!$D$60:$GA$60)+SUM('Продажи'!$D$63:$GA$63)+SUM('Продажи'!$D$66:$GA$66)+SUM('Продажи'!$D$69:$GA$69)),0)-IF('ОБЪЕКТЫ'!$B$8=3,IFERROR('ОБЪЕКТЫ'!$B$28*'ОБЪЕКТЫ'!CH22/'ОБЪЕКТЫ'!$B$22,0),0)-IF('ОБЪЕКТЫ'!$B$36=3,IFERROR('ОБЪЕКТЫ'!$B$56*'ОБЪЕКТЫ'!CH50/'ОБЪЕКТЫ'!$B$50,0),0)-IF('ОБЪЕКТЫ'!$B$64=3,IFERROR('ОБЪЕКТЫ'!$B$84*'ОБЪЕКТЫ'!CH78/'ОБЪЕКТЫ'!$B$78,0),0)-CH53-CH57-CH21</x:f>
      </x:c>
      <x:c r="CI22" s="117">
        <x:f>CI10-IFERROR((SUM($D$20:$GA$20)-'ОБЪЕКТЫ'!$B$112)*('Продажи'!CI60+'Продажи'!CI63+'Продажи'!CI66+'Продажи'!CI69)/(SUM('Продажи'!$D$60:$GA$60)+SUM('Продажи'!$D$63:$GA$63)+SUM('Продажи'!$D$66:$GA$66)+SUM('Продажи'!$D$69:$GA$69)),0)-IF('ОБЪЕКТЫ'!$B$8=3,IFERROR('ОБЪЕКТЫ'!$B$28*'ОБЪЕКТЫ'!CI22/'ОБЪЕКТЫ'!$B$22,0),0)-IF('ОБЪЕКТЫ'!$B$36=3,IFERROR('ОБЪЕКТЫ'!$B$56*'ОБЪЕКТЫ'!CI50/'ОБЪЕКТЫ'!$B$50,0),0)-IF('ОБЪЕКТЫ'!$B$64=3,IFERROR('ОБЪЕКТЫ'!$B$84*'ОБЪЕКТЫ'!CI78/'ОБЪЕКТЫ'!$B$78,0),0)-CI53-CI57-CI21</x:f>
      </x:c>
      <x:c r="CJ22" s="117">
        <x:f>CJ10-IFERROR((SUM($D$20:$GA$20)-'ОБЪЕКТЫ'!$B$112)*('Продажи'!CJ60+'Продажи'!CJ63+'Продажи'!CJ66+'Продажи'!CJ69)/(SUM('Продажи'!$D$60:$GA$60)+SUM('Продажи'!$D$63:$GA$63)+SUM('Продажи'!$D$66:$GA$66)+SUM('Продажи'!$D$69:$GA$69)),0)-IF('ОБЪЕКТЫ'!$B$8=3,IFERROR('ОБЪЕКТЫ'!$B$28*'ОБЪЕКТЫ'!CJ22/'ОБЪЕКТЫ'!$B$22,0),0)-IF('ОБЪЕКТЫ'!$B$36=3,IFERROR('ОБЪЕКТЫ'!$B$56*'ОБЪЕКТЫ'!CJ50/'ОБЪЕКТЫ'!$B$50,0),0)-IF('ОБЪЕКТЫ'!$B$64=3,IFERROR('ОБЪЕКТЫ'!$B$84*'ОБЪЕКТЫ'!CJ78/'ОБЪЕКТЫ'!$B$78,0),0)-CJ53-CJ57-CJ21</x:f>
      </x:c>
      <x:c r="CK22" s="117">
        <x:f>CK10-IFERROR((SUM($D$20:$GA$20)-'ОБЪЕКТЫ'!$B$112)*('Продажи'!CK60+'Продажи'!CK63+'Продажи'!CK66+'Продажи'!CK69)/(SUM('Продажи'!$D$60:$GA$60)+SUM('Продажи'!$D$63:$GA$63)+SUM('Продажи'!$D$66:$GA$66)+SUM('Продажи'!$D$69:$GA$69)),0)-IF('ОБЪЕКТЫ'!$B$8=3,IFERROR('ОБЪЕКТЫ'!$B$28*'ОБЪЕКТЫ'!CK22/'ОБЪЕКТЫ'!$B$22,0),0)-IF('ОБЪЕКТЫ'!$B$36=3,IFERROR('ОБЪЕКТЫ'!$B$56*'ОБЪЕКТЫ'!CK50/'ОБЪЕКТЫ'!$B$50,0),0)-IF('ОБЪЕКТЫ'!$B$64=3,IFERROR('ОБЪЕКТЫ'!$B$84*'ОБЪЕКТЫ'!CK78/'ОБЪЕКТЫ'!$B$78,0),0)-CK53-CK57-CK21</x:f>
      </x:c>
      <x:c r="CL22" s="117">
        <x:f>CL10-IFERROR((SUM($D$20:$GA$20)-'ОБЪЕКТЫ'!$B$112)*('Продажи'!CL60+'Продажи'!CL63+'Продажи'!CL66+'Продажи'!CL69)/(SUM('Продажи'!$D$60:$GA$60)+SUM('Продажи'!$D$63:$GA$63)+SUM('Продажи'!$D$66:$GA$66)+SUM('Продажи'!$D$69:$GA$69)),0)-IF('ОБЪЕКТЫ'!$B$8=3,IFERROR('ОБЪЕКТЫ'!$B$28*'ОБЪЕКТЫ'!CL22/'ОБЪЕКТЫ'!$B$22,0),0)-IF('ОБЪЕКТЫ'!$B$36=3,IFERROR('ОБЪЕКТЫ'!$B$56*'ОБЪЕКТЫ'!CL50/'ОБЪЕКТЫ'!$B$50,0),0)-IF('ОБЪЕКТЫ'!$B$64=3,IFERROR('ОБЪЕКТЫ'!$B$84*'ОБЪЕКТЫ'!CL78/'ОБЪЕКТЫ'!$B$78,0),0)-CL53-CL57-CL21</x:f>
      </x:c>
      <x:c r="CM22" s="117">
        <x:f>CM10-IFERROR((SUM($D$20:$GA$20)-'ОБЪЕКТЫ'!$B$112)*('Продажи'!CM60+'Продажи'!CM63+'Продажи'!CM66+'Продажи'!CM69)/(SUM('Продажи'!$D$60:$GA$60)+SUM('Продажи'!$D$63:$GA$63)+SUM('Продажи'!$D$66:$GA$66)+SUM('Продажи'!$D$69:$GA$69)),0)-IF('ОБЪЕКТЫ'!$B$8=3,IFERROR('ОБЪЕКТЫ'!$B$28*'ОБЪЕКТЫ'!CM22/'ОБЪЕКТЫ'!$B$22,0),0)-IF('ОБЪЕКТЫ'!$B$36=3,IFERROR('ОБЪЕКТЫ'!$B$56*'ОБЪЕКТЫ'!CM50/'ОБЪЕКТЫ'!$B$50,0),0)-IF('ОБЪЕКТЫ'!$B$64=3,IFERROR('ОБЪЕКТЫ'!$B$84*'ОБЪЕКТЫ'!CM78/'ОБЪЕКТЫ'!$B$78,0),0)-CM53-CM57-CM21</x:f>
      </x:c>
      <x:c r="CN22" s="117">
        <x:f>CN10-IFERROR((SUM($D$20:$GA$20)-'ОБЪЕКТЫ'!$B$112)*('Продажи'!CN60+'Продажи'!CN63+'Продажи'!CN66+'Продажи'!CN69)/(SUM('Продажи'!$D$60:$GA$60)+SUM('Продажи'!$D$63:$GA$63)+SUM('Продажи'!$D$66:$GA$66)+SUM('Продажи'!$D$69:$GA$69)),0)-IF('ОБЪЕКТЫ'!$B$8=3,IFERROR('ОБЪЕКТЫ'!$B$28*'ОБЪЕКТЫ'!CN22/'ОБЪЕКТЫ'!$B$22,0),0)-IF('ОБЪЕКТЫ'!$B$36=3,IFERROR('ОБЪЕКТЫ'!$B$56*'ОБЪЕКТЫ'!CN50/'ОБЪЕКТЫ'!$B$50,0),0)-IF('ОБЪЕКТЫ'!$B$64=3,IFERROR('ОБЪЕКТЫ'!$B$84*'ОБЪЕКТЫ'!CN78/'ОБЪЕКТЫ'!$B$78,0),0)-CN53-CN57-CN21</x:f>
      </x:c>
      <x:c r="CO22" s="117">
        <x:f>CO10-IFERROR((SUM($D$20:$GA$20)-'ОБЪЕКТЫ'!$B$112)*('Продажи'!CO60+'Продажи'!CO63+'Продажи'!CO66+'Продажи'!CO69)/(SUM('Продажи'!$D$60:$GA$60)+SUM('Продажи'!$D$63:$GA$63)+SUM('Продажи'!$D$66:$GA$66)+SUM('Продажи'!$D$69:$GA$69)),0)-IF('ОБЪЕКТЫ'!$B$8=3,IFERROR('ОБЪЕКТЫ'!$B$28*'ОБЪЕКТЫ'!CO22/'ОБЪЕКТЫ'!$B$22,0),0)-IF('ОБЪЕКТЫ'!$B$36=3,IFERROR('ОБЪЕКТЫ'!$B$56*'ОБЪЕКТЫ'!CO50/'ОБЪЕКТЫ'!$B$50,0),0)-IF('ОБЪЕКТЫ'!$B$64=3,IFERROR('ОБЪЕКТЫ'!$B$84*'ОБЪЕКТЫ'!CO78/'ОБЪЕКТЫ'!$B$78,0),0)-CO53-CO57-CO21</x:f>
      </x:c>
      <x:c r="CP22" s="117">
        <x:f>CP10-IFERROR((SUM($D$20:$GA$20)-'ОБЪЕКТЫ'!$B$112)*('Продажи'!CP60+'Продажи'!CP63+'Продажи'!CP66+'Продажи'!CP69)/(SUM('Продажи'!$D$60:$GA$60)+SUM('Продажи'!$D$63:$GA$63)+SUM('Продажи'!$D$66:$GA$66)+SUM('Продажи'!$D$69:$GA$69)),0)-IF('ОБЪЕКТЫ'!$B$8=3,IFERROR('ОБЪЕКТЫ'!$B$28*'ОБЪЕКТЫ'!CP22/'ОБЪЕКТЫ'!$B$22,0),0)-IF('ОБЪЕКТЫ'!$B$36=3,IFERROR('ОБЪЕКТЫ'!$B$56*'ОБЪЕКТЫ'!CP50/'ОБЪЕКТЫ'!$B$50,0),0)-IF('ОБЪЕКТЫ'!$B$64=3,IFERROR('ОБЪЕКТЫ'!$B$84*'ОБЪЕКТЫ'!CP78/'ОБЪЕКТЫ'!$B$78,0),0)-CP53-CP57-CP21</x:f>
      </x:c>
      <x:c r="CQ22" s="117">
        <x:f>CQ10-IFERROR((SUM($D$20:$GA$20)-'ОБЪЕКТЫ'!$B$112)*('Продажи'!CQ60+'Продажи'!CQ63+'Продажи'!CQ66+'Продажи'!CQ69)/(SUM('Продажи'!$D$60:$GA$60)+SUM('Продажи'!$D$63:$GA$63)+SUM('Продажи'!$D$66:$GA$66)+SUM('Продажи'!$D$69:$GA$69)),0)-IF('ОБЪЕКТЫ'!$B$8=3,IFERROR('ОБЪЕКТЫ'!$B$28*'ОБЪЕКТЫ'!CQ22/'ОБЪЕКТЫ'!$B$22,0),0)-IF('ОБЪЕКТЫ'!$B$36=3,IFERROR('ОБЪЕКТЫ'!$B$56*'ОБЪЕКТЫ'!CQ50/'ОБЪЕКТЫ'!$B$50,0),0)-IF('ОБЪЕКТЫ'!$B$64=3,IFERROR('ОБЪЕКТЫ'!$B$84*'ОБЪЕКТЫ'!CQ78/'ОБЪЕКТЫ'!$B$78,0),0)-CQ53-CQ57-CQ21</x:f>
      </x:c>
      <x:c r="CR22" s="117">
        <x:f>CR10-IFERROR((SUM($D$20:$GA$20)-'ОБЪЕКТЫ'!$B$112)*('Продажи'!CR60+'Продажи'!CR63+'Продажи'!CR66+'Продажи'!CR69)/(SUM('Продажи'!$D$60:$GA$60)+SUM('Продажи'!$D$63:$GA$63)+SUM('Продажи'!$D$66:$GA$66)+SUM('Продажи'!$D$69:$GA$69)),0)-IF('ОБЪЕКТЫ'!$B$8=3,IFERROR('ОБЪЕКТЫ'!$B$28*'ОБЪЕКТЫ'!CR22/'ОБЪЕКТЫ'!$B$22,0),0)-IF('ОБЪЕКТЫ'!$B$36=3,IFERROR('ОБЪЕКТЫ'!$B$56*'ОБЪЕКТЫ'!CR50/'ОБЪЕКТЫ'!$B$50,0),0)-IF('ОБЪЕКТЫ'!$B$64=3,IFERROR('ОБЪЕКТЫ'!$B$84*'ОБЪЕКТЫ'!CR78/'ОБЪЕКТЫ'!$B$78,0),0)-CR53-CR57-CR21</x:f>
      </x:c>
      <x:c r="CS22" s="117">
        <x:f>CS10-IFERROR((SUM($D$20:$GA$20)-'ОБЪЕКТЫ'!$B$112)*('Продажи'!CS60+'Продажи'!CS63+'Продажи'!CS66+'Продажи'!CS69)/(SUM('Продажи'!$D$60:$GA$60)+SUM('Продажи'!$D$63:$GA$63)+SUM('Продажи'!$D$66:$GA$66)+SUM('Продажи'!$D$69:$GA$69)),0)-IF('ОБЪЕКТЫ'!$B$8=3,IFERROR('ОБЪЕКТЫ'!$B$28*'ОБЪЕКТЫ'!CS22/'ОБЪЕКТЫ'!$B$22,0),0)-IF('ОБЪЕКТЫ'!$B$36=3,IFERROR('ОБЪЕКТЫ'!$B$56*'ОБЪЕКТЫ'!CS50/'ОБЪЕКТЫ'!$B$50,0),0)-IF('ОБЪЕКТЫ'!$B$64=3,IFERROR('ОБЪЕКТЫ'!$B$84*'ОБЪЕКТЫ'!CS78/'ОБЪЕКТЫ'!$B$78,0),0)-CS53-CS57-CS21</x:f>
      </x:c>
      <x:c r="CT22" s="117">
        <x:f>CT10-IFERROR((SUM($D$20:$GA$20)-'ОБЪЕКТЫ'!$B$112)*('Продажи'!CT60+'Продажи'!CT63+'Продажи'!CT66+'Продажи'!CT69)/(SUM('Продажи'!$D$60:$GA$60)+SUM('Продажи'!$D$63:$GA$63)+SUM('Продажи'!$D$66:$GA$66)+SUM('Продажи'!$D$69:$GA$69)),0)-IF('ОБЪЕКТЫ'!$B$8=3,IFERROR('ОБЪЕКТЫ'!$B$28*'ОБЪЕКТЫ'!CT22/'ОБЪЕКТЫ'!$B$22,0),0)-IF('ОБЪЕКТЫ'!$B$36=3,IFERROR('ОБЪЕКТЫ'!$B$56*'ОБЪЕКТЫ'!CT50/'ОБЪЕКТЫ'!$B$50,0),0)-IF('ОБЪЕКТЫ'!$B$64=3,IFERROR('ОБЪЕКТЫ'!$B$84*'ОБЪЕКТЫ'!CT78/'ОБЪЕКТЫ'!$B$78,0),0)-CT53-CT57-CT21</x:f>
      </x:c>
      <x:c r="CU22" s="117">
        <x:f>CU10-IFERROR((SUM($D$20:$GA$20)-'ОБЪЕКТЫ'!$B$112)*('Продажи'!CU60+'Продажи'!CU63+'Продажи'!CU66+'Продажи'!CU69)/(SUM('Продажи'!$D$60:$GA$60)+SUM('Продажи'!$D$63:$GA$63)+SUM('Продажи'!$D$66:$GA$66)+SUM('Продажи'!$D$69:$GA$69)),0)-IF('ОБЪЕКТЫ'!$B$8=3,IFERROR('ОБЪЕКТЫ'!$B$28*'ОБЪЕКТЫ'!CU22/'ОБЪЕКТЫ'!$B$22,0),0)-IF('ОБЪЕКТЫ'!$B$36=3,IFERROR('ОБЪЕКТЫ'!$B$56*'ОБЪЕКТЫ'!CU50/'ОБЪЕКТЫ'!$B$50,0),0)-IF('ОБЪЕКТЫ'!$B$64=3,IFERROR('ОБЪЕКТЫ'!$B$84*'ОБЪЕКТЫ'!CU78/'ОБЪЕКТЫ'!$B$78,0),0)-CU53-CU57-CU21</x:f>
      </x:c>
      <x:c r="CV22" s="117">
        <x:f>CV10-IFERROR((SUM($D$20:$GA$20)-'ОБЪЕКТЫ'!$B$112)*('Продажи'!CV60+'Продажи'!CV63+'Продажи'!CV66+'Продажи'!CV69)/(SUM('Продажи'!$D$60:$GA$60)+SUM('Продажи'!$D$63:$GA$63)+SUM('Продажи'!$D$66:$GA$66)+SUM('Продажи'!$D$69:$GA$69)),0)-IF('ОБЪЕКТЫ'!$B$8=3,IFERROR('ОБЪЕКТЫ'!$B$28*'ОБЪЕКТЫ'!CV22/'ОБЪЕКТЫ'!$B$22,0),0)-IF('ОБЪЕКТЫ'!$B$36=3,IFERROR('ОБЪЕКТЫ'!$B$56*'ОБЪЕКТЫ'!CV50/'ОБЪЕКТЫ'!$B$50,0),0)-IF('ОБЪЕКТЫ'!$B$64=3,IFERROR('ОБЪЕКТЫ'!$B$84*'ОБЪЕКТЫ'!CV78/'ОБЪЕКТЫ'!$B$78,0),0)-CV53-CV57-CV21</x:f>
      </x:c>
      <x:c r="CW22" s="117">
        <x:f>CW10-IFERROR((SUM($D$20:$GA$20)-'ОБЪЕКТЫ'!$B$112)*('Продажи'!CW60+'Продажи'!CW63+'Продажи'!CW66+'Продажи'!CW69)/(SUM('Продажи'!$D$60:$GA$60)+SUM('Продажи'!$D$63:$GA$63)+SUM('Продажи'!$D$66:$GA$66)+SUM('Продажи'!$D$69:$GA$69)),0)-IF('ОБЪЕКТЫ'!$B$8=3,IFERROR('ОБЪЕКТЫ'!$B$28*'ОБЪЕКТЫ'!CW22/'ОБЪЕКТЫ'!$B$22,0),0)-IF('ОБЪЕКТЫ'!$B$36=3,IFERROR('ОБЪЕКТЫ'!$B$56*'ОБЪЕКТЫ'!CW50/'ОБЪЕКТЫ'!$B$50,0),0)-IF('ОБЪЕКТЫ'!$B$64=3,IFERROR('ОБЪЕКТЫ'!$B$84*'ОБЪЕКТЫ'!CW78/'ОБЪЕКТЫ'!$B$78,0),0)-CW53-CW57-CW21</x:f>
      </x:c>
      <x:c r="CX22" s="117">
        <x:f>CX10-IFERROR((SUM($D$20:$GA$20)-'ОБЪЕКТЫ'!$B$112)*('Продажи'!CX60+'Продажи'!CX63+'Продажи'!CX66+'Продажи'!CX69)/(SUM('Продажи'!$D$60:$GA$60)+SUM('Продажи'!$D$63:$GA$63)+SUM('Продажи'!$D$66:$GA$66)+SUM('Продажи'!$D$69:$GA$69)),0)-IF('ОБЪЕКТЫ'!$B$8=3,IFERROR('ОБЪЕКТЫ'!$B$28*'ОБЪЕКТЫ'!CX22/'ОБЪЕКТЫ'!$B$22,0),0)-IF('ОБЪЕКТЫ'!$B$36=3,IFERROR('ОБЪЕКТЫ'!$B$56*'ОБЪЕКТЫ'!CX50/'ОБЪЕКТЫ'!$B$50,0),0)-IF('ОБЪЕКТЫ'!$B$64=3,IFERROR('ОБЪЕКТЫ'!$B$84*'ОБЪЕКТЫ'!CX78/'ОБЪЕКТЫ'!$B$78,0),0)-CX53-CX57-CX21</x:f>
      </x:c>
      <x:c r="CY22" s="117">
        <x:f>CY10-IFERROR((SUM($D$20:$GA$20)-'ОБЪЕКТЫ'!$B$112)*('Продажи'!CY60+'Продажи'!CY63+'Продажи'!CY66+'Продажи'!CY69)/(SUM('Продажи'!$D$60:$GA$60)+SUM('Продажи'!$D$63:$GA$63)+SUM('Продажи'!$D$66:$GA$66)+SUM('Продажи'!$D$69:$GA$69)),0)-IF('ОБЪЕКТЫ'!$B$8=3,IFERROR('ОБЪЕКТЫ'!$B$28*'ОБЪЕКТЫ'!CY22/'ОБЪЕКТЫ'!$B$22,0),0)-IF('ОБЪЕКТЫ'!$B$36=3,IFERROR('ОБЪЕКТЫ'!$B$56*'ОБЪЕКТЫ'!CY50/'ОБЪЕКТЫ'!$B$50,0),0)-IF('ОБЪЕКТЫ'!$B$64=3,IFERROR('ОБЪЕКТЫ'!$B$84*'ОБЪЕКТЫ'!CY78/'ОБЪЕКТЫ'!$B$78,0),0)-CY53-CY57-CY21</x:f>
      </x:c>
      <x:c r="CZ22" s="117">
        <x:f>CZ10-IFERROR((SUM($D$20:$GA$20)-'ОБЪЕКТЫ'!$B$112)*('Продажи'!CZ60+'Продажи'!CZ63+'Продажи'!CZ66+'Продажи'!CZ69)/(SUM('Продажи'!$D$60:$GA$60)+SUM('Продажи'!$D$63:$GA$63)+SUM('Продажи'!$D$66:$GA$66)+SUM('Продажи'!$D$69:$GA$69)),0)-IF('ОБЪЕКТЫ'!$B$8=3,IFERROR('ОБЪЕКТЫ'!$B$28*'ОБЪЕКТЫ'!CZ22/'ОБЪЕКТЫ'!$B$22,0),0)-IF('ОБЪЕКТЫ'!$B$36=3,IFERROR('ОБЪЕКТЫ'!$B$56*'ОБЪЕКТЫ'!CZ50/'ОБЪЕКТЫ'!$B$50,0),0)-IF('ОБЪЕКТЫ'!$B$64=3,IFERROR('ОБЪЕКТЫ'!$B$84*'ОБЪЕКТЫ'!CZ78/'ОБЪЕКТЫ'!$B$78,0),0)-CZ53-CZ57-CZ21</x:f>
      </x:c>
      <x:c r="DA22" s="117">
        <x:f>DA10-IFERROR((SUM($D$20:$GA$20)-'ОБЪЕКТЫ'!$B$112)*('Продажи'!DA60+'Продажи'!DA63+'Продажи'!DA66+'Продажи'!DA69)/(SUM('Продажи'!$D$60:$GA$60)+SUM('Продажи'!$D$63:$GA$63)+SUM('Продажи'!$D$66:$GA$66)+SUM('Продажи'!$D$69:$GA$69)),0)-IF('ОБЪЕКТЫ'!$B$8=3,IFERROR('ОБЪЕКТЫ'!$B$28*'ОБЪЕКТЫ'!DA22/'ОБЪЕКТЫ'!$B$22,0),0)-IF('ОБЪЕКТЫ'!$B$36=3,IFERROR('ОБЪЕКТЫ'!$B$56*'ОБЪЕКТЫ'!DA50/'ОБЪЕКТЫ'!$B$50,0),0)-IF('ОБЪЕКТЫ'!$B$64=3,IFERROR('ОБЪЕКТЫ'!$B$84*'ОБЪЕКТЫ'!DA78/'ОБЪЕКТЫ'!$B$78,0),0)-DA53-DA57-DA21</x:f>
      </x:c>
      <x:c r="DB22" s="117">
        <x:f>DB10-IFERROR((SUM($D$20:$GA$20)-'ОБЪЕКТЫ'!$B$112)*('Продажи'!DB60+'Продажи'!DB63+'Продажи'!DB66+'Продажи'!DB69)/(SUM('Продажи'!$D$60:$GA$60)+SUM('Продажи'!$D$63:$GA$63)+SUM('Продажи'!$D$66:$GA$66)+SUM('Продажи'!$D$69:$GA$69)),0)-IF('ОБЪЕКТЫ'!$B$8=3,IFERROR('ОБЪЕКТЫ'!$B$28*'ОБЪЕКТЫ'!DB22/'ОБЪЕКТЫ'!$B$22,0),0)-IF('ОБЪЕКТЫ'!$B$36=3,IFERROR('ОБЪЕКТЫ'!$B$56*'ОБЪЕКТЫ'!DB50/'ОБЪЕКТЫ'!$B$50,0),0)-IF('ОБЪЕКТЫ'!$B$64=3,IFERROR('ОБЪЕКТЫ'!$B$84*'ОБЪЕКТЫ'!DB78/'ОБЪЕКТЫ'!$B$78,0),0)-DB53-DB57-DB21</x:f>
      </x:c>
      <x:c r="DC22" s="117">
        <x:f>DC10-IFERROR((SUM($D$20:$GA$20)-'ОБЪЕКТЫ'!$B$112)*('Продажи'!DC60+'Продажи'!DC63+'Продажи'!DC66+'Продажи'!DC69)/(SUM('Продажи'!$D$60:$GA$60)+SUM('Продажи'!$D$63:$GA$63)+SUM('Продажи'!$D$66:$GA$66)+SUM('Продажи'!$D$69:$GA$69)),0)-IF('ОБЪЕКТЫ'!$B$8=3,IFERROR('ОБЪЕКТЫ'!$B$28*'ОБЪЕКТЫ'!DC22/'ОБЪЕКТЫ'!$B$22,0),0)-IF('ОБЪЕКТЫ'!$B$36=3,IFERROR('ОБЪЕКТЫ'!$B$56*'ОБЪЕКТЫ'!DC50/'ОБЪЕКТЫ'!$B$50,0),0)-IF('ОБЪЕКТЫ'!$B$64=3,IFERROR('ОБЪЕКТЫ'!$B$84*'ОБЪЕКТЫ'!DC78/'ОБЪЕКТЫ'!$B$78,0),0)-DC53-DC57-DC21</x:f>
      </x:c>
      <x:c r="DD22" s="117">
        <x:f>DD10-IFERROR((SUM($D$20:$GA$20)-'ОБЪЕКТЫ'!$B$112)*('Продажи'!DD60+'Продажи'!DD63+'Продажи'!DD66+'Продажи'!DD69)/(SUM('Продажи'!$D$60:$GA$60)+SUM('Продажи'!$D$63:$GA$63)+SUM('Продажи'!$D$66:$GA$66)+SUM('Продажи'!$D$69:$GA$69)),0)-IF('ОБЪЕКТЫ'!$B$8=3,IFERROR('ОБЪЕКТЫ'!$B$28*'ОБЪЕКТЫ'!DD22/'ОБЪЕКТЫ'!$B$22,0),0)-IF('ОБЪЕКТЫ'!$B$36=3,IFERROR('ОБЪЕКТЫ'!$B$56*'ОБЪЕКТЫ'!DD50/'ОБЪЕКТЫ'!$B$50,0),0)-IF('ОБЪЕКТЫ'!$B$64=3,IFERROR('ОБЪЕКТЫ'!$B$84*'ОБЪЕКТЫ'!DD78/'ОБЪЕКТЫ'!$B$78,0),0)-DD53-DD57-DD21</x:f>
      </x:c>
      <x:c r="DE22" s="117">
        <x:f>DE10-IFERROR((SUM($D$20:$GA$20)-'ОБЪЕКТЫ'!$B$112)*('Продажи'!DE60+'Продажи'!DE63+'Продажи'!DE66+'Продажи'!DE69)/(SUM('Продажи'!$D$60:$GA$60)+SUM('Продажи'!$D$63:$GA$63)+SUM('Продажи'!$D$66:$GA$66)+SUM('Продажи'!$D$69:$GA$69)),0)-IF('ОБЪЕКТЫ'!$B$8=3,IFERROR('ОБЪЕКТЫ'!$B$28*'ОБЪЕКТЫ'!DE22/'ОБЪЕКТЫ'!$B$22,0),0)-IF('ОБЪЕКТЫ'!$B$36=3,IFERROR('ОБЪЕКТЫ'!$B$56*'ОБЪЕКТЫ'!DE50/'ОБЪЕКТЫ'!$B$50,0),0)-IF('ОБЪЕКТЫ'!$B$64=3,IFERROR('ОБЪЕКТЫ'!$B$84*'ОБЪЕКТЫ'!DE78/'ОБЪЕКТЫ'!$B$78,0),0)-DE53-DE57-DE21</x:f>
      </x:c>
      <x:c r="DF22" s="117">
        <x:f>DF10-IFERROR((SUM($D$20:$GA$20)-'ОБЪЕКТЫ'!$B$112)*('Продажи'!DF60+'Продажи'!DF63+'Продажи'!DF66+'Продажи'!DF69)/(SUM('Продажи'!$D$60:$GA$60)+SUM('Продажи'!$D$63:$GA$63)+SUM('Продажи'!$D$66:$GA$66)+SUM('Продажи'!$D$69:$GA$69)),0)-IF('ОБЪЕКТЫ'!$B$8=3,IFERROR('ОБЪЕКТЫ'!$B$28*'ОБЪЕКТЫ'!DF22/'ОБЪЕКТЫ'!$B$22,0),0)-IF('ОБЪЕКТЫ'!$B$36=3,IFERROR('ОБЪЕКТЫ'!$B$56*'ОБЪЕКТЫ'!DF50/'ОБЪЕКТЫ'!$B$50,0),0)-IF('ОБЪЕКТЫ'!$B$64=3,IFERROR('ОБЪЕКТЫ'!$B$84*'ОБЪЕКТЫ'!DF78/'ОБЪЕКТЫ'!$B$78,0),0)-DF53-DF57-DF21</x:f>
      </x:c>
      <x:c r="DG22" s="117">
        <x:f>DG10-IFERROR((SUM($D$20:$GA$20)-'ОБЪЕКТЫ'!$B$112)*('Продажи'!DG60+'Продажи'!DG63+'Продажи'!DG66+'Продажи'!DG69)/(SUM('Продажи'!$D$60:$GA$60)+SUM('Продажи'!$D$63:$GA$63)+SUM('Продажи'!$D$66:$GA$66)+SUM('Продажи'!$D$69:$GA$69)),0)-IF('ОБЪЕКТЫ'!$B$8=3,IFERROR('ОБЪЕКТЫ'!$B$28*'ОБЪЕКТЫ'!DG22/'ОБЪЕКТЫ'!$B$22,0),0)-IF('ОБЪЕКТЫ'!$B$36=3,IFERROR('ОБЪЕКТЫ'!$B$56*'ОБЪЕКТЫ'!DG50/'ОБЪЕКТЫ'!$B$50,0),0)-IF('ОБЪЕКТЫ'!$B$64=3,IFERROR('ОБЪЕКТЫ'!$B$84*'ОБЪЕКТЫ'!DG78/'ОБЪЕКТЫ'!$B$78,0),0)-DG53-DG57-DG21</x:f>
      </x:c>
      <x:c r="DH22" s="117">
        <x:f>DH10-IFERROR((SUM($D$20:$GA$20)-'ОБЪЕКТЫ'!$B$112)*('Продажи'!DH60+'Продажи'!DH63+'Продажи'!DH66+'Продажи'!DH69)/(SUM('Продажи'!$D$60:$GA$60)+SUM('Продажи'!$D$63:$GA$63)+SUM('Продажи'!$D$66:$GA$66)+SUM('Продажи'!$D$69:$GA$69)),0)-IF('ОБЪЕКТЫ'!$B$8=3,IFERROR('ОБЪЕКТЫ'!$B$28*'ОБЪЕКТЫ'!DH22/'ОБЪЕКТЫ'!$B$22,0),0)-IF('ОБЪЕКТЫ'!$B$36=3,IFERROR('ОБЪЕКТЫ'!$B$56*'ОБЪЕКТЫ'!DH50/'ОБЪЕКТЫ'!$B$50,0),0)-IF('ОБЪЕКТЫ'!$B$64=3,IFERROR('ОБЪЕКТЫ'!$B$84*'ОБЪЕКТЫ'!DH78/'ОБЪЕКТЫ'!$B$78,0),0)-DH53-DH57-DH21</x:f>
      </x:c>
      <x:c r="DI22" s="117">
        <x:f>DI10-IFERROR((SUM($D$20:$GA$20)-'ОБЪЕКТЫ'!$B$112)*('Продажи'!DI60+'Продажи'!DI63+'Продажи'!DI66+'Продажи'!DI69)/(SUM('Продажи'!$D$60:$GA$60)+SUM('Продажи'!$D$63:$GA$63)+SUM('Продажи'!$D$66:$GA$66)+SUM('Продажи'!$D$69:$GA$69)),0)-IF('ОБЪЕКТЫ'!$B$8=3,IFERROR('ОБЪЕКТЫ'!$B$28*'ОБЪЕКТЫ'!DI22/'ОБЪЕКТЫ'!$B$22,0),0)-IF('ОБЪЕКТЫ'!$B$36=3,IFERROR('ОБЪЕКТЫ'!$B$56*'ОБЪЕКТЫ'!DI50/'ОБЪЕКТЫ'!$B$50,0),0)-IF('ОБЪЕКТЫ'!$B$64=3,IFERROR('ОБЪЕКТЫ'!$B$84*'ОБЪЕКТЫ'!DI78/'ОБЪЕКТЫ'!$B$78,0),0)-DI53-DI57-DI21</x:f>
      </x:c>
      <x:c r="DJ22" s="117">
        <x:f>DJ10-IFERROR((SUM($D$20:$GA$20)-'ОБЪЕКТЫ'!$B$112)*('Продажи'!DJ60+'Продажи'!DJ63+'Продажи'!DJ66+'Продажи'!DJ69)/(SUM('Продажи'!$D$60:$GA$60)+SUM('Продажи'!$D$63:$GA$63)+SUM('Продажи'!$D$66:$GA$66)+SUM('Продажи'!$D$69:$GA$69)),0)-IF('ОБЪЕКТЫ'!$B$8=3,IFERROR('ОБЪЕКТЫ'!$B$28*'ОБЪЕКТЫ'!DJ22/'ОБЪЕКТЫ'!$B$22,0),0)-IF('ОБЪЕКТЫ'!$B$36=3,IFERROR('ОБЪЕКТЫ'!$B$56*'ОБЪЕКТЫ'!DJ50/'ОБЪЕКТЫ'!$B$50,0),0)-IF('ОБЪЕКТЫ'!$B$64=3,IFERROR('ОБЪЕКТЫ'!$B$84*'ОБЪЕКТЫ'!DJ78/'ОБЪЕКТЫ'!$B$78,0),0)-DJ53-DJ57-DJ21</x:f>
      </x:c>
      <x:c r="DK22" s="117">
        <x:f>DK10-IFERROR((SUM($D$20:$GA$20)-'ОБЪЕКТЫ'!$B$112)*('Продажи'!DK60+'Продажи'!DK63+'Продажи'!DK66+'Продажи'!DK69)/(SUM('Продажи'!$D$60:$GA$60)+SUM('Продажи'!$D$63:$GA$63)+SUM('Продажи'!$D$66:$GA$66)+SUM('Продажи'!$D$69:$GA$69)),0)-IF('ОБЪЕКТЫ'!$B$8=3,IFERROR('ОБЪЕКТЫ'!$B$28*'ОБЪЕКТЫ'!DK22/'ОБЪЕКТЫ'!$B$22,0),0)-IF('ОБЪЕКТЫ'!$B$36=3,IFERROR('ОБЪЕКТЫ'!$B$56*'ОБЪЕКТЫ'!DK50/'ОБЪЕКТЫ'!$B$50,0),0)-IF('ОБЪЕКТЫ'!$B$64=3,IFERROR('ОБЪЕКТЫ'!$B$84*'ОБЪЕКТЫ'!DK78/'ОБЪЕКТЫ'!$B$78,0),0)-DK53-DK57-DK21</x:f>
      </x:c>
      <x:c r="DL22" s="117">
        <x:f>DL10-IFERROR((SUM($D$20:$GA$20)-'ОБЪЕКТЫ'!$B$112)*('Продажи'!DL60+'Продажи'!DL63+'Продажи'!DL66+'Продажи'!DL69)/(SUM('Продажи'!$D$60:$GA$60)+SUM('Продажи'!$D$63:$GA$63)+SUM('Продажи'!$D$66:$GA$66)+SUM('Продажи'!$D$69:$GA$69)),0)-IF('ОБЪЕКТЫ'!$B$8=3,IFERROR('ОБЪЕКТЫ'!$B$28*'ОБЪЕКТЫ'!DL22/'ОБЪЕКТЫ'!$B$22,0),0)-IF('ОБЪЕКТЫ'!$B$36=3,IFERROR('ОБЪЕКТЫ'!$B$56*'ОБЪЕКТЫ'!DL50/'ОБЪЕКТЫ'!$B$50,0),0)-IF('ОБЪЕКТЫ'!$B$64=3,IFERROR('ОБЪЕКТЫ'!$B$84*'ОБЪЕКТЫ'!DL78/'ОБЪЕКТЫ'!$B$78,0),0)-DL53-DL57-DL21</x:f>
      </x:c>
      <x:c r="DM22" s="117">
        <x:f>DM10-IFERROR((SUM($D$20:$GA$20)-'ОБЪЕКТЫ'!$B$112)*('Продажи'!DM60+'Продажи'!DM63+'Продажи'!DM66+'Продажи'!DM69)/(SUM('Продажи'!$D$60:$GA$60)+SUM('Продажи'!$D$63:$GA$63)+SUM('Продажи'!$D$66:$GA$66)+SUM('Продажи'!$D$69:$GA$69)),0)-IF('ОБЪЕКТЫ'!$B$8=3,IFERROR('ОБЪЕКТЫ'!$B$28*'ОБЪЕКТЫ'!DM22/'ОБЪЕКТЫ'!$B$22,0),0)-IF('ОБЪЕКТЫ'!$B$36=3,IFERROR('ОБЪЕКТЫ'!$B$56*'ОБЪЕКТЫ'!DM50/'ОБЪЕКТЫ'!$B$50,0),0)-IF('ОБЪЕКТЫ'!$B$64=3,IFERROR('ОБЪЕКТЫ'!$B$84*'ОБЪЕКТЫ'!DM78/'ОБЪЕКТЫ'!$B$78,0),0)-DM53-DM57-DM21</x:f>
      </x:c>
      <x:c r="DN22" s="117">
        <x:f>DN10-IFERROR((SUM($D$20:$GA$20)-'ОБЪЕКТЫ'!$B$112)*('Продажи'!DN60+'Продажи'!DN63+'Продажи'!DN66+'Продажи'!DN69)/(SUM('Продажи'!$D$60:$GA$60)+SUM('Продажи'!$D$63:$GA$63)+SUM('Продажи'!$D$66:$GA$66)+SUM('Продажи'!$D$69:$GA$69)),0)-IF('ОБЪЕКТЫ'!$B$8=3,IFERROR('ОБЪЕКТЫ'!$B$28*'ОБЪЕКТЫ'!DN22/'ОБЪЕКТЫ'!$B$22,0),0)-IF('ОБЪЕКТЫ'!$B$36=3,IFERROR('ОБЪЕКТЫ'!$B$56*'ОБЪЕКТЫ'!DN50/'ОБЪЕКТЫ'!$B$50,0),0)-IF('ОБЪЕКТЫ'!$B$64=3,IFERROR('ОБЪЕКТЫ'!$B$84*'ОБЪЕКТЫ'!DN78/'ОБЪЕКТЫ'!$B$78,0),0)-DN53-DN57-DN21</x:f>
      </x:c>
      <x:c r="DO22" s="117">
        <x:f>DO10-IFERROR((SUM($D$20:$GA$20)-'ОБЪЕКТЫ'!$B$112)*('Продажи'!DO60+'Продажи'!DO63+'Продажи'!DO66+'Продажи'!DO69)/(SUM('Продажи'!$D$60:$GA$60)+SUM('Продажи'!$D$63:$GA$63)+SUM('Продажи'!$D$66:$GA$66)+SUM('Продажи'!$D$69:$GA$69)),0)-IF('ОБЪЕКТЫ'!$B$8=3,IFERROR('ОБЪЕКТЫ'!$B$28*'ОБЪЕКТЫ'!DO22/'ОБЪЕКТЫ'!$B$22,0),0)-IF('ОБЪЕКТЫ'!$B$36=3,IFERROR('ОБЪЕКТЫ'!$B$56*'ОБЪЕКТЫ'!DO50/'ОБЪЕКТЫ'!$B$50,0),0)-IF('ОБЪЕКТЫ'!$B$64=3,IFERROR('ОБЪЕКТЫ'!$B$84*'ОБЪЕКТЫ'!DO78/'ОБЪЕКТЫ'!$B$78,0),0)-DO53-DO57-DO21</x:f>
      </x:c>
      <x:c r="DP22" s="117">
        <x:f>DP10-IFERROR((SUM($D$20:$GA$20)-'ОБЪЕКТЫ'!$B$112)*('Продажи'!DP60+'Продажи'!DP63+'Продажи'!DP66+'Продажи'!DP69)/(SUM('Продажи'!$D$60:$GA$60)+SUM('Продажи'!$D$63:$GA$63)+SUM('Продажи'!$D$66:$GA$66)+SUM('Продажи'!$D$69:$GA$69)),0)-IF('ОБЪЕКТЫ'!$B$8=3,IFERROR('ОБЪЕКТЫ'!$B$28*'ОБЪЕКТЫ'!DP22/'ОБЪЕКТЫ'!$B$22,0),0)-IF('ОБЪЕКТЫ'!$B$36=3,IFERROR('ОБЪЕКТЫ'!$B$56*'ОБЪЕКТЫ'!DP50/'ОБЪЕКТЫ'!$B$50,0),0)-IF('ОБЪЕКТЫ'!$B$64=3,IFERROR('ОБЪЕКТЫ'!$B$84*'ОБЪЕКТЫ'!DP78/'ОБЪЕКТЫ'!$B$78,0),0)-DP53-DP57-DP21</x:f>
      </x:c>
      <x:c r="DQ22" s="117">
        <x:f>DQ10-IFERROR((SUM($D$20:$GA$20)-'ОБЪЕКТЫ'!$B$112)*('Продажи'!DQ60+'Продажи'!DQ63+'Продажи'!DQ66+'Продажи'!DQ69)/(SUM('Продажи'!$D$60:$GA$60)+SUM('Продажи'!$D$63:$GA$63)+SUM('Продажи'!$D$66:$GA$66)+SUM('Продажи'!$D$69:$GA$69)),0)-IF('ОБЪЕКТЫ'!$B$8=3,IFERROR('ОБЪЕКТЫ'!$B$28*'ОБЪЕКТЫ'!DQ22/'ОБЪЕКТЫ'!$B$22,0),0)-IF('ОБЪЕКТЫ'!$B$36=3,IFERROR('ОБЪЕКТЫ'!$B$56*'ОБЪЕКТЫ'!DQ50/'ОБЪЕКТЫ'!$B$50,0),0)-IF('ОБЪЕКТЫ'!$B$64=3,IFERROR('ОБЪЕКТЫ'!$B$84*'ОБЪЕКТЫ'!DQ78/'ОБЪЕКТЫ'!$B$78,0),0)-DQ53-DQ57-DQ21</x:f>
      </x:c>
      <x:c r="DR22" s="117">
        <x:f>DR10-IFERROR((SUM($D$20:$GA$20)-'ОБЪЕКТЫ'!$B$112)*('Продажи'!DR60+'Продажи'!DR63+'Продажи'!DR66+'Продажи'!DR69)/(SUM('Продажи'!$D$60:$GA$60)+SUM('Продажи'!$D$63:$GA$63)+SUM('Продажи'!$D$66:$GA$66)+SUM('Продажи'!$D$69:$GA$69)),0)-IF('ОБЪЕКТЫ'!$B$8=3,IFERROR('ОБЪЕКТЫ'!$B$28*'ОБЪЕКТЫ'!DR22/'ОБЪЕКТЫ'!$B$22,0),0)-IF('ОБЪЕКТЫ'!$B$36=3,IFERROR('ОБЪЕКТЫ'!$B$56*'ОБЪЕКТЫ'!DR50/'ОБЪЕКТЫ'!$B$50,0),0)-IF('ОБЪЕКТЫ'!$B$64=3,IFERROR('ОБЪЕКТЫ'!$B$84*'ОБЪЕКТЫ'!DR78/'ОБЪЕКТЫ'!$B$78,0),0)-DR53-DR57-DR21</x:f>
      </x:c>
      <x:c r="DS22" s="117">
        <x:f>DS10-IFERROR((SUM($D$20:$GA$20)-'ОБЪЕКТЫ'!$B$112)*('Продажи'!DS60+'Продажи'!DS63+'Продажи'!DS66+'Продажи'!DS69)/(SUM('Продажи'!$D$60:$GA$60)+SUM('Продажи'!$D$63:$GA$63)+SUM('Продажи'!$D$66:$GA$66)+SUM('Продажи'!$D$69:$GA$69)),0)-IF('ОБЪЕКТЫ'!$B$8=3,IFERROR('ОБЪЕКТЫ'!$B$28*'ОБЪЕКТЫ'!DS22/'ОБЪЕКТЫ'!$B$22,0),0)-IF('ОБЪЕКТЫ'!$B$36=3,IFERROR('ОБЪЕКТЫ'!$B$56*'ОБЪЕКТЫ'!DS50/'ОБЪЕКТЫ'!$B$50,0),0)-IF('ОБЪЕКТЫ'!$B$64=3,IFERROR('ОБЪЕКТЫ'!$B$84*'ОБЪЕКТЫ'!DS78/'ОБЪЕКТЫ'!$B$78,0),0)-DS53-DS57-DS21</x:f>
      </x:c>
      <x:c r="DT22" s="117">
        <x:f>DT10-IFERROR((SUM($D$20:$GA$20)-'ОБЪЕКТЫ'!$B$112)*('Продажи'!DT60+'Продажи'!DT63+'Продажи'!DT66+'Продажи'!DT69)/(SUM('Продажи'!$D$60:$GA$60)+SUM('Продажи'!$D$63:$GA$63)+SUM('Продажи'!$D$66:$GA$66)+SUM('Продажи'!$D$69:$GA$69)),0)-IF('ОБЪЕКТЫ'!$B$8=3,IFERROR('ОБЪЕКТЫ'!$B$28*'ОБЪЕКТЫ'!DT22/'ОБЪЕКТЫ'!$B$22,0),0)-IF('ОБЪЕКТЫ'!$B$36=3,IFERROR('ОБЪЕКТЫ'!$B$56*'ОБЪЕКТЫ'!DT50/'ОБЪЕКТЫ'!$B$50,0),0)-IF('ОБЪЕКТЫ'!$B$64=3,IFERROR('ОБЪЕКТЫ'!$B$84*'ОБЪЕКТЫ'!DT78/'ОБЪЕКТЫ'!$B$78,0),0)-DT53-DT57-DT21</x:f>
      </x:c>
      <x:c r="DU22" s="117">
        <x:f>DU10-IFERROR((SUM($D$20:$GA$20)-'ОБЪЕКТЫ'!$B$112)*('Продажи'!DU60+'Продажи'!DU63+'Продажи'!DU66+'Продажи'!DU69)/(SUM('Продажи'!$D$60:$GA$60)+SUM('Продажи'!$D$63:$GA$63)+SUM('Продажи'!$D$66:$GA$66)+SUM('Продажи'!$D$69:$GA$69)),0)-IF('ОБЪЕКТЫ'!$B$8=3,IFERROR('ОБЪЕКТЫ'!$B$28*'ОБЪЕКТЫ'!DU22/'ОБЪЕКТЫ'!$B$22,0),0)-IF('ОБЪЕКТЫ'!$B$36=3,IFERROR('ОБЪЕКТЫ'!$B$56*'ОБЪЕКТЫ'!DU50/'ОБЪЕКТЫ'!$B$50,0),0)-IF('ОБЪЕКТЫ'!$B$64=3,IFERROR('ОБЪЕКТЫ'!$B$84*'ОБЪЕКТЫ'!DU78/'ОБЪЕКТЫ'!$B$78,0),0)-DU53-DU57-DU21</x:f>
      </x:c>
      <x:c r="DV22" s="117">
        <x:f>DV10-IFERROR((SUM($D$20:$GA$20)-'ОБЪЕКТЫ'!$B$112)*('Продажи'!DV60+'Продажи'!DV63+'Продажи'!DV66+'Продажи'!DV69)/(SUM('Продажи'!$D$60:$GA$60)+SUM('Продажи'!$D$63:$GA$63)+SUM('Продажи'!$D$66:$GA$66)+SUM('Продажи'!$D$69:$GA$69)),0)-IF('ОБЪЕКТЫ'!$B$8=3,IFERROR('ОБЪЕКТЫ'!$B$28*'ОБЪЕКТЫ'!DV22/'ОБЪЕКТЫ'!$B$22,0),0)-IF('ОБЪЕКТЫ'!$B$36=3,IFERROR('ОБЪЕКТЫ'!$B$56*'ОБЪЕКТЫ'!DV50/'ОБЪЕКТЫ'!$B$50,0),0)-IF('ОБЪЕКТЫ'!$B$64=3,IFERROR('ОБЪЕКТЫ'!$B$84*'ОБЪЕКТЫ'!DV78/'ОБЪЕКТЫ'!$B$78,0),0)-DV53-DV57-DV21</x:f>
      </x:c>
      <x:c r="DW22" s="117">
        <x:f>DW10-IFERROR((SUM($D$20:$GA$20)-'ОБЪЕКТЫ'!$B$112)*('Продажи'!DW60+'Продажи'!DW63+'Продажи'!DW66+'Продажи'!DW69)/(SUM('Продажи'!$D$60:$GA$60)+SUM('Продажи'!$D$63:$GA$63)+SUM('Продажи'!$D$66:$GA$66)+SUM('Продажи'!$D$69:$GA$69)),0)-IF('ОБЪЕКТЫ'!$B$8=3,IFERROR('ОБЪЕКТЫ'!$B$28*'ОБЪЕКТЫ'!DW22/'ОБЪЕКТЫ'!$B$22,0),0)-IF('ОБЪЕКТЫ'!$B$36=3,IFERROR('ОБЪЕКТЫ'!$B$56*'ОБЪЕКТЫ'!DW50/'ОБЪЕКТЫ'!$B$50,0),0)-IF('ОБЪЕКТЫ'!$B$64=3,IFERROR('ОБЪЕКТЫ'!$B$84*'ОБЪЕКТЫ'!DW78/'ОБЪЕКТЫ'!$B$78,0),0)-DW53-DW57-DW21</x:f>
      </x:c>
      <x:c r="DX22" s="117">
        <x:f>DX10-IFERROR((SUM($D$20:$GA$20)-'ОБЪЕКТЫ'!$B$112)*('Продажи'!DX60+'Продажи'!DX63+'Продажи'!DX66+'Продажи'!DX69)/(SUM('Продажи'!$D$60:$GA$60)+SUM('Продажи'!$D$63:$GA$63)+SUM('Продажи'!$D$66:$GA$66)+SUM('Продажи'!$D$69:$GA$69)),0)-IF('ОБЪЕКТЫ'!$B$8=3,IFERROR('ОБЪЕКТЫ'!$B$28*'ОБЪЕКТЫ'!DX22/'ОБЪЕКТЫ'!$B$22,0),0)-IF('ОБЪЕКТЫ'!$B$36=3,IFERROR('ОБЪЕКТЫ'!$B$56*'ОБЪЕКТЫ'!DX50/'ОБЪЕКТЫ'!$B$50,0),0)-IF('ОБЪЕКТЫ'!$B$64=3,IFERROR('ОБЪЕКТЫ'!$B$84*'ОБЪЕКТЫ'!DX78/'ОБЪЕКТЫ'!$B$78,0),0)-DX53-DX57-DX21</x:f>
      </x:c>
      <x:c r="DY22" s="117">
        <x:f>DY10-IFERROR((SUM($D$20:$GA$20)-'ОБЪЕКТЫ'!$B$112)*('Продажи'!DY60+'Продажи'!DY63+'Продажи'!DY66+'Продажи'!DY69)/(SUM('Продажи'!$D$60:$GA$60)+SUM('Продажи'!$D$63:$GA$63)+SUM('Продажи'!$D$66:$GA$66)+SUM('Продажи'!$D$69:$GA$69)),0)-IF('ОБЪЕКТЫ'!$B$8=3,IFERROR('ОБЪЕКТЫ'!$B$28*'ОБЪЕКТЫ'!DY22/'ОБЪЕКТЫ'!$B$22,0),0)-IF('ОБЪЕКТЫ'!$B$36=3,IFERROR('ОБЪЕКТЫ'!$B$56*'ОБЪЕКТЫ'!DY50/'ОБЪЕКТЫ'!$B$50,0),0)-IF('ОБЪЕКТЫ'!$B$64=3,IFERROR('ОБЪЕКТЫ'!$B$84*'ОБЪЕКТЫ'!DY78/'ОБЪЕКТЫ'!$B$78,0),0)-DY53-DY57-DY21</x:f>
      </x:c>
      <x:c r="DZ22" s="117">
        <x:f>DZ10-IFERROR((SUM($D$20:$GA$20)-'ОБЪЕКТЫ'!$B$112)*('Продажи'!DZ60+'Продажи'!DZ63+'Продажи'!DZ66+'Продажи'!DZ69)/(SUM('Продажи'!$D$60:$GA$60)+SUM('Продажи'!$D$63:$GA$63)+SUM('Продажи'!$D$66:$GA$66)+SUM('Продажи'!$D$69:$GA$69)),0)-IF('ОБЪЕКТЫ'!$B$8=3,IFERROR('ОБЪЕКТЫ'!$B$28*'ОБЪЕКТЫ'!DZ22/'ОБЪЕКТЫ'!$B$22,0),0)-IF('ОБЪЕКТЫ'!$B$36=3,IFERROR('ОБЪЕКТЫ'!$B$56*'ОБЪЕКТЫ'!DZ50/'ОБЪЕКТЫ'!$B$50,0),0)-IF('ОБЪЕКТЫ'!$B$64=3,IFERROR('ОБЪЕКТЫ'!$B$84*'ОБЪЕКТЫ'!DZ78/'ОБЪЕКТЫ'!$B$78,0),0)-DZ53-DZ57-DZ21</x:f>
      </x:c>
      <x:c r="EA22" s="117">
        <x:f>EA10-IFERROR((SUM($D$20:$GA$20)-'ОБЪЕКТЫ'!$B$112)*('Продажи'!EA60+'Продажи'!EA63+'Продажи'!EA66+'Продажи'!EA69)/(SUM('Продажи'!$D$60:$GA$60)+SUM('Продажи'!$D$63:$GA$63)+SUM('Продажи'!$D$66:$GA$66)+SUM('Продажи'!$D$69:$GA$69)),0)-IF('ОБЪЕКТЫ'!$B$8=3,IFERROR('ОБЪЕКТЫ'!$B$28*'ОБЪЕКТЫ'!EA22/'ОБЪЕКТЫ'!$B$22,0),0)-IF('ОБЪЕКТЫ'!$B$36=3,IFERROR('ОБЪЕКТЫ'!$B$56*'ОБЪЕКТЫ'!EA50/'ОБЪЕКТЫ'!$B$50,0),0)-IF('ОБЪЕКТЫ'!$B$64=3,IFERROR('ОБЪЕКТЫ'!$B$84*'ОБЪЕКТЫ'!EA78/'ОБЪЕКТЫ'!$B$78,0),0)-EA53-EA57-EA21</x:f>
      </x:c>
      <x:c r="EB22" s="117">
        <x:f>EB10-IFERROR((SUM($D$20:$GA$20)-'ОБЪЕКТЫ'!$B$112)*('Продажи'!EB60+'Продажи'!EB63+'Продажи'!EB66+'Продажи'!EB69)/(SUM('Продажи'!$D$60:$GA$60)+SUM('Продажи'!$D$63:$GA$63)+SUM('Продажи'!$D$66:$GA$66)+SUM('Продажи'!$D$69:$GA$69)),0)-IF('ОБЪЕКТЫ'!$B$8=3,IFERROR('ОБЪЕКТЫ'!$B$28*'ОБЪЕКТЫ'!EB22/'ОБЪЕКТЫ'!$B$22,0),0)-IF('ОБЪЕКТЫ'!$B$36=3,IFERROR('ОБЪЕКТЫ'!$B$56*'ОБЪЕКТЫ'!EB50/'ОБЪЕКТЫ'!$B$50,0),0)-IF('ОБЪЕКТЫ'!$B$64=3,IFERROR('ОБЪЕКТЫ'!$B$84*'ОБЪЕКТЫ'!EB78/'ОБЪЕКТЫ'!$B$78,0),0)-EB53-EB57-EB21</x:f>
      </x:c>
      <x:c r="EC22" s="117">
        <x:f>EC10-IFERROR((SUM($D$20:$GA$20)-'ОБЪЕКТЫ'!$B$112)*('Продажи'!EC60+'Продажи'!EC63+'Продажи'!EC66+'Продажи'!EC69)/(SUM('Продажи'!$D$60:$GA$60)+SUM('Продажи'!$D$63:$GA$63)+SUM('Продажи'!$D$66:$GA$66)+SUM('Продажи'!$D$69:$GA$69)),0)-IF('ОБЪЕКТЫ'!$B$8=3,IFERROR('ОБЪЕКТЫ'!$B$28*'ОБЪЕКТЫ'!EC22/'ОБЪЕКТЫ'!$B$22,0),0)-IF('ОБЪЕКТЫ'!$B$36=3,IFERROR('ОБЪЕКТЫ'!$B$56*'ОБЪЕКТЫ'!EC50/'ОБЪЕКТЫ'!$B$50,0),0)-IF('ОБЪЕКТЫ'!$B$64=3,IFERROR('ОБЪЕКТЫ'!$B$84*'ОБЪЕКТЫ'!EC78/'ОБЪЕКТЫ'!$B$78,0),0)-EC53-EC57-EC21</x:f>
      </x:c>
      <x:c r="ED22" s="117">
        <x:f>ED10-IFERROR((SUM($D$20:$GA$20)-'ОБЪЕКТЫ'!$B$112)*('Продажи'!ED60+'Продажи'!ED63+'Продажи'!ED66+'Продажи'!ED69)/(SUM('Продажи'!$D$60:$GA$60)+SUM('Продажи'!$D$63:$GA$63)+SUM('Продажи'!$D$66:$GA$66)+SUM('Продажи'!$D$69:$GA$69)),0)-IF('ОБЪЕКТЫ'!$B$8=3,IFERROR('ОБЪЕКТЫ'!$B$28*'ОБЪЕКТЫ'!ED22/'ОБЪЕКТЫ'!$B$22,0),0)-IF('ОБЪЕКТЫ'!$B$36=3,IFERROR('ОБЪЕКТЫ'!$B$56*'ОБЪЕКТЫ'!ED50/'ОБЪЕКТЫ'!$B$50,0),0)-IF('ОБЪЕКТЫ'!$B$64=3,IFERROR('ОБЪЕКТЫ'!$B$84*'ОБЪЕКТЫ'!ED78/'ОБЪЕКТЫ'!$B$78,0),0)-ED53-ED57-ED21</x:f>
      </x:c>
      <x:c r="EE22" s="117">
        <x:f>EE10-IFERROR((SUM($D$20:$GA$20)-'ОБЪЕКТЫ'!$B$112)*('Продажи'!EE60+'Продажи'!EE63+'Продажи'!EE66+'Продажи'!EE69)/(SUM('Продажи'!$D$60:$GA$60)+SUM('Продажи'!$D$63:$GA$63)+SUM('Продажи'!$D$66:$GA$66)+SUM('Продажи'!$D$69:$GA$69)),0)-IF('ОБЪЕКТЫ'!$B$8=3,IFERROR('ОБЪЕКТЫ'!$B$28*'ОБЪЕКТЫ'!EE22/'ОБЪЕКТЫ'!$B$22,0),0)-IF('ОБЪЕКТЫ'!$B$36=3,IFERROR('ОБЪЕКТЫ'!$B$56*'ОБЪЕКТЫ'!EE50/'ОБЪЕКТЫ'!$B$50,0),0)-IF('ОБЪЕКТЫ'!$B$64=3,IFERROR('ОБЪЕКТЫ'!$B$84*'ОБЪЕКТЫ'!EE78/'ОБЪЕКТЫ'!$B$78,0),0)-EE53-EE57-EE21</x:f>
      </x:c>
      <x:c r="EF22" s="117">
        <x:f>EF10-IFERROR((SUM($D$20:$GA$20)-'ОБЪЕКТЫ'!$B$112)*('Продажи'!EF60+'Продажи'!EF63+'Продажи'!EF66+'Продажи'!EF69)/(SUM('Продажи'!$D$60:$GA$60)+SUM('Продажи'!$D$63:$GA$63)+SUM('Продажи'!$D$66:$GA$66)+SUM('Продажи'!$D$69:$GA$69)),0)-IF('ОБЪЕКТЫ'!$B$8=3,IFERROR('ОБЪЕКТЫ'!$B$28*'ОБЪЕКТЫ'!EF22/'ОБЪЕКТЫ'!$B$22,0),0)-IF('ОБЪЕКТЫ'!$B$36=3,IFERROR('ОБЪЕКТЫ'!$B$56*'ОБЪЕКТЫ'!EF50/'ОБЪЕКТЫ'!$B$50,0),0)-IF('ОБЪЕКТЫ'!$B$64=3,IFERROR('ОБЪЕКТЫ'!$B$84*'ОБЪЕКТЫ'!EF78/'ОБЪЕКТЫ'!$B$78,0),0)-EF53-EF57-EF21</x:f>
      </x:c>
      <x:c r="EG22" s="117">
        <x:f>EG10-IFERROR((SUM($D$20:$GA$20)-'ОБЪЕКТЫ'!$B$112)*('Продажи'!EG60+'Продажи'!EG63+'Продажи'!EG66+'Продажи'!EG69)/(SUM('Продажи'!$D$60:$GA$60)+SUM('Продажи'!$D$63:$GA$63)+SUM('Продажи'!$D$66:$GA$66)+SUM('Продажи'!$D$69:$GA$69)),0)-IF('ОБЪЕКТЫ'!$B$8=3,IFERROR('ОБЪЕКТЫ'!$B$28*'ОБЪЕКТЫ'!EG22/'ОБЪЕКТЫ'!$B$22,0),0)-IF('ОБЪЕКТЫ'!$B$36=3,IFERROR('ОБЪЕКТЫ'!$B$56*'ОБЪЕКТЫ'!EG50/'ОБЪЕКТЫ'!$B$50,0),0)-IF('ОБЪЕКТЫ'!$B$64=3,IFERROR('ОБЪЕКТЫ'!$B$84*'ОБЪЕКТЫ'!EG78/'ОБЪЕКТЫ'!$B$78,0),0)-EG53-EG57-EG21</x:f>
      </x:c>
      <x:c r="EH22" s="117">
        <x:f>EH10-IFERROR((SUM($D$20:$GA$20)-'ОБЪЕКТЫ'!$B$112)*('Продажи'!EH60+'Продажи'!EH63+'Продажи'!EH66+'Продажи'!EH69)/(SUM('Продажи'!$D$60:$GA$60)+SUM('Продажи'!$D$63:$GA$63)+SUM('Продажи'!$D$66:$GA$66)+SUM('Продажи'!$D$69:$GA$69)),0)-IF('ОБЪЕКТЫ'!$B$8=3,IFERROR('ОБЪЕКТЫ'!$B$28*'ОБЪЕКТЫ'!EH22/'ОБЪЕКТЫ'!$B$22,0),0)-IF('ОБЪЕКТЫ'!$B$36=3,IFERROR('ОБЪЕКТЫ'!$B$56*'ОБЪЕКТЫ'!EH50/'ОБЪЕКТЫ'!$B$50,0),0)-IF('ОБЪЕКТЫ'!$B$64=3,IFERROR('ОБЪЕКТЫ'!$B$84*'ОБЪЕКТЫ'!EH78/'ОБЪЕКТЫ'!$B$78,0),0)-EH53-EH57-EH21</x:f>
      </x:c>
      <x:c r="EI22" s="117">
        <x:f>EI10-IFERROR((SUM($D$20:$GA$20)-'ОБЪЕКТЫ'!$B$112)*('Продажи'!EI60+'Продажи'!EI63+'Продажи'!EI66+'Продажи'!EI69)/(SUM('Продажи'!$D$60:$GA$60)+SUM('Продажи'!$D$63:$GA$63)+SUM('Продажи'!$D$66:$GA$66)+SUM('Продажи'!$D$69:$GA$69)),0)-IF('ОБЪЕКТЫ'!$B$8=3,IFERROR('ОБЪЕКТЫ'!$B$28*'ОБЪЕКТЫ'!EI22/'ОБЪЕКТЫ'!$B$22,0),0)-IF('ОБЪЕКТЫ'!$B$36=3,IFERROR('ОБЪЕКТЫ'!$B$56*'ОБЪЕКТЫ'!EI50/'ОБЪЕКТЫ'!$B$50,0),0)-IF('ОБЪЕКТЫ'!$B$64=3,IFERROR('ОБЪЕКТЫ'!$B$84*'ОБЪЕКТЫ'!EI78/'ОБЪЕКТЫ'!$B$78,0),0)-EI53-EI57-EI21</x:f>
      </x:c>
      <x:c r="EJ22" s="117">
        <x:f>EJ10-IFERROR((SUM($D$20:$GA$20)-'ОБЪЕКТЫ'!$B$112)*('Продажи'!EJ60+'Продажи'!EJ63+'Продажи'!EJ66+'Продажи'!EJ69)/(SUM('Продажи'!$D$60:$GA$60)+SUM('Продажи'!$D$63:$GA$63)+SUM('Продажи'!$D$66:$GA$66)+SUM('Продажи'!$D$69:$GA$69)),0)-IF('ОБЪЕКТЫ'!$B$8=3,IFERROR('ОБЪЕКТЫ'!$B$28*'ОБЪЕКТЫ'!EJ22/'ОБЪЕКТЫ'!$B$22,0),0)-IF('ОБЪЕКТЫ'!$B$36=3,IFERROR('ОБЪЕКТЫ'!$B$56*'ОБЪЕКТЫ'!EJ50/'ОБЪЕКТЫ'!$B$50,0),0)-IF('ОБЪЕКТЫ'!$B$64=3,IFERROR('ОБЪЕКТЫ'!$B$84*'ОБЪЕКТЫ'!EJ78/'ОБЪЕКТЫ'!$B$78,0),0)-EJ53-EJ57-EJ21</x:f>
      </x:c>
      <x:c r="EK22" s="117">
        <x:f>EK10-IFERROR((SUM($D$20:$GA$20)-'ОБЪЕКТЫ'!$B$112)*('Продажи'!EK60+'Продажи'!EK63+'Продажи'!EK66+'Продажи'!EK69)/(SUM('Продажи'!$D$60:$GA$60)+SUM('Продажи'!$D$63:$GA$63)+SUM('Продажи'!$D$66:$GA$66)+SUM('Продажи'!$D$69:$GA$69)),0)-IF('ОБЪЕКТЫ'!$B$8=3,IFERROR('ОБЪЕКТЫ'!$B$28*'ОБЪЕКТЫ'!EK22/'ОБЪЕКТЫ'!$B$22,0),0)-IF('ОБЪЕКТЫ'!$B$36=3,IFERROR('ОБЪЕКТЫ'!$B$56*'ОБЪЕКТЫ'!EK50/'ОБЪЕКТЫ'!$B$50,0),0)-IF('ОБЪЕКТЫ'!$B$64=3,IFERROR('ОБЪЕКТЫ'!$B$84*'ОБЪЕКТЫ'!EK78/'ОБЪЕКТЫ'!$B$78,0),0)-EK53-EK57-EK21</x:f>
      </x:c>
      <x:c r="EL22" s="117">
        <x:f>EL10-IFERROR((SUM($D$20:$GA$20)-'ОБЪЕКТЫ'!$B$112)*('Продажи'!EL60+'Продажи'!EL63+'Продажи'!EL66+'Продажи'!EL69)/(SUM('Продажи'!$D$60:$GA$60)+SUM('Продажи'!$D$63:$GA$63)+SUM('Продажи'!$D$66:$GA$66)+SUM('Продажи'!$D$69:$GA$69)),0)-IF('ОБЪЕКТЫ'!$B$8=3,IFERROR('ОБЪЕКТЫ'!$B$28*'ОБЪЕКТЫ'!EL22/'ОБЪЕКТЫ'!$B$22,0),0)-IF('ОБЪЕКТЫ'!$B$36=3,IFERROR('ОБЪЕКТЫ'!$B$56*'ОБЪЕКТЫ'!EL50/'ОБЪЕКТЫ'!$B$50,0),0)-IF('ОБЪЕКТЫ'!$B$64=3,IFERROR('ОБЪЕКТЫ'!$B$84*'ОБЪЕКТЫ'!EL78/'ОБЪЕКТЫ'!$B$78,0),0)-EL53-EL57-EL21</x:f>
      </x:c>
      <x:c r="EM22" s="117">
        <x:f>EM10-IFERROR((SUM($D$20:$GA$20)-'ОБЪЕКТЫ'!$B$112)*('Продажи'!EM60+'Продажи'!EM63+'Продажи'!EM66+'Продажи'!EM69)/(SUM('Продажи'!$D$60:$GA$60)+SUM('Продажи'!$D$63:$GA$63)+SUM('Продажи'!$D$66:$GA$66)+SUM('Продажи'!$D$69:$GA$69)),0)-IF('ОБЪЕКТЫ'!$B$8=3,IFERROR('ОБЪЕКТЫ'!$B$28*'ОБЪЕКТЫ'!EM22/'ОБЪЕКТЫ'!$B$22,0),0)-IF('ОБЪЕКТЫ'!$B$36=3,IFERROR('ОБЪЕКТЫ'!$B$56*'ОБЪЕКТЫ'!EM50/'ОБЪЕКТЫ'!$B$50,0),0)-IF('ОБЪЕКТЫ'!$B$64=3,IFERROR('ОБЪЕКТЫ'!$B$84*'ОБЪЕКТЫ'!EM78/'ОБЪЕКТЫ'!$B$78,0),0)-EM53-EM57-EM21</x:f>
      </x:c>
      <x:c r="EN22" s="117">
        <x:f>EN10-IFERROR((SUM($D$20:$GA$20)-'ОБЪЕКТЫ'!$B$112)*('Продажи'!EN60+'Продажи'!EN63+'Продажи'!EN66+'Продажи'!EN69)/(SUM('Продажи'!$D$60:$GA$60)+SUM('Продажи'!$D$63:$GA$63)+SUM('Продажи'!$D$66:$GA$66)+SUM('Продажи'!$D$69:$GA$69)),0)-IF('ОБЪЕКТЫ'!$B$8=3,IFERROR('ОБЪЕКТЫ'!$B$28*'ОБЪЕКТЫ'!EN22/'ОБЪЕКТЫ'!$B$22,0),0)-IF('ОБЪЕКТЫ'!$B$36=3,IFERROR('ОБЪЕКТЫ'!$B$56*'ОБЪЕКТЫ'!EN50/'ОБЪЕКТЫ'!$B$50,0),0)-IF('ОБЪЕКТЫ'!$B$64=3,IFERROR('ОБЪЕКТЫ'!$B$84*'ОБЪЕКТЫ'!EN78/'ОБЪЕКТЫ'!$B$78,0),0)-EN53-EN57-EN21</x:f>
      </x:c>
      <x:c r="EO22" s="117">
        <x:f>EO10-IFERROR((SUM($D$20:$GA$20)-'ОБЪЕКТЫ'!$B$112)*('Продажи'!EO60+'Продажи'!EO63+'Продажи'!EO66+'Продажи'!EO69)/(SUM('Продажи'!$D$60:$GA$60)+SUM('Продажи'!$D$63:$GA$63)+SUM('Продажи'!$D$66:$GA$66)+SUM('Продажи'!$D$69:$GA$69)),0)-IF('ОБЪЕКТЫ'!$B$8=3,IFERROR('ОБЪЕКТЫ'!$B$28*'ОБЪЕКТЫ'!EO22/'ОБЪЕКТЫ'!$B$22,0),0)-IF('ОБЪЕКТЫ'!$B$36=3,IFERROR('ОБЪЕКТЫ'!$B$56*'ОБЪЕКТЫ'!EO50/'ОБЪЕКТЫ'!$B$50,0),0)-IF('ОБЪЕКТЫ'!$B$64=3,IFERROR('ОБЪЕКТЫ'!$B$84*'ОБЪЕКТЫ'!EO78/'ОБЪЕКТЫ'!$B$78,0),0)-EO53-EO57-EO21</x:f>
      </x:c>
      <x:c r="EP22" s="117">
        <x:f>EP10-IFERROR((SUM($D$20:$GA$20)-'ОБЪЕКТЫ'!$B$112)*('Продажи'!EP60+'Продажи'!EP63+'Продажи'!EP66+'Продажи'!EP69)/(SUM('Продажи'!$D$60:$GA$60)+SUM('Продажи'!$D$63:$GA$63)+SUM('Продажи'!$D$66:$GA$66)+SUM('Продажи'!$D$69:$GA$69)),0)-IF('ОБЪЕКТЫ'!$B$8=3,IFERROR('ОБЪЕКТЫ'!$B$28*'ОБЪЕКТЫ'!EP22/'ОБЪЕКТЫ'!$B$22,0),0)-IF('ОБЪЕКТЫ'!$B$36=3,IFERROR('ОБЪЕКТЫ'!$B$56*'ОБЪЕКТЫ'!EP50/'ОБЪЕКТЫ'!$B$50,0),0)-IF('ОБЪЕКТЫ'!$B$64=3,IFERROR('ОБЪЕКТЫ'!$B$84*'ОБЪЕКТЫ'!EP78/'ОБЪЕКТЫ'!$B$78,0),0)-EP53-EP57-EP21</x:f>
      </x:c>
      <x:c r="EQ22" s="117">
        <x:f>EQ10-IFERROR((SUM($D$20:$GA$20)-'ОБЪЕКТЫ'!$B$112)*('Продажи'!EQ60+'Продажи'!EQ63+'Продажи'!EQ66+'Продажи'!EQ69)/(SUM('Продажи'!$D$60:$GA$60)+SUM('Продажи'!$D$63:$GA$63)+SUM('Продажи'!$D$66:$GA$66)+SUM('Продажи'!$D$69:$GA$69)),0)-IF('ОБЪЕКТЫ'!$B$8=3,IFERROR('ОБЪЕКТЫ'!$B$28*'ОБЪЕКТЫ'!EQ22/'ОБЪЕКТЫ'!$B$22,0),0)-IF('ОБЪЕКТЫ'!$B$36=3,IFERROR('ОБЪЕКТЫ'!$B$56*'ОБЪЕКТЫ'!EQ50/'ОБЪЕКТЫ'!$B$50,0),0)-IF('ОБЪЕКТЫ'!$B$64=3,IFERROR('ОБЪЕКТЫ'!$B$84*'ОБЪЕКТЫ'!EQ78/'ОБЪЕКТЫ'!$B$78,0),0)-EQ53-EQ57-EQ21</x:f>
      </x:c>
      <x:c r="ER22" s="117">
        <x:f>ER10-IFERROR((SUM($D$20:$GA$20)-'ОБЪЕКТЫ'!$B$112)*('Продажи'!ER60+'Продажи'!ER63+'Продажи'!ER66+'Продажи'!ER69)/(SUM('Продажи'!$D$60:$GA$60)+SUM('Продажи'!$D$63:$GA$63)+SUM('Продажи'!$D$66:$GA$66)+SUM('Продажи'!$D$69:$GA$69)),0)-IF('ОБЪЕКТЫ'!$B$8=3,IFERROR('ОБЪЕКТЫ'!$B$28*'ОБЪЕКТЫ'!ER22/'ОБЪЕКТЫ'!$B$22,0),0)-IF('ОБЪЕКТЫ'!$B$36=3,IFERROR('ОБЪЕКТЫ'!$B$56*'ОБЪЕКТЫ'!ER50/'ОБЪЕКТЫ'!$B$50,0),0)-IF('ОБЪЕКТЫ'!$B$64=3,IFERROR('ОБЪЕКТЫ'!$B$84*'ОБЪЕКТЫ'!ER78/'ОБЪЕКТЫ'!$B$78,0),0)-ER53-ER57-ER21</x:f>
      </x:c>
      <x:c r="ES22" s="117">
        <x:f>ES10-IFERROR((SUM($D$20:$GA$20)-'ОБЪЕКТЫ'!$B$112)*('Продажи'!ES60+'Продажи'!ES63+'Продажи'!ES66+'Продажи'!ES69)/(SUM('Продажи'!$D$60:$GA$60)+SUM('Продажи'!$D$63:$GA$63)+SUM('Продажи'!$D$66:$GA$66)+SUM('Продажи'!$D$69:$GA$69)),0)-IF('ОБЪЕКТЫ'!$B$8=3,IFERROR('ОБЪЕКТЫ'!$B$28*'ОБЪЕКТЫ'!ES22/'ОБЪЕКТЫ'!$B$22,0),0)-IF('ОБЪЕКТЫ'!$B$36=3,IFERROR('ОБЪЕКТЫ'!$B$56*'ОБЪЕКТЫ'!ES50/'ОБЪЕКТЫ'!$B$50,0),0)-IF('ОБЪЕКТЫ'!$B$64=3,IFERROR('ОБЪЕКТЫ'!$B$84*'ОБЪЕКТЫ'!ES78/'ОБЪЕКТЫ'!$B$78,0),0)-ES53-ES57-ES21</x:f>
      </x:c>
      <x:c r="ET22" s="117">
        <x:f>ET10-IFERROR((SUM($D$20:$GA$20)-'ОБЪЕКТЫ'!$B$112)*('Продажи'!ET60+'Продажи'!ET63+'Продажи'!ET66+'Продажи'!ET69)/(SUM('Продажи'!$D$60:$GA$60)+SUM('Продажи'!$D$63:$GA$63)+SUM('Продажи'!$D$66:$GA$66)+SUM('Продажи'!$D$69:$GA$69)),0)-IF('ОБЪЕКТЫ'!$B$8=3,IFERROR('ОБЪЕКТЫ'!$B$28*'ОБЪЕКТЫ'!ET22/'ОБЪЕКТЫ'!$B$22,0),0)-IF('ОБЪЕКТЫ'!$B$36=3,IFERROR('ОБЪЕКТЫ'!$B$56*'ОБЪЕКТЫ'!ET50/'ОБЪЕКТЫ'!$B$50,0),0)-IF('ОБЪЕКТЫ'!$B$64=3,IFERROR('ОБЪЕКТЫ'!$B$84*'ОБЪЕКТЫ'!ET78/'ОБЪЕКТЫ'!$B$78,0),0)-ET53-ET57-ET21</x:f>
      </x:c>
      <x:c r="EU22" s="117">
        <x:f>EU10-IFERROR((SUM($D$20:$GA$20)-'ОБЪЕКТЫ'!$B$112)*('Продажи'!EU60+'Продажи'!EU63+'Продажи'!EU66+'Продажи'!EU69)/(SUM('Продажи'!$D$60:$GA$60)+SUM('Продажи'!$D$63:$GA$63)+SUM('Продажи'!$D$66:$GA$66)+SUM('Продажи'!$D$69:$GA$69)),0)-IF('ОБЪЕКТЫ'!$B$8=3,IFERROR('ОБЪЕКТЫ'!$B$28*'ОБЪЕКТЫ'!EU22/'ОБЪЕКТЫ'!$B$22,0),0)-IF('ОБЪЕКТЫ'!$B$36=3,IFERROR('ОБЪЕКТЫ'!$B$56*'ОБЪЕКТЫ'!EU50/'ОБЪЕКТЫ'!$B$50,0),0)-IF('ОБЪЕКТЫ'!$B$64=3,IFERROR('ОБЪЕКТЫ'!$B$84*'ОБЪЕКТЫ'!EU78/'ОБЪЕКТЫ'!$B$78,0),0)-EU53-EU57-EU21</x:f>
      </x:c>
      <x:c r="EV22" s="117">
        <x:f>EV10-IFERROR((SUM($D$20:$GA$20)-'ОБЪЕКТЫ'!$B$112)*('Продажи'!EV60+'Продажи'!EV63+'Продажи'!EV66+'Продажи'!EV69)/(SUM('Продажи'!$D$60:$GA$60)+SUM('Продажи'!$D$63:$GA$63)+SUM('Продажи'!$D$66:$GA$66)+SUM('Продажи'!$D$69:$GA$69)),0)-IF('ОБЪЕКТЫ'!$B$8=3,IFERROR('ОБЪЕКТЫ'!$B$28*'ОБЪЕКТЫ'!EV22/'ОБЪЕКТЫ'!$B$22,0),0)-IF('ОБЪЕКТЫ'!$B$36=3,IFERROR('ОБЪЕКТЫ'!$B$56*'ОБЪЕКТЫ'!EV50/'ОБЪЕКТЫ'!$B$50,0),0)-IF('ОБЪЕКТЫ'!$B$64=3,IFERROR('ОБЪЕКТЫ'!$B$84*'ОБЪЕКТЫ'!EV78/'ОБЪЕКТЫ'!$B$78,0),0)-EV53-EV57-EV21</x:f>
      </x:c>
      <x:c r="EW22" s="117">
        <x:f>EW10-IFERROR((SUM($D$20:$GA$20)-'ОБЪЕКТЫ'!$B$112)*('Продажи'!EW60+'Продажи'!EW63+'Продажи'!EW66+'Продажи'!EW69)/(SUM('Продажи'!$D$60:$GA$60)+SUM('Продажи'!$D$63:$GA$63)+SUM('Продажи'!$D$66:$GA$66)+SUM('Продажи'!$D$69:$GA$69)),0)-IF('ОБЪЕКТЫ'!$B$8=3,IFERROR('ОБЪЕКТЫ'!$B$28*'ОБЪЕКТЫ'!EW22/'ОБЪЕКТЫ'!$B$22,0),0)-IF('ОБЪЕКТЫ'!$B$36=3,IFERROR('ОБЪЕКТЫ'!$B$56*'ОБЪЕКТЫ'!EW50/'ОБЪЕКТЫ'!$B$50,0),0)-IF('ОБЪЕКТЫ'!$B$64=3,IFERROR('ОБЪЕКТЫ'!$B$84*'ОБЪЕКТЫ'!EW78/'ОБЪЕКТЫ'!$B$78,0),0)-EW53-EW57-EW21</x:f>
      </x:c>
      <x:c r="EX22" s="117">
        <x:f>EX10-IFERROR((SUM($D$20:$GA$20)-'ОБЪЕКТЫ'!$B$112)*('Продажи'!EX60+'Продажи'!EX63+'Продажи'!EX66+'Продажи'!EX69)/(SUM('Продажи'!$D$60:$GA$60)+SUM('Продажи'!$D$63:$GA$63)+SUM('Продажи'!$D$66:$GA$66)+SUM('Продажи'!$D$69:$GA$69)),0)-IF('ОБЪЕКТЫ'!$B$8=3,IFERROR('ОБЪЕКТЫ'!$B$28*'ОБЪЕКТЫ'!EX22/'ОБЪЕКТЫ'!$B$22,0),0)-IF('ОБЪЕКТЫ'!$B$36=3,IFERROR('ОБЪЕКТЫ'!$B$56*'ОБЪЕКТЫ'!EX50/'ОБЪЕКТЫ'!$B$50,0),0)-IF('ОБЪЕКТЫ'!$B$64=3,IFERROR('ОБЪЕКТЫ'!$B$84*'ОБЪЕКТЫ'!EX78/'ОБЪЕКТЫ'!$B$78,0),0)-EX53-EX57-EX21</x:f>
      </x:c>
      <x:c r="EY22" s="117">
        <x:f>EY10-IFERROR((SUM($D$20:$GA$20)-'ОБЪЕКТЫ'!$B$112)*('Продажи'!EY60+'Продажи'!EY63+'Продажи'!EY66+'Продажи'!EY69)/(SUM('Продажи'!$D$60:$GA$60)+SUM('Продажи'!$D$63:$GA$63)+SUM('Продажи'!$D$66:$GA$66)+SUM('Продажи'!$D$69:$GA$69)),0)-IF('ОБЪЕКТЫ'!$B$8=3,IFERROR('ОБЪЕКТЫ'!$B$28*'ОБЪЕКТЫ'!EY22/'ОБЪЕКТЫ'!$B$22,0),0)-IF('ОБЪЕКТЫ'!$B$36=3,IFERROR('ОБЪЕКТЫ'!$B$56*'ОБЪЕКТЫ'!EY50/'ОБЪЕКТЫ'!$B$50,0),0)-IF('ОБЪЕКТЫ'!$B$64=3,IFERROR('ОБЪЕКТЫ'!$B$84*'ОБЪЕКТЫ'!EY78/'ОБЪЕКТЫ'!$B$78,0),0)-EY53-EY57-EY21</x:f>
      </x:c>
      <x:c r="EZ22" s="117">
        <x:f>EZ10-IFERROR((SUM($D$20:$GA$20)-'ОБЪЕКТЫ'!$B$112)*('Продажи'!EZ60+'Продажи'!EZ63+'Продажи'!EZ66+'Продажи'!EZ69)/(SUM('Продажи'!$D$60:$GA$60)+SUM('Продажи'!$D$63:$GA$63)+SUM('Продажи'!$D$66:$GA$66)+SUM('Продажи'!$D$69:$GA$69)),0)-IF('ОБЪЕКТЫ'!$B$8=3,IFERROR('ОБЪЕКТЫ'!$B$28*'ОБЪЕКТЫ'!EZ22/'ОБЪЕКТЫ'!$B$22,0),0)-IF('ОБЪЕКТЫ'!$B$36=3,IFERROR('ОБЪЕКТЫ'!$B$56*'ОБЪЕКТЫ'!EZ50/'ОБЪЕКТЫ'!$B$50,0),0)-IF('ОБЪЕКТЫ'!$B$64=3,IFERROR('ОБЪЕКТЫ'!$B$84*'ОБЪЕКТЫ'!EZ78/'ОБЪЕКТЫ'!$B$78,0),0)-EZ53-EZ57-EZ21</x:f>
      </x:c>
      <x:c r="FA22" s="117">
        <x:f>FA10-IFERROR((SUM($D$20:$GA$20)-'ОБЪЕКТЫ'!$B$112)*('Продажи'!FA60+'Продажи'!FA63+'Продажи'!FA66+'Продажи'!FA69)/(SUM('Продажи'!$D$60:$GA$60)+SUM('Продажи'!$D$63:$GA$63)+SUM('Продажи'!$D$66:$GA$66)+SUM('Продажи'!$D$69:$GA$69)),0)-IF('ОБЪЕКТЫ'!$B$8=3,IFERROR('ОБЪЕКТЫ'!$B$28*'ОБЪЕКТЫ'!FA22/'ОБЪЕКТЫ'!$B$22,0),0)-IF('ОБЪЕКТЫ'!$B$36=3,IFERROR('ОБЪЕКТЫ'!$B$56*'ОБЪЕКТЫ'!FA50/'ОБЪЕКТЫ'!$B$50,0),0)-IF('ОБЪЕКТЫ'!$B$64=3,IFERROR('ОБЪЕКТЫ'!$B$84*'ОБЪЕКТЫ'!FA78/'ОБЪЕКТЫ'!$B$78,0),0)-FA53-FA57-FA21</x:f>
      </x:c>
      <x:c r="FB22" s="117">
        <x:f>FB10-IFERROR((SUM($D$20:$GA$20)-'ОБЪЕКТЫ'!$B$112)*('Продажи'!FB60+'Продажи'!FB63+'Продажи'!FB66+'Продажи'!FB69)/(SUM('Продажи'!$D$60:$GA$60)+SUM('Продажи'!$D$63:$GA$63)+SUM('Продажи'!$D$66:$GA$66)+SUM('Продажи'!$D$69:$GA$69)),0)-IF('ОБЪЕКТЫ'!$B$8=3,IFERROR('ОБЪЕКТЫ'!$B$28*'ОБЪЕКТЫ'!FB22/'ОБЪЕКТЫ'!$B$22,0),0)-IF('ОБЪЕКТЫ'!$B$36=3,IFERROR('ОБЪЕКТЫ'!$B$56*'ОБЪЕКТЫ'!FB50/'ОБЪЕКТЫ'!$B$50,0),0)-IF('ОБЪЕКТЫ'!$B$64=3,IFERROR('ОБЪЕКТЫ'!$B$84*'ОБЪЕКТЫ'!FB78/'ОБЪЕКТЫ'!$B$78,0),0)-FB53-FB57-FB21</x:f>
      </x:c>
      <x:c r="FC22" s="117">
        <x:f>FC10-IFERROR((SUM($D$20:$GA$20)-'ОБЪЕКТЫ'!$B$112)*('Продажи'!FC60+'Продажи'!FC63+'Продажи'!FC66+'Продажи'!FC69)/(SUM('Продажи'!$D$60:$GA$60)+SUM('Продажи'!$D$63:$GA$63)+SUM('Продажи'!$D$66:$GA$66)+SUM('Продажи'!$D$69:$GA$69)),0)-IF('ОБЪЕКТЫ'!$B$8=3,IFERROR('ОБЪЕКТЫ'!$B$28*'ОБЪЕКТЫ'!FC22/'ОБЪЕКТЫ'!$B$22,0),0)-IF('ОБЪЕКТЫ'!$B$36=3,IFERROR('ОБЪЕКТЫ'!$B$56*'ОБЪЕКТЫ'!FC50/'ОБЪЕКТЫ'!$B$50,0),0)-IF('ОБЪЕКТЫ'!$B$64=3,IFERROR('ОБЪЕКТЫ'!$B$84*'ОБЪЕКТЫ'!FC78/'ОБЪЕКТЫ'!$B$78,0),0)-FC53-FC57-FC21</x:f>
      </x:c>
      <x:c r="FD22" s="117">
        <x:f>FD10-IFERROR((SUM($D$20:$GA$20)-'ОБЪЕКТЫ'!$B$112)*('Продажи'!FD60+'Продажи'!FD63+'Продажи'!FD66+'Продажи'!FD69)/(SUM('Продажи'!$D$60:$GA$60)+SUM('Продажи'!$D$63:$GA$63)+SUM('Продажи'!$D$66:$GA$66)+SUM('Продажи'!$D$69:$GA$69)),0)-IF('ОБЪЕКТЫ'!$B$8=3,IFERROR('ОБЪЕКТЫ'!$B$28*'ОБЪЕКТЫ'!FD22/'ОБЪЕКТЫ'!$B$22,0),0)-IF('ОБЪЕКТЫ'!$B$36=3,IFERROR('ОБЪЕКТЫ'!$B$56*'ОБЪЕКТЫ'!FD50/'ОБЪЕКТЫ'!$B$50,0),0)-IF('ОБЪЕКТЫ'!$B$64=3,IFERROR('ОБЪЕКТЫ'!$B$84*'ОБЪЕКТЫ'!FD78/'ОБЪЕКТЫ'!$B$78,0),0)-FD53-FD57-FD21</x:f>
      </x:c>
      <x:c r="FE22" s="117">
        <x:f>FE10-IFERROR((SUM($D$20:$GA$20)-'ОБЪЕКТЫ'!$B$112)*('Продажи'!FE60+'Продажи'!FE63+'Продажи'!FE66+'Продажи'!FE69)/(SUM('Продажи'!$D$60:$GA$60)+SUM('Продажи'!$D$63:$GA$63)+SUM('Продажи'!$D$66:$GA$66)+SUM('Продажи'!$D$69:$GA$69)),0)-IF('ОБЪЕКТЫ'!$B$8=3,IFERROR('ОБЪЕКТЫ'!$B$28*'ОБЪЕКТЫ'!FE22/'ОБЪЕКТЫ'!$B$22,0),0)-IF('ОБЪЕКТЫ'!$B$36=3,IFERROR('ОБЪЕКТЫ'!$B$56*'ОБЪЕКТЫ'!FE50/'ОБЪЕКТЫ'!$B$50,0),0)-IF('ОБЪЕКТЫ'!$B$64=3,IFERROR('ОБЪЕКТЫ'!$B$84*'ОБЪЕКТЫ'!FE78/'ОБЪЕКТЫ'!$B$78,0),0)-FE53-FE57-FE21</x:f>
      </x:c>
      <x:c r="FF22" s="117">
        <x:f>FF10-IFERROR((SUM($D$20:$GA$20)-'ОБЪЕКТЫ'!$B$112)*('Продажи'!FF60+'Продажи'!FF63+'Продажи'!FF66+'Продажи'!FF69)/(SUM('Продажи'!$D$60:$GA$60)+SUM('Продажи'!$D$63:$GA$63)+SUM('Продажи'!$D$66:$GA$66)+SUM('Продажи'!$D$69:$GA$69)),0)-IF('ОБЪЕКТЫ'!$B$8=3,IFERROR('ОБЪЕКТЫ'!$B$28*'ОБЪЕКТЫ'!FF22/'ОБЪЕКТЫ'!$B$22,0),0)-IF('ОБЪЕКТЫ'!$B$36=3,IFERROR('ОБЪЕКТЫ'!$B$56*'ОБЪЕКТЫ'!FF50/'ОБЪЕКТЫ'!$B$50,0),0)-IF('ОБЪЕКТЫ'!$B$64=3,IFERROR('ОБЪЕКТЫ'!$B$84*'ОБЪЕКТЫ'!FF78/'ОБЪЕКТЫ'!$B$78,0),0)-FF53-FF57-FF21</x:f>
      </x:c>
      <x:c r="FG22" s="117">
        <x:f>FG10-IFERROR((SUM($D$20:$GA$20)-'ОБЪЕКТЫ'!$B$112)*('Продажи'!FG60+'Продажи'!FG63+'Продажи'!FG66+'Продажи'!FG69)/(SUM('Продажи'!$D$60:$GA$60)+SUM('Продажи'!$D$63:$GA$63)+SUM('Продажи'!$D$66:$GA$66)+SUM('Продажи'!$D$69:$GA$69)),0)-IF('ОБЪЕКТЫ'!$B$8=3,IFERROR('ОБЪЕКТЫ'!$B$28*'ОБЪЕКТЫ'!FG22/'ОБЪЕКТЫ'!$B$22,0),0)-IF('ОБЪЕКТЫ'!$B$36=3,IFERROR('ОБЪЕКТЫ'!$B$56*'ОБЪЕКТЫ'!FG50/'ОБЪЕКТЫ'!$B$50,0),0)-IF('ОБЪЕКТЫ'!$B$64=3,IFERROR('ОБЪЕКТЫ'!$B$84*'ОБЪЕКТЫ'!FG78/'ОБЪЕКТЫ'!$B$78,0),0)-FG53-FG57-FG21</x:f>
      </x:c>
      <x:c r="FH22" s="117">
        <x:f>FH10-IFERROR((SUM($D$20:$GA$20)-'ОБЪЕКТЫ'!$B$112)*('Продажи'!FH60+'Продажи'!FH63+'Продажи'!FH66+'Продажи'!FH69)/(SUM('Продажи'!$D$60:$GA$60)+SUM('Продажи'!$D$63:$GA$63)+SUM('Продажи'!$D$66:$GA$66)+SUM('Продажи'!$D$69:$GA$69)),0)-IF('ОБЪЕКТЫ'!$B$8=3,IFERROR('ОБЪЕКТЫ'!$B$28*'ОБЪЕКТЫ'!FH22/'ОБЪЕКТЫ'!$B$22,0),0)-IF('ОБЪЕКТЫ'!$B$36=3,IFERROR('ОБЪЕКТЫ'!$B$56*'ОБЪЕКТЫ'!FH50/'ОБЪЕКТЫ'!$B$50,0),0)-IF('ОБЪЕКТЫ'!$B$64=3,IFERROR('ОБЪЕКТЫ'!$B$84*'ОБЪЕКТЫ'!FH78/'ОБЪЕКТЫ'!$B$78,0),0)-FH53-FH57-FH21</x:f>
      </x:c>
      <x:c r="FI22" s="117">
        <x:f>FI10-IFERROR((SUM($D$20:$GA$20)-'ОБЪЕКТЫ'!$B$112)*('Продажи'!FI60+'Продажи'!FI63+'Продажи'!FI66+'Продажи'!FI69)/(SUM('Продажи'!$D$60:$GA$60)+SUM('Продажи'!$D$63:$GA$63)+SUM('Продажи'!$D$66:$GA$66)+SUM('Продажи'!$D$69:$GA$69)),0)-IF('ОБЪЕКТЫ'!$B$8=3,IFERROR('ОБЪЕКТЫ'!$B$28*'ОБЪЕКТЫ'!FI22/'ОБЪЕКТЫ'!$B$22,0),0)-IF('ОБЪЕКТЫ'!$B$36=3,IFERROR('ОБЪЕКТЫ'!$B$56*'ОБЪЕКТЫ'!FI50/'ОБЪЕКТЫ'!$B$50,0),0)-IF('ОБЪЕКТЫ'!$B$64=3,IFERROR('ОБЪЕКТЫ'!$B$84*'ОБЪЕКТЫ'!FI78/'ОБЪЕКТЫ'!$B$78,0),0)-FI53-FI57-FI21</x:f>
      </x:c>
      <x:c r="FJ22" s="117">
        <x:f>FJ10-IFERROR((SUM($D$20:$GA$20)-'ОБЪЕКТЫ'!$B$112)*('Продажи'!FJ60+'Продажи'!FJ63+'Продажи'!FJ66+'Продажи'!FJ69)/(SUM('Продажи'!$D$60:$GA$60)+SUM('Продажи'!$D$63:$GA$63)+SUM('Продажи'!$D$66:$GA$66)+SUM('Продажи'!$D$69:$GA$69)),0)-IF('ОБЪЕКТЫ'!$B$8=3,IFERROR('ОБЪЕКТЫ'!$B$28*'ОБЪЕКТЫ'!FJ22/'ОБЪЕКТЫ'!$B$22,0),0)-IF('ОБЪЕКТЫ'!$B$36=3,IFERROR('ОБЪЕКТЫ'!$B$56*'ОБЪЕКТЫ'!FJ50/'ОБЪЕКТЫ'!$B$50,0),0)-IF('ОБЪЕКТЫ'!$B$64=3,IFERROR('ОБЪЕКТЫ'!$B$84*'ОБЪЕКТЫ'!FJ78/'ОБЪЕКТЫ'!$B$78,0),0)-FJ53-FJ57-FJ21</x:f>
      </x:c>
      <x:c r="FK22" s="117">
        <x:f>FK10-IFERROR((SUM($D$20:$GA$20)-'ОБЪЕКТЫ'!$B$112)*('Продажи'!FK60+'Продажи'!FK63+'Продажи'!FK66+'Продажи'!FK69)/(SUM('Продажи'!$D$60:$GA$60)+SUM('Продажи'!$D$63:$GA$63)+SUM('Продажи'!$D$66:$GA$66)+SUM('Продажи'!$D$69:$GA$69)),0)-IF('ОБЪЕКТЫ'!$B$8=3,IFERROR('ОБЪЕКТЫ'!$B$28*'ОБЪЕКТЫ'!FK22/'ОБЪЕКТЫ'!$B$22,0),0)-IF('ОБЪЕКТЫ'!$B$36=3,IFERROR('ОБЪЕКТЫ'!$B$56*'ОБЪЕКТЫ'!FK50/'ОБЪЕКТЫ'!$B$50,0),0)-IF('ОБЪЕКТЫ'!$B$64=3,IFERROR('ОБЪЕКТЫ'!$B$84*'ОБЪЕКТЫ'!FK78/'ОБЪЕКТЫ'!$B$78,0),0)-FK53-FK57-FK21</x:f>
      </x:c>
      <x:c r="FL22" s="117">
        <x:f>FL10-IFERROR((SUM($D$20:$GA$20)-'ОБЪЕКТЫ'!$B$112)*('Продажи'!FL60+'Продажи'!FL63+'Продажи'!FL66+'Продажи'!FL69)/(SUM('Продажи'!$D$60:$GA$60)+SUM('Продажи'!$D$63:$GA$63)+SUM('Продажи'!$D$66:$GA$66)+SUM('Продажи'!$D$69:$GA$69)),0)-IF('ОБЪЕКТЫ'!$B$8=3,IFERROR('ОБЪЕКТЫ'!$B$28*'ОБЪЕКТЫ'!FL22/'ОБЪЕКТЫ'!$B$22,0),0)-IF('ОБЪЕКТЫ'!$B$36=3,IFERROR('ОБЪЕКТЫ'!$B$56*'ОБЪЕКТЫ'!FL50/'ОБЪЕКТЫ'!$B$50,0),0)-IF('ОБЪЕКТЫ'!$B$64=3,IFERROR('ОБЪЕКТЫ'!$B$84*'ОБЪЕКТЫ'!FL78/'ОБЪЕКТЫ'!$B$78,0),0)-FL53-FL57-FL21</x:f>
      </x:c>
      <x:c r="FM22" s="117">
        <x:f>FM10-IFERROR((SUM($D$20:$GA$20)-'ОБЪЕКТЫ'!$B$112)*('Продажи'!FM60+'Продажи'!FM63+'Продажи'!FM66+'Продажи'!FM69)/(SUM('Продажи'!$D$60:$GA$60)+SUM('Продажи'!$D$63:$GA$63)+SUM('Продажи'!$D$66:$GA$66)+SUM('Продажи'!$D$69:$GA$69)),0)-IF('ОБЪЕКТЫ'!$B$8=3,IFERROR('ОБЪЕКТЫ'!$B$28*'ОБЪЕКТЫ'!FM22/'ОБЪЕКТЫ'!$B$22,0),0)-IF('ОБЪЕКТЫ'!$B$36=3,IFERROR('ОБЪЕКТЫ'!$B$56*'ОБЪЕКТЫ'!FM50/'ОБЪЕКТЫ'!$B$50,0),0)-IF('ОБЪЕКТЫ'!$B$64=3,IFERROR('ОБЪЕКТЫ'!$B$84*'ОБЪЕКТЫ'!FM78/'ОБЪЕКТЫ'!$B$78,0),0)-FM53-FM57-FM21</x:f>
      </x:c>
      <x:c r="FN22" s="117">
        <x:f>FN10-IFERROR((SUM($D$20:$GA$20)-'ОБЪЕКТЫ'!$B$112)*('Продажи'!FN60+'Продажи'!FN63+'Продажи'!FN66+'Продажи'!FN69)/(SUM('Продажи'!$D$60:$GA$60)+SUM('Продажи'!$D$63:$GA$63)+SUM('Продажи'!$D$66:$GA$66)+SUM('Продажи'!$D$69:$GA$69)),0)-IF('ОБЪЕКТЫ'!$B$8=3,IFERROR('ОБЪЕКТЫ'!$B$28*'ОБЪЕКТЫ'!FN22/'ОБЪЕКТЫ'!$B$22,0),0)-IF('ОБЪЕКТЫ'!$B$36=3,IFERROR('ОБЪЕКТЫ'!$B$56*'ОБЪЕКТЫ'!FN50/'ОБЪЕКТЫ'!$B$50,0),0)-IF('ОБЪЕКТЫ'!$B$64=3,IFERROR('ОБЪЕКТЫ'!$B$84*'ОБЪЕКТЫ'!FN78/'ОБЪЕКТЫ'!$B$78,0),0)-FN53-FN57-FN21</x:f>
      </x:c>
      <x:c r="FO22" s="117">
        <x:f>FO10-IFERROR((SUM($D$20:$GA$20)-'ОБЪЕКТЫ'!$B$112)*('Продажи'!FO60+'Продажи'!FO63+'Продажи'!FO66+'Продажи'!FO69)/(SUM('Продажи'!$D$60:$GA$60)+SUM('Продажи'!$D$63:$GA$63)+SUM('Продажи'!$D$66:$GA$66)+SUM('Продажи'!$D$69:$GA$69)),0)-IF('ОБЪЕКТЫ'!$B$8=3,IFERROR('ОБЪЕКТЫ'!$B$28*'ОБЪЕКТЫ'!FO22/'ОБЪЕКТЫ'!$B$22,0),0)-IF('ОБЪЕКТЫ'!$B$36=3,IFERROR('ОБЪЕКТЫ'!$B$56*'ОБЪЕКТЫ'!FO50/'ОБЪЕКТЫ'!$B$50,0),0)-IF('ОБЪЕКТЫ'!$B$64=3,IFERROR('ОБЪЕКТЫ'!$B$84*'ОБЪЕКТЫ'!FO78/'ОБЪЕКТЫ'!$B$78,0),0)-FO53-FO57-FO21</x:f>
      </x:c>
      <x:c r="FP22" s="117">
        <x:f>FP10-IFERROR((SUM($D$20:$GA$20)-'ОБЪЕКТЫ'!$B$112)*('Продажи'!FP60+'Продажи'!FP63+'Продажи'!FP66+'Продажи'!FP69)/(SUM('Продажи'!$D$60:$GA$60)+SUM('Продажи'!$D$63:$GA$63)+SUM('Продажи'!$D$66:$GA$66)+SUM('Продажи'!$D$69:$GA$69)),0)-IF('ОБЪЕКТЫ'!$B$8=3,IFERROR('ОБЪЕКТЫ'!$B$28*'ОБЪЕКТЫ'!FP22/'ОБЪЕКТЫ'!$B$22,0),0)-IF('ОБЪЕКТЫ'!$B$36=3,IFERROR('ОБЪЕКТЫ'!$B$56*'ОБЪЕКТЫ'!FP50/'ОБЪЕКТЫ'!$B$50,0),0)-IF('ОБЪЕКТЫ'!$B$64=3,IFERROR('ОБЪЕКТЫ'!$B$84*'ОБЪЕКТЫ'!FP78/'ОБЪЕКТЫ'!$B$78,0),0)-FP53-FP57-FP21</x:f>
      </x:c>
      <x:c r="FQ22" s="117">
        <x:f>FQ10-IFERROR((SUM($D$20:$GA$20)-'ОБЪЕКТЫ'!$B$112)*('Продажи'!FQ60+'Продажи'!FQ63+'Продажи'!FQ66+'Продажи'!FQ69)/(SUM('Продажи'!$D$60:$GA$60)+SUM('Продажи'!$D$63:$GA$63)+SUM('Продажи'!$D$66:$GA$66)+SUM('Продажи'!$D$69:$GA$69)),0)-IF('ОБЪЕКТЫ'!$B$8=3,IFERROR('ОБЪЕКТЫ'!$B$28*'ОБЪЕКТЫ'!FQ22/'ОБЪЕКТЫ'!$B$22,0),0)-IF('ОБЪЕКТЫ'!$B$36=3,IFERROR('ОБЪЕКТЫ'!$B$56*'ОБЪЕКТЫ'!FQ50/'ОБЪЕКТЫ'!$B$50,0),0)-IF('ОБЪЕКТЫ'!$B$64=3,IFERROR('ОБЪЕКТЫ'!$B$84*'ОБЪЕКТЫ'!FQ78/'ОБЪЕКТЫ'!$B$78,0),0)-FQ53-FQ57-FQ21</x:f>
      </x:c>
      <x:c r="FR22" s="117">
        <x:f>FR10-IFERROR((SUM($D$20:$GA$20)-'ОБЪЕКТЫ'!$B$112)*('Продажи'!FR60+'Продажи'!FR63+'Продажи'!FR66+'Продажи'!FR69)/(SUM('Продажи'!$D$60:$GA$60)+SUM('Продажи'!$D$63:$GA$63)+SUM('Продажи'!$D$66:$GA$66)+SUM('Продажи'!$D$69:$GA$69)),0)-IF('ОБЪЕКТЫ'!$B$8=3,IFERROR('ОБЪЕКТЫ'!$B$28*'ОБЪЕКТЫ'!FR22/'ОБЪЕКТЫ'!$B$22,0),0)-IF('ОБЪЕКТЫ'!$B$36=3,IFERROR('ОБЪЕКТЫ'!$B$56*'ОБЪЕКТЫ'!FR50/'ОБЪЕКТЫ'!$B$50,0),0)-IF('ОБЪЕКТЫ'!$B$64=3,IFERROR('ОБЪЕКТЫ'!$B$84*'ОБЪЕКТЫ'!FR78/'ОБЪЕКТЫ'!$B$78,0),0)-FR53-FR57-FR21</x:f>
      </x:c>
      <x:c r="FS22" s="117">
        <x:f>FS10-IFERROR((SUM($D$20:$GA$20)-'ОБЪЕКТЫ'!$B$112)*('Продажи'!FS60+'Продажи'!FS63+'Продажи'!FS66+'Продажи'!FS69)/(SUM('Продажи'!$D$60:$GA$60)+SUM('Продажи'!$D$63:$GA$63)+SUM('Продажи'!$D$66:$GA$66)+SUM('Продажи'!$D$69:$GA$69)),0)-IF('ОБЪЕКТЫ'!$B$8=3,IFERROR('ОБЪЕКТЫ'!$B$28*'ОБЪЕКТЫ'!FS22/'ОБЪЕКТЫ'!$B$22,0),0)-IF('ОБЪЕКТЫ'!$B$36=3,IFERROR('ОБЪЕКТЫ'!$B$56*'ОБЪЕКТЫ'!FS50/'ОБЪЕКТЫ'!$B$50,0),0)-IF('ОБЪЕКТЫ'!$B$64=3,IFERROR('ОБЪЕКТЫ'!$B$84*'ОБЪЕКТЫ'!FS78/'ОБЪЕКТЫ'!$B$78,0),0)-FS53-FS57-FS21</x:f>
      </x:c>
      <x:c r="FT22" s="117">
        <x:f>FT10-IFERROR((SUM($D$20:$GA$20)-'ОБЪЕКТЫ'!$B$112)*('Продажи'!FT60+'Продажи'!FT63+'Продажи'!FT66+'Продажи'!FT69)/(SUM('Продажи'!$D$60:$GA$60)+SUM('Продажи'!$D$63:$GA$63)+SUM('Продажи'!$D$66:$GA$66)+SUM('Продажи'!$D$69:$GA$69)),0)-IF('ОБЪЕКТЫ'!$B$8=3,IFERROR('ОБЪЕКТЫ'!$B$28*'ОБЪЕКТЫ'!FT22/'ОБЪЕКТЫ'!$B$22,0),0)-IF('ОБЪЕКТЫ'!$B$36=3,IFERROR('ОБЪЕКТЫ'!$B$56*'ОБЪЕКТЫ'!FT50/'ОБЪЕКТЫ'!$B$50,0),0)-IF('ОБЪЕКТЫ'!$B$64=3,IFERROR('ОБЪЕКТЫ'!$B$84*'ОБЪЕКТЫ'!FT78/'ОБЪЕКТЫ'!$B$78,0),0)-FT53-FT57-FT21</x:f>
      </x:c>
      <x:c r="FU22" s="117">
        <x:f>FU10-IFERROR((SUM($D$20:$GA$20)-'ОБЪЕКТЫ'!$B$112)*('Продажи'!FU60+'Продажи'!FU63+'Продажи'!FU66+'Продажи'!FU69)/(SUM('Продажи'!$D$60:$GA$60)+SUM('Продажи'!$D$63:$GA$63)+SUM('Продажи'!$D$66:$GA$66)+SUM('Продажи'!$D$69:$GA$69)),0)-IF('ОБЪЕКТЫ'!$B$8=3,IFERROR('ОБЪЕКТЫ'!$B$28*'ОБЪЕКТЫ'!FU22/'ОБЪЕКТЫ'!$B$22,0),0)-IF('ОБЪЕКТЫ'!$B$36=3,IFERROR('ОБЪЕКТЫ'!$B$56*'ОБЪЕКТЫ'!FU50/'ОБЪЕКТЫ'!$B$50,0),0)-IF('ОБЪЕКТЫ'!$B$64=3,IFERROR('ОБЪЕКТЫ'!$B$84*'ОБЪЕКТЫ'!FU78/'ОБЪЕКТЫ'!$B$78,0),0)-FU53-FU57-FU21</x:f>
      </x:c>
      <x:c r="FV22" s="117">
        <x:f>FV10-IFERROR((SUM($D$20:$GA$20)-'ОБЪЕКТЫ'!$B$112)*('Продажи'!FV60+'Продажи'!FV63+'Продажи'!FV66+'Продажи'!FV69)/(SUM('Продажи'!$D$60:$GA$60)+SUM('Продажи'!$D$63:$GA$63)+SUM('Продажи'!$D$66:$GA$66)+SUM('Продажи'!$D$69:$GA$69)),0)-IF('ОБЪЕКТЫ'!$B$8=3,IFERROR('ОБЪЕКТЫ'!$B$28*'ОБЪЕКТЫ'!FV22/'ОБЪЕКТЫ'!$B$22,0),0)-IF('ОБЪЕКТЫ'!$B$36=3,IFERROR('ОБЪЕКТЫ'!$B$56*'ОБЪЕКТЫ'!FV50/'ОБЪЕКТЫ'!$B$50,0),0)-IF('ОБЪЕКТЫ'!$B$64=3,IFERROR('ОБЪЕКТЫ'!$B$84*'ОБЪЕКТЫ'!FV78/'ОБЪЕКТЫ'!$B$78,0),0)-FV53-FV57-FV21</x:f>
      </x:c>
      <x:c r="FW22" s="117">
        <x:f>FW10-IFERROR((SUM($D$20:$GA$20)-'ОБЪЕКТЫ'!$B$112)*('Продажи'!FW60+'Продажи'!FW63+'Продажи'!FW66+'Продажи'!FW69)/(SUM('Продажи'!$D$60:$GA$60)+SUM('Продажи'!$D$63:$GA$63)+SUM('Продажи'!$D$66:$GA$66)+SUM('Продажи'!$D$69:$GA$69)),0)-IF('ОБЪЕКТЫ'!$B$8=3,IFERROR('ОБЪЕКТЫ'!$B$28*'ОБЪЕКТЫ'!FW22/'ОБЪЕКТЫ'!$B$22,0),0)-IF('ОБЪЕКТЫ'!$B$36=3,IFERROR('ОБЪЕКТЫ'!$B$56*'ОБЪЕКТЫ'!FW50/'ОБЪЕКТЫ'!$B$50,0),0)-IF('ОБЪЕКТЫ'!$B$64=3,IFERROR('ОБЪЕКТЫ'!$B$84*'ОБЪЕКТЫ'!FW78/'ОБЪЕКТЫ'!$B$78,0),0)-FW53-FW57-FW21</x:f>
      </x:c>
      <x:c r="FX22" s="117">
        <x:f>FX10-IFERROR((SUM($D$20:$GA$20)-'ОБЪЕКТЫ'!$B$112)*('Продажи'!FX60+'Продажи'!FX63+'Продажи'!FX66+'Продажи'!FX69)/(SUM('Продажи'!$D$60:$GA$60)+SUM('Продажи'!$D$63:$GA$63)+SUM('Продажи'!$D$66:$GA$66)+SUM('Продажи'!$D$69:$GA$69)),0)-IF('ОБЪЕКТЫ'!$B$8=3,IFERROR('ОБЪЕКТЫ'!$B$28*'ОБЪЕКТЫ'!FX22/'ОБЪЕКТЫ'!$B$22,0),0)-IF('ОБЪЕКТЫ'!$B$36=3,IFERROR('ОБЪЕКТЫ'!$B$56*'ОБЪЕКТЫ'!FX50/'ОБЪЕКТЫ'!$B$50,0),0)-IF('ОБЪЕКТЫ'!$B$64=3,IFERROR('ОБЪЕКТЫ'!$B$84*'ОБЪЕКТЫ'!FX78/'ОБЪЕКТЫ'!$B$78,0),0)-FX53-FX57-FX21</x:f>
      </x:c>
      <x:c r="FY22" s="117">
        <x:f>FY10-IFERROR((SUM($D$20:$GA$20)-'ОБЪЕКТЫ'!$B$112)*('Продажи'!FY60+'Продажи'!FY63+'Продажи'!FY66+'Продажи'!FY69)/(SUM('Продажи'!$D$60:$GA$60)+SUM('Продажи'!$D$63:$GA$63)+SUM('Продажи'!$D$66:$GA$66)+SUM('Продажи'!$D$69:$GA$69)),0)-IF('ОБЪЕКТЫ'!$B$8=3,IFERROR('ОБЪЕКТЫ'!$B$28*'ОБЪЕКТЫ'!FY22/'ОБЪЕКТЫ'!$B$22,0),0)-IF('ОБЪЕКТЫ'!$B$36=3,IFERROR('ОБЪЕКТЫ'!$B$56*'ОБЪЕКТЫ'!FY50/'ОБЪЕКТЫ'!$B$50,0),0)-IF('ОБЪЕКТЫ'!$B$64=3,IFERROR('ОБЪЕКТЫ'!$B$84*'ОБЪЕКТЫ'!FY78/'ОБЪЕКТЫ'!$B$78,0),0)-FY53-FY57-FY21</x:f>
      </x:c>
      <x:c r="FZ22" s="117">
        <x:f>FZ10-IFERROR((SUM($D$20:$GA$20)-'ОБЪЕКТЫ'!$B$112)*('Продажи'!FZ60+'Продажи'!FZ63+'Продажи'!FZ66+'Продажи'!FZ69)/(SUM('Продажи'!$D$60:$GA$60)+SUM('Продажи'!$D$63:$GA$63)+SUM('Продажи'!$D$66:$GA$66)+SUM('Продажи'!$D$69:$GA$69)),0)-IF('ОБЪЕКТЫ'!$B$8=3,IFERROR('ОБЪЕКТЫ'!$B$28*'ОБЪЕКТЫ'!FZ22/'ОБЪЕКТЫ'!$B$22,0),0)-IF('ОБЪЕКТЫ'!$B$36=3,IFERROR('ОБЪЕКТЫ'!$B$56*'ОБЪЕКТЫ'!FZ50/'ОБЪЕКТЫ'!$B$50,0),0)-IF('ОБЪЕКТЫ'!$B$64=3,IFERROR('ОБЪЕКТЫ'!$B$84*'ОБЪЕКТЫ'!FZ78/'ОБЪЕКТЫ'!$B$78,0),0)-FZ53-FZ57-FZ21</x:f>
      </x:c>
      <x:c r="GA22" s="117">
        <x:f>GA10-IFERROR((SUM($D$20:$GA$20)-'ОБЪЕКТЫ'!$B$112)*('Продажи'!GA60+'Продажи'!GA63+'Продажи'!GA66+'Продажи'!GA69)/(SUM('Продажи'!$D$60:$GA$60)+SUM('Продажи'!$D$63:$GA$63)+SUM('Продажи'!$D$66:$GA$66)+SUM('Продажи'!$D$69:$GA$69)),0)-IF('ОБЪЕКТЫ'!$B$8=3,IFERROR('ОБЪЕКТЫ'!$B$28*'ОБЪЕКТЫ'!GA22/'ОБЪЕКТЫ'!$B$22,0),0)-IF('ОБЪЕКТЫ'!$B$36=3,IFERROR('ОБЪЕКТЫ'!$B$56*'ОБЪЕКТЫ'!GA50/'ОБЪЕКТЫ'!$B$50,0),0)-IF('ОБЪЕКТЫ'!$B$64=3,IFERROR('ОБЪЕКТЫ'!$B$84*'ОБЪЕКТЫ'!GA78/'ОБЪЕКТЫ'!$B$78,0),0)-GA53-GA57-GA21</x:f>
      </x:c>
    </x:row>
    <x:row r="23">
      <x:c r="A23" t="str">
        <x:v>Накопленная налоговая база</x:v>
      </x:c>
      <x:c r="B23"/>
      <x:c r="C23" t="str">
        <x:v>млн ₽</x:v>
      </x:c>
      <x:c r="D23" s="117" t="n">
        <x:f>D22</x:f>
      </x:c>
      <x:c r="E23" s="117" t="n">
        <x:f>D23+E22</x:f>
      </x:c>
      <x:c r="F23" s="117" t="n">
        <x:f>E23+F22</x:f>
      </x:c>
      <x:c r="G23" s="117" t="n">
        <x:f>F23+G22</x:f>
      </x:c>
      <x:c r="H23" s="117" t="n">
        <x:f>G23+H22</x:f>
      </x:c>
      <x:c r="I23" s="117" t="n">
        <x:f>H23+I22</x:f>
      </x:c>
      <x:c r="J23" s="117" t="n">
        <x:f>I23+J22</x:f>
      </x:c>
      <x:c r="K23" s="117" t="n">
        <x:f>J23+K22</x:f>
      </x:c>
      <x:c r="L23" s="117" t="n">
        <x:f>K23+L22</x:f>
      </x:c>
      <x:c r="M23" s="117" t="n">
        <x:f>L23+M22</x:f>
      </x:c>
      <x:c r="N23" s="117" t="n">
        <x:f>M23+N22</x:f>
      </x:c>
      <x:c r="O23" s="117" t="n">
        <x:f>N23+O22</x:f>
      </x:c>
      <x:c r="P23" s="117" t="n">
        <x:f>O23+P22</x:f>
      </x:c>
      <x:c r="Q23" s="117" t="n">
        <x:f>P23+Q22</x:f>
      </x:c>
      <x:c r="R23" s="117" t="n">
        <x:f>Q23+R22</x:f>
      </x:c>
      <x:c r="S23" s="117" t="n">
        <x:f>R23+S22</x:f>
      </x:c>
      <x:c r="T23" s="117" t="n">
        <x:f>S23+T22</x:f>
      </x:c>
      <x:c r="U23" s="117" t="n">
        <x:f>T23+U22</x:f>
      </x:c>
      <x:c r="V23" s="117" t="n">
        <x:f>U23+V22</x:f>
      </x:c>
      <x:c r="W23" s="117" t="n">
        <x:f>V23+W22</x:f>
      </x:c>
      <x:c r="X23" s="117" t="n">
        <x:f>W23+X22</x:f>
      </x:c>
      <x:c r="Y23" s="117" t="n">
        <x:f>X23+Y22</x:f>
      </x:c>
      <x:c r="Z23" s="117" t="n">
        <x:f>Y23+Z22</x:f>
      </x:c>
      <x:c r="AA23" s="117" t="n">
        <x:f>Z23+AA22</x:f>
      </x:c>
      <x:c r="AB23" s="117" t="n">
        <x:f>AA23+AB22</x:f>
      </x:c>
      <x:c r="AC23" s="117" t="n">
        <x:f>AB23+AC22</x:f>
      </x:c>
      <x:c r="AD23" s="117" t="n">
        <x:f>AC23+AD22</x:f>
      </x:c>
      <x:c r="AE23" s="117" t="n">
        <x:f>AD23+AE22</x:f>
      </x:c>
      <x:c r="AF23" s="117" t="n">
        <x:f>AE23+AF22</x:f>
      </x:c>
      <x:c r="AG23" s="117" t="n">
        <x:f>AF23+AG22</x:f>
      </x:c>
      <x:c r="AH23" s="117" t="n">
        <x:f>AG23+AH22</x:f>
      </x:c>
      <x:c r="AI23" s="117" t="n">
        <x:f>AH23+AI22</x:f>
      </x:c>
      <x:c r="AJ23" s="117" t="n">
        <x:f>AI23+AJ22</x:f>
      </x:c>
      <x:c r="AK23" s="117" t="n">
        <x:f>AJ23+AK22</x:f>
      </x:c>
      <x:c r="AL23" s="117" t="n">
        <x:f>AK23+AL22</x:f>
      </x:c>
      <x:c r="AM23" s="117" t="n">
        <x:f>AL23+AM22</x:f>
      </x:c>
      <x:c r="AN23" s="117" t="n">
        <x:f>AM23+AN22</x:f>
      </x:c>
      <x:c r="AO23" s="117" t="n">
        <x:f>AN23+AO22</x:f>
      </x:c>
      <x:c r="AP23" s="117" t="n">
        <x:f>AO23+AP22</x:f>
      </x:c>
      <x:c r="AQ23" s="117" t="n">
        <x:f>AP23+AQ22</x:f>
      </x:c>
      <x:c r="AR23" s="117" t="n">
        <x:f>AQ23+AR22</x:f>
      </x:c>
      <x:c r="AS23" s="117" t="n">
        <x:f>AR23+AS22</x:f>
      </x:c>
      <x:c r="AT23" s="117" t="n">
        <x:f>AS23+AT22</x:f>
      </x:c>
      <x:c r="AU23" s="117" t="n">
        <x:f>AT23+AU22</x:f>
      </x:c>
      <x:c r="AV23" s="117" t="n">
        <x:f>AU23+AV22</x:f>
      </x:c>
      <x:c r="AW23" s="117" t="n">
        <x:f>AV23+AW22</x:f>
      </x:c>
      <x:c r="AX23" s="117" t="n">
        <x:f>AW23+AX22</x:f>
      </x:c>
      <x:c r="AY23" s="117" t="n">
        <x:f>AX23+AY22</x:f>
      </x:c>
      <x:c r="AZ23" s="117" t="n">
        <x:f>AY23+AZ22</x:f>
      </x:c>
      <x:c r="BA23" s="117" t="n">
        <x:f>AZ23+BA22</x:f>
      </x:c>
      <x:c r="BB23" s="117" t="n">
        <x:f>BA23+BB22</x:f>
      </x:c>
      <x:c r="BC23" s="117" t="n">
        <x:f>BB23+BC22</x:f>
      </x:c>
      <x:c r="BD23" s="117" t="n">
        <x:f>BC23+BD22</x:f>
      </x:c>
      <x:c r="BE23" s="117" t="n">
        <x:f>BD23+BE22</x:f>
      </x:c>
      <x:c r="BF23" s="117" t="n">
        <x:f>BE23+BF22</x:f>
      </x:c>
      <x:c r="BG23" s="117" t="n">
        <x:f>BF23+BG22</x:f>
      </x:c>
      <x:c r="BH23" s="117" t="n">
        <x:f>BG23+BH22</x:f>
      </x:c>
      <x:c r="BI23" s="117" t="n">
        <x:f>BH23+BI22</x:f>
      </x:c>
      <x:c r="BJ23" s="117" t="n">
        <x:f>BI23+BJ22</x:f>
      </x:c>
      <x:c r="BK23" s="117" t="n">
        <x:f>BJ23+BK22</x:f>
      </x:c>
      <x:c r="BL23" s="117" t="n">
        <x:f>BK23+BL22</x:f>
      </x:c>
      <x:c r="BM23" s="117" t="n">
        <x:f>BL23+BM22</x:f>
      </x:c>
      <x:c r="BN23" s="117" t="n">
        <x:f>BM23+BN22</x:f>
      </x:c>
      <x:c r="BO23" s="117" t="n">
        <x:f>BN23+BO22</x:f>
      </x:c>
      <x:c r="BP23" s="117" t="n">
        <x:f>BO23+BP22</x:f>
      </x:c>
      <x:c r="BQ23" s="117" t="n">
        <x:f>BP23+BQ22</x:f>
      </x:c>
      <x:c r="BR23" s="117" t="n">
        <x:f>BQ23+BR22</x:f>
      </x:c>
      <x:c r="BS23" s="117" t="n">
        <x:f>BR23+BS22</x:f>
      </x:c>
      <x:c r="BT23" s="117" t="n">
        <x:f>BS23+BT22</x:f>
      </x:c>
      <x:c r="BU23" s="117" t="n">
        <x:f>BT23+BU22</x:f>
      </x:c>
      <x:c r="BV23" s="117" t="n">
        <x:f>BU23+BV22</x:f>
      </x:c>
      <x:c r="BW23" s="117" t="n">
        <x:f>BV23+BW22</x:f>
      </x:c>
      <x:c r="BX23" s="117" t="n">
        <x:f>BW23+BX22</x:f>
      </x:c>
      <x:c r="BY23" s="117" t="n">
        <x:f>BX23+BY22</x:f>
      </x:c>
      <x:c r="BZ23" s="117" t="n">
        <x:f>BY23+BZ22</x:f>
      </x:c>
      <x:c r="CA23" s="117" t="n">
        <x:f>BZ23+CA22</x:f>
      </x:c>
      <x:c r="CB23" s="117" t="n">
        <x:f>CA23+CB22</x:f>
      </x:c>
      <x:c r="CC23" s="117" t="n">
        <x:f>CB23+CC22</x:f>
      </x:c>
      <x:c r="CD23" s="117" t="n">
        <x:f>CC23+CD22</x:f>
      </x:c>
      <x:c r="CE23" s="117" t="n">
        <x:f>CD23+CE22</x:f>
      </x:c>
      <x:c r="CF23" s="117" t="n">
        <x:f>CE23+CF22</x:f>
      </x:c>
      <x:c r="CG23" s="117" t="n">
        <x:f>CF23+CG22</x:f>
      </x:c>
      <x:c r="CH23" s="117" t="n">
        <x:f>CG23+CH22</x:f>
      </x:c>
      <x:c r="CI23" s="117" t="n">
        <x:f>CH23+CI22</x:f>
      </x:c>
      <x:c r="CJ23" s="117" t="n">
        <x:f>CI23+CJ22</x:f>
      </x:c>
      <x:c r="CK23" s="117" t="n">
        <x:f>CJ23+CK22</x:f>
      </x:c>
      <x:c r="CL23" s="117" t="n">
        <x:f>CK23+CL22</x:f>
      </x:c>
      <x:c r="CM23" s="117" t="n">
        <x:f>CL23+CM22</x:f>
      </x:c>
      <x:c r="CN23" s="117" t="n">
        <x:f>CM23+CN22</x:f>
      </x:c>
      <x:c r="CO23" s="117" t="n">
        <x:f>CN23+CO22</x:f>
      </x:c>
      <x:c r="CP23" s="117" t="n">
        <x:f>CO23+CP22</x:f>
      </x:c>
      <x:c r="CQ23" s="117" t="n">
        <x:f>CP23+CQ22</x:f>
      </x:c>
      <x:c r="CR23" s="117" t="n">
        <x:f>CQ23+CR22</x:f>
      </x:c>
      <x:c r="CS23" s="117" t="n">
        <x:f>CR23+CS22</x:f>
      </x:c>
      <x:c r="CT23" s="117" t="n">
        <x:f>CS23+CT22</x:f>
      </x:c>
      <x:c r="CU23" s="117" t="n">
        <x:f>CT23+CU22</x:f>
      </x:c>
      <x:c r="CV23" s="117" t="n">
        <x:f>CU23+CV22</x:f>
      </x:c>
      <x:c r="CW23" s="117" t="n">
        <x:f>CV23+CW22</x:f>
      </x:c>
      <x:c r="CX23" s="117" t="n">
        <x:f>CW23+CX22</x:f>
      </x:c>
      <x:c r="CY23" s="117" t="n">
        <x:f>CX23+CY22</x:f>
      </x:c>
      <x:c r="CZ23" s="117" t="n">
        <x:f>CY23+CZ22</x:f>
      </x:c>
      <x:c r="DA23" s="117" t="n">
        <x:f>CZ23+DA22</x:f>
      </x:c>
      <x:c r="DB23" s="117" t="n">
        <x:f>DA23+DB22</x:f>
      </x:c>
      <x:c r="DC23" s="117" t="n">
        <x:f>DB23+DC22</x:f>
      </x:c>
      <x:c r="DD23" s="117" t="n">
        <x:f>DC23+DD22</x:f>
      </x:c>
      <x:c r="DE23" s="117" t="n">
        <x:f>DD23+DE22</x:f>
      </x:c>
      <x:c r="DF23" s="117" t="n">
        <x:f>DE23+DF22</x:f>
      </x:c>
      <x:c r="DG23" s="117" t="n">
        <x:f>DF23+DG22</x:f>
      </x:c>
      <x:c r="DH23" s="117" t="n">
        <x:f>DG23+DH22</x:f>
      </x:c>
      <x:c r="DI23" s="117" t="n">
        <x:f>DH23+DI22</x:f>
      </x:c>
      <x:c r="DJ23" s="117" t="n">
        <x:f>DI23+DJ22</x:f>
      </x:c>
      <x:c r="DK23" s="117" t="n">
        <x:f>DJ23+DK22</x:f>
      </x:c>
      <x:c r="DL23" s="117" t="n">
        <x:f>DK23+DL22</x:f>
      </x:c>
      <x:c r="DM23" s="117" t="n">
        <x:f>DL23+DM22</x:f>
      </x:c>
      <x:c r="DN23" s="117" t="n">
        <x:f>DM23+DN22</x:f>
      </x:c>
      <x:c r="DO23" s="117" t="n">
        <x:f>DN23+DO22</x:f>
      </x:c>
      <x:c r="DP23" s="117" t="n">
        <x:f>DO23+DP22</x:f>
      </x:c>
      <x:c r="DQ23" s="117" t="n">
        <x:f>DP23+DQ22</x:f>
      </x:c>
      <x:c r="DR23" s="117" t="n">
        <x:f>DQ23+DR22</x:f>
      </x:c>
      <x:c r="DS23" s="117" t="n">
        <x:f>DR23+DS22</x:f>
      </x:c>
      <x:c r="DT23" s="117" t="n">
        <x:f>DS23+DT22</x:f>
      </x:c>
      <x:c r="DU23" s="117" t="n">
        <x:f>DT23+DU22</x:f>
      </x:c>
      <x:c r="DV23" s="117" t="n">
        <x:f>DU23+DV22</x:f>
      </x:c>
      <x:c r="DW23" s="117" t="n">
        <x:f>DV23+DW22</x:f>
      </x:c>
      <x:c r="DX23" s="117" t="n">
        <x:f>DW23+DX22</x:f>
      </x:c>
      <x:c r="DY23" s="117" t="n">
        <x:f>DX23+DY22</x:f>
      </x:c>
      <x:c r="DZ23" s="117" t="n">
        <x:f>DY23+DZ22</x:f>
      </x:c>
      <x:c r="EA23" s="117" t="n">
        <x:f>DZ23+EA22</x:f>
      </x:c>
      <x:c r="EB23" s="117" t="n">
        <x:f>EA23+EB22</x:f>
      </x:c>
      <x:c r="EC23" s="117" t="n">
        <x:f>EB23+EC22</x:f>
      </x:c>
      <x:c r="ED23" s="117" t="n">
        <x:f>EC23+ED22</x:f>
      </x:c>
      <x:c r="EE23" s="117" t="n">
        <x:f>ED23+EE22</x:f>
      </x:c>
      <x:c r="EF23" s="117" t="n">
        <x:f>EE23+EF22</x:f>
      </x:c>
      <x:c r="EG23" s="117" t="n">
        <x:f>EF23+EG22</x:f>
      </x:c>
      <x:c r="EH23" s="117" t="n">
        <x:f>EG23+EH22</x:f>
      </x:c>
      <x:c r="EI23" s="117" t="n">
        <x:f>EH23+EI22</x:f>
      </x:c>
      <x:c r="EJ23" s="117" t="n">
        <x:f>EI23+EJ22</x:f>
      </x:c>
      <x:c r="EK23" s="117" t="n">
        <x:f>EJ23+EK22</x:f>
      </x:c>
      <x:c r="EL23" s="117" t="n">
        <x:f>EK23+EL22</x:f>
      </x:c>
      <x:c r="EM23" s="117" t="n">
        <x:f>EL23+EM22</x:f>
      </x:c>
      <x:c r="EN23" s="117" t="n">
        <x:f>EM23+EN22</x:f>
      </x:c>
      <x:c r="EO23" s="117" t="n">
        <x:f>EN23+EO22</x:f>
      </x:c>
      <x:c r="EP23" s="117" t="n">
        <x:f>EO23+EP22</x:f>
      </x:c>
      <x:c r="EQ23" s="117" t="n">
        <x:f>EP23+EQ22</x:f>
      </x:c>
      <x:c r="ER23" s="117" t="n">
        <x:f>EQ23+ER22</x:f>
      </x:c>
      <x:c r="ES23" s="117" t="n">
        <x:f>ER23+ES22</x:f>
      </x:c>
      <x:c r="ET23" s="117" t="n">
        <x:f>ES23+ET22</x:f>
      </x:c>
      <x:c r="EU23" s="117" t="n">
        <x:f>ET23+EU22</x:f>
      </x:c>
      <x:c r="EV23" s="117" t="n">
        <x:f>EU23+EV22</x:f>
      </x:c>
      <x:c r="EW23" s="117" t="n">
        <x:f>EV23+EW22</x:f>
      </x:c>
      <x:c r="EX23" s="117" t="n">
        <x:f>EW23+EX22</x:f>
      </x:c>
      <x:c r="EY23" s="117" t="n">
        <x:f>EX23+EY22</x:f>
      </x:c>
      <x:c r="EZ23" s="117" t="n">
        <x:f>EY23+EZ22</x:f>
      </x:c>
      <x:c r="FA23" s="117" t="n">
        <x:f>EZ23+FA22</x:f>
      </x:c>
      <x:c r="FB23" s="117" t="n">
        <x:f>FA23+FB22</x:f>
      </x:c>
      <x:c r="FC23" s="117" t="n">
        <x:f>FB23+FC22</x:f>
      </x:c>
      <x:c r="FD23" s="117" t="n">
        <x:f>FC23+FD22</x:f>
      </x:c>
      <x:c r="FE23" s="117" t="n">
        <x:f>FD23+FE22</x:f>
      </x:c>
      <x:c r="FF23" s="117" t="n">
        <x:f>FE23+FF22</x:f>
      </x:c>
      <x:c r="FG23" s="117" t="n">
        <x:f>FF23+FG22</x:f>
      </x:c>
      <x:c r="FH23" s="117" t="n">
        <x:f>FG23+FH22</x:f>
      </x:c>
      <x:c r="FI23" s="117" t="n">
        <x:f>FH23+FI22</x:f>
      </x:c>
      <x:c r="FJ23" s="117" t="n">
        <x:f>FI23+FJ22</x:f>
      </x:c>
      <x:c r="FK23" s="117" t="n">
        <x:f>FJ23+FK22</x:f>
      </x:c>
      <x:c r="FL23" s="117" t="n">
        <x:f>FK23+FL22</x:f>
      </x:c>
      <x:c r="FM23" s="117" t="n">
        <x:f>FL23+FM22</x:f>
      </x:c>
      <x:c r="FN23" s="117" t="n">
        <x:f>FM23+FN22</x:f>
      </x:c>
      <x:c r="FO23" s="117" t="n">
        <x:f>FN23+FO22</x:f>
      </x:c>
      <x:c r="FP23" s="117" t="n">
        <x:f>FO23+FP22</x:f>
      </x:c>
      <x:c r="FQ23" s="117" t="n">
        <x:f>FP23+FQ22</x:f>
      </x:c>
      <x:c r="FR23" s="117" t="n">
        <x:f>FQ23+FR22</x:f>
      </x:c>
      <x:c r="FS23" s="117" t="n">
        <x:f>FR23+FS22</x:f>
      </x:c>
      <x:c r="FT23" s="117" t="n">
        <x:f>FS23+FT22</x:f>
      </x:c>
      <x:c r="FU23" s="117" t="n">
        <x:f>FT23+FU22</x:f>
      </x:c>
      <x:c r="FV23" s="117" t="n">
        <x:f>FU23+FV22</x:f>
      </x:c>
      <x:c r="FW23" s="117" t="n">
        <x:f>FV23+FW22</x:f>
      </x:c>
      <x:c r="FX23" s="117" t="n">
        <x:f>FW23+FX22</x:f>
      </x:c>
      <x:c r="FY23" s="117" t="n">
        <x:f>FX23+FY22</x:f>
      </x:c>
      <x:c r="FZ23" s="117" t="n">
        <x:f>FY23+FZ22</x:f>
      </x:c>
      <x:c r="GA23" s="117" t="n">
        <x:f>FZ23+GA22</x:f>
      </x:c>
    </x:row>
    <x:row r="24">
      <x:c r="A24" t="str">
        <x:v>Налог на прибыль</x:v>
      </x:c>
      <x:c r="B24" t="n">
        <x:f>SUM(D24:GA24)</x:f>
      </x:c>
      <x:c r="C24" t="str">
        <x:v>млн ₽</x:v>
      </x:c>
      <x:c r="D24" s="117" t="n">
        <x:f>IF(D$3&gt;=$B$8,MAX(0,MAX(0,D23)*'Вводные'!$B$21-0),0)</x:f>
      </x:c>
      <x:c r="E24" s="117" t="n">
        <x:f>IF(E$3&gt;=$B$8,MAX(0,MAX(0,E23)*'Вводные'!$B$21-D25),0)</x:f>
      </x:c>
      <x:c r="F24" s="117" t="n">
        <x:f>IF(F$3&gt;=$B$8,MAX(0,MAX(0,F23)*'Вводные'!$B$21-E25),0)</x:f>
      </x:c>
      <x:c r="G24" s="117" t="n">
        <x:f>IF(G$3&gt;=$B$8,MAX(0,MAX(0,G23)*'Вводные'!$B$21-F25),0)</x:f>
      </x:c>
      <x:c r="H24" s="117" t="n">
        <x:f>IF(H$3&gt;=$B$8,MAX(0,MAX(0,H23)*'Вводные'!$B$21-G25),0)</x:f>
      </x:c>
      <x:c r="I24" s="117" t="n">
        <x:f>IF(I$3&gt;=$B$8,MAX(0,MAX(0,I23)*'Вводные'!$B$21-H25),0)</x:f>
      </x:c>
      <x:c r="J24" s="117" t="n">
        <x:f>IF(J$3&gt;=$B$8,MAX(0,MAX(0,J23)*'Вводные'!$B$21-I25),0)</x:f>
      </x:c>
      <x:c r="K24" s="117" t="n">
        <x:f>IF(K$3&gt;=$B$8,MAX(0,MAX(0,K23)*'Вводные'!$B$21-J25),0)</x:f>
      </x:c>
      <x:c r="L24" s="117" t="n">
        <x:f>IF(L$3&gt;=$B$8,MAX(0,MAX(0,L23)*'Вводные'!$B$21-K25),0)</x:f>
      </x:c>
      <x:c r="M24" s="117" t="n">
        <x:f>IF(M$3&gt;=$B$8,MAX(0,MAX(0,M23)*'Вводные'!$B$21-L25),0)</x:f>
      </x:c>
      <x:c r="N24" s="117" t="n">
        <x:f>IF(N$3&gt;=$B$8,MAX(0,MAX(0,N23)*'Вводные'!$B$21-M25),0)</x:f>
      </x:c>
      <x:c r="O24" s="117" t="n">
        <x:f>IF(O$3&gt;=$B$8,MAX(0,MAX(0,O23)*'Вводные'!$B$21-N25),0)</x:f>
      </x:c>
      <x:c r="P24" s="117" t="n">
        <x:f>IF(P$3&gt;=$B$8,MAX(0,MAX(0,P23)*'Вводные'!$B$21-O25),0)</x:f>
      </x:c>
      <x:c r="Q24" s="117" t="n">
        <x:f>IF(Q$3&gt;=$B$8,MAX(0,MAX(0,Q23)*'Вводные'!$B$21-P25),0)</x:f>
      </x:c>
      <x:c r="R24" s="117" t="n">
        <x:f>IF(R$3&gt;=$B$8,MAX(0,MAX(0,R23)*'Вводные'!$B$21-Q25),0)</x:f>
      </x:c>
      <x:c r="S24" s="117" t="n">
        <x:f>IF(S$3&gt;=$B$8,MAX(0,MAX(0,S23)*'Вводные'!$B$21-R25),0)</x:f>
      </x:c>
      <x:c r="T24" s="117" t="n">
        <x:f>IF(T$3&gt;=$B$8,MAX(0,MAX(0,T23)*'Вводные'!$B$21-S25),0)</x:f>
      </x:c>
      <x:c r="U24" s="117" t="n">
        <x:f>IF(U$3&gt;=$B$8,MAX(0,MAX(0,U23)*'Вводные'!$B$21-T25),0)</x:f>
      </x:c>
      <x:c r="V24" s="117" t="n">
        <x:f>IF(V$3&gt;=$B$8,MAX(0,MAX(0,V23)*'Вводные'!$B$21-U25),0)</x:f>
      </x:c>
      <x:c r="W24" s="117" t="n">
        <x:f>IF(W$3&gt;=$B$8,MAX(0,MAX(0,W23)*'Вводные'!$B$21-V25),0)</x:f>
      </x:c>
      <x:c r="X24" s="117" t="n">
        <x:f>IF(X$3&gt;=$B$8,MAX(0,MAX(0,X23)*'Вводные'!$B$21-W25),0)</x:f>
      </x:c>
      <x:c r="Y24" s="117" t="n">
        <x:f>IF(Y$3&gt;=$B$8,MAX(0,MAX(0,Y23)*'Вводные'!$B$21-X25),0)</x:f>
      </x:c>
      <x:c r="Z24" s="117" t="n">
        <x:f>IF(Z$3&gt;=$B$8,MAX(0,MAX(0,Z23)*'Вводные'!$B$21-Y25),0)</x:f>
      </x:c>
      <x:c r="AA24" s="117" t="n">
        <x:f>IF(AA$3&gt;=$B$8,MAX(0,MAX(0,AA23)*'Вводные'!$B$21-Z25),0)</x:f>
      </x:c>
      <x:c r="AB24" s="117" t="n">
        <x:f>IF(AB$3&gt;=$B$8,MAX(0,MAX(0,AB23)*'Вводные'!$B$21-AA25),0)</x:f>
      </x:c>
      <x:c r="AC24" s="117" t="n">
        <x:f>IF(AC$3&gt;=$B$8,MAX(0,MAX(0,AC23)*'Вводные'!$B$21-AB25),0)</x:f>
      </x:c>
      <x:c r="AD24" s="117" t="n">
        <x:f>IF(AD$3&gt;=$B$8,MAX(0,MAX(0,AD23)*'Вводные'!$B$21-AC25),0)</x:f>
      </x:c>
      <x:c r="AE24" s="117" t="n">
        <x:f>IF(AE$3&gt;=$B$8,MAX(0,MAX(0,AE23)*'Вводные'!$B$21-AD25),0)</x:f>
      </x:c>
      <x:c r="AF24" s="117" t="n">
        <x:f>IF(AF$3&gt;=$B$8,MAX(0,MAX(0,AF23)*'Вводные'!$B$21-AE25),0)</x:f>
      </x:c>
      <x:c r="AG24" s="117" t="n">
        <x:f>IF(AG$3&gt;=$B$8,MAX(0,MAX(0,AG23)*'Вводные'!$B$21-AF25),0)</x:f>
      </x:c>
      <x:c r="AH24" s="117" t="n">
        <x:f>IF(AH$3&gt;=$B$8,MAX(0,MAX(0,AH23)*'Вводные'!$B$21-AG25),0)</x:f>
      </x:c>
      <x:c r="AI24" s="117" t="n">
        <x:f>IF(AI$3&gt;=$B$8,MAX(0,MAX(0,AI23)*'Вводные'!$B$21-AH25),0)</x:f>
      </x:c>
      <x:c r="AJ24" s="117" t="n">
        <x:f>IF(AJ$3&gt;=$B$8,MAX(0,MAX(0,AJ23)*'Вводные'!$B$21-AI25),0)</x:f>
      </x:c>
      <x:c r="AK24" s="117" t="n">
        <x:f>IF(AK$3&gt;=$B$8,MAX(0,MAX(0,AK23)*'Вводные'!$B$21-AJ25),0)</x:f>
      </x:c>
      <x:c r="AL24" s="117" t="n">
        <x:f>IF(AL$3&gt;=$B$8,MAX(0,MAX(0,AL23)*'Вводные'!$B$21-AK25),0)</x:f>
      </x:c>
      <x:c r="AM24" s="117" t="n">
        <x:f>IF(AM$3&gt;=$B$8,MAX(0,MAX(0,AM23)*'Вводные'!$B$21-AL25),0)</x:f>
      </x:c>
      <x:c r="AN24" s="117" t="n">
        <x:f>IF(AN$3&gt;=$B$8,MAX(0,MAX(0,AN23)*'Вводные'!$B$21-AM25),0)</x:f>
      </x:c>
      <x:c r="AO24" s="117" t="n">
        <x:f>IF(AO$3&gt;=$B$8,MAX(0,MAX(0,AO23)*'Вводные'!$B$21-AN25),0)</x:f>
      </x:c>
      <x:c r="AP24" s="117" t="n">
        <x:f>IF(AP$3&gt;=$B$8,MAX(0,MAX(0,AP23)*'Вводные'!$B$21-AO25),0)</x:f>
      </x:c>
      <x:c r="AQ24" s="117" t="n">
        <x:f>IF(AQ$3&gt;=$B$8,MAX(0,MAX(0,AQ23)*'Вводные'!$B$21-AP25),0)</x:f>
      </x:c>
      <x:c r="AR24" s="117" t="n">
        <x:f>IF(AR$3&gt;=$B$8,MAX(0,MAX(0,AR23)*'Вводные'!$B$21-AQ25),0)</x:f>
      </x:c>
      <x:c r="AS24" s="117" t="n">
        <x:f>IF(AS$3&gt;=$B$8,MAX(0,MAX(0,AS23)*'Вводные'!$B$21-AR25),0)</x:f>
      </x:c>
      <x:c r="AT24" s="117" t="n">
        <x:f>IF(AT$3&gt;=$B$8,MAX(0,MAX(0,AT23)*'Вводные'!$B$21-AS25),0)</x:f>
      </x:c>
      <x:c r="AU24" s="117" t="n">
        <x:f>IF(AU$3&gt;=$B$8,MAX(0,MAX(0,AU23)*'Вводные'!$B$21-AT25),0)</x:f>
      </x:c>
      <x:c r="AV24" s="117" t="n">
        <x:f>IF(AV$3&gt;=$B$8,MAX(0,MAX(0,AV23)*'Вводные'!$B$21-AU25),0)</x:f>
      </x:c>
      <x:c r="AW24" s="117" t="n">
        <x:f>IF(AW$3&gt;=$B$8,MAX(0,MAX(0,AW23)*'Вводные'!$B$21-AV25),0)</x:f>
      </x:c>
      <x:c r="AX24" s="117" t="n">
        <x:f>IF(AX$3&gt;=$B$8,MAX(0,MAX(0,AX23)*'Вводные'!$B$21-AW25),0)</x:f>
      </x:c>
      <x:c r="AY24" s="117" t="n">
        <x:f>IF(AY$3&gt;=$B$8,MAX(0,MAX(0,AY23)*'Вводные'!$B$21-AX25),0)</x:f>
      </x:c>
      <x:c r="AZ24" s="117" t="n">
        <x:f>IF(AZ$3&gt;=$B$8,MAX(0,MAX(0,AZ23)*'Вводные'!$B$21-AY25),0)</x:f>
      </x:c>
      <x:c r="BA24" s="117" t="n">
        <x:f>IF(BA$3&gt;=$B$8,MAX(0,MAX(0,BA23)*'Вводные'!$B$21-AZ25),0)</x:f>
      </x:c>
      <x:c r="BB24" s="117" t="n">
        <x:f>IF(BB$3&gt;=$B$8,MAX(0,MAX(0,BB23)*'Вводные'!$B$21-BA25),0)</x:f>
      </x:c>
      <x:c r="BC24" s="117" t="n">
        <x:f>IF(BC$3&gt;=$B$8,MAX(0,MAX(0,BC23)*'Вводные'!$B$21-BB25),0)</x:f>
      </x:c>
      <x:c r="BD24" s="117" t="n">
        <x:f>IF(BD$3&gt;=$B$8,MAX(0,MAX(0,BD23)*'Вводные'!$B$21-BC25),0)</x:f>
      </x:c>
      <x:c r="BE24" s="117" t="n">
        <x:f>IF(BE$3&gt;=$B$8,MAX(0,MAX(0,BE23)*'Вводные'!$B$21-BD25),0)</x:f>
      </x:c>
      <x:c r="BF24" s="117" t="n">
        <x:f>IF(BF$3&gt;=$B$8,MAX(0,MAX(0,BF23)*'Вводные'!$B$21-BE25),0)</x:f>
      </x:c>
      <x:c r="BG24" s="117" t="n">
        <x:f>IF(BG$3&gt;=$B$8,MAX(0,MAX(0,BG23)*'Вводные'!$B$21-BF25),0)</x:f>
      </x:c>
      <x:c r="BH24" s="117" t="n">
        <x:f>IF(BH$3&gt;=$B$8,MAX(0,MAX(0,BH23)*'Вводные'!$B$21-BG25),0)</x:f>
      </x:c>
      <x:c r="BI24" s="117" t="n">
        <x:f>IF(BI$3&gt;=$B$8,MAX(0,MAX(0,BI23)*'Вводные'!$B$21-BH25),0)</x:f>
      </x:c>
      <x:c r="BJ24" s="117" t="n">
        <x:f>IF(BJ$3&gt;=$B$8,MAX(0,MAX(0,BJ23)*'Вводные'!$B$21-BI25),0)</x:f>
      </x:c>
      <x:c r="BK24" s="117" t="n">
        <x:f>IF(BK$3&gt;=$B$8,MAX(0,MAX(0,BK23)*'Вводные'!$B$21-BJ25),0)</x:f>
      </x:c>
      <x:c r="BL24" s="117" t="n">
        <x:f>IF(BL$3&gt;=$B$8,MAX(0,MAX(0,BL23)*'Вводные'!$B$21-BK25),0)</x:f>
      </x:c>
      <x:c r="BM24" s="117" t="n">
        <x:f>IF(BM$3&gt;=$B$8,MAX(0,MAX(0,BM23)*'Вводные'!$B$21-BL25),0)</x:f>
      </x:c>
      <x:c r="BN24" s="117" t="n">
        <x:f>IF(BN$3&gt;=$B$8,MAX(0,MAX(0,BN23)*'Вводные'!$B$21-BM25),0)</x:f>
      </x:c>
      <x:c r="BO24" s="117" t="n">
        <x:f>IF(BO$3&gt;=$B$8,MAX(0,MAX(0,BO23)*'Вводные'!$B$21-BN25),0)</x:f>
      </x:c>
      <x:c r="BP24" s="117" t="n">
        <x:f>IF(BP$3&gt;=$B$8,MAX(0,MAX(0,BP23)*'Вводные'!$B$21-BO25),0)</x:f>
      </x:c>
      <x:c r="BQ24" s="117" t="n">
        <x:f>IF(BQ$3&gt;=$B$8,MAX(0,MAX(0,BQ23)*'Вводные'!$B$21-BP25),0)</x:f>
      </x:c>
      <x:c r="BR24" s="117" t="n">
        <x:f>IF(BR$3&gt;=$B$8,MAX(0,MAX(0,BR23)*'Вводные'!$B$21-BQ25),0)</x:f>
      </x:c>
      <x:c r="BS24" s="117" t="n">
        <x:f>IF(BS$3&gt;=$B$8,MAX(0,MAX(0,BS23)*'Вводные'!$B$21-BR25),0)</x:f>
      </x:c>
      <x:c r="BT24" s="117" t="n">
        <x:f>IF(BT$3&gt;=$B$8,MAX(0,MAX(0,BT23)*'Вводные'!$B$21-BS25),0)</x:f>
      </x:c>
      <x:c r="BU24" s="117" t="n">
        <x:f>IF(BU$3&gt;=$B$8,MAX(0,MAX(0,BU23)*'Вводные'!$B$21-BT25),0)</x:f>
      </x:c>
      <x:c r="BV24" s="117" t="n">
        <x:f>IF(BV$3&gt;=$B$8,MAX(0,MAX(0,BV23)*'Вводные'!$B$21-BU25),0)</x:f>
      </x:c>
      <x:c r="BW24" s="117" t="n">
        <x:f>IF(BW$3&gt;=$B$8,MAX(0,MAX(0,BW23)*'Вводные'!$B$21-BV25),0)</x:f>
      </x:c>
      <x:c r="BX24" s="117" t="n">
        <x:f>IF(BX$3&gt;=$B$8,MAX(0,MAX(0,BX23)*'Вводные'!$B$21-BW25),0)</x:f>
      </x:c>
      <x:c r="BY24" s="117" t="n">
        <x:f>IF(BY$3&gt;=$B$8,MAX(0,MAX(0,BY23)*'Вводные'!$B$21-BX25),0)</x:f>
      </x:c>
      <x:c r="BZ24" s="117" t="n">
        <x:f>IF(BZ$3&gt;=$B$8,MAX(0,MAX(0,BZ23)*'Вводные'!$B$21-BY25),0)</x:f>
      </x:c>
      <x:c r="CA24" s="117" t="n">
        <x:f>IF(CA$3&gt;=$B$8,MAX(0,MAX(0,CA23)*'Вводные'!$B$21-BZ25),0)</x:f>
      </x:c>
      <x:c r="CB24" s="117" t="n">
        <x:f>IF(CB$3&gt;=$B$8,MAX(0,MAX(0,CB23)*'Вводные'!$B$21-CA25),0)</x:f>
      </x:c>
      <x:c r="CC24" s="117" t="n">
        <x:f>IF(CC$3&gt;=$B$8,MAX(0,MAX(0,CC23)*'Вводные'!$B$21-CB25),0)</x:f>
      </x:c>
      <x:c r="CD24" s="117" t="n">
        <x:f>IF(CD$3&gt;=$B$8,MAX(0,MAX(0,CD23)*'Вводные'!$B$21-CC25),0)</x:f>
      </x:c>
      <x:c r="CE24" s="117" t="n">
        <x:f>IF(CE$3&gt;=$B$8,MAX(0,MAX(0,CE23)*'Вводные'!$B$21-CD25),0)</x:f>
      </x:c>
      <x:c r="CF24" s="117" t="n">
        <x:f>IF(CF$3&gt;=$B$8,MAX(0,MAX(0,CF23)*'Вводные'!$B$21-CE25),0)</x:f>
      </x:c>
      <x:c r="CG24" s="117" t="n">
        <x:f>IF(CG$3&gt;=$B$8,MAX(0,MAX(0,CG23)*'Вводные'!$B$21-CF25),0)</x:f>
      </x:c>
      <x:c r="CH24" s="117" t="n">
        <x:f>IF(CH$3&gt;=$B$8,MAX(0,MAX(0,CH23)*'Вводные'!$B$21-CG25),0)</x:f>
      </x:c>
      <x:c r="CI24" s="117" t="n">
        <x:f>IF(CI$3&gt;=$B$8,MAX(0,MAX(0,CI23)*'Вводные'!$B$21-CH25),0)</x:f>
      </x:c>
      <x:c r="CJ24" s="117" t="n">
        <x:f>IF(CJ$3&gt;=$B$8,MAX(0,MAX(0,CJ23)*'Вводные'!$B$21-CI25),0)</x:f>
      </x:c>
      <x:c r="CK24" s="117" t="n">
        <x:f>IF(CK$3&gt;=$B$8,MAX(0,MAX(0,CK23)*'Вводные'!$B$21-CJ25),0)</x:f>
      </x:c>
      <x:c r="CL24" s="117" t="n">
        <x:f>IF(CL$3&gt;=$B$8,MAX(0,MAX(0,CL23)*'Вводные'!$B$21-CK25),0)</x:f>
      </x:c>
      <x:c r="CM24" s="117" t="n">
        <x:f>IF(CM$3&gt;=$B$8,MAX(0,MAX(0,CM23)*'Вводные'!$B$21-CL25),0)</x:f>
      </x:c>
      <x:c r="CN24" s="117" t="n">
        <x:f>IF(CN$3&gt;=$B$8,MAX(0,MAX(0,CN23)*'Вводные'!$B$21-CM25),0)</x:f>
      </x:c>
      <x:c r="CO24" s="117" t="n">
        <x:f>IF(CO$3&gt;=$B$8,MAX(0,MAX(0,CO23)*'Вводные'!$B$21-CN25),0)</x:f>
      </x:c>
      <x:c r="CP24" s="117" t="n">
        <x:f>IF(CP$3&gt;=$B$8,MAX(0,MAX(0,CP23)*'Вводные'!$B$21-CO25),0)</x:f>
      </x:c>
      <x:c r="CQ24" s="117" t="n">
        <x:f>IF(CQ$3&gt;=$B$8,MAX(0,MAX(0,CQ23)*'Вводные'!$B$21-CP25),0)</x:f>
      </x:c>
      <x:c r="CR24" s="117" t="n">
        <x:f>IF(CR$3&gt;=$B$8,MAX(0,MAX(0,CR23)*'Вводные'!$B$21-CQ25),0)</x:f>
      </x:c>
      <x:c r="CS24" s="117" t="n">
        <x:f>IF(CS$3&gt;=$B$8,MAX(0,MAX(0,CS23)*'Вводные'!$B$21-CR25),0)</x:f>
      </x:c>
      <x:c r="CT24" s="117" t="n">
        <x:f>IF(CT$3&gt;=$B$8,MAX(0,MAX(0,CT23)*'Вводные'!$B$21-CS25),0)</x:f>
      </x:c>
      <x:c r="CU24" s="117" t="n">
        <x:f>IF(CU$3&gt;=$B$8,MAX(0,MAX(0,CU23)*'Вводные'!$B$21-CT25),0)</x:f>
      </x:c>
      <x:c r="CV24" s="117" t="n">
        <x:f>IF(CV$3&gt;=$B$8,MAX(0,MAX(0,CV23)*'Вводные'!$B$21-CU25),0)</x:f>
      </x:c>
      <x:c r="CW24" s="117" t="n">
        <x:f>IF(CW$3&gt;=$B$8,MAX(0,MAX(0,CW23)*'Вводные'!$B$21-CV25),0)</x:f>
      </x:c>
      <x:c r="CX24" s="117" t="n">
        <x:f>IF(CX$3&gt;=$B$8,MAX(0,MAX(0,CX23)*'Вводные'!$B$21-CW25),0)</x:f>
      </x:c>
      <x:c r="CY24" s="117" t="n">
        <x:f>IF(CY$3&gt;=$B$8,MAX(0,MAX(0,CY23)*'Вводные'!$B$21-CX25),0)</x:f>
      </x:c>
      <x:c r="CZ24" s="117" t="n">
        <x:f>IF(CZ$3&gt;=$B$8,MAX(0,MAX(0,CZ23)*'Вводные'!$B$21-CY25),0)</x:f>
      </x:c>
      <x:c r="DA24" s="117" t="n">
        <x:f>IF(DA$3&gt;=$B$8,MAX(0,MAX(0,DA23)*'Вводные'!$B$21-CZ25),0)</x:f>
      </x:c>
      <x:c r="DB24" s="117" t="n">
        <x:f>IF(DB$3&gt;=$B$8,MAX(0,MAX(0,DB23)*'Вводные'!$B$21-DA25),0)</x:f>
      </x:c>
      <x:c r="DC24" s="117" t="n">
        <x:f>IF(DC$3&gt;=$B$8,MAX(0,MAX(0,DC23)*'Вводные'!$B$21-DB25),0)</x:f>
      </x:c>
      <x:c r="DD24" s="117" t="n">
        <x:f>IF(DD$3&gt;=$B$8,MAX(0,MAX(0,DD23)*'Вводные'!$B$21-DC25),0)</x:f>
      </x:c>
      <x:c r="DE24" s="117" t="n">
        <x:f>IF(DE$3&gt;=$B$8,MAX(0,MAX(0,DE23)*'Вводные'!$B$21-DD25),0)</x:f>
      </x:c>
      <x:c r="DF24" s="117" t="n">
        <x:f>IF(DF$3&gt;=$B$8,MAX(0,MAX(0,DF23)*'Вводные'!$B$21-DE25),0)</x:f>
      </x:c>
      <x:c r="DG24" s="117" t="n">
        <x:f>IF(DG$3&gt;=$B$8,MAX(0,MAX(0,DG23)*'Вводные'!$B$21-DF25),0)</x:f>
      </x:c>
      <x:c r="DH24" s="117" t="n">
        <x:f>IF(DH$3&gt;=$B$8,MAX(0,MAX(0,DH23)*'Вводные'!$B$21-DG25),0)</x:f>
      </x:c>
      <x:c r="DI24" s="117" t="n">
        <x:f>IF(DI$3&gt;=$B$8,MAX(0,MAX(0,DI23)*'Вводные'!$B$21-DH25),0)</x:f>
      </x:c>
      <x:c r="DJ24" s="117" t="n">
        <x:f>IF(DJ$3&gt;=$B$8,MAX(0,MAX(0,DJ23)*'Вводные'!$B$21-DI25),0)</x:f>
      </x:c>
      <x:c r="DK24" s="117" t="n">
        <x:f>IF(DK$3&gt;=$B$8,MAX(0,MAX(0,DK23)*'Вводные'!$B$21-DJ25),0)</x:f>
      </x:c>
      <x:c r="DL24" s="117" t="n">
        <x:f>IF(DL$3&gt;=$B$8,MAX(0,MAX(0,DL23)*'Вводные'!$B$21-DK25),0)</x:f>
      </x:c>
      <x:c r="DM24" s="117" t="n">
        <x:f>IF(DM$3&gt;=$B$8,MAX(0,MAX(0,DM23)*'Вводные'!$B$21-DL25),0)</x:f>
      </x:c>
      <x:c r="DN24" s="117" t="n">
        <x:f>IF(DN$3&gt;=$B$8,MAX(0,MAX(0,DN23)*'Вводные'!$B$21-DM25),0)</x:f>
      </x:c>
      <x:c r="DO24" s="117" t="n">
        <x:f>IF(DO$3&gt;=$B$8,MAX(0,MAX(0,DO23)*'Вводные'!$B$21-DN25),0)</x:f>
      </x:c>
      <x:c r="DP24" s="117" t="n">
        <x:f>IF(DP$3&gt;=$B$8,MAX(0,MAX(0,DP23)*'Вводные'!$B$21-DO25),0)</x:f>
      </x:c>
      <x:c r="DQ24" s="117" t="n">
        <x:f>IF(DQ$3&gt;=$B$8,MAX(0,MAX(0,DQ23)*'Вводные'!$B$21-DP25),0)</x:f>
      </x:c>
      <x:c r="DR24" s="117" t="n">
        <x:f>IF(DR$3&gt;=$B$8,MAX(0,MAX(0,DR23)*'Вводные'!$B$21-DQ25),0)</x:f>
      </x:c>
      <x:c r="DS24" s="117" t="n">
        <x:f>IF(DS$3&gt;=$B$8,MAX(0,MAX(0,DS23)*'Вводные'!$B$21-DR25),0)</x:f>
      </x:c>
      <x:c r="DT24" s="117" t="n">
        <x:f>IF(DT$3&gt;=$B$8,MAX(0,MAX(0,DT23)*'Вводные'!$B$21-DS25),0)</x:f>
      </x:c>
      <x:c r="DU24" s="117" t="n">
        <x:f>IF(DU$3&gt;=$B$8,MAX(0,MAX(0,DU23)*'Вводные'!$B$21-DT25),0)</x:f>
      </x:c>
      <x:c r="DV24" s="117" t="n">
        <x:f>IF(DV$3&gt;=$B$8,MAX(0,MAX(0,DV23)*'Вводные'!$B$21-DU25),0)</x:f>
      </x:c>
      <x:c r="DW24" s="117" t="n">
        <x:f>IF(DW$3&gt;=$B$8,MAX(0,MAX(0,DW23)*'Вводные'!$B$21-DV25),0)</x:f>
      </x:c>
      <x:c r="DX24" s="117" t="n">
        <x:f>IF(DX$3&gt;=$B$8,MAX(0,MAX(0,DX23)*'Вводные'!$B$21-DW25),0)</x:f>
      </x:c>
      <x:c r="DY24" s="117" t="n">
        <x:f>IF(DY$3&gt;=$B$8,MAX(0,MAX(0,DY23)*'Вводные'!$B$21-DX25),0)</x:f>
      </x:c>
      <x:c r="DZ24" s="117" t="n">
        <x:f>IF(DZ$3&gt;=$B$8,MAX(0,MAX(0,DZ23)*'Вводные'!$B$21-DY25),0)</x:f>
      </x:c>
      <x:c r="EA24" s="117" t="n">
        <x:f>IF(EA$3&gt;=$B$8,MAX(0,MAX(0,EA23)*'Вводные'!$B$21-DZ25),0)</x:f>
      </x:c>
      <x:c r="EB24" s="117" t="n">
        <x:f>IF(EB$3&gt;=$B$8,MAX(0,MAX(0,EB23)*'Вводные'!$B$21-EA25),0)</x:f>
      </x:c>
      <x:c r="EC24" s="117" t="n">
        <x:f>IF(EC$3&gt;=$B$8,MAX(0,MAX(0,EC23)*'Вводные'!$B$21-EB25),0)</x:f>
      </x:c>
      <x:c r="ED24" s="117" t="n">
        <x:f>IF(ED$3&gt;=$B$8,MAX(0,MAX(0,ED23)*'Вводные'!$B$21-EC25),0)</x:f>
      </x:c>
      <x:c r="EE24" s="117" t="n">
        <x:f>IF(EE$3&gt;=$B$8,MAX(0,MAX(0,EE23)*'Вводные'!$B$21-ED25),0)</x:f>
      </x:c>
      <x:c r="EF24" s="117" t="n">
        <x:f>IF(EF$3&gt;=$B$8,MAX(0,MAX(0,EF23)*'Вводные'!$B$21-EE25),0)</x:f>
      </x:c>
      <x:c r="EG24" s="117" t="n">
        <x:f>IF(EG$3&gt;=$B$8,MAX(0,MAX(0,EG23)*'Вводные'!$B$21-EF25),0)</x:f>
      </x:c>
      <x:c r="EH24" s="117" t="n">
        <x:f>IF(EH$3&gt;=$B$8,MAX(0,MAX(0,EH23)*'Вводные'!$B$21-EG25),0)</x:f>
      </x:c>
      <x:c r="EI24" s="117" t="n">
        <x:f>IF(EI$3&gt;=$B$8,MAX(0,MAX(0,EI23)*'Вводные'!$B$21-EH25),0)</x:f>
      </x:c>
      <x:c r="EJ24" s="117" t="n">
        <x:f>IF(EJ$3&gt;=$B$8,MAX(0,MAX(0,EJ23)*'Вводные'!$B$21-EI25),0)</x:f>
      </x:c>
      <x:c r="EK24" s="117" t="n">
        <x:f>IF(EK$3&gt;=$B$8,MAX(0,MAX(0,EK23)*'Вводные'!$B$21-EJ25),0)</x:f>
      </x:c>
      <x:c r="EL24" s="117" t="n">
        <x:f>IF(EL$3&gt;=$B$8,MAX(0,MAX(0,EL23)*'Вводные'!$B$21-EK25),0)</x:f>
      </x:c>
      <x:c r="EM24" s="117" t="n">
        <x:f>IF(EM$3&gt;=$B$8,MAX(0,MAX(0,EM23)*'Вводные'!$B$21-EL25),0)</x:f>
      </x:c>
      <x:c r="EN24" s="117" t="n">
        <x:f>IF(EN$3&gt;=$B$8,MAX(0,MAX(0,EN23)*'Вводные'!$B$21-EM25),0)</x:f>
      </x:c>
      <x:c r="EO24" s="117" t="n">
        <x:f>IF(EO$3&gt;=$B$8,MAX(0,MAX(0,EO23)*'Вводные'!$B$21-EN25),0)</x:f>
      </x:c>
      <x:c r="EP24" s="117" t="n">
        <x:f>IF(EP$3&gt;=$B$8,MAX(0,MAX(0,EP23)*'Вводные'!$B$21-EO25),0)</x:f>
      </x:c>
      <x:c r="EQ24" s="117" t="n">
        <x:f>IF(EQ$3&gt;=$B$8,MAX(0,MAX(0,EQ23)*'Вводные'!$B$21-EP25),0)</x:f>
      </x:c>
      <x:c r="ER24" s="117" t="n">
        <x:f>IF(ER$3&gt;=$B$8,MAX(0,MAX(0,ER23)*'Вводные'!$B$21-EQ25),0)</x:f>
      </x:c>
      <x:c r="ES24" s="117" t="n">
        <x:f>IF(ES$3&gt;=$B$8,MAX(0,MAX(0,ES23)*'Вводные'!$B$21-ER25),0)</x:f>
      </x:c>
      <x:c r="ET24" s="117" t="n">
        <x:f>IF(ET$3&gt;=$B$8,MAX(0,MAX(0,ET23)*'Вводные'!$B$21-ES25),0)</x:f>
      </x:c>
      <x:c r="EU24" s="117" t="n">
        <x:f>IF(EU$3&gt;=$B$8,MAX(0,MAX(0,EU23)*'Вводные'!$B$21-ET25),0)</x:f>
      </x:c>
      <x:c r="EV24" s="117" t="n">
        <x:f>IF(EV$3&gt;=$B$8,MAX(0,MAX(0,EV23)*'Вводные'!$B$21-EU25),0)</x:f>
      </x:c>
      <x:c r="EW24" s="117" t="n">
        <x:f>IF(EW$3&gt;=$B$8,MAX(0,MAX(0,EW23)*'Вводные'!$B$21-EV25),0)</x:f>
      </x:c>
      <x:c r="EX24" s="117" t="n">
        <x:f>IF(EX$3&gt;=$B$8,MAX(0,MAX(0,EX23)*'Вводные'!$B$21-EW25),0)</x:f>
      </x:c>
      <x:c r="EY24" s="117" t="n">
        <x:f>IF(EY$3&gt;=$B$8,MAX(0,MAX(0,EY23)*'Вводные'!$B$21-EX25),0)</x:f>
      </x:c>
      <x:c r="EZ24" s="117" t="n">
        <x:f>IF(EZ$3&gt;=$B$8,MAX(0,MAX(0,EZ23)*'Вводные'!$B$21-EY25),0)</x:f>
      </x:c>
      <x:c r="FA24" s="117" t="n">
        <x:f>IF(FA$3&gt;=$B$8,MAX(0,MAX(0,FA23)*'Вводные'!$B$21-EZ25),0)</x:f>
      </x:c>
      <x:c r="FB24" s="117" t="n">
        <x:f>IF(FB$3&gt;=$B$8,MAX(0,MAX(0,FB23)*'Вводные'!$B$21-FA25),0)</x:f>
      </x:c>
      <x:c r="FC24" s="117" t="n">
        <x:f>IF(FC$3&gt;=$B$8,MAX(0,MAX(0,FC23)*'Вводные'!$B$21-FB25),0)</x:f>
      </x:c>
      <x:c r="FD24" s="117" t="n">
        <x:f>IF(FD$3&gt;=$B$8,MAX(0,MAX(0,FD23)*'Вводные'!$B$21-FC25),0)</x:f>
      </x:c>
      <x:c r="FE24" s="117" t="n">
        <x:f>IF(FE$3&gt;=$B$8,MAX(0,MAX(0,FE23)*'Вводные'!$B$21-FD25),0)</x:f>
      </x:c>
      <x:c r="FF24" s="117" t="n">
        <x:f>IF(FF$3&gt;=$B$8,MAX(0,MAX(0,FF23)*'Вводные'!$B$21-FE25),0)</x:f>
      </x:c>
      <x:c r="FG24" s="117" t="n">
        <x:f>IF(FG$3&gt;=$B$8,MAX(0,MAX(0,FG23)*'Вводные'!$B$21-FF25),0)</x:f>
      </x:c>
      <x:c r="FH24" s="117" t="n">
        <x:f>IF(FH$3&gt;=$B$8,MAX(0,MAX(0,FH23)*'Вводные'!$B$21-FG25),0)</x:f>
      </x:c>
      <x:c r="FI24" s="117" t="n">
        <x:f>IF(FI$3&gt;=$B$8,MAX(0,MAX(0,FI23)*'Вводные'!$B$21-FH25),0)</x:f>
      </x:c>
      <x:c r="FJ24" s="117" t="n">
        <x:f>IF(FJ$3&gt;=$B$8,MAX(0,MAX(0,FJ23)*'Вводные'!$B$21-FI25),0)</x:f>
      </x:c>
      <x:c r="FK24" s="117" t="n">
        <x:f>IF(FK$3&gt;=$B$8,MAX(0,MAX(0,FK23)*'Вводные'!$B$21-FJ25),0)</x:f>
      </x:c>
      <x:c r="FL24" s="117" t="n">
        <x:f>IF(FL$3&gt;=$B$8,MAX(0,MAX(0,FL23)*'Вводные'!$B$21-FK25),0)</x:f>
      </x:c>
      <x:c r="FM24" s="117" t="n">
        <x:f>IF(FM$3&gt;=$B$8,MAX(0,MAX(0,FM23)*'Вводные'!$B$21-FL25),0)</x:f>
      </x:c>
      <x:c r="FN24" s="117" t="n">
        <x:f>IF(FN$3&gt;=$B$8,MAX(0,MAX(0,FN23)*'Вводные'!$B$21-FM25),0)</x:f>
      </x:c>
      <x:c r="FO24" s="117" t="n">
        <x:f>IF(FO$3&gt;=$B$8,MAX(0,MAX(0,FO23)*'Вводные'!$B$21-FN25),0)</x:f>
      </x:c>
      <x:c r="FP24" s="117" t="n">
        <x:f>IF(FP$3&gt;=$B$8,MAX(0,MAX(0,FP23)*'Вводные'!$B$21-FO25),0)</x:f>
      </x:c>
      <x:c r="FQ24" s="117" t="n">
        <x:f>IF(FQ$3&gt;=$B$8,MAX(0,MAX(0,FQ23)*'Вводные'!$B$21-FP25),0)</x:f>
      </x:c>
      <x:c r="FR24" s="117" t="n">
        <x:f>IF(FR$3&gt;=$B$8,MAX(0,MAX(0,FR23)*'Вводные'!$B$21-FQ25),0)</x:f>
      </x:c>
      <x:c r="FS24" s="117" t="n">
        <x:f>IF(FS$3&gt;=$B$8,MAX(0,MAX(0,FS23)*'Вводные'!$B$21-FR25),0)</x:f>
      </x:c>
      <x:c r="FT24" s="117" t="n">
        <x:f>IF(FT$3&gt;=$B$8,MAX(0,MAX(0,FT23)*'Вводные'!$B$21-FS25),0)</x:f>
      </x:c>
      <x:c r="FU24" s="117" t="n">
        <x:f>IF(FU$3&gt;=$B$8,MAX(0,MAX(0,FU23)*'Вводные'!$B$21-FT25),0)</x:f>
      </x:c>
      <x:c r="FV24" s="117" t="n">
        <x:f>IF(FV$3&gt;=$B$8,MAX(0,MAX(0,FV23)*'Вводные'!$B$21-FU25),0)</x:f>
      </x:c>
      <x:c r="FW24" s="117" t="n">
        <x:f>IF(FW$3&gt;=$B$8,MAX(0,MAX(0,FW23)*'Вводные'!$B$21-FV25),0)</x:f>
      </x:c>
      <x:c r="FX24" s="117" t="n">
        <x:f>IF(FX$3&gt;=$B$8,MAX(0,MAX(0,FX23)*'Вводные'!$B$21-FW25),0)</x:f>
      </x:c>
      <x:c r="FY24" s="117" t="n">
        <x:f>IF(FY$3&gt;=$B$8,MAX(0,MAX(0,FY23)*'Вводные'!$B$21-FX25),0)</x:f>
      </x:c>
      <x:c r="FZ24" s="117" t="n">
        <x:f>IF(FZ$3&gt;=$B$8,MAX(0,MAX(0,FZ23)*'Вводные'!$B$21-FY25),0)</x:f>
      </x:c>
      <x:c r="GA24" s="117" t="n">
        <x:f>IF(GA$3&gt;=$B$8,MAX(0,MAX(0,GA23)*'Вводные'!$B$21-FZ25),0)</x:f>
      </x:c>
    </x:row>
    <x:row r="25">
      <x:c r="A25" t="str">
        <x:v>Налог уплачен накопленно</x:v>
      </x:c>
      <x:c r="B25" t="n">
        <x:f>GA25</x:f>
      </x:c>
      <x:c r="C25" t="str">
        <x:v>млн ₽</x:v>
      </x:c>
      <x:c r="D25" s="117" t="n">
        <x:f>D24</x:f>
      </x:c>
      <x:c r="E25" s="117" t="n">
        <x:f>D25+E24</x:f>
      </x:c>
      <x:c r="F25" s="117" t="n">
        <x:f>E25+F24</x:f>
      </x:c>
      <x:c r="G25" s="117" t="n">
        <x:f>F25+G24</x:f>
      </x:c>
      <x:c r="H25" s="117" t="n">
        <x:f>G25+H24</x:f>
      </x:c>
      <x:c r="I25" s="117" t="n">
        <x:f>H25+I24</x:f>
      </x:c>
      <x:c r="J25" s="117" t="n">
        <x:f>I25+J24</x:f>
      </x:c>
      <x:c r="K25" s="117" t="n">
        <x:f>J25+K24</x:f>
      </x:c>
      <x:c r="L25" s="117" t="n">
        <x:f>K25+L24</x:f>
      </x:c>
      <x:c r="M25" s="117" t="n">
        <x:f>L25+M24</x:f>
      </x:c>
      <x:c r="N25" s="117" t="n">
        <x:f>M25+N24</x:f>
      </x:c>
      <x:c r="O25" s="117" t="n">
        <x:f>N25+O24</x:f>
      </x:c>
      <x:c r="P25" s="117" t="n">
        <x:f>O25+P24</x:f>
      </x:c>
      <x:c r="Q25" s="117" t="n">
        <x:f>P25+Q24</x:f>
      </x:c>
      <x:c r="R25" s="117" t="n">
        <x:f>Q25+R24</x:f>
      </x:c>
      <x:c r="S25" s="117" t="n">
        <x:f>R25+S24</x:f>
      </x:c>
      <x:c r="T25" s="117" t="n">
        <x:f>S25+T24</x:f>
      </x:c>
      <x:c r="U25" s="117" t="n">
        <x:f>T25+U24</x:f>
      </x:c>
      <x:c r="V25" s="117" t="n">
        <x:f>U25+V24</x:f>
      </x:c>
      <x:c r="W25" s="117" t="n">
        <x:f>V25+W24</x:f>
      </x:c>
      <x:c r="X25" s="117" t="n">
        <x:f>W25+X24</x:f>
      </x:c>
      <x:c r="Y25" s="117" t="n">
        <x:f>X25+Y24</x:f>
      </x:c>
      <x:c r="Z25" s="117" t="n">
        <x:f>Y25+Z24</x:f>
      </x:c>
      <x:c r="AA25" s="117" t="n">
        <x:f>Z25+AA24</x:f>
      </x:c>
      <x:c r="AB25" s="117" t="n">
        <x:f>AA25+AB24</x:f>
      </x:c>
      <x:c r="AC25" s="117" t="n">
        <x:f>AB25+AC24</x:f>
      </x:c>
      <x:c r="AD25" s="117" t="n">
        <x:f>AC25+AD24</x:f>
      </x:c>
      <x:c r="AE25" s="117" t="n">
        <x:f>AD25+AE24</x:f>
      </x:c>
      <x:c r="AF25" s="117" t="n">
        <x:f>AE25+AF24</x:f>
      </x:c>
      <x:c r="AG25" s="117" t="n">
        <x:f>AF25+AG24</x:f>
      </x:c>
      <x:c r="AH25" s="117" t="n">
        <x:f>AG25+AH24</x:f>
      </x:c>
      <x:c r="AI25" s="117" t="n">
        <x:f>AH25+AI24</x:f>
      </x:c>
      <x:c r="AJ25" s="117" t="n">
        <x:f>AI25+AJ24</x:f>
      </x:c>
      <x:c r="AK25" s="117" t="n">
        <x:f>AJ25+AK24</x:f>
      </x:c>
      <x:c r="AL25" s="117" t="n">
        <x:f>AK25+AL24</x:f>
      </x:c>
      <x:c r="AM25" s="117" t="n">
        <x:f>AL25+AM24</x:f>
      </x:c>
      <x:c r="AN25" s="117" t="n">
        <x:f>AM25+AN24</x:f>
      </x:c>
      <x:c r="AO25" s="117" t="n">
        <x:f>AN25+AO24</x:f>
      </x:c>
      <x:c r="AP25" s="117" t="n">
        <x:f>AO25+AP24</x:f>
      </x:c>
      <x:c r="AQ25" s="117" t="n">
        <x:f>AP25+AQ24</x:f>
      </x:c>
      <x:c r="AR25" s="117" t="n">
        <x:f>AQ25+AR24</x:f>
      </x:c>
      <x:c r="AS25" s="117" t="n">
        <x:f>AR25+AS24</x:f>
      </x:c>
      <x:c r="AT25" s="117" t="n">
        <x:f>AS25+AT24</x:f>
      </x:c>
      <x:c r="AU25" s="117" t="n">
        <x:f>AT25+AU24</x:f>
      </x:c>
      <x:c r="AV25" s="117" t="n">
        <x:f>AU25+AV24</x:f>
      </x:c>
      <x:c r="AW25" s="117" t="n">
        <x:f>AV25+AW24</x:f>
      </x:c>
      <x:c r="AX25" s="117" t="n">
        <x:f>AW25+AX24</x:f>
      </x:c>
      <x:c r="AY25" s="117" t="n">
        <x:f>AX25+AY24</x:f>
      </x:c>
      <x:c r="AZ25" s="117" t="n">
        <x:f>AY25+AZ24</x:f>
      </x:c>
      <x:c r="BA25" s="117" t="n">
        <x:f>AZ25+BA24</x:f>
      </x:c>
      <x:c r="BB25" s="117" t="n">
        <x:f>BA25+BB24</x:f>
      </x:c>
      <x:c r="BC25" s="117" t="n">
        <x:f>BB25+BC24</x:f>
      </x:c>
      <x:c r="BD25" s="117" t="n">
        <x:f>BC25+BD24</x:f>
      </x:c>
      <x:c r="BE25" s="117" t="n">
        <x:f>BD25+BE24</x:f>
      </x:c>
      <x:c r="BF25" s="117" t="n">
        <x:f>BE25+BF24</x:f>
      </x:c>
      <x:c r="BG25" s="117" t="n">
        <x:f>BF25+BG24</x:f>
      </x:c>
      <x:c r="BH25" s="117" t="n">
        <x:f>BG25+BH24</x:f>
      </x:c>
      <x:c r="BI25" s="117" t="n">
        <x:f>BH25+BI24</x:f>
      </x:c>
      <x:c r="BJ25" s="117" t="n">
        <x:f>BI25+BJ24</x:f>
      </x:c>
      <x:c r="BK25" s="117" t="n">
        <x:f>BJ25+BK24</x:f>
      </x:c>
      <x:c r="BL25" s="117" t="n">
        <x:f>BK25+BL24</x:f>
      </x:c>
      <x:c r="BM25" s="117" t="n">
        <x:f>BL25+BM24</x:f>
      </x:c>
      <x:c r="BN25" s="117" t="n">
        <x:f>BM25+BN24</x:f>
      </x:c>
      <x:c r="BO25" s="117" t="n">
        <x:f>BN25+BO24</x:f>
      </x:c>
      <x:c r="BP25" s="117" t="n">
        <x:f>BO25+BP24</x:f>
      </x:c>
      <x:c r="BQ25" s="117" t="n">
        <x:f>BP25+BQ24</x:f>
      </x:c>
      <x:c r="BR25" s="117" t="n">
        <x:f>BQ25+BR24</x:f>
      </x:c>
      <x:c r="BS25" s="117" t="n">
        <x:f>BR25+BS24</x:f>
      </x:c>
      <x:c r="BT25" s="117" t="n">
        <x:f>BS25+BT24</x:f>
      </x:c>
      <x:c r="BU25" s="117" t="n">
        <x:f>BT25+BU24</x:f>
      </x:c>
      <x:c r="BV25" s="117" t="n">
        <x:f>BU25+BV24</x:f>
      </x:c>
      <x:c r="BW25" s="117" t="n">
        <x:f>BV25+BW24</x:f>
      </x:c>
      <x:c r="BX25" s="117" t="n">
        <x:f>BW25+BX24</x:f>
      </x:c>
      <x:c r="BY25" s="117" t="n">
        <x:f>BX25+BY24</x:f>
      </x:c>
      <x:c r="BZ25" s="117" t="n">
        <x:f>BY25+BZ24</x:f>
      </x:c>
      <x:c r="CA25" s="117" t="n">
        <x:f>BZ25+CA24</x:f>
      </x:c>
      <x:c r="CB25" s="117" t="n">
        <x:f>CA25+CB24</x:f>
      </x:c>
      <x:c r="CC25" s="117" t="n">
        <x:f>CB25+CC24</x:f>
      </x:c>
      <x:c r="CD25" s="117" t="n">
        <x:f>CC25+CD24</x:f>
      </x:c>
      <x:c r="CE25" s="117" t="n">
        <x:f>CD25+CE24</x:f>
      </x:c>
      <x:c r="CF25" s="117" t="n">
        <x:f>CE25+CF24</x:f>
      </x:c>
      <x:c r="CG25" s="117" t="n">
        <x:f>CF25+CG24</x:f>
      </x:c>
      <x:c r="CH25" s="117" t="n">
        <x:f>CG25+CH24</x:f>
      </x:c>
      <x:c r="CI25" s="117" t="n">
        <x:f>CH25+CI24</x:f>
      </x:c>
      <x:c r="CJ25" s="117" t="n">
        <x:f>CI25+CJ24</x:f>
      </x:c>
      <x:c r="CK25" s="117" t="n">
        <x:f>CJ25+CK24</x:f>
      </x:c>
      <x:c r="CL25" s="117" t="n">
        <x:f>CK25+CL24</x:f>
      </x:c>
      <x:c r="CM25" s="117" t="n">
        <x:f>CL25+CM24</x:f>
      </x:c>
      <x:c r="CN25" s="117" t="n">
        <x:f>CM25+CN24</x:f>
      </x:c>
      <x:c r="CO25" s="117" t="n">
        <x:f>CN25+CO24</x:f>
      </x:c>
      <x:c r="CP25" s="117" t="n">
        <x:f>CO25+CP24</x:f>
      </x:c>
      <x:c r="CQ25" s="117" t="n">
        <x:f>CP25+CQ24</x:f>
      </x:c>
      <x:c r="CR25" s="117" t="n">
        <x:f>CQ25+CR24</x:f>
      </x:c>
      <x:c r="CS25" s="117" t="n">
        <x:f>CR25+CS24</x:f>
      </x:c>
      <x:c r="CT25" s="117" t="n">
        <x:f>CS25+CT24</x:f>
      </x:c>
      <x:c r="CU25" s="117" t="n">
        <x:f>CT25+CU24</x:f>
      </x:c>
      <x:c r="CV25" s="117" t="n">
        <x:f>CU25+CV24</x:f>
      </x:c>
      <x:c r="CW25" s="117" t="n">
        <x:f>CV25+CW24</x:f>
      </x:c>
      <x:c r="CX25" s="117" t="n">
        <x:f>CW25+CX24</x:f>
      </x:c>
      <x:c r="CY25" s="117" t="n">
        <x:f>CX25+CY24</x:f>
      </x:c>
      <x:c r="CZ25" s="117" t="n">
        <x:f>CY25+CZ24</x:f>
      </x:c>
      <x:c r="DA25" s="117" t="n">
        <x:f>CZ25+DA24</x:f>
      </x:c>
      <x:c r="DB25" s="117" t="n">
        <x:f>DA25+DB24</x:f>
      </x:c>
      <x:c r="DC25" s="117" t="n">
        <x:f>DB25+DC24</x:f>
      </x:c>
      <x:c r="DD25" s="117" t="n">
        <x:f>DC25+DD24</x:f>
      </x:c>
      <x:c r="DE25" s="117" t="n">
        <x:f>DD25+DE24</x:f>
      </x:c>
      <x:c r="DF25" s="117" t="n">
        <x:f>DE25+DF24</x:f>
      </x:c>
      <x:c r="DG25" s="117" t="n">
        <x:f>DF25+DG24</x:f>
      </x:c>
      <x:c r="DH25" s="117" t="n">
        <x:f>DG25+DH24</x:f>
      </x:c>
      <x:c r="DI25" s="117" t="n">
        <x:f>DH25+DI24</x:f>
      </x:c>
      <x:c r="DJ25" s="117" t="n">
        <x:f>DI25+DJ24</x:f>
      </x:c>
      <x:c r="DK25" s="117" t="n">
        <x:f>DJ25+DK24</x:f>
      </x:c>
      <x:c r="DL25" s="117" t="n">
        <x:f>DK25+DL24</x:f>
      </x:c>
      <x:c r="DM25" s="117" t="n">
        <x:f>DL25+DM24</x:f>
      </x:c>
      <x:c r="DN25" s="117" t="n">
        <x:f>DM25+DN24</x:f>
      </x:c>
      <x:c r="DO25" s="117" t="n">
        <x:f>DN25+DO24</x:f>
      </x:c>
      <x:c r="DP25" s="117" t="n">
        <x:f>DO25+DP24</x:f>
      </x:c>
      <x:c r="DQ25" s="117" t="n">
        <x:f>DP25+DQ24</x:f>
      </x:c>
      <x:c r="DR25" s="117" t="n">
        <x:f>DQ25+DR24</x:f>
      </x:c>
      <x:c r="DS25" s="117" t="n">
        <x:f>DR25+DS24</x:f>
      </x:c>
      <x:c r="DT25" s="117" t="n">
        <x:f>DS25+DT24</x:f>
      </x:c>
      <x:c r="DU25" s="117" t="n">
        <x:f>DT25+DU24</x:f>
      </x:c>
      <x:c r="DV25" s="117" t="n">
        <x:f>DU25+DV24</x:f>
      </x:c>
      <x:c r="DW25" s="117" t="n">
        <x:f>DV25+DW24</x:f>
      </x:c>
      <x:c r="DX25" s="117" t="n">
        <x:f>DW25+DX24</x:f>
      </x:c>
      <x:c r="DY25" s="117" t="n">
        <x:f>DX25+DY24</x:f>
      </x:c>
      <x:c r="DZ25" s="117" t="n">
        <x:f>DY25+DZ24</x:f>
      </x:c>
      <x:c r="EA25" s="117" t="n">
        <x:f>DZ25+EA24</x:f>
      </x:c>
      <x:c r="EB25" s="117" t="n">
        <x:f>EA25+EB24</x:f>
      </x:c>
      <x:c r="EC25" s="117" t="n">
        <x:f>EB25+EC24</x:f>
      </x:c>
      <x:c r="ED25" s="117" t="n">
        <x:f>EC25+ED24</x:f>
      </x:c>
      <x:c r="EE25" s="117" t="n">
        <x:f>ED25+EE24</x:f>
      </x:c>
      <x:c r="EF25" s="117" t="n">
        <x:f>EE25+EF24</x:f>
      </x:c>
      <x:c r="EG25" s="117" t="n">
        <x:f>EF25+EG24</x:f>
      </x:c>
      <x:c r="EH25" s="117" t="n">
        <x:f>EG25+EH24</x:f>
      </x:c>
      <x:c r="EI25" s="117" t="n">
        <x:f>EH25+EI24</x:f>
      </x:c>
      <x:c r="EJ25" s="117" t="n">
        <x:f>EI25+EJ24</x:f>
      </x:c>
      <x:c r="EK25" s="117" t="n">
        <x:f>EJ25+EK24</x:f>
      </x:c>
      <x:c r="EL25" s="117" t="n">
        <x:f>EK25+EL24</x:f>
      </x:c>
      <x:c r="EM25" s="117" t="n">
        <x:f>EL25+EM24</x:f>
      </x:c>
      <x:c r="EN25" s="117" t="n">
        <x:f>EM25+EN24</x:f>
      </x:c>
      <x:c r="EO25" s="117" t="n">
        <x:f>EN25+EO24</x:f>
      </x:c>
      <x:c r="EP25" s="117" t="n">
        <x:f>EO25+EP24</x:f>
      </x:c>
      <x:c r="EQ25" s="117" t="n">
        <x:f>EP25+EQ24</x:f>
      </x:c>
      <x:c r="ER25" s="117" t="n">
        <x:f>EQ25+ER24</x:f>
      </x:c>
      <x:c r="ES25" s="117" t="n">
        <x:f>ER25+ES24</x:f>
      </x:c>
      <x:c r="ET25" s="117" t="n">
        <x:f>ES25+ET24</x:f>
      </x:c>
      <x:c r="EU25" s="117" t="n">
        <x:f>ET25+EU24</x:f>
      </x:c>
      <x:c r="EV25" s="117" t="n">
        <x:f>EU25+EV24</x:f>
      </x:c>
      <x:c r="EW25" s="117" t="n">
        <x:f>EV25+EW24</x:f>
      </x:c>
      <x:c r="EX25" s="117" t="n">
        <x:f>EW25+EX24</x:f>
      </x:c>
      <x:c r="EY25" s="117" t="n">
        <x:f>EX25+EY24</x:f>
      </x:c>
      <x:c r="EZ25" s="117" t="n">
        <x:f>EY25+EZ24</x:f>
      </x:c>
      <x:c r="FA25" s="117" t="n">
        <x:f>EZ25+FA24</x:f>
      </x:c>
      <x:c r="FB25" s="117" t="n">
        <x:f>FA25+FB24</x:f>
      </x:c>
      <x:c r="FC25" s="117" t="n">
        <x:f>FB25+FC24</x:f>
      </x:c>
      <x:c r="FD25" s="117" t="n">
        <x:f>FC25+FD24</x:f>
      </x:c>
      <x:c r="FE25" s="117" t="n">
        <x:f>FD25+FE24</x:f>
      </x:c>
      <x:c r="FF25" s="117" t="n">
        <x:f>FE25+FF24</x:f>
      </x:c>
      <x:c r="FG25" s="117" t="n">
        <x:f>FF25+FG24</x:f>
      </x:c>
      <x:c r="FH25" s="117" t="n">
        <x:f>FG25+FH24</x:f>
      </x:c>
      <x:c r="FI25" s="117" t="n">
        <x:f>FH25+FI24</x:f>
      </x:c>
      <x:c r="FJ25" s="117" t="n">
        <x:f>FI25+FJ24</x:f>
      </x:c>
      <x:c r="FK25" s="117" t="n">
        <x:f>FJ25+FK24</x:f>
      </x:c>
      <x:c r="FL25" s="117" t="n">
        <x:f>FK25+FL24</x:f>
      </x:c>
      <x:c r="FM25" s="117" t="n">
        <x:f>FL25+FM24</x:f>
      </x:c>
      <x:c r="FN25" s="117" t="n">
        <x:f>FM25+FN24</x:f>
      </x:c>
      <x:c r="FO25" s="117" t="n">
        <x:f>FN25+FO24</x:f>
      </x:c>
      <x:c r="FP25" s="117" t="n">
        <x:f>FO25+FP24</x:f>
      </x:c>
      <x:c r="FQ25" s="117" t="n">
        <x:f>FP25+FQ24</x:f>
      </x:c>
      <x:c r="FR25" s="117" t="n">
        <x:f>FQ25+FR24</x:f>
      </x:c>
      <x:c r="FS25" s="117" t="n">
        <x:f>FR25+FS24</x:f>
      </x:c>
      <x:c r="FT25" s="117" t="n">
        <x:f>FS25+FT24</x:f>
      </x:c>
      <x:c r="FU25" s="117" t="n">
        <x:f>FT25+FU24</x:f>
      </x:c>
      <x:c r="FV25" s="117" t="n">
        <x:f>FU25+FV24</x:f>
      </x:c>
      <x:c r="FW25" s="117" t="n">
        <x:f>FV25+FW24</x:f>
      </x:c>
      <x:c r="FX25" s="117" t="n">
        <x:f>FW25+FX24</x:f>
      </x:c>
      <x:c r="FY25" s="117" t="n">
        <x:f>FX25+FY24</x:f>
      </x:c>
      <x:c r="FZ25" s="117" t="n">
        <x:f>FY25+FZ24</x:f>
      </x:c>
      <x:c r="GA25" s="117" t="n">
        <x:f>FZ25+GA24</x:f>
      </x:c>
    </x:row>
    <x:row r="26">
      <x:c r="A26"/>
      <x:c r="B26"/>
      <x:c r="C26"/>
      <x:c r="D26" s="117"/>
      <x:c r="E26" s="117"/>
      <x:c r="F26" s="117"/>
      <x:c r="G26" s="117"/>
      <x:c r="H26" s="117"/>
      <x:c r="I26" s="117"/>
      <x:c r="J26" s="117"/>
      <x:c r="K26" s="117"/>
      <x:c r="L26" s="117"/>
      <x:c r="M26" s="117"/>
      <x:c r="N26" s="117"/>
      <x:c r="O26" s="117"/>
      <x:c r="P26" s="117"/>
      <x:c r="Q26" s="117"/>
      <x:c r="R26" s="117"/>
      <x:c r="S26" s="117"/>
      <x:c r="T26" s="117"/>
      <x:c r="U26" s="117"/>
      <x:c r="V26" s="117"/>
      <x:c r="W26" s="117"/>
      <x:c r="X26" s="117"/>
      <x:c r="Y26" s="117"/>
      <x:c r="Z26" s="117"/>
      <x:c r="AA26" s="117"/>
      <x:c r="AB26" s="117"/>
      <x:c r="AC26" s="117"/>
      <x:c r="AD26" s="117"/>
      <x:c r="AE26" s="117"/>
      <x:c r="AF26" s="117"/>
      <x:c r="AG26" s="117"/>
      <x:c r="AH26" s="117"/>
      <x:c r="AI26" s="117"/>
      <x:c r="AJ26" s="117"/>
      <x:c r="AK26" s="117"/>
      <x:c r="AL26" s="117"/>
      <x:c r="AM26" s="117"/>
      <x:c r="AN26" s="117"/>
      <x:c r="AO26" s="117"/>
      <x:c r="AP26" s="117"/>
      <x:c r="AQ26" s="117"/>
      <x:c r="AR26" s="117"/>
      <x:c r="AS26" s="117"/>
      <x:c r="AT26" s="117"/>
      <x:c r="AU26" s="117"/>
      <x:c r="AV26" s="117"/>
      <x:c r="AW26" s="117"/>
      <x:c r="AX26" s="117"/>
      <x:c r="AY26" s="117"/>
      <x:c r="AZ26" s="117"/>
      <x:c r="BA26" s="117"/>
      <x:c r="BB26" s="117"/>
      <x:c r="BC26" s="117"/>
      <x:c r="BD26" s="117"/>
      <x:c r="BE26" s="117"/>
      <x:c r="BF26" s="117"/>
      <x:c r="BG26" s="117"/>
      <x:c r="BH26" s="117"/>
      <x:c r="BI26" s="117"/>
      <x:c r="BJ26" s="117"/>
      <x:c r="BK26" s="117"/>
      <x:c r="BL26" s="117"/>
      <x:c r="BM26" s="117"/>
      <x:c r="BN26" s="117"/>
      <x:c r="BO26" s="117"/>
      <x:c r="BP26" s="117"/>
      <x:c r="BQ26" s="117"/>
      <x:c r="BR26" s="117"/>
      <x:c r="BS26" s="117"/>
      <x:c r="BT26" s="117"/>
      <x:c r="BU26" s="117"/>
      <x:c r="BV26" s="117"/>
      <x:c r="BW26" s="117"/>
      <x:c r="BX26" s="117"/>
      <x:c r="BY26" s="117"/>
      <x:c r="BZ26" s="117"/>
      <x:c r="CA26" s="117"/>
      <x:c r="CB26" s="117"/>
      <x:c r="CC26" s="117"/>
      <x:c r="CD26" s="117"/>
      <x:c r="CE26" s="117"/>
      <x:c r="CF26" s="117"/>
      <x:c r="CG26" s="117"/>
      <x:c r="CH26" s="117"/>
      <x:c r="CI26" s="117"/>
      <x:c r="CJ26" s="117"/>
      <x:c r="CK26" s="117"/>
      <x:c r="CL26" s="117"/>
      <x:c r="CM26" s="117"/>
      <x:c r="CN26" s="117"/>
      <x:c r="CO26" s="117"/>
      <x:c r="CP26" s="117"/>
      <x:c r="CQ26" s="117"/>
      <x:c r="CR26" s="117"/>
      <x:c r="CS26" s="117"/>
      <x:c r="CT26" s="117"/>
      <x:c r="CU26" s="117"/>
      <x:c r="CV26" s="117"/>
      <x:c r="CW26" s="117"/>
      <x:c r="CX26" s="117"/>
      <x:c r="CY26" s="117"/>
      <x:c r="CZ26" s="117"/>
      <x:c r="DA26" s="117"/>
      <x:c r="DB26" s="117"/>
      <x:c r="DC26" s="117"/>
      <x:c r="DD26" s="117"/>
      <x:c r="DE26" s="117"/>
      <x:c r="DF26" s="117"/>
      <x:c r="DG26" s="117"/>
      <x:c r="DH26" s="117"/>
      <x:c r="DI26" s="117"/>
      <x:c r="DJ26" s="117"/>
      <x:c r="DK26" s="117"/>
      <x:c r="DL26" s="117"/>
      <x:c r="DM26" s="117"/>
      <x:c r="DN26" s="117"/>
      <x:c r="DO26" s="117"/>
      <x:c r="DP26" s="117"/>
      <x:c r="DQ26" s="117"/>
      <x:c r="DR26" s="117"/>
      <x:c r="DS26" s="117"/>
      <x:c r="DT26" s="117"/>
      <x:c r="DU26" s="117"/>
      <x:c r="DV26" s="117"/>
      <x:c r="DW26" s="117"/>
      <x:c r="DX26" s="117"/>
      <x:c r="DY26" s="117"/>
      <x:c r="DZ26" s="117"/>
      <x:c r="EA26" s="117"/>
      <x:c r="EB26" s="117"/>
      <x:c r="EC26" s="117"/>
      <x:c r="ED26" s="117"/>
      <x:c r="EE26" s="117"/>
      <x:c r="EF26" s="117"/>
      <x:c r="EG26" s="117"/>
      <x:c r="EH26" s="117"/>
      <x:c r="EI26" s="117"/>
      <x:c r="EJ26" s="117"/>
      <x:c r="EK26" s="117"/>
      <x:c r="EL26" s="117"/>
      <x:c r="EM26" s="117"/>
      <x:c r="EN26" s="117"/>
      <x:c r="EO26" s="117"/>
      <x:c r="EP26" s="117"/>
      <x:c r="EQ26" s="117"/>
      <x:c r="ER26" s="117"/>
      <x:c r="ES26" s="117"/>
      <x:c r="ET26" s="117"/>
      <x:c r="EU26" s="117"/>
      <x:c r="EV26" s="117"/>
      <x:c r="EW26" s="117"/>
      <x:c r="EX26" s="117"/>
      <x:c r="EY26" s="117"/>
      <x:c r="EZ26" s="117"/>
      <x:c r="FA26" s="117"/>
      <x:c r="FB26" s="117"/>
      <x:c r="FC26" s="117"/>
      <x:c r="FD26" s="117"/>
      <x:c r="FE26" s="117"/>
      <x:c r="FF26" s="117"/>
      <x:c r="FG26" s="117"/>
      <x:c r="FH26" s="117"/>
      <x:c r="FI26" s="117"/>
      <x:c r="FJ26" s="117"/>
      <x:c r="FK26" s="117"/>
      <x:c r="FL26" s="117"/>
      <x:c r="FM26" s="117"/>
      <x:c r="FN26" s="117"/>
      <x:c r="FO26" s="117"/>
      <x:c r="FP26" s="117"/>
      <x:c r="FQ26" s="117"/>
      <x:c r="FR26" s="117"/>
      <x:c r="FS26" s="117"/>
      <x:c r="FT26" s="117"/>
      <x:c r="FU26" s="117"/>
      <x:c r="FV26" s="117"/>
      <x:c r="FW26" s="117"/>
      <x:c r="FX26" s="117"/>
      <x:c r="FY26" s="117"/>
      <x:c r="FZ26" s="117"/>
      <x:c r="GA26" s="117"/>
    </x:row>
    <x:row r="27">
      <x:c r="A27" t="str">
        <x:v>Доступный денежный поток</x:v>
      </x:c>
      <x:c r="B27" t="n">
        <x:f>SUM(D27:GA27)</x:f>
      </x:c>
      <x:c r="C27" t="str">
        <x:v>млн ₽</x:v>
      </x:c>
      <x:c r="D27" s="117" t="n">
        <x:f>SUM(D14,D12)</x:f>
      </x:c>
      <x:c r="E27" s="117" t="n">
        <x:f>SUM(E14,E12)</x:f>
      </x:c>
      <x:c r="F27" s="117" t="n">
        <x:f>SUM(F14,F12)</x:f>
      </x:c>
      <x:c r="G27" s="117" t="n">
        <x:f>SUM(G14,G12)</x:f>
      </x:c>
      <x:c r="H27" s="117" t="n">
        <x:f>SUM(H14,H12)</x:f>
      </x:c>
      <x:c r="I27" s="117" t="n">
        <x:f>SUM(I14,I12)</x:f>
      </x:c>
      <x:c r="J27" s="117" t="n">
        <x:f>SUM(J14,J12)</x:f>
      </x:c>
      <x:c r="K27" s="117" t="n">
        <x:f>SUM(K14,K12)</x:f>
      </x:c>
      <x:c r="L27" s="117" t="n">
        <x:f>SUM(L14,L12)</x:f>
      </x:c>
      <x:c r="M27" s="117" t="n">
        <x:f>SUM(M14,M12)</x:f>
      </x:c>
      <x:c r="N27" s="117" t="n">
        <x:f>SUM(N14,N12)</x:f>
      </x:c>
      <x:c r="O27" s="117" t="n">
        <x:f>SUM(O14,O12)</x:f>
      </x:c>
      <x:c r="P27" s="117" t="n">
        <x:f>SUM(P14,P12)</x:f>
      </x:c>
      <x:c r="Q27" s="117" t="n">
        <x:f>SUM(Q14,Q12)</x:f>
      </x:c>
      <x:c r="R27" s="117" t="n">
        <x:f>SUM(R14,R12)</x:f>
      </x:c>
      <x:c r="S27" s="117" t="n">
        <x:f>SUM(S14,S12)</x:f>
      </x:c>
      <x:c r="T27" s="117" t="n">
        <x:f>SUM(T14,T12)</x:f>
      </x:c>
      <x:c r="U27" s="117" t="n">
        <x:f>SUM(U14,U12)</x:f>
      </x:c>
      <x:c r="V27" s="117" t="n">
        <x:f>SUM(V14,V12)</x:f>
      </x:c>
      <x:c r="W27" s="117" t="n">
        <x:f>SUM(W14,W12)</x:f>
      </x:c>
      <x:c r="X27" s="117" t="n">
        <x:f>SUM(X14,X12)</x:f>
      </x:c>
      <x:c r="Y27" s="117" t="n">
        <x:f>SUM(Y14,Y12)</x:f>
      </x:c>
      <x:c r="Z27" s="117" t="n">
        <x:f>SUM(Z14,Z12)</x:f>
      </x:c>
      <x:c r="AA27" s="117" t="n">
        <x:f>SUM(AA14,AA12)</x:f>
      </x:c>
      <x:c r="AB27" s="117" t="n">
        <x:f>SUM(AB14,AB12)</x:f>
      </x:c>
      <x:c r="AC27" s="117" t="n">
        <x:f>SUM(AC14,AC12)</x:f>
      </x:c>
      <x:c r="AD27" s="117" t="n">
        <x:f>SUM(AD14,AD12)</x:f>
      </x:c>
      <x:c r="AE27" s="117" t="n">
        <x:f>SUM(AE14,AE12)</x:f>
      </x:c>
      <x:c r="AF27" s="117" t="n">
        <x:f>SUM(AF14,AF12)</x:f>
      </x:c>
      <x:c r="AG27" s="117" t="n">
        <x:f>SUM(AG14,AG12)</x:f>
      </x:c>
      <x:c r="AH27" s="117" t="n">
        <x:f>SUM(AH14,AH12)</x:f>
      </x:c>
      <x:c r="AI27" s="117" t="n">
        <x:f>SUM(AI14,AI12)</x:f>
      </x:c>
      <x:c r="AJ27" s="117" t="n">
        <x:f>SUM(AJ14,AJ12)</x:f>
      </x:c>
      <x:c r="AK27" s="117" t="n">
        <x:f>SUM(AK14,AK12)</x:f>
      </x:c>
      <x:c r="AL27" s="117" t="n">
        <x:f>SUM(AL14,AL12)</x:f>
      </x:c>
      <x:c r="AM27" s="117" t="n">
        <x:f>SUM(AM14,AM12)</x:f>
      </x:c>
      <x:c r="AN27" s="117" t="n">
        <x:f>SUM(AN14,AN12)</x:f>
      </x:c>
      <x:c r="AO27" s="117" t="n">
        <x:f>SUM(AO14,AO12)</x:f>
      </x:c>
      <x:c r="AP27" s="117" t="n">
        <x:f>SUM(AP14,AP12)</x:f>
      </x:c>
      <x:c r="AQ27" s="117" t="n">
        <x:f>SUM(AQ14,AQ12)</x:f>
      </x:c>
      <x:c r="AR27" s="117" t="n">
        <x:f>SUM(AR14,AR12)</x:f>
      </x:c>
      <x:c r="AS27" s="117" t="n">
        <x:f>SUM(AS14,AS12)</x:f>
      </x:c>
      <x:c r="AT27" s="117" t="n">
        <x:f>SUM(AT14,AT12)</x:f>
      </x:c>
      <x:c r="AU27" s="117" t="n">
        <x:f>SUM(AU14,AU12)</x:f>
      </x:c>
      <x:c r="AV27" s="117" t="n">
        <x:f>SUM(AV14,AV12)</x:f>
      </x:c>
      <x:c r="AW27" s="117" t="n">
        <x:f>SUM(AW14,AW12)</x:f>
      </x:c>
      <x:c r="AX27" s="117" t="n">
        <x:f>SUM(AX14,AX12)</x:f>
      </x:c>
      <x:c r="AY27" s="117" t="n">
        <x:f>SUM(AY14,AY12)</x:f>
      </x:c>
      <x:c r="AZ27" s="117" t="n">
        <x:f>SUM(AZ14,AZ12)</x:f>
      </x:c>
      <x:c r="BA27" s="117" t="n">
        <x:f>SUM(BA14,BA12)</x:f>
      </x:c>
      <x:c r="BB27" s="117" t="n">
        <x:f>SUM(BB14,BB12)</x:f>
      </x:c>
      <x:c r="BC27" s="117" t="n">
        <x:f>SUM(BC14,BC12)</x:f>
      </x:c>
      <x:c r="BD27" s="117" t="n">
        <x:f>SUM(BD14,BD12)</x:f>
      </x:c>
      <x:c r="BE27" s="117" t="n">
        <x:f>SUM(BE14,BE12)</x:f>
      </x:c>
      <x:c r="BF27" s="117" t="n">
        <x:f>SUM(BF14,BF12)</x:f>
      </x:c>
      <x:c r="BG27" s="117" t="n">
        <x:f>SUM(BG14,BG12)</x:f>
      </x:c>
      <x:c r="BH27" s="117" t="n">
        <x:f>SUM(BH14,BH12)</x:f>
      </x:c>
      <x:c r="BI27" s="117" t="n">
        <x:f>SUM(BI14,BI12)</x:f>
      </x:c>
      <x:c r="BJ27" s="117" t="n">
        <x:f>SUM(BJ14,BJ12)</x:f>
      </x:c>
      <x:c r="BK27" s="117" t="n">
        <x:f>SUM(BK14,BK12)</x:f>
      </x:c>
      <x:c r="BL27" s="117" t="n">
        <x:f>SUM(BL14,BL12)</x:f>
      </x:c>
      <x:c r="BM27" s="117" t="n">
        <x:f>SUM(BM14,BM12)</x:f>
      </x:c>
      <x:c r="BN27" s="117" t="n">
        <x:f>SUM(BN14,BN12)</x:f>
      </x:c>
      <x:c r="BO27" s="117" t="n">
        <x:f>SUM(BO14,BO12)</x:f>
      </x:c>
      <x:c r="BP27" s="117" t="n">
        <x:f>SUM(BP14,BP12)</x:f>
      </x:c>
      <x:c r="BQ27" s="117" t="n">
        <x:f>SUM(BQ14,BQ12)</x:f>
      </x:c>
      <x:c r="BR27" s="117" t="n">
        <x:f>SUM(BR14,BR12)</x:f>
      </x:c>
      <x:c r="BS27" s="117" t="n">
        <x:f>SUM(BS14,BS12)</x:f>
      </x:c>
      <x:c r="BT27" s="117" t="n">
        <x:f>SUM(BT14,BT12)</x:f>
      </x:c>
      <x:c r="BU27" s="117" t="n">
        <x:f>SUM(BU14,BU12)</x:f>
      </x:c>
      <x:c r="BV27" s="117" t="n">
        <x:f>SUM(BV14,BV12)</x:f>
      </x:c>
      <x:c r="BW27" s="117" t="n">
        <x:f>SUM(BW14,BW12)</x:f>
      </x:c>
      <x:c r="BX27" s="117" t="n">
        <x:f>SUM(BX14,BX12)</x:f>
      </x:c>
      <x:c r="BY27" s="117" t="n">
        <x:f>SUM(BY14,BY12)</x:f>
      </x:c>
      <x:c r="BZ27" s="117" t="n">
        <x:f>SUM(BZ14,BZ12)</x:f>
      </x:c>
      <x:c r="CA27" s="117" t="n">
        <x:f>SUM(CA14,CA12)</x:f>
      </x:c>
      <x:c r="CB27" s="117" t="n">
        <x:f>SUM(CB14,CB12)</x:f>
      </x:c>
      <x:c r="CC27" s="117" t="n">
        <x:f>SUM(CC14,CC12)</x:f>
      </x:c>
      <x:c r="CD27" s="117" t="n">
        <x:f>SUM(CD14,CD12)</x:f>
      </x:c>
      <x:c r="CE27" s="117" t="n">
        <x:f>SUM(CE14,CE12)</x:f>
      </x:c>
      <x:c r="CF27" s="117" t="n">
        <x:f>SUM(CF14,CF12)</x:f>
      </x:c>
      <x:c r="CG27" s="117" t="n">
        <x:f>SUM(CG14,CG12)</x:f>
      </x:c>
      <x:c r="CH27" s="117" t="n">
        <x:f>SUM(CH14,CH12)</x:f>
      </x:c>
      <x:c r="CI27" s="117" t="n">
        <x:f>SUM(CI14,CI12)</x:f>
      </x:c>
      <x:c r="CJ27" s="117" t="n">
        <x:f>SUM(CJ14,CJ12)</x:f>
      </x:c>
      <x:c r="CK27" s="117" t="n">
        <x:f>SUM(CK14,CK12)</x:f>
      </x:c>
      <x:c r="CL27" s="117" t="n">
        <x:f>SUM(CL14,CL12)</x:f>
      </x:c>
      <x:c r="CM27" s="117" t="n">
        <x:f>SUM(CM14,CM12)</x:f>
      </x:c>
      <x:c r="CN27" s="117" t="n">
        <x:f>SUM(CN14,CN12)</x:f>
      </x:c>
      <x:c r="CO27" s="117" t="n">
        <x:f>SUM(CO14,CO12)</x:f>
      </x:c>
      <x:c r="CP27" s="117" t="n">
        <x:f>SUM(CP14,CP12)</x:f>
      </x:c>
      <x:c r="CQ27" s="117" t="n">
        <x:f>SUM(CQ14,CQ12)</x:f>
      </x:c>
      <x:c r="CR27" s="117" t="n">
        <x:f>SUM(CR14,CR12)</x:f>
      </x:c>
      <x:c r="CS27" s="117" t="n">
        <x:f>SUM(CS14,CS12)</x:f>
      </x:c>
      <x:c r="CT27" s="117" t="n">
        <x:f>SUM(CT14,CT12)</x:f>
      </x:c>
      <x:c r="CU27" s="117" t="n">
        <x:f>SUM(CU14,CU12)</x:f>
      </x:c>
      <x:c r="CV27" s="117" t="n">
        <x:f>SUM(CV14,CV12)</x:f>
      </x:c>
      <x:c r="CW27" s="117" t="n">
        <x:f>SUM(CW14,CW12)</x:f>
      </x:c>
      <x:c r="CX27" s="117" t="n">
        <x:f>SUM(CX14,CX12)</x:f>
      </x:c>
      <x:c r="CY27" s="117" t="n">
        <x:f>SUM(CY14,CY12)</x:f>
      </x:c>
      <x:c r="CZ27" s="117" t="n">
        <x:f>SUM(CZ14,CZ12)</x:f>
      </x:c>
      <x:c r="DA27" s="117" t="n">
        <x:f>SUM(DA14,DA12)</x:f>
      </x:c>
      <x:c r="DB27" s="117" t="n">
        <x:f>SUM(DB14,DB12)</x:f>
      </x:c>
      <x:c r="DC27" s="117" t="n">
        <x:f>SUM(DC14,DC12)</x:f>
      </x:c>
      <x:c r="DD27" s="117" t="n">
        <x:f>SUM(DD14,DD12)</x:f>
      </x:c>
      <x:c r="DE27" s="117" t="n">
        <x:f>SUM(DE14,DE12)</x:f>
      </x:c>
      <x:c r="DF27" s="117" t="n">
        <x:f>SUM(DF14,DF12)</x:f>
      </x:c>
      <x:c r="DG27" s="117" t="n">
        <x:f>SUM(DG14,DG12)</x:f>
      </x:c>
      <x:c r="DH27" s="117" t="n">
        <x:f>SUM(DH14,DH12)</x:f>
      </x:c>
      <x:c r="DI27" s="117" t="n">
        <x:f>SUM(DI14,DI12)</x:f>
      </x:c>
      <x:c r="DJ27" s="117" t="n">
        <x:f>SUM(DJ14,DJ12)</x:f>
      </x:c>
      <x:c r="DK27" s="117" t="n">
        <x:f>SUM(DK14,DK12)</x:f>
      </x:c>
      <x:c r="DL27" s="117" t="n">
        <x:f>SUM(DL14,DL12)</x:f>
      </x:c>
      <x:c r="DM27" s="117" t="n">
        <x:f>SUM(DM14,DM12)</x:f>
      </x:c>
      <x:c r="DN27" s="117" t="n">
        <x:f>SUM(DN14,DN12)</x:f>
      </x:c>
      <x:c r="DO27" s="117" t="n">
        <x:f>SUM(DO14,DO12)</x:f>
      </x:c>
      <x:c r="DP27" s="117" t="n">
        <x:f>SUM(DP14,DP12)</x:f>
      </x:c>
      <x:c r="DQ27" s="117" t="n">
        <x:f>SUM(DQ14,DQ12)</x:f>
      </x:c>
      <x:c r="DR27" s="117" t="n">
        <x:f>SUM(DR14,DR12)</x:f>
      </x:c>
      <x:c r="DS27" s="117" t="n">
        <x:f>SUM(DS14,DS12)</x:f>
      </x:c>
      <x:c r="DT27" s="117" t="n">
        <x:f>SUM(DT14,DT12)</x:f>
      </x:c>
      <x:c r="DU27" s="117" t="n">
        <x:f>SUM(DU14,DU12)</x:f>
      </x:c>
      <x:c r="DV27" s="117" t="n">
        <x:f>SUM(DV14,DV12)</x:f>
      </x:c>
      <x:c r="DW27" s="117" t="n">
        <x:f>SUM(DW14,DW12)</x:f>
      </x:c>
      <x:c r="DX27" s="117" t="n">
        <x:f>SUM(DX14,DX12)</x:f>
      </x:c>
      <x:c r="DY27" s="117" t="n">
        <x:f>SUM(DY14,DY12)</x:f>
      </x:c>
      <x:c r="DZ27" s="117" t="n">
        <x:f>SUM(DZ14,DZ12)</x:f>
      </x:c>
      <x:c r="EA27" s="117" t="n">
        <x:f>SUM(EA14,EA12)</x:f>
      </x:c>
      <x:c r="EB27" s="117" t="n">
        <x:f>SUM(EB14,EB12)</x:f>
      </x:c>
      <x:c r="EC27" s="117" t="n">
        <x:f>SUM(EC14,EC12)</x:f>
      </x:c>
      <x:c r="ED27" s="117" t="n">
        <x:f>SUM(ED14,ED12)</x:f>
      </x:c>
      <x:c r="EE27" s="117" t="n">
        <x:f>SUM(EE14,EE12)</x:f>
      </x:c>
      <x:c r="EF27" s="117" t="n">
        <x:f>SUM(EF14,EF12)</x:f>
      </x:c>
      <x:c r="EG27" s="117" t="n">
        <x:f>SUM(EG14,EG12)</x:f>
      </x:c>
      <x:c r="EH27" s="117" t="n">
        <x:f>SUM(EH14,EH12)</x:f>
      </x:c>
      <x:c r="EI27" s="117" t="n">
        <x:f>SUM(EI14,EI12)</x:f>
      </x:c>
      <x:c r="EJ27" s="117" t="n">
        <x:f>SUM(EJ14,EJ12)</x:f>
      </x:c>
      <x:c r="EK27" s="117" t="n">
        <x:f>SUM(EK14,EK12)</x:f>
      </x:c>
      <x:c r="EL27" s="117" t="n">
        <x:f>SUM(EL14,EL12)</x:f>
      </x:c>
      <x:c r="EM27" s="117" t="n">
        <x:f>SUM(EM14,EM12)</x:f>
      </x:c>
      <x:c r="EN27" s="117" t="n">
        <x:f>SUM(EN14,EN12)</x:f>
      </x:c>
      <x:c r="EO27" s="117" t="n">
        <x:f>SUM(EO14,EO12)</x:f>
      </x:c>
      <x:c r="EP27" s="117" t="n">
        <x:f>SUM(EP14,EP12)</x:f>
      </x:c>
      <x:c r="EQ27" s="117" t="n">
        <x:f>SUM(EQ14,EQ12)</x:f>
      </x:c>
      <x:c r="ER27" s="117" t="n">
        <x:f>SUM(ER14,ER12)</x:f>
      </x:c>
      <x:c r="ES27" s="117" t="n">
        <x:f>SUM(ES14,ES12)</x:f>
      </x:c>
      <x:c r="ET27" s="117" t="n">
        <x:f>SUM(ET14,ET12)</x:f>
      </x:c>
      <x:c r="EU27" s="117" t="n">
        <x:f>SUM(EU14,EU12)</x:f>
      </x:c>
      <x:c r="EV27" s="117" t="n">
        <x:f>SUM(EV14,EV12)</x:f>
      </x:c>
      <x:c r="EW27" s="117" t="n">
        <x:f>SUM(EW14,EW12)</x:f>
      </x:c>
      <x:c r="EX27" s="117" t="n">
        <x:f>SUM(EX14,EX12)</x:f>
      </x:c>
      <x:c r="EY27" s="117" t="n">
        <x:f>SUM(EY14,EY12)</x:f>
      </x:c>
      <x:c r="EZ27" s="117" t="n">
        <x:f>SUM(EZ14,EZ12)</x:f>
      </x:c>
      <x:c r="FA27" s="117" t="n">
        <x:f>SUM(FA14,FA12)</x:f>
      </x:c>
      <x:c r="FB27" s="117" t="n">
        <x:f>SUM(FB14,FB12)</x:f>
      </x:c>
      <x:c r="FC27" s="117" t="n">
        <x:f>SUM(FC14,FC12)</x:f>
      </x:c>
      <x:c r="FD27" s="117" t="n">
        <x:f>SUM(FD14,FD12)</x:f>
      </x:c>
      <x:c r="FE27" s="117" t="n">
        <x:f>SUM(FE14,FE12)</x:f>
      </x:c>
      <x:c r="FF27" s="117" t="n">
        <x:f>SUM(FF14,FF12)</x:f>
      </x:c>
      <x:c r="FG27" s="117" t="n">
        <x:f>SUM(FG14,FG12)</x:f>
      </x:c>
      <x:c r="FH27" s="117" t="n">
        <x:f>SUM(FH14,FH12)</x:f>
      </x:c>
      <x:c r="FI27" s="117" t="n">
        <x:f>SUM(FI14,FI12)</x:f>
      </x:c>
      <x:c r="FJ27" s="117" t="n">
        <x:f>SUM(FJ14,FJ12)</x:f>
      </x:c>
      <x:c r="FK27" s="117" t="n">
        <x:f>SUM(FK14,FK12)</x:f>
      </x:c>
      <x:c r="FL27" s="117" t="n">
        <x:f>SUM(FL14,FL12)</x:f>
      </x:c>
      <x:c r="FM27" s="117" t="n">
        <x:f>SUM(FM14,FM12)</x:f>
      </x:c>
      <x:c r="FN27" s="117" t="n">
        <x:f>SUM(FN14,FN12)</x:f>
      </x:c>
      <x:c r="FO27" s="117" t="n">
        <x:f>SUM(FO14,FO12)</x:f>
      </x:c>
      <x:c r="FP27" s="117" t="n">
        <x:f>SUM(FP14,FP12)</x:f>
      </x:c>
      <x:c r="FQ27" s="117" t="n">
        <x:f>SUM(FQ14,FQ12)</x:f>
      </x:c>
      <x:c r="FR27" s="117" t="n">
        <x:f>SUM(FR14,FR12)</x:f>
      </x:c>
      <x:c r="FS27" s="117" t="n">
        <x:f>SUM(FS14,FS12)</x:f>
      </x:c>
      <x:c r="FT27" s="117" t="n">
        <x:f>SUM(FT14,FT12)</x:f>
      </x:c>
      <x:c r="FU27" s="117" t="n">
        <x:f>SUM(FU14,FU12)</x:f>
      </x:c>
      <x:c r="FV27" s="117" t="n">
        <x:f>SUM(FV14,FV12)</x:f>
      </x:c>
      <x:c r="FW27" s="117" t="n">
        <x:f>SUM(FW14,FW12)</x:f>
      </x:c>
      <x:c r="FX27" s="117" t="n">
        <x:f>SUM(FX14,FX12)</x:f>
      </x:c>
      <x:c r="FY27" s="117" t="n">
        <x:f>SUM(FY14,FY12)</x:f>
      </x:c>
      <x:c r="FZ27" s="117" t="n">
        <x:f>SUM(FZ14,FZ12)</x:f>
      </x:c>
      <x:c r="GA27" s="117" t="n">
        <x:f>SUM(GA14,GA12)</x:f>
      </x:c>
    </x:row>
    <x:row r="28">
      <x:c r="A28" s="113" t="str">
        <x:v>CFADS после налога</x:v>
      </x:c>
      <x:c r="B28" s="113" t="n">
        <x:f>SUM(D28:GA28)</x:f>
      </x:c>
      <x:c r="C28" s="113" t="str">
        <x:v>млн ₽</x:v>
      </x:c>
      <x:c r="D28" s="120" t="n">
        <x:f>D27-D20-D24</x:f>
      </x:c>
      <x:c r="E28" s="120" t="n">
        <x:f>E27-E20-E24</x:f>
      </x:c>
      <x:c r="F28" s="120" t="n">
        <x:f>F27-F20-F24</x:f>
      </x:c>
      <x:c r="G28" s="120" t="n">
        <x:f>G27-G20-G24</x:f>
      </x:c>
      <x:c r="H28" s="120" t="n">
        <x:f>H27-H20-H24</x:f>
      </x:c>
      <x:c r="I28" s="120" t="n">
        <x:f>I27-I20-I24</x:f>
      </x:c>
      <x:c r="J28" s="120" t="n">
        <x:f>J27-J20-J24</x:f>
      </x:c>
      <x:c r="K28" s="120" t="n">
        <x:f>K27-K20-K24</x:f>
      </x:c>
      <x:c r="L28" s="120" t="n">
        <x:f>L27-L20-L24</x:f>
      </x:c>
      <x:c r="M28" s="120" t="n">
        <x:f>M27-M20-M24</x:f>
      </x:c>
      <x:c r="N28" s="120" t="n">
        <x:f>N27-N20-N24</x:f>
      </x:c>
      <x:c r="O28" s="120" t="n">
        <x:f>O27-O20-O24</x:f>
      </x:c>
      <x:c r="P28" s="120" t="n">
        <x:f>P27-P20-P24</x:f>
      </x:c>
      <x:c r="Q28" s="120" t="n">
        <x:f>Q27-Q20-Q24</x:f>
      </x:c>
      <x:c r="R28" s="120" t="n">
        <x:f>R27-R20-R24</x:f>
      </x:c>
      <x:c r="S28" s="120" t="n">
        <x:f>S27-S20-S24</x:f>
      </x:c>
      <x:c r="T28" s="120" t="n">
        <x:f>T27-T20-T24</x:f>
      </x:c>
      <x:c r="U28" s="120" t="n">
        <x:f>U27-U20-U24</x:f>
      </x:c>
      <x:c r="V28" s="120" t="n">
        <x:f>V27-V20-V24</x:f>
      </x:c>
      <x:c r="W28" s="120" t="n">
        <x:f>W27-W20-W24</x:f>
      </x:c>
      <x:c r="X28" s="120" t="n">
        <x:f>X27-X20-X24</x:f>
      </x:c>
      <x:c r="Y28" s="120" t="n">
        <x:f>Y27-Y20-Y24</x:f>
      </x:c>
      <x:c r="Z28" s="120" t="n">
        <x:f>Z27-Z20-Z24</x:f>
      </x:c>
      <x:c r="AA28" s="120" t="n">
        <x:f>AA27-AA20-AA24</x:f>
      </x:c>
      <x:c r="AB28" s="120" t="n">
        <x:f>AB27-AB20-AB24</x:f>
      </x:c>
      <x:c r="AC28" s="120" t="n">
        <x:f>AC27-AC20-AC24</x:f>
      </x:c>
      <x:c r="AD28" s="120" t="n">
        <x:f>AD27-AD20-AD24</x:f>
      </x:c>
      <x:c r="AE28" s="120" t="n">
        <x:f>AE27-AE20-AE24</x:f>
      </x:c>
      <x:c r="AF28" s="120" t="n">
        <x:f>AF27-AF20-AF24</x:f>
      </x:c>
      <x:c r="AG28" s="120" t="n">
        <x:f>AG27-AG20-AG24</x:f>
      </x:c>
      <x:c r="AH28" s="120" t="n">
        <x:f>AH27-AH20-AH24</x:f>
      </x:c>
      <x:c r="AI28" s="120" t="n">
        <x:f>AI27-AI20-AI24</x:f>
      </x:c>
      <x:c r="AJ28" s="120" t="n">
        <x:f>AJ27-AJ20-AJ24</x:f>
      </x:c>
      <x:c r="AK28" s="120" t="n">
        <x:f>AK27-AK20-AK24</x:f>
      </x:c>
      <x:c r="AL28" s="120" t="n">
        <x:f>AL27-AL20-AL24</x:f>
      </x:c>
      <x:c r="AM28" s="120" t="n">
        <x:f>AM27-AM20-AM24</x:f>
      </x:c>
      <x:c r="AN28" s="120" t="n">
        <x:f>AN27-AN20-AN24</x:f>
      </x:c>
      <x:c r="AO28" s="120" t="n">
        <x:f>AO27-AO20-AO24</x:f>
      </x:c>
      <x:c r="AP28" s="120" t="n">
        <x:f>AP27-AP20-AP24</x:f>
      </x:c>
      <x:c r="AQ28" s="120" t="n">
        <x:f>AQ27-AQ20-AQ24</x:f>
      </x:c>
      <x:c r="AR28" s="120" t="n">
        <x:f>AR27-AR20-AR24</x:f>
      </x:c>
      <x:c r="AS28" s="120" t="n">
        <x:f>AS27-AS20-AS24</x:f>
      </x:c>
      <x:c r="AT28" s="120" t="n">
        <x:f>AT27-AT20-AT24</x:f>
      </x:c>
      <x:c r="AU28" s="120" t="n">
        <x:f>AU27-AU20-AU24</x:f>
      </x:c>
      <x:c r="AV28" s="120" t="n">
        <x:f>AV27-AV20-AV24</x:f>
      </x:c>
      <x:c r="AW28" s="120" t="n">
        <x:f>AW27-AW20-AW24</x:f>
      </x:c>
      <x:c r="AX28" s="120" t="n">
        <x:f>AX27-AX20-AX24</x:f>
      </x:c>
      <x:c r="AY28" s="120" t="n">
        <x:f>AY27-AY20-AY24</x:f>
      </x:c>
      <x:c r="AZ28" s="120" t="n">
        <x:f>AZ27-AZ20-AZ24</x:f>
      </x:c>
      <x:c r="BA28" s="120" t="n">
        <x:f>BA27-BA20-BA24</x:f>
      </x:c>
      <x:c r="BB28" s="120" t="n">
        <x:f>BB27-BB20-BB24</x:f>
      </x:c>
      <x:c r="BC28" s="120" t="n">
        <x:f>BC27-BC20-BC24</x:f>
      </x:c>
      <x:c r="BD28" s="120" t="n">
        <x:f>BD27-BD20-BD24</x:f>
      </x:c>
      <x:c r="BE28" s="120" t="n">
        <x:f>BE27-BE20-BE24</x:f>
      </x:c>
      <x:c r="BF28" s="120" t="n">
        <x:f>BF27-BF20-BF24</x:f>
      </x:c>
      <x:c r="BG28" s="120" t="n">
        <x:f>BG27-BG20-BG24</x:f>
      </x:c>
      <x:c r="BH28" s="120" t="n">
        <x:f>BH27-BH20-BH24</x:f>
      </x:c>
      <x:c r="BI28" s="120" t="n">
        <x:f>BI27-BI20-BI24</x:f>
      </x:c>
      <x:c r="BJ28" s="120" t="n">
        <x:f>BJ27-BJ20-BJ24</x:f>
      </x:c>
      <x:c r="BK28" s="120" t="n">
        <x:f>BK27-BK20-BK24</x:f>
      </x:c>
      <x:c r="BL28" s="120" t="n">
        <x:f>BL27-BL20-BL24</x:f>
      </x:c>
      <x:c r="BM28" s="120" t="n">
        <x:f>BM27-BM20-BM24</x:f>
      </x:c>
      <x:c r="BN28" s="120" t="n">
        <x:f>BN27-BN20-BN24</x:f>
      </x:c>
      <x:c r="BO28" s="120" t="n">
        <x:f>BO27-BO20-BO24</x:f>
      </x:c>
      <x:c r="BP28" s="120" t="n">
        <x:f>BP27-BP20-BP24</x:f>
      </x:c>
      <x:c r="BQ28" s="120" t="n">
        <x:f>BQ27-BQ20-BQ24</x:f>
      </x:c>
      <x:c r="BR28" s="120" t="n">
        <x:f>BR27-BR20-BR24</x:f>
      </x:c>
      <x:c r="BS28" s="120" t="n">
        <x:f>BS27-BS20-BS24</x:f>
      </x:c>
      <x:c r="BT28" s="120" t="n">
        <x:f>BT27-BT20-BT24</x:f>
      </x:c>
      <x:c r="BU28" s="120" t="n">
        <x:f>BU27-BU20-BU24</x:f>
      </x:c>
      <x:c r="BV28" s="120" t="n">
        <x:f>BV27-BV20-BV24</x:f>
      </x:c>
      <x:c r="BW28" s="120" t="n">
        <x:f>BW27-BW20-BW24</x:f>
      </x:c>
      <x:c r="BX28" s="120" t="n">
        <x:f>BX27-BX20-BX24</x:f>
      </x:c>
      <x:c r="BY28" s="120" t="n">
        <x:f>BY27-BY20-BY24</x:f>
      </x:c>
      <x:c r="BZ28" s="120" t="n">
        <x:f>BZ27-BZ20-BZ24</x:f>
      </x:c>
      <x:c r="CA28" s="120" t="n">
        <x:f>CA27-CA20-CA24</x:f>
      </x:c>
      <x:c r="CB28" s="120" t="n">
        <x:f>CB27-CB20-CB24</x:f>
      </x:c>
      <x:c r="CC28" s="120" t="n">
        <x:f>CC27-CC20-CC24</x:f>
      </x:c>
      <x:c r="CD28" s="120" t="n">
        <x:f>CD27-CD20-CD24</x:f>
      </x:c>
      <x:c r="CE28" s="120" t="n">
        <x:f>CE27-CE20-CE24</x:f>
      </x:c>
      <x:c r="CF28" s="120" t="n">
        <x:f>CF27-CF20-CF24</x:f>
      </x:c>
      <x:c r="CG28" s="120" t="n">
        <x:f>CG27-CG20-CG24</x:f>
      </x:c>
      <x:c r="CH28" s="120" t="n">
        <x:f>CH27-CH20-CH24</x:f>
      </x:c>
      <x:c r="CI28" s="120" t="n">
        <x:f>CI27-CI20-CI24</x:f>
      </x:c>
      <x:c r="CJ28" s="120" t="n">
        <x:f>CJ27-CJ20-CJ24</x:f>
      </x:c>
      <x:c r="CK28" s="120" t="n">
        <x:f>CK27-CK20-CK24</x:f>
      </x:c>
      <x:c r="CL28" s="120" t="n">
        <x:f>CL27-CL20-CL24</x:f>
      </x:c>
      <x:c r="CM28" s="120" t="n">
        <x:f>CM27-CM20-CM24</x:f>
      </x:c>
      <x:c r="CN28" s="120" t="n">
        <x:f>CN27-CN20-CN24</x:f>
      </x:c>
      <x:c r="CO28" s="120" t="n">
        <x:f>CO27-CO20-CO24</x:f>
      </x:c>
      <x:c r="CP28" s="120" t="n">
        <x:f>CP27-CP20-CP24</x:f>
      </x:c>
      <x:c r="CQ28" s="120" t="n">
        <x:f>CQ27-CQ20-CQ24</x:f>
      </x:c>
      <x:c r="CR28" s="120" t="n">
        <x:f>CR27-CR20-CR24</x:f>
      </x:c>
      <x:c r="CS28" s="120" t="n">
        <x:f>CS27-CS20-CS24</x:f>
      </x:c>
      <x:c r="CT28" s="120" t="n">
        <x:f>CT27-CT20-CT24</x:f>
      </x:c>
      <x:c r="CU28" s="120" t="n">
        <x:f>CU27-CU20-CU24</x:f>
      </x:c>
      <x:c r="CV28" s="120" t="n">
        <x:f>CV27-CV20-CV24</x:f>
      </x:c>
      <x:c r="CW28" s="120" t="n">
        <x:f>CW27-CW20-CW24</x:f>
      </x:c>
      <x:c r="CX28" s="120" t="n">
        <x:f>CX27-CX20-CX24</x:f>
      </x:c>
      <x:c r="CY28" s="120" t="n">
        <x:f>CY27-CY20-CY24</x:f>
      </x:c>
      <x:c r="CZ28" s="120" t="n">
        <x:f>CZ27-CZ20-CZ24</x:f>
      </x:c>
      <x:c r="DA28" s="120" t="n">
        <x:f>DA27-DA20-DA24</x:f>
      </x:c>
      <x:c r="DB28" s="120" t="n">
        <x:f>DB27-DB20-DB24</x:f>
      </x:c>
      <x:c r="DC28" s="120" t="n">
        <x:f>DC27-DC20-DC24</x:f>
      </x:c>
      <x:c r="DD28" s="120" t="n">
        <x:f>DD27-DD20-DD24</x:f>
      </x:c>
      <x:c r="DE28" s="120" t="n">
        <x:f>DE27-DE20-DE24</x:f>
      </x:c>
      <x:c r="DF28" s="120" t="n">
        <x:f>DF27-DF20-DF24</x:f>
      </x:c>
      <x:c r="DG28" s="120" t="n">
        <x:f>DG27-DG20-DG24</x:f>
      </x:c>
      <x:c r="DH28" s="120" t="n">
        <x:f>DH27-DH20-DH24</x:f>
      </x:c>
      <x:c r="DI28" s="120" t="n">
        <x:f>DI27-DI20-DI24</x:f>
      </x:c>
      <x:c r="DJ28" s="120" t="n">
        <x:f>DJ27-DJ20-DJ24</x:f>
      </x:c>
      <x:c r="DK28" s="120" t="n">
        <x:f>DK27-DK20-DK24</x:f>
      </x:c>
      <x:c r="DL28" s="120" t="n">
        <x:f>DL27-DL20-DL24</x:f>
      </x:c>
      <x:c r="DM28" s="120" t="n">
        <x:f>DM27-DM20-DM24</x:f>
      </x:c>
      <x:c r="DN28" s="120" t="n">
        <x:f>DN27-DN20-DN24</x:f>
      </x:c>
      <x:c r="DO28" s="120" t="n">
        <x:f>DO27-DO20-DO24</x:f>
      </x:c>
      <x:c r="DP28" s="120" t="n">
        <x:f>DP27-DP20-DP24</x:f>
      </x:c>
      <x:c r="DQ28" s="120" t="n">
        <x:f>DQ27-DQ20-DQ24</x:f>
      </x:c>
      <x:c r="DR28" s="120" t="n">
        <x:f>DR27-DR20-DR24</x:f>
      </x:c>
      <x:c r="DS28" s="120" t="n">
        <x:f>DS27-DS20-DS24</x:f>
      </x:c>
      <x:c r="DT28" s="120" t="n">
        <x:f>DT27-DT20-DT24</x:f>
      </x:c>
      <x:c r="DU28" s="120" t="n">
        <x:f>DU27-DU20-DU24</x:f>
      </x:c>
      <x:c r="DV28" s="120" t="n">
        <x:f>DV27-DV20-DV24</x:f>
      </x:c>
      <x:c r="DW28" s="120" t="n">
        <x:f>DW27-DW20-DW24</x:f>
      </x:c>
      <x:c r="DX28" s="120" t="n">
        <x:f>DX27-DX20-DX24</x:f>
      </x:c>
      <x:c r="DY28" s="120" t="n">
        <x:f>DY27-DY20-DY24</x:f>
      </x:c>
      <x:c r="DZ28" s="120" t="n">
        <x:f>DZ27-DZ20-DZ24</x:f>
      </x:c>
      <x:c r="EA28" s="120" t="n">
        <x:f>EA27-EA20-EA24</x:f>
      </x:c>
      <x:c r="EB28" s="120" t="n">
        <x:f>EB27-EB20-EB24</x:f>
      </x:c>
      <x:c r="EC28" s="120" t="n">
        <x:f>EC27-EC20-EC24</x:f>
      </x:c>
      <x:c r="ED28" s="120" t="n">
        <x:f>ED27-ED20-ED24</x:f>
      </x:c>
      <x:c r="EE28" s="120" t="n">
        <x:f>EE27-EE20-EE24</x:f>
      </x:c>
      <x:c r="EF28" s="120" t="n">
        <x:f>EF27-EF20-EF24</x:f>
      </x:c>
      <x:c r="EG28" s="120" t="n">
        <x:f>EG27-EG20-EG24</x:f>
      </x:c>
      <x:c r="EH28" s="120" t="n">
        <x:f>EH27-EH20-EH24</x:f>
      </x:c>
      <x:c r="EI28" s="120" t="n">
        <x:f>EI27-EI20-EI24</x:f>
      </x:c>
      <x:c r="EJ28" s="120" t="n">
        <x:f>EJ27-EJ20-EJ24</x:f>
      </x:c>
      <x:c r="EK28" s="120" t="n">
        <x:f>EK27-EK20-EK24</x:f>
      </x:c>
      <x:c r="EL28" s="120" t="n">
        <x:f>EL27-EL20-EL24</x:f>
      </x:c>
      <x:c r="EM28" s="120" t="n">
        <x:f>EM27-EM20-EM24</x:f>
      </x:c>
      <x:c r="EN28" s="120" t="n">
        <x:f>EN27-EN20-EN24</x:f>
      </x:c>
      <x:c r="EO28" s="120" t="n">
        <x:f>EO27-EO20-EO24</x:f>
      </x:c>
      <x:c r="EP28" s="120" t="n">
        <x:f>EP27-EP20-EP24</x:f>
      </x:c>
      <x:c r="EQ28" s="120" t="n">
        <x:f>EQ27-EQ20-EQ24</x:f>
      </x:c>
      <x:c r="ER28" s="120" t="n">
        <x:f>ER27-ER20-ER24</x:f>
      </x:c>
      <x:c r="ES28" s="120" t="n">
        <x:f>ES27-ES20-ES24</x:f>
      </x:c>
      <x:c r="ET28" s="120" t="n">
        <x:f>ET27-ET20-ET24</x:f>
      </x:c>
      <x:c r="EU28" s="120" t="n">
        <x:f>EU27-EU20-EU24</x:f>
      </x:c>
      <x:c r="EV28" s="120" t="n">
        <x:f>EV27-EV20-EV24</x:f>
      </x:c>
      <x:c r="EW28" s="120" t="n">
        <x:f>EW27-EW20-EW24</x:f>
      </x:c>
      <x:c r="EX28" s="120" t="n">
        <x:f>EX27-EX20-EX24</x:f>
      </x:c>
      <x:c r="EY28" s="120" t="n">
        <x:f>EY27-EY20-EY24</x:f>
      </x:c>
      <x:c r="EZ28" s="120" t="n">
        <x:f>EZ27-EZ20-EZ24</x:f>
      </x:c>
      <x:c r="FA28" s="120" t="n">
        <x:f>FA27-FA20-FA24</x:f>
      </x:c>
      <x:c r="FB28" s="120" t="n">
        <x:f>FB27-FB20-FB24</x:f>
      </x:c>
      <x:c r="FC28" s="120" t="n">
        <x:f>FC27-FC20-FC24</x:f>
      </x:c>
      <x:c r="FD28" s="120" t="n">
        <x:f>FD27-FD20-FD24</x:f>
      </x:c>
      <x:c r="FE28" s="120" t="n">
        <x:f>FE27-FE20-FE24</x:f>
      </x:c>
      <x:c r="FF28" s="120" t="n">
        <x:f>FF27-FF20-FF24</x:f>
      </x:c>
      <x:c r="FG28" s="120" t="n">
        <x:f>FG27-FG20-FG24</x:f>
      </x:c>
      <x:c r="FH28" s="120" t="n">
        <x:f>FH27-FH20-FH24</x:f>
      </x:c>
      <x:c r="FI28" s="120" t="n">
        <x:f>FI27-FI20-FI24</x:f>
      </x:c>
      <x:c r="FJ28" s="120" t="n">
        <x:f>FJ27-FJ20-FJ24</x:f>
      </x:c>
      <x:c r="FK28" s="120" t="n">
        <x:f>FK27-FK20-FK24</x:f>
      </x:c>
      <x:c r="FL28" s="120" t="n">
        <x:f>FL27-FL20-FL24</x:f>
      </x:c>
      <x:c r="FM28" s="120" t="n">
        <x:f>FM27-FM20-FM24</x:f>
      </x:c>
      <x:c r="FN28" s="120" t="n">
        <x:f>FN27-FN20-FN24</x:f>
      </x:c>
      <x:c r="FO28" s="120" t="n">
        <x:f>FO27-FO20-FO24</x:f>
      </x:c>
      <x:c r="FP28" s="120" t="n">
        <x:f>FP27-FP20-FP24</x:f>
      </x:c>
      <x:c r="FQ28" s="120" t="n">
        <x:f>FQ27-FQ20-FQ24</x:f>
      </x:c>
      <x:c r="FR28" s="120" t="n">
        <x:f>FR27-FR20-FR24</x:f>
      </x:c>
      <x:c r="FS28" s="120" t="n">
        <x:f>FS27-FS20-FS24</x:f>
      </x:c>
      <x:c r="FT28" s="120" t="n">
        <x:f>FT27-FT20-FT24</x:f>
      </x:c>
      <x:c r="FU28" s="120" t="n">
        <x:f>FU27-FU20-FU24</x:f>
      </x:c>
      <x:c r="FV28" s="120" t="n">
        <x:f>FV27-FV20-FV24</x:f>
      </x:c>
      <x:c r="FW28" s="120" t="n">
        <x:f>FW27-FW20-FW24</x:f>
      </x:c>
      <x:c r="FX28" s="120" t="n">
        <x:f>FX27-FX20-FX24</x:f>
      </x:c>
      <x:c r="FY28" s="120" t="n">
        <x:f>FY27-FY20-FY24</x:f>
      </x:c>
      <x:c r="FZ28" s="120" t="n">
        <x:f>FZ27-FZ20-FZ24</x:f>
      </x:c>
      <x:c r="GA28" s="120" t="n">
        <x:f>GA27-GA20-GA24</x:f>
      </x:c>
    </x:row>
    <x:row r="29">
      <x:c r="A29"/>
      <x:c r="B29"/>
      <x:c r="C29"/>
      <x:c r="D29" s="117"/>
      <x:c r="E29" s="117"/>
      <x:c r="F29" s="117"/>
      <x:c r="G29" s="117"/>
      <x:c r="H29" s="117"/>
      <x:c r="I29" s="117"/>
      <x:c r="J29" s="117"/>
      <x:c r="K29" s="117"/>
      <x:c r="L29" s="117"/>
      <x:c r="M29" s="117"/>
      <x:c r="N29" s="117"/>
      <x:c r="O29" s="117"/>
      <x:c r="P29" s="117"/>
      <x:c r="Q29" s="117"/>
      <x:c r="R29" s="117"/>
      <x:c r="S29" s="117"/>
      <x:c r="T29" s="117"/>
      <x:c r="U29" s="117"/>
      <x:c r="V29" s="117"/>
      <x:c r="W29" s="117"/>
      <x:c r="X29" s="117"/>
      <x:c r="Y29" s="117"/>
      <x:c r="Z29" s="117"/>
      <x:c r="AA29" s="117"/>
      <x:c r="AB29" s="117"/>
      <x:c r="AC29" s="117"/>
      <x:c r="AD29" s="117"/>
      <x:c r="AE29" s="117"/>
      <x:c r="AF29" s="117"/>
      <x:c r="AG29" s="117"/>
      <x:c r="AH29" s="117"/>
      <x:c r="AI29" s="117"/>
      <x:c r="AJ29" s="117"/>
      <x:c r="AK29" s="117"/>
      <x:c r="AL29" s="117"/>
      <x:c r="AM29" s="117"/>
      <x:c r="AN29" s="117"/>
      <x:c r="AO29" s="117"/>
      <x:c r="AP29" s="117"/>
      <x:c r="AQ29" s="117"/>
      <x:c r="AR29" s="117"/>
      <x:c r="AS29" s="117"/>
      <x:c r="AT29" s="117"/>
      <x:c r="AU29" s="117"/>
      <x:c r="AV29" s="117"/>
      <x:c r="AW29" s="117"/>
      <x:c r="AX29" s="117"/>
      <x:c r="AY29" s="117"/>
      <x:c r="AZ29" s="117"/>
      <x:c r="BA29" s="117"/>
      <x:c r="BB29" s="117"/>
      <x:c r="BC29" s="117"/>
      <x:c r="BD29" s="117"/>
      <x:c r="BE29" s="117"/>
      <x:c r="BF29" s="117"/>
      <x:c r="BG29" s="117"/>
      <x:c r="BH29" s="117"/>
      <x:c r="BI29" s="117"/>
      <x:c r="BJ29" s="117"/>
      <x:c r="BK29" s="117"/>
      <x:c r="BL29" s="117"/>
      <x:c r="BM29" s="117"/>
      <x:c r="BN29" s="117"/>
      <x:c r="BO29" s="117"/>
      <x:c r="BP29" s="117"/>
      <x:c r="BQ29" s="117"/>
      <x:c r="BR29" s="117"/>
      <x:c r="BS29" s="117"/>
      <x:c r="BT29" s="117"/>
      <x:c r="BU29" s="117"/>
      <x:c r="BV29" s="117"/>
      <x:c r="BW29" s="117"/>
      <x:c r="BX29" s="117"/>
      <x:c r="BY29" s="117"/>
      <x:c r="BZ29" s="117"/>
      <x:c r="CA29" s="117"/>
      <x:c r="CB29" s="117"/>
      <x:c r="CC29" s="117"/>
      <x:c r="CD29" s="117"/>
      <x:c r="CE29" s="117"/>
      <x:c r="CF29" s="117"/>
      <x:c r="CG29" s="117"/>
      <x:c r="CH29" s="117"/>
      <x:c r="CI29" s="117"/>
      <x:c r="CJ29" s="117"/>
      <x:c r="CK29" s="117"/>
      <x:c r="CL29" s="117"/>
      <x:c r="CM29" s="117"/>
      <x:c r="CN29" s="117"/>
      <x:c r="CO29" s="117"/>
      <x:c r="CP29" s="117"/>
      <x:c r="CQ29" s="117"/>
      <x:c r="CR29" s="117"/>
      <x:c r="CS29" s="117"/>
      <x:c r="CT29" s="117"/>
      <x:c r="CU29" s="117"/>
      <x:c r="CV29" s="117"/>
      <x:c r="CW29" s="117"/>
      <x:c r="CX29" s="117"/>
      <x:c r="CY29" s="117"/>
      <x:c r="CZ29" s="117"/>
      <x:c r="DA29" s="117"/>
      <x:c r="DB29" s="117"/>
      <x:c r="DC29" s="117"/>
      <x:c r="DD29" s="117"/>
      <x:c r="DE29" s="117"/>
      <x:c r="DF29" s="117"/>
      <x:c r="DG29" s="117"/>
      <x:c r="DH29" s="117"/>
      <x:c r="DI29" s="117"/>
      <x:c r="DJ29" s="117"/>
      <x:c r="DK29" s="117"/>
      <x:c r="DL29" s="117"/>
      <x:c r="DM29" s="117"/>
      <x:c r="DN29" s="117"/>
      <x:c r="DO29" s="117"/>
      <x:c r="DP29" s="117"/>
      <x:c r="DQ29" s="117"/>
      <x:c r="DR29" s="117"/>
      <x:c r="DS29" s="117"/>
      <x:c r="DT29" s="117"/>
      <x:c r="DU29" s="117"/>
      <x:c r="DV29" s="117"/>
      <x:c r="DW29" s="117"/>
      <x:c r="DX29" s="117"/>
      <x:c r="DY29" s="117"/>
      <x:c r="DZ29" s="117"/>
      <x:c r="EA29" s="117"/>
      <x:c r="EB29" s="117"/>
      <x:c r="EC29" s="117"/>
      <x:c r="ED29" s="117"/>
      <x:c r="EE29" s="117"/>
      <x:c r="EF29" s="117"/>
      <x:c r="EG29" s="117"/>
      <x:c r="EH29" s="117"/>
      <x:c r="EI29" s="117"/>
      <x:c r="EJ29" s="117"/>
      <x:c r="EK29" s="117"/>
      <x:c r="EL29" s="117"/>
      <x:c r="EM29" s="117"/>
      <x:c r="EN29" s="117"/>
      <x:c r="EO29" s="117"/>
      <x:c r="EP29" s="117"/>
      <x:c r="EQ29" s="117"/>
      <x:c r="ER29" s="117"/>
      <x:c r="ES29" s="117"/>
      <x:c r="ET29" s="117"/>
      <x:c r="EU29" s="117"/>
      <x:c r="EV29" s="117"/>
      <x:c r="EW29" s="117"/>
      <x:c r="EX29" s="117"/>
      <x:c r="EY29" s="117"/>
      <x:c r="EZ29" s="117"/>
      <x:c r="FA29" s="117"/>
      <x:c r="FB29" s="117"/>
      <x:c r="FC29" s="117"/>
      <x:c r="FD29" s="117"/>
      <x:c r="FE29" s="117"/>
      <x:c r="FF29" s="117"/>
      <x:c r="FG29" s="117"/>
      <x:c r="FH29" s="117"/>
      <x:c r="FI29" s="117"/>
      <x:c r="FJ29" s="117"/>
      <x:c r="FK29" s="117"/>
      <x:c r="FL29" s="117"/>
      <x:c r="FM29" s="117"/>
      <x:c r="FN29" s="117"/>
      <x:c r="FO29" s="117"/>
      <x:c r="FP29" s="117"/>
      <x:c r="FQ29" s="117"/>
      <x:c r="FR29" s="117"/>
      <x:c r="FS29" s="117"/>
      <x:c r="FT29" s="117"/>
      <x:c r="FU29" s="117"/>
      <x:c r="FV29" s="117"/>
      <x:c r="FW29" s="117"/>
      <x:c r="FX29" s="117"/>
      <x:c r="FY29" s="117"/>
      <x:c r="FZ29" s="117"/>
      <x:c r="GA29" s="117"/>
    </x:row>
    <x:row r="30">
      <x:c r="A30" t="str">
        <x:v>БРИДЖ — долг на начало</x:v>
      </x:c>
      <x:c r="B30"/>
      <x:c r="C30" t="str">
        <x:v>млн ₽</x:v>
      </x:c>
      <x:c r="D30" s="117" t="n">
        <x:f>0</x:f>
      </x:c>
      <x:c r="E30" s="117" t="n">
        <x:f>D36</x:f>
      </x:c>
      <x:c r="F30" s="117" t="n">
        <x:f>E36</x:f>
      </x:c>
      <x:c r="G30" s="117" t="n">
        <x:f>F36</x:f>
      </x:c>
      <x:c r="H30" s="117" t="n">
        <x:f>G36</x:f>
      </x:c>
      <x:c r="I30" s="117" t="n">
        <x:f>H36</x:f>
      </x:c>
      <x:c r="J30" s="117" t="n">
        <x:f>I36</x:f>
      </x:c>
      <x:c r="K30" s="117" t="n">
        <x:f>J36</x:f>
      </x:c>
      <x:c r="L30" s="117" t="n">
        <x:f>K36</x:f>
      </x:c>
      <x:c r="M30" s="117" t="n">
        <x:f>L36</x:f>
      </x:c>
      <x:c r="N30" s="117" t="n">
        <x:f>M36</x:f>
      </x:c>
      <x:c r="O30" s="117" t="n">
        <x:f>N36</x:f>
      </x:c>
      <x:c r="P30" s="117" t="n">
        <x:f>O36</x:f>
      </x:c>
      <x:c r="Q30" s="117" t="n">
        <x:f>P36</x:f>
      </x:c>
      <x:c r="R30" s="117" t="n">
        <x:f>Q36</x:f>
      </x:c>
      <x:c r="S30" s="117" t="n">
        <x:f>R36</x:f>
      </x:c>
      <x:c r="T30" s="117" t="n">
        <x:f>S36</x:f>
      </x:c>
      <x:c r="U30" s="117" t="n">
        <x:f>T36</x:f>
      </x:c>
      <x:c r="V30" s="117" t="n">
        <x:f>U36</x:f>
      </x:c>
      <x:c r="W30" s="117" t="n">
        <x:f>V36</x:f>
      </x:c>
      <x:c r="X30" s="117" t="n">
        <x:f>W36</x:f>
      </x:c>
      <x:c r="Y30" s="117" t="n">
        <x:f>X36</x:f>
      </x:c>
      <x:c r="Z30" s="117" t="n">
        <x:f>Y36</x:f>
      </x:c>
      <x:c r="AA30" s="117" t="n">
        <x:f>Z36</x:f>
      </x:c>
      <x:c r="AB30" s="117" t="n">
        <x:f>AA36</x:f>
      </x:c>
      <x:c r="AC30" s="117" t="n">
        <x:f>AB36</x:f>
      </x:c>
      <x:c r="AD30" s="117" t="n">
        <x:f>AC36</x:f>
      </x:c>
      <x:c r="AE30" s="117" t="n">
        <x:f>AD36</x:f>
      </x:c>
      <x:c r="AF30" s="117" t="n">
        <x:f>AE36</x:f>
      </x:c>
      <x:c r="AG30" s="117" t="n">
        <x:f>AF36</x:f>
      </x:c>
      <x:c r="AH30" s="117" t="n">
        <x:f>AG36</x:f>
      </x:c>
      <x:c r="AI30" s="117" t="n">
        <x:f>AH36</x:f>
      </x:c>
      <x:c r="AJ30" s="117" t="n">
        <x:f>AI36</x:f>
      </x:c>
      <x:c r="AK30" s="117" t="n">
        <x:f>AJ36</x:f>
      </x:c>
      <x:c r="AL30" s="117" t="n">
        <x:f>AK36</x:f>
      </x:c>
      <x:c r="AM30" s="117" t="n">
        <x:f>AL36</x:f>
      </x:c>
      <x:c r="AN30" s="117" t="n">
        <x:f>AM36</x:f>
      </x:c>
      <x:c r="AO30" s="117" t="n">
        <x:f>AN36</x:f>
      </x:c>
      <x:c r="AP30" s="117" t="n">
        <x:f>AO36</x:f>
      </x:c>
      <x:c r="AQ30" s="117" t="n">
        <x:f>AP36</x:f>
      </x:c>
      <x:c r="AR30" s="117" t="n">
        <x:f>AQ36</x:f>
      </x:c>
      <x:c r="AS30" s="117" t="n">
        <x:f>AR36</x:f>
      </x:c>
      <x:c r="AT30" s="117" t="n">
        <x:f>AS36</x:f>
      </x:c>
      <x:c r="AU30" s="117" t="n">
        <x:f>AT36</x:f>
      </x:c>
      <x:c r="AV30" s="117" t="n">
        <x:f>AU36</x:f>
      </x:c>
      <x:c r="AW30" s="117" t="n">
        <x:f>AV36</x:f>
      </x:c>
      <x:c r="AX30" s="117" t="n">
        <x:f>AW36</x:f>
      </x:c>
      <x:c r="AY30" s="117" t="n">
        <x:f>AX36</x:f>
      </x:c>
      <x:c r="AZ30" s="117" t="n">
        <x:f>AY36</x:f>
      </x:c>
      <x:c r="BA30" s="117" t="n">
        <x:f>AZ36</x:f>
      </x:c>
      <x:c r="BB30" s="117" t="n">
        <x:f>BA36</x:f>
      </x:c>
      <x:c r="BC30" s="117" t="n">
        <x:f>BB36</x:f>
      </x:c>
      <x:c r="BD30" s="117" t="n">
        <x:f>BC36</x:f>
      </x:c>
      <x:c r="BE30" s="117" t="n">
        <x:f>BD36</x:f>
      </x:c>
      <x:c r="BF30" s="117" t="n">
        <x:f>BE36</x:f>
      </x:c>
      <x:c r="BG30" s="117" t="n">
        <x:f>BF36</x:f>
      </x:c>
      <x:c r="BH30" s="117" t="n">
        <x:f>BG36</x:f>
      </x:c>
      <x:c r="BI30" s="117" t="n">
        <x:f>BH36</x:f>
      </x:c>
      <x:c r="BJ30" s="117" t="n">
        <x:f>BI36</x:f>
      </x:c>
      <x:c r="BK30" s="117" t="n">
        <x:f>BJ36</x:f>
      </x:c>
      <x:c r="BL30" s="117" t="n">
        <x:f>BK36</x:f>
      </x:c>
      <x:c r="BM30" s="117" t="n">
        <x:f>BL36</x:f>
      </x:c>
      <x:c r="BN30" s="117" t="n">
        <x:f>BM36</x:f>
      </x:c>
      <x:c r="BO30" s="117" t="n">
        <x:f>BN36</x:f>
      </x:c>
      <x:c r="BP30" s="117" t="n">
        <x:f>BO36</x:f>
      </x:c>
      <x:c r="BQ30" s="117" t="n">
        <x:f>BP36</x:f>
      </x:c>
      <x:c r="BR30" s="117" t="n">
        <x:f>BQ36</x:f>
      </x:c>
      <x:c r="BS30" s="117" t="n">
        <x:f>BR36</x:f>
      </x:c>
      <x:c r="BT30" s="117" t="n">
        <x:f>BS36</x:f>
      </x:c>
      <x:c r="BU30" s="117" t="n">
        <x:f>BT36</x:f>
      </x:c>
      <x:c r="BV30" s="117" t="n">
        <x:f>BU36</x:f>
      </x:c>
      <x:c r="BW30" s="117" t="n">
        <x:f>BV36</x:f>
      </x:c>
      <x:c r="BX30" s="117" t="n">
        <x:f>BW36</x:f>
      </x:c>
      <x:c r="BY30" s="117" t="n">
        <x:f>BX36</x:f>
      </x:c>
      <x:c r="BZ30" s="117" t="n">
        <x:f>BY36</x:f>
      </x:c>
      <x:c r="CA30" s="117" t="n">
        <x:f>BZ36</x:f>
      </x:c>
      <x:c r="CB30" s="117" t="n">
        <x:f>CA36</x:f>
      </x:c>
      <x:c r="CC30" s="117" t="n">
        <x:f>CB36</x:f>
      </x:c>
      <x:c r="CD30" s="117" t="n">
        <x:f>CC36</x:f>
      </x:c>
      <x:c r="CE30" s="117" t="n">
        <x:f>CD36</x:f>
      </x:c>
      <x:c r="CF30" s="117" t="n">
        <x:f>CE36</x:f>
      </x:c>
      <x:c r="CG30" s="117" t="n">
        <x:f>CF36</x:f>
      </x:c>
      <x:c r="CH30" s="117" t="n">
        <x:f>CG36</x:f>
      </x:c>
      <x:c r="CI30" s="117" t="n">
        <x:f>CH36</x:f>
      </x:c>
      <x:c r="CJ30" s="117" t="n">
        <x:f>CI36</x:f>
      </x:c>
      <x:c r="CK30" s="117" t="n">
        <x:f>CJ36</x:f>
      </x:c>
      <x:c r="CL30" s="117" t="n">
        <x:f>CK36</x:f>
      </x:c>
      <x:c r="CM30" s="117" t="n">
        <x:f>CL36</x:f>
      </x:c>
      <x:c r="CN30" s="117" t="n">
        <x:f>CM36</x:f>
      </x:c>
      <x:c r="CO30" s="117" t="n">
        <x:f>CN36</x:f>
      </x:c>
      <x:c r="CP30" s="117" t="n">
        <x:f>CO36</x:f>
      </x:c>
      <x:c r="CQ30" s="117" t="n">
        <x:f>CP36</x:f>
      </x:c>
      <x:c r="CR30" s="117" t="n">
        <x:f>CQ36</x:f>
      </x:c>
      <x:c r="CS30" s="117" t="n">
        <x:f>CR36</x:f>
      </x:c>
      <x:c r="CT30" s="117" t="n">
        <x:f>CS36</x:f>
      </x:c>
      <x:c r="CU30" s="117" t="n">
        <x:f>CT36</x:f>
      </x:c>
      <x:c r="CV30" s="117" t="n">
        <x:f>CU36</x:f>
      </x:c>
      <x:c r="CW30" s="117" t="n">
        <x:f>CV36</x:f>
      </x:c>
      <x:c r="CX30" s="117" t="n">
        <x:f>CW36</x:f>
      </x:c>
      <x:c r="CY30" s="117" t="n">
        <x:f>CX36</x:f>
      </x:c>
      <x:c r="CZ30" s="117" t="n">
        <x:f>CY36</x:f>
      </x:c>
      <x:c r="DA30" s="117" t="n">
        <x:f>CZ36</x:f>
      </x:c>
      <x:c r="DB30" s="117" t="n">
        <x:f>DA36</x:f>
      </x:c>
      <x:c r="DC30" s="117" t="n">
        <x:f>DB36</x:f>
      </x:c>
      <x:c r="DD30" s="117" t="n">
        <x:f>DC36</x:f>
      </x:c>
      <x:c r="DE30" s="117" t="n">
        <x:f>DD36</x:f>
      </x:c>
      <x:c r="DF30" s="117" t="n">
        <x:f>DE36</x:f>
      </x:c>
      <x:c r="DG30" s="117" t="n">
        <x:f>DF36</x:f>
      </x:c>
      <x:c r="DH30" s="117" t="n">
        <x:f>DG36</x:f>
      </x:c>
      <x:c r="DI30" s="117" t="n">
        <x:f>DH36</x:f>
      </x:c>
      <x:c r="DJ30" s="117" t="n">
        <x:f>DI36</x:f>
      </x:c>
      <x:c r="DK30" s="117" t="n">
        <x:f>DJ36</x:f>
      </x:c>
      <x:c r="DL30" s="117" t="n">
        <x:f>DK36</x:f>
      </x:c>
      <x:c r="DM30" s="117" t="n">
        <x:f>DL36</x:f>
      </x:c>
      <x:c r="DN30" s="117" t="n">
        <x:f>DM36</x:f>
      </x:c>
      <x:c r="DO30" s="117" t="n">
        <x:f>DN36</x:f>
      </x:c>
      <x:c r="DP30" s="117" t="n">
        <x:f>DO36</x:f>
      </x:c>
      <x:c r="DQ30" s="117" t="n">
        <x:f>DP36</x:f>
      </x:c>
      <x:c r="DR30" s="117" t="n">
        <x:f>DQ36</x:f>
      </x:c>
      <x:c r="DS30" s="117" t="n">
        <x:f>DR36</x:f>
      </x:c>
      <x:c r="DT30" s="117" t="n">
        <x:f>DS36</x:f>
      </x:c>
      <x:c r="DU30" s="117" t="n">
        <x:f>DT36</x:f>
      </x:c>
      <x:c r="DV30" s="117" t="n">
        <x:f>DU36</x:f>
      </x:c>
      <x:c r="DW30" s="117" t="n">
        <x:f>DV36</x:f>
      </x:c>
      <x:c r="DX30" s="117" t="n">
        <x:f>DW36</x:f>
      </x:c>
      <x:c r="DY30" s="117" t="n">
        <x:f>DX36</x:f>
      </x:c>
      <x:c r="DZ30" s="117" t="n">
        <x:f>DY36</x:f>
      </x:c>
      <x:c r="EA30" s="117" t="n">
        <x:f>DZ36</x:f>
      </x:c>
      <x:c r="EB30" s="117" t="n">
        <x:f>EA36</x:f>
      </x:c>
      <x:c r="EC30" s="117" t="n">
        <x:f>EB36</x:f>
      </x:c>
      <x:c r="ED30" s="117" t="n">
        <x:f>EC36</x:f>
      </x:c>
      <x:c r="EE30" s="117" t="n">
        <x:f>ED36</x:f>
      </x:c>
      <x:c r="EF30" s="117" t="n">
        <x:f>EE36</x:f>
      </x:c>
      <x:c r="EG30" s="117" t="n">
        <x:f>EF36</x:f>
      </x:c>
      <x:c r="EH30" s="117" t="n">
        <x:f>EG36</x:f>
      </x:c>
      <x:c r="EI30" s="117" t="n">
        <x:f>EH36</x:f>
      </x:c>
      <x:c r="EJ30" s="117" t="n">
        <x:f>EI36</x:f>
      </x:c>
      <x:c r="EK30" s="117" t="n">
        <x:f>EJ36</x:f>
      </x:c>
      <x:c r="EL30" s="117" t="n">
        <x:f>EK36</x:f>
      </x:c>
      <x:c r="EM30" s="117" t="n">
        <x:f>EL36</x:f>
      </x:c>
      <x:c r="EN30" s="117" t="n">
        <x:f>EM36</x:f>
      </x:c>
      <x:c r="EO30" s="117" t="n">
        <x:f>EN36</x:f>
      </x:c>
      <x:c r="EP30" s="117" t="n">
        <x:f>EO36</x:f>
      </x:c>
      <x:c r="EQ30" s="117" t="n">
        <x:f>EP36</x:f>
      </x:c>
      <x:c r="ER30" s="117" t="n">
        <x:f>EQ36</x:f>
      </x:c>
      <x:c r="ES30" s="117" t="n">
        <x:f>ER36</x:f>
      </x:c>
      <x:c r="ET30" s="117" t="n">
        <x:f>ES36</x:f>
      </x:c>
      <x:c r="EU30" s="117" t="n">
        <x:f>ET36</x:f>
      </x:c>
      <x:c r="EV30" s="117" t="n">
        <x:f>EU36</x:f>
      </x:c>
      <x:c r="EW30" s="117" t="n">
        <x:f>EV36</x:f>
      </x:c>
      <x:c r="EX30" s="117" t="n">
        <x:f>EW36</x:f>
      </x:c>
      <x:c r="EY30" s="117" t="n">
        <x:f>EX36</x:f>
      </x:c>
      <x:c r="EZ30" s="117" t="n">
        <x:f>EY36</x:f>
      </x:c>
      <x:c r="FA30" s="117" t="n">
        <x:f>EZ36</x:f>
      </x:c>
      <x:c r="FB30" s="117" t="n">
        <x:f>FA36</x:f>
      </x:c>
      <x:c r="FC30" s="117" t="n">
        <x:f>FB36</x:f>
      </x:c>
      <x:c r="FD30" s="117" t="n">
        <x:f>FC36</x:f>
      </x:c>
      <x:c r="FE30" s="117" t="n">
        <x:f>FD36</x:f>
      </x:c>
      <x:c r="FF30" s="117" t="n">
        <x:f>FE36</x:f>
      </x:c>
      <x:c r="FG30" s="117" t="n">
        <x:f>FF36</x:f>
      </x:c>
      <x:c r="FH30" s="117" t="n">
        <x:f>FG36</x:f>
      </x:c>
      <x:c r="FI30" s="117" t="n">
        <x:f>FH36</x:f>
      </x:c>
      <x:c r="FJ30" s="117" t="n">
        <x:f>FI36</x:f>
      </x:c>
      <x:c r="FK30" s="117" t="n">
        <x:f>FJ36</x:f>
      </x:c>
      <x:c r="FL30" s="117" t="n">
        <x:f>FK36</x:f>
      </x:c>
      <x:c r="FM30" s="117" t="n">
        <x:f>FL36</x:f>
      </x:c>
      <x:c r="FN30" s="117" t="n">
        <x:f>FM36</x:f>
      </x:c>
      <x:c r="FO30" s="117" t="n">
        <x:f>FN36</x:f>
      </x:c>
      <x:c r="FP30" s="117" t="n">
        <x:f>FO36</x:f>
      </x:c>
      <x:c r="FQ30" s="117" t="n">
        <x:f>FP36</x:f>
      </x:c>
      <x:c r="FR30" s="117" t="n">
        <x:f>FQ36</x:f>
      </x:c>
      <x:c r="FS30" s="117" t="n">
        <x:f>FR36</x:f>
      </x:c>
      <x:c r="FT30" s="117" t="n">
        <x:f>FS36</x:f>
      </x:c>
      <x:c r="FU30" s="117" t="n">
        <x:f>FT36</x:f>
      </x:c>
      <x:c r="FV30" s="117" t="n">
        <x:f>FU36</x:f>
      </x:c>
      <x:c r="FW30" s="117" t="n">
        <x:f>FV36</x:f>
      </x:c>
      <x:c r="FX30" s="117" t="n">
        <x:f>FW36</x:f>
      </x:c>
      <x:c r="FY30" s="117" t="n">
        <x:f>FX36</x:f>
      </x:c>
      <x:c r="FZ30" s="117" t="n">
        <x:f>FY36</x:f>
      </x:c>
      <x:c r="GA30" s="117" t="n">
        <x:f>FZ36</x:f>
      </x:c>
    </x:row>
    <x:row r="31">
      <x:c r="A31" t="str">
        <x:v>БРИДЖ — ставка</x:v>
      </x:c>
      <x:c r="B31" t="n">
        <x:f>IFERROR(SUMPRODUCT(D31:GA31,--(D30:GA30&gt;0))/COUNTIF(D30:GA30,"&gt;0"),0)</x:f>
      </x:c>
      <x:c r="C31" t="str">
        <x:v>% год</x:v>
      </x:c>
      <x:c r="D31" s="121" t="n">
        <x:f>'Ставки'!D$6</x:f>
      </x:c>
      <x:c r="E31" s="121" t="n">
        <x:f>'Ставки'!E$6</x:f>
      </x:c>
      <x:c r="F31" s="121" t="n">
        <x:f>'Ставки'!F$6</x:f>
      </x:c>
      <x:c r="G31" s="121" t="n">
        <x:f>'Ставки'!G$6</x:f>
      </x:c>
      <x:c r="H31" s="121" t="n">
        <x:f>'Ставки'!H$6</x:f>
      </x:c>
      <x:c r="I31" s="121" t="n">
        <x:f>'Ставки'!I$6</x:f>
      </x:c>
      <x:c r="J31" s="121" t="n">
        <x:f>'Ставки'!J$6</x:f>
      </x:c>
      <x:c r="K31" s="121" t="n">
        <x:f>'Ставки'!K$6</x:f>
      </x:c>
      <x:c r="L31" s="121" t="n">
        <x:f>'Ставки'!L$6</x:f>
      </x:c>
      <x:c r="M31" s="121" t="n">
        <x:f>'Ставки'!M$6</x:f>
      </x:c>
      <x:c r="N31" s="121" t="n">
        <x:f>'Ставки'!N$6</x:f>
      </x:c>
      <x:c r="O31" s="121" t="n">
        <x:f>'Ставки'!O$6</x:f>
      </x:c>
      <x:c r="P31" s="121" t="n">
        <x:f>'Ставки'!P$6</x:f>
      </x:c>
      <x:c r="Q31" s="121" t="n">
        <x:f>'Ставки'!Q$6</x:f>
      </x:c>
      <x:c r="R31" s="121" t="n">
        <x:f>'Ставки'!R$6</x:f>
      </x:c>
      <x:c r="S31" s="121" t="n">
        <x:f>'Ставки'!S$6</x:f>
      </x:c>
      <x:c r="T31" s="121" t="n">
        <x:f>'Ставки'!T$6</x:f>
      </x:c>
      <x:c r="U31" s="121" t="n">
        <x:f>'Ставки'!U$6</x:f>
      </x:c>
      <x:c r="V31" s="121" t="n">
        <x:f>'Ставки'!V$6</x:f>
      </x:c>
      <x:c r="W31" s="121" t="n">
        <x:f>'Ставки'!W$6</x:f>
      </x:c>
      <x:c r="X31" s="121" t="n">
        <x:f>'Ставки'!X$6</x:f>
      </x:c>
      <x:c r="Y31" s="121" t="n">
        <x:f>'Ставки'!Y$6</x:f>
      </x:c>
      <x:c r="Z31" s="121" t="n">
        <x:f>'Ставки'!Z$6</x:f>
      </x:c>
      <x:c r="AA31" s="121" t="n">
        <x:f>'Ставки'!AA$6</x:f>
      </x:c>
      <x:c r="AB31" s="121" t="n">
        <x:f>'Ставки'!AB$6</x:f>
      </x:c>
      <x:c r="AC31" s="121" t="n">
        <x:f>'Ставки'!AC$6</x:f>
      </x:c>
      <x:c r="AD31" s="121" t="n">
        <x:f>'Ставки'!AD$6</x:f>
      </x:c>
      <x:c r="AE31" s="121" t="n">
        <x:f>'Ставки'!AE$6</x:f>
      </x:c>
      <x:c r="AF31" s="121" t="n">
        <x:f>'Ставки'!AF$6</x:f>
      </x:c>
      <x:c r="AG31" s="121" t="n">
        <x:f>'Ставки'!AG$6</x:f>
      </x:c>
      <x:c r="AH31" s="121" t="n">
        <x:f>'Ставки'!AH$6</x:f>
      </x:c>
      <x:c r="AI31" s="121" t="n">
        <x:f>'Ставки'!AI$6</x:f>
      </x:c>
      <x:c r="AJ31" s="121" t="n">
        <x:f>'Ставки'!AJ$6</x:f>
      </x:c>
      <x:c r="AK31" s="121" t="n">
        <x:f>'Ставки'!AK$6</x:f>
      </x:c>
      <x:c r="AL31" s="121" t="n">
        <x:f>'Ставки'!AL$6</x:f>
      </x:c>
      <x:c r="AM31" s="121" t="n">
        <x:f>'Ставки'!AM$6</x:f>
      </x:c>
      <x:c r="AN31" s="121" t="n">
        <x:f>'Ставки'!AN$6</x:f>
      </x:c>
      <x:c r="AO31" s="121" t="n">
        <x:f>'Ставки'!AO$6</x:f>
      </x:c>
      <x:c r="AP31" s="121" t="n">
        <x:f>'Ставки'!AP$6</x:f>
      </x:c>
      <x:c r="AQ31" s="121" t="n">
        <x:f>'Ставки'!AQ$6</x:f>
      </x:c>
      <x:c r="AR31" s="121" t="n">
        <x:f>'Ставки'!AR$6</x:f>
      </x:c>
      <x:c r="AS31" s="121" t="n">
        <x:f>'Ставки'!AS$6</x:f>
      </x:c>
      <x:c r="AT31" s="121" t="n">
        <x:f>'Ставки'!AT$6</x:f>
      </x:c>
      <x:c r="AU31" s="121" t="n">
        <x:f>'Ставки'!AU$6</x:f>
      </x:c>
      <x:c r="AV31" s="121" t="n">
        <x:f>'Ставки'!AV$6</x:f>
      </x:c>
      <x:c r="AW31" s="121" t="n">
        <x:f>'Ставки'!AW$6</x:f>
      </x:c>
      <x:c r="AX31" s="121" t="n">
        <x:f>'Ставки'!AX$6</x:f>
      </x:c>
      <x:c r="AY31" s="121" t="n">
        <x:f>'Ставки'!AY$6</x:f>
      </x:c>
      <x:c r="AZ31" s="121" t="n">
        <x:f>'Ставки'!AZ$6</x:f>
      </x:c>
      <x:c r="BA31" s="121" t="n">
        <x:f>'Ставки'!BA$6</x:f>
      </x:c>
      <x:c r="BB31" s="121" t="n">
        <x:f>'Ставки'!BB$6</x:f>
      </x:c>
      <x:c r="BC31" s="121" t="n">
        <x:f>'Ставки'!BC$6</x:f>
      </x:c>
      <x:c r="BD31" s="121" t="n">
        <x:f>'Ставки'!BD$6</x:f>
      </x:c>
      <x:c r="BE31" s="121" t="n">
        <x:f>'Ставки'!BE$6</x:f>
      </x:c>
      <x:c r="BF31" s="121" t="n">
        <x:f>'Ставки'!BF$6</x:f>
      </x:c>
      <x:c r="BG31" s="121" t="n">
        <x:f>'Ставки'!BG$6</x:f>
      </x:c>
      <x:c r="BH31" s="121" t="n">
        <x:f>'Ставки'!BH$6</x:f>
      </x:c>
      <x:c r="BI31" s="121" t="n">
        <x:f>'Ставки'!BI$6</x:f>
      </x:c>
      <x:c r="BJ31" s="121" t="n">
        <x:f>'Ставки'!BJ$6</x:f>
      </x:c>
      <x:c r="BK31" s="121" t="n">
        <x:f>'Ставки'!BK$6</x:f>
      </x:c>
      <x:c r="BL31" s="121" t="n">
        <x:f>'Ставки'!BL$6</x:f>
      </x:c>
      <x:c r="BM31" s="121" t="n">
        <x:f>'Ставки'!BM$6</x:f>
      </x:c>
      <x:c r="BN31" s="121" t="n">
        <x:f>'Ставки'!BN$6</x:f>
      </x:c>
      <x:c r="BO31" s="121" t="n">
        <x:f>'Ставки'!BO$6</x:f>
      </x:c>
      <x:c r="BP31" s="121" t="n">
        <x:f>'Ставки'!BP$6</x:f>
      </x:c>
      <x:c r="BQ31" s="121" t="n">
        <x:f>'Ставки'!BQ$6</x:f>
      </x:c>
      <x:c r="BR31" s="121" t="n">
        <x:f>'Ставки'!BR$6</x:f>
      </x:c>
      <x:c r="BS31" s="121" t="n">
        <x:f>'Ставки'!BS$6</x:f>
      </x:c>
      <x:c r="BT31" s="121" t="n">
        <x:f>'Ставки'!BT$6</x:f>
      </x:c>
      <x:c r="BU31" s="121" t="n">
        <x:f>'Ставки'!BU$6</x:f>
      </x:c>
      <x:c r="BV31" s="121" t="n">
        <x:f>'Ставки'!BV$6</x:f>
      </x:c>
      <x:c r="BW31" s="121" t="n">
        <x:f>'Ставки'!BW$6</x:f>
      </x:c>
      <x:c r="BX31" s="121" t="n">
        <x:f>'Ставки'!BX$6</x:f>
      </x:c>
      <x:c r="BY31" s="121" t="n">
        <x:f>'Ставки'!BY$6</x:f>
      </x:c>
      <x:c r="BZ31" s="121" t="n">
        <x:f>'Ставки'!BZ$6</x:f>
      </x:c>
      <x:c r="CA31" s="121" t="n">
        <x:f>'Ставки'!CA$6</x:f>
      </x:c>
      <x:c r="CB31" s="121" t="n">
        <x:f>'Ставки'!CB$6</x:f>
      </x:c>
      <x:c r="CC31" s="121" t="n">
        <x:f>'Ставки'!CC$6</x:f>
      </x:c>
      <x:c r="CD31" s="121" t="n">
        <x:f>'Ставки'!CD$6</x:f>
      </x:c>
      <x:c r="CE31" s="121" t="n">
        <x:f>'Ставки'!CE$6</x:f>
      </x:c>
      <x:c r="CF31" s="121" t="n">
        <x:f>'Ставки'!CF$6</x:f>
      </x:c>
      <x:c r="CG31" s="121" t="n">
        <x:f>'Ставки'!CG$6</x:f>
      </x:c>
      <x:c r="CH31" s="121" t="n">
        <x:f>'Ставки'!CH$6</x:f>
      </x:c>
      <x:c r="CI31" s="121" t="n">
        <x:f>'Ставки'!CI$6</x:f>
      </x:c>
      <x:c r="CJ31" s="121" t="n">
        <x:f>'Ставки'!CJ$6</x:f>
      </x:c>
      <x:c r="CK31" s="121" t="n">
        <x:f>'Ставки'!CK$6</x:f>
      </x:c>
      <x:c r="CL31" s="121" t="n">
        <x:f>'Ставки'!CL$6</x:f>
      </x:c>
      <x:c r="CM31" s="121" t="n">
        <x:f>'Ставки'!CM$6</x:f>
      </x:c>
      <x:c r="CN31" s="121" t="n">
        <x:f>'Ставки'!CN$6</x:f>
      </x:c>
      <x:c r="CO31" s="121" t="n">
        <x:f>'Ставки'!CO$6</x:f>
      </x:c>
      <x:c r="CP31" s="121" t="n">
        <x:f>'Ставки'!CP$6</x:f>
      </x:c>
      <x:c r="CQ31" s="121" t="n">
        <x:f>'Ставки'!CQ$6</x:f>
      </x:c>
      <x:c r="CR31" s="121" t="n">
        <x:f>'Ставки'!CR$6</x:f>
      </x:c>
      <x:c r="CS31" s="121" t="n">
        <x:f>'Ставки'!CS$6</x:f>
      </x:c>
      <x:c r="CT31" s="121" t="n">
        <x:f>'Ставки'!CT$6</x:f>
      </x:c>
      <x:c r="CU31" s="121" t="n">
        <x:f>'Ставки'!CU$6</x:f>
      </x:c>
      <x:c r="CV31" s="121" t="n">
        <x:f>'Ставки'!CV$6</x:f>
      </x:c>
      <x:c r="CW31" s="121" t="n">
        <x:f>'Ставки'!CW$6</x:f>
      </x:c>
      <x:c r="CX31" s="121" t="n">
        <x:f>'Ставки'!CX$6</x:f>
      </x:c>
      <x:c r="CY31" s="121" t="n">
        <x:f>'Ставки'!CY$6</x:f>
      </x:c>
      <x:c r="CZ31" s="121" t="n">
        <x:f>'Ставки'!CZ$6</x:f>
      </x:c>
      <x:c r="DA31" s="121" t="n">
        <x:f>'Ставки'!DA$6</x:f>
      </x:c>
      <x:c r="DB31" s="121" t="n">
        <x:f>'Ставки'!DB$6</x:f>
      </x:c>
      <x:c r="DC31" s="121" t="n">
        <x:f>'Ставки'!DC$6</x:f>
      </x:c>
      <x:c r="DD31" s="121" t="n">
        <x:f>'Ставки'!DD$6</x:f>
      </x:c>
      <x:c r="DE31" s="121" t="n">
        <x:f>'Ставки'!DE$6</x:f>
      </x:c>
      <x:c r="DF31" s="121" t="n">
        <x:f>'Ставки'!DF$6</x:f>
      </x:c>
      <x:c r="DG31" s="121" t="n">
        <x:f>'Ставки'!DG$6</x:f>
      </x:c>
      <x:c r="DH31" s="121" t="n">
        <x:f>'Ставки'!DH$6</x:f>
      </x:c>
      <x:c r="DI31" s="121" t="n">
        <x:f>'Ставки'!DI$6</x:f>
      </x:c>
      <x:c r="DJ31" s="121" t="n">
        <x:f>'Ставки'!DJ$6</x:f>
      </x:c>
      <x:c r="DK31" s="121" t="n">
        <x:f>'Ставки'!DK$6</x:f>
      </x:c>
      <x:c r="DL31" s="121" t="n">
        <x:f>'Ставки'!DL$6</x:f>
      </x:c>
      <x:c r="DM31" s="121" t="n">
        <x:f>'Ставки'!DM$6</x:f>
      </x:c>
      <x:c r="DN31" s="121" t="n">
        <x:f>'Ставки'!DN$6</x:f>
      </x:c>
      <x:c r="DO31" s="121" t="n">
        <x:f>'Ставки'!DO$6</x:f>
      </x:c>
      <x:c r="DP31" s="121" t="n">
        <x:f>'Ставки'!DP$6</x:f>
      </x:c>
      <x:c r="DQ31" s="121" t="n">
        <x:f>'Ставки'!DQ$6</x:f>
      </x:c>
      <x:c r="DR31" s="121" t="n">
        <x:f>'Ставки'!DR$6</x:f>
      </x:c>
      <x:c r="DS31" s="121" t="n">
        <x:f>'Ставки'!DS$6</x:f>
      </x:c>
      <x:c r="DT31" s="121" t="n">
        <x:f>'Ставки'!DT$6</x:f>
      </x:c>
      <x:c r="DU31" s="121" t="n">
        <x:f>'Ставки'!DU$6</x:f>
      </x:c>
      <x:c r="DV31" s="121" t="n">
        <x:f>'Ставки'!DV$6</x:f>
      </x:c>
      <x:c r="DW31" s="121" t="n">
        <x:f>'Ставки'!DW$6</x:f>
      </x:c>
      <x:c r="DX31" s="121" t="n">
        <x:f>'Ставки'!DX$6</x:f>
      </x:c>
      <x:c r="DY31" s="121" t="n">
        <x:f>'Ставки'!DY$6</x:f>
      </x:c>
      <x:c r="DZ31" s="121" t="n">
        <x:f>'Ставки'!DZ$6</x:f>
      </x:c>
      <x:c r="EA31" s="121" t="n">
        <x:f>'Ставки'!EA$6</x:f>
      </x:c>
      <x:c r="EB31" s="121" t="n">
        <x:f>'Ставки'!EB$6</x:f>
      </x:c>
      <x:c r="EC31" s="121" t="n">
        <x:f>'Ставки'!EC$6</x:f>
      </x:c>
      <x:c r="ED31" s="121" t="n">
        <x:f>'Ставки'!ED$6</x:f>
      </x:c>
      <x:c r="EE31" s="121" t="n">
        <x:f>'Ставки'!EE$6</x:f>
      </x:c>
      <x:c r="EF31" s="121" t="n">
        <x:f>'Ставки'!EF$6</x:f>
      </x:c>
      <x:c r="EG31" s="121" t="n">
        <x:f>'Ставки'!EG$6</x:f>
      </x:c>
      <x:c r="EH31" s="121" t="n">
        <x:f>'Ставки'!EH$6</x:f>
      </x:c>
      <x:c r="EI31" s="121" t="n">
        <x:f>'Ставки'!EI$6</x:f>
      </x:c>
      <x:c r="EJ31" s="121" t="n">
        <x:f>'Ставки'!EJ$6</x:f>
      </x:c>
      <x:c r="EK31" s="121" t="n">
        <x:f>'Ставки'!EK$6</x:f>
      </x:c>
      <x:c r="EL31" s="121" t="n">
        <x:f>'Ставки'!EL$6</x:f>
      </x:c>
      <x:c r="EM31" s="121" t="n">
        <x:f>'Ставки'!EM$6</x:f>
      </x:c>
      <x:c r="EN31" s="121" t="n">
        <x:f>'Ставки'!EN$6</x:f>
      </x:c>
      <x:c r="EO31" s="121" t="n">
        <x:f>'Ставки'!EO$6</x:f>
      </x:c>
      <x:c r="EP31" s="121" t="n">
        <x:f>'Ставки'!EP$6</x:f>
      </x:c>
      <x:c r="EQ31" s="121" t="n">
        <x:f>'Ставки'!EQ$6</x:f>
      </x:c>
      <x:c r="ER31" s="121" t="n">
        <x:f>'Ставки'!ER$6</x:f>
      </x:c>
      <x:c r="ES31" s="121" t="n">
        <x:f>'Ставки'!ES$6</x:f>
      </x:c>
      <x:c r="ET31" s="121" t="n">
        <x:f>'Ставки'!ET$6</x:f>
      </x:c>
      <x:c r="EU31" s="121" t="n">
        <x:f>'Ставки'!EU$6</x:f>
      </x:c>
      <x:c r="EV31" s="121" t="n">
        <x:f>'Ставки'!EV$6</x:f>
      </x:c>
      <x:c r="EW31" s="121" t="n">
        <x:f>'Ставки'!EW$6</x:f>
      </x:c>
      <x:c r="EX31" s="121" t="n">
        <x:f>'Ставки'!EX$6</x:f>
      </x:c>
      <x:c r="EY31" s="121" t="n">
        <x:f>'Ставки'!EY$6</x:f>
      </x:c>
      <x:c r="EZ31" s="121" t="n">
        <x:f>'Ставки'!EZ$6</x:f>
      </x:c>
      <x:c r="FA31" s="121" t="n">
        <x:f>'Ставки'!FA$6</x:f>
      </x:c>
      <x:c r="FB31" s="121" t="n">
        <x:f>'Ставки'!FB$6</x:f>
      </x:c>
      <x:c r="FC31" s="121" t="n">
        <x:f>'Ставки'!FC$6</x:f>
      </x:c>
      <x:c r="FD31" s="121" t="n">
        <x:f>'Ставки'!FD$6</x:f>
      </x:c>
      <x:c r="FE31" s="121" t="n">
        <x:f>'Ставки'!FE$6</x:f>
      </x:c>
      <x:c r="FF31" s="121" t="n">
        <x:f>'Ставки'!FF$6</x:f>
      </x:c>
      <x:c r="FG31" s="121" t="n">
        <x:f>'Ставки'!FG$6</x:f>
      </x:c>
      <x:c r="FH31" s="121" t="n">
        <x:f>'Ставки'!FH$6</x:f>
      </x:c>
      <x:c r="FI31" s="121" t="n">
        <x:f>'Ставки'!FI$6</x:f>
      </x:c>
      <x:c r="FJ31" s="121" t="n">
        <x:f>'Ставки'!FJ$6</x:f>
      </x:c>
      <x:c r="FK31" s="121" t="n">
        <x:f>'Ставки'!FK$6</x:f>
      </x:c>
      <x:c r="FL31" s="121" t="n">
        <x:f>'Ставки'!FL$6</x:f>
      </x:c>
      <x:c r="FM31" s="121" t="n">
        <x:f>'Ставки'!FM$6</x:f>
      </x:c>
      <x:c r="FN31" s="121" t="n">
        <x:f>'Ставки'!FN$6</x:f>
      </x:c>
      <x:c r="FO31" s="121" t="n">
        <x:f>'Ставки'!FO$6</x:f>
      </x:c>
      <x:c r="FP31" s="121" t="n">
        <x:f>'Ставки'!FP$6</x:f>
      </x:c>
      <x:c r="FQ31" s="121" t="n">
        <x:f>'Ставки'!FQ$6</x:f>
      </x:c>
      <x:c r="FR31" s="121" t="n">
        <x:f>'Ставки'!FR$6</x:f>
      </x:c>
      <x:c r="FS31" s="121" t="n">
        <x:f>'Ставки'!FS$6</x:f>
      </x:c>
      <x:c r="FT31" s="121" t="n">
        <x:f>'Ставки'!FT$6</x:f>
      </x:c>
      <x:c r="FU31" s="121" t="n">
        <x:f>'Ставки'!FU$6</x:f>
      </x:c>
      <x:c r="FV31" s="121" t="n">
        <x:f>'Ставки'!FV$6</x:f>
      </x:c>
      <x:c r="FW31" s="121" t="n">
        <x:f>'Ставки'!FW$6</x:f>
      </x:c>
      <x:c r="FX31" s="121" t="n">
        <x:f>'Ставки'!FX$6</x:f>
      </x:c>
      <x:c r="FY31" s="121" t="n">
        <x:f>'Ставки'!FY$6</x:f>
      </x:c>
      <x:c r="FZ31" s="121" t="n">
        <x:f>'Ставки'!FZ$6</x:f>
      </x:c>
      <x:c r="GA31" s="121" t="n">
        <x:f>'Ставки'!GA$6</x:f>
      </x:c>
    </x:row>
    <x:row r="32">
      <x:c r="A32" t="str">
        <x:v>БРИДЖ — проценты</x:v>
      </x:c>
      <x:c r="B32" t="n">
        <x:f>SUM(D32:GA32)</x:f>
      </x:c>
      <x:c r="C32" t="str">
        <x:v>млн ₽</x:v>
      </x:c>
      <x:c r="D32" s="117">
        <x:f>IF(AND(D$3&lt;$B$7,$B$5=1),(D30+D34)*D31/12,0)</x:f>
      </x:c>
      <x:c r="E32" s="117">
        <x:f>IF(AND(E$3&lt;$B$7,$B$5=1),(E30+E34)*E31/12,0)</x:f>
      </x:c>
      <x:c r="F32" s="117">
        <x:f>IF(AND(F$3&lt;$B$7,$B$5=1),(F30+F34)*F31/12,0)</x:f>
      </x:c>
      <x:c r="G32" s="117">
        <x:f>IF(AND(G$3&lt;$B$7,$B$5=1),(G30+G34)*G31/12,0)</x:f>
      </x:c>
      <x:c r="H32" s="117">
        <x:f>IF(AND(H$3&lt;$B$7,$B$5=1),(H30+H34)*H31/12,0)</x:f>
      </x:c>
      <x:c r="I32" s="117">
        <x:f>IF(AND(I$3&lt;$B$7,$B$5=1),(I30+I34)*I31/12,0)</x:f>
      </x:c>
      <x:c r="J32" s="117">
        <x:f>IF(AND(J$3&lt;$B$7,$B$5=1),(J30+J34)*J31/12,0)</x:f>
      </x:c>
      <x:c r="K32" s="117">
        <x:f>IF(AND(K$3&lt;$B$7,$B$5=1),(K30+K34)*K31/12,0)</x:f>
      </x:c>
      <x:c r="L32" s="117">
        <x:f>IF(AND(L$3&lt;$B$7,$B$5=1),(L30+L34)*L31/12,0)</x:f>
      </x:c>
      <x:c r="M32" s="117">
        <x:f>IF(AND(M$3&lt;$B$7,$B$5=1),(M30+M34)*M31/12,0)</x:f>
      </x:c>
      <x:c r="N32" s="117">
        <x:f>IF(AND(N$3&lt;$B$7,$B$5=1),(N30+N34)*N31/12,0)</x:f>
      </x:c>
      <x:c r="O32" s="117">
        <x:f>IF(AND(O$3&lt;$B$7,$B$5=1),(O30+O34)*O31/12,0)</x:f>
      </x:c>
      <x:c r="P32" s="117">
        <x:f>IF(AND(P$3&lt;$B$7,$B$5=1),(P30+P34)*P31/12,0)</x:f>
      </x:c>
      <x:c r="Q32" s="117">
        <x:f>IF(AND(Q$3&lt;$B$7,$B$5=1),(Q30+Q34)*Q31/12,0)</x:f>
      </x:c>
      <x:c r="R32" s="117">
        <x:f>IF(AND(R$3&lt;$B$7,$B$5=1),(R30+R34)*R31/12,0)</x:f>
      </x:c>
      <x:c r="S32" s="117">
        <x:f>IF(AND(S$3&lt;$B$7,$B$5=1),(S30+S34)*S31/12,0)</x:f>
      </x:c>
      <x:c r="T32" s="117">
        <x:f>IF(AND(T$3&lt;$B$7,$B$5=1),(T30+T34)*T31/12,0)</x:f>
      </x:c>
      <x:c r="U32" s="117">
        <x:f>IF(AND(U$3&lt;$B$7,$B$5=1),(U30+U34)*U31/12,0)</x:f>
      </x:c>
      <x:c r="V32" s="117">
        <x:f>IF(AND(V$3&lt;$B$7,$B$5=1),(V30+V34)*V31/12,0)</x:f>
      </x:c>
      <x:c r="W32" s="117">
        <x:f>IF(AND(W$3&lt;$B$7,$B$5=1),(W30+W34)*W31/12,0)</x:f>
      </x:c>
      <x:c r="X32" s="117">
        <x:f>IF(AND(X$3&lt;$B$7,$B$5=1),(X30+X34)*X31/12,0)</x:f>
      </x:c>
      <x:c r="Y32" s="117">
        <x:f>IF(AND(Y$3&lt;$B$7,$B$5=1),(Y30+Y34)*Y31/12,0)</x:f>
      </x:c>
      <x:c r="Z32" s="117">
        <x:f>IF(AND(Z$3&lt;$B$7,$B$5=1),(Z30+Z34)*Z31/12,0)</x:f>
      </x:c>
      <x:c r="AA32" s="117">
        <x:f>IF(AND(AA$3&lt;$B$7,$B$5=1),(AA30+AA34)*AA31/12,0)</x:f>
      </x:c>
      <x:c r="AB32" s="117">
        <x:f>IF(AND(AB$3&lt;$B$7,$B$5=1),(AB30+AB34)*AB31/12,0)</x:f>
      </x:c>
      <x:c r="AC32" s="117">
        <x:f>IF(AND(AC$3&lt;$B$7,$B$5=1),(AC30+AC34)*AC31/12,0)</x:f>
      </x:c>
      <x:c r="AD32" s="117">
        <x:f>IF(AND(AD$3&lt;$B$7,$B$5=1),(AD30+AD34)*AD31/12,0)</x:f>
      </x:c>
      <x:c r="AE32" s="117">
        <x:f>IF(AND(AE$3&lt;$B$7,$B$5=1),(AE30+AE34)*AE31/12,0)</x:f>
      </x:c>
      <x:c r="AF32" s="117">
        <x:f>IF(AND(AF$3&lt;$B$7,$B$5=1),(AF30+AF34)*AF31/12,0)</x:f>
      </x:c>
      <x:c r="AG32" s="117">
        <x:f>IF(AND(AG$3&lt;$B$7,$B$5=1),(AG30+AG34)*AG31/12,0)</x:f>
      </x:c>
      <x:c r="AH32" s="117">
        <x:f>IF(AND(AH$3&lt;$B$7,$B$5=1),(AH30+AH34)*AH31/12,0)</x:f>
      </x:c>
      <x:c r="AI32" s="117">
        <x:f>IF(AND(AI$3&lt;$B$7,$B$5=1),(AI30+AI34)*AI31/12,0)</x:f>
      </x:c>
      <x:c r="AJ32" s="117">
        <x:f>IF(AND(AJ$3&lt;$B$7,$B$5=1),(AJ30+AJ34)*AJ31/12,0)</x:f>
      </x:c>
      <x:c r="AK32" s="117">
        <x:f>IF(AND(AK$3&lt;$B$7,$B$5=1),(AK30+AK34)*AK31/12,0)</x:f>
      </x:c>
      <x:c r="AL32" s="117">
        <x:f>IF(AND(AL$3&lt;$B$7,$B$5=1),(AL30+AL34)*AL31/12,0)</x:f>
      </x:c>
      <x:c r="AM32" s="117">
        <x:f>IF(AND(AM$3&lt;$B$7,$B$5=1),(AM30+AM34)*AM31/12,0)</x:f>
      </x:c>
      <x:c r="AN32" s="117">
        <x:f>IF(AND(AN$3&lt;$B$7,$B$5=1),(AN30+AN34)*AN31/12,0)</x:f>
      </x:c>
      <x:c r="AO32" s="117">
        <x:f>IF(AND(AO$3&lt;$B$7,$B$5=1),(AO30+AO34)*AO31/12,0)</x:f>
      </x:c>
      <x:c r="AP32" s="117">
        <x:f>IF(AND(AP$3&lt;$B$7,$B$5=1),(AP30+AP34)*AP31/12,0)</x:f>
      </x:c>
      <x:c r="AQ32" s="117">
        <x:f>IF(AND(AQ$3&lt;$B$7,$B$5=1),(AQ30+AQ34)*AQ31/12,0)</x:f>
      </x:c>
      <x:c r="AR32" s="117">
        <x:f>IF(AND(AR$3&lt;$B$7,$B$5=1),(AR30+AR34)*AR31/12,0)</x:f>
      </x:c>
      <x:c r="AS32" s="117">
        <x:f>IF(AND(AS$3&lt;$B$7,$B$5=1),(AS30+AS34)*AS31/12,0)</x:f>
      </x:c>
      <x:c r="AT32" s="117">
        <x:f>IF(AND(AT$3&lt;$B$7,$B$5=1),(AT30+AT34)*AT31/12,0)</x:f>
      </x:c>
      <x:c r="AU32" s="117">
        <x:f>IF(AND(AU$3&lt;$B$7,$B$5=1),(AU30+AU34)*AU31/12,0)</x:f>
      </x:c>
      <x:c r="AV32" s="117">
        <x:f>IF(AND(AV$3&lt;$B$7,$B$5=1),(AV30+AV34)*AV31/12,0)</x:f>
      </x:c>
      <x:c r="AW32" s="117">
        <x:f>IF(AND(AW$3&lt;$B$7,$B$5=1),(AW30+AW34)*AW31/12,0)</x:f>
      </x:c>
      <x:c r="AX32" s="117">
        <x:f>IF(AND(AX$3&lt;$B$7,$B$5=1),(AX30+AX34)*AX31/12,0)</x:f>
      </x:c>
      <x:c r="AY32" s="117">
        <x:f>IF(AND(AY$3&lt;$B$7,$B$5=1),(AY30+AY34)*AY31/12,0)</x:f>
      </x:c>
      <x:c r="AZ32" s="117">
        <x:f>IF(AND(AZ$3&lt;$B$7,$B$5=1),(AZ30+AZ34)*AZ31/12,0)</x:f>
      </x:c>
      <x:c r="BA32" s="117">
        <x:f>IF(AND(BA$3&lt;$B$7,$B$5=1),(BA30+BA34)*BA31/12,0)</x:f>
      </x:c>
      <x:c r="BB32" s="117">
        <x:f>IF(AND(BB$3&lt;$B$7,$B$5=1),(BB30+BB34)*BB31/12,0)</x:f>
      </x:c>
      <x:c r="BC32" s="117">
        <x:f>IF(AND(BC$3&lt;$B$7,$B$5=1),(BC30+BC34)*BC31/12,0)</x:f>
      </x:c>
      <x:c r="BD32" s="117">
        <x:f>IF(AND(BD$3&lt;$B$7,$B$5=1),(BD30+BD34)*BD31/12,0)</x:f>
      </x:c>
      <x:c r="BE32" s="117">
        <x:f>IF(AND(BE$3&lt;$B$7,$B$5=1),(BE30+BE34)*BE31/12,0)</x:f>
      </x:c>
      <x:c r="BF32" s="117">
        <x:f>IF(AND(BF$3&lt;$B$7,$B$5=1),(BF30+BF34)*BF31/12,0)</x:f>
      </x:c>
      <x:c r="BG32" s="117">
        <x:f>IF(AND(BG$3&lt;$B$7,$B$5=1),(BG30+BG34)*BG31/12,0)</x:f>
      </x:c>
      <x:c r="BH32" s="117">
        <x:f>IF(AND(BH$3&lt;$B$7,$B$5=1),(BH30+BH34)*BH31/12,0)</x:f>
      </x:c>
      <x:c r="BI32" s="117">
        <x:f>IF(AND(BI$3&lt;$B$7,$B$5=1),(BI30+BI34)*BI31/12,0)</x:f>
      </x:c>
      <x:c r="BJ32" s="117">
        <x:f>IF(AND(BJ$3&lt;$B$7,$B$5=1),(BJ30+BJ34)*BJ31/12,0)</x:f>
      </x:c>
      <x:c r="BK32" s="117">
        <x:f>IF(AND(BK$3&lt;$B$7,$B$5=1),(BK30+BK34)*BK31/12,0)</x:f>
      </x:c>
      <x:c r="BL32" s="117">
        <x:f>IF(AND(BL$3&lt;$B$7,$B$5=1),(BL30+BL34)*BL31/12,0)</x:f>
      </x:c>
      <x:c r="BM32" s="117">
        <x:f>IF(AND(BM$3&lt;$B$7,$B$5=1),(BM30+BM34)*BM31/12,0)</x:f>
      </x:c>
      <x:c r="BN32" s="117">
        <x:f>IF(AND(BN$3&lt;$B$7,$B$5=1),(BN30+BN34)*BN31/12,0)</x:f>
      </x:c>
      <x:c r="BO32" s="117">
        <x:f>IF(AND(BO$3&lt;$B$7,$B$5=1),(BO30+BO34)*BO31/12,0)</x:f>
      </x:c>
      <x:c r="BP32" s="117">
        <x:f>IF(AND(BP$3&lt;$B$7,$B$5=1),(BP30+BP34)*BP31/12,0)</x:f>
      </x:c>
      <x:c r="BQ32" s="117">
        <x:f>IF(AND(BQ$3&lt;$B$7,$B$5=1),(BQ30+BQ34)*BQ31/12,0)</x:f>
      </x:c>
      <x:c r="BR32" s="117">
        <x:f>IF(AND(BR$3&lt;$B$7,$B$5=1),(BR30+BR34)*BR31/12,0)</x:f>
      </x:c>
      <x:c r="BS32" s="117">
        <x:f>IF(AND(BS$3&lt;$B$7,$B$5=1),(BS30+BS34)*BS31/12,0)</x:f>
      </x:c>
      <x:c r="BT32" s="117">
        <x:f>IF(AND(BT$3&lt;$B$7,$B$5=1),(BT30+BT34)*BT31/12,0)</x:f>
      </x:c>
      <x:c r="BU32" s="117">
        <x:f>IF(AND(BU$3&lt;$B$7,$B$5=1),(BU30+BU34)*BU31/12,0)</x:f>
      </x:c>
      <x:c r="BV32" s="117">
        <x:f>IF(AND(BV$3&lt;$B$7,$B$5=1),(BV30+BV34)*BV31/12,0)</x:f>
      </x:c>
      <x:c r="BW32" s="117">
        <x:f>IF(AND(BW$3&lt;$B$7,$B$5=1),(BW30+BW34)*BW31/12,0)</x:f>
      </x:c>
      <x:c r="BX32" s="117">
        <x:f>IF(AND(BX$3&lt;$B$7,$B$5=1),(BX30+BX34)*BX31/12,0)</x:f>
      </x:c>
      <x:c r="BY32" s="117">
        <x:f>IF(AND(BY$3&lt;$B$7,$B$5=1),(BY30+BY34)*BY31/12,0)</x:f>
      </x:c>
      <x:c r="BZ32" s="117">
        <x:f>IF(AND(BZ$3&lt;$B$7,$B$5=1),(BZ30+BZ34)*BZ31/12,0)</x:f>
      </x:c>
      <x:c r="CA32" s="117">
        <x:f>IF(AND(CA$3&lt;$B$7,$B$5=1),(CA30+CA34)*CA31/12,0)</x:f>
      </x:c>
      <x:c r="CB32" s="117">
        <x:f>IF(AND(CB$3&lt;$B$7,$B$5=1),(CB30+CB34)*CB31/12,0)</x:f>
      </x:c>
      <x:c r="CC32" s="117">
        <x:f>IF(AND(CC$3&lt;$B$7,$B$5=1),(CC30+CC34)*CC31/12,0)</x:f>
      </x:c>
      <x:c r="CD32" s="117">
        <x:f>IF(AND(CD$3&lt;$B$7,$B$5=1),(CD30+CD34)*CD31/12,0)</x:f>
      </x:c>
      <x:c r="CE32" s="117">
        <x:f>IF(AND(CE$3&lt;$B$7,$B$5=1),(CE30+CE34)*CE31/12,0)</x:f>
      </x:c>
      <x:c r="CF32" s="117">
        <x:f>IF(AND(CF$3&lt;$B$7,$B$5=1),(CF30+CF34)*CF31/12,0)</x:f>
      </x:c>
      <x:c r="CG32" s="117">
        <x:f>IF(AND(CG$3&lt;$B$7,$B$5=1),(CG30+CG34)*CG31/12,0)</x:f>
      </x:c>
      <x:c r="CH32" s="117">
        <x:f>IF(AND(CH$3&lt;$B$7,$B$5=1),(CH30+CH34)*CH31/12,0)</x:f>
      </x:c>
      <x:c r="CI32" s="117">
        <x:f>IF(AND(CI$3&lt;$B$7,$B$5=1),(CI30+CI34)*CI31/12,0)</x:f>
      </x:c>
      <x:c r="CJ32" s="117">
        <x:f>IF(AND(CJ$3&lt;$B$7,$B$5=1),(CJ30+CJ34)*CJ31/12,0)</x:f>
      </x:c>
      <x:c r="CK32" s="117">
        <x:f>IF(AND(CK$3&lt;$B$7,$B$5=1),(CK30+CK34)*CK31/12,0)</x:f>
      </x:c>
      <x:c r="CL32" s="117">
        <x:f>IF(AND(CL$3&lt;$B$7,$B$5=1),(CL30+CL34)*CL31/12,0)</x:f>
      </x:c>
      <x:c r="CM32" s="117">
        <x:f>IF(AND(CM$3&lt;$B$7,$B$5=1),(CM30+CM34)*CM31/12,0)</x:f>
      </x:c>
      <x:c r="CN32" s="117">
        <x:f>IF(AND(CN$3&lt;$B$7,$B$5=1),(CN30+CN34)*CN31/12,0)</x:f>
      </x:c>
      <x:c r="CO32" s="117">
        <x:f>IF(AND(CO$3&lt;$B$7,$B$5=1),(CO30+CO34)*CO31/12,0)</x:f>
      </x:c>
      <x:c r="CP32" s="117">
        <x:f>IF(AND(CP$3&lt;$B$7,$B$5=1),(CP30+CP34)*CP31/12,0)</x:f>
      </x:c>
      <x:c r="CQ32" s="117">
        <x:f>IF(AND(CQ$3&lt;$B$7,$B$5=1),(CQ30+CQ34)*CQ31/12,0)</x:f>
      </x:c>
      <x:c r="CR32" s="117">
        <x:f>IF(AND(CR$3&lt;$B$7,$B$5=1),(CR30+CR34)*CR31/12,0)</x:f>
      </x:c>
      <x:c r="CS32" s="117">
        <x:f>IF(AND(CS$3&lt;$B$7,$B$5=1),(CS30+CS34)*CS31/12,0)</x:f>
      </x:c>
      <x:c r="CT32" s="117">
        <x:f>IF(AND(CT$3&lt;$B$7,$B$5=1),(CT30+CT34)*CT31/12,0)</x:f>
      </x:c>
      <x:c r="CU32" s="117">
        <x:f>IF(AND(CU$3&lt;$B$7,$B$5=1),(CU30+CU34)*CU31/12,0)</x:f>
      </x:c>
      <x:c r="CV32" s="117">
        <x:f>IF(AND(CV$3&lt;$B$7,$B$5=1),(CV30+CV34)*CV31/12,0)</x:f>
      </x:c>
      <x:c r="CW32" s="117">
        <x:f>IF(AND(CW$3&lt;$B$7,$B$5=1),(CW30+CW34)*CW31/12,0)</x:f>
      </x:c>
      <x:c r="CX32" s="117">
        <x:f>IF(AND(CX$3&lt;$B$7,$B$5=1),(CX30+CX34)*CX31/12,0)</x:f>
      </x:c>
      <x:c r="CY32" s="117">
        <x:f>IF(AND(CY$3&lt;$B$7,$B$5=1),(CY30+CY34)*CY31/12,0)</x:f>
      </x:c>
      <x:c r="CZ32" s="117">
        <x:f>IF(AND(CZ$3&lt;$B$7,$B$5=1),(CZ30+CZ34)*CZ31/12,0)</x:f>
      </x:c>
      <x:c r="DA32" s="117">
        <x:f>IF(AND(DA$3&lt;$B$7,$B$5=1),(DA30+DA34)*DA31/12,0)</x:f>
      </x:c>
      <x:c r="DB32" s="117">
        <x:f>IF(AND(DB$3&lt;$B$7,$B$5=1),(DB30+DB34)*DB31/12,0)</x:f>
      </x:c>
      <x:c r="DC32" s="117">
        <x:f>IF(AND(DC$3&lt;$B$7,$B$5=1),(DC30+DC34)*DC31/12,0)</x:f>
      </x:c>
      <x:c r="DD32" s="117">
        <x:f>IF(AND(DD$3&lt;$B$7,$B$5=1),(DD30+DD34)*DD31/12,0)</x:f>
      </x:c>
      <x:c r="DE32" s="117">
        <x:f>IF(AND(DE$3&lt;$B$7,$B$5=1),(DE30+DE34)*DE31/12,0)</x:f>
      </x:c>
      <x:c r="DF32" s="117">
        <x:f>IF(AND(DF$3&lt;$B$7,$B$5=1),(DF30+DF34)*DF31/12,0)</x:f>
      </x:c>
      <x:c r="DG32" s="117">
        <x:f>IF(AND(DG$3&lt;$B$7,$B$5=1),(DG30+DG34)*DG31/12,0)</x:f>
      </x:c>
      <x:c r="DH32" s="117">
        <x:f>IF(AND(DH$3&lt;$B$7,$B$5=1),(DH30+DH34)*DH31/12,0)</x:f>
      </x:c>
      <x:c r="DI32" s="117">
        <x:f>IF(AND(DI$3&lt;$B$7,$B$5=1),(DI30+DI34)*DI31/12,0)</x:f>
      </x:c>
      <x:c r="DJ32" s="117">
        <x:f>IF(AND(DJ$3&lt;$B$7,$B$5=1),(DJ30+DJ34)*DJ31/12,0)</x:f>
      </x:c>
      <x:c r="DK32" s="117">
        <x:f>IF(AND(DK$3&lt;$B$7,$B$5=1),(DK30+DK34)*DK31/12,0)</x:f>
      </x:c>
      <x:c r="DL32" s="117">
        <x:f>IF(AND(DL$3&lt;$B$7,$B$5=1),(DL30+DL34)*DL31/12,0)</x:f>
      </x:c>
      <x:c r="DM32" s="117">
        <x:f>IF(AND(DM$3&lt;$B$7,$B$5=1),(DM30+DM34)*DM31/12,0)</x:f>
      </x:c>
      <x:c r="DN32" s="117">
        <x:f>IF(AND(DN$3&lt;$B$7,$B$5=1),(DN30+DN34)*DN31/12,0)</x:f>
      </x:c>
      <x:c r="DO32" s="117">
        <x:f>IF(AND(DO$3&lt;$B$7,$B$5=1),(DO30+DO34)*DO31/12,0)</x:f>
      </x:c>
      <x:c r="DP32" s="117">
        <x:f>IF(AND(DP$3&lt;$B$7,$B$5=1),(DP30+DP34)*DP31/12,0)</x:f>
      </x:c>
      <x:c r="DQ32" s="117">
        <x:f>IF(AND(DQ$3&lt;$B$7,$B$5=1),(DQ30+DQ34)*DQ31/12,0)</x:f>
      </x:c>
      <x:c r="DR32" s="117">
        <x:f>IF(AND(DR$3&lt;$B$7,$B$5=1),(DR30+DR34)*DR31/12,0)</x:f>
      </x:c>
      <x:c r="DS32" s="117">
        <x:f>IF(AND(DS$3&lt;$B$7,$B$5=1),(DS30+DS34)*DS31/12,0)</x:f>
      </x:c>
      <x:c r="DT32" s="117">
        <x:f>IF(AND(DT$3&lt;$B$7,$B$5=1),(DT30+DT34)*DT31/12,0)</x:f>
      </x:c>
      <x:c r="DU32" s="117">
        <x:f>IF(AND(DU$3&lt;$B$7,$B$5=1),(DU30+DU34)*DU31/12,0)</x:f>
      </x:c>
      <x:c r="DV32" s="117">
        <x:f>IF(AND(DV$3&lt;$B$7,$B$5=1),(DV30+DV34)*DV31/12,0)</x:f>
      </x:c>
      <x:c r="DW32" s="117">
        <x:f>IF(AND(DW$3&lt;$B$7,$B$5=1),(DW30+DW34)*DW31/12,0)</x:f>
      </x:c>
      <x:c r="DX32" s="117">
        <x:f>IF(AND(DX$3&lt;$B$7,$B$5=1),(DX30+DX34)*DX31/12,0)</x:f>
      </x:c>
      <x:c r="DY32" s="117">
        <x:f>IF(AND(DY$3&lt;$B$7,$B$5=1),(DY30+DY34)*DY31/12,0)</x:f>
      </x:c>
      <x:c r="DZ32" s="117">
        <x:f>IF(AND(DZ$3&lt;$B$7,$B$5=1),(DZ30+DZ34)*DZ31/12,0)</x:f>
      </x:c>
      <x:c r="EA32" s="117">
        <x:f>IF(AND(EA$3&lt;$B$7,$B$5=1),(EA30+EA34)*EA31/12,0)</x:f>
      </x:c>
      <x:c r="EB32" s="117">
        <x:f>IF(AND(EB$3&lt;$B$7,$B$5=1),(EB30+EB34)*EB31/12,0)</x:f>
      </x:c>
      <x:c r="EC32" s="117">
        <x:f>IF(AND(EC$3&lt;$B$7,$B$5=1),(EC30+EC34)*EC31/12,0)</x:f>
      </x:c>
      <x:c r="ED32" s="117">
        <x:f>IF(AND(ED$3&lt;$B$7,$B$5=1),(ED30+ED34)*ED31/12,0)</x:f>
      </x:c>
      <x:c r="EE32" s="117">
        <x:f>IF(AND(EE$3&lt;$B$7,$B$5=1),(EE30+EE34)*EE31/12,0)</x:f>
      </x:c>
      <x:c r="EF32" s="117">
        <x:f>IF(AND(EF$3&lt;$B$7,$B$5=1),(EF30+EF34)*EF31/12,0)</x:f>
      </x:c>
      <x:c r="EG32" s="117">
        <x:f>IF(AND(EG$3&lt;$B$7,$B$5=1),(EG30+EG34)*EG31/12,0)</x:f>
      </x:c>
      <x:c r="EH32" s="117">
        <x:f>IF(AND(EH$3&lt;$B$7,$B$5=1),(EH30+EH34)*EH31/12,0)</x:f>
      </x:c>
      <x:c r="EI32" s="117">
        <x:f>IF(AND(EI$3&lt;$B$7,$B$5=1),(EI30+EI34)*EI31/12,0)</x:f>
      </x:c>
      <x:c r="EJ32" s="117">
        <x:f>IF(AND(EJ$3&lt;$B$7,$B$5=1),(EJ30+EJ34)*EJ31/12,0)</x:f>
      </x:c>
      <x:c r="EK32" s="117">
        <x:f>IF(AND(EK$3&lt;$B$7,$B$5=1),(EK30+EK34)*EK31/12,0)</x:f>
      </x:c>
      <x:c r="EL32" s="117">
        <x:f>IF(AND(EL$3&lt;$B$7,$B$5=1),(EL30+EL34)*EL31/12,0)</x:f>
      </x:c>
      <x:c r="EM32" s="117">
        <x:f>IF(AND(EM$3&lt;$B$7,$B$5=1),(EM30+EM34)*EM31/12,0)</x:f>
      </x:c>
      <x:c r="EN32" s="117">
        <x:f>IF(AND(EN$3&lt;$B$7,$B$5=1),(EN30+EN34)*EN31/12,0)</x:f>
      </x:c>
      <x:c r="EO32" s="117">
        <x:f>IF(AND(EO$3&lt;$B$7,$B$5=1),(EO30+EO34)*EO31/12,0)</x:f>
      </x:c>
      <x:c r="EP32" s="117">
        <x:f>IF(AND(EP$3&lt;$B$7,$B$5=1),(EP30+EP34)*EP31/12,0)</x:f>
      </x:c>
      <x:c r="EQ32" s="117">
        <x:f>IF(AND(EQ$3&lt;$B$7,$B$5=1),(EQ30+EQ34)*EQ31/12,0)</x:f>
      </x:c>
      <x:c r="ER32" s="117">
        <x:f>IF(AND(ER$3&lt;$B$7,$B$5=1),(ER30+ER34)*ER31/12,0)</x:f>
      </x:c>
      <x:c r="ES32" s="117">
        <x:f>IF(AND(ES$3&lt;$B$7,$B$5=1),(ES30+ES34)*ES31/12,0)</x:f>
      </x:c>
      <x:c r="ET32" s="117">
        <x:f>IF(AND(ET$3&lt;$B$7,$B$5=1),(ET30+ET34)*ET31/12,0)</x:f>
      </x:c>
      <x:c r="EU32" s="117">
        <x:f>IF(AND(EU$3&lt;$B$7,$B$5=1),(EU30+EU34)*EU31/12,0)</x:f>
      </x:c>
      <x:c r="EV32" s="117">
        <x:f>IF(AND(EV$3&lt;$B$7,$B$5=1),(EV30+EV34)*EV31/12,0)</x:f>
      </x:c>
      <x:c r="EW32" s="117">
        <x:f>IF(AND(EW$3&lt;$B$7,$B$5=1),(EW30+EW34)*EW31/12,0)</x:f>
      </x:c>
      <x:c r="EX32" s="117">
        <x:f>IF(AND(EX$3&lt;$B$7,$B$5=1),(EX30+EX34)*EX31/12,0)</x:f>
      </x:c>
      <x:c r="EY32" s="117">
        <x:f>IF(AND(EY$3&lt;$B$7,$B$5=1),(EY30+EY34)*EY31/12,0)</x:f>
      </x:c>
      <x:c r="EZ32" s="117">
        <x:f>IF(AND(EZ$3&lt;$B$7,$B$5=1),(EZ30+EZ34)*EZ31/12,0)</x:f>
      </x:c>
      <x:c r="FA32" s="117">
        <x:f>IF(AND(FA$3&lt;$B$7,$B$5=1),(FA30+FA34)*FA31/12,0)</x:f>
      </x:c>
      <x:c r="FB32" s="117">
        <x:f>IF(AND(FB$3&lt;$B$7,$B$5=1),(FB30+FB34)*FB31/12,0)</x:f>
      </x:c>
      <x:c r="FC32" s="117">
        <x:f>IF(AND(FC$3&lt;$B$7,$B$5=1),(FC30+FC34)*FC31/12,0)</x:f>
      </x:c>
      <x:c r="FD32" s="117">
        <x:f>IF(AND(FD$3&lt;$B$7,$B$5=1),(FD30+FD34)*FD31/12,0)</x:f>
      </x:c>
      <x:c r="FE32" s="117">
        <x:f>IF(AND(FE$3&lt;$B$7,$B$5=1),(FE30+FE34)*FE31/12,0)</x:f>
      </x:c>
      <x:c r="FF32" s="117">
        <x:f>IF(AND(FF$3&lt;$B$7,$B$5=1),(FF30+FF34)*FF31/12,0)</x:f>
      </x:c>
      <x:c r="FG32" s="117">
        <x:f>IF(AND(FG$3&lt;$B$7,$B$5=1),(FG30+FG34)*FG31/12,0)</x:f>
      </x:c>
      <x:c r="FH32" s="117">
        <x:f>IF(AND(FH$3&lt;$B$7,$B$5=1),(FH30+FH34)*FH31/12,0)</x:f>
      </x:c>
      <x:c r="FI32" s="117">
        <x:f>IF(AND(FI$3&lt;$B$7,$B$5=1),(FI30+FI34)*FI31/12,0)</x:f>
      </x:c>
      <x:c r="FJ32" s="117">
        <x:f>IF(AND(FJ$3&lt;$B$7,$B$5=1),(FJ30+FJ34)*FJ31/12,0)</x:f>
      </x:c>
      <x:c r="FK32" s="117">
        <x:f>IF(AND(FK$3&lt;$B$7,$B$5=1),(FK30+FK34)*FK31/12,0)</x:f>
      </x:c>
      <x:c r="FL32" s="117">
        <x:f>IF(AND(FL$3&lt;$B$7,$B$5=1),(FL30+FL34)*FL31/12,0)</x:f>
      </x:c>
      <x:c r="FM32" s="117">
        <x:f>IF(AND(FM$3&lt;$B$7,$B$5=1),(FM30+FM34)*FM31/12,0)</x:f>
      </x:c>
      <x:c r="FN32" s="117">
        <x:f>IF(AND(FN$3&lt;$B$7,$B$5=1),(FN30+FN34)*FN31/12,0)</x:f>
      </x:c>
      <x:c r="FO32" s="117">
        <x:f>IF(AND(FO$3&lt;$B$7,$B$5=1),(FO30+FO34)*FO31/12,0)</x:f>
      </x:c>
      <x:c r="FP32" s="117">
        <x:f>IF(AND(FP$3&lt;$B$7,$B$5=1),(FP30+FP34)*FP31/12,0)</x:f>
      </x:c>
      <x:c r="FQ32" s="117">
        <x:f>IF(AND(FQ$3&lt;$B$7,$B$5=1),(FQ30+FQ34)*FQ31/12,0)</x:f>
      </x:c>
      <x:c r="FR32" s="117">
        <x:f>IF(AND(FR$3&lt;$B$7,$B$5=1),(FR30+FR34)*FR31/12,0)</x:f>
      </x:c>
      <x:c r="FS32" s="117">
        <x:f>IF(AND(FS$3&lt;$B$7,$B$5=1),(FS30+FS34)*FS31/12,0)</x:f>
      </x:c>
      <x:c r="FT32" s="117">
        <x:f>IF(AND(FT$3&lt;$B$7,$B$5=1),(FT30+FT34)*FT31/12,0)</x:f>
      </x:c>
      <x:c r="FU32" s="117">
        <x:f>IF(AND(FU$3&lt;$B$7,$B$5=1),(FU30+FU34)*FU31/12,0)</x:f>
      </x:c>
      <x:c r="FV32" s="117">
        <x:f>IF(AND(FV$3&lt;$B$7,$B$5=1),(FV30+FV34)*FV31/12,0)</x:f>
      </x:c>
      <x:c r="FW32" s="117">
        <x:f>IF(AND(FW$3&lt;$B$7,$B$5=1),(FW30+FW34)*FW31/12,0)</x:f>
      </x:c>
      <x:c r="FX32" s="117">
        <x:f>IF(AND(FX$3&lt;$B$7,$B$5=1),(FX30+FX34)*FX31/12,0)</x:f>
      </x:c>
      <x:c r="FY32" s="117">
        <x:f>IF(AND(FY$3&lt;$B$7,$B$5=1),(FY30+FY34)*FY31/12,0)</x:f>
      </x:c>
      <x:c r="FZ32" s="117">
        <x:f>IF(AND(FZ$3&lt;$B$7,$B$5=1),(FZ30+FZ34)*FZ31/12,0)</x:f>
      </x:c>
      <x:c r="GA32" s="117">
        <x:f>IF(AND(GA$3&lt;$B$7,$B$5=1),(GA30+GA34)*GA31/12,0)</x:f>
      </x:c>
    </x:row>
    <x:row r="33">
      <x:c r="A33" t="str">
        <x:v>БРИДЖ — потребность</x:v>
      </x:c>
      <x:c r="B33"/>
      <x:c r="C33" t="str">
        <x:v>млн ₽</x:v>
      </x:c>
      <x:c r="D33" s="117">
        <x:f>IF(D$3&lt;$B$7,MAX(0,D20+D24-D27),0)</x:f>
      </x:c>
      <x:c r="E33" s="117">
        <x:f>IF(E$3&lt;$B$7,MAX(0,E20+E24-E27),0)</x:f>
      </x:c>
      <x:c r="F33" s="117">
        <x:f>IF(F$3&lt;$B$7,MAX(0,F20+F24-F27),0)</x:f>
      </x:c>
      <x:c r="G33" s="117">
        <x:f>IF(G$3&lt;$B$7,MAX(0,G20+G24-G27),0)</x:f>
      </x:c>
      <x:c r="H33" s="117">
        <x:f>IF(H$3&lt;$B$7,MAX(0,H20+H24-H27),0)</x:f>
      </x:c>
      <x:c r="I33" s="117">
        <x:f>IF(I$3&lt;$B$7,MAX(0,I20+I24-I27),0)</x:f>
      </x:c>
      <x:c r="J33" s="117">
        <x:f>IF(J$3&lt;$B$7,MAX(0,J20+J24-J27),0)</x:f>
      </x:c>
      <x:c r="K33" s="117">
        <x:f>IF(K$3&lt;$B$7,MAX(0,K20+K24-K27),0)</x:f>
      </x:c>
      <x:c r="L33" s="117">
        <x:f>IF(L$3&lt;$B$7,MAX(0,L20+L24-L27),0)</x:f>
      </x:c>
      <x:c r="M33" s="117">
        <x:f>IF(M$3&lt;$B$7,MAX(0,M20+M24-M27),0)</x:f>
      </x:c>
      <x:c r="N33" s="117">
        <x:f>IF(N$3&lt;$B$7,MAX(0,N20+N24-N27),0)</x:f>
      </x:c>
      <x:c r="O33" s="117">
        <x:f>IF(O$3&lt;$B$7,MAX(0,O20+O24-O27),0)</x:f>
      </x:c>
      <x:c r="P33" s="117">
        <x:f>IF(P$3&lt;$B$7,MAX(0,P20+P24-P27),0)</x:f>
      </x:c>
      <x:c r="Q33" s="117">
        <x:f>IF(Q$3&lt;$B$7,MAX(0,Q20+Q24-Q27),0)</x:f>
      </x:c>
      <x:c r="R33" s="117">
        <x:f>IF(R$3&lt;$B$7,MAX(0,R20+R24-R27),0)</x:f>
      </x:c>
      <x:c r="S33" s="117">
        <x:f>IF(S$3&lt;$B$7,MAX(0,S20+S24-S27),0)</x:f>
      </x:c>
      <x:c r="T33" s="117">
        <x:f>IF(T$3&lt;$B$7,MAX(0,T20+T24-T27),0)</x:f>
      </x:c>
      <x:c r="U33" s="117">
        <x:f>IF(U$3&lt;$B$7,MAX(0,U20+U24-U27),0)</x:f>
      </x:c>
      <x:c r="V33" s="117">
        <x:f>IF(V$3&lt;$B$7,MAX(0,V20+V24-V27),0)</x:f>
      </x:c>
      <x:c r="W33" s="117">
        <x:f>IF(W$3&lt;$B$7,MAX(0,W20+W24-W27),0)</x:f>
      </x:c>
      <x:c r="X33" s="117">
        <x:f>IF(X$3&lt;$B$7,MAX(0,X20+X24-X27),0)</x:f>
      </x:c>
      <x:c r="Y33" s="117">
        <x:f>IF(Y$3&lt;$B$7,MAX(0,Y20+Y24-Y27),0)</x:f>
      </x:c>
      <x:c r="Z33" s="117">
        <x:f>IF(Z$3&lt;$B$7,MAX(0,Z20+Z24-Z27),0)</x:f>
      </x:c>
      <x:c r="AA33" s="117">
        <x:f>IF(AA$3&lt;$B$7,MAX(0,AA20+AA24-AA27),0)</x:f>
      </x:c>
      <x:c r="AB33" s="117">
        <x:f>IF(AB$3&lt;$B$7,MAX(0,AB20+AB24-AB27),0)</x:f>
      </x:c>
      <x:c r="AC33" s="117">
        <x:f>IF(AC$3&lt;$B$7,MAX(0,AC20+AC24-AC27),0)</x:f>
      </x:c>
      <x:c r="AD33" s="117">
        <x:f>IF(AD$3&lt;$B$7,MAX(0,AD20+AD24-AD27),0)</x:f>
      </x:c>
      <x:c r="AE33" s="117">
        <x:f>IF(AE$3&lt;$B$7,MAX(0,AE20+AE24-AE27),0)</x:f>
      </x:c>
      <x:c r="AF33" s="117">
        <x:f>IF(AF$3&lt;$B$7,MAX(0,AF20+AF24-AF27),0)</x:f>
      </x:c>
      <x:c r="AG33" s="117">
        <x:f>IF(AG$3&lt;$B$7,MAX(0,AG20+AG24-AG27),0)</x:f>
      </x:c>
      <x:c r="AH33" s="117">
        <x:f>IF(AH$3&lt;$B$7,MAX(0,AH20+AH24-AH27),0)</x:f>
      </x:c>
      <x:c r="AI33" s="117">
        <x:f>IF(AI$3&lt;$B$7,MAX(0,AI20+AI24-AI27),0)</x:f>
      </x:c>
      <x:c r="AJ33" s="117">
        <x:f>IF(AJ$3&lt;$B$7,MAX(0,AJ20+AJ24-AJ27),0)</x:f>
      </x:c>
      <x:c r="AK33" s="117">
        <x:f>IF(AK$3&lt;$B$7,MAX(0,AK20+AK24-AK27),0)</x:f>
      </x:c>
      <x:c r="AL33" s="117">
        <x:f>IF(AL$3&lt;$B$7,MAX(0,AL20+AL24-AL27),0)</x:f>
      </x:c>
      <x:c r="AM33" s="117">
        <x:f>IF(AM$3&lt;$B$7,MAX(0,AM20+AM24-AM27),0)</x:f>
      </x:c>
      <x:c r="AN33" s="117">
        <x:f>IF(AN$3&lt;$B$7,MAX(0,AN20+AN24-AN27),0)</x:f>
      </x:c>
      <x:c r="AO33" s="117">
        <x:f>IF(AO$3&lt;$B$7,MAX(0,AO20+AO24-AO27),0)</x:f>
      </x:c>
      <x:c r="AP33" s="117">
        <x:f>IF(AP$3&lt;$B$7,MAX(0,AP20+AP24-AP27),0)</x:f>
      </x:c>
      <x:c r="AQ33" s="117">
        <x:f>IF(AQ$3&lt;$B$7,MAX(0,AQ20+AQ24-AQ27),0)</x:f>
      </x:c>
      <x:c r="AR33" s="117">
        <x:f>IF(AR$3&lt;$B$7,MAX(0,AR20+AR24-AR27),0)</x:f>
      </x:c>
      <x:c r="AS33" s="117">
        <x:f>IF(AS$3&lt;$B$7,MAX(0,AS20+AS24-AS27),0)</x:f>
      </x:c>
      <x:c r="AT33" s="117">
        <x:f>IF(AT$3&lt;$B$7,MAX(0,AT20+AT24-AT27),0)</x:f>
      </x:c>
      <x:c r="AU33" s="117">
        <x:f>IF(AU$3&lt;$B$7,MAX(0,AU20+AU24-AU27),0)</x:f>
      </x:c>
      <x:c r="AV33" s="117">
        <x:f>IF(AV$3&lt;$B$7,MAX(0,AV20+AV24-AV27),0)</x:f>
      </x:c>
      <x:c r="AW33" s="117">
        <x:f>IF(AW$3&lt;$B$7,MAX(0,AW20+AW24-AW27),0)</x:f>
      </x:c>
      <x:c r="AX33" s="117">
        <x:f>IF(AX$3&lt;$B$7,MAX(0,AX20+AX24-AX27),0)</x:f>
      </x:c>
      <x:c r="AY33" s="117">
        <x:f>IF(AY$3&lt;$B$7,MAX(0,AY20+AY24-AY27),0)</x:f>
      </x:c>
      <x:c r="AZ33" s="117">
        <x:f>IF(AZ$3&lt;$B$7,MAX(0,AZ20+AZ24-AZ27),0)</x:f>
      </x:c>
      <x:c r="BA33" s="117">
        <x:f>IF(BA$3&lt;$B$7,MAX(0,BA20+BA24-BA27),0)</x:f>
      </x:c>
      <x:c r="BB33" s="117">
        <x:f>IF(BB$3&lt;$B$7,MAX(0,BB20+BB24-BB27),0)</x:f>
      </x:c>
      <x:c r="BC33" s="117">
        <x:f>IF(BC$3&lt;$B$7,MAX(0,BC20+BC24-BC27),0)</x:f>
      </x:c>
      <x:c r="BD33" s="117">
        <x:f>IF(BD$3&lt;$B$7,MAX(0,BD20+BD24-BD27),0)</x:f>
      </x:c>
      <x:c r="BE33" s="117">
        <x:f>IF(BE$3&lt;$B$7,MAX(0,BE20+BE24-BE27),0)</x:f>
      </x:c>
      <x:c r="BF33" s="117">
        <x:f>IF(BF$3&lt;$B$7,MAX(0,BF20+BF24-BF27),0)</x:f>
      </x:c>
      <x:c r="BG33" s="117">
        <x:f>IF(BG$3&lt;$B$7,MAX(0,BG20+BG24-BG27),0)</x:f>
      </x:c>
      <x:c r="BH33" s="117">
        <x:f>IF(BH$3&lt;$B$7,MAX(0,BH20+BH24-BH27),0)</x:f>
      </x:c>
      <x:c r="BI33" s="117">
        <x:f>IF(BI$3&lt;$B$7,MAX(0,BI20+BI24-BI27),0)</x:f>
      </x:c>
      <x:c r="BJ33" s="117">
        <x:f>IF(BJ$3&lt;$B$7,MAX(0,BJ20+BJ24-BJ27),0)</x:f>
      </x:c>
      <x:c r="BK33" s="117">
        <x:f>IF(BK$3&lt;$B$7,MAX(0,BK20+BK24-BK27),0)</x:f>
      </x:c>
      <x:c r="BL33" s="117">
        <x:f>IF(BL$3&lt;$B$7,MAX(0,BL20+BL24-BL27),0)</x:f>
      </x:c>
      <x:c r="BM33" s="117">
        <x:f>IF(BM$3&lt;$B$7,MAX(0,BM20+BM24-BM27),0)</x:f>
      </x:c>
      <x:c r="BN33" s="117">
        <x:f>IF(BN$3&lt;$B$7,MAX(0,BN20+BN24-BN27),0)</x:f>
      </x:c>
      <x:c r="BO33" s="117">
        <x:f>IF(BO$3&lt;$B$7,MAX(0,BO20+BO24-BO27),0)</x:f>
      </x:c>
      <x:c r="BP33" s="117">
        <x:f>IF(BP$3&lt;$B$7,MAX(0,BP20+BP24-BP27),0)</x:f>
      </x:c>
      <x:c r="BQ33" s="117">
        <x:f>IF(BQ$3&lt;$B$7,MAX(0,BQ20+BQ24-BQ27),0)</x:f>
      </x:c>
      <x:c r="BR33" s="117">
        <x:f>IF(BR$3&lt;$B$7,MAX(0,BR20+BR24-BR27),0)</x:f>
      </x:c>
      <x:c r="BS33" s="117">
        <x:f>IF(BS$3&lt;$B$7,MAX(0,BS20+BS24-BS27),0)</x:f>
      </x:c>
      <x:c r="BT33" s="117">
        <x:f>IF(BT$3&lt;$B$7,MAX(0,BT20+BT24-BT27),0)</x:f>
      </x:c>
      <x:c r="BU33" s="117">
        <x:f>IF(BU$3&lt;$B$7,MAX(0,BU20+BU24-BU27),0)</x:f>
      </x:c>
      <x:c r="BV33" s="117">
        <x:f>IF(BV$3&lt;$B$7,MAX(0,BV20+BV24-BV27),0)</x:f>
      </x:c>
      <x:c r="BW33" s="117">
        <x:f>IF(BW$3&lt;$B$7,MAX(0,BW20+BW24-BW27),0)</x:f>
      </x:c>
      <x:c r="BX33" s="117">
        <x:f>IF(BX$3&lt;$B$7,MAX(0,BX20+BX24-BX27),0)</x:f>
      </x:c>
      <x:c r="BY33" s="117">
        <x:f>IF(BY$3&lt;$B$7,MAX(0,BY20+BY24-BY27),0)</x:f>
      </x:c>
      <x:c r="BZ33" s="117">
        <x:f>IF(BZ$3&lt;$B$7,MAX(0,BZ20+BZ24-BZ27),0)</x:f>
      </x:c>
      <x:c r="CA33" s="117">
        <x:f>IF(CA$3&lt;$B$7,MAX(0,CA20+CA24-CA27),0)</x:f>
      </x:c>
      <x:c r="CB33" s="117">
        <x:f>IF(CB$3&lt;$B$7,MAX(0,CB20+CB24-CB27),0)</x:f>
      </x:c>
      <x:c r="CC33" s="117">
        <x:f>IF(CC$3&lt;$B$7,MAX(0,CC20+CC24-CC27),0)</x:f>
      </x:c>
      <x:c r="CD33" s="117">
        <x:f>IF(CD$3&lt;$B$7,MAX(0,CD20+CD24-CD27),0)</x:f>
      </x:c>
      <x:c r="CE33" s="117">
        <x:f>IF(CE$3&lt;$B$7,MAX(0,CE20+CE24-CE27),0)</x:f>
      </x:c>
      <x:c r="CF33" s="117">
        <x:f>IF(CF$3&lt;$B$7,MAX(0,CF20+CF24-CF27),0)</x:f>
      </x:c>
      <x:c r="CG33" s="117">
        <x:f>IF(CG$3&lt;$B$7,MAX(0,CG20+CG24-CG27),0)</x:f>
      </x:c>
      <x:c r="CH33" s="117">
        <x:f>IF(CH$3&lt;$B$7,MAX(0,CH20+CH24-CH27),0)</x:f>
      </x:c>
      <x:c r="CI33" s="117">
        <x:f>IF(CI$3&lt;$B$7,MAX(0,CI20+CI24-CI27),0)</x:f>
      </x:c>
      <x:c r="CJ33" s="117">
        <x:f>IF(CJ$3&lt;$B$7,MAX(0,CJ20+CJ24-CJ27),0)</x:f>
      </x:c>
      <x:c r="CK33" s="117">
        <x:f>IF(CK$3&lt;$B$7,MAX(0,CK20+CK24-CK27),0)</x:f>
      </x:c>
      <x:c r="CL33" s="117">
        <x:f>IF(CL$3&lt;$B$7,MAX(0,CL20+CL24-CL27),0)</x:f>
      </x:c>
      <x:c r="CM33" s="117">
        <x:f>IF(CM$3&lt;$B$7,MAX(0,CM20+CM24-CM27),0)</x:f>
      </x:c>
      <x:c r="CN33" s="117">
        <x:f>IF(CN$3&lt;$B$7,MAX(0,CN20+CN24-CN27),0)</x:f>
      </x:c>
      <x:c r="CO33" s="117">
        <x:f>IF(CO$3&lt;$B$7,MAX(0,CO20+CO24-CO27),0)</x:f>
      </x:c>
      <x:c r="CP33" s="117">
        <x:f>IF(CP$3&lt;$B$7,MAX(0,CP20+CP24-CP27),0)</x:f>
      </x:c>
      <x:c r="CQ33" s="117">
        <x:f>IF(CQ$3&lt;$B$7,MAX(0,CQ20+CQ24-CQ27),0)</x:f>
      </x:c>
      <x:c r="CR33" s="117">
        <x:f>IF(CR$3&lt;$B$7,MAX(0,CR20+CR24-CR27),0)</x:f>
      </x:c>
      <x:c r="CS33" s="117">
        <x:f>IF(CS$3&lt;$B$7,MAX(0,CS20+CS24-CS27),0)</x:f>
      </x:c>
      <x:c r="CT33" s="117">
        <x:f>IF(CT$3&lt;$B$7,MAX(0,CT20+CT24-CT27),0)</x:f>
      </x:c>
      <x:c r="CU33" s="117">
        <x:f>IF(CU$3&lt;$B$7,MAX(0,CU20+CU24-CU27),0)</x:f>
      </x:c>
      <x:c r="CV33" s="117">
        <x:f>IF(CV$3&lt;$B$7,MAX(0,CV20+CV24-CV27),0)</x:f>
      </x:c>
      <x:c r="CW33" s="117">
        <x:f>IF(CW$3&lt;$B$7,MAX(0,CW20+CW24-CW27),0)</x:f>
      </x:c>
      <x:c r="CX33" s="117">
        <x:f>IF(CX$3&lt;$B$7,MAX(0,CX20+CX24-CX27),0)</x:f>
      </x:c>
      <x:c r="CY33" s="117">
        <x:f>IF(CY$3&lt;$B$7,MAX(0,CY20+CY24-CY27),0)</x:f>
      </x:c>
      <x:c r="CZ33" s="117">
        <x:f>IF(CZ$3&lt;$B$7,MAX(0,CZ20+CZ24-CZ27),0)</x:f>
      </x:c>
      <x:c r="DA33" s="117">
        <x:f>IF(DA$3&lt;$B$7,MAX(0,DA20+DA24-DA27),0)</x:f>
      </x:c>
      <x:c r="DB33" s="117">
        <x:f>IF(DB$3&lt;$B$7,MAX(0,DB20+DB24-DB27),0)</x:f>
      </x:c>
      <x:c r="DC33" s="117">
        <x:f>IF(DC$3&lt;$B$7,MAX(0,DC20+DC24-DC27),0)</x:f>
      </x:c>
      <x:c r="DD33" s="117">
        <x:f>IF(DD$3&lt;$B$7,MAX(0,DD20+DD24-DD27),0)</x:f>
      </x:c>
      <x:c r="DE33" s="117">
        <x:f>IF(DE$3&lt;$B$7,MAX(0,DE20+DE24-DE27),0)</x:f>
      </x:c>
      <x:c r="DF33" s="117">
        <x:f>IF(DF$3&lt;$B$7,MAX(0,DF20+DF24-DF27),0)</x:f>
      </x:c>
      <x:c r="DG33" s="117">
        <x:f>IF(DG$3&lt;$B$7,MAX(0,DG20+DG24-DG27),0)</x:f>
      </x:c>
      <x:c r="DH33" s="117">
        <x:f>IF(DH$3&lt;$B$7,MAX(0,DH20+DH24-DH27),0)</x:f>
      </x:c>
      <x:c r="DI33" s="117">
        <x:f>IF(DI$3&lt;$B$7,MAX(0,DI20+DI24-DI27),0)</x:f>
      </x:c>
      <x:c r="DJ33" s="117">
        <x:f>IF(DJ$3&lt;$B$7,MAX(0,DJ20+DJ24-DJ27),0)</x:f>
      </x:c>
      <x:c r="DK33" s="117">
        <x:f>IF(DK$3&lt;$B$7,MAX(0,DK20+DK24-DK27),0)</x:f>
      </x:c>
      <x:c r="DL33" s="117">
        <x:f>IF(DL$3&lt;$B$7,MAX(0,DL20+DL24-DL27),0)</x:f>
      </x:c>
      <x:c r="DM33" s="117">
        <x:f>IF(DM$3&lt;$B$7,MAX(0,DM20+DM24-DM27),0)</x:f>
      </x:c>
      <x:c r="DN33" s="117">
        <x:f>IF(DN$3&lt;$B$7,MAX(0,DN20+DN24-DN27),0)</x:f>
      </x:c>
      <x:c r="DO33" s="117">
        <x:f>IF(DO$3&lt;$B$7,MAX(0,DO20+DO24-DO27),0)</x:f>
      </x:c>
      <x:c r="DP33" s="117">
        <x:f>IF(DP$3&lt;$B$7,MAX(0,DP20+DP24-DP27),0)</x:f>
      </x:c>
      <x:c r="DQ33" s="117">
        <x:f>IF(DQ$3&lt;$B$7,MAX(0,DQ20+DQ24-DQ27),0)</x:f>
      </x:c>
      <x:c r="DR33" s="117">
        <x:f>IF(DR$3&lt;$B$7,MAX(0,DR20+DR24-DR27),0)</x:f>
      </x:c>
      <x:c r="DS33" s="117">
        <x:f>IF(DS$3&lt;$B$7,MAX(0,DS20+DS24-DS27),0)</x:f>
      </x:c>
      <x:c r="DT33" s="117">
        <x:f>IF(DT$3&lt;$B$7,MAX(0,DT20+DT24-DT27),0)</x:f>
      </x:c>
      <x:c r="DU33" s="117">
        <x:f>IF(DU$3&lt;$B$7,MAX(0,DU20+DU24-DU27),0)</x:f>
      </x:c>
      <x:c r="DV33" s="117">
        <x:f>IF(DV$3&lt;$B$7,MAX(0,DV20+DV24-DV27),0)</x:f>
      </x:c>
      <x:c r="DW33" s="117">
        <x:f>IF(DW$3&lt;$B$7,MAX(0,DW20+DW24-DW27),0)</x:f>
      </x:c>
      <x:c r="DX33" s="117">
        <x:f>IF(DX$3&lt;$B$7,MAX(0,DX20+DX24-DX27),0)</x:f>
      </x:c>
      <x:c r="DY33" s="117">
        <x:f>IF(DY$3&lt;$B$7,MAX(0,DY20+DY24-DY27),0)</x:f>
      </x:c>
      <x:c r="DZ33" s="117">
        <x:f>IF(DZ$3&lt;$B$7,MAX(0,DZ20+DZ24-DZ27),0)</x:f>
      </x:c>
      <x:c r="EA33" s="117">
        <x:f>IF(EA$3&lt;$B$7,MAX(0,EA20+EA24-EA27),0)</x:f>
      </x:c>
      <x:c r="EB33" s="117">
        <x:f>IF(EB$3&lt;$B$7,MAX(0,EB20+EB24-EB27),0)</x:f>
      </x:c>
      <x:c r="EC33" s="117">
        <x:f>IF(EC$3&lt;$B$7,MAX(0,EC20+EC24-EC27),0)</x:f>
      </x:c>
      <x:c r="ED33" s="117">
        <x:f>IF(ED$3&lt;$B$7,MAX(0,ED20+ED24-ED27),0)</x:f>
      </x:c>
      <x:c r="EE33" s="117">
        <x:f>IF(EE$3&lt;$B$7,MAX(0,EE20+EE24-EE27),0)</x:f>
      </x:c>
      <x:c r="EF33" s="117">
        <x:f>IF(EF$3&lt;$B$7,MAX(0,EF20+EF24-EF27),0)</x:f>
      </x:c>
      <x:c r="EG33" s="117">
        <x:f>IF(EG$3&lt;$B$7,MAX(0,EG20+EG24-EG27),0)</x:f>
      </x:c>
      <x:c r="EH33" s="117">
        <x:f>IF(EH$3&lt;$B$7,MAX(0,EH20+EH24-EH27),0)</x:f>
      </x:c>
      <x:c r="EI33" s="117">
        <x:f>IF(EI$3&lt;$B$7,MAX(0,EI20+EI24-EI27),0)</x:f>
      </x:c>
      <x:c r="EJ33" s="117">
        <x:f>IF(EJ$3&lt;$B$7,MAX(0,EJ20+EJ24-EJ27),0)</x:f>
      </x:c>
      <x:c r="EK33" s="117">
        <x:f>IF(EK$3&lt;$B$7,MAX(0,EK20+EK24-EK27),0)</x:f>
      </x:c>
      <x:c r="EL33" s="117">
        <x:f>IF(EL$3&lt;$B$7,MAX(0,EL20+EL24-EL27),0)</x:f>
      </x:c>
      <x:c r="EM33" s="117">
        <x:f>IF(EM$3&lt;$B$7,MAX(0,EM20+EM24-EM27),0)</x:f>
      </x:c>
      <x:c r="EN33" s="117">
        <x:f>IF(EN$3&lt;$B$7,MAX(0,EN20+EN24-EN27),0)</x:f>
      </x:c>
      <x:c r="EO33" s="117">
        <x:f>IF(EO$3&lt;$B$7,MAX(0,EO20+EO24-EO27),0)</x:f>
      </x:c>
      <x:c r="EP33" s="117">
        <x:f>IF(EP$3&lt;$B$7,MAX(0,EP20+EP24-EP27),0)</x:f>
      </x:c>
      <x:c r="EQ33" s="117">
        <x:f>IF(EQ$3&lt;$B$7,MAX(0,EQ20+EQ24-EQ27),0)</x:f>
      </x:c>
      <x:c r="ER33" s="117">
        <x:f>IF(ER$3&lt;$B$7,MAX(0,ER20+ER24-ER27),0)</x:f>
      </x:c>
      <x:c r="ES33" s="117">
        <x:f>IF(ES$3&lt;$B$7,MAX(0,ES20+ES24-ES27),0)</x:f>
      </x:c>
      <x:c r="ET33" s="117">
        <x:f>IF(ET$3&lt;$B$7,MAX(0,ET20+ET24-ET27),0)</x:f>
      </x:c>
      <x:c r="EU33" s="117">
        <x:f>IF(EU$3&lt;$B$7,MAX(0,EU20+EU24-EU27),0)</x:f>
      </x:c>
      <x:c r="EV33" s="117">
        <x:f>IF(EV$3&lt;$B$7,MAX(0,EV20+EV24-EV27),0)</x:f>
      </x:c>
      <x:c r="EW33" s="117">
        <x:f>IF(EW$3&lt;$B$7,MAX(0,EW20+EW24-EW27),0)</x:f>
      </x:c>
      <x:c r="EX33" s="117">
        <x:f>IF(EX$3&lt;$B$7,MAX(0,EX20+EX24-EX27),0)</x:f>
      </x:c>
      <x:c r="EY33" s="117">
        <x:f>IF(EY$3&lt;$B$7,MAX(0,EY20+EY24-EY27),0)</x:f>
      </x:c>
      <x:c r="EZ33" s="117">
        <x:f>IF(EZ$3&lt;$B$7,MAX(0,EZ20+EZ24-EZ27),0)</x:f>
      </x:c>
      <x:c r="FA33" s="117">
        <x:f>IF(FA$3&lt;$B$7,MAX(0,FA20+FA24-FA27),0)</x:f>
      </x:c>
      <x:c r="FB33" s="117">
        <x:f>IF(FB$3&lt;$B$7,MAX(0,FB20+FB24-FB27),0)</x:f>
      </x:c>
      <x:c r="FC33" s="117">
        <x:f>IF(FC$3&lt;$B$7,MAX(0,FC20+FC24-FC27),0)</x:f>
      </x:c>
      <x:c r="FD33" s="117">
        <x:f>IF(FD$3&lt;$B$7,MAX(0,FD20+FD24-FD27),0)</x:f>
      </x:c>
      <x:c r="FE33" s="117">
        <x:f>IF(FE$3&lt;$B$7,MAX(0,FE20+FE24-FE27),0)</x:f>
      </x:c>
      <x:c r="FF33" s="117">
        <x:f>IF(FF$3&lt;$B$7,MAX(0,FF20+FF24-FF27),0)</x:f>
      </x:c>
      <x:c r="FG33" s="117">
        <x:f>IF(FG$3&lt;$B$7,MAX(0,FG20+FG24-FG27),0)</x:f>
      </x:c>
      <x:c r="FH33" s="117">
        <x:f>IF(FH$3&lt;$B$7,MAX(0,FH20+FH24-FH27),0)</x:f>
      </x:c>
      <x:c r="FI33" s="117">
        <x:f>IF(FI$3&lt;$B$7,MAX(0,FI20+FI24-FI27),0)</x:f>
      </x:c>
      <x:c r="FJ33" s="117">
        <x:f>IF(FJ$3&lt;$B$7,MAX(0,FJ20+FJ24-FJ27),0)</x:f>
      </x:c>
      <x:c r="FK33" s="117">
        <x:f>IF(FK$3&lt;$B$7,MAX(0,FK20+FK24-FK27),0)</x:f>
      </x:c>
      <x:c r="FL33" s="117">
        <x:f>IF(FL$3&lt;$B$7,MAX(0,FL20+FL24-FL27),0)</x:f>
      </x:c>
      <x:c r="FM33" s="117">
        <x:f>IF(FM$3&lt;$B$7,MAX(0,FM20+FM24-FM27),0)</x:f>
      </x:c>
      <x:c r="FN33" s="117">
        <x:f>IF(FN$3&lt;$B$7,MAX(0,FN20+FN24-FN27),0)</x:f>
      </x:c>
      <x:c r="FO33" s="117">
        <x:f>IF(FO$3&lt;$B$7,MAX(0,FO20+FO24-FO27),0)</x:f>
      </x:c>
      <x:c r="FP33" s="117">
        <x:f>IF(FP$3&lt;$B$7,MAX(0,FP20+FP24-FP27),0)</x:f>
      </x:c>
      <x:c r="FQ33" s="117">
        <x:f>IF(FQ$3&lt;$B$7,MAX(0,FQ20+FQ24-FQ27),0)</x:f>
      </x:c>
      <x:c r="FR33" s="117">
        <x:f>IF(FR$3&lt;$B$7,MAX(0,FR20+FR24-FR27),0)</x:f>
      </x:c>
      <x:c r="FS33" s="117">
        <x:f>IF(FS$3&lt;$B$7,MAX(0,FS20+FS24-FS27),0)</x:f>
      </x:c>
      <x:c r="FT33" s="117">
        <x:f>IF(FT$3&lt;$B$7,MAX(0,FT20+FT24-FT27),0)</x:f>
      </x:c>
      <x:c r="FU33" s="117">
        <x:f>IF(FU$3&lt;$B$7,MAX(0,FU20+FU24-FU27),0)</x:f>
      </x:c>
      <x:c r="FV33" s="117">
        <x:f>IF(FV$3&lt;$B$7,MAX(0,FV20+FV24-FV27),0)</x:f>
      </x:c>
      <x:c r="FW33" s="117">
        <x:f>IF(FW$3&lt;$B$7,MAX(0,FW20+FW24-FW27),0)</x:f>
      </x:c>
      <x:c r="FX33" s="117">
        <x:f>IF(FX$3&lt;$B$7,MAX(0,FX20+FX24-FX27),0)</x:f>
      </x:c>
      <x:c r="FY33" s="117">
        <x:f>IF(FY$3&lt;$B$7,MAX(0,FY20+FY24-FY27),0)</x:f>
      </x:c>
      <x:c r="FZ33" s="117">
        <x:f>IF(FZ$3&lt;$B$7,MAX(0,FZ20+FZ24-FZ27),0)</x:f>
      </x:c>
      <x:c r="GA33" s="117">
        <x:f>IF(GA$3&lt;$B$7,MAX(0,GA20+GA24-GA27),0)</x:f>
      </x:c>
    </x:row>
    <x:row r="34">
      <x:c r="A34" t="str">
        <x:v>БРИДЖ — выборка</x:v>
      </x:c>
      <x:c r="B34" t="n">
        <x:f>SUM(D34:GA34)</x:f>
      </x:c>
      <x:c r="C34" t="str">
        <x:v>млн ₽</x:v>
      </x:c>
      <x:c r="D34" s="117">
        <x:f>MAX(0,D33-D56)</x:f>
      </x:c>
      <x:c r="E34" s="117">
        <x:f>MAX(0,E33-E56)</x:f>
      </x:c>
      <x:c r="F34" s="117">
        <x:f>MAX(0,F33-F56)</x:f>
      </x:c>
      <x:c r="G34" s="117">
        <x:f>MAX(0,G33-G56)</x:f>
      </x:c>
      <x:c r="H34" s="117">
        <x:f>MAX(0,H33-H56)</x:f>
      </x:c>
      <x:c r="I34" s="117">
        <x:f>MAX(0,I33-I56)</x:f>
      </x:c>
      <x:c r="J34" s="117">
        <x:f>MAX(0,J33-J56)</x:f>
      </x:c>
      <x:c r="K34" s="117">
        <x:f>MAX(0,K33-K56)</x:f>
      </x:c>
      <x:c r="L34" s="117">
        <x:f>MAX(0,L33-L56)</x:f>
      </x:c>
      <x:c r="M34" s="117">
        <x:f>MAX(0,M33-M56)</x:f>
      </x:c>
      <x:c r="N34" s="117">
        <x:f>MAX(0,N33-N56)</x:f>
      </x:c>
      <x:c r="O34" s="117">
        <x:f>MAX(0,O33-O56)</x:f>
      </x:c>
      <x:c r="P34" s="117">
        <x:f>MAX(0,P33-P56)</x:f>
      </x:c>
      <x:c r="Q34" s="117">
        <x:f>MAX(0,Q33-Q56)</x:f>
      </x:c>
      <x:c r="R34" s="117">
        <x:f>MAX(0,R33-R56)</x:f>
      </x:c>
      <x:c r="S34" s="117">
        <x:f>MAX(0,S33-S56)</x:f>
      </x:c>
      <x:c r="T34" s="117">
        <x:f>MAX(0,T33-T56)</x:f>
      </x:c>
      <x:c r="U34" s="117">
        <x:f>MAX(0,U33-U56)</x:f>
      </x:c>
      <x:c r="V34" s="117">
        <x:f>MAX(0,V33-V56)</x:f>
      </x:c>
      <x:c r="W34" s="117">
        <x:f>MAX(0,W33-W56)</x:f>
      </x:c>
      <x:c r="X34" s="117">
        <x:f>MAX(0,X33-X56)</x:f>
      </x:c>
      <x:c r="Y34" s="117">
        <x:f>MAX(0,Y33-Y56)</x:f>
      </x:c>
      <x:c r="Z34" s="117">
        <x:f>MAX(0,Z33-Z56)</x:f>
      </x:c>
      <x:c r="AA34" s="117">
        <x:f>MAX(0,AA33-AA56)</x:f>
      </x:c>
      <x:c r="AB34" s="117">
        <x:f>MAX(0,AB33-AB56)</x:f>
      </x:c>
      <x:c r="AC34" s="117">
        <x:f>MAX(0,AC33-AC56)</x:f>
      </x:c>
      <x:c r="AD34" s="117">
        <x:f>MAX(0,AD33-AD56)</x:f>
      </x:c>
      <x:c r="AE34" s="117">
        <x:f>MAX(0,AE33-AE56)</x:f>
      </x:c>
      <x:c r="AF34" s="117">
        <x:f>MAX(0,AF33-AF56)</x:f>
      </x:c>
      <x:c r="AG34" s="117">
        <x:f>MAX(0,AG33-AG56)</x:f>
      </x:c>
      <x:c r="AH34" s="117">
        <x:f>MAX(0,AH33-AH56)</x:f>
      </x:c>
      <x:c r="AI34" s="117">
        <x:f>MAX(0,AI33-AI56)</x:f>
      </x:c>
      <x:c r="AJ34" s="117">
        <x:f>MAX(0,AJ33-AJ56)</x:f>
      </x:c>
      <x:c r="AK34" s="117">
        <x:f>MAX(0,AK33-AK56)</x:f>
      </x:c>
      <x:c r="AL34" s="117">
        <x:f>MAX(0,AL33-AL56)</x:f>
      </x:c>
      <x:c r="AM34" s="117">
        <x:f>MAX(0,AM33-AM56)</x:f>
      </x:c>
      <x:c r="AN34" s="117">
        <x:f>MAX(0,AN33-AN56)</x:f>
      </x:c>
      <x:c r="AO34" s="117">
        <x:f>MAX(0,AO33-AO56)</x:f>
      </x:c>
      <x:c r="AP34" s="117">
        <x:f>MAX(0,AP33-AP56)</x:f>
      </x:c>
      <x:c r="AQ34" s="117">
        <x:f>MAX(0,AQ33-AQ56)</x:f>
      </x:c>
      <x:c r="AR34" s="117">
        <x:f>MAX(0,AR33-AR56)</x:f>
      </x:c>
      <x:c r="AS34" s="117">
        <x:f>MAX(0,AS33-AS56)</x:f>
      </x:c>
      <x:c r="AT34" s="117">
        <x:f>MAX(0,AT33-AT56)</x:f>
      </x:c>
      <x:c r="AU34" s="117">
        <x:f>MAX(0,AU33-AU56)</x:f>
      </x:c>
      <x:c r="AV34" s="117">
        <x:f>MAX(0,AV33-AV56)</x:f>
      </x:c>
      <x:c r="AW34" s="117">
        <x:f>MAX(0,AW33-AW56)</x:f>
      </x:c>
      <x:c r="AX34" s="117">
        <x:f>MAX(0,AX33-AX56)</x:f>
      </x:c>
      <x:c r="AY34" s="117">
        <x:f>MAX(0,AY33-AY56)</x:f>
      </x:c>
      <x:c r="AZ34" s="117">
        <x:f>MAX(0,AZ33-AZ56)</x:f>
      </x:c>
      <x:c r="BA34" s="117">
        <x:f>MAX(0,BA33-BA56)</x:f>
      </x:c>
      <x:c r="BB34" s="117">
        <x:f>MAX(0,BB33-BB56)</x:f>
      </x:c>
      <x:c r="BC34" s="117">
        <x:f>MAX(0,BC33-BC56)</x:f>
      </x:c>
      <x:c r="BD34" s="117">
        <x:f>MAX(0,BD33-BD56)</x:f>
      </x:c>
      <x:c r="BE34" s="117">
        <x:f>MAX(0,BE33-BE56)</x:f>
      </x:c>
      <x:c r="BF34" s="117">
        <x:f>MAX(0,BF33-BF56)</x:f>
      </x:c>
      <x:c r="BG34" s="117">
        <x:f>MAX(0,BG33-BG56)</x:f>
      </x:c>
      <x:c r="BH34" s="117">
        <x:f>MAX(0,BH33-BH56)</x:f>
      </x:c>
      <x:c r="BI34" s="117">
        <x:f>MAX(0,BI33-BI56)</x:f>
      </x:c>
      <x:c r="BJ34" s="117">
        <x:f>MAX(0,BJ33-BJ56)</x:f>
      </x:c>
      <x:c r="BK34" s="117">
        <x:f>MAX(0,BK33-BK56)</x:f>
      </x:c>
      <x:c r="BL34" s="117">
        <x:f>MAX(0,BL33-BL56)</x:f>
      </x:c>
      <x:c r="BM34" s="117">
        <x:f>MAX(0,BM33-BM56)</x:f>
      </x:c>
      <x:c r="BN34" s="117">
        <x:f>MAX(0,BN33-BN56)</x:f>
      </x:c>
      <x:c r="BO34" s="117">
        <x:f>MAX(0,BO33-BO56)</x:f>
      </x:c>
      <x:c r="BP34" s="117">
        <x:f>MAX(0,BP33-BP56)</x:f>
      </x:c>
      <x:c r="BQ34" s="117">
        <x:f>MAX(0,BQ33-BQ56)</x:f>
      </x:c>
      <x:c r="BR34" s="117">
        <x:f>MAX(0,BR33-BR56)</x:f>
      </x:c>
      <x:c r="BS34" s="117">
        <x:f>MAX(0,BS33-BS56)</x:f>
      </x:c>
      <x:c r="BT34" s="117">
        <x:f>MAX(0,BT33-BT56)</x:f>
      </x:c>
      <x:c r="BU34" s="117">
        <x:f>MAX(0,BU33-BU56)</x:f>
      </x:c>
      <x:c r="BV34" s="117">
        <x:f>MAX(0,BV33-BV56)</x:f>
      </x:c>
      <x:c r="BW34" s="117">
        <x:f>MAX(0,BW33-BW56)</x:f>
      </x:c>
      <x:c r="BX34" s="117">
        <x:f>MAX(0,BX33-BX56)</x:f>
      </x:c>
      <x:c r="BY34" s="117">
        <x:f>MAX(0,BY33-BY56)</x:f>
      </x:c>
      <x:c r="BZ34" s="117">
        <x:f>MAX(0,BZ33-BZ56)</x:f>
      </x:c>
      <x:c r="CA34" s="117">
        <x:f>MAX(0,CA33-CA56)</x:f>
      </x:c>
      <x:c r="CB34" s="117">
        <x:f>MAX(0,CB33-CB56)</x:f>
      </x:c>
      <x:c r="CC34" s="117">
        <x:f>MAX(0,CC33-CC56)</x:f>
      </x:c>
      <x:c r="CD34" s="117">
        <x:f>MAX(0,CD33-CD56)</x:f>
      </x:c>
      <x:c r="CE34" s="117">
        <x:f>MAX(0,CE33-CE56)</x:f>
      </x:c>
      <x:c r="CF34" s="117">
        <x:f>MAX(0,CF33-CF56)</x:f>
      </x:c>
      <x:c r="CG34" s="117">
        <x:f>MAX(0,CG33-CG56)</x:f>
      </x:c>
      <x:c r="CH34" s="117">
        <x:f>MAX(0,CH33-CH56)</x:f>
      </x:c>
      <x:c r="CI34" s="117">
        <x:f>MAX(0,CI33-CI56)</x:f>
      </x:c>
      <x:c r="CJ34" s="117">
        <x:f>MAX(0,CJ33-CJ56)</x:f>
      </x:c>
      <x:c r="CK34" s="117">
        <x:f>MAX(0,CK33-CK56)</x:f>
      </x:c>
      <x:c r="CL34" s="117">
        <x:f>MAX(0,CL33-CL56)</x:f>
      </x:c>
      <x:c r="CM34" s="117">
        <x:f>MAX(0,CM33-CM56)</x:f>
      </x:c>
      <x:c r="CN34" s="117">
        <x:f>MAX(0,CN33-CN56)</x:f>
      </x:c>
      <x:c r="CO34" s="117">
        <x:f>MAX(0,CO33-CO56)</x:f>
      </x:c>
      <x:c r="CP34" s="117">
        <x:f>MAX(0,CP33-CP56)</x:f>
      </x:c>
      <x:c r="CQ34" s="117">
        <x:f>MAX(0,CQ33-CQ56)</x:f>
      </x:c>
      <x:c r="CR34" s="117">
        <x:f>MAX(0,CR33-CR56)</x:f>
      </x:c>
      <x:c r="CS34" s="117">
        <x:f>MAX(0,CS33-CS56)</x:f>
      </x:c>
      <x:c r="CT34" s="117">
        <x:f>MAX(0,CT33-CT56)</x:f>
      </x:c>
      <x:c r="CU34" s="117">
        <x:f>MAX(0,CU33-CU56)</x:f>
      </x:c>
      <x:c r="CV34" s="117">
        <x:f>MAX(0,CV33-CV56)</x:f>
      </x:c>
      <x:c r="CW34" s="117">
        <x:f>MAX(0,CW33-CW56)</x:f>
      </x:c>
      <x:c r="CX34" s="117">
        <x:f>MAX(0,CX33-CX56)</x:f>
      </x:c>
      <x:c r="CY34" s="117">
        <x:f>MAX(0,CY33-CY56)</x:f>
      </x:c>
      <x:c r="CZ34" s="117">
        <x:f>MAX(0,CZ33-CZ56)</x:f>
      </x:c>
      <x:c r="DA34" s="117">
        <x:f>MAX(0,DA33-DA56)</x:f>
      </x:c>
      <x:c r="DB34" s="117">
        <x:f>MAX(0,DB33-DB56)</x:f>
      </x:c>
      <x:c r="DC34" s="117">
        <x:f>MAX(0,DC33-DC56)</x:f>
      </x:c>
      <x:c r="DD34" s="117">
        <x:f>MAX(0,DD33-DD56)</x:f>
      </x:c>
      <x:c r="DE34" s="117">
        <x:f>MAX(0,DE33-DE56)</x:f>
      </x:c>
      <x:c r="DF34" s="117">
        <x:f>MAX(0,DF33-DF56)</x:f>
      </x:c>
      <x:c r="DG34" s="117">
        <x:f>MAX(0,DG33-DG56)</x:f>
      </x:c>
      <x:c r="DH34" s="117">
        <x:f>MAX(0,DH33-DH56)</x:f>
      </x:c>
      <x:c r="DI34" s="117">
        <x:f>MAX(0,DI33-DI56)</x:f>
      </x:c>
      <x:c r="DJ34" s="117">
        <x:f>MAX(0,DJ33-DJ56)</x:f>
      </x:c>
      <x:c r="DK34" s="117">
        <x:f>MAX(0,DK33-DK56)</x:f>
      </x:c>
      <x:c r="DL34" s="117">
        <x:f>MAX(0,DL33-DL56)</x:f>
      </x:c>
      <x:c r="DM34" s="117">
        <x:f>MAX(0,DM33-DM56)</x:f>
      </x:c>
      <x:c r="DN34" s="117">
        <x:f>MAX(0,DN33-DN56)</x:f>
      </x:c>
      <x:c r="DO34" s="117">
        <x:f>MAX(0,DO33-DO56)</x:f>
      </x:c>
      <x:c r="DP34" s="117">
        <x:f>MAX(0,DP33-DP56)</x:f>
      </x:c>
      <x:c r="DQ34" s="117">
        <x:f>MAX(0,DQ33-DQ56)</x:f>
      </x:c>
      <x:c r="DR34" s="117">
        <x:f>MAX(0,DR33-DR56)</x:f>
      </x:c>
      <x:c r="DS34" s="117">
        <x:f>MAX(0,DS33-DS56)</x:f>
      </x:c>
      <x:c r="DT34" s="117">
        <x:f>MAX(0,DT33-DT56)</x:f>
      </x:c>
      <x:c r="DU34" s="117">
        <x:f>MAX(0,DU33-DU56)</x:f>
      </x:c>
      <x:c r="DV34" s="117">
        <x:f>MAX(0,DV33-DV56)</x:f>
      </x:c>
      <x:c r="DW34" s="117">
        <x:f>MAX(0,DW33-DW56)</x:f>
      </x:c>
      <x:c r="DX34" s="117">
        <x:f>MAX(0,DX33-DX56)</x:f>
      </x:c>
      <x:c r="DY34" s="117">
        <x:f>MAX(0,DY33-DY56)</x:f>
      </x:c>
      <x:c r="DZ34" s="117">
        <x:f>MAX(0,DZ33-DZ56)</x:f>
      </x:c>
      <x:c r="EA34" s="117">
        <x:f>MAX(0,EA33-EA56)</x:f>
      </x:c>
      <x:c r="EB34" s="117">
        <x:f>MAX(0,EB33-EB56)</x:f>
      </x:c>
      <x:c r="EC34" s="117">
        <x:f>MAX(0,EC33-EC56)</x:f>
      </x:c>
      <x:c r="ED34" s="117">
        <x:f>MAX(0,ED33-ED56)</x:f>
      </x:c>
      <x:c r="EE34" s="117">
        <x:f>MAX(0,EE33-EE56)</x:f>
      </x:c>
      <x:c r="EF34" s="117">
        <x:f>MAX(0,EF33-EF56)</x:f>
      </x:c>
      <x:c r="EG34" s="117">
        <x:f>MAX(0,EG33-EG56)</x:f>
      </x:c>
      <x:c r="EH34" s="117">
        <x:f>MAX(0,EH33-EH56)</x:f>
      </x:c>
      <x:c r="EI34" s="117">
        <x:f>MAX(0,EI33-EI56)</x:f>
      </x:c>
      <x:c r="EJ34" s="117">
        <x:f>MAX(0,EJ33-EJ56)</x:f>
      </x:c>
      <x:c r="EK34" s="117">
        <x:f>MAX(0,EK33-EK56)</x:f>
      </x:c>
      <x:c r="EL34" s="117">
        <x:f>MAX(0,EL33-EL56)</x:f>
      </x:c>
      <x:c r="EM34" s="117">
        <x:f>MAX(0,EM33-EM56)</x:f>
      </x:c>
      <x:c r="EN34" s="117">
        <x:f>MAX(0,EN33-EN56)</x:f>
      </x:c>
      <x:c r="EO34" s="117">
        <x:f>MAX(0,EO33-EO56)</x:f>
      </x:c>
      <x:c r="EP34" s="117">
        <x:f>MAX(0,EP33-EP56)</x:f>
      </x:c>
      <x:c r="EQ34" s="117">
        <x:f>MAX(0,EQ33-EQ56)</x:f>
      </x:c>
      <x:c r="ER34" s="117">
        <x:f>MAX(0,ER33-ER56)</x:f>
      </x:c>
      <x:c r="ES34" s="117">
        <x:f>MAX(0,ES33-ES56)</x:f>
      </x:c>
      <x:c r="ET34" s="117">
        <x:f>MAX(0,ET33-ET56)</x:f>
      </x:c>
      <x:c r="EU34" s="117">
        <x:f>MAX(0,EU33-EU56)</x:f>
      </x:c>
      <x:c r="EV34" s="117">
        <x:f>MAX(0,EV33-EV56)</x:f>
      </x:c>
      <x:c r="EW34" s="117">
        <x:f>MAX(0,EW33-EW56)</x:f>
      </x:c>
      <x:c r="EX34" s="117">
        <x:f>MAX(0,EX33-EX56)</x:f>
      </x:c>
      <x:c r="EY34" s="117">
        <x:f>MAX(0,EY33-EY56)</x:f>
      </x:c>
      <x:c r="EZ34" s="117">
        <x:f>MAX(0,EZ33-EZ56)</x:f>
      </x:c>
      <x:c r="FA34" s="117">
        <x:f>MAX(0,FA33-FA56)</x:f>
      </x:c>
      <x:c r="FB34" s="117">
        <x:f>MAX(0,FB33-FB56)</x:f>
      </x:c>
      <x:c r="FC34" s="117">
        <x:f>MAX(0,FC33-FC56)</x:f>
      </x:c>
      <x:c r="FD34" s="117">
        <x:f>MAX(0,FD33-FD56)</x:f>
      </x:c>
      <x:c r="FE34" s="117">
        <x:f>MAX(0,FE33-FE56)</x:f>
      </x:c>
      <x:c r="FF34" s="117">
        <x:f>MAX(0,FF33-FF56)</x:f>
      </x:c>
      <x:c r="FG34" s="117">
        <x:f>MAX(0,FG33-FG56)</x:f>
      </x:c>
      <x:c r="FH34" s="117">
        <x:f>MAX(0,FH33-FH56)</x:f>
      </x:c>
      <x:c r="FI34" s="117">
        <x:f>MAX(0,FI33-FI56)</x:f>
      </x:c>
      <x:c r="FJ34" s="117">
        <x:f>MAX(0,FJ33-FJ56)</x:f>
      </x:c>
      <x:c r="FK34" s="117">
        <x:f>MAX(0,FK33-FK56)</x:f>
      </x:c>
      <x:c r="FL34" s="117">
        <x:f>MAX(0,FL33-FL56)</x:f>
      </x:c>
      <x:c r="FM34" s="117">
        <x:f>MAX(0,FM33-FM56)</x:f>
      </x:c>
      <x:c r="FN34" s="117">
        <x:f>MAX(0,FN33-FN56)</x:f>
      </x:c>
      <x:c r="FO34" s="117">
        <x:f>MAX(0,FO33-FO56)</x:f>
      </x:c>
      <x:c r="FP34" s="117">
        <x:f>MAX(0,FP33-FP56)</x:f>
      </x:c>
      <x:c r="FQ34" s="117">
        <x:f>MAX(0,FQ33-FQ56)</x:f>
      </x:c>
      <x:c r="FR34" s="117">
        <x:f>MAX(0,FR33-FR56)</x:f>
      </x:c>
      <x:c r="FS34" s="117">
        <x:f>MAX(0,FS33-FS56)</x:f>
      </x:c>
      <x:c r="FT34" s="117">
        <x:f>MAX(0,FT33-FT56)</x:f>
      </x:c>
      <x:c r="FU34" s="117">
        <x:f>MAX(0,FU33-FU56)</x:f>
      </x:c>
      <x:c r="FV34" s="117">
        <x:f>MAX(0,FV33-FV56)</x:f>
      </x:c>
      <x:c r="FW34" s="117">
        <x:f>MAX(0,FW33-FW56)</x:f>
      </x:c>
      <x:c r="FX34" s="117">
        <x:f>MAX(0,FX33-FX56)</x:f>
      </x:c>
      <x:c r="FY34" s="117">
        <x:f>MAX(0,FY33-FY56)</x:f>
      </x:c>
      <x:c r="FZ34" s="117">
        <x:f>MAX(0,FZ33-FZ56)</x:f>
      </x:c>
      <x:c r="GA34" s="117">
        <x:f>MAX(0,GA33-GA56)</x:f>
      </x:c>
    </x:row>
    <x:row r="35">
      <x:c r="A35" t="str">
        <x:v>БРИДЖ — погашение</x:v>
      </x:c>
      <x:c r="B35" t="n">
        <x:f>SUM(D35:GA35)</x:f>
      </x:c>
      <x:c r="C35" t="str">
        <x:v>млн ₽</x:v>
      </x:c>
      <x:c r="D35" s="117">
        <x:f>IF(AND(YEAR(D$3)=YEAR($B$7),MONTH(D$3)=MONTH($B$7)),D30,0)</x:f>
      </x:c>
      <x:c r="E35" s="117">
        <x:f>IF(AND(YEAR(E$3)=YEAR($B$7),MONTH(E$3)=MONTH($B$7)),E30,0)</x:f>
      </x:c>
      <x:c r="F35" s="117">
        <x:f>IF(AND(YEAR(F$3)=YEAR($B$7),MONTH(F$3)=MONTH($B$7)),F30,0)</x:f>
      </x:c>
      <x:c r="G35" s="117">
        <x:f>IF(AND(YEAR(G$3)=YEAR($B$7),MONTH(G$3)=MONTH($B$7)),G30,0)</x:f>
      </x:c>
      <x:c r="H35" s="117">
        <x:f>IF(AND(YEAR(H$3)=YEAR($B$7),MONTH(H$3)=MONTH($B$7)),H30,0)</x:f>
      </x:c>
      <x:c r="I35" s="117">
        <x:f>IF(AND(YEAR(I$3)=YEAR($B$7),MONTH(I$3)=MONTH($B$7)),I30,0)</x:f>
      </x:c>
      <x:c r="J35" s="117">
        <x:f>IF(AND(YEAR(J$3)=YEAR($B$7),MONTH(J$3)=MONTH($B$7)),J30,0)</x:f>
      </x:c>
      <x:c r="K35" s="117">
        <x:f>IF(AND(YEAR(K$3)=YEAR($B$7),MONTH(K$3)=MONTH($B$7)),K30,0)</x:f>
      </x:c>
      <x:c r="L35" s="117">
        <x:f>IF(AND(YEAR(L$3)=YEAR($B$7),MONTH(L$3)=MONTH($B$7)),L30,0)</x:f>
      </x:c>
      <x:c r="M35" s="117">
        <x:f>IF(AND(YEAR(M$3)=YEAR($B$7),MONTH(M$3)=MONTH($B$7)),M30,0)</x:f>
      </x:c>
      <x:c r="N35" s="117">
        <x:f>IF(AND(YEAR(N$3)=YEAR($B$7),MONTH(N$3)=MONTH($B$7)),N30,0)</x:f>
      </x:c>
      <x:c r="O35" s="117">
        <x:f>IF(AND(YEAR(O$3)=YEAR($B$7),MONTH(O$3)=MONTH($B$7)),O30,0)</x:f>
      </x:c>
      <x:c r="P35" s="117">
        <x:f>IF(AND(YEAR(P$3)=YEAR($B$7),MONTH(P$3)=MONTH($B$7)),P30,0)</x:f>
      </x:c>
      <x:c r="Q35" s="117">
        <x:f>IF(AND(YEAR(Q$3)=YEAR($B$7),MONTH(Q$3)=MONTH($B$7)),Q30,0)</x:f>
      </x:c>
      <x:c r="R35" s="117">
        <x:f>IF(AND(YEAR(R$3)=YEAR($B$7),MONTH(R$3)=MONTH($B$7)),R30,0)</x:f>
      </x:c>
      <x:c r="S35" s="117">
        <x:f>IF(AND(YEAR(S$3)=YEAR($B$7),MONTH(S$3)=MONTH($B$7)),S30,0)</x:f>
      </x:c>
      <x:c r="T35" s="117">
        <x:f>IF(AND(YEAR(T$3)=YEAR($B$7),MONTH(T$3)=MONTH($B$7)),T30,0)</x:f>
      </x:c>
      <x:c r="U35" s="117">
        <x:f>IF(AND(YEAR(U$3)=YEAR($B$7),MONTH(U$3)=MONTH($B$7)),U30,0)</x:f>
      </x:c>
      <x:c r="V35" s="117">
        <x:f>IF(AND(YEAR(V$3)=YEAR($B$7),MONTH(V$3)=MONTH($B$7)),V30,0)</x:f>
      </x:c>
      <x:c r="W35" s="117">
        <x:f>IF(AND(YEAR(W$3)=YEAR($B$7),MONTH(W$3)=MONTH($B$7)),W30,0)</x:f>
      </x:c>
      <x:c r="X35" s="117">
        <x:f>IF(AND(YEAR(X$3)=YEAR($B$7),MONTH(X$3)=MONTH($B$7)),X30,0)</x:f>
      </x:c>
      <x:c r="Y35" s="117">
        <x:f>IF(AND(YEAR(Y$3)=YEAR($B$7),MONTH(Y$3)=MONTH($B$7)),Y30,0)</x:f>
      </x:c>
      <x:c r="Z35" s="117">
        <x:f>IF(AND(YEAR(Z$3)=YEAR($B$7),MONTH(Z$3)=MONTH($B$7)),Z30,0)</x:f>
      </x:c>
      <x:c r="AA35" s="117">
        <x:f>IF(AND(YEAR(AA$3)=YEAR($B$7),MONTH(AA$3)=MONTH($B$7)),AA30,0)</x:f>
      </x:c>
      <x:c r="AB35" s="117">
        <x:f>IF(AND(YEAR(AB$3)=YEAR($B$7),MONTH(AB$3)=MONTH($B$7)),AB30,0)</x:f>
      </x:c>
      <x:c r="AC35" s="117">
        <x:f>IF(AND(YEAR(AC$3)=YEAR($B$7),MONTH(AC$3)=MONTH($B$7)),AC30,0)</x:f>
      </x:c>
      <x:c r="AD35" s="117">
        <x:f>IF(AND(YEAR(AD$3)=YEAR($B$7),MONTH(AD$3)=MONTH($B$7)),AD30,0)</x:f>
      </x:c>
      <x:c r="AE35" s="117">
        <x:f>IF(AND(YEAR(AE$3)=YEAR($B$7),MONTH(AE$3)=MONTH($B$7)),AE30,0)</x:f>
      </x:c>
      <x:c r="AF35" s="117">
        <x:f>IF(AND(YEAR(AF$3)=YEAR($B$7),MONTH(AF$3)=MONTH($B$7)),AF30,0)</x:f>
      </x:c>
      <x:c r="AG35" s="117">
        <x:f>IF(AND(YEAR(AG$3)=YEAR($B$7),MONTH(AG$3)=MONTH($B$7)),AG30,0)</x:f>
      </x:c>
      <x:c r="AH35" s="117">
        <x:f>IF(AND(YEAR(AH$3)=YEAR($B$7),MONTH(AH$3)=MONTH($B$7)),AH30,0)</x:f>
      </x:c>
      <x:c r="AI35" s="117">
        <x:f>IF(AND(YEAR(AI$3)=YEAR($B$7),MONTH(AI$3)=MONTH($B$7)),AI30,0)</x:f>
      </x:c>
      <x:c r="AJ35" s="117">
        <x:f>IF(AND(YEAR(AJ$3)=YEAR($B$7),MONTH(AJ$3)=MONTH($B$7)),AJ30,0)</x:f>
      </x:c>
      <x:c r="AK35" s="117">
        <x:f>IF(AND(YEAR(AK$3)=YEAR($B$7),MONTH(AK$3)=MONTH($B$7)),AK30,0)</x:f>
      </x:c>
      <x:c r="AL35" s="117">
        <x:f>IF(AND(YEAR(AL$3)=YEAR($B$7),MONTH(AL$3)=MONTH($B$7)),AL30,0)</x:f>
      </x:c>
      <x:c r="AM35" s="117">
        <x:f>IF(AND(YEAR(AM$3)=YEAR($B$7),MONTH(AM$3)=MONTH($B$7)),AM30,0)</x:f>
      </x:c>
      <x:c r="AN35" s="117">
        <x:f>IF(AND(YEAR(AN$3)=YEAR($B$7),MONTH(AN$3)=MONTH($B$7)),AN30,0)</x:f>
      </x:c>
      <x:c r="AO35" s="117">
        <x:f>IF(AND(YEAR(AO$3)=YEAR($B$7),MONTH(AO$3)=MONTH($B$7)),AO30,0)</x:f>
      </x:c>
      <x:c r="AP35" s="117">
        <x:f>IF(AND(YEAR(AP$3)=YEAR($B$7),MONTH(AP$3)=MONTH($B$7)),AP30,0)</x:f>
      </x:c>
      <x:c r="AQ35" s="117">
        <x:f>IF(AND(YEAR(AQ$3)=YEAR($B$7),MONTH(AQ$3)=MONTH($B$7)),AQ30,0)</x:f>
      </x:c>
      <x:c r="AR35" s="117">
        <x:f>IF(AND(YEAR(AR$3)=YEAR($B$7),MONTH(AR$3)=MONTH($B$7)),AR30,0)</x:f>
      </x:c>
      <x:c r="AS35" s="117">
        <x:f>IF(AND(YEAR(AS$3)=YEAR($B$7),MONTH(AS$3)=MONTH($B$7)),AS30,0)</x:f>
      </x:c>
      <x:c r="AT35" s="117">
        <x:f>IF(AND(YEAR(AT$3)=YEAR($B$7),MONTH(AT$3)=MONTH($B$7)),AT30,0)</x:f>
      </x:c>
      <x:c r="AU35" s="117">
        <x:f>IF(AND(YEAR(AU$3)=YEAR($B$7),MONTH(AU$3)=MONTH($B$7)),AU30,0)</x:f>
      </x:c>
      <x:c r="AV35" s="117">
        <x:f>IF(AND(YEAR(AV$3)=YEAR($B$7),MONTH(AV$3)=MONTH($B$7)),AV30,0)</x:f>
      </x:c>
      <x:c r="AW35" s="117">
        <x:f>IF(AND(YEAR(AW$3)=YEAR($B$7),MONTH(AW$3)=MONTH($B$7)),AW30,0)</x:f>
      </x:c>
      <x:c r="AX35" s="117">
        <x:f>IF(AND(YEAR(AX$3)=YEAR($B$7),MONTH(AX$3)=MONTH($B$7)),AX30,0)</x:f>
      </x:c>
      <x:c r="AY35" s="117">
        <x:f>IF(AND(YEAR(AY$3)=YEAR($B$7),MONTH(AY$3)=MONTH($B$7)),AY30,0)</x:f>
      </x:c>
      <x:c r="AZ35" s="117">
        <x:f>IF(AND(YEAR(AZ$3)=YEAR($B$7),MONTH(AZ$3)=MONTH($B$7)),AZ30,0)</x:f>
      </x:c>
      <x:c r="BA35" s="117">
        <x:f>IF(AND(YEAR(BA$3)=YEAR($B$7),MONTH(BA$3)=MONTH($B$7)),BA30,0)</x:f>
      </x:c>
      <x:c r="BB35" s="117">
        <x:f>IF(AND(YEAR(BB$3)=YEAR($B$7),MONTH(BB$3)=MONTH($B$7)),BB30,0)</x:f>
      </x:c>
      <x:c r="BC35" s="117">
        <x:f>IF(AND(YEAR(BC$3)=YEAR($B$7),MONTH(BC$3)=MONTH($B$7)),BC30,0)</x:f>
      </x:c>
      <x:c r="BD35" s="117">
        <x:f>IF(AND(YEAR(BD$3)=YEAR($B$7),MONTH(BD$3)=MONTH($B$7)),BD30,0)</x:f>
      </x:c>
      <x:c r="BE35" s="117">
        <x:f>IF(AND(YEAR(BE$3)=YEAR($B$7),MONTH(BE$3)=MONTH($B$7)),BE30,0)</x:f>
      </x:c>
      <x:c r="BF35" s="117">
        <x:f>IF(AND(YEAR(BF$3)=YEAR($B$7),MONTH(BF$3)=MONTH($B$7)),BF30,0)</x:f>
      </x:c>
      <x:c r="BG35" s="117">
        <x:f>IF(AND(YEAR(BG$3)=YEAR($B$7),MONTH(BG$3)=MONTH($B$7)),BG30,0)</x:f>
      </x:c>
      <x:c r="BH35" s="117">
        <x:f>IF(AND(YEAR(BH$3)=YEAR($B$7),MONTH(BH$3)=MONTH($B$7)),BH30,0)</x:f>
      </x:c>
      <x:c r="BI35" s="117">
        <x:f>IF(AND(YEAR(BI$3)=YEAR($B$7),MONTH(BI$3)=MONTH($B$7)),BI30,0)</x:f>
      </x:c>
      <x:c r="BJ35" s="117">
        <x:f>IF(AND(YEAR(BJ$3)=YEAR($B$7),MONTH(BJ$3)=MONTH($B$7)),BJ30,0)</x:f>
      </x:c>
      <x:c r="BK35" s="117">
        <x:f>IF(AND(YEAR(BK$3)=YEAR($B$7),MONTH(BK$3)=MONTH($B$7)),BK30,0)</x:f>
      </x:c>
      <x:c r="BL35" s="117">
        <x:f>IF(AND(YEAR(BL$3)=YEAR($B$7),MONTH(BL$3)=MONTH($B$7)),BL30,0)</x:f>
      </x:c>
      <x:c r="BM35" s="117">
        <x:f>IF(AND(YEAR(BM$3)=YEAR($B$7),MONTH(BM$3)=MONTH($B$7)),BM30,0)</x:f>
      </x:c>
      <x:c r="BN35" s="117">
        <x:f>IF(AND(YEAR(BN$3)=YEAR($B$7),MONTH(BN$3)=MONTH($B$7)),BN30,0)</x:f>
      </x:c>
      <x:c r="BO35" s="117">
        <x:f>IF(AND(YEAR(BO$3)=YEAR($B$7),MONTH(BO$3)=MONTH($B$7)),BO30,0)</x:f>
      </x:c>
      <x:c r="BP35" s="117">
        <x:f>IF(AND(YEAR(BP$3)=YEAR($B$7),MONTH(BP$3)=MONTH($B$7)),BP30,0)</x:f>
      </x:c>
      <x:c r="BQ35" s="117">
        <x:f>IF(AND(YEAR(BQ$3)=YEAR($B$7),MONTH(BQ$3)=MONTH($B$7)),BQ30,0)</x:f>
      </x:c>
      <x:c r="BR35" s="117">
        <x:f>IF(AND(YEAR(BR$3)=YEAR($B$7),MONTH(BR$3)=MONTH($B$7)),BR30,0)</x:f>
      </x:c>
      <x:c r="BS35" s="117">
        <x:f>IF(AND(YEAR(BS$3)=YEAR($B$7),MONTH(BS$3)=MONTH($B$7)),BS30,0)</x:f>
      </x:c>
      <x:c r="BT35" s="117">
        <x:f>IF(AND(YEAR(BT$3)=YEAR($B$7),MONTH(BT$3)=MONTH($B$7)),BT30,0)</x:f>
      </x:c>
      <x:c r="BU35" s="117">
        <x:f>IF(AND(YEAR(BU$3)=YEAR($B$7),MONTH(BU$3)=MONTH($B$7)),BU30,0)</x:f>
      </x:c>
      <x:c r="BV35" s="117">
        <x:f>IF(AND(YEAR(BV$3)=YEAR($B$7),MONTH(BV$3)=MONTH($B$7)),BV30,0)</x:f>
      </x:c>
      <x:c r="BW35" s="117">
        <x:f>IF(AND(YEAR(BW$3)=YEAR($B$7),MONTH(BW$3)=MONTH($B$7)),BW30,0)</x:f>
      </x:c>
      <x:c r="BX35" s="117">
        <x:f>IF(AND(YEAR(BX$3)=YEAR($B$7),MONTH(BX$3)=MONTH($B$7)),BX30,0)</x:f>
      </x:c>
      <x:c r="BY35" s="117">
        <x:f>IF(AND(YEAR(BY$3)=YEAR($B$7),MONTH(BY$3)=MONTH($B$7)),BY30,0)</x:f>
      </x:c>
      <x:c r="BZ35" s="117">
        <x:f>IF(AND(YEAR(BZ$3)=YEAR($B$7),MONTH(BZ$3)=MONTH($B$7)),BZ30,0)</x:f>
      </x:c>
      <x:c r="CA35" s="117">
        <x:f>IF(AND(YEAR(CA$3)=YEAR($B$7),MONTH(CA$3)=MONTH($B$7)),CA30,0)</x:f>
      </x:c>
      <x:c r="CB35" s="117">
        <x:f>IF(AND(YEAR(CB$3)=YEAR($B$7),MONTH(CB$3)=MONTH($B$7)),CB30,0)</x:f>
      </x:c>
      <x:c r="CC35" s="117">
        <x:f>IF(AND(YEAR(CC$3)=YEAR($B$7),MONTH(CC$3)=MONTH($B$7)),CC30,0)</x:f>
      </x:c>
      <x:c r="CD35" s="117">
        <x:f>IF(AND(YEAR(CD$3)=YEAR($B$7),MONTH(CD$3)=MONTH($B$7)),CD30,0)</x:f>
      </x:c>
      <x:c r="CE35" s="117">
        <x:f>IF(AND(YEAR(CE$3)=YEAR($B$7),MONTH(CE$3)=MONTH($B$7)),CE30,0)</x:f>
      </x:c>
      <x:c r="CF35" s="117">
        <x:f>IF(AND(YEAR(CF$3)=YEAR($B$7),MONTH(CF$3)=MONTH($B$7)),CF30,0)</x:f>
      </x:c>
      <x:c r="CG35" s="117">
        <x:f>IF(AND(YEAR(CG$3)=YEAR($B$7),MONTH(CG$3)=MONTH($B$7)),CG30,0)</x:f>
      </x:c>
      <x:c r="CH35" s="117">
        <x:f>IF(AND(YEAR(CH$3)=YEAR($B$7),MONTH(CH$3)=MONTH($B$7)),CH30,0)</x:f>
      </x:c>
      <x:c r="CI35" s="117">
        <x:f>IF(AND(YEAR(CI$3)=YEAR($B$7),MONTH(CI$3)=MONTH($B$7)),CI30,0)</x:f>
      </x:c>
      <x:c r="CJ35" s="117">
        <x:f>IF(AND(YEAR(CJ$3)=YEAR($B$7),MONTH(CJ$3)=MONTH($B$7)),CJ30,0)</x:f>
      </x:c>
      <x:c r="CK35" s="117">
        <x:f>IF(AND(YEAR(CK$3)=YEAR($B$7),MONTH(CK$3)=MONTH($B$7)),CK30,0)</x:f>
      </x:c>
      <x:c r="CL35" s="117">
        <x:f>IF(AND(YEAR(CL$3)=YEAR($B$7),MONTH(CL$3)=MONTH($B$7)),CL30,0)</x:f>
      </x:c>
      <x:c r="CM35" s="117">
        <x:f>IF(AND(YEAR(CM$3)=YEAR($B$7),MONTH(CM$3)=MONTH($B$7)),CM30,0)</x:f>
      </x:c>
      <x:c r="CN35" s="117">
        <x:f>IF(AND(YEAR(CN$3)=YEAR($B$7),MONTH(CN$3)=MONTH($B$7)),CN30,0)</x:f>
      </x:c>
      <x:c r="CO35" s="117">
        <x:f>IF(AND(YEAR(CO$3)=YEAR($B$7),MONTH(CO$3)=MONTH($B$7)),CO30,0)</x:f>
      </x:c>
      <x:c r="CP35" s="117">
        <x:f>IF(AND(YEAR(CP$3)=YEAR($B$7),MONTH(CP$3)=MONTH($B$7)),CP30,0)</x:f>
      </x:c>
      <x:c r="CQ35" s="117">
        <x:f>IF(AND(YEAR(CQ$3)=YEAR($B$7),MONTH(CQ$3)=MONTH($B$7)),CQ30,0)</x:f>
      </x:c>
      <x:c r="CR35" s="117">
        <x:f>IF(AND(YEAR(CR$3)=YEAR($B$7),MONTH(CR$3)=MONTH($B$7)),CR30,0)</x:f>
      </x:c>
      <x:c r="CS35" s="117">
        <x:f>IF(AND(YEAR(CS$3)=YEAR($B$7),MONTH(CS$3)=MONTH($B$7)),CS30,0)</x:f>
      </x:c>
      <x:c r="CT35" s="117">
        <x:f>IF(AND(YEAR(CT$3)=YEAR($B$7),MONTH(CT$3)=MONTH($B$7)),CT30,0)</x:f>
      </x:c>
      <x:c r="CU35" s="117">
        <x:f>IF(AND(YEAR(CU$3)=YEAR($B$7),MONTH(CU$3)=MONTH($B$7)),CU30,0)</x:f>
      </x:c>
      <x:c r="CV35" s="117">
        <x:f>IF(AND(YEAR(CV$3)=YEAR($B$7),MONTH(CV$3)=MONTH($B$7)),CV30,0)</x:f>
      </x:c>
      <x:c r="CW35" s="117">
        <x:f>IF(AND(YEAR(CW$3)=YEAR($B$7),MONTH(CW$3)=MONTH($B$7)),CW30,0)</x:f>
      </x:c>
      <x:c r="CX35" s="117">
        <x:f>IF(AND(YEAR(CX$3)=YEAR($B$7),MONTH(CX$3)=MONTH($B$7)),CX30,0)</x:f>
      </x:c>
      <x:c r="CY35" s="117">
        <x:f>IF(AND(YEAR(CY$3)=YEAR($B$7),MONTH(CY$3)=MONTH($B$7)),CY30,0)</x:f>
      </x:c>
      <x:c r="CZ35" s="117">
        <x:f>IF(AND(YEAR(CZ$3)=YEAR($B$7),MONTH(CZ$3)=MONTH($B$7)),CZ30,0)</x:f>
      </x:c>
      <x:c r="DA35" s="117">
        <x:f>IF(AND(YEAR(DA$3)=YEAR($B$7),MONTH(DA$3)=MONTH($B$7)),DA30,0)</x:f>
      </x:c>
      <x:c r="DB35" s="117">
        <x:f>IF(AND(YEAR(DB$3)=YEAR($B$7),MONTH(DB$3)=MONTH($B$7)),DB30,0)</x:f>
      </x:c>
      <x:c r="DC35" s="117">
        <x:f>IF(AND(YEAR(DC$3)=YEAR($B$7),MONTH(DC$3)=MONTH($B$7)),DC30,0)</x:f>
      </x:c>
      <x:c r="DD35" s="117">
        <x:f>IF(AND(YEAR(DD$3)=YEAR($B$7),MONTH(DD$3)=MONTH($B$7)),DD30,0)</x:f>
      </x:c>
      <x:c r="DE35" s="117">
        <x:f>IF(AND(YEAR(DE$3)=YEAR($B$7),MONTH(DE$3)=MONTH($B$7)),DE30,0)</x:f>
      </x:c>
      <x:c r="DF35" s="117">
        <x:f>IF(AND(YEAR(DF$3)=YEAR($B$7),MONTH(DF$3)=MONTH($B$7)),DF30,0)</x:f>
      </x:c>
      <x:c r="DG35" s="117">
        <x:f>IF(AND(YEAR(DG$3)=YEAR($B$7),MONTH(DG$3)=MONTH($B$7)),DG30,0)</x:f>
      </x:c>
      <x:c r="DH35" s="117">
        <x:f>IF(AND(YEAR(DH$3)=YEAR($B$7),MONTH(DH$3)=MONTH($B$7)),DH30,0)</x:f>
      </x:c>
      <x:c r="DI35" s="117">
        <x:f>IF(AND(YEAR(DI$3)=YEAR($B$7),MONTH(DI$3)=MONTH($B$7)),DI30,0)</x:f>
      </x:c>
      <x:c r="DJ35" s="117">
        <x:f>IF(AND(YEAR(DJ$3)=YEAR($B$7),MONTH(DJ$3)=MONTH($B$7)),DJ30,0)</x:f>
      </x:c>
      <x:c r="DK35" s="117">
        <x:f>IF(AND(YEAR(DK$3)=YEAR($B$7),MONTH(DK$3)=MONTH($B$7)),DK30,0)</x:f>
      </x:c>
      <x:c r="DL35" s="117">
        <x:f>IF(AND(YEAR(DL$3)=YEAR($B$7),MONTH(DL$3)=MONTH($B$7)),DL30,0)</x:f>
      </x:c>
      <x:c r="DM35" s="117">
        <x:f>IF(AND(YEAR(DM$3)=YEAR($B$7),MONTH(DM$3)=MONTH($B$7)),DM30,0)</x:f>
      </x:c>
      <x:c r="DN35" s="117">
        <x:f>IF(AND(YEAR(DN$3)=YEAR($B$7),MONTH(DN$3)=MONTH($B$7)),DN30,0)</x:f>
      </x:c>
      <x:c r="DO35" s="117">
        <x:f>IF(AND(YEAR(DO$3)=YEAR($B$7),MONTH(DO$3)=MONTH($B$7)),DO30,0)</x:f>
      </x:c>
      <x:c r="DP35" s="117">
        <x:f>IF(AND(YEAR(DP$3)=YEAR($B$7),MONTH(DP$3)=MONTH($B$7)),DP30,0)</x:f>
      </x:c>
      <x:c r="DQ35" s="117">
        <x:f>IF(AND(YEAR(DQ$3)=YEAR($B$7),MONTH(DQ$3)=MONTH($B$7)),DQ30,0)</x:f>
      </x:c>
      <x:c r="DR35" s="117">
        <x:f>IF(AND(YEAR(DR$3)=YEAR($B$7),MONTH(DR$3)=MONTH($B$7)),DR30,0)</x:f>
      </x:c>
      <x:c r="DS35" s="117">
        <x:f>IF(AND(YEAR(DS$3)=YEAR($B$7),MONTH(DS$3)=MONTH($B$7)),DS30,0)</x:f>
      </x:c>
      <x:c r="DT35" s="117">
        <x:f>IF(AND(YEAR(DT$3)=YEAR($B$7),MONTH(DT$3)=MONTH($B$7)),DT30,0)</x:f>
      </x:c>
      <x:c r="DU35" s="117">
        <x:f>IF(AND(YEAR(DU$3)=YEAR($B$7),MONTH(DU$3)=MONTH($B$7)),DU30,0)</x:f>
      </x:c>
      <x:c r="DV35" s="117">
        <x:f>IF(AND(YEAR(DV$3)=YEAR($B$7),MONTH(DV$3)=MONTH($B$7)),DV30,0)</x:f>
      </x:c>
      <x:c r="DW35" s="117">
        <x:f>IF(AND(YEAR(DW$3)=YEAR($B$7),MONTH(DW$3)=MONTH($B$7)),DW30,0)</x:f>
      </x:c>
      <x:c r="DX35" s="117">
        <x:f>IF(AND(YEAR(DX$3)=YEAR($B$7),MONTH(DX$3)=MONTH($B$7)),DX30,0)</x:f>
      </x:c>
      <x:c r="DY35" s="117">
        <x:f>IF(AND(YEAR(DY$3)=YEAR($B$7),MONTH(DY$3)=MONTH($B$7)),DY30,0)</x:f>
      </x:c>
      <x:c r="DZ35" s="117">
        <x:f>IF(AND(YEAR(DZ$3)=YEAR($B$7),MONTH(DZ$3)=MONTH($B$7)),DZ30,0)</x:f>
      </x:c>
      <x:c r="EA35" s="117">
        <x:f>IF(AND(YEAR(EA$3)=YEAR($B$7),MONTH(EA$3)=MONTH($B$7)),EA30,0)</x:f>
      </x:c>
      <x:c r="EB35" s="117">
        <x:f>IF(AND(YEAR(EB$3)=YEAR($B$7),MONTH(EB$3)=MONTH($B$7)),EB30,0)</x:f>
      </x:c>
      <x:c r="EC35" s="117">
        <x:f>IF(AND(YEAR(EC$3)=YEAR($B$7),MONTH(EC$3)=MONTH($B$7)),EC30,0)</x:f>
      </x:c>
      <x:c r="ED35" s="117">
        <x:f>IF(AND(YEAR(ED$3)=YEAR($B$7),MONTH(ED$3)=MONTH($B$7)),ED30,0)</x:f>
      </x:c>
      <x:c r="EE35" s="117">
        <x:f>IF(AND(YEAR(EE$3)=YEAR($B$7),MONTH(EE$3)=MONTH($B$7)),EE30,0)</x:f>
      </x:c>
      <x:c r="EF35" s="117">
        <x:f>IF(AND(YEAR(EF$3)=YEAR($B$7),MONTH(EF$3)=MONTH($B$7)),EF30,0)</x:f>
      </x:c>
      <x:c r="EG35" s="117">
        <x:f>IF(AND(YEAR(EG$3)=YEAR($B$7),MONTH(EG$3)=MONTH($B$7)),EG30,0)</x:f>
      </x:c>
      <x:c r="EH35" s="117">
        <x:f>IF(AND(YEAR(EH$3)=YEAR($B$7),MONTH(EH$3)=MONTH($B$7)),EH30,0)</x:f>
      </x:c>
      <x:c r="EI35" s="117">
        <x:f>IF(AND(YEAR(EI$3)=YEAR($B$7),MONTH(EI$3)=MONTH($B$7)),EI30,0)</x:f>
      </x:c>
      <x:c r="EJ35" s="117">
        <x:f>IF(AND(YEAR(EJ$3)=YEAR($B$7),MONTH(EJ$3)=MONTH($B$7)),EJ30,0)</x:f>
      </x:c>
      <x:c r="EK35" s="117">
        <x:f>IF(AND(YEAR(EK$3)=YEAR($B$7),MONTH(EK$3)=MONTH($B$7)),EK30,0)</x:f>
      </x:c>
      <x:c r="EL35" s="117">
        <x:f>IF(AND(YEAR(EL$3)=YEAR($B$7),MONTH(EL$3)=MONTH($B$7)),EL30,0)</x:f>
      </x:c>
      <x:c r="EM35" s="117">
        <x:f>IF(AND(YEAR(EM$3)=YEAR($B$7),MONTH(EM$3)=MONTH($B$7)),EM30,0)</x:f>
      </x:c>
      <x:c r="EN35" s="117">
        <x:f>IF(AND(YEAR(EN$3)=YEAR($B$7),MONTH(EN$3)=MONTH($B$7)),EN30,0)</x:f>
      </x:c>
      <x:c r="EO35" s="117">
        <x:f>IF(AND(YEAR(EO$3)=YEAR($B$7),MONTH(EO$3)=MONTH($B$7)),EO30,0)</x:f>
      </x:c>
      <x:c r="EP35" s="117">
        <x:f>IF(AND(YEAR(EP$3)=YEAR($B$7),MONTH(EP$3)=MONTH($B$7)),EP30,0)</x:f>
      </x:c>
      <x:c r="EQ35" s="117">
        <x:f>IF(AND(YEAR(EQ$3)=YEAR($B$7),MONTH(EQ$3)=MONTH($B$7)),EQ30,0)</x:f>
      </x:c>
      <x:c r="ER35" s="117">
        <x:f>IF(AND(YEAR(ER$3)=YEAR($B$7),MONTH(ER$3)=MONTH($B$7)),ER30,0)</x:f>
      </x:c>
      <x:c r="ES35" s="117">
        <x:f>IF(AND(YEAR(ES$3)=YEAR($B$7),MONTH(ES$3)=MONTH($B$7)),ES30,0)</x:f>
      </x:c>
      <x:c r="ET35" s="117">
        <x:f>IF(AND(YEAR(ET$3)=YEAR($B$7),MONTH(ET$3)=MONTH($B$7)),ET30,0)</x:f>
      </x:c>
      <x:c r="EU35" s="117">
        <x:f>IF(AND(YEAR(EU$3)=YEAR($B$7),MONTH(EU$3)=MONTH($B$7)),EU30,0)</x:f>
      </x:c>
      <x:c r="EV35" s="117">
        <x:f>IF(AND(YEAR(EV$3)=YEAR($B$7),MONTH(EV$3)=MONTH($B$7)),EV30,0)</x:f>
      </x:c>
      <x:c r="EW35" s="117">
        <x:f>IF(AND(YEAR(EW$3)=YEAR($B$7),MONTH(EW$3)=MONTH($B$7)),EW30,0)</x:f>
      </x:c>
      <x:c r="EX35" s="117">
        <x:f>IF(AND(YEAR(EX$3)=YEAR($B$7),MONTH(EX$3)=MONTH($B$7)),EX30,0)</x:f>
      </x:c>
      <x:c r="EY35" s="117">
        <x:f>IF(AND(YEAR(EY$3)=YEAR($B$7),MONTH(EY$3)=MONTH($B$7)),EY30,0)</x:f>
      </x:c>
      <x:c r="EZ35" s="117">
        <x:f>IF(AND(YEAR(EZ$3)=YEAR($B$7),MONTH(EZ$3)=MONTH($B$7)),EZ30,0)</x:f>
      </x:c>
      <x:c r="FA35" s="117">
        <x:f>IF(AND(YEAR(FA$3)=YEAR($B$7),MONTH(FA$3)=MONTH($B$7)),FA30,0)</x:f>
      </x:c>
      <x:c r="FB35" s="117">
        <x:f>IF(AND(YEAR(FB$3)=YEAR($B$7),MONTH(FB$3)=MONTH($B$7)),FB30,0)</x:f>
      </x:c>
      <x:c r="FC35" s="117">
        <x:f>IF(AND(YEAR(FC$3)=YEAR($B$7),MONTH(FC$3)=MONTH($B$7)),FC30,0)</x:f>
      </x:c>
      <x:c r="FD35" s="117">
        <x:f>IF(AND(YEAR(FD$3)=YEAR($B$7),MONTH(FD$3)=MONTH($B$7)),FD30,0)</x:f>
      </x:c>
      <x:c r="FE35" s="117">
        <x:f>IF(AND(YEAR(FE$3)=YEAR($B$7),MONTH(FE$3)=MONTH($B$7)),FE30,0)</x:f>
      </x:c>
      <x:c r="FF35" s="117">
        <x:f>IF(AND(YEAR(FF$3)=YEAR($B$7),MONTH(FF$3)=MONTH($B$7)),FF30,0)</x:f>
      </x:c>
      <x:c r="FG35" s="117">
        <x:f>IF(AND(YEAR(FG$3)=YEAR($B$7),MONTH(FG$3)=MONTH($B$7)),FG30,0)</x:f>
      </x:c>
      <x:c r="FH35" s="117">
        <x:f>IF(AND(YEAR(FH$3)=YEAR($B$7),MONTH(FH$3)=MONTH($B$7)),FH30,0)</x:f>
      </x:c>
      <x:c r="FI35" s="117">
        <x:f>IF(AND(YEAR(FI$3)=YEAR($B$7),MONTH(FI$3)=MONTH($B$7)),FI30,0)</x:f>
      </x:c>
      <x:c r="FJ35" s="117">
        <x:f>IF(AND(YEAR(FJ$3)=YEAR($B$7),MONTH(FJ$3)=MONTH($B$7)),FJ30,0)</x:f>
      </x:c>
      <x:c r="FK35" s="117">
        <x:f>IF(AND(YEAR(FK$3)=YEAR($B$7),MONTH(FK$3)=MONTH($B$7)),FK30,0)</x:f>
      </x:c>
      <x:c r="FL35" s="117">
        <x:f>IF(AND(YEAR(FL$3)=YEAR($B$7),MONTH(FL$3)=MONTH($B$7)),FL30,0)</x:f>
      </x:c>
      <x:c r="FM35" s="117">
        <x:f>IF(AND(YEAR(FM$3)=YEAR($B$7),MONTH(FM$3)=MONTH($B$7)),FM30,0)</x:f>
      </x:c>
      <x:c r="FN35" s="117">
        <x:f>IF(AND(YEAR(FN$3)=YEAR($B$7),MONTH(FN$3)=MONTH($B$7)),FN30,0)</x:f>
      </x:c>
      <x:c r="FO35" s="117">
        <x:f>IF(AND(YEAR(FO$3)=YEAR($B$7),MONTH(FO$3)=MONTH($B$7)),FO30,0)</x:f>
      </x:c>
      <x:c r="FP35" s="117">
        <x:f>IF(AND(YEAR(FP$3)=YEAR($B$7),MONTH(FP$3)=MONTH($B$7)),FP30,0)</x:f>
      </x:c>
      <x:c r="FQ35" s="117">
        <x:f>IF(AND(YEAR(FQ$3)=YEAR($B$7),MONTH(FQ$3)=MONTH($B$7)),FQ30,0)</x:f>
      </x:c>
      <x:c r="FR35" s="117">
        <x:f>IF(AND(YEAR(FR$3)=YEAR($B$7),MONTH(FR$3)=MONTH($B$7)),FR30,0)</x:f>
      </x:c>
      <x:c r="FS35" s="117">
        <x:f>IF(AND(YEAR(FS$3)=YEAR($B$7),MONTH(FS$3)=MONTH($B$7)),FS30,0)</x:f>
      </x:c>
      <x:c r="FT35" s="117">
        <x:f>IF(AND(YEAR(FT$3)=YEAR($B$7),MONTH(FT$3)=MONTH($B$7)),FT30,0)</x:f>
      </x:c>
      <x:c r="FU35" s="117">
        <x:f>IF(AND(YEAR(FU$3)=YEAR($B$7),MONTH(FU$3)=MONTH($B$7)),FU30,0)</x:f>
      </x:c>
      <x:c r="FV35" s="117">
        <x:f>IF(AND(YEAR(FV$3)=YEAR($B$7),MONTH(FV$3)=MONTH($B$7)),FV30,0)</x:f>
      </x:c>
      <x:c r="FW35" s="117">
        <x:f>IF(AND(YEAR(FW$3)=YEAR($B$7),MONTH(FW$3)=MONTH($B$7)),FW30,0)</x:f>
      </x:c>
      <x:c r="FX35" s="117">
        <x:f>IF(AND(YEAR(FX$3)=YEAR($B$7),MONTH(FX$3)=MONTH($B$7)),FX30,0)</x:f>
      </x:c>
      <x:c r="FY35" s="117">
        <x:f>IF(AND(YEAR(FY$3)=YEAR($B$7),MONTH(FY$3)=MONTH($B$7)),FY30,0)</x:f>
      </x:c>
      <x:c r="FZ35" s="117">
        <x:f>IF(AND(YEAR(FZ$3)=YEAR($B$7),MONTH(FZ$3)=MONTH($B$7)),FZ30,0)</x:f>
      </x:c>
      <x:c r="GA35" s="117">
        <x:f>IF(AND(YEAR(GA$3)=YEAR($B$7),MONTH(GA$3)=MONTH($B$7)),GA30,0)</x:f>
      </x:c>
    </x:row>
    <x:row r="36">
      <x:c r="A36" s="113" t="str">
        <x:v>БРИДЖ — долг на конец</x:v>
      </x:c>
      <x:c r="B36" s="113" t="n">
        <x:f>GA36</x:f>
      </x:c>
      <x:c r="C36" s="113" t="str">
        <x:v>млн ₽</x:v>
      </x:c>
      <x:c r="D36" s="120">
        <x:f>MAX(0,D30+D34-D35)</x:f>
      </x:c>
      <x:c r="E36" s="120">
        <x:f>MAX(0,E30+E34-E35)</x:f>
      </x:c>
      <x:c r="F36" s="120">
        <x:f>MAX(0,F30+F34-F35)</x:f>
      </x:c>
      <x:c r="G36" s="120">
        <x:f>MAX(0,G30+G34-G35)</x:f>
      </x:c>
      <x:c r="H36" s="120">
        <x:f>MAX(0,H30+H34-H35)</x:f>
      </x:c>
      <x:c r="I36" s="120">
        <x:f>MAX(0,I30+I34-I35)</x:f>
      </x:c>
      <x:c r="J36" s="120">
        <x:f>MAX(0,J30+J34-J35)</x:f>
      </x:c>
      <x:c r="K36" s="120">
        <x:f>MAX(0,K30+K34-K35)</x:f>
      </x:c>
      <x:c r="L36" s="120">
        <x:f>MAX(0,L30+L34-L35)</x:f>
      </x:c>
      <x:c r="M36" s="120">
        <x:f>MAX(0,M30+M34-M35)</x:f>
      </x:c>
      <x:c r="N36" s="120">
        <x:f>MAX(0,N30+N34-N35)</x:f>
      </x:c>
      <x:c r="O36" s="120">
        <x:f>MAX(0,O30+O34-O35)</x:f>
      </x:c>
      <x:c r="P36" s="120">
        <x:f>MAX(0,P30+P34-P35)</x:f>
      </x:c>
      <x:c r="Q36" s="120">
        <x:f>MAX(0,Q30+Q34-Q35)</x:f>
      </x:c>
      <x:c r="R36" s="120">
        <x:f>MAX(0,R30+R34-R35)</x:f>
      </x:c>
      <x:c r="S36" s="120">
        <x:f>MAX(0,S30+S34-S35)</x:f>
      </x:c>
      <x:c r="T36" s="120">
        <x:f>MAX(0,T30+T34-T35)</x:f>
      </x:c>
      <x:c r="U36" s="120">
        <x:f>MAX(0,U30+U34-U35)</x:f>
      </x:c>
      <x:c r="V36" s="120">
        <x:f>MAX(0,V30+V34-V35)</x:f>
      </x:c>
      <x:c r="W36" s="120">
        <x:f>MAX(0,W30+W34-W35)</x:f>
      </x:c>
      <x:c r="X36" s="120">
        <x:f>MAX(0,X30+X34-X35)</x:f>
      </x:c>
      <x:c r="Y36" s="120">
        <x:f>MAX(0,Y30+Y34-Y35)</x:f>
      </x:c>
      <x:c r="Z36" s="120">
        <x:f>MAX(0,Z30+Z34-Z35)</x:f>
      </x:c>
      <x:c r="AA36" s="120">
        <x:f>MAX(0,AA30+AA34-AA35)</x:f>
      </x:c>
      <x:c r="AB36" s="120">
        <x:f>MAX(0,AB30+AB34-AB35)</x:f>
      </x:c>
      <x:c r="AC36" s="120">
        <x:f>MAX(0,AC30+AC34-AC35)</x:f>
      </x:c>
      <x:c r="AD36" s="120">
        <x:f>MAX(0,AD30+AD34-AD35)</x:f>
      </x:c>
      <x:c r="AE36" s="120">
        <x:f>MAX(0,AE30+AE34-AE35)</x:f>
      </x:c>
      <x:c r="AF36" s="120">
        <x:f>MAX(0,AF30+AF34-AF35)</x:f>
      </x:c>
      <x:c r="AG36" s="120">
        <x:f>MAX(0,AG30+AG34-AG35)</x:f>
      </x:c>
      <x:c r="AH36" s="120">
        <x:f>MAX(0,AH30+AH34-AH35)</x:f>
      </x:c>
      <x:c r="AI36" s="120">
        <x:f>MAX(0,AI30+AI34-AI35)</x:f>
      </x:c>
      <x:c r="AJ36" s="120">
        <x:f>MAX(0,AJ30+AJ34-AJ35)</x:f>
      </x:c>
      <x:c r="AK36" s="120">
        <x:f>MAX(0,AK30+AK34-AK35)</x:f>
      </x:c>
      <x:c r="AL36" s="120">
        <x:f>MAX(0,AL30+AL34-AL35)</x:f>
      </x:c>
      <x:c r="AM36" s="120">
        <x:f>MAX(0,AM30+AM34-AM35)</x:f>
      </x:c>
      <x:c r="AN36" s="120">
        <x:f>MAX(0,AN30+AN34-AN35)</x:f>
      </x:c>
      <x:c r="AO36" s="120">
        <x:f>MAX(0,AO30+AO34-AO35)</x:f>
      </x:c>
      <x:c r="AP36" s="120">
        <x:f>MAX(0,AP30+AP34-AP35)</x:f>
      </x:c>
      <x:c r="AQ36" s="120">
        <x:f>MAX(0,AQ30+AQ34-AQ35)</x:f>
      </x:c>
      <x:c r="AR36" s="120">
        <x:f>MAX(0,AR30+AR34-AR35)</x:f>
      </x:c>
      <x:c r="AS36" s="120">
        <x:f>MAX(0,AS30+AS34-AS35)</x:f>
      </x:c>
      <x:c r="AT36" s="120">
        <x:f>MAX(0,AT30+AT34-AT35)</x:f>
      </x:c>
      <x:c r="AU36" s="120">
        <x:f>MAX(0,AU30+AU34-AU35)</x:f>
      </x:c>
      <x:c r="AV36" s="120">
        <x:f>MAX(0,AV30+AV34-AV35)</x:f>
      </x:c>
      <x:c r="AW36" s="120">
        <x:f>MAX(0,AW30+AW34-AW35)</x:f>
      </x:c>
      <x:c r="AX36" s="120">
        <x:f>MAX(0,AX30+AX34-AX35)</x:f>
      </x:c>
      <x:c r="AY36" s="120">
        <x:f>MAX(0,AY30+AY34-AY35)</x:f>
      </x:c>
      <x:c r="AZ36" s="120">
        <x:f>MAX(0,AZ30+AZ34-AZ35)</x:f>
      </x:c>
      <x:c r="BA36" s="120">
        <x:f>MAX(0,BA30+BA34-BA35)</x:f>
      </x:c>
      <x:c r="BB36" s="120">
        <x:f>MAX(0,BB30+BB34-BB35)</x:f>
      </x:c>
      <x:c r="BC36" s="120">
        <x:f>MAX(0,BC30+BC34-BC35)</x:f>
      </x:c>
      <x:c r="BD36" s="120">
        <x:f>MAX(0,BD30+BD34-BD35)</x:f>
      </x:c>
      <x:c r="BE36" s="120">
        <x:f>MAX(0,BE30+BE34-BE35)</x:f>
      </x:c>
      <x:c r="BF36" s="120">
        <x:f>MAX(0,BF30+BF34-BF35)</x:f>
      </x:c>
      <x:c r="BG36" s="120">
        <x:f>MAX(0,BG30+BG34-BG35)</x:f>
      </x:c>
      <x:c r="BH36" s="120">
        <x:f>MAX(0,BH30+BH34-BH35)</x:f>
      </x:c>
      <x:c r="BI36" s="120">
        <x:f>MAX(0,BI30+BI34-BI35)</x:f>
      </x:c>
      <x:c r="BJ36" s="120">
        <x:f>MAX(0,BJ30+BJ34-BJ35)</x:f>
      </x:c>
      <x:c r="BK36" s="120">
        <x:f>MAX(0,BK30+BK34-BK35)</x:f>
      </x:c>
      <x:c r="BL36" s="120">
        <x:f>MAX(0,BL30+BL34-BL35)</x:f>
      </x:c>
      <x:c r="BM36" s="120">
        <x:f>MAX(0,BM30+BM34-BM35)</x:f>
      </x:c>
      <x:c r="BN36" s="120">
        <x:f>MAX(0,BN30+BN34-BN35)</x:f>
      </x:c>
      <x:c r="BO36" s="120">
        <x:f>MAX(0,BO30+BO34-BO35)</x:f>
      </x:c>
      <x:c r="BP36" s="120">
        <x:f>MAX(0,BP30+BP34-BP35)</x:f>
      </x:c>
      <x:c r="BQ36" s="120">
        <x:f>MAX(0,BQ30+BQ34-BQ35)</x:f>
      </x:c>
      <x:c r="BR36" s="120">
        <x:f>MAX(0,BR30+BR34-BR35)</x:f>
      </x:c>
      <x:c r="BS36" s="120">
        <x:f>MAX(0,BS30+BS34-BS35)</x:f>
      </x:c>
      <x:c r="BT36" s="120">
        <x:f>MAX(0,BT30+BT34-BT35)</x:f>
      </x:c>
      <x:c r="BU36" s="120">
        <x:f>MAX(0,BU30+BU34-BU35)</x:f>
      </x:c>
      <x:c r="BV36" s="120">
        <x:f>MAX(0,BV30+BV34-BV35)</x:f>
      </x:c>
      <x:c r="BW36" s="120">
        <x:f>MAX(0,BW30+BW34-BW35)</x:f>
      </x:c>
      <x:c r="BX36" s="120">
        <x:f>MAX(0,BX30+BX34-BX35)</x:f>
      </x:c>
      <x:c r="BY36" s="120">
        <x:f>MAX(0,BY30+BY34-BY35)</x:f>
      </x:c>
      <x:c r="BZ36" s="120">
        <x:f>MAX(0,BZ30+BZ34-BZ35)</x:f>
      </x:c>
      <x:c r="CA36" s="120">
        <x:f>MAX(0,CA30+CA34-CA35)</x:f>
      </x:c>
      <x:c r="CB36" s="120">
        <x:f>MAX(0,CB30+CB34-CB35)</x:f>
      </x:c>
      <x:c r="CC36" s="120">
        <x:f>MAX(0,CC30+CC34-CC35)</x:f>
      </x:c>
      <x:c r="CD36" s="120">
        <x:f>MAX(0,CD30+CD34-CD35)</x:f>
      </x:c>
      <x:c r="CE36" s="120">
        <x:f>MAX(0,CE30+CE34-CE35)</x:f>
      </x:c>
      <x:c r="CF36" s="120">
        <x:f>MAX(0,CF30+CF34-CF35)</x:f>
      </x:c>
      <x:c r="CG36" s="120">
        <x:f>MAX(0,CG30+CG34-CG35)</x:f>
      </x:c>
      <x:c r="CH36" s="120">
        <x:f>MAX(0,CH30+CH34-CH35)</x:f>
      </x:c>
      <x:c r="CI36" s="120">
        <x:f>MAX(0,CI30+CI34-CI35)</x:f>
      </x:c>
      <x:c r="CJ36" s="120">
        <x:f>MAX(0,CJ30+CJ34-CJ35)</x:f>
      </x:c>
      <x:c r="CK36" s="120">
        <x:f>MAX(0,CK30+CK34-CK35)</x:f>
      </x:c>
      <x:c r="CL36" s="120">
        <x:f>MAX(0,CL30+CL34-CL35)</x:f>
      </x:c>
      <x:c r="CM36" s="120">
        <x:f>MAX(0,CM30+CM34-CM35)</x:f>
      </x:c>
      <x:c r="CN36" s="120">
        <x:f>MAX(0,CN30+CN34-CN35)</x:f>
      </x:c>
      <x:c r="CO36" s="120">
        <x:f>MAX(0,CO30+CO34-CO35)</x:f>
      </x:c>
      <x:c r="CP36" s="120">
        <x:f>MAX(0,CP30+CP34-CP35)</x:f>
      </x:c>
      <x:c r="CQ36" s="120">
        <x:f>MAX(0,CQ30+CQ34-CQ35)</x:f>
      </x:c>
      <x:c r="CR36" s="120">
        <x:f>MAX(0,CR30+CR34-CR35)</x:f>
      </x:c>
      <x:c r="CS36" s="120">
        <x:f>MAX(0,CS30+CS34-CS35)</x:f>
      </x:c>
      <x:c r="CT36" s="120">
        <x:f>MAX(0,CT30+CT34-CT35)</x:f>
      </x:c>
      <x:c r="CU36" s="120">
        <x:f>MAX(0,CU30+CU34-CU35)</x:f>
      </x:c>
      <x:c r="CV36" s="120">
        <x:f>MAX(0,CV30+CV34-CV35)</x:f>
      </x:c>
      <x:c r="CW36" s="120">
        <x:f>MAX(0,CW30+CW34-CW35)</x:f>
      </x:c>
      <x:c r="CX36" s="120">
        <x:f>MAX(0,CX30+CX34-CX35)</x:f>
      </x:c>
      <x:c r="CY36" s="120">
        <x:f>MAX(0,CY30+CY34-CY35)</x:f>
      </x:c>
      <x:c r="CZ36" s="120">
        <x:f>MAX(0,CZ30+CZ34-CZ35)</x:f>
      </x:c>
      <x:c r="DA36" s="120">
        <x:f>MAX(0,DA30+DA34-DA35)</x:f>
      </x:c>
      <x:c r="DB36" s="120">
        <x:f>MAX(0,DB30+DB34-DB35)</x:f>
      </x:c>
      <x:c r="DC36" s="120">
        <x:f>MAX(0,DC30+DC34-DC35)</x:f>
      </x:c>
      <x:c r="DD36" s="120">
        <x:f>MAX(0,DD30+DD34-DD35)</x:f>
      </x:c>
      <x:c r="DE36" s="120">
        <x:f>MAX(0,DE30+DE34-DE35)</x:f>
      </x:c>
      <x:c r="DF36" s="120">
        <x:f>MAX(0,DF30+DF34-DF35)</x:f>
      </x:c>
      <x:c r="DG36" s="120">
        <x:f>MAX(0,DG30+DG34-DG35)</x:f>
      </x:c>
      <x:c r="DH36" s="120">
        <x:f>MAX(0,DH30+DH34-DH35)</x:f>
      </x:c>
      <x:c r="DI36" s="120">
        <x:f>MAX(0,DI30+DI34-DI35)</x:f>
      </x:c>
      <x:c r="DJ36" s="120">
        <x:f>MAX(0,DJ30+DJ34-DJ35)</x:f>
      </x:c>
      <x:c r="DK36" s="120">
        <x:f>MAX(0,DK30+DK34-DK35)</x:f>
      </x:c>
      <x:c r="DL36" s="120">
        <x:f>MAX(0,DL30+DL34-DL35)</x:f>
      </x:c>
      <x:c r="DM36" s="120">
        <x:f>MAX(0,DM30+DM34-DM35)</x:f>
      </x:c>
      <x:c r="DN36" s="120">
        <x:f>MAX(0,DN30+DN34-DN35)</x:f>
      </x:c>
      <x:c r="DO36" s="120">
        <x:f>MAX(0,DO30+DO34-DO35)</x:f>
      </x:c>
      <x:c r="DP36" s="120">
        <x:f>MAX(0,DP30+DP34-DP35)</x:f>
      </x:c>
      <x:c r="DQ36" s="120">
        <x:f>MAX(0,DQ30+DQ34-DQ35)</x:f>
      </x:c>
      <x:c r="DR36" s="120">
        <x:f>MAX(0,DR30+DR34-DR35)</x:f>
      </x:c>
      <x:c r="DS36" s="120">
        <x:f>MAX(0,DS30+DS34-DS35)</x:f>
      </x:c>
      <x:c r="DT36" s="120">
        <x:f>MAX(0,DT30+DT34-DT35)</x:f>
      </x:c>
      <x:c r="DU36" s="120">
        <x:f>MAX(0,DU30+DU34-DU35)</x:f>
      </x:c>
      <x:c r="DV36" s="120">
        <x:f>MAX(0,DV30+DV34-DV35)</x:f>
      </x:c>
      <x:c r="DW36" s="120">
        <x:f>MAX(0,DW30+DW34-DW35)</x:f>
      </x:c>
      <x:c r="DX36" s="120">
        <x:f>MAX(0,DX30+DX34-DX35)</x:f>
      </x:c>
      <x:c r="DY36" s="120">
        <x:f>MAX(0,DY30+DY34-DY35)</x:f>
      </x:c>
      <x:c r="DZ36" s="120">
        <x:f>MAX(0,DZ30+DZ34-DZ35)</x:f>
      </x:c>
      <x:c r="EA36" s="120">
        <x:f>MAX(0,EA30+EA34-EA35)</x:f>
      </x:c>
      <x:c r="EB36" s="120">
        <x:f>MAX(0,EB30+EB34-EB35)</x:f>
      </x:c>
      <x:c r="EC36" s="120">
        <x:f>MAX(0,EC30+EC34-EC35)</x:f>
      </x:c>
      <x:c r="ED36" s="120">
        <x:f>MAX(0,ED30+ED34-ED35)</x:f>
      </x:c>
      <x:c r="EE36" s="120">
        <x:f>MAX(0,EE30+EE34-EE35)</x:f>
      </x:c>
      <x:c r="EF36" s="120">
        <x:f>MAX(0,EF30+EF34-EF35)</x:f>
      </x:c>
      <x:c r="EG36" s="120">
        <x:f>MAX(0,EG30+EG34-EG35)</x:f>
      </x:c>
      <x:c r="EH36" s="120">
        <x:f>MAX(0,EH30+EH34-EH35)</x:f>
      </x:c>
      <x:c r="EI36" s="120">
        <x:f>MAX(0,EI30+EI34-EI35)</x:f>
      </x:c>
      <x:c r="EJ36" s="120">
        <x:f>MAX(0,EJ30+EJ34-EJ35)</x:f>
      </x:c>
      <x:c r="EK36" s="120">
        <x:f>MAX(0,EK30+EK34-EK35)</x:f>
      </x:c>
      <x:c r="EL36" s="120">
        <x:f>MAX(0,EL30+EL34-EL35)</x:f>
      </x:c>
      <x:c r="EM36" s="120">
        <x:f>MAX(0,EM30+EM34-EM35)</x:f>
      </x:c>
      <x:c r="EN36" s="120">
        <x:f>MAX(0,EN30+EN34-EN35)</x:f>
      </x:c>
      <x:c r="EO36" s="120">
        <x:f>MAX(0,EO30+EO34-EO35)</x:f>
      </x:c>
      <x:c r="EP36" s="120">
        <x:f>MAX(0,EP30+EP34-EP35)</x:f>
      </x:c>
      <x:c r="EQ36" s="120">
        <x:f>MAX(0,EQ30+EQ34-EQ35)</x:f>
      </x:c>
      <x:c r="ER36" s="120">
        <x:f>MAX(0,ER30+ER34-ER35)</x:f>
      </x:c>
      <x:c r="ES36" s="120">
        <x:f>MAX(0,ES30+ES34-ES35)</x:f>
      </x:c>
      <x:c r="ET36" s="120">
        <x:f>MAX(0,ET30+ET34-ET35)</x:f>
      </x:c>
      <x:c r="EU36" s="120">
        <x:f>MAX(0,EU30+EU34-EU35)</x:f>
      </x:c>
      <x:c r="EV36" s="120">
        <x:f>MAX(0,EV30+EV34-EV35)</x:f>
      </x:c>
      <x:c r="EW36" s="120">
        <x:f>MAX(0,EW30+EW34-EW35)</x:f>
      </x:c>
      <x:c r="EX36" s="120">
        <x:f>MAX(0,EX30+EX34-EX35)</x:f>
      </x:c>
      <x:c r="EY36" s="120">
        <x:f>MAX(0,EY30+EY34-EY35)</x:f>
      </x:c>
      <x:c r="EZ36" s="120">
        <x:f>MAX(0,EZ30+EZ34-EZ35)</x:f>
      </x:c>
      <x:c r="FA36" s="120">
        <x:f>MAX(0,FA30+FA34-FA35)</x:f>
      </x:c>
      <x:c r="FB36" s="120">
        <x:f>MAX(0,FB30+FB34-FB35)</x:f>
      </x:c>
      <x:c r="FC36" s="120">
        <x:f>MAX(0,FC30+FC34-FC35)</x:f>
      </x:c>
      <x:c r="FD36" s="120">
        <x:f>MAX(0,FD30+FD34-FD35)</x:f>
      </x:c>
      <x:c r="FE36" s="120">
        <x:f>MAX(0,FE30+FE34-FE35)</x:f>
      </x:c>
      <x:c r="FF36" s="120">
        <x:f>MAX(0,FF30+FF34-FF35)</x:f>
      </x:c>
      <x:c r="FG36" s="120">
        <x:f>MAX(0,FG30+FG34-FG35)</x:f>
      </x:c>
      <x:c r="FH36" s="120">
        <x:f>MAX(0,FH30+FH34-FH35)</x:f>
      </x:c>
      <x:c r="FI36" s="120">
        <x:f>MAX(0,FI30+FI34-FI35)</x:f>
      </x:c>
      <x:c r="FJ36" s="120">
        <x:f>MAX(0,FJ30+FJ34-FJ35)</x:f>
      </x:c>
      <x:c r="FK36" s="120">
        <x:f>MAX(0,FK30+FK34-FK35)</x:f>
      </x:c>
      <x:c r="FL36" s="120">
        <x:f>MAX(0,FL30+FL34-FL35)</x:f>
      </x:c>
      <x:c r="FM36" s="120">
        <x:f>MAX(0,FM30+FM34-FM35)</x:f>
      </x:c>
      <x:c r="FN36" s="120">
        <x:f>MAX(0,FN30+FN34-FN35)</x:f>
      </x:c>
      <x:c r="FO36" s="120">
        <x:f>MAX(0,FO30+FO34-FO35)</x:f>
      </x:c>
      <x:c r="FP36" s="120">
        <x:f>MAX(0,FP30+FP34-FP35)</x:f>
      </x:c>
      <x:c r="FQ36" s="120">
        <x:f>MAX(0,FQ30+FQ34-FQ35)</x:f>
      </x:c>
      <x:c r="FR36" s="120">
        <x:f>MAX(0,FR30+FR34-FR35)</x:f>
      </x:c>
      <x:c r="FS36" s="120">
        <x:f>MAX(0,FS30+FS34-FS35)</x:f>
      </x:c>
      <x:c r="FT36" s="120">
        <x:f>MAX(0,FT30+FT34-FT35)</x:f>
      </x:c>
      <x:c r="FU36" s="120">
        <x:f>MAX(0,FU30+FU34-FU35)</x:f>
      </x:c>
      <x:c r="FV36" s="120">
        <x:f>MAX(0,FV30+FV34-FV35)</x:f>
      </x:c>
      <x:c r="FW36" s="120">
        <x:f>MAX(0,FW30+FW34-FW35)</x:f>
      </x:c>
      <x:c r="FX36" s="120">
        <x:f>MAX(0,FX30+FX34-FX35)</x:f>
      </x:c>
      <x:c r="FY36" s="120">
        <x:f>MAX(0,FY30+FY34-FY35)</x:f>
      </x:c>
      <x:c r="FZ36" s="120">
        <x:f>MAX(0,FZ30+FZ34-FZ35)</x:f>
      </x:c>
      <x:c r="GA36" s="120">
        <x:f>MAX(0,GA30+GA34-GA35)</x:f>
      </x:c>
    </x:row>
    <x:row r="37">
      <x:c r="A37" t="inlineStr">
        <x:is>
          <x:t>БРИДЖ — проценты к уплате (накопленно)</x:t>
        </x:is>
      </x:c>
      <x:c r="B37"/>
      <x:c r="C37"/>
      <x:c r="D37" s="117">
        <x:f>IF(AND(D$3&lt;$B$7,$B$5=1),C37*(1+'Ставки'!D$6/12)+D32,0)</x:f>
      </x:c>
      <x:c r="E37" s="117">
        <x:f>IF(AND(E$3&lt;$B$7,$B$5=1),D37*(1+'Ставки'!E$6/12)+E32,0)</x:f>
      </x:c>
      <x:c r="F37" s="117">
        <x:f>IF(AND(F$3&lt;$B$7,$B$5=1),E37*(1+'Ставки'!F$6/12)+F32,0)</x:f>
      </x:c>
      <x:c r="G37" s="117">
        <x:f>IF(AND(G$3&lt;$B$7,$B$5=1),F37*(1+'Ставки'!G$6/12)+G32,0)</x:f>
      </x:c>
      <x:c r="H37" s="117">
        <x:f>IF(AND(H$3&lt;$B$7,$B$5=1),G37*(1+'Ставки'!H$6/12)+H32,0)</x:f>
      </x:c>
      <x:c r="I37" s="117">
        <x:f>IF(AND(I$3&lt;$B$7,$B$5=1),H37*(1+'Ставки'!I$6/12)+I32,0)</x:f>
      </x:c>
      <x:c r="J37" s="117">
        <x:f>IF(AND(J$3&lt;$B$7,$B$5=1),I37*(1+'Ставки'!J$6/12)+J32,0)</x:f>
      </x:c>
      <x:c r="K37" s="117">
        <x:f>IF(AND(K$3&lt;$B$7,$B$5=1),J37*(1+'Ставки'!K$6/12)+K32,0)</x:f>
      </x:c>
      <x:c r="L37" s="117">
        <x:f>IF(AND(L$3&lt;$B$7,$B$5=1),K37*(1+'Ставки'!L$6/12)+L32,0)</x:f>
      </x:c>
      <x:c r="M37" s="117">
        <x:f>IF(AND(M$3&lt;$B$7,$B$5=1),L37*(1+'Ставки'!M$6/12)+M32,0)</x:f>
      </x:c>
      <x:c r="N37" s="117">
        <x:f>IF(AND(N$3&lt;$B$7,$B$5=1),M37*(1+'Ставки'!N$6/12)+N32,0)</x:f>
      </x:c>
      <x:c r="O37" s="117">
        <x:f>IF(AND(O$3&lt;$B$7,$B$5=1),N37*(1+'Ставки'!O$6/12)+O32,0)</x:f>
      </x:c>
      <x:c r="P37" s="117">
        <x:f>IF(AND(P$3&lt;$B$7,$B$5=1),O37*(1+'Ставки'!P$6/12)+P32,0)</x:f>
      </x:c>
      <x:c r="Q37" s="117">
        <x:f>IF(AND(Q$3&lt;$B$7,$B$5=1),P37*(1+'Ставки'!Q$6/12)+Q32,0)</x:f>
      </x:c>
      <x:c r="R37" s="117">
        <x:f>IF(AND(R$3&lt;$B$7,$B$5=1),Q37*(1+'Ставки'!R$6/12)+R32,0)</x:f>
      </x:c>
      <x:c r="S37" s="117">
        <x:f>IF(AND(S$3&lt;$B$7,$B$5=1),R37*(1+'Ставки'!S$6/12)+S32,0)</x:f>
      </x:c>
      <x:c r="T37" s="117">
        <x:f>IF(AND(T$3&lt;$B$7,$B$5=1),S37*(1+'Ставки'!T$6/12)+T32,0)</x:f>
      </x:c>
      <x:c r="U37" s="117">
        <x:f>IF(AND(U$3&lt;$B$7,$B$5=1),T37*(1+'Ставки'!U$6/12)+U32,0)</x:f>
      </x:c>
      <x:c r="V37" s="117">
        <x:f>IF(AND(V$3&lt;$B$7,$B$5=1),U37*(1+'Ставки'!V$6/12)+V32,0)</x:f>
      </x:c>
      <x:c r="W37" s="117">
        <x:f>IF(AND(W$3&lt;$B$7,$B$5=1),V37*(1+'Ставки'!W$6/12)+W32,0)</x:f>
      </x:c>
      <x:c r="X37" s="117">
        <x:f>IF(AND(X$3&lt;$B$7,$B$5=1),W37*(1+'Ставки'!X$6/12)+X32,0)</x:f>
      </x:c>
      <x:c r="Y37" s="117">
        <x:f>IF(AND(Y$3&lt;$B$7,$B$5=1),X37*(1+'Ставки'!Y$6/12)+Y32,0)</x:f>
      </x:c>
      <x:c r="Z37" s="117">
        <x:f>IF(AND(Z$3&lt;$B$7,$B$5=1),Y37*(1+'Ставки'!Z$6/12)+Z32,0)</x:f>
      </x:c>
      <x:c r="AA37" s="117">
        <x:f>IF(AND(AA$3&lt;$B$7,$B$5=1),Z37*(1+'Ставки'!AA$6/12)+AA32,0)</x:f>
      </x:c>
      <x:c r="AB37" s="117">
        <x:f>IF(AND(AB$3&lt;$B$7,$B$5=1),AA37*(1+'Ставки'!AB$6/12)+AB32,0)</x:f>
      </x:c>
      <x:c r="AC37" s="117">
        <x:f>IF(AND(AC$3&lt;$B$7,$B$5=1),AB37*(1+'Ставки'!AC$6/12)+AC32,0)</x:f>
      </x:c>
      <x:c r="AD37" s="117">
        <x:f>IF(AND(AD$3&lt;$B$7,$B$5=1),AC37*(1+'Ставки'!AD$6/12)+AD32,0)</x:f>
      </x:c>
      <x:c r="AE37" s="117">
        <x:f>IF(AND(AE$3&lt;$B$7,$B$5=1),AD37*(1+'Ставки'!AE$6/12)+AE32,0)</x:f>
      </x:c>
      <x:c r="AF37" s="117">
        <x:f>IF(AND(AF$3&lt;$B$7,$B$5=1),AE37*(1+'Ставки'!AF$6/12)+AF32,0)</x:f>
      </x:c>
      <x:c r="AG37" s="117">
        <x:f>IF(AND(AG$3&lt;$B$7,$B$5=1),AF37*(1+'Ставки'!AG$6/12)+AG32,0)</x:f>
      </x:c>
      <x:c r="AH37" s="117">
        <x:f>IF(AND(AH$3&lt;$B$7,$B$5=1),AG37*(1+'Ставки'!AH$6/12)+AH32,0)</x:f>
      </x:c>
      <x:c r="AI37" s="117">
        <x:f>IF(AND(AI$3&lt;$B$7,$B$5=1),AH37*(1+'Ставки'!AI$6/12)+AI32,0)</x:f>
      </x:c>
      <x:c r="AJ37" s="117">
        <x:f>IF(AND(AJ$3&lt;$B$7,$B$5=1),AI37*(1+'Ставки'!AJ$6/12)+AJ32,0)</x:f>
      </x:c>
      <x:c r="AK37" s="117">
        <x:f>IF(AND(AK$3&lt;$B$7,$B$5=1),AJ37*(1+'Ставки'!AK$6/12)+AK32,0)</x:f>
      </x:c>
      <x:c r="AL37" s="117">
        <x:f>IF(AND(AL$3&lt;$B$7,$B$5=1),AK37*(1+'Ставки'!AL$6/12)+AL32,0)</x:f>
      </x:c>
      <x:c r="AM37" s="117">
        <x:f>IF(AND(AM$3&lt;$B$7,$B$5=1),AL37*(1+'Ставки'!AM$6/12)+AM32,0)</x:f>
      </x:c>
      <x:c r="AN37" s="117">
        <x:f>IF(AND(AN$3&lt;$B$7,$B$5=1),AM37*(1+'Ставки'!AN$6/12)+AN32,0)</x:f>
      </x:c>
      <x:c r="AO37" s="117">
        <x:f>IF(AND(AO$3&lt;$B$7,$B$5=1),AN37*(1+'Ставки'!AO$6/12)+AO32,0)</x:f>
      </x:c>
      <x:c r="AP37" s="117">
        <x:f>IF(AND(AP$3&lt;$B$7,$B$5=1),AO37*(1+'Ставки'!AP$6/12)+AP32,0)</x:f>
      </x:c>
      <x:c r="AQ37" s="117">
        <x:f>IF(AND(AQ$3&lt;$B$7,$B$5=1),AP37*(1+'Ставки'!AQ$6/12)+AQ32,0)</x:f>
      </x:c>
      <x:c r="AR37" s="117">
        <x:f>IF(AND(AR$3&lt;$B$7,$B$5=1),AQ37*(1+'Ставки'!AR$6/12)+AR32,0)</x:f>
      </x:c>
      <x:c r="AS37" s="117">
        <x:f>IF(AND(AS$3&lt;$B$7,$B$5=1),AR37*(1+'Ставки'!AS$6/12)+AS32,0)</x:f>
      </x:c>
      <x:c r="AT37" s="117">
        <x:f>IF(AND(AT$3&lt;$B$7,$B$5=1),AS37*(1+'Ставки'!AT$6/12)+AT32,0)</x:f>
      </x:c>
      <x:c r="AU37" s="117">
        <x:f>IF(AND(AU$3&lt;$B$7,$B$5=1),AT37*(1+'Ставки'!AU$6/12)+AU32,0)</x:f>
      </x:c>
      <x:c r="AV37" s="117">
        <x:f>IF(AND(AV$3&lt;$B$7,$B$5=1),AU37*(1+'Ставки'!AV$6/12)+AV32,0)</x:f>
      </x:c>
      <x:c r="AW37" s="117">
        <x:f>IF(AND(AW$3&lt;$B$7,$B$5=1),AV37*(1+'Ставки'!AW$6/12)+AW32,0)</x:f>
      </x:c>
      <x:c r="AX37" s="117">
        <x:f>IF(AND(AX$3&lt;$B$7,$B$5=1),AW37*(1+'Ставки'!AX$6/12)+AX32,0)</x:f>
      </x:c>
      <x:c r="AY37" s="117">
        <x:f>IF(AND(AY$3&lt;$B$7,$B$5=1),AX37*(1+'Ставки'!AY$6/12)+AY32,0)</x:f>
      </x:c>
      <x:c r="AZ37" s="117">
        <x:f>IF(AND(AZ$3&lt;$B$7,$B$5=1),AY37*(1+'Ставки'!AZ$6/12)+AZ32,0)</x:f>
      </x:c>
      <x:c r="BA37" s="117">
        <x:f>IF(AND(BA$3&lt;$B$7,$B$5=1),AZ37*(1+'Ставки'!BA$6/12)+BA32,0)</x:f>
      </x:c>
      <x:c r="BB37" s="117">
        <x:f>IF(AND(BB$3&lt;$B$7,$B$5=1),BA37*(1+'Ставки'!BB$6/12)+BB32,0)</x:f>
      </x:c>
      <x:c r="BC37" s="117">
        <x:f>IF(AND(BC$3&lt;$B$7,$B$5=1),BB37*(1+'Ставки'!BC$6/12)+BC32,0)</x:f>
      </x:c>
      <x:c r="BD37" s="117">
        <x:f>IF(AND(BD$3&lt;$B$7,$B$5=1),BC37*(1+'Ставки'!BD$6/12)+BD32,0)</x:f>
      </x:c>
      <x:c r="BE37" s="117">
        <x:f>IF(AND(BE$3&lt;$B$7,$B$5=1),BD37*(1+'Ставки'!BE$6/12)+BE32,0)</x:f>
      </x:c>
      <x:c r="BF37" s="117">
        <x:f>IF(AND(BF$3&lt;$B$7,$B$5=1),BE37*(1+'Ставки'!BF$6/12)+BF32,0)</x:f>
      </x:c>
      <x:c r="BG37" s="117">
        <x:f>IF(AND(BG$3&lt;$B$7,$B$5=1),BF37*(1+'Ставки'!BG$6/12)+BG32,0)</x:f>
      </x:c>
      <x:c r="BH37" s="117">
        <x:f>IF(AND(BH$3&lt;$B$7,$B$5=1),BG37*(1+'Ставки'!BH$6/12)+BH32,0)</x:f>
      </x:c>
      <x:c r="BI37" s="117">
        <x:f>IF(AND(BI$3&lt;$B$7,$B$5=1),BH37*(1+'Ставки'!BI$6/12)+BI32,0)</x:f>
      </x:c>
      <x:c r="BJ37" s="117">
        <x:f>IF(AND(BJ$3&lt;$B$7,$B$5=1),BI37*(1+'Ставки'!BJ$6/12)+BJ32,0)</x:f>
      </x:c>
      <x:c r="BK37" s="117">
        <x:f>IF(AND(BK$3&lt;$B$7,$B$5=1),BJ37*(1+'Ставки'!BK$6/12)+BK32,0)</x:f>
      </x:c>
      <x:c r="BL37" s="117">
        <x:f>IF(AND(BL$3&lt;$B$7,$B$5=1),BK37*(1+'Ставки'!BL$6/12)+BL32,0)</x:f>
      </x:c>
      <x:c r="BM37" s="117">
        <x:f>IF(AND(BM$3&lt;$B$7,$B$5=1),BL37*(1+'Ставки'!BM$6/12)+BM32,0)</x:f>
      </x:c>
      <x:c r="BN37" s="117">
        <x:f>IF(AND(BN$3&lt;$B$7,$B$5=1),BM37*(1+'Ставки'!BN$6/12)+BN32,0)</x:f>
      </x:c>
      <x:c r="BO37" s="117">
        <x:f>IF(AND(BO$3&lt;$B$7,$B$5=1),BN37*(1+'Ставки'!BO$6/12)+BO32,0)</x:f>
      </x:c>
      <x:c r="BP37" s="117">
        <x:f>IF(AND(BP$3&lt;$B$7,$B$5=1),BO37*(1+'Ставки'!BP$6/12)+BP32,0)</x:f>
      </x:c>
      <x:c r="BQ37" s="117">
        <x:f>IF(AND(BQ$3&lt;$B$7,$B$5=1),BP37*(1+'Ставки'!BQ$6/12)+BQ32,0)</x:f>
      </x:c>
      <x:c r="BR37" s="117">
        <x:f>IF(AND(BR$3&lt;$B$7,$B$5=1),BQ37*(1+'Ставки'!BR$6/12)+BR32,0)</x:f>
      </x:c>
      <x:c r="BS37" s="117">
        <x:f>IF(AND(BS$3&lt;$B$7,$B$5=1),BR37*(1+'Ставки'!BS$6/12)+BS32,0)</x:f>
      </x:c>
      <x:c r="BT37" s="117">
        <x:f>IF(AND(BT$3&lt;$B$7,$B$5=1),BS37*(1+'Ставки'!BT$6/12)+BT32,0)</x:f>
      </x:c>
      <x:c r="BU37" s="117">
        <x:f>IF(AND(BU$3&lt;$B$7,$B$5=1),BT37*(1+'Ставки'!BU$6/12)+BU32,0)</x:f>
      </x:c>
      <x:c r="BV37" s="117">
        <x:f>IF(AND(BV$3&lt;$B$7,$B$5=1),BU37*(1+'Ставки'!BV$6/12)+BV32,0)</x:f>
      </x:c>
      <x:c r="BW37" s="117">
        <x:f>IF(AND(BW$3&lt;$B$7,$B$5=1),BV37*(1+'Ставки'!BW$6/12)+BW32,0)</x:f>
      </x:c>
      <x:c r="BX37" s="117">
        <x:f>IF(AND(BX$3&lt;$B$7,$B$5=1),BW37*(1+'Ставки'!BX$6/12)+BX32,0)</x:f>
      </x:c>
      <x:c r="BY37" s="117">
        <x:f>IF(AND(BY$3&lt;$B$7,$B$5=1),BX37*(1+'Ставки'!BY$6/12)+BY32,0)</x:f>
      </x:c>
      <x:c r="BZ37" s="117">
        <x:f>IF(AND(BZ$3&lt;$B$7,$B$5=1),BY37*(1+'Ставки'!BZ$6/12)+BZ32,0)</x:f>
      </x:c>
      <x:c r="CA37" s="117">
        <x:f>IF(AND(CA$3&lt;$B$7,$B$5=1),BZ37*(1+'Ставки'!CA$6/12)+CA32,0)</x:f>
      </x:c>
      <x:c r="CB37" s="117">
        <x:f>IF(AND(CB$3&lt;$B$7,$B$5=1),CA37*(1+'Ставки'!CB$6/12)+CB32,0)</x:f>
      </x:c>
      <x:c r="CC37" s="117">
        <x:f>IF(AND(CC$3&lt;$B$7,$B$5=1),CB37*(1+'Ставки'!CC$6/12)+CC32,0)</x:f>
      </x:c>
      <x:c r="CD37" s="117">
        <x:f>IF(AND(CD$3&lt;$B$7,$B$5=1),CC37*(1+'Ставки'!CD$6/12)+CD32,0)</x:f>
      </x:c>
      <x:c r="CE37" s="117">
        <x:f>IF(AND(CE$3&lt;$B$7,$B$5=1),CD37*(1+'Ставки'!CE$6/12)+CE32,0)</x:f>
      </x:c>
      <x:c r="CF37" s="117">
        <x:f>IF(AND(CF$3&lt;$B$7,$B$5=1),CE37*(1+'Ставки'!CF$6/12)+CF32,0)</x:f>
      </x:c>
      <x:c r="CG37" s="117">
        <x:f>IF(AND(CG$3&lt;$B$7,$B$5=1),CF37*(1+'Ставки'!CG$6/12)+CG32,0)</x:f>
      </x:c>
      <x:c r="CH37" s="117">
        <x:f>IF(AND(CH$3&lt;$B$7,$B$5=1),CG37*(1+'Ставки'!CH$6/12)+CH32,0)</x:f>
      </x:c>
      <x:c r="CI37" s="117">
        <x:f>IF(AND(CI$3&lt;$B$7,$B$5=1),CH37*(1+'Ставки'!CI$6/12)+CI32,0)</x:f>
      </x:c>
      <x:c r="CJ37" s="117">
        <x:f>IF(AND(CJ$3&lt;$B$7,$B$5=1),CI37*(1+'Ставки'!CJ$6/12)+CJ32,0)</x:f>
      </x:c>
      <x:c r="CK37" s="117">
        <x:f>IF(AND(CK$3&lt;$B$7,$B$5=1),CJ37*(1+'Ставки'!CK$6/12)+CK32,0)</x:f>
      </x:c>
      <x:c r="CL37" s="117">
        <x:f>IF(AND(CL$3&lt;$B$7,$B$5=1),CK37*(1+'Ставки'!CL$6/12)+CL32,0)</x:f>
      </x:c>
      <x:c r="CM37" s="117">
        <x:f>IF(AND(CM$3&lt;$B$7,$B$5=1),CL37*(1+'Ставки'!CM$6/12)+CM32,0)</x:f>
      </x:c>
      <x:c r="CN37" s="117">
        <x:f>IF(AND(CN$3&lt;$B$7,$B$5=1),CM37*(1+'Ставки'!CN$6/12)+CN32,0)</x:f>
      </x:c>
      <x:c r="CO37" s="117">
        <x:f>IF(AND(CO$3&lt;$B$7,$B$5=1),CN37*(1+'Ставки'!CO$6/12)+CO32,0)</x:f>
      </x:c>
      <x:c r="CP37" s="117">
        <x:f>IF(AND(CP$3&lt;$B$7,$B$5=1),CO37*(1+'Ставки'!CP$6/12)+CP32,0)</x:f>
      </x:c>
      <x:c r="CQ37" s="117">
        <x:f>IF(AND(CQ$3&lt;$B$7,$B$5=1),CP37*(1+'Ставки'!CQ$6/12)+CQ32,0)</x:f>
      </x:c>
      <x:c r="CR37" s="117">
        <x:f>IF(AND(CR$3&lt;$B$7,$B$5=1),CQ37*(1+'Ставки'!CR$6/12)+CR32,0)</x:f>
      </x:c>
      <x:c r="CS37" s="117">
        <x:f>IF(AND(CS$3&lt;$B$7,$B$5=1),CR37*(1+'Ставки'!CS$6/12)+CS32,0)</x:f>
      </x:c>
      <x:c r="CT37" s="117">
        <x:f>IF(AND(CT$3&lt;$B$7,$B$5=1),CS37*(1+'Ставки'!CT$6/12)+CT32,0)</x:f>
      </x:c>
      <x:c r="CU37" s="117">
        <x:f>IF(AND(CU$3&lt;$B$7,$B$5=1),CT37*(1+'Ставки'!CU$6/12)+CU32,0)</x:f>
      </x:c>
      <x:c r="CV37" s="117">
        <x:f>IF(AND(CV$3&lt;$B$7,$B$5=1),CU37*(1+'Ставки'!CV$6/12)+CV32,0)</x:f>
      </x:c>
      <x:c r="CW37" s="117">
        <x:f>IF(AND(CW$3&lt;$B$7,$B$5=1),CV37*(1+'Ставки'!CW$6/12)+CW32,0)</x:f>
      </x:c>
      <x:c r="CX37" s="117">
        <x:f>IF(AND(CX$3&lt;$B$7,$B$5=1),CW37*(1+'Ставки'!CX$6/12)+CX32,0)</x:f>
      </x:c>
      <x:c r="CY37" s="117">
        <x:f>IF(AND(CY$3&lt;$B$7,$B$5=1),CX37*(1+'Ставки'!CY$6/12)+CY32,0)</x:f>
      </x:c>
      <x:c r="CZ37" s="117">
        <x:f>IF(AND(CZ$3&lt;$B$7,$B$5=1),CY37*(1+'Ставки'!CZ$6/12)+CZ32,0)</x:f>
      </x:c>
      <x:c r="DA37" s="117">
        <x:f>IF(AND(DA$3&lt;$B$7,$B$5=1),CZ37*(1+'Ставки'!DA$6/12)+DA32,0)</x:f>
      </x:c>
      <x:c r="DB37" s="117">
        <x:f>IF(AND(DB$3&lt;$B$7,$B$5=1),DA37*(1+'Ставки'!DB$6/12)+DB32,0)</x:f>
      </x:c>
      <x:c r="DC37" s="117">
        <x:f>IF(AND(DC$3&lt;$B$7,$B$5=1),DB37*(1+'Ставки'!DC$6/12)+DC32,0)</x:f>
      </x:c>
      <x:c r="DD37" s="117">
        <x:f>IF(AND(DD$3&lt;$B$7,$B$5=1),DC37*(1+'Ставки'!DD$6/12)+DD32,0)</x:f>
      </x:c>
      <x:c r="DE37" s="117">
        <x:f>IF(AND(DE$3&lt;$B$7,$B$5=1),DD37*(1+'Ставки'!DE$6/12)+DE32,0)</x:f>
      </x:c>
      <x:c r="DF37" s="117">
        <x:f>IF(AND(DF$3&lt;$B$7,$B$5=1),DE37*(1+'Ставки'!DF$6/12)+DF32,0)</x:f>
      </x:c>
      <x:c r="DG37" s="117">
        <x:f>IF(AND(DG$3&lt;$B$7,$B$5=1),DF37*(1+'Ставки'!DG$6/12)+DG32,0)</x:f>
      </x:c>
      <x:c r="DH37" s="117">
        <x:f>IF(AND(DH$3&lt;$B$7,$B$5=1),DG37*(1+'Ставки'!DH$6/12)+DH32,0)</x:f>
      </x:c>
      <x:c r="DI37" s="117">
        <x:f>IF(AND(DI$3&lt;$B$7,$B$5=1),DH37*(1+'Ставки'!DI$6/12)+DI32,0)</x:f>
      </x:c>
      <x:c r="DJ37" s="117">
        <x:f>IF(AND(DJ$3&lt;$B$7,$B$5=1),DI37*(1+'Ставки'!DJ$6/12)+DJ32,0)</x:f>
      </x:c>
      <x:c r="DK37" s="117">
        <x:f>IF(AND(DK$3&lt;$B$7,$B$5=1),DJ37*(1+'Ставки'!DK$6/12)+DK32,0)</x:f>
      </x:c>
      <x:c r="DL37" s="117">
        <x:f>IF(AND(DL$3&lt;$B$7,$B$5=1),DK37*(1+'Ставки'!DL$6/12)+DL32,0)</x:f>
      </x:c>
      <x:c r="DM37" s="117">
        <x:f>IF(AND(DM$3&lt;$B$7,$B$5=1),DL37*(1+'Ставки'!DM$6/12)+DM32,0)</x:f>
      </x:c>
      <x:c r="DN37" s="117">
        <x:f>IF(AND(DN$3&lt;$B$7,$B$5=1),DM37*(1+'Ставки'!DN$6/12)+DN32,0)</x:f>
      </x:c>
      <x:c r="DO37" s="117">
        <x:f>IF(AND(DO$3&lt;$B$7,$B$5=1),DN37*(1+'Ставки'!DO$6/12)+DO32,0)</x:f>
      </x:c>
      <x:c r="DP37" s="117">
        <x:f>IF(AND(DP$3&lt;$B$7,$B$5=1),DO37*(1+'Ставки'!DP$6/12)+DP32,0)</x:f>
      </x:c>
      <x:c r="DQ37" s="117">
        <x:f>IF(AND(DQ$3&lt;$B$7,$B$5=1),DP37*(1+'Ставки'!DQ$6/12)+DQ32,0)</x:f>
      </x:c>
      <x:c r="DR37" s="117">
        <x:f>IF(AND(DR$3&lt;$B$7,$B$5=1),DQ37*(1+'Ставки'!DR$6/12)+DR32,0)</x:f>
      </x:c>
      <x:c r="DS37" s="117">
        <x:f>IF(AND(DS$3&lt;$B$7,$B$5=1),DR37*(1+'Ставки'!DS$6/12)+DS32,0)</x:f>
      </x:c>
      <x:c r="DT37" s="117">
        <x:f>IF(AND(DT$3&lt;$B$7,$B$5=1),DS37*(1+'Ставки'!DT$6/12)+DT32,0)</x:f>
      </x:c>
      <x:c r="DU37" s="117">
        <x:f>IF(AND(DU$3&lt;$B$7,$B$5=1),DT37*(1+'Ставки'!DU$6/12)+DU32,0)</x:f>
      </x:c>
      <x:c r="DV37" s="117">
        <x:f>IF(AND(DV$3&lt;$B$7,$B$5=1),DU37*(1+'Ставки'!DV$6/12)+DV32,0)</x:f>
      </x:c>
      <x:c r="DW37" s="117">
        <x:f>IF(AND(DW$3&lt;$B$7,$B$5=1),DV37*(1+'Ставки'!DW$6/12)+DW32,0)</x:f>
      </x:c>
      <x:c r="DX37" s="117">
        <x:f>IF(AND(DX$3&lt;$B$7,$B$5=1),DW37*(1+'Ставки'!DX$6/12)+DX32,0)</x:f>
      </x:c>
      <x:c r="DY37" s="117">
        <x:f>IF(AND(DY$3&lt;$B$7,$B$5=1),DX37*(1+'Ставки'!DY$6/12)+DY32,0)</x:f>
      </x:c>
      <x:c r="DZ37" s="117">
        <x:f>IF(AND(DZ$3&lt;$B$7,$B$5=1),DY37*(1+'Ставки'!DZ$6/12)+DZ32,0)</x:f>
      </x:c>
      <x:c r="EA37" s="117">
        <x:f>IF(AND(EA$3&lt;$B$7,$B$5=1),DZ37*(1+'Ставки'!EA$6/12)+EA32,0)</x:f>
      </x:c>
      <x:c r="EB37" s="117">
        <x:f>IF(AND(EB$3&lt;$B$7,$B$5=1),EA37*(1+'Ставки'!EB$6/12)+EB32,0)</x:f>
      </x:c>
      <x:c r="EC37" s="117">
        <x:f>IF(AND(EC$3&lt;$B$7,$B$5=1),EB37*(1+'Ставки'!EC$6/12)+EC32,0)</x:f>
      </x:c>
      <x:c r="ED37" s="117">
        <x:f>IF(AND(ED$3&lt;$B$7,$B$5=1),EC37*(1+'Ставки'!ED$6/12)+ED32,0)</x:f>
      </x:c>
      <x:c r="EE37" s="117">
        <x:f>IF(AND(EE$3&lt;$B$7,$B$5=1),ED37*(1+'Ставки'!EE$6/12)+EE32,0)</x:f>
      </x:c>
      <x:c r="EF37" s="117">
        <x:f>IF(AND(EF$3&lt;$B$7,$B$5=1),EE37*(1+'Ставки'!EF$6/12)+EF32,0)</x:f>
      </x:c>
      <x:c r="EG37" s="117">
        <x:f>IF(AND(EG$3&lt;$B$7,$B$5=1),EF37*(1+'Ставки'!EG$6/12)+EG32,0)</x:f>
      </x:c>
      <x:c r="EH37" s="117">
        <x:f>IF(AND(EH$3&lt;$B$7,$B$5=1),EG37*(1+'Ставки'!EH$6/12)+EH32,0)</x:f>
      </x:c>
      <x:c r="EI37" s="117">
        <x:f>IF(AND(EI$3&lt;$B$7,$B$5=1),EH37*(1+'Ставки'!EI$6/12)+EI32,0)</x:f>
      </x:c>
      <x:c r="EJ37" s="117">
        <x:f>IF(AND(EJ$3&lt;$B$7,$B$5=1),EI37*(1+'Ставки'!EJ$6/12)+EJ32,0)</x:f>
      </x:c>
      <x:c r="EK37" s="117">
        <x:f>IF(AND(EK$3&lt;$B$7,$B$5=1),EJ37*(1+'Ставки'!EK$6/12)+EK32,0)</x:f>
      </x:c>
      <x:c r="EL37" s="117">
        <x:f>IF(AND(EL$3&lt;$B$7,$B$5=1),EK37*(1+'Ставки'!EL$6/12)+EL32,0)</x:f>
      </x:c>
      <x:c r="EM37" s="117">
        <x:f>IF(AND(EM$3&lt;$B$7,$B$5=1),EL37*(1+'Ставки'!EM$6/12)+EM32,0)</x:f>
      </x:c>
      <x:c r="EN37" s="117">
        <x:f>IF(AND(EN$3&lt;$B$7,$B$5=1),EM37*(1+'Ставки'!EN$6/12)+EN32,0)</x:f>
      </x:c>
      <x:c r="EO37" s="117">
        <x:f>IF(AND(EO$3&lt;$B$7,$B$5=1),EN37*(1+'Ставки'!EO$6/12)+EO32,0)</x:f>
      </x:c>
      <x:c r="EP37" s="117">
        <x:f>IF(AND(EP$3&lt;$B$7,$B$5=1),EO37*(1+'Ставки'!EP$6/12)+EP32,0)</x:f>
      </x:c>
      <x:c r="EQ37" s="117">
        <x:f>IF(AND(EQ$3&lt;$B$7,$B$5=1),EP37*(1+'Ставки'!EQ$6/12)+EQ32,0)</x:f>
      </x:c>
      <x:c r="ER37" s="117">
        <x:f>IF(AND(ER$3&lt;$B$7,$B$5=1),EQ37*(1+'Ставки'!ER$6/12)+ER32,0)</x:f>
      </x:c>
      <x:c r="ES37" s="117">
        <x:f>IF(AND(ES$3&lt;$B$7,$B$5=1),ER37*(1+'Ставки'!ES$6/12)+ES32,0)</x:f>
      </x:c>
      <x:c r="ET37" s="117">
        <x:f>IF(AND(ET$3&lt;$B$7,$B$5=1),ES37*(1+'Ставки'!ET$6/12)+ET32,0)</x:f>
      </x:c>
      <x:c r="EU37" s="117">
        <x:f>IF(AND(EU$3&lt;$B$7,$B$5=1),ET37*(1+'Ставки'!EU$6/12)+EU32,0)</x:f>
      </x:c>
      <x:c r="EV37" s="117">
        <x:f>IF(AND(EV$3&lt;$B$7,$B$5=1),EU37*(1+'Ставки'!EV$6/12)+EV32,0)</x:f>
      </x:c>
      <x:c r="EW37" s="117">
        <x:f>IF(AND(EW$3&lt;$B$7,$B$5=1),EV37*(1+'Ставки'!EW$6/12)+EW32,0)</x:f>
      </x:c>
      <x:c r="EX37" s="117">
        <x:f>IF(AND(EX$3&lt;$B$7,$B$5=1),EW37*(1+'Ставки'!EX$6/12)+EX32,0)</x:f>
      </x:c>
      <x:c r="EY37" s="117">
        <x:f>IF(AND(EY$3&lt;$B$7,$B$5=1),EX37*(1+'Ставки'!EY$6/12)+EY32,0)</x:f>
      </x:c>
      <x:c r="EZ37" s="117">
        <x:f>IF(AND(EZ$3&lt;$B$7,$B$5=1),EY37*(1+'Ставки'!EZ$6/12)+EZ32,0)</x:f>
      </x:c>
      <x:c r="FA37" s="117">
        <x:f>IF(AND(FA$3&lt;$B$7,$B$5=1),EZ37*(1+'Ставки'!FA$6/12)+FA32,0)</x:f>
      </x:c>
      <x:c r="FB37" s="117">
        <x:f>IF(AND(FB$3&lt;$B$7,$B$5=1),FA37*(1+'Ставки'!FB$6/12)+FB32,0)</x:f>
      </x:c>
      <x:c r="FC37" s="117">
        <x:f>IF(AND(FC$3&lt;$B$7,$B$5=1),FB37*(1+'Ставки'!FC$6/12)+FC32,0)</x:f>
      </x:c>
      <x:c r="FD37" s="117">
        <x:f>IF(AND(FD$3&lt;$B$7,$B$5=1),FC37*(1+'Ставки'!FD$6/12)+FD32,0)</x:f>
      </x:c>
      <x:c r="FE37" s="117">
        <x:f>IF(AND(FE$3&lt;$B$7,$B$5=1),FD37*(1+'Ставки'!FE$6/12)+FE32,0)</x:f>
      </x:c>
      <x:c r="FF37" s="117">
        <x:f>IF(AND(FF$3&lt;$B$7,$B$5=1),FE37*(1+'Ставки'!FF$6/12)+FF32,0)</x:f>
      </x:c>
      <x:c r="FG37" s="117">
        <x:f>IF(AND(FG$3&lt;$B$7,$B$5=1),FF37*(1+'Ставки'!FG$6/12)+FG32,0)</x:f>
      </x:c>
      <x:c r="FH37" s="117">
        <x:f>IF(AND(FH$3&lt;$B$7,$B$5=1),FG37*(1+'Ставки'!FH$6/12)+FH32,0)</x:f>
      </x:c>
      <x:c r="FI37" s="117">
        <x:f>IF(AND(FI$3&lt;$B$7,$B$5=1),FH37*(1+'Ставки'!FI$6/12)+FI32,0)</x:f>
      </x:c>
      <x:c r="FJ37" s="117">
        <x:f>IF(AND(FJ$3&lt;$B$7,$B$5=1),FI37*(1+'Ставки'!FJ$6/12)+FJ32,0)</x:f>
      </x:c>
      <x:c r="FK37" s="117">
        <x:f>IF(AND(FK$3&lt;$B$7,$B$5=1),FJ37*(1+'Ставки'!FK$6/12)+FK32,0)</x:f>
      </x:c>
      <x:c r="FL37" s="117">
        <x:f>IF(AND(FL$3&lt;$B$7,$B$5=1),FK37*(1+'Ставки'!FL$6/12)+FL32,0)</x:f>
      </x:c>
      <x:c r="FM37" s="117">
        <x:f>IF(AND(FM$3&lt;$B$7,$B$5=1),FL37*(1+'Ставки'!FM$6/12)+FM32,0)</x:f>
      </x:c>
      <x:c r="FN37" s="117">
        <x:f>IF(AND(FN$3&lt;$B$7,$B$5=1),FM37*(1+'Ставки'!FN$6/12)+FN32,0)</x:f>
      </x:c>
      <x:c r="FO37" s="117">
        <x:f>IF(AND(FO$3&lt;$B$7,$B$5=1),FN37*(1+'Ставки'!FO$6/12)+FO32,0)</x:f>
      </x:c>
      <x:c r="FP37" s="117">
        <x:f>IF(AND(FP$3&lt;$B$7,$B$5=1),FO37*(1+'Ставки'!FP$6/12)+FP32,0)</x:f>
      </x:c>
      <x:c r="FQ37" s="117">
        <x:f>IF(AND(FQ$3&lt;$B$7,$B$5=1),FP37*(1+'Ставки'!FQ$6/12)+FQ32,0)</x:f>
      </x:c>
      <x:c r="FR37" s="117">
        <x:f>IF(AND(FR$3&lt;$B$7,$B$5=1),FQ37*(1+'Ставки'!FR$6/12)+FR32,0)</x:f>
      </x:c>
      <x:c r="FS37" s="117">
        <x:f>IF(AND(FS$3&lt;$B$7,$B$5=1),FR37*(1+'Ставки'!FS$6/12)+FS32,0)</x:f>
      </x:c>
      <x:c r="FT37" s="117">
        <x:f>IF(AND(FT$3&lt;$B$7,$B$5=1),FS37*(1+'Ставки'!FT$6/12)+FT32,0)</x:f>
      </x:c>
      <x:c r="FU37" s="117">
        <x:f>IF(AND(FU$3&lt;$B$7,$B$5=1),FT37*(1+'Ставки'!FU$6/12)+FU32,0)</x:f>
      </x:c>
      <x:c r="FV37" s="117">
        <x:f>IF(AND(FV$3&lt;$B$7,$B$5=1),FU37*(1+'Ставки'!FV$6/12)+FV32,0)</x:f>
      </x:c>
      <x:c r="FW37" s="117">
        <x:f>IF(AND(FW$3&lt;$B$7,$B$5=1),FV37*(1+'Ставки'!FW$6/12)+FW32,0)</x:f>
      </x:c>
      <x:c r="FX37" s="117">
        <x:f>IF(AND(FX$3&lt;$B$7,$B$5=1),FW37*(1+'Ставки'!FX$6/12)+FX32,0)</x:f>
      </x:c>
      <x:c r="FY37" s="117">
        <x:f>IF(AND(FY$3&lt;$B$7,$B$5=1),FX37*(1+'Ставки'!FY$6/12)+FY32,0)</x:f>
      </x:c>
      <x:c r="FZ37" s="117">
        <x:f>IF(AND(FZ$3&lt;$B$7,$B$5=1),FY37*(1+'Ставки'!FZ$6/12)+FZ32,0)</x:f>
      </x:c>
      <x:c r="GA37" s="117">
        <x:f>IF(AND(GA$3&lt;$B$7,$B$5=1),FZ37*(1+'Ставки'!GA$6/12)+GA32,0)</x:f>
      </x:c>
    </x:row>
    <x:row r="38">
      <x:c r="A38" t="str">
        <x:v>ПФ — долг на начало</x:v>
      </x:c>
      <x:c r="B38"/>
      <x:c r="C38" t="str">
        <x:v>млн ₽</x:v>
      </x:c>
      <x:c r="D38" s="117" t="n">
        <x:f>0</x:f>
      </x:c>
      <x:c r="E38" s="117" t="n">
        <x:f>D47</x:f>
      </x:c>
      <x:c r="F38" s="117" t="n">
        <x:f>E47</x:f>
      </x:c>
      <x:c r="G38" s="117" t="n">
        <x:f>F47</x:f>
      </x:c>
      <x:c r="H38" s="117" t="n">
        <x:f>G47</x:f>
      </x:c>
      <x:c r="I38" s="117" t="n">
        <x:f>H47</x:f>
      </x:c>
      <x:c r="J38" s="117" t="n">
        <x:f>I47</x:f>
      </x:c>
      <x:c r="K38" s="117" t="n">
        <x:f>J47</x:f>
      </x:c>
      <x:c r="L38" s="117" t="n">
        <x:f>K47</x:f>
      </x:c>
      <x:c r="M38" s="117" t="n">
        <x:f>L47</x:f>
      </x:c>
      <x:c r="N38" s="117" t="n">
        <x:f>M47</x:f>
      </x:c>
      <x:c r="O38" s="117" t="n">
        <x:f>N47</x:f>
      </x:c>
      <x:c r="P38" s="117" t="n">
        <x:f>O47</x:f>
      </x:c>
      <x:c r="Q38" s="117" t="n">
        <x:f>P47</x:f>
      </x:c>
      <x:c r="R38" s="117" t="n">
        <x:f>Q47</x:f>
      </x:c>
      <x:c r="S38" s="117" t="n">
        <x:f>R47</x:f>
      </x:c>
      <x:c r="T38" s="117" t="n">
        <x:f>S47</x:f>
      </x:c>
      <x:c r="U38" s="117" t="n">
        <x:f>T47</x:f>
      </x:c>
      <x:c r="V38" s="117" t="n">
        <x:f>U47</x:f>
      </x:c>
      <x:c r="W38" s="117" t="n">
        <x:f>V47</x:f>
      </x:c>
      <x:c r="X38" s="117" t="n">
        <x:f>W47</x:f>
      </x:c>
      <x:c r="Y38" s="117" t="n">
        <x:f>X47</x:f>
      </x:c>
      <x:c r="Z38" s="117" t="n">
        <x:f>Y47</x:f>
      </x:c>
      <x:c r="AA38" s="117" t="n">
        <x:f>Z47</x:f>
      </x:c>
      <x:c r="AB38" s="117" t="n">
        <x:f>AA47</x:f>
      </x:c>
      <x:c r="AC38" s="117" t="n">
        <x:f>AB47</x:f>
      </x:c>
      <x:c r="AD38" s="117" t="n">
        <x:f>AC47</x:f>
      </x:c>
      <x:c r="AE38" s="117" t="n">
        <x:f>AD47</x:f>
      </x:c>
      <x:c r="AF38" s="117" t="n">
        <x:f>AE47</x:f>
      </x:c>
      <x:c r="AG38" s="117" t="n">
        <x:f>AF47</x:f>
      </x:c>
      <x:c r="AH38" s="117" t="n">
        <x:f>AG47</x:f>
      </x:c>
      <x:c r="AI38" s="117" t="n">
        <x:f>AH47</x:f>
      </x:c>
      <x:c r="AJ38" s="117" t="n">
        <x:f>AI47</x:f>
      </x:c>
      <x:c r="AK38" s="117" t="n">
        <x:f>AJ47</x:f>
      </x:c>
      <x:c r="AL38" s="117" t="n">
        <x:f>AK47</x:f>
      </x:c>
      <x:c r="AM38" s="117" t="n">
        <x:f>AL47</x:f>
      </x:c>
      <x:c r="AN38" s="117" t="n">
        <x:f>AM47</x:f>
      </x:c>
      <x:c r="AO38" s="117" t="n">
        <x:f>AN47</x:f>
      </x:c>
      <x:c r="AP38" s="117" t="n">
        <x:f>AO47</x:f>
      </x:c>
      <x:c r="AQ38" s="117" t="n">
        <x:f>AP47</x:f>
      </x:c>
      <x:c r="AR38" s="117" t="n">
        <x:f>AQ47</x:f>
      </x:c>
      <x:c r="AS38" s="117" t="n">
        <x:f>AR47</x:f>
      </x:c>
      <x:c r="AT38" s="117" t="n">
        <x:f>AS47</x:f>
      </x:c>
      <x:c r="AU38" s="117" t="n">
        <x:f>AT47</x:f>
      </x:c>
      <x:c r="AV38" s="117" t="n">
        <x:f>AU47</x:f>
      </x:c>
      <x:c r="AW38" s="117" t="n">
        <x:f>AV47</x:f>
      </x:c>
      <x:c r="AX38" s="117" t="n">
        <x:f>AW47</x:f>
      </x:c>
      <x:c r="AY38" s="117" t="n">
        <x:f>AX47</x:f>
      </x:c>
      <x:c r="AZ38" s="117" t="n">
        <x:f>AY47</x:f>
      </x:c>
      <x:c r="BA38" s="117" t="n">
        <x:f>AZ47</x:f>
      </x:c>
      <x:c r="BB38" s="117" t="n">
        <x:f>BA47</x:f>
      </x:c>
      <x:c r="BC38" s="117" t="n">
        <x:f>BB47</x:f>
      </x:c>
      <x:c r="BD38" s="117" t="n">
        <x:f>BC47</x:f>
      </x:c>
      <x:c r="BE38" s="117" t="n">
        <x:f>BD47</x:f>
      </x:c>
      <x:c r="BF38" s="117" t="n">
        <x:f>BE47</x:f>
      </x:c>
      <x:c r="BG38" s="117" t="n">
        <x:f>BF47</x:f>
      </x:c>
      <x:c r="BH38" s="117" t="n">
        <x:f>BG47</x:f>
      </x:c>
      <x:c r="BI38" s="117" t="n">
        <x:f>BH47</x:f>
      </x:c>
      <x:c r="BJ38" s="117" t="n">
        <x:f>BI47</x:f>
      </x:c>
      <x:c r="BK38" s="117" t="n">
        <x:f>BJ47</x:f>
      </x:c>
      <x:c r="BL38" s="117" t="n">
        <x:f>BK47</x:f>
      </x:c>
      <x:c r="BM38" s="117" t="n">
        <x:f>BL47</x:f>
      </x:c>
      <x:c r="BN38" s="117" t="n">
        <x:f>BM47</x:f>
      </x:c>
      <x:c r="BO38" s="117" t="n">
        <x:f>BN47</x:f>
      </x:c>
      <x:c r="BP38" s="117" t="n">
        <x:f>BO47</x:f>
      </x:c>
      <x:c r="BQ38" s="117" t="n">
        <x:f>BP47</x:f>
      </x:c>
      <x:c r="BR38" s="117" t="n">
        <x:f>BQ47</x:f>
      </x:c>
      <x:c r="BS38" s="117" t="n">
        <x:f>BR47</x:f>
      </x:c>
      <x:c r="BT38" s="117" t="n">
        <x:f>BS47</x:f>
      </x:c>
      <x:c r="BU38" s="117" t="n">
        <x:f>BT47</x:f>
      </x:c>
      <x:c r="BV38" s="117" t="n">
        <x:f>BU47</x:f>
      </x:c>
      <x:c r="BW38" s="117" t="n">
        <x:f>BV47</x:f>
      </x:c>
      <x:c r="BX38" s="117" t="n">
        <x:f>BW47</x:f>
      </x:c>
      <x:c r="BY38" s="117" t="n">
        <x:f>BX47</x:f>
      </x:c>
      <x:c r="BZ38" s="117" t="n">
        <x:f>BY47</x:f>
      </x:c>
      <x:c r="CA38" s="117" t="n">
        <x:f>BZ47</x:f>
      </x:c>
      <x:c r="CB38" s="117" t="n">
        <x:f>CA47</x:f>
      </x:c>
      <x:c r="CC38" s="117" t="n">
        <x:f>CB47</x:f>
      </x:c>
      <x:c r="CD38" s="117" t="n">
        <x:f>CC47</x:f>
      </x:c>
      <x:c r="CE38" s="117" t="n">
        <x:f>CD47</x:f>
      </x:c>
      <x:c r="CF38" s="117" t="n">
        <x:f>CE47</x:f>
      </x:c>
      <x:c r="CG38" s="117" t="n">
        <x:f>CF47</x:f>
      </x:c>
      <x:c r="CH38" s="117" t="n">
        <x:f>CG47</x:f>
      </x:c>
      <x:c r="CI38" s="117" t="n">
        <x:f>CH47</x:f>
      </x:c>
      <x:c r="CJ38" s="117" t="n">
        <x:f>CI47</x:f>
      </x:c>
      <x:c r="CK38" s="117" t="n">
        <x:f>CJ47</x:f>
      </x:c>
      <x:c r="CL38" s="117" t="n">
        <x:f>CK47</x:f>
      </x:c>
      <x:c r="CM38" s="117" t="n">
        <x:f>CL47</x:f>
      </x:c>
      <x:c r="CN38" s="117" t="n">
        <x:f>CM47</x:f>
      </x:c>
      <x:c r="CO38" s="117" t="n">
        <x:f>CN47</x:f>
      </x:c>
      <x:c r="CP38" s="117" t="n">
        <x:f>CO47</x:f>
      </x:c>
      <x:c r="CQ38" s="117" t="n">
        <x:f>CP47</x:f>
      </x:c>
      <x:c r="CR38" s="117" t="n">
        <x:f>CQ47</x:f>
      </x:c>
      <x:c r="CS38" s="117" t="n">
        <x:f>CR47</x:f>
      </x:c>
      <x:c r="CT38" s="117" t="n">
        <x:f>CS47</x:f>
      </x:c>
      <x:c r="CU38" s="117" t="n">
        <x:f>CT47</x:f>
      </x:c>
      <x:c r="CV38" s="117" t="n">
        <x:f>CU47</x:f>
      </x:c>
      <x:c r="CW38" s="117" t="n">
        <x:f>CV47</x:f>
      </x:c>
      <x:c r="CX38" s="117" t="n">
        <x:f>CW47</x:f>
      </x:c>
      <x:c r="CY38" s="117" t="n">
        <x:f>CX47</x:f>
      </x:c>
      <x:c r="CZ38" s="117" t="n">
        <x:f>CY47</x:f>
      </x:c>
      <x:c r="DA38" s="117" t="n">
        <x:f>CZ47</x:f>
      </x:c>
      <x:c r="DB38" s="117" t="n">
        <x:f>DA47</x:f>
      </x:c>
      <x:c r="DC38" s="117" t="n">
        <x:f>DB47</x:f>
      </x:c>
      <x:c r="DD38" s="117" t="n">
        <x:f>DC47</x:f>
      </x:c>
      <x:c r="DE38" s="117" t="n">
        <x:f>DD47</x:f>
      </x:c>
      <x:c r="DF38" s="117" t="n">
        <x:f>DE47</x:f>
      </x:c>
      <x:c r="DG38" s="117" t="n">
        <x:f>DF47</x:f>
      </x:c>
      <x:c r="DH38" s="117" t="n">
        <x:f>DG47</x:f>
      </x:c>
      <x:c r="DI38" s="117" t="n">
        <x:f>DH47</x:f>
      </x:c>
      <x:c r="DJ38" s="117" t="n">
        <x:f>DI47</x:f>
      </x:c>
      <x:c r="DK38" s="117" t="n">
        <x:f>DJ47</x:f>
      </x:c>
      <x:c r="DL38" s="117" t="n">
        <x:f>DK47</x:f>
      </x:c>
      <x:c r="DM38" s="117" t="n">
        <x:f>DL47</x:f>
      </x:c>
      <x:c r="DN38" s="117" t="n">
        <x:f>DM47</x:f>
      </x:c>
      <x:c r="DO38" s="117" t="n">
        <x:f>DN47</x:f>
      </x:c>
      <x:c r="DP38" s="117" t="n">
        <x:f>DO47</x:f>
      </x:c>
      <x:c r="DQ38" s="117" t="n">
        <x:f>DP47</x:f>
      </x:c>
      <x:c r="DR38" s="117" t="n">
        <x:f>DQ47</x:f>
      </x:c>
      <x:c r="DS38" s="117" t="n">
        <x:f>DR47</x:f>
      </x:c>
      <x:c r="DT38" s="117" t="n">
        <x:f>DS47</x:f>
      </x:c>
      <x:c r="DU38" s="117" t="n">
        <x:f>DT47</x:f>
      </x:c>
      <x:c r="DV38" s="117" t="n">
        <x:f>DU47</x:f>
      </x:c>
      <x:c r="DW38" s="117" t="n">
        <x:f>DV47</x:f>
      </x:c>
      <x:c r="DX38" s="117" t="n">
        <x:f>DW47</x:f>
      </x:c>
      <x:c r="DY38" s="117" t="n">
        <x:f>DX47</x:f>
      </x:c>
      <x:c r="DZ38" s="117" t="n">
        <x:f>DY47</x:f>
      </x:c>
      <x:c r="EA38" s="117" t="n">
        <x:f>DZ47</x:f>
      </x:c>
      <x:c r="EB38" s="117" t="n">
        <x:f>EA47</x:f>
      </x:c>
      <x:c r="EC38" s="117" t="n">
        <x:f>EB47</x:f>
      </x:c>
      <x:c r="ED38" s="117" t="n">
        <x:f>EC47</x:f>
      </x:c>
      <x:c r="EE38" s="117" t="n">
        <x:f>ED47</x:f>
      </x:c>
      <x:c r="EF38" s="117" t="n">
        <x:f>EE47</x:f>
      </x:c>
      <x:c r="EG38" s="117" t="n">
        <x:f>EF47</x:f>
      </x:c>
      <x:c r="EH38" s="117" t="n">
        <x:f>EG47</x:f>
      </x:c>
      <x:c r="EI38" s="117" t="n">
        <x:f>EH47</x:f>
      </x:c>
      <x:c r="EJ38" s="117" t="n">
        <x:f>EI47</x:f>
      </x:c>
      <x:c r="EK38" s="117" t="n">
        <x:f>EJ47</x:f>
      </x:c>
      <x:c r="EL38" s="117" t="n">
        <x:f>EK47</x:f>
      </x:c>
      <x:c r="EM38" s="117" t="n">
        <x:f>EL47</x:f>
      </x:c>
      <x:c r="EN38" s="117" t="n">
        <x:f>EM47</x:f>
      </x:c>
      <x:c r="EO38" s="117" t="n">
        <x:f>EN47</x:f>
      </x:c>
      <x:c r="EP38" s="117" t="n">
        <x:f>EO47</x:f>
      </x:c>
      <x:c r="EQ38" s="117" t="n">
        <x:f>EP47</x:f>
      </x:c>
      <x:c r="ER38" s="117" t="n">
        <x:f>EQ47</x:f>
      </x:c>
      <x:c r="ES38" s="117" t="n">
        <x:f>ER47</x:f>
      </x:c>
      <x:c r="ET38" s="117" t="n">
        <x:f>ES47</x:f>
      </x:c>
      <x:c r="EU38" s="117" t="n">
        <x:f>ET47</x:f>
      </x:c>
      <x:c r="EV38" s="117" t="n">
        <x:f>EU47</x:f>
      </x:c>
      <x:c r="EW38" s="117" t="n">
        <x:f>EV47</x:f>
      </x:c>
      <x:c r="EX38" s="117" t="n">
        <x:f>EW47</x:f>
      </x:c>
      <x:c r="EY38" s="117" t="n">
        <x:f>EX47</x:f>
      </x:c>
      <x:c r="EZ38" s="117" t="n">
        <x:f>EY47</x:f>
      </x:c>
      <x:c r="FA38" s="117" t="n">
        <x:f>EZ47</x:f>
      </x:c>
      <x:c r="FB38" s="117" t="n">
        <x:f>FA47</x:f>
      </x:c>
      <x:c r="FC38" s="117" t="n">
        <x:f>FB47</x:f>
      </x:c>
      <x:c r="FD38" s="117" t="n">
        <x:f>FC47</x:f>
      </x:c>
      <x:c r="FE38" s="117" t="n">
        <x:f>FD47</x:f>
      </x:c>
      <x:c r="FF38" s="117" t="n">
        <x:f>FE47</x:f>
      </x:c>
      <x:c r="FG38" s="117" t="n">
        <x:f>FF47</x:f>
      </x:c>
      <x:c r="FH38" s="117" t="n">
        <x:f>FG47</x:f>
      </x:c>
      <x:c r="FI38" s="117" t="n">
        <x:f>FH47</x:f>
      </x:c>
      <x:c r="FJ38" s="117" t="n">
        <x:f>FI47</x:f>
      </x:c>
      <x:c r="FK38" s="117" t="n">
        <x:f>FJ47</x:f>
      </x:c>
      <x:c r="FL38" s="117" t="n">
        <x:f>FK47</x:f>
      </x:c>
      <x:c r="FM38" s="117" t="n">
        <x:f>FL47</x:f>
      </x:c>
      <x:c r="FN38" s="117" t="n">
        <x:f>FM47</x:f>
      </x:c>
      <x:c r="FO38" s="117" t="n">
        <x:f>FN47</x:f>
      </x:c>
      <x:c r="FP38" s="117" t="n">
        <x:f>FO47</x:f>
      </x:c>
      <x:c r="FQ38" s="117" t="n">
        <x:f>FP47</x:f>
      </x:c>
      <x:c r="FR38" s="117" t="n">
        <x:f>FQ47</x:f>
      </x:c>
      <x:c r="FS38" s="117" t="n">
        <x:f>FR47</x:f>
      </x:c>
      <x:c r="FT38" s="117" t="n">
        <x:f>FS47</x:f>
      </x:c>
      <x:c r="FU38" s="117" t="n">
        <x:f>FT47</x:f>
      </x:c>
      <x:c r="FV38" s="117" t="n">
        <x:f>FU47</x:f>
      </x:c>
      <x:c r="FW38" s="117" t="n">
        <x:f>FV47</x:f>
      </x:c>
      <x:c r="FX38" s="117" t="n">
        <x:f>FW47</x:f>
      </x:c>
      <x:c r="FY38" s="117" t="n">
        <x:f>FX47</x:f>
      </x:c>
      <x:c r="FZ38" s="117" t="n">
        <x:f>FY47</x:f>
      </x:c>
      <x:c r="GA38" s="117" t="n">
        <x:f>FZ47</x:f>
      </x:c>
    </x:row>
    <x:row r="39">
      <x:c r="A39" t="str">
        <x:v>ПФ — базовая ставка</x:v>
      </x:c>
      <x:c r="B39"/>
      <x:c r="C39" t="str">
        <x:v>% год</x:v>
      </x:c>
      <x:c r="D39" s="121" t="n">
        <x:f>'Ставки'!D$7</x:f>
      </x:c>
      <x:c r="E39" s="121" t="n">
        <x:f>'Ставки'!E$7</x:f>
      </x:c>
      <x:c r="F39" s="121" t="n">
        <x:f>'Ставки'!F$7</x:f>
      </x:c>
      <x:c r="G39" s="121" t="n">
        <x:f>'Ставки'!G$7</x:f>
      </x:c>
      <x:c r="H39" s="121" t="n">
        <x:f>'Ставки'!H$7</x:f>
      </x:c>
      <x:c r="I39" s="121" t="n">
        <x:f>'Ставки'!I$7</x:f>
      </x:c>
      <x:c r="J39" s="121" t="n">
        <x:f>'Ставки'!J$7</x:f>
      </x:c>
      <x:c r="K39" s="121" t="n">
        <x:f>'Ставки'!K$7</x:f>
      </x:c>
      <x:c r="L39" s="121" t="n">
        <x:f>'Ставки'!L$7</x:f>
      </x:c>
      <x:c r="M39" s="121" t="n">
        <x:f>'Ставки'!M$7</x:f>
      </x:c>
      <x:c r="N39" s="121" t="n">
        <x:f>'Ставки'!N$7</x:f>
      </x:c>
      <x:c r="O39" s="121" t="n">
        <x:f>'Ставки'!O$7</x:f>
      </x:c>
      <x:c r="P39" s="121" t="n">
        <x:f>'Ставки'!P$7</x:f>
      </x:c>
      <x:c r="Q39" s="121" t="n">
        <x:f>'Ставки'!Q$7</x:f>
      </x:c>
      <x:c r="R39" s="121" t="n">
        <x:f>'Ставки'!R$7</x:f>
      </x:c>
      <x:c r="S39" s="121" t="n">
        <x:f>'Ставки'!S$7</x:f>
      </x:c>
      <x:c r="T39" s="121" t="n">
        <x:f>'Ставки'!T$7</x:f>
      </x:c>
      <x:c r="U39" s="121" t="n">
        <x:f>'Ставки'!U$7</x:f>
      </x:c>
      <x:c r="V39" s="121" t="n">
        <x:f>'Ставки'!V$7</x:f>
      </x:c>
      <x:c r="W39" s="121" t="n">
        <x:f>'Ставки'!W$7</x:f>
      </x:c>
      <x:c r="X39" s="121" t="n">
        <x:f>'Ставки'!X$7</x:f>
      </x:c>
      <x:c r="Y39" s="121" t="n">
        <x:f>'Ставки'!Y$7</x:f>
      </x:c>
      <x:c r="Z39" s="121" t="n">
        <x:f>'Ставки'!Z$7</x:f>
      </x:c>
      <x:c r="AA39" s="121" t="n">
        <x:f>'Ставки'!AA$7</x:f>
      </x:c>
      <x:c r="AB39" s="121" t="n">
        <x:f>'Ставки'!AB$7</x:f>
      </x:c>
      <x:c r="AC39" s="121" t="n">
        <x:f>'Ставки'!AC$7</x:f>
      </x:c>
      <x:c r="AD39" s="121" t="n">
        <x:f>'Ставки'!AD$7</x:f>
      </x:c>
      <x:c r="AE39" s="121" t="n">
        <x:f>'Ставки'!AE$7</x:f>
      </x:c>
      <x:c r="AF39" s="121" t="n">
        <x:f>'Ставки'!AF$7</x:f>
      </x:c>
      <x:c r="AG39" s="121" t="n">
        <x:f>'Ставки'!AG$7</x:f>
      </x:c>
      <x:c r="AH39" s="121" t="n">
        <x:f>'Ставки'!AH$7</x:f>
      </x:c>
      <x:c r="AI39" s="121" t="n">
        <x:f>'Ставки'!AI$7</x:f>
      </x:c>
      <x:c r="AJ39" s="121" t="n">
        <x:f>'Ставки'!AJ$7</x:f>
      </x:c>
      <x:c r="AK39" s="121" t="n">
        <x:f>'Ставки'!AK$7</x:f>
      </x:c>
      <x:c r="AL39" s="121" t="n">
        <x:f>'Ставки'!AL$7</x:f>
      </x:c>
      <x:c r="AM39" s="121" t="n">
        <x:f>'Ставки'!AM$7</x:f>
      </x:c>
      <x:c r="AN39" s="121" t="n">
        <x:f>'Ставки'!AN$7</x:f>
      </x:c>
      <x:c r="AO39" s="121" t="n">
        <x:f>'Ставки'!AO$7</x:f>
      </x:c>
      <x:c r="AP39" s="121" t="n">
        <x:f>'Ставки'!AP$7</x:f>
      </x:c>
      <x:c r="AQ39" s="121" t="n">
        <x:f>'Ставки'!AQ$7</x:f>
      </x:c>
      <x:c r="AR39" s="121" t="n">
        <x:f>'Ставки'!AR$7</x:f>
      </x:c>
      <x:c r="AS39" s="121" t="n">
        <x:f>'Ставки'!AS$7</x:f>
      </x:c>
      <x:c r="AT39" s="121" t="n">
        <x:f>'Ставки'!AT$7</x:f>
      </x:c>
      <x:c r="AU39" s="121" t="n">
        <x:f>'Ставки'!AU$7</x:f>
      </x:c>
      <x:c r="AV39" s="121" t="n">
        <x:f>'Ставки'!AV$7</x:f>
      </x:c>
      <x:c r="AW39" s="121" t="n">
        <x:f>'Ставки'!AW$7</x:f>
      </x:c>
      <x:c r="AX39" s="121" t="n">
        <x:f>'Ставки'!AX$7</x:f>
      </x:c>
      <x:c r="AY39" s="121" t="n">
        <x:f>'Ставки'!AY$7</x:f>
      </x:c>
      <x:c r="AZ39" s="121" t="n">
        <x:f>'Ставки'!AZ$7</x:f>
      </x:c>
      <x:c r="BA39" s="121" t="n">
        <x:f>'Ставки'!BA$7</x:f>
      </x:c>
      <x:c r="BB39" s="121" t="n">
        <x:f>'Ставки'!BB$7</x:f>
      </x:c>
      <x:c r="BC39" s="121" t="n">
        <x:f>'Ставки'!BC$7</x:f>
      </x:c>
      <x:c r="BD39" s="121" t="n">
        <x:f>'Ставки'!BD$7</x:f>
      </x:c>
      <x:c r="BE39" s="121" t="n">
        <x:f>'Ставки'!BE$7</x:f>
      </x:c>
      <x:c r="BF39" s="121" t="n">
        <x:f>'Ставки'!BF$7</x:f>
      </x:c>
      <x:c r="BG39" s="121" t="n">
        <x:f>'Ставки'!BG$7</x:f>
      </x:c>
      <x:c r="BH39" s="121" t="n">
        <x:f>'Ставки'!BH$7</x:f>
      </x:c>
      <x:c r="BI39" s="121" t="n">
        <x:f>'Ставки'!BI$7</x:f>
      </x:c>
      <x:c r="BJ39" s="121" t="n">
        <x:f>'Ставки'!BJ$7</x:f>
      </x:c>
      <x:c r="BK39" s="121" t="n">
        <x:f>'Ставки'!BK$7</x:f>
      </x:c>
      <x:c r="BL39" s="121" t="n">
        <x:f>'Ставки'!BL$7</x:f>
      </x:c>
      <x:c r="BM39" s="121" t="n">
        <x:f>'Ставки'!BM$7</x:f>
      </x:c>
      <x:c r="BN39" s="121" t="n">
        <x:f>'Ставки'!BN$7</x:f>
      </x:c>
      <x:c r="BO39" s="121" t="n">
        <x:f>'Ставки'!BO$7</x:f>
      </x:c>
      <x:c r="BP39" s="121" t="n">
        <x:f>'Ставки'!BP$7</x:f>
      </x:c>
      <x:c r="BQ39" s="121" t="n">
        <x:f>'Ставки'!BQ$7</x:f>
      </x:c>
      <x:c r="BR39" s="121" t="n">
        <x:f>'Ставки'!BR$7</x:f>
      </x:c>
      <x:c r="BS39" s="121" t="n">
        <x:f>'Ставки'!BS$7</x:f>
      </x:c>
      <x:c r="BT39" s="121" t="n">
        <x:f>'Ставки'!BT$7</x:f>
      </x:c>
      <x:c r="BU39" s="121" t="n">
        <x:f>'Ставки'!BU$7</x:f>
      </x:c>
      <x:c r="BV39" s="121" t="n">
        <x:f>'Ставки'!BV$7</x:f>
      </x:c>
      <x:c r="BW39" s="121" t="n">
        <x:f>'Ставки'!BW$7</x:f>
      </x:c>
      <x:c r="BX39" s="121" t="n">
        <x:f>'Ставки'!BX$7</x:f>
      </x:c>
      <x:c r="BY39" s="121" t="n">
        <x:f>'Ставки'!BY$7</x:f>
      </x:c>
      <x:c r="BZ39" s="121" t="n">
        <x:f>'Ставки'!BZ$7</x:f>
      </x:c>
      <x:c r="CA39" s="121" t="n">
        <x:f>'Ставки'!CA$7</x:f>
      </x:c>
      <x:c r="CB39" s="121" t="n">
        <x:f>'Ставки'!CB$7</x:f>
      </x:c>
      <x:c r="CC39" s="121" t="n">
        <x:f>'Ставки'!CC$7</x:f>
      </x:c>
      <x:c r="CD39" s="121" t="n">
        <x:f>'Ставки'!CD$7</x:f>
      </x:c>
      <x:c r="CE39" s="121" t="n">
        <x:f>'Ставки'!CE$7</x:f>
      </x:c>
      <x:c r="CF39" s="121" t="n">
        <x:f>'Ставки'!CF$7</x:f>
      </x:c>
      <x:c r="CG39" s="121" t="n">
        <x:f>'Ставки'!CG$7</x:f>
      </x:c>
      <x:c r="CH39" s="121" t="n">
        <x:f>'Ставки'!CH$7</x:f>
      </x:c>
      <x:c r="CI39" s="121" t="n">
        <x:f>'Ставки'!CI$7</x:f>
      </x:c>
      <x:c r="CJ39" s="121" t="n">
        <x:f>'Ставки'!CJ$7</x:f>
      </x:c>
      <x:c r="CK39" s="121" t="n">
        <x:f>'Ставки'!CK$7</x:f>
      </x:c>
      <x:c r="CL39" s="121" t="n">
        <x:f>'Ставки'!CL$7</x:f>
      </x:c>
      <x:c r="CM39" s="121" t="n">
        <x:f>'Ставки'!CM$7</x:f>
      </x:c>
      <x:c r="CN39" s="121" t="n">
        <x:f>'Ставки'!CN$7</x:f>
      </x:c>
      <x:c r="CO39" s="121" t="n">
        <x:f>'Ставки'!CO$7</x:f>
      </x:c>
      <x:c r="CP39" s="121" t="n">
        <x:f>'Ставки'!CP$7</x:f>
      </x:c>
      <x:c r="CQ39" s="121" t="n">
        <x:f>'Ставки'!CQ$7</x:f>
      </x:c>
      <x:c r="CR39" s="121" t="n">
        <x:f>'Ставки'!CR$7</x:f>
      </x:c>
      <x:c r="CS39" s="121" t="n">
        <x:f>'Ставки'!CS$7</x:f>
      </x:c>
      <x:c r="CT39" s="121" t="n">
        <x:f>'Ставки'!CT$7</x:f>
      </x:c>
      <x:c r="CU39" s="121" t="n">
        <x:f>'Ставки'!CU$7</x:f>
      </x:c>
      <x:c r="CV39" s="121" t="n">
        <x:f>'Ставки'!CV$7</x:f>
      </x:c>
      <x:c r="CW39" s="121" t="n">
        <x:f>'Ставки'!CW$7</x:f>
      </x:c>
      <x:c r="CX39" s="121" t="n">
        <x:f>'Ставки'!CX$7</x:f>
      </x:c>
      <x:c r="CY39" s="121" t="n">
        <x:f>'Ставки'!CY$7</x:f>
      </x:c>
      <x:c r="CZ39" s="121" t="n">
        <x:f>'Ставки'!CZ$7</x:f>
      </x:c>
      <x:c r="DA39" s="121" t="n">
        <x:f>'Ставки'!DA$7</x:f>
      </x:c>
      <x:c r="DB39" s="121" t="n">
        <x:f>'Ставки'!DB$7</x:f>
      </x:c>
      <x:c r="DC39" s="121" t="n">
        <x:f>'Ставки'!DC$7</x:f>
      </x:c>
      <x:c r="DD39" s="121" t="n">
        <x:f>'Ставки'!DD$7</x:f>
      </x:c>
      <x:c r="DE39" s="121" t="n">
        <x:f>'Ставки'!DE$7</x:f>
      </x:c>
      <x:c r="DF39" s="121" t="n">
        <x:f>'Ставки'!DF$7</x:f>
      </x:c>
      <x:c r="DG39" s="121" t="n">
        <x:f>'Ставки'!DG$7</x:f>
      </x:c>
      <x:c r="DH39" s="121" t="n">
        <x:f>'Ставки'!DH$7</x:f>
      </x:c>
      <x:c r="DI39" s="121" t="n">
        <x:f>'Ставки'!DI$7</x:f>
      </x:c>
      <x:c r="DJ39" s="121" t="n">
        <x:f>'Ставки'!DJ$7</x:f>
      </x:c>
      <x:c r="DK39" s="121" t="n">
        <x:f>'Ставки'!DK$7</x:f>
      </x:c>
      <x:c r="DL39" s="121" t="n">
        <x:f>'Ставки'!DL$7</x:f>
      </x:c>
      <x:c r="DM39" s="121" t="n">
        <x:f>'Ставки'!DM$7</x:f>
      </x:c>
      <x:c r="DN39" s="121" t="n">
        <x:f>'Ставки'!DN$7</x:f>
      </x:c>
      <x:c r="DO39" s="121" t="n">
        <x:f>'Ставки'!DO$7</x:f>
      </x:c>
      <x:c r="DP39" s="121" t="n">
        <x:f>'Ставки'!DP$7</x:f>
      </x:c>
      <x:c r="DQ39" s="121" t="n">
        <x:f>'Ставки'!DQ$7</x:f>
      </x:c>
      <x:c r="DR39" s="121" t="n">
        <x:f>'Ставки'!DR$7</x:f>
      </x:c>
      <x:c r="DS39" s="121" t="n">
        <x:f>'Ставки'!DS$7</x:f>
      </x:c>
      <x:c r="DT39" s="121" t="n">
        <x:f>'Ставки'!DT$7</x:f>
      </x:c>
      <x:c r="DU39" s="121" t="n">
        <x:f>'Ставки'!DU$7</x:f>
      </x:c>
      <x:c r="DV39" s="121" t="n">
        <x:f>'Ставки'!DV$7</x:f>
      </x:c>
      <x:c r="DW39" s="121" t="n">
        <x:f>'Ставки'!DW$7</x:f>
      </x:c>
      <x:c r="DX39" s="121" t="n">
        <x:f>'Ставки'!DX$7</x:f>
      </x:c>
      <x:c r="DY39" s="121" t="n">
        <x:f>'Ставки'!DY$7</x:f>
      </x:c>
      <x:c r="DZ39" s="121" t="n">
        <x:f>'Ставки'!DZ$7</x:f>
      </x:c>
      <x:c r="EA39" s="121" t="n">
        <x:f>'Ставки'!EA$7</x:f>
      </x:c>
      <x:c r="EB39" s="121" t="n">
        <x:f>'Ставки'!EB$7</x:f>
      </x:c>
      <x:c r="EC39" s="121" t="n">
        <x:f>'Ставки'!EC$7</x:f>
      </x:c>
      <x:c r="ED39" s="121" t="n">
        <x:f>'Ставки'!ED$7</x:f>
      </x:c>
      <x:c r="EE39" s="121" t="n">
        <x:f>'Ставки'!EE$7</x:f>
      </x:c>
      <x:c r="EF39" s="121" t="n">
        <x:f>'Ставки'!EF$7</x:f>
      </x:c>
      <x:c r="EG39" s="121" t="n">
        <x:f>'Ставки'!EG$7</x:f>
      </x:c>
      <x:c r="EH39" s="121" t="n">
        <x:f>'Ставки'!EH$7</x:f>
      </x:c>
      <x:c r="EI39" s="121" t="n">
        <x:f>'Ставки'!EI$7</x:f>
      </x:c>
      <x:c r="EJ39" s="121" t="n">
        <x:f>'Ставки'!EJ$7</x:f>
      </x:c>
      <x:c r="EK39" s="121" t="n">
        <x:f>'Ставки'!EK$7</x:f>
      </x:c>
      <x:c r="EL39" s="121" t="n">
        <x:f>'Ставки'!EL$7</x:f>
      </x:c>
      <x:c r="EM39" s="121" t="n">
        <x:f>'Ставки'!EM$7</x:f>
      </x:c>
      <x:c r="EN39" s="121" t="n">
        <x:f>'Ставки'!EN$7</x:f>
      </x:c>
      <x:c r="EO39" s="121" t="n">
        <x:f>'Ставки'!EO$7</x:f>
      </x:c>
      <x:c r="EP39" s="121" t="n">
        <x:f>'Ставки'!EP$7</x:f>
      </x:c>
      <x:c r="EQ39" s="121" t="n">
        <x:f>'Ставки'!EQ$7</x:f>
      </x:c>
      <x:c r="ER39" s="121" t="n">
        <x:f>'Ставки'!ER$7</x:f>
      </x:c>
      <x:c r="ES39" s="121" t="n">
        <x:f>'Ставки'!ES$7</x:f>
      </x:c>
      <x:c r="ET39" s="121" t="n">
        <x:f>'Ставки'!ET$7</x:f>
      </x:c>
      <x:c r="EU39" s="121" t="n">
        <x:f>'Ставки'!EU$7</x:f>
      </x:c>
      <x:c r="EV39" s="121" t="n">
        <x:f>'Ставки'!EV$7</x:f>
      </x:c>
      <x:c r="EW39" s="121" t="n">
        <x:f>'Ставки'!EW$7</x:f>
      </x:c>
      <x:c r="EX39" s="121" t="n">
        <x:f>'Ставки'!EX$7</x:f>
      </x:c>
      <x:c r="EY39" s="121" t="n">
        <x:f>'Ставки'!EY$7</x:f>
      </x:c>
      <x:c r="EZ39" s="121" t="n">
        <x:f>'Ставки'!EZ$7</x:f>
      </x:c>
      <x:c r="FA39" s="121" t="n">
        <x:f>'Ставки'!FA$7</x:f>
      </x:c>
      <x:c r="FB39" s="121" t="n">
        <x:f>'Ставки'!FB$7</x:f>
      </x:c>
      <x:c r="FC39" s="121" t="n">
        <x:f>'Ставки'!FC$7</x:f>
      </x:c>
      <x:c r="FD39" s="121" t="n">
        <x:f>'Ставки'!FD$7</x:f>
      </x:c>
      <x:c r="FE39" s="121" t="n">
        <x:f>'Ставки'!FE$7</x:f>
      </x:c>
      <x:c r="FF39" s="121" t="n">
        <x:f>'Ставки'!FF$7</x:f>
      </x:c>
      <x:c r="FG39" s="121" t="n">
        <x:f>'Ставки'!FG$7</x:f>
      </x:c>
      <x:c r="FH39" s="121" t="n">
        <x:f>'Ставки'!FH$7</x:f>
      </x:c>
      <x:c r="FI39" s="121" t="n">
        <x:f>'Ставки'!FI$7</x:f>
      </x:c>
      <x:c r="FJ39" s="121" t="n">
        <x:f>'Ставки'!FJ$7</x:f>
      </x:c>
      <x:c r="FK39" s="121" t="n">
        <x:f>'Ставки'!FK$7</x:f>
      </x:c>
      <x:c r="FL39" s="121" t="n">
        <x:f>'Ставки'!FL$7</x:f>
      </x:c>
      <x:c r="FM39" s="121" t="n">
        <x:f>'Ставки'!FM$7</x:f>
      </x:c>
      <x:c r="FN39" s="121" t="n">
        <x:f>'Ставки'!FN$7</x:f>
      </x:c>
      <x:c r="FO39" s="121" t="n">
        <x:f>'Ставки'!FO$7</x:f>
      </x:c>
      <x:c r="FP39" s="121" t="n">
        <x:f>'Ставки'!FP$7</x:f>
      </x:c>
      <x:c r="FQ39" s="121" t="n">
        <x:f>'Ставки'!FQ$7</x:f>
      </x:c>
      <x:c r="FR39" s="121" t="n">
        <x:f>'Ставки'!FR$7</x:f>
      </x:c>
      <x:c r="FS39" s="121" t="n">
        <x:f>'Ставки'!FS$7</x:f>
      </x:c>
      <x:c r="FT39" s="121" t="n">
        <x:f>'Ставки'!FT$7</x:f>
      </x:c>
      <x:c r="FU39" s="121" t="n">
        <x:f>'Ставки'!FU$7</x:f>
      </x:c>
      <x:c r="FV39" s="121" t="n">
        <x:f>'Ставки'!FV$7</x:f>
      </x:c>
      <x:c r="FW39" s="121" t="n">
        <x:f>'Ставки'!FW$7</x:f>
      </x:c>
      <x:c r="FX39" s="121" t="n">
        <x:f>'Ставки'!FX$7</x:f>
      </x:c>
      <x:c r="FY39" s="121" t="n">
        <x:f>'Ставки'!FY$7</x:f>
      </x:c>
      <x:c r="FZ39" s="121" t="n">
        <x:f>'Ставки'!FZ$7</x:f>
      </x:c>
      <x:c r="GA39" s="121" t="n">
        <x:f>'Ставки'!GA$7</x:f>
      </x:c>
    </x:row>
    <x:row r="40">
      <x:c r="A40" t="str">
        <x:v>Покрытие эскроу</x:v>
      </x:c>
      <x:c r="B40"/>
      <x:c r="C40" t="str">
        <x:v>×</x:v>
      </x:c>
      <x:c r="D40" s="122">
        <x:f>IFERROR((D13+D11)/MAX(1,D38+D45),0)</x:f>
      </x:c>
      <x:c r="E40" s="122">
        <x:f>IFERROR((E13+E11)/MAX(1,E38+E45),0)</x:f>
      </x:c>
      <x:c r="F40" s="122">
        <x:f>IFERROR((F13+F11)/MAX(1,F38+F45),0)</x:f>
      </x:c>
      <x:c r="G40" s="122">
        <x:f>IFERROR((G13+G11)/MAX(1,G38+G45),0)</x:f>
      </x:c>
      <x:c r="H40" s="122">
        <x:f>IFERROR((H13+H11)/MAX(1,H38+H45),0)</x:f>
      </x:c>
      <x:c r="I40" s="122">
        <x:f>IFERROR((I13+I11)/MAX(1,I38+I45),0)</x:f>
      </x:c>
      <x:c r="J40" s="122">
        <x:f>IFERROR((J13+J11)/MAX(1,J38+J45),0)</x:f>
      </x:c>
      <x:c r="K40" s="122">
        <x:f>IFERROR((K13+K11)/MAX(1,K38+K45),0)</x:f>
      </x:c>
      <x:c r="L40" s="122">
        <x:f>IFERROR((L13+L11)/MAX(1,L38+L45),0)</x:f>
      </x:c>
      <x:c r="M40" s="122">
        <x:f>IFERROR((M13+M11)/MAX(1,M38+M45),0)</x:f>
      </x:c>
      <x:c r="N40" s="122">
        <x:f>IFERROR((N13+N11)/MAX(1,N38+N45),0)</x:f>
      </x:c>
      <x:c r="O40" s="122">
        <x:f>IFERROR((O13+O11)/MAX(1,O38+O45),0)</x:f>
      </x:c>
      <x:c r="P40" s="122">
        <x:f>IFERROR((P13+P11)/MAX(1,P38+P45),0)</x:f>
      </x:c>
      <x:c r="Q40" s="122">
        <x:f>IFERROR((Q13+Q11)/MAX(1,Q38+Q45),0)</x:f>
      </x:c>
      <x:c r="R40" s="122">
        <x:f>IFERROR((R13+R11)/MAX(1,R38+R45),0)</x:f>
      </x:c>
      <x:c r="S40" s="122">
        <x:f>IFERROR((S13+S11)/MAX(1,S38+S45),0)</x:f>
      </x:c>
      <x:c r="T40" s="122">
        <x:f>IFERROR((T13+T11)/MAX(1,T38+T45),0)</x:f>
      </x:c>
      <x:c r="U40" s="122">
        <x:f>IFERROR((U13+U11)/MAX(1,U38+U45),0)</x:f>
      </x:c>
      <x:c r="V40" s="122">
        <x:f>IFERROR((V13+V11)/MAX(1,V38+V45),0)</x:f>
      </x:c>
      <x:c r="W40" s="122">
        <x:f>IFERROR((W13+W11)/MAX(1,W38+W45),0)</x:f>
      </x:c>
      <x:c r="X40" s="122">
        <x:f>IFERROR((X13+X11)/MAX(1,X38+X45),0)</x:f>
      </x:c>
      <x:c r="Y40" s="122">
        <x:f>IFERROR((Y13+Y11)/MAX(1,Y38+Y45),0)</x:f>
      </x:c>
      <x:c r="Z40" s="122">
        <x:f>IFERROR((Z13+Z11)/MAX(1,Z38+Z45),0)</x:f>
      </x:c>
      <x:c r="AA40" s="122">
        <x:f>IFERROR((AA13+AA11)/MAX(1,AA38+AA45),0)</x:f>
      </x:c>
      <x:c r="AB40" s="122">
        <x:f>IFERROR((AB13+AB11)/MAX(1,AB38+AB45),0)</x:f>
      </x:c>
      <x:c r="AC40" s="122">
        <x:f>IFERROR((AC13+AC11)/MAX(1,AC38+AC45),0)</x:f>
      </x:c>
      <x:c r="AD40" s="122">
        <x:f>IFERROR((AD13+AD11)/MAX(1,AD38+AD45),0)</x:f>
      </x:c>
      <x:c r="AE40" s="122">
        <x:f>IFERROR((AE13+AE11)/MAX(1,AE38+AE45),0)</x:f>
      </x:c>
      <x:c r="AF40" s="122">
        <x:f>IFERROR((AF13+AF11)/MAX(1,AF38+AF45),0)</x:f>
      </x:c>
      <x:c r="AG40" s="122">
        <x:f>IFERROR((AG13+AG11)/MAX(1,AG38+AG45),0)</x:f>
      </x:c>
      <x:c r="AH40" s="122">
        <x:f>IFERROR((AH13+AH11)/MAX(1,AH38+AH45),0)</x:f>
      </x:c>
      <x:c r="AI40" s="122">
        <x:f>IFERROR((AI13+AI11)/MAX(1,AI38+AI45),0)</x:f>
      </x:c>
      <x:c r="AJ40" s="122">
        <x:f>IFERROR((AJ13+AJ11)/MAX(1,AJ38+AJ45),0)</x:f>
      </x:c>
      <x:c r="AK40" s="122">
        <x:f>IFERROR((AK13+AK11)/MAX(1,AK38+AK45),0)</x:f>
      </x:c>
      <x:c r="AL40" s="122">
        <x:f>IFERROR((AL13+AL11)/MAX(1,AL38+AL45),0)</x:f>
      </x:c>
      <x:c r="AM40" s="122">
        <x:f>IFERROR((AM13+AM11)/MAX(1,AM38+AM45),0)</x:f>
      </x:c>
      <x:c r="AN40" s="122">
        <x:f>IFERROR((AN13+AN11)/MAX(1,AN38+AN45),0)</x:f>
      </x:c>
      <x:c r="AO40" s="122">
        <x:f>IFERROR((AO13+AO11)/MAX(1,AO38+AO45),0)</x:f>
      </x:c>
      <x:c r="AP40" s="122">
        <x:f>IFERROR((AP13+AP11)/MAX(1,AP38+AP45),0)</x:f>
      </x:c>
      <x:c r="AQ40" s="122">
        <x:f>IFERROR((AQ13+AQ11)/MAX(1,AQ38+AQ45),0)</x:f>
      </x:c>
      <x:c r="AR40" s="122">
        <x:f>IFERROR((AR13+AR11)/MAX(1,AR38+AR45),0)</x:f>
      </x:c>
      <x:c r="AS40" s="122">
        <x:f>IFERROR((AS13+AS11)/MAX(1,AS38+AS45),0)</x:f>
      </x:c>
      <x:c r="AT40" s="122">
        <x:f>IFERROR((AT13+AT11)/MAX(1,AT38+AT45),0)</x:f>
      </x:c>
      <x:c r="AU40" s="122">
        <x:f>IFERROR((AU13+AU11)/MAX(1,AU38+AU45),0)</x:f>
      </x:c>
      <x:c r="AV40" s="122">
        <x:f>IFERROR((AV13+AV11)/MAX(1,AV38+AV45),0)</x:f>
      </x:c>
      <x:c r="AW40" s="122">
        <x:f>IFERROR((AW13+AW11)/MAX(1,AW38+AW45),0)</x:f>
      </x:c>
      <x:c r="AX40" s="122">
        <x:f>IFERROR((AX13+AX11)/MAX(1,AX38+AX45),0)</x:f>
      </x:c>
      <x:c r="AY40" s="122">
        <x:f>IFERROR((AY13+AY11)/MAX(1,AY38+AY45),0)</x:f>
      </x:c>
      <x:c r="AZ40" s="122">
        <x:f>IFERROR((AZ13+AZ11)/MAX(1,AZ38+AZ45),0)</x:f>
      </x:c>
      <x:c r="BA40" s="122">
        <x:f>IFERROR((BA13+BA11)/MAX(1,BA38+BA45),0)</x:f>
      </x:c>
      <x:c r="BB40" s="122">
        <x:f>IFERROR((BB13+BB11)/MAX(1,BB38+BB45),0)</x:f>
      </x:c>
      <x:c r="BC40" s="122">
        <x:f>IFERROR((BC13+BC11)/MAX(1,BC38+BC45),0)</x:f>
      </x:c>
      <x:c r="BD40" s="122">
        <x:f>IFERROR((BD13+BD11)/MAX(1,BD38+BD45),0)</x:f>
      </x:c>
      <x:c r="BE40" s="122">
        <x:f>IFERROR((BE13+BE11)/MAX(1,BE38+BE45),0)</x:f>
      </x:c>
      <x:c r="BF40" s="122">
        <x:f>IFERROR((BF13+BF11)/MAX(1,BF38+BF45),0)</x:f>
      </x:c>
      <x:c r="BG40" s="122">
        <x:f>IFERROR((BG13+BG11)/MAX(1,BG38+BG45),0)</x:f>
      </x:c>
      <x:c r="BH40" s="122">
        <x:f>IFERROR((BH13+BH11)/MAX(1,BH38+BH45),0)</x:f>
      </x:c>
      <x:c r="BI40" s="122">
        <x:f>IFERROR((BI13+BI11)/MAX(1,BI38+BI45),0)</x:f>
      </x:c>
      <x:c r="BJ40" s="122">
        <x:f>IFERROR((BJ13+BJ11)/MAX(1,BJ38+BJ45),0)</x:f>
      </x:c>
      <x:c r="BK40" s="122">
        <x:f>IFERROR((BK13+BK11)/MAX(1,BK38+BK45),0)</x:f>
      </x:c>
      <x:c r="BL40" s="122">
        <x:f>IFERROR((BL13+BL11)/MAX(1,BL38+BL45),0)</x:f>
      </x:c>
      <x:c r="BM40" s="122">
        <x:f>IFERROR((BM13+BM11)/MAX(1,BM38+BM45),0)</x:f>
      </x:c>
      <x:c r="BN40" s="122">
        <x:f>IFERROR((BN13+BN11)/MAX(1,BN38+BN45),0)</x:f>
      </x:c>
      <x:c r="BO40" s="122">
        <x:f>IFERROR((BO13+BO11)/MAX(1,BO38+BO45),0)</x:f>
      </x:c>
      <x:c r="BP40" s="122">
        <x:f>IFERROR((BP13+BP11)/MAX(1,BP38+BP45),0)</x:f>
      </x:c>
      <x:c r="BQ40" s="122">
        <x:f>IFERROR((BQ13+BQ11)/MAX(1,BQ38+BQ45),0)</x:f>
      </x:c>
      <x:c r="BR40" s="122">
        <x:f>IFERROR((BR13+BR11)/MAX(1,BR38+BR45),0)</x:f>
      </x:c>
      <x:c r="BS40" s="122">
        <x:f>IFERROR((BS13+BS11)/MAX(1,BS38+BS45),0)</x:f>
      </x:c>
      <x:c r="BT40" s="122">
        <x:f>IFERROR((BT13+BT11)/MAX(1,BT38+BT45),0)</x:f>
      </x:c>
      <x:c r="BU40" s="122">
        <x:f>IFERROR((BU13+BU11)/MAX(1,BU38+BU45),0)</x:f>
      </x:c>
      <x:c r="BV40" s="122">
        <x:f>IFERROR((BV13+BV11)/MAX(1,BV38+BV45),0)</x:f>
      </x:c>
      <x:c r="BW40" s="122">
        <x:f>IFERROR((BW13+BW11)/MAX(1,BW38+BW45),0)</x:f>
      </x:c>
      <x:c r="BX40" s="122">
        <x:f>IFERROR((BX13+BX11)/MAX(1,BX38+BX45),0)</x:f>
      </x:c>
      <x:c r="BY40" s="122">
        <x:f>IFERROR((BY13+BY11)/MAX(1,BY38+BY45),0)</x:f>
      </x:c>
      <x:c r="BZ40" s="122">
        <x:f>IFERROR((BZ13+BZ11)/MAX(1,BZ38+BZ45),0)</x:f>
      </x:c>
      <x:c r="CA40" s="122">
        <x:f>IFERROR((CA13+CA11)/MAX(1,CA38+CA45),0)</x:f>
      </x:c>
      <x:c r="CB40" s="122">
        <x:f>IFERROR((CB13+CB11)/MAX(1,CB38+CB45),0)</x:f>
      </x:c>
      <x:c r="CC40" s="122">
        <x:f>IFERROR((CC13+CC11)/MAX(1,CC38+CC45),0)</x:f>
      </x:c>
      <x:c r="CD40" s="122">
        <x:f>IFERROR((CD13+CD11)/MAX(1,CD38+CD45),0)</x:f>
      </x:c>
      <x:c r="CE40" s="122">
        <x:f>IFERROR((CE13+CE11)/MAX(1,CE38+CE45),0)</x:f>
      </x:c>
      <x:c r="CF40" s="122">
        <x:f>IFERROR((CF13+CF11)/MAX(1,CF38+CF45),0)</x:f>
      </x:c>
      <x:c r="CG40" s="122">
        <x:f>IFERROR((CG13+CG11)/MAX(1,CG38+CG45),0)</x:f>
      </x:c>
      <x:c r="CH40" s="122">
        <x:f>IFERROR((CH13+CH11)/MAX(1,CH38+CH45),0)</x:f>
      </x:c>
      <x:c r="CI40" s="122">
        <x:f>IFERROR((CI13+CI11)/MAX(1,CI38+CI45),0)</x:f>
      </x:c>
      <x:c r="CJ40" s="122">
        <x:f>IFERROR((CJ13+CJ11)/MAX(1,CJ38+CJ45),0)</x:f>
      </x:c>
      <x:c r="CK40" s="122">
        <x:f>IFERROR((CK13+CK11)/MAX(1,CK38+CK45),0)</x:f>
      </x:c>
      <x:c r="CL40" s="122">
        <x:f>IFERROR((CL13+CL11)/MAX(1,CL38+CL45),0)</x:f>
      </x:c>
      <x:c r="CM40" s="122">
        <x:f>IFERROR((CM13+CM11)/MAX(1,CM38+CM45),0)</x:f>
      </x:c>
      <x:c r="CN40" s="122">
        <x:f>IFERROR((CN13+CN11)/MAX(1,CN38+CN45),0)</x:f>
      </x:c>
      <x:c r="CO40" s="122">
        <x:f>IFERROR((CO13+CO11)/MAX(1,CO38+CO45),0)</x:f>
      </x:c>
      <x:c r="CP40" s="122">
        <x:f>IFERROR((CP13+CP11)/MAX(1,CP38+CP45),0)</x:f>
      </x:c>
      <x:c r="CQ40" s="122">
        <x:f>IFERROR((CQ13+CQ11)/MAX(1,CQ38+CQ45),0)</x:f>
      </x:c>
      <x:c r="CR40" s="122">
        <x:f>IFERROR((CR13+CR11)/MAX(1,CR38+CR45),0)</x:f>
      </x:c>
      <x:c r="CS40" s="122">
        <x:f>IFERROR((CS13+CS11)/MAX(1,CS38+CS45),0)</x:f>
      </x:c>
      <x:c r="CT40" s="122">
        <x:f>IFERROR((CT13+CT11)/MAX(1,CT38+CT45),0)</x:f>
      </x:c>
      <x:c r="CU40" s="122">
        <x:f>IFERROR((CU13+CU11)/MAX(1,CU38+CU45),0)</x:f>
      </x:c>
      <x:c r="CV40" s="122">
        <x:f>IFERROR((CV13+CV11)/MAX(1,CV38+CV45),0)</x:f>
      </x:c>
      <x:c r="CW40" s="122">
        <x:f>IFERROR((CW13+CW11)/MAX(1,CW38+CW45),0)</x:f>
      </x:c>
      <x:c r="CX40" s="122">
        <x:f>IFERROR((CX13+CX11)/MAX(1,CX38+CX45),0)</x:f>
      </x:c>
      <x:c r="CY40" s="122">
        <x:f>IFERROR((CY13+CY11)/MAX(1,CY38+CY45),0)</x:f>
      </x:c>
      <x:c r="CZ40" s="122">
        <x:f>IFERROR((CZ13+CZ11)/MAX(1,CZ38+CZ45),0)</x:f>
      </x:c>
      <x:c r="DA40" s="122">
        <x:f>IFERROR((DA13+DA11)/MAX(1,DA38+DA45),0)</x:f>
      </x:c>
      <x:c r="DB40" s="122">
        <x:f>IFERROR((DB13+DB11)/MAX(1,DB38+DB45),0)</x:f>
      </x:c>
      <x:c r="DC40" s="122">
        <x:f>IFERROR((DC13+DC11)/MAX(1,DC38+DC45),0)</x:f>
      </x:c>
      <x:c r="DD40" s="122">
        <x:f>IFERROR((DD13+DD11)/MAX(1,DD38+DD45),0)</x:f>
      </x:c>
      <x:c r="DE40" s="122">
        <x:f>IFERROR((DE13+DE11)/MAX(1,DE38+DE45),0)</x:f>
      </x:c>
      <x:c r="DF40" s="122">
        <x:f>IFERROR((DF13+DF11)/MAX(1,DF38+DF45),0)</x:f>
      </x:c>
      <x:c r="DG40" s="122">
        <x:f>IFERROR((DG13+DG11)/MAX(1,DG38+DG45),0)</x:f>
      </x:c>
      <x:c r="DH40" s="122">
        <x:f>IFERROR((DH13+DH11)/MAX(1,DH38+DH45),0)</x:f>
      </x:c>
      <x:c r="DI40" s="122">
        <x:f>IFERROR((DI13+DI11)/MAX(1,DI38+DI45),0)</x:f>
      </x:c>
      <x:c r="DJ40" s="122">
        <x:f>IFERROR((DJ13+DJ11)/MAX(1,DJ38+DJ45),0)</x:f>
      </x:c>
      <x:c r="DK40" s="122">
        <x:f>IFERROR((DK13+DK11)/MAX(1,DK38+DK45),0)</x:f>
      </x:c>
      <x:c r="DL40" s="122">
        <x:f>IFERROR((DL13+DL11)/MAX(1,DL38+DL45),0)</x:f>
      </x:c>
      <x:c r="DM40" s="122">
        <x:f>IFERROR((DM13+DM11)/MAX(1,DM38+DM45),0)</x:f>
      </x:c>
      <x:c r="DN40" s="122">
        <x:f>IFERROR((DN13+DN11)/MAX(1,DN38+DN45),0)</x:f>
      </x:c>
      <x:c r="DO40" s="122">
        <x:f>IFERROR((DO13+DO11)/MAX(1,DO38+DO45),0)</x:f>
      </x:c>
      <x:c r="DP40" s="122">
        <x:f>IFERROR((DP13+DP11)/MAX(1,DP38+DP45),0)</x:f>
      </x:c>
      <x:c r="DQ40" s="122">
        <x:f>IFERROR((DQ13+DQ11)/MAX(1,DQ38+DQ45),0)</x:f>
      </x:c>
      <x:c r="DR40" s="122">
        <x:f>IFERROR((DR13+DR11)/MAX(1,DR38+DR45),0)</x:f>
      </x:c>
      <x:c r="DS40" s="122">
        <x:f>IFERROR((DS13+DS11)/MAX(1,DS38+DS45),0)</x:f>
      </x:c>
      <x:c r="DT40" s="122">
        <x:f>IFERROR((DT13+DT11)/MAX(1,DT38+DT45),0)</x:f>
      </x:c>
      <x:c r="DU40" s="122">
        <x:f>IFERROR((DU13+DU11)/MAX(1,DU38+DU45),0)</x:f>
      </x:c>
      <x:c r="DV40" s="122">
        <x:f>IFERROR((DV13+DV11)/MAX(1,DV38+DV45),0)</x:f>
      </x:c>
      <x:c r="DW40" s="122">
        <x:f>IFERROR((DW13+DW11)/MAX(1,DW38+DW45),0)</x:f>
      </x:c>
      <x:c r="DX40" s="122">
        <x:f>IFERROR((DX13+DX11)/MAX(1,DX38+DX45),0)</x:f>
      </x:c>
      <x:c r="DY40" s="122">
        <x:f>IFERROR((DY13+DY11)/MAX(1,DY38+DY45),0)</x:f>
      </x:c>
      <x:c r="DZ40" s="122">
        <x:f>IFERROR((DZ13+DZ11)/MAX(1,DZ38+DZ45),0)</x:f>
      </x:c>
      <x:c r="EA40" s="122">
        <x:f>IFERROR((EA13+EA11)/MAX(1,EA38+EA45),0)</x:f>
      </x:c>
      <x:c r="EB40" s="122">
        <x:f>IFERROR((EB13+EB11)/MAX(1,EB38+EB45),0)</x:f>
      </x:c>
      <x:c r="EC40" s="122">
        <x:f>IFERROR((EC13+EC11)/MAX(1,EC38+EC45),0)</x:f>
      </x:c>
      <x:c r="ED40" s="122">
        <x:f>IFERROR((ED13+ED11)/MAX(1,ED38+ED45),0)</x:f>
      </x:c>
      <x:c r="EE40" s="122">
        <x:f>IFERROR((EE13+EE11)/MAX(1,EE38+EE45),0)</x:f>
      </x:c>
      <x:c r="EF40" s="122">
        <x:f>IFERROR((EF13+EF11)/MAX(1,EF38+EF45),0)</x:f>
      </x:c>
      <x:c r="EG40" s="122">
        <x:f>IFERROR((EG13+EG11)/MAX(1,EG38+EG45),0)</x:f>
      </x:c>
      <x:c r="EH40" s="122">
        <x:f>IFERROR((EH13+EH11)/MAX(1,EH38+EH45),0)</x:f>
      </x:c>
      <x:c r="EI40" s="122">
        <x:f>IFERROR((EI13+EI11)/MAX(1,EI38+EI45),0)</x:f>
      </x:c>
      <x:c r="EJ40" s="122">
        <x:f>IFERROR((EJ13+EJ11)/MAX(1,EJ38+EJ45),0)</x:f>
      </x:c>
      <x:c r="EK40" s="122">
        <x:f>IFERROR((EK13+EK11)/MAX(1,EK38+EK45),0)</x:f>
      </x:c>
      <x:c r="EL40" s="122">
        <x:f>IFERROR((EL13+EL11)/MAX(1,EL38+EL45),0)</x:f>
      </x:c>
      <x:c r="EM40" s="122">
        <x:f>IFERROR((EM13+EM11)/MAX(1,EM38+EM45),0)</x:f>
      </x:c>
      <x:c r="EN40" s="122">
        <x:f>IFERROR((EN13+EN11)/MAX(1,EN38+EN45),0)</x:f>
      </x:c>
      <x:c r="EO40" s="122">
        <x:f>IFERROR((EO13+EO11)/MAX(1,EO38+EO45),0)</x:f>
      </x:c>
      <x:c r="EP40" s="122">
        <x:f>IFERROR((EP13+EP11)/MAX(1,EP38+EP45),0)</x:f>
      </x:c>
      <x:c r="EQ40" s="122">
        <x:f>IFERROR((EQ13+EQ11)/MAX(1,EQ38+EQ45),0)</x:f>
      </x:c>
      <x:c r="ER40" s="122">
        <x:f>IFERROR((ER13+ER11)/MAX(1,ER38+ER45),0)</x:f>
      </x:c>
      <x:c r="ES40" s="122">
        <x:f>IFERROR((ES13+ES11)/MAX(1,ES38+ES45),0)</x:f>
      </x:c>
      <x:c r="ET40" s="122">
        <x:f>IFERROR((ET13+ET11)/MAX(1,ET38+ET45),0)</x:f>
      </x:c>
      <x:c r="EU40" s="122">
        <x:f>IFERROR((EU13+EU11)/MAX(1,EU38+EU45),0)</x:f>
      </x:c>
      <x:c r="EV40" s="122">
        <x:f>IFERROR((EV13+EV11)/MAX(1,EV38+EV45),0)</x:f>
      </x:c>
      <x:c r="EW40" s="122">
        <x:f>IFERROR((EW13+EW11)/MAX(1,EW38+EW45),0)</x:f>
      </x:c>
      <x:c r="EX40" s="122">
        <x:f>IFERROR((EX13+EX11)/MAX(1,EX38+EX45),0)</x:f>
      </x:c>
      <x:c r="EY40" s="122">
        <x:f>IFERROR((EY13+EY11)/MAX(1,EY38+EY45),0)</x:f>
      </x:c>
      <x:c r="EZ40" s="122">
        <x:f>IFERROR((EZ13+EZ11)/MAX(1,EZ38+EZ45),0)</x:f>
      </x:c>
      <x:c r="FA40" s="122">
        <x:f>IFERROR((FA13+FA11)/MAX(1,FA38+FA45),0)</x:f>
      </x:c>
      <x:c r="FB40" s="122">
        <x:f>IFERROR((FB13+FB11)/MAX(1,FB38+FB45),0)</x:f>
      </x:c>
      <x:c r="FC40" s="122">
        <x:f>IFERROR((FC13+FC11)/MAX(1,FC38+FC45),0)</x:f>
      </x:c>
      <x:c r="FD40" s="122">
        <x:f>IFERROR((FD13+FD11)/MAX(1,FD38+FD45),0)</x:f>
      </x:c>
      <x:c r="FE40" s="122">
        <x:f>IFERROR((FE13+FE11)/MAX(1,FE38+FE45),0)</x:f>
      </x:c>
      <x:c r="FF40" s="122">
        <x:f>IFERROR((FF13+FF11)/MAX(1,FF38+FF45),0)</x:f>
      </x:c>
      <x:c r="FG40" s="122">
        <x:f>IFERROR((FG13+FG11)/MAX(1,FG38+FG45),0)</x:f>
      </x:c>
      <x:c r="FH40" s="122">
        <x:f>IFERROR((FH13+FH11)/MAX(1,FH38+FH45),0)</x:f>
      </x:c>
      <x:c r="FI40" s="122">
        <x:f>IFERROR((FI13+FI11)/MAX(1,FI38+FI45),0)</x:f>
      </x:c>
      <x:c r="FJ40" s="122">
        <x:f>IFERROR((FJ13+FJ11)/MAX(1,FJ38+FJ45),0)</x:f>
      </x:c>
      <x:c r="FK40" s="122">
        <x:f>IFERROR((FK13+FK11)/MAX(1,FK38+FK45),0)</x:f>
      </x:c>
      <x:c r="FL40" s="122">
        <x:f>IFERROR((FL13+FL11)/MAX(1,FL38+FL45),0)</x:f>
      </x:c>
      <x:c r="FM40" s="122">
        <x:f>IFERROR((FM13+FM11)/MAX(1,FM38+FM45),0)</x:f>
      </x:c>
      <x:c r="FN40" s="122">
        <x:f>IFERROR((FN13+FN11)/MAX(1,FN38+FN45),0)</x:f>
      </x:c>
      <x:c r="FO40" s="122">
        <x:f>IFERROR((FO13+FO11)/MAX(1,FO38+FO45),0)</x:f>
      </x:c>
      <x:c r="FP40" s="122">
        <x:f>IFERROR((FP13+FP11)/MAX(1,FP38+FP45),0)</x:f>
      </x:c>
      <x:c r="FQ40" s="122">
        <x:f>IFERROR((FQ13+FQ11)/MAX(1,FQ38+FQ45),0)</x:f>
      </x:c>
      <x:c r="FR40" s="122">
        <x:f>IFERROR((FR13+FR11)/MAX(1,FR38+FR45),0)</x:f>
      </x:c>
      <x:c r="FS40" s="122">
        <x:f>IFERROR((FS13+FS11)/MAX(1,FS38+FS45),0)</x:f>
      </x:c>
      <x:c r="FT40" s="122">
        <x:f>IFERROR((FT13+FT11)/MAX(1,FT38+FT45),0)</x:f>
      </x:c>
      <x:c r="FU40" s="122">
        <x:f>IFERROR((FU13+FU11)/MAX(1,FU38+FU45),0)</x:f>
      </x:c>
      <x:c r="FV40" s="122">
        <x:f>IFERROR((FV13+FV11)/MAX(1,FV38+FV45),0)</x:f>
      </x:c>
      <x:c r="FW40" s="122">
        <x:f>IFERROR((FW13+FW11)/MAX(1,FW38+FW45),0)</x:f>
      </x:c>
      <x:c r="FX40" s="122">
        <x:f>IFERROR((FX13+FX11)/MAX(1,FX38+FX45),0)</x:f>
      </x:c>
      <x:c r="FY40" s="122">
        <x:f>IFERROR((FY13+FY11)/MAX(1,FY38+FY45),0)</x:f>
      </x:c>
      <x:c r="FZ40" s="122">
        <x:f>IFERROR((FZ13+FZ11)/MAX(1,FZ38+FZ45),0)</x:f>
      </x:c>
      <x:c r="GA40" s="122">
        <x:f>IFERROR((GA13+GA11)/MAX(1,GA38+GA45),0)</x:f>
      </x:c>
    </x:row>
    <x:row r="41">
      <x:c r="A41" t="str">
        <x:v>ПФ — эффективная ставка</x:v>
      </x:c>
      <x:c r="B41" t="n">
        <x:f>IFERROR(SUMPRODUCT(D41:GA41,--(D38:GA38&gt;0))/COUNTIF(D38:GA38,"&gt;0"),0)</x:f>
      </x:c>
      <x:c r="C41" t="str">
        <x:v>% год</x:v>
      </x:c>
      <x:c r="D41" s="121" t="n">
        <x:f>D39*(1-MIN(1,D40))+'Вводные'!$B$28*MIN(1,D40)</x:f>
      </x:c>
      <x:c r="E41" s="121" t="n">
        <x:f>E39*(1-MIN(1,E40))+'Вводные'!$B$28*MIN(1,E40)</x:f>
      </x:c>
      <x:c r="F41" s="121" t="n">
        <x:f>F39*(1-MIN(1,F40))+'Вводные'!$B$28*MIN(1,F40)</x:f>
      </x:c>
      <x:c r="G41" s="121" t="n">
        <x:f>G39*(1-MIN(1,G40))+'Вводные'!$B$28*MIN(1,G40)</x:f>
      </x:c>
      <x:c r="H41" s="121" t="n">
        <x:f>H39*(1-MIN(1,H40))+'Вводные'!$B$28*MIN(1,H40)</x:f>
      </x:c>
      <x:c r="I41" s="121" t="n">
        <x:f>I39*(1-MIN(1,I40))+'Вводные'!$B$28*MIN(1,I40)</x:f>
      </x:c>
      <x:c r="J41" s="121" t="n">
        <x:f>J39*(1-MIN(1,J40))+'Вводные'!$B$28*MIN(1,J40)</x:f>
      </x:c>
      <x:c r="K41" s="121" t="n">
        <x:f>K39*(1-MIN(1,K40))+'Вводные'!$B$28*MIN(1,K40)</x:f>
      </x:c>
      <x:c r="L41" s="121" t="n">
        <x:f>L39*(1-MIN(1,L40))+'Вводные'!$B$28*MIN(1,L40)</x:f>
      </x:c>
      <x:c r="M41" s="121" t="n">
        <x:f>M39*(1-MIN(1,M40))+'Вводные'!$B$28*MIN(1,M40)</x:f>
      </x:c>
      <x:c r="N41" s="121" t="n">
        <x:f>N39*(1-MIN(1,N40))+'Вводные'!$B$28*MIN(1,N40)</x:f>
      </x:c>
      <x:c r="O41" s="121" t="n">
        <x:f>O39*(1-MIN(1,O40))+'Вводные'!$B$28*MIN(1,O40)</x:f>
      </x:c>
      <x:c r="P41" s="121" t="n">
        <x:f>P39*(1-MIN(1,P40))+'Вводные'!$B$28*MIN(1,P40)</x:f>
      </x:c>
      <x:c r="Q41" s="121" t="n">
        <x:f>Q39*(1-MIN(1,Q40))+'Вводные'!$B$28*MIN(1,Q40)</x:f>
      </x:c>
      <x:c r="R41" s="121" t="n">
        <x:f>R39*(1-MIN(1,R40))+'Вводные'!$B$28*MIN(1,R40)</x:f>
      </x:c>
      <x:c r="S41" s="121" t="n">
        <x:f>S39*(1-MIN(1,S40))+'Вводные'!$B$28*MIN(1,S40)</x:f>
      </x:c>
      <x:c r="T41" s="121" t="n">
        <x:f>T39*(1-MIN(1,T40))+'Вводные'!$B$28*MIN(1,T40)</x:f>
      </x:c>
      <x:c r="U41" s="121" t="n">
        <x:f>U39*(1-MIN(1,U40))+'Вводные'!$B$28*MIN(1,U40)</x:f>
      </x:c>
      <x:c r="V41" s="121" t="n">
        <x:f>V39*(1-MIN(1,V40))+'Вводные'!$B$28*MIN(1,V40)</x:f>
      </x:c>
      <x:c r="W41" s="121" t="n">
        <x:f>W39*(1-MIN(1,W40))+'Вводные'!$B$28*MIN(1,W40)</x:f>
      </x:c>
      <x:c r="X41" s="121" t="n">
        <x:f>X39*(1-MIN(1,X40))+'Вводные'!$B$28*MIN(1,X40)</x:f>
      </x:c>
      <x:c r="Y41" s="121" t="n">
        <x:f>Y39*(1-MIN(1,Y40))+'Вводные'!$B$28*MIN(1,Y40)</x:f>
      </x:c>
      <x:c r="Z41" s="121" t="n">
        <x:f>Z39*(1-MIN(1,Z40))+'Вводные'!$B$28*MIN(1,Z40)</x:f>
      </x:c>
      <x:c r="AA41" s="121" t="n">
        <x:f>AA39*(1-MIN(1,AA40))+'Вводные'!$B$28*MIN(1,AA40)</x:f>
      </x:c>
      <x:c r="AB41" s="121" t="n">
        <x:f>AB39*(1-MIN(1,AB40))+'Вводные'!$B$28*MIN(1,AB40)</x:f>
      </x:c>
      <x:c r="AC41" s="121" t="n">
        <x:f>AC39*(1-MIN(1,AC40))+'Вводные'!$B$28*MIN(1,AC40)</x:f>
      </x:c>
      <x:c r="AD41" s="121" t="n">
        <x:f>AD39*(1-MIN(1,AD40))+'Вводные'!$B$28*MIN(1,AD40)</x:f>
      </x:c>
      <x:c r="AE41" s="121" t="n">
        <x:f>AE39*(1-MIN(1,AE40))+'Вводные'!$B$28*MIN(1,AE40)</x:f>
      </x:c>
      <x:c r="AF41" s="121" t="n">
        <x:f>AF39*(1-MIN(1,AF40))+'Вводные'!$B$28*MIN(1,AF40)</x:f>
      </x:c>
      <x:c r="AG41" s="121" t="n">
        <x:f>AG39*(1-MIN(1,AG40))+'Вводные'!$B$28*MIN(1,AG40)</x:f>
      </x:c>
      <x:c r="AH41" s="121" t="n">
        <x:f>AH39*(1-MIN(1,AH40))+'Вводные'!$B$28*MIN(1,AH40)</x:f>
      </x:c>
      <x:c r="AI41" s="121" t="n">
        <x:f>AI39*(1-MIN(1,AI40))+'Вводные'!$B$28*MIN(1,AI40)</x:f>
      </x:c>
      <x:c r="AJ41" s="121" t="n">
        <x:f>AJ39*(1-MIN(1,AJ40))+'Вводные'!$B$28*MIN(1,AJ40)</x:f>
      </x:c>
      <x:c r="AK41" s="121" t="n">
        <x:f>AK39*(1-MIN(1,AK40))+'Вводные'!$B$28*MIN(1,AK40)</x:f>
      </x:c>
      <x:c r="AL41" s="121" t="n">
        <x:f>AL39*(1-MIN(1,AL40))+'Вводные'!$B$28*MIN(1,AL40)</x:f>
      </x:c>
      <x:c r="AM41" s="121" t="n">
        <x:f>AM39*(1-MIN(1,AM40))+'Вводные'!$B$28*MIN(1,AM40)</x:f>
      </x:c>
      <x:c r="AN41" s="121" t="n">
        <x:f>AN39*(1-MIN(1,AN40))+'Вводные'!$B$28*MIN(1,AN40)</x:f>
      </x:c>
      <x:c r="AO41" s="121" t="n">
        <x:f>AO39*(1-MIN(1,AO40))+'Вводные'!$B$28*MIN(1,AO40)</x:f>
      </x:c>
      <x:c r="AP41" s="121" t="n">
        <x:f>AP39*(1-MIN(1,AP40))+'Вводные'!$B$28*MIN(1,AP40)</x:f>
      </x:c>
      <x:c r="AQ41" s="121" t="n">
        <x:f>AQ39*(1-MIN(1,AQ40))+'Вводные'!$B$28*MIN(1,AQ40)</x:f>
      </x:c>
      <x:c r="AR41" s="121" t="n">
        <x:f>AR39*(1-MIN(1,AR40))+'Вводные'!$B$28*MIN(1,AR40)</x:f>
      </x:c>
      <x:c r="AS41" s="121" t="n">
        <x:f>AS39*(1-MIN(1,AS40))+'Вводные'!$B$28*MIN(1,AS40)</x:f>
      </x:c>
      <x:c r="AT41" s="121" t="n">
        <x:f>AT39*(1-MIN(1,AT40))+'Вводные'!$B$28*MIN(1,AT40)</x:f>
      </x:c>
      <x:c r="AU41" s="121" t="n">
        <x:f>AU39*(1-MIN(1,AU40))+'Вводные'!$B$28*MIN(1,AU40)</x:f>
      </x:c>
      <x:c r="AV41" s="121" t="n">
        <x:f>AV39*(1-MIN(1,AV40))+'Вводные'!$B$28*MIN(1,AV40)</x:f>
      </x:c>
      <x:c r="AW41" s="121" t="n">
        <x:f>AW39*(1-MIN(1,AW40))+'Вводные'!$B$28*MIN(1,AW40)</x:f>
      </x:c>
      <x:c r="AX41" s="121" t="n">
        <x:f>AX39*(1-MIN(1,AX40))+'Вводные'!$B$28*MIN(1,AX40)</x:f>
      </x:c>
      <x:c r="AY41" s="121" t="n">
        <x:f>AY39*(1-MIN(1,AY40))+'Вводные'!$B$28*MIN(1,AY40)</x:f>
      </x:c>
      <x:c r="AZ41" s="121" t="n">
        <x:f>AZ39*(1-MIN(1,AZ40))+'Вводные'!$B$28*MIN(1,AZ40)</x:f>
      </x:c>
      <x:c r="BA41" s="121" t="n">
        <x:f>BA39*(1-MIN(1,BA40))+'Вводные'!$B$28*MIN(1,BA40)</x:f>
      </x:c>
      <x:c r="BB41" s="121" t="n">
        <x:f>BB39*(1-MIN(1,BB40))+'Вводные'!$B$28*MIN(1,BB40)</x:f>
      </x:c>
      <x:c r="BC41" s="121" t="n">
        <x:f>BC39*(1-MIN(1,BC40))+'Вводные'!$B$28*MIN(1,BC40)</x:f>
      </x:c>
      <x:c r="BD41" s="121" t="n">
        <x:f>BD39*(1-MIN(1,BD40))+'Вводные'!$B$28*MIN(1,BD40)</x:f>
      </x:c>
      <x:c r="BE41" s="121" t="n">
        <x:f>BE39*(1-MIN(1,BE40))+'Вводные'!$B$28*MIN(1,BE40)</x:f>
      </x:c>
      <x:c r="BF41" s="121" t="n">
        <x:f>BF39*(1-MIN(1,BF40))+'Вводные'!$B$28*MIN(1,BF40)</x:f>
      </x:c>
      <x:c r="BG41" s="121" t="n">
        <x:f>BG39*(1-MIN(1,BG40))+'Вводные'!$B$28*MIN(1,BG40)</x:f>
      </x:c>
      <x:c r="BH41" s="121" t="n">
        <x:f>BH39*(1-MIN(1,BH40))+'Вводные'!$B$28*MIN(1,BH40)</x:f>
      </x:c>
      <x:c r="BI41" s="121" t="n">
        <x:f>BI39*(1-MIN(1,BI40))+'Вводные'!$B$28*MIN(1,BI40)</x:f>
      </x:c>
      <x:c r="BJ41" s="121" t="n">
        <x:f>BJ39*(1-MIN(1,BJ40))+'Вводные'!$B$28*MIN(1,BJ40)</x:f>
      </x:c>
      <x:c r="BK41" s="121" t="n">
        <x:f>BK39*(1-MIN(1,BK40))+'Вводные'!$B$28*MIN(1,BK40)</x:f>
      </x:c>
      <x:c r="BL41" s="121" t="n">
        <x:f>BL39*(1-MIN(1,BL40))+'Вводные'!$B$28*MIN(1,BL40)</x:f>
      </x:c>
      <x:c r="BM41" s="121" t="n">
        <x:f>BM39*(1-MIN(1,BM40))+'Вводные'!$B$28*MIN(1,BM40)</x:f>
      </x:c>
      <x:c r="BN41" s="121" t="n">
        <x:f>BN39*(1-MIN(1,BN40))+'Вводные'!$B$28*MIN(1,BN40)</x:f>
      </x:c>
      <x:c r="BO41" s="121" t="n">
        <x:f>BO39*(1-MIN(1,BO40))+'Вводные'!$B$28*MIN(1,BO40)</x:f>
      </x:c>
      <x:c r="BP41" s="121" t="n">
        <x:f>BP39*(1-MIN(1,BP40))+'Вводные'!$B$28*MIN(1,BP40)</x:f>
      </x:c>
      <x:c r="BQ41" s="121" t="n">
        <x:f>BQ39*(1-MIN(1,BQ40))+'Вводные'!$B$28*MIN(1,BQ40)</x:f>
      </x:c>
      <x:c r="BR41" s="121" t="n">
        <x:f>BR39*(1-MIN(1,BR40))+'Вводные'!$B$28*MIN(1,BR40)</x:f>
      </x:c>
      <x:c r="BS41" s="121" t="n">
        <x:f>BS39*(1-MIN(1,BS40))+'Вводные'!$B$28*MIN(1,BS40)</x:f>
      </x:c>
      <x:c r="BT41" s="121" t="n">
        <x:f>BT39*(1-MIN(1,BT40))+'Вводные'!$B$28*MIN(1,BT40)</x:f>
      </x:c>
      <x:c r="BU41" s="121" t="n">
        <x:f>BU39*(1-MIN(1,BU40))+'Вводные'!$B$28*MIN(1,BU40)</x:f>
      </x:c>
      <x:c r="BV41" s="121" t="n">
        <x:f>BV39*(1-MIN(1,BV40))+'Вводные'!$B$28*MIN(1,BV40)</x:f>
      </x:c>
      <x:c r="BW41" s="121" t="n">
        <x:f>BW39*(1-MIN(1,BW40))+'Вводные'!$B$28*MIN(1,BW40)</x:f>
      </x:c>
      <x:c r="BX41" s="121" t="n">
        <x:f>BX39*(1-MIN(1,BX40))+'Вводные'!$B$28*MIN(1,BX40)</x:f>
      </x:c>
      <x:c r="BY41" s="121" t="n">
        <x:f>BY39*(1-MIN(1,BY40))+'Вводные'!$B$28*MIN(1,BY40)</x:f>
      </x:c>
      <x:c r="BZ41" s="121" t="n">
        <x:f>BZ39*(1-MIN(1,BZ40))+'Вводные'!$B$28*MIN(1,BZ40)</x:f>
      </x:c>
      <x:c r="CA41" s="121" t="n">
        <x:f>CA39*(1-MIN(1,CA40))+'Вводные'!$B$28*MIN(1,CA40)</x:f>
      </x:c>
      <x:c r="CB41" s="121" t="n">
        <x:f>CB39*(1-MIN(1,CB40))+'Вводные'!$B$28*MIN(1,CB40)</x:f>
      </x:c>
      <x:c r="CC41" s="121" t="n">
        <x:f>CC39*(1-MIN(1,CC40))+'Вводные'!$B$28*MIN(1,CC40)</x:f>
      </x:c>
      <x:c r="CD41" s="121" t="n">
        <x:f>CD39*(1-MIN(1,CD40))+'Вводные'!$B$28*MIN(1,CD40)</x:f>
      </x:c>
      <x:c r="CE41" s="121" t="n">
        <x:f>CE39*(1-MIN(1,CE40))+'Вводные'!$B$28*MIN(1,CE40)</x:f>
      </x:c>
      <x:c r="CF41" s="121" t="n">
        <x:f>CF39*(1-MIN(1,CF40))+'Вводные'!$B$28*MIN(1,CF40)</x:f>
      </x:c>
      <x:c r="CG41" s="121" t="n">
        <x:f>CG39*(1-MIN(1,CG40))+'Вводные'!$B$28*MIN(1,CG40)</x:f>
      </x:c>
      <x:c r="CH41" s="121" t="n">
        <x:f>CH39*(1-MIN(1,CH40))+'Вводные'!$B$28*MIN(1,CH40)</x:f>
      </x:c>
      <x:c r="CI41" s="121" t="n">
        <x:f>CI39*(1-MIN(1,CI40))+'Вводные'!$B$28*MIN(1,CI40)</x:f>
      </x:c>
      <x:c r="CJ41" s="121" t="n">
        <x:f>CJ39*(1-MIN(1,CJ40))+'Вводные'!$B$28*MIN(1,CJ40)</x:f>
      </x:c>
      <x:c r="CK41" s="121" t="n">
        <x:f>CK39*(1-MIN(1,CK40))+'Вводные'!$B$28*MIN(1,CK40)</x:f>
      </x:c>
      <x:c r="CL41" s="121" t="n">
        <x:f>CL39*(1-MIN(1,CL40))+'Вводные'!$B$28*MIN(1,CL40)</x:f>
      </x:c>
      <x:c r="CM41" s="121" t="n">
        <x:f>CM39*(1-MIN(1,CM40))+'Вводные'!$B$28*MIN(1,CM40)</x:f>
      </x:c>
      <x:c r="CN41" s="121" t="n">
        <x:f>CN39*(1-MIN(1,CN40))+'Вводные'!$B$28*MIN(1,CN40)</x:f>
      </x:c>
      <x:c r="CO41" s="121" t="n">
        <x:f>CO39*(1-MIN(1,CO40))+'Вводные'!$B$28*MIN(1,CO40)</x:f>
      </x:c>
      <x:c r="CP41" s="121" t="n">
        <x:f>CP39*(1-MIN(1,CP40))+'Вводные'!$B$28*MIN(1,CP40)</x:f>
      </x:c>
      <x:c r="CQ41" s="121" t="n">
        <x:f>CQ39*(1-MIN(1,CQ40))+'Вводные'!$B$28*MIN(1,CQ40)</x:f>
      </x:c>
      <x:c r="CR41" s="121" t="n">
        <x:f>CR39*(1-MIN(1,CR40))+'Вводные'!$B$28*MIN(1,CR40)</x:f>
      </x:c>
      <x:c r="CS41" s="121" t="n">
        <x:f>CS39*(1-MIN(1,CS40))+'Вводные'!$B$28*MIN(1,CS40)</x:f>
      </x:c>
      <x:c r="CT41" s="121" t="n">
        <x:f>CT39*(1-MIN(1,CT40))+'Вводные'!$B$28*MIN(1,CT40)</x:f>
      </x:c>
      <x:c r="CU41" s="121" t="n">
        <x:f>CU39*(1-MIN(1,CU40))+'Вводные'!$B$28*MIN(1,CU40)</x:f>
      </x:c>
      <x:c r="CV41" s="121" t="n">
        <x:f>CV39*(1-MIN(1,CV40))+'Вводные'!$B$28*MIN(1,CV40)</x:f>
      </x:c>
      <x:c r="CW41" s="121" t="n">
        <x:f>CW39*(1-MIN(1,CW40))+'Вводные'!$B$28*MIN(1,CW40)</x:f>
      </x:c>
      <x:c r="CX41" s="121" t="n">
        <x:f>CX39*(1-MIN(1,CX40))+'Вводные'!$B$28*MIN(1,CX40)</x:f>
      </x:c>
      <x:c r="CY41" s="121" t="n">
        <x:f>CY39*(1-MIN(1,CY40))+'Вводные'!$B$28*MIN(1,CY40)</x:f>
      </x:c>
      <x:c r="CZ41" s="121" t="n">
        <x:f>CZ39*(1-MIN(1,CZ40))+'Вводные'!$B$28*MIN(1,CZ40)</x:f>
      </x:c>
      <x:c r="DA41" s="121" t="n">
        <x:f>DA39*(1-MIN(1,DA40))+'Вводные'!$B$28*MIN(1,DA40)</x:f>
      </x:c>
      <x:c r="DB41" s="121" t="n">
        <x:f>DB39*(1-MIN(1,DB40))+'Вводные'!$B$28*MIN(1,DB40)</x:f>
      </x:c>
      <x:c r="DC41" s="121" t="n">
        <x:f>DC39*(1-MIN(1,DC40))+'Вводные'!$B$28*MIN(1,DC40)</x:f>
      </x:c>
      <x:c r="DD41" s="121" t="n">
        <x:f>DD39*(1-MIN(1,DD40))+'Вводные'!$B$28*MIN(1,DD40)</x:f>
      </x:c>
      <x:c r="DE41" s="121" t="n">
        <x:f>DE39*(1-MIN(1,DE40))+'Вводные'!$B$28*MIN(1,DE40)</x:f>
      </x:c>
      <x:c r="DF41" s="121" t="n">
        <x:f>DF39*(1-MIN(1,DF40))+'Вводные'!$B$28*MIN(1,DF40)</x:f>
      </x:c>
      <x:c r="DG41" s="121" t="n">
        <x:f>DG39*(1-MIN(1,DG40))+'Вводные'!$B$28*MIN(1,DG40)</x:f>
      </x:c>
      <x:c r="DH41" s="121" t="n">
        <x:f>DH39*(1-MIN(1,DH40))+'Вводные'!$B$28*MIN(1,DH40)</x:f>
      </x:c>
      <x:c r="DI41" s="121" t="n">
        <x:f>DI39*(1-MIN(1,DI40))+'Вводные'!$B$28*MIN(1,DI40)</x:f>
      </x:c>
      <x:c r="DJ41" s="121" t="n">
        <x:f>DJ39*(1-MIN(1,DJ40))+'Вводные'!$B$28*MIN(1,DJ40)</x:f>
      </x:c>
      <x:c r="DK41" s="121" t="n">
        <x:f>DK39*(1-MIN(1,DK40))+'Вводные'!$B$28*MIN(1,DK40)</x:f>
      </x:c>
      <x:c r="DL41" s="121" t="n">
        <x:f>DL39*(1-MIN(1,DL40))+'Вводные'!$B$28*MIN(1,DL40)</x:f>
      </x:c>
      <x:c r="DM41" s="121" t="n">
        <x:f>DM39*(1-MIN(1,DM40))+'Вводные'!$B$28*MIN(1,DM40)</x:f>
      </x:c>
      <x:c r="DN41" s="121" t="n">
        <x:f>DN39*(1-MIN(1,DN40))+'Вводные'!$B$28*MIN(1,DN40)</x:f>
      </x:c>
      <x:c r="DO41" s="121" t="n">
        <x:f>DO39*(1-MIN(1,DO40))+'Вводные'!$B$28*MIN(1,DO40)</x:f>
      </x:c>
      <x:c r="DP41" s="121" t="n">
        <x:f>DP39*(1-MIN(1,DP40))+'Вводные'!$B$28*MIN(1,DP40)</x:f>
      </x:c>
      <x:c r="DQ41" s="121" t="n">
        <x:f>DQ39*(1-MIN(1,DQ40))+'Вводные'!$B$28*MIN(1,DQ40)</x:f>
      </x:c>
      <x:c r="DR41" s="121" t="n">
        <x:f>DR39*(1-MIN(1,DR40))+'Вводные'!$B$28*MIN(1,DR40)</x:f>
      </x:c>
      <x:c r="DS41" s="121" t="n">
        <x:f>DS39*(1-MIN(1,DS40))+'Вводные'!$B$28*MIN(1,DS40)</x:f>
      </x:c>
      <x:c r="DT41" s="121" t="n">
        <x:f>DT39*(1-MIN(1,DT40))+'Вводные'!$B$28*MIN(1,DT40)</x:f>
      </x:c>
      <x:c r="DU41" s="121" t="n">
        <x:f>DU39*(1-MIN(1,DU40))+'Вводные'!$B$28*MIN(1,DU40)</x:f>
      </x:c>
      <x:c r="DV41" s="121" t="n">
        <x:f>DV39*(1-MIN(1,DV40))+'Вводные'!$B$28*MIN(1,DV40)</x:f>
      </x:c>
      <x:c r="DW41" s="121" t="n">
        <x:f>DW39*(1-MIN(1,DW40))+'Вводные'!$B$28*MIN(1,DW40)</x:f>
      </x:c>
      <x:c r="DX41" s="121" t="n">
        <x:f>DX39*(1-MIN(1,DX40))+'Вводные'!$B$28*MIN(1,DX40)</x:f>
      </x:c>
      <x:c r="DY41" s="121" t="n">
        <x:f>DY39*(1-MIN(1,DY40))+'Вводные'!$B$28*MIN(1,DY40)</x:f>
      </x:c>
      <x:c r="DZ41" s="121" t="n">
        <x:f>DZ39*(1-MIN(1,DZ40))+'Вводные'!$B$28*MIN(1,DZ40)</x:f>
      </x:c>
      <x:c r="EA41" s="121" t="n">
        <x:f>EA39*(1-MIN(1,EA40))+'Вводные'!$B$28*MIN(1,EA40)</x:f>
      </x:c>
      <x:c r="EB41" s="121" t="n">
        <x:f>EB39*(1-MIN(1,EB40))+'Вводные'!$B$28*MIN(1,EB40)</x:f>
      </x:c>
      <x:c r="EC41" s="121" t="n">
        <x:f>EC39*(1-MIN(1,EC40))+'Вводные'!$B$28*MIN(1,EC40)</x:f>
      </x:c>
      <x:c r="ED41" s="121" t="n">
        <x:f>ED39*(1-MIN(1,ED40))+'Вводные'!$B$28*MIN(1,ED40)</x:f>
      </x:c>
      <x:c r="EE41" s="121" t="n">
        <x:f>EE39*(1-MIN(1,EE40))+'Вводные'!$B$28*MIN(1,EE40)</x:f>
      </x:c>
      <x:c r="EF41" s="121" t="n">
        <x:f>EF39*(1-MIN(1,EF40))+'Вводные'!$B$28*MIN(1,EF40)</x:f>
      </x:c>
      <x:c r="EG41" s="121" t="n">
        <x:f>EG39*(1-MIN(1,EG40))+'Вводные'!$B$28*MIN(1,EG40)</x:f>
      </x:c>
      <x:c r="EH41" s="121" t="n">
        <x:f>EH39*(1-MIN(1,EH40))+'Вводные'!$B$28*MIN(1,EH40)</x:f>
      </x:c>
      <x:c r="EI41" s="121" t="n">
        <x:f>EI39*(1-MIN(1,EI40))+'Вводные'!$B$28*MIN(1,EI40)</x:f>
      </x:c>
      <x:c r="EJ41" s="121" t="n">
        <x:f>EJ39*(1-MIN(1,EJ40))+'Вводные'!$B$28*MIN(1,EJ40)</x:f>
      </x:c>
      <x:c r="EK41" s="121" t="n">
        <x:f>EK39*(1-MIN(1,EK40))+'Вводные'!$B$28*MIN(1,EK40)</x:f>
      </x:c>
      <x:c r="EL41" s="121" t="n">
        <x:f>EL39*(1-MIN(1,EL40))+'Вводные'!$B$28*MIN(1,EL40)</x:f>
      </x:c>
      <x:c r="EM41" s="121" t="n">
        <x:f>EM39*(1-MIN(1,EM40))+'Вводные'!$B$28*MIN(1,EM40)</x:f>
      </x:c>
      <x:c r="EN41" s="121" t="n">
        <x:f>EN39*(1-MIN(1,EN40))+'Вводные'!$B$28*MIN(1,EN40)</x:f>
      </x:c>
      <x:c r="EO41" s="121" t="n">
        <x:f>EO39*(1-MIN(1,EO40))+'Вводные'!$B$28*MIN(1,EO40)</x:f>
      </x:c>
      <x:c r="EP41" s="121" t="n">
        <x:f>EP39*(1-MIN(1,EP40))+'Вводные'!$B$28*MIN(1,EP40)</x:f>
      </x:c>
      <x:c r="EQ41" s="121" t="n">
        <x:f>EQ39*(1-MIN(1,EQ40))+'Вводные'!$B$28*MIN(1,EQ40)</x:f>
      </x:c>
      <x:c r="ER41" s="121" t="n">
        <x:f>ER39*(1-MIN(1,ER40))+'Вводные'!$B$28*MIN(1,ER40)</x:f>
      </x:c>
      <x:c r="ES41" s="121" t="n">
        <x:f>ES39*(1-MIN(1,ES40))+'Вводные'!$B$28*MIN(1,ES40)</x:f>
      </x:c>
      <x:c r="ET41" s="121" t="n">
        <x:f>ET39*(1-MIN(1,ET40))+'Вводные'!$B$28*MIN(1,ET40)</x:f>
      </x:c>
      <x:c r="EU41" s="121" t="n">
        <x:f>EU39*(1-MIN(1,EU40))+'Вводные'!$B$28*MIN(1,EU40)</x:f>
      </x:c>
      <x:c r="EV41" s="121" t="n">
        <x:f>EV39*(1-MIN(1,EV40))+'Вводные'!$B$28*MIN(1,EV40)</x:f>
      </x:c>
      <x:c r="EW41" s="121" t="n">
        <x:f>EW39*(1-MIN(1,EW40))+'Вводные'!$B$28*MIN(1,EW40)</x:f>
      </x:c>
      <x:c r="EX41" s="121" t="n">
        <x:f>EX39*(1-MIN(1,EX40))+'Вводные'!$B$28*MIN(1,EX40)</x:f>
      </x:c>
      <x:c r="EY41" s="121" t="n">
        <x:f>EY39*(1-MIN(1,EY40))+'Вводные'!$B$28*MIN(1,EY40)</x:f>
      </x:c>
      <x:c r="EZ41" s="121" t="n">
        <x:f>EZ39*(1-MIN(1,EZ40))+'Вводные'!$B$28*MIN(1,EZ40)</x:f>
      </x:c>
      <x:c r="FA41" s="121" t="n">
        <x:f>FA39*(1-MIN(1,FA40))+'Вводные'!$B$28*MIN(1,FA40)</x:f>
      </x:c>
      <x:c r="FB41" s="121" t="n">
        <x:f>FB39*(1-MIN(1,FB40))+'Вводные'!$B$28*MIN(1,FB40)</x:f>
      </x:c>
      <x:c r="FC41" s="121" t="n">
        <x:f>FC39*(1-MIN(1,FC40))+'Вводные'!$B$28*MIN(1,FC40)</x:f>
      </x:c>
      <x:c r="FD41" s="121" t="n">
        <x:f>FD39*(1-MIN(1,FD40))+'Вводные'!$B$28*MIN(1,FD40)</x:f>
      </x:c>
      <x:c r="FE41" s="121" t="n">
        <x:f>FE39*(1-MIN(1,FE40))+'Вводные'!$B$28*MIN(1,FE40)</x:f>
      </x:c>
      <x:c r="FF41" s="121" t="n">
        <x:f>FF39*(1-MIN(1,FF40))+'Вводные'!$B$28*MIN(1,FF40)</x:f>
      </x:c>
      <x:c r="FG41" s="121" t="n">
        <x:f>FG39*(1-MIN(1,FG40))+'Вводные'!$B$28*MIN(1,FG40)</x:f>
      </x:c>
      <x:c r="FH41" s="121" t="n">
        <x:f>FH39*(1-MIN(1,FH40))+'Вводные'!$B$28*MIN(1,FH40)</x:f>
      </x:c>
      <x:c r="FI41" s="121" t="n">
        <x:f>FI39*(1-MIN(1,FI40))+'Вводные'!$B$28*MIN(1,FI40)</x:f>
      </x:c>
      <x:c r="FJ41" s="121" t="n">
        <x:f>FJ39*(1-MIN(1,FJ40))+'Вводные'!$B$28*MIN(1,FJ40)</x:f>
      </x:c>
      <x:c r="FK41" s="121" t="n">
        <x:f>FK39*(1-MIN(1,FK40))+'Вводные'!$B$28*MIN(1,FK40)</x:f>
      </x:c>
      <x:c r="FL41" s="121" t="n">
        <x:f>FL39*(1-MIN(1,FL40))+'Вводные'!$B$28*MIN(1,FL40)</x:f>
      </x:c>
      <x:c r="FM41" s="121" t="n">
        <x:f>FM39*(1-MIN(1,FM40))+'Вводные'!$B$28*MIN(1,FM40)</x:f>
      </x:c>
      <x:c r="FN41" s="121" t="n">
        <x:f>FN39*(1-MIN(1,FN40))+'Вводные'!$B$28*MIN(1,FN40)</x:f>
      </x:c>
      <x:c r="FO41" s="121" t="n">
        <x:f>FO39*(1-MIN(1,FO40))+'Вводные'!$B$28*MIN(1,FO40)</x:f>
      </x:c>
      <x:c r="FP41" s="121" t="n">
        <x:f>FP39*(1-MIN(1,FP40))+'Вводные'!$B$28*MIN(1,FP40)</x:f>
      </x:c>
      <x:c r="FQ41" s="121" t="n">
        <x:f>FQ39*(1-MIN(1,FQ40))+'Вводные'!$B$28*MIN(1,FQ40)</x:f>
      </x:c>
      <x:c r="FR41" s="121" t="n">
        <x:f>FR39*(1-MIN(1,FR40))+'Вводные'!$B$28*MIN(1,FR40)</x:f>
      </x:c>
      <x:c r="FS41" s="121" t="n">
        <x:f>FS39*(1-MIN(1,FS40))+'Вводные'!$B$28*MIN(1,FS40)</x:f>
      </x:c>
      <x:c r="FT41" s="121" t="n">
        <x:f>FT39*(1-MIN(1,FT40))+'Вводные'!$B$28*MIN(1,FT40)</x:f>
      </x:c>
      <x:c r="FU41" s="121" t="n">
        <x:f>FU39*(1-MIN(1,FU40))+'Вводные'!$B$28*MIN(1,FU40)</x:f>
      </x:c>
      <x:c r="FV41" s="121" t="n">
        <x:f>FV39*(1-MIN(1,FV40))+'Вводные'!$B$28*MIN(1,FV40)</x:f>
      </x:c>
      <x:c r="FW41" s="121" t="n">
        <x:f>FW39*(1-MIN(1,FW40))+'Вводные'!$B$28*MIN(1,FW40)</x:f>
      </x:c>
      <x:c r="FX41" s="121" t="n">
        <x:f>FX39*(1-MIN(1,FX40))+'Вводные'!$B$28*MIN(1,FX40)</x:f>
      </x:c>
      <x:c r="FY41" s="121" t="n">
        <x:f>FY39*(1-MIN(1,FY40))+'Вводные'!$B$28*MIN(1,FY40)</x:f>
      </x:c>
      <x:c r="FZ41" s="121" t="n">
        <x:f>FZ39*(1-MIN(1,FZ40))+'Вводные'!$B$28*MIN(1,FZ40)</x:f>
      </x:c>
      <x:c r="GA41" s="121" t="n">
        <x:f>GA39*(1-MIN(1,GA40))+'Вводные'!$B$28*MIN(1,GA40)</x:f>
      </x:c>
    </x:row>
    <x:row r="42">
      <x:c r="A42" t="str">
        <x:v>ПФ — проценты</x:v>
      </x:c>
      <x:c r="B42" t="n">
        <x:f>SUM(D42:GA42)</x:f>
      </x:c>
      <x:c r="C42" t="str">
        <x:v>млн ₽</x:v>
      </x:c>
      <x:c r="D42" s="117">
        <x:f>IF(AND((D38+D45)&gt;0,$B$5=1,D$3&lt;MAX(EDATE($B$8,MAX('Вводные'!$B$69+3,12)+1),IF('Вводные'!$B$71=0,0,EDATE('Вводные'!$B$71,1)))),(D38+D45)*D41/12,0)</x:f>
      </x:c>
      <x:c r="E42" s="117">
        <x:f>IF(AND((E38+E45)&gt;0,$B$5=1,E$3&lt;MAX(EDATE($B$8,MAX('Вводные'!$B$69+3,12)+1),IF('Вводные'!$B$71=0,0,EDATE('Вводные'!$B$71,1)))),(E38+E45)*E41/12,0)</x:f>
      </x:c>
      <x:c r="F42" s="117">
        <x:f>IF(AND((F38+F45)&gt;0,$B$5=1,F$3&lt;MAX(EDATE($B$8,MAX('Вводные'!$B$69+3,12)+1),IF('Вводные'!$B$71=0,0,EDATE('Вводные'!$B$71,1)))),(F38+F45)*F41/12,0)</x:f>
      </x:c>
      <x:c r="G42" s="117">
        <x:f>IF(AND((G38+G45)&gt;0,$B$5=1,G$3&lt;MAX(EDATE($B$8,MAX('Вводные'!$B$69+3,12)+1),IF('Вводные'!$B$71=0,0,EDATE('Вводные'!$B$71,1)))),(G38+G45)*G41/12,0)</x:f>
      </x:c>
      <x:c r="H42" s="117">
        <x:f>IF(AND((H38+H45)&gt;0,$B$5=1,H$3&lt;MAX(EDATE($B$8,MAX('Вводные'!$B$69+3,12)+1),IF('Вводные'!$B$71=0,0,EDATE('Вводные'!$B$71,1)))),(H38+H45)*H41/12,0)</x:f>
      </x:c>
      <x:c r="I42" s="117">
        <x:f>IF(AND((I38+I45)&gt;0,$B$5=1,I$3&lt;MAX(EDATE($B$8,MAX('Вводные'!$B$69+3,12)+1),IF('Вводные'!$B$71=0,0,EDATE('Вводные'!$B$71,1)))),(I38+I45)*I41/12,0)</x:f>
      </x:c>
      <x:c r="J42" s="117">
        <x:f>IF(AND((J38+J45)&gt;0,$B$5=1,J$3&lt;MAX(EDATE($B$8,MAX('Вводные'!$B$69+3,12)+1),IF('Вводные'!$B$71=0,0,EDATE('Вводные'!$B$71,1)))),(J38+J45)*J41/12,0)</x:f>
      </x:c>
      <x:c r="K42" s="117">
        <x:f>IF(AND((K38+K45)&gt;0,$B$5=1,K$3&lt;MAX(EDATE($B$8,MAX('Вводные'!$B$69+3,12)+1),IF('Вводные'!$B$71=0,0,EDATE('Вводные'!$B$71,1)))),(K38+K45)*K41/12,0)</x:f>
      </x:c>
      <x:c r="L42" s="117">
        <x:f>IF(AND((L38+L45)&gt;0,$B$5=1,L$3&lt;MAX(EDATE($B$8,MAX('Вводные'!$B$69+3,12)+1),IF('Вводные'!$B$71=0,0,EDATE('Вводные'!$B$71,1)))),(L38+L45)*L41/12,0)</x:f>
      </x:c>
      <x:c r="M42" s="117">
        <x:f>IF(AND((M38+M45)&gt;0,$B$5=1,M$3&lt;MAX(EDATE($B$8,MAX('Вводные'!$B$69+3,12)+1),IF('Вводные'!$B$71=0,0,EDATE('Вводные'!$B$71,1)))),(M38+M45)*M41/12,0)</x:f>
      </x:c>
      <x:c r="N42" s="117">
        <x:f>IF(AND((N38+N45)&gt;0,$B$5=1,N$3&lt;MAX(EDATE($B$8,MAX('Вводные'!$B$69+3,12)+1),IF('Вводные'!$B$71=0,0,EDATE('Вводные'!$B$71,1)))),(N38+N45)*N41/12,0)</x:f>
      </x:c>
      <x:c r="O42" s="117">
        <x:f>IF(AND((O38+O45)&gt;0,$B$5=1,O$3&lt;MAX(EDATE($B$8,MAX('Вводные'!$B$69+3,12)+1),IF('Вводные'!$B$71=0,0,EDATE('Вводные'!$B$71,1)))),(O38+O45)*O41/12,0)</x:f>
      </x:c>
      <x:c r="P42" s="117">
        <x:f>IF(AND((P38+P45)&gt;0,$B$5=1,P$3&lt;MAX(EDATE($B$8,MAX('Вводные'!$B$69+3,12)+1),IF('Вводные'!$B$71=0,0,EDATE('Вводные'!$B$71,1)))),(P38+P45)*P41/12,0)</x:f>
      </x:c>
      <x:c r="Q42" s="117">
        <x:f>IF(AND((Q38+Q45)&gt;0,$B$5=1,Q$3&lt;MAX(EDATE($B$8,MAX('Вводные'!$B$69+3,12)+1),IF('Вводные'!$B$71=0,0,EDATE('Вводные'!$B$71,1)))),(Q38+Q45)*Q41/12,0)</x:f>
      </x:c>
      <x:c r="R42" s="117">
        <x:f>IF(AND((R38+R45)&gt;0,$B$5=1,R$3&lt;MAX(EDATE($B$8,MAX('Вводные'!$B$69+3,12)+1),IF('Вводные'!$B$71=0,0,EDATE('Вводные'!$B$71,1)))),(R38+R45)*R41/12,0)</x:f>
      </x:c>
      <x:c r="S42" s="117">
        <x:f>IF(AND((S38+S45)&gt;0,$B$5=1,S$3&lt;MAX(EDATE($B$8,MAX('Вводные'!$B$69+3,12)+1),IF('Вводные'!$B$71=0,0,EDATE('Вводные'!$B$71,1)))),(S38+S45)*S41/12,0)</x:f>
      </x:c>
      <x:c r="T42" s="117">
        <x:f>IF(AND((T38+T45)&gt;0,$B$5=1,T$3&lt;MAX(EDATE($B$8,MAX('Вводные'!$B$69+3,12)+1),IF('Вводные'!$B$71=0,0,EDATE('Вводные'!$B$71,1)))),(T38+T45)*T41/12,0)</x:f>
      </x:c>
      <x:c r="U42" s="117">
        <x:f>IF(AND((U38+U45)&gt;0,$B$5=1,U$3&lt;MAX(EDATE($B$8,MAX('Вводные'!$B$69+3,12)+1),IF('Вводные'!$B$71=0,0,EDATE('Вводные'!$B$71,1)))),(U38+U45)*U41/12,0)</x:f>
      </x:c>
      <x:c r="V42" s="117">
        <x:f>IF(AND((V38+V45)&gt;0,$B$5=1,V$3&lt;MAX(EDATE($B$8,MAX('Вводные'!$B$69+3,12)+1),IF('Вводные'!$B$71=0,0,EDATE('Вводные'!$B$71,1)))),(V38+V45)*V41/12,0)</x:f>
      </x:c>
      <x:c r="W42" s="117">
        <x:f>IF(AND((W38+W45)&gt;0,$B$5=1,W$3&lt;MAX(EDATE($B$8,MAX('Вводные'!$B$69+3,12)+1),IF('Вводные'!$B$71=0,0,EDATE('Вводные'!$B$71,1)))),(W38+W45)*W41/12,0)</x:f>
      </x:c>
      <x:c r="X42" s="117">
        <x:f>IF(AND((X38+X45)&gt;0,$B$5=1,X$3&lt;MAX(EDATE($B$8,MAX('Вводные'!$B$69+3,12)+1),IF('Вводные'!$B$71=0,0,EDATE('Вводные'!$B$71,1)))),(X38+X45)*X41/12,0)</x:f>
      </x:c>
      <x:c r="Y42" s="117">
        <x:f>IF(AND((Y38+Y45)&gt;0,$B$5=1,Y$3&lt;MAX(EDATE($B$8,MAX('Вводные'!$B$69+3,12)+1),IF('Вводные'!$B$71=0,0,EDATE('Вводные'!$B$71,1)))),(Y38+Y45)*Y41/12,0)</x:f>
      </x:c>
      <x:c r="Z42" s="117">
        <x:f>IF(AND((Z38+Z45)&gt;0,$B$5=1,Z$3&lt;MAX(EDATE($B$8,MAX('Вводные'!$B$69+3,12)+1),IF('Вводные'!$B$71=0,0,EDATE('Вводные'!$B$71,1)))),(Z38+Z45)*Z41/12,0)</x:f>
      </x:c>
      <x:c r="AA42" s="117">
        <x:f>IF(AND((AA38+AA45)&gt;0,$B$5=1,AA$3&lt;MAX(EDATE($B$8,MAX('Вводные'!$B$69+3,12)+1),IF('Вводные'!$B$71=0,0,EDATE('Вводные'!$B$71,1)))),(AA38+AA45)*AA41/12,0)</x:f>
      </x:c>
      <x:c r="AB42" s="117">
        <x:f>IF(AND((AB38+AB45)&gt;0,$B$5=1,AB$3&lt;MAX(EDATE($B$8,MAX('Вводные'!$B$69+3,12)+1),IF('Вводные'!$B$71=0,0,EDATE('Вводные'!$B$71,1)))),(AB38+AB45)*AB41/12,0)</x:f>
      </x:c>
      <x:c r="AC42" s="117">
        <x:f>IF(AND((AC38+AC45)&gt;0,$B$5=1,AC$3&lt;MAX(EDATE($B$8,MAX('Вводные'!$B$69+3,12)+1),IF('Вводные'!$B$71=0,0,EDATE('Вводные'!$B$71,1)))),(AC38+AC45)*AC41/12,0)</x:f>
      </x:c>
      <x:c r="AD42" s="117">
        <x:f>IF(AND((AD38+AD45)&gt;0,$B$5=1,AD$3&lt;MAX(EDATE($B$8,MAX('Вводные'!$B$69+3,12)+1),IF('Вводные'!$B$71=0,0,EDATE('Вводные'!$B$71,1)))),(AD38+AD45)*AD41/12,0)</x:f>
      </x:c>
      <x:c r="AE42" s="117">
        <x:f>IF(AND((AE38+AE45)&gt;0,$B$5=1,AE$3&lt;MAX(EDATE($B$8,MAX('Вводные'!$B$69+3,12)+1),IF('Вводные'!$B$71=0,0,EDATE('Вводные'!$B$71,1)))),(AE38+AE45)*AE41/12,0)</x:f>
      </x:c>
      <x:c r="AF42" s="117">
        <x:f>IF(AND((AF38+AF45)&gt;0,$B$5=1,AF$3&lt;MAX(EDATE($B$8,MAX('Вводные'!$B$69+3,12)+1),IF('Вводные'!$B$71=0,0,EDATE('Вводные'!$B$71,1)))),(AF38+AF45)*AF41/12,0)</x:f>
      </x:c>
      <x:c r="AG42" s="117">
        <x:f>IF(AND((AG38+AG45)&gt;0,$B$5=1,AG$3&lt;MAX(EDATE($B$8,MAX('Вводные'!$B$69+3,12)+1),IF('Вводные'!$B$71=0,0,EDATE('Вводные'!$B$71,1)))),(AG38+AG45)*AG41/12,0)</x:f>
      </x:c>
      <x:c r="AH42" s="117">
        <x:f>IF(AND((AH38+AH45)&gt;0,$B$5=1,AH$3&lt;MAX(EDATE($B$8,MAX('Вводные'!$B$69+3,12)+1),IF('Вводные'!$B$71=0,0,EDATE('Вводные'!$B$71,1)))),(AH38+AH45)*AH41/12,0)</x:f>
      </x:c>
      <x:c r="AI42" s="117">
        <x:f>IF(AND((AI38+AI45)&gt;0,$B$5=1,AI$3&lt;MAX(EDATE($B$8,MAX('Вводные'!$B$69+3,12)+1),IF('Вводные'!$B$71=0,0,EDATE('Вводные'!$B$71,1)))),(AI38+AI45)*AI41/12,0)</x:f>
      </x:c>
      <x:c r="AJ42" s="117">
        <x:f>IF(AND((AJ38+AJ45)&gt;0,$B$5=1,AJ$3&lt;MAX(EDATE($B$8,MAX('Вводные'!$B$69+3,12)+1),IF('Вводные'!$B$71=0,0,EDATE('Вводные'!$B$71,1)))),(AJ38+AJ45)*AJ41/12,0)</x:f>
      </x:c>
      <x:c r="AK42" s="117">
        <x:f>IF(AND((AK38+AK45)&gt;0,$B$5=1,AK$3&lt;MAX(EDATE($B$8,MAX('Вводные'!$B$69+3,12)+1),IF('Вводные'!$B$71=0,0,EDATE('Вводные'!$B$71,1)))),(AK38+AK45)*AK41/12,0)</x:f>
      </x:c>
      <x:c r="AL42" s="117">
        <x:f>IF(AND((AL38+AL45)&gt;0,$B$5=1,AL$3&lt;MAX(EDATE($B$8,MAX('Вводные'!$B$69+3,12)+1),IF('Вводные'!$B$71=0,0,EDATE('Вводные'!$B$71,1)))),(AL38+AL45)*AL41/12,0)</x:f>
      </x:c>
      <x:c r="AM42" s="117">
        <x:f>IF(AND((AM38+AM45)&gt;0,$B$5=1,AM$3&lt;MAX(EDATE($B$8,MAX('Вводные'!$B$69+3,12)+1),IF('Вводные'!$B$71=0,0,EDATE('Вводные'!$B$71,1)))),(AM38+AM45)*AM41/12,0)</x:f>
      </x:c>
      <x:c r="AN42" s="117">
        <x:f>IF(AND((AN38+AN45)&gt;0,$B$5=1,AN$3&lt;MAX(EDATE($B$8,MAX('Вводные'!$B$69+3,12)+1),IF('Вводные'!$B$71=0,0,EDATE('Вводные'!$B$71,1)))),(AN38+AN45)*AN41/12,0)</x:f>
      </x:c>
      <x:c r="AO42" s="117">
        <x:f>IF(AND((AO38+AO45)&gt;0,$B$5=1,AO$3&lt;MAX(EDATE($B$8,MAX('Вводные'!$B$69+3,12)+1),IF('Вводные'!$B$71=0,0,EDATE('Вводные'!$B$71,1)))),(AO38+AO45)*AO41/12,0)</x:f>
      </x:c>
      <x:c r="AP42" s="117">
        <x:f>IF(AND((AP38+AP45)&gt;0,$B$5=1,AP$3&lt;MAX(EDATE($B$8,MAX('Вводные'!$B$69+3,12)+1),IF('Вводные'!$B$71=0,0,EDATE('Вводные'!$B$71,1)))),(AP38+AP45)*AP41/12,0)</x:f>
      </x:c>
      <x:c r="AQ42" s="117">
        <x:f>IF(AND((AQ38+AQ45)&gt;0,$B$5=1,AQ$3&lt;MAX(EDATE($B$8,MAX('Вводные'!$B$69+3,12)+1),IF('Вводные'!$B$71=0,0,EDATE('Вводные'!$B$71,1)))),(AQ38+AQ45)*AQ41/12,0)</x:f>
      </x:c>
      <x:c r="AR42" s="117">
        <x:f>IF(AND((AR38+AR45)&gt;0,$B$5=1,AR$3&lt;MAX(EDATE($B$8,MAX('Вводные'!$B$69+3,12)+1),IF('Вводные'!$B$71=0,0,EDATE('Вводные'!$B$71,1)))),(AR38+AR45)*AR41/12,0)</x:f>
      </x:c>
      <x:c r="AS42" s="117">
        <x:f>IF(AND((AS38+AS45)&gt;0,$B$5=1,AS$3&lt;MAX(EDATE($B$8,MAX('Вводные'!$B$69+3,12)+1),IF('Вводные'!$B$71=0,0,EDATE('Вводные'!$B$71,1)))),(AS38+AS45)*AS41/12,0)</x:f>
      </x:c>
      <x:c r="AT42" s="117">
        <x:f>IF(AND((AT38+AT45)&gt;0,$B$5=1,AT$3&lt;MAX(EDATE($B$8,MAX('Вводные'!$B$69+3,12)+1),IF('Вводные'!$B$71=0,0,EDATE('Вводные'!$B$71,1)))),(AT38+AT45)*AT41/12,0)</x:f>
      </x:c>
      <x:c r="AU42" s="117">
        <x:f>IF(AND((AU38+AU45)&gt;0,$B$5=1,AU$3&lt;MAX(EDATE($B$8,MAX('Вводные'!$B$69+3,12)+1),IF('Вводные'!$B$71=0,0,EDATE('Вводные'!$B$71,1)))),(AU38+AU45)*AU41/12,0)</x:f>
      </x:c>
      <x:c r="AV42" s="117">
        <x:f>IF(AND((AV38+AV45)&gt;0,$B$5=1,AV$3&lt;MAX(EDATE($B$8,MAX('Вводные'!$B$69+3,12)+1),IF('Вводные'!$B$71=0,0,EDATE('Вводные'!$B$71,1)))),(AV38+AV45)*AV41/12,0)</x:f>
      </x:c>
      <x:c r="AW42" s="117">
        <x:f>IF(AND((AW38+AW45)&gt;0,$B$5=1,AW$3&lt;MAX(EDATE($B$8,MAX('Вводные'!$B$69+3,12)+1),IF('Вводные'!$B$71=0,0,EDATE('Вводные'!$B$71,1)))),(AW38+AW45)*AW41/12,0)</x:f>
      </x:c>
      <x:c r="AX42" s="117">
        <x:f>IF(AND((AX38+AX45)&gt;0,$B$5=1,AX$3&lt;MAX(EDATE($B$8,MAX('Вводные'!$B$69+3,12)+1),IF('Вводные'!$B$71=0,0,EDATE('Вводные'!$B$71,1)))),(AX38+AX45)*AX41/12,0)</x:f>
      </x:c>
      <x:c r="AY42" s="117">
        <x:f>IF(AND((AY38+AY45)&gt;0,$B$5=1,AY$3&lt;MAX(EDATE($B$8,MAX('Вводные'!$B$69+3,12)+1),IF('Вводные'!$B$71=0,0,EDATE('Вводные'!$B$71,1)))),(AY38+AY45)*AY41/12,0)</x:f>
      </x:c>
      <x:c r="AZ42" s="117">
        <x:f>IF(AND((AZ38+AZ45)&gt;0,$B$5=1,AZ$3&lt;MAX(EDATE($B$8,MAX('Вводные'!$B$69+3,12)+1),IF('Вводные'!$B$71=0,0,EDATE('Вводные'!$B$71,1)))),(AZ38+AZ45)*AZ41/12,0)</x:f>
      </x:c>
      <x:c r="BA42" s="117">
        <x:f>IF(AND((BA38+BA45)&gt;0,$B$5=1,BA$3&lt;MAX(EDATE($B$8,MAX('Вводные'!$B$69+3,12)+1),IF('Вводные'!$B$71=0,0,EDATE('Вводные'!$B$71,1)))),(BA38+BA45)*BA41/12,0)</x:f>
      </x:c>
      <x:c r="BB42" s="117">
        <x:f>IF(AND((BB38+BB45)&gt;0,$B$5=1,BB$3&lt;MAX(EDATE($B$8,MAX('Вводные'!$B$69+3,12)+1),IF('Вводные'!$B$71=0,0,EDATE('Вводные'!$B$71,1)))),(BB38+BB45)*BB41/12,0)</x:f>
      </x:c>
      <x:c r="BC42" s="117">
        <x:f>IF(AND((BC38+BC45)&gt;0,$B$5=1,BC$3&lt;MAX(EDATE($B$8,MAX('Вводные'!$B$69+3,12)+1),IF('Вводные'!$B$71=0,0,EDATE('Вводные'!$B$71,1)))),(BC38+BC45)*BC41/12,0)</x:f>
      </x:c>
      <x:c r="BD42" s="117">
        <x:f>IF(AND((BD38+BD45)&gt;0,$B$5=1,BD$3&lt;MAX(EDATE($B$8,MAX('Вводные'!$B$69+3,12)+1),IF('Вводные'!$B$71=0,0,EDATE('Вводные'!$B$71,1)))),(BD38+BD45)*BD41/12,0)</x:f>
      </x:c>
      <x:c r="BE42" s="117">
        <x:f>IF(AND((BE38+BE45)&gt;0,$B$5=1,BE$3&lt;MAX(EDATE($B$8,MAX('Вводные'!$B$69+3,12)+1),IF('Вводные'!$B$71=0,0,EDATE('Вводные'!$B$71,1)))),(BE38+BE45)*BE41/12,0)</x:f>
      </x:c>
      <x:c r="BF42" s="117">
        <x:f>IF(AND((BF38+BF45)&gt;0,$B$5=1,BF$3&lt;MAX(EDATE($B$8,MAX('Вводные'!$B$69+3,12)+1),IF('Вводные'!$B$71=0,0,EDATE('Вводные'!$B$71,1)))),(BF38+BF45)*BF41/12,0)</x:f>
      </x:c>
      <x:c r="BG42" s="117">
        <x:f>IF(AND((BG38+BG45)&gt;0,$B$5=1,BG$3&lt;MAX(EDATE($B$8,MAX('Вводные'!$B$69+3,12)+1),IF('Вводные'!$B$71=0,0,EDATE('Вводные'!$B$71,1)))),(BG38+BG45)*BG41/12,0)</x:f>
      </x:c>
      <x:c r="BH42" s="117">
        <x:f>IF(AND((BH38+BH45)&gt;0,$B$5=1,BH$3&lt;MAX(EDATE($B$8,MAX('Вводные'!$B$69+3,12)+1),IF('Вводные'!$B$71=0,0,EDATE('Вводные'!$B$71,1)))),(BH38+BH45)*BH41/12,0)</x:f>
      </x:c>
      <x:c r="BI42" s="117">
        <x:f>IF(AND((BI38+BI45)&gt;0,$B$5=1,BI$3&lt;MAX(EDATE($B$8,MAX('Вводные'!$B$69+3,12)+1),IF('Вводные'!$B$71=0,0,EDATE('Вводные'!$B$71,1)))),(BI38+BI45)*BI41/12,0)</x:f>
      </x:c>
      <x:c r="BJ42" s="117">
        <x:f>IF(AND((BJ38+BJ45)&gt;0,$B$5=1,BJ$3&lt;MAX(EDATE($B$8,MAX('Вводные'!$B$69+3,12)+1),IF('Вводные'!$B$71=0,0,EDATE('Вводные'!$B$71,1)))),(BJ38+BJ45)*BJ41/12,0)</x:f>
      </x:c>
      <x:c r="BK42" s="117">
        <x:f>IF(AND((BK38+BK45)&gt;0,$B$5=1,BK$3&lt;MAX(EDATE($B$8,MAX('Вводные'!$B$69+3,12)+1),IF('Вводные'!$B$71=0,0,EDATE('Вводные'!$B$71,1)))),(BK38+BK45)*BK41/12,0)</x:f>
      </x:c>
      <x:c r="BL42" s="117">
        <x:f>IF(AND((BL38+BL45)&gt;0,$B$5=1,BL$3&lt;MAX(EDATE($B$8,MAX('Вводные'!$B$69+3,12)+1),IF('Вводные'!$B$71=0,0,EDATE('Вводные'!$B$71,1)))),(BL38+BL45)*BL41/12,0)</x:f>
      </x:c>
      <x:c r="BM42" s="117">
        <x:f>IF(AND((BM38+BM45)&gt;0,$B$5=1,BM$3&lt;MAX(EDATE($B$8,MAX('Вводные'!$B$69+3,12)+1),IF('Вводные'!$B$71=0,0,EDATE('Вводные'!$B$71,1)))),(BM38+BM45)*BM41/12,0)</x:f>
      </x:c>
      <x:c r="BN42" s="117">
        <x:f>IF(AND((BN38+BN45)&gt;0,$B$5=1,BN$3&lt;MAX(EDATE($B$8,MAX('Вводные'!$B$69+3,12)+1),IF('Вводные'!$B$71=0,0,EDATE('Вводные'!$B$71,1)))),(BN38+BN45)*BN41/12,0)</x:f>
      </x:c>
      <x:c r="BO42" s="117">
        <x:f>IF(AND((BO38+BO45)&gt;0,$B$5=1,BO$3&lt;MAX(EDATE($B$8,MAX('Вводные'!$B$69+3,12)+1),IF('Вводные'!$B$71=0,0,EDATE('Вводные'!$B$71,1)))),(BO38+BO45)*BO41/12,0)</x:f>
      </x:c>
      <x:c r="BP42" s="117">
        <x:f>IF(AND((BP38+BP45)&gt;0,$B$5=1,BP$3&lt;MAX(EDATE($B$8,MAX('Вводные'!$B$69+3,12)+1),IF('Вводные'!$B$71=0,0,EDATE('Вводные'!$B$71,1)))),(BP38+BP45)*BP41/12,0)</x:f>
      </x:c>
      <x:c r="BQ42" s="117">
        <x:f>IF(AND((BQ38+BQ45)&gt;0,$B$5=1,BQ$3&lt;MAX(EDATE($B$8,MAX('Вводные'!$B$69+3,12)+1),IF('Вводные'!$B$71=0,0,EDATE('Вводные'!$B$71,1)))),(BQ38+BQ45)*BQ41/12,0)</x:f>
      </x:c>
      <x:c r="BR42" s="117">
        <x:f>IF(AND((BR38+BR45)&gt;0,$B$5=1,BR$3&lt;MAX(EDATE($B$8,MAX('Вводные'!$B$69+3,12)+1),IF('Вводные'!$B$71=0,0,EDATE('Вводные'!$B$71,1)))),(BR38+BR45)*BR41/12,0)</x:f>
      </x:c>
      <x:c r="BS42" s="117">
        <x:f>IF(AND((BS38+BS45)&gt;0,$B$5=1,BS$3&lt;MAX(EDATE($B$8,MAX('Вводные'!$B$69+3,12)+1),IF('Вводные'!$B$71=0,0,EDATE('Вводные'!$B$71,1)))),(BS38+BS45)*BS41/12,0)</x:f>
      </x:c>
      <x:c r="BT42" s="117">
        <x:f>IF(AND((BT38+BT45)&gt;0,$B$5=1,BT$3&lt;MAX(EDATE($B$8,MAX('Вводные'!$B$69+3,12)+1),IF('Вводные'!$B$71=0,0,EDATE('Вводные'!$B$71,1)))),(BT38+BT45)*BT41/12,0)</x:f>
      </x:c>
      <x:c r="BU42" s="117">
        <x:f>IF(AND((BU38+BU45)&gt;0,$B$5=1,BU$3&lt;MAX(EDATE($B$8,MAX('Вводные'!$B$69+3,12)+1),IF('Вводные'!$B$71=0,0,EDATE('Вводные'!$B$71,1)))),(BU38+BU45)*BU41/12,0)</x:f>
      </x:c>
      <x:c r="BV42" s="117">
        <x:f>IF(AND((BV38+BV45)&gt;0,$B$5=1,BV$3&lt;MAX(EDATE($B$8,MAX('Вводные'!$B$69+3,12)+1),IF('Вводные'!$B$71=0,0,EDATE('Вводные'!$B$71,1)))),(BV38+BV45)*BV41/12,0)</x:f>
      </x:c>
      <x:c r="BW42" s="117">
        <x:f>IF(AND((BW38+BW45)&gt;0,$B$5=1,BW$3&lt;MAX(EDATE($B$8,MAX('Вводные'!$B$69+3,12)+1),IF('Вводные'!$B$71=0,0,EDATE('Вводные'!$B$71,1)))),(BW38+BW45)*BW41/12,0)</x:f>
      </x:c>
      <x:c r="BX42" s="117">
        <x:f>IF(AND((BX38+BX45)&gt;0,$B$5=1,BX$3&lt;MAX(EDATE($B$8,MAX('Вводные'!$B$69+3,12)+1),IF('Вводные'!$B$71=0,0,EDATE('Вводные'!$B$71,1)))),(BX38+BX45)*BX41/12,0)</x:f>
      </x:c>
      <x:c r="BY42" s="117">
        <x:f>IF(AND((BY38+BY45)&gt;0,$B$5=1,BY$3&lt;MAX(EDATE($B$8,MAX('Вводные'!$B$69+3,12)+1),IF('Вводные'!$B$71=0,0,EDATE('Вводные'!$B$71,1)))),(BY38+BY45)*BY41/12,0)</x:f>
      </x:c>
      <x:c r="BZ42" s="117">
        <x:f>IF(AND((BZ38+BZ45)&gt;0,$B$5=1,BZ$3&lt;MAX(EDATE($B$8,MAX('Вводные'!$B$69+3,12)+1),IF('Вводные'!$B$71=0,0,EDATE('Вводные'!$B$71,1)))),(BZ38+BZ45)*BZ41/12,0)</x:f>
      </x:c>
      <x:c r="CA42" s="117">
        <x:f>IF(AND((CA38+CA45)&gt;0,$B$5=1,CA$3&lt;MAX(EDATE($B$8,MAX('Вводные'!$B$69+3,12)+1),IF('Вводные'!$B$71=0,0,EDATE('Вводные'!$B$71,1)))),(CA38+CA45)*CA41/12,0)</x:f>
      </x:c>
      <x:c r="CB42" s="117">
        <x:f>IF(AND((CB38+CB45)&gt;0,$B$5=1,CB$3&lt;MAX(EDATE($B$8,MAX('Вводные'!$B$69+3,12)+1),IF('Вводные'!$B$71=0,0,EDATE('Вводные'!$B$71,1)))),(CB38+CB45)*CB41/12,0)</x:f>
      </x:c>
      <x:c r="CC42" s="117">
        <x:f>IF(AND((CC38+CC45)&gt;0,$B$5=1,CC$3&lt;MAX(EDATE($B$8,MAX('Вводные'!$B$69+3,12)+1),IF('Вводные'!$B$71=0,0,EDATE('Вводные'!$B$71,1)))),(CC38+CC45)*CC41/12,0)</x:f>
      </x:c>
      <x:c r="CD42" s="117">
        <x:f>IF(AND((CD38+CD45)&gt;0,$B$5=1,CD$3&lt;MAX(EDATE($B$8,MAX('Вводные'!$B$69+3,12)+1),IF('Вводные'!$B$71=0,0,EDATE('Вводные'!$B$71,1)))),(CD38+CD45)*CD41/12,0)</x:f>
      </x:c>
      <x:c r="CE42" s="117">
        <x:f>IF(AND((CE38+CE45)&gt;0,$B$5=1,CE$3&lt;MAX(EDATE($B$8,MAX('Вводные'!$B$69+3,12)+1),IF('Вводные'!$B$71=0,0,EDATE('Вводные'!$B$71,1)))),(CE38+CE45)*CE41/12,0)</x:f>
      </x:c>
      <x:c r="CF42" s="117">
        <x:f>IF(AND((CF38+CF45)&gt;0,$B$5=1,CF$3&lt;MAX(EDATE($B$8,MAX('Вводные'!$B$69+3,12)+1),IF('Вводные'!$B$71=0,0,EDATE('Вводные'!$B$71,1)))),(CF38+CF45)*CF41/12,0)</x:f>
      </x:c>
      <x:c r="CG42" s="117">
        <x:f>IF(AND((CG38+CG45)&gt;0,$B$5=1,CG$3&lt;MAX(EDATE($B$8,MAX('Вводные'!$B$69+3,12)+1),IF('Вводные'!$B$71=0,0,EDATE('Вводные'!$B$71,1)))),(CG38+CG45)*CG41/12,0)</x:f>
      </x:c>
      <x:c r="CH42" s="117">
        <x:f>IF(AND((CH38+CH45)&gt;0,$B$5=1,CH$3&lt;MAX(EDATE($B$8,MAX('Вводные'!$B$69+3,12)+1),IF('Вводные'!$B$71=0,0,EDATE('Вводные'!$B$71,1)))),(CH38+CH45)*CH41/12,0)</x:f>
      </x:c>
      <x:c r="CI42" s="117">
        <x:f>IF(AND((CI38+CI45)&gt;0,$B$5=1,CI$3&lt;MAX(EDATE($B$8,MAX('Вводные'!$B$69+3,12)+1),IF('Вводные'!$B$71=0,0,EDATE('Вводные'!$B$71,1)))),(CI38+CI45)*CI41/12,0)</x:f>
      </x:c>
      <x:c r="CJ42" s="117">
        <x:f>IF(AND((CJ38+CJ45)&gt;0,$B$5=1,CJ$3&lt;MAX(EDATE($B$8,MAX('Вводные'!$B$69+3,12)+1),IF('Вводные'!$B$71=0,0,EDATE('Вводные'!$B$71,1)))),(CJ38+CJ45)*CJ41/12,0)</x:f>
      </x:c>
      <x:c r="CK42" s="117">
        <x:f>IF(AND((CK38+CK45)&gt;0,$B$5=1,CK$3&lt;MAX(EDATE($B$8,MAX('Вводные'!$B$69+3,12)+1),IF('Вводные'!$B$71=0,0,EDATE('Вводные'!$B$71,1)))),(CK38+CK45)*CK41/12,0)</x:f>
      </x:c>
      <x:c r="CL42" s="117">
        <x:f>IF(AND((CL38+CL45)&gt;0,$B$5=1,CL$3&lt;MAX(EDATE($B$8,MAX('Вводные'!$B$69+3,12)+1),IF('Вводные'!$B$71=0,0,EDATE('Вводные'!$B$71,1)))),(CL38+CL45)*CL41/12,0)</x:f>
      </x:c>
      <x:c r="CM42" s="117">
        <x:f>IF(AND((CM38+CM45)&gt;0,$B$5=1,CM$3&lt;MAX(EDATE($B$8,MAX('Вводные'!$B$69+3,12)+1),IF('Вводные'!$B$71=0,0,EDATE('Вводные'!$B$71,1)))),(CM38+CM45)*CM41/12,0)</x:f>
      </x:c>
      <x:c r="CN42" s="117">
        <x:f>IF(AND((CN38+CN45)&gt;0,$B$5=1,CN$3&lt;MAX(EDATE($B$8,MAX('Вводные'!$B$69+3,12)+1),IF('Вводные'!$B$71=0,0,EDATE('Вводные'!$B$71,1)))),(CN38+CN45)*CN41/12,0)</x:f>
      </x:c>
      <x:c r="CO42" s="117">
        <x:f>IF(AND((CO38+CO45)&gt;0,$B$5=1,CO$3&lt;MAX(EDATE($B$8,MAX('Вводные'!$B$69+3,12)+1),IF('Вводные'!$B$71=0,0,EDATE('Вводные'!$B$71,1)))),(CO38+CO45)*CO41/12,0)</x:f>
      </x:c>
      <x:c r="CP42" s="117">
        <x:f>IF(AND((CP38+CP45)&gt;0,$B$5=1,CP$3&lt;MAX(EDATE($B$8,MAX('Вводные'!$B$69+3,12)+1),IF('Вводные'!$B$71=0,0,EDATE('Вводные'!$B$71,1)))),(CP38+CP45)*CP41/12,0)</x:f>
      </x:c>
      <x:c r="CQ42" s="117">
        <x:f>IF(AND((CQ38+CQ45)&gt;0,$B$5=1,CQ$3&lt;MAX(EDATE($B$8,MAX('Вводные'!$B$69+3,12)+1),IF('Вводные'!$B$71=0,0,EDATE('Вводные'!$B$71,1)))),(CQ38+CQ45)*CQ41/12,0)</x:f>
      </x:c>
      <x:c r="CR42" s="117">
        <x:f>IF(AND((CR38+CR45)&gt;0,$B$5=1,CR$3&lt;MAX(EDATE($B$8,MAX('Вводные'!$B$69+3,12)+1),IF('Вводные'!$B$71=0,0,EDATE('Вводные'!$B$71,1)))),(CR38+CR45)*CR41/12,0)</x:f>
      </x:c>
      <x:c r="CS42" s="117">
        <x:f>IF(AND((CS38+CS45)&gt;0,$B$5=1,CS$3&lt;MAX(EDATE($B$8,MAX('Вводные'!$B$69+3,12)+1),IF('Вводные'!$B$71=0,0,EDATE('Вводные'!$B$71,1)))),(CS38+CS45)*CS41/12,0)</x:f>
      </x:c>
      <x:c r="CT42" s="117">
        <x:f>IF(AND((CT38+CT45)&gt;0,$B$5=1,CT$3&lt;MAX(EDATE($B$8,MAX('Вводные'!$B$69+3,12)+1),IF('Вводные'!$B$71=0,0,EDATE('Вводные'!$B$71,1)))),(CT38+CT45)*CT41/12,0)</x:f>
      </x:c>
      <x:c r="CU42" s="117">
        <x:f>IF(AND((CU38+CU45)&gt;0,$B$5=1,CU$3&lt;MAX(EDATE($B$8,MAX('Вводные'!$B$69+3,12)+1),IF('Вводные'!$B$71=0,0,EDATE('Вводные'!$B$71,1)))),(CU38+CU45)*CU41/12,0)</x:f>
      </x:c>
      <x:c r="CV42" s="117">
        <x:f>IF(AND((CV38+CV45)&gt;0,$B$5=1,CV$3&lt;MAX(EDATE($B$8,MAX('Вводные'!$B$69+3,12)+1),IF('Вводные'!$B$71=0,0,EDATE('Вводные'!$B$71,1)))),(CV38+CV45)*CV41/12,0)</x:f>
      </x:c>
      <x:c r="CW42" s="117">
        <x:f>IF(AND((CW38+CW45)&gt;0,$B$5=1,CW$3&lt;MAX(EDATE($B$8,MAX('Вводные'!$B$69+3,12)+1),IF('Вводные'!$B$71=0,0,EDATE('Вводные'!$B$71,1)))),(CW38+CW45)*CW41/12,0)</x:f>
      </x:c>
      <x:c r="CX42" s="117">
        <x:f>IF(AND((CX38+CX45)&gt;0,$B$5=1,CX$3&lt;MAX(EDATE($B$8,MAX('Вводные'!$B$69+3,12)+1),IF('Вводные'!$B$71=0,0,EDATE('Вводные'!$B$71,1)))),(CX38+CX45)*CX41/12,0)</x:f>
      </x:c>
      <x:c r="CY42" s="117">
        <x:f>IF(AND((CY38+CY45)&gt;0,$B$5=1,CY$3&lt;MAX(EDATE($B$8,MAX('Вводные'!$B$69+3,12)+1),IF('Вводные'!$B$71=0,0,EDATE('Вводные'!$B$71,1)))),(CY38+CY45)*CY41/12,0)</x:f>
      </x:c>
      <x:c r="CZ42" s="117">
        <x:f>IF(AND((CZ38+CZ45)&gt;0,$B$5=1,CZ$3&lt;MAX(EDATE($B$8,MAX('Вводные'!$B$69+3,12)+1),IF('Вводные'!$B$71=0,0,EDATE('Вводные'!$B$71,1)))),(CZ38+CZ45)*CZ41/12,0)</x:f>
      </x:c>
      <x:c r="DA42" s="117">
        <x:f>IF(AND((DA38+DA45)&gt;0,$B$5=1,DA$3&lt;MAX(EDATE($B$8,MAX('Вводные'!$B$69+3,12)+1),IF('Вводные'!$B$71=0,0,EDATE('Вводные'!$B$71,1)))),(DA38+DA45)*DA41/12,0)</x:f>
      </x:c>
      <x:c r="DB42" s="117">
        <x:f>IF(AND((DB38+DB45)&gt;0,$B$5=1,DB$3&lt;MAX(EDATE($B$8,MAX('Вводные'!$B$69+3,12)+1),IF('Вводные'!$B$71=0,0,EDATE('Вводные'!$B$71,1)))),(DB38+DB45)*DB41/12,0)</x:f>
      </x:c>
      <x:c r="DC42" s="117">
        <x:f>IF(AND((DC38+DC45)&gt;0,$B$5=1,DC$3&lt;MAX(EDATE($B$8,MAX('Вводные'!$B$69+3,12)+1),IF('Вводные'!$B$71=0,0,EDATE('Вводные'!$B$71,1)))),(DC38+DC45)*DC41/12,0)</x:f>
      </x:c>
      <x:c r="DD42" s="117">
        <x:f>IF(AND((DD38+DD45)&gt;0,$B$5=1,DD$3&lt;MAX(EDATE($B$8,MAX('Вводные'!$B$69+3,12)+1),IF('Вводные'!$B$71=0,0,EDATE('Вводные'!$B$71,1)))),(DD38+DD45)*DD41/12,0)</x:f>
      </x:c>
      <x:c r="DE42" s="117">
        <x:f>IF(AND((DE38+DE45)&gt;0,$B$5=1,DE$3&lt;MAX(EDATE($B$8,MAX('Вводные'!$B$69+3,12)+1),IF('Вводные'!$B$71=0,0,EDATE('Вводные'!$B$71,1)))),(DE38+DE45)*DE41/12,0)</x:f>
      </x:c>
      <x:c r="DF42" s="117">
        <x:f>IF(AND((DF38+DF45)&gt;0,$B$5=1,DF$3&lt;MAX(EDATE($B$8,MAX('Вводные'!$B$69+3,12)+1),IF('Вводные'!$B$71=0,0,EDATE('Вводные'!$B$71,1)))),(DF38+DF45)*DF41/12,0)</x:f>
      </x:c>
      <x:c r="DG42" s="117">
        <x:f>IF(AND((DG38+DG45)&gt;0,$B$5=1,DG$3&lt;MAX(EDATE($B$8,MAX('Вводные'!$B$69+3,12)+1),IF('Вводные'!$B$71=0,0,EDATE('Вводные'!$B$71,1)))),(DG38+DG45)*DG41/12,0)</x:f>
      </x:c>
      <x:c r="DH42" s="117">
        <x:f>IF(AND((DH38+DH45)&gt;0,$B$5=1,DH$3&lt;MAX(EDATE($B$8,MAX('Вводные'!$B$69+3,12)+1),IF('Вводные'!$B$71=0,0,EDATE('Вводные'!$B$71,1)))),(DH38+DH45)*DH41/12,0)</x:f>
      </x:c>
      <x:c r="DI42" s="117">
        <x:f>IF(AND((DI38+DI45)&gt;0,$B$5=1,DI$3&lt;MAX(EDATE($B$8,MAX('Вводные'!$B$69+3,12)+1),IF('Вводные'!$B$71=0,0,EDATE('Вводные'!$B$71,1)))),(DI38+DI45)*DI41/12,0)</x:f>
      </x:c>
      <x:c r="DJ42" s="117">
        <x:f>IF(AND((DJ38+DJ45)&gt;0,$B$5=1,DJ$3&lt;MAX(EDATE($B$8,MAX('Вводные'!$B$69+3,12)+1),IF('Вводные'!$B$71=0,0,EDATE('Вводные'!$B$71,1)))),(DJ38+DJ45)*DJ41/12,0)</x:f>
      </x:c>
      <x:c r="DK42" s="117">
        <x:f>IF(AND((DK38+DK45)&gt;0,$B$5=1,DK$3&lt;MAX(EDATE($B$8,MAX('Вводные'!$B$69+3,12)+1),IF('Вводные'!$B$71=0,0,EDATE('Вводные'!$B$71,1)))),(DK38+DK45)*DK41/12,0)</x:f>
      </x:c>
      <x:c r="DL42" s="117">
        <x:f>IF(AND((DL38+DL45)&gt;0,$B$5=1,DL$3&lt;MAX(EDATE($B$8,MAX('Вводные'!$B$69+3,12)+1),IF('Вводные'!$B$71=0,0,EDATE('Вводные'!$B$71,1)))),(DL38+DL45)*DL41/12,0)</x:f>
      </x:c>
      <x:c r="DM42" s="117">
        <x:f>IF(AND((DM38+DM45)&gt;0,$B$5=1,DM$3&lt;MAX(EDATE($B$8,MAX('Вводные'!$B$69+3,12)+1),IF('Вводные'!$B$71=0,0,EDATE('Вводные'!$B$71,1)))),(DM38+DM45)*DM41/12,0)</x:f>
      </x:c>
      <x:c r="DN42" s="117">
        <x:f>IF(AND((DN38+DN45)&gt;0,$B$5=1,DN$3&lt;MAX(EDATE($B$8,MAX('Вводные'!$B$69+3,12)+1),IF('Вводные'!$B$71=0,0,EDATE('Вводные'!$B$71,1)))),(DN38+DN45)*DN41/12,0)</x:f>
      </x:c>
      <x:c r="DO42" s="117">
        <x:f>IF(AND((DO38+DO45)&gt;0,$B$5=1,DO$3&lt;MAX(EDATE($B$8,MAX('Вводные'!$B$69+3,12)+1),IF('Вводные'!$B$71=0,0,EDATE('Вводные'!$B$71,1)))),(DO38+DO45)*DO41/12,0)</x:f>
      </x:c>
      <x:c r="DP42" s="117">
        <x:f>IF(AND((DP38+DP45)&gt;0,$B$5=1,DP$3&lt;MAX(EDATE($B$8,MAX('Вводные'!$B$69+3,12)+1),IF('Вводные'!$B$71=0,0,EDATE('Вводные'!$B$71,1)))),(DP38+DP45)*DP41/12,0)</x:f>
      </x:c>
      <x:c r="DQ42" s="117">
        <x:f>IF(AND((DQ38+DQ45)&gt;0,$B$5=1,DQ$3&lt;MAX(EDATE($B$8,MAX('Вводные'!$B$69+3,12)+1),IF('Вводные'!$B$71=0,0,EDATE('Вводные'!$B$71,1)))),(DQ38+DQ45)*DQ41/12,0)</x:f>
      </x:c>
      <x:c r="DR42" s="117">
        <x:f>IF(AND((DR38+DR45)&gt;0,$B$5=1,DR$3&lt;MAX(EDATE($B$8,MAX('Вводные'!$B$69+3,12)+1),IF('Вводные'!$B$71=0,0,EDATE('Вводные'!$B$71,1)))),(DR38+DR45)*DR41/12,0)</x:f>
      </x:c>
      <x:c r="DS42" s="117">
        <x:f>IF(AND((DS38+DS45)&gt;0,$B$5=1,DS$3&lt;MAX(EDATE($B$8,MAX('Вводные'!$B$69+3,12)+1),IF('Вводные'!$B$71=0,0,EDATE('Вводные'!$B$71,1)))),(DS38+DS45)*DS41/12,0)</x:f>
      </x:c>
      <x:c r="DT42" s="117">
        <x:f>IF(AND((DT38+DT45)&gt;0,$B$5=1,DT$3&lt;MAX(EDATE($B$8,MAX('Вводные'!$B$69+3,12)+1),IF('Вводные'!$B$71=0,0,EDATE('Вводные'!$B$71,1)))),(DT38+DT45)*DT41/12,0)</x:f>
      </x:c>
      <x:c r="DU42" s="117">
        <x:f>IF(AND((DU38+DU45)&gt;0,$B$5=1,DU$3&lt;MAX(EDATE($B$8,MAX('Вводные'!$B$69+3,12)+1),IF('Вводные'!$B$71=0,0,EDATE('Вводные'!$B$71,1)))),(DU38+DU45)*DU41/12,0)</x:f>
      </x:c>
      <x:c r="DV42" s="117">
        <x:f>IF(AND((DV38+DV45)&gt;0,$B$5=1,DV$3&lt;MAX(EDATE($B$8,MAX('Вводные'!$B$69+3,12)+1),IF('Вводные'!$B$71=0,0,EDATE('Вводные'!$B$71,1)))),(DV38+DV45)*DV41/12,0)</x:f>
      </x:c>
      <x:c r="DW42" s="117">
        <x:f>IF(AND((DW38+DW45)&gt;0,$B$5=1,DW$3&lt;MAX(EDATE($B$8,MAX('Вводные'!$B$69+3,12)+1),IF('Вводные'!$B$71=0,0,EDATE('Вводные'!$B$71,1)))),(DW38+DW45)*DW41/12,0)</x:f>
      </x:c>
      <x:c r="DX42" s="117">
        <x:f>IF(AND((DX38+DX45)&gt;0,$B$5=1,DX$3&lt;MAX(EDATE($B$8,MAX('Вводные'!$B$69+3,12)+1),IF('Вводные'!$B$71=0,0,EDATE('Вводные'!$B$71,1)))),(DX38+DX45)*DX41/12,0)</x:f>
      </x:c>
      <x:c r="DY42" s="117">
        <x:f>IF(AND((DY38+DY45)&gt;0,$B$5=1,DY$3&lt;MAX(EDATE($B$8,MAX('Вводные'!$B$69+3,12)+1),IF('Вводные'!$B$71=0,0,EDATE('Вводные'!$B$71,1)))),(DY38+DY45)*DY41/12,0)</x:f>
      </x:c>
      <x:c r="DZ42" s="117">
        <x:f>IF(AND((DZ38+DZ45)&gt;0,$B$5=1,DZ$3&lt;MAX(EDATE($B$8,MAX('Вводные'!$B$69+3,12)+1),IF('Вводные'!$B$71=0,0,EDATE('Вводные'!$B$71,1)))),(DZ38+DZ45)*DZ41/12,0)</x:f>
      </x:c>
      <x:c r="EA42" s="117">
        <x:f>IF(AND((EA38+EA45)&gt;0,$B$5=1,EA$3&lt;MAX(EDATE($B$8,MAX('Вводные'!$B$69+3,12)+1),IF('Вводные'!$B$71=0,0,EDATE('Вводные'!$B$71,1)))),(EA38+EA45)*EA41/12,0)</x:f>
      </x:c>
      <x:c r="EB42" s="117">
        <x:f>IF(AND((EB38+EB45)&gt;0,$B$5=1,EB$3&lt;MAX(EDATE($B$8,MAX('Вводные'!$B$69+3,12)+1),IF('Вводные'!$B$71=0,0,EDATE('Вводные'!$B$71,1)))),(EB38+EB45)*EB41/12,0)</x:f>
      </x:c>
      <x:c r="EC42" s="117">
        <x:f>IF(AND((EC38+EC45)&gt;0,$B$5=1,EC$3&lt;MAX(EDATE($B$8,MAX('Вводные'!$B$69+3,12)+1),IF('Вводные'!$B$71=0,0,EDATE('Вводные'!$B$71,1)))),(EC38+EC45)*EC41/12,0)</x:f>
      </x:c>
      <x:c r="ED42" s="117">
        <x:f>IF(AND((ED38+ED45)&gt;0,$B$5=1,ED$3&lt;MAX(EDATE($B$8,MAX('Вводные'!$B$69+3,12)+1),IF('Вводные'!$B$71=0,0,EDATE('Вводные'!$B$71,1)))),(ED38+ED45)*ED41/12,0)</x:f>
      </x:c>
      <x:c r="EE42" s="117">
        <x:f>IF(AND((EE38+EE45)&gt;0,$B$5=1,EE$3&lt;MAX(EDATE($B$8,MAX('Вводные'!$B$69+3,12)+1),IF('Вводные'!$B$71=0,0,EDATE('Вводные'!$B$71,1)))),(EE38+EE45)*EE41/12,0)</x:f>
      </x:c>
      <x:c r="EF42" s="117">
        <x:f>IF(AND((EF38+EF45)&gt;0,$B$5=1,EF$3&lt;MAX(EDATE($B$8,MAX('Вводные'!$B$69+3,12)+1),IF('Вводные'!$B$71=0,0,EDATE('Вводные'!$B$71,1)))),(EF38+EF45)*EF41/12,0)</x:f>
      </x:c>
      <x:c r="EG42" s="117">
        <x:f>IF(AND((EG38+EG45)&gt;0,$B$5=1,EG$3&lt;MAX(EDATE($B$8,MAX('Вводные'!$B$69+3,12)+1),IF('Вводные'!$B$71=0,0,EDATE('Вводные'!$B$71,1)))),(EG38+EG45)*EG41/12,0)</x:f>
      </x:c>
      <x:c r="EH42" s="117">
        <x:f>IF(AND((EH38+EH45)&gt;0,$B$5=1,EH$3&lt;MAX(EDATE($B$8,MAX('Вводные'!$B$69+3,12)+1),IF('Вводные'!$B$71=0,0,EDATE('Вводные'!$B$71,1)))),(EH38+EH45)*EH41/12,0)</x:f>
      </x:c>
      <x:c r="EI42" s="117">
        <x:f>IF(AND((EI38+EI45)&gt;0,$B$5=1,EI$3&lt;MAX(EDATE($B$8,MAX('Вводные'!$B$69+3,12)+1),IF('Вводные'!$B$71=0,0,EDATE('Вводные'!$B$71,1)))),(EI38+EI45)*EI41/12,0)</x:f>
      </x:c>
      <x:c r="EJ42" s="117">
        <x:f>IF(AND((EJ38+EJ45)&gt;0,$B$5=1,EJ$3&lt;MAX(EDATE($B$8,MAX('Вводные'!$B$69+3,12)+1),IF('Вводные'!$B$71=0,0,EDATE('Вводные'!$B$71,1)))),(EJ38+EJ45)*EJ41/12,0)</x:f>
      </x:c>
      <x:c r="EK42" s="117">
        <x:f>IF(AND((EK38+EK45)&gt;0,$B$5=1,EK$3&lt;MAX(EDATE($B$8,MAX('Вводные'!$B$69+3,12)+1),IF('Вводные'!$B$71=0,0,EDATE('Вводные'!$B$71,1)))),(EK38+EK45)*EK41/12,0)</x:f>
      </x:c>
      <x:c r="EL42" s="117">
        <x:f>IF(AND((EL38+EL45)&gt;0,$B$5=1,EL$3&lt;MAX(EDATE($B$8,MAX('Вводные'!$B$69+3,12)+1),IF('Вводные'!$B$71=0,0,EDATE('Вводные'!$B$71,1)))),(EL38+EL45)*EL41/12,0)</x:f>
      </x:c>
      <x:c r="EM42" s="117">
        <x:f>IF(AND((EM38+EM45)&gt;0,$B$5=1,EM$3&lt;MAX(EDATE($B$8,MAX('Вводные'!$B$69+3,12)+1),IF('Вводные'!$B$71=0,0,EDATE('Вводные'!$B$71,1)))),(EM38+EM45)*EM41/12,0)</x:f>
      </x:c>
      <x:c r="EN42" s="117">
        <x:f>IF(AND((EN38+EN45)&gt;0,$B$5=1,EN$3&lt;MAX(EDATE($B$8,MAX('Вводные'!$B$69+3,12)+1),IF('Вводные'!$B$71=0,0,EDATE('Вводные'!$B$71,1)))),(EN38+EN45)*EN41/12,0)</x:f>
      </x:c>
      <x:c r="EO42" s="117">
        <x:f>IF(AND((EO38+EO45)&gt;0,$B$5=1,EO$3&lt;MAX(EDATE($B$8,MAX('Вводные'!$B$69+3,12)+1),IF('Вводные'!$B$71=0,0,EDATE('Вводные'!$B$71,1)))),(EO38+EO45)*EO41/12,0)</x:f>
      </x:c>
      <x:c r="EP42" s="117">
        <x:f>IF(AND((EP38+EP45)&gt;0,$B$5=1,EP$3&lt;MAX(EDATE($B$8,MAX('Вводные'!$B$69+3,12)+1),IF('Вводные'!$B$71=0,0,EDATE('Вводные'!$B$71,1)))),(EP38+EP45)*EP41/12,0)</x:f>
      </x:c>
      <x:c r="EQ42" s="117">
        <x:f>IF(AND((EQ38+EQ45)&gt;0,$B$5=1,EQ$3&lt;MAX(EDATE($B$8,MAX('Вводные'!$B$69+3,12)+1),IF('Вводные'!$B$71=0,0,EDATE('Вводные'!$B$71,1)))),(EQ38+EQ45)*EQ41/12,0)</x:f>
      </x:c>
      <x:c r="ER42" s="117">
        <x:f>IF(AND((ER38+ER45)&gt;0,$B$5=1,ER$3&lt;MAX(EDATE($B$8,MAX('Вводные'!$B$69+3,12)+1),IF('Вводные'!$B$71=0,0,EDATE('Вводные'!$B$71,1)))),(ER38+ER45)*ER41/12,0)</x:f>
      </x:c>
      <x:c r="ES42" s="117">
        <x:f>IF(AND((ES38+ES45)&gt;0,$B$5=1,ES$3&lt;MAX(EDATE($B$8,MAX('Вводные'!$B$69+3,12)+1),IF('Вводные'!$B$71=0,0,EDATE('Вводные'!$B$71,1)))),(ES38+ES45)*ES41/12,0)</x:f>
      </x:c>
      <x:c r="ET42" s="117">
        <x:f>IF(AND((ET38+ET45)&gt;0,$B$5=1,ET$3&lt;MAX(EDATE($B$8,MAX('Вводные'!$B$69+3,12)+1),IF('Вводные'!$B$71=0,0,EDATE('Вводные'!$B$71,1)))),(ET38+ET45)*ET41/12,0)</x:f>
      </x:c>
      <x:c r="EU42" s="117">
        <x:f>IF(AND((EU38+EU45)&gt;0,$B$5=1,EU$3&lt;MAX(EDATE($B$8,MAX('Вводные'!$B$69+3,12)+1),IF('Вводные'!$B$71=0,0,EDATE('Вводные'!$B$71,1)))),(EU38+EU45)*EU41/12,0)</x:f>
      </x:c>
      <x:c r="EV42" s="117">
        <x:f>IF(AND((EV38+EV45)&gt;0,$B$5=1,EV$3&lt;MAX(EDATE($B$8,MAX('Вводные'!$B$69+3,12)+1),IF('Вводные'!$B$71=0,0,EDATE('Вводные'!$B$71,1)))),(EV38+EV45)*EV41/12,0)</x:f>
      </x:c>
      <x:c r="EW42" s="117">
        <x:f>IF(AND((EW38+EW45)&gt;0,$B$5=1,EW$3&lt;MAX(EDATE($B$8,MAX('Вводные'!$B$69+3,12)+1),IF('Вводные'!$B$71=0,0,EDATE('Вводные'!$B$71,1)))),(EW38+EW45)*EW41/12,0)</x:f>
      </x:c>
      <x:c r="EX42" s="117">
        <x:f>IF(AND((EX38+EX45)&gt;0,$B$5=1,EX$3&lt;MAX(EDATE($B$8,MAX('Вводные'!$B$69+3,12)+1),IF('Вводные'!$B$71=0,0,EDATE('Вводные'!$B$71,1)))),(EX38+EX45)*EX41/12,0)</x:f>
      </x:c>
      <x:c r="EY42" s="117">
        <x:f>IF(AND((EY38+EY45)&gt;0,$B$5=1,EY$3&lt;MAX(EDATE($B$8,MAX('Вводные'!$B$69+3,12)+1),IF('Вводные'!$B$71=0,0,EDATE('Вводные'!$B$71,1)))),(EY38+EY45)*EY41/12,0)</x:f>
      </x:c>
      <x:c r="EZ42" s="117">
        <x:f>IF(AND((EZ38+EZ45)&gt;0,$B$5=1,EZ$3&lt;MAX(EDATE($B$8,MAX('Вводные'!$B$69+3,12)+1),IF('Вводные'!$B$71=0,0,EDATE('Вводные'!$B$71,1)))),(EZ38+EZ45)*EZ41/12,0)</x:f>
      </x:c>
      <x:c r="FA42" s="117">
        <x:f>IF(AND((FA38+FA45)&gt;0,$B$5=1,FA$3&lt;MAX(EDATE($B$8,MAX('Вводные'!$B$69+3,12)+1),IF('Вводные'!$B$71=0,0,EDATE('Вводные'!$B$71,1)))),(FA38+FA45)*FA41/12,0)</x:f>
      </x:c>
      <x:c r="FB42" s="117">
        <x:f>IF(AND((FB38+FB45)&gt;0,$B$5=1,FB$3&lt;MAX(EDATE($B$8,MAX('Вводные'!$B$69+3,12)+1),IF('Вводные'!$B$71=0,0,EDATE('Вводные'!$B$71,1)))),(FB38+FB45)*FB41/12,0)</x:f>
      </x:c>
      <x:c r="FC42" s="117">
        <x:f>IF(AND((FC38+FC45)&gt;0,$B$5=1,FC$3&lt;MAX(EDATE($B$8,MAX('Вводные'!$B$69+3,12)+1),IF('Вводные'!$B$71=0,0,EDATE('Вводные'!$B$71,1)))),(FC38+FC45)*FC41/12,0)</x:f>
      </x:c>
      <x:c r="FD42" s="117">
        <x:f>IF(AND((FD38+FD45)&gt;0,$B$5=1,FD$3&lt;MAX(EDATE($B$8,MAX('Вводные'!$B$69+3,12)+1),IF('Вводные'!$B$71=0,0,EDATE('Вводные'!$B$71,1)))),(FD38+FD45)*FD41/12,0)</x:f>
      </x:c>
      <x:c r="FE42" s="117">
        <x:f>IF(AND((FE38+FE45)&gt;0,$B$5=1,FE$3&lt;MAX(EDATE($B$8,MAX('Вводные'!$B$69+3,12)+1),IF('Вводные'!$B$71=0,0,EDATE('Вводные'!$B$71,1)))),(FE38+FE45)*FE41/12,0)</x:f>
      </x:c>
      <x:c r="FF42" s="117">
        <x:f>IF(AND((FF38+FF45)&gt;0,$B$5=1,FF$3&lt;MAX(EDATE($B$8,MAX('Вводные'!$B$69+3,12)+1),IF('Вводные'!$B$71=0,0,EDATE('Вводные'!$B$71,1)))),(FF38+FF45)*FF41/12,0)</x:f>
      </x:c>
      <x:c r="FG42" s="117">
        <x:f>IF(AND((FG38+FG45)&gt;0,$B$5=1,FG$3&lt;MAX(EDATE($B$8,MAX('Вводные'!$B$69+3,12)+1),IF('Вводные'!$B$71=0,0,EDATE('Вводные'!$B$71,1)))),(FG38+FG45)*FG41/12,0)</x:f>
      </x:c>
      <x:c r="FH42" s="117">
        <x:f>IF(AND((FH38+FH45)&gt;0,$B$5=1,FH$3&lt;MAX(EDATE($B$8,MAX('Вводные'!$B$69+3,12)+1),IF('Вводные'!$B$71=0,0,EDATE('Вводные'!$B$71,1)))),(FH38+FH45)*FH41/12,0)</x:f>
      </x:c>
      <x:c r="FI42" s="117">
        <x:f>IF(AND((FI38+FI45)&gt;0,$B$5=1,FI$3&lt;MAX(EDATE($B$8,MAX('Вводные'!$B$69+3,12)+1),IF('Вводные'!$B$71=0,0,EDATE('Вводные'!$B$71,1)))),(FI38+FI45)*FI41/12,0)</x:f>
      </x:c>
      <x:c r="FJ42" s="117">
        <x:f>IF(AND((FJ38+FJ45)&gt;0,$B$5=1,FJ$3&lt;MAX(EDATE($B$8,MAX('Вводные'!$B$69+3,12)+1),IF('Вводные'!$B$71=0,0,EDATE('Вводные'!$B$71,1)))),(FJ38+FJ45)*FJ41/12,0)</x:f>
      </x:c>
      <x:c r="FK42" s="117">
        <x:f>IF(AND((FK38+FK45)&gt;0,$B$5=1,FK$3&lt;MAX(EDATE($B$8,MAX('Вводные'!$B$69+3,12)+1),IF('Вводные'!$B$71=0,0,EDATE('Вводные'!$B$71,1)))),(FK38+FK45)*FK41/12,0)</x:f>
      </x:c>
      <x:c r="FL42" s="117">
        <x:f>IF(AND((FL38+FL45)&gt;0,$B$5=1,FL$3&lt;MAX(EDATE($B$8,MAX('Вводные'!$B$69+3,12)+1),IF('Вводные'!$B$71=0,0,EDATE('Вводные'!$B$71,1)))),(FL38+FL45)*FL41/12,0)</x:f>
      </x:c>
      <x:c r="FM42" s="117">
        <x:f>IF(AND((FM38+FM45)&gt;0,$B$5=1,FM$3&lt;MAX(EDATE($B$8,MAX('Вводные'!$B$69+3,12)+1),IF('Вводные'!$B$71=0,0,EDATE('Вводные'!$B$71,1)))),(FM38+FM45)*FM41/12,0)</x:f>
      </x:c>
      <x:c r="FN42" s="117">
        <x:f>IF(AND((FN38+FN45)&gt;0,$B$5=1,FN$3&lt;MAX(EDATE($B$8,MAX('Вводные'!$B$69+3,12)+1),IF('Вводные'!$B$71=0,0,EDATE('Вводные'!$B$71,1)))),(FN38+FN45)*FN41/12,0)</x:f>
      </x:c>
      <x:c r="FO42" s="117">
        <x:f>IF(AND((FO38+FO45)&gt;0,$B$5=1,FO$3&lt;MAX(EDATE($B$8,MAX('Вводные'!$B$69+3,12)+1),IF('Вводные'!$B$71=0,0,EDATE('Вводные'!$B$71,1)))),(FO38+FO45)*FO41/12,0)</x:f>
      </x:c>
      <x:c r="FP42" s="117">
        <x:f>IF(AND((FP38+FP45)&gt;0,$B$5=1,FP$3&lt;MAX(EDATE($B$8,MAX('Вводные'!$B$69+3,12)+1),IF('Вводные'!$B$71=0,0,EDATE('Вводные'!$B$71,1)))),(FP38+FP45)*FP41/12,0)</x:f>
      </x:c>
      <x:c r="FQ42" s="117">
        <x:f>IF(AND((FQ38+FQ45)&gt;0,$B$5=1,FQ$3&lt;MAX(EDATE($B$8,MAX('Вводные'!$B$69+3,12)+1),IF('Вводные'!$B$71=0,0,EDATE('Вводные'!$B$71,1)))),(FQ38+FQ45)*FQ41/12,0)</x:f>
      </x:c>
      <x:c r="FR42" s="117">
        <x:f>IF(AND((FR38+FR45)&gt;0,$B$5=1,FR$3&lt;MAX(EDATE($B$8,MAX('Вводные'!$B$69+3,12)+1),IF('Вводные'!$B$71=0,0,EDATE('Вводные'!$B$71,1)))),(FR38+FR45)*FR41/12,0)</x:f>
      </x:c>
      <x:c r="FS42" s="117">
        <x:f>IF(AND((FS38+FS45)&gt;0,$B$5=1,FS$3&lt;MAX(EDATE($B$8,MAX('Вводные'!$B$69+3,12)+1),IF('Вводные'!$B$71=0,0,EDATE('Вводные'!$B$71,1)))),(FS38+FS45)*FS41/12,0)</x:f>
      </x:c>
      <x:c r="FT42" s="117">
        <x:f>IF(AND((FT38+FT45)&gt;0,$B$5=1,FT$3&lt;MAX(EDATE($B$8,MAX('Вводные'!$B$69+3,12)+1),IF('Вводные'!$B$71=0,0,EDATE('Вводные'!$B$71,1)))),(FT38+FT45)*FT41/12,0)</x:f>
      </x:c>
      <x:c r="FU42" s="117">
        <x:f>IF(AND((FU38+FU45)&gt;0,$B$5=1,FU$3&lt;MAX(EDATE($B$8,MAX('Вводные'!$B$69+3,12)+1),IF('Вводные'!$B$71=0,0,EDATE('Вводные'!$B$71,1)))),(FU38+FU45)*FU41/12,0)</x:f>
      </x:c>
      <x:c r="FV42" s="117">
        <x:f>IF(AND((FV38+FV45)&gt;0,$B$5=1,FV$3&lt;MAX(EDATE($B$8,MAX('Вводные'!$B$69+3,12)+1),IF('Вводные'!$B$71=0,0,EDATE('Вводные'!$B$71,1)))),(FV38+FV45)*FV41/12,0)</x:f>
      </x:c>
      <x:c r="FW42" s="117">
        <x:f>IF(AND((FW38+FW45)&gt;0,$B$5=1,FW$3&lt;MAX(EDATE($B$8,MAX('Вводные'!$B$69+3,12)+1),IF('Вводные'!$B$71=0,0,EDATE('Вводные'!$B$71,1)))),(FW38+FW45)*FW41/12,0)</x:f>
      </x:c>
      <x:c r="FX42" s="117">
        <x:f>IF(AND((FX38+FX45)&gt;0,$B$5=1,FX$3&lt;MAX(EDATE($B$8,MAX('Вводные'!$B$69+3,12)+1),IF('Вводные'!$B$71=0,0,EDATE('Вводные'!$B$71,1)))),(FX38+FX45)*FX41/12,0)</x:f>
      </x:c>
      <x:c r="FY42" s="117">
        <x:f>IF(AND((FY38+FY45)&gt;0,$B$5=1,FY$3&lt;MAX(EDATE($B$8,MAX('Вводные'!$B$69+3,12)+1),IF('Вводные'!$B$71=0,0,EDATE('Вводные'!$B$71,1)))),(FY38+FY45)*FY41/12,0)</x:f>
      </x:c>
      <x:c r="FZ42" s="117">
        <x:f>IF(AND((FZ38+FZ45)&gt;0,$B$5=1,FZ$3&lt;MAX(EDATE($B$8,MAX('Вводные'!$B$69+3,12)+1),IF('Вводные'!$B$71=0,0,EDATE('Вводные'!$B$71,1)))),(FZ38+FZ45)*FZ41/12,0)</x:f>
      </x:c>
      <x:c r="GA42" s="117">
        <x:f>IF(AND((GA38+GA45)&gt;0,$B$5=1,GA$3&lt;MAX(EDATE($B$8,MAX('Вводные'!$B$69+3,12)+1),IF('Вводные'!$B$71=0,0,EDATE('Вводные'!$B$71,1)))),(GA38+GA45)*GA41/12,0)</x:f>
      </x:c>
    </x:row>
    <x:row r="43">
      <x:c r="A43" t="str">
        <x:v>ПФ — плата за лимит</x:v>
      </x:c>
      <x:c r="B43" t="n">
        <x:f>SUM(D43:GA43)</x:f>
      </x:c>
      <x:c r="C43" t="str">
        <x:v>млн ₽</x:v>
      </x:c>
      <x:c r="D43" s="117">
        <x:f>IF(AND(D$3&gt;=$B$7,D$3&lt;$B$8),MAX(0,'Вводные'!$B$26*'Вводные'!$V$90-(D38+D45))*'Вводные'!$B$29/12,0)</x:f>
      </x:c>
      <x:c r="E43" s="117">
        <x:f>IF(AND(E$3&gt;=$B$7,E$3&lt;$B$8),MAX(0,'Вводные'!$B$26*'Вводные'!$V$90-(E38+E45))*'Вводные'!$B$29/12,0)</x:f>
      </x:c>
      <x:c r="F43" s="117">
        <x:f>IF(AND(F$3&gt;=$B$7,F$3&lt;$B$8),MAX(0,'Вводные'!$B$26*'Вводные'!$V$90-(F38+F45))*'Вводные'!$B$29/12,0)</x:f>
      </x:c>
      <x:c r="G43" s="117">
        <x:f>IF(AND(G$3&gt;=$B$7,G$3&lt;$B$8),MAX(0,'Вводные'!$B$26*'Вводные'!$V$90-(G38+G45))*'Вводные'!$B$29/12,0)</x:f>
      </x:c>
      <x:c r="H43" s="117">
        <x:f>IF(AND(H$3&gt;=$B$7,H$3&lt;$B$8),MAX(0,'Вводные'!$B$26*'Вводные'!$V$90-(H38+H45))*'Вводные'!$B$29/12,0)</x:f>
      </x:c>
      <x:c r="I43" s="117">
        <x:f>IF(AND(I$3&gt;=$B$7,I$3&lt;$B$8),MAX(0,'Вводные'!$B$26*'Вводные'!$V$90-(I38+I45))*'Вводные'!$B$29/12,0)</x:f>
      </x:c>
      <x:c r="J43" s="117">
        <x:f>IF(AND(J$3&gt;=$B$7,J$3&lt;$B$8),MAX(0,'Вводные'!$B$26*'Вводные'!$V$90-(J38+J45))*'Вводные'!$B$29/12,0)</x:f>
      </x:c>
      <x:c r="K43" s="117">
        <x:f>IF(AND(K$3&gt;=$B$7,K$3&lt;$B$8),MAX(0,'Вводные'!$B$26*'Вводные'!$V$90-(K38+K45))*'Вводные'!$B$29/12,0)</x:f>
      </x:c>
      <x:c r="L43" s="117">
        <x:f>IF(AND(L$3&gt;=$B$7,L$3&lt;$B$8),MAX(0,'Вводные'!$B$26*'Вводные'!$V$90-(L38+L45))*'Вводные'!$B$29/12,0)</x:f>
      </x:c>
      <x:c r="M43" s="117">
        <x:f>IF(AND(M$3&gt;=$B$7,M$3&lt;$B$8),MAX(0,'Вводные'!$B$26*'Вводные'!$V$90-(M38+M45))*'Вводные'!$B$29/12,0)</x:f>
      </x:c>
      <x:c r="N43" s="117">
        <x:f>IF(AND(N$3&gt;=$B$7,N$3&lt;$B$8),MAX(0,'Вводные'!$B$26*'Вводные'!$V$90-(N38+N45))*'Вводные'!$B$29/12,0)</x:f>
      </x:c>
      <x:c r="O43" s="117">
        <x:f>IF(AND(O$3&gt;=$B$7,O$3&lt;$B$8),MAX(0,'Вводные'!$B$26*'Вводные'!$V$90-(O38+O45))*'Вводные'!$B$29/12,0)</x:f>
      </x:c>
      <x:c r="P43" s="117">
        <x:f>IF(AND(P$3&gt;=$B$7,P$3&lt;$B$8),MAX(0,'Вводные'!$B$26*'Вводные'!$V$90-(P38+P45))*'Вводные'!$B$29/12,0)</x:f>
      </x:c>
      <x:c r="Q43" s="117">
        <x:f>IF(AND(Q$3&gt;=$B$7,Q$3&lt;$B$8),MAX(0,'Вводные'!$B$26*'Вводные'!$V$90-(Q38+Q45))*'Вводные'!$B$29/12,0)</x:f>
      </x:c>
      <x:c r="R43" s="117">
        <x:f>IF(AND(R$3&gt;=$B$7,R$3&lt;$B$8),MAX(0,'Вводные'!$B$26*'Вводные'!$V$90-(R38+R45))*'Вводные'!$B$29/12,0)</x:f>
      </x:c>
      <x:c r="S43" s="117">
        <x:f>IF(AND(S$3&gt;=$B$7,S$3&lt;$B$8),MAX(0,'Вводные'!$B$26*'Вводные'!$V$90-(S38+S45))*'Вводные'!$B$29/12,0)</x:f>
      </x:c>
      <x:c r="T43" s="117">
        <x:f>IF(AND(T$3&gt;=$B$7,T$3&lt;$B$8),MAX(0,'Вводные'!$B$26*'Вводные'!$V$90-(T38+T45))*'Вводные'!$B$29/12,0)</x:f>
      </x:c>
      <x:c r="U43" s="117">
        <x:f>IF(AND(U$3&gt;=$B$7,U$3&lt;$B$8),MAX(0,'Вводные'!$B$26*'Вводные'!$V$90-(U38+U45))*'Вводные'!$B$29/12,0)</x:f>
      </x:c>
      <x:c r="V43" s="117">
        <x:f>IF(AND(V$3&gt;=$B$7,V$3&lt;$B$8),MAX(0,'Вводные'!$B$26*'Вводные'!$V$90-(V38+V45))*'Вводные'!$B$29/12,0)</x:f>
      </x:c>
      <x:c r="W43" s="117">
        <x:f>IF(AND(W$3&gt;=$B$7,W$3&lt;$B$8),MAX(0,'Вводные'!$B$26*'Вводные'!$V$90-(W38+W45))*'Вводные'!$B$29/12,0)</x:f>
      </x:c>
      <x:c r="X43" s="117">
        <x:f>IF(AND(X$3&gt;=$B$7,X$3&lt;$B$8),MAX(0,'Вводные'!$B$26*'Вводные'!$V$90-(X38+X45))*'Вводные'!$B$29/12,0)</x:f>
      </x:c>
      <x:c r="Y43" s="117">
        <x:f>IF(AND(Y$3&gt;=$B$7,Y$3&lt;$B$8),MAX(0,'Вводные'!$B$26*'Вводные'!$V$90-(Y38+Y45))*'Вводные'!$B$29/12,0)</x:f>
      </x:c>
      <x:c r="Z43" s="117">
        <x:f>IF(AND(Z$3&gt;=$B$7,Z$3&lt;$B$8),MAX(0,'Вводные'!$B$26*'Вводные'!$V$90-(Z38+Z45))*'Вводные'!$B$29/12,0)</x:f>
      </x:c>
      <x:c r="AA43" s="117">
        <x:f>IF(AND(AA$3&gt;=$B$7,AA$3&lt;$B$8),MAX(0,'Вводные'!$B$26*'Вводные'!$V$90-(AA38+AA45))*'Вводные'!$B$29/12,0)</x:f>
      </x:c>
      <x:c r="AB43" s="117">
        <x:f>IF(AND(AB$3&gt;=$B$7,AB$3&lt;$B$8),MAX(0,'Вводные'!$B$26*'Вводные'!$V$90-(AB38+AB45))*'Вводные'!$B$29/12,0)</x:f>
      </x:c>
      <x:c r="AC43" s="117">
        <x:f>IF(AND(AC$3&gt;=$B$7,AC$3&lt;$B$8),MAX(0,'Вводные'!$B$26*'Вводные'!$V$90-(AC38+AC45))*'Вводные'!$B$29/12,0)</x:f>
      </x:c>
      <x:c r="AD43" s="117">
        <x:f>IF(AND(AD$3&gt;=$B$7,AD$3&lt;$B$8),MAX(0,'Вводные'!$B$26*'Вводные'!$V$90-(AD38+AD45))*'Вводные'!$B$29/12,0)</x:f>
      </x:c>
      <x:c r="AE43" s="117">
        <x:f>IF(AND(AE$3&gt;=$B$7,AE$3&lt;$B$8),MAX(0,'Вводные'!$B$26*'Вводные'!$V$90-(AE38+AE45))*'Вводные'!$B$29/12,0)</x:f>
      </x:c>
      <x:c r="AF43" s="117">
        <x:f>IF(AND(AF$3&gt;=$B$7,AF$3&lt;$B$8),MAX(0,'Вводные'!$B$26*'Вводные'!$V$90-(AF38+AF45))*'Вводные'!$B$29/12,0)</x:f>
      </x:c>
      <x:c r="AG43" s="117">
        <x:f>IF(AND(AG$3&gt;=$B$7,AG$3&lt;$B$8),MAX(0,'Вводные'!$B$26*'Вводные'!$V$90-(AG38+AG45))*'Вводные'!$B$29/12,0)</x:f>
      </x:c>
      <x:c r="AH43" s="117">
        <x:f>IF(AND(AH$3&gt;=$B$7,AH$3&lt;$B$8),MAX(0,'Вводные'!$B$26*'Вводные'!$V$90-(AH38+AH45))*'Вводные'!$B$29/12,0)</x:f>
      </x:c>
      <x:c r="AI43" s="117">
        <x:f>IF(AND(AI$3&gt;=$B$7,AI$3&lt;$B$8),MAX(0,'Вводные'!$B$26*'Вводные'!$V$90-(AI38+AI45))*'Вводные'!$B$29/12,0)</x:f>
      </x:c>
      <x:c r="AJ43" s="117">
        <x:f>IF(AND(AJ$3&gt;=$B$7,AJ$3&lt;$B$8),MAX(0,'Вводные'!$B$26*'Вводные'!$V$90-(AJ38+AJ45))*'Вводные'!$B$29/12,0)</x:f>
      </x:c>
      <x:c r="AK43" s="117">
        <x:f>IF(AND(AK$3&gt;=$B$7,AK$3&lt;$B$8),MAX(0,'Вводные'!$B$26*'Вводные'!$V$90-(AK38+AK45))*'Вводные'!$B$29/12,0)</x:f>
      </x:c>
      <x:c r="AL43" s="117">
        <x:f>IF(AND(AL$3&gt;=$B$7,AL$3&lt;$B$8),MAX(0,'Вводные'!$B$26*'Вводные'!$V$90-(AL38+AL45))*'Вводные'!$B$29/12,0)</x:f>
      </x:c>
      <x:c r="AM43" s="117">
        <x:f>IF(AND(AM$3&gt;=$B$7,AM$3&lt;$B$8),MAX(0,'Вводные'!$B$26*'Вводные'!$V$90-(AM38+AM45))*'Вводные'!$B$29/12,0)</x:f>
      </x:c>
      <x:c r="AN43" s="117">
        <x:f>IF(AND(AN$3&gt;=$B$7,AN$3&lt;$B$8),MAX(0,'Вводные'!$B$26*'Вводные'!$V$90-(AN38+AN45))*'Вводные'!$B$29/12,0)</x:f>
      </x:c>
      <x:c r="AO43" s="117">
        <x:f>IF(AND(AO$3&gt;=$B$7,AO$3&lt;$B$8),MAX(0,'Вводные'!$B$26*'Вводные'!$V$90-(AO38+AO45))*'Вводные'!$B$29/12,0)</x:f>
      </x:c>
      <x:c r="AP43" s="117">
        <x:f>IF(AND(AP$3&gt;=$B$7,AP$3&lt;$B$8),MAX(0,'Вводные'!$B$26*'Вводные'!$V$90-(AP38+AP45))*'Вводные'!$B$29/12,0)</x:f>
      </x:c>
      <x:c r="AQ43" s="117">
        <x:f>IF(AND(AQ$3&gt;=$B$7,AQ$3&lt;$B$8),MAX(0,'Вводные'!$B$26*'Вводные'!$V$90-(AQ38+AQ45))*'Вводные'!$B$29/12,0)</x:f>
      </x:c>
      <x:c r="AR43" s="117">
        <x:f>IF(AND(AR$3&gt;=$B$7,AR$3&lt;$B$8),MAX(0,'Вводные'!$B$26*'Вводные'!$V$90-(AR38+AR45))*'Вводные'!$B$29/12,0)</x:f>
      </x:c>
      <x:c r="AS43" s="117">
        <x:f>IF(AND(AS$3&gt;=$B$7,AS$3&lt;$B$8),MAX(0,'Вводные'!$B$26*'Вводные'!$V$90-(AS38+AS45))*'Вводные'!$B$29/12,0)</x:f>
      </x:c>
      <x:c r="AT43" s="117">
        <x:f>IF(AND(AT$3&gt;=$B$7,AT$3&lt;$B$8),MAX(0,'Вводные'!$B$26*'Вводные'!$V$90-(AT38+AT45))*'Вводные'!$B$29/12,0)</x:f>
      </x:c>
      <x:c r="AU43" s="117">
        <x:f>IF(AND(AU$3&gt;=$B$7,AU$3&lt;$B$8),MAX(0,'Вводные'!$B$26*'Вводные'!$V$90-(AU38+AU45))*'Вводные'!$B$29/12,0)</x:f>
      </x:c>
      <x:c r="AV43" s="117">
        <x:f>IF(AND(AV$3&gt;=$B$7,AV$3&lt;$B$8),MAX(0,'Вводные'!$B$26*'Вводные'!$V$90-(AV38+AV45))*'Вводные'!$B$29/12,0)</x:f>
      </x:c>
      <x:c r="AW43" s="117">
        <x:f>IF(AND(AW$3&gt;=$B$7,AW$3&lt;$B$8),MAX(0,'Вводные'!$B$26*'Вводные'!$V$90-(AW38+AW45))*'Вводные'!$B$29/12,0)</x:f>
      </x:c>
      <x:c r="AX43" s="117">
        <x:f>IF(AND(AX$3&gt;=$B$7,AX$3&lt;$B$8),MAX(0,'Вводные'!$B$26*'Вводные'!$V$90-(AX38+AX45))*'Вводные'!$B$29/12,0)</x:f>
      </x:c>
      <x:c r="AY43" s="117">
        <x:f>IF(AND(AY$3&gt;=$B$7,AY$3&lt;$B$8),MAX(0,'Вводные'!$B$26*'Вводные'!$V$90-(AY38+AY45))*'Вводные'!$B$29/12,0)</x:f>
      </x:c>
      <x:c r="AZ43" s="117">
        <x:f>IF(AND(AZ$3&gt;=$B$7,AZ$3&lt;$B$8),MAX(0,'Вводные'!$B$26*'Вводные'!$V$90-(AZ38+AZ45))*'Вводные'!$B$29/12,0)</x:f>
      </x:c>
      <x:c r="BA43" s="117">
        <x:f>IF(AND(BA$3&gt;=$B$7,BA$3&lt;$B$8),MAX(0,'Вводные'!$B$26*'Вводные'!$V$90-(BA38+BA45))*'Вводные'!$B$29/12,0)</x:f>
      </x:c>
      <x:c r="BB43" s="117">
        <x:f>IF(AND(BB$3&gt;=$B$7,BB$3&lt;$B$8),MAX(0,'Вводные'!$B$26*'Вводные'!$V$90-(BB38+BB45))*'Вводные'!$B$29/12,0)</x:f>
      </x:c>
      <x:c r="BC43" s="117">
        <x:f>IF(AND(BC$3&gt;=$B$7,BC$3&lt;$B$8),MAX(0,'Вводные'!$B$26*'Вводные'!$V$90-(BC38+BC45))*'Вводные'!$B$29/12,0)</x:f>
      </x:c>
      <x:c r="BD43" s="117">
        <x:f>IF(AND(BD$3&gt;=$B$7,BD$3&lt;$B$8),MAX(0,'Вводные'!$B$26*'Вводные'!$V$90-(BD38+BD45))*'Вводные'!$B$29/12,0)</x:f>
      </x:c>
      <x:c r="BE43" s="117">
        <x:f>IF(AND(BE$3&gt;=$B$7,BE$3&lt;$B$8),MAX(0,'Вводные'!$B$26*'Вводные'!$V$90-(BE38+BE45))*'Вводные'!$B$29/12,0)</x:f>
      </x:c>
      <x:c r="BF43" s="117">
        <x:f>IF(AND(BF$3&gt;=$B$7,BF$3&lt;$B$8),MAX(0,'Вводные'!$B$26*'Вводные'!$V$90-(BF38+BF45))*'Вводные'!$B$29/12,0)</x:f>
      </x:c>
      <x:c r="BG43" s="117">
        <x:f>IF(AND(BG$3&gt;=$B$7,BG$3&lt;$B$8),MAX(0,'Вводные'!$B$26*'Вводные'!$V$90-(BG38+BG45))*'Вводные'!$B$29/12,0)</x:f>
      </x:c>
      <x:c r="BH43" s="117">
        <x:f>IF(AND(BH$3&gt;=$B$7,BH$3&lt;$B$8),MAX(0,'Вводные'!$B$26*'Вводные'!$V$90-(BH38+BH45))*'Вводные'!$B$29/12,0)</x:f>
      </x:c>
      <x:c r="BI43" s="117">
        <x:f>IF(AND(BI$3&gt;=$B$7,BI$3&lt;$B$8),MAX(0,'Вводные'!$B$26*'Вводные'!$V$90-(BI38+BI45))*'Вводные'!$B$29/12,0)</x:f>
      </x:c>
      <x:c r="BJ43" s="117">
        <x:f>IF(AND(BJ$3&gt;=$B$7,BJ$3&lt;$B$8),MAX(0,'Вводные'!$B$26*'Вводные'!$V$90-(BJ38+BJ45))*'Вводные'!$B$29/12,0)</x:f>
      </x:c>
      <x:c r="BK43" s="117">
        <x:f>IF(AND(BK$3&gt;=$B$7,BK$3&lt;$B$8),MAX(0,'Вводные'!$B$26*'Вводные'!$V$90-(BK38+BK45))*'Вводные'!$B$29/12,0)</x:f>
      </x:c>
      <x:c r="BL43" s="117">
        <x:f>IF(AND(BL$3&gt;=$B$7,BL$3&lt;$B$8),MAX(0,'Вводные'!$B$26*'Вводные'!$V$90-(BL38+BL45))*'Вводные'!$B$29/12,0)</x:f>
      </x:c>
      <x:c r="BM43" s="117">
        <x:f>IF(AND(BM$3&gt;=$B$7,BM$3&lt;$B$8),MAX(0,'Вводные'!$B$26*'Вводные'!$V$90-(BM38+BM45))*'Вводные'!$B$29/12,0)</x:f>
      </x:c>
      <x:c r="BN43" s="117">
        <x:f>IF(AND(BN$3&gt;=$B$7,BN$3&lt;$B$8),MAX(0,'Вводные'!$B$26*'Вводные'!$V$90-(BN38+BN45))*'Вводные'!$B$29/12,0)</x:f>
      </x:c>
      <x:c r="BO43" s="117">
        <x:f>IF(AND(BO$3&gt;=$B$7,BO$3&lt;$B$8),MAX(0,'Вводные'!$B$26*'Вводные'!$V$90-(BO38+BO45))*'Вводные'!$B$29/12,0)</x:f>
      </x:c>
      <x:c r="BP43" s="117">
        <x:f>IF(AND(BP$3&gt;=$B$7,BP$3&lt;$B$8),MAX(0,'Вводные'!$B$26*'Вводные'!$V$90-(BP38+BP45))*'Вводные'!$B$29/12,0)</x:f>
      </x:c>
      <x:c r="BQ43" s="117">
        <x:f>IF(AND(BQ$3&gt;=$B$7,BQ$3&lt;$B$8),MAX(0,'Вводные'!$B$26*'Вводные'!$V$90-(BQ38+BQ45))*'Вводные'!$B$29/12,0)</x:f>
      </x:c>
      <x:c r="BR43" s="117">
        <x:f>IF(AND(BR$3&gt;=$B$7,BR$3&lt;$B$8),MAX(0,'Вводные'!$B$26*'Вводные'!$V$90-(BR38+BR45))*'Вводные'!$B$29/12,0)</x:f>
      </x:c>
      <x:c r="BS43" s="117">
        <x:f>IF(AND(BS$3&gt;=$B$7,BS$3&lt;$B$8),MAX(0,'Вводные'!$B$26*'Вводные'!$V$90-(BS38+BS45))*'Вводные'!$B$29/12,0)</x:f>
      </x:c>
      <x:c r="BT43" s="117">
        <x:f>IF(AND(BT$3&gt;=$B$7,BT$3&lt;$B$8),MAX(0,'Вводные'!$B$26*'Вводные'!$V$90-(BT38+BT45))*'Вводные'!$B$29/12,0)</x:f>
      </x:c>
      <x:c r="BU43" s="117">
        <x:f>IF(AND(BU$3&gt;=$B$7,BU$3&lt;$B$8),MAX(0,'Вводные'!$B$26*'Вводные'!$V$90-(BU38+BU45))*'Вводные'!$B$29/12,0)</x:f>
      </x:c>
      <x:c r="BV43" s="117">
        <x:f>IF(AND(BV$3&gt;=$B$7,BV$3&lt;$B$8),MAX(0,'Вводные'!$B$26*'Вводные'!$V$90-(BV38+BV45))*'Вводные'!$B$29/12,0)</x:f>
      </x:c>
      <x:c r="BW43" s="117">
        <x:f>IF(AND(BW$3&gt;=$B$7,BW$3&lt;$B$8),MAX(0,'Вводные'!$B$26*'Вводные'!$V$90-(BW38+BW45))*'Вводные'!$B$29/12,0)</x:f>
      </x:c>
      <x:c r="BX43" s="117">
        <x:f>IF(AND(BX$3&gt;=$B$7,BX$3&lt;$B$8),MAX(0,'Вводные'!$B$26*'Вводные'!$V$90-(BX38+BX45))*'Вводные'!$B$29/12,0)</x:f>
      </x:c>
      <x:c r="BY43" s="117">
        <x:f>IF(AND(BY$3&gt;=$B$7,BY$3&lt;$B$8),MAX(0,'Вводные'!$B$26*'Вводные'!$V$90-(BY38+BY45))*'Вводные'!$B$29/12,0)</x:f>
      </x:c>
      <x:c r="BZ43" s="117">
        <x:f>IF(AND(BZ$3&gt;=$B$7,BZ$3&lt;$B$8),MAX(0,'Вводные'!$B$26*'Вводные'!$V$90-(BZ38+BZ45))*'Вводные'!$B$29/12,0)</x:f>
      </x:c>
      <x:c r="CA43" s="117">
        <x:f>IF(AND(CA$3&gt;=$B$7,CA$3&lt;$B$8),MAX(0,'Вводные'!$B$26*'Вводные'!$V$90-(CA38+CA45))*'Вводные'!$B$29/12,0)</x:f>
      </x:c>
      <x:c r="CB43" s="117">
        <x:f>IF(AND(CB$3&gt;=$B$7,CB$3&lt;$B$8),MAX(0,'Вводные'!$B$26*'Вводные'!$V$90-(CB38+CB45))*'Вводные'!$B$29/12,0)</x:f>
      </x:c>
      <x:c r="CC43" s="117">
        <x:f>IF(AND(CC$3&gt;=$B$7,CC$3&lt;$B$8),MAX(0,'Вводные'!$B$26*'Вводные'!$V$90-(CC38+CC45))*'Вводные'!$B$29/12,0)</x:f>
      </x:c>
      <x:c r="CD43" s="117">
        <x:f>IF(AND(CD$3&gt;=$B$7,CD$3&lt;$B$8),MAX(0,'Вводные'!$B$26*'Вводные'!$V$90-(CD38+CD45))*'Вводные'!$B$29/12,0)</x:f>
      </x:c>
      <x:c r="CE43" s="117">
        <x:f>IF(AND(CE$3&gt;=$B$7,CE$3&lt;$B$8),MAX(0,'Вводные'!$B$26*'Вводные'!$V$90-(CE38+CE45))*'Вводные'!$B$29/12,0)</x:f>
      </x:c>
      <x:c r="CF43" s="117">
        <x:f>IF(AND(CF$3&gt;=$B$7,CF$3&lt;$B$8),MAX(0,'Вводные'!$B$26*'Вводные'!$V$90-(CF38+CF45))*'Вводные'!$B$29/12,0)</x:f>
      </x:c>
      <x:c r="CG43" s="117">
        <x:f>IF(AND(CG$3&gt;=$B$7,CG$3&lt;$B$8),MAX(0,'Вводные'!$B$26*'Вводные'!$V$90-(CG38+CG45))*'Вводные'!$B$29/12,0)</x:f>
      </x:c>
      <x:c r="CH43" s="117">
        <x:f>IF(AND(CH$3&gt;=$B$7,CH$3&lt;$B$8),MAX(0,'Вводные'!$B$26*'Вводные'!$V$90-(CH38+CH45))*'Вводные'!$B$29/12,0)</x:f>
      </x:c>
      <x:c r="CI43" s="117">
        <x:f>IF(AND(CI$3&gt;=$B$7,CI$3&lt;$B$8),MAX(0,'Вводные'!$B$26*'Вводные'!$V$90-(CI38+CI45))*'Вводные'!$B$29/12,0)</x:f>
      </x:c>
      <x:c r="CJ43" s="117">
        <x:f>IF(AND(CJ$3&gt;=$B$7,CJ$3&lt;$B$8),MAX(0,'Вводные'!$B$26*'Вводные'!$V$90-(CJ38+CJ45))*'Вводные'!$B$29/12,0)</x:f>
      </x:c>
      <x:c r="CK43" s="117">
        <x:f>IF(AND(CK$3&gt;=$B$7,CK$3&lt;$B$8),MAX(0,'Вводные'!$B$26*'Вводные'!$V$90-(CK38+CK45))*'Вводные'!$B$29/12,0)</x:f>
      </x:c>
      <x:c r="CL43" s="117">
        <x:f>IF(AND(CL$3&gt;=$B$7,CL$3&lt;$B$8),MAX(0,'Вводные'!$B$26*'Вводные'!$V$90-(CL38+CL45))*'Вводные'!$B$29/12,0)</x:f>
      </x:c>
      <x:c r="CM43" s="117">
        <x:f>IF(AND(CM$3&gt;=$B$7,CM$3&lt;$B$8),MAX(0,'Вводные'!$B$26*'Вводные'!$V$90-(CM38+CM45))*'Вводные'!$B$29/12,0)</x:f>
      </x:c>
      <x:c r="CN43" s="117">
        <x:f>IF(AND(CN$3&gt;=$B$7,CN$3&lt;$B$8),MAX(0,'Вводные'!$B$26*'Вводные'!$V$90-(CN38+CN45))*'Вводные'!$B$29/12,0)</x:f>
      </x:c>
      <x:c r="CO43" s="117">
        <x:f>IF(AND(CO$3&gt;=$B$7,CO$3&lt;$B$8),MAX(0,'Вводные'!$B$26*'Вводные'!$V$90-(CO38+CO45))*'Вводные'!$B$29/12,0)</x:f>
      </x:c>
      <x:c r="CP43" s="117">
        <x:f>IF(AND(CP$3&gt;=$B$7,CP$3&lt;$B$8),MAX(0,'Вводные'!$B$26*'Вводные'!$V$90-(CP38+CP45))*'Вводные'!$B$29/12,0)</x:f>
      </x:c>
      <x:c r="CQ43" s="117">
        <x:f>IF(AND(CQ$3&gt;=$B$7,CQ$3&lt;$B$8),MAX(0,'Вводные'!$B$26*'Вводные'!$V$90-(CQ38+CQ45))*'Вводные'!$B$29/12,0)</x:f>
      </x:c>
      <x:c r="CR43" s="117">
        <x:f>IF(AND(CR$3&gt;=$B$7,CR$3&lt;$B$8),MAX(0,'Вводные'!$B$26*'Вводные'!$V$90-(CR38+CR45))*'Вводные'!$B$29/12,0)</x:f>
      </x:c>
      <x:c r="CS43" s="117">
        <x:f>IF(AND(CS$3&gt;=$B$7,CS$3&lt;$B$8),MAX(0,'Вводные'!$B$26*'Вводные'!$V$90-(CS38+CS45))*'Вводные'!$B$29/12,0)</x:f>
      </x:c>
      <x:c r="CT43" s="117">
        <x:f>IF(AND(CT$3&gt;=$B$7,CT$3&lt;$B$8),MAX(0,'Вводные'!$B$26*'Вводные'!$V$90-(CT38+CT45))*'Вводные'!$B$29/12,0)</x:f>
      </x:c>
      <x:c r="CU43" s="117">
        <x:f>IF(AND(CU$3&gt;=$B$7,CU$3&lt;$B$8),MAX(0,'Вводные'!$B$26*'Вводные'!$V$90-(CU38+CU45))*'Вводные'!$B$29/12,0)</x:f>
      </x:c>
      <x:c r="CV43" s="117">
        <x:f>IF(AND(CV$3&gt;=$B$7,CV$3&lt;$B$8),MAX(0,'Вводные'!$B$26*'Вводные'!$V$90-(CV38+CV45))*'Вводные'!$B$29/12,0)</x:f>
      </x:c>
      <x:c r="CW43" s="117">
        <x:f>IF(AND(CW$3&gt;=$B$7,CW$3&lt;$B$8),MAX(0,'Вводные'!$B$26*'Вводные'!$V$90-(CW38+CW45))*'Вводные'!$B$29/12,0)</x:f>
      </x:c>
      <x:c r="CX43" s="117">
        <x:f>IF(AND(CX$3&gt;=$B$7,CX$3&lt;$B$8),MAX(0,'Вводные'!$B$26*'Вводные'!$V$90-(CX38+CX45))*'Вводные'!$B$29/12,0)</x:f>
      </x:c>
      <x:c r="CY43" s="117">
        <x:f>IF(AND(CY$3&gt;=$B$7,CY$3&lt;$B$8),MAX(0,'Вводные'!$B$26*'Вводные'!$V$90-(CY38+CY45))*'Вводные'!$B$29/12,0)</x:f>
      </x:c>
      <x:c r="CZ43" s="117">
        <x:f>IF(AND(CZ$3&gt;=$B$7,CZ$3&lt;$B$8),MAX(0,'Вводные'!$B$26*'Вводные'!$V$90-(CZ38+CZ45))*'Вводные'!$B$29/12,0)</x:f>
      </x:c>
      <x:c r="DA43" s="117">
        <x:f>IF(AND(DA$3&gt;=$B$7,DA$3&lt;$B$8),MAX(0,'Вводные'!$B$26*'Вводные'!$V$90-(DA38+DA45))*'Вводные'!$B$29/12,0)</x:f>
      </x:c>
      <x:c r="DB43" s="117">
        <x:f>IF(AND(DB$3&gt;=$B$7,DB$3&lt;$B$8),MAX(0,'Вводные'!$B$26*'Вводные'!$V$90-(DB38+DB45))*'Вводные'!$B$29/12,0)</x:f>
      </x:c>
      <x:c r="DC43" s="117">
        <x:f>IF(AND(DC$3&gt;=$B$7,DC$3&lt;$B$8),MAX(0,'Вводные'!$B$26*'Вводные'!$V$90-(DC38+DC45))*'Вводные'!$B$29/12,0)</x:f>
      </x:c>
      <x:c r="DD43" s="117">
        <x:f>IF(AND(DD$3&gt;=$B$7,DD$3&lt;$B$8),MAX(0,'Вводные'!$B$26*'Вводные'!$V$90-(DD38+DD45))*'Вводные'!$B$29/12,0)</x:f>
      </x:c>
      <x:c r="DE43" s="117">
        <x:f>IF(AND(DE$3&gt;=$B$7,DE$3&lt;$B$8),MAX(0,'Вводные'!$B$26*'Вводные'!$V$90-(DE38+DE45))*'Вводные'!$B$29/12,0)</x:f>
      </x:c>
      <x:c r="DF43" s="117">
        <x:f>IF(AND(DF$3&gt;=$B$7,DF$3&lt;$B$8),MAX(0,'Вводные'!$B$26*'Вводные'!$V$90-(DF38+DF45))*'Вводные'!$B$29/12,0)</x:f>
      </x:c>
      <x:c r="DG43" s="117">
        <x:f>IF(AND(DG$3&gt;=$B$7,DG$3&lt;$B$8),MAX(0,'Вводные'!$B$26*'Вводные'!$V$90-(DG38+DG45))*'Вводные'!$B$29/12,0)</x:f>
      </x:c>
      <x:c r="DH43" s="117">
        <x:f>IF(AND(DH$3&gt;=$B$7,DH$3&lt;$B$8),MAX(0,'Вводные'!$B$26*'Вводные'!$V$90-(DH38+DH45))*'Вводные'!$B$29/12,0)</x:f>
      </x:c>
      <x:c r="DI43" s="117">
        <x:f>IF(AND(DI$3&gt;=$B$7,DI$3&lt;$B$8),MAX(0,'Вводные'!$B$26*'Вводные'!$V$90-(DI38+DI45))*'Вводные'!$B$29/12,0)</x:f>
      </x:c>
      <x:c r="DJ43" s="117">
        <x:f>IF(AND(DJ$3&gt;=$B$7,DJ$3&lt;$B$8),MAX(0,'Вводные'!$B$26*'Вводные'!$V$90-(DJ38+DJ45))*'Вводные'!$B$29/12,0)</x:f>
      </x:c>
      <x:c r="DK43" s="117">
        <x:f>IF(AND(DK$3&gt;=$B$7,DK$3&lt;$B$8),MAX(0,'Вводные'!$B$26*'Вводные'!$V$90-(DK38+DK45))*'Вводные'!$B$29/12,0)</x:f>
      </x:c>
      <x:c r="DL43" s="117">
        <x:f>IF(AND(DL$3&gt;=$B$7,DL$3&lt;$B$8),MAX(0,'Вводные'!$B$26*'Вводные'!$V$90-(DL38+DL45))*'Вводные'!$B$29/12,0)</x:f>
      </x:c>
      <x:c r="DM43" s="117">
        <x:f>IF(AND(DM$3&gt;=$B$7,DM$3&lt;$B$8),MAX(0,'Вводные'!$B$26*'Вводные'!$V$90-(DM38+DM45))*'Вводные'!$B$29/12,0)</x:f>
      </x:c>
      <x:c r="DN43" s="117">
        <x:f>IF(AND(DN$3&gt;=$B$7,DN$3&lt;$B$8),MAX(0,'Вводные'!$B$26*'Вводные'!$V$90-(DN38+DN45))*'Вводные'!$B$29/12,0)</x:f>
      </x:c>
      <x:c r="DO43" s="117">
        <x:f>IF(AND(DO$3&gt;=$B$7,DO$3&lt;$B$8),MAX(0,'Вводные'!$B$26*'Вводные'!$V$90-(DO38+DO45))*'Вводные'!$B$29/12,0)</x:f>
      </x:c>
      <x:c r="DP43" s="117">
        <x:f>IF(AND(DP$3&gt;=$B$7,DP$3&lt;$B$8),MAX(0,'Вводные'!$B$26*'Вводные'!$V$90-(DP38+DP45))*'Вводные'!$B$29/12,0)</x:f>
      </x:c>
      <x:c r="DQ43" s="117">
        <x:f>IF(AND(DQ$3&gt;=$B$7,DQ$3&lt;$B$8),MAX(0,'Вводные'!$B$26*'Вводные'!$V$90-(DQ38+DQ45))*'Вводные'!$B$29/12,0)</x:f>
      </x:c>
      <x:c r="DR43" s="117">
        <x:f>IF(AND(DR$3&gt;=$B$7,DR$3&lt;$B$8),MAX(0,'Вводные'!$B$26*'Вводные'!$V$90-(DR38+DR45))*'Вводные'!$B$29/12,0)</x:f>
      </x:c>
      <x:c r="DS43" s="117">
        <x:f>IF(AND(DS$3&gt;=$B$7,DS$3&lt;$B$8),MAX(0,'Вводные'!$B$26*'Вводные'!$V$90-(DS38+DS45))*'Вводные'!$B$29/12,0)</x:f>
      </x:c>
      <x:c r="DT43" s="117">
        <x:f>IF(AND(DT$3&gt;=$B$7,DT$3&lt;$B$8),MAX(0,'Вводные'!$B$26*'Вводные'!$V$90-(DT38+DT45))*'Вводные'!$B$29/12,0)</x:f>
      </x:c>
      <x:c r="DU43" s="117">
        <x:f>IF(AND(DU$3&gt;=$B$7,DU$3&lt;$B$8),MAX(0,'Вводные'!$B$26*'Вводные'!$V$90-(DU38+DU45))*'Вводные'!$B$29/12,0)</x:f>
      </x:c>
      <x:c r="DV43" s="117">
        <x:f>IF(AND(DV$3&gt;=$B$7,DV$3&lt;$B$8),MAX(0,'Вводные'!$B$26*'Вводные'!$V$90-(DV38+DV45))*'Вводные'!$B$29/12,0)</x:f>
      </x:c>
      <x:c r="DW43" s="117">
        <x:f>IF(AND(DW$3&gt;=$B$7,DW$3&lt;$B$8),MAX(0,'Вводные'!$B$26*'Вводные'!$V$90-(DW38+DW45))*'Вводные'!$B$29/12,0)</x:f>
      </x:c>
      <x:c r="DX43" s="117">
        <x:f>IF(AND(DX$3&gt;=$B$7,DX$3&lt;$B$8),MAX(0,'Вводные'!$B$26*'Вводные'!$V$90-(DX38+DX45))*'Вводные'!$B$29/12,0)</x:f>
      </x:c>
      <x:c r="DY43" s="117">
        <x:f>IF(AND(DY$3&gt;=$B$7,DY$3&lt;$B$8),MAX(0,'Вводные'!$B$26*'Вводные'!$V$90-(DY38+DY45))*'Вводные'!$B$29/12,0)</x:f>
      </x:c>
      <x:c r="DZ43" s="117">
        <x:f>IF(AND(DZ$3&gt;=$B$7,DZ$3&lt;$B$8),MAX(0,'Вводные'!$B$26*'Вводные'!$V$90-(DZ38+DZ45))*'Вводные'!$B$29/12,0)</x:f>
      </x:c>
      <x:c r="EA43" s="117">
        <x:f>IF(AND(EA$3&gt;=$B$7,EA$3&lt;$B$8),MAX(0,'Вводные'!$B$26*'Вводные'!$V$90-(EA38+EA45))*'Вводные'!$B$29/12,0)</x:f>
      </x:c>
      <x:c r="EB43" s="117">
        <x:f>IF(AND(EB$3&gt;=$B$7,EB$3&lt;$B$8),MAX(0,'Вводные'!$B$26*'Вводные'!$V$90-(EB38+EB45))*'Вводные'!$B$29/12,0)</x:f>
      </x:c>
      <x:c r="EC43" s="117">
        <x:f>IF(AND(EC$3&gt;=$B$7,EC$3&lt;$B$8),MAX(0,'Вводные'!$B$26*'Вводные'!$V$90-(EC38+EC45))*'Вводные'!$B$29/12,0)</x:f>
      </x:c>
      <x:c r="ED43" s="117">
        <x:f>IF(AND(ED$3&gt;=$B$7,ED$3&lt;$B$8),MAX(0,'Вводные'!$B$26*'Вводные'!$V$90-(ED38+ED45))*'Вводные'!$B$29/12,0)</x:f>
      </x:c>
      <x:c r="EE43" s="117">
        <x:f>IF(AND(EE$3&gt;=$B$7,EE$3&lt;$B$8),MAX(0,'Вводные'!$B$26*'Вводные'!$V$90-(EE38+EE45))*'Вводные'!$B$29/12,0)</x:f>
      </x:c>
      <x:c r="EF43" s="117">
        <x:f>IF(AND(EF$3&gt;=$B$7,EF$3&lt;$B$8),MAX(0,'Вводные'!$B$26*'Вводные'!$V$90-(EF38+EF45))*'Вводные'!$B$29/12,0)</x:f>
      </x:c>
      <x:c r="EG43" s="117">
        <x:f>IF(AND(EG$3&gt;=$B$7,EG$3&lt;$B$8),MAX(0,'Вводные'!$B$26*'Вводные'!$V$90-(EG38+EG45))*'Вводные'!$B$29/12,0)</x:f>
      </x:c>
      <x:c r="EH43" s="117">
        <x:f>IF(AND(EH$3&gt;=$B$7,EH$3&lt;$B$8),MAX(0,'Вводные'!$B$26*'Вводные'!$V$90-(EH38+EH45))*'Вводные'!$B$29/12,0)</x:f>
      </x:c>
      <x:c r="EI43" s="117">
        <x:f>IF(AND(EI$3&gt;=$B$7,EI$3&lt;$B$8),MAX(0,'Вводные'!$B$26*'Вводные'!$V$90-(EI38+EI45))*'Вводные'!$B$29/12,0)</x:f>
      </x:c>
      <x:c r="EJ43" s="117">
        <x:f>IF(AND(EJ$3&gt;=$B$7,EJ$3&lt;$B$8),MAX(0,'Вводные'!$B$26*'Вводные'!$V$90-(EJ38+EJ45))*'Вводные'!$B$29/12,0)</x:f>
      </x:c>
      <x:c r="EK43" s="117">
        <x:f>IF(AND(EK$3&gt;=$B$7,EK$3&lt;$B$8),MAX(0,'Вводные'!$B$26*'Вводные'!$V$90-(EK38+EK45))*'Вводные'!$B$29/12,0)</x:f>
      </x:c>
      <x:c r="EL43" s="117">
        <x:f>IF(AND(EL$3&gt;=$B$7,EL$3&lt;$B$8),MAX(0,'Вводные'!$B$26*'Вводные'!$V$90-(EL38+EL45))*'Вводные'!$B$29/12,0)</x:f>
      </x:c>
      <x:c r="EM43" s="117">
        <x:f>IF(AND(EM$3&gt;=$B$7,EM$3&lt;$B$8),MAX(0,'Вводные'!$B$26*'Вводные'!$V$90-(EM38+EM45))*'Вводные'!$B$29/12,0)</x:f>
      </x:c>
      <x:c r="EN43" s="117">
        <x:f>IF(AND(EN$3&gt;=$B$7,EN$3&lt;$B$8),MAX(0,'Вводные'!$B$26*'Вводные'!$V$90-(EN38+EN45))*'Вводные'!$B$29/12,0)</x:f>
      </x:c>
      <x:c r="EO43" s="117">
        <x:f>IF(AND(EO$3&gt;=$B$7,EO$3&lt;$B$8),MAX(0,'Вводные'!$B$26*'Вводные'!$V$90-(EO38+EO45))*'Вводные'!$B$29/12,0)</x:f>
      </x:c>
      <x:c r="EP43" s="117">
        <x:f>IF(AND(EP$3&gt;=$B$7,EP$3&lt;$B$8),MAX(0,'Вводные'!$B$26*'Вводные'!$V$90-(EP38+EP45))*'Вводные'!$B$29/12,0)</x:f>
      </x:c>
      <x:c r="EQ43" s="117">
        <x:f>IF(AND(EQ$3&gt;=$B$7,EQ$3&lt;$B$8),MAX(0,'Вводные'!$B$26*'Вводные'!$V$90-(EQ38+EQ45))*'Вводные'!$B$29/12,0)</x:f>
      </x:c>
      <x:c r="ER43" s="117">
        <x:f>IF(AND(ER$3&gt;=$B$7,ER$3&lt;$B$8),MAX(0,'Вводные'!$B$26*'Вводные'!$V$90-(ER38+ER45))*'Вводные'!$B$29/12,0)</x:f>
      </x:c>
      <x:c r="ES43" s="117">
        <x:f>IF(AND(ES$3&gt;=$B$7,ES$3&lt;$B$8),MAX(0,'Вводные'!$B$26*'Вводные'!$V$90-(ES38+ES45))*'Вводные'!$B$29/12,0)</x:f>
      </x:c>
      <x:c r="ET43" s="117">
        <x:f>IF(AND(ET$3&gt;=$B$7,ET$3&lt;$B$8),MAX(0,'Вводные'!$B$26*'Вводные'!$V$90-(ET38+ET45))*'Вводные'!$B$29/12,0)</x:f>
      </x:c>
      <x:c r="EU43" s="117">
        <x:f>IF(AND(EU$3&gt;=$B$7,EU$3&lt;$B$8),MAX(0,'Вводные'!$B$26*'Вводные'!$V$90-(EU38+EU45))*'Вводные'!$B$29/12,0)</x:f>
      </x:c>
      <x:c r="EV43" s="117">
        <x:f>IF(AND(EV$3&gt;=$B$7,EV$3&lt;$B$8),MAX(0,'Вводные'!$B$26*'Вводные'!$V$90-(EV38+EV45))*'Вводные'!$B$29/12,0)</x:f>
      </x:c>
      <x:c r="EW43" s="117">
        <x:f>IF(AND(EW$3&gt;=$B$7,EW$3&lt;$B$8),MAX(0,'Вводные'!$B$26*'Вводные'!$V$90-(EW38+EW45))*'Вводные'!$B$29/12,0)</x:f>
      </x:c>
      <x:c r="EX43" s="117">
        <x:f>IF(AND(EX$3&gt;=$B$7,EX$3&lt;$B$8),MAX(0,'Вводные'!$B$26*'Вводные'!$V$90-(EX38+EX45))*'Вводные'!$B$29/12,0)</x:f>
      </x:c>
      <x:c r="EY43" s="117">
        <x:f>IF(AND(EY$3&gt;=$B$7,EY$3&lt;$B$8),MAX(0,'Вводные'!$B$26*'Вводные'!$V$90-(EY38+EY45))*'Вводные'!$B$29/12,0)</x:f>
      </x:c>
      <x:c r="EZ43" s="117">
        <x:f>IF(AND(EZ$3&gt;=$B$7,EZ$3&lt;$B$8),MAX(0,'Вводные'!$B$26*'Вводные'!$V$90-(EZ38+EZ45))*'Вводные'!$B$29/12,0)</x:f>
      </x:c>
      <x:c r="FA43" s="117">
        <x:f>IF(AND(FA$3&gt;=$B$7,FA$3&lt;$B$8),MAX(0,'Вводные'!$B$26*'Вводные'!$V$90-(FA38+FA45))*'Вводные'!$B$29/12,0)</x:f>
      </x:c>
      <x:c r="FB43" s="117">
        <x:f>IF(AND(FB$3&gt;=$B$7,FB$3&lt;$B$8),MAX(0,'Вводные'!$B$26*'Вводные'!$V$90-(FB38+FB45))*'Вводные'!$B$29/12,0)</x:f>
      </x:c>
      <x:c r="FC43" s="117">
        <x:f>IF(AND(FC$3&gt;=$B$7,FC$3&lt;$B$8),MAX(0,'Вводные'!$B$26*'Вводные'!$V$90-(FC38+FC45))*'Вводные'!$B$29/12,0)</x:f>
      </x:c>
      <x:c r="FD43" s="117">
        <x:f>IF(AND(FD$3&gt;=$B$7,FD$3&lt;$B$8),MAX(0,'Вводные'!$B$26*'Вводные'!$V$90-(FD38+FD45))*'Вводные'!$B$29/12,0)</x:f>
      </x:c>
      <x:c r="FE43" s="117">
        <x:f>IF(AND(FE$3&gt;=$B$7,FE$3&lt;$B$8),MAX(0,'Вводные'!$B$26*'Вводные'!$V$90-(FE38+FE45))*'Вводные'!$B$29/12,0)</x:f>
      </x:c>
      <x:c r="FF43" s="117">
        <x:f>IF(AND(FF$3&gt;=$B$7,FF$3&lt;$B$8),MAX(0,'Вводные'!$B$26*'Вводные'!$V$90-(FF38+FF45))*'Вводные'!$B$29/12,0)</x:f>
      </x:c>
      <x:c r="FG43" s="117">
        <x:f>IF(AND(FG$3&gt;=$B$7,FG$3&lt;$B$8),MAX(0,'Вводные'!$B$26*'Вводные'!$V$90-(FG38+FG45))*'Вводные'!$B$29/12,0)</x:f>
      </x:c>
      <x:c r="FH43" s="117">
        <x:f>IF(AND(FH$3&gt;=$B$7,FH$3&lt;$B$8),MAX(0,'Вводные'!$B$26*'Вводные'!$V$90-(FH38+FH45))*'Вводные'!$B$29/12,0)</x:f>
      </x:c>
      <x:c r="FI43" s="117">
        <x:f>IF(AND(FI$3&gt;=$B$7,FI$3&lt;$B$8),MAX(0,'Вводные'!$B$26*'Вводные'!$V$90-(FI38+FI45))*'Вводные'!$B$29/12,0)</x:f>
      </x:c>
      <x:c r="FJ43" s="117">
        <x:f>IF(AND(FJ$3&gt;=$B$7,FJ$3&lt;$B$8),MAX(0,'Вводные'!$B$26*'Вводные'!$V$90-(FJ38+FJ45))*'Вводные'!$B$29/12,0)</x:f>
      </x:c>
      <x:c r="FK43" s="117">
        <x:f>IF(AND(FK$3&gt;=$B$7,FK$3&lt;$B$8),MAX(0,'Вводные'!$B$26*'Вводные'!$V$90-(FK38+FK45))*'Вводные'!$B$29/12,0)</x:f>
      </x:c>
      <x:c r="FL43" s="117">
        <x:f>IF(AND(FL$3&gt;=$B$7,FL$3&lt;$B$8),MAX(0,'Вводные'!$B$26*'Вводные'!$V$90-(FL38+FL45))*'Вводные'!$B$29/12,0)</x:f>
      </x:c>
      <x:c r="FM43" s="117">
        <x:f>IF(AND(FM$3&gt;=$B$7,FM$3&lt;$B$8),MAX(0,'Вводные'!$B$26*'Вводные'!$V$90-(FM38+FM45))*'Вводные'!$B$29/12,0)</x:f>
      </x:c>
      <x:c r="FN43" s="117">
        <x:f>IF(AND(FN$3&gt;=$B$7,FN$3&lt;$B$8),MAX(0,'Вводные'!$B$26*'Вводные'!$V$90-(FN38+FN45))*'Вводные'!$B$29/12,0)</x:f>
      </x:c>
      <x:c r="FO43" s="117">
        <x:f>IF(AND(FO$3&gt;=$B$7,FO$3&lt;$B$8),MAX(0,'Вводные'!$B$26*'Вводные'!$V$90-(FO38+FO45))*'Вводные'!$B$29/12,0)</x:f>
      </x:c>
      <x:c r="FP43" s="117">
        <x:f>IF(AND(FP$3&gt;=$B$7,FP$3&lt;$B$8),MAX(0,'Вводные'!$B$26*'Вводные'!$V$90-(FP38+FP45))*'Вводные'!$B$29/12,0)</x:f>
      </x:c>
      <x:c r="FQ43" s="117">
        <x:f>IF(AND(FQ$3&gt;=$B$7,FQ$3&lt;$B$8),MAX(0,'Вводные'!$B$26*'Вводные'!$V$90-(FQ38+FQ45))*'Вводные'!$B$29/12,0)</x:f>
      </x:c>
      <x:c r="FR43" s="117">
        <x:f>IF(AND(FR$3&gt;=$B$7,FR$3&lt;$B$8),MAX(0,'Вводные'!$B$26*'Вводные'!$V$90-(FR38+FR45))*'Вводные'!$B$29/12,0)</x:f>
      </x:c>
      <x:c r="FS43" s="117">
        <x:f>IF(AND(FS$3&gt;=$B$7,FS$3&lt;$B$8),MAX(0,'Вводные'!$B$26*'Вводные'!$V$90-(FS38+FS45))*'Вводные'!$B$29/12,0)</x:f>
      </x:c>
      <x:c r="FT43" s="117">
        <x:f>IF(AND(FT$3&gt;=$B$7,FT$3&lt;$B$8),MAX(0,'Вводные'!$B$26*'Вводные'!$V$90-(FT38+FT45))*'Вводные'!$B$29/12,0)</x:f>
      </x:c>
      <x:c r="FU43" s="117">
        <x:f>IF(AND(FU$3&gt;=$B$7,FU$3&lt;$B$8),MAX(0,'Вводные'!$B$26*'Вводные'!$V$90-(FU38+FU45))*'Вводные'!$B$29/12,0)</x:f>
      </x:c>
      <x:c r="FV43" s="117">
        <x:f>IF(AND(FV$3&gt;=$B$7,FV$3&lt;$B$8),MAX(0,'Вводные'!$B$26*'Вводные'!$V$90-(FV38+FV45))*'Вводные'!$B$29/12,0)</x:f>
      </x:c>
      <x:c r="FW43" s="117">
        <x:f>IF(AND(FW$3&gt;=$B$7,FW$3&lt;$B$8),MAX(0,'Вводные'!$B$26*'Вводные'!$V$90-(FW38+FW45))*'Вводные'!$B$29/12,0)</x:f>
      </x:c>
      <x:c r="FX43" s="117">
        <x:f>IF(AND(FX$3&gt;=$B$7,FX$3&lt;$B$8),MAX(0,'Вводные'!$B$26*'Вводные'!$V$90-(FX38+FX45))*'Вводные'!$B$29/12,0)</x:f>
      </x:c>
      <x:c r="FY43" s="117">
        <x:f>IF(AND(FY$3&gt;=$B$7,FY$3&lt;$B$8),MAX(0,'Вводные'!$B$26*'Вводные'!$V$90-(FY38+FY45))*'Вводные'!$B$29/12,0)</x:f>
      </x:c>
      <x:c r="FZ43" s="117">
        <x:f>IF(AND(FZ$3&gt;=$B$7,FZ$3&lt;$B$8),MAX(0,'Вводные'!$B$26*'Вводные'!$V$90-(FZ38+FZ45))*'Вводные'!$B$29/12,0)</x:f>
      </x:c>
      <x:c r="GA43" s="117">
        <x:f>IF(AND(GA$3&gt;=$B$7,GA$3&lt;$B$8),MAX(0,'Вводные'!$B$26*'Вводные'!$V$90-(GA38+GA45))*'Вводные'!$B$29/12,0)</x:f>
      </x:c>
    </x:row>
    <x:row r="44">
      <x:c r="A44" t="str">
        <x:v>ПФ — потребность</x:v>
      </x:c>
      <x:c r="B44"/>
      <x:c r="C44" t="str">
        <x:v>млн ₽</x:v>
      </x:c>
      <x:c r="D44" s="117">
        <x:f>IF(D$3&gt;=$B$7,MAX(0,D20)+D35+IF(AND(AND(YEAR(D$3)=YEAR($B$7),MONTH(D$3)=MONTH($B$7)),'Вводные'!$B$31="Оплата капиталом"),C37,0),0)</x:f>
      </x:c>
      <x:c r="E44" s="117">
        <x:f>IF(E$3&gt;=$B$7,MAX(0,E20)+E35+IF(AND(AND(YEAR(E$3)=YEAR($B$7),MONTH(E$3)=MONTH($B$7)),'Вводные'!$B$31="Оплата капиталом"),D37,0),0)</x:f>
      </x:c>
      <x:c r="F44" s="117">
        <x:f>IF(F$3&gt;=$B$7,MAX(0,F20)+F35+IF(AND(AND(YEAR(F$3)=YEAR($B$7),MONTH(F$3)=MONTH($B$7)),'Вводные'!$B$31="Оплата капиталом"),E37,0),0)</x:f>
      </x:c>
      <x:c r="G44" s="117">
        <x:f>IF(G$3&gt;=$B$7,MAX(0,G20)+G35+IF(AND(AND(YEAR(G$3)=YEAR($B$7),MONTH(G$3)=MONTH($B$7)),'Вводные'!$B$31="Оплата капиталом"),F37,0),0)</x:f>
      </x:c>
      <x:c r="H44" s="117">
        <x:f>IF(H$3&gt;=$B$7,MAX(0,H20)+H35+IF(AND(AND(YEAR(H$3)=YEAR($B$7),MONTH(H$3)=MONTH($B$7)),'Вводные'!$B$31="Оплата капиталом"),G37,0),0)</x:f>
      </x:c>
      <x:c r="I44" s="117">
        <x:f>IF(I$3&gt;=$B$7,MAX(0,I20)+I35+IF(AND(AND(YEAR(I$3)=YEAR($B$7),MONTH(I$3)=MONTH($B$7)),'Вводные'!$B$31="Оплата капиталом"),H37,0),0)</x:f>
      </x:c>
      <x:c r="J44" s="117">
        <x:f>IF(J$3&gt;=$B$7,MAX(0,J20)+J35+IF(AND(AND(YEAR(J$3)=YEAR($B$7),MONTH(J$3)=MONTH($B$7)),'Вводные'!$B$31="Оплата капиталом"),I37,0),0)</x:f>
      </x:c>
      <x:c r="K44" s="117">
        <x:f>IF(K$3&gt;=$B$7,MAX(0,K20)+K35+IF(AND(AND(YEAR(K$3)=YEAR($B$7),MONTH(K$3)=MONTH($B$7)),'Вводные'!$B$31="Оплата капиталом"),J37,0),0)</x:f>
      </x:c>
      <x:c r="L44" s="117">
        <x:f>IF(L$3&gt;=$B$7,MAX(0,L20)+L35+IF(AND(AND(YEAR(L$3)=YEAR($B$7),MONTH(L$3)=MONTH($B$7)),'Вводные'!$B$31="Оплата капиталом"),K37,0),0)</x:f>
      </x:c>
      <x:c r="M44" s="117">
        <x:f>IF(M$3&gt;=$B$7,MAX(0,M20)+M35+IF(AND(AND(YEAR(M$3)=YEAR($B$7),MONTH(M$3)=MONTH($B$7)),'Вводные'!$B$31="Оплата капиталом"),L37,0),0)</x:f>
      </x:c>
      <x:c r="N44" s="117">
        <x:f>IF(N$3&gt;=$B$7,MAX(0,N20)+N35+IF(AND(AND(YEAR(N$3)=YEAR($B$7),MONTH(N$3)=MONTH($B$7)),'Вводные'!$B$31="Оплата капиталом"),M37,0),0)</x:f>
      </x:c>
      <x:c r="O44" s="117">
        <x:f>IF(O$3&gt;=$B$7,MAX(0,O20)+O35+IF(AND(AND(YEAR(O$3)=YEAR($B$7),MONTH(O$3)=MONTH($B$7)),'Вводные'!$B$31="Оплата капиталом"),N37,0),0)</x:f>
      </x:c>
      <x:c r="P44" s="117">
        <x:f>IF(P$3&gt;=$B$7,MAX(0,P20)+P35+IF(AND(AND(YEAR(P$3)=YEAR($B$7),MONTH(P$3)=MONTH($B$7)),'Вводные'!$B$31="Оплата капиталом"),O37,0),0)</x:f>
      </x:c>
      <x:c r="Q44" s="117">
        <x:f>IF(Q$3&gt;=$B$7,MAX(0,Q20)+Q35+IF(AND(AND(YEAR(Q$3)=YEAR($B$7),MONTH(Q$3)=MONTH($B$7)),'Вводные'!$B$31="Оплата капиталом"),P37,0),0)</x:f>
      </x:c>
      <x:c r="R44" s="117">
        <x:f>IF(R$3&gt;=$B$7,MAX(0,R20)+R35+IF(AND(AND(YEAR(R$3)=YEAR($B$7),MONTH(R$3)=MONTH($B$7)),'Вводные'!$B$31="Оплата капиталом"),Q37,0),0)</x:f>
      </x:c>
      <x:c r="S44" s="117">
        <x:f>IF(S$3&gt;=$B$7,MAX(0,S20)+S35+IF(AND(AND(YEAR(S$3)=YEAR($B$7),MONTH(S$3)=MONTH($B$7)),'Вводные'!$B$31="Оплата капиталом"),R37,0),0)</x:f>
      </x:c>
      <x:c r="T44" s="117">
        <x:f>IF(T$3&gt;=$B$7,MAX(0,T20)+T35+IF(AND(AND(YEAR(T$3)=YEAR($B$7),MONTH(T$3)=MONTH($B$7)),'Вводные'!$B$31="Оплата капиталом"),S37,0),0)</x:f>
      </x:c>
      <x:c r="U44" s="117">
        <x:f>IF(U$3&gt;=$B$7,MAX(0,U20)+U35+IF(AND(AND(YEAR(U$3)=YEAR($B$7),MONTH(U$3)=MONTH($B$7)),'Вводные'!$B$31="Оплата капиталом"),T37,0),0)</x:f>
      </x:c>
      <x:c r="V44" s="117">
        <x:f>IF(V$3&gt;=$B$7,MAX(0,V20)+V35+IF(AND(AND(YEAR(V$3)=YEAR($B$7),MONTH(V$3)=MONTH($B$7)),'Вводные'!$B$31="Оплата капиталом"),U37,0),0)</x:f>
      </x:c>
      <x:c r="W44" s="117">
        <x:f>IF(W$3&gt;=$B$7,MAX(0,W20)+W35+IF(AND(AND(YEAR(W$3)=YEAR($B$7),MONTH(W$3)=MONTH($B$7)),'Вводные'!$B$31="Оплата капиталом"),V37,0),0)</x:f>
      </x:c>
      <x:c r="X44" s="117">
        <x:f>IF(X$3&gt;=$B$7,MAX(0,X20)+X35+IF(AND(AND(YEAR(X$3)=YEAR($B$7),MONTH(X$3)=MONTH($B$7)),'Вводные'!$B$31="Оплата капиталом"),W37,0),0)</x:f>
      </x:c>
      <x:c r="Y44" s="117">
        <x:f>IF(Y$3&gt;=$B$7,MAX(0,Y20)+Y35+IF(AND(AND(YEAR(Y$3)=YEAR($B$7),MONTH(Y$3)=MONTH($B$7)),'Вводные'!$B$31="Оплата капиталом"),X37,0),0)</x:f>
      </x:c>
      <x:c r="Z44" s="117">
        <x:f>IF(Z$3&gt;=$B$7,MAX(0,Z20)+Z35+IF(AND(AND(YEAR(Z$3)=YEAR($B$7),MONTH(Z$3)=MONTH($B$7)),'Вводные'!$B$31="Оплата капиталом"),Y37,0),0)</x:f>
      </x:c>
      <x:c r="AA44" s="117">
        <x:f>IF(AA$3&gt;=$B$7,MAX(0,AA20)+AA35+IF(AND(AND(YEAR(AA$3)=YEAR($B$7),MONTH(AA$3)=MONTH($B$7)),'Вводные'!$B$31="Оплата капиталом"),Z37,0),0)</x:f>
      </x:c>
      <x:c r="AB44" s="117">
        <x:f>IF(AB$3&gt;=$B$7,MAX(0,AB20)+AB35+IF(AND(AND(YEAR(AB$3)=YEAR($B$7),MONTH(AB$3)=MONTH($B$7)),'Вводные'!$B$31="Оплата капиталом"),AA37,0),0)</x:f>
      </x:c>
      <x:c r="AC44" s="117">
        <x:f>IF(AC$3&gt;=$B$7,MAX(0,AC20)+AC35+IF(AND(AND(YEAR(AC$3)=YEAR($B$7),MONTH(AC$3)=MONTH($B$7)),'Вводные'!$B$31="Оплата капиталом"),AB37,0),0)</x:f>
      </x:c>
      <x:c r="AD44" s="117">
        <x:f>IF(AD$3&gt;=$B$7,MAX(0,AD20)+AD35+IF(AND(AND(YEAR(AD$3)=YEAR($B$7),MONTH(AD$3)=MONTH($B$7)),'Вводные'!$B$31="Оплата капиталом"),AC37,0),0)</x:f>
      </x:c>
      <x:c r="AE44" s="117">
        <x:f>IF(AE$3&gt;=$B$7,MAX(0,AE20)+AE35+IF(AND(AND(YEAR(AE$3)=YEAR($B$7),MONTH(AE$3)=MONTH($B$7)),'Вводные'!$B$31="Оплата капиталом"),AD37,0),0)</x:f>
      </x:c>
      <x:c r="AF44" s="117">
        <x:f>IF(AF$3&gt;=$B$7,MAX(0,AF20)+AF35+IF(AND(AND(YEAR(AF$3)=YEAR($B$7),MONTH(AF$3)=MONTH($B$7)),'Вводные'!$B$31="Оплата капиталом"),AE37,0),0)</x:f>
      </x:c>
      <x:c r="AG44" s="117">
        <x:f>IF(AG$3&gt;=$B$7,MAX(0,AG20)+AG35+IF(AND(AND(YEAR(AG$3)=YEAR($B$7),MONTH(AG$3)=MONTH($B$7)),'Вводные'!$B$31="Оплата капиталом"),AF37,0),0)</x:f>
      </x:c>
      <x:c r="AH44" s="117">
        <x:f>IF(AH$3&gt;=$B$7,MAX(0,AH20)+AH35+IF(AND(AND(YEAR(AH$3)=YEAR($B$7),MONTH(AH$3)=MONTH($B$7)),'Вводные'!$B$31="Оплата капиталом"),AG37,0),0)</x:f>
      </x:c>
      <x:c r="AI44" s="117">
        <x:f>IF(AI$3&gt;=$B$7,MAX(0,AI20)+AI35+IF(AND(AND(YEAR(AI$3)=YEAR($B$7),MONTH(AI$3)=MONTH($B$7)),'Вводные'!$B$31="Оплата капиталом"),AH37,0),0)</x:f>
      </x:c>
      <x:c r="AJ44" s="117">
        <x:f>IF(AJ$3&gt;=$B$7,MAX(0,AJ20)+AJ35+IF(AND(AND(YEAR(AJ$3)=YEAR($B$7),MONTH(AJ$3)=MONTH($B$7)),'Вводные'!$B$31="Оплата капиталом"),AI37,0),0)</x:f>
      </x:c>
      <x:c r="AK44" s="117">
        <x:f>IF(AK$3&gt;=$B$7,MAX(0,AK20)+AK35+IF(AND(AND(YEAR(AK$3)=YEAR($B$7),MONTH(AK$3)=MONTH($B$7)),'Вводные'!$B$31="Оплата капиталом"),AJ37,0),0)</x:f>
      </x:c>
      <x:c r="AL44" s="117">
        <x:f>IF(AL$3&gt;=$B$7,MAX(0,AL20)+AL35+IF(AND(AND(YEAR(AL$3)=YEAR($B$7),MONTH(AL$3)=MONTH($B$7)),'Вводные'!$B$31="Оплата капиталом"),AK37,0),0)</x:f>
      </x:c>
      <x:c r="AM44" s="117">
        <x:f>IF(AM$3&gt;=$B$7,MAX(0,AM20)+AM35+IF(AND(AND(YEAR(AM$3)=YEAR($B$7),MONTH(AM$3)=MONTH($B$7)),'Вводные'!$B$31="Оплата капиталом"),AL37,0),0)</x:f>
      </x:c>
      <x:c r="AN44" s="117">
        <x:f>IF(AN$3&gt;=$B$7,MAX(0,AN20)+AN35+IF(AND(AND(YEAR(AN$3)=YEAR($B$7),MONTH(AN$3)=MONTH($B$7)),'Вводные'!$B$31="Оплата капиталом"),AM37,0),0)</x:f>
      </x:c>
      <x:c r="AO44" s="117">
        <x:f>IF(AO$3&gt;=$B$7,MAX(0,AO20)+AO35+IF(AND(AND(YEAR(AO$3)=YEAR($B$7),MONTH(AO$3)=MONTH($B$7)),'Вводные'!$B$31="Оплата капиталом"),AN37,0),0)</x:f>
      </x:c>
      <x:c r="AP44" s="117">
        <x:f>IF(AP$3&gt;=$B$7,MAX(0,AP20)+AP35+IF(AND(AND(YEAR(AP$3)=YEAR($B$7),MONTH(AP$3)=MONTH($B$7)),'Вводные'!$B$31="Оплата капиталом"),AO37,0),0)</x:f>
      </x:c>
      <x:c r="AQ44" s="117">
        <x:f>IF(AQ$3&gt;=$B$7,MAX(0,AQ20)+AQ35+IF(AND(AND(YEAR(AQ$3)=YEAR($B$7),MONTH(AQ$3)=MONTH($B$7)),'Вводные'!$B$31="Оплата капиталом"),AP37,0),0)</x:f>
      </x:c>
      <x:c r="AR44" s="117">
        <x:f>IF(AR$3&gt;=$B$7,MAX(0,AR20)+AR35+IF(AND(AND(YEAR(AR$3)=YEAR($B$7),MONTH(AR$3)=MONTH($B$7)),'Вводные'!$B$31="Оплата капиталом"),AQ37,0),0)</x:f>
      </x:c>
      <x:c r="AS44" s="117">
        <x:f>IF(AS$3&gt;=$B$7,MAX(0,AS20)+AS35+IF(AND(AND(YEAR(AS$3)=YEAR($B$7),MONTH(AS$3)=MONTH($B$7)),'Вводные'!$B$31="Оплата капиталом"),AR37,0),0)</x:f>
      </x:c>
      <x:c r="AT44" s="117">
        <x:f>IF(AT$3&gt;=$B$7,MAX(0,AT20)+AT35+IF(AND(AND(YEAR(AT$3)=YEAR($B$7),MONTH(AT$3)=MONTH($B$7)),'Вводные'!$B$31="Оплата капиталом"),AS37,0),0)</x:f>
      </x:c>
      <x:c r="AU44" s="117">
        <x:f>IF(AU$3&gt;=$B$7,MAX(0,AU20)+AU35+IF(AND(AND(YEAR(AU$3)=YEAR($B$7),MONTH(AU$3)=MONTH($B$7)),'Вводные'!$B$31="Оплата капиталом"),AT37,0),0)</x:f>
      </x:c>
      <x:c r="AV44" s="117">
        <x:f>IF(AV$3&gt;=$B$7,MAX(0,AV20)+AV35+IF(AND(AND(YEAR(AV$3)=YEAR($B$7),MONTH(AV$3)=MONTH($B$7)),'Вводные'!$B$31="Оплата капиталом"),AU37,0),0)</x:f>
      </x:c>
      <x:c r="AW44" s="117">
        <x:f>IF(AW$3&gt;=$B$7,MAX(0,AW20)+AW35+IF(AND(AND(YEAR(AW$3)=YEAR($B$7),MONTH(AW$3)=MONTH($B$7)),'Вводные'!$B$31="Оплата капиталом"),AV37,0),0)</x:f>
      </x:c>
      <x:c r="AX44" s="117">
        <x:f>IF(AX$3&gt;=$B$7,MAX(0,AX20)+AX35+IF(AND(AND(YEAR(AX$3)=YEAR($B$7),MONTH(AX$3)=MONTH($B$7)),'Вводные'!$B$31="Оплата капиталом"),AW37,0),0)</x:f>
      </x:c>
      <x:c r="AY44" s="117">
        <x:f>IF(AY$3&gt;=$B$7,MAX(0,AY20)+AY35+IF(AND(AND(YEAR(AY$3)=YEAR($B$7),MONTH(AY$3)=MONTH($B$7)),'Вводные'!$B$31="Оплата капиталом"),AX37,0),0)</x:f>
      </x:c>
      <x:c r="AZ44" s="117">
        <x:f>IF(AZ$3&gt;=$B$7,MAX(0,AZ20)+AZ35+IF(AND(AND(YEAR(AZ$3)=YEAR($B$7),MONTH(AZ$3)=MONTH($B$7)),'Вводные'!$B$31="Оплата капиталом"),AY37,0),0)</x:f>
      </x:c>
      <x:c r="BA44" s="117">
        <x:f>IF(BA$3&gt;=$B$7,MAX(0,BA20)+BA35+IF(AND(AND(YEAR(BA$3)=YEAR($B$7),MONTH(BA$3)=MONTH($B$7)),'Вводные'!$B$31="Оплата капиталом"),AZ37,0),0)</x:f>
      </x:c>
      <x:c r="BB44" s="117">
        <x:f>IF(BB$3&gt;=$B$7,MAX(0,BB20)+BB35+IF(AND(AND(YEAR(BB$3)=YEAR($B$7),MONTH(BB$3)=MONTH($B$7)),'Вводные'!$B$31="Оплата капиталом"),BA37,0),0)</x:f>
      </x:c>
      <x:c r="BC44" s="117">
        <x:f>IF(BC$3&gt;=$B$7,MAX(0,BC20)+BC35+IF(AND(AND(YEAR(BC$3)=YEAR($B$7),MONTH(BC$3)=MONTH($B$7)),'Вводные'!$B$31="Оплата капиталом"),BB37,0),0)</x:f>
      </x:c>
      <x:c r="BD44" s="117">
        <x:f>IF(BD$3&gt;=$B$7,MAX(0,BD20)+BD35+IF(AND(AND(YEAR(BD$3)=YEAR($B$7),MONTH(BD$3)=MONTH($B$7)),'Вводные'!$B$31="Оплата капиталом"),BC37,0),0)</x:f>
      </x:c>
      <x:c r="BE44" s="117">
        <x:f>IF(BE$3&gt;=$B$7,MAX(0,BE20)+BE35+IF(AND(AND(YEAR(BE$3)=YEAR($B$7),MONTH(BE$3)=MONTH($B$7)),'Вводные'!$B$31="Оплата капиталом"),BD37,0),0)</x:f>
      </x:c>
      <x:c r="BF44" s="117">
        <x:f>IF(BF$3&gt;=$B$7,MAX(0,BF20)+BF35+IF(AND(AND(YEAR(BF$3)=YEAR($B$7),MONTH(BF$3)=MONTH($B$7)),'Вводные'!$B$31="Оплата капиталом"),BE37,0),0)</x:f>
      </x:c>
      <x:c r="BG44" s="117">
        <x:f>IF(BG$3&gt;=$B$7,MAX(0,BG20)+BG35+IF(AND(AND(YEAR(BG$3)=YEAR($B$7),MONTH(BG$3)=MONTH($B$7)),'Вводные'!$B$31="Оплата капиталом"),BF37,0),0)</x:f>
      </x:c>
      <x:c r="BH44" s="117">
        <x:f>IF(BH$3&gt;=$B$7,MAX(0,BH20)+BH35+IF(AND(AND(YEAR(BH$3)=YEAR($B$7),MONTH(BH$3)=MONTH($B$7)),'Вводные'!$B$31="Оплата капиталом"),BG37,0),0)</x:f>
      </x:c>
      <x:c r="BI44" s="117">
        <x:f>IF(BI$3&gt;=$B$7,MAX(0,BI20)+BI35+IF(AND(AND(YEAR(BI$3)=YEAR($B$7),MONTH(BI$3)=MONTH($B$7)),'Вводные'!$B$31="Оплата капиталом"),BH37,0),0)</x:f>
      </x:c>
      <x:c r="BJ44" s="117">
        <x:f>IF(BJ$3&gt;=$B$7,MAX(0,BJ20)+BJ35+IF(AND(AND(YEAR(BJ$3)=YEAR($B$7),MONTH(BJ$3)=MONTH($B$7)),'Вводные'!$B$31="Оплата капиталом"),BI37,0),0)</x:f>
      </x:c>
      <x:c r="BK44" s="117">
        <x:f>IF(BK$3&gt;=$B$7,MAX(0,BK20)+BK35+IF(AND(AND(YEAR(BK$3)=YEAR($B$7),MONTH(BK$3)=MONTH($B$7)),'Вводные'!$B$31="Оплата капиталом"),BJ37,0),0)</x:f>
      </x:c>
      <x:c r="BL44" s="117">
        <x:f>IF(BL$3&gt;=$B$7,MAX(0,BL20)+BL35+IF(AND(AND(YEAR(BL$3)=YEAR($B$7),MONTH(BL$3)=MONTH($B$7)),'Вводные'!$B$31="Оплата капиталом"),BK37,0),0)</x:f>
      </x:c>
      <x:c r="BM44" s="117">
        <x:f>IF(BM$3&gt;=$B$7,MAX(0,BM20)+BM35+IF(AND(AND(YEAR(BM$3)=YEAR($B$7),MONTH(BM$3)=MONTH($B$7)),'Вводные'!$B$31="Оплата капиталом"),BL37,0),0)</x:f>
      </x:c>
      <x:c r="BN44" s="117">
        <x:f>IF(BN$3&gt;=$B$7,MAX(0,BN20)+BN35+IF(AND(AND(YEAR(BN$3)=YEAR($B$7),MONTH(BN$3)=MONTH($B$7)),'Вводные'!$B$31="Оплата капиталом"),BM37,0),0)</x:f>
      </x:c>
      <x:c r="BO44" s="117">
        <x:f>IF(BO$3&gt;=$B$7,MAX(0,BO20)+BO35+IF(AND(AND(YEAR(BO$3)=YEAR($B$7),MONTH(BO$3)=MONTH($B$7)),'Вводные'!$B$31="Оплата капиталом"),BN37,0),0)</x:f>
      </x:c>
      <x:c r="BP44" s="117">
        <x:f>IF(BP$3&gt;=$B$7,MAX(0,BP20)+BP35+IF(AND(AND(YEAR(BP$3)=YEAR($B$7),MONTH(BP$3)=MONTH($B$7)),'Вводные'!$B$31="Оплата капиталом"),BO37,0),0)</x:f>
      </x:c>
      <x:c r="BQ44" s="117">
        <x:f>IF(BQ$3&gt;=$B$7,MAX(0,BQ20)+BQ35+IF(AND(AND(YEAR(BQ$3)=YEAR($B$7),MONTH(BQ$3)=MONTH($B$7)),'Вводные'!$B$31="Оплата капиталом"),BP37,0),0)</x:f>
      </x:c>
      <x:c r="BR44" s="117">
        <x:f>IF(BR$3&gt;=$B$7,MAX(0,BR20)+BR35+IF(AND(AND(YEAR(BR$3)=YEAR($B$7),MONTH(BR$3)=MONTH($B$7)),'Вводные'!$B$31="Оплата капиталом"),BQ37,0),0)</x:f>
      </x:c>
      <x:c r="BS44" s="117">
        <x:f>IF(BS$3&gt;=$B$7,MAX(0,BS20)+BS35+IF(AND(AND(YEAR(BS$3)=YEAR($B$7),MONTH(BS$3)=MONTH($B$7)),'Вводные'!$B$31="Оплата капиталом"),BR37,0),0)</x:f>
      </x:c>
      <x:c r="BT44" s="117">
        <x:f>IF(BT$3&gt;=$B$7,MAX(0,BT20)+BT35+IF(AND(AND(YEAR(BT$3)=YEAR($B$7),MONTH(BT$3)=MONTH($B$7)),'Вводные'!$B$31="Оплата капиталом"),BS37,0),0)</x:f>
      </x:c>
      <x:c r="BU44" s="117">
        <x:f>IF(BU$3&gt;=$B$7,MAX(0,BU20)+BU35+IF(AND(AND(YEAR(BU$3)=YEAR($B$7),MONTH(BU$3)=MONTH($B$7)),'Вводные'!$B$31="Оплата капиталом"),BT37,0),0)</x:f>
      </x:c>
      <x:c r="BV44" s="117">
        <x:f>IF(BV$3&gt;=$B$7,MAX(0,BV20)+BV35+IF(AND(AND(YEAR(BV$3)=YEAR($B$7),MONTH(BV$3)=MONTH($B$7)),'Вводные'!$B$31="Оплата капиталом"),BU37,0),0)</x:f>
      </x:c>
      <x:c r="BW44" s="117">
        <x:f>IF(BW$3&gt;=$B$7,MAX(0,BW20)+BW35+IF(AND(AND(YEAR(BW$3)=YEAR($B$7),MONTH(BW$3)=MONTH($B$7)),'Вводные'!$B$31="Оплата капиталом"),BV37,0),0)</x:f>
      </x:c>
      <x:c r="BX44" s="117">
        <x:f>IF(BX$3&gt;=$B$7,MAX(0,BX20)+BX35+IF(AND(AND(YEAR(BX$3)=YEAR($B$7),MONTH(BX$3)=MONTH($B$7)),'Вводные'!$B$31="Оплата капиталом"),BW37,0),0)</x:f>
      </x:c>
      <x:c r="BY44" s="117">
        <x:f>IF(BY$3&gt;=$B$7,MAX(0,BY20)+BY35+IF(AND(AND(YEAR(BY$3)=YEAR($B$7),MONTH(BY$3)=MONTH($B$7)),'Вводные'!$B$31="Оплата капиталом"),BX37,0),0)</x:f>
      </x:c>
      <x:c r="BZ44" s="117">
        <x:f>IF(BZ$3&gt;=$B$7,MAX(0,BZ20)+BZ35+IF(AND(AND(YEAR(BZ$3)=YEAR($B$7),MONTH(BZ$3)=MONTH($B$7)),'Вводные'!$B$31="Оплата капиталом"),BY37,0),0)</x:f>
      </x:c>
      <x:c r="CA44" s="117">
        <x:f>IF(CA$3&gt;=$B$7,MAX(0,CA20)+CA35+IF(AND(AND(YEAR(CA$3)=YEAR($B$7),MONTH(CA$3)=MONTH($B$7)),'Вводные'!$B$31="Оплата капиталом"),BZ37,0),0)</x:f>
      </x:c>
      <x:c r="CB44" s="117">
        <x:f>IF(CB$3&gt;=$B$7,MAX(0,CB20)+CB35+IF(AND(AND(YEAR(CB$3)=YEAR($B$7),MONTH(CB$3)=MONTH($B$7)),'Вводные'!$B$31="Оплата капиталом"),CA37,0),0)</x:f>
      </x:c>
      <x:c r="CC44" s="117">
        <x:f>IF(CC$3&gt;=$B$7,MAX(0,CC20)+CC35+IF(AND(AND(YEAR(CC$3)=YEAR($B$7),MONTH(CC$3)=MONTH($B$7)),'Вводные'!$B$31="Оплата капиталом"),CB37,0),0)</x:f>
      </x:c>
      <x:c r="CD44" s="117">
        <x:f>IF(CD$3&gt;=$B$7,MAX(0,CD20)+CD35+IF(AND(AND(YEAR(CD$3)=YEAR($B$7),MONTH(CD$3)=MONTH($B$7)),'Вводные'!$B$31="Оплата капиталом"),CC37,0),0)</x:f>
      </x:c>
      <x:c r="CE44" s="117">
        <x:f>IF(CE$3&gt;=$B$7,MAX(0,CE20)+CE35+IF(AND(AND(YEAR(CE$3)=YEAR($B$7),MONTH(CE$3)=MONTH($B$7)),'Вводные'!$B$31="Оплата капиталом"),CD37,0),0)</x:f>
      </x:c>
      <x:c r="CF44" s="117">
        <x:f>IF(CF$3&gt;=$B$7,MAX(0,CF20)+CF35+IF(AND(AND(YEAR(CF$3)=YEAR($B$7),MONTH(CF$3)=MONTH($B$7)),'Вводные'!$B$31="Оплата капиталом"),CE37,0),0)</x:f>
      </x:c>
      <x:c r="CG44" s="117">
        <x:f>IF(CG$3&gt;=$B$7,MAX(0,CG20)+CG35+IF(AND(AND(YEAR(CG$3)=YEAR($B$7),MONTH(CG$3)=MONTH($B$7)),'Вводные'!$B$31="Оплата капиталом"),CF37,0),0)</x:f>
      </x:c>
      <x:c r="CH44" s="117">
        <x:f>IF(CH$3&gt;=$B$7,MAX(0,CH20)+CH35+IF(AND(AND(YEAR(CH$3)=YEAR($B$7),MONTH(CH$3)=MONTH($B$7)),'Вводные'!$B$31="Оплата капиталом"),CG37,0),0)</x:f>
      </x:c>
      <x:c r="CI44" s="117">
        <x:f>IF(CI$3&gt;=$B$7,MAX(0,CI20)+CI35+IF(AND(AND(YEAR(CI$3)=YEAR($B$7),MONTH(CI$3)=MONTH($B$7)),'Вводные'!$B$31="Оплата капиталом"),CH37,0),0)</x:f>
      </x:c>
      <x:c r="CJ44" s="117">
        <x:f>IF(CJ$3&gt;=$B$7,MAX(0,CJ20)+CJ35+IF(AND(AND(YEAR(CJ$3)=YEAR($B$7),MONTH(CJ$3)=MONTH($B$7)),'Вводные'!$B$31="Оплата капиталом"),CI37,0),0)</x:f>
      </x:c>
      <x:c r="CK44" s="117">
        <x:f>IF(CK$3&gt;=$B$7,MAX(0,CK20)+CK35+IF(AND(AND(YEAR(CK$3)=YEAR($B$7),MONTH(CK$3)=MONTH($B$7)),'Вводные'!$B$31="Оплата капиталом"),CJ37,0),0)</x:f>
      </x:c>
      <x:c r="CL44" s="117">
        <x:f>IF(CL$3&gt;=$B$7,MAX(0,CL20)+CL35+IF(AND(AND(YEAR(CL$3)=YEAR($B$7),MONTH(CL$3)=MONTH($B$7)),'Вводные'!$B$31="Оплата капиталом"),CK37,0),0)</x:f>
      </x:c>
      <x:c r="CM44" s="117">
        <x:f>IF(CM$3&gt;=$B$7,MAX(0,CM20)+CM35+IF(AND(AND(YEAR(CM$3)=YEAR($B$7),MONTH(CM$3)=MONTH($B$7)),'Вводные'!$B$31="Оплата капиталом"),CL37,0),0)</x:f>
      </x:c>
      <x:c r="CN44" s="117">
        <x:f>IF(CN$3&gt;=$B$7,MAX(0,CN20)+CN35+IF(AND(AND(YEAR(CN$3)=YEAR($B$7),MONTH(CN$3)=MONTH($B$7)),'Вводные'!$B$31="Оплата капиталом"),CM37,0),0)</x:f>
      </x:c>
      <x:c r="CO44" s="117">
        <x:f>IF(CO$3&gt;=$B$7,MAX(0,CO20)+CO35+IF(AND(AND(YEAR(CO$3)=YEAR($B$7),MONTH(CO$3)=MONTH($B$7)),'Вводные'!$B$31="Оплата капиталом"),CN37,0),0)</x:f>
      </x:c>
      <x:c r="CP44" s="117">
        <x:f>IF(CP$3&gt;=$B$7,MAX(0,CP20)+CP35+IF(AND(AND(YEAR(CP$3)=YEAR($B$7),MONTH(CP$3)=MONTH($B$7)),'Вводные'!$B$31="Оплата капиталом"),CO37,0),0)</x:f>
      </x:c>
      <x:c r="CQ44" s="117">
        <x:f>IF(CQ$3&gt;=$B$7,MAX(0,CQ20)+CQ35+IF(AND(AND(YEAR(CQ$3)=YEAR($B$7),MONTH(CQ$3)=MONTH($B$7)),'Вводные'!$B$31="Оплата капиталом"),CP37,0),0)</x:f>
      </x:c>
      <x:c r="CR44" s="117">
        <x:f>IF(CR$3&gt;=$B$7,MAX(0,CR20)+CR35+IF(AND(AND(YEAR(CR$3)=YEAR($B$7),MONTH(CR$3)=MONTH($B$7)),'Вводные'!$B$31="Оплата капиталом"),CQ37,0),0)</x:f>
      </x:c>
      <x:c r="CS44" s="117">
        <x:f>IF(CS$3&gt;=$B$7,MAX(0,CS20)+CS35+IF(AND(AND(YEAR(CS$3)=YEAR($B$7),MONTH(CS$3)=MONTH($B$7)),'Вводные'!$B$31="Оплата капиталом"),CR37,0),0)</x:f>
      </x:c>
      <x:c r="CT44" s="117">
        <x:f>IF(CT$3&gt;=$B$7,MAX(0,CT20)+CT35+IF(AND(AND(YEAR(CT$3)=YEAR($B$7),MONTH(CT$3)=MONTH($B$7)),'Вводные'!$B$31="Оплата капиталом"),CS37,0),0)</x:f>
      </x:c>
      <x:c r="CU44" s="117">
        <x:f>IF(CU$3&gt;=$B$7,MAX(0,CU20)+CU35+IF(AND(AND(YEAR(CU$3)=YEAR($B$7),MONTH(CU$3)=MONTH($B$7)),'Вводные'!$B$31="Оплата капиталом"),CT37,0),0)</x:f>
      </x:c>
      <x:c r="CV44" s="117">
        <x:f>IF(CV$3&gt;=$B$7,MAX(0,CV20)+CV35+IF(AND(AND(YEAR(CV$3)=YEAR($B$7),MONTH(CV$3)=MONTH($B$7)),'Вводные'!$B$31="Оплата капиталом"),CU37,0),0)</x:f>
      </x:c>
      <x:c r="CW44" s="117">
        <x:f>IF(CW$3&gt;=$B$7,MAX(0,CW20)+CW35+IF(AND(AND(YEAR(CW$3)=YEAR($B$7),MONTH(CW$3)=MONTH($B$7)),'Вводные'!$B$31="Оплата капиталом"),CV37,0),0)</x:f>
      </x:c>
      <x:c r="CX44" s="117">
        <x:f>IF(CX$3&gt;=$B$7,MAX(0,CX20)+CX35+IF(AND(AND(YEAR(CX$3)=YEAR($B$7),MONTH(CX$3)=MONTH($B$7)),'Вводные'!$B$31="Оплата капиталом"),CW37,0),0)</x:f>
      </x:c>
      <x:c r="CY44" s="117">
        <x:f>IF(CY$3&gt;=$B$7,MAX(0,CY20)+CY35+IF(AND(AND(YEAR(CY$3)=YEAR($B$7),MONTH(CY$3)=MONTH($B$7)),'Вводные'!$B$31="Оплата капиталом"),CX37,0),0)</x:f>
      </x:c>
      <x:c r="CZ44" s="117">
        <x:f>IF(CZ$3&gt;=$B$7,MAX(0,CZ20)+CZ35+IF(AND(AND(YEAR(CZ$3)=YEAR($B$7),MONTH(CZ$3)=MONTH($B$7)),'Вводные'!$B$31="Оплата капиталом"),CY37,0),0)</x:f>
      </x:c>
      <x:c r="DA44" s="117">
        <x:f>IF(DA$3&gt;=$B$7,MAX(0,DA20)+DA35+IF(AND(AND(YEAR(DA$3)=YEAR($B$7),MONTH(DA$3)=MONTH($B$7)),'Вводные'!$B$31="Оплата капиталом"),CZ37,0),0)</x:f>
      </x:c>
      <x:c r="DB44" s="117">
        <x:f>IF(DB$3&gt;=$B$7,MAX(0,DB20)+DB35+IF(AND(AND(YEAR(DB$3)=YEAR($B$7),MONTH(DB$3)=MONTH($B$7)),'Вводные'!$B$31="Оплата капиталом"),DA37,0),0)</x:f>
      </x:c>
      <x:c r="DC44" s="117">
        <x:f>IF(DC$3&gt;=$B$7,MAX(0,DC20)+DC35+IF(AND(AND(YEAR(DC$3)=YEAR($B$7),MONTH(DC$3)=MONTH($B$7)),'Вводные'!$B$31="Оплата капиталом"),DB37,0),0)</x:f>
      </x:c>
      <x:c r="DD44" s="117">
        <x:f>IF(DD$3&gt;=$B$7,MAX(0,DD20)+DD35+IF(AND(AND(YEAR(DD$3)=YEAR($B$7),MONTH(DD$3)=MONTH($B$7)),'Вводные'!$B$31="Оплата капиталом"),DC37,0),0)</x:f>
      </x:c>
      <x:c r="DE44" s="117">
        <x:f>IF(DE$3&gt;=$B$7,MAX(0,DE20)+DE35+IF(AND(AND(YEAR(DE$3)=YEAR($B$7),MONTH(DE$3)=MONTH($B$7)),'Вводные'!$B$31="Оплата капиталом"),DD37,0),0)</x:f>
      </x:c>
      <x:c r="DF44" s="117">
        <x:f>IF(DF$3&gt;=$B$7,MAX(0,DF20)+DF35+IF(AND(AND(YEAR(DF$3)=YEAR($B$7),MONTH(DF$3)=MONTH($B$7)),'Вводные'!$B$31="Оплата капиталом"),DE37,0),0)</x:f>
      </x:c>
      <x:c r="DG44" s="117">
        <x:f>IF(DG$3&gt;=$B$7,MAX(0,DG20)+DG35+IF(AND(AND(YEAR(DG$3)=YEAR($B$7),MONTH(DG$3)=MONTH($B$7)),'Вводные'!$B$31="Оплата капиталом"),DF37,0),0)</x:f>
      </x:c>
      <x:c r="DH44" s="117">
        <x:f>IF(DH$3&gt;=$B$7,MAX(0,DH20)+DH35+IF(AND(AND(YEAR(DH$3)=YEAR($B$7),MONTH(DH$3)=MONTH($B$7)),'Вводные'!$B$31="Оплата капиталом"),DG37,0),0)</x:f>
      </x:c>
      <x:c r="DI44" s="117">
        <x:f>IF(DI$3&gt;=$B$7,MAX(0,DI20)+DI35+IF(AND(AND(YEAR(DI$3)=YEAR($B$7),MONTH(DI$3)=MONTH($B$7)),'Вводные'!$B$31="Оплата капиталом"),DH37,0),0)</x:f>
      </x:c>
      <x:c r="DJ44" s="117">
        <x:f>IF(DJ$3&gt;=$B$7,MAX(0,DJ20)+DJ35+IF(AND(AND(YEAR(DJ$3)=YEAR($B$7),MONTH(DJ$3)=MONTH($B$7)),'Вводные'!$B$31="Оплата капиталом"),DI37,0),0)</x:f>
      </x:c>
      <x:c r="DK44" s="117">
        <x:f>IF(DK$3&gt;=$B$7,MAX(0,DK20)+DK35+IF(AND(AND(YEAR(DK$3)=YEAR($B$7),MONTH(DK$3)=MONTH($B$7)),'Вводные'!$B$31="Оплата капиталом"),DJ37,0),0)</x:f>
      </x:c>
      <x:c r="DL44" s="117">
        <x:f>IF(DL$3&gt;=$B$7,MAX(0,DL20)+DL35+IF(AND(AND(YEAR(DL$3)=YEAR($B$7),MONTH(DL$3)=MONTH($B$7)),'Вводные'!$B$31="Оплата капиталом"),DK37,0),0)</x:f>
      </x:c>
      <x:c r="DM44" s="117">
        <x:f>IF(DM$3&gt;=$B$7,MAX(0,DM20)+DM35+IF(AND(AND(YEAR(DM$3)=YEAR($B$7),MONTH(DM$3)=MONTH($B$7)),'Вводные'!$B$31="Оплата капиталом"),DL37,0),0)</x:f>
      </x:c>
      <x:c r="DN44" s="117">
        <x:f>IF(DN$3&gt;=$B$7,MAX(0,DN20)+DN35+IF(AND(AND(YEAR(DN$3)=YEAR($B$7),MONTH(DN$3)=MONTH($B$7)),'Вводные'!$B$31="Оплата капиталом"),DM37,0),0)</x:f>
      </x:c>
      <x:c r="DO44" s="117">
        <x:f>IF(DO$3&gt;=$B$7,MAX(0,DO20)+DO35+IF(AND(AND(YEAR(DO$3)=YEAR($B$7),MONTH(DO$3)=MONTH($B$7)),'Вводные'!$B$31="Оплата капиталом"),DN37,0),0)</x:f>
      </x:c>
      <x:c r="DP44" s="117">
        <x:f>IF(DP$3&gt;=$B$7,MAX(0,DP20)+DP35+IF(AND(AND(YEAR(DP$3)=YEAR($B$7),MONTH(DP$3)=MONTH($B$7)),'Вводные'!$B$31="Оплата капиталом"),DO37,0),0)</x:f>
      </x:c>
      <x:c r="DQ44" s="117">
        <x:f>IF(DQ$3&gt;=$B$7,MAX(0,DQ20)+DQ35+IF(AND(AND(YEAR(DQ$3)=YEAR($B$7),MONTH(DQ$3)=MONTH($B$7)),'Вводные'!$B$31="Оплата капиталом"),DP37,0),0)</x:f>
      </x:c>
      <x:c r="DR44" s="117">
        <x:f>IF(DR$3&gt;=$B$7,MAX(0,DR20)+DR35+IF(AND(AND(YEAR(DR$3)=YEAR($B$7),MONTH(DR$3)=MONTH($B$7)),'Вводные'!$B$31="Оплата капиталом"),DQ37,0),0)</x:f>
      </x:c>
      <x:c r="DS44" s="117">
        <x:f>IF(DS$3&gt;=$B$7,MAX(0,DS20)+DS35+IF(AND(AND(YEAR(DS$3)=YEAR($B$7),MONTH(DS$3)=MONTH($B$7)),'Вводные'!$B$31="Оплата капиталом"),DR37,0),0)</x:f>
      </x:c>
      <x:c r="DT44" s="117">
        <x:f>IF(DT$3&gt;=$B$7,MAX(0,DT20)+DT35+IF(AND(AND(YEAR(DT$3)=YEAR($B$7),MONTH(DT$3)=MONTH($B$7)),'Вводные'!$B$31="Оплата капиталом"),DS37,0),0)</x:f>
      </x:c>
      <x:c r="DU44" s="117">
        <x:f>IF(DU$3&gt;=$B$7,MAX(0,DU20)+DU35+IF(AND(AND(YEAR(DU$3)=YEAR($B$7),MONTH(DU$3)=MONTH($B$7)),'Вводные'!$B$31="Оплата капиталом"),DT37,0),0)</x:f>
      </x:c>
      <x:c r="DV44" s="117">
        <x:f>IF(DV$3&gt;=$B$7,MAX(0,DV20)+DV35+IF(AND(AND(YEAR(DV$3)=YEAR($B$7),MONTH(DV$3)=MONTH($B$7)),'Вводные'!$B$31="Оплата капиталом"),DU37,0),0)</x:f>
      </x:c>
      <x:c r="DW44" s="117">
        <x:f>IF(DW$3&gt;=$B$7,MAX(0,DW20)+DW35+IF(AND(AND(YEAR(DW$3)=YEAR($B$7),MONTH(DW$3)=MONTH($B$7)),'Вводные'!$B$31="Оплата капиталом"),DV37,0),0)</x:f>
      </x:c>
      <x:c r="DX44" s="117">
        <x:f>IF(DX$3&gt;=$B$7,MAX(0,DX20)+DX35+IF(AND(AND(YEAR(DX$3)=YEAR($B$7),MONTH(DX$3)=MONTH($B$7)),'Вводные'!$B$31="Оплата капиталом"),DW37,0),0)</x:f>
      </x:c>
      <x:c r="DY44" s="117">
        <x:f>IF(DY$3&gt;=$B$7,MAX(0,DY20)+DY35+IF(AND(AND(YEAR(DY$3)=YEAR($B$7),MONTH(DY$3)=MONTH($B$7)),'Вводные'!$B$31="Оплата капиталом"),DX37,0),0)</x:f>
      </x:c>
      <x:c r="DZ44" s="117">
        <x:f>IF(DZ$3&gt;=$B$7,MAX(0,DZ20)+DZ35+IF(AND(AND(YEAR(DZ$3)=YEAR($B$7),MONTH(DZ$3)=MONTH($B$7)),'Вводные'!$B$31="Оплата капиталом"),DY37,0),0)</x:f>
      </x:c>
      <x:c r="EA44" s="117">
        <x:f>IF(EA$3&gt;=$B$7,MAX(0,EA20)+EA35+IF(AND(AND(YEAR(EA$3)=YEAR($B$7),MONTH(EA$3)=MONTH($B$7)),'Вводные'!$B$31="Оплата капиталом"),DZ37,0),0)</x:f>
      </x:c>
      <x:c r="EB44" s="117">
        <x:f>IF(EB$3&gt;=$B$7,MAX(0,EB20)+EB35+IF(AND(AND(YEAR(EB$3)=YEAR($B$7),MONTH(EB$3)=MONTH($B$7)),'Вводные'!$B$31="Оплата капиталом"),EA37,0),0)</x:f>
      </x:c>
      <x:c r="EC44" s="117">
        <x:f>IF(EC$3&gt;=$B$7,MAX(0,EC20)+EC35+IF(AND(AND(YEAR(EC$3)=YEAR($B$7),MONTH(EC$3)=MONTH($B$7)),'Вводные'!$B$31="Оплата капиталом"),EB37,0),0)</x:f>
      </x:c>
      <x:c r="ED44" s="117">
        <x:f>IF(ED$3&gt;=$B$7,MAX(0,ED20)+ED35+IF(AND(AND(YEAR(ED$3)=YEAR($B$7),MONTH(ED$3)=MONTH($B$7)),'Вводные'!$B$31="Оплата капиталом"),EC37,0),0)</x:f>
      </x:c>
      <x:c r="EE44" s="117">
        <x:f>IF(EE$3&gt;=$B$7,MAX(0,EE20)+EE35+IF(AND(AND(YEAR(EE$3)=YEAR($B$7),MONTH(EE$3)=MONTH($B$7)),'Вводные'!$B$31="Оплата капиталом"),ED37,0),0)</x:f>
      </x:c>
      <x:c r="EF44" s="117">
        <x:f>IF(EF$3&gt;=$B$7,MAX(0,EF20)+EF35+IF(AND(AND(YEAR(EF$3)=YEAR($B$7),MONTH(EF$3)=MONTH($B$7)),'Вводные'!$B$31="Оплата капиталом"),EE37,0),0)</x:f>
      </x:c>
      <x:c r="EG44" s="117">
        <x:f>IF(EG$3&gt;=$B$7,MAX(0,EG20)+EG35+IF(AND(AND(YEAR(EG$3)=YEAR($B$7),MONTH(EG$3)=MONTH($B$7)),'Вводные'!$B$31="Оплата капиталом"),EF37,0),0)</x:f>
      </x:c>
      <x:c r="EH44" s="117">
        <x:f>IF(EH$3&gt;=$B$7,MAX(0,EH20)+EH35+IF(AND(AND(YEAR(EH$3)=YEAR($B$7),MONTH(EH$3)=MONTH($B$7)),'Вводные'!$B$31="Оплата капиталом"),EG37,0),0)</x:f>
      </x:c>
      <x:c r="EI44" s="117">
        <x:f>IF(EI$3&gt;=$B$7,MAX(0,EI20)+EI35+IF(AND(AND(YEAR(EI$3)=YEAR($B$7),MONTH(EI$3)=MONTH($B$7)),'Вводные'!$B$31="Оплата капиталом"),EH37,0),0)</x:f>
      </x:c>
      <x:c r="EJ44" s="117">
        <x:f>IF(EJ$3&gt;=$B$7,MAX(0,EJ20)+EJ35+IF(AND(AND(YEAR(EJ$3)=YEAR($B$7),MONTH(EJ$3)=MONTH($B$7)),'Вводные'!$B$31="Оплата капиталом"),EI37,0),0)</x:f>
      </x:c>
      <x:c r="EK44" s="117">
        <x:f>IF(EK$3&gt;=$B$7,MAX(0,EK20)+EK35+IF(AND(AND(YEAR(EK$3)=YEAR($B$7),MONTH(EK$3)=MONTH($B$7)),'Вводные'!$B$31="Оплата капиталом"),EJ37,0),0)</x:f>
      </x:c>
      <x:c r="EL44" s="117">
        <x:f>IF(EL$3&gt;=$B$7,MAX(0,EL20)+EL35+IF(AND(AND(YEAR(EL$3)=YEAR($B$7),MONTH(EL$3)=MONTH($B$7)),'Вводные'!$B$31="Оплата капиталом"),EK37,0),0)</x:f>
      </x:c>
      <x:c r="EM44" s="117">
        <x:f>IF(EM$3&gt;=$B$7,MAX(0,EM20)+EM35+IF(AND(AND(YEAR(EM$3)=YEAR($B$7),MONTH(EM$3)=MONTH($B$7)),'Вводные'!$B$31="Оплата капиталом"),EL37,0),0)</x:f>
      </x:c>
      <x:c r="EN44" s="117">
        <x:f>IF(EN$3&gt;=$B$7,MAX(0,EN20)+EN35+IF(AND(AND(YEAR(EN$3)=YEAR($B$7),MONTH(EN$3)=MONTH($B$7)),'Вводные'!$B$31="Оплата капиталом"),EM37,0),0)</x:f>
      </x:c>
      <x:c r="EO44" s="117">
        <x:f>IF(EO$3&gt;=$B$7,MAX(0,EO20)+EO35+IF(AND(AND(YEAR(EO$3)=YEAR($B$7),MONTH(EO$3)=MONTH($B$7)),'Вводные'!$B$31="Оплата капиталом"),EN37,0),0)</x:f>
      </x:c>
      <x:c r="EP44" s="117">
        <x:f>IF(EP$3&gt;=$B$7,MAX(0,EP20)+EP35+IF(AND(AND(YEAR(EP$3)=YEAR($B$7),MONTH(EP$3)=MONTH($B$7)),'Вводные'!$B$31="Оплата капиталом"),EO37,0),0)</x:f>
      </x:c>
      <x:c r="EQ44" s="117">
        <x:f>IF(EQ$3&gt;=$B$7,MAX(0,EQ20)+EQ35+IF(AND(AND(YEAR(EQ$3)=YEAR($B$7),MONTH(EQ$3)=MONTH($B$7)),'Вводные'!$B$31="Оплата капиталом"),EP37,0),0)</x:f>
      </x:c>
      <x:c r="ER44" s="117">
        <x:f>IF(ER$3&gt;=$B$7,MAX(0,ER20)+ER35+IF(AND(AND(YEAR(ER$3)=YEAR($B$7),MONTH(ER$3)=MONTH($B$7)),'Вводные'!$B$31="Оплата капиталом"),EQ37,0),0)</x:f>
      </x:c>
      <x:c r="ES44" s="117">
        <x:f>IF(ES$3&gt;=$B$7,MAX(0,ES20)+ES35+IF(AND(AND(YEAR(ES$3)=YEAR($B$7),MONTH(ES$3)=MONTH($B$7)),'Вводные'!$B$31="Оплата капиталом"),ER37,0),0)</x:f>
      </x:c>
      <x:c r="ET44" s="117">
        <x:f>IF(ET$3&gt;=$B$7,MAX(0,ET20)+ET35+IF(AND(AND(YEAR(ET$3)=YEAR($B$7),MONTH(ET$3)=MONTH($B$7)),'Вводные'!$B$31="Оплата капиталом"),ES37,0),0)</x:f>
      </x:c>
      <x:c r="EU44" s="117">
        <x:f>IF(EU$3&gt;=$B$7,MAX(0,EU20)+EU35+IF(AND(AND(YEAR(EU$3)=YEAR($B$7),MONTH(EU$3)=MONTH($B$7)),'Вводные'!$B$31="Оплата капиталом"),ET37,0),0)</x:f>
      </x:c>
      <x:c r="EV44" s="117">
        <x:f>IF(EV$3&gt;=$B$7,MAX(0,EV20)+EV35+IF(AND(AND(YEAR(EV$3)=YEAR($B$7),MONTH(EV$3)=MONTH($B$7)),'Вводные'!$B$31="Оплата капиталом"),EU37,0),0)</x:f>
      </x:c>
      <x:c r="EW44" s="117">
        <x:f>IF(EW$3&gt;=$B$7,MAX(0,EW20)+EW35+IF(AND(AND(YEAR(EW$3)=YEAR($B$7),MONTH(EW$3)=MONTH($B$7)),'Вводные'!$B$31="Оплата капиталом"),EV37,0),0)</x:f>
      </x:c>
      <x:c r="EX44" s="117">
        <x:f>IF(EX$3&gt;=$B$7,MAX(0,EX20)+EX35+IF(AND(AND(YEAR(EX$3)=YEAR($B$7),MONTH(EX$3)=MONTH($B$7)),'Вводные'!$B$31="Оплата капиталом"),EW37,0),0)</x:f>
      </x:c>
      <x:c r="EY44" s="117">
        <x:f>IF(EY$3&gt;=$B$7,MAX(0,EY20)+EY35+IF(AND(AND(YEAR(EY$3)=YEAR($B$7),MONTH(EY$3)=MONTH($B$7)),'Вводные'!$B$31="Оплата капиталом"),EX37,0),0)</x:f>
      </x:c>
      <x:c r="EZ44" s="117">
        <x:f>IF(EZ$3&gt;=$B$7,MAX(0,EZ20)+EZ35+IF(AND(AND(YEAR(EZ$3)=YEAR($B$7),MONTH(EZ$3)=MONTH($B$7)),'Вводные'!$B$31="Оплата капиталом"),EY37,0),0)</x:f>
      </x:c>
      <x:c r="FA44" s="117">
        <x:f>IF(FA$3&gt;=$B$7,MAX(0,FA20)+FA35+IF(AND(AND(YEAR(FA$3)=YEAR($B$7),MONTH(FA$3)=MONTH($B$7)),'Вводные'!$B$31="Оплата капиталом"),EZ37,0),0)</x:f>
      </x:c>
      <x:c r="FB44" s="117">
        <x:f>IF(FB$3&gt;=$B$7,MAX(0,FB20)+FB35+IF(AND(AND(YEAR(FB$3)=YEAR($B$7),MONTH(FB$3)=MONTH($B$7)),'Вводные'!$B$31="Оплата капиталом"),FA37,0),0)</x:f>
      </x:c>
      <x:c r="FC44" s="117">
        <x:f>IF(FC$3&gt;=$B$7,MAX(0,FC20)+FC35+IF(AND(AND(YEAR(FC$3)=YEAR($B$7),MONTH(FC$3)=MONTH($B$7)),'Вводные'!$B$31="Оплата капиталом"),FB37,0),0)</x:f>
      </x:c>
      <x:c r="FD44" s="117">
        <x:f>IF(FD$3&gt;=$B$7,MAX(0,FD20)+FD35+IF(AND(AND(YEAR(FD$3)=YEAR($B$7),MONTH(FD$3)=MONTH($B$7)),'Вводные'!$B$31="Оплата капиталом"),FC37,0),0)</x:f>
      </x:c>
      <x:c r="FE44" s="117">
        <x:f>IF(FE$3&gt;=$B$7,MAX(0,FE20)+FE35+IF(AND(AND(YEAR(FE$3)=YEAR($B$7),MONTH(FE$3)=MONTH($B$7)),'Вводные'!$B$31="Оплата капиталом"),FD37,0),0)</x:f>
      </x:c>
      <x:c r="FF44" s="117">
        <x:f>IF(FF$3&gt;=$B$7,MAX(0,FF20)+FF35+IF(AND(AND(YEAR(FF$3)=YEAR($B$7),MONTH(FF$3)=MONTH($B$7)),'Вводные'!$B$31="Оплата капиталом"),FE37,0),0)</x:f>
      </x:c>
      <x:c r="FG44" s="117">
        <x:f>IF(FG$3&gt;=$B$7,MAX(0,FG20)+FG35+IF(AND(AND(YEAR(FG$3)=YEAR($B$7),MONTH(FG$3)=MONTH($B$7)),'Вводные'!$B$31="Оплата капиталом"),FF37,0),0)</x:f>
      </x:c>
      <x:c r="FH44" s="117">
        <x:f>IF(FH$3&gt;=$B$7,MAX(0,FH20)+FH35+IF(AND(AND(YEAR(FH$3)=YEAR($B$7),MONTH(FH$3)=MONTH($B$7)),'Вводные'!$B$31="Оплата капиталом"),FG37,0),0)</x:f>
      </x:c>
      <x:c r="FI44" s="117">
        <x:f>IF(FI$3&gt;=$B$7,MAX(0,FI20)+FI35+IF(AND(AND(YEAR(FI$3)=YEAR($B$7),MONTH(FI$3)=MONTH($B$7)),'Вводные'!$B$31="Оплата капиталом"),FH37,0),0)</x:f>
      </x:c>
      <x:c r="FJ44" s="117">
        <x:f>IF(FJ$3&gt;=$B$7,MAX(0,FJ20)+FJ35+IF(AND(AND(YEAR(FJ$3)=YEAR($B$7),MONTH(FJ$3)=MONTH($B$7)),'Вводные'!$B$31="Оплата капиталом"),FI37,0),0)</x:f>
      </x:c>
      <x:c r="FK44" s="117">
        <x:f>IF(FK$3&gt;=$B$7,MAX(0,FK20)+FK35+IF(AND(AND(YEAR(FK$3)=YEAR($B$7),MONTH(FK$3)=MONTH($B$7)),'Вводные'!$B$31="Оплата капиталом"),FJ37,0),0)</x:f>
      </x:c>
      <x:c r="FL44" s="117">
        <x:f>IF(FL$3&gt;=$B$7,MAX(0,FL20)+FL35+IF(AND(AND(YEAR(FL$3)=YEAR($B$7),MONTH(FL$3)=MONTH($B$7)),'Вводные'!$B$31="Оплата капиталом"),FK37,0),0)</x:f>
      </x:c>
      <x:c r="FM44" s="117">
        <x:f>IF(FM$3&gt;=$B$7,MAX(0,FM20)+FM35+IF(AND(AND(YEAR(FM$3)=YEAR($B$7),MONTH(FM$3)=MONTH($B$7)),'Вводные'!$B$31="Оплата капиталом"),FL37,0),0)</x:f>
      </x:c>
      <x:c r="FN44" s="117">
        <x:f>IF(FN$3&gt;=$B$7,MAX(0,FN20)+FN35+IF(AND(AND(YEAR(FN$3)=YEAR($B$7),MONTH(FN$3)=MONTH($B$7)),'Вводные'!$B$31="Оплата капиталом"),FM37,0),0)</x:f>
      </x:c>
      <x:c r="FO44" s="117">
        <x:f>IF(FO$3&gt;=$B$7,MAX(0,FO20)+FO35+IF(AND(AND(YEAR(FO$3)=YEAR($B$7),MONTH(FO$3)=MONTH($B$7)),'Вводные'!$B$31="Оплата капиталом"),FN37,0),0)</x:f>
      </x:c>
      <x:c r="FP44" s="117">
        <x:f>IF(FP$3&gt;=$B$7,MAX(0,FP20)+FP35+IF(AND(AND(YEAR(FP$3)=YEAR($B$7),MONTH(FP$3)=MONTH($B$7)),'Вводные'!$B$31="Оплата капиталом"),FO37,0),0)</x:f>
      </x:c>
      <x:c r="FQ44" s="117">
        <x:f>IF(FQ$3&gt;=$B$7,MAX(0,FQ20)+FQ35+IF(AND(AND(YEAR(FQ$3)=YEAR($B$7),MONTH(FQ$3)=MONTH($B$7)),'Вводные'!$B$31="Оплата капиталом"),FP37,0),0)</x:f>
      </x:c>
      <x:c r="FR44" s="117">
        <x:f>IF(FR$3&gt;=$B$7,MAX(0,FR20)+FR35+IF(AND(AND(YEAR(FR$3)=YEAR($B$7),MONTH(FR$3)=MONTH($B$7)),'Вводные'!$B$31="Оплата капиталом"),FQ37,0),0)</x:f>
      </x:c>
      <x:c r="FS44" s="117">
        <x:f>IF(FS$3&gt;=$B$7,MAX(0,FS20)+FS35+IF(AND(AND(YEAR(FS$3)=YEAR($B$7),MONTH(FS$3)=MONTH($B$7)),'Вводные'!$B$31="Оплата капиталом"),FR37,0),0)</x:f>
      </x:c>
      <x:c r="FT44" s="117">
        <x:f>IF(FT$3&gt;=$B$7,MAX(0,FT20)+FT35+IF(AND(AND(YEAR(FT$3)=YEAR($B$7),MONTH(FT$3)=MONTH($B$7)),'Вводные'!$B$31="Оплата капиталом"),FS37,0),0)</x:f>
      </x:c>
      <x:c r="FU44" s="117">
        <x:f>IF(FU$3&gt;=$B$7,MAX(0,FU20)+FU35+IF(AND(AND(YEAR(FU$3)=YEAR($B$7),MONTH(FU$3)=MONTH($B$7)),'Вводные'!$B$31="Оплата капиталом"),FT37,0),0)</x:f>
      </x:c>
      <x:c r="FV44" s="117">
        <x:f>IF(FV$3&gt;=$B$7,MAX(0,FV20)+FV35+IF(AND(AND(YEAR(FV$3)=YEAR($B$7),MONTH(FV$3)=MONTH($B$7)),'Вводные'!$B$31="Оплата капиталом"),FU37,0),0)</x:f>
      </x:c>
      <x:c r="FW44" s="117">
        <x:f>IF(FW$3&gt;=$B$7,MAX(0,FW20)+FW35+IF(AND(AND(YEAR(FW$3)=YEAR($B$7),MONTH(FW$3)=MONTH($B$7)),'Вводные'!$B$31="Оплата капиталом"),FV37,0),0)</x:f>
      </x:c>
      <x:c r="FX44" s="117">
        <x:f>IF(FX$3&gt;=$B$7,MAX(0,FX20)+FX35+IF(AND(AND(YEAR(FX$3)=YEAR($B$7),MONTH(FX$3)=MONTH($B$7)),'Вводные'!$B$31="Оплата капиталом"),FW37,0),0)</x:f>
      </x:c>
      <x:c r="FY44" s="117">
        <x:f>IF(FY$3&gt;=$B$7,MAX(0,FY20)+FY35+IF(AND(AND(YEAR(FY$3)=YEAR($B$7),MONTH(FY$3)=MONTH($B$7)),'Вводные'!$B$31="Оплата капиталом"),FX37,0),0)</x:f>
      </x:c>
      <x:c r="FZ44" s="117">
        <x:f>IF(FZ$3&gt;=$B$7,MAX(0,FZ20)+FZ35+IF(AND(AND(YEAR(FZ$3)=YEAR($B$7),MONTH(FZ$3)=MONTH($B$7)),'Вводные'!$B$31="Оплата капиталом"),FY37,0),0)</x:f>
      </x:c>
      <x:c r="GA44" s="117">
        <x:f>IF(GA$3&gt;=$B$7,MAX(0,GA20)+GA35+IF(AND(AND(YEAR(GA$3)=YEAR($B$7),MONTH(GA$3)=MONTH($B$7)),'Вводные'!$B$31="Оплата капиталом"),FZ37,0),0)</x:f>
      </x:c>
    </x:row>
    <x:row r="45">
      <x:c r="A45" t="str">
        <x:v>ПФ — выборка</x:v>
      </x:c>
      <x:c r="B45" t="n">
        <x:f>SUM(D45:GA45)</x:f>
      </x:c>
      <x:c r="C45" t="str">
        <x:v>млн ₽</x:v>
      </x:c>
      <x:c r="D45" s="117" t="n">
        <x:f>D44</x:f>
      </x:c>
      <x:c r="E45" s="117" t="n">
        <x:f>E44</x:f>
      </x:c>
      <x:c r="F45" s="117" t="n">
        <x:f>F44</x:f>
      </x:c>
      <x:c r="G45" s="117" t="n">
        <x:f>G44</x:f>
      </x:c>
      <x:c r="H45" s="117" t="n">
        <x:f>H44</x:f>
      </x:c>
      <x:c r="I45" s="117" t="n">
        <x:f>I44</x:f>
      </x:c>
      <x:c r="J45" s="117" t="n">
        <x:f>J44</x:f>
      </x:c>
      <x:c r="K45" s="117" t="n">
        <x:f>K44</x:f>
      </x:c>
      <x:c r="L45" s="117" t="n">
        <x:f>L44</x:f>
      </x:c>
      <x:c r="M45" s="117" t="n">
        <x:f>M44</x:f>
      </x:c>
      <x:c r="N45" s="117" t="n">
        <x:f>N44</x:f>
      </x:c>
      <x:c r="O45" s="117" t="n">
        <x:f>O44</x:f>
      </x:c>
      <x:c r="P45" s="117" t="n">
        <x:f>P44</x:f>
      </x:c>
      <x:c r="Q45" s="117" t="n">
        <x:f>Q44</x:f>
      </x:c>
      <x:c r="R45" s="117" t="n">
        <x:f>R44</x:f>
      </x:c>
      <x:c r="S45" s="117" t="n">
        <x:f>S44</x:f>
      </x:c>
      <x:c r="T45" s="117" t="n">
        <x:f>T44</x:f>
      </x:c>
      <x:c r="U45" s="117" t="n">
        <x:f>U44</x:f>
      </x:c>
      <x:c r="V45" s="117" t="n">
        <x:f>V44</x:f>
      </x:c>
      <x:c r="W45" s="117" t="n">
        <x:f>W44</x:f>
      </x:c>
      <x:c r="X45" s="117" t="n">
        <x:f>X44</x:f>
      </x:c>
      <x:c r="Y45" s="117" t="n">
        <x:f>Y44</x:f>
      </x:c>
      <x:c r="Z45" s="117" t="n">
        <x:f>Z44</x:f>
      </x:c>
      <x:c r="AA45" s="117" t="n">
        <x:f>AA44</x:f>
      </x:c>
      <x:c r="AB45" s="117" t="n">
        <x:f>AB44</x:f>
      </x:c>
      <x:c r="AC45" s="117" t="n">
        <x:f>AC44</x:f>
      </x:c>
      <x:c r="AD45" s="117" t="n">
        <x:f>AD44</x:f>
      </x:c>
      <x:c r="AE45" s="117" t="n">
        <x:f>AE44</x:f>
      </x:c>
      <x:c r="AF45" s="117" t="n">
        <x:f>AF44</x:f>
      </x:c>
      <x:c r="AG45" s="117" t="n">
        <x:f>AG44</x:f>
      </x:c>
      <x:c r="AH45" s="117" t="n">
        <x:f>AH44</x:f>
      </x:c>
      <x:c r="AI45" s="117" t="n">
        <x:f>AI44</x:f>
      </x:c>
      <x:c r="AJ45" s="117" t="n">
        <x:f>AJ44</x:f>
      </x:c>
      <x:c r="AK45" s="117" t="n">
        <x:f>AK44</x:f>
      </x:c>
      <x:c r="AL45" s="117" t="n">
        <x:f>AL44</x:f>
      </x:c>
      <x:c r="AM45" s="117" t="n">
        <x:f>AM44</x:f>
      </x:c>
      <x:c r="AN45" s="117" t="n">
        <x:f>AN44</x:f>
      </x:c>
      <x:c r="AO45" s="117" t="n">
        <x:f>AO44</x:f>
      </x:c>
      <x:c r="AP45" s="117" t="n">
        <x:f>AP44</x:f>
      </x:c>
      <x:c r="AQ45" s="117" t="n">
        <x:f>AQ44</x:f>
      </x:c>
      <x:c r="AR45" s="117" t="n">
        <x:f>AR44</x:f>
      </x:c>
      <x:c r="AS45" s="117" t="n">
        <x:f>AS44</x:f>
      </x:c>
      <x:c r="AT45" s="117" t="n">
        <x:f>AT44</x:f>
      </x:c>
      <x:c r="AU45" s="117" t="n">
        <x:f>AU44</x:f>
      </x:c>
      <x:c r="AV45" s="117" t="n">
        <x:f>AV44</x:f>
      </x:c>
      <x:c r="AW45" s="117" t="n">
        <x:f>AW44</x:f>
      </x:c>
      <x:c r="AX45" s="117" t="n">
        <x:f>AX44</x:f>
      </x:c>
      <x:c r="AY45" s="117" t="n">
        <x:f>AY44</x:f>
      </x:c>
      <x:c r="AZ45" s="117" t="n">
        <x:f>AZ44</x:f>
      </x:c>
      <x:c r="BA45" s="117" t="n">
        <x:f>BA44</x:f>
      </x:c>
      <x:c r="BB45" s="117" t="n">
        <x:f>BB44</x:f>
      </x:c>
      <x:c r="BC45" s="117" t="n">
        <x:f>BC44</x:f>
      </x:c>
      <x:c r="BD45" s="117" t="n">
        <x:f>BD44</x:f>
      </x:c>
      <x:c r="BE45" s="117" t="n">
        <x:f>BE44</x:f>
      </x:c>
      <x:c r="BF45" s="117" t="n">
        <x:f>BF44</x:f>
      </x:c>
      <x:c r="BG45" s="117" t="n">
        <x:f>BG44</x:f>
      </x:c>
      <x:c r="BH45" s="117" t="n">
        <x:f>BH44</x:f>
      </x:c>
      <x:c r="BI45" s="117" t="n">
        <x:f>BI44</x:f>
      </x:c>
      <x:c r="BJ45" s="117" t="n">
        <x:f>BJ44</x:f>
      </x:c>
      <x:c r="BK45" s="117" t="n">
        <x:f>BK44</x:f>
      </x:c>
      <x:c r="BL45" s="117" t="n">
        <x:f>BL44</x:f>
      </x:c>
      <x:c r="BM45" s="117" t="n">
        <x:f>BM44</x:f>
      </x:c>
      <x:c r="BN45" s="117" t="n">
        <x:f>BN44</x:f>
      </x:c>
      <x:c r="BO45" s="117" t="n">
        <x:f>BO44</x:f>
      </x:c>
      <x:c r="BP45" s="117" t="n">
        <x:f>BP44</x:f>
      </x:c>
      <x:c r="BQ45" s="117" t="n">
        <x:f>BQ44</x:f>
      </x:c>
      <x:c r="BR45" s="117" t="n">
        <x:f>BR44</x:f>
      </x:c>
      <x:c r="BS45" s="117" t="n">
        <x:f>BS44</x:f>
      </x:c>
      <x:c r="BT45" s="117" t="n">
        <x:f>BT44</x:f>
      </x:c>
      <x:c r="BU45" s="117" t="n">
        <x:f>BU44</x:f>
      </x:c>
      <x:c r="BV45" s="117" t="n">
        <x:f>BV44</x:f>
      </x:c>
      <x:c r="BW45" s="117" t="n">
        <x:f>BW44</x:f>
      </x:c>
      <x:c r="BX45" s="117" t="n">
        <x:f>BX44</x:f>
      </x:c>
      <x:c r="BY45" s="117" t="n">
        <x:f>BY44</x:f>
      </x:c>
      <x:c r="BZ45" s="117" t="n">
        <x:f>BZ44</x:f>
      </x:c>
      <x:c r="CA45" s="117" t="n">
        <x:f>CA44</x:f>
      </x:c>
      <x:c r="CB45" s="117" t="n">
        <x:f>CB44</x:f>
      </x:c>
      <x:c r="CC45" s="117" t="n">
        <x:f>CC44</x:f>
      </x:c>
      <x:c r="CD45" s="117" t="n">
        <x:f>CD44</x:f>
      </x:c>
      <x:c r="CE45" s="117" t="n">
        <x:f>CE44</x:f>
      </x:c>
      <x:c r="CF45" s="117" t="n">
        <x:f>CF44</x:f>
      </x:c>
      <x:c r="CG45" s="117" t="n">
        <x:f>CG44</x:f>
      </x:c>
      <x:c r="CH45" s="117" t="n">
        <x:f>CH44</x:f>
      </x:c>
      <x:c r="CI45" s="117" t="n">
        <x:f>CI44</x:f>
      </x:c>
      <x:c r="CJ45" s="117" t="n">
        <x:f>CJ44</x:f>
      </x:c>
      <x:c r="CK45" s="117" t="n">
        <x:f>CK44</x:f>
      </x:c>
      <x:c r="CL45" s="117" t="n">
        <x:f>CL44</x:f>
      </x:c>
      <x:c r="CM45" s="117" t="n">
        <x:f>CM44</x:f>
      </x:c>
      <x:c r="CN45" s="117" t="n">
        <x:f>CN44</x:f>
      </x:c>
      <x:c r="CO45" s="117" t="n">
        <x:f>CO44</x:f>
      </x:c>
      <x:c r="CP45" s="117" t="n">
        <x:f>CP44</x:f>
      </x:c>
      <x:c r="CQ45" s="117" t="n">
        <x:f>CQ44</x:f>
      </x:c>
      <x:c r="CR45" s="117" t="n">
        <x:f>CR44</x:f>
      </x:c>
      <x:c r="CS45" s="117" t="n">
        <x:f>CS44</x:f>
      </x:c>
      <x:c r="CT45" s="117" t="n">
        <x:f>CT44</x:f>
      </x:c>
      <x:c r="CU45" s="117" t="n">
        <x:f>CU44</x:f>
      </x:c>
      <x:c r="CV45" s="117" t="n">
        <x:f>CV44</x:f>
      </x:c>
      <x:c r="CW45" s="117" t="n">
        <x:f>CW44</x:f>
      </x:c>
      <x:c r="CX45" s="117" t="n">
        <x:f>CX44</x:f>
      </x:c>
      <x:c r="CY45" s="117" t="n">
        <x:f>CY44</x:f>
      </x:c>
      <x:c r="CZ45" s="117" t="n">
        <x:f>CZ44</x:f>
      </x:c>
      <x:c r="DA45" s="117" t="n">
        <x:f>DA44</x:f>
      </x:c>
      <x:c r="DB45" s="117" t="n">
        <x:f>DB44</x:f>
      </x:c>
      <x:c r="DC45" s="117" t="n">
        <x:f>DC44</x:f>
      </x:c>
      <x:c r="DD45" s="117" t="n">
        <x:f>DD44</x:f>
      </x:c>
      <x:c r="DE45" s="117" t="n">
        <x:f>DE44</x:f>
      </x:c>
      <x:c r="DF45" s="117" t="n">
        <x:f>DF44</x:f>
      </x:c>
      <x:c r="DG45" s="117" t="n">
        <x:f>DG44</x:f>
      </x:c>
      <x:c r="DH45" s="117" t="n">
        <x:f>DH44</x:f>
      </x:c>
      <x:c r="DI45" s="117" t="n">
        <x:f>DI44</x:f>
      </x:c>
      <x:c r="DJ45" s="117" t="n">
        <x:f>DJ44</x:f>
      </x:c>
      <x:c r="DK45" s="117" t="n">
        <x:f>DK44</x:f>
      </x:c>
      <x:c r="DL45" s="117" t="n">
        <x:f>DL44</x:f>
      </x:c>
      <x:c r="DM45" s="117" t="n">
        <x:f>DM44</x:f>
      </x:c>
      <x:c r="DN45" s="117" t="n">
        <x:f>DN44</x:f>
      </x:c>
      <x:c r="DO45" s="117" t="n">
        <x:f>DO44</x:f>
      </x:c>
      <x:c r="DP45" s="117" t="n">
        <x:f>DP44</x:f>
      </x:c>
      <x:c r="DQ45" s="117" t="n">
        <x:f>DQ44</x:f>
      </x:c>
      <x:c r="DR45" s="117" t="n">
        <x:f>DR44</x:f>
      </x:c>
      <x:c r="DS45" s="117" t="n">
        <x:f>DS44</x:f>
      </x:c>
      <x:c r="DT45" s="117" t="n">
        <x:f>DT44</x:f>
      </x:c>
      <x:c r="DU45" s="117" t="n">
        <x:f>DU44</x:f>
      </x:c>
      <x:c r="DV45" s="117" t="n">
        <x:f>DV44</x:f>
      </x:c>
      <x:c r="DW45" s="117" t="n">
        <x:f>DW44</x:f>
      </x:c>
      <x:c r="DX45" s="117" t="n">
        <x:f>DX44</x:f>
      </x:c>
      <x:c r="DY45" s="117" t="n">
        <x:f>DY44</x:f>
      </x:c>
      <x:c r="DZ45" s="117" t="n">
        <x:f>DZ44</x:f>
      </x:c>
      <x:c r="EA45" s="117" t="n">
        <x:f>EA44</x:f>
      </x:c>
      <x:c r="EB45" s="117" t="n">
        <x:f>EB44</x:f>
      </x:c>
      <x:c r="EC45" s="117" t="n">
        <x:f>EC44</x:f>
      </x:c>
      <x:c r="ED45" s="117" t="n">
        <x:f>ED44</x:f>
      </x:c>
      <x:c r="EE45" s="117" t="n">
        <x:f>EE44</x:f>
      </x:c>
      <x:c r="EF45" s="117" t="n">
        <x:f>EF44</x:f>
      </x:c>
      <x:c r="EG45" s="117" t="n">
        <x:f>EG44</x:f>
      </x:c>
      <x:c r="EH45" s="117" t="n">
        <x:f>EH44</x:f>
      </x:c>
      <x:c r="EI45" s="117" t="n">
        <x:f>EI44</x:f>
      </x:c>
      <x:c r="EJ45" s="117" t="n">
        <x:f>EJ44</x:f>
      </x:c>
      <x:c r="EK45" s="117" t="n">
        <x:f>EK44</x:f>
      </x:c>
      <x:c r="EL45" s="117" t="n">
        <x:f>EL44</x:f>
      </x:c>
      <x:c r="EM45" s="117" t="n">
        <x:f>EM44</x:f>
      </x:c>
      <x:c r="EN45" s="117" t="n">
        <x:f>EN44</x:f>
      </x:c>
      <x:c r="EO45" s="117" t="n">
        <x:f>EO44</x:f>
      </x:c>
      <x:c r="EP45" s="117" t="n">
        <x:f>EP44</x:f>
      </x:c>
      <x:c r="EQ45" s="117" t="n">
        <x:f>EQ44</x:f>
      </x:c>
      <x:c r="ER45" s="117" t="n">
        <x:f>ER44</x:f>
      </x:c>
      <x:c r="ES45" s="117" t="n">
        <x:f>ES44</x:f>
      </x:c>
      <x:c r="ET45" s="117" t="n">
        <x:f>ET44</x:f>
      </x:c>
      <x:c r="EU45" s="117" t="n">
        <x:f>EU44</x:f>
      </x:c>
      <x:c r="EV45" s="117" t="n">
        <x:f>EV44</x:f>
      </x:c>
      <x:c r="EW45" s="117" t="n">
        <x:f>EW44</x:f>
      </x:c>
      <x:c r="EX45" s="117" t="n">
        <x:f>EX44</x:f>
      </x:c>
      <x:c r="EY45" s="117" t="n">
        <x:f>EY44</x:f>
      </x:c>
      <x:c r="EZ45" s="117" t="n">
        <x:f>EZ44</x:f>
      </x:c>
      <x:c r="FA45" s="117" t="n">
        <x:f>FA44</x:f>
      </x:c>
      <x:c r="FB45" s="117" t="n">
        <x:f>FB44</x:f>
      </x:c>
      <x:c r="FC45" s="117" t="n">
        <x:f>FC44</x:f>
      </x:c>
      <x:c r="FD45" s="117" t="n">
        <x:f>FD44</x:f>
      </x:c>
      <x:c r="FE45" s="117" t="n">
        <x:f>FE44</x:f>
      </x:c>
      <x:c r="FF45" s="117" t="n">
        <x:f>FF44</x:f>
      </x:c>
      <x:c r="FG45" s="117" t="n">
        <x:f>FG44</x:f>
      </x:c>
      <x:c r="FH45" s="117" t="n">
        <x:f>FH44</x:f>
      </x:c>
      <x:c r="FI45" s="117" t="n">
        <x:f>FI44</x:f>
      </x:c>
      <x:c r="FJ45" s="117" t="n">
        <x:f>FJ44</x:f>
      </x:c>
      <x:c r="FK45" s="117" t="n">
        <x:f>FK44</x:f>
      </x:c>
      <x:c r="FL45" s="117" t="n">
        <x:f>FL44</x:f>
      </x:c>
      <x:c r="FM45" s="117" t="n">
        <x:f>FM44</x:f>
      </x:c>
      <x:c r="FN45" s="117" t="n">
        <x:f>FN44</x:f>
      </x:c>
      <x:c r="FO45" s="117" t="n">
        <x:f>FO44</x:f>
      </x:c>
      <x:c r="FP45" s="117" t="n">
        <x:f>FP44</x:f>
      </x:c>
      <x:c r="FQ45" s="117" t="n">
        <x:f>FQ44</x:f>
      </x:c>
      <x:c r="FR45" s="117" t="n">
        <x:f>FR44</x:f>
      </x:c>
      <x:c r="FS45" s="117" t="n">
        <x:f>FS44</x:f>
      </x:c>
      <x:c r="FT45" s="117" t="n">
        <x:f>FT44</x:f>
      </x:c>
      <x:c r="FU45" s="117" t="n">
        <x:f>FU44</x:f>
      </x:c>
      <x:c r="FV45" s="117" t="n">
        <x:f>FV44</x:f>
      </x:c>
      <x:c r="FW45" s="117" t="n">
        <x:f>FW44</x:f>
      </x:c>
      <x:c r="FX45" s="117" t="n">
        <x:f>FX44</x:f>
      </x:c>
      <x:c r="FY45" s="117" t="n">
        <x:f>FY44</x:f>
      </x:c>
      <x:c r="FZ45" s="117" t="n">
        <x:f>FZ44</x:f>
      </x:c>
      <x:c r="GA45" s="117" t="n">
        <x:f>GA44</x:f>
      </x:c>
    </x:row>
    <x:row r="46">
      <x:c r="A46" t="str">
        <x:v>ПФ — погашение</x:v>
      </x:c>
      <x:c r="B46" t="n">
        <x:f>SUM(D46:GA46)</x:f>
      </x:c>
      <x:c r="C46" t="str">
        <x:v>млн ₽</x:v>
      </x:c>
      <x:c r="D46" s="117">
        <x:f>MIN(D38+D45,IF(AND(YEAR(D$3)=YEAR($B$8),MONTH(D$3)=MONTH($B$8)),D14,IF(D$3&gt;$B$8,D12,0)))</x:f>
      </x:c>
      <x:c r="E46" s="117">
        <x:f>MIN(E38+E45,IF(AND(YEAR(E$3)=YEAR($B$8),MONTH(E$3)=MONTH($B$8)),E14,IF(E$3&gt;$B$8,E12,0)))</x:f>
      </x:c>
      <x:c r="F46" s="117">
        <x:f>MIN(F38+F45,IF(AND(YEAR(F$3)=YEAR($B$8),MONTH(F$3)=MONTH($B$8)),F14,IF(F$3&gt;$B$8,F12,0)))</x:f>
      </x:c>
      <x:c r="G46" s="117">
        <x:f>MIN(G38+G45,IF(AND(YEAR(G$3)=YEAR($B$8),MONTH(G$3)=MONTH($B$8)),G14,IF(G$3&gt;$B$8,G12,0)))</x:f>
      </x:c>
      <x:c r="H46" s="117">
        <x:f>MIN(H38+H45,IF(AND(YEAR(H$3)=YEAR($B$8),MONTH(H$3)=MONTH($B$8)),H14,IF(H$3&gt;$B$8,H12,0)))</x:f>
      </x:c>
      <x:c r="I46" s="117">
        <x:f>MIN(I38+I45,IF(AND(YEAR(I$3)=YEAR($B$8),MONTH(I$3)=MONTH($B$8)),I14,IF(I$3&gt;$B$8,I12,0)))</x:f>
      </x:c>
      <x:c r="J46" s="117">
        <x:f>MIN(J38+J45,IF(AND(YEAR(J$3)=YEAR($B$8),MONTH(J$3)=MONTH($B$8)),J14,IF(J$3&gt;$B$8,J12,0)))</x:f>
      </x:c>
      <x:c r="K46" s="117">
        <x:f>MIN(K38+K45,IF(AND(YEAR(K$3)=YEAR($B$8),MONTH(K$3)=MONTH($B$8)),K14,IF(K$3&gt;$B$8,K12,0)))</x:f>
      </x:c>
      <x:c r="L46" s="117">
        <x:f>MIN(L38+L45,IF(AND(YEAR(L$3)=YEAR($B$8),MONTH(L$3)=MONTH($B$8)),L14,IF(L$3&gt;$B$8,L12,0)))</x:f>
      </x:c>
      <x:c r="M46" s="117">
        <x:f>MIN(M38+M45,IF(AND(YEAR(M$3)=YEAR($B$8),MONTH(M$3)=MONTH($B$8)),M14,IF(M$3&gt;$B$8,M12,0)))</x:f>
      </x:c>
      <x:c r="N46" s="117">
        <x:f>MIN(N38+N45,IF(AND(YEAR(N$3)=YEAR($B$8),MONTH(N$3)=MONTH($B$8)),N14,IF(N$3&gt;$B$8,N12,0)))</x:f>
      </x:c>
      <x:c r="O46" s="117">
        <x:f>MIN(O38+O45,IF(AND(YEAR(O$3)=YEAR($B$8),MONTH(O$3)=MONTH($B$8)),O14,IF(O$3&gt;$B$8,O12,0)))</x:f>
      </x:c>
      <x:c r="P46" s="117">
        <x:f>MIN(P38+P45,IF(AND(YEAR(P$3)=YEAR($B$8),MONTH(P$3)=MONTH($B$8)),P14,IF(P$3&gt;$B$8,P12,0)))</x:f>
      </x:c>
      <x:c r="Q46" s="117">
        <x:f>MIN(Q38+Q45,IF(AND(YEAR(Q$3)=YEAR($B$8),MONTH(Q$3)=MONTH($B$8)),Q14,IF(Q$3&gt;$B$8,Q12,0)))</x:f>
      </x:c>
      <x:c r="R46" s="117">
        <x:f>MIN(R38+R45,IF(AND(YEAR(R$3)=YEAR($B$8),MONTH(R$3)=MONTH($B$8)),R14,IF(R$3&gt;$B$8,R12,0)))</x:f>
      </x:c>
      <x:c r="S46" s="117">
        <x:f>MIN(S38+S45,IF(AND(YEAR(S$3)=YEAR($B$8),MONTH(S$3)=MONTH($B$8)),S14,IF(S$3&gt;$B$8,S12,0)))</x:f>
      </x:c>
      <x:c r="T46" s="117">
        <x:f>MIN(T38+T45,IF(AND(YEAR(T$3)=YEAR($B$8),MONTH(T$3)=MONTH($B$8)),T14,IF(T$3&gt;$B$8,T12,0)))</x:f>
      </x:c>
      <x:c r="U46" s="117">
        <x:f>MIN(U38+U45,IF(AND(YEAR(U$3)=YEAR($B$8),MONTH(U$3)=MONTH($B$8)),U14,IF(U$3&gt;$B$8,U12,0)))</x:f>
      </x:c>
      <x:c r="V46" s="117">
        <x:f>MIN(V38+V45,IF(AND(YEAR(V$3)=YEAR($B$8),MONTH(V$3)=MONTH($B$8)),V14,IF(V$3&gt;$B$8,V12,0)))</x:f>
      </x:c>
      <x:c r="W46" s="117">
        <x:f>MIN(W38+W45,IF(AND(YEAR(W$3)=YEAR($B$8),MONTH(W$3)=MONTH($B$8)),W14,IF(W$3&gt;$B$8,W12,0)))</x:f>
      </x:c>
      <x:c r="X46" s="117">
        <x:f>MIN(X38+X45,IF(AND(YEAR(X$3)=YEAR($B$8),MONTH(X$3)=MONTH($B$8)),X14,IF(X$3&gt;$B$8,X12,0)))</x:f>
      </x:c>
      <x:c r="Y46" s="117">
        <x:f>MIN(Y38+Y45,IF(AND(YEAR(Y$3)=YEAR($B$8),MONTH(Y$3)=MONTH($B$8)),Y14,IF(Y$3&gt;$B$8,Y12,0)))</x:f>
      </x:c>
      <x:c r="Z46" s="117">
        <x:f>MIN(Z38+Z45,IF(AND(YEAR(Z$3)=YEAR($B$8),MONTH(Z$3)=MONTH($B$8)),Z14,IF(Z$3&gt;$B$8,Z12,0)))</x:f>
      </x:c>
      <x:c r="AA46" s="117">
        <x:f>MIN(AA38+AA45,IF(AND(YEAR(AA$3)=YEAR($B$8),MONTH(AA$3)=MONTH($B$8)),AA14,IF(AA$3&gt;$B$8,AA12,0)))</x:f>
      </x:c>
      <x:c r="AB46" s="117">
        <x:f>MIN(AB38+AB45,IF(AND(YEAR(AB$3)=YEAR($B$8),MONTH(AB$3)=MONTH($B$8)),AB14,IF(AB$3&gt;$B$8,AB12,0)))</x:f>
      </x:c>
      <x:c r="AC46" s="117">
        <x:f>MIN(AC38+AC45,IF(AND(YEAR(AC$3)=YEAR($B$8),MONTH(AC$3)=MONTH($B$8)),AC14,IF(AC$3&gt;$B$8,AC12,0)))</x:f>
      </x:c>
      <x:c r="AD46" s="117">
        <x:f>MIN(AD38+AD45,IF(AND(YEAR(AD$3)=YEAR($B$8),MONTH(AD$3)=MONTH($B$8)),AD14,IF(AD$3&gt;$B$8,AD12,0)))</x:f>
      </x:c>
      <x:c r="AE46" s="117">
        <x:f>MIN(AE38+AE45,IF(AND(YEAR(AE$3)=YEAR($B$8),MONTH(AE$3)=MONTH($B$8)),AE14,IF(AE$3&gt;$B$8,AE12,0)))</x:f>
      </x:c>
      <x:c r="AF46" s="117">
        <x:f>MIN(AF38+AF45,IF(AND(YEAR(AF$3)=YEAR($B$8),MONTH(AF$3)=MONTH($B$8)),AF14,IF(AF$3&gt;$B$8,AF12,0)))</x:f>
      </x:c>
      <x:c r="AG46" s="117">
        <x:f>MIN(AG38+AG45,IF(AND(YEAR(AG$3)=YEAR($B$8),MONTH(AG$3)=MONTH($B$8)),AG14,IF(AG$3&gt;$B$8,AG12,0)))</x:f>
      </x:c>
      <x:c r="AH46" s="117">
        <x:f>MIN(AH38+AH45,IF(AND(YEAR(AH$3)=YEAR($B$8),MONTH(AH$3)=MONTH($B$8)),AH14,IF(AH$3&gt;$B$8,AH12,0)))</x:f>
      </x:c>
      <x:c r="AI46" s="117">
        <x:f>MIN(AI38+AI45,IF(AND(YEAR(AI$3)=YEAR($B$8),MONTH(AI$3)=MONTH($B$8)),AI14,IF(AI$3&gt;$B$8,AI12,0)))</x:f>
      </x:c>
      <x:c r="AJ46" s="117">
        <x:f>MIN(AJ38+AJ45,IF(AND(YEAR(AJ$3)=YEAR($B$8),MONTH(AJ$3)=MONTH($B$8)),AJ14,IF(AJ$3&gt;$B$8,AJ12,0)))</x:f>
      </x:c>
      <x:c r="AK46" s="117">
        <x:f>MIN(AK38+AK45,IF(AND(YEAR(AK$3)=YEAR($B$8),MONTH(AK$3)=MONTH($B$8)),AK14,IF(AK$3&gt;$B$8,AK12,0)))</x:f>
      </x:c>
      <x:c r="AL46" s="117">
        <x:f>MIN(AL38+AL45,IF(AND(YEAR(AL$3)=YEAR($B$8),MONTH(AL$3)=MONTH($B$8)),AL14,IF(AL$3&gt;$B$8,AL12,0)))</x:f>
      </x:c>
      <x:c r="AM46" s="117">
        <x:f>MIN(AM38+AM45,IF(AND(YEAR(AM$3)=YEAR($B$8),MONTH(AM$3)=MONTH($B$8)),AM14,IF(AM$3&gt;$B$8,AM12,0)))</x:f>
      </x:c>
      <x:c r="AN46" s="117">
        <x:f>MIN(AN38+AN45,IF(AND(YEAR(AN$3)=YEAR($B$8),MONTH(AN$3)=MONTH($B$8)),AN14,IF(AN$3&gt;$B$8,AN12,0)))</x:f>
      </x:c>
      <x:c r="AO46" s="117">
        <x:f>MIN(AO38+AO45,IF(AND(YEAR(AO$3)=YEAR($B$8),MONTH(AO$3)=MONTH($B$8)),AO14,IF(AO$3&gt;$B$8,AO12,0)))</x:f>
      </x:c>
      <x:c r="AP46" s="117">
        <x:f>MIN(AP38+AP45,IF(AND(YEAR(AP$3)=YEAR($B$8),MONTH(AP$3)=MONTH($B$8)),AP14,IF(AP$3&gt;$B$8,AP12,0)))</x:f>
      </x:c>
      <x:c r="AQ46" s="117">
        <x:f>MIN(AQ38+AQ45,IF(AND(YEAR(AQ$3)=YEAR($B$8),MONTH(AQ$3)=MONTH($B$8)),AQ14,IF(AQ$3&gt;$B$8,AQ12,0)))</x:f>
      </x:c>
      <x:c r="AR46" s="117">
        <x:f>MIN(AR38+AR45,IF(AND(YEAR(AR$3)=YEAR($B$8),MONTH(AR$3)=MONTH($B$8)),AR14,IF(AR$3&gt;$B$8,AR12,0)))</x:f>
      </x:c>
      <x:c r="AS46" s="117">
        <x:f>MIN(AS38+AS45,IF(AND(YEAR(AS$3)=YEAR($B$8),MONTH(AS$3)=MONTH($B$8)),AS14,IF(AS$3&gt;$B$8,AS12,0)))</x:f>
      </x:c>
      <x:c r="AT46" s="117">
        <x:f>MIN(AT38+AT45,IF(AND(YEAR(AT$3)=YEAR($B$8),MONTH(AT$3)=MONTH($B$8)),AT14,IF(AT$3&gt;$B$8,AT12,0)))</x:f>
      </x:c>
      <x:c r="AU46" s="117">
        <x:f>MIN(AU38+AU45,IF(AND(YEAR(AU$3)=YEAR($B$8),MONTH(AU$3)=MONTH($B$8)),AU14,IF(AU$3&gt;$B$8,AU12,0)))</x:f>
      </x:c>
      <x:c r="AV46" s="117">
        <x:f>MIN(AV38+AV45,IF(AND(YEAR(AV$3)=YEAR($B$8),MONTH(AV$3)=MONTH($B$8)),AV14,IF(AV$3&gt;$B$8,AV12,0)))</x:f>
      </x:c>
      <x:c r="AW46" s="117">
        <x:f>MIN(AW38+AW45,IF(AND(YEAR(AW$3)=YEAR($B$8),MONTH(AW$3)=MONTH($B$8)),AW14,IF(AW$3&gt;$B$8,AW12,0)))</x:f>
      </x:c>
      <x:c r="AX46" s="117">
        <x:f>MIN(AX38+AX45,IF(AND(YEAR(AX$3)=YEAR($B$8),MONTH(AX$3)=MONTH($B$8)),AX14,IF(AX$3&gt;$B$8,AX12,0)))</x:f>
      </x:c>
      <x:c r="AY46" s="117">
        <x:f>MIN(AY38+AY45,IF(AND(YEAR(AY$3)=YEAR($B$8),MONTH(AY$3)=MONTH($B$8)),AY14,IF(AY$3&gt;$B$8,AY12,0)))</x:f>
      </x:c>
      <x:c r="AZ46" s="117">
        <x:f>MIN(AZ38+AZ45,IF(AND(YEAR(AZ$3)=YEAR($B$8),MONTH(AZ$3)=MONTH($B$8)),AZ14,IF(AZ$3&gt;$B$8,AZ12,0)))</x:f>
      </x:c>
      <x:c r="BA46" s="117">
        <x:f>MIN(BA38+BA45,IF(AND(YEAR(BA$3)=YEAR($B$8),MONTH(BA$3)=MONTH($B$8)),BA14,IF(BA$3&gt;$B$8,BA12,0)))</x:f>
      </x:c>
      <x:c r="BB46" s="117">
        <x:f>MIN(BB38+BB45,IF(AND(YEAR(BB$3)=YEAR($B$8),MONTH(BB$3)=MONTH($B$8)),BB14,IF(BB$3&gt;$B$8,BB12,0)))</x:f>
      </x:c>
      <x:c r="BC46" s="117">
        <x:f>MIN(BC38+BC45,IF(AND(YEAR(BC$3)=YEAR($B$8),MONTH(BC$3)=MONTH($B$8)),BC14,IF(BC$3&gt;$B$8,BC12,0)))</x:f>
      </x:c>
      <x:c r="BD46" s="117">
        <x:f>MIN(BD38+BD45,IF(AND(YEAR(BD$3)=YEAR($B$8),MONTH(BD$3)=MONTH($B$8)),BD14,IF(BD$3&gt;$B$8,BD12,0)))</x:f>
      </x:c>
      <x:c r="BE46" s="117">
        <x:f>MIN(BE38+BE45,IF(AND(YEAR(BE$3)=YEAR($B$8),MONTH(BE$3)=MONTH($B$8)),BE14,IF(BE$3&gt;$B$8,BE12,0)))</x:f>
      </x:c>
      <x:c r="BF46" s="117">
        <x:f>MIN(BF38+BF45,IF(AND(YEAR(BF$3)=YEAR($B$8),MONTH(BF$3)=MONTH($B$8)),BF14,IF(BF$3&gt;$B$8,BF12,0)))</x:f>
      </x:c>
      <x:c r="BG46" s="117">
        <x:f>MIN(BG38+BG45,IF(AND(YEAR(BG$3)=YEAR($B$8),MONTH(BG$3)=MONTH($B$8)),BG14,IF(BG$3&gt;$B$8,BG12,0)))</x:f>
      </x:c>
      <x:c r="BH46" s="117">
        <x:f>MIN(BH38+BH45,IF(AND(YEAR(BH$3)=YEAR($B$8),MONTH(BH$3)=MONTH($B$8)),BH14,IF(BH$3&gt;$B$8,BH12,0)))</x:f>
      </x:c>
      <x:c r="BI46" s="117">
        <x:f>MIN(BI38+BI45,IF(AND(YEAR(BI$3)=YEAR($B$8),MONTH(BI$3)=MONTH($B$8)),BI14,IF(BI$3&gt;$B$8,BI12,0)))</x:f>
      </x:c>
      <x:c r="BJ46" s="117">
        <x:f>MIN(BJ38+BJ45,IF(AND(YEAR(BJ$3)=YEAR($B$8),MONTH(BJ$3)=MONTH($B$8)),BJ14,IF(BJ$3&gt;$B$8,BJ12,0)))</x:f>
      </x:c>
      <x:c r="BK46" s="117">
        <x:f>MIN(BK38+BK45,IF(AND(YEAR(BK$3)=YEAR($B$8),MONTH(BK$3)=MONTH($B$8)),BK14,IF(BK$3&gt;$B$8,BK12,0)))</x:f>
      </x:c>
      <x:c r="BL46" s="117">
        <x:f>MIN(BL38+BL45,IF(AND(YEAR(BL$3)=YEAR($B$8),MONTH(BL$3)=MONTH($B$8)),BL14,IF(BL$3&gt;$B$8,BL12,0)))</x:f>
      </x:c>
      <x:c r="BM46" s="117">
        <x:f>MIN(BM38+BM45,IF(AND(YEAR(BM$3)=YEAR($B$8),MONTH(BM$3)=MONTH($B$8)),BM14,IF(BM$3&gt;$B$8,BM12,0)))</x:f>
      </x:c>
      <x:c r="BN46" s="117">
        <x:f>MIN(BN38+BN45,IF(AND(YEAR(BN$3)=YEAR($B$8),MONTH(BN$3)=MONTH($B$8)),BN14,IF(BN$3&gt;$B$8,BN12,0)))</x:f>
      </x:c>
      <x:c r="BO46" s="117">
        <x:f>MIN(BO38+BO45,IF(AND(YEAR(BO$3)=YEAR($B$8),MONTH(BO$3)=MONTH($B$8)),BO14,IF(BO$3&gt;$B$8,BO12,0)))</x:f>
      </x:c>
      <x:c r="BP46" s="117">
        <x:f>MIN(BP38+BP45,IF(AND(YEAR(BP$3)=YEAR($B$8),MONTH(BP$3)=MONTH($B$8)),BP14,IF(BP$3&gt;$B$8,BP12,0)))</x:f>
      </x:c>
      <x:c r="BQ46" s="117">
        <x:f>MIN(BQ38+BQ45,IF(AND(YEAR(BQ$3)=YEAR($B$8),MONTH(BQ$3)=MONTH($B$8)),BQ14,IF(BQ$3&gt;$B$8,BQ12,0)))</x:f>
      </x:c>
      <x:c r="BR46" s="117">
        <x:f>MIN(BR38+BR45,IF(AND(YEAR(BR$3)=YEAR($B$8),MONTH(BR$3)=MONTH($B$8)),BR14,IF(BR$3&gt;$B$8,BR12,0)))</x:f>
      </x:c>
      <x:c r="BS46" s="117">
        <x:f>MIN(BS38+BS45,IF(AND(YEAR(BS$3)=YEAR($B$8),MONTH(BS$3)=MONTH($B$8)),BS14,IF(BS$3&gt;$B$8,BS12,0)))</x:f>
      </x:c>
      <x:c r="BT46" s="117">
        <x:f>MIN(BT38+BT45,IF(AND(YEAR(BT$3)=YEAR($B$8),MONTH(BT$3)=MONTH($B$8)),BT14,IF(BT$3&gt;$B$8,BT12,0)))</x:f>
      </x:c>
      <x:c r="BU46" s="117">
        <x:f>MIN(BU38+BU45,IF(AND(YEAR(BU$3)=YEAR($B$8),MONTH(BU$3)=MONTH($B$8)),BU14,IF(BU$3&gt;$B$8,BU12,0)))</x:f>
      </x:c>
      <x:c r="BV46" s="117">
        <x:f>MIN(BV38+BV45,IF(AND(YEAR(BV$3)=YEAR($B$8),MONTH(BV$3)=MONTH($B$8)),BV14,IF(BV$3&gt;$B$8,BV12,0)))</x:f>
      </x:c>
      <x:c r="BW46" s="117">
        <x:f>MIN(BW38+BW45,IF(AND(YEAR(BW$3)=YEAR($B$8),MONTH(BW$3)=MONTH($B$8)),BW14,IF(BW$3&gt;$B$8,BW12,0)))</x:f>
      </x:c>
      <x:c r="BX46" s="117">
        <x:f>MIN(BX38+BX45,IF(AND(YEAR(BX$3)=YEAR($B$8),MONTH(BX$3)=MONTH($B$8)),BX14,IF(BX$3&gt;$B$8,BX12,0)))</x:f>
      </x:c>
      <x:c r="BY46" s="117">
        <x:f>MIN(BY38+BY45,IF(AND(YEAR(BY$3)=YEAR($B$8),MONTH(BY$3)=MONTH($B$8)),BY14,IF(BY$3&gt;$B$8,BY12,0)))</x:f>
      </x:c>
      <x:c r="BZ46" s="117">
        <x:f>MIN(BZ38+BZ45,IF(AND(YEAR(BZ$3)=YEAR($B$8),MONTH(BZ$3)=MONTH($B$8)),BZ14,IF(BZ$3&gt;$B$8,BZ12,0)))</x:f>
      </x:c>
      <x:c r="CA46" s="117">
        <x:f>MIN(CA38+CA45,IF(AND(YEAR(CA$3)=YEAR($B$8),MONTH(CA$3)=MONTH($B$8)),CA14,IF(CA$3&gt;$B$8,CA12,0)))</x:f>
      </x:c>
      <x:c r="CB46" s="117">
        <x:f>MIN(CB38+CB45,IF(AND(YEAR(CB$3)=YEAR($B$8),MONTH(CB$3)=MONTH($B$8)),CB14,IF(CB$3&gt;$B$8,CB12,0)))</x:f>
      </x:c>
      <x:c r="CC46" s="117">
        <x:f>MIN(CC38+CC45,IF(AND(YEAR(CC$3)=YEAR($B$8),MONTH(CC$3)=MONTH($B$8)),CC14,IF(CC$3&gt;$B$8,CC12,0)))</x:f>
      </x:c>
      <x:c r="CD46" s="117">
        <x:f>MIN(CD38+CD45,IF(AND(YEAR(CD$3)=YEAR($B$8),MONTH(CD$3)=MONTH($B$8)),CD14,IF(CD$3&gt;$B$8,CD12,0)))</x:f>
      </x:c>
      <x:c r="CE46" s="117">
        <x:f>MIN(CE38+CE45,IF(AND(YEAR(CE$3)=YEAR($B$8),MONTH(CE$3)=MONTH($B$8)),CE14,IF(CE$3&gt;$B$8,CE12,0)))</x:f>
      </x:c>
      <x:c r="CF46" s="117">
        <x:f>MIN(CF38+CF45,IF(AND(YEAR(CF$3)=YEAR($B$8),MONTH(CF$3)=MONTH($B$8)),CF14,IF(CF$3&gt;$B$8,CF12,0)))</x:f>
      </x:c>
      <x:c r="CG46" s="117">
        <x:f>MIN(CG38+CG45,IF(AND(YEAR(CG$3)=YEAR($B$8),MONTH(CG$3)=MONTH($B$8)),CG14,IF(CG$3&gt;$B$8,CG12,0)))</x:f>
      </x:c>
      <x:c r="CH46" s="117">
        <x:f>MIN(CH38+CH45,IF(AND(YEAR(CH$3)=YEAR($B$8),MONTH(CH$3)=MONTH($B$8)),CH14,IF(CH$3&gt;$B$8,CH12,0)))</x:f>
      </x:c>
      <x:c r="CI46" s="117">
        <x:f>MIN(CI38+CI45,IF(AND(YEAR(CI$3)=YEAR($B$8),MONTH(CI$3)=MONTH($B$8)),CI14,IF(CI$3&gt;$B$8,CI12,0)))</x:f>
      </x:c>
      <x:c r="CJ46" s="117">
        <x:f>MIN(CJ38+CJ45,IF(AND(YEAR(CJ$3)=YEAR($B$8),MONTH(CJ$3)=MONTH($B$8)),CJ14,IF(CJ$3&gt;$B$8,CJ12,0)))</x:f>
      </x:c>
      <x:c r="CK46" s="117">
        <x:f>MIN(CK38+CK45,IF(AND(YEAR(CK$3)=YEAR($B$8),MONTH(CK$3)=MONTH($B$8)),CK14,IF(CK$3&gt;$B$8,CK12,0)))</x:f>
      </x:c>
      <x:c r="CL46" s="117">
        <x:f>MIN(CL38+CL45,IF(AND(YEAR(CL$3)=YEAR($B$8),MONTH(CL$3)=MONTH($B$8)),CL14,IF(CL$3&gt;$B$8,CL12,0)))</x:f>
      </x:c>
      <x:c r="CM46" s="117">
        <x:f>MIN(CM38+CM45,IF(AND(YEAR(CM$3)=YEAR($B$8),MONTH(CM$3)=MONTH($B$8)),CM14,IF(CM$3&gt;$B$8,CM12,0)))</x:f>
      </x:c>
      <x:c r="CN46" s="117">
        <x:f>MIN(CN38+CN45,IF(AND(YEAR(CN$3)=YEAR($B$8),MONTH(CN$3)=MONTH($B$8)),CN14,IF(CN$3&gt;$B$8,CN12,0)))</x:f>
      </x:c>
      <x:c r="CO46" s="117">
        <x:f>MIN(CO38+CO45,IF(AND(YEAR(CO$3)=YEAR($B$8),MONTH(CO$3)=MONTH($B$8)),CO14,IF(CO$3&gt;$B$8,CO12,0)))</x:f>
      </x:c>
      <x:c r="CP46" s="117">
        <x:f>MIN(CP38+CP45,IF(AND(YEAR(CP$3)=YEAR($B$8),MONTH(CP$3)=MONTH($B$8)),CP14,IF(CP$3&gt;$B$8,CP12,0)))</x:f>
      </x:c>
      <x:c r="CQ46" s="117">
        <x:f>MIN(CQ38+CQ45,IF(AND(YEAR(CQ$3)=YEAR($B$8),MONTH(CQ$3)=MONTH($B$8)),CQ14,IF(CQ$3&gt;$B$8,CQ12,0)))</x:f>
      </x:c>
      <x:c r="CR46" s="117">
        <x:f>MIN(CR38+CR45,IF(AND(YEAR(CR$3)=YEAR($B$8),MONTH(CR$3)=MONTH($B$8)),CR14,IF(CR$3&gt;$B$8,CR12,0)))</x:f>
      </x:c>
      <x:c r="CS46" s="117">
        <x:f>MIN(CS38+CS45,IF(AND(YEAR(CS$3)=YEAR($B$8),MONTH(CS$3)=MONTH($B$8)),CS14,IF(CS$3&gt;$B$8,CS12,0)))</x:f>
      </x:c>
      <x:c r="CT46" s="117">
        <x:f>MIN(CT38+CT45,IF(AND(YEAR(CT$3)=YEAR($B$8),MONTH(CT$3)=MONTH($B$8)),CT14,IF(CT$3&gt;$B$8,CT12,0)))</x:f>
      </x:c>
      <x:c r="CU46" s="117">
        <x:f>MIN(CU38+CU45,IF(AND(YEAR(CU$3)=YEAR($B$8),MONTH(CU$3)=MONTH($B$8)),CU14,IF(CU$3&gt;$B$8,CU12,0)))</x:f>
      </x:c>
      <x:c r="CV46" s="117">
        <x:f>MIN(CV38+CV45,IF(AND(YEAR(CV$3)=YEAR($B$8),MONTH(CV$3)=MONTH($B$8)),CV14,IF(CV$3&gt;$B$8,CV12,0)))</x:f>
      </x:c>
      <x:c r="CW46" s="117">
        <x:f>MIN(CW38+CW45,IF(AND(YEAR(CW$3)=YEAR($B$8),MONTH(CW$3)=MONTH($B$8)),CW14,IF(CW$3&gt;$B$8,CW12,0)))</x:f>
      </x:c>
      <x:c r="CX46" s="117">
        <x:f>MIN(CX38+CX45,IF(AND(YEAR(CX$3)=YEAR($B$8),MONTH(CX$3)=MONTH($B$8)),CX14,IF(CX$3&gt;$B$8,CX12,0)))</x:f>
      </x:c>
      <x:c r="CY46" s="117">
        <x:f>MIN(CY38+CY45,IF(AND(YEAR(CY$3)=YEAR($B$8),MONTH(CY$3)=MONTH($B$8)),CY14,IF(CY$3&gt;$B$8,CY12,0)))</x:f>
      </x:c>
      <x:c r="CZ46" s="117">
        <x:f>MIN(CZ38+CZ45,IF(AND(YEAR(CZ$3)=YEAR($B$8),MONTH(CZ$3)=MONTH($B$8)),CZ14,IF(CZ$3&gt;$B$8,CZ12,0)))</x:f>
      </x:c>
      <x:c r="DA46" s="117">
        <x:f>MIN(DA38+DA45,IF(AND(YEAR(DA$3)=YEAR($B$8),MONTH(DA$3)=MONTH($B$8)),DA14,IF(DA$3&gt;$B$8,DA12,0)))</x:f>
      </x:c>
      <x:c r="DB46" s="117">
        <x:f>MIN(DB38+DB45,IF(AND(YEAR(DB$3)=YEAR($B$8),MONTH(DB$3)=MONTH($B$8)),DB14,IF(DB$3&gt;$B$8,DB12,0)))</x:f>
      </x:c>
      <x:c r="DC46" s="117">
        <x:f>MIN(DC38+DC45,IF(AND(YEAR(DC$3)=YEAR($B$8),MONTH(DC$3)=MONTH($B$8)),DC14,IF(DC$3&gt;$B$8,DC12,0)))</x:f>
      </x:c>
      <x:c r="DD46" s="117">
        <x:f>MIN(DD38+DD45,IF(AND(YEAR(DD$3)=YEAR($B$8),MONTH(DD$3)=MONTH($B$8)),DD14,IF(DD$3&gt;$B$8,DD12,0)))</x:f>
      </x:c>
      <x:c r="DE46" s="117">
        <x:f>MIN(DE38+DE45,IF(AND(YEAR(DE$3)=YEAR($B$8),MONTH(DE$3)=MONTH($B$8)),DE14,IF(DE$3&gt;$B$8,DE12,0)))</x:f>
      </x:c>
      <x:c r="DF46" s="117">
        <x:f>MIN(DF38+DF45,IF(AND(YEAR(DF$3)=YEAR($B$8),MONTH(DF$3)=MONTH($B$8)),DF14,IF(DF$3&gt;$B$8,DF12,0)))</x:f>
      </x:c>
      <x:c r="DG46" s="117">
        <x:f>MIN(DG38+DG45,IF(AND(YEAR(DG$3)=YEAR($B$8),MONTH(DG$3)=MONTH($B$8)),DG14,IF(DG$3&gt;$B$8,DG12,0)))</x:f>
      </x:c>
      <x:c r="DH46" s="117">
        <x:f>MIN(DH38+DH45,IF(AND(YEAR(DH$3)=YEAR($B$8),MONTH(DH$3)=MONTH($B$8)),DH14,IF(DH$3&gt;$B$8,DH12,0)))</x:f>
      </x:c>
      <x:c r="DI46" s="117">
        <x:f>MIN(DI38+DI45,IF(AND(YEAR(DI$3)=YEAR($B$8),MONTH(DI$3)=MONTH($B$8)),DI14,IF(DI$3&gt;$B$8,DI12,0)))</x:f>
      </x:c>
      <x:c r="DJ46" s="117">
        <x:f>MIN(DJ38+DJ45,IF(AND(YEAR(DJ$3)=YEAR($B$8),MONTH(DJ$3)=MONTH($B$8)),DJ14,IF(DJ$3&gt;$B$8,DJ12,0)))</x:f>
      </x:c>
      <x:c r="DK46" s="117">
        <x:f>MIN(DK38+DK45,IF(AND(YEAR(DK$3)=YEAR($B$8),MONTH(DK$3)=MONTH($B$8)),DK14,IF(DK$3&gt;$B$8,DK12,0)))</x:f>
      </x:c>
      <x:c r="DL46" s="117">
        <x:f>MIN(DL38+DL45,IF(AND(YEAR(DL$3)=YEAR($B$8),MONTH(DL$3)=MONTH($B$8)),DL14,IF(DL$3&gt;$B$8,DL12,0)))</x:f>
      </x:c>
      <x:c r="DM46" s="117">
        <x:f>MIN(DM38+DM45,IF(AND(YEAR(DM$3)=YEAR($B$8),MONTH(DM$3)=MONTH($B$8)),DM14,IF(DM$3&gt;$B$8,DM12,0)))</x:f>
      </x:c>
      <x:c r="DN46" s="117">
        <x:f>MIN(DN38+DN45,IF(AND(YEAR(DN$3)=YEAR($B$8),MONTH(DN$3)=MONTH($B$8)),DN14,IF(DN$3&gt;$B$8,DN12,0)))</x:f>
      </x:c>
      <x:c r="DO46" s="117">
        <x:f>MIN(DO38+DO45,IF(AND(YEAR(DO$3)=YEAR($B$8),MONTH(DO$3)=MONTH($B$8)),DO14,IF(DO$3&gt;$B$8,DO12,0)))</x:f>
      </x:c>
      <x:c r="DP46" s="117">
        <x:f>MIN(DP38+DP45,IF(AND(YEAR(DP$3)=YEAR($B$8),MONTH(DP$3)=MONTH($B$8)),DP14,IF(DP$3&gt;$B$8,DP12,0)))</x:f>
      </x:c>
      <x:c r="DQ46" s="117">
        <x:f>MIN(DQ38+DQ45,IF(AND(YEAR(DQ$3)=YEAR($B$8),MONTH(DQ$3)=MONTH($B$8)),DQ14,IF(DQ$3&gt;$B$8,DQ12,0)))</x:f>
      </x:c>
      <x:c r="DR46" s="117">
        <x:f>MIN(DR38+DR45,IF(AND(YEAR(DR$3)=YEAR($B$8),MONTH(DR$3)=MONTH($B$8)),DR14,IF(DR$3&gt;$B$8,DR12,0)))</x:f>
      </x:c>
      <x:c r="DS46" s="117">
        <x:f>MIN(DS38+DS45,IF(AND(YEAR(DS$3)=YEAR($B$8),MONTH(DS$3)=MONTH($B$8)),DS14,IF(DS$3&gt;$B$8,DS12,0)))</x:f>
      </x:c>
      <x:c r="DT46" s="117">
        <x:f>MIN(DT38+DT45,IF(AND(YEAR(DT$3)=YEAR($B$8),MONTH(DT$3)=MONTH($B$8)),DT14,IF(DT$3&gt;$B$8,DT12,0)))</x:f>
      </x:c>
      <x:c r="DU46" s="117">
        <x:f>MIN(DU38+DU45,IF(AND(YEAR(DU$3)=YEAR($B$8),MONTH(DU$3)=MONTH($B$8)),DU14,IF(DU$3&gt;$B$8,DU12,0)))</x:f>
      </x:c>
      <x:c r="DV46" s="117">
        <x:f>MIN(DV38+DV45,IF(AND(YEAR(DV$3)=YEAR($B$8),MONTH(DV$3)=MONTH($B$8)),DV14,IF(DV$3&gt;$B$8,DV12,0)))</x:f>
      </x:c>
      <x:c r="DW46" s="117">
        <x:f>MIN(DW38+DW45,IF(AND(YEAR(DW$3)=YEAR($B$8),MONTH(DW$3)=MONTH($B$8)),DW14,IF(DW$3&gt;$B$8,DW12,0)))</x:f>
      </x:c>
      <x:c r="DX46" s="117">
        <x:f>MIN(DX38+DX45,IF(AND(YEAR(DX$3)=YEAR($B$8),MONTH(DX$3)=MONTH($B$8)),DX14,IF(DX$3&gt;$B$8,DX12,0)))</x:f>
      </x:c>
      <x:c r="DY46" s="117">
        <x:f>MIN(DY38+DY45,IF(AND(YEAR(DY$3)=YEAR($B$8),MONTH(DY$3)=MONTH($B$8)),DY14,IF(DY$3&gt;$B$8,DY12,0)))</x:f>
      </x:c>
      <x:c r="DZ46" s="117">
        <x:f>MIN(DZ38+DZ45,IF(AND(YEAR(DZ$3)=YEAR($B$8),MONTH(DZ$3)=MONTH($B$8)),DZ14,IF(DZ$3&gt;$B$8,DZ12,0)))</x:f>
      </x:c>
      <x:c r="EA46" s="117">
        <x:f>MIN(EA38+EA45,IF(AND(YEAR(EA$3)=YEAR($B$8),MONTH(EA$3)=MONTH($B$8)),EA14,IF(EA$3&gt;$B$8,EA12,0)))</x:f>
      </x:c>
      <x:c r="EB46" s="117">
        <x:f>MIN(EB38+EB45,IF(AND(YEAR(EB$3)=YEAR($B$8),MONTH(EB$3)=MONTH($B$8)),EB14,IF(EB$3&gt;$B$8,EB12,0)))</x:f>
      </x:c>
      <x:c r="EC46" s="117">
        <x:f>MIN(EC38+EC45,IF(AND(YEAR(EC$3)=YEAR($B$8),MONTH(EC$3)=MONTH($B$8)),EC14,IF(EC$3&gt;$B$8,EC12,0)))</x:f>
      </x:c>
      <x:c r="ED46" s="117">
        <x:f>MIN(ED38+ED45,IF(AND(YEAR(ED$3)=YEAR($B$8),MONTH(ED$3)=MONTH($B$8)),ED14,IF(ED$3&gt;$B$8,ED12,0)))</x:f>
      </x:c>
      <x:c r="EE46" s="117">
        <x:f>MIN(EE38+EE45,IF(AND(YEAR(EE$3)=YEAR($B$8),MONTH(EE$3)=MONTH($B$8)),EE14,IF(EE$3&gt;$B$8,EE12,0)))</x:f>
      </x:c>
      <x:c r="EF46" s="117">
        <x:f>MIN(EF38+EF45,IF(AND(YEAR(EF$3)=YEAR($B$8),MONTH(EF$3)=MONTH($B$8)),EF14,IF(EF$3&gt;$B$8,EF12,0)))</x:f>
      </x:c>
      <x:c r="EG46" s="117">
        <x:f>MIN(EG38+EG45,IF(AND(YEAR(EG$3)=YEAR($B$8),MONTH(EG$3)=MONTH($B$8)),EG14,IF(EG$3&gt;$B$8,EG12,0)))</x:f>
      </x:c>
      <x:c r="EH46" s="117">
        <x:f>MIN(EH38+EH45,IF(AND(YEAR(EH$3)=YEAR($B$8),MONTH(EH$3)=MONTH($B$8)),EH14,IF(EH$3&gt;$B$8,EH12,0)))</x:f>
      </x:c>
      <x:c r="EI46" s="117">
        <x:f>MIN(EI38+EI45,IF(AND(YEAR(EI$3)=YEAR($B$8),MONTH(EI$3)=MONTH($B$8)),EI14,IF(EI$3&gt;$B$8,EI12,0)))</x:f>
      </x:c>
      <x:c r="EJ46" s="117">
        <x:f>MIN(EJ38+EJ45,IF(AND(YEAR(EJ$3)=YEAR($B$8),MONTH(EJ$3)=MONTH($B$8)),EJ14,IF(EJ$3&gt;$B$8,EJ12,0)))</x:f>
      </x:c>
      <x:c r="EK46" s="117">
        <x:f>MIN(EK38+EK45,IF(AND(YEAR(EK$3)=YEAR($B$8),MONTH(EK$3)=MONTH($B$8)),EK14,IF(EK$3&gt;$B$8,EK12,0)))</x:f>
      </x:c>
      <x:c r="EL46" s="117">
        <x:f>MIN(EL38+EL45,IF(AND(YEAR(EL$3)=YEAR($B$8),MONTH(EL$3)=MONTH($B$8)),EL14,IF(EL$3&gt;$B$8,EL12,0)))</x:f>
      </x:c>
      <x:c r="EM46" s="117">
        <x:f>MIN(EM38+EM45,IF(AND(YEAR(EM$3)=YEAR($B$8),MONTH(EM$3)=MONTH($B$8)),EM14,IF(EM$3&gt;$B$8,EM12,0)))</x:f>
      </x:c>
      <x:c r="EN46" s="117">
        <x:f>MIN(EN38+EN45,IF(AND(YEAR(EN$3)=YEAR($B$8),MONTH(EN$3)=MONTH($B$8)),EN14,IF(EN$3&gt;$B$8,EN12,0)))</x:f>
      </x:c>
      <x:c r="EO46" s="117">
        <x:f>MIN(EO38+EO45,IF(AND(YEAR(EO$3)=YEAR($B$8),MONTH(EO$3)=MONTH($B$8)),EO14,IF(EO$3&gt;$B$8,EO12,0)))</x:f>
      </x:c>
      <x:c r="EP46" s="117">
        <x:f>MIN(EP38+EP45,IF(AND(YEAR(EP$3)=YEAR($B$8),MONTH(EP$3)=MONTH($B$8)),EP14,IF(EP$3&gt;$B$8,EP12,0)))</x:f>
      </x:c>
      <x:c r="EQ46" s="117">
        <x:f>MIN(EQ38+EQ45,IF(AND(YEAR(EQ$3)=YEAR($B$8),MONTH(EQ$3)=MONTH($B$8)),EQ14,IF(EQ$3&gt;$B$8,EQ12,0)))</x:f>
      </x:c>
      <x:c r="ER46" s="117">
        <x:f>MIN(ER38+ER45,IF(AND(YEAR(ER$3)=YEAR($B$8),MONTH(ER$3)=MONTH($B$8)),ER14,IF(ER$3&gt;$B$8,ER12,0)))</x:f>
      </x:c>
      <x:c r="ES46" s="117">
        <x:f>MIN(ES38+ES45,IF(AND(YEAR(ES$3)=YEAR($B$8),MONTH(ES$3)=MONTH($B$8)),ES14,IF(ES$3&gt;$B$8,ES12,0)))</x:f>
      </x:c>
      <x:c r="ET46" s="117">
        <x:f>MIN(ET38+ET45,IF(AND(YEAR(ET$3)=YEAR($B$8),MONTH(ET$3)=MONTH($B$8)),ET14,IF(ET$3&gt;$B$8,ET12,0)))</x:f>
      </x:c>
      <x:c r="EU46" s="117">
        <x:f>MIN(EU38+EU45,IF(AND(YEAR(EU$3)=YEAR($B$8),MONTH(EU$3)=MONTH($B$8)),EU14,IF(EU$3&gt;$B$8,EU12,0)))</x:f>
      </x:c>
      <x:c r="EV46" s="117">
        <x:f>MIN(EV38+EV45,IF(AND(YEAR(EV$3)=YEAR($B$8),MONTH(EV$3)=MONTH($B$8)),EV14,IF(EV$3&gt;$B$8,EV12,0)))</x:f>
      </x:c>
      <x:c r="EW46" s="117">
        <x:f>MIN(EW38+EW45,IF(AND(YEAR(EW$3)=YEAR($B$8),MONTH(EW$3)=MONTH($B$8)),EW14,IF(EW$3&gt;$B$8,EW12,0)))</x:f>
      </x:c>
      <x:c r="EX46" s="117">
        <x:f>MIN(EX38+EX45,IF(AND(YEAR(EX$3)=YEAR($B$8),MONTH(EX$3)=MONTH($B$8)),EX14,IF(EX$3&gt;$B$8,EX12,0)))</x:f>
      </x:c>
      <x:c r="EY46" s="117">
        <x:f>MIN(EY38+EY45,IF(AND(YEAR(EY$3)=YEAR($B$8),MONTH(EY$3)=MONTH($B$8)),EY14,IF(EY$3&gt;$B$8,EY12,0)))</x:f>
      </x:c>
      <x:c r="EZ46" s="117">
        <x:f>MIN(EZ38+EZ45,IF(AND(YEAR(EZ$3)=YEAR($B$8),MONTH(EZ$3)=MONTH($B$8)),EZ14,IF(EZ$3&gt;$B$8,EZ12,0)))</x:f>
      </x:c>
      <x:c r="FA46" s="117">
        <x:f>MIN(FA38+FA45,IF(AND(YEAR(FA$3)=YEAR($B$8),MONTH(FA$3)=MONTH($B$8)),FA14,IF(FA$3&gt;$B$8,FA12,0)))</x:f>
      </x:c>
      <x:c r="FB46" s="117">
        <x:f>MIN(FB38+FB45,IF(AND(YEAR(FB$3)=YEAR($B$8),MONTH(FB$3)=MONTH($B$8)),FB14,IF(FB$3&gt;$B$8,FB12,0)))</x:f>
      </x:c>
      <x:c r="FC46" s="117">
        <x:f>MIN(FC38+FC45,IF(AND(YEAR(FC$3)=YEAR($B$8),MONTH(FC$3)=MONTH($B$8)),FC14,IF(FC$3&gt;$B$8,FC12,0)))</x:f>
      </x:c>
      <x:c r="FD46" s="117">
        <x:f>MIN(FD38+FD45,IF(AND(YEAR(FD$3)=YEAR($B$8),MONTH(FD$3)=MONTH($B$8)),FD14,IF(FD$3&gt;$B$8,FD12,0)))</x:f>
      </x:c>
      <x:c r="FE46" s="117">
        <x:f>MIN(FE38+FE45,IF(AND(YEAR(FE$3)=YEAR($B$8),MONTH(FE$3)=MONTH($B$8)),FE14,IF(FE$3&gt;$B$8,FE12,0)))</x:f>
      </x:c>
      <x:c r="FF46" s="117">
        <x:f>MIN(FF38+FF45,IF(AND(YEAR(FF$3)=YEAR($B$8),MONTH(FF$3)=MONTH($B$8)),FF14,IF(FF$3&gt;$B$8,FF12,0)))</x:f>
      </x:c>
      <x:c r="FG46" s="117">
        <x:f>MIN(FG38+FG45,IF(AND(YEAR(FG$3)=YEAR($B$8),MONTH(FG$3)=MONTH($B$8)),FG14,IF(FG$3&gt;$B$8,FG12,0)))</x:f>
      </x:c>
      <x:c r="FH46" s="117">
        <x:f>MIN(FH38+FH45,IF(AND(YEAR(FH$3)=YEAR($B$8),MONTH(FH$3)=MONTH($B$8)),FH14,IF(FH$3&gt;$B$8,FH12,0)))</x:f>
      </x:c>
      <x:c r="FI46" s="117">
        <x:f>MIN(FI38+FI45,IF(AND(YEAR(FI$3)=YEAR($B$8),MONTH(FI$3)=MONTH($B$8)),FI14,IF(FI$3&gt;$B$8,FI12,0)))</x:f>
      </x:c>
      <x:c r="FJ46" s="117">
        <x:f>MIN(FJ38+FJ45,IF(AND(YEAR(FJ$3)=YEAR($B$8),MONTH(FJ$3)=MONTH($B$8)),FJ14,IF(FJ$3&gt;$B$8,FJ12,0)))</x:f>
      </x:c>
      <x:c r="FK46" s="117">
        <x:f>MIN(FK38+FK45,IF(AND(YEAR(FK$3)=YEAR($B$8),MONTH(FK$3)=MONTH($B$8)),FK14,IF(FK$3&gt;$B$8,FK12,0)))</x:f>
      </x:c>
      <x:c r="FL46" s="117">
        <x:f>MIN(FL38+FL45,IF(AND(YEAR(FL$3)=YEAR($B$8),MONTH(FL$3)=MONTH($B$8)),FL14,IF(FL$3&gt;$B$8,FL12,0)))</x:f>
      </x:c>
      <x:c r="FM46" s="117">
        <x:f>MIN(FM38+FM45,IF(AND(YEAR(FM$3)=YEAR($B$8),MONTH(FM$3)=MONTH($B$8)),FM14,IF(FM$3&gt;$B$8,FM12,0)))</x:f>
      </x:c>
      <x:c r="FN46" s="117">
        <x:f>MIN(FN38+FN45,IF(AND(YEAR(FN$3)=YEAR($B$8),MONTH(FN$3)=MONTH($B$8)),FN14,IF(FN$3&gt;$B$8,FN12,0)))</x:f>
      </x:c>
      <x:c r="FO46" s="117">
        <x:f>MIN(FO38+FO45,IF(AND(YEAR(FO$3)=YEAR($B$8),MONTH(FO$3)=MONTH($B$8)),FO14,IF(FO$3&gt;$B$8,FO12,0)))</x:f>
      </x:c>
      <x:c r="FP46" s="117">
        <x:f>MIN(FP38+FP45,IF(AND(YEAR(FP$3)=YEAR($B$8),MONTH(FP$3)=MONTH($B$8)),FP14,IF(FP$3&gt;$B$8,FP12,0)))</x:f>
      </x:c>
      <x:c r="FQ46" s="117">
        <x:f>MIN(FQ38+FQ45,IF(AND(YEAR(FQ$3)=YEAR($B$8),MONTH(FQ$3)=MONTH($B$8)),FQ14,IF(FQ$3&gt;$B$8,FQ12,0)))</x:f>
      </x:c>
      <x:c r="FR46" s="117">
        <x:f>MIN(FR38+FR45,IF(AND(YEAR(FR$3)=YEAR($B$8),MONTH(FR$3)=MONTH($B$8)),FR14,IF(FR$3&gt;$B$8,FR12,0)))</x:f>
      </x:c>
      <x:c r="FS46" s="117">
        <x:f>MIN(FS38+FS45,IF(AND(YEAR(FS$3)=YEAR($B$8),MONTH(FS$3)=MONTH($B$8)),FS14,IF(FS$3&gt;$B$8,FS12,0)))</x:f>
      </x:c>
      <x:c r="FT46" s="117">
        <x:f>MIN(FT38+FT45,IF(AND(YEAR(FT$3)=YEAR($B$8),MONTH(FT$3)=MONTH($B$8)),FT14,IF(FT$3&gt;$B$8,FT12,0)))</x:f>
      </x:c>
      <x:c r="FU46" s="117">
        <x:f>MIN(FU38+FU45,IF(AND(YEAR(FU$3)=YEAR($B$8),MONTH(FU$3)=MONTH($B$8)),FU14,IF(FU$3&gt;$B$8,FU12,0)))</x:f>
      </x:c>
      <x:c r="FV46" s="117">
        <x:f>MIN(FV38+FV45,IF(AND(YEAR(FV$3)=YEAR($B$8),MONTH(FV$3)=MONTH($B$8)),FV14,IF(FV$3&gt;$B$8,FV12,0)))</x:f>
      </x:c>
      <x:c r="FW46" s="117">
        <x:f>MIN(FW38+FW45,IF(AND(YEAR(FW$3)=YEAR($B$8),MONTH(FW$3)=MONTH($B$8)),FW14,IF(FW$3&gt;$B$8,FW12,0)))</x:f>
      </x:c>
      <x:c r="FX46" s="117">
        <x:f>MIN(FX38+FX45,IF(AND(YEAR(FX$3)=YEAR($B$8),MONTH(FX$3)=MONTH($B$8)),FX14,IF(FX$3&gt;$B$8,FX12,0)))</x:f>
      </x:c>
      <x:c r="FY46" s="117">
        <x:f>MIN(FY38+FY45,IF(AND(YEAR(FY$3)=YEAR($B$8),MONTH(FY$3)=MONTH($B$8)),FY14,IF(FY$3&gt;$B$8,FY12,0)))</x:f>
      </x:c>
      <x:c r="FZ46" s="117">
        <x:f>MIN(FZ38+FZ45,IF(AND(YEAR(FZ$3)=YEAR($B$8),MONTH(FZ$3)=MONTH($B$8)),FZ14,IF(FZ$3&gt;$B$8,FZ12,0)))</x:f>
      </x:c>
      <x:c r="GA46" s="117">
        <x:f>MIN(GA38+GA45,IF(AND(YEAR(GA$3)=YEAR($B$8),MONTH(GA$3)=MONTH($B$8)),GA14,IF(GA$3&gt;$B$8,GA12,0)))</x:f>
      </x:c>
    </x:row>
    <x:row r="47">
      <x:c r="A47" s="113" t="str">
        <x:v>ПФ — долг на конец</x:v>
      </x:c>
      <x:c r="B47" s="113" t="n">
        <x:f>GA47</x:f>
      </x:c>
      <x:c r="C47" s="113" t="str">
        <x:v>млн ₽</x:v>
      </x:c>
      <x:c r="D47" s="120">
        <x:f>MAX(0,D38+D45-D46)</x:f>
      </x:c>
      <x:c r="E47" s="120">
        <x:f>MAX(0,E38+E45-E46)</x:f>
      </x:c>
      <x:c r="F47" s="120">
        <x:f>MAX(0,F38+F45-F46)</x:f>
      </x:c>
      <x:c r="G47" s="120">
        <x:f>MAX(0,G38+G45-G46)</x:f>
      </x:c>
      <x:c r="H47" s="120">
        <x:f>MAX(0,H38+H45-H46)</x:f>
      </x:c>
      <x:c r="I47" s="120">
        <x:f>MAX(0,I38+I45-I46)</x:f>
      </x:c>
      <x:c r="J47" s="120">
        <x:f>MAX(0,J38+J45-J46)</x:f>
      </x:c>
      <x:c r="K47" s="120">
        <x:f>MAX(0,K38+K45-K46)</x:f>
      </x:c>
      <x:c r="L47" s="120">
        <x:f>MAX(0,L38+L45-L46)</x:f>
      </x:c>
      <x:c r="M47" s="120">
        <x:f>MAX(0,M38+M45-M46)</x:f>
      </x:c>
      <x:c r="N47" s="120">
        <x:f>MAX(0,N38+N45-N46)</x:f>
      </x:c>
      <x:c r="O47" s="120">
        <x:f>MAX(0,O38+O45-O46)</x:f>
      </x:c>
      <x:c r="P47" s="120">
        <x:f>MAX(0,P38+P45-P46)</x:f>
      </x:c>
      <x:c r="Q47" s="120">
        <x:f>MAX(0,Q38+Q45-Q46)</x:f>
      </x:c>
      <x:c r="R47" s="120">
        <x:f>MAX(0,R38+R45-R46)</x:f>
      </x:c>
      <x:c r="S47" s="120">
        <x:f>MAX(0,S38+S45-S46)</x:f>
      </x:c>
      <x:c r="T47" s="120">
        <x:f>MAX(0,T38+T45-T46)</x:f>
      </x:c>
      <x:c r="U47" s="120">
        <x:f>MAX(0,U38+U45-U46)</x:f>
      </x:c>
      <x:c r="V47" s="120">
        <x:f>MAX(0,V38+V45-V46)</x:f>
      </x:c>
      <x:c r="W47" s="120">
        <x:f>MAX(0,W38+W45-W46)</x:f>
      </x:c>
      <x:c r="X47" s="120">
        <x:f>MAX(0,X38+X45-X46)</x:f>
      </x:c>
      <x:c r="Y47" s="120">
        <x:f>MAX(0,Y38+Y45-Y46)</x:f>
      </x:c>
      <x:c r="Z47" s="120">
        <x:f>MAX(0,Z38+Z45-Z46)</x:f>
      </x:c>
      <x:c r="AA47" s="120">
        <x:f>MAX(0,AA38+AA45-AA46)</x:f>
      </x:c>
      <x:c r="AB47" s="120">
        <x:f>MAX(0,AB38+AB45-AB46)</x:f>
      </x:c>
      <x:c r="AC47" s="120">
        <x:f>MAX(0,AC38+AC45-AC46)</x:f>
      </x:c>
      <x:c r="AD47" s="120">
        <x:f>MAX(0,AD38+AD45-AD46)</x:f>
      </x:c>
      <x:c r="AE47" s="120">
        <x:f>MAX(0,AE38+AE45-AE46)</x:f>
      </x:c>
      <x:c r="AF47" s="120">
        <x:f>MAX(0,AF38+AF45-AF46)</x:f>
      </x:c>
      <x:c r="AG47" s="120">
        <x:f>MAX(0,AG38+AG45-AG46)</x:f>
      </x:c>
      <x:c r="AH47" s="120">
        <x:f>MAX(0,AH38+AH45-AH46)</x:f>
      </x:c>
      <x:c r="AI47" s="120">
        <x:f>MAX(0,AI38+AI45-AI46)</x:f>
      </x:c>
      <x:c r="AJ47" s="120">
        <x:f>MAX(0,AJ38+AJ45-AJ46)</x:f>
      </x:c>
      <x:c r="AK47" s="120">
        <x:f>MAX(0,AK38+AK45-AK46)</x:f>
      </x:c>
      <x:c r="AL47" s="120">
        <x:f>MAX(0,AL38+AL45-AL46)</x:f>
      </x:c>
      <x:c r="AM47" s="120">
        <x:f>MAX(0,AM38+AM45-AM46)</x:f>
      </x:c>
      <x:c r="AN47" s="120">
        <x:f>MAX(0,AN38+AN45-AN46)</x:f>
      </x:c>
      <x:c r="AO47" s="120">
        <x:f>MAX(0,AO38+AO45-AO46)</x:f>
      </x:c>
      <x:c r="AP47" s="120">
        <x:f>MAX(0,AP38+AP45-AP46)</x:f>
      </x:c>
      <x:c r="AQ47" s="120">
        <x:f>MAX(0,AQ38+AQ45-AQ46)</x:f>
      </x:c>
      <x:c r="AR47" s="120">
        <x:f>MAX(0,AR38+AR45-AR46)</x:f>
      </x:c>
      <x:c r="AS47" s="120">
        <x:f>MAX(0,AS38+AS45-AS46)</x:f>
      </x:c>
      <x:c r="AT47" s="120">
        <x:f>MAX(0,AT38+AT45-AT46)</x:f>
      </x:c>
      <x:c r="AU47" s="120">
        <x:f>MAX(0,AU38+AU45-AU46)</x:f>
      </x:c>
      <x:c r="AV47" s="120">
        <x:f>MAX(0,AV38+AV45-AV46)</x:f>
      </x:c>
      <x:c r="AW47" s="120">
        <x:f>MAX(0,AW38+AW45-AW46)</x:f>
      </x:c>
      <x:c r="AX47" s="120">
        <x:f>MAX(0,AX38+AX45-AX46)</x:f>
      </x:c>
      <x:c r="AY47" s="120">
        <x:f>MAX(0,AY38+AY45-AY46)</x:f>
      </x:c>
      <x:c r="AZ47" s="120">
        <x:f>MAX(0,AZ38+AZ45-AZ46)</x:f>
      </x:c>
      <x:c r="BA47" s="120">
        <x:f>MAX(0,BA38+BA45-BA46)</x:f>
      </x:c>
      <x:c r="BB47" s="120">
        <x:f>MAX(0,BB38+BB45-BB46)</x:f>
      </x:c>
      <x:c r="BC47" s="120">
        <x:f>MAX(0,BC38+BC45-BC46)</x:f>
      </x:c>
      <x:c r="BD47" s="120">
        <x:f>MAX(0,BD38+BD45-BD46)</x:f>
      </x:c>
      <x:c r="BE47" s="120">
        <x:f>MAX(0,BE38+BE45-BE46)</x:f>
      </x:c>
      <x:c r="BF47" s="120">
        <x:f>MAX(0,BF38+BF45-BF46)</x:f>
      </x:c>
      <x:c r="BG47" s="120">
        <x:f>MAX(0,BG38+BG45-BG46)</x:f>
      </x:c>
      <x:c r="BH47" s="120">
        <x:f>MAX(0,BH38+BH45-BH46)</x:f>
      </x:c>
      <x:c r="BI47" s="120">
        <x:f>MAX(0,BI38+BI45-BI46)</x:f>
      </x:c>
      <x:c r="BJ47" s="120">
        <x:f>MAX(0,BJ38+BJ45-BJ46)</x:f>
      </x:c>
      <x:c r="BK47" s="120">
        <x:f>MAX(0,BK38+BK45-BK46)</x:f>
      </x:c>
      <x:c r="BL47" s="120">
        <x:f>MAX(0,BL38+BL45-BL46)</x:f>
      </x:c>
      <x:c r="BM47" s="120">
        <x:f>MAX(0,BM38+BM45-BM46)</x:f>
      </x:c>
      <x:c r="BN47" s="120">
        <x:f>MAX(0,BN38+BN45-BN46)</x:f>
      </x:c>
      <x:c r="BO47" s="120">
        <x:f>MAX(0,BO38+BO45-BO46)</x:f>
      </x:c>
      <x:c r="BP47" s="120">
        <x:f>MAX(0,BP38+BP45-BP46)</x:f>
      </x:c>
      <x:c r="BQ47" s="120">
        <x:f>MAX(0,BQ38+BQ45-BQ46)</x:f>
      </x:c>
      <x:c r="BR47" s="120">
        <x:f>MAX(0,BR38+BR45-BR46)</x:f>
      </x:c>
      <x:c r="BS47" s="120">
        <x:f>MAX(0,BS38+BS45-BS46)</x:f>
      </x:c>
      <x:c r="BT47" s="120">
        <x:f>MAX(0,BT38+BT45-BT46)</x:f>
      </x:c>
      <x:c r="BU47" s="120">
        <x:f>MAX(0,BU38+BU45-BU46)</x:f>
      </x:c>
      <x:c r="BV47" s="120">
        <x:f>MAX(0,BV38+BV45-BV46)</x:f>
      </x:c>
      <x:c r="BW47" s="120">
        <x:f>MAX(0,BW38+BW45-BW46)</x:f>
      </x:c>
      <x:c r="BX47" s="120">
        <x:f>MAX(0,BX38+BX45-BX46)</x:f>
      </x:c>
      <x:c r="BY47" s="120">
        <x:f>MAX(0,BY38+BY45-BY46)</x:f>
      </x:c>
      <x:c r="BZ47" s="120">
        <x:f>MAX(0,BZ38+BZ45-BZ46)</x:f>
      </x:c>
      <x:c r="CA47" s="120">
        <x:f>MAX(0,CA38+CA45-CA46)</x:f>
      </x:c>
      <x:c r="CB47" s="120">
        <x:f>MAX(0,CB38+CB45-CB46)</x:f>
      </x:c>
      <x:c r="CC47" s="120">
        <x:f>MAX(0,CC38+CC45-CC46)</x:f>
      </x:c>
      <x:c r="CD47" s="120">
        <x:f>MAX(0,CD38+CD45-CD46)</x:f>
      </x:c>
      <x:c r="CE47" s="120">
        <x:f>MAX(0,CE38+CE45-CE46)</x:f>
      </x:c>
      <x:c r="CF47" s="120">
        <x:f>MAX(0,CF38+CF45-CF46)</x:f>
      </x:c>
      <x:c r="CG47" s="120">
        <x:f>MAX(0,CG38+CG45-CG46)</x:f>
      </x:c>
      <x:c r="CH47" s="120">
        <x:f>MAX(0,CH38+CH45-CH46)</x:f>
      </x:c>
      <x:c r="CI47" s="120">
        <x:f>MAX(0,CI38+CI45-CI46)</x:f>
      </x:c>
      <x:c r="CJ47" s="120">
        <x:f>MAX(0,CJ38+CJ45-CJ46)</x:f>
      </x:c>
      <x:c r="CK47" s="120">
        <x:f>MAX(0,CK38+CK45-CK46)</x:f>
      </x:c>
      <x:c r="CL47" s="120">
        <x:f>MAX(0,CL38+CL45-CL46)</x:f>
      </x:c>
      <x:c r="CM47" s="120">
        <x:f>MAX(0,CM38+CM45-CM46)</x:f>
      </x:c>
      <x:c r="CN47" s="120">
        <x:f>MAX(0,CN38+CN45-CN46)</x:f>
      </x:c>
      <x:c r="CO47" s="120">
        <x:f>MAX(0,CO38+CO45-CO46)</x:f>
      </x:c>
      <x:c r="CP47" s="120">
        <x:f>MAX(0,CP38+CP45-CP46)</x:f>
      </x:c>
      <x:c r="CQ47" s="120">
        <x:f>MAX(0,CQ38+CQ45-CQ46)</x:f>
      </x:c>
      <x:c r="CR47" s="120">
        <x:f>MAX(0,CR38+CR45-CR46)</x:f>
      </x:c>
      <x:c r="CS47" s="120">
        <x:f>MAX(0,CS38+CS45-CS46)</x:f>
      </x:c>
      <x:c r="CT47" s="120">
        <x:f>MAX(0,CT38+CT45-CT46)</x:f>
      </x:c>
      <x:c r="CU47" s="120">
        <x:f>MAX(0,CU38+CU45-CU46)</x:f>
      </x:c>
      <x:c r="CV47" s="120">
        <x:f>MAX(0,CV38+CV45-CV46)</x:f>
      </x:c>
      <x:c r="CW47" s="120">
        <x:f>MAX(0,CW38+CW45-CW46)</x:f>
      </x:c>
      <x:c r="CX47" s="120">
        <x:f>MAX(0,CX38+CX45-CX46)</x:f>
      </x:c>
      <x:c r="CY47" s="120">
        <x:f>MAX(0,CY38+CY45-CY46)</x:f>
      </x:c>
      <x:c r="CZ47" s="120">
        <x:f>MAX(0,CZ38+CZ45-CZ46)</x:f>
      </x:c>
      <x:c r="DA47" s="120">
        <x:f>MAX(0,DA38+DA45-DA46)</x:f>
      </x:c>
      <x:c r="DB47" s="120">
        <x:f>MAX(0,DB38+DB45-DB46)</x:f>
      </x:c>
      <x:c r="DC47" s="120">
        <x:f>MAX(0,DC38+DC45-DC46)</x:f>
      </x:c>
      <x:c r="DD47" s="120">
        <x:f>MAX(0,DD38+DD45-DD46)</x:f>
      </x:c>
      <x:c r="DE47" s="120">
        <x:f>MAX(0,DE38+DE45-DE46)</x:f>
      </x:c>
      <x:c r="DF47" s="120">
        <x:f>MAX(0,DF38+DF45-DF46)</x:f>
      </x:c>
      <x:c r="DG47" s="120">
        <x:f>MAX(0,DG38+DG45-DG46)</x:f>
      </x:c>
      <x:c r="DH47" s="120">
        <x:f>MAX(0,DH38+DH45-DH46)</x:f>
      </x:c>
      <x:c r="DI47" s="120">
        <x:f>MAX(0,DI38+DI45-DI46)</x:f>
      </x:c>
      <x:c r="DJ47" s="120">
        <x:f>MAX(0,DJ38+DJ45-DJ46)</x:f>
      </x:c>
      <x:c r="DK47" s="120">
        <x:f>MAX(0,DK38+DK45-DK46)</x:f>
      </x:c>
      <x:c r="DL47" s="120">
        <x:f>MAX(0,DL38+DL45-DL46)</x:f>
      </x:c>
      <x:c r="DM47" s="120">
        <x:f>MAX(0,DM38+DM45-DM46)</x:f>
      </x:c>
      <x:c r="DN47" s="120">
        <x:f>MAX(0,DN38+DN45-DN46)</x:f>
      </x:c>
      <x:c r="DO47" s="120">
        <x:f>MAX(0,DO38+DO45-DO46)</x:f>
      </x:c>
      <x:c r="DP47" s="120">
        <x:f>MAX(0,DP38+DP45-DP46)</x:f>
      </x:c>
      <x:c r="DQ47" s="120">
        <x:f>MAX(0,DQ38+DQ45-DQ46)</x:f>
      </x:c>
      <x:c r="DR47" s="120">
        <x:f>MAX(0,DR38+DR45-DR46)</x:f>
      </x:c>
      <x:c r="DS47" s="120">
        <x:f>MAX(0,DS38+DS45-DS46)</x:f>
      </x:c>
      <x:c r="DT47" s="120">
        <x:f>MAX(0,DT38+DT45-DT46)</x:f>
      </x:c>
      <x:c r="DU47" s="120">
        <x:f>MAX(0,DU38+DU45-DU46)</x:f>
      </x:c>
      <x:c r="DV47" s="120">
        <x:f>MAX(0,DV38+DV45-DV46)</x:f>
      </x:c>
      <x:c r="DW47" s="120">
        <x:f>MAX(0,DW38+DW45-DW46)</x:f>
      </x:c>
      <x:c r="DX47" s="120">
        <x:f>MAX(0,DX38+DX45-DX46)</x:f>
      </x:c>
      <x:c r="DY47" s="120">
        <x:f>MAX(0,DY38+DY45-DY46)</x:f>
      </x:c>
      <x:c r="DZ47" s="120">
        <x:f>MAX(0,DZ38+DZ45-DZ46)</x:f>
      </x:c>
      <x:c r="EA47" s="120">
        <x:f>MAX(0,EA38+EA45-EA46)</x:f>
      </x:c>
      <x:c r="EB47" s="120">
        <x:f>MAX(0,EB38+EB45-EB46)</x:f>
      </x:c>
      <x:c r="EC47" s="120">
        <x:f>MAX(0,EC38+EC45-EC46)</x:f>
      </x:c>
      <x:c r="ED47" s="120">
        <x:f>MAX(0,ED38+ED45-ED46)</x:f>
      </x:c>
      <x:c r="EE47" s="120">
        <x:f>MAX(0,EE38+EE45-EE46)</x:f>
      </x:c>
      <x:c r="EF47" s="120">
        <x:f>MAX(0,EF38+EF45-EF46)</x:f>
      </x:c>
      <x:c r="EG47" s="120">
        <x:f>MAX(0,EG38+EG45-EG46)</x:f>
      </x:c>
      <x:c r="EH47" s="120">
        <x:f>MAX(0,EH38+EH45-EH46)</x:f>
      </x:c>
      <x:c r="EI47" s="120">
        <x:f>MAX(0,EI38+EI45-EI46)</x:f>
      </x:c>
      <x:c r="EJ47" s="120">
        <x:f>MAX(0,EJ38+EJ45-EJ46)</x:f>
      </x:c>
      <x:c r="EK47" s="120">
        <x:f>MAX(0,EK38+EK45-EK46)</x:f>
      </x:c>
      <x:c r="EL47" s="120">
        <x:f>MAX(0,EL38+EL45-EL46)</x:f>
      </x:c>
      <x:c r="EM47" s="120">
        <x:f>MAX(0,EM38+EM45-EM46)</x:f>
      </x:c>
      <x:c r="EN47" s="120">
        <x:f>MAX(0,EN38+EN45-EN46)</x:f>
      </x:c>
      <x:c r="EO47" s="120">
        <x:f>MAX(0,EO38+EO45-EO46)</x:f>
      </x:c>
      <x:c r="EP47" s="120">
        <x:f>MAX(0,EP38+EP45-EP46)</x:f>
      </x:c>
      <x:c r="EQ47" s="120">
        <x:f>MAX(0,EQ38+EQ45-EQ46)</x:f>
      </x:c>
      <x:c r="ER47" s="120">
        <x:f>MAX(0,ER38+ER45-ER46)</x:f>
      </x:c>
      <x:c r="ES47" s="120">
        <x:f>MAX(0,ES38+ES45-ES46)</x:f>
      </x:c>
      <x:c r="ET47" s="120">
        <x:f>MAX(0,ET38+ET45-ET46)</x:f>
      </x:c>
      <x:c r="EU47" s="120">
        <x:f>MAX(0,EU38+EU45-EU46)</x:f>
      </x:c>
      <x:c r="EV47" s="120">
        <x:f>MAX(0,EV38+EV45-EV46)</x:f>
      </x:c>
      <x:c r="EW47" s="120">
        <x:f>MAX(0,EW38+EW45-EW46)</x:f>
      </x:c>
      <x:c r="EX47" s="120">
        <x:f>MAX(0,EX38+EX45-EX46)</x:f>
      </x:c>
      <x:c r="EY47" s="120">
        <x:f>MAX(0,EY38+EY45-EY46)</x:f>
      </x:c>
      <x:c r="EZ47" s="120">
        <x:f>MAX(0,EZ38+EZ45-EZ46)</x:f>
      </x:c>
      <x:c r="FA47" s="120">
        <x:f>MAX(0,FA38+FA45-FA46)</x:f>
      </x:c>
      <x:c r="FB47" s="120">
        <x:f>MAX(0,FB38+FB45-FB46)</x:f>
      </x:c>
      <x:c r="FC47" s="120">
        <x:f>MAX(0,FC38+FC45-FC46)</x:f>
      </x:c>
      <x:c r="FD47" s="120">
        <x:f>MAX(0,FD38+FD45-FD46)</x:f>
      </x:c>
      <x:c r="FE47" s="120">
        <x:f>MAX(0,FE38+FE45-FE46)</x:f>
      </x:c>
      <x:c r="FF47" s="120">
        <x:f>MAX(0,FF38+FF45-FF46)</x:f>
      </x:c>
      <x:c r="FG47" s="120">
        <x:f>MAX(0,FG38+FG45-FG46)</x:f>
      </x:c>
      <x:c r="FH47" s="120">
        <x:f>MAX(0,FH38+FH45-FH46)</x:f>
      </x:c>
      <x:c r="FI47" s="120">
        <x:f>MAX(0,FI38+FI45-FI46)</x:f>
      </x:c>
      <x:c r="FJ47" s="120">
        <x:f>MAX(0,FJ38+FJ45-FJ46)</x:f>
      </x:c>
      <x:c r="FK47" s="120">
        <x:f>MAX(0,FK38+FK45-FK46)</x:f>
      </x:c>
      <x:c r="FL47" s="120">
        <x:f>MAX(0,FL38+FL45-FL46)</x:f>
      </x:c>
      <x:c r="FM47" s="120">
        <x:f>MAX(0,FM38+FM45-FM46)</x:f>
      </x:c>
      <x:c r="FN47" s="120">
        <x:f>MAX(0,FN38+FN45-FN46)</x:f>
      </x:c>
      <x:c r="FO47" s="120">
        <x:f>MAX(0,FO38+FO45-FO46)</x:f>
      </x:c>
      <x:c r="FP47" s="120">
        <x:f>MAX(0,FP38+FP45-FP46)</x:f>
      </x:c>
      <x:c r="FQ47" s="120">
        <x:f>MAX(0,FQ38+FQ45-FQ46)</x:f>
      </x:c>
      <x:c r="FR47" s="120">
        <x:f>MAX(0,FR38+FR45-FR46)</x:f>
      </x:c>
      <x:c r="FS47" s="120">
        <x:f>MAX(0,FS38+FS45-FS46)</x:f>
      </x:c>
      <x:c r="FT47" s="120">
        <x:f>MAX(0,FT38+FT45-FT46)</x:f>
      </x:c>
      <x:c r="FU47" s="120">
        <x:f>MAX(0,FU38+FU45-FU46)</x:f>
      </x:c>
      <x:c r="FV47" s="120">
        <x:f>MAX(0,FV38+FV45-FV46)</x:f>
      </x:c>
      <x:c r="FW47" s="120">
        <x:f>MAX(0,FW38+FW45-FW46)</x:f>
      </x:c>
      <x:c r="FX47" s="120">
        <x:f>MAX(0,FX38+FX45-FX46)</x:f>
      </x:c>
      <x:c r="FY47" s="120">
        <x:f>MAX(0,FY38+FY45-FY46)</x:f>
      </x:c>
      <x:c r="FZ47" s="120">
        <x:f>MAX(0,FZ38+FZ45-FZ46)</x:f>
      </x:c>
      <x:c r="GA47" s="120">
        <x:f>MAX(0,GA38+GA45-GA46)</x:f>
      </x:c>
    </x:row>
    <x:row r="48">
      <x:c r="A48" t="inlineStr">
        <x:is>
          <x:t>ПФ — проценты к уплате (накопленно)</x:t>
        </x:is>
      </x:c>
      <x:c r="B48"/>
      <x:c r="C48"/>
      <x:c r="D48" s="117">
        <x:f>IF(AND(D$3&gt;=$B$7,D$3&lt;$B$8),C48*(1+D41/12)+D42+D43+IF(AND(AND(YEAR(D$3)=YEAR($B$7),MONTH(D$3)=MONTH($B$7)),'Вводные'!$B$31="Капитализация в ПФ"),C37,0),0)</x:f>
      </x:c>
      <x:c r="E48" s="117">
        <x:f>IF(AND(E$3&gt;=$B$7,E$3&lt;$B$8),D48*(1+E41/12)+E42+E43+IF(AND(AND(YEAR(E$3)=YEAR($B$7),MONTH(E$3)=MONTH($B$7)),'Вводные'!$B$31="Капитализация в ПФ"),D37,0),0)</x:f>
      </x:c>
      <x:c r="F48" s="117">
        <x:f>IF(AND(F$3&gt;=$B$7,F$3&lt;$B$8),E48*(1+F41/12)+F42+F43+IF(AND(AND(YEAR(F$3)=YEAR($B$7),MONTH(F$3)=MONTH($B$7)),'Вводные'!$B$31="Капитализация в ПФ"),E37,0),0)</x:f>
      </x:c>
      <x:c r="G48" s="117">
        <x:f>IF(AND(G$3&gt;=$B$7,G$3&lt;$B$8),F48*(1+G41/12)+G42+G43+IF(AND(AND(YEAR(G$3)=YEAR($B$7),MONTH(G$3)=MONTH($B$7)),'Вводные'!$B$31="Капитализация в ПФ"),F37,0),0)</x:f>
      </x:c>
      <x:c r="H48" s="117">
        <x:f>IF(AND(H$3&gt;=$B$7,H$3&lt;$B$8),G48*(1+H41/12)+H42+H43+IF(AND(AND(YEAR(H$3)=YEAR($B$7),MONTH(H$3)=MONTH($B$7)),'Вводные'!$B$31="Капитализация в ПФ"),G37,0),0)</x:f>
      </x:c>
      <x:c r="I48" s="117">
        <x:f>IF(AND(I$3&gt;=$B$7,I$3&lt;$B$8),H48*(1+I41/12)+I42+I43+IF(AND(AND(YEAR(I$3)=YEAR($B$7),MONTH(I$3)=MONTH($B$7)),'Вводные'!$B$31="Капитализация в ПФ"),H37,0),0)</x:f>
      </x:c>
      <x:c r="J48" s="117">
        <x:f>IF(AND(J$3&gt;=$B$7,J$3&lt;$B$8),I48*(1+J41/12)+J42+J43+IF(AND(AND(YEAR(J$3)=YEAR($B$7),MONTH(J$3)=MONTH($B$7)),'Вводные'!$B$31="Капитализация в ПФ"),I37,0),0)</x:f>
      </x:c>
      <x:c r="K48" s="117">
        <x:f>IF(AND(K$3&gt;=$B$7,K$3&lt;$B$8),J48*(1+K41/12)+K42+K43+IF(AND(AND(YEAR(K$3)=YEAR($B$7),MONTH(K$3)=MONTH($B$7)),'Вводные'!$B$31="Капитализация в ПФ"),J37,0),0)</x:f>
      </x:c>
      <x:c r="L48" s="117">
        <x:f>IF(AND(L$3&gt;=$B$7,L$3&lt;$B$8),K48*(1+L41/12)+L42+L43+IF(AND(AND(YEAR(L$3)=YEAR($B$7),MONTH(L$3)=MONTH($B$7)),'Вводные'!$B$31="Капитализация в ПФ"),K37,0),0)</x:f>
      </x:c>
      <x:c r="M48" s="117">
        <x:f>IF(AND(M$3&gt;=$B$7,M$3&lt;$B$8),L48*(1+M41/12)+M42+M43+IF(AND(AND(YEAR(M$3)=YEAR($B$7),MONTH(M$3)=MONTH($B$7)),'Вводные'!$B$31="Капитализация в ПФ"),L37,0),0)</x:f>
      </x:c>
      <x:c r="N48" s="117">
        <x:f>IF(AND(N$3&gt;=$B$7,N$3&lt;$B$8),M48*(1+N41/12)+N42+N43+IF(AND(AND(YEAR(N$3)=YEAR($B$7),MONTH(N$3)=MONTH($B$7)),'Вводные'!$B$31="Капитализация в ПФ"),M37,0),0)</x:f>
      </x:c>
      <x:c r="O48" s="117">
        <x:f>IF(AND(O$3&gt;=$B$7,O$3&lt;$B$8),N48*(1+O41/12)+O42+O43+IF(AND(AND(YEAR(O$3)=YEAR($B$7),MONTH(O$3)=MONTH($B$7)),'Вводные'!$B$31="Капитализация в ПФ"),N37,0),0)</x:f>
      </x:c>
      <x:c r="P48" s="117">
        <x:f>IF(AND(P$3&gt;=$B$7,P$3&lt;$B$8),O48*(1+P41/12)+P42+P43+IF(AND(AND(YEAR(P$3)=YEAR($B$7),MONTH(P$3)=MONTH($B$7)),'Вводные'!$B$31="Капитализация в ПФ"),O37,0),0)</x:f>
      </x:c>
      <x:c r="Q48" s="117">
        <x:f>IF(AND(Q$3&gt;=$B$7,Q$3&lt;$B$8),P48*(1+Q41/12)+Q42+Q43+IF(AND(AND(YEAR(Q$3)=YEAR($B$7),MONTH(Q$3)=MONTH($B$7)),'Вводные'!$B$31="Капитализация в ПФ"),P37,0),0)</x:f>
      </x:c>
      <x:c r="R48" s="117">
        <x:f>IF(AND(R$3&gt;=$B$7,R$3&lt;$B$8),Q48*(1+R41/12)+R42+R43+IF(AND(AND(YEAR(R$3)=YEAR($B$7),MONTH(R$3)=MONTH($B$7)),'Вводные'!$B$31="Капитализация в ПФ"),Q37,0),0)</x:f>
      </x:c>
      <x:c r="S48" s="117">
        <x:f>IF(AND(S$3&gt;=$B$7,S$3&lt;$B$8),R48*(1+S41/12)+S42+S43+IF(AND(AND(YEAR(S$3)=YEAR($B$7),MONTH(S$3)=MONTH($B$7)),'Вводные'!$B$31="Капитализация в ПФ"),R37,0),0)</x:f>
      </x:c>
      <x:c r="T48" s="117">
        <x:f>IF(AND(T$3&gt;=$B$7,T$3&lt;$B$8),S48*(1+T41/12)+T42+T43+IF(AND(AND(YEAR(T$3)=YEAR($B$7),MONTH(T$3)=MONTH($B$7)),'Вводные'!$B$31="Капитализация в ПФ"),S37,0),0)</x:f>
      </x:c>
      <x:c r="U48" s="117">
        <x:f>IF(AND(U$3&gt;=$B$7,U$3&lt;$B$8),T48*(1+U41/12)+U42+U43+IF(AND(AND(YEAR(U$3)=YEAR($B$7),MONTH(U$3)=MONTH($B$7)),'Вводные'!$B$31="Капитализация в ПФ"),T37,0),0)</x:f>
      </x:c>
      <x:c r="V48" s="117">
        <x:f>IF(AND(V$3&gt;=$B$7,V$3&lt;$B$8),U48*(1+V41/12)+V42+V43+IF(AND(AND(YEAR(V$3)=YEAR($B$7),MONTH(V$3)=MONTH($B$7)),'Вводные'!$B$31="Капитализация в ПФ"),U37,0),0)</x:f>
      </x:c>
      <x:c r="W48" s="117">
        <x:f>IF(AND(W$3&gt;=$B$7,W$3&lt;$B$8),V48*(1+W41/12)+W42+W43+IF(AND(AND(YEAR(W$3)=YEAR($B$7),MONTH(W$3)=MONTH($B$7)),'Вводные'!$B$31="Капитализация в ПФ"),V37,0),0)</x:f>
      </x:c>
      <x:c r="X48" s="117">
        <x:f>IF(AND(X$3&gt;=$B$7,X$3&lt;$B$8),W48*(1+X41/12)+X42+X43+IF(AND(AND(YEAR(X$3)=YEAR($B$7),MONTH(X$3)=MONTH($B$7)),'Вводные'!$B$31="Капитализация в ПФ"),W37,0),0)</x:f>
      </x:c>
      <x:c r="Y48" s="117">
        <x:f>IF(AND(Y$3&gt;=$B$7,Y$3&lt;$B$8),X48*(1+Y41/12)+Y42+Y43+IF(AND(AND(YEAR(Y$3)=YEAR($B$7),MONTH(Y$3)=MONTH($B$7)),'Вводные'!$B$31="Капитализация в ПФ"),X37,0),0)</x:f>
      </x:c>
      <x:c r="Z48" s="117">
        <x:f>IF(AND(Z$3&gt;=$B$7,Z$3&lt;$B$8),Y48*(1+Z41/12)+Z42+Z43+IF(AND(AND(YEAR(Z$3)=YEAR($B$7),MONTH(Z$3)=MONTH($B$7)),'Вводные'!$B$31="Капитализация в ПФ"),Y37,0),0)</x:f>
      </x:c>
      <x:c r="AA48" s="117">
        <x:f>IF(AND(AA$3&gt;=$B$7,AA$3&lt;$B$8),Z48*(1+AA41/12)+AA42+AA43+IF(AND(AND(YEAR(AA$3)=YEAR($B$7),MONTH(AA$3)=MONTH($B$7)),'Вводные'!$B$31="Капитализация в ПФ"),Z37,0),0)</x:f>
      </x:c>
      <x:c r="AB48" s="117">
        <x:f>IF(AND(AB$3&gt;=$B$7,AB$3&lt;$B$8),AA48*(1+AB41/12)+AB42+AB43+IF(AND(AND(YEAR(AB$3)=YEAR($B$7),MONTH(AB$3)=MONTH($B$7)),'Вводные'!$B$31="Капитализация в ПФ"),AA37,0),0)</x:f>
      </x:c>
      <x:c r="AC48" s="117">
        <x:f>IF(AND(AC$3&gt;=$B$7,AC$3&lt;$B$8),AB48*(1+AC41/12)+AC42+AC43+IF(AND(AND(YEAR(AC$3)=YEAR($B$7),MONTH(AC$3)=MONTH($B$7)),'Вводные'!$B$31="Капитализация в ПФ"),AB37,0),0)</x:f>
      </x:c>
      <x:c r="AD48" s="117">
        <x:f>IF(AND(AD$3&gt;=$B$7,AD$3&lt;$B$8),AC48*(1+AD41/12)+AD42+AD43+IF(AND(AND(YEAR(AD$3)=YEAR($B$7),MONTH(AD$3)=MONTH($B$7)),'Вводные'!$B$31="Капитализация в ПФ"),AC37,0),0)</x:f>
      </x:c>
      <x:c r="AE48" s="117">
        <x:f>IF(AND(AE$3&gt;=$B$7,AE$3&lt;$B$8),AD48*(1+AE41/12)+AE42+AE43+IF(AND(AND(YEAR(AE$3)=YEAR($B$7),MONTH(AE$3)=MONTH($B$7)),'Вводные'!$B$31="Капитализация в ПФ"),AD37,0),0)</x:f>
      </x:c>
      <x:c r="AF48" s="117">
        <x:f>IF(AND(AF$3&gt;=$B$7,AF$3&lt;$B$8),AE48*(1+AF41/12)+AF42+AF43+IF(AND(AND(YEAR(AF$3)=YEAR($B$7),MONTH(AF$3)=MONTH($B$7)),'Вводные'!$B$31="Капитализация в ПФ"),AE37,0),0)</x:f>
      </x:c>
      <x:c r="AG48" s="117">
        <x:f>IF(AND(AG$3&gt;=$B$7,AG$3&lt;$B$8),AF48*(1+AG41/12)+AG42+AG43+IF(AND(AND(YEAR(AG$3)=YEAR($B$7),MONTH(AG$3)=MONTH($B$7)),'Вводные'!$B$31="Капитализация в ПФ"),AF37,0),0)</x:f>
      </x:c>
      <x:c r="AH48" s="117">
        <x:f>IF(AND(AH$3&gt;=$B$7,AH$3&lt;$B$8),AG48*(1+AH41/12)+AH42+AH43+IF(AND(AND(YEAR(AH$3)=YEAR($B$7),MONTH(AH$3)=MONTH($B$7)),'Вводные'!$B$31="Капитализация в ПФ"),AG37,0),0)</x:f>
      </x:c>
      <x:c r="AI48" s="117">
        <x:f>IF(AND(AI$3&gt;=$B$7,AI$3&lt;$B$8),AH48*(1+AI41/12)+AI42+AI43+IF(AND(AND(YEAR(AI$3)=YEAR($B$7),MONTH(AI$3)=MONTH($B$7)),'Вводные'!$B$31="Капитализация в ПФ"),AH37,0),0)</x:f>
      </x:c>
      <x:c r="AJ48" s="117">
        <x:f>IF(AND(AJ$3&gt;=$B$7,AJ$3&lt;$B$8),AI48*(1+AJ41/12)+AJ42+AJ43+IF(AND(AND(YEAR(AJ$3)=YEAR($B$7),MONTH(AJ$3)=MONTH($B$7)),'Вводные'!$B$31="Капитализация в ПФ"),AI37,0),0)</x:f>
      </x:c>
      <x:c r="AK48" s="117">
        <x:f>IF(AND(AK$3&gt;=$B$7,AK$3&lt;$B$8),AJ48*(1+AK41/12)+AK42+AK43+IF(AND(AND(YEAR(AK$3)=YEAR($B$7),MONTH(AK$3)=MONTH($B$7)),'Вводные'!$B$31="Капитализация в ПФ"),AJ37,0),0)</x:f>
      </x:c>
      <x:c r="AL48" s="117">
        <x:f>IF(AND(AL$3&gt;=$B$7,AL$3&lt;$B$8),AK48*(1+AL41/12)+AL42+AL43+IF(AND(AND(YEAR(AL$3)=YEAR($B$7),MONTH(AL$3)=MONTH($B$7)),'Вводные'!$B$31="Капитализация в ПФ"),AK37,0),0)</x:f>
      </x:c>
      <x:c r="AM48" s="117">
        <x:f>IF(AND(AM$3&gt;=$B$7,AM$3&lt;$B$8),AL48*(1+AM41/12)+AM42+AM43+IF(AND(AND(YEAR(AM$3)=YEAR($B$7),MONTH(AM$3)=MONTH($B$7)),'Вводные'!$B$31="Капитализация в ПФ"),AL37,0),0)</x:f>
      </x:c>
      <x:c r="AN48" s="117">
        <x:f>IF(AND(AN$3&gt;=$B$7,AN$3&lt;$B$8),AM48*(1+AN41/12)+AN42+AN43+IF(AND(AND(YEAR(AN$3)=YEAR($B$7),MONTH(AN$3)=MONTH($B$7)),'Вводные'!$B$31="Капитализация в ПФ"),AM37,0),0)</x:f>
      </x:c>
      <x:c r="AO48" s="117">
        <x:f>IF(AND(AO$3&gt;=$B$7,AO$3&lt;$B$8),AN48*(1+AO41/12)+AO42+AO43+IF(AND(AND(YEAR(AO$3)=YEAR($B$7),MONTH(AO$3)=MONTH($B$7)),'Вводные'!$B$31="Капитализация в ПФ"),AN37,0),0)</x:f>
      </x:c>
      <x:c r="AP48" s="117">
        <x:f>IF(AND(AP$3&gt;=$B$7,AP$3&lt;$B$8),AO48*(1+AP41/12)+AP42+AP43+IF(AND(AND(YEAR(AP$3)=YEAR($B$7),MONTH(AP$3)=MONTH($B$7)),'Вводные'!$B$31="Капитализация в ПФ"),AO37,0),0)</x:f>
      </x:c>
      <x:c r="AQ48" s="117">
        <x:f>IF(AND(AQ$3&gt;=$B$7,AQ$3&lt;$B$8),AP48*(1+AQ41/12)+AQ42+AQ43+IF(AND(AND(YEAR(AQ$3)=YEAR($B$7),MONTH(AQ$3)=MONTH($B$7)),'Вводные'!$B$31="Капитализация в ПФ"),AP37,0),0)</x:f>
      </x:c>
      <x:c r="AR48" s="117">
        <x:f>IF(AND(AR$3&gt;=$B$7,AR$3&lt;$B$8),AQ48*(1+AR41/12)+AR42+AR43+IF(AND(AND(YEAR(AR$3)=YEAR($B$7),MONTH(AR$3)=MONTH($B$7)),'Вводные'!$B$31="Капитализация в ПФ"),AQ37,0),0)</x:f>
      </x:c>
      <x:c r="AS48" s="117">
        <x:f>IF(AND(AS$3&gt;=$B$7,AS$3&lt;$B$8),AR48*(1+AS41/12)+AS42+AS43+IF(AND(AND(YEAR(AS$3)=YEAR($B$7),MONTH(AS$3)=MONTH($B$7)),'Вводные'!$B$31="Капитализация в ПФ"),AR37,0),0)</x:f>
      </x:c>
      <x:c r="AT48" s="117">
        <x:f>IF(AND(AT$3&gt;=$B$7,AT$3&lt;$B$8),AS48*(1+AT41/12)+AT42+AT43+IF(AND(AND(YEAR(AT$3)=YEAR($B$7),MONTH(AT$3)=MONTH($B$7)),'Вводные'!$B$31="Капитализация в ПФ"),AS37,0),0)</x:f>
      </x:c>
      <x:c r="AU48" s="117">
        <x:f>IF(AND(AU$3&gt;=$B$7,AU$3&lt;$B$8),AT48*(1+AU41/12)+AU42+AU43+IF(AND(AND(YEAR(AU$3)=YEAR($B$7),MONTH(AU$3)=MONTH($B$7)),'Вводные'!$B$31="Капитализация в ПФ"),AT37,0),0)</x:f>
      </x:c>
      <x:c r="AV48" s="117">
        <x:f>IF(AND(AV$3&gt;=$B$7,AV$3&lt;$B$8),AU48*(1+AV41/12)+AV42+AV43+IF(AND(AND(YEAR(AV$3)=YEAR($B$7),MONTH(AV$3)=MONTH($B$7)),'Вводные'!$B$31="Капитализация в ПФ"),AU37,0),0)</x:f>
      </x:c>
      <x:c r="AW48" s="117">
        <x:f>IF(AND(AW$3&gt;=$B$7,AW$3&lt;$B$8),AV48*(1+AW41/12)+AW42+AW43+IF(AND(AND(YEAR(AW$3)=YEAR($B$7),MONTH(AW$3)=MONTH($B$7)),'Вводные'!$B$31="Капитализация в ПФ"),AV37,0),0)</x:f>
      </x:c>
      <x:c r="AX48" s="117">
        <x:f>IF(AND(AX$3&gt;=$B$7,AX$3&lt;$B$8),AW48*(1+AX41/12)+AX42+AX43+IF(AND(AND(YEAR(AX$3)=YEAR($B$7),MONTH(AX$3)=MONTH($B$7)),'Вводные'!$B$31="Капитализация в ПФ"),AW37,0),0)</x:f>
      </x:c>
      <x:c r="AY48" s="117">
        <x:f>IF(AND(AY$3&gt;=$B$7,AY$3&lt;$B$8),AX48*(1+AY41/12)+AY42+AY43+IF(AND(AND(YEAR(AY$3)=YEAR($B$7),MONTH(AY$3)=MONTH($B$7)),'Вводные'!$B$31="Капитализация в ПФ"),AX37,0),0)</x:f>
      </x:c>
      <x:c r="AZ48" s="117">
        <x:f>IF(AND(AZ$3&gt;=$B$7,AZ$3&lt;$B$8),AY48*(1+AZ41/12)+AZ42+AZ43+IF(AND(AND(YEAR(AZ$3)=YEAR($B$7),MONTH(AZ$3)=MONTH($B$7)),'Вводные'!$B$31="Капитализация в ПФ"),AY37,0),0)</x:f>
      </x:c>
      <x:c r="BA48" s="117">
        <x:f>IF(AND(BA$3&gt;=$B$7,BA$3&lt;$B$8),AZ48*(1+BA41/12)+BA42+BA43+IF(AND(AND(YEAR(BA$3)=YEAR($B$7),MONTH(BA$3)=MONTH($B$7)),'Вводные'!$B$31="Капитализация в ПФ"),AZ37,0),0)</x:f>
      </x:c>
      <x:c r="BB48" s="117">
        <x:f>IF(AND(BB$3&gt;=$B$7,BB$3&lt;$B$8),BA48*(1+BB41/12)+BB42+BB43+IF(AND(AND(YEAR(BB$3)=YEAR($B$7),MONTH(BB$3)=MONTH($B$7)),'Вводные'!$B$31="Капитализация в ПФ"),BA37,0),0)</x:f>
      </x:c>
      <x:c r="BC48" s="117">
        <x:f>IF(AND(BC$3&gt;=$B$7,BC$3&lt;$B$8),BB48*(1+BC41/12)+BC42+BC43+IF(AND(AND(YEAR(BC$3)=YEAR($B$7),MONTH(BC$3)=MONTH($B$7)),'Вводные'!$B$31="Капитализация в ПФ"),BB37,0),0)</x:f>
      </x:c>
      <x:c r="BD48" s="117">
        <x:f>IF(AND(BD$3&gt;=$B$7,BD$3&lt;$B$8),BC48*(1+BD41/12)+BD42+BD43+IF(AND(AND(YEAR(BD$3)=YEAR($B$7),MONTH(BD$3)=MONTH($B$7)),'Вводные'!$B$31="Капитализация в ПФ"),BC37,0),0)</x:f>
      </x:c>
      <x:c r="BE48" s="117">
        <x:f>IF(AND(BE$3&gt;=$B$7,BE$3&lt;$B$8),BD48*(1+BE41/12)+BE42+BE43+IF(AND(AND(YEAR(BE$3)=YEAR($B$7),MONTH(BE$3)=MONTH($B$7)),'Вводные'!$B$31="Капитализация в ПФ"),BD37,0),0)</x:f>
      </x:c>
      <x:c r="BF48" s="117">
        <x:f>IF(AND(BF$3&gt;=$B$7,BF$3&lt;$B$8),BE48*(1+BF41/12)+BF42+BF43+IF(AND(AND(YEAR(BF$3)=YEAR($B$7),MONTH(BF$3)=MONTH($B$7)),'Вводные'!$B$31="Капитализация в ПФ"),BE37,0),0)</x:f>
      </x:c>
      <x:c r="BG48" s="117">
        <x:f>IF(AND(BG$3&gt;=$B$7,BG$3&lt;$B$8),BF48*(1+BG41/12)+BG42+BG43+IF(AND(AND(YEAR(BG$3)=YEAR($B$7),MONTH(BG$3)=MONTH($B$7)),'Вводные'!$B$31="Капитализация в ПФ"),BF37,0),0)</x:f>
      </x:c>
      <x:c r="BH48" s="117">
        <x:f>IF(AND(BH$3&gt;=$B$7,BH$3&lt;$B$8),BG48*(1+BH41/12)+BH42+BH43+IF(AND(AND(YEAR(BH$3)=YEAR($B$7),MONTH(BH$3)=MONTH($B$7)),'Вводные'!$B$31="Капитализация в ПФ"),BG37,0),0)</x:f>
      </x:c>
      <x:c r="BI48" s="117">
        <x:f>IF(AND(BI$3&gt;=$B$7,BI$3&lt;$B$8),BH48*(1+BI41/12)+BI42+BI43+IF(AND(AND(YEAR(BI$3)=YEAR($B$7),MONTH(BI$3)=MONTH($B$7)),'Вводные'!$B$31="Капитализация в ПФ"),BH37,0),0)</x:f>
      </x:c>
      <x:c r="BJ48" s="117">
        <x:f>IF(AND(BJ$3&gt;=$B$7,BJ$3&lt;$B$8),BI48*(1+BJ41/12)+BJ42+BJ43+IF(AND(AND(YEAR(BJ$3)=YEAR($B$7),MONTH(BJ$3)=MONTH($B$7)),'Вводные'!$B$31="Капитализация в ПФ"),BI37,0),0)</x:f>
      </x:c>
      <x:c r="BK48" s="117">
        <x:f>IF(AND(BK$3&gt;=$B$7,BK$3&lt;$B$8),BJ48*(1+BK41/12)+BK42+BK43+IF(AND(AND(YEAR(BK$3)=YEAR($B$7),MONTH(BK$3)=MONTH($B$7)),'Вводные'!$B$31="Капитализация в ПФ"),BJ37,0),0)</x:f>
      </x:c>
      <x:c r="BL48" s="117">
        <x:f>IF(AND(BL$3&gt;=$B$7,BL$3&lt;$B$8),BK48*(1+BL41/12)+BL42+BL43+IF(AND(AND(YEAR(BL$3)=YEAR($B$7),MONTH(BL$3)=MONTH($B$7)),'Вводные'!$B$31="Капитализация в ПФ"),BK37,0),0)</x:f>
      </x:c>
      <x:c r="BM48" s="117">
        <x:f>IF(AND(BM$3&gt;=$B$7,BM$3&lt;$B$8),BL48*(1+BM41/12)+BM42+BM43+IF(AND(AND(YEAR(BM$3)=YEAR($B$7),MONTH(BM$3)=MONTH($B$7)),'Вводные'!$B$31="Капитализация в ПФ"),BL37,0),0)</x:f>
      </x:c>
      <x:c r="BN48" s="117">
        <x:f>IF(AND(BN$3&gt;=$B$7,BN$3&lt;$B$8),BM48*(1+BN41/12)+BN42+BN43+IF(AND(AND(YEAR(BN$3)=YEAR($B$7),MONTH(BN$3)=MONTH($B$7)),'Вводные'!$B$31="Капитализация в ПФ"),BM37,0),0)</x:f>
      </x:c>
      <x:c r="BO48" s="117">
        <x:f>IF(AND(BO$3&gt;=$B$7,BO$3&lt;$B$8),BN48*(1+BO41/12)+BO42+BO43+IF(AND(AND(YEAR(BO$3)=YEAR($B$7),MONTH(BO$3)=MONTH($B$7)),'Вводные'!$B$31="Капитализация в ПФ"),BN37,0),0)</x:f>
      </x:c>
      <x:c r="BP48" s="117">
        <x:f>IF(AND(BP$3&gt;=$B$7,BP$3&lt;$B$8),BO48*(1+BP41/12)+BP42+BP43+IF(AND(AND(YEAR(BP$3)=YEAR($B$7),MONTH(BP$3)=MONTH($B$7)),'Вводные'!$B$31="Капитализация в ПФ"),BO37,0),0)</x:f>
      </x:c>
      <x:c r="BQ48" s="117">
        <x:f>IF(AND(BQ$3&gt;=$B$7,BQ$3&lt;$B$8),BP48*(1+BQ41/12)+BQ42+BQ43+IF(AND(AND(YEAR(BQ$3)=YEAR($B$7),MONTH(BQ$3)=MONTH($B$7)),'Вводные'!$B$31="Капитализация в ПФ"),BP37,0),0)</x:f>
      </x:c>
      <x:c r="BR48" s="117">
        <x:f>IF(AND(BR$3&gt;=$B$7,BR$3&lt;$B$8),BQ48*(1+BR41/12)+BR42+BR43+IF(AND(AND(YEAR(BR$3)=YEAR($B$7),MONTH(BR$3)=MONTH($B$7)),'Вводные'!$B$31="Капитализация в ПФ"),BQ37,0),0)</x:f>
      </x:c>
      <x:c r="BS48" s="117">
        <x:f>IF(AND(BS$3&gt;=$B$7,BS$3&lt;$B$8),BR48*(1+BS41/12)+BS42+BS43+IF(AND(AND(YEAR(BS$3)=YEAR($B$7),MONTH(BS$3)=MONTH($B$7)),'Вводные'!$B$31="Капитализация в ПФ"),BR37,0),0)</x:f>
      </x:c>
      <x:c r="BT48" s="117">
        <x:f>IF(AND(BT$3&gt;=$B$7,BT$3&lt;$B$8),BS48*(1+BT41/12)+BT42+BT43+IF(AND(AND(YEAR(BT$3)=YEAR($B$7),MONTH(BT$3)=MONTH($B$7)),'Вводные'!$B$31="Капитализация в ПФ"),BS37,0),0)</x:f>
      </x:c>
      <x:c r="BU48" s="117">
        <x:f>IF(AND(BU$3&gt;=$B$7,BU$3&lt;$B$8),BT48*(1+BU41/12)+BU42+BU43+IF(AND(AND(YEAR(BU$3)=YEAR($B$7),MONTH(BU$3)=MONTH($B$7)),'Вводные'!$B$31="Капитализация в ПФ"),BT37,0),0)</x:f>
      </x:c>
      <x:c r="BV48" s="117">
        <x:f>IF(AND(BV$3&gt;=$B$7,BV$3&lt;$B$8),BU48*(1+BV41/12)+BV42+BV43+IF(AND(AND(YEAR(BV$3)=YEAR($B$7),MONTH(BV$3)=MONTH($B$7)),'Вводные'!$B$31="Капитализация в ПФ"),BU37,0),0)</x:f>
      </x:c>
      <x:c r="BW48" s="117">
        <x:f>IF(AND(BW$3&gt;=$B$7,BW$3&lt;$B$8),BV48*(1+BW41/12)+BW42+BW43+IF(AND(AND(YEAR(BW$3)=YEAR($B$7),MONTH(BW$3)=MONTH($B$7)),'Вводные'!$B$31="Капитализация в ПФ"),BV37,0),0)</x:f>
      </x:c>
      <x:c r="BX48" s="117">
        <x:f>IF(AND(BX$3&gt;=$B$7,BX$3&lt;$B$8),BW48*(1+BX41/12)+BX42+BX43+IF(AND(AND(YEAR(BX$3)=YEAR($B$7),MONTH(BX$3)=MONTH($B$7)),'Вводные'!$B$31="Капитализация в ПФ"),BW37,0),0)</x:f>
      </x:c>
      <x:c r="BY48" s="117">
        <x:f>IF(AND(BY$3&gt;=$B$7,BY$3&lt;$B$8),BX48*(1+BY41/12)+BY42+BY43+IF(AND(AND(YEAR(BY$3)=YEAR($B$7),MONTH(BY$3)=MONTH($B$7)),'Вводные'!$B$31="Капитализация в ПФ"),BX37,0),0)</x:f>
      </x:c>
      <x:c r="BZ48" s="117">
        <x:f>IF(AND(BZ$3&gt;=$B$7,BZ$3&lt;$B$8),BY48*(1+BZ41/12)+BZ42+BZ43+IF(AND(AND(YEAR(BZ$3)=YEAR($B$7),MONTH(BZ$3)=MONTH($B$7)),'Вводные'!$B$31="Капитализация в ПФ"),BY37,0),0)</x:f>
      </x:c>
      <x:c r="CA48" s="117">
        <x:f>IF(AND(CA$3&gt;=$B$7,CA$3&lt;$B$8),BZ48*(1+CA41/12)+CA42+CA43+IF(AND(AND(YEAR(CA$3)=YEAR($B$7),MONTH(CA$3)=MONTH($B$7)),'Вводные'!$B$31="Капитализация в ПФ"),BZ37,0),0)</x:f>
      </x:c>
      <x:c r="CB48" s="117">
        <x:f>IF(AND(CB$3&gt;=$B$7,CB$3&lt;$B$8),CA48*(1+CB41/12)+CB42+CB43+IF(AND(AND(YEAR(CB$3)=YEAR($B$7),MONTH(CB$3)=MONTH($B$7)),'Вводные'!$B$31="Капитализация в ПФ"),CA37,0),0)</x:f>
      </x:c>
      <x:c r="CC48" s="117">
        <x:f>IF(AND(CC$3&gt;=$B$7,CC$3&lt;$B$8),CB48*(1+CC41/12)+CC42+CC43+IF(AND(AND(YEAR(CC$3)=YEAR($B$7),MONTH(CC$3)=MONTH($B$7)),'Вводные'!$B$31="Капитализация в ПФ"),CB37,0),0)</x:f>
      </x:c>
      <x:c r="CD48" s="117">
        <x:f>IF(AND(CD$3&gt;=$B$7,CD$3&lt;$B$8),CC48*(1+CD41/12)+CD42+CD43+IF(AND(AND(YEAR(CD$3)=YEAR($B$7),MONTH(CD$3)=MONTH($B$7)),'Вводные'!$B$31="Капитализация в ПФ"),CC37,0),0)</x:f>
      </x:c>
      <x:c r="CE48" s="117">
        <x:f>IF(AND(CE$3&gt;=$B$7,CE$3&lt;$B$8),CD48*(1+CE41/12)+CE42+CE43+IF(AND(AND(YEAR(CE$3)=YEAR($B$7),MONTH(CE$3)=MONTH($B$7)),'Вводные'!$B$31="Капитализация в ПФ"),CD37,0),0)</x:f>
      </x:c>
      <x:c r="CF48" s="117">
        <x:f>IF(AND(CF$3&gt;=$B$7,CF$3&lt;$B$8),CE48*(1+CF41/12)+CF42+CF43+IF(AND(AND(YEAR(CF$3)=YEAR($B$7),MONTH(CF$3)=MONTH($B$7)),'Вводные'!$B$31="Капитализация в ПФ"),CE37,0),0)</x:f>
      </x:c>
      <x:c r="CG48" s="117">
        <x:f>IF(AND(CG$3&gt;=$B$7,CG$3&lt;$B$8),CF48*(1+CG41/12)+CG42+CG43+IF(AND(AND(YEAR(CG$3)=YEAR($B$7),MONTH(CG$3)=MONTH($B$7)),'Вводные'!$B$31="Капитализация в ПФ"),CF37,0),0)</x:f>
      </x:c>
      <x:c r="CH48" s="117">
        <x:f>IF(AND(CH$3&gt;=$B$7,CH$3&lt;$B$8),CG48*(1+CH41/12)+CH42+CH43+IF(AND(AND(YEAR(CH$3)=YEAR($B$7),MONTH(CH$3)=MONTH($B$7)),'Вводные'!$B$31="Капитализация в ПФ"),CG37,0),0)</x:f>
      </x:c>
      <x:c r="CI48" s="117">
        <x:f>IF(AND(CI$3&gt;=$B$7,CI$3&lt;$B$8),CH48*(1+CI41/12)+CI42+CI43+IF(AND(AND(YEAR(CI$3)=YEAR($B$7),MONTH(CI$3)=MONTH($B$7)),'Вводные'!$B$31="Капитализация в ПФ"),CH37,0),0)</x:f>
      </x:c>
      <x:c r="CJ48" s="117">
        <x:f>IF(AND(CJ$3&gt;=$B$7,CJ$3&lt;$B$8),CI48*(1+CJ41/12)+CJ42+CJ43+IF(AND(AND(YEAR(CJ$3)=YEAR($B$7),MONTH(CJ$3)=MONTH($B$7)),'Вводные'!$B$31="Капитализация в ПФ"),CI37,0),0)</x:f>
      </x:c>
      <x:c r="CK48" s="117">
        <x:f>IF(AND(CK$3&gt;=$B$7,CK$3&lt;$B$8),CJ48*(1+CK41/12)+CK42+CK43+IF(AND(AND(YEAR(CK$3)=YEAR($B$7),MONTH(CK$3)=MONTH($B$7)),'Вводные'!$B$31="Капитализация в ПФ"),CJ37,0),0)</x:f>
      </x:c>
      <x:c r="CL48" s="117">
        <x:f>IF(AND(CL$3&gt;=$B$7,CL$3&lt;$B$8),CK48*(1+CL41/12)+CL42+CL43+IF(AND(AND(YEAR(CL$3)=YEAR($B$7),MONTH(CL$3)=MONTH($B$7)),'Вводные'!$B$31="Капитализация в ПФ"),CK37,0),0)</x:f>
      </x:c>
      <x:c r="CM48" s="117">
        <x:f>IF(AND(CM$3&gt;=$B$7,CM$3&lt;$B$8),CL48*(1+CM41/12)+CM42+CM43+IF(AND(AND(YEAR(CM$3)=YEAR($B$7),MONTH(CM$3)=MONTH($B$7)),'Вводные'!$B$31="Капитализация в ПФ"),CL37,0),0)</x:f>
      </x:c>
      <x:c r="CN48" s="117">
        <x:f>IF(AND(CN$3&gt;=$B$7,CN$3&lt;$B$8),CM48*(1+CN41/12)+CN42+CN43+IF(AND(AND(YEAR(CN$3)=YEAR($B$7),MONTH(CN$3)=MONTH($B$7)),'Вводные'!$B$31="Капитализация в ПФ"),CM37,0),0)</x:f>
      </x:c>
      <x:c r="CO48" s="117">
        <x:f>IF(AND(CO$3&gt;=$B$7,CO$3&lt;$B$8),CN48*(1+CO41/12)+CO42+CO43+IF(AND(AND(YEAR(CO$3)=YEAR($B$7),MONTH(CO$3)=MONTH($B$7)),'Вводные'!$B$31="Капитализация в ПФ"),CN37,0),0)</x:f>
      </x:c>
      <x:c r="CP48" s="117">
        <x:f>IF(AND(CP$3&gt;=$B$7,CP$3&lt;$B$8),CO48*(1+CP41/12)+CP42+CP43+IF(AND(AND(YEAR(CP$3)=YEAR($B$7),MONTH(CP$3)=MONTH($B$7)),'Вводные'!$B$31="Капитализация в ПФ"),CO37,0),0)</x:f>
      </x:c>
      <x:c r="CQ48" s="117">
        <x:f>IF(AND(CQ$3&gt;=$B$7,CQ$3&lt;$B$8),CP48*(1+CQ41/12)+CQ42+CQ43+IF(AND(AND(YEAR(CQ$3)=YEAR($B$7),MONTH(CQ$3)=MONTH($B$7)),'Вводные'!$B$31="Капитализация в ПФ"),CP37,0),0)</x:f>
      </x:c>
      <x:c r="CR48" s="117">
        <x:f>IF(AND(CR$3&gt;=$B$7,CR$3&lt;$B$8),CQ48*(1+CR41/12)+CR42+CR43+IF(AND(AND(YEAR(CR$3)=YEAR($B$7),MONTH(CR$3)=MONTH($B$7)),'Вводные'!$B$31="Капитализация в ПФ"),CQ37,0),0)</x:f>
      </x:c>
      <x:c r="CS48" s="117">
        <x:f>IF(AND(CS$3&gt;=$B$7,CS$3&lt;$B$8),CR48*(1+CS41/12)+CS42+CS43+IF(AND(AND(YEAR(CS$3)=YEAR($B$7),MONTH(CS$3)=MONTH($B$7)),'Вводные'!$B$31="Капитализация в ПФ"),CR37,0),0)</x:f>
      </x:c>
      <x:c r="CT48" s="117">
        <x:f>IF(AND(CT$3&gt;=$B$7,CT$3&lt;$B$8),CS48*(1+CT41/12)+CT42+CT43+IF(AND(AND(YEAR(CT$3)=YEAR($B$7),MONTH(CT$3)=MONTH($B$7)),'Вводные'!$B$31="Капитализация в ПФ"),CS37,0),0)</x:f>
      </x:c>
      <x:c r="CU48" s="117">
        <x:f>IF(AND(CU$3&gt;=$B$7,CU$3&lt;$B$8),CT48*(1+CU41/12)+CU42+CU43+IF(AND(AND(YEAR(CU$3)=YEAR($B$7),MONTH(CU$3)=MONTH($B$7)),'Вводные'!$B$31="Капитализация в ПФ"),CT37,0),0)</x:f>
      </x:c>
      <x:c r="CV48" s="117">
        <x:f>IF(AND(CV$3&gt;=$B$7,CV$3&lt;$B$8),CU48*(1+CV41/12)+CV42+CV43+IF(AND(AND(YEAR(CV$3)=YEAR($B$7),MONTH(CV$3)=MONTH($B$7)),'Вводные'!$B$31="Капитализация в ПФ"),CU37,0),0)</x:f>
      </x:c>
      <x:c r="CW48" s="117">
        <x:f>IF(AND(CW$3&gt;=$B$7,CW$3&lt;$B$8),CV48*(1+CW41/12)+CW42+CW43+IF(AND(AND(YEAR(CW$3)=YEAR($B$7),MONTH(CW$3)=MONTH($B$7)),'Вводные'!$B$31="Капитализация в ПФ"),CV37,0),0)</x:f>
      </x:c>
      <x:c r="CX48" s="117">
        <x:f>IF(AND(CX$3&gt;=$B$7,CX$3&lt;$B$8),CW48*(1+CX41/12)+CX42+CX43+IF(AND(AND(YEAR(CX$3)=YEAR($B$7),MONTH(CX$3)=MONTH($B$7)),'Вводные'!$B$31="Капитализация в ПФ"),CW37,0),0)</x:f>
      </x:c>
      <x:c r="CY48" s="117">
        <x:f>IF(AND(CY$3&gt;=$B$7,CY$3&lt;$B$8),CX48*(1+CY41/12)+CY42+CY43+IF(AND(AND(YEAR(CY$3)=YEAR($B$7),MONTH(CY$3)=MONTH($B$7)),'Вводные'!$B$31="Капитализация в ПФ"),CX37,0),0)</x:f>
      </x:c>
      <x:c r="CZ48" s="117">
        <x:f>IF(AND(CZ$3&gt;=$B$7,CZ$3&lt;$B$8),CY48*(1+CZ41/12)+CZ42+CZ43+IF(AND(AND(YEAR(CZ$3)=YEAR($B$7),MONTH(CZ$3)=MONTH($B$7)),'Вводные'!$B$31="Капитализация в ПФ"),CY37,0),0)</x:f>
      </x:c>
      <x:c r="DA48" s="117">
        <x:f>IF(AND(DA$3&gt;=$B$7,DA$3&lt;$B$8),CZ48*(1+DA41/12)+DA42+DA43+IF(AND(AND(YEAR(DA$3)=YEAR($B$7),MONTH(DA$3)=MONTH($B$7)),'Вводные'!$B$31="Капитализация в ПФ"),CZ37,0),0)</x:f>
      </x:c>
      <x:c r="DB48" s="117">
        <x:f>IF(AND(DB$3&gt;=$B$7,DB$3&lt;$B$8),DA48*(1+DB41/12)+DB42+DB43+IF(AND(AND(YEAR(DB$3)=YEAR($B$7),MONTH(DB$3)=MONTH($B$7)),'Вводные'!$B$31="Капитализация в ПФ"),DA37,0),0)</x:f>
      </x:c>
      <x:c r="DC48" s="117">
        <x:f>IF(AND(DC$3&gt;=$B$7,DC$3&lt;$B$8),DB48*(1+DC41/12)+DC42+DC43+IF(AND(AND(YEAR(DC$3)=YEAR($B$7),MONTH(DC$3)=MONTH($B$7)),'Вводные'!$B$31="Капитализация в ПФ"),DB37,0),0)</x:f>
      </x:c>
      <x:c r="DD48" s="117">
        <x:f>IF(AND(DD$3&gt;=$B$7,DD$3&lt;$B$8),DC48*(1+DD41/12)+DD42+DD43+IF(AND(AND(YEAR(DD$3)=YEAR($B$7),MONTH(DD$3)=MONTH($B$7)),'Вводные'!$B$31="Капитализация в ПФ"),DC37,0),0)</x:f>
      </x:c>
      <x:c r="DE48" s="117">
        <x:f>IF(AND(DE$3&gt;=$B$7,DE$3&lt;$B$8),DD48*(1+DE41/12)+DE42+DE43+IF(AND(AND(YEAR(DE$3)=YEAR($B$7),MONTH(DE$3)=MONTH($B$7)),'Вводные'!$B$31="Капитализация в ПФ"),DD37,0),0)</x:f>
      </x:c>
      <x:c r="DF48" s="117">
        <x:f>IF(AND(DF$3&gt;=$B$7,DF$3&lt;$B$8),DE48*(1+DF41/12)+DF42+DF43+IF(AND(AND(YEAR(DF$3)=YEAR($B$7),MONTH(DF$3)=MONTH($B$7)),'Вводные'!$B$31="Капитализация в ПФ"),DE37,0),0)</x:f>
      </x:c>
      <x:c r="DG48" s="117">
        <x:f>IF(AND(DG$3&gt;=$B$7,DG$3&lt;$B$8),DF48*(1+DG41/12)+DG42+DG43+IF(AND(AND(YEAR(DG$3)=YEAR($B$7),MONTH(DG$3)=MONTH($B$7)),'Вводные'!$B$31="Капитализация в ПФ"),DF37,0),0)</x:f>
      </x:c>
      <x:c r="DH48" s="117">
        <x:f>IF(AND(DH$3&gt;=$B$7,DH$3&lt;$B$8),DG48*(1+DH41/12)+DH42+DH43+IF(AND(AND(YEAR(DH$3)=YEAR($B$7),MONTH(DH$3)=MONTH($B$7)),'Вводные'!$B$31="Капитализация в ПФ"),DG37,0),0)</x:f>
      </x:c>
      <x:c r="DI48" s="117">
        <x:f>IF(AND(DI$3&gt;=$B$7,DI$3&lt;$B$8),DH48*(1+DI41/12)+DI42+DI43+IF(AND(AND(YEAR(DI$3)=YEAR($B$7),MONTH(DI$3)=MONTH($B$7)),'Вводные'!$B$31="Капитализация в ПФ"),DH37,0),0)</x:f>
      </x:c>
      <x:c r="DJ48" s="117">
        <x:f>IF(AND(DJ$3&gt;=$B$7,DJ$3&lt;$B$8),DI48*(1+DJ41/12)+DJ42+DJ43+IF(AND(AND(YEAR(DJ$3)=YEAR($B$7),MONTH(DJ$3)=MONTH($B$7)),'Вводные'!$B$31="Капитализация в ПФ"),DI37,0),0)</x:f>
      </x:c>
      <x:c r="DK48" s="117">
        <x:f>IF(AND(DK$3&gt;=$B$7,DK$3&lt;$B$8),DJ48*(1+DK41/12)+DK42+DK43+IF(AND(AND(YEAR(DK$3)=YEAR($B$7),MONTH(DK$3)=MONTH($B$7)),'Вводные'!$B$31="Капитализация в ПФ"),DJ37,0),0)</x:f>
      </x:c>
      <x:c r="DL48" s="117">
        <x:f>IF(AND(DL$3&gt;=$B$7,DL$3&lt;$B$8),DK48*(1+DL41/12)+DL42+DL43+IF(AND(AND(YEAR(DL$3)=YEAR($B$7),MONTH(DL$3)=MONTH($B$7)),'Вводные'!$B$31="Капитализация в ПФ"),DK37,0),0)</x:f>
      </x:c>
      <x:c r="DM48" s="117">
        <x:f>IF(AND(DM$3&gt;=$B$7,DM$3&lt;$B$8),DL48*(1+DM41/12)+DM42+DM43+IF(AND(AND(YEAR(DM$3)=YEAR($B$7),MONTH(DM$3)=MONTH($B$7)),'Вводные'!$B$31="Капитализация в ПФ"),DL37,0),0)</x:f>
      </x:c>
      <x:c r="DN48" s="117">
        <x:f>IF(AND(DN$3&gt;=$B$7,DN$3&lt;$B$8),DM48*(1+DN41/12)+DN42+DN43+IF(AND(AND(YEAR(DN$3)=YEAR($B$7),MONTH(DN$3)=MONTH($B$7)),'Вводные'!$B$31="Капитализация в ПФ"),DM37,0),0)</x:f>
      </x:c>
      <x:c r="DO48" s="117">
        <x:f>IF(AND(DO$3&gt;=$B$7,DO$3&lt;$B$8),DN48*(1+DO41/12)+DO42+DO43+IF(AND(AND(YEAR(DO$3)=YEAR($B$7),MONTH(DO$3)=MONTH($B$7)),'Вводные'!$B$31="Капитализация в ПФ"),DN37,0),0)</x:f>
      </x:c>
      <x:c r="DP48" s="117">
        <x:f>IF(AND(DP$3&gt;=$B$7,DP$3&lt;$B$8),DO48*(1+DP41/12)+DP42+DP43+IF(AND(AND(YEAR(DP$3)=YEAR($B$7),MONTH(DP$3)=MONTH($B$7)),'Вводные'!$B$31="Капитализация в ПФ"),DO37,0),0)</x:f>
      </x:c>
      <x:c r="DQ48" s="117">
        <x:f>IF(AND(DQ$3&gt;=$B$7,DQ$3&lt;$B$8),DP48*(1+DQ41/12)+DQ42+DQ43+IF(AND(AND(YEAR(DQ$3)=YEAR($B$7),MONTH(DQ$3)=MONTH($B$7)),'Вводные'!$B$31="Капитализация в ПФ"),DP37,0),0)</x:f>
      </x:c>
      <x:c r="DR48" s="117">
        <x:f>IF(AND(DR$3&gt;=$B$7,DR$3&lt;$B$8),DQ48*(1+DR41/12)+DR42+DR43+IF(AND(AND(YEAR(DR$3)=YEAR($B$7),MONTH(DR$3)=MONTH($B$7)),'Вводные'!$B$31="Капитализация в ПФ"),DQ37,0),0)</x:f>
      </x:c>
      <x:c r="DS48" s="117">
        <x:f>IF(AND(DS$3&gt;=$B$7,DS$3&lt;$B$8),DR48*(1+DS41/12)+DS42+DS43+IF(AND(AND(YEAR(DS$3)=YEAR($B$7),MONTH(DS$3)=MONTH($B$7)),'Вводные'!$B$31="Капитализация в ПФ"),DR37,0),0)</x:f>
      </x:c>
      <x:c r="DT48" s="117">
        <x:f>IF(AND(DT$3&gt;=$B$7,DT$3&lt;$B$8),DS48*(1+DT41/12)+DT42+DT43+IF(AND(AND(YEAR(DT$3)=YEAR($B$7),MONTH(DT$3)=MONTH($B$7)),'Вводные'!$B$31="Капитализация в ПФ"),DS37,0),0)</x:f>
      </x:c>
      <x:c r="DU48" s="117">
        <x:f>IF(AND(DU$3&gt;=$B$7,DU$3&lt;$B$8),DT48*(1+DU41/12)+DU42+DU43+IF(AND(AND(YEAR(DU$3)=YEAR($B$7),MONTH(DU$3)=MONTH($B$7)),'Вводные'!$B$31="Капитализация в ПФ"),DT37,0),0)</x:f>
      </x:c>
      <x:c r="DV48" s="117">
        <x:f>IF(AND(DV$3&gt;=$B$7,DV$3&lt;$B$8),DU48*(1+DV41/12)+DV42+DV43+IF(AND(AND(YEAR(DV$3)=YEAR($B$7),MONTH(DV$3)=MONTH($B$7)),'Вводные'!$B$31="Капитализация в ПФ"),DU37,0),0)</x:f>
      </x:c>
      <x:c r="DW48" s="117">
        <x:f>IF(AND(DW$3&gt;=$B$7,DW$3&lt;$B$8),DV48*(1+DW41/12)+DW42+DW43+IF(AND(AND(YEAR(DW$3)=YEAR($B$7),MONTH(DW$3)=MONTH($B$7)),'Вводные'!$B$31="Капитализация в ПФ"),DV37,0),0)</x:f>
      </x:c>
      <x:c r="DX48" s="117">
        <x:f>IF(AND(DX$3&gt;=$B$7,DX$3&lt;$B$8),DW48*(1+DX41/12)+DX42+DX43+IF(AND(AND(YEAR(DX$3)=YEAR($B$7),MONTH(DX$3)=MONTH($B$7)),'Вводные'!$B$31="Капитализация в ПФ"),DW37,0),0)</x:f>
      </x:c>
      <x:c r="DY48" s="117">
        <x:f>IF(AND(DY$3&gt;=$B$7,DY$3&lt;$B$8),DX48*(1+DY41/12)+DY42+DY43+IF(AND(AND(YEAR(DY$3)=YEAR($B$7),MONTH(DY$3)=MONTH($B$7)),'Вводные'!$B$31="Капитализация в ПФ"),DX37,0),0)</x:f>
      </x:c>
      <x:c r="DZ48" s="117">
        <x:f>IF(AND(DZ$3&gt;=$B$7,DZ$3&lt;$B$8),DY48*(1+DZ41/12)+DZ42+DZ43+IF(AND(AND(YEAR(DZ$3)=YEAR($B$7),MONTH(DZ$3)=MONTH($B$7)),'Вводные'!$B$31="Капитализация в ПФ"),DY37,0),0)</x:f>
      </x:c>
      <x:c r="EA48" s="117">
        <x:f>IF(AND(EA$3&gt;=$B$7,EA$3&lt;$B$8),DZ48*(1+EA41/12)+EA42+EA43+IF(AND(AND(YEAR(EA$3)=YEAR($B$7),MONTH(EA$3)=MONTH($B$7)),'Вводные'!$B$31="Капитализация в ПФ"),DZ37,0),0)</x:f>
      </x:c>
      <x:c r="EB48" s="117">
        <x:f>IF(AND(EB$3&gt;=$B$7,EB$3&lt;$B$8),EA48*(1+EB41/12)+EB42+EB43+IF(AND(AND(YEAR(EB$3)=YEAR($B$7),MONTH(EB$3)=MONTH($B$7)),'Вводные'!$B$31="Капитализация в ПФ"),EA37,0),0)</x:f>
      </x:c>
      <x:c r="EC48" s="117">
        <x:f>IF(AND(EC$3&gt;=$B$7,EC$3&lt;$B$8),EB48*(1+EC41/12)+EC42+EC43+IF(AND(AND(YEAR(EC$3)=YEAR($B$7),MONTH(EC$3)=MONTH($B$7)),'Вводные'!$B$31="Капитализация в ПФ"),EB37,0),0)</x:f>
      </x:c>
      <x:c r="ED48" s="117">
        <x:f>IF(AND(ED$3&gt;=$B$7,ED$3&lt;$B$8),EC48*(1+ED41/12)+ED42+ED43+IF(AND(AND(YEAR(ED$3)=YEAR($B$7),MONTH(ED$3)=MONTH($B$7)),'Вводные'!$B$31="Капитализация в ПФ"),EC37,0),0)</x:f>
      </x:c>
      <x:c r="EE48" s="117">
        <x:f>IF(AND(EE$3&gt;=$B$7,EE$3&lt;$B$8),ED48*(1+EE41/12)+EE42+EE43+IF(AND(AND(YEAR(EE$3)=YEAR($B$7),MONTH(EE$3)=MONTH($B$7)),'Вводные'!$B$31="Капитализация в ПФ"),ED37,0),0)</x:f>
      </x:c>
      <x:c r="EF48" s="117">
        <x:f>IF(AND(EF$3&gt;=$B$7,EF$3&lt;$B$8),EE48*(1+EF41/12)+EF42+EF43+IF(AND(AND(YEAR(EF$3)=YEAR($B$7),MONTH(EF$3)=MONTH($B$7)),'Вводные'!$B$31="Капитализация в ПФ"),EE37,0),0)</x:f>
      </x:c>
      <x:c r="EG48" s="117">
        <x:f>IF(AND(EG$3&gt;=$B$7,EG$3&lt;$B$8),EF48*(1+EG41/12)+EG42+EG43+IF(AND(AND(YEAR(EG$3)=YEAR($B$7),MONTH(EG$3)=MONTH($B$7)),'Вводные'!$B$31="Капитализация в ПФ"),EF37,0),0)</x:f>
      </x:c>
      <x:c r="EH48" s="117">
        <x:f>IF(AND(EH$3&gt;=$B$7,EH$3&lt;$B$8),EG48*(1+EH41/12)+EH42+EH43+IF(AND(AND(YEAR(EH$3)=YEAR($B$7),MONTH(EH$3)=MONTH($B$7)),'Вводные'!$B$31="Капитализация в ПФ"),EG37,0),0)</x:f>
      </x:c>
      <x:c r="EI48" s="117">
        <x:f>IF(AND(EI$3&gt;=$B$7,EI$3&lt;$B$8),EH48*(1+EI41/12)+EI42+EI43+IF(AND(AND(YEAR(EI$3)=YEAR($B$7),MONTH(EI$3)=MONTH($B$7)),'Вводные'!$B$31="Капитализация в ПФ"),EH37,0),0)</x:f>
      </x:c>
      <x:c r="EJ48" s="117">
        <x:f>IF(AND(EJ$3&gt;=$B$7,EJ$3&lt;$B$8),EI48*(1+EJ41/12)+EJ42+EJ43+IF(AND(AND(YEAR(EJ$3)=YEAR($B$7),MONTH(EJ$3)=MONTH($B$7)),'Вводные'!$B$31="Капитализация в ПФ"),EI37,0),0)</x:f>
      </x:c>
      <x:c r="EK48" s="117">
        <x:f>IF(AND(EK$3&gt;=$B$7,EK$3&lt;$B$8),EJ48*(1+EK41/12)+EK42+EK43+IF(AND(AND(YEAR(EK$3)=YEAR($B$7),MONTH(EK$3)=MONTH($B$7)),'Вводные'!$B$31="Капитализация в ПФ"),EJ37,0),0)</x:f>
      </x:c>
      <x:c r="EL48" s="117">
        <x:f>IF(AND(EL$3&gt;=$B$7,EL$3&lt;$B$8),EK48*(1+EL41/12)+EL42+EL43+IF(AND(AND(YEAR(EL$3)=YEAR($B$7),MONTH(EL$3)=MONTH($B$7)),'Вводные'!$B$31="Капитализация в ПФ"),EK37,0),0)</x:f>
      </x:c>
      <x:c r="EM48" s="117">
        <x:f>IF(AND(EM$3&gt;=$B$7,EM$3&lt;$B$8),EL48*(1+EM41/12)+EM42+EM43+IF(AND(AND(YEAR(EM$3)=YEAR($B$7),MONTH(EM$3)=MONTH($B$7)),'Вводные'!$B$31="Капитализация в ПФ"),EL37,0),0)</x:f>
      </x:c>
      <x:c r="EN48" s="117">
        <x:f>IF(AND(EN$3&gt;=$B$7,EN$3&lt;$B$8),EM48*(1+EN41/12)+EN42+EN43+IF(AND(AND(YEAR(EN$3)=YEAR($B$7),MONTH(EN$3)=MONTH($B$7)),'Вводные'!$B$31="Капитализация в ПФ"),EM37,0),0)</x:f>
      </x:c>
      <x:c r="EO48" s="117">
        <x:f>IF(AND(EO$3&gt;=$B$7,EO$3&lt;$B$8),EN48*(1+EO41/12)+EO42+EO43+IF(AND(AND(YEAR(EO$3)=YEAR($B$7),MONTH(EO$3)=MONTH($B$7)),'Вводные'!$B$31="Капитализация в ПФ"),EN37,0),0)</x:f>
      </x:c>
      <x:c r="EP48" s="117">
        <x:f>IF(AND(EP$3&gt;=$B$7,EP$3&lt;$B$8),EO48*(1+EP41/12)+EP42+EP43+IF(AND(AND(YEAR(EP$3)=YEAR($B$7),MONTH(EP$3)=MONTH($B$7)),'Вводные'!$B$31="Капитализация в ПФ"),EO37,0),0)</x:f>
      </x:c>
      <x:c r="EQ48" s="117">
        <x:f>IF(AND(EQ$3&gt;=$B$7,EQ$3&lt;$B$8),EP48*(1+EQ41/12)+EQ42+EQ43+IF(AND(AND(YEAR(EQ$3)=YEAR($B$7),MONTH(EQ$3)=MONTH($B$7)),'Вводные'!$B$31="Капитализация в ПФ"),EP37,0),0)</x:f>
      </x:c>
      <x:c r="ER48" s="117">
        <x:f>IF(AND(ER$3&gt;=$B$7,ER$3&lt;$B$8),EQ48*(1+ER41/12)+ER42+ER43+IF(AND(AND(YEAR(ER$3)=YEAR($B$7),MONTH(ER$3)=MONTH($B$7)),'Вводные'!$B$31="Капитализация в ПФ"),EQ37,0),0)</x:f>
      </x:c>
      <x:c r="ES48" s="117">
        <x:f>IF(AND(ES$3&gt;=$B$7,ES$3&lt;$B$8),ER48*(1+ES41/12)+ES42+ES43+IF(AND(AND(YEAR(ES$3)=YEAR($B$7),MONTH(ES$3)=MONTH($B$7)),'Вводные'!$B$31="Капитализация в ПФ"),ER37,0),0)</x:f>
      </x:c>
      <x:c r="ET48" s="117">
        <x:f>IF(AND(ET$3&gt;=$B$7,ET$3&lt;$B$8),ES48*(1+ET41/12)+ET42+ET43+IF(AND(AND(YEAR(ET$3)=YEAR($B$7),MONTH(ET$3)=MONTH($B$7)),'Вводные'!$B$31="Капитализация в ПФ"),ES37,0),0)</x:f>
      </x:c>
      <x:c r="EU48" s="117">
        <x:f>IF(AND(EU$3&gt;=$B$7,EU$3&lt;$B$8),ET48*(1+EU41/12)+EU42+EU43+IF(AND(AND(YEAR(EU$3)=YEAR($B$7),MONTH(EU$3)=MONTH($B$7)),'Вводные'!$B$31="Капитализация в ПФ"),ET37,0),0)</x:f>
      </x:c>
      <x:c r="EV48" s="117">
        <x:f>IF(AND(EV$3&gt;=$B$7,EV$3&lt;$B$8),EU48*(1+EV41/12)+EV42+EV43+IF(AND(AND(YEAR(EV$3)=YEAR($B$7),MONTH(EV$3)=MONTH($B$7)),'Вводные'!$B$31="Капитализация в ПФ"),EU37,0),0)</x:f>
      </x:c>
      <x:c r="EW48" s="117">
        <x:f>IF(AND(EW$3&gt;=$B$7,EW$3&lt;$B$8),EV48*(1+EW41/12)+EW42+EW43+IF(AND(AND(YEAR(EW$3)=YEAR($B$7),MONTH(EW$3)=MONTH($B$7)),'Вводные'!$B$31="Капитализация в ПФ"),EV37,0),0)</x:f>
      </x:c>
      <x:c r="EX48" s="117">
        <x:f>IF(AND(EX$3&gt;=$B$7,EX$3&lt;$B$8),EW48*(1+EX41/12)+EX42+EX43+IF(AND(AND(YEAR(EX$3)=YEAR($B$7),MONTH(EX$3)=MONTH($B$7)),'Вводные'!$B$31="Капитализация в ПФ"),EW37,0),0)</x:f>
      </x:c>
      <x:c r="EY48" s="117">
        <x:f>IF(AND(EY$3&gt;=$B$7,EY$3&lt;$B$8),EX48*(1+EY41/12)+EY42+EY43+IF(AND(AND(YEAR(EY$3)=YEAR($B$7),MONTH(EY$3)=MONTH($B$7)),'Вводные'!$B$31="Капитализация в ПФ"),EX37,0),0)</x:f>
      </x:c>
      <x:c r="EZ48" s="117">
        <x:f>IF(AND(EZ$3&gt;=$B$7,EZ$3&lt;$B$8),EY48*(1+EZ41/12)+EZ42+EZ43+IF(AND(AND(YEAR(EZ$3)=YEAR($B$7),MONTH(EZ$3)=MONTH($B$7)),'Вводные'!$B$31="Капитализация в ПФ"),EY37,0),0)</x:f>
      </x:c>
      <x:c r="FA48" s="117">
        <x:f>IF(AND(FA$3&gt;=$B$7,FA$3&lt;$B$8),EZ48*(1+FA41/12)+FA42+FA43+IF(AND(AND(YEAR(FA$3)=YEAR($B$7),MONTH(FA$3)=MONTH($B$7)),'Вводные'!$B$31="Капитализация в ПФ"),EZ37,0),0)</x:f>
      </x:c>
      <x:c r="FB48" s="117">
        <x:f>IF(AND(FB$3&gt;=$B$7,FB$3&lt;$B$8),FA48*(1+FB41/12)+FB42+FB43+IF(AND(AND(YEAR(FB$3)=YEAR($B$7),MONTH(FB$3)=MONTH($B$7)),'Вводные'!$B$31="Капитализация в ПФ"),FA37,0),0)</x:f>
      </x:c>
      <x:c r="FC48" s="117">
        <x:f>IF(AND(FC$3&gt;=$B$7,FC$3&lt;$B$8),FB48*(1+FC41/12)+FC42+FC43+IF(AND(AND(YEAR(FC$3)=YEAR($B$7),MONTH(FC$3)=MONTH($B$7)),'Вводные'!$B$31="Капитализация в ПФ"),FB37,0),0)</x:f>
      </x:c>
      <x:c r="FD48" s="117">
        <x:f>IF(AND(FD$3&gt;=$B$7,FD$3&lt;$B$8),FC48*(1+FD41/12)+FD42+FD43+IF(AND(AND(YEAR(FD$3)=YEAR($B$7),MONTH(FD$3)=MONTH($B$7)),'Вводные'!$B$31="Капитализация в ПФ"),FC37,0),0)</x:f>
      </x:c>
      <x:c r="FE48" s="117">
        <x:f>IF(AND(FE$3&gt;=$B$7,FE$3&lt;$B$8),FD48*(1+FE41/12)+FE42+FE43+IF(AND(AND(YEAR(FE$3)=YEAR($B$7),MONTH(FE$3)=MONTH($B$7)),'Вводные'!$B$31="Капитализация в ПФ"),FD37,0),0)</x:f>
      </x:c>
      <x:c r="FF48" s="117">
        <x:f>IF(AND(FF$3&gt;=$B$7,FF$3&lt;$B$8),FE48*(1+FF41/12)+FF42+FF43+IF(AND(AND(YEAR(FF$3)=YEAR($B$7),MONTH(FF$3)=MONTH($B$7)),'Вводные'!$B$31="Капитализация в ПФ"),FE37,0),0)</x:f>
      </x:c>
      <x:c r="FG48" s="117">
        <x:f>IF(AND(FG$3&gt;=$B$7,FG$3&lt;$B$8),FF48*(1+FG41/12)+FG42+FG43+IF(AND(AND(YEAR(FG$3)=YEAR($B$7),MONTH(FG$3)=MONTH($B$7)),'Вводные'!$B$31="Капитализация в ПФ"),FF37,0),0)</x:f>
      </x:c>
      <x:c r="FH48" s="117">
        <x:f>IF(AND(FH$3&gt;=$B$7,FH$3&lt;$B$8),FG48*(1+FH41/12)+FH42+FH43+IF(AND(AND(YEAR(FH$3)=YEAR($B$7),MONTH(FH$3)=MONTH($B$7)),'Вводные'!$B$31="Капитализация в ПФ"),FG37,0),0)</x:f>
      </x:c>
      <x:c r="FI48" s="117">
        <x:f>IF(AND(FI$3&gt;=$B$7,FI$3&lt;$B$8),FH48*(1+FI41/12)+FI42+FI43+IF(AND(AND(YEAR(FI$3)=YEAR($B$7),MONTH(FI$3)=MONTH($B$7)),'Вводные'!$B$31="Капитализация в ПФ"),FH37,0),0)</x:f>
      </x:c>
      <x:c r="FJ48" s="117">
        <x:f>IF(AND(FJ$3&gt;=$B$7,FJ$3&lt;$B$8),FI48*(1+FJ41/12)+FJ42+FJ43+IF(AND(AND(YEAR(FJ$3)=YEAR($B$7),MONTH(FJ$3)=MONTH($B$7)),'Вводные'!$B$31="Капитализация в ПФ"),FI37,0),0)</x:f>
      </x:c>
      <x:c r="FK48" s="117">
        <x:f>IF(AND(FK$3&gt;=$B$7,FK$3&lt;$B$8),FJ48*(1+FK41/12)+FK42+FK43+IF(AND(AND(YEAR(FK$3)=YEAR($B$7),MONTH(FK$3)=MONTH($B$7)),'Вводные'!$B$31="Капитализация в ПФ"),FJ37,0),0)</x:f>
      </x:c>
      <x:c r="FL48" s="117">
        <x:f>IF(AND(FL$3&gt;=$B$7,FL$3&lt;$B$8),FK48*(1+FL41/12)+FL42+FL43+IF(AND(AND(YEAR(FL$3)=YEAR($B$7),MONTH(FL$3)=MONTH($B$7)),'Вводные'!$B$31="Капитализация в ПФ"),FK37,0),0)</x:f>
      </x:c>
      <x:c r="FM48" s="117">
        <x:f>IF(AND(FM$3&gt;=$B$7,FM$3&lt;$B$8),FL48*(1+FM41/12)+FM42+FM43+IF(AND(AND(YEAR(FM$3)=YEAR($B$7),MONTH(FM$3)=MONTH($B$7)),'Вводные'!$B$31="Капитализация в ПФ"),FL37,0),0)</x:f>
      </x:c>
      <x:c r="FN48" s="117">
        <x:f>IF(AND(FN$3&gt;=$B$7,FN$3&lt;$B$8),FM48*(1+FN41/12)+FN42+FN43+IF(AND(AND(YEAR(FN$3)=YEAR($B$7),MONTH(FN$3)=MONTH($B$7)),'Вводные'!$B$31="Капитализация в ПФ"),FM37,0),0)</x:f>
      </x:c>
      <x:c r="FO48" s="117">
        <x:f>IF(AND(FO$3&gt;=$B$7,FO$3&lt;$B$8),FN48*(1+FO41/12)+FO42+FO43+IF(AND(AND(YEAR(FO$3)=YEAR($B$7),MONTH(FO$3)=MONTH($B$7)),'Вводные'!$B$31="Капитализация в ПФ"),FN37,0),0)</x:f>
      </x:c>
      <x:c r="FP48" s="117">
        <x:f>IF(AND(FP$3&gt;=$B$7,FP$3&lt;$B$8),FO48*(1+FP41/12)+FP42+FP43+IF(AND(AND(YEAR(FP$3)=YEAR($B$7),MONTH(FP$3)=MONTH($B$7)),'Вводные'!$B$31="Капитализация в ПФ"),FO37,0),0)</x:f>
      </x:c>
      <x:c r="FQ48" s="117">
        <x:f>IF(AND(FQ$3&gt;=$B$7,FQ$3&lt;$B$8),FP48*(1+FQ41/12)+FQ42+FQ43+IF(AND(AND(YEAR(FQ$3)=YEAR($B$7),MONTH(FQ$3)=MONTH($B$7)),'Вводные'!$B$31="Капитализация в ПФ"),FP37,0),0)</x:f>
      </x:c>
      <x:c r="FR48" s="117">
        <x:f>IF(AND(FR$3&gt;=$B$7,FR$3&lt;$B$8),FQ48*(1+FR41/12)+FR42+FR43+IF(AND(AND(YEAR(FR$3)=YEAR($B$7),MONTH(FR$3)=MONTH($B$7)),'Вводные'!$B$31="Капитализация в ПФ"),FQ37,0),0)</x:f>
      </x:c>
      <x:c r="FS48" s="117">
        <x:f>IF(AND(FS$3&gt;=$B$7,FS$3&lt;$B$8),FR48*(1+FS41/12)+FS42+FS43+IF(AND(AND(YEAR(FS$3)=YEAR($B$7),MONTH(FS$3)=MONTH($B$7)),'Вводные'!$B$31="Капитализация в ПФ"),FR37,0),0)</x:f>
      </x:c>
      <x:c r="FT48" s="117">
        <x:f>IF(AND(FT$3&gt;=$B$7,FT$3&lt;$B$8),FS48*(1+FT41/12)+FT42+FT43+IF(AND(AND(YEAR(FT$3)=YEAR($B$7),MONTH(FT$3)=MONTH($B$7)),'Вводные'!$B$31="Капитализация в ПФ"),FS37,0),0)</x:f>
      </x:c>
      <x:c r="FU48" s="117">
        <x:f>IF(AND(FU$3&gt;=$B$7,FU$3&lt;$B$8),FT48*(1+FU41/12)+FU42+FU43+IF(AND(AND(YEAR(FU$3)=YEAR($B$7),MONTH(FU$3)=MONTH($B$7)),'Вводные'!$B$31="Капитализация в ПФ"),FT37,0),0)</x:f>
      </x:c>
      <x:c r="FV48" s="117">
        <x:f>IF(AND(FV$3&gt;=$B$7,FV$3&lt;$B$8),FU48*(1+FV41/12)+FV42+FV43+IF(AND(AND(YEAR(FV$3)=YEAR($B$7),MONTH(FV$3)=MONTH($B$7)),'Вводные'!$B$31="Капитализация в ПФ"),FU37,0),0)</x:f>
      </x:c>
      <x:c r="FW48" s="117">
        <x:f>IF(AND(FW$3&gt;=$B$7,FW$3&lt;$B$8),FV48*(1+FW41/12)+FW42+FW43+IF(AND(AND(YEAR(FW$3)=YEAR($B$7),MONTH(FW$3)=MONTH($B$7)),'Вводные'!$B$31="Капитализация в ПФ"),FV37,0),0)</x:f>
      </x:c>
      <x:c r="FX48" s="117">
        <x:f>IF(AND(FX$3&gt;=$B$7,FX$3&lt;$B$8),FW48*(1+FX41/12)+FX42+FX43+IF(AND(AND(YEAR(FX$3)=YEAR($B$7),MONTH(FX$3)=MONTH($B$7)),'Вводные'!$B$31="Капитализация в ПФ"),FW37,0),0)</x:f>
      </x:c>
      <x:c r="FY48" s="117">
        <x:f>IF(AND(FY$3&gt;=$B$7,FY$3&lt;$B$8),FX48*(1+FY41/12)+FY42+FY43+IF(AND(AND(YEAR(FY$3)=YEAR($B$7),MONTH(FY$3)=MONTH($B$7)),'Вводные'!$B$31="Капитализация в ПФ"),FX37,0),0)</x:f>
      </x:c>
      <x:c r="FZ48" s="117">
        <x:f>IF(AND(FZ$3&gt;=$B$7,FZ$3&lt;$B$8),FY48*(1+FZ41/12)+FZ42+FZ43+IF(AND(AND(YEAR(FZ$3)=YEAR($B$7),MONTH(FZ$3)=MONTH($B$7)),'Вводные'!$B$31="Капитализация в ПФ"),FY37,0),0)</x:f>
      </x:c>
      <x:c r="GA48" s="117">
        <x:f>IF(AND(GA$3&gt;=$B$7,GA$3&lt;$B$8),FZ48*(1+GA41/12)+GA42+GA43+IF(AND(AND(YEAR(GA$3)=YEAR($B$7),MONTH(GA$3)=MONTH($B$7)),'Вводные'!$B$31="Капитализация в ПФ"),FZ37,0),0)</x:f>
      </x:c>
    </x:row>
    <x:row r="49">
      <x:c r="A49" t="str">
        <x:v>Вклад собственного капитала</x:v>
      </x:c>
      <x:c r="B49" t="n">
        <x:f>SUM(D49:GA49)</x:f>
      </x:c>
      <x:c r="C49" t="str">
        <x:v>млн ₽</x:v>
      </x:c>
      <x:c r="D49" s="117">
        <x:f>MAX(0,D20+D24+D53+D57+D35+D46-D27-D34-D45)</x:f>
      </x:c>
      <x:c r="E49" s="117">
        <x:f>MAX(0,E20+E24+E53+E57+E35+E46-E27-E34-E45)</x:f>
      </x:c>
      <x:c r="F49" s="117">
        <x:f>MAX(0,F20+F24+F53+F57+F35+F46-F27-F34-F45)</x:f>
      </x:c>
      <x:c r="G49" s="117">
        <x:f>MAX(0,G20+G24+G53+G57+G35+G46-G27-G34-G45)</x:f>
      </x:c>
      <x:c r="H49" s="117">
        <x:f>MAX(0,H20+H24+H53+H57+H35+H46-H27-H34-H45)</x:f>
      </x:c>
      <x:c r="I49" s="117">
        <x:f>MAX(0,I20+I24+I53+I57+I35+I46-I27-I34-I45)</x:f>
      </x:c>
      <x:c r="J49" s="117">
        <x:f>MAX(0,J20+J24+J53+J57+J35+J46-J27-J34-J45)</x:f>
      </x:c>
      <x:c r="K49" s="117">
        <x:f>MAX(0,K20+K24+K53+K57+K35+K46-K27-K34-K45)</x:f>
      </x:c>
      <x:c r="L49" s="117">
        <x:f>MAX(0,L20+L24+L53+L57+L35+L46-L27-L34-L45)</x:f>
      </x:c>
      <x:c r="M49" s="117">
        <x:f>MAX(0,M20+M24+M53+M57+M35+M46-M27-M34-M45)</x:f>
      </x:c>
      <x:c r="N49" s="117">
        <x:f>MAX(0,N20+N24+N53+N57+N35+N46-N27-N34-N45)</x:f>
      </x:c>
      <x:c r="O49" s="117">
        <x:f>MAX(0,O20+O24+O53+O57+O35+O46-O27-O34-O45)</x:f>
      </x:c>
      <x:c r="P49" s="117">
        <x:f>MAX(0,P20+P24+P53+P57+P35+P46-P27-P34-P45)</x:f>
      </x:c>
      <x:c r="Q49" s="117">
        <x:f>MAX(0,Q20+Q24+Q53+Q57+Q35+Q46-Q27-Q34-Q45)</x:f>
      </x:c>
      <x:c r="R49" s="117">
        <x:f>MAX(0,R20+R24+R53+R57+R35+R46-R27-R34-R45)</x:f>
      </x:c>
      <x:c r="S49" s="117">
        <x:f>MAX(0,S20+S24+S53+S57+S35+S46-S27-S34-S45)</x:f>
      </x:c>
      <x:c r="T49" s="117">
        <x:f>MAX(0,T20+T24+T53+T57+T35+T46-T27-T34-T45)</x:f>
      </x:c>
      <x:c r="U49" s="117">
        <x:f>MAX(0,U20+U24+U53+U57+U35+U46-U27-U34-U45)</x:f>
      </x:c>
      <x:c r="V49" s="117">
        <x:f>MAX(0,V20+V24+V53+V57+V35+V46-V27-V34-V45)</x:f>
      </x:c>
      <x:c r="W49" s="117">
        <x:f>MAX(0,W20+W24+W53+W57+W35+W46-W27-W34-W45)</x:f>
      </x:c>
      <x:c r="X49" s="117">
        <x:f>MAX(0,X20+X24+X53+X57+X35+X46-X27-X34-X45)</x:f>
      </x:c>
      <x:c r="Y49" s="117">
        <x:f>MAX(0,Y20+Y24+Y53+Y57+Y35+Y46-Y27-Y34-Y45)</x:f>
      </x:c>
      <x:c r="Z49" s="117">
        <x:f>MAX(0,Z20+Z24+Z53+Z57+Z35+Z46-Z27-Z34-Z45)</x:f>
      </x:c>
      <x:c r="AA49" s="117">
        <x:f>MAX(0,AA20+AA24+AA53+AA57+AA35+AA46-AA27-AA34-AA45)</x:f>
      </x:c>
      <x:c r="AB49" s="117">
        <x:f>MAX(0,AB20+AB24+AB53+AB57+AB35+AB46-AB27-AB34-AB45)</x:f>
      </x:c>
      <x:c r="AC49" s="117">
        <x:f>MAX(0,AC20+AC24+AC53+AC57+AC35+AC46-AC27-AC34-AC45)</x:f>
      </x:c>
      <x:c r="AD49" s="117">
        <x:f>MAX(0,AD20+AD24+AD53+AD57+AD35+AD46-AD27-AD34-AD45)</x:f>
      </x:c>
      <x:c r="AE49" s="117">
        <x:f>MAX(0,AE20+AE24+AE53+AE57+AE35+AE46-AE27-AE34-AE45)</x:f>
      </x:c>
      <x:c r="AF49" s="117">
        <x:f>MAX(0,AF20+AF24+AF53+AF57+AF35+AF46-AF27-AF34-AF45)</x:f>
      </x:c>
      <x:c r="AG49" s="117">
        <x:f>MAX(0,AG20+AG24+AG53+AG57+AG35+AG46-AG27-AG34-AG45)</x:f>
      </x:c>
      <x:c r="AH49" s="117">
        <x:f>MAX(0,AH20+AH24+AH53+AH57+AH35+AH46-AH27-AH34-AH45)</x:f>
      </x:c>
      <x:c r="AI49" s="117">
        <x:f>MAX(0,AI20+AI24+AI53+AI57+AI35+AI46-AI27-AI34-AI45)</x:f>
      </x:c>
      <x:c r="AJ49" s="117">
        <x:f>MAX(0,AJ20+AJ24+AJ53+AJ57+AJ35+AJ46-AJ27-AJ34-AJ45)</x:f>
      </x:c>
      <x:c r="AK49" s="117">
        <x:f>MAX(0,AK20+AK24+AK53+AK57+AK35+AK46-AK27-AK34-AK45)</x:f>
      </x:c>
      <x:c r="AL49" s="117">
        <x:f>MAX(0,AL20+AL24+AL53+AL57+AL35+AL46-AL27-AL34-AL45)</x:f>
      </x:c>
      <x:c r="AM49" s="117">
        <x:f>MAX(0,AM20+AM24+AM53+AM57+AM35+AM46-AM27-AM34-AM45)</x:f>
      </x:c>
      <x:c r="AN49" s="117">
        <x:f>MAX(0,AN20+AN24+AN53+AN57+AN35+AN46-AN27-AN34-AN45)</x:f>
      </x:c>
      <x:c r="AO49" s="117">
        <x:f>MAX(0,AO20+AO24+AO53+AO57+AO35+AO46-AO27-AO34-AO45)</x:f>
      </x:c>
      <x:c r="AP49" s="117">
        <x:f>MAX(0,AP20+AP24+AP53+AP57+AP35+AP46-AP27-AP34-AP45)</x:f>
      </x:c>
      <x:c r="AQ49" s="117">
        <x:f>MAX(0,AQ20+AQ24+AQ53+AQ57+AQ35+AQ46-AQ27-AQ34-AQ45)</x:f>
      </x:c>
      <x:c r="AR49" s="117">
        <x:f>MAX(0,AR20+AR24+AR53+AR57+AR35+AR46-AR27-AR34-AR45)</x:f>
      </x:c>
      <x:c r="AS49" s="117">
        <x:f>MAX(0,AS20+AS24+AS53+AS57+AS35+AS46-AS27-AS34-AS45)</x:f>
      </x:c>
      <x:c r="AT49" s="117">
        <x:f>MAX(0,AT20+AT24+AT53+AT57+AT35+AT46-AT27-AT34-AT45)</x:f>
      </x:c>
      <x:c r="AU49" s="117">
        <x:f>MAX(0,AU20+AU24+AU53+AU57+AU35+AU46-AU27-AU34-AU45)</x:f>
      </x:c>
      <x:c r="AV49" s="117">
        <x:f>MAX(0,AV20+AV24+AV53+AV57+AV35+AV46-AV27-AV34-AV45)</x:f>
      </x:c>
      <x:c r="AW49" s="117">
        <x:f>MAX(0,AW20+AW24+AW53+AW57+AW35+AW46-AW27-AW34-AW45)</x:f>
      </x:c>
      <x:c r="AX49" s="117">
        <x:f>MAX(0,AX20+AX24+AX53+AX57+AX35+AX46-AX27-AX34-AX45)</x:f>
      </x:c>
      <x:c r="AY49" s="117">
        <x:f>MAX(0,AY20+AY24+AY53+AY57+AY35+AY46-AY27-AY34-AY45)</x:f>
      </x:c>
      <x:c r="AZ49" s="117">
        <x:f>MAX(0,AZ20+AZ24+AZ53+AZ57+AZ35+AZ46-AZ27-AZ34-AZ45)</x:f>
      </x:c>
      <x:c r="BA49" s="117">
        <x:f>MAX(0,BA20+BA24+BA53+BA57+BA35+BA46-BA27-BA34-BA45)</x:f>
      </x:c>
      <x:c r="BB49" s="117">
        <x:f>MAX(0,BB20+BB24+BB53+BB57+BB35+BB46-BB27-BB34-BB45)</x:f>
      </x:c>
      <x:c r="BC49" s="117">
        <x:f>MAX(0,BC20+BC24+BC53+BC57+BC35+BC46-BC27-BC34-BC45)</x:f>
      </x:c>
      <x:c r="BD49" s="117">
        <x:f>MAX(0,BD20+BD24+BD53+BD57+BD35+BD46-BD27-BD34-BD45)</x:f>
      </x:c>
      <x:c r="BE49" s="117">
        <x:f>MAX(0,BE20+BE24+BE53+BE57+BE35+BE46-BE27-BE34-BE45)</x:f>
      </x:c>
      <x:c r="BF49" s="117">
        <x:f>MAX(0,BF20+BF24+BF53+BF57+BF35+BF46-BF27-BF34-BF45)</x:f>
      </x:c>
      <x:c r="BG49" s="117">
        <x:f>MAX(0,BG20+BG24+BG53+BG57+BG35+BG46-BG27-BG34-BG45)</x:f>
      </x:c>
      <x:c r="BH49" s="117">
        <x:f>MAX(0,BH20+BH24+BH53+BH57+BH35+BH46-BH27-BH34-BH45)</x:f>
      </x:c>
      <x:c r="BI49" s="117">
        <x:f>MAX(0,BI20+BI24+BI53+BI57+BI35+BI46-BI27-BI34-BI45)</x:f>
      </x:c>
      <x:c r="BJ49" s="117">
        <x:f>MAX(0,BJ20+BJ24+BJ53+BJ57+BJ35+BJ46-BJ27-BJ34-BJ45)</x:f>
      </x:c>
      <x:c r="BK49" s="117">
        <x:f>MAX(0,BK20+BK24+BK53+BK57+BK35+BK46-BK27-BK34-BK45)</x:f>
      </x:c>
      <x:c r="BL49" s="117">
        <x:f>MAX(0,BL20+BL24+BL53+BL57+BL35+BL46-BL27-BL34-BL45)</x:f>
      </x:c>
      <x:c r="BM49" s="117">
        <x:f>MAX(0,BM20+BM24+BM53+BM57+BM35+BM46-BM27-BM34-BM45)</x:f>
      </x:c>
      <x:c r="BN49" s="117">
        <x:f>MAX(0,BN20+BN24+BN53+BN57+BN35+BN46-BN27-BN34-BN45)</x:f>
      </x:c>
      <x:c r="BO49" s="117">
        <x:f>MAX(0,BO20+BO24+BO53+BO57+BO35+BO46-BO27-BO34-BO45)</x:f>
      </x:c>
      <x:c r="BP49" s="117">
        <x:f>MAX(0,BP20+BP24+BP53+BP57+BP35+BP46-BP27-BP34-BP45)</x:f>
      </x:c>
      <x:c r="BQ49" s="117">
        <x:f>MAX(0,BQ20+BQ24+BQ53+BQ57+BQ35+BQ46-BQ27-BQ34-BQ45)</x:f>
      </x:c>
      <x:c r="BR49" s="117">
        <x:f>MAX(0,BR20+BR24+BR53+BR57+BR35+BR46-BR27-BR34-BR45)</x:f>
      </x:c>
      <x:c r="BS49" s="117">
        <x:f>MAX(0,BS20+BS24+BS53+BS57+BS35+BS46-BS27-BS34-BS45)</x:f>
      </x:c>
      <x:c r="BT49" s="117">
        <x:f>MAX(0,BT20+BT24+BT53+BT57+BT35+BT46-BT27-BT34-BT45)</x:f>
      </x:c>
      <x:c r="BU49" s="117">
        <x:f>MAX(0,BU20+BU24+BU53+BU57+BU35+BU46-BU27-BU34-BU45)</x:f>
      </x:c>
      <x:c r="BV49" s="117">
        <x:f>MAX(0,BV20+BV24+BV53+BV57+BV35+BV46-BV27-BV34-BV45)</x:f>
      </x:c>
      <x:c r="BW49" s="117">
        <x:f>MAX(0,BW20+BW24+BW53+BW57+BW35+BW46-BW27-BW34-BW45)</x:f>
      </x:c>
      <x:c r="BX49" s="117">
        <x:f>MAX(0,BX20+BX24+BX53+BX57+BX35+BX46-BX27-BX34-BX45)</x:f>
      </x:c>
      <x:c r="BY49" s="117">
        <x:f>MAX(0,BY20+BY24+BY53+BY57+BY35+BY46-BY27-BY34-BY45)</x:f>
      </x:c>
      <x:c r="BZ49" s="117">
        <x:f>MAX(0,BZ20+BZ24+BZ53+BZ57+BZ35+BZ46-BZ27-BZ34-BZ45)</x:f>
      </x:c>
      <x:c r="CA49" s="117">
        <x:f>MAX(0,CA20+CA24+CA53+CA57+CA35+CA46-CA27-CA34-CA45)</x:f>
      </x:c>
      <x:c r="CB49" s="117">
        <x:f>MAX(0,CB20+CB24+CB53+CB57+CB35+CB46-CB27-CB34-CB45)</x:f>
      </x:c>
      <x:c r="CC49" s="117">
        <x:f>MAX(0,CC20+CC24+CC53+CC57+CC35+CC46-CC27-CC34-CC45)</x:f>
      </x:c>
      <x:c r="CD49" s="117">
        <x:f>MAX(0,CD20+CD24+CD53+CD57+CD35+CD46-CD27-CD34-CD45)</x:f>
      </x:c>
      <x:c r="CE49" s="117">
        <x:f>MAX(0,CE20+CE24+CE53+CE57+CE35+CE46-CE27-CE34-CE45)</x:f>
      </x:c>
      <x:c r="CF49" s="117">
        <x:f>MAX(0,CF20+CF24+CF53+CF57+CF35+CF46-CF27-CF34-CF45)</x:f>
      </x:c>
      <x:c r="CG49" s="117">
        <x:f>MAX(0,CG20+CG24+CG53+CG57+CG35+CG46-CG27-CG34-CG45)</x:f>
      </x:c>
      <x:c r="CH49" s="117">
        <x:f>MAX(0,CH20+CH24+CH53+CH57+CH35+CH46-CH27-CH34-CH45)</x:f>
      </x:c>
      <x:c r="CI49" s="117">
        <x:f>MAX(0,CI20+CI24+CI53+CI57+CI35+CI46-CI27-CI34-CI45)</x:f>
      </x:c>
      <x:c r="CJ49" s="117">
        <x:f>MAX(0,CJ20+CJ24+CJ53+CJ57+CJ35+CJ46-CJ27-CJ34-CJ45)</x:f>
      </x:c>
      <x:c r="CK49" s="117">
        <x:f>MAX(0,CK20+CK24+CK53+CK57+CK35+CK46-CK27-CK34-CK45)</x:f>
      </x:c>
      <x:c r="CL49" s="117">
        <x:f>MAX(0,CL20+CL24+CL53+CL57+CL35+CL46-CL27-CL34-CL45)</x:f>
      </x:c>
      <x:c r="CM49" s="117">
        <x:f>MAX(0,CM20+CM24+CM53+CM57+CM35+CM46-CM27-CM34-CM45)</x:f>
      </x:c>
      <x:c r="CN49" s="117">
        <x:f>MAX(0,CN20+CN24+CN53+CN57+CN35+CN46-CN27-CN34-CN45)</x:f>
      </x:c>
      <x:c r="CO49" s="117">
        <x:f>MAX(0,CO20+CO24+CO53+CO57+CO35+CO46-CO27-CO34-CO45)</x:f>
      </x:c>
      <x:c r="CP49" s="117">
        <x:f>MAX(0,CP20+CP24+CP53+CP57+CP35+CP46-CP27-CP34-CP45)</x:f>
      </x:c>
      <x:c r="CQ49" s="117">
        <x:f>MAX(0,CQ20+CQ24+CQ53+CQ57+CQ35+CQ46-CQ27-CQ34-CQ45)</x:f>
      </x:c>
      <x:c r="CR49" s="117">
        <x:f>MAX(0,CR20+CR24+CR53+CR57+CR35+CR46-CR27-CR34-CR45)</x:f>
      </x:c>
      <x:c r="CS49" s="117">
        <x:f>MAX(0,CS20+CS24+CS53+CS57+CS35+CS46-CS27-CS34-CS45)</x:f>
      </x:c>
      <x:c r="CT49" s="117">
        <x:f>MAX(0,CT20+CT24+CT53+CT57+CT35+CT46-CT27-CT34-CT45)</x:f>
      </x:c>
      <x:c r="CU49" s="117">
        <x:f>MAX(0,CU20+CU24+CU53+CU57+CU35+CU46-CU27-CU34-CU45)</x:f>
      </x:c>
      <x:c r="CV49" s="117">
        <x:f>MAX(0,CV20+CV24+CV53+CV57+CV35+CV46-CV27-CV34-CV45)</x:f>
      </x:c>
      <x:c r="CW49" s="117">
        <x:f>MAX(0,CW20+CW24+CW53+CW57+CW35+CW46-CW27-CW34-CW45)</x:f>
      </x:c>
      <x:c r="CX49" s="117">
        <x:f>MAX(0,CX20+CX24+CX53+CX57+CX35+CX46-CX27-CX34-CX45)</x:f>
      </x:c>
      <x:c r="CY49" s="117">
        <x:f>MAX(0,CY20+CY24+CY53+CY57+CY35+CY46-CY27-CY34-CY45)</x:f>
      </x:c>
      <x:c r="CZ49" s="117">
        <x:f>MAX(0,CZ20+CZ24+CZ53+CZ57+CZ35+CZ46-CZ27-CZ34-CZ45)</x:f>
      </x:c>
      <x:c r="DA49" s="117">
        <x:f>MAX(0,DA20+DA24+DA53+DA57+DA35+DA46-DA27-DA34-DA45)</x:f>
      </x:c>
      <x:c r="DB49" s="117">
        <x:f>MAX(0,DB20+DB24+DB53+DB57+DB35+DB46-DB27-DB34-DB45)</x:f>
      </x:c>
      <x:c r="DC49" s="117">
        <x:f>MAX(0,DC20+DC24+DC53+DC57+DC35+DC46-DC27-DC34-DC45)</x:f>
      </x:c>
      <x:c r="DD49" s="117">
        <x:f>MAX(0,DD20+DD24+DD53+DD57+DD35+DD46-DD27-DD34-DD45)</x:f>
      </x:c>
      <x:c r="DE49" s="117">
        <x:f>MAX(0,DE20+DE24+DE53+DE57+DE35+DE46-DE27-DE34-DE45)</x:f>
      </x:c>
      <x:c r="DF49" s="117">
        <x:f>MAX(0,DF20+DF24+DF53+DF57+DF35+DF46-DF27-DF34-DF45)</x:f>
      </x:c>
      <x:c r="DG49" s="117">
        <x:f>MAX(0,DG20+DG24+DG53+DG57+DG35+DG46-DG27-DG34-DG45)</x:f>
      </x:c>
      <x:c r="DH49" s="117">
        <x:f>MAX(0,DH20+DH24+DH53+DH57+DH35+DH46-DH27-DH34-DH45)</x:f>
      </x:c>
      <x:c r="DI49" s="117">
        <x:f>MAX(0,DI20+DI24+DI53+DI57+DI35+DI46-DI27-DI34-DI45)</x:f>
      </x:c>
      <x:c r="DJ49" s="117">
        <x:f>MAX(0,DJ20+DJ24+DJ53+DJ57+DJ35+DJ46-DJ27-DJ34-DJ45)</x:f>
      </x:c>
      <x:c r="DK49" s="117">
        <x:f>MAX(0,DK20+DK24+DK53+DK57+DK35+DK46-DK27-DK34-DK45)</x:f>
      </x:c>
      <x:c r="DL49" s="117">
        <x:f>MAX(0,DL20+DL24+DL53+DL57+DL35+DL46-DL27-DL34-DL45)</x:f>
      </x:c>
      <x:c r="DM49" s="117">
        <x:f>MAX(0,DM20+DM24+DM53+DM57+DM35+DM46-DM27-DM34-DM45)</x:f>
      </x:c>
      <x:c r="DN49" s="117">
        <x:f>MAX(0,DN20+DN24+DN53+DN57+DN35+DN46-DN27-DN34-DN45)</x:f>
      </x:c>
      <x:c r="DO49" s="117">
        <x:f>MAX(0,DO20+DO24+DO53+DO57+DO35+DO46-DO27-DO34-DO45)</x:f>
      </x:c>
      <x:c r="DP49" s="117">
        <x:f>MAX(0,DP20+DP24+DP53+DP57+DP35+DP46-DP27-DP34-DP45)</x:f>
      </x:c>
      <x:c r="DQ49" s="117">
        <x:f>MAX(0,DQ20+DQ24+DQ53+DQ57+DQ35+DQ46-DQ27-DQ34-DQ45)</x:f>
      </x:c>
      <x:c r="DR49" s="117">
        <x:f>MAX(0,DR20+DR24+DR53+DR57+DR35+DR46-DR27-DR34-DR45)</x:f>
      </x:c>
      <x:c r="DS49" s="117">
        <x:f>MAX(0,DS20+DS24+DS53+DS57+DS35+DS46-DS27-DS34-DS45)</x:f>
      </x:c>
      <x:c r="DT49" s="117">
        <x:f>MAX(0,DT20+DT24+DT53+DT57+DT35+DT46-DT27-DT34-DT45)</x:f>
      </x:c>
      <x:c r="DU49" s="117">
        <x:f>MAX(0,DU20+DU24+DU53+DU57+DU35+DU46-DU27-DU34-DU45)</x:f>
      </x:c>
      <x:c r="DV49" s="117">
        <x:f>MAX(0,DV20+DV24+DV53+DV57+DV35+DV46-DV27-DV34-DV45)</x:f>
      </x:c>
      <x:c r="DW49" s="117">
        <x:f>MAX(0,DW20+DW24+DW53+DW57+DW35+DW46-DW27-DW34-DW45)</x:f>
      </x:c>
      <x:c r="DX49" s="117">
        <x:f>MAX(0,DX20+DX24+DX53+DX57+DX35+DX46-DX27-DX34-DX45)</x:f>
      </x:c>
      <x:c r="DY49" s="117">
        <x:f>MAX(0,DY20+DY24+DY53+DY57+DY35+DY46-DY27-DY34-DY45)</x:f>
      </x:c>
      <x:c r="DZ49" s="117">
        <x:f>MAX(0,DZ20+DZ24+DZ53+DZ57+DZ35+DZ46-DZ27-DZ34-DZ45)</x:f>
      </x:c>
      <x:c r="EA49" s="117">
        <x:f>MAX(0,EA20+EA24+EA53+EA57+EA35+EA46-EA27-EA34-EA45)</x:f>
      </x:c>
      <x:c r="EB49" s="117">
        <x:f>MAX(0,EB20+EB24+EB53+EB57+EB35+EB46-EB27-EB34-EB45)</x:f>
      </x:c>
      <x:c r="EC49" s="117">
        <x:f>MAX(0,EC20+EC24+EC53+EC57+EC35+EC46-EC27-EC34-EC45)</x:f>
      </x:c>
      <x:c r="ED49" s="117">
        <x:f>MAX(0,ED20+ED24+ED53+ED57+ED35+ED46-ED27-ED34-ED45)</x:f>
      </x:c>
      <x:c r="EE49" s="117">
        <x:f>MAX(0,EE20+EE24+EE53+EE57+EE35+EE46-EE27-EE34-EE45)</x:f>
      </x:c>
      <x:c r="EF49" s="117">
        <x:f>MAX(0,EF20+EF24+EF53+EF57+EF35+EF46-EF27-EF34-EF45)</x:f>
      </x:c>
      <x:c r="EG49" s="117">
        <x:f>MAX(0,EG20+EG24+EG53+EG57+EG35+EG46-EG27-EG34-EG45)</x:f>
      </x:c>
      <x:c r="EH49" s="117">
        <x:f>MAX(0,EH20+EH24+EH53+EH57+EH35+EH46-EH27-EH34-EH45)</x:f>
      </x:c>
      <x:c r="EI49" s="117">
        <x:f>MAX(0,EI20+EI24+EI53+EI57+EI35+EI46-EI27-EI34-EI45)</x:f>
      </x:c>
      <x:c r="EJ49" s="117">
        <x:f>MAX(0,EJ20+EJ24+EJ53+EJ57+EJ35+EJ46-EJ27-EJ34-EJ45)</x:f>
      </x:c>
      <x:c r="EK49" s="117">
        <x:f>MAX(0,EK20+EK24+EK53+EK57+EK35+EK46-EK27-EK34-EK45)</x:f>
      </x:c>
      <x:c r="EL49" s="117">
        <x:f>MAX(0,EL20+EL24+EL53+EL57+EL35+EL46-EL27-EL34-EL45)</x:f>
      </x:c>
      <x:c r="EM49" s="117">
        <x:f>MAX(0,EM20+EM24+EM53+EM57+EM35+EM46-EM27-EM34-EM45)</x:f>
      </x:c>
      <x:c r="EN49" s="117">
        <x:f>MAX(0,EN20+EN24+EN53+EN57+EN35+EN46-EN27-EN34-EN45)</x:f>
      </x:c>
      <x:c r="EO49" s="117">
        <x:f>MAX(0,EO20+EO24+EO53+EO57+EO35+EO46-EO27-EO34-EO45)</x:f>
      </x:c>
      <x:c r="EP49" s="117">
        <x:f>MAX(0,EP20+EP24+EP53+EP57+EP35+EP46-EP27-EP34-EP45)</x:f>
      </x:c>
      <x:c r="EQ49" s="117">
        <x:f>MAX(0,EQ20+EQ24+EQ53+EQ57+EQ35+EQ46-EQ27-EQ34-EQ45)</x:f>
      </x:c>
      <x:c r="ER49" s="117">
        <x:f>MAX(0,ER20+ER24+ER53+ER57+ER35+ER46-ER27-ER34-ER45)</x:f>
      </x:c>
      <x:c r="ES49" s="117">
        <x:f>MAX(0,ES20+ES24+ES53+ES57+ES35+ES46-ES27-ES34-ES45)</x:f>
      </x:c>
      <x:c r="ET49" s="117">
        <x:f>MAX(0,ET20+ET24+ET53+ET57+ET35+ET46-ET27-ET34-ET45)</x:f>
      </x:c>
      <x:c r="EU49" s="117">
        <x:f>MAX(0,EU20+EU24+EU53+EU57+EU35+EU46-EU27-EU34-EU45)</x:f>
      </x:c>
      <x:c r="EV49" s="117">
        <x:f>MAX(0,EV20+EV24+EV53+EV57+EV35+EV46-EV27-EV34-EV45)</x:f>
      </x:c>
      <x:c r="EW49" s="117">
        <x:f>MAX(0,EW20+EW24+EW53+EW57+EW35+EW46-EW27-EW34-EW45)</x:f>
      </x:c>
      <x:c r="EX49" s="117">
        <x:f>MAX(0,EX20+EX24+EX53+EX57+EX35+EX46-EX27-EX34-EX45)</x:f>
      </x:c>
      <x:c r="EY49" s="117">
        <x:f>MAX(0,EY20+EY24+EY53+EY57+EY35+EY46-EY27-EY34-EY45)</x:f>
      </x:c>
      <x:c r="EZ49" s="117">
        <x:f>MAX(0,EZ20+EZ24+EZ53+EZ57+EZ35+EZ46-EZ27-EZ34-EZ45)</x:f>
      </x:c>
      <x:c r="FA49" s="117">
        <x:f>MAX(0,FA20+FA24+FA53+FA57+FA35+FA46-FA27-FA34-FA45)</x:f>
      </x:c>
      <x:c r="FB49" s="117">
        <x:f>MAX(0,FB20+FB24+FB53+FB57+FB35+FB46-FB27-FB34-FB45)</x:f>
      </x:c>
      <x:c r="FC49" s="117">
        <x:f>MAX(0,FC20+FC24+FC53+FC57+FC35+FC46-FC27-FC34-FC45)</x:f>
      </x:c>
      <x:c r="FD49" s="117">
        <x:f>MAX(0,FD20+FD24+FD53+FD57+FD35+FD46-FD27-FD34-FD45)</x:f>
      </x:c>
      <x:c r="FE49" s="117">
        <x:f>MAX(0,FE20+FE24+FE53+FE57+FE35+FE46-FE27-FE34-FE45)</x:f>
      </x:c>
      <x:c r="FF49" s="117">
        <x:f>MAX(0,FF20+FF24+FF53+FF57+FF35+FF46-FF27-FF34-FF45)</x:f>
      </x:c>
      <x:c r="FG49" s="117">
        <x:f>MAX(0,FG20+FG24+FG53+FG57+FG35+FG46-FG27-FG34-FG45)</x:f>
      </x:c>
      <x:c r="FH49" s="117">
        <x:f>MAX(0,FH20+FH24+FH53+FH57+FH35+FH46-FH27-FH34-FH45)</x:f>
      </x:c>
      <x:c r="FI49" s="117">
        <x:f>MAX(0,FI20+FI24+FI53+FI57+FI35+FI46-FI27-FI34-FI45)</x:f>
      </x:c>
      <x:c r="FJ49" s="117">
        <x:f>MAX(0,FJ20+FJ24+FJ53+FJ57+FJ35+FJ46-FJ27-FJ34-FJ45)</x:f>
      </x:c>
      <x:c r="FK49" s="117">
        <x:f>MAX(0,FK20+FK24+FK53+FK57+FK35+FK46-FK27-FK34-FK45)</x:f>
      </x:c>
      <x:c r="FL49" s="117">
        <x:f>MAX(0,FL20+FL24+FL53+FL57+FL35+FL46-FL27-FL34-FL45)</x:f>
      </x:c>
      <x:c r="FM49" s="117">
        <x:f>MAX(0,FM20+FM24+FM53+FM57+FM35+FM46-FM27-FM34-FM45)</x:f>
      </x:c>
      <x:c r="FN49" s="117">
        <x:f>MAX(0,FN20+FN24+FN53+FN57+FN35+FN46-FN27-FN34-FN45)</x:f>
      </x:c>
      <x:c r="FO49" s="117">
        <x:f>MAX(0,FO20+FO24+FO53+FO57+FO35+FO46-FO27-FO34-FO45)</x:f>
      </x:c>
      <x:c r="FP49" s="117">
        <x:f>MAX(0,FP20+FP24+FP53+FP57+FP35+FP46-FP27-FP34-FP45)</x:f>
      </x:c>
      <x:c r="FQ49" s="117">
        <x:f>MAX(0,FQ20+FQ24+FQ53+FQ57+FQ35+FQ46-FQ27-FQ34-FQ45)</x:f>
      </x:c>
      <x:c r="FR49" s="117">
        <x:f>MAX(0,FR20+FR24+FR53+FR57+FR35+FR46-FR27-FR34-FR45)</x:f>
      </x:c>
      <x:c r="FS49" s="117">
        <x:f>MAX(0,FS20+FS24+FS53+FS57+FS35+FS46-FS27-FS34-FS45)</x:f>
      </x:c>
      <x:c r="FT49" s="117">
        <x:f>MAX(0,FT20+FT24+FT53+FT57+FT35+FT46-FT27-FT34-FT45)</x:f>
      </x:c>
      <x:c r="FU49" s="117">
        <x:f>MAX(0,FU20+FU24+FU53+FU57+FU35+FU46-FU27-FU34-FU45)</x:f>
      </x:c>
      <x:c r="FV49" s="117">
        <x:f>MAX(0,FV20+FV24+FV53+FV57+FV35+FV46-FV27-FV34-FV45)</x:f>
      </x:c>
      <x:c r="FW49" s="117">
        <x:f>MAX(0,FW20+FW24+FW53+FW57+FW35+FW46-FW27-FW34-FW45)</x:f>
      </x:c>
      <x:c r="FX49" s="117">
        <x:f>MAX(0,FX20+FX24+FX53+FX57+FX35+FX46-FX27-FX34-FX45)</x:f>
      </x:c>
      <x:c r="FY49" s="117">
        <x:f>MAX(0,FY20+FY24+FY53+FY57+FY35+FY46-FY27-FY34-FY45)</x:f>
      </x:c>
      <x:c r="FZ49" s="117">
        <x:f>MAX(0,FZ20+FZ24+FZ53+FZ57+FZ35+FZ46-FZ27-FZ34-FZ45)</x:f>
      </x:c>
      <x:c r="GA49" s="117">
        <x:f>MAX(0,GA20+GA24+GA53+GA57+GA35+GA46-GA27-GA34-GA45)</x:f>
      </x:c>
    </x:row>
    <x:row r="50">
      <x:c r="A50" t="str">
        <x:v>Распределение собственнику</x:v>
      </x:c>
      <x:c r="B50" t="n">
        <x:f>SUM(D50:GA50)</x:f>
      </x:c>
      <x:c r="C50" t="str">
        <x:v>млн ₽</x:v>
      </x:c>
      <x:c r="D50" s="117">
        <x:f>MAX(0,D27+D34+D45-D20-D24-D53-D57-D35-D46)</x:f>
      </x:c>
      <x:c r="E50" s="117">
        <x:f>MAX(0,E27+E34+E45-E20-E24-E53-E57-E35-E46)</x:f>
      </x:c>
      <x:c r="F50" s="117">
        <x:f>MAX(0,F27+F34+F45-F20-F24-F53-F57-F35-F46)</x:f>
      </x:c>
      <x:c r="G50" s="117">
        <x:f>MAX(0,G27+G34+G45-G20-G24-G53-G57-G35-G46)</x:f>
      </x:c>
      <x:c r="H50" s="117">
        <x:f>MAX(0,H27+H34+H45-H20-H24-H53-H57-H35-H46)</x:f>
      </x:c>
      <x:c r="I50" s="117">
        <x:f>MAX(0,I27+I34+I45-I20-I24-I53-I57-I35-I46)</x:f>
      </x:c>
      <x:c r="J50" s="117">
        <x:f>MAX(0,J27+J34+J45-J20-J24-J53-J57-J35-J46)</x:f>
      </x:c>
      <x:c r="K50" s="117">
        <x:f>MAX(0,K27+K34+K45-K20-K24-K53-K57-K35-K46)</x:f>
      </x:c>
      <x:c r="L50" s="117">
        <x:f>MAX(0,L27+L34+L45-L20-L24-L53-L57-L35-L46)</x:f>
      </x:c>
      <x:c r="M50" s="117">
        <x:f>MAX(0,M27+M34+M45-M20-M24-M53-M57-M35-M46)</x:f>
      </x:c>
      <x:c r="N50" s="117">
        <x:f>MAX(0,N27+N34+N45-N20-N24-N53-N57-N35-N46)</x:f>
      </x:c>
      <x:c r="O50" s="117">
        <x:f>MAX(0,O27+O34+O45-O20-O24-O53-O57-O35-O46)</x:f>
      </x:c>
      <x:c r="P50" s="117">
        <x:f>MAX(0,P27+P34+P45-P20-P24-P53-P57-P35-P46)</x:f>
      </x:c>
      <x:c r="Q50" s="117">
        <x:f>MAX(0,Q27+Q34+Q45-Q20-Q24-Q53-Q57-Q35-Q46)</x:f>
      </x:c>
      <x:c r="R50" s="117">
        <x:f>MAX(0,R27+R34+R45-R20-R24-R53-R57-R35-R46)</x:f>
      </x:c>
      <x:c r="S50" s="117">
        <x:f>MAX(0,S27+S34+S45-S20-S24-S53-S57-S35-S46)</x:f>
      </x:c>
      <x:c r="T50" s="117">
        <x:f>MAX(0,T27+T34+T45-T20-T24-T53-T57-T35-T46)</x:f>
      </x:c>
      <x:c r="U50" s="117">
        <x:f>MAX(0,U27+U34+U45-U20-U24-U53-U57-U35-U46)</x:f>
      </x:c>
      <x:c r="V50" s="117">
        <x:f>MAX(0,V27+V34+V45-V20-V24-V53-V57-V35-V46)</x:f>
      </x:c>
      <x:c r="W50" s="117">
        <x:f>MAX(0,W27+W34+W45-W20-W24-W53-W57-W35-W46)</x:f>
      </x:c>
      <x:c r="X50" s="117">
        <x:f>MAX(0,X27+X34+X45-X20-X24-X53-X57-X35-X46)</x:f>
      </x:c>
      <x:c r="Y50" s="117">
        <x:f>MAX(0,Y27+Y34+Y45-Y20-Y24-Y53-Y57-Y35-Y46)</x:f>
      </x:c>
      <x:c r="Z50" s="117">
        <x:f>MAX(0,Z27+Z34+Z45-Z20-Z24-Z53-Z57-Z35-Z46)</x:f>
      </x:c>
      <x:c r="AA50" s="117">
        <x:f>MAX(0,AA27+AA34+AA45-AA20-AA24-AA53-AA57-AA35-AA46)</x:f>
      </x:c>
      <x:c r="AB50" s="117">
        <x:f>MAX(0,AB27+AB34+AB45-AB20-AB24-AB53-AB57-AB35-AB46)</x:f>
      </x:c>
      <x:c r="AC50" s="117">
        <x:f>MAX(0,AC27+AC34+AC45-AC20-AC24-AC53-AC57-AC35-AC46)</x:f>
      </x:c>
      <x:c r="AD50" s="117">
        <x:f>MAX(0,AD27+AD34+AD45-AD20-AD24-AD53-AD57-AD35-AD46)</x:f>
      </x:c>
      <x:c r="AE50" s="117">
        <x:f>MAX(0,AE27+AE34+AE45-AE20-AE24-AE53-AE57-AE35-AE46)</x:f>
      </x:c>
      <x:c r="AF50" s="117">
        <x:f>MAX(0,AF27+AF34+AF45-AF20-AF24-AF53-AF57-AF35-AF46)</x:f>
      </x:c>
      <x:c r="AG50" s="117">
        <x:f>MAX(0,AG27+AG34+AG45-AG20-AG24-AG53-AG57-AG35-AG46)</x:f>
      </x:c>
      <x:c r="AH50" s="117">
        <x:f>MAX(0,AH27+AH34+AH45-AH20-AH24-AH53-AH57-AH35-AH46)</x:f>
      </x:c>
      <x:c r="AI50" s="117">
        <x:f>MAX(0,AI27+AI34+AI45-AI20-AI24-AI53-AI57-AI35-AI46)</x:f>
      </x:c>
      <x:c r="AJ50" s="117">
        <x:f>MAX(0,AJ27+AJ34+AJ45-AJ20-AJ24-AJ53-AJ57-AJ35-AJ46)</x:f>
      </x:c>
      <x:c r="AK50" s="117">
        <x:f>MAX(0,AK27+AK34+AK45-AK20-AK24-AK53-AK57-AK35-AK46)</x:f>
      </x:c>
      <x:c r="AL50" s="117">
        <x:f>MAX(0,AL27+AL34+AL45-AL20-AL24-AL53-AL57-AL35-AL46)</x:f>
      </x:c>
      <x:c r="AM50" s="117">
        <x:f>MAX(0,AM27+AM34+AM45-AM20-AM24-AM53-AM57-AM35-AM46)</x:f>
      </x:c>
      <x:c r="AN50" s="117">
        <x:f>MAX(0,AN27+AN34+AN45-AN20-AN24-AN53-AN57-AN35-AN46)</x:f>
      </x:c>
      <x:c r="AO50" s="117">
        <x:f>MAX(0,AO27+AO34+AO45-AO20-AO24-AO53-AO57-AO35-AO46)</x:f>
      </x:c>
      <x:c r="AP50" s="117">
        <x:f>MAX(0,AP27+AP34+AP45-AP20-AP24-AP53-AP57-AP35-AP46)</x:f>
      </x:c>
      <x:c r="AQ50" s="117">
        <x:f>MAX(0,AQ27+AQ34+AQ45-AQ20-AQ24-AQ53-AQ57-AQ35-AQ46)</x:f>
      </x:c>
      <x:c r="AR50" s="117">
        <x:f>MAX(0,AR27+AR34+AR45-AR20-AR24-AR53-AR57-AR35-AR46)</x:f>
      </x:c>
      <x:c r="AS50" s="117">
        <x:f>MAX(0,AS27+AS34+AS45-AS20-AS24-AS53-AS57-AS35-AS46)</x:f>
      </x:c>
      <x:c r="AT50" s="117">
        <x:f>MAX(0,AT27+AT34+AT45-AT20-AT24-AT53-AT57-AT35-AT46)</x:f>
      </x:c>
      <x:c r="AU50" s="117">
        <x:f>MAX(0,AU27+AU34+AU45-AU20-AU24-AU53-AU57-AU35-AU46)</x:f>
      </x:c>
      <x:c r="AV50" s="117">
        <x:f>MAX(0,AV27+AV34+AV45-AV20-AV24-AV53-AV57-AV35-AV46)</x:f>
      </x:c>
      <x:c r="AW50" s="117">
        <x:f>MAX(0,AW27+AW34+AW45-AW20-AW24-AW53-AW57-AW35-AW46)</x:f>
      </x:c>
      <x:c r="AX50" s="117">
        <x:f>MAX(0,AX27+AX34+AX45-AX20-AX24-AX53-AX57-AX35-AX46)</x:f>
      </x:c>
      <x:c r="AY50" s="117">
        <x:f>MAX(0,AY27+AY34+AY45-AY20-AY24-AY53-AY57-AY35-AY46)</x:f>
      </x:c>
      <x:c r="AZ50" s="117">
        <x:f>MAX(0,AZ27+AZ34+AZ45-AZ20-AZ24-AZ53-AZ57-AZ35-AZ46)</x:f>
      </x:c>
      <x:c r="BA50" s="117">
        <x:f>MAX(0,BA27+BA34+BA45-BA20-BA24-BA53-BA57-BA35-BA46)</x:f>
      </x:c>
      <x:c r="BB50" s="117">
        <x:f>MAX(0,BB27+BB34+BB45-BB20-BB24-BB53-BB57-BB35-BB46)</x:f>
      </x:c>
      <x:c r="BC50" s="117">
        <x:f>MAX(0,BC27+BC34+BC45-BC20-BC24-BC53-BC57-BC35-BC46)</x:f>
      </x:c>
      <x:c r="BD50" s="117">
        <x:f>MAX(0,BD27+BD34+BD45-BD20-BD24-BD53-BD57-BD35-BD46)</x:f>
      </x:c>
      <x:c r="BE50" s="117">
        <x:f>MAX(0,BE27+BE34+BE45-BE20-BE24-BE53-BE57-BE35-BE46)</x:f>
      </x:c>
      <x:c r="BF50" s="117">
        <x:f>MAX(0,BF27+BF34+BF45-BF20-BF24-BF53-BF57-BF35-BF46)</x:f>
      </x:c>
      <x:c r="BG50" s="117">
        <x:f>MAX(0,BG27+BG34+BG45-BG20-BG24-BG53-BG57-BG35-BG46)</x:f>
      </x:c>
      <x:c r="BH50" s="117">
        <x:f>MAX(0,BH27+BH34+BH45-BH20-BH24-BH53-BH57-BH35-BH46)</x:f>
      </x:c>
      <x:c r="BI50" s="117">
        <x:f>MAX(0,BI27+BI34+BI45-BI20-BI24-BI53-BI57-BI35-BI46)</x:f>
      </x:c>
      <x:c r="BJ50" s="117">
        <x:f>MAX(0,BJ27+BJ34+BJ45-BJ20-BJ24-BJ53-BJ57-BJ35-BJ46)</x:f>
      </x:c>
      <x:c r="BK50" s="117">
        <x:f>MAX(0,BK27+BK34+BK45-BK20-BK24-BK53-BK57-BK35-BK46)</x:f>
      </x:c>
      <x:c r="BL50" s="117">
        <x:f>MAX(0,BL27+BL34+BL45-BL20-BL24-BL53-BL57-BL35-BL46)</x:f>
      </x:c>
      <x:c r="BM50" s="117">
        <x:f>MAX(0,BM27+BM34+BM45-BM20-BM24-BM53-BM57-BM35-BM46)</x:f>
      </x:c>
      <x:c r="BN50" s="117">
        <x:f>MAX(0,BN27+BN34+BN45-BN20-BN24-BN53-BN57-BN35-BN46)</x:f>
      </x:c>
      <x:c r="BO50" s="117">
        <x:f>MAX(0,BO27+BO34+BO45-BO20-BO24-BO53-BO57-BO35-BO46)</x:f>
      </x:c>
      <x:c r="BP50" s="117">
        <x:f>MAX(0,BP27+BP34+BP45-BP20-BP24-BP53-BP57-BP35-BP46)</x:f>
      </x:c>
      <x:c r="BQ50" s="117">
        <x:f>MAX(0,BQ27+BQ34+BQ45-BQ20-BQ24-BQ53-BQ57-BQ35-BQ46)</x:f>
      </x:c>
      <x:c r="BR50" s="117">
        <x:f>MAX(0,BR27+BR34+BR45-BR20-BR24-BR53-BR57-BR35-BR46)</x:f>
      </x:c>
      <x:c r="BS50" s="117">
        <x:f>MAX(0,BS27+BS34+BS45-BS20-BS24-BS53-BS57-BS35-BS46)</x:f>
      </x:c>
      <x:c r="BT50" s="117">
        <x:f>MAX(0,BT27+BT34+BT45-BT20-BT24-BT53-BT57-BT35-BT46)</x:f>
      </x:c>
      <x:c r="BU50" s="117">
        <x:f>MAX(0,BU27+BU34+BU45-BU20-BU24-BU53-BU57-BU35-BU46)</x:f>
      </x:c>
      <x:c r="BV50" s="117">
        <x:f>MAX(0,BV27+BV34+BV45-BV20-BV24-BV53-BV57-BV35-BV46)</x:f>
      </x:c>
      <x:c r="BW50" s="117">
        <x:f>MAX(0,BW27+BW34+BW45-BW20-BW24-BW53-BW57-BW35-BW46)</x:f>
      </x:c>
      <x:c r="BX50" s="117">
        <x:f>MAX(0,BX27+BX34+BX45-BX20-BX24-BX53-BX57-BX35-BX46)</x:f>
      </x:c>
      <x:c r="BY50" s="117">
        <x:f>MAX(0,BY27+BY34+BY45-BY20-BY24-BY53-BY57-BY35-BY46)</x:f>
      </x:c>
      <x:c r="BZ50" s="117">
        <x:f>MAX(0,BZ27+BZ34+BZ45-BZ20-BZ24-BZ53-BZ57-BZ35-BZ46)</x:f>
      </x:c>
      <x:c r="CA50" s="117">
        <x:f>MAX(0,CA27+CA34+CA45-CA20-CA24-CA53-CA57-CA35-CA46)</x:f>
      </x:c>
      <x:c r="CB50" s="117">
        <x:f>MAX(0,CB27+CB34+CB45-CB20-CB24-CB53-CB57-CB35-CB46)</x:f>
      </x:c>
      <x:c r="CC50" s="117">
        <x:f>MAX(0,CC27+CC34+CC45-CC20-CC24-CC53-CC57-CC35-CC46)</x:f>
      </x:c>
      <x:c r="CD50" s="117">
        <x:f>MAX(0,CD27+CD34+CD45-CD20-CD24-CD53-CD57-CD35-CD46)</x:f>
      </x:c>
      <x:c r="CE50" s="117">
        <x:f>MAX(0,CE27+CE34+CE45-CE20-CE24-CE53-CE57-CE35-CE46)</x:f>
      </x:c>
      <x:c r="CF50" s="117">
        <x:f>MAX(0,CF27+CF34+CF45-CF20-CF24-CF53-CF57-CF35-CF46)</x:f>
      </x:c>
      <x:c r="CG50" s="117">
        <x:f>MAX(0,CG27+CG34+CG45-CG20-CG24-CG53-CG57-CG35-CG46)</x:f>
      </x:c>
      <x:c r="CH50" s="117">
        <x:f>MAX(0,CH27+CH34+CH45-CH20-CH24-CH53-CH57-CH35-CH46)</x:f>
      </x:c>
      <x:c r="CI50" s="117">
        <x:f>MAX(0,CI27+CI34+CI45-CI20-CI24-CI53-CI57-CI35-CI46)</x:f>
      </x:c>
      <x:c r="CJ50" s="117">
        <x:f>MAX(0,CJ27+CJ34+CJ45-CJ20-CJ24-CJ53-CJ57-CJ35-CJ46)</x:f>
      </x:c>
      <x:c r="CK50" s="117">
        <x:f>MAX(0,CK27+CK34+CK45-CK20-CK24-CK53-CK57-CK35-CK46)</x:f>
      </x:c>
      <x:c r="CL50" s="117">
        <x:f>MAX(0,CL27+CL34+CL45-CL20-CL24-CL53-CL57-CL35-CL46)</x:f>
      </x:c>
      <x:c r="CM50" s="117">
        <x:f>MAX(0,CM27+CM34+CM45-CM20-CM24-CM53-CM57-CM35-CM46)</x:f>
      </x:c>
      <x:c r="CN50" s="117">
        <x:f>MAX(0,CN27+CN34+CN45-CN20-CN24-CN53-CN57-CN35-CN46)</x:f>
      </x:c>
      <x:c r="CO50" s="117">
        <x:f>MAX(0,CO27+CO34+CO45-CO20-CO24-CO53-CO57-CO35-CO46)</x:f>
      </x:c>
      <x:c r="CP50" s="117">
        <x:f>MAX(0,CP27+CP34+CP45-CP20-CP24-CP53-CP57-CP35-CP46)</x:f>
      </x:c>
      <x:c r="CQ50" s="117">
        <x:f>MAX(0,CQ27+CQ34+CQ45-CQ20-CQ24-CQ53-CQ57-CQ35-CQ46)</x:f>
      </x:c>
      <x:c r="CR50" s="117">
        <x:f>MAX(0,CR27+CR34+CR45-CR20-CR24-CR53-CR57-CR35-CR46)</x:f>
      </x:c>
      <x:c r="CS50" s="117">
        <x:f>MAX(0,CS27+CS34+CS45-CS20-CS24-CS53-CS57-CS35-CS46)</x:f>
      </x:c>
      <x:c r="CT50" s="117">
        <x:f>MAX(0,CT27+CT34+CT45-CT20-CT24-CT53-CT57-CT35-CT46)</x:f>
      </x:c>
      <x:c r="CU50" s="117">
        <x:f>MAX(0,CU27+CU34+CU45-CU20-CU24-CU53-CU57-CU35-CU46)</x:f>
      </x:c>
      <x:c r="CV50" s="117">
        <x:f>MAX(0,CV27+CV34+CV45-CV20-CV24-CV53-CV57-CV35-CV46)</x:f>
      </x:c>
      <x:c r="CW50" s="117">
        <x:f>MAX(0,CW27+CW34+CW45-CW20-CW24-CW53-CW57-CW35-CW46)</x:f>
      </x:c>
      <x:c r="CX50" s="117">
        <x:f>MAX(0,CX27+CX34+CX45-CX20-CX24-CX53-CX57-CX35-CX46)</x:f>
      </x:c>
      <x:c r="CY50" s="117">
        <x:f>MAX(0,CY27+CY34+CY45-CY20-CY24-CY53-CY57-CY35-CY46)</x:f>
      </x:c>
      <x:c r="CZ50" s="117">
        <x:f>MAX(0,CZ27+CZ34+CZ45-CZ20-CZ24-CZ53-CZ57-CZ35-CZ46)</x:f>
      </x:c>
      <x:c r="DA50" s="117">
        <x:f>MAX(0,DA27+DA34+DA45-DA20-DA24-DA53-DA57-DA35-DA46)</x:f>
      </x:c>
      <x:c r="DB50" s="117">
        <x:f>MAX(0,DB27+DB34+DB45-DB20-DB24-DB53-DB57-DB35-DB46)</x:f>
      </x:c>
      <x:c r="DC50" s="117">
        <x:f>MAX(0,DC27+DC34+DC45-DC20-DC24-DC53-DC57-DC35-DC46)</x:f>
      </x:c>
      <x:c r="DD50" s="117">
        <x:f>MAX(0,DD27+DD34+DD45-DD20-DD24-DD53-DD57-DD35-DD46)</x:f>
      </x:c>
      <x:c r="DE50" s="117">
        <x:f>MAX(0,DE27+DE34+DE45-DE20-DE24-DE53-DE57-DE35-DE46)</x:f>
      </x:c>
      <x:c r="DF50" s="117">
        <x:f>MAX(0,DF27+DF34+DF45-DF20-DF24-DF53-DF57-DF35-DF46)</x:f>
      </x:c>
      <x:c r="DG50" s="117">
        <x:f>MAX(0,DG27+DG34+DG45-DG20-DG24-DG53-DG57-DG35-DG46)</x:f>
      </x:c>
      <x:c r="DH50" s="117">
        <x:f>MAX(0,DH27+DH34+DH45-DH20-DH24-DH53-DH57-DH35-DH46)</x:f>
      </x:c>
      <x:c r="DI50" s="117">
        <x:f>MAX(0,DI27+DI34+DI45-DI20-DI24-DI53-DI57-DI35-DI46)</x:f>
      </x:c>
      <x:c r="DJ50" s="117">
        <x:f>MAX(0,DJ27+DJ34+DJ45-DJ20-DJ24-DJ53-DJ57-DJ35-DJ46)</x:f>
      </x:c>
      <x:c r="DK50" s="117">
        <x:f>MAX(0,DK27+DK34+DK45-DK20-DK24-DK53-DK57-DK35-DK46)</x:f>
      </x:c>
      <x:c r="DL50" s="117">
        <x:f>MAX(0,DL27+DL34+DL45-DL20-DL24-DL53-DL57-DL35-DL46)</x:f>
      </x:c>
      <x:c r="DM50" s="117">
        <x:f>MAX(0,DM27+DM34+DM45-DM20-DM24-DM53-DM57-DM35-DM46)</x:f>
      </x:c>
      <x:c r="DN50" s="117">
        <x:f>MAX(0,DN27+DN34+DN45-DN20-DN24-DN53-DN57-DN35-DN46)</x:f>
      </x:c>
      <x:c r="DO50" s="117">
        <x:f>MAX(0,DO27+DO34+DO45-DO20-DO24-DO53-DO57-DO35-DO46)</x:f>
      </x:c>
      <x:c r="DP50" s="117">
        <x:f>MAX(0,DP27+DP34+DP45-DP20-DP24-DP53-DP57-DP35-DP46)</x:f>
      </x:c>
      <x:c r="DQ50" s="117">
        <x:f>MAX(0,DQ27+DQ34+DQ45-DQ20-DQ24-DQ53-DQ57-DQ35-DQ46)</x:f>
      </x:c>
      <x:c r="DR50" s="117">
        <x:f>MAX(0,DR27+DR34+DR45-DR20-DR24-DR53-DR57-DR35-DR46)</x:f>
      </x:c>
      <x:c r="DS50" s="117">
        <x:f>MAX(0,DS27+DS34+DS45-DS20-DS24-DS53-DS57-DS35-DS46)</x:f>
      </x:c>
      <x:c r="DT50" s="117">
        <x:f>MAX(0,DT27+DT34+DT45-DT20-DT24-DT53-DT57-DT35-DT46)</x:f>
      </x:c>
      <x:c r="DU50" s="117">
        <x:f>MAX(0,DU27+DU34+DU45-DU20-DU24-DU53-DU57-DU35-DU46)</x:f>
      </x:c>
      <x:c r="DV50" s="117">
        <x:f>MAX(0,DV27+DV34+DV45-DV20-DV24-DV53-DV57-DV35-DV46)</x:f>
      </x:c>
      <x:c r="DW50" s="117">
        <x:f>MAX(0,DW27+DW34+DW45-DW20-DW24-DW53-DW57-DW35-DW46)</x:f>
      </x:c>
      <x:c r="DX50" s="117">
        <x:f>MAX(0,DX27+DX34+DX45-DX20-DX24-DX53-DX57-DX35-DX46)</x:f>
      </x:c>
      <x:c r="DY50" s="117">
        <x:f>MAX(0,DY27+DY34+DY45-DY20-DY24-DY53-DY57-DY35-DY46)</x:f>
      </x:c>
      <x:c r="DZ50" s="117">
        <x:f>MAX(0,DZ27+DZ34+DZ45-DZ20-DZ24-DZ53-DZ57-DZ35-DZ46)</x:f>
      </x:c>
      <x:c r="EA50" s="117">
        <x:f>MAX(0,EA27+EA34+EA45-EA20-EA24-EA53-EA57-EA35-EA46)</x:f>
      </x:c>
      <x:c r="EB50" s="117">
        <x:f>MAX(0,EB27+EB34+EB45-EB20-EB24-EB53-EB57-EB35-EB46)</x:f>
      </x:c>
      <x:c r="EC50" s="117">
        <x:f>MAX(0,EC27+EC34+EC45-EC20-EC24-EC53-EC57-EC35-EC46)</x:f>
      </x:c>
      <x:c r="ED50" s="117">
        <x:f>MAX(0,ED27+ED34+ED45-ED20-ED24-ED53-ED57-ED35-ED46)</x:f>
      </x:c>
      <x:c r="EE50" s="117">
        <x:f>MAX(0,EE27+EE34+EE45-EE20-EE24-EE53-EE57-EE35-EE46)</x:f>
      </x:c>
      <x:c r="EF50" s="117">
        <x:f>MAX(0,EF27+EF34+EF45-EF20-EF24-EF53-EF57-EF35-EF46)</x:f>
      </x:c>
      <x:c r="EG50" s="117">
        <x:f>MAX(0,EG27+EG34+EG45-EG20-EG24-EG53-EG57-EG35-EG46)</x:f>
      </x:c>
      <x:c r="EH50" s="117">
        <x:f>MAX(0,EH27+EH34+EH45-EH20-EH24-EH53-EH57-EH35-EH46)</x:f>
      </x:c>
      <x:c r="EI50" s="117">
        <x:f>MAX(0,EI27+EI34+EI45-EI20-EI24-EI53-EI57-EI35-EI46)</x:f>
      </x:c>
      <x:c r="EJ50" s="117">
        <x:f>MAX(0,EJ27+EJ34+EJ45-EJ20-EJ24-EJ53-EJ57-EJ35-EJ46)</x:f>
      </x:c>
      <x:c r="EK50" s="117">
        <x:f>MAX(0,EK27+EK34+EK45-EK20-EK24-EK53-EK57-EK35-EK46)</x:f>
      </x:c>
      <x:c r="EL50" s="117">
        <x:f>MAX(0,EL27+EL34+EL45-EL20-EL24-EL53-EL57-EL35-EL46)</x:f>
      </x:c>
      <x:c r="EM50" s="117">
        <x:f>MAX(0,EM27+EM34+EM45-EM20-EM24-EM53-EM57-EM35-EM46)</x:f>
      </x:c>
      <x:c r="EN50" s="117">
        <x:f>MAX(0,EN27+EN34+EN45-EN20-EN24-EN53-EN57-EN35-EN46)</x:f>
      </x:c>
      <x:c r="EO50" s="117">
        <x:f>MAX(0,EO27+EO34+EO45-EO20-EO24-EO53-EO57-EO35-EO46)</x:f>
      </x:c>
      <x:c r="EP50" s="117">
        <x:f>MAX(0,EP27+EP34+EP45-EP20-EP24-EP53-EP57-EP35-EP46)</x:f>
      </x:c>
      <x:c r="EQ50" s="117">
        <x:f>MAX(0,EQ27+EQ34+EQ45-EQ20-EQ24-EQ53-EQ57-EQ35-EQ46)</x:f>
      </x:c>
      <x:c r="ER50" s="117">
        <x:f>MAX(0,ER27+ER34+ER45-ER20-ER24-ER53-ER57-ER35-ER46)</x:f>
      </x:c>
      <x:c r="ES50" s="117">
        <x:f>MAX(0,ES27+ES34+ES45-ES20-ES24-ES53-ES57-ES35-ES46)</x:f>
      </x:c>
      <x:c r="ET50" s="117">
        <x:f>MAX(0,ET27+ET34+ET45-ET20-ET24-ET53-ET57-ET35-ET46)</x:f>
      </x:c>
      <x:c r="EU50" s="117">
        <x:f>MAX(0,EU27+EU34+EU45-EU20-EU24-EU53-EU57-EU35-EU46)</x:f>
      </x:c>
      <x:c r="EV50" s="117">
        <x:f>MAX(0,EV27+EV34+EV45-EV20-EV24-EV53-EV57-EV35-EV46)</x:f>
      </x:c>
      <x:c r="EW50" s="117">
        <x:f>MAX(0,EW27+EW34+EW45-EW20-EW24-EW53-EW57-EW35-EW46)</x:f>
      </x:c>
      <x:c r="EX50" s="117">
        <x:f>MAX(0,EX27+EX34+EX45-EX20-EX24-EX53-EX57-EX35-EX46)</x:f>
      </x:c>
      <x:c r="EY50" s="117">
        <x:f>MAX(0,EY27+EY34+EY45-EY20-EY24-EY53-EY57-EY35-EY46)</x:f>
      </x:c>
      <x:c r="EZ50" s="117">
        <x:f>MAX(0,EZ27+EZ34+EZ45-EZ20-EZ24-EZ53-EZ57-EZ35-EZ46)</x:f>
      </x:c>
      <x:c r="FA50" s="117">
        <x:f>MAX(0,FA27+FA34+FA45-FA20-FA24-FA53-FA57-FA35-FA46)</x:f>
      </x:c>
      <x:c r="FB50" s="117">
        <x:f>MAX(0,FB27+FB34+FB45-FB20-FB24-FB53-FB57-FB35-FB46)</x:f>
      </x:c>
      <x:c r="FC50" s="117">
        <x:f>MAX(0,FC27+FC34+FC45-FC20-FC24-FC53-FC57-FC35-FC46)</x:f>
      </x:c>
      <x:c r="FD50" s="117">
        <x:f>MAX(0,FD27+FD34+FD45-FD20-FD24-FD53-FD57-FD35-FD46)</x:f>
      </x:c>
      <x:c r="FE50" s="117">
        <x:f>MAX(0,FE27+FE34+FE45-FE20-FE24-FE53-FE57-FE35-FE46)</x:f>
      </x:c>
      <x:c r="FF50" s="117">
        <x:f>MAX(0,FF27+FF34+FF45-FF20-FF24-FF53-FF57-FF35-FF46)</x:f>
      </x:c>
      <x:c r="FG50" s="117">
        <x:f>MAX(0,FG27+FG34+FG45-FG20-FG24-FG53-FG57-FG35-FG46)</x:f>
      </x:c>
      <x:c r="FH50" s="117">
        <x:f>MAX(0,FH27+FH34+FH45-FH20-FH24-FH53-FH57-FH35-FH46)</x:f>
      </x:c>
      <x:c r="FI50" s="117">
        <x:f>MAX(0,FI27+FI34+FI45-FI20-FI24-FI53-FI57-FI35-FI46)</x:f>
      </x:c>
      <x:c r="FJ50" s="117">
        <x:f>MAX(0,FJ27+FJ34+FJ45-FJ20-FJ24-FJ53-FJ57-FJ35-FJ46)</x:f>
      </x:c>
      <x:c r="FK50" s="117">
        <x:f>MAX(0,FK27+FK34+FK45-FK20-FK24-FK53-FK57-FK35-FK46)</x:f>
      </x:c>
      <x:c r="FL50" s="117">
        <x:f>MAX(0,FL27+FL34+FL45-FL20-FL24-FL53-FL57-FL35-FL46)</x:f>
      </x:c>
      <x:c r="FM50" s="117">
        <x:f>MAX(0,FM27+FM34+FM45-FM20-FM24-FM53-FM57-FM35-FM46)</x:f>
      </x:c>
      <x:c r="FN50" s="117">
        <x:f>MAX(0,FN27+FN34+FN45-FN20-FN24-FN53-FN57-FN35-FN46)</x:f>
      </x:c>
      <x:c r="FO50" s="117">
        <x:f>MAX(0,FO27+FO34+FO45-FO20-FO24-FO53-FO57-FO35-FO46)</x:f>
      </x:c>
      <x:c r="FP50" s="117">
        <x:f>MAX(0,FP27+FP34+FP45-FP20-FP24-FP53-FP57-FP35-FP46)</x:f>
      </x:c>
      <x:c r="FQ50" s="117">
        <x:f>MAX(0,FQ27+FQ34+FQ45-FQ20-FQ24-FQ53-FQ57-FQ35-FQ46)</x:f>
      </x:c>
      <x:c r="FR50" s="117">
        <x:f>MAX(0,FR27+FR34+FR45-FR20-FR24-FR53-FR57-FR35-FR46)</x:f>
      </x:c>
      <x:c r="FS50" s="117">
        <x:f>MAX(0,FS27+FS34+FS45-FS20-FS24-FS53-FS57-FS35-FS46)</x:f>
      </x:c>
      <x:c r="FT50" s="117">
        <x:f>MAX(0,FT27+FT34+FT45-FT20-FT24-FT53-FT57-FT35-FT46)</x:f>
      </x:c>
      <x:c r="FU50" s="117">
        <x:f>MAX(0,FU27+FU34+FU45-FU20-FU24-FU53-FU57-FU35-FU46)</x:f>
      </x:c>
      <x:c r="FV50" s="117">
        <x:f>MAX(0,FV27+FV34+FV45-FV20-FV24-FV53-FV57-FV35-FV46)</x:f>
      </x:c>
      <x:c r="FW50" s="117">
        <x:f>MAX(0,FW27+FW34+FW45-FW20-FW24-FW53-FW57-FW35-FW46)</x:f>
      </x:c>
      <x:c r="FX50" s="117">
        <x:f>MAX(0,FX27+FX34+FX45-FX20-FX24-FX53-FX57-FX35-FX46)</x:f>
      </x:c>
      <x:c r="FY50" s="117">
        <x:f>MAX(0,FY27+FY34+FY45-FY20-FY24-FY53-FY57-FY35-FY46)</x:f>
      </x:c>
      <x:c r="FZ50" s="117">
        <x:f>MAX(0,FZ27+FZ34+FZ45-FZ20-FZ24-FZ53-FZ57-FZ35-FZ46)</x:f>
      </x:c>
      <x:c r="GA50" s="117">
        <x:f>MAX(0,GA27+GA34+GA45-GA20-GA24-GA53-GA57-GA35-GA46)</x:f>
      </x:c>
    </x:row>
    <x:row r="51">
      <x:c r="A51" s="113" t="str">
        <x:v>Чистый CF собственного капитала</x:v>
      </x:c>
      <x:c r="B51" s="113" t="n">
        <x:f>SUM(D51:GA51)</x:f>
      </x:c>
      <x:c r="C51" s="113" t="str">
        <x:v>млн ₽</x:v>
      </x:c>
      <x:c r="D51" s="120" t="n">
        <x:f>D50-D49</x:f>
      </x:c>
      <x:c r="E51" s="120" t="n">
        <x:f>E50-E49</x:f>
      </x:c>
      <x:c r="F51" s="120" t="n">
        <x:f>F50-F49</x:f>
      </x:c>
      <x:c r="G51" s="120" t="n">
        <x:f>G50-G49</x:f>
      </x:c>
      <x:c r="H51" s="120" t="n">
        <x:f>H50-H49</x:f>
      </x:c>
      <x:c r="I51" s="120" t="n">
        <x:f>I50-I49</x:f>
      </x:c>
      <x:c r="J51" s="120" t="n">
        <x:f>J50-J49</x:f>
      </x:c>
      <x:c r="K51" s="120" t="n">
        <x:f>K50-K49</x:f>
      </x:c>
      <x:c r="L51" s="120" t="n">
        <x:f>L50-L49</x:f>
      </x:c>
      <x:c r="M51" s="120" t="n">
        <x:f>M50-M49</x:f>
      </x:c>
      <x:c r="N51" s="120" t="n">
        <x:f>N50-N49</x:f>
      </x:c>
      <x:c r="O51" s="120" t="n">
        <x:f>O50-O49</x:f>
      </x:c>
      <x:c r="P51" s="120" t="n">
        <x:f>P50-P49</x:f>
      </x:c>
      <x:c r="Q51" s="120" t="n">
        <x:f>Q50-Q49</x:f>
      </x:c>
      <x:c r="R51" s="120" t="n">
        <x:f>R50-R49</x:f>
      </x:c>
      <x:c r="S51" s="120" t="n">
        <x:f>S50-S49</x:f>
      </x:c>
      <x:c r="T51" s="120" t="n">
        <x:f>T50-T49</x:f>
      </x:c>
      <x:c r="U51" s="120" t="n">
        <x:f>U50-U49</x:f>
      </x:c>
      <x:c r="V51" s="120" t="n">
        <x:f>V50-V49</x:f>
      </x:c>
      <x:c r="W51" s="120" t="n">
        <x:f>W50-W49</x:f>
      </x:c>
      <x:c r="X51" s="120" t="n">
        <x:f>X50-X49</x:f>
      </x:c>
      <x:c r="Y51" s="120" t="n">
        <x:f>Y50-Y49</x:f>
      </x:c>
      <x:c r="Z51" s="120" t="n">
        <x:f>Z50-Z49</x:f>
      </x:c>
      <x:c r="AA51" s="120" t="n">
        <x:f>AA50-AA49</x:f>
      </x:c>
      <x:c r="AB51" s="120" t="n">
        <x:f>AB50-AB49</x:f>
      </x:c>
      <x:c r="AC51" s="120" t="n">
        <x:f>AC50-AC49</x:f>
      </x:c>
      <x:c r="AD51" s="120" t="n">
        <x:f>AD50-AD49</x:f>
      </x:c>
      <x:c r="AE51" s="120" t="n">
        <x:f>AE50-AE49</x:f>
      </x:c>
      <x:c r="AF51" s="120" t="n">
        <x:f>AF50-AF49</x:f>
      </x:c>
      <x:c r="AG51" s="120" t="n">
        <x:f>AG50-AG49</x:f>
      </x:c>
      <x:c r="AH51" s="120" t="n">
        <x:f>AH50-AH49</x:f>
      </x:c>
      <x:c r="AI51" s="120" t="n">
        <x:f>AI50-AI49</x:f>
      </x:c>
      <x:c r="AJ51" s="120" t="n">
        <x:f>AJ50-AJ49</x:f>
      </x:c>
      <x:c r="AK51" s="120" t="n">
        <x:f>AK50-AK49</x:f>
      </x:c>
      <x:c r="AL51" s="120" t="n">
        <x:f>AL50-AL49</x:f>
      </x:c>
      <x:c r="AM51" s="120" t="n">
        <x:f>AM50-AM49</x:f>
      </x:c>
      <x:c r="AN51" s="120" t="n">
        <x:f>AN50-AN49</x:f>
      </x:c>
      <x:c r="AO51" s="120" t="n">
        <x:f>AO50-AO49</x:f>
      </x:c>
      <x:c r="AP51" s="120" t="n">
        <x:f>AP50-AP49</x:f>
      </x:c>
      <x:c r="AQ51" s="120" t="n">
        <x:f>AQ50-AQ49</x:f>
      </x:c>
      <x:c r="AR51" s="120" t="n">
        <x:f>AR50-AR49</x:f>
      </x:c>
      <x:c r="AS51" s="120" t="n">
        <x:f>AS50-AS49</x:f>
      </x:c>
      <x:c r="AT51" s="120" t="n">
        <x:f>AT50-AT49</x:f>
      </x:c>
      <x:c r="AU51" s="120" t="n">
        <x:f>AU50-AU49</x:f>
      </x:c>
      <x:c r="AV51" s="120" t="n">
        <x:f>AV50-AV49</x:f>
      </x:c>
      <x:c r="AW51" s="120" t="n">
        <x:f>AW50-AW49</x:f>
      </x:c>
      <x:c r="AX51" s="120" t="n">
        <x:f>AX50-AX49</x:f>
      </x:c>
      <x:c r="AY51" s="120" t="n">
        <x:f>AY50-AY49</x:f>
      </x:c>
      <x:c r="AZ51" s="120" t="n">
        <x:f>AZ50-AZ49</x:f>
      </x:c>
      <x:c r="BA51" s="120" t="n">
        <x:f>BA50-BA49</x:f>
      </x:c>
      <x:c r="BB51" s="120" t="n">
        <x:f>BB50-BB49</x:f>
      </x:c>
      <x:c r="BC51" s="120" t="n">
        <x:f>BC50-BC49</x:f>
      </x:c>
      <x:c r="BD51" s="120" t="n">
        <x:f>BD50-BD49</x:f>
      </x:c>
      <x:c r="BE51" s="120" t="n">
        <x:f>BE50-BE49</x:f>
      </x:c>
      <x:c r="BF51" s="120" t="n">
        <x:f>BF50-BF49</x:f>
      </x:c>
      <x:c r="BG51" s="120" t="n">
        <x:f>BG50-BG49</x:f>
      </x:c>
      <x:c r="BH51" s="120" t="n">
        <x:f>BH50-BH49</x:f>
      </x:c>
      <x:c r="BI51" s="120" t="n">
        <x:f>BI50-BI49</x:f>
      </x:c>
      <x:c r="BJ51" s="120" t="n">
        <x:f>BJ50-BJ49</x:f>
      </x:c>
      <x:c r="BK51" s="120" t="n">
        <x:f>BK50-BK49</x:f>
      </x:c>
      <x:c r="BL51" s="120" t="n">
        <x:f>BL50-BL49</x:f>
      </x:c>
      <x:c r="BM51" s="120" t="n">
        <x:f>BM50-BM49</x:f>
      </x:c>
      <x:c r="BN51" s="120" t="n">
        <x:f>BN50-BN49</x:f>
      </x:c>
      <x:c r="BO51" s="120" t="n">
        <x:f>BO50-BO49</x:f>
      </x:c>
      <x:c r="BP51" s="120" t="n">
        <x:f>BP50-BP49</x:f>
      </x:c>
      <x:c r="BQ51" s="120" t="n">
        <x:f>BQ50-BQ49</x:f>
      </x:c>
      <x:c r="BR51" s="120" t="n">
        <x:f>BR50-BR49</x:f>
      </x:c>
      <x:c r="BS51" s="120" t="n">
        <x:f>BS50-BS49</x:f>
      </x:c>
      <x:c r="BT51" s="120" t="n">
        <x:f>BT50-BT49</x:f>
      </x:c>
      <x:c r="BU51" s="120" t="n">
        <x:f>BU50-BU49</x:f>
      </x:c>
      <x:c r="BV51" s="120" t="n">
        <x:f>BV50-BV49</x:f>
      </x:c>
      <x:c r="BW51" s="120" t="n">
        <x:f>BW50-BW49</x:f>
      </x:c>
      <x:c r="BX51" s="120" t="n">
        <x:f>BX50-BX49</x:f>
      </x:c>
      <x:c r="BY51" s="120" t="n">
        <x:f>BY50-BY49</x:f>
      </x:c>
      <x:c r="BZ51" s="120" t="n">
        <x:f>BZ50-BZ49</x:f>
      </x:c>
      <x:c r="CA51" s="120" t="n">
        <x:f>CA50-CA49</x:f>
      </x:c>
      <x:c r="CB51" s="120" t="n">
        <x:f>CB50-CB49</x:f>
      </x:c>
      <x:c r="CC51" s="120" t="n">
        <x:f>CC50-CC49</x:f>
      </x:c>
      <x:c r="CD51" s="120" t="n">
        <x:f>CD50-CD49</x:f>
      </x:c>
      <x:c r="CE51" s="120" t="n">
        <x:f>CE50-CE49</x:f>
      </x:c>
      <x:c r="CF51" s="120" t="n">
        <x:f>CF50-CF49</x:f>
      </x:c>
      <x:c r="CG51" s="120" t="n">
        <x:f>CG50-CG49</x:f>
      </x:c>
      <x:c r="CH51" s="120" t="n">
        <x:f>CH50-CH49</x:f>
      </x:c>
      <x:c r="CI51" s="120" t="n">
        <x:f>CI50-CI49</x:f>
      </x:c>
      <x:c r="CJ51" s="120" t="n">
        <x:f>CJ50-CJ49</x:f>
      </x:c>
      <x:c r="CK51" s="120" t="n">
        <x:f>CK50-CK49</x:f>
      </x:c>
      <x:c r="CL51" s="120" t="n">
        <x:f>CL50-CL49</x:f>
      </x:c>
      <x:c r="CM51" s="120" t="n">
        <x:f>CM50-CM49</x:f>
      </x:c>
      <x:c r="CN51" s="120" t="n">
        <x:f>CN50-CN49</x:f>
      </x:c>
      <x:c r="CO51" s="120" t="n">
        <x:f>CO50-CO49</x:f>
      </x:c>
      <x:c r="CP51" s="120" t="n">
        <x:f>CP50-CP49</x:f>
      </x:c>
      <x:c r="CQ51" s="120" t="n">
        <x:f>CQ50-CQ49</x:f>
      </x:c>
      <x:c r="CR51" s="120" t="n">
        <x:f>CR50-CR49</x:f>
      </x:c>
      <x:c r="CS51" s="120" t="n">
        <x:f>CS50-CS49</x:f>
      </x:c>
      <x:c r="CT51" s="120" t="n">
        <x:f>CT50-CT49</x:f>
      </x:c>
      <x:c r="CU51" s="120" t="n">
        <x:f>CU50-CU49</x:f>
      </x:c>
      <x:c r="CV51" s="120" t="n">
        <x:f>CV50-CV49</x:f>
      </x:c>
      <x:c r="CW51" s="120" t="n">
        <x:f>CW50-CW49</x:f>
      </x:c>
      <x:c r="CX51" s="120" t="n">
        <x:f>CX50-CX49</x:f>
      </x:c>
      <x:c r="CY51" s="120" t="n">
        <x:f>CY50-CY49</x:f>
      </x:c>
      <x:c r="CZ51" s="120" t="n">
        <x:f>CZ50-CZ49</x:f>
      </x:c>
      <x:c r="DA51" s="120" t="n">
        <x:f>DA50-DA49</x:f>
      </x:c>
      <x:c r="DB51" s="120" t="n">
        <x:f>DB50-DB49</x:f>
      </x:c>
      <x:c r="DC51" s="120" t="n">
        <x:f>DC50-DC49</x:f>
      </x:c>
      <x:c r="DD51" s="120" t="n">
        <x:f>DD50-DD49</x:f>
      </x:c>
      <x:c r="DE51" s="120" t="n">
        <x:f>DE50-DE49</x:f>
      </x:c>
      <x:c r="DF51" s="120" t="n">
        <x:f>DF50-DF49</x:f>
      </x:c>
      <x:c r="DG51" s="120" t="n">
        <x:f>DG50-DG49</x:f>
      </x:c>
      <x:c r="DH51" s="120" t="n">
        <x:f>DH50-DH49</x:f>
      </x:c>
      <x:c r="DI51" s="120" t="n">
        <x:f>DI50-DI49</x:f>
      </x:c>
      <x:c r="DJ51" s="120" t="n">
        <x:f>DJ50-DJ49</x:f>
      </x:c>
      <x:c r="DK51" s="120" t="n">
        <x:f>DK50-DK49</x:f>
      </x:c>
      <x:c r="DL51" s="120" t="n">
        <x:f>DL50-DL49</x:f>
      </x:c>
      <x:c r="DM51" s="120" t="n">
        <x:f>DM50-DM49</x:f>
      </x:c>
      <x:c r="DN51" s="120" t="n">
        <x:f>DN50-DN49</x:f>
      </x:c>
      <x:c r="DO51" s="120" t="n">
        <x:f>DO50-DO49</x:f>
      </x:c>
      <x:c r="DP51" s="120" t="n">
        <x:f>DP50-DP49</x:f>
      </x:c>
      <x:c r="DQ51" s="120" t="n">
        <x:f>DQ50-DQ49</x:f>
      </x:c>
      <x:c r="DR51" s="120" t="n">
        <x:f>DR50-DR49</x:f>
      </x:c>
      <x:c r="DS51" s="120" t="n">
        <x:f>DS50-DS49</x:f>
      </x:c>
      <x:c r="DT51" s="120" t="n">
        <x:f>DT50-DT49</x:f>
      </x:c>
      <x:c r="DU51" s="120" t="n">
        <x:f>DU50-DU49</x:f>
      </x:c>
      <x:c r="DV51" s="120" t="n">
        <x:f>DV50-DV49</x:f>
      </x:c>
      <x:c r="DW51" s="120" t="n">
        <x:f>DW50-DW49</x:f>
      </x:c>
      <x:c r="DX51" s="120" t="n">
        <x:f>DX50-DX49</x:f>
      </x:c>
      <x:c r="DY51" s="120" t="n">
        <x:f>DY50-DY49</x:f>
      </x:c>
      <x:c r="DZ51" s="120" t="n">
        <x:f>DZ50-DZ49</x:f>
      </x:c>
      <x:c r="EA51" s="120" t="n">
        <x:f>EA50-EA49</x:f>
      </x:c>
      <x:c r="EB51" s="120" t="n">
        <x:f>EB50-EB49</x:f>
      </x:c>
      <x:c r="EC51" s="120" t="n">
        <x:f>EC50-EC49</x:f>
      </x:c>
      <x:c r="ED51" s="120" t="n">
        <x:f>ED50-ED49</x:f>
      </x:c>
      <x:c r="EE51" s="120" t="n">
        <x:f>EE50-EE49</x:f>
      </x:c>
      <x:c r="EF51" s="120" t="n">
        <x:f>EF50-EF49</x:f>
      </x:c>
      <x:c r="EG51" s="120" t="n">
        <x:f>EG50-EG49</x:f>
      </x:c>
      <x:c r="EH51" s="120" t="n">
        <x:f>EH50-EH49</x:f>
      </x:c>
      <x:c r="EI51" s="120" t="n">
        <x:f>EI50-EI49</x:f>
      </x:c>
      <x:c r="EJ51" s="120" t="n">
        <x:f>EJ50-EJ49</x:f>
      </x:c>
      <x:c r="EK51" s="120" t="n">
        <x:f>EK50-EK49</x:f>
      </x:c>
      <x:c r="EL51" s="120" t="n">
        <x:f>EL50-EL49</x:f>
      </x:c>
      <x:c r="EM51" s="120" t="n">
        <x:f>EM50-EM49</x:f>
      </x:c>
      <x:c r="EN51" s="120" t="n">
        <x:f>EN50-EN49</x:f>
      </x:c>
      <x:c r="EO51" s="120" t="n">
        <x:f>EO50-EO49</x:f>
      </x:c>
      <x:c r="EP51" s="120" t="n">
        <x:f>EP50-EP49</x:f>
      </x:c>
      <x:c r="EQ51" s="120" t="n">
        <x:f>EQ50-EQ49</x:f>
      </x:c>
      <x:c r="ER51" s="120" t="n">
        <x:f>ER50-ER49</x:f>
      </x:c>
      <x:c r="ES51" s="120" t="n">
        <x:f>ES50-ES49</x:f>
      </x:c>
      <x:c r="ET51" s="120" t="n">
        <x:f>ET50-ET49</x:f>
      </x:c>
      <x:c r="EU51" s="120" t="n">
        <x:f>EU50-EU49</x:f>
      </x:c>
      <x:c r="EV51" s="120" t="n">
        <x:f>EV50-EV49</x:f>
      </x:c>
      <x:c r="EW51" s="120" t="n">
        <x:f>EW50-EW49</x:f>
      </x:c>
      <x:c r="EX51" s="120" t="n">
        <x:f>EX50-EX49</x:f>
      </x:c>
      <x:c r="EY51" s="120" t="n">
        <x:f>EY50-EY49</x:f>
      </x:c>
      <x:c r="EZ51" s="120" t="n">
        <x:f>EZ50-EZ49</x:f>
      </x:c>
      <x:c r="FA51" s="120" t="n">
        <x:f>FA50-FA49</x:f>
      </x:c>
      <x:c r="FB51" s="120" t="n">
        <x:f>FB50-FB49</x:f>
      </x:c>
      <x:c r="FC51" s="120" t="n">
        <x:f>FC50-FC49</x:f>
      </x:c>
      <x:c r="FD51" s="120" t="n">
        <x:f>FD50-FD49</x:f>
      </x:c>
      <x:c r="FE51" s="120" t="n">
        <x:f>FE50-FE49</x:f>
      </x:c>
      <x:c r="FF51" s="120" t="n">
        <x:f>FF50-FF49</x:f>
      </x:c>
      <x:c r="FG51" s="120" t="n">
        <x:f>FG50-FG49</x:f>
      </x:c>
      <x:c r="FH51" s="120" t="n">
        <x:f>FH50-FH49</x:f>
      </x:c>
      <x:c r="FI51" s="120" t="n">
        <x:f>FI50-FI49</x:f>
      </x:c>
      <x:c r="FJ51" s="120" t="n">
        <x:f>FJ50-FJ49</x:f>
      </x:c>
      <x:c r="FK51" s="120" t="n">
        <x:f>FK50-FK49</x:f>
      </x:c>
      <x:c r="FL51" s="120" t="n">
        <x:f>FL50-FL49</x:f>
      </x:c>
      <x:c r="FM51" s="120" t="n">
        <x:f>FM50-FM49</x:f>
      </x:c>
      <x:c r="FN51" s="120" t="n">
        <x:f>FN50-FN49</x:f>
      </x:c>
      <x:c r="FO51" s="120" t="n">
        <x:f>FO50-FO49</x:f>
      </x:c>
      <x:c r="FP51" s="120" t="n">
        <x:f>FP50-FP49</x:f>
      </x:c>
      <x:c r="FQ51" s="120" t="n">
        <x:f>FQ50-FQ49</x:f>
      </x:c>
      <x:c r="FR51" s="120" t="n">
        <x:f>FR50-FR49</x:f>
      </x:c>
      <x:c r="FS51" s="120" t="n">
        <x:f>FS50-FS49</x:f>
      </x:c>
      <x:c r="FT51" s="120" t="n">
        <x:f>FT50-FT49</x:f>
      </x:c>
      <x:c r="FU51" s="120" t="n">
        <x:f>FU50-FU49</x:f>
      </x:c>
      <x:c r="FV51" s="120" t="n">
        <x:f>FV50-FV49</x:f>
      </x:c>
      <x:c r="FW51" s="120" t="n">
        <x:f>FW50-FW49</x:f>
      </x:c>
      <x:c r="FX51" s="120" t="n">
        <x:f>FX50-FX49</x:f>
      </x:c>
      <x:c r="FY51" s="120" t="n">
        <x:f>FY50-FY49</x:f>
      </x:c>
      <x:c r="FZ51" s="120" t="n">
        <x:f>FZ50-FZ49</x:f>
      </x:c>
      <x:c r="GA51" s="120" t="n">
        <x:f>GA50-GA49</x:f>
      </x:c>
    </x:row>
    <x:row r="52">
      <x:c r="A52" t="str">
        <x:v>Накопленный CF капитала</x:v>
      </x:c>
      <x:c r="B52" t="n">
        <x:f>GA52</x:f>
      </x:c>
      <x:c r="C52" t="str">
        <x:v>млн ₽</x:v>
      </x:c>
      <x:c r="D52" s="117" t="n">
        <x:f>D51</x:f>
      </x:c>
      <x:c r="E52" s="117" t="n">
        <x:f>D52+E51</x:f>
      </x:c>
      <x:c r="F52" s="117" t="n">
        <x:f>E52+F51</x:f>
      </x:c>
      <x:c r="G52" s="117" t="n">
        <x:f>F52+G51</x:f>
      </x:c>
      <x:c r="H52" s="117" t="n">
        <x:f>G52+H51</x:f>
      </x:c>
      <x:c r="I52" s="117" t="n">
        <x:f>H52+I51</x:f>
      </x:c>
      <x:c r="J52" s="117" t="n">
        <x:f>I52+J51</x:f>
      </x:c>
      <x:c r="K52" s="117" t="n">
        <x:f>J52+K51</x:f>
      </x:c>
      <x:c r="L52" s="117" t="n">
        <x:f>K52+L51</x:f>
      </x:c>
      <x:c r="M52" s="117" t="n">
        <x:f>L52+M51</x:f>
      </x:c>
      <x:c r="N52" s="117" t="n">
        <x:f>M52+N51</x:f>
      </x:c>
      <x:c r="O52" s="117" t="n">
        <x:f>N52+O51</x:f>
      </x:c>
      <x:c r="P52" s="117" t="n">
        <x:f>O52+P51</x:f>
      </x:c>
      <x:c r="Q52" s="117" t="n">
        <x:f>P52+Q51</x:f>
      </x:c>
      <x:c r="R52" s="117" t="n">
        <x:f>Q52+R51</x:f>
      </x:c>
      <x:c r="S52" s="117" t="n">
        <x:f>R52+S51</x:f>
      </x:c>
      <x:c r="T52" s="117" t="n">
        <x:f>S52+T51</x:f>
      </x:c>
      <x:c r="U52" s="117" t="n">
        <x:f>T52+U51</x:f>
      </x:c>
      <x:c r="V52" s="117" t="n">
        <x:f>U52+V51</x:f>
      </x:c>
      <x:c r="W52" s="117" t="n">
        <x:f>V52+W51</x:f>
      </x:c>
      <x:c r="X52" s="117" t="n">
        <x:f>W52+X51</x:f>
      </x:c>
      <x:c r="Y52" s="117" t="n">
        <x:f>X52+Y51</x:f>
      </x:c>
      <x:c r="Z52" s="117" t="n">
        <x:f>Y52+Z51</x:f>
      </x:c>
      <x:c r="AA52" s="117" t="n">
        <x:f>Z52+AA51</x:f>
      </x:c>
      <x:c r="AB52" s="117" t="n">
        <x:f>AA52+AB51</x:f>
      </x:c>
      <x:c r="AC52" s="117" t="n">
        <x:f>AB52+AC51</x:f>
      </x:c>
      <x:c r="AD52" s="117" t="n">
        <x:f>AC52+AD51</x:f>
      </x:c>
      <x:c r="AE52" s="117" t="n">
        <x:f>AD52+AE51</x:f>
      </x:c>
      <x:c r="AF52" s="117" t="n">
        <x:f>AE52+AF51</x:f>
      </x:c>
      <x:c r="AG52" s="117" t="n">
        <x:f>AF52+AG51</x:f>
      </x:c>
      <x:c r="AH52" s="117" t="n">
        <x:f>AG52+AH51</x:f>
      </x:c>
      <x:c r="AI52" s="117" t="n">
        <x:f>AH52+AI51</x:f>
      </x:c>
      <x:c r="AJ52" s="117" t="n">
        <x:f>AI52+AJ51</x:f>
      </x:c>
      <x:c r="AK52" s="117" t="n">
        <x:f>AJ52+AK51</x:f>
      </x:c>
      <x:c r="AL52" s="117" t="n">
        <x:f>AK52+AL51</x:f>
      </x:c>
      <x:c r="AM52" s="117" t="n">
        <x:f>AL52+AM51</x:f>
      </x:c>
      <x:c r="AN52" s="117" t="n">
        <x:f>AM52+AN51</x:f>
      </x:c>
      <x:c r="AO52" s="117" t="n">
        <x:f>AN52+AO51</x:f>
      </x:c>
      <x:c r="AP52" s="117" t="n">
        <x:f>AO52+AP51</x:f>
      </x:c>
      <x:c r="AQ52" s="117" t="n">
        <x:f>AP52+AQ51</x:f>
      </x:c>
      <x:c r="AR52" s="117" t="n">
        <x:f>AQ52+AR51</x:f>
      </x:c>
      <x:c r="AS52" s="117" t="n">
        <x:f>AR52+AS51</x:f>
      </x:c>
      <x:c r="AT52" s="117" t="n">
        <x:f>AS52+AT51</x:f>
      </x:c>
      <x:c r="AU52" s="117" t="n">
        <x:f>AT52+AU51</x:f>
      </x:c>
      <x:c r="AV52" s="117" t="n">
        <x:f>AU52+AV51</x:f>
      </x:c>
      <x:c r="AW52" s="117" t="n">
        <x:f>AV52+AW51</x:f>
      </x:c>
      <x:c r="AX52" s="117" t="n">
        <x:f>AW52+AX51</x:f>
      </x:c>
      <x:c r="AY52" s="117" t="n">
        <x:f>AX52+AY51</x:f>
      </x:c>
      <x:c r="AZ52" s="117" t="n">
        <x:f>AY52+AZ51</x:f>
      </x:c>
      <x:c r="BA52" s="117" t="n">
        <x:f>AZ52+BA51</x:f>
      </x:c>
      <x:c r="BB52" s="117" t="n">
        <x:f>BA52+BB51</x:f>
      </x:c>
      <x:c r="BC52" s="117" t="n">
        <x:f>BB52+BC51</x:f>
      </x:c>
      <x:c r="BD52" s="117" t="n">
        <x:f>BC52+BD51</x:f>
      </x:c>
      <x:c r="BE52" s="117" t="n">
        <x:f>BD52+BE51</x:f>
      </x:c>
      <x:c r="BF52" s="117" t="n">
        <x:f>BE52+BF51</x:f>
      </x:c>
      <x:c r="BG52" s="117" t="n">
        <x:f>BF52+BG51</x:f>
      </x:c>
      <x:c r="BH52" s="117" t="n">
        <x:f>BG52+BH51</x:f>
      </x:c>
      <x:c r="BI52" s="117" t="n">
        <x:f>BH52+BI51</x:f>
      </x:c>
      <x:c r="BJ52" s="117" t="n">
        <x:f>BI52+BJ51</x:f>
      </x:c>
      <x:c r="BK52" s="117" t="n">
        <x:f>BJ52+BK51</x:f>
      </x:c>
      <x:c r="BL52" s="117" t="n">
        <x:f>BK52+BL51</x:f>
      </x:c>
      <x:c r="BM52" s="117" t="n">
        <x:f>BL52+BM51</x:f>
      </x:c>
      <x:c r="BN52" s="117" t="n">
        <x:f>BM52+BN51</x:f>
      </x:c>
      <x:c r="BO52" s="117" t="n">
        <x:f>BN52+BO51</x:f>
      </x:c>
      <x:c r="BP52" s="117" t="n">
        <x:f>BO52+BP51</x:f>
      </x:c>
      <x:c r="BQ52" s="117" t="n">
        <x:f>BP52+BQ51</x:f>
      </x:c>
      <x:c r="BR52" s="117" t="n">
        <x:f>BQ52+BR51</x:f>
      </x:c>
      <x:c r="BS52" s="117" t="n">
        <x:f>BR52+BS51</x:f>
      </x:c>
      <x:c r="BT52" s="117" t="n">
        <x:f>BS52+BT51</x:f>
      </x:c>
      <x:c r="BU52" s="117" t="n">
        <x:f>BT52+BU51</x:f>
      </x:c>
      <x:c r="BV52" s="117" t="n">
        <x:f>BU52+BV51</x:f>
      </x:c>
      <x:c r="BW52" s="117" t="n">
        <x:f>BV52+BW51</x:f>
      </x:c>
      <x:c r="BX52" s="117" t="n">
        <x:f>BW52+BX51</x:f>
      </x:c>
      <x:c r="BY52" s="117" t="n">
        <x:f>BX52+BY51</x:f>
      </x:c>
      <x:c r="BZ52" s="117" t="n">
        <x:f>BY52+BZ51</x:f>
      </x:c>
      <x:c r="CA52" s="117" t="n">
        <x:f>BZ52+CA51</x:f>
      </x:c>
      <x:c r="CB52" s="117" t="n">
        <x:f>CA52+CB51</x:f>
      </x:c>
      <x:c r="CC52" s="117" t="n">
        <x:f>CB52+CC51</x:f>
      </x:c>
      <x:c r="CD52" s="117" t="n">
        <x:f>CC52+CD51</x:f>
      </x:c>
      <x:c r="CE52" s="117" t="n">
        <x:f>CD52+CE51</x:f>
      </x:c>
      <x:c r="CF52" s="117" t="n">
        <x:f>CE52+CF51</x:f>
      </x:c>
      <x:c r="CG52" s="117" t="n">
        <x:f>CF52+CG51</x:f>
      </x:c>
      <x:c r="CH52" s="117" t="n">
        <x:f>CG52+CH51</x:f>
      </x:c>
      <x:c r="CI52" s="117" t="n">
        <x:f>CH52+CI51</x:f>
      </x:c>
      <x:c r="CJ52" s="117" t="n">
        <x:f>CI52+CJ51</x:f>
      </x:c>
      <x:c r="CK52" s="117" t="n">
        <x:f>CJ52+CK51</x:f>
      </x:c>
      <x:c r="CL52" s="117" t="n">
        <x:f>CK52+CL51</x:f>
      </x:c>
      <x:c r="CM52" s="117" t="n">
        <x:f>CL52+CM51</x:f>
      </x:c>
      <x:c r="CN52" s="117" t="n">
        <x:f>CM52+CN51</x:f>
      </x:c>
      <x:c r="CO52" s="117" t="n">
        <x:f>CN52+CO51</x:f>
      </x:c>
      <x:c r="CP52" s="117" t="n">
        <x:f>CO52+CP51</x:f>
      </x:c>
      <x:c r="CQ52" s="117" t="n">
        <x:f>CP52+CQ51</x:f>
      </x:c>
      <x:c r="CR52" s="117" t="n">
        <x:f>CQ52+CR51</x:f>
      </x:c>
      <x:c r="CS52" s="117" t="n">
        <x:f>CR52+CS51</x:f>
      </x:c>
      <x:c r="CT52" s="117" t="n">
        <x:f>CS52+CT51</x:f>
      </x:c>
      <x:c r="CU52" s="117" t="n">
        <x:f>CT52+CU51</x:f>
      </x:c>
      <x:c r="CV52" s="117" t="n">
        <x:f>CU52+CV51</x:f>
      </x:c>
      <x:c r="CW52" s="117" t="n">
        <x:f>CV52+CW51</x:f>
      </x:c>
      <x:c r="CX52" s="117" t="n">
        <x:f>CW52+CX51</x:f>
      </x:c>
      <x:c r="CY52" s="117" t="n">
        <x:f>CX52+CY51</x:f>
      </x:c>
      <x:c r="CZ52" s="117" t="n">
        <x:f>CY52+CZ51</x:f>
      </x:c>
      <x:c r="DA52" s="117" t="n">
        <x:f>CZ52+DA51</x:f>
      </x:c>
      <x:c r="DB52" s="117" t="n">
        <x:f>DA52+DB51</x:f>
      </x:c>
      <x:c r="DC52" s="117" t="n">
        <x:f>DB52+DC51</x:f>
      </x:c>
      <x:c r="DD52" s="117" t="n">
        <x:f>DC52+DD51</x:f>
      </x:c>
      <x:c r="DE52" s="117" t="n">
        <x:f>DD52+DE51</x:f>
      </x:c>
      <x:c r="DF52" s="117" t="n">
        <x:f>DE52+DF51</x:f>
      </x:c>
      <x:c r="DG52" s="117" t="n">
        <x:f>DF52+DG51</x:f>
      </x:c>
      <x:c r="DH52" s="117" t="n">
        <x:f>DG52+DH51</x:f>
      </x:c>
      <x:c r="DI52" s="117" t="n">
        <x:f>DH52+DI51</x:f>
      </x:c>
      <x:c r="DJ52" s="117" t="n">
        <x:f>DI52+DJ51</x:f>
      </x:c>
      <x:c r="DK52" s="117" t="n">
        <x:f>DJ52+DK51</x:f>
      </x:c>
      <x:c r="DL52" s="117" t="n">
        <x:f>DK52+DL51</x:f>
      </x:c>
      <x:c r="DM52" s="117" t="n">
        <x:f>DL52+DM51</x:f>
      </x:c>
      <x:c r="DN52" s="117" t="n">
        <x:f>DM52+DN51</x:f>
      </x:c>
      <x:c r="DO52" s="117" t="n">
        <x:f>DN52+DO51</x:f>
      </x:c>
      <x:c r="DP52" s="117" t="n">
        <x:f>DO52+DP51</x:f>
      </x:c>
      <x:c r="DQ52" s="117" t="n">
        <x:f>DP52+DQ51</x:f>
      </x:c>
      <x:c r="DR52" s="117" t="n">
        <x:f>DQ52+DR51</x:f>
      </x:c>
      <x:c r="DS52" s="117" t="n">
        <x:f>DR52+DS51</x:f>
      </x:c>
      <x:c r="DT52" s="117" t="n">
        <x:f>DS52+DT51</x:f>
      </x:c>
      <x:c r="DU52" s="117" t="n">
        <x:f>DT52+DU51</x:f>
      </x:c>
      <x:c r="DV52" s="117" t="n">
        <x:f>DU52+DV51</x:f>
      </x:c>
      <x:c r="DW52" s="117" t="n">
        <x:f>DV52+DW51</x:f>
      </x:c>
      <x:c r="DX52" s="117" t="n">
        <x:f>DW52+DX51</x:f>
      </x:c>
      <x:c r="DY52" s="117" t="n">
        <x:f>DX52+DY51</x:f>
      </x:c>
      <x:c r="DZ52" s="117" t="n">
        <x:f>DY52+DZ51</x:f>
      </x:c>
      <x:c r="EA52" s="117" t="n">
        <x:f>DZ52+EA51</x:f>
      </x:c>
      <x:c r="EB52" s="117" t="n">
        <x:f>EA52+EB51</x:f>
      </x:c>
      <x:c r="EC52" s="117" t="n">
        <x:f>EB52+EC51</x:f>
      </x:c>
      <x:c r="ED52" s="117" t="n">
        <x:f>EC52+ED51</x:f>
      </x:c>
      <x:c r="EE52" s="117" t="n">
        <x:f>ED52+EE51</x:f>
      </x:c>
      <x:c r="EF52" s="117" t="n">
        <x:f>EE52+EF51</x:f>
      </x:c>
      <x:c r="EG52" s="117" t="n">
        <x:f>EF52+EG51</x:f>
      </x:c>
      <x:c r="EH52" s="117" t="n">
        <x:f>EG52+EH51</x:f>
      </x:c>
      <x:c r="EI52" s="117" t="n">
        <x:f>EH52+EI51</x:f>
      </x:c>
      <x:c r="EJ52" s="117" t="n">
        <x:f>EI52+EJ51</x:f>
      </x:c>
      <x:c r="EK52" s="117" t="n">
        <x:f>EJ52+EK51</x:f>
      </x:c>
      <x:c r="EL52" s="117" t="n">
        <x:f>EK52+EL51</x:f>
      </x:c>
      <x:c r="EM52" s="117" t="n">
        <x:f>EL52+EM51</x:f>
      </x:c>
      <x:c r="EN52" s="117" t="n">
        <x:f>EM52+EN51</x:f>
      </x:c>
      <x:c r="EO52" s="117" t="n">
        <x:f>EN52+EO51</x:f>
      </x:c>
      <x:c r="EP52" s="117" t="n">
        <x:f>EO52+EP51</x:f>
      </x:c>
      <x:c r="EQ52" s="117" t="n">
        <x:f>EP52+EQ51</x:f>
      </x:c>
      <x:c r="ER52" s="117" t="n">
        <x:f>EQ52+ER51</x:f>
      </x:c>
      <x:c r="ES52" s="117" t="n">
        <x:f>ER52+ES51</x:f>
      </x:c>
      <x:c r="ET52" s="117" t="n">
        <x:f>ES52+ET51</x:f>
      </x:c>
      <x:c r="EU52" s="117" t="n">
        <x:f>ET52+EU51</x:f>
      </x:c>
      <x:c r="EV52" s="117" t="n">
        <x:f>EU52+EV51</x:f>
      </x:c>
      <x:c r="EW52" s="117" t="n">
        <x:f>EV52+EW51</x:f>
      </x:c>
      <x:c r="EX52" s="117" t="n">
        <x:f>EW52+EX51</x:f>
      </x:c>
      <x:c r="EY52" s="117" t="n">
        <x:f>EX52+EY51</x:f>
      </x:c>
      <x:c r="EZ52" s="117" t="n">
        <x:f>EY52+EZ51</x:f>
      </x:c>
      <x:c r="FA52" s="117" t="n">
        <x:f>EZ52+FA51</x:f>
      </x:c>
      <x:c r="FB52" s="117" t="n">
        <x:f>FA52+FB51</x:f>
      </x:c>
      <x:c r="FC52" s="117" t="n">
        <x:f>FB52+FC51</x:f>
      </x:c>
      <x:c r="FD52" s="117" t="n">
        <x:f>FC52+FD51</x:f>
      </x:c>
      <x:c r="FE52" s="117" t="n">
        <x:f>FD52+FE51</x:f>
      </x:c>
      <x:c r="FF52" s="117" t="n">
        <x:f>FE52+FF51</x:f>
      </x:c>
      <x:c r="FG52" s="117" t="n">
        <x:f>FF52+FG51</x:f>
      </x:c>
      <x:c r="FH52" s="117" t="n">
        <x:f>FG52+FH51</x:f>
      </x:c>
      <x:c r="FI52" s="117" t="n">
        <x:f>FH52+FI51</x:f>
      </x:c>
      <x:c r="FJ52" s="117" t="n">
        <x:f>FI52+FJ51</x:f>
      </x:c>
      <x:c r="FK52" s="117" t="n">
        <x:f>FJ52+FK51</x:f>
      </x:c>
      <x:c r="FL52" s="117" t="n">
        <x:f>FK52+FL51</x:f>
      </x:c>
      <x:c r="FM52" s="117" t="n">
        <x:f>FL52+FM51</x:f>
      </x:c>
      <x:c r="FN52" s="117" t="n">
        <x:f>FM52+FN51</x:f>
      </x:c>
      <x:c r="FO52" s="117" t="n">
        <x:f>FN52+FO51</x:f>
      </x:c>
      <x:c r="FP52" s="117" t="n">
        <x:f>FO52+FP51</x:f>
      </x:c>
      <x:c r="FQ52" s="117" t="n">
        <x:f>FP52+FQ51</x:f>
      </x:c>
      <x:c r="FR52" s="117" t="n">
        <x:f>FQ52+FR51</x:f>
      </x:c>
      <x:c r="FS52" s="117" t="n">
        <x:f>FR52+FS51</x:f>
      </x:c>
      <x:c r="FT52" s="117" t="n">
        <x:f>FS52+FT51</x:f>
      </x:c>
      <x:c r="FU52" s="117" t="n">
        <x:f>FT52+FU51</x:f>
      </x:c>
      <x:c r="FV52" s="117" t="n">
        <x:f>FU52+FV51</x:f>
      </x:c>
      <x:c r="FW52" s="117" t="n">
        <x:f>FV52+FW51</x:f>
      </x:c>
      <x:c r="FX52" s="117" t="n">
        <x:f>FW52+FX51</x:f>
      </x:c>
      <x:c r="FY52" s="117" t="n">
        <x:f>FX52+FY51</x:f>
      </x:c>
      <x:c r="FZ52" s="117" t="n">
        <x:f>FY52+FZ51</x:f>
      </x:c>
      <x:c r="GA52" s="117" t="n">
        <x:f>FZ52+GA51</x:f>
      </x:c>
    </x:row>
    <x:row r="53">
      <x:c r="A53" t="inlineStr">
        <x:is>
          <x:t>ПФ — уплата процентов и комиссий</x:t>
        </x:is>
      </x:c>
      <x:c r="B53">
        <x:f>SUM(D53:GA53)</x:f>
      </x:c>
      <x:c r="C53"/>
      <x:c r="D53" s="117">
        <x:f>IF(D$3&lt;$B$8,0,IF(AND(YEAR(D$3)=YEAR($B$8),MONTH(D$3)=MONTH($B$8)),C48*(1+D41/12),0)+D42+D43)</x:f>
      </x:c>
      <x:c r="E53" s="117">
        <x:f>IF(E$3&lt;$B$8,0,IF(AND(YEAR(E$3)=YEAR($B$8),MONTH(E$3)=MONTH($B$8)),D48*(1+E41/12),0)+E42+E43)</x:f>
      </x:c>
      <x:c r="F53" s="117">
        <x:f>IF(F$3&lt;$B$8,0,IF(AND(YEAR(F$3)=YEAR($B$8),MONTH(F$3)=MONTH($B$8)),E48*(1+F41/12),0)+F42+F43)</x:f>
      </x:c>
      <x:c r="G53" s="117">
        <x:f>IF(G$3&lt;$B$8,0,IF(AND(YEAR(G$3)=YEAR($B$8),MONTH(G$3)=MONTH($B$8)),F48*(1+G41/12),0)+G42+G43)</x:f>
      </x:c>
      <x:c r="H53" s="117">
        <x:f>IF(H$3&lt;$B$8,0,IF(AND(YEAR(H$3)=YEAR($B$8),MONTH(H$3)=MONTH($B$8)),G48*(1+H41/12),0)+H42+H43)</x:f>
      </x:c>
      <x:c r="I53" s="117">
        <x:f>IF(I$3&lt;$B$8,0,IF(AND(YEAR(I$3)=YEAR($B$8),MONTH(I$3)=MONTH($B$8)),H48*(1+I41/12),0)+I42+I43)</x:f>
      </x:c>
      <x:c r="J53" s="117">
        <x:f>IF(J$3&lt;$B$8,0,IF(AND(YEAR(J$3)=YEAR($B$8),MONTH(J$3)=MONTH($B$8)),I48*(1+J41/12),0)+J42+J43)</x:f>
      </x:c>
      <x:c r="K53" s="117">
        <x:f>IF(K$3&lt;$B$8,0,IF(AND(YEAR(K$3)=YEAR($B$8),MONTH(K$3)=MONTH($B$8)),J48*(1+K41/12),0)+K42+K43)</x:f>
      </x:c>
      <x:c r="L53" s="117">
        <x:f>IF(L$3&lt;$B$8,0,IF(AND(YEAR(L$3)=YEAR($B$8),MONTH(L$3)=MONTH($B$8)),K48*(1+L41/12),0)+L42+L43)</x:f>
      </x:c>
      <x:c r="M53" s="117">
        <x:f>IF(M$3&lt;$B$8,0,IF(AND(YEAR(M$3)=YEAR($B$8),MONTH(M$3)=MONTH($B$8)),L48*(1+M41/12),0)+M42+M43)</x:f>
      </x:c>
      <x:c r="N53" s="117">
        <x:f>IF(N$3&lt;$B$8,0,IF(AND(YEAR(N$3)=YEAR($B$8),MONTH(N$3)=MONTH($B$8)),M48*(1+N41/12),0)+N42+N43)</x:f>
      </x:c>
      <x:c r="O53" s="117">
        <x:f>IF(O$3&lt;$B$8,0,IF(AND(YEAR(O$3)=YEAR($B$8),MONTH(O$3)=MONTH($B$8)),N48*(1+O41/12),0)+O42+O43)</x:f>
      </x:c>
      <x:c r="P53" s="117">
        <x:f>IF(P$3&lt;$B$8,0,IF(AND(YEAR(P$3)=YEAR($B$8),MONTH(P$3)=MONTH($B$8)),O48*(1+P41/12),0)+P42+P43)</x:f>
      </x:c>
      <x:c r="Q53" s="117">
        <x:f>IF(Q$3&lt;$B$8,0,IF(AND(YEAR(Q$3)=YEAR($B$8),MONTH(Q$3)=MONTH($B$8)),P48*(1+Q41/12),0)+Q42+Q43)</x:f>
      </x:c>
      <x:c r="R53" s="117">
        <x:f>IF(R$3&lt;$B$8,0,IF(AND(YEAR(R$3)=YEAR($B$8),MONTH(R$3)=MONTH($B$8)),Q48*(1+R41/12),0)+R42+R43)</x:f>
      </x:c>
      <x:c r="S53" s="117">
        <x:f>IF(S$3&lt;$B$8,0,IF(AND(YEAR(S$3)=YEAR($B$8),MONTH(S$3)=MONTH($B$8)),R48*(1+S41/12),0)+S42+S43)</x:f>
      </x:c>
      <x:c r="T53" s="117">
        <x:f>IF(T$3&lt;$B$8,0,IF(AND(YEAR(T$3)=YEAR($B$8),MONTH(T$3)=MONTH($B$8)),S48*(1+T41/12),0)+T42+T43)</x:f>
      </x:c>
      <x:c r="U53" s="117">
        <x:f>IF(U$3&lt;$B$8,0,IF(AND(YEAR(U$3)=YEAR($B$8),MONTH(U$3)=MONTH($B$8)),T48*(1+U41/12),0)+U42+U43)</x:f>
      </x:c>
      <x:c r="V53" s="117">
        <x:f>IF(V$3&lt;$B$8,0,IF(AND(YEAR(V$3)=YEAR($B$8),MONTH(V$3)=MONTH($B$8)),U48*(1+V41/12),0)+V42+V43)</x:f>
      </x:c>
      <x:c r="W53" s="117">
        <x:f>IF(W$3&lt;$B$8,0,IF(AND(YEAR(W$3)=YEAR($B$8),MONTH(W$3)=MONTH($B$8)),V48*(1+W41/12),0)+W42+W43)</x:f>
      </x:c>
      <x:c r="X53" s="117">
        <x:f>IF(X$3&lt;$B$8,0,IF(AND(YEAR(X$3)=YEAR($B$8),MONTH(X$3)=MONTH($B$8)),W48*(1+X41/12),0)+X42+X43)</x:f>
      </x:c>
      <x:c r="Y53" s="117">
        <x:f>IF(Y$3&lt;$B$8,0,IF(AND(YEAR(Y$3)=YEAR($B$8),MONTH(Y$3)=MONTH($B$8)),X48*(1+Y41/12),0)+Y42+Y43)</x:f>
      </x:c>
      <x:c r="Z53" s="117">
        <x:f>IF(Z$3&lt;$B$8,0,IF(AND(YEAR(Z$3)=YEAR($B$8),MONTH(Z$3)=MONTH($B$8)),Y48*(1+Z41/12),0)+Z42+Z43)</x:f>
      </x:c>
      <x:c r="AA53" s="117">
        <x:f>IF(AA$3&lt;$B$8,0,IF(AND(YEAR(AA$3)=YEAR($B$8),MONTH(AA$3)=MONTH($B$8)),Z48*(1+AA41/12),0)+AA42+AA43)</x:f>
      </x:c>
      <x:c r="AB53" s="117">
        <x:f>IF(AB$3&lt;$B$8,0,IF(AND(YEAR(AB$3)=YEAR($B$8),MONTH(AB$3)=MONTH($B$8)),AA48*(1+AB41/12),0)+AB42+AB43)</x:f>
      </x:c>
      <x:c r="AC53" s="117">
        <x:f>IF(AC$3&lt;$B$8,0,IF(AND(YEAR(AC$3)=YEAR($B$8),MONTH(AC$3)=MONTH($B$8)),AB48*(1+AC41/12),0)+AC42+AC43)</x:f>
      </x:c>
      <x:c r="AD53" s="117">
        <x:f>IF(AD$3&lt;$B$8,0,IF(AND(YEAR(AD$3)=YEAR($B$8),MONTH(AD$3)=MONTH($B$8)),AC48*(1+AD41/12),0)+AD42+AD43)</x:f>
      </x:c>
      <x:c r="AE53" s="117">
        <x:f>IF(AE$3&lt;$B$8,0,IF(AND(YEAR(AE$3)=YEAR($B$8),MONTH(AE$3)=MONTH($B$8)),AD48*(1+AE41/12),0)+AE42+AE43)</x:f>
      </x:c>
      <x:c r="AF53" s="117">
        <x:f>IF(AF$3&lt;$B$8,0,IF(AND(YEAR(AF$3)=YEAR($B$8),MONTH(AF$3)=MONTH($B$8)),AE48*(1+AF41/12),0)+AF42+AF43)</x:f>
      </x:c>
      <x:c r="AG53" s="117">
        <x:f>IF(AG$3&lt;$B$8,0,IF(AND(YEAR(AG$3)=YEAR($B$8),MONTH(AG$3)=MONTH($B$8)),AF48*(1+AG41/12),0)+AG42+AG43)</x:f>
      </x:c>
      <x:c r="AH53" s="117">
        <x:f>IF(AH$3&lt;$B$8,0,IF(AND(YEAR(AH$3)=YEAR($B$8),MONTH(AH$3)=MONTH($B$8)),AG48*(1+AH41/12),0)+AH42+AH43)</x:f>
      </x:c>
      <x:c r="AI53" s="117">
        <x:f>IF(AI$3&lt;$B$8,0,IF(AND(YEAR(AI$3)=YEAR($B$8),MONTH(AI$3)=MONTH($B$8)),AH48*(1+AI41/12),0)+AI42+AI43)</x:f>
      </x:c>
      <x:c r="AJ53" s="117">
        <x:f>IF(AJ$3&lt;$B$8,0,IF(AND(YEAR(AJ$3)=YEAR($B$8),MONTH(AJ$3)=MONTH($B$8)),AI48*(1+AJ41/12),0)+AJ42+AJ43)</x:f>
      </x:c>
      <x:c r="AK53" s="117">
        <x:f>IF(AK$3&lt;$B$8,0,IF(AND(YEAR(AK$3)=YEAR($B$8),MONTH(AK$3)=MONTH($B$8)),AJ48*(1+AK41/12),0)+AK42+AK43)</x:f>
      </x:c>
      <x:c r="AL53" s="117">
        <x:f>IF(AL$3&lt;$B$8,0,IF(AND(YEAR(AL$3)=YEAR($B$8),MONTH(AL$3)=MONTH($B$8)),AK48*(1+AL41/12),0)+AL42+AL43)</x:f>
      </x:c>
      <x:c r="AM53" s="117">
        <x:f>IF(AM$3&lt;$B$8,0,IF(AND(YEAR(AM$3)=YEAR($B$8),MONTH(AM$3)=MONTH($B$8)),AL48*(1+AM41/12),0)+AM42+AM43)</x:f>
      </x:c>
      <x:c r="AN53" s="117">
        <x:f>IF(AN$3&lt;$B$8,0,IF(AND(YEAR(AN$3)=YEAR($B$8),MONTH(AN$3)=MONTH($B$8)),AM48*(1+AN41/12),0)+AN42+AN43)</x:f>
      </x:c>
      <x:c r="AO53" s="117">
        <x:f>IF(AO$3&lt;$B$8,0,IF(AND(YEAR(AO$3)=YEAR($B$8),MONTH(AO$3)=MONTH($B$8)),AN48*(1+AO41/12),0)+AO42+AO43)</x:f>
      </x:c>
      <x:c r="AP53" s="117">
        <x:f>IF(AP$3&lt;$B$8,0,IF(AND(YEAR(AP$3)=YEAR($B$8),MONTH(AP$3)=MONTH($B$8)),AO48*(1+AP41/12),0)+AP42+AP43)</x:f>
      </x:c>
      <x:c r="AQ53" s="117">
        <x:f>IF(AQ$3&lt;$B$8,0,IF(AND(YEAR(AQ$3)=YEAR($B$8),MONTH(AQ$3)=MONTH($B$8)),AP48*(1+AQ41/12),0)+AQ42+AQ43)</x:f>
      </x:c>
      <x:c r="AR53" s="117">
        <x:f>IF(AR$3&lt;$B$8,0,IF(AND(YEAR(AR$3)=YEAR($B$8),MONTH(AR$3)=MONTH($B$8)),AQ48*(1+AR41/12),0)+AR42+AR43)</x:f>
      </x:c>
      <x:c r="AS53" s="117">
        <x:f>IF(AS$3&lt;$B$8,0,IF(AND(YEAR(AS$3)=YEAR($B$8),MONTH(AS$3)=MONTH($B$8)),AR48*(1+AS41/12),0)+AS42+AS43)</x:f>
      </x:c>
      <x:c r="AT53" s="117">
        <x:f>IF(AT$3&lt;$B$8,0,IF(AND(YEAR(AT$3)=YEAR($B$8),MONTH(AT$3)=MONTH($B$8)),AS48*(1+AT41/12),0)+AT42+AT43)</x:f>
      </x:c>
      <x:c r="AU53" s="117">
        <x:f>IF(AU$3&lt;$B$8,0,IF(AND(YEAR(AU$3)=YEAR($B$8),MONTH(AU$3)=MONTH($B$8)),AT48*(1+AU41/12),0)+AU42+AU43)</x:f>
      </x:c>
      <x:c r="AV53" s="117">
        <x:f>IF(AV$3&lt;$B$8,0,IF(AND(YEAR(AV$3)=YEAR($B$8),MONTH(AV$3)=MONTH($B$8)),AU48*(1+AV41/12),0)+AV42+AV43)</x:f>
      </x:c>
      <x:c r="AW53" s="117">
        <x:f>IF(AW$3&lt;$B$8,0,IF(AND(YEAR(AW$3)=YEAR($B$8),MONTH(AW$3)=MONTH($B$8)),AV48*(1+AW41/12),0)+AW42+AW43)</x:f>
      </x:c>
      <x:c r="AX53" s="117">
        <x:f>IF(AX$3&lt;$B$8,0,IF(AND(YEAR(AX$3)=YEAR($B$8),MONTH(AX$3)=MONTH($B$8)),AW48*(1+AX41/12),0)+AX42+AX43)</x:f>
      </x:c>
      <x:c r="AY53" s="117">
        <x:f>IF(AY$3&lt;$B$8,0,IF(AND(YEAR(AY$3)=YEAR($B$8),MONTH(AY$3)=MONTH($B$8)),AX48*(1+AY41/12),0)+AY42+AY43)</x:f>
      </x:c>
      <x:c r="AZ53" s="117">
        <x:f>IF(AZ$3&lt;$B$8,0,IF(AND(YEAR(AZ$3)=YEAR($B$8),MONTH(AZ$3)=MONTH($B$8)),AY48*(1+AZ41/12),0)+AZ42+AZ43)</x:f>
      </x:c>
      <x:c r="BA53" s="117">
        <x:f>IF(BA$3&lt;$B$8,0,IF(AND(YEAR(BA$3)=YEAR($B$8),MONTH(BA$3)=MONTH($B$8)),AZ48*(1+BA41/12),0)+BA42+BA43)</x:f>
      </x:c>
      <x:c r="BB53" s="117">
        <x:f>IF(BB$3&lt;$B$8,0,IF(AND(YEAR(BB$3)=YEAR($B$8),MONTH(BB$3)=MONTH($B$8)),BA48*(1+BB41/12),0)+BB42+BB43)</x:f>
      </x:c>
      <x:c r="BC53" s="117">
        <x:f>IF(BC$3&lt;$B$8,0,IF(AND(YEAR(BC$3)=YEAR($B$8),MONTH(BC$3)=MONTH($B$8)),BB48*(1+BC41/12),0)+BC42+BC43)</x:f>
      </x:c>
      <x:c r="BD53" s="117">
        <x:f>IF(BD$3&lt;$B$8,0,IF(AND(YEAR(BD$3)=YEAR($B$8),MONTH(BD$3)=MONTH($B$8)),BC48*(1+BD41/12),0)+BD42+BD43)</x:f>
      </x:c>
      <x:c r="BE53" s="117">
        <x:f>IF(BE$3&lt;$B$8,0,IF(AND(YEAR(BE$3)=YEAR($B$8),MONTH(BE$3)=MONTH($B$8)),BD48*(1+BE41/12),0)+BE42+BE43)</x:f>
      </x:c>
      <x:c r="BF53" s="117">
        <x:f>IF(BF$3&lt;$B$8,0,IF(AND(YEAR(BF$3)=YEAR($B$8),MONTH(BF$3)=MONTH($B$8)),BE48*(1+BF41/12),0)+BF42+BF43)</x:f>
      </x:c>
      <x:c r="BG53" s="117">
        <x:f>IF(BG$3&lt;$B$8,0,IF(AND(YEAR(BG$3)=YEAR($B$8),MONTH(BG$3)=MONTH($B$8)),BF48*(1+BG41/12),0)+BG42+BG43)</x:f>
      </x:c>
      <x:c r="BH53" s="117">
        <x:f>IF(BH$3&lt;$B$8,0,IF(AND(YEAR(BH$3)=YEAR($B$8),MONTH(BH$3)=MONTH($B$8)),BG48*(1+BH41/12),0)+BH42+BH43)</x:f>
      </x:c>
      <x:c r="BI53" s="117">
        <x:f>IF(BI$3&lt;$B$8,0,IF(AND(YEAR(BI$3)=YEAR($B$8),MONTH(BI$3)=MONTH($B$8)),BH48*(1+BI41/12),0)+BI42+BI43)</x:f>
      </x:c>
      <x:c r="BJ53" s="117">
        <x:f>IF(BJ$3&lt;$B$8,0,IF(AND(YEAR(BJ$3)=YEAR($B$8),MONTH(BJ$3)=MONTH($B$8)),BI48*(1+BJ41/12),0)+BJ42+BJ43)</x:f>
      </x:c>
      <x:c r="BK53" s="117">
        <x:f>IF(BK$3&lt;$B$8,0,IF(AND(YEAR(BK$3)=YEAR($B$8),MONTH(BK$3)=MONTH($B$8)),BJ48*(1+BK41/12),0)+BK42+BK43)</x:f>
      </x:c>
      <x:c r="BL53" s="117">
        <x:f>IF(BL$3&lt;$B$8,0,IF(AND(YEAR(BL$3)=YEAR($B$8),MONTH(BL$3)=MONTH($B$8)),BK48*(1+BL41/12),0)+BL42+BL43)</x:f>
      </x:c>
      <x:c r="BM53" s="117">
        <x:f>IF(BM$3&lt;$B$8,0,IF(AND(YEAR(BM$3)=YEAR($B$8),MONTH(BM$3)=MONTH($B$8)),BL48*(1+BM41/12),0)+BM42+BM43)</x:f>
      </x:c>
      <x:c r="BN53" s="117">
        <x:f>IF(BN$3&lt;$B$8,0,IF(AND(YEAR(BN$3)=YEAR($B$8),MONTH(BN$3)=MONTH($B$8)),BM48*(1+BN41/12),0)+BN42+BN43)</x:f>
      </x:c>
      <x:c r="BO53" s="117">
        <x:f>IF(BO$3&lt;$B$8,0,IF(AND(YEAR(BO$3)=YEAR($B$8),MONTH(BO$3)=MONTH($B$8)),BN48*(1+BO41/12),0)+BO42+BO43)</x:f>
      </x:c>
      <x:c r="BP53" s="117">
        <x:f>IF(BP$3&lt;$B$8,0,IF(AND(YEAR(BP$3)=YEAR($B$8),MONTH(BP$3)=MONTH($B$8)),BO48*(1+BP41/12),0)+BP42+BP43)</x:f>
      </x:c>
      <x:c r="BQ53" s="117">
        <x:f>IF(BQ$3&lt;$B$8,0,IF(AND(YEAR(BQ$3)=YEAR($B$8),MONTH(BQ$3)=MONTH($B$8)),BP48*(1+BQ41/12),0)+BQ42+BQ43)</x:f>
      </x:c>
      <x:c r="BR53" s="117">
        <x:f>IF(BR$3&lt;$B$8,0,IF(AND(YEAR(BR$3)=YEAR($B$8),MONTH(BR$3)=MONTH($B$8)),BQ48*(1+BR41/12),0)+BR42+BR43)</x:f>
      </x:c>
      <x:c r="BS53" s="117">
        <x:f>IF(BS$3&lt;$B$8,0,IF(AND(YEAR(BS$3)=YEAR($B$8),MONTH(BS$3)=MONTH($B$8)),BR48*(1+BS41/12),0)+BS42+BS43)</x:f>
      </x:c>
      <x:c r="BT53" s="117">
        <x:f>IF(BT$3&lt;$B$8,0,IF(AND(YEAR(BT$3)=YEAR($B$8),MONTH(BT$3)=MONTH($B$8)),BS48*(1+BT41/12),0)+BT42+BT43)</x:f>
      </x:c>
      <x:c r="BU53" s="117">
        <x:f>IF(BU$3&lt;$B$8,0,IF(AND(YEAR(BU$3)=YEAR($B$8),MONTH(BU$3)=MONTH($B$8)),BT48*(1+BU41/12),0)+BU42+BU43)</x:f>
      </x:c>
      <x:c r="BV53" s="117">
        <x:f>IF(BV$3&lt;$B$8,0,IF(AND(YEAR(BV$3)=YEAR($B$8),MONTH(BV$3)=MONTH($B$8)),BU48*(1+BV41/12),0)+BV42+BV43)</x:f>
      </x:c>
      <x:c r="BW53" s="117">
        <x:f>IF(BW$3&lt;$B$8,0,IF(AND(YEAR(BW$3)=YEAR($B$8),MONTH(BW$3)=MONTH($B$8)),BV48*(1+BW41/12),0)+BW42+BW43)</x:f>
      </x:c>
      <x:c r="BX53" s="117">
        <x:f>IF(BX$3&lt;$B$8,0,IF(AND(YEAR(BX$3)=YEAR($B$8),MONTH(BX$3)=MONTH($B$8)),BW48*(1+BX41/12),0)+BX42+BX43)</x:f>
      </x:c>
      <x:c r="BY53" s="117">
        <x:f>IF(BY$3&lt;$B$8,0,IF(AND(YEAR(BY$3)=YEAR($B$8),MONTH(BY$3)=MONTH($B$8)),BX48*(1+BY41/12),0)+BY42+BY43)</x:f>
      </x:c>
      <x:c r="BZ53" s="117">
        <x:f>IF(BZ$3&lt;$B$8,0,IF(AND(YEAR(BZ$3)=YEAR($B$8),MONTH(BZ$3)=MONTH($B$8)),BY48*(1+BZ41/12),0)+BZ42+BZ43)</x:f>
      </x:c>
      <x:c r="CA53" s="117">
        <x:f>IF(CA$3&lt;$B$8,0,IF(AND(YEAR(CA$3)=YEAR($B$8),MONTH(CA$3)=MONTH($B$8)),BZ48*(1+CA41/12),0)+CA42+CA43)</x:f>
      </x:c>
      <x:c r="CB53" s="117">
        <x:f>IF(CB$3&lt;$B$8,0,IF(AND(YEAR(CB$3)=YEAR($B$8),MONTH(CB$3)=MONTH($B$8)),CA48*(1+CB41/12),0)+CB42+CB43)</x:f>
      </x:c>
      <x:c r="CC53" s="117">
        <x:f>IF(CC$3&lt;$B$8,0,IF(AND(YEAR(CC$3)=YEAR($B$8),MONTH(CC$3)=MONTH($B$8)),CB48*(1+CC41/12),0)+CC42+CC43)</x:f>
      </x:c>
      <x:c r="CD53" s="117">
        <x:f>IF(CD$3&lt;$B$8,0,IF(AND(YEAR(CD$3)=YEAR($B$8),MONTH(CD$3)=MONTH($B$8)),CC48*(1+CD41/12),0)+CD42+CD43)</x:f>
      </x:c>
      <x:c r="CE53" s="117">
        <x:f>IF(CE$3&lt;$B$8,0,IF(AND(YEAR(CE$3)=YEAR($B$8),MONTH(CE$3)=MONTH($B$8)),CD48*(1+CE41/12),0)+CE42+CE43)</x:f>
      </x:c>
      <x:c r="CF53" s="117">
        <x:f>IF(CF$3&lt;$B$8,0,IF(AND(YEAR(CF$3)=YEAR($B$8),MONTH(CF$3)=MONTH($B$8)),CE48*(1+CF41/12),0)+CF42+CF43)</x:f>
      </x:c>
      <x:c r="CG53" s="117">
        <x:f>IF(CG$3&lt;$B$8,0,IF(AND(YEAR(CG$3)=YEAR($B$8),MONTH(CG$3)=MONTH($B$8)),CF48*(1+CG41/12),0)+CG42+CG43)</x:f>
      </x:c>
      <x:c r="CH53" s="117">
        <x:f>IF(CH$3&lt;$B$8,0,IF(AND(YEAR(CH$3)=YEAR($B$8),MONTH(CH$3)=MONTH($B$8)),CG48*(1+CH41/12),0)+CH42+CH43)</x:f>
      </x:c>
      <x:c r="CI53" s="117">
        <x:f>IF(CI$3&lt;$B$8,0,IF(AND(YEAR(CI$3)=YEAR($B$8),MONTH(CI$3)=MONTH($B$8)),CH48*(1+CI41/12),0)+CI42+CI43)</x:f>
      </x:c>
      <x:c r="CJ53" s="117">
        <x:f>IF(CJ$3&lt;$B$8,0,IF(AND(YEAR(CJ$3)=YEAR($B$8),MONTH(CJ$3)=MONTH($B$8)),CI48*(1+CJ41/12),0)+CJ42+CJ43)</x:f>
      </x:c>
      <x:c r="CK53" s="117">
        <x:f>IF(CK$3&lt;$B$8,0,IF(AND(YEAR(CK$3)=YEAR($B$8),MONTH(CK$3)=MONTH($B$8)),CJ48*(1+CK41/12),0)+CK42+CK43)</x:f>
      </x:c>
      <x:c r="CL53" s="117">
        <x:f>IF(CL$3&lt;$B$8,0,IF(AND(YEAR(CL$3)=YEAR($B$8),MONTH(CL$3)=MONTH($B$8)),CK48*(1+CL41/12),0)+CL42+CL43)</x:f>
      </x:c>
      <x:c r="CM53" s="117">
        <x:f>IF(CM$3&lt;$B$8,0,IF(AND(YEAR(CM$3)=YEAR($B$8),MONTH(CM$3)=MONTH($B$8)),CL48*(1+CM41/12),0)+CM42+CM43)</x:f>
      </x:c>
      <x:c r="CN53" s="117">
        <x:f>IF(CN$3&lt;$B$8,0,IF(AND(YEAR(CN$3)=YEAR($B$8),MONTH(CN$3)=MONTH($B$8)),CM48*(1+CN41/12),0)+CN42+CN43)</x:f>
      </x:c>
      <x:c r="CO53" s="117">
        <x:f>IF(CO$3&lt;$B$8,0,IF(AND(YEAR(CO$3)=YEAR($B$8),MONTH(CO$3)=MONTH($B$8)),CN48*(1+CO41/12),0)+CO42+CO43)</x:f>
      </x:c>
      <x:c r="CP53" s="117">
        <x:f>IF(CP$3&lt;$B$8,0,IF(AND(YEAR(CP$3)=YEAR($B$8),MONTH(CP$3)=MONTH($B$8)),CO48*(1+CP41/12),0)+CP42+CP43)</x:f>
      </x:c>
      <x:c r="CQ53" s="117">
        <x:f>IF(CQ$3&lt;$B$8,0,IF(AND(YEAR(CQ$3)=YEAR($B$8),MONTH(CQ$3)=MONTH($B$8)),CP48*(1+CQ41/12),0)+CQ42+CQ43)</x:f>
      </x:c>
      <x:c r="CR53" s="117">
        <x:f>IF(CR$3&lt;$B$8,0,IF(AND(YEAR(CR$3)=YEAR($B$8),MONTH(CR$3)=MONTH($B$8)),CQ48*(1+CR41/12),0)+CR42+CR43)</x:f>
      </x:c>
      <x:c r="CS53" s="117">
        <x:f>IF(CS$3&lt;$B$8,0,IF(AND(YEAR(CS$3)=YEAR($B$8),MONTH(CS$3)=MONTH($B$8)),CR48*(1+CS41/12),0)+CS42+CS43)</x:f>
      </x:c>
      <x:c r="CT53" s="117">
        <x:f>IF(CT$3&lt;$B$8,0,IF(AND(YEAR(CT$3)=YEAR($B$8),MONTH(CT$3)=MONTH($B$8)),CS48*(1+CT41/12),0)+CT42+CT43)</x:f>
      </x:c>
      <x:c r="CU53" s="117">
        <x:f>IF(CU$3&lt;$B$8,0,IF(AND(YEAR(CU$3)=YEAR($B$8),MONTH(CU$3)=MONTH($B$8)),CT48*(1+CU41/12),0)+CU42+CU43)</x:f>
      </x:c>
      <x:c r="CV53" s="117">
        <x:f>IF(CV$3&lt;$B$8,0,IF(AND(YEAR(CV$3)=YEAR($B$8),MONTH(CV$3)=MONTH($B$8)),CU48*(1+CV41/12),0)+CV42+CV43)</x:f>
      </x:c>
      <x:c r="CW53" s="117">
        <x:f>IF(CW$3&lt;$B$8,0,IF(AND(YEAR(CW$3)=YEAR($B$8),MONTH(CW$3)=MONTH($B$8)),CV48*(1+CW41/12),0)+CW42+CW43)</x:f>
      </x:c>
      <x:c r="CX53" s="117">
        <x:f>IF(CX$3&lt;$B$8,0,IF(AND(YEAR(CX$3)=YEAR($B$8),MONTH(CX$3)=MONTH($B$8)),CW48*(1+CX41/12),0)+CX42+CX43)</x:f>
      </x:c>
      <x:c r="CY53" s="117">
        <x:f>IF(CY$3&lt;$B$8,0,IF(AND(YEAR(CY$3)=YEAR($B$8),MONTH(CY$3)=MONTH($B$8)),CX48*(1+CY41/12),0)+CY42+CY43)</x:f>
      </x:c>
      <x:c r="CZ53" s="117">
        <x:f>IF(CZ$3&lt;$B$8,0,IF(AND(YEAR(CZ$3)=YEAR($B$8),MONTH(CZ$3)=MONTH($B$8)),CY48*(1+CZ41/12),0)+CZ42+CZ43)</x:f>
      </x:c>
      <x:c r="DA53" s="117">
        <x:f>IF(DA$3&lt;$B$8,0,IF(AND(YEAR(DA$3)=YEAR($B$8),MONTH(DA$3)=MONTH($B$8)),CZ48*(1+DA41/12),0)+DA42+DA43)</x:f>
      </x:c>
      <x:c r="DB53" s="117">
        <x:f>IF(DB$3&lt;$B$8,0,IF(AND(YEAR(DB$3)=YEAR($B$8),MONTH(DB$3)=MONTH($B$8)),DA48*(1+DB41/12),0)+DB42+DB43)</x:f>
      </x:c>
      <x:c r="DC53" s="117">
        <x:f>IF(DC$3&lt;$B$8,0,IF(AND(YEAR(DC$3)=YEAR($B$8),MONTH(DC$3)=MONTH($B$8)),DB48*(1+DC41/12),0)+DC42+DC43)</x:f>
      </x:c>
      <x:c r="DD53" s="117">
        <x:f>IF(DD$3&lt;$B$8,0,IF(AND(YEAR(DD$3)=YEAR($B$8),MONTH(DD$3)=MONTH($B$8)),DC48*(1+DD41/12),0)+DD42+DD43)</x:f>
      </x:c>
      <x:c r="DE53" s="117">
        <x:f>IF(DE$3&lt;$B$8,0,IF(AND(YEAR(DE$3)=YEAR($B$8),MONTH(DE$3)=MONTH($B$8)),DD48*(1+DE41/12),0)+DE42+DE43)</x:f>
      </x:c>
      <x:c r="DF53" s="117">
        <x:f>IF(DF$3&lt;$B$8,0,IF(AND(YEAR(DF$3)=YEAR($B$8),MONTH(DF$3)=MONTH($B$8)),DE48*(1+DF41/12),0)+DF42+DF43)</x:f>
      </x:c>
      <x:c r="DG53" s="117">
        <x:f>IF(DG$3&lt;$B$8,0,IF(AND(YEAR(DG$3)=YEAR($B$8),MONTH(DG$3)=MONTH($B$8)),DF48*(1+DG41/12),0)+DG42+DG43)</x:f>
      </x:c>
      <x:c r="DH53" s="117">
        <x:f>IF(DH$3&lt;$B$8,0,IF(AND(YEAR(DH$3)=YEAR($B$8),MONTH(DH$3)=MONTH($B$8)),DG48*(1+DH41/12),0)+DH42+DH43)</x:f>
      </x:c>
      <x:c r="DI53" s="117">
        <x:f>IF(DI$3&lt;$B$8,0,IF(AND(YEAR(DI$3)=YEAR($B$8),MONTH(DI$3)=MONTH($B$8)),DH48*(1+DI41/12),0)+DI42+DI43)</x:f>
      </x:c>
      <x:c r="DJ53" s="117">
        <x:f>IF(DJ$3&lt;$B$8,0,IF(AND(YEAR(DJ$3)=YEAR($B$8),MONTH(DJ$3)=MONTH($B$8)),DI48*(1+DJ41/12),0)+DJ42+DJ43)</x:f>
      </x:c>
      <x:c r="DK53" s="117">
        <x:f>IF(DK$3&lt;$B$8,0,IF(AND(YEAR(DK$3)=YEAR($B$8),MONTH(DK$3)=MONTH($B$8)),DJ48*(1+DK41/12),0)+DK42+DK43)</x:f>
      </x:c>
      <x:c r="DL53" s="117">
        <x:f>IF(DL$3&lt;$B$8,0,IF(AND(YEAR(DL$3)=YEAR($B$8),MONTH(DL$3)=MONTH($B$8)),DK48*(1+DL41/12),0)+DL42+DL43)</x:f>
      </x:c>
      <x:c r="DM53" s="117">
        <x:f>IF(DM$3&lt;$B$8,0,IF(AND(YEAR(DM$3)=YEAR($B$8),MONTH(DM$3)=MONTH($B$8)),DL48*(1+DM41/12),0)+DM42+DM43)</x:f>
      </x:c>
      <x:c r="DN53" s="117">
        <x:f>IF(DN$3&lt;$B$8,0,IF(AND(YEAR(DN$3)=YEAR($B$8),MONTH(DN$3)=MONTH($B$8)),DM48*(1+DN41/12),0)+DN42+DN43)</x:f>
      </x:c>
      <x:c r="DO53" s="117">
        <x:f>IF(DO$3&lt;$B$8,0,IF(AND(YEAR(DO$3)=YEAR($B$8),MONTH(DO$3)=MONTH($B$8)),DN48*(1+DO41/12),0)+DO42+DO43)</x:f>
      </x:c>
      <x:c r="DP53" s="117">
        <x:f>IF(DP$3&lt;$B$8,0,IF(AND(YEAR(DP$3)=YEAR($B$8),MONTH(DP$3)=MONTH($B$8)),DO48*(1+DP41/12),0)+DP42+DP43)</x:f>
      </x:c>
      <x:c r="DQ53" s="117">
        <x:f>IF(DQ$3&lt;$B$8,0,IF(AND(YEAR(DQ$3)=YEAR($B$8),MONTH(DQ$3)=MONTH($B$8)),DP48*(1+DQ41/12),0)+DQ42+DQ43)</x:f>
      </x:c>
      <x:c r="DR53" s="117">
        <x:f>IF(DR$3&lt;$B$8,0,IF(AND(YEAR(DR$3)=YEAR($B$8),MONTH(DR$3)=MONTH($B$8)),DQ48*(1+DR41/12),0)+DR42+DR43)</x:f>
      </x:c>
      <x:c r="DS53" s="117">
        <x:f>IF(DS$3&lt;$B$8,0,IF(AND(YEAR(DS$3)=YEAR($B$8),MONTH(DS$3)=MONTH($B$8)),DR48*(1+DS41/12),0)+DS42+DS43)</x:f>
      </x:c>
      <x:c r="DT53" s="117">
        <x:f>IF(DT$3&lt;$B$8,0,IF(AND(YEAR(DT$3)=YEAR($B$8),MONTH(DT$3)=MONTH($B$8)),DS48*(1+DT41/12),0)+DT42+DT43)</x:f>
      </x:c>
      <x:c r="DU53" s="117">
        <x:f>IF(DU$3&lt;$B$8,0,IF(AND(YEAR(DU$3)=YEAR($B$8),MONTH(DU$3)=MONTH($B$8)),DT48*(1+DU41/12),0)+DU42+DU43)</x:f>
      </x:c>
      <x:c r="DV53" s="117">
        <x:f>IF(DV$3&lt;$B$8,0,IF(AND(YEAR(DV$3)=YEAR($B$8),MONTH(DV$3)=MONTH($B$8)),DU48*(1+DV41/12),0)+DV42+DV43)</x:f>
      </x:c>
      <x:c r="DW53" s="117">
        <x:f>IF(DW$3&lt;$B$8,0,IF(AND(YEAR(DW$3)=YEAR($B$8),MONTH(DW$3)=MONTH($B$8)),DV48*(1+DW41/12),0)+DW42+DW43)</x:f>
      </x:c>
      <x:c r="DX53" s="117">
        <x:f>IF(DX$3&lt;$B$8,0,IF(AND(YEAR(DX$3)=YEAR($B$8),MONTH(DX$3)=MONTH($B$8)),DW48*(1+DX41/12),0)+DX42+DX43)</x:f>
      </x:c>
      <x:c r="DY53" s="117">
        <x:f>IF(DY$3&lt;$B$8,0,IF(AND(YEAR(DY$3)=YEAR($B$8),MONTH(DY$3)=MONTH($B$8)),DX48*(1+DY41/12),0)+DY42+DY43)</x:f>
      </x:c>
      <x:c r="DZ53" s="117">
        <x:f>IF(DZ$3&lt;$B$8,0,IF(AND(YEAR(DZ$3)=YEAR($B$8),MONTH(DZ$3)=MONTH($B$8)),DY48*(1+DZ41/12),0)+DZ42+DZ43)</x:f>
      </x:c>
      <x:c r="EA53" s="117">
        <x:f>IF(EA$3&lt;$B$8,0,IF(AND(YEAR(EA$3)=YEAR($B$8),MONTH(EA$3)=MONTH($B$8)),DZ48*(1+EA41/12),0)+EA42+EA43)</x:f>
      </x:c>
      <x:c r="EB53" s="117">
        <x:f>IF(EB$3&lt;$B$8,0,IF(AND(YEAR(EB$3)=YEAR($B$8),MONTH(EB$3)=MONTH($B$8)),EA48*(1+EB41/12),0)+EB42+EB43)</x:f>
      </x:c>
      <x:c r="EC53" s="117">
        <x:f>IF(EC$3&lt;$B$8,0,IF(AND(YEAR(EC$3)=YEAR($B$8),MONTH(EC$3)=MONTH($B$8)),EB48*(1+EC41/12),0)+EC42+EC43)</x:f>
      </x:c>
      <x:c r="ED53" s="117">
        <x:f>IF(ED$3&lt;$B$8,0,IF(AND(YEAR(ED$3)=YEAR($B$8),MONTH(ED$3)=MONTH($B$8)),EC48*(1+ED41/12),0)+ED42+ED43)</x:f>
      </x:c>
      <x:c r="EE53" s="117">
        <x:f>IF(EE$3&lt;$B$8,0,IF(AND(YEAR(EE$3)=YEAR($B$8),MONTH(EE$3)=MONTH($B$8)),ED48*(1+EE41/12),0)+EE42+EE43)</x:f>
      </x:c>
      <x:c r="EF53" s="117">
        <x:f>IF(EF$3&lt;$B$8,0,IF(AND(YEAR(EF$3)=YEAR($B$8),MONTH(EF$3)=MONTH($B$8)),EE48*(1+EF41/12),0)+EF42+EF43)</x:f>
      </x:c>
      <x:c r="EG53" s="117">
        <x:f>IF(EG$3&lt;$B$8,0,IF(AND(YEAR(EG$3)=YEAR($B$8),MONTH(EG$3)=MONTH($B$8)),EF48*(1+EG41/12),0)+EG42+EG43)</x:f>
      </x:c>
      <x:c r="EH53" s="117">
        <x:f>IF(EH$3&lt;$B$8,0,IF(AND(YEAR(EH$3)=YEAR($B$8),MONTH(EH$3)=MONTH($B$8)),EG48*(1+EH41/12),0)+EH42+EH43)</x:f>
      </x:c>
      <x:c r="EI53" s="117">
        <x:f>IF(EI$3&lt;$B$8,0,IF(AND(YEAR(EI$3)=YEAR($B$8),MONTH(EI$3)=MONTH($B$8)),EH48*(1+EI41/12),0)+EI42+EI43)</x:f>
      </x:c>
      <x:c r="EJ53" s="117">
        <x:f>IF(EJ$3&lt;$B$8,0,IF(AND(YEAR(EJ$3)=YEAR($B$8),MONTH(EJ$3)=MONTH($B$8)),EI48*(1+EJ41/12),0)+EJ42+EJ43)</x:f>
      </x:c>
      <x:c r="EK53" s="117">
        <x:f>IF(EK$3&lt;$B$8,0,IF(AND(YEAR(EK$3)=YEAR($B$8),MONTH(EK$3)=MONTH($B$8)),EJ48*(1+EK41/12),0)+EK42+EK43)</x:f>
      </x:c>
      <x:c r="EL53" s="117">
        <x:f>IF(EL$3&lt;$B$8,0,IF(AND(YEAR(EL$3)=YEAR($B$8),MONTH(EL$3)=MONTH($B$8)),EK48*(1+EL41/12),0)+EL42+EL43)</x:f>
      </x:c>
      <x:c r="EM53" s="117">
        <x:f>IF(EM$3&lt;$B$8,0,IF(AND(YEAR(EM$3)=YEAR($B$8),MONTH(EM$3)=MONTH($B$8)),EL48*(1+EM41/12),0)+EM42+EM43)</x:f>
      </x:c>
      <x:c r="EN53" s="117">
        <x:f>IF(EN$3&lt;$B$8,0,IF(AND(YEAR(EN$3)=YEAR($B$8),MONTH(EN$3)=MONTH($B$8)),EM48*(1+EN41/12),0)+EN42+EN43)</x:f>
      </x:c>
      <x:c r="EO53" s="117">
        <x:f>IF(EO$3&lt;$B$8,0,IF(AND(YEAR(EO$3)=YEAR($B$8),MONTH(EO$3)=MONTH($B$8)),EN48*(1+EO41/12),0)+EO42+EO43)</x:f>
      </x:c>
      <x:c r="EP53" s="117">
        <x:f>IF(EP$3&lt;$B$8,0,IF(AND(YEAR(EP$3)=YEAR($B$8),MONTH(EP$3)=MONTH($B$8)),EO48*(1+EP41/12),0)+EP42+EP43)</x:f>
      </x:c>
      <x:c r="EQ53" s="117">
        <x:f>IF(EQ$3&lt;$B$8,0,IF(AND(YEAR(EQ$3)=YEAR($B$8),MONTH(EQ$3)=MONTH($B$8)),EP48*(1+EQ41/12),0)+EQ42+EQ43)</x:f>
      </x:c>
      <x:c r="ER53" s="117">
        <x:f>IF(ER$3&lt;$B$8,0,IF(AND(YEAR(ER$3)=YEAR($B$8),MONTH(ER$3)=MONTH($B$8)),EQ48*(1+ER41/12),0)+ER42+ER43)</x:f>
      </x:c>
      <x:c r="ES53" s="117">
        <x:f>IF(ES$3&lt;$B$8,0,IF(AND(YEAR(ES$3)=YEAR($B$8),MONTH(ES$3)=MONTH($B$8)),ER48*(1+ES41/12),0)+ES42+ES43)</x:f>
      </x:c>
      <x:c r="ET53" s="117">
        <x:f>IF(ET$3&lt;$B$8,0,IF(AND(YEAR(ET$3)=YEAR($B$8),MONTH(ET$3)=MONTH($B$8)),ES48*(1+ET41/12),0)+ET42+ET43)</x:f>
      </x:c>
      <x:c r="EU53" s="117">
        <x:f>IF(EU$3&lt;$B$8,0,IF(AND(YEAR(EU$3)=YEAR($B$8),MONTH(EU$3)=MONTH($B$8)),ET48*(1+EU41/12),0)+EU42+EU43)</x:f>
      </x:c>
      <x:c r="EV53" s="117">
        <x:f>IF(EV$3&lt;$B$8,0,IF(AND(YEAR(EV$3)=YEAR($B$8),MONTH(EV$3)=MONTH($B$8)),EU48*(1+EV41/12),0)+EV42+EV43)</x:f>
      </x:c>
      <x:c r="EW53" s="117">
        <x:f>IF(EW$3&lt;$B$8,0,IF(AND(YEAR(EW$3)=YEAR($B$8),MONTH(EW$3)=MONTH($B$8)),EV48*(1+EW41/12),0)+EW42+EW43)</x:f>
      </x:c>
      <x:c r="EX53" s="117">
        <x:f>IF(EX$3&lt;$B$8,0,IF(AND(YEAR(EX$3)=YEAR($B$8),MONTH(EX$3)=MONTH($B$8)),EW48*(1+EX41/12),0)+EX42+EX43)</x:f>
      </x:c>
      <x:c r="EY53" s="117">
        <x:f>IF(EY$3&lt;$B$8,0,IF(AND(YEAR(EY$3)=YEAR($B$8),MONTH(EY$3)=MONTH($B$8)),EX48*(1+EY41/12),0)+EY42+EY43)</x:f>
      </x:c>
      <x:c r="EZ53" s="117">
        <x:f>IF(EZ$3&lt;$B$8,0,IF(AND(YEAR(EZ$3)=YEAR($B$8),MONTH(EZ$3)=MONTH($B$8)),EY48*(1+EZ41/12),0)+EZ42+EZ43)</x:f>
      </x:c>
      <x:c r="FA53" s="117">
        <x:f>IF(FA$3&lt;$B$8,0,IF(AND(YEAR(FA$3)=YEAR($B$8),MONTH(FA$3)=MONTH($B$8)),EZ48*(1+FA41/12),0)+FA42+FA43)</x:f>
      </x:c>
      <x:c r="FB53" s="117">
        <x:f>IF(FB$3&lt;$B$8,0,IF(AND(YEAR(FB$3)=YEAR($B$8),MONTH(FB$3)=MONTH($B$8)),FA48*(1+FB41/12),0)+FB42+FB43)</x:f>
      </x:c>
      <x:c r="FC53" s="117">
        <x:f>IF(FC$3&lt;$B$8,0,IF(AND(YEAR(FC$3)=YEAR($B$8),MONTH(FC$3)=MONTH($B$8)),FB48*(1+FC41/12),0)+FC42+FC43)</x:f>
      </x:c>
      <x:c r="FD53" s="117">
        <x:f>IF(FD$3&lt;$B$8,0,IF(AND(YEAR(FD$3)=YEAR($B$8),MONTH(FD$3)=MONTH($B$8)),FC48*(1+FD41/12),0)+FD42+FD43)</x:f>
      </x:c>
      <x:c r="FE53" s="117">
        <x:f>IF(FE$3&lt;$B$8,0,IF(AND(YEAR(FE$3)=YEAR($B$8),MONTH(FE$3)=MONTH($B$8)),FD48*(1+FE41/12),0)+FE42+FE43)</x:f>
      </x:c>
      <x:c r="FF53" s="117">
        <x:f>IF(FF$3&lt;$B$8,0,IF(AND(YEAR(FF$3)=YEAR($B$8),MONTH(FF$3)=MONTH($B$8)),FE48*(1+FF41/12),0)+FF42+FF43)</x:f>
      </x:c>
      <x:c r="FG53" s="117">
        <x:f>IF(FG$3&lt;$B$8,0,IF(AND(YEAR(FG$3)=YEAR($B$8),MONTH(FG$3)=MONTH($B$8)),FF48*(1+FG41/12),0)+FG42+FG43)</x:f>
      </x:c>
      <x:c r="FH53" s="117">
        <x:f>IF(FH$3&lt;$B$8,0,IF(AND(YEAR(FH$3)=YEAR($B$8),MONTH(FH$3)=MONTH($B$8)),FG48*(1+FH41/12),0)+FH42+FH43)</x:f>
      </x:c>
      <x:c r="FI53" s="117">
        <x:f>IF(FI$3&lt;$B$8,0,IF(AND(YEAR(FI$3)=YEAR($B$8),MONTH(FI$3)=MONTH($B$8)),FH48*(1+FI41/12),0)+FI42+FI43)</x:f>
      </x:c>
      <x:c r="FJ53" s="117">
        <x:f>IF(FJ$3&lt;$B$8,0,IF(AND(YEAR(FJ$3)=YEAR($B$8),MONTH(FJ$3)=MONTH($B$8)),FI48*(1+FJ41/12),0)+FJ42+FJ43)</x:f>
      </x:c>
      <x:c r="FK53" s="117">
        <x:f>IF(FK$3&lt;$B$8,0,IF(AND(YEAR(FK$3)=YEAR($B$8),MONTH(FK$3)=MONTH($B$8)),FJ48*(1+FK41/12),0)+FK42+FK43)</x:f>
      </x:c>
      <x:c r="FL53" s="117">
        <x:f>IF(FL$3&lt;$B$8,0,IF(AND(YEAR(FL$3)=YEAR($B$8),MONTH(FL$3)=MONTH($B$8)),FK48*(1+FL41/12),0)+FL42+FL43)</x:f>
      </x:c>
      <x:c r="FM53" s="117">
        <x:f>IF(FM$3&lt;$B$8,0,IF(AND(YEAR(FM$3)=YEAR($B$8),MONTH(FM$3)=MONTH($B$8)),FL48*(1+FM41/12),0)+FM42+FM43)</x:f>
      </x:c>
      <x:c r="FN53" s="117">
        <x:f>IF(FN$3&lt;$B$8,0,IF(AND(YEAR(FN$3)=YEAR($B$8),MONTH(FN$3)=MONTH($B$8)),FM48*(1+FN41/12),0)+FN42+FN43)</x:f>
      </x:c>
      <x:c r="FO53" s="117">
        <x:f>IF(FO$3&lt;$B$8,0,IF(AND(YEAR(FO$3)=YEAR($B$8),MONTH(FO$3)=MONTH($B$8)),FN48*(1+FO41/12),0)+FO42+FO43)</x:f>
      </x:c>
      <x:c r="FP53" s="117">
        <x:f>IF(FP$3&lt;$B$8,0,IF(AND(YEAR(FP$3)=YEAR($B$8),MONTH(FP$3)=MONTH($B$8)),FO48*(1+FP41/12),0)+FP42+FP43)</x:f>
      </x:c>
      <x:c r="FQ53" s="117">
        <x:f>IF(FQ$3&lt;$B$8,0,IF(AND(YEAR(FQ$3)=YEAR($B$8),MONTH(FQ$3)=MONTH($B$8)),FP48*(1+FQ41/12),0)+FQ42+FQ43)</x:f>
      </x:c>
      <x:c r="FR53" s="117">
        <x:f>IF(FR$3&lt;$B$8,0,IF(AND(YEAR(FR$3)=YEAR($B$8),MONTH(FR$3)=MONTH($B$8)),FQ48*(1+FR41/12),0)+FR42+FR43)</x:f>
      </x:c>
      <x:c r="FS53" s="117">
        <x:f>IF(FS$3&lt;$B$8,0,IF(AND(YEAR(FS$3)=YEAR($B$8),MONTH(FS$3)=MONTH($B$8)),FR48*(1+FS41/12),0)+FS42+FS43)</x:f>
      </x:c>
      <x:c r="FT53" s="117">
        <x:f>IF(FT$3&lt;$B$8,0,IF(AND(YEAR(FT$3)=YEAR($B$8),MONTH(FT$3)=MONTH($B$8)),FS48*(1+FT41/12),0)+FT42+FT43)</x:f>
      </x:c>
      <x:c r="FU53" s="117">
        <x:f>IF(FU$3&lt;$B$8,0,IF(AND(YEAR(FU$3)=YEAR($B$8),MONTH(FU$3)=MONTH($B$8)),FT48*(1+FU41/12),0)+FU42+FU43)</x:f>
      </x:c>
      <x:c r="FV53" s="117">
        <x:f>IF(FV$3&lt;$B$8,0,IF(AND(YEAR(FV$3)=YEAR($B$8),MONTH(FV$3)=MONTH($B$8)),FU48*(1+FV41/12),0)+FV42+FV43)</x:f>
      </x:c>
      <x:c r="FW53" s="117">
        <x:f>IF(FW$3&lt;$B$8,0,IF(AND(YEAR(FW$3)=YEAR($B$8),MONTH(FW$3)=MONTH($B$8)),FV48*(1+FW41/12),0)+FW42+FW43)</x:f>
      </x:c>
      <x:c r="FX53" s="117">
        <x:f>IF(FX$3&lt;$B$8,0,IF(AND(YEAR(FX$3)=YEAR($B$8),MONTH(FX$3)=MONTH($B$8)),FW48*(1+FX41/12),0)+FX42+FX43)</x:f>
      </x:c>
      <x:c r="FY53" s="117">
        <x:f>IF(FY$3&lt;$B$8,0,IF(AND(YEAR(FY$3)=YEAR($B$8),MONTH(FY$3)=MONTH($B$8)),FX48*(1+FY41/12),0)+FY42+FY43)</x:f>
      </x:c>
      <x:c r="FZ53" s="117">
        <x:f>IF(FZ$3&lt;$B$8,0,IF(AND(YEAR(FZ$3)=YEAR($B$8),MONTH(FZ$3)=MONTH($B$8)),FY48*(1+FZ41/12),0)+FZ42+FZ43)</x:f>
      </x:c>
      <x:c r="GA53" s="117">
        <x:f>IF(GA$3&lt;$B$8,0,IF(AND(YEAR(GA$3)=YEAR($B$8),MONTH(GA$3)=MONTH($B$8)),FZ48*(1+GA41/12),0)+GA42+GA43)</x:f>
      </x:c>
    </x:row>
    <x:row r="54">
      <x:c r="A54" s="113" t="str">
        <x:v>Проектный CF до финансирования</x:v>
      </x:c>
      <x:c r="B54" s="113" t="n">
        <x:f>SUM(D54:GA54)</x:f>
      </x:c>
      <x:c r="C54" s="113" t="str">
        <x:v>млн ₽</x:v>
      </x:c>
      <x:c r="D54" s="120" t="n">
        <x:f>D27-D20-D24</x:f>
      </x:c>
      <x:c r="E54" s="120" t="n">
        <x:f>E27-E20-E24</x:f>
      </x:c>
      <x:c r="F54" s="120" t="n">
        <x:f>F27-F20-F24</x:f>
      </x:c>
      <x:c r="G54" s="120" t="n">
        <x:f>G27-G20-G24</x:f>
      </x:c>
      <x:c r="H54" s="120" t="n">
        <x:f>H27-H20-H24</x:f>
      </x:c>
      <x:c r="I54" s="120" t="n">
        <x:f>I27-I20-I24</x:f>
      </x:c>
      <x:c r="J54" s="120" t="n">
        <x:f>J27-J20-J24</x:f>
      </x:c>
      <x:c r="K54" s="120" t="n">
        <x:f>K27-K20-K24</x:f>
      </x:c>
      <x:c r="L54" s="120" t="n">
        <x:f>L27-L20-L24</x:f>
      </x:c>
      <x:c r="M54" s="120" t="n">
        <x:f>M27-M20-M24</x:f>
      </x:c>
      <x:c r="N54" s="120" t="n">
        <x:f>N27-N20-N24</x:f>
      </x:c>
      <x:c r="O54" s="120" t="n">
        <x:f>O27-O20-O24</x:f>
      </x:c>
      <x:c r="P54" s="120" t="n">
        <x:f>P27-P20-P24</x:f>
      </x:c>
      <x:c r="Q54" s="120" t="n">
        <x:f>Q27-Q20-Q24</x:f>
      </x:c>
      <x:c r="R54" s="120" t="n">
        <x:f>R27-R20-R24</x:f>
      </x:c>
      <x:c r="S54" s="120" t="n">
        <x:f>S27-S20-S24</x:f>
      </x:c>
      <x:c r="T54" s="120" t="n">
        <x:f>T27-T20-T24</x:f>
      </x:c>
      <x:c r="U54" s="120" t="n">
        <x:f>U27-U20-U24</x:f>
      </x:c>
      <x:c r="V54" s="120" t="n">
        <x:f>V27-V20-V24</x:f>
      </x:c>
      <x:c r="W54" s="120" t="n">
        <x:f>W27-W20-W24</x:f>
      </x:c>
      <x:c r="X54" s="120" t="n">
        <x:f>X27-X20-X24</x:f>
      </x:c>
      <x:c r="Y54" s="120" t="n">
        <x:f>Y27-Y20-Y24</x:f>
      </x:c>
      <x:c r="Z54" s="120" t="n">
        <x:f>Z27-Z20-Z24</x:f>
      </x:c>
      <x:c r="AA54" s="120" t="n">
        <x:f>AA27-AA20-AA24</x:f>
      </x:c>
      <x:c r="AB54" s="120" t="n">
        <x:f>AB27-AB20-AB24</x:f>
      </x:c>
      <x:c r="AC54" s="120" t="n">
        <x:f>AC27-AC20-AC24</x:f>
      </x:c>
      <x:c r="AD54" s="120" t="n">
        <x:f>AD27-AD20-AD24</x:f>
      </x:c>
      <x:c r="AE54" s="120" t="n">
        <x:f>AE27-AE20-AE24</x:f>
      </x:c>
      <x:c r="AF54" s="120" t="n">
        <x:f>AF27-AF20-AF24</x:f>
      </x:c>
      <x:c r="AG54" s="120" t="n">
        <x:f>AG27-AG20-AG24</x:f>
      </x:c>
      <x:c r="AH54" s="120" t="n">
        <x:f>AH27-AH20-AH24</x:f>
      </x:c>
      <x:c r="AI54" s="120" t="n">
        <x:f>AI27-AI20-AI24</x:f>
      </x:c>
      <x:c r="AJ54" s="120" t="n">
        <x:f>AJ27-AJ20-AJ24</x:f>
      </x:c>
      <x:c r="AK54" s="120" t="n">
        <x:f>AK27-AK20-AK24</x:f>
      </x:c>
      <x:c r="AL54" s="120" t="n">
        <x:f>AL27-AL20-AL24</x:f>
      </x:c>
      <x:c r="AM54" s="120" t="n">
        <x:f>AM27-AM20-AM24</x:f>
      </x:c>
      <x:c r="AN54" s="120" t="n">
        <x:f>AN27-AN20-AN24</x:f>
      </x:c>
      <x:c r="AO54" s="120" t="n">
        <x:f>AO27-AO20-AO24</x:f>
      </x:c>
      <x:c r="AP54" s="120" t="n">
        <x:f>AP27-AP20-AP24</x:f>
      </x:c>
      <x:c r="AQ54" s="120" t="n">
        <x:f>AQ27-AQ20-AQ24</x:f>
      </x:c>
      <x:c r="AR54" s="120" t="n">
        <x:f>AR27-AR20-AR24</x:f>
      </x:c>
      <x:c r="AS54" s="120" t="n">
        <x:f>AS27-AS20-AS24</x:f>
      </x:c>
      <x:c r="AT54" s="120" t="n">
        <x:f>AT27-AT20-AT24</x:f>
      </x:c>
      <x:c r="AU54" s="120" t="n">
        <x:f>AU27-AU20-AU24</x:f>
      </x:c>
      <x:c r="AV54" s="120" t="n">
        <x:f>AV27-AV20-AV24</x:f>
      </x:c>
      <x:c r="AW54" s="120" t="n">
        <x:f>AW27-AW20-AW24</x:f>
      </x:c>
      <x:c r="AX54" s="120" t="n">
        <x:f>AX27-AX20-AX24</x:f>
      </x:c>
      <x:c r="AY54" s="120" t="n">
        <x:f>AY27-AY20-AY24</x:f>
      </x:c>
      <x:c r="AZ54" s="120" t="n">
        <x:f>AZ27-AZ20-AZ24</x:f>
      </x:c>
      <x:c r="BA54" s="120" t="n">
        <x:f>BA27-BA20-BA24</x:f>
      </x:c>
      <x:c r="BB54" s="120" t="n">
        <x:f>BB27-BB20-BB24</x:f>
      </x:c>
      <x:c r="BC54" s="120" t="n">
        <x:f>BC27-BC20-BC24</x:f>
      </x:c>
      <x:c r="BD54" s="120" t="n">
        <x:f>BD27-BD20-BD24</x:f>
      </x:c>
      <x:c r="BE54" s="120" t="n">
        <x:f>BE27-BE20-BE24</x:f>
      </x:c>
      <x:c r="BF54" s="120" t="n">
        <x:f>BF27-BF20-BF24</x:f>
      </x:c>
      <x:c r="BG54" s="120" t="n">
        <x:f>BG27-BG20-BG24</x:f>
      </x:c>
      <x:c r="BH54" s="120" t="n">
        <x:f>BH27-BH20-BH24</x:f>
      </x:c>
      <x:c r="BI54" s="120" t="n">
        <x:f>BI27-BI20-BI24</x:f>
      </x:c>
      <x:c r="BJ54" s="120" t="n">
        <x:f>BJ27-BJ20-BJ24</x:f>
      </x:c>
      <x:c r="BK54" s="120" t="n">
        <x:f>BK27-BK20-BK24</x:f>
      </x:c>
      <x:c r="BL54" s="120" t="n">
        <x:f>BL27-BL20-BL24</x:f>
      </x:c>
      <x:c r="BM54" s="120" t="n">
        <x:f>BM27-BM20-BM24</x:f>
      </x:c>
      <x:c r="BN54" s="120" t="n">
        <x:f>BN27-BN20-BN24</x:f>
      </x:c>
      <x:c r="BO54" s="120" t="n">
        <x:f>BO27-BO20-BO24</x:f>
      </x:c>
      <x:c r="BP54" s="120" t="n">
        <x:f>BP27-BP20-BP24</x:f>
      </x:c>
      <x:c r="BQ54" s="120" t="n">
        <x:f>BQ27-BQ20-BQ24</x:f>
      </x:c>
      <x:c r="BR54" s="120" t="n">
        <x:f>BR27-BR20-BR24</x:f>
      </x:c>
      <x:c r="BS54" s="120" t="n">
        <x:f>BS27-BS20-BS24</x:f>
      </x:c>
      <x:c r="BT54" s="120" t="n">
        <x:f>BT27-BT20-BT24</x:f>
      </x:c>
      <x:c r="BU54" s="120" t="n">
        <x:f>BU27-BU20-BU24</x:f>
      </x:c>
      <x:c r="BV54" s="120" t="n">
        <x:f>BV27-BV20-BV24</x:f>
      </x:c>
      <x:c r="BW54" s="120" t="n">
        <x:f>BW27-BW20-BW24</x:f>
      </x:c>
      <x:c r="BX54" s="120" t="n">
        <x:f>BX27-BX20-BX24</x:f>
      </x:c>
      <x:c r="BY54" s="120" t="n">
        <x:f>BY27-BY20-BY24</x:f>
      </x:c>
      <x:c r="BZ54" s="120" t="n">
        <x:f>BZ27-BZ20-BZ24</x:f>
      </x:c>
      <x:c r="CA54" s="120" t="n">
        <x:f>CA27-CA20-CA24</x:f>
      </x:c>
      <x:c r="CB54" s="120" t="n">
        <x:f>CB27-CB20-CB24</x:f>
      </x:c>
      <x:c r="CC54" s="120" t="n">
        <x:f>CC27-CC20-CC24</x:f>
      </x:c>
      <x:c r="CD54" s="120" t="n">
        <x:f>CD27-CD20-CD24</x:f>
      </x:c>
      <x:c r="CE54" s="120" t="n">
        <x:f>CE27-CE20-CE24</x:f>
      </x:c>
      <x:c r="CF54" s="120" t="n">
        <x:f>CF27-CF20-CF24</x:f>
      </x:c>
      <x:c r="CG54" s="120" t="n">
        <x:f>CG27-CG20-CG24</x:f>
      </x:c>
      <x:c r="CH54" s="120" t="n">
        <x:f>CH27-CH20-CH24</x:f>
      </x:c>
      <x:c r="CI54" s="120" t="n">
        <x:f>CI27-CI20-CI24</x:f>
      </x:c>
      <x:c r="CJ54" s="120" t="n">
        <x:f>CJ27-CJ20-CJ24</x:f>
      </x:c>
      <x:c r="CK54" s="120" t="n">
        <x:f>CK27-CK20-CK24</x:f>
      </x:c>
      <x:c r="CL54" s="120" t="n">
        <x:f>CL27-CL20-CL24</x:f>
      </x:c>
      <x:c r="CM54" s="120" t="n">
        <x:f>CM27-CM20-CM24</x:f>
      </x:c>
      <x:c r="CN54" s="120" t="n">
        <x:f>CN27-CN20-CN24</x:f>
      </x:c>
      <x:c r="CO54" s="120" t="n">
        <x:f>CO27-CO20-CO24</x:f>
      </x:c>
      <x:c r="CP54" s="120" t="n">
        <x:f>CP27-CP20-CP24</x:f>
      </x:c>
      <x:c r="CQ54" s="120" t="n">
        <x:f>CQ27-CQ20-CQ24</x:f>
      </x:c>
      <x:c r="CR54" s="120" t="n">
        <x:f>CR27-CR20-CR24</x:f>
      </x:c>
      <x:c r="CS54" s="120" t="n">
        <x:f>CS27-CS20-CS24</x:f>
      </x:c>
      <x:c r="CT54" s="120" t="n">
        <x:f>CT27-CT20-CT24</x:f>
      </x:c>
      <x:c r="CU54" s="120" t="n">
        <x:f>CU27-CU20-CU24</x:f>
      </x:c>
      <x:c r="CV54" s="120" t="n">
        <x:f>CV27-CV20-CV24</x:f>
      </x:c>
      <x:c r="CW54" s="120" t="n">
        <x:f>CW27-CW20-CW24</x:f>
      </x:c>
      <x:c r="CX54" s="120" t="n">
        <x:f>CX27-CX20-CX24</x:f>
      </x:c>
      <x:c r="CY54" s="120" t="n">
        <x:f>CY27-CY20-CY24</x:f>
      </x:c>
      <x:c r="CZ54" s="120" t="n">
        <x:f>CZ27-CZ20-CZ24</x:f>
      </x:c>
      <x:c r="DA54" s="120" t="n">
        <x:f>DA27-DA20-DA24</x:f>
      </x:c>
      <x:c r="DB54" s="120" t="n">
        <x:f>DB27-DB20-DB24</x:f>
      </x:c>
      <x:c r="DC54" s="120" t="n">
        <x:f>DC27-DC20-DC24</x:f>
      </x:c>
      <x:c r="DD54" s="120" t="n">
        <x:f>DD27-DD20-DD24</x:f>
      </x:c>
      <x:c r="DE54" s="120" t="n">
        <x:f>DE27-DE20-DE24</x:f>
      </x:c>
      <x:c r="DF54" s="120" t="n">
        <x:f>DF27-DF20-DF24</x:f>
      </x:c>
      <x:c r="DG54" s="120" t="n">
        <x:f>DG27-DG20-DG24</x:f>
      </x:c>
      <x:c r="DH54" s="120" t="n">
        <x:f>DH27-DH20-DH24</x:f>
      </x:c>
      <x:c r="DI54" s="120" t="n">
        <x:f>DI27-DI20-DI24</x:f>
      </x:c>
      <x:c r="DJ54" s="120" t="n">
        <x:f>DJ27-DJ20-DJ24</x:f>
      </x:c>
      <x:c r="DK54" s="120" t="n">
        <x:f>DK27-DK20-DK24</x:f>
      </x:c>
      <x:c r="DL54" s="120" t="n">
        <x:f>DL27-DL20-DL24</x:f>
      </x:c>
      <x:c r="DM54" s="120" t="n">
        <x:f>DM27-DM20-DM24</x:f>
      </x:c>
      <x:c r="DN54" s="120" t="n">
        <x:f>DN27-DN20-DN24</x:f>
      </x:c>
      <x:c r="DO54" s="120" t="n">
        <x:f>DO27-DO20-DO24</x:f>
      </x:c>
      <x:c r="DP54" s="120" t="n">
        <x:f>DP27-DP20-DP24</x:f>
      </x:c>
      <x:c r="DQ54" s="120" t="n">
        <x:f>DQ27-DQ20-DQ24</x:f>
      </x:c>
      <x:c r="DR54" s="120" t="n">
        <x:f>DR27-DR20-DR24</x:f>
      </x:c>
      <x:c r="DS54" s="120" t="n">
        <x:f>DS27-DS20-DS24</x:f>
      </x:c>
      <x:c r="DT54" s="120" t="n">
        <x:f>DT27-DT20-DT24</x:f>
      </x:c>
      <x:c r="DU54" s="120" t="n">
        <x:f>DU27-DU20-DU24</x:f>
      </x:c>
      <x:c r="DV54" s="120" t="n">
        <x:f>DV27-DV20-DV24</x:f>
      </x:c>
      <x:c r="DW54" s="120" t="n">
        <x:f>DW27-DW20-DW24</x:f>
      </x:c>
      <x:c r="DX54" s="120" t="n">
        <x:f>DX27-DX20-DX24</x:f>
      </x:c>
      <x:c r="DY54" s="120" t="n">
        <x:f>DY27-DY20-DY24</x:f>
      </x:c>
      <x:c r="DZ54" s="120" t="n">
        <x:f>DZ27-DZ20-DZ24</x:f>
      </x:c>
      <x:c r="EA54" s="120" t="n">
        <x:f>EA27-EA20-EA24</x:f>
      </x:c>
      <x:c r="EB54" s="120" t="n">
        <x:f>EB27-EB20-EB24</x:f>
      </x:c>
      <x:c r="EC54" s="120" t="n">
        <x:f>EC27-EC20-EC24</x:f>
      </x:c>
      <x:c r="ED54" s="120" t="n">
        <x:f>ED27-ED20-ED24</x:f>
      </x:c>
      <x:c r="EE54" s="120" t="n">
        <x:f>EE27-EE20-EE24</x:f>
      </x:c>
      <x:c r="EF54" s="120" t="n">
        <x:f>EF27-EF20-EF24</x:f>
      </x:c>
      <x:c r="EG54" s="120" t="n">
        <x:f>EG27-EG20-EG24</x:f>
      </x:c>
      <x:c r="EH54" s="120" t="n">
        <x:f>EH27-EH20-EH24</x:f>
      </x:c>
      <x:c r="EI54" s="120" t="n">
        <x:f>EI27-EI20-EI24</x:f>
      </x:c>
      <x:c r="EJ54" s="120" t="n">
        <x:f>EJ27-EJ20-EJ24</x:f>
      </x:c>
      <x:c r="EK54" s="120" t="n">
        <x:f>EK27-EK20-EK24</x:f>
      </x:c>
      <x:c r="EL54" s="120" t="n">
        <x:f>EL27-EL20-EL24</x:f>
      </x:c>
      <x:c r="EM54" s="120" t="n">
        <x:f>EM27-EM20-EM24</x:f>
      </x:c>
      <x:c r="EN54" s="120" t="n">
        <x:f>EN27-EN20-EN24</x:f>
      </x:c>
      <x:c r="EO54" s="120" t="n">
        <x:f>EO27-EO20-EO24</x:f>
      </x:c>
      <x:c r="EP54" s="120" t="n">
        <x:f>EP27-EP20-EP24</x:f>
      </x:c>
      <x:c r="EQ54" s="120" t="n">
        <x:f>EQ27-EQ20-EQ24</x:f>
      </x:c>
      <x:c r="ER54" s="120" t="n">
        <x:f>ER27-ER20-ER24</x:f>
      </x:c>
      <x:c r="ES54" s="120" t="n">
        <x:f>ES27-ES20-ES24</x:f>
      </x:c>
      <x:c r="ET54" s="120" t="n">
        <x:f>ET27-ET20-ET24</x:f>
      </x:c>
      <x:c r="EU54" s="120" t="n">
        <x:f>EU27-EU20-EU24</x:f>
      </x:c>
      <x:c r="EV54" s="120" t="n">
        <x:f>EV27-EV20-EV24</x:f>
      </x:c>
      <x:c r="EW54" s="120" t="n">
        <x:f>EW27-EW20-EW24</x:f>
      </x:c>
      <x:c r="EX54" s="120" t="n">
        <x:f>EX27-EX20-EX24</x:f>
      </x:c>
      <x:c r="EY54" s="120" t="n">
        <x:f>EY27-EY20-EY24</x:f>
      </x:c>
      <x:c r="EZ54" s="120" t="n">
        <x:f>EZ27-EZ20-EZ24</x:f>
      </x:c>
      <x:c r="FA54" s="120" t="n">
        <x:f>FA27-FA20-FA24</x:f>
      </x:c>
      <x:c r="FB54" s="120" t="n">
        <x:f>FB27-FB20-FB24</x:f>
      </x:c>
      <x:c r="FC54" s="120" t="n">
        <x:f>FC27-FC20-FC24</x:f>
      </x:c>
      <x:c r="FD54" s="120" t="n">
        <x:f>FD27-FD20-FD24</x:f>
      </x:c>
      <x:c r="FE54" s="120" t="n">
        <x:f>FE27-FE20-FE24</x:f>
      </x:c>
      <x:c r="FF54" s="120" t="n">
        <x:f>FF27-FF20-FF24</x:f>
      </x:c>
      <x:c r="FG54" s="120" t="n">
        <x:f>FG27-FG20-FG24</x:f>
      </x:c>
      <x:c r="FH54" s="120" t="n">
        <x:f>FH27-FH20-FH24</x:f>
      </x:c>
      <x:c r="FI54" s="120" t="n">
        <x:f>FI27-FI20-FI24</x:f>
      </x:c>
      <x:c r="FJ54" s="120" t="n">
        <x:f>FJ27-FJ20-FJ24</x:f>
      </x:c>
      <x:c r="FK54" s="120" t="n">
        <x:f>FK27-FK20-FK24</x:f>
      </x:c>
      <x:c r="FL54" s="120" t="n">
        <x:f>FL27-FL20-FL24</x:f>
      </x:c>
      <x:c r="FM54" s="120" t="n">
        <x:f>FM27-FM20-FM24</x:f>
      </x:c>
      <x:c r="FN54" s="120" t="n">
        <x:f>FN27-FN20-FN24</x:f>
      </x:c>
      <x:c r="FO54" s="120" t="n">
        <x:f>FO27-FO20-FO24</x:f>
      </x:c>
      <x:c r="FP54" s="120" t="n">
        <x:f>FP27-FP20-FP24</x:f>
      </x:c>
      <x:c r="FQ54" s="120" t="n">
        <x:f>FQ27-FQ20-FQ24</x:f>
      </x:c>
      <x:c r="FR54" s="120" t="n">
        <x:f>FR27-FR20-FR24</x:f>
      </x:c>
      <x:c r="FS54" s="120" t="n">
        <x:f>FS27-FS20-FS24</x:f>
      </x:c>
      <x:c r="FT54" s="120" t="n">
        <x:f>FT27-FT20-FT24</x:f>
      </x:c>
      <x:c r="FU54" s="120" t="n">
        <x:f>FU27-FU20-FU24</x:f>
      </x:c>
      <x:c r="FV54" s="120" t="n">
        <x:f>FV27-FV20-FV24</x:f>
      </x:c>
      <x:c r="FW54" s="120" t="n">
        <x:f>FW27-FW20-FW24</x:f>
      </x:c>
      <x:c r="FX54" s="120" t="n">
        <x:f>FX27-FX20-FX24</x:f>
      </x:c>
      <x:c r="FY54" s="120" t="n">
        <x:f>FY27-FY20-FY24</x:f>
      </x:c>
      <x:c r="FZ54" s="120" t="n">
        <x:f>FZ27-FZ20-FZ24</x:f>
      </x:c>
      <x:c r="GA54" s="120" t="n">
        <x:f>GA27-GA20-GA24</x:f>
      </x:c>
    </x:row>
    <x:row r="55">
      <x:c r="A55" t="str">
        <x:v>Накопленный проектный CF</x:v>
      </x:c>
      <x:c r="B55" t="n">
        <x:f>GA55</x:f>
      </x:c>
      <x:c r="C55" t="str">
        <x:v>млн ₽</x:v>
      </x:c>
      <x:c r="D55" s="117" t="n">
        <x:f>D54</x:f>
      </x:c>
      <x:c r="E55" s="117" t="n">
        <x:f>D55+E54</x:f>
      </x:c>
      <x:c r="F55" s="117" t="n">
        <x:f>E55+F54</x:f>
      </x:c>
      <x:c r="G55" s="117" t="n">
        <x:f>F55+G54</x:f>
      </x:c>
      <x:c r="H55" s="117" t="n">
        <x:f>G55+H54</x:f>
      </x:c>
      <x:c r="I55" s="117" t="n">
        <x:f>H55+I54</x:f>
      </x:c>
      <x:c r="J55" s="117" t="n">
        <x:f>I55+J54</x:f>
      </x:c>
      <x:c r="K55" s="117" t="n">
        <x:f>J55+K54</x:f>
      </x:c>
      <x:c r="L55" s="117" t="n">
        <x:f>K55+L54</x:f>
      </x:c>
      <x:c r="M55" s="117" t="n">
        <x:f>L55+M54</x:f>
      </x:c>
      <x:c r="N55" s="117" t="n">
        <x:f>M55+N54</x:f>
      </x:c>
      <x:c r="O55" s="117" t="n">
        <x:f>N55+O54</x:f>
      </x:c>
      <x:c r="P55" s="117" t="n">
        <x:f>O55+P54</x:f>
      </x:c>
      <x:c r="Q55" s="117" t="n">
        <x:f>P55+Q54</x:f>
      </x:c>
      <x:c r="R55" s="117" t="n">
        <x:f>Q55+R54</x:f>
      </x:c>
      <x:c r="S55" s="117" t="n">
        <x:f>R55+S54</x:f>
      </x:c>
      <x:c r="T55" s="117" t="n">
        <x:f>S55+T54</x:f>
      </x:c>
      <x:c r="U55" s="117" t="n">
        <x:f>T55+U54</x:f>
      </x:c>
      <x:c r="V55" s="117" t="n">
        <x:f>U55+V54</x:f>
      </x:c>
      <x:c r="W55" s="117" t="n">
        <x:f>V55+W54</x:f>
      </x:c>
      <x:c r="X55" s="117" t="n">
        <x:f>W55+X54</x:f>
      </x:c>
      <x:c r="Y55" s="117" t="n">
        <x:f>X55+Y54</x:f>
      </x:c>
      <x:c r="Z55" s="117" t="n">
        <x:f>Y55+Z54</x:f>
      </x:c>
      <x:c r="AA55" s="117" t="n">
        <x:f>Z55+AA54</x:f>
      </x:c>
      <x:c r="AB55" s="117" t="n">
        <x:f>AA55+AB54</x:f>
      </x:c>
      <x:c r="AC55" s="117" t="n">
        <x:f>AB55+AC54</x:f>
      </x:c>
      <x:c r="AD55" s="117" t="n">
        <x:f>AC55+AD54</x:f>
      </x:c>
      <x:c r="AE55" s="117" t="n">
        <x:f>AD55+AE54</x:f>
      </x:c>
      <x:c r="AF55" s="117" t="n">
        <x:f>AE55+AF54</x:f>
      </x:c>
      <x:c r="AG55" s="117" t="n">
        <x:f>AF55+AG54</x:f>
      </x:c>
      <x:c r="AH55" s="117" t="n">
        <x:f>AG55+AH54</x:f>
      </x:c>
      <x:c r="AI55" s="117" t="n">
        <x:f>AH55+AI54</x:f>
      </x:c>
      <x:c r="AJ55" s="117" t="n">
        <x:f>AI55+AJ54</x:f>
      </x:c>
      <x:c r="AK55" s="117" t="n">
        <x:f>AJ55+AK54</x:f>
      </x:c>
      <x:c r="AL55" s="117" t="n">
        <x:f>AK55+AL54</x:f>
      </x:c>
      <x:c r="AM55" s="117" t="n">
        <x:f>AL55+AM54</x:f>
      </x:c>
      <x:c r="AN55" s="117" t="n">
        <x:f>AM55+AN54</x:f>
      </x:c>
      <x:c r="AO55" s="117" t="n">
        <x:f>AN55+AO54</x:f>
      </x:c>
      <x:c r="AP55" s="117" t="n">
        <x:f>AO55+AP54</x:f>
      </x:c>
      <x:c r="AQ55" s="117" t="n">
        <x:f>AP55+AQ54</x:f>
      </x:c>
      <x:c r="AR55" s="117" t="n">
        <x:f>AQ55+AR54</x:f>
      </x:c>
      <x:c r="AS55" s="117" t="n">
        <x:f>AR55+AS54</x:f>
      </x:c>
      <x:c r="AT55" s="117" t="n">
        <x:f>AS55+AT54</x:f>
      </x:c>
      <x:c r="AU55" s="117" t="n">
        <x:f>AT55+AU54</x:f>
      </x:c>
      <x:c r="AV55" s="117" t="n">
        <x:f>AU55+AV54</x:f>
      </x:c>
      <x:c r="AW55" s="117" t="n">
        <x:f>AV55+AW54</x:f>
      </x:c>
      <x:c r="AX55" s="117" t="n">
        <x:f>AW55+AX54</x:f>
      </x:c>
      <x:c r="AY55" s="117" t="n">
        <x:f>AX55+AY54</x:f>
      </x:c>
      <x:c r="AZ55" s="117" t="n">
        <x:f>AY55+AZ54</x:f>
      </x:c>
      <x:c r="BA55" s="117" t="n">
        <x:f>AZ55+BA54</x:f>
      </x:c>
      <x:c r="BB55" s="117" t="n">
        <x:f>BA55+BB54</x:f>
      </x:c>
      <x:c r="BC55" s="117" t="n">
        <x:f>BB55+BC54</x:f>
      </x:c>
      <x:c r="BD55" s="117" t="n">
        <x:f>BC55+BD54</x:f>
      </x:c>
      <x:c r="BE55" s="117" t="n">
        <x:f>BD55+BE54</x:f>
      </x:c>
      <x:c r="BF55" s="117" t="n">
        <x:f>BE55+BF54</x:f>
      </x:c>
      <x:c r="BG55" s="117" t="n">
        <x:f>BF55+BG54</x:f>
      </x:c>
      <x:c r="BH55" s="117" t="n">
        <x:f>BG55+BH54</x:f>
      </x:c>
      <x:c r="BI55" s="117" t="n">
        <x:f>BH55+BI54</x:f>
      </x:c>
      <x:c r="BJ55" s="117" t="n">
        <x:f>BI55+BJ54</x:f>
      </x:c>
      <x:c r="BK55" s="117" t="n">
        <x:f>BJ55+BK54</x:f>
      </x:c>
      <x:c r="BL55" s="117" t="n">
        <x:f>BK55+BL54</x:f>
      </x:c>
      <x:c r="BM55" s="117" t="n">
        <x:f>BL55+BM54</x:f>
      </x:c>
      <x:c r="BN55" s="117" t="n">
        <x:f>BM55+BN54</x:f>
      </x:c>
      <x:c r="BO55" s="117" t="n">
        <x:f>BN55+BO54</x:f>
      </x:c>
      <x:c r="BP55" s="117" t="n">
        <x:f>BO55+BP54</x:f>
      </x:c>
      <x:c r="BQ55" s="117" t="n">
        <x:f>BP55+BQ54</x:f>
      </x:c>
      <x:c r="BR55" s="117" t="n">
        <x:f>BQ55+BR54</x:f>
      </x:c>
      <x:c r="BS55" s="117" t="n">
        <x:f>BR55+BS54</x:f>
      </x:c>
      <x:c r="BT55" s="117" t="n">
        <x:f>BS55+BT54</x:f>
      </x:c>
      <x:c r="BU55" s="117" t="n">
        <x:f>BT55+BU54</x:f>
      </x:c>
      <x:c r="BV55" s="117" t="n">
        <x:f>BU55+BV54</x:f>
      </x:c>
      <x:c r="BW55" s="117" t="n">
        <x:f>BV55+BW54</x:f>
      </x:c>
      <x:c r="BX55" s="117" t="n">
        <x:f>BW55+BX54</x:f>
      </x:c>
      <x:c r="BY55" s="117" t="n">
        <x:f>BX55+BY54</x:f>
      </x:c>
      <x:c r="BZ55" s="117" t="n">
        <x:f>BY55+BZ54</x:f>
      </x:c>
      <x:c r="CA55" s="117" t="n">
        <x:f>BZ55+CA54</x:f>
      </x:c>
      <x:c r="CB55" s="117" t="n">
        <x:f>CA55+CB54</x:f>
      </x:c>
      <x:c r="CC55" s="117" t="n">
        <x:f>CB55+CC54</x:f>
      </x:c>
      <x:c r="CD55" s="117" t="n">
        <x:f>CC55+CD54</x:f>
      </x:c>
      <x:c r="CE55" s="117" t="n">
        <x:f>CD55+CE54</x:f>
      </x:c>
      <x:c r="CF55" s="117" t="n">
        <x:f>CE55+CF54</x:f>
      </x:c>
      <x:c r="CG55" s="117" t="n">
        <x:f>CF55+CG54</x:f>
      </x:c>
      <x:c r="CH55" s="117" t="n">
        <x:f>CG55+CH54</x:f>
      </x:c>
      <x:c r="CI55" s="117" t="n">
        <x:f>CH55+CI54</x:f>
      </x:c>
      <x:c r="CJ55" s="117" t="n">
        <x:f>CI55+CJ54</x:f>
      </x:c>
      <x:c r="CK55" s="117" t="n">
        <x:f>CJ55+CK54</x:f>
      </x:c>
      <x:c r="CL55" s="117" t="n">
        <x:f>CK55+CL54</x:f>
      </x:c>
      <x:c r="CM55" s="117" t="n">
        <x:f>CL55+CM54</x:f>
      </x:c>
      <x:c r="CN55" s="117" t="n">
        <x:f>CM55+CN54</x:f>
      </x:c>
      <x:c r="CO55" s="117" t="n">
        <x:f>CN55+CO54</x:f>
      </x:c>
      <x:c r="CP55" s="117" t="n">
        <x:f>CO55+CP54</x:f>
      </x:c>
      <x:c r="CQ55" s="117" t="n">
        <x:f>CP55+CQ54</x:f>
      </x:c>
      <x:c r="CR55" s="117" t="n">
        <x:f>CQ55+CR54</x:f>
      </x:c>
      <x:c r="CS55" s="117" t="n">
        <x:f>CR55+CS54</x:f>
      </x:c>
      <x:c r="CT55" s="117" t="n">
        <x:f>CS55+CT54</x:f>
      </x:c>
      <x:c r="CU55" s="117" t="n">
        <x:f>CT55+CU54</x:f>
      </x:c>
      <x:c r="CV55" s="117" t="n">
        <x:f>CU55+CV54</x:f>
      </x:c>
      <x:c r="CW55" s="117" t="n">
        <x:f>CV55+CW54</x:f>
      </x:c>
      <x:c r="CX55" s="117" t="n">
        <x:f>CW55+CX54</x:f>
      </x:c>
      <x:c r="CY55" s="117" t="n">
        <x:f>CX55+CY54</x:f>
      </x:c>
      <x:c r="CZ55" s="117" t="n">
        <x:f>CY55+CZ54</x:f>
      </x:c>
      <x:c r="DA55" s="117" t="n">
        <x:f>CZ55+DA54</x:f>
      </x:c>
      <x:c r="DB55" s="117" t="n">
        <x:f>DA55+DB54</x:f>
      </x:c>
      <x:c r="DC55" s="117" t="n">
        <x:f>DB55+DC54</x:f>
      </x:c>
      <x:c r="DD55" s="117" t="n">
        <x:f>DC55+DD54</x:f>
      </x:c>
      <x:c r="DE55" s="117" t="n">
        <x:f>DD55+DE54</x:f>
      </x:c>
      <x:c r="DF55" s="117" t="n">
        <x:f>DE55+DF54</x:f>
      </x:c>
      <x:c r="DG55" s="117" t="n">
        <x:f>DF55+DG54</x:f>
      </x:c>
      <x:c r="DH55" s="117" t="n">
        <x:f>DG55+DH54</x:f>
      </x:c>
      <x:c r="DI55" s="117" t="n">
        <x:f>DH55+DI54</x:f>
      </x:c>
      <x:c r="DJ55" s="117" t="n">
        <x:f>DI55+DJ54</x:f>
      </x:c>
      <x:c r="DK55" s="117" t="n">
        <x:f>DJ55+DK54</x:f>
      </x:c>
      <x:c r="DL55" s="117" t="n">
        <x:f>DK55+DL54</x:f>
      </x:c>
      <x:c r="DM55" s="117" t="n">
        <x:f>DL55+DM54</x:f>
      </x:c>
      <x:c r="DN55" s="117" t="n">
        <x:f>DM55+DN54</x:f>
      </x:c>
      <x:c r="DO55" s="117" t="n">
        <x:f>DN55+DO54</x:f>
      </x:c>
      <x:c r="DP55" s="117" t="n">
        <x:f>DO55+DP54</x:f>
      </x:c>
      <x:c r="DQ55" s="117" t="n">
        <x:f>DP55+DQ54</x:f>
      </x:c>
      <x:c r="DR55" s="117" t="n">
        <x:f>DQ55+DR54</x:f>
      </x:c>
      <x:c r="DS55" s="117" t="n">
        <x:f>DR55+DS54</x:f>
      </x:c>
      <x:c r="DT55" s="117" t="n">
        <x:f>DS55+DT54</x:f>
      </x:c>
      <x:c r="DU55" s="117" t="n">
        <x:f>DT55+DU54</x:f>
      </x:c>
      <x:c r="DV55" s="117" t="n">
        <x:f>DU55+DV54</x:f>
      </x:c>
      <x:c r="DW55" s="117" t="n">
        <x:f>DV55+DW54</x:f>
      </x:c>
      <x:c r="DX55" s="117" t="n">
        <x:f>DW55+DX54</x:f>
      </x:c>
      <x:c r="DY55" s="117" t="n">
        <x:f>DX55+DY54</x:f>
      </x:c>
      <x:c r="DZ55" s="117" t="n">
        <x:f>DY55+DZ54</x:f>
      </x:c>
      <x:c r="EA55" s="117" t="n">
        <x:f>DZ55+EA54</x:f>
      </x:c>
      <x:c r="EB55" s="117" t="n">
        <x:f>EA55+EB54</x:f>
      </x:c>
      <x:c r="EC55" s="117" t="n">
        <x:f>EB55+EC54</x:f>
      </x:c>
      <x:c r="ED55" s="117" t="n">
        <x:f>EC55+ED54</x:f>
      </x:c>
      <x:c r="EE55" s="117" t="n">
        <x:f>ED55+EE54</x:f>
      </x:c>
      <x:c r="EF55" s="117" t="n">
        <x:f>EE55+EF54</x:f>
      </x:c>
      <x:c r="EG55" s="117" t="n">
        <x:f>EF55+EG54</x:f>
      </x:c>
      <x:c r="EH55" s="117" t="n">
        <x:f>EG55+EH54</x:f>
      </x:c>
      <x:c r="EI55" s="117" t="n">
        <x:f>EH55+EI54</x:f>
      </x:c>
      <x:c r="EJ55" s="117" t="n">
        <x:f>EI55+EJ54</x:f>
      </x:c>
      <x:c r="EK55" s="117" t="n">
        <x:f>EJ55+EK54</x:f>
      </x:c>
      <x:c r="EL55" s="117" t="n">
        <x:f>EK55+EL54</x:f>
      </x:c>
      <x:c r="EM55" s="117" t="n">
        <x:f>EL55+EM54</x:f>
      </x:c>
      <x:c r="EN55" s="117" t="n">
        <x:f>EM55+EN54</x:f>
      </x:c>
      <x:c r="EO55" s="117" t="n">
        <x:f>EN55+EO54</x:f>
      </x:c>
      <x:c r="EP55" s="117" t="n">
        <x:f>EO55+EP54</x:f>
      </x:c>
      <x:c r="EQ55" s="117" t="n">
        <x:f>EP55+EQ54</x:f>
      </x:c>
      <x:c r="ER55" s="117" t="n">
        <x:f>EQ55+ER54</x:f>
      </x:c>
      <x:c r="ES55" s="117" t="n">
        <x:f>ER55+ES54</x:f>
      </x:c>
      <x:c r="ET55" s="117" t="n">
        <x:f>ES55+ET54</x:f>
      </x:c>
      <x:c r="EU55" s="117" t="n">
        <x:f>ET55+EU54</x:f>
      </x:c>
      <x:c r="EV55" s="117" t="n">
        <x:f>EU55+EV54</x:f>
      </x:c>
      <x:c r="EW55" s="117" t="n">
        <x:f>EV55+EW54</x:f>
      </x:c>
      <x:c r="EX55" s="117" t="n">
        <x:f>EW55+EX54</x:f>
      </x:c>
      <x:c r="EY55" s="117" t="n">
        <x:f>EX55+EY54</x:f>
      </x:c>
      <x:c r="EZ55" s="117" t="n">
        <x:f>EY55+EZ54</x:f>
      </x:c>
      <x:c r="FA55" s="117" t="n">
        <x:f>EZ55+FA54</x:f>
      </x:c>
      <x:c r="FB55" s="117" t="n">
        <x:f>FA55+FB54</x:f>
      </x:c>
      <x:c r="FC55" s="117" t="n">
        <x:f>FB55+FC54</x:f>
      </x:c>
      <x:c r="FD55" s="117" t="n">
        <x:f>FC55+FD54</x:f>
      </x:c>
      <x:c r="FE55" s="117" t="n">
        <x:f>FD55+FE54</x:f>
      </x:c>
      <x:c r="FF55" s="117" t="n">
        <x:f>FE55+FF54</x:f>
      </x:c>
      <x:c r="FG55" s="117" t="n">
        <x:f>FF55+FG54</x:f>
      </x:c>
      <x:c r="FH55" s="117" t="n">
        <x:f>FG55+FH54</x:f>
      </x:c>
      <x:c r="FI55" s="117" t="n">
        <x:f>FH55+FI54</x:f>
      </x:c>
      <x:c r="FJ55" s="117" t="n">
        <x:f>FI55+FJ54</x:f>
      </x:c>
      <x:c r="FK55" s="117" t="n">
        <x:f>FJ55+FK54</x:f>
      </x:c>
      <x:c r="FL55" s="117" t="n">
        <x:f>FK55+FL54</x:f>
      </x:c>
      <x:c r="FM55" s="117" t="n">
        <x:f>FL55+FM54</x:f>
      </x:c>
      <x:c r="FN55" s="117" t="n">
        <x:f>FM55+FN54</x:f>
      </x:c>
      <x:c r="FO55" s="117" t="n">
        <x:f>FN55+FO54</x:f>
      </x:c>
      <x:c r="FP55" s="117" t="n">
        <x:f>FO55+FP54</x:f>
      </x:c>
      <x:c r="FQ55" s="117" t="n">
        <x:f>FP55+FQ54</x:f>
      </x:c>
      <x:c r="FR55" s="117" t="n">
        <x:f>FQ55+FR54</x:f>
      </x:c>
      <x:c r="FS55" s="117" t="n">
        <x:f>FR55+FS54</x:f>
      </x:c>
      <x:c r="FT55" s="117" t="n">
        <x:f>FS55+FT54</x:f>
      </x:c>
      <x:c r="FU55" s="117" t="n">
        <x:f>FT55+FU54</x:f>
      </x:c>
      <x:c r="FV55" s="117" t="n">
        <x:f>FU55+FV54</x:f>
      </x:c>
      <x:c r="FW55" s="117" t="n">
        <x:f>FV55+FW54</x:f>
      </x:c>
      <x:c r="FX55" s="117" t="n">
        <x:f>FW55+FX54</x:f>
      </x:c>
      <x:c r="FY55" s="117" t="n">
        <x:f>FX55+FY54</x:f>
      </x:c>
      <x:c r="FZ55" s="117" t="n">
        <x:f>FY55+FZ54</x:f>
      </x:c>
      <x:c r="GA55" s="117" t="n">
        <x:f>FZ55+GA54</x:f>
      </x:c>
    </x:row>
    <x:row r="56">
      <x:c r="A56" t="str">
        <x:v>Собственные средства — расход</x:v>
      </x:c>
      <x:c r="B56">
        <x:f>SUM(D56:GA56)</x:f>
      </x:c>
      <x:c r="C56" t="str">
        <x:v>млн ₽</x:v>
      </x:c>
      <x:c r="D56" s="117">
        <x:f>MIN(MAX(0,'Вводные'!$B$85*'Вводные'!$AI$90),D33)</x:f>
      </x:c>
      <x:c r="E56" s="117">
        <x:f>MIN(MAX(0,D59),E33)</x:f>
      </x:c>
      <x:c r="F56" s="117">
        <x:f>MIN(MAX(0,E59),F33)</x:f>
      </x:c>
      <x:c r="G56" s="117">
        <x:f>MIN(MAX(0,F59),G33)</x:f>
      </x:c>
      <x:c r="H56" s="117">
        <x:f>MIN(MAX(0,G59),H33)</x:f>
      </x:c>
      <x:c r="I56" s="117">
        <x:f>MIN(MAX(0,H59),I33)</x:f>
      </x:c>
      <x:c r="J56" s="117">
        <x:f>MIN(MAX(0,I59),J33)</x:f>
      </x:c>
      <x:c r="K56" s="117">
        <x:f>MIN(MAX(0,J59),K33)</x:f>
      </x:c>
      <x:c r="L56" s="117">
        <x:f>MIN(MAX(0,K59),L33)</x:f>
      </x:c>
      <x:c r="M56" s="117">
        <x:f>MIN(MAX(0,L59),M33)</x:f>
      </x:c>
      <x:c r="N56" s="117">
        <x:f>MIN(MAX(0,M59),N33)</x:f>
      </x:c>
      <x:c r="O56" s="117">
        <x:f>MIN(MAX(0,N59),O33)</x:f>
      </x:c>
      <x:c r="P56" s="117">
        <x:f>MIN(MAX(0,O59),P33)</x:f>
      </x:c>
      <x:c r="Q56" s="117">
        <x:f>MIN(MAX(0,P59),Q33)</x:f>
      </x:c>
      <x:c r="R56" s="117">
        <x:f>MIN(MAX(0,Q59),R33)</x:f>
      </x:c>
      <x:c r="S56" s="117">
        <x:f>MIN(MAX(0,R59),S33)</x:f>
      </x:c>
      <x:c r="T56" s="117">
        <x:f>MIN(MAX(0,S59),T33)</x:f>
      </x:c>
      <x:c r="U56" s="117">
        <x:f>MIN(MAX(0,T59),U33)</x:f>
      </x:c>
      <x:c r="V56" s="117">
        <x:f>MIN(MAX(0,U59),V33)</x:f>
      </x:c>
      <x:c r="W56" s="117">
        <x:f>MIN(MAX(0,V59),W33)</x:f>
      </x:c>
      <x:c r="X56" s="117">
        <x:f>MIN(MAX(0,W59),X33)</x:f>
      </x:c>
      <x:c r="Y56" s="117">
        <x:f>MIN(MAX(0,X59),Y33)</x:f>
      </x:c>
      <x:c r="Z56" s="117">
        <x:f>MIN(MAX(0,Y59),Z33)</x:f>
      </x:c>
      <x:c r="AA56" s="117">
        <x:f>MIN(MAX(0,Z59),AA33)</x:f>
      </x:c>
      <x:c r="AB56" s="117">
        <x:f>MIN(MAX(0,AA59),AB33)</x:f>
      </x:c>
      <x:c r="AC56" s="117">
        <x:f>MIN(MAX(0,AB59),AC33)</x:f>
      </x:c>
      <x:c r="AD56" s="117">
        <x:f>MIN(MAX(0,AC59),AD33)</x:f>
      </x:c>
      <x:c r="AE56" s="117">
        <x:f>MIN(MAX(0,AD59),AE33)</x:f>
      </x:c>
      <x:c r="AF56" s="117">
        <x:f>MIN(MAX(0,AE59),AF33)</x:f>
      </x:c>
      <x:c r="AG56" s="117">
        <x:f>MIN(MAX(0,AF59),AG33)</x:f>
      </x:c>
      <x:c r="AH56" s="117">
        <x:f>MIN(MAX(0,AG59),AH33)</x:f>
      </x:c>
      <x:c r="AI56" s="117">
        <x:f>MIN(MAX(0,AH59),AI33)</x:f>
      </x:c>
      <x:c r="AJ56" s="117">
        <x:f>MIN(MAX(0,AI59),AJ33)</x:f>
      </x:c>
      <x:c r="AK56" s="117">
        <x:f>MIN(MAX(0,AJ59),AK33)</x:f>
      </x:c>
      <x:c r="AL56" s="117">
        <x:f>MIN(MAX(0,AK59),AL33)</x:f>
      </x:c>
      <x:c r="AM56" s="117">
        <x:f>MIN(MAX(0,AL59),AM33)</x:f>
      </x:c>
      <x:c r="AN56" s="117">
        <x:f>MIN(MAX(0,AM59),AN33)</x:f>
      </x:c>
      <x:c r="AO56" s="117">
        <x:f>MIN(MAX(0,AN59),AO33)</x:f>
      </x:c>
      <x:c r="AP56" s="117">
        <x:f>MIN(MAX(0,AO59),AP33)</x:f>
      </x:c>
      <x:c r="AQ56" s="117">
        <x:f>MIN(MAX(0,AP59),AQ33)</x:f>
      </x:c>
      <x:c r="AR56" s="117">
        <x:f>MIN(MAX(0,AQ59),AR33)</x:f>
      </x:c>
      <x:c r="AS56" s="117">
        <x:f>MIN(MAX(0,AR59),AS33)</x:f>
      </x:c>
      <x:c r="AT56" s="117">
        <x:f>MIN(MAX(0,AS59),AT33)</x:f>
      </x:c>
      <x:c r="AU56" s="117">
        <x:f>MIN(MAX(0,AT59),AU33)</x:f>
      </x:c>
      <x:c r="AV56" s="117">
        <x:f>MIN(MAX(0,AU59),AV33)</x:f>
      </x:c>
      <x:c r="AW56" s="117">
        <x:f>MIN(MAX(0,AV59),AW33)</x:f>
      </x:c>
      <x:c r="AX56" s="117">
        <x:f>MIN(MAX(0,AW59),AX33)</x:f>
      </x:c>
      <x:c r="AY56" s="117">
        <x:f>MIN(MAX(0,AX59),AY33)</x:f>
      </x:c>
      <x:c r="AZ56" s="117">
        <x:f>MIN(MAX(0,AY59),AZ33)</x:f>
      </x:c>
      <x:c r="BA56" s="117">
        <x:f>MIN(MAX(0,AZ59),BA33)</x:f>
      </x:c>
      <x:c r="BB56" s="117">
        <x:f>MIN(MAX(0,BA59),BB33)</x:f>
      </x:c>
      <x:c r="BC56" s="117">
        <x:f>MIN(MAX(0,BB59),BC33)</x:f>
      </x:c>
      <x:c r="BD56" s="117">
        <x:f>MIN(MAX(0,BC59),BD33)</x:f>
      </x:c>
      <x:c r="BE56" s="117">
        <x:f>MIN(MAX(0,BD59),BE33)</x:f>
      </x:c>
      <x:c r="BF56" s="117">
        <x:f>MIN(MAX(0,BE59),BF33)</x:f>
      </x:c>
      <x:c r="BG56" s="117">
        <x:f>MIN(MAX(0,BF59),BG33)</x:f>
      </x:c>
      <x:c r="BH56" s="117">
        <x:f>MIN(MAX(0,BG59),BH33)</x:f>
      </x:c>
      <x:c r="BI56" s="117">
        <x:f>MIN(MAX(0,BH59),BI33)</x:f>
      </x:c>
      <x:c r="BJ56" s="117">
        <x:f>MIN(MAX(0,BI59),BJ33)</x:f>
      </x:c>
      <x:c r="BK56" s="117">
        <x:f>MIN(MAX(0,BJ59),BK33)</x:f>
      </x:c>
      <x:c r="BL56" s="117">
        <x:f>MIN(MAX(0,BK59),BL33)</x:f>
      </x:c>
      <x:c r="BM56" s="117">
        <x:f>MIN(MAX(0,BL59),BM33)</x:f>
      </x:c>
      <x:c r="BN56" s="117">
        <x:f>MIN(MAX(0,BM59),BN33)</x:f>
      </x:c>
      <x:c r="BO56" s="117">
        <x:f>MIN(MAX(0,BN59),BO33)</x:f>
      </x:c>
      <x:c r="BP56" s="117">
        <x:f>MIN(MAX(0,BO59),BP33)</x:f>
      </x:c>
      <x:c r="BQ56" s="117">
        <x:f>MIN(MAX(0,BP59),BQ33)</x:f>
      </x:c>
      <x:c r="BR56" s="117">
        <x:f>MIN(MAX(0,BQ59),BR33)</x:f>
      </x:c>
      <x:c r="BS56" s="117">
        <x:f>MIN(MAX(0,BR59),BS33)</x:f>
      </x:c>
      <x:c r="BT56" s="117">
        <x:f>MIN(MAX(0,BS59),BT33)</x:f>
      </x:c>
      <x:c r="BU56" s="117">
        <x:f>MIN(MAX(0,BT59),BU33)</x:f>
      </x:c>
      <x:c r="BV56" s="117">
        <x:f>MIN(MAX(0,BU59),BV33)</x:f>
      </x:c>
      <x:c r="BW56" s="117">
        <x:f>MIN(MAX(0,BV59),BW33)</x:f>
      </x:c>
      <x:c r="BX56" s="117">
        <x:f>MIN(MAX(0,BW59),BX33)</x:f>
      </x:c>
      <x:c r="BY56" s="117">
        <x:f>MIN(MAX(0,BX59),BY33)</x:f>
      </x:c>
      <x:c r="BZ56" s="117">
        <x:f>MIN(MAX(0,BY59),BZ33)</x:f>
      </x:c>
      <x:c r="CA56" s="117">
        <x:f>MIN(MAX(0,BZ59),CA33)</x:f>
      </x:c>
      <x:c r="CB56" s="117">
        <x:f>MIN(MAX(0,CA59),CB33)</x:f>
      </x:c>
      <x:c r="CC56" s="117">
        <x:f>MIN(MAX(0,CB59),CC33)</x:f>
      </x:c>
      <x:c r="CD56" s="117">
        <x:f>MIN(MAX(0,CC59),CD33)</x:f>
      </x:c>
      <x:c r="CE56" s="117">
        <x:f>MIN(MAX(0,CD59),CE33)</x:f>
      </x:c>
      <x:c r="CF56" s="117">
        <x:f>MIN(MAX(0,CE59),CF33)</x:f>
      </x:c>
      <x:c r="CG56" s="117">
        <x:f>MIN(MAX(0,CF59),CG33)</x:f>
      </x:c>
      <x:c r="CH56" s="117">
        <x:f>MIN(MAX(0,CG59),CH33)</x:f>
      </x:c>
      <x:c r="CI56" s="117">
        <x:f>MIN(MAX(0,CH59),CI33)</x:f>
      </x:c>
      <x:c r="CJ56" s="117">
        <x:f>MIN(MAX(0,CI59),CJ33)</x:f>
      </x:c>
      <x:c r="CK56" s="117">
        <x:f>MIN(MAX(0,CJ59),CK33)</x:f>
      </x:c>
      <x:c r="CL56" s="117">
        <x:f>MIN(MAX(0,CK59),CL33)</x:f>
      </x:c>
      <x:c r="CM56" s="117">
        <x:f>MIN(MAX(0,CL59),CM33)</x:f>
      </x:c>
      <x:c r="CN56" s="117">
        <x:f>MIN(MAX(0,CM59),CN33)</x:f>
      </x:c>
      <x:c r="CO56" s="117">
        <x:f>MIN(MAX(0,CN59),CO33)</x:f>
      </x:c>
      <x:c r="CP56" s="117">
        <x:f>MIN(MAX(0,CO59),CP33)</x:f>
      </x:c>
      <x:c r="CQ56" s="117">
        <x:f>MIN(MAX(0,CP59),CQ33)</x:f>
      </x:c>
      <x:c r="CR56" s="117">
        <x:f>MIN(MAX(0,CQ59),CR33)</x:f>
      </x:c>
      <x:c r="CS56" s="117">
        <x:f>MIN(MAX(0,CR59),CS33)</x:f>
      </x:c>
      <x:c r="CT56" s="117">
        <x:f>MIN(MAX(0,CS59),CT33)</x:f>
      </x:c>
      <x:c r="CU56" s="117">
        <x:f>MIN(MAX(0,CT59),CU33)</x:f>
      </x:c>
      <x:c r="CV56" s="117">
        <x:f>MIN(MAX(0,CU59),CV33)</x:f>
      </x:c>
      <x:c r="CW56" s="117">
        <x:f>MIN(MAX(0,CV59),CW33)</x:f>
      </x:c>
      <x:c r="CX56" s="117">
        <x:f>MIN(MAX(0,CW59),CX33)</x:f>
      </x:c>
      <x:c r="CY56" s="117">
        <x:f>MIN(MAX(0,CX59),CY33)</x:f>
      </x:c>
      <x:c r="CZ56" s="117">
        <x:f>MIN(MAX(0,CY59),CZ33)</x:f>
      </x:c>
      <x:c r="DA56" s="117">
        <x:f>MIN(MAX(0,CZ59),DA33)</x:f>
      </x:c>
      <x:c r="DB56" s="117">
        <x:f>MIN(MAX(0,DA59),DB33)</x:f>
      </x:c>
      <x:c r="DC56" s="117">
        <x:f>MIN(MAX(0,DB59),DC33)</x:f>
      </x:c>
      <x:c r="DD56" s="117">
        <x:f>MIN(MAX(0,DC59),DD33)</x:f>
      </x:c>
      <x:c r="DE56" s="117">
        <x:f>MIN(MAX(0,DD59),DE33)</x:f>
      </x:c>
      <x:c r="DF56" s="117">
        <x:f>MIN(MAX(0,DE59),DF33)</x:f>
      </x:c>
      <x:c r="DG56" s="117">
        <x:f>MIN(MAX(0,DF59),DG33)</x:f>
      </x:c>
      <x:c r="DH56" s="117">
        <x:f>MIN(MAX(0,DG59),DH33)</x:f>
      </x:c>
      <x:c r="DI56" s="117">
        <x:f>MIN(MAX(0,DH59),DI33)</x:f>
      </x:c>
      <x:c r="DJ56" s="117">
        <x:f>MIN(MAX(0,DI59),DJ33)</x:f>
      </x:c>
      <x:c r="DK56" s="117">
        <x:f>MIN(MAX(0,DJ59),DK33)</x:f>
      </x:c>
      <x:c r="DL56" s="117">
        <x:f>MIN(MAX(0,DK59),DL33)</x:f>
      </x:c>
      <x:c r="DM56" s="117">
        <x:f>MIN(MAX(0,DL59),DM33)</x:f>
      </x:c>
      <x:c r="DN56" s="117">
        <x:f>MIN(MAX(0,DM59),DN33)</x:f>
      </x:c>
      <x:c r="DO56" s="117">
        <x:f>MIN(MAX(0,DN59),DO33)</x:f>
      </x:c>
      <x:c r="DP56" s="117">
        <x:f>MIN(MAX(0,DO59),DP33)</x:f>
      </x:c>
      <x:c r="DQ56" s="117">
        <x:f>MIN(MAX(0,DP59),DQ33)</x:f>
      </x:c>
      <x:c r="DR56" s="117">
        <x:f>MIN(MAX(0,DQ59),DR33)</x:f>
      </x:c>
      <x:c r="DS56" s="117">
        <x:f>MIN(MAX(0,DR59),DS33)</x:f>
      </x:c>
      <x:c r="DT56" s="117">
        <x:f>MIN(MAX(0,DS59),DT33)</x:f>
      </x:c>
      <x:c r="DU56" s="117">
        <x:f>MIN(MAX(0,DT59),DU33)</x:f>
      </x:c>
      <x:c r="DV56" s="117">
        <x:f>MIN(MAX(0,DU59),DV33)</x:f>
      </x:c>
      <x:c r="DW56" s="117">
        <x:f>MIN(MAX(0,DV59),DW33)</x:f>
      </x:c>
      <x:c r="DX56" s="117">
        <x:f>MIN(MAX(0,DW59),DX33)</x:f>
      </x:c>
      <x:c r="DY56" s="117">
        <x:f>MIN(MAX(0,DX59),DY33)</x:f>
      </x:c>
      <x:c r="DZ56" s="117">
        <x:f>MIN(MAX(0,DY59),DZ33)</x:f>
      </x:c>
      <x:c r="EA56" s="117">
        <x:f>MIN(MAX(0,DZ59),EA33)</x:f>
      </x:c>
      <x:c r="EB56" s="117">
        <x:f>MIN(MAX(0,EA59),EB33)</x:f>
      </x:c>
      <x:c r="EC56" s="117">
        <x:f>MIN(MAX(0,EB59),EC33)</x:f>
      </x:c>
      <x:c r="ED56" s="117">
        <x:f>MIN(MAX(0,EC59),ED33)</x:f>
      </x:c>
      <x:c r="EE56" s="117">
        <x:f>MIN(MAX(0,ED59),EE33)</x:f>
      </x:c>
      <x:c r="EF56" s="117">
        <x:f>MIN(MAX(0,EE59),EF33)</x:f>
      </x:c>
      <x:c r="EG56" s="117">
        <x:f>MIN(MAX(0,EF59),EG33)</x:f>
      </x:c>
      <x:c r="EH56" s="117">
        <x:f>MIN(MAX(0,EG59),EH33)</x:f>
      </x:c>
      <x:c r="EI56" s="117">
        <x:f>MIN(MAX(0,EH59),EI33)</x:f>
      </x:c>
      <x:c r="EJ56" s="117">
        <x:f>MIN(MAX(0,EI59),EJ33)</x:f>
      </x:c>
      <x:c r="EK56" s="117">
        <x:f>MIN(MAX(0,EJ59),EK33)</x:f>
      </x:c>
      <x:c r="EL56" s="117">
        <x:f>MIN(MAX(0,EK59),EL33)</x:f>
      </x:c>
      <x:c r="EM56" s="117">
        <x:f>MIN(MAX(0,EL59),EM33)</x:f>
      </x:c>
      <x:c r="EN56" s="117">
        <x:f>MIN(MAX(0,EM59),EN33)</x:f>
      </x:c>
      <x:c r="EO56" s="117">
        <x:f>MIN(MAX(0,EN59),EO33)</x:f>
      </x:c>
      <x:c r="EP56" s="117">
        <x:f>MIN(MAX(0,EO59),EP33)</x:f>
      </x:c>
      <x:c r="EQ56" s="117">
        <x:f>MIN(MAX(0,EP59),EQ33)</x:f>
      </x:c>
      <x:c r="ER56" s="117">
        <x:f>MIN(MAX(0,EQ59),ER33)</x:f>
      </x:c>
      <x:c r="ES56" s="117">
        <x:f>MIN(MAX(0,ER59),ES33)</x:f>
      </x:c>
      <x:c r="ET56" s="117">
        <x:f>MIN(MAX(0,ES59),ET33)</x:f>
      </x:c>
      <x:c r="EU56" s="117">
        <x:f>MIN(MAX(0,ET59),EU33)</x:f>
      </x:c>
      <x:c r="EV56" s="117">
        <x:f>MIN(MAX(0,EU59),EV33)</x:f>
      </x:c>
      <x:c r="EW56" s="117">
        <x:f>MIN(MAX(0,EV59),EW33)</x:f>
      </x:c>
      <x:c r="EX56" s="117">
        <x:f>MIN(MAX(0,EW59),EX33)</x:f>
      </x:c>
      <x:c r="EY56" s="117">
        <x:f>MIN(MAX(0,EX59),EY33)</x:f>
      </x:c>
      <x:c r="EZ56" s="117">
        <x:f>MIN(MAX(0,EY59),EZ33)</x:f>
      </x:c>
      <x:c r="FA56" s="117">
        <x:f>MIN(MAX(0,EZ59),FA33)</x:f>
      </x:c>
      <x:c r="FB56" s="117">
        <x:f>MIN(MAX(0,FA59),FB33)</x:f>
      </x:c>
      <x:c r="FC56" s="117">
        <x:f>MIN(MAX(0,FB59),FC33)</x:f>
      </x:c>
      <x:c r="FD56" s="117">
        <x:f>MIN(MAX(0,FC59),FD33)</x:f>
      </x:c>
      <x:c r="FE56" s="117">
        <x:f>MIN(MAX(0,FD59),FE33)</x:f>
      </x:c>
      <x:c r="FF56" s="117">
        <x:f>MIN(MAX(0,FE59),FF33)</x:f>
      </x:c>
      <x:c r="FG56" s="117">
        <x:f>MIN(MAX(0,FF59),FG33)</x:f>
      </x:c>
      <x:c r="FH56" s="117">
        <x:f>MIN(MAX(0,FG59),FH33)</x:f>
      </x:c>
      <x:c r="FI56" s="117">
        <x:f>MIN(MAX(0,FH59),FI33)</x:f>
      </x:c>
      <x:c r="FJ56" s="117">
        <x:f>MIN(MAX(0,FI59),FJ33)</x:f>
      </x:c>
      <x:c r="FK56" s="117">
        <x:f>MIN(MAX(0,FJ59),FK33)</x:f>
      </x:c>
      <x:c r="FL56" s="117">
        <x:f>MIN(MAX(0,FK59),FL33)</x:f>
      </x:c>
      <x:c r="FM56" s="117">
        <x:f>MIN(MAX(0,FL59),FM33)</x:f>
      </x:c>
      <x:c r="FN56" s="117">
        <x:f>MIN(MAX(0,FM59),FN33)</x:f>
      </x:c>
      <x:c r="FO56" s="117">
        <x:f>MIN(MAX(0,FN59),FO33)</x:f>
      </x:c>
      <x:c r="FP56" s="117">
        <x:f>MIN(MAX(0,FO59),FP33)</x:f>
      </x:c>
      <x:c r="FQ56" s="117">
        <x:f>MIN(MAX(0,FP59),FQ33)</x:f>
      </x:c>
      <x:c r="FR56" s="117">
        <x:f>MIN(MAX(0,FQ59),FR33)</x:f>
      </x:c>
      <x:c r="FS56" s="117">
        <x:f>MIN(MAX(0,FR59),FS33)</x:f>
      </x:c>
      <x:c r="FT56" s="117">
        <x:f>MIN(MAX(0,FS59),FT33)</x:f>
      </x:c>
      <x:c r="FU56" s="117">
        <x:f>MIN(MAX(0,FT59),FU33)</x:f>
      </x:c>
      <x:c r="FV56" s="117">
        <x:f>MIN(MAX(0,FU59),FV33)</x:f>
      </x:c>
      <x:c r="FW56" s="117">
        <x:f>MIN(MAX(0,FV59),FW33)</x:f>
      </x:c>
      <x:c r="FX56" s="117">
        <x:f>MIN(MAX(0,FW59),FX33)</x:f>
      </x:c>
      <x:c r="FY56" s="117">
        <x:f>MIN(MAX(0,FX59),FY33)</x:f>
      </x:c>
      <x:c r="FZ56" s="117">
        <x:f>MIN(MAX(0,FY59),FZ33)</x:f>
      </x:c>
      <x:c r="GA56" s="117">
        <x:f>MIN(MAX(0,FZ59),GA33)</x:f>
      </x:c>
    </x:row>
    <x:row r="57">
      <x:c r="A57" t="inlineStr">
        <x:is>
          <x:t>Комиссии выдачи (БРИДЖ и резервирование ПФ)</x:t>
        </x:is>
      </x:c>
      <x:c r="B57">
        <x:f>SUM(D57:GA57)</x:f>
      </x:c>
      <x:c r="C57" t="str">
        <x:v>млн ₽</x:v>
      </x:c>
      <x:c r="D57" s="117">
        <x:f>IF(AND(YEAR(D$3)=YEAR($B$6),MONTH(D$3)=MONTH($B$6),$B$5=1),('CAPEX'!$B$82+'CAPEX'!$B$85+'CAPEX'!$B$86+IF('Вводные'!$B$37="Денежная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компенсация",'Вводные'!$B$56*'Вводные'!$R$90*'Вводные'!$H$6,0)))*'Вводные'!$B$30,0)+IF(AND(YEAR(D$3)=YEAR($B$7),MONTH(D$3)=MONTH($B$7),$B$5=1),'Вводные'!$B$26*'Вводные'!$V$90*'Вводные'!$B$30,0)</x:f>
      </x:c>
      <x:c r="E57" s="117">
        <x:f>IF(AND(YEAR(E$3)=YEAR($B$6),MONTH(E$3)=MONTH($B$6),$B$5=1),('CAPEX'!$B$82+'CAPEX'!$B$85+'CAPEX'!$B$86+IF('Вводные'!$B$37="Денежная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компенсация",'Вводные'!$B$56*'Вводные'!$R$90*'Вводные'!$H$6,0)))*'Вводные'!$B$30,0)+IF(AND(YEAR(E$3)=YEAR($B$7),MONTH(E$3)=MONTH($B$7),$B$5=1),'Вводные'!$B$26*'Вводные'!$V$90*'Вводные'!$B$30,0)</x:f>
      </x:c>
      <x:c r="F57" s="117">
        <x:f>IF(AND(YEAR(F$3)=YEAR($B$6),MONTH(F$3)=MONTH($B$6),$B$5=1),('CAPEX'!$B$82+'CAPEX'!$B$85+'CAPEX'!$B$86+IF('Вводные'!$B$37="Денежная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компенсация",'Вводные'!$B$56*'Вводные'!$R$90*'Вводные'!$H$6,0)))*'Вводные'!$B$30,0)+IF(AND(YEAR(F$3)=YEAR($B$7),MONTH(F$3)=MONTH($B$7),$B$5=1),'Вводные'!$B$26*'Вводные'!$V$90*'Вводные'!$B$30,0)</x:f>
      </x:c>
      <x:c r="G57" s="117">
        <x:f>IF(AND(YEAR(G$3)=YEAR($B$6),MONTH(G$3)=MONTH($B$6),$B$5=1),('CAPEX'!$B$82+'CAPEX'!$B$85+'CAPEX'!$B$86+IF('Вводные'!$B$37="Денежная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компенсация",'Вводные'!$B$56*'Вводные'!$R$90*'Вводные'!$H$6,0)))*'Вводные'!$B$30,0)+IF(AND(YEAR(G$3)=YEAR($B$7),MONTH(G$3)=MONTH($B$7),$B$5=1),'Вводные'!$B$26*'Вводные'!$V$90*'Вводные'!$B$30,0)</x:f>
      </x:c>
      <x:c r="H57" s="117">
        <x:f>IF(AND(YEAR(H$3)=YEAR($B$6),MONTH(H$3)=MONTH($B$6),$B$5=1),('CAPEX'!$B$82+'CAPEX'!$B$85+'CAPEX'!$B$86+IF('Вводные'!$B$37="Денежная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компенсация",'Вводные'!$B$56*'Вводные'!$R$90*'Вводные'!$H$6,0)))*'Вводные'!$B$30,0)+IF(AND(YEAR(H$3)=YEAR($B$7),MONTH(H$3)=MONTH($B$7),$B$5=1),'Вводные'!$B$26*'Вводные'!$V$90*'Вводные'!$B$30,0)</x:f>
      </x:c>
      <x:c r="I57" s="117">
        <x:f>IF(AND(YEAR(I$3)=YEAR($B$6),MONTH(I$3)=MONTH($B$6),$B$5=1),('CAPEX'!$B$82+'CAPEX'!$B$85+'CAPEX'!$B$86+IF('Вводные'!$B$37="Денежная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компенсация",'Вводные'!$B$56*'Вводные'!$R$90*'Вводные'!$H$6,0)))*'Вводные'!$B$30,0)+IF(AND(YEAR(I$3)=YEAR($B$7),MONTH(I$3)=MONTH($B$7),$B$5=1),'Вводные'!$B$26*'Вводные'!$V$90*'Вводные'!$B$30,0)</x:f>
      </x:c>
      <x:c r="J57" s="117">
        <x:f>IF(AND(YEAR(J$3)=YEAR($B$6),MONTH(J$3)=MONTH($B$6),$B$5=1),('CAPEX'!$B$82+'CAPEX'!$B$85+'CAPEX'!$B$86+IF('Вводные'!$B$37="Денежная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компенсация",'Вводные'!$B$56*'Вводные'!$R$90*'Вводные'!$H$6,0)))*'Вводные'!$B$30,0)+IF(AND(YEAR(J$3)=YEAR($B$7),MONTH(J$3)=MONTH($B$7),$B$5=1),'Вводные'!$B$26*'Вводные'!$V$90*'Вводные'!$B$30,0)</x:f>
      </x:c>
      <x:c r="K57" s="117">
        <x:f>IF(AND(YEAR(K$3)=YEAR($B$6),MONTH(K$3)=MONTH($B$6),$B$5=1),('CAPEX'!$B$82+'CAPEX'!$B$85+'CAPEX'!$B$86+IF('Вводные'!$B$37="Денежная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компенсация",'Вводные'!$B$56*'Вводные'!$R$90*'Вводные'!$H$6,0)))*'Вводные'!$B$30,0)+IF(AND(YEAR(K$3)=YEAR($B$7),MONTH(K$3)=MONTH($B$7),$B$5=1),'Вводные'!$B$26*'Вводные'!$V$90*'Вводные'!$B$30,0)</x:f>
      </x:c>
      <x:c r="L57" s="117">
        <x:f>IF(AND(YEAR(L$3)=YEAR($B$6),MONTH(L$3)=MONTH($B$6),$B$5=1),('CAPEX'!$B$82+'CAPEX'!$B$85+'CAPEX'!$B$86+IF('Вводные'!$B$37="Денежная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компенсация",'Вводные'!$B$56*'Вводные'!$R$90*'Вводные'!$H$6,0)))*'Вводные'!$B$30,0)+IF(AND(YEAR(L$3)=YEAR($B$7),MONTH(L$3)=MONTH($B$7),$B$5=1),'Вводные'!$B$26*'Вводные'!$V$90*'Вводные'!$B$30,0)</x:f>
      </x:c>
      <x:c r="M57" s="117">
        <x:f>IF(AND(YEAR(M$3)=YEAR($B$6),MONTH(M$3)=MONTH($B$6),$B$5=1),('CAPEX'!$B$82+'CAPEX'!$B$85+'CAPEX'!$B$86+IF('Вводные'!$B$37="Денежная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компенсация",'Вводные'!$B$56*'Вводные'!$R$90*'Вводные'!$H$6,0)))*'Вводные'!$B$30,0)+IF(AND(YEAR(M$3)=YEAR($B$7),MONTH(M$3)=MONTH($B$7),$B$5=1),'Вводные'!$B$26*'Вводные'!$V$90*'Вводные'!$B$30,0)</x:f>
      </x:c>
      <x:c r="N57" s="117">
        <x:f>IF(AND(YEAR(N$3)=YEAR($B$6),MONTH(N$3)=MONTH($B$6),$B$5=1),('CAPEX'!$B$82+'CAPEX'!$B$85+'CAPEX'!$B$86+IF('Вводные'!$B$37="Денежная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компенсация",'Вводные'!$B$56*'Вводные'!$R$90*'Вводные'!$H$6,0)))*'Вводные'!$B$30,0)+IF(AND(YEAR(N$3)=YEAR($B$7),MONTH(N$3)=MONTH($B$7),$B$5=1),'Вводные'!$B$26*'Вводные'!$V$90*'Вводные'!$B$30,0)</x:f>
      </x:c>
      <x:c r="O57" s="117">
        <x:f>IF(AND(YEAR(O$3)=YEAR($B$6),MONTH(O$3)=MONTH($B$6),$B$5=1),('CAPEX'!$B$82+'CAPEX'!$B$85+'CAPEX'!$B$86+IF('Вводные'!$B$37="Денежная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компенсация",'Вводные'!$B$56*'Вводные'!$R$90*'Вводные'!$H$6,0)))*'Вводные'!$B$30,0)+IF(AND(YEAR(O$3)=YEAR($B$7),MONTH(O$3)=MONTH($B$7),$B$5=1),'Вводные'!$B$26*'Вводные'!$V$90*'Вводные'!$B$30,0)</x:f>
      </x:c>
      <x:c r="P57" s="117">
        <x:f>IF(AND(YEAR(P$3)=YEAR($B$6),MONTH(P$3)=MONTH($B$6),$B$5=1),('CAPEX'!$B$82+'CAPEX'!$B$85+'CAPEX'!$B$86+IF('Вводные'!$B$37="Денежная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компенсация",'Вводные'!$B$56*'Вводные'!$R$90*'Вводные'!$H$6,0)))*'Вводные'!$B$30,0)+IF(AND(YEAR(P$3)=YEAR($B$7),MONTH(P$3)=MONTH($B$7),$B$5=1),'Вводные'!$B$26*'Вводные'!$V$90*'Вводные'!$B$30,0)</x:f>
      </x:c>
      <x:c r="Q57" s="117">
        <x:f>IF(AND(YEAR(Q$3)=YEAR($B$6),MONTH(Q$3)=MONTH($B$6),$B$5=1),('CAPEX'!$B$82+'CAPEX'!$B$85+'CAPEX'!$B$86+IF('Вводные'!$B$37="Денежная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компенсация",'Вводные'!$B$56*'Вводные'!$R$90*'Вводные'!$H$6,0)))*'Вводные'!$B$30,0)+IF(AND(YEAR(Q$3)=YEAR($B$7),MONTH(Q$3)=MONTH($B$7),$B$5=1),'Вводные'!$B$26*'Вводные'!$V$90*'Вводные'!$B$30,0)</x:f>
      </x:c>
      <x:c r="R57" s="117">
        <x:f>IF(AND(YEAR(R$3)=YEAR($B$6),MONTH(R$3)=MONTH($B$6),$B$5=1),('CAPEX'!$B$82+'CAPEX'!$B$85+'CAPEX'!$B$86+IF('Вводные'!$B$37="Денежная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компенсация",'Вводные'!$B$56*'Вводные'!$R$90*'Вводные'!$H$6,0)))*'Вводные'!$B$30,0)+IF(AND(YEAR(R$3)=YEAR($B$7),MONTH(R$3)=MONTH($B$7),$B$5=1),'Вводные'!$B$26*'Вводные'!$V$90*'Вводные'!$B$30,0)</x:f>
      </x:c>
      <x:c r="S57" s="117">
        <x:f>IF(AND(YEAR(S$3)=YEAR($B$6),MONTH(S$3)=MONTH($B$6),$B$5=1),('CAPEX'!$B$82+'CAPEX'!$B$85+'CAPEX'!$B$86+IF('Вводные'!$B$37="Денежная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компенсация",'Вводные'!$B$56*'Вводные'!$R$90*'Вводные'!$H$6,0)))*'Вводные'!$B$30,0)+IF(AND(YEAR(S$3)=YEAR($B$7),MONTH(S$3)=MONTH($B$7),$B$5=1),'Вводные'!$B$26*'Вводные'!$V$90*'Вводные'!$B$30,0)</x:f>
      </x:c>
      <x:c r="T57" s="117">
        <x:f>IF(AND(YEAR(T$3)=YEAR($B$6),MONTH(T$3)=MONTH($B$6),$B$5=1),('CAPEX'!$B$82+'CAPEX'!$B$85+'CAPEX'!$B$86+IF('Вводные'!$B$37="Денежная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компенсация",'Вводные'!$B$56*'Вводные'!$R$90*'Вводные'!$H$6,0)))*'Вводные'!$B$30,0)+IF(AND(YEAR(T$3)=YEAR($B$7),MONTH(T$3)=MONTH($B$7),$B$5=1),'Вводные'!$B$26*'Вводные'!$V$90*'Вводные'!$B$30,0)</x:f>
      </x:c>
      <x:c r="U57" s="117">
        <x:f>IF(AND(YEAR(U$3)=YEAR($B$6),MONTH(U$3)=MONTH($B$6),$B$5=1),('CAPEX'!$B$82+'CAPEX'!$B$85+'CAPEX'!$B$86+IF('Вводные'!$B$37="Денежная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компенсация",'Вводные'!$B$56*'Вводные'!$R$90*'Вводные'!$H$6,0)))*'Вводные'!$B$30,0)+IF(AND(YEAR(U$3)=YEAR($B$7),MONTH(U$3)=MONTH($B$7),$B$5=1),'Вводные'!$B$26*'Вводные'!$V$90*'Вводные'!$B$30,0)</x:f>
      </x:c>
      <x:c r="V57" s="117">
        <x:f>IF(AND(YEAR(V$3)=YEAR($B$6),MONTH(V$3)=MONTH($B$6),$B$5=1),('CAPEX'!$B$82+'CAPEX'!$B$85+'CAPEX'!$B$86+IF('Вводные'!$B$37="Денежная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компенсация",'Вводные'!$B$56*'Вводные'!$R$90*'Вводные'!$H$6,0)))*'Вводные'!$B$30,0)+IF(AND(YEAR(V$3)=YEAR($B$7),MONTH(V$3)=MONTH($B$7),$B$5=1),'Вводные'!$B$26*'Вводные'!$V$90*'Вводные'!$B$30,0)</x:f>
      </x:c>
      <x:c r="W57" s="117">
        <x:f>IF(AND(YEAR(W$3)=YEAR($B$6),MONTH(W$3)=MONTH($B$6),$B$5=1),('CAPEX'!$B$82+'CAPEX'!$B$85+'CAPEX'!$B$86+IF('Вводные'!$B$37="Денежная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компенсация",'Вводные'!$B$56*'Вводные'!$R$90*'Вводные'!$H$6,0)))*'Вводные'!$B$30,0)+IF(AND(YEAR(W$3)=YEAR($B$7),MONTH(W$3)=MONTH($B$7),$B$5=1),'Вводные'!$B$26*'Вводные'!$V$90*'Вводные'!$B$30,0)</x:f>
      </x:c>
      <x:c r="X57" s="117">
        <x:f>IF(AND(YEAR(X$3)=YEAR($B$6),MONTH(X$3)=MONTH($B$6),$B$5=1),('CAPEX'!$B$82+'CAPEX'!$B$85+'CAPEX'!$B$86+IF('Вводные'!$B$37="Денежная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компенсация",'Вводные'!$B$56*'Вводные'!$R$90*'Вводные'!$H$6,0)))*'Вводные'!$B$30,0)+IF(AND(YEAR(X$3)=YEAR($B$7),MONTH(X$3)=MONTH($B$7),$B$5=1),'Вводные'!$B$26*'Вводные'!$V$90*'Вводные'!$B$30,0)</x:f>
      </x:c>
      <x:c r="Y57" s="117">
        <x:f>IF(AND(YEAR(Y$3)=YEAR($B$6),MONTH(Y$3)=MONTH($B$6),$B$5=1),('CAPEX'!$B$82+'CAPEX'!$B$85+'CAPEX'!$B$86+IF('Вводные'!$B$37="Денежная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компенсация",'Вводные'!$B$56*'Вводные'!$R$90*'Вводные'!$H$6,0)))*'Вводные'!$B$30,0)+IF(AND(YEAR(Y$3)=YEAR($B$7),MONTH(Y$3)=MONTH($B$7),$B$5=1),'Вводные'!$B$26*'Вводные'!$V$90*'Вводные'!$B$30,0)</x:f>
      </x:c>
      <x:c r="Z57" s="117">
        <x:f>IF(AND(YEAR(Z$3)=YEAR($B$6),MONTH(Z$3)=MONTH($B$6),$B$5=1),('CAPEX'!$B$82+'CAPEX'!$B$85+'CAPEX'!$B$86+IF('Вводные'!$B$37="Денежная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компенсация",'Вводные'!$B$56*'Вводные'!$R$90*'Вводные'!$H$6,0)))*'Вводные'!$B$30,0)+IF(AND(YEAR(Z$3)=YEAR($B$7),MONTH(Z$3)=MONTH($B$7),$B$5=1),'Вводные'!$B$26*'Вводные'!$V$90*'Вводные'!$B$30,0)</x:f>
      </x:c>
      <x:c r="AA57" s="117">
        <x:f>IF(AND(YEAR(AA$3)=YEAR($B$6),MONTH(AA$3)=MONTH($B$6),$B$5=1),('CAPEX'!$B$82+'CAPEX'!$B$85+'CAPEX'!$B$86+IF('Вводные'!$B$37="Денежная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компенсация",'Вводные'!$B$56*'Вводные'!$R$90*'Вводные'!$H$6,0)))*'Вводные'!$B$30,0)+IF(AND(YEAR(AA$3)=YEAR($B$7),MONTH(AA$3)=MONTH($B$7),$B$5=1),'Вводные'!$B$26*'Вводные'!$V$90*'Вводные'!$B$30,0)</x:f>
      </x:c>
      <x:c r="AB57" s="117">
        <x:f>IF(AND(YEAR(AB$3)=YEAR($B$6),MONTH(AB$3)=MONTH($B$6),$B$5=1),('CAPEX'!$B$82+'CAPEX'!$B$85+'CAPEX'!$B$86+IF('Вводные'!$B$37="Денежная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компенсация",'Вводные'!$B$56*'Вводные'!$R$90*'Вводные'!$H$6,0)))*'Вводные'!$B$30,0)+IF(AND(YEAR(AB$3)=YEAR($B$7),MONTH(AB$3)=MONTH($B$7),$B$5=1),'Вводные'!$B$26*'Вводные'!$V$90*'Вводные'!$B$30,0)</x:f>
      </x:c>
      <x:c r="AC57" s="117">
        <x:f>IF(AND(YEAR(AC$3)=YEAR($B$6),MONTH(AC$3)=MONTH($B$6),$B$5=1),('CAPEX'!$B$82+'CAPEX'!$B$85+'CAPEX'!$B$86+IF('Вводные'!$B$37="Денежная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компенсация",'Вводные'!$B$56*'Вводные'!$R$90*'Вводные'!$H$6,0)))*'Вводные'!$B$30,0)+IF(AND(YEAR(AC$3)=YEAR($B$7),MONTH(AC$3)=MONTH($B$7),$B$5=1),'Вводные'!$B$26*'Вводные'!$V$90*'Вводные'!$B$30,0)</x:f>
      </x:c>
      <x:c r="AD57" s="117">
        <x:f>IF(AND(YEAR(AD$3)=YEAR($B$6),MONTH(AD$3)=MONTH($B$6),$B$5=1),('CAPEX'!$B$82+'CAPEX'!$B$85+'CAPEX'!$B$86+IF('Вводные'!$B$37="Денежная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компенсация",'Вводные'!$B$56*'Вводные'!$R$90*'Вводные'!$H$6,0)))*'Вводные'!$B$30,0)+IF(AND(YEAR(AD$3)=YEAR($B$7),MONTH(AD$3)=MONTH($B$7),$B$5=1),'Вводные'!$B$26*'Вводные'!$V$90*'Вводные'!$B$30,0)</x:f>
      </x:c>
      <x:c r="AE57" s="117">
        <x:f>IF(AND(YEAR(AE$3)=YEAR($B$6),MONTH(AE$3)=MONTH($B$6),$B$5=1),('CAPEX'!$B$82+'CAPEX'!$B$85+'CAPEX'!$B$86+IF('Вводные'!$B$37="Денежная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компенсация",'Вводные'!$B$56*'Вводные'!$R$90*'Вводные'!$H$6,0)))*'Вводные'!$B$30,0)+IF(AND(YEAR(AE$3)=YEAR($B$7),MONTH(AE$3)=MONTH($B$7),$B$5=1),'Вводные'!$B$26*'Вводные'!$V$90*'Вводные'!$B$30,0)</x:f>
      </x:c>
      <x:c r="AF57" s="117">
        <x:f>IF(AND(YEAR(AF$3)=YEAR($B$6),MONTH(AF$3)=MONTH($B$6),$B$5=1),('CAPEX'!$B$82+'CAPEX'!$B$85+'CAPEX'!$B$86+IF('Вводные'!$B$37="Денежная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компенсация",'Вводные'!$B$56*'Вводные'!$R$90*'Вводные'!$H$6,0)))*'Вводные'!$B$30,0)+IF(AND(YEAR(AF$3)=YEAR($B$7),MONTH(AF$3)=MONTH($B$7),$B$5=1),'Вводные'!$B$26*'Вводные'!$V$90*'Вводные'!$B$30,0)</x:f>
      </x:c>
      <x:c r="AG57" s="117">
        <x:f>IF(AND(YEAR(AG$3)=YEAR($B$6),MONTH(AG$3)=MONTH($B$6),$B$5=1),('CAPEX'!$B$82+'CAPEX'!$B$85+'CAPEX'!$B$86+IF('Вводные'!$B$37="Денежная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компенсация",'Вводные'!$B$56*'Вводные'!$R$90*'Вводные'!$H$6,0)))*'Вводные'!$B$30,0)+IF(AND(YEAR(AG$3)=YEAR($B$7),MONTH(AG$3)=MONTH($B$7),$B$5=1),'Вводные'!$B$26*'Вводные'!$V$90*'Вводные'!$B$30,0)</x:f>
      </x:c>
      <x:c r="AH57" s="117">
        <x:f>IF(AND(YEAR(AH$3)=YEAR($B$6),MONTH(AH$3)=MONTH($B$6),$B$5=1),('CAPEX'!$B$82+'CAPEX'!$B$85+'CAPEX'!$B$86+IF('Вводные'!$B$37="Денежная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компенсация",'Вводные'!$B$56*'Вводные'!$R$90*'Вводные'!$H$6,0)))*'Вводные'!$B$30,0)+IF(AND(YEAR(AH$3)=YEAR($B$7),MONTH(AH$3)=MONTH($B$7),$B$5=1),'Вводные'!$B$26*'Вводные'!$V$90*'Вводные'!$B$30,0)</x:f>
      </x:c>
      <x:c r="AI57" s="117">
        <x:f>IF(AND(YEAR(AI$3)=YEAR($B$6),MONTH(AI$3)=MONTH($B$6),$B$5=1),('CAPEX'!$B$82+'CAPEX'!$B$85+'CAPEX'!$B$86+IF('Вводные'!$B$37="Денежная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компенсация",'Вводные'!$B$56*'Вводные'!$R$90*'Вводные'!$H$6,0)))*'Вводные'!$B$30,0)+IF(AND(YEAR(AI$3)=YEAR($B$7),MONTH(AI$3)=MONTH($B$7),$B$5=1),'Вводные'!$B$26*'Вводные'!$V$90*'Вводные'!$B$30,0)</x:f>
      </x:c>
      <x:c r="AJ57" s="117">
        <x:f>IF(AND(YEAR(AJ$3)=YEAR($B$6),MONTH(AJ$3)=MONTH($B$6),$B$5=1),('CAPEX'!$B$82+'CAPEX'!$B$85+'CAPEX'!$B$86+IF('Вводные'!$B$37="Денежная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компенсация",'Вводные'!$B$56*'Вводные'!$R$90*'Вводные'!$H$6,0)))*'Вводные'!$B$30,0)+IF(AND(YEAR(AJ$3)=YEAR($B$7),MONTH(AJ$3)=MONTH($B$7),$B$5=1),'Вводные'!$B$26*'Вводные'!$V$90*'Вводные'!$B$30,0)</x:f>
      </x:c>
      <x:c r="AK57" s="117">
        <x:f>IF(AND(YEAR(AK$3)=YEAR($B$6),MONTH(AK$3)=MONTH($B$6),$B$5=1),('CAPEX'!$B$82+'CAPEX'!$B$85+'CAPEX'!$B$86+IF('Вводные'!$B$37="Денежная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компенсация",'Вводные'!$B$56*'Вводные'!$R$90*'Вводные'!$H$6,0)))*'Вводные'!$B$30,0)+IF(AND(YEAR(AK$3)=YEAR($B$7),MONTH(AK$3)=MONTH($B$7),$B$5=1),'Вводные'!$B$26*'Вводные'!$V$90*'Вводные'!$B$30,0)</x:f>
      </x:c>
      <x:c r="AL57" s="117">
        <x:f>IF(AND(YEAR(AL$3)=YEAR($B$6),MONTH(AL$3)=MONTH($B$6),$B$5=1),('CAPEX'!$B$82+'CAPEX'!$B$85+'CAPEX'!$B$86+IF('Вводные'!$B$37="Денежная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компенсация",'Вводные'!$B$56*'Вводные'!$R$90*'Вводные'!$H$6,0)))*'Вводные'!$B$30,0)+IF(AND(YEAR(AL$3)=YEAR($B$7),MONTH(AL$3)=MONTH($B$7),$B$5=1),'Вводные'!$B$26*'Вводные'!$V$90*'Вводные'!$B$30,0)</x:f>
      </x:c>
      <x:c r="AM57" s="117">
        <x:f>IF(AND(YEAR(AM$3)=YEAR($B$6),MONTH(AM$3)=MONTH($B$6),$B$5=1),('CAPEX'!$B$82+'CAPEX'!$B$85+'CAPEX'!$B$86+IF('Вводные'!$B$37="Денежная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компенсация",'Вводные'!$B$56*'Вводные'!$R$90*'Вводные'!$H$6,0)))*'Вводные'!$B$30,0)+IF(AND(YEAR(AM$3)=YEAR($B$7),MONTH(AM$3)=MONTH($B$7),$B$5=1),'Вводные'!$B$26*'Вводные'!$V$90*'Вводные'!$B$30,0)</x:f>
      </x:c>
      <x:c r="AN57" s="117">
        <x:f>IF(AND(YEAR(AN$3)=YEAR($B$6),MONTH(AN$3)=MONTH($B$6),$B$5=1),('CAPEX'!$B$82+'CAPEX'!$B$85+'CAPEX'!$B$86+IF('Вводные'!$B$37="Денежная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компенсация",'Вводные'!$B$56*'Вводные'!$R$90*'Вводные'!$H$6,0)))*'Вводные'!$B$30,0)+IF(AND(YEAR(AN$3)=YEAR($B$7),MONTH(AN$3)=MONTH($B$7),$B$5=1),'Вводные'!$B$26*'Вводные'!$V$90*'Вводные'!$B$30,0)</x:f>
      </x:c>
      <x:c r="AO57" s="117">
        <x:f>IF(AND(YEAR(AO$3)=YEAR($B$6),MONTH(AO$3)=MONTH($B$6),$B$5=1),('CAPEX'!$B$82+'CAPEX'!$B$85+'CAPEX'!$B$86+IF('Вводные'!$B$37="Денежная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компенсация",'Вводные'!$B$56*'Вводные'!$R$90*'Вводные'!$H$6,0)))*'Вводные'!$B$30,0)+IF(AND(YEAR(AO$3)=YEAR($B$7),MONTH(AO$3)=MONTH($B$7),$B$5=1),'Вводные'!$B$26*'Вводные'!$V$90*'Вводные'!$B$30,0)</x:f>
      </x:c>
      <x:c r="AP57" s="117">
        <x:f>IF(AND(YEAR(AP$3)=YEAR($B$6),MONTH(AP$3)=MONTH($B$6),$B$5=1),('CAPEX'!$B$82+'CAPEX'!$B$85+'CAPEX'!$B$86+IF('Вводные'!$B$37="Денежная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компенсация",'Вводные'!$B$56*'Вводные'!$R$90*'Вводные'!$H$6,0)))*'Вводные'!$B$30,0)+IF(AND(YEAR(AP$3)=YEAR($B$7),MONTH(AP$3)=MONTH($B$7),$B$5=1),'Вводные'!$B$26*'Вводные'!$V$90*'Вводные'!$B$30,0)</x:f>
      </x:c>
      <x:c r="AQ57" s="117">
        <x:f>IF(AND(YEAR(AQ$3)=YEAR($B$6),MONTH(AQ$3)=MONTH($B$6),$B$5=1),('CAPEX'!$B$82+'CAPEX'!$B$85+'CAPEX'!$B$86+IF('Вводные'!$B$37="Денежная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компенсация",'Вводные'!$B$56*'Вводные'!$R$90*'Вводные'!$H$6,0)))*'Вводные'!$B$30,0)+IF(AND(YEAR(AQ$3)=YEAR($B$7),MONTH(AQ$3)=MONTH($B$7),$B$5=1),'Вводные'!$B$26*'Вводные'!$V$90*'Вводные'!$B$30,0)</x:f>
      </x:c>
      <x:c r="AR57" s="117">
        <x:f>IF(AND(YEAR(AR$3)=YEAR($B$6),MONTH(AR$3)=MONTH($B$6),$B$5=1),('CAPEX'!$B$82+'CAPEX'!$B$85+'CAPEX'!$B$86+IF('Вводные'!$B$37="Денежная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компенсация",'Вводные'!$B$56*'Вводные'!$R$90*'Вводные'!$H$6,0)))*'Вводные'!$B$30,0)+IF(AND(YEAR(AR$3)=YEAR($B$7),MONTH(AR$3)=MONTH($B$7),$B$5=1),'Вводные'!$B$26*'Вводные'!$V$90*'Вводные'!$B$30,0)</x:f>
      </x:c>
      <x:c r="AS57" s="117">
        <x:f>IF(AND(YEAR(AS$3)=YEAR($B$6),MONTH(AS$3)=MONTH($B$6),$B$5=1),('CAPEX'!$B$82+'CAPEX'!$B$85+'CAPEX'!$B$86+IF('Вводные'!$B$37="Денежная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компенсация",'Вводные'!$B$56*'Вводные'!$R$90*'Вводные'!$H$6,0)))*'Вводные'!$B$30,0)+IF(AND(YEAR(AS$3)=YEAR($B$7),MONTH(AS$3)=MONTH($B$7),$B$5=1),'Вводные'!$B$26*'Вводные'!$V$90*'Вводные'!$B$30,0)</x:f>
      </x:c>
      <x:c r="AT57" s="117">
        <x:f>IF(AND(YEAR(AT$3)=YEAR($B$6),MONTH(AT$3)=MONTH($B$6),$B$5=1),('CAPEX'!$B$82+'CAPEX'!$B$85+'CAPEX'!$B$86+IF('Вводные'!$B$37="Денежная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компенсация",'Вводные'!$B$56*'Вводные'!$R$90*'Вводные'!$H$6,0)))*'Вводные'!$B$30,0)+IF(AND(YEAR(AT$3)=YEAR($B$7),MONTH(AT$3)=MONTH($B$7),$B$5=1),'Вводные'!$B$26*'Вводные'!$V$90*'Вводные'!$B$30,0)</x:f>
      </x:c>
      <x:c r="AU57" s="117">
        <x:f>IF(AND(YEAR(AU$3)=YEAR($B$6),MONTH(AU$3)=MONTH($B$6),$B$5=1),('CAPEX'!$B$82+'CAPEX'!$B$85+'CAPEX'!$B$86+IF('Вводные'!$B$37="Денежная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компенсация",'Вводные'!$B$56*'Вводные'!$R$90*'Вводные'!$H$6,0)))*'Вводные'!$B$30,0)+IF(AND(YEAR(AU$3)=YEAR($B$7),MONTH(AU$3)=MONTH($B$7),$B$5=1),'Вводные'!$B$26*'Вводные'!$V$90*'Вводные'!$B$30,0)</x:f>
      </x:c>
      <x:c r="AV57" s="117">
        <x:f>IF(AND(YEAR(AV$3)=YEAR($B$6),MONTH(AV$3)=MONTH($B$6),$B$5=1),('CAPEX'!$B$82+'CAPEX'!$B$85+'CAPEX'!$B$86+IF('Вводные'!$B$37="Денежная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компенсация",'Вводные'!$B$56*'Вводные'!$R$90*'Вводные'!$H$6,0)))*'Вводные'!$B$30,0)+IF(AND(YEAR(AV$3)=YEAR($B$7),MONTH(AV$3)=MONTH($B$7),$B$5=1),'Вводные'!$B$26*'Вводные'!$V$90*'Вводные'!$B$30,0)</x:f>
      </x:c>
      <x:c r="AW57" s="117">
        <x:f>IF(AND(YEAR(AW$3)=YEAR($B$6),MONTH(AW$3)=MONTH($B$6),$B$5=1),('CAPEX'!$B$82+'CAPEX'!$B$85+'CAPEX'!$B$86+IF('Вводные'!$B$37="Денежная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компенсация",'Вводные'!$B$56*'Вводные'!$R$90*'Вводные'!$H$6,0)))*'Вводные'!$B$30,0)+IF(AND(YEAR(AW$3)=YEAR($B$7),MONTH(AW$3)=MONTH($B$7),$B$5=1),'Вводные'!$B$26*'Вводные'!$V$90*'Вводные'!$B$30,0)</x:f>
      </x:c>
      <x:c r="AX57" s="117">
        <x:f>IF(AND(YEAR(AX$3)=YEAR($B$6),MONTH(AX$3)=MONTH($B$6),$B$5=1),('CAPEX'!$B$82+'CAPEX'!$B$85+'CAPEX'!$B$86+IF('Вводные'!$B$37="Денежная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компенсация",'Вводные'!$B$56*'Вводные'!$R$90*'Вводные'!$H$6,0)))*'Вводные'!$B$30,0)+IF(AND(YEAR(AX$3)=YEAR($B$7),MONTH(AX$3)=MONTH($B$7),$B$5=1),'Вводные'!$B$26*'Вводные'!$V$90*'Вводные'!$B$30,0)</x:f>
      </x:c>
      <x:c r="AY57" s="117">
        <x:f>IF(AND(YEAR(AY$3)=YEAR($B$6),MONTH(AY$3)=MONTH($B$6),$B$5=1),('CAPEX'!$B$82+'CAPEX'!$B$85+'CAPEX'!$B$86+IF('Вводные'!$B$37="Денежная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компенсация",'Вводные'!$B$56*'Вводные'!$R$90*'Вводные'!$H$6,0)))*'Вводные'!$B$30,0)+IF(AND(YEAR(AY$3)=YEAR($B$7),MONTH(AY$3)=MONTH($B$7),$B$5=1),'Вводные'!$B$26*'Вводные'!$V$90*'Вводные'!$B$30,0)</x:f>
      </x:c>
      <x:c r="AZ57" s="117">
        <x:f>IF(AND(YEAR(AZ$3)=YEAR($B$6),MONTH(AZ$3)=MONTH($B$6),$B$5=1),('CAPEX'!$B$82+'CAPEX'!$B$85+'CAPEX'!$B$86+IF('Вводные'!$B$37="Денежная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компенсация",'Вводные'!$B$56*'Вводные'!$R$90*'Вводные'!$H$6,0)))*'Вводные'!$B$30,0)+IF(AND(YEAR(AZ$3)=YEAR($B$7),MONTH(AZ$3)=MONTH($B$7),$B$5=1),'Вводные'!$B$26*'Вводные'!$V$90*'Вводные'!$B$30,0)</x:f>
      </x:c>
      <x:c r="BA57" s="117">
        <x:f>IF(AND(YEAR(BA$3)=YEAR($B$6),MONTH(BA$3)=MONTH($B$6),$B$5=1),('CAPEX'!$B$82+'CAPEX'!$B$85+'CAPEX'!$B$86+IF('Вводные'!$B$37="Денежная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компенсация",'Вводные'!$B$56*'Вводные'!$R$90*'Вводные'!$H$6,0)))*'Вводные'!$B$30,0)+IF(AND(YEAR(BA$3)=YEAR($B$7),MONTH(BA$3)=MONTH($B$7),$B$5=1),'Вводные'!$B$26*'Вводные'!$V$90*'Вводные'!$B$30,0)</x:f>
      </x:c>
      <x:c r="BB57" s="117">
        <x:f>IF(AND(YEAR(BB$3)=YEAR($B$6),MONTH(BB$3)=MONTH($B$6),$B$5=1),('CAPEX'!$B$82+'CAPEX'!$B$85+'CAPEX'!$B$86+IF('Вводные'!$B$37="Денежная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компенсация",'Вводные'!$B$56*'Вводные'!$R$90*'Вводные'!$H$6,0)))*'Вводные'!$B$30,0)+IF(AND(YEAR(BB$3)=YEAR($B$7),MONTH(BB$3)=MONTH($B$7),$B$5=1),'Вводные'!$B$26*'Вводные'!$V$90*'Вводные'!$B$30,0)</x:f>
      </x:c>
      <x:c r="BC57" s="117">
        <x:f>IF(AND(YEAR(BC$3)=YEAR($B$6),MONTH(BC$3)=MONTH($B$6),$B$5=1),('CAPEX'!$B$82+'CAPEX'!$B$85+'CAPEX'!$B$86+IF('Вводные'!$B$37="Денежная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компенсация",'Вводные'!$B$56*'Вводные'!$R$90*'Вводные'!$H$6,0)))*'Вводные'!$B$30,0)+IF(AND(YEAR(BC$3)=YEAR($B$7),MONTH(BC$3)=MONTH($B$7),$B$5=1),'Вводные'!$B$26*'Вводные'!$V$90*'Вводные'!$B$30,0)</x:f>
      </x:c>
      <x:c r="BD57" s="117">
        <x:f>IF(AND(YEAR(BD$3)=YEAR($B$6),MONTH(BD$3)=MONTH($B$6),$B$5=1),('CAPEX'!$B$82+'CAPEX'!$B$85+'CAPEX'!$B$86+IF('Вводные'!$B$37="Денежная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компенсация",'Вводные'!$B$56*'Вводные'!$R$90*'Вводные'!$H$6,0)))*'Вводные'!$B$30,0)+IF(AND(YEAR(BD$3)=YEAR($B$7),MONTH(BD$3)=MONTH($B$7),$B$5=1),'Вводные'!$B$26*'Вводные'!$V$90*'Вводные'!$B$30,0)</x:f>
      </x:c>
      <x:c r="BE57" s="117">
        <x:f>IF(AND(YEAR(BE$3)=YEAR($B$6),MONTH(BE$3)=MONTH($B$6),$B$5=1),('CAPEX'!$B$82+'CAPEX'!$B$85+'CAPEX'!$B$86+IF('Вводные'!$B$37="Денежная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компенсация",'Вводные'!$B$56*'Вводные'!$R$90*'Вводные'!$H$6,0)))*'Вводные'!$B$30,0)+IF(AND(YEAR(BE$3)=YEAR($B$7),MONTH(BE$3)=MONTH($B$7),$B$5=1),'Вводные'!$B$26*'Вводные'!$V$90*'Вводные'!$B$30,0)</x:f>
      </x:c>
      <x:c r="BF57" s="117">
        <x:f>IF(AND(YEAR(BF$3)=YEAR($B$6),MONTH(BF$3)=MONTH($B$6),$B$5=1),('CAPEX'!$B$82+'CAPEX'!$B$85+'CAPEX'!$B$86+IF('Вводные'!$B$37="Денежная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компенсация",'Вводные'!$B$56*'Вводные'!$R$90*'Вводные'!$H$6,0)))*'Вводные'!$B$30,0)+IF(AND(YEAR(BF$3)=YEAR($B$7),MONTH(BF$3)=MONTH($B$7),$B$5=1),'Вводные'!$B$26*'Вводные'!$V$90*'Вводные'!$B$30,0)</x:f>
      </x:c>
      <x:c r="BG57" s="117">
        <x:f>IF(AND(YEAR(BG$3)=YEAR($B$6),MONTH(BG$3)=MONTH($B$6),$B$5=1),('CAPEX'!$B$82+'CAPEX'!$B$85+'CAPEX'!$B$86+IF('Вводные'!$B$37="Денежная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компенсация",'Вводные'!$B$56*'Вводные'!$R$90*'Вводные'!$H$6,0)))*'Вводные'!$B$30,0)+IF(AND(YEAR(BG$3)=YEAR($B$7),MONTH(BG$3)=MONTH($B$7),$B$5=1),'Вводные'!$B$26*'Вводные'!$V$90*'Вводные'!$B$30,0)</x:f>
      </x:c>
      <x:c r="BH57" s="117">
        <x:f>IF(AND(YEAR(BH$3)=YEAR($B$6),MONTH(BH$3)=MONTH($B$6),$B$5=1),('CAPEX'!$B$82+'CAPEX'!$B$85+'CAPEX'!$B$86+IF('Вводные'!$B$37="Денежная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компенсация",'Вводные'!$B$56*'Вводные'!$R$90*'Вводные'!$H$6,0)))*'Вводные'!$B$30,0)+IF(AND(YEAR(BH$3)=YEAR($B$7),MONTH(BH$3)=MONTH($B$7),$B$5=1),'Вводные'!$B$26*'Вводные'!$V$90*'Вводные'!$B$30,0)</x:f>
      </x:c>
      <x:c r="BI57" s="117">
        <x:f>IF(AND(YEAR(BI$3)=YEAR($B$6),MONTH(BI$3)=MONTH($B$6),$B$5=1),('CAPEX'!$B$82+'CAPEX'!$B$85+'CAPEX'!$B$86+IF('Вводные'!$B$37="Денежная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компенсация",'Вводные'!$B$56*'Вводные'!$R$90*'Вводные'!$H$6,0)))*'Вводные'!$B$30,0)+IF(AND(YEAR(BI$3)=YEAR($B$7),MONTH(BI$3)=MONTH($B$7),$B$5=1),'Вводные'!$B$26*'Вводные'!$V$90*'Вводные'!$B$30,0)</x:f>
      </x:c>
      <x:c r="BJ57" s="117">
        <x:f>IF(AND(YEAR(BJ$3)=YEAR($B$6),MONTH(BJ$3)=MONTH($B$6),$B$5=1),('CAPEX'!$B$82+'CAPEX'!$B$85+'CAPEX'!$B$86+IF('Вводные'!$B$37="Денежная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компенсация",'Вводные'!$B$56*'Вводные'!$R$90*'Вводные'!$H$6,0)))*'Вводные'!$B$30,0)+IF(AND(YEAR(BJ$3)=YEAR($B$7),MONTH(BJ$3)=MONTH($B$7),$B$5=1),'Вводные'!$B$26*'Вводные'!$V$90*'Вводные'!$B$30,0)</x:f>
      </x:c>
      <x:c r="BK57" s="117">
        <x:f>IF(AND(YEAR(BK$3)=YEAR($B$6),MONTH(BK$3)=MONTH($B$6),$B$5=1),('CAPEX'!$B$82+'CAPEX'!$B$85+'CAPEX'!$B$86+IF('Вводные'!$B$37="Денежная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компенсация",'Вводные'!$B$56*'Вводные'!$R$90*'Вводные'!$H$6,0)))*'Вводные'!$B$30,0)+IF(AND(YEAR(BK$3)=YEAR($B$7),MONTH(BK$3)=MONTH($B$7),$B$5=1),'Вводные'!$B$26*'Вводные'!$V$90*'Вводные'!$B$30,0)</x:f>
      </x:c>
      <x:c r="BL57" s="117">
        <x:f>IF(AND(YEAR(BL$3)=YEAR($B$6),MONTH(BL$3)=MONTH($B$6),$B$5=1),('CAPEX'!$B$82+'CAPEX'!$B$85+'CAPEX'!$B$86+IF('Вводные'!$B$37="Денежная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компенсация",'Вводные'!$B$56*'Вводные'!$R$90*'Вводные'!$H$6,0)))*'Вводные'!$B$30,0)+IF(AND(YEAR(BL$3)=YEAR($B$7),MONTH(BL$3)=MONTH($B$7),$B$5=1),'Вводные'!$B$26*'Вводные'!$V$90*'Вводные'!$B$30,0)</x:f>
      </x:c>
      <x:c r="BM57" s="117">
        <x:f>IF(AND(YEAR(BM$3)=YEAR($B$6),MONTH(BM$3)=MONTH($B$6),$B$5=1),('CAPEX'!$B$82+'CAPEX'!$B$85+'CAPEX'!$B$86+IF('Вводные'!$B$37="Денежная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компенсация",'Вводные'!$B$56*'Вводные'!$R$90*'Вводные'!$H$6,0)))*'Вводные'!$B$30,0)+IF(AND(YEAR(BM$3)=YEAR($B$7),MONTH(BM$3)=MONTH($B$7),$B$5=1),'Вводные'!$B$26*'Вводные'!$V$90*'Вводные'!$B$30,0)</x:f>
      </x:c>
      <x:c r="BN57" s="117">
        <x:f>IF(AND(YEAR(BN$3)=YEAR($B$6),MONTH(BN$3)=MONTH($B$6),$B$5=1),('CAPEX'!$B$82+'CAPEX'!$B$85+'CAPEX'!$B$86+IF('Вводные'!$B$37="Денежная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компенсация",'Вводные'!$B$56*'Вводные'!$R$90*'Вводные'!$H$6,0)))*'Вводные'!$B$30,0)+IF(AND(YEAR(BN$3)=YEAR($B$7),MONTH(BN$3)=MONTH($B$7),$B$5=1),'Вводные'!$B$26*'Вводные'!$V$90*'Вводные'!$B$30,0)</x:f>
      </x:c>
      <x:c r="BO57" s="117">
        <x:f>IF(AND(YEAR(BO$3)=YEAR($B$6),MONTH(BO$3)=MONTH($B$6),$B$5=1),('CAPEX'!$B$82+'CAPEX'!$B$85+'CAPEX'!$B$86+IF('Вводные'!$B$37="Денежная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компенсация",'Вводные'!$B$56*'Вводные'!$R$90*'Вводные'!$H$6,0)))*'Вводные'!$B$30,0)+IF(AND(YEAR(BO$3)=YEAR($B$7),MONTH(BO$3)=MONTH($B$7),$B$5=1),'Вводные'!$B$26*'Вводные'!$V$90*'Вводные'!$B$30,0)</x:f>
      </x:c>
      <x:c r="BP57" s="117">
        <x:f>IF(AND(YEAR(BP$3)=YEAR($B$6),MONTH(BP$3)=MONTH($B$6),$B$5=1),('CAPEX'!$B$82+'CAPEX'!$B$85+'CAPEX'!$B$86+IF('Вводные'!$B$37="Денежная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компенсация",'Вводные'!$B$56*'Вводные'!$R$90*'Вводные'!$H$6,0)))*'Вводные'!$B$30,0)+IF(AND(YEAR(BP$3)=YEAR($B$7),MONTH(BP$3)=MONTH($B$7),$B$5=1),'Вводные'!$B$26*'Вводные'!$V$90*'Вводные'!$B$30,0)</x:f>
      </x:c>
      <x:c r="BQ57" s="117">
        <x:f>IF(AND(YEAR(BQ$3)=YEAR($B$6),MONTH(BQ$3)=MONTH($B$6),$B$5=1),('CAPEX'!$B$82+'CAPEX'!$B$85+'CAPEX'!$B$86+IF('Вводные'!$B$37="Денежная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компенсация",'Вводные'!$B$56*'Вводные'!$R$90*'Вводные'!$H$6,0)))*'Вводные'!$B$30,0)+IF(AND(YEAR(BQ$3)=YEAR($B$7),MONTH(BQ$3)=MONTH($B$7),$B$5=1),'Вводные'!$B$26*'Вводные'!$V$90*'Вводные'!$B$30,0)</x:f>
      </x:c>
      <x:c r="BR57" s="117">
        <x:f>IF(AND(YEAR(BR$3)=YEAR($B$6),MONTH(BR$3)=MONTH($B$6),$B$5=1),('CAPEX'!$B$82+'CAPEX'!$B$85+'CAPEX'!$B$86+IF('Вводные'!$B$37="Денежная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компенсация",'Вводные'!$B$56*'Вводные'!$R$90*'Вводные'!$H$6,0)))*'Вводные'!$B$30,0)+IF(AND(YEAR(BR$3)=YEAR($B$7),MONTH(BR$3)=MONTH($B$7),$B$5=1),'Вводные'!$B$26*'Вводные'!$V$90*'Вводные'!$B$30,0)</x:f>
      </x:c>
      <x:c r="BS57" s="117">
        <x:f>IF(AND(YEAR(BS$3)=YEAR($B$6),MONTH(BS$3)=MONTH($B$6),$B$5=1),('CAPEX'!$B$82+'CAPEX'!$B$85+'CAPEX'!$B$86+IF('Вводные'!$B$37="Денежная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компенсация",'Вводные'!$B$56*'Вводные'!$R$90*'Вводные'!$H$6,0)))*'Вводные'!$B$30,0)+IF(AND(YEAR(BS$3)=YEAR($B$7),MONTH(BS$3)=MONTH($B$7),$B$5=1),'Вводные'!$B$26*'Вводные'!$V$90*'Вводные'!$B$30,0)</x:f>
      </x:c>
      <x:c r="BT57" s="117">
        <x:f>IF(AND(YEAR(BT$3)=YEAR($B$6),MONTH(BT$3)=MONTH($B$6),$B$5=1),('CAPEX'!$B$82+'CAPEX'!$B$85+'CAPEX'!$B$86+IF('Вводные'!$B$37="Денежная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компенсация",'Вводные'!$B$56*'Вводные'!$R$90*'Вводные'!$H$6,0)))*'Вводные'!$B$30,0)+IF(AND(YEAR(BT$3)=YEAR($B$7),MONTH(BT$3)=MONTH($B$7),$B$5=1),'Вводные'!$B$26*'Вводные'!$V$90*'Вводные'!$B$30,0)</x:f>
      </x:c>
      <x:c r="BU57" s="117">
        <x:f>IF(AND(YEAR(BU$3)=YEAR($B$6),MONTH(BU$3)=MONTH($B$6),$B$5=1),('CAPEX'!$B$82+'CAPEX'!$B$85+'CAPEX'!$B$86+IF('Вводные'!$B$37="Денежная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компенсация",'Вводные'!$B$56*'Вводные'!$R$90*'Вводные'!$H$6,0)))*'Вводные'!$B$30,0)+IF(AND(YEAR(BU$3)=YEAR($B$7),MONTH(BU$3)=MONTH($B$7),$B$5=1),'Вводные'!$B$26*'Вводные'!$V$90*'Вводные'!$B$30,0)</x:f>
      </x:c>
      <x:c r="BV57" s="117">
        <x:f>IF(AND(YEAR(BV$3)=YEAR($B$6),MONTH(BV$3)=MONTH($B$6),$B$5=1),('CAPEX'!$B$82+'CAPEX'!$B$85+'CAPEX'!$B$86+IF('Вводные'!$B$37="Денежная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компенсация",'Вводные'!$B$56*'Вводные'!$R$90*'Вводные'!$H$6,0)))*'Вводные'!$B$30,0)+IF(AND(YEAR(BV$3)=YEAR($B$7),MONTH(BV$3)=MONTH($B$7),$B$5=1),'Вводные'!$B$26*'Вводные'!$V$90*'Вводные'!$B$30,0)</x:f>
      </x:c>
      <x:c r="BW57" s="117">
        <x:f>IF(AND(YEAR(BW$3)=YEAR($B$6),MONTH(BW$3)=MONTH($B$6),$B$5=1),('CAPEX'!$B$82+'CAPEX'!$B$85+'CAPEX'!$B$86+IF('Вводные'!$B$37="Денежная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компенсация",'Вводные'!$B$56*'Вводные'!$R$90*'Вводные'!$H$6,0)))*'Вводные'!$B$30,0)+IF(AND(YEAR(BW$3)=YEAR($B$7),MONTH(BW$3)=MONTH($B$7),$B$5=1),'Вводные'!$B$26*'Вводные'!$V$90*'Вводные'!$B$30,0)</x:f>
      </x:c>
      <x:c r="BX57" s="117">
        <x:f>IF(AND(YEAR(BX$3)=YEAR($B$6),MONTH(BX$3)=MONTH($B$6),$B$5=1),('CAPEX'!$B$82+'CAPEX'!$B$85+'CAPEX'!$B$86+IF('Вводные'!$B$37="Денежная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компенсация",'Вводные'!$B$56*'Вводные'!$R$90*'Вводные'!$H$6,0)))*'Вводные'!$B$30,0)+IF(AND(YEAR(BX$3)=YEAR($B$7),MONTH(BX$3)=MONTH($B$7),$B$5=1),'Вводные'!$B$26*'Вводные'!$V$90*'Вводные'!$B$30,0)</x:f>
      </x:c>
      <x:c r="BY57" s="117">
        <x:f>IF(AND(YEAR(BY$3)=YEAR($B$6),MONTH(BY$3)=MONTH($B$6),$B$5=1),('CAPEX'!$B$82+'CAPEX'!$B$85+'CAPEX'!$B$86+IF('Вводные'!$B$37="Денежная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компенсация",'Вводные'!$B$56*'Вводные'!$R$90*'Вводные'!$H$6,0)))*'Вводные'!$B$30,0)+IF(AND(YEAR(BY$3)=YEAR($B$7),MONTH(BY$3)=MONTH($B$7),$B$5=1),'Вводные'!$B$26*'Вводные'!$V$90*'Вводные'!$B$30,0)</x:f>
      </x:c>
      <x:c r="BZ57" s="117">
        <x:f>IF(AND(YEAR(BZ$3)=YEAR($B$6),MONTH(BZ$3)=MONTH($B$6),$B$5=1),('CAPEX'!$B$82+'CAPEX'!$B$85+'CAPEX'!$B$86+IF('Вводные'!$B$37="Денежная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компенсация",'Вводные'!$B$56*'Вводные'!$R$90*'Вводные'!$H$6,0)))*'Вводные'!$B$30,0)+IF(AND(YEAR(BZ$3)=YEAR($B$7),MONTH(BZ$3)=MONTH($B$7),$B$5=1),'Вводные'!$B$26*'Вводные'!$V$90*'Вводные'!$B$30,0)</x:f>
      </x:c>
      <x:c r="CA57" s="117">
        <x:f>IF(AND(YEAR(CA$3)=YEAR($B$6),MONTH(CA$3)=MONTH($B$6),$B$5=1),('CAPEX'!$B$82+'CAPEX'!$B$85+'CAPEX'!$B$86+IF('Вводные'!$B$37="Денежная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компенсация",'Вводные'!$B$56*'Вводные'!$R$90*'Вводные'!$H$6,0)))*'Вводные'!$B$30,0)+IF(AND(YEAR(CA$3)=YEAR($B$7),MONTH(CA$3)=MONTH($B$7),$B$5=1),'Вводные'!$B$26*'Вводные'!$V$90*'Вводные'!$B$30,0)</x:f>
      </x:c>
      <x:c r="CB57" s="117">
        <x:f>IF(AND(YEAR(CB$3)=YEAR($B$6),MONTH(CB$3)=MONTH($B$6),$B$5=1),('CAPEX'!$B$82+'CAPEX'!$B$85+'CAPEX'!$B$86+IF('Вводные'!$B$37="Денежная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компенсация",'Вводные'!$B$56*'Вводные'!$R$90*'Вводные'!$H$6,0)))*'Вводные'!$B$30,0)+IF(AND(YEAR(CB$3)=YEAR($B$7),MONTH(CB$3)=MONTH($B$7),$B$5=1),'Вводные'!$B$26*'Вводные'!$V$90*'Вводные'!$B$30,0)</x:f>
      </x:c>
      <x:c r="CC57" s="117">
        <x:f>IF(AND(YEAR(CC$3)=YEAR($B$6),MONTH(CC$3)=MONTH($B$6),$B$5=1),('CAPEX'!$B$82+'CAPEX'!$B$85+'CAPEX'!$B$86+IF('Вводные'!$B$37="Денежная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компенсация",'Вводные'!$B$56*'Вводные'!$R$90*'Вводные'!$H$6,0)))*'Вводные'!$B$30,0)+IF(AND(YEAR(CC$3)=YEAR($B$7),MONTH(CC$3)=MONTH($B$7),$B$5=1),'Вводные'!$B$26*'Вводные'!$V$90*'Вводные'!$B$30,0)</x:f>
      </x:c>
      <x:c r="CD57" s="117">
        <x:f>IF(AND(YEAR(CD$3)=YEAR($B$6),MONTH(CD$3)=MONTH($B$6),$B$5=1),('CAPEX'!$B$82+'CAPEX'!$B$85+'CAPEX'!$B$86+IF('Вводные'!$B$37="Денежная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компенсация",'Вводные'!$B$56*'Вводные'!$R$90*'Вводные'!$H$6,0)))*'Вводные'!$B$30,0)+IF(AND(YEAR(CD$3)=YEAR($B$7),MONTH(CD$3)=MONTH($B$7),$B$5=1),'Вводные'!$B$26*'Вводные'!$V$90*'Вводные'!$B$30,0)</x:f>
      </x:c>
      <x:c r="CE57" s="117">
        <x:f>IF(AND(YEAR(CE$3)=YEAR($B$6),MONTH(CE$3)=MONTH($B$6),$B$5=1),('CAPEX'!$B$82+'CAPEX'!$B$85+'CAPEX'!$B$86+IF('Вводные'!$B$37="Денежная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компенсация",'Вводные'!$B$56*'Вводные'!$R$90*'Вводные'!$H$6,0)))*'Вводные'!$B$30,0)+IF(AND(YEAR(CE$3)=YEAR($B$7),MONTH(CE$3)=MONTH($B$7),$B$5=1),'Вводные'!$B$26*'Вводные'!$V$90*'Вводные'!$B$30,0)</x:f>
      </x:c>
      <x:c r="CF57" s="117">
        <x:f>IF(AND(YEAR(CF$3)=YEAR($B$6),MONTH(CF$3)=MONTH($B$6),$B$5=1),('CAPEX'!$B$82+'CAPEX'!$B$85+'CAPEX'!$B$86+IF('Вводные'!$B$37="Денежная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компенсация",'Вводные'!$B$56*'Вводные'!$R$90*'Вводные'!$H$6,0)))*'Вводные'!$B$30,0)+IF(AND(YEAR(CF$3)=YEAR($B$7),MONTH(CF$3)=MONTH($B$7),$B$5=1),'Вводные'!$B$26*'Вводные'!$V$90*'Вводные'!$B$30,0)</x:f>
      </x:c>
      <x:c r="CG57" s="117">
        <x:f>IF(AND(YEAR(CG$3)=YEAR($B$6),MONTH(CG$3)=MONTH($B$6),$B$5=1),('CAPEX'!$B$82+'CAPEX'!$B$85+'CAPEX'!$B$86+IF('Вводные'!$B$37="Денежная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компенсация",'Вводные'!$B$56*'Вводные'!$R$90*'Вводные'!$H$6,0)))*'Вводные'!$B$30,0)+IF(AND(YEAR(CG$3)=YEAR($B$7),MONTH(CG$3)=MONTH($B$7),$B$5=1),'Вводные'!$B$26*'Вводные'!$V$90*'Вводные'!$B$30,0)</x:f>
      </x:c>
      <x:c r="CH57" s="117">
        <x:f>IF(AND(YEAR(CH$3)=YEAR($B$6),MONTH(CH$3)=MONTH($B$6),$B$5=1),('CAPEX'!$B$82+'CAPEX'!$B$85+'CAPEX'!$B$86+IF('Вводные'!$B$37="Денежная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компенсация",'Вводные'!$B$56*'Вводные'!$R$90*'Вводные'!$H$6,0)))*'Вводные'!$B$30,0)+IF(AND(YEAR(CH$3)=YEAR($B$7),MONTH(CH$3)=MONTH($B$7),$B$5=1),'Вводные'!$B$26*'Вводные'!$V$90*'Вводные'!$B$30,0)</x:f>
      </x:c>
      <x:c r="CI57" s="117">
        <x:f>IF(AND(YEAR(CI$3)=YEAR($B$6),MONTH(CI$3)=MONTH($B$6),$B$5=1),('CAPEX'!$B$82+'CAPEX'!$B$85+'CAPEX'!$B$86+IF('Вводные'!$B$37="Денежная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компенсация",'Вводные'!$B$56*'Вводные'!$R$90*'Вводные'!$H$6,0)))*'Вводные'!$B$30,0)+IF(AND(YEAR(CI$3)=YEAR($B$7),MONTH(CI$3)=MONTH($B$7),$B$5=1),'Вводные'!$B$26*'Вводные'!$V$90*'Вводные'!$B$30,0)</x:f>
      </x:c>
      <x:c r="CJ57" s="117">
        <x:f>IF(AND(YEAR(CJ$3)=YEAR($B$6),MONTH(CJ$3)=MONTH($B$6),$B$5=1),('CAPEX'!$B$82+'CAPEX'!$B$85+'CAPEX'!$B$86+IF('Вводные'!$B$37="Денежная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компенсация",'Вводные'!$B$56*'Вводные'!$R$90*'Вводные'!$H$6,0)))*'Вводные'!$B$30,0)+IF(AND(YEAR(CJ$3)=YEAR($B$7),MONTH(CJ$3)=MONTH($B$7),$B$5=1),'Вводные'!$B$26*'Вводные'!$V$90*'Вводные'!$B$30,0)</x:f>
      </x:c>
      <x:c r="CK57" s="117">
        <x:f>IF(AND(YEAR(CK$3)=YEAR($B$6),MONTH(CK$3)=MONTH($B$6),$B$5=1),('CAPEX'!$B$82+'CAPEX'!$B$85+'CAPEX'!$B$86+IF('Вводные'!$B$37="Денежная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компенсация",'Вводные'!$B$56*'Вводные'!$R$90*'Вводные'!$H$6,0)))*'Вводные'!$B$30,0)+IF(AND(YEAR(CK$3)=YEAR($B$7),MONTH(CK$3)=MONTH($B$7),$B$5=1),'Вводные'!$B$26*'Вводные'!$V$90*'Вводные'!$B$30,0)</x:f>
      </x:c>
      <x:c r="CL57" s="117">
        <x:f>IF(AND(YEAR(CL$3)=YEAR($B$6),MONTH(CL$3)=MONTH($B$6),$B$5=1),('CAPEX'!$B$82+'CAPEX'!$B$85+'CAPEX'!$B$86+IF('Вводные'!$B$37="Денежная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компенсация",'Вводные'!$B$56*'Вводные'!$R$90*'Вводные'!$H$6,0)))*'Вводные'!$B$30,0)+IF(AND(YEAR(CL$3)=YEAR($B$7),MONTH(CL$3)=MONTH($B$7),$B$5=1),'Вводные'!$B$26*'Вводные'!$V$90*'Вводные'!$B$30,0)</x:f>
      </x:c>
      <x:c r="CM57" s="117">
        <x:f>IF(AND(YEAR(CM$3)=YEAR($B$6),MONTH(CM$3)=MONTH($B$6),$B$5=1),('CAPEX'!$B$82+'CAPEX'!$B$85+'CAPEX'!$B$86+IF('Вводные'!$B$37="Денежная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компенсация",'Вводные'!$B$56*'Вводные'!$R$90*'Вводные'!$H$6,0)))*'Вводные'!$B$30,0)+IF(AND(YEAR(CM$3)=YEAR($B$7),MONTH(CM$3)=MONTH($B$7),$B$5=1),'Вводные'!$B$26*'Вводные'!$V$90*'Вводные'!$B$30,0)</x:f>
      </x:c>
      <x:c r="CN57" s="117">
        <x:f>IF(AND(YEAR(CN$3)=YEAR($B$6),MONTH(CN$3)=MONTH($B$6),$B$5=1),('CAPEX'!$B$82+'CAPEX'!$B$85+'CAPEX'!$B$86+IF('Вводные'!$B$37="Денежная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компенсация",'Вводные'!$B$56*'Вводные'!$R$90*'Вводные'!$H$6,0)))*'Вводные'!$B$30,0)+IF(AND(YEAR(CN$3)=YEAR($B$7),MONTH(CN$3)=MONTH($B$7),$B$5=1),'Вводные'!$B$26*'Вводные'!$V$90*'Вводные'!$B$30,0)</x:f>
      </x:c>
      <x:c r="CO57" s="117">
        <x:f>IF(AND(YEAR(CO$3)=YEAR($B$6),MONTH(CO$3)=MONTH($B$6),$B$5=1),('CAPEX'!$B$82+'CAPEX'!$B$85+'CAPEX'!$B$86+IF('Вводные'!$B$37="Денежная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компенсация",'Вводные'!$B$56*'Вводные'!$R$90*'Вводные'!$H$6,0)))*'Вводные'!$B$30,0)+IF(AND(YEAR(CO$3)=YEAR($B$7),MONTH(CO$3)=MONTH($B$7),$B$5=1),'Вводные'!$B$26*'Вводные'!$V$90*'Вводные'!$B$30,0)</x:f>
      </x:c>
      <x:c r="CP57" s="117">
        <x:f>IF(AND(YEAR(CP$3)=YEAR($B$6),MONTH(CP$3)=MONTH($B$6),$B$5=1),('CAPEX'!$B$82+'CAPEX'!$B$85+'CAPEX'!$B$86+IF('Вводные'!$B$37="Денежная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компенсация",'Вводные'!$B$56*'Вводные'!$R$90*'Вводные'!$H$6,0)))*'Вводные'!$B$30,0)+IF(AND(YEAR(CP$3)=YEAR($B$7),MONTH(CP$3)=MONTH($B$7),$B$5=1),'Вводные'!$B$26*'Вводные'!$V$90*'Вводные'!$B$30,0)</x:f>
      </x:c>
      <x:c r="CQ57" s="117">
        <x:f>IF(AND(YEAR(CQ$3)=YEAR($B$6),MONTH(CQ$3)=MONTH($B$6),$B$5=1),('CAPEX'!$B$82+'CAPEX'!$B$85+'CAPEX'!$B$86+IF('Вводные'!$B$37="Денежная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компенсация",'Вводные'!$B$56*'Вводные'!$R$90*'Вводные'!$H$6,0)))*'Вводные'!$B$30,0)+IF(AND(YEAR(CQ$3)=YEAR($B$7),MONTH(CQ$3)=MONTH($B$7),$B$5=1),'Вводные'!$B$26*'Вводные'!$V$90*'Вводные'!$B$30,0)</x:f>
      </x:c>
      <x:c r="CR57" s="117">
        <x:f>IF(AND(YEAR(CR$3)=YEAR($B$6),MONTH(CR$3)=MONTH($B$6),$B$5=1),('CAPEX'!$B$82+'CAPEX'!$B$85+'CAPEX'!$B$86+IF('Вводные'!$B$37="Денежная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компенсация",'Вводные'!$B$56*'Вводные'!$R$90*'Вводные'!$H$6,0)))*'Вводные'!$B$30,0)+IF(AND(YEAR(CR$3)=YEAR($B$7),MONTH(CR$3)=MONTH($B$7),$B$5=1),'Вводные'!$B$26*'Вводные'!$V$90*'Вводные'!$B$30,0)</x:f>
      </x:c>
      <x:c r="CS57" s="117">
        <x:f>IF(AND(YEAR(CS$3)=YEAR($B$6),MONTH(CS$3)=MONTH($B$6),$B$5=1),('CAPEX'!$B$82+'CAPEX'!$B$85+'CAPEX'!$B$86+IF('Вводные'!$B$37="Денежная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компенсация",'Вводные'!$B$56*'Вводные'!$R$90*'Вводные'!$H$6,0)))*'Вводные'!$B$30,0)+IF(AND(YEAR(CS$3)=YEAR($B$7),MONTH(CS$3)=MONTH($B$7),$B$5=1),'Вводные'!$B$26*'Вводные'!$V$90*'Вводные'!$B$30,0)</x:f>
      </x:c>
      <x:c r="CT57" s="117">
        <x:f>IF(AND(YEAR(CT$3)=YEAR($B$6),MONTH(CT$3)=MONTH($B$6),$B$5=1),('CAPEX'!$B$82+'CAPEX'!$B$85+'CAPEX'!$B$86+IF('Вводные'!$B$37="Денежная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компенсация",'Вводные'!$B$56*'Вводные'!$R$90*'Вводные'!$H$6,0)))*'Вводные'!$B$30,0)+IF(AND(YEAR(CT$3)=YEAR($B$7),MONTH(CT$3)=MONTH($B$7),$B$5=1),'Вводные'!$B$26*'Вводные'!$V$90*'Вводные'!$B$30,0)</x:f>
      </x:c>
      <x:c r="CU57" s="117">
        <x:f>IF(AND(YEAR(CU$3)=YEAR($B$6),MONTH(CU$3)=MONTH($B$6),$B$5=1),('CAPEX'!$B$82+'CAPEX'!$B$85+'CAPEX'!$B$86+IF('Вводные'!$B$37="Денежная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компенсация",'Вводные'!$B$56*'Вводные'!$R$90*'Вводные'!$H$6,0)))*'Вводные'!$B$30,0)+IF(AND(YEAR(CU$3)=YEAR($B$7),MONTH(CU$3)=MONTH($B$7),$B$5=1),'Вводные'!$B$26*'Вводные'!$V$90*'Вводные'!$B$30,0)</x:f>
      </x:c>
      <x:c r="CV57" s="117">
        <x:f>IF(AND(YEAR(CV$3)=YEAR($B$6),MONTH(CV$3)=MONTH($B$6),$B$5=1),('CAPEX'!$B$82+'CAPEX'!$B$85+'CAPEX'!$B$86+IF('Вводные'!$B$37="Денежная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компенсация",'Вводные'!$B$56*'Вводные'!$R$90*'Вводные'!$H$6,0)))*'Вводные'!$B$30,0)+IF(AND(YEAR(CV$3)=YEAR($B$7),MONTH(CV$3)=MONTH($B$7),$B$5=1),'Вводные'!$B$26*'Вводные'!$V$90*'Вводные'!$B$30,0)</x:f>
      </x:c>
      <x:c r="CW57" s="117">
        <x:f>IF(AND(YEAR(CW$3)=YEAR($B$6),MONTH(CW$3)=MONTH($B$6),$B$5=1),('CAPEX'!$B$82+'CAPEX'!$B$85+'CAPEX'!$B$86+IF('Вводные'!$B$37="Денежная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компенсация",'Вводные'!$B$56*'Вводные'!$R$90*'Вводные'!$H$6,0)))*'Вводные'!$B$30,0)+IF(AND(YEAR(CW$3)=YEAR($B$7),MONTH(CW$3)=MONTH($B$7),$B$5=1),'Вводные'!$B$26*'Вводные'!$V$90*'Вводные'!$B$30,0)</x:f>
      </x:c>
      <x:c r="CX57" s="117">
        <x:f>IF(AND(YEAR(CX$3)=YEAR($B$6),MONTH(CX$3)=MONTH($B$6),$B$5=1),('CAPEX'!$B$82+'CAPEX'!$B$85+'CAPEX'!$B$86+IF('Вводные'!$B$37="Денежная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компенсация",'Вводные'!$B$56*'Вводные'!$R$90*'Вводные'!$H$6,0)))*'Вводные'!$B$30,0)+IF(AND(YEAR(CX$3)=YEAR($B$7),MONTH(CX$3)=MONTH($B$7),$B$5=1),'Вводные'!$B$26*'Вводные'!$V$90*'Вводные'!$B$30,0)</x:f>
      </x:c>
      <x:c r="CY57" s="117">
        <x:f>IF(AND(YEAR(CY$3)=YEAR($B$6),MONTH(CY$3)=MONTH($B$6),$B$5=1),('CAPEX'!$B$82+'CAPEX'!$B$85+'CAPEX'!$B$86+IF('Вводные'!$B$37="Денежная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компенсация",'Вводные'!$B$56*'Вводные'!$R$90*'Вводные'!$H$6,0)))*'Вводные'!$B$30,0)+IF(AND(YEAR(CY$3)=YEAR($B$7),MONTH(CY$3)=MONTH($B$7),$B$5=1),'Вводные'!$B$26*'Вводные'!$V$90*'Вводные'!$B$30,0)</x:f>
      </x:c>
      <x:c r="CZ57" s="117">
        <x:f>IF(AND(YEAR(CZ$3)=YEAR($B$6),MONTH(CZ$3)=MONTH($B$6),$B$5=1),('CAPEX'!$B$82+'CAPEX'!$B$85+'CAPEX'!$B$86+IF('Вводные'!$B$37="Денежная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компенсация",'Вводные'!$B$56*'Вводные'!$R$90*'Вводные'!$H$6,0)))*'Вводные'!$B$30,0)+IF(AND(YEAR(CZ$3)=YEAR($B$7),MONTH(CZ$3)=MONTH($B$7),$B$5=1),'Вводные'!$B$26*'Вводные'!$V$90*'Вводные'!$B$30,0)</x:f>
      </x:c>
      <x:c r="DA57" s="117">
        <x:f>IF(AND(YEAR(DA$3)=YEAR($B$6),MONTH(DA$3)=MONTH($B$6),$B$5=1),('CAPEX'!$B$82+'CAPEX'!$B$85+'CAPEX'!$B$86+IF('Вводные'!$B$37="Денежная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компенсация",'Вводные'!$B$56*'Вводные'!$R$90*'Вводные'!$H$6,0)))*'Вводные'!$B$30,0)+IF(AND(YEAR(DA$3)=YEAR($B$7),MONTH(DA$3)=MONTH($B$7),$B$5=1),'Вводные'!$B$26*'Вводные'!$V$90*'Вводные'!$B$30,0)</x:f>
      </x:c>
      <x:c r="DB57" s="117">
        <x:f>IF(AND(YEAR(DB$3)=YEAR($B$6),MONTH(DB$3)=MONTH($B$6),$B$5=1),('CAPEX'!$B$82+'CAPEX'!$B$85+'CAPEX'!$B$86+IF('Вводные'!$B$37="Денежная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компенсация",'Вводные'!$B$56*'Вводные'!$R$90*'Вводные'!$H$6,0)))*'Вводные'!$B$30,0)+IF(AND(YEAR(DB$3)=YEAR($B$7),MONTH(DB$3)=MONTH($B$7),$B$5=1),'Вводные'!$B$26*'Вводные'!$V$90*'Вводные'!$B$30,0)</x:f>
      </x:c>
      <x:c r="DC57" s="117">
        <x:f>IF(AND(YEAR(DC$3)=YEAR($B$6),MONTH(DC$3)=MONTH($B$6),$B$5=1),('CAPEX'!$B$82+'CAPEX'!$B$85+'CAPEX'!$B$86+IF('Вводные'!$B$37="Денежная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компенсация",'Вводные'!$B$56*'Вводные'!$R$90*'Вводные'!$H$6,0)))*'Вводные'!$B$30,0)+IF(AND(YEAR(DC$3)=YEAR($B$7),MONTH(DC$3)=MONTH($B$7),$B$5=1),'Вводные'!$B$26*'Вводные'!$V$90*'Вводные'!$B$30,0)</x:f>
      </x:c>
      <x:c r="DD57" s="117">
        <x:f>IF(AND(YEAR(DD$3)=YEAR($B$6),MONTH(DD$3)=MONTH($B$6),$B$5=1),('CAPEX'!$B$82+'CAPEX'!$B$85+'CAPEX'!$B$86+IF('Вводные'!$B$37="Денежная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компенсация",'Вводные'!$B$56*'Вводные'!$R$90*'Вводные'!$H$6,0)))*'Вводные'!$B$30,0)+IF(AND(YEAR(DD$3)=YEAR($B$7),MONTH(DD$3)=MONTH($B$7),$B$5=1),'Вводные'!$B$26*'Вводные'!$V$90*'Вводные'!$B$30,0)</x:f>
      </x:c>
      <x:c r="DE57" s="117">
        <x:f>IF(AND(YEAR(DE$3)=YEAR($B$6),MONTH(DE$3)=MONTH($B$6),$B$5=1),('CAPEX'!$B$82+'CAPEX'!$B$85+'CAPEX'!$B$86+IF('Вводные'!$B$37="Денежная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компенсация",'Вводные'!$B$56*'Вводные'!$R$90*'Вводные'!$H$6,0)))*'Вводные'!$B$30,0)+IF(AND(YEAR(DE$3)=YEAR($B$7),MONTH(DE$3)=MONTH($B$7),$B$5=1),'Вводные'!$B$26*'Вводные'!$V$90*'Вводные'!$B$30,0)</x:f>
      </x:c>
      <x:c r="DF57" s="117">
        <x:f>IF(AND(YEAR(DF$3)=YEAR($B$6),MONTH(DF$3)=MONTH($B$6),$B$5=1),('CAPEX'!$B$82+'CAPEX'!$B$85+'CAPEX'!$B$86+IF('Вводные'!$B$37="Денежная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компенсация",'Вводные'!$B$56*'Вводные'!$R$90*'Вводные'!$H$6,0)))*'Вводные'!$B$30,0)+IF(AND(YEAR(DF$3)=YEAR($B$7),MONTH(DF$3)=MONTH($B$7),$B$5=1),'Вводные'!$B$26*'Вводные'!$V$90*'Вводные'!$B$30,0)</x:f>
      </x:c>
      <x:c r="DG57" s="117">
        <x:f>IF(AND(YEAR(DG$3)=YEAR($B$6),MONTH(DG$3)=MONTH($B$6),$B$5=1),('CAPEX'!$B$82+'CAPEX'!$B$85+'CAPEX'!$B$86+IF('Вводные'!$B$37="Денежная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компенсация",'Вводные'!$B$56*'Вводные'!$R$90*'Вводные'!$H$6,0)))*'Вводные'!$B$30,0)+IF(AND(YEAR(DG$3)=YEAR($B$7),MONTH(DG$3)=MONTH($B$7),$B$5=1),'Вводные'!$B$26*'Вводные'!$V$90*'Вводные'!$B$30,0)</x:f>
      </x:c>
      <x:c r="DH57" s="117">
        <x:f>IF(AND(YEAR(DH$3)=YEAR($B$6),MONTH(DH$3)=MONTH($B$6),$B$5=1),('CAPEX'!$B$82+'CAPEX'!$B$85+'CAPEX'!$B$86+IF('Вводные'!$B$37="Денежная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компенсация",'Вводные'!$B$56*'Вводные'!$R$90*'Вводные'!$H$6,0)))*'Вводные'!$B$30,0)+IF(AND(YEAR(DH$3)=YEAR($B$7),MONTH(DH$3)=MONTH($B$7),$B$5=1),'Вводные'!$B$26*'Вводные'!$V$90*'Вводные'!$B$30,0)</x:f>
      </x:c>
      <x:c r="DI57" s="117">
        <x:f>IF(AND(YEAR(DI$3)=YEAR($B$6),MONTH(DI$3)=MONTH($B$6),$B$5=1),('CAPEX'!$B$82+'CAPEX'!$B$85+'CAPEX'!$B$86+IF('Вводные'!$B$37="Денежная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компенсация",'Вводные'!$B$56*'Вводные'!$R$90*'Вводные'!$H$6,0)))*'Вводные'!$B$30,0)+IF(AND(YEAR(DI$3)=YEAR($B$7),MONTH(DI$3)=MONTH($B$7),$B$5=1),'Вводные'!$B$26*'Вводные'!$V$90*'Вводные'!$B$30,0)</x:f>
      </x:c>
      <x:c r="DJ57" s="117">
        <x:f>IF(AND(YEAR(DJ$3)=YEAR($B$6),MONTH(DJ$3)=MONTH($B$6),$B$5=1),('CAPEX'!$B$82+'CAPEX'!$B$85+'CAPEX'!$B$86+IF('Вводные'!$B$37="Денежная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компенсация",'Вводные'!$B$56*'Вводные'!$R$90*'Вводные'!$H$6,0)))*'Вводные'!$B$30,0)+IF(AND(YEAR(DJ$3)=YEAR($B$7),MONTH(DJ$3)=MONTH($B$7),$B$5=1),'Вводные'!$B$26*'Вводные'!$V$90*'Вводные'!$B$30,0)</x:f>
      </x:c>
      <x:c r="DK57" s="117">
        <x:f>IF(AND(YEAR(DK$3)=YEAR($B$6),MONTH(DK$3)=MONTH($B$6),$B$5=1),('CAPEX'!$B$82+'CAPEX'!$B$85+'CAPEX'!$B$86+IF('Вводные'!$B$37="Денежная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компенсация",'Вводные'!$B$56*'Вводные'!$R$90*'Вводные'!$H$6,0)))*'Вводные'!$B$30,0)+IF(AND(YEAR(DK$3)=YEAR($B$7),MONTH(DK$3)=MONTH($B$7),$B$5=1),'Вводные'!$B$26*'Вводные'!$V$90*'Вводные'!$B$30,0)</x:f>
      </x:c>
      <x:c r="DL57" s="117">
        <x:f>IF(AND(YEAR(DL$3)=YEAR($B$6),MONTH(DL$3)=MONTH($B$6),$B$5=1),('CAPEX'!$B$82+'CAPEX'!$B$85+'CAPEX'!$B$86+IF('Вводные'!$B$37="Денежная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компенсация",'Вводные'!$B$56*'Вводные'!$R$90*'Вводные'!$H$6,0)))*'Вводные'!$B$30,0)+IF(AND(YEAR(DL$3)=YEAR($B$7),MONTH(DL$3)=MONTH($B$7),$B$5=1),'Вводные'!$B$26*'Вводные'!$V$90*'Вводные'!$B$30,0)</x:f>
      </x:c>
      <x:c r="DM57" s="117">
        <x:f>IF(AND(YEAR(DM$3)=YEAR($B$6),MONTH(DM$3)=MONTH($B$6),$B$5=1),('CAPEX'!$B$82+'CAPEX'!$B$85+'CAPEX'!$B$86+IF('Вводные'!$B$37="Денежная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компенсация",'Вводные'!$B$56*'Вводные'!$R$90*'Вводные'!$H$6,0)))*'Вводные'!$B$30,0)+IF(AND(YEAR(DM$3)=YEAR($B$7),MONTH(DM$3)=MONTH($B$7),$B$5=1),'Вводные'!$B$26*'Вводные'!$V$90*'Вводные'!$B$30,0)</x:f>
      </x:c>
      <x:c r="DN57" s="117">
        <x:f>IF(AND(YEAR(DN$3)=YEAR($B$6),MONTH(DN$3)=MONTH($B$6),$B$5=1),('CAPEX'!$B$82+'CAPEX'!$B$85+'CAPEX'!$B$86+IF('Вводные'!$B$37="Денежная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компенсация",'Вводные'!$B$56*'Вводные'!$R$90*'Вводные'!$H$6,0)))*'Вводные'!$B$30,0)+IF(AND(YEAR(DN$3)=YEAR($B$7),MONTH(DN$3)=MONTH($B$7),$B$5=1),'Вводные'!$B$26*'Вводные'!$V$90*'Вводные'!$B$30,0)</x:f>
      </x:c>
      <x:c r="DO57" s="117">
        <x:f>IF(AND(YEAR(DO$3)=YEAR($B$6),MONTH(DO$3)=MONTH($B$6),$B$5=1),('CAPEX'!$B$82+'CAPEX'!$B$85+'CAPEX'!$B$86+IF('Вводные'!$B$37="Денежная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компенсация",'Вводные'!$B$56*'Вводные'!$R$90*'Вводные'!$H$6,0)))*'Вводные'!$B$30,0)+IF(AND(YEAR(DO$3)=YEAR($B$7),MONTH(DO$3)=MONTH($B$7),$B$5=1),'Вводные'!$B$26*'Вводные'!$V$90*'Вводные'!$B$30,0)</x:f>
      </x:c>
      <x:c r="DP57" s="117">
        <x:f>IF(AND(YEAR(DP$3)=YEAR($B$6),MONTH(DP$3)=MONTH($B$6),$B$5=1),('CAPEX'!$B$82+'CAPEX'!$B$85+'CAPEX'!$B$86+IF('Вводные'!$B$37="Денежная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компенсация",'Вводные'!$B$56*'Вводные'!$R$90*'Вводные'!$H$6,0)))*'Вводные'!$B$30,0)+IF(AND(YEAR(DP$3)=YEAR($B$7),MONTH(DP$3)=MONTH($B$7),$B$5=1),'Вводные'!$B$26*'Вводные'!$V$90*'Вводные'!$B$30,0)</x:f>
      </x:c>
      <x:c r="DQ57" s="117">
        <x:f>IF(AND(YEAR(DQ$3)=YEAR($B$6),MONTH(DQ$3)=MONTH($B$6),$B$5=1),('CAPEX'!$B$82+'CAPEX'!$B$85+'CAPEX'!$B$86+IF('Вводные'!$B$37="Денежная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компенсация",'Вводные'!$B$56*'Вводные'!$R$90*'Вводные'!$H$6,0)))*'Вводные'!$B$30,0)+IF(AND(YEAR(DQ$3)=YEAR($B$7),MONTH(DQ$3)=MONTH($B$7),$B$5=1),'Вводные'!$B$26*'Вводные'!$V$90*'Вводные'!$B$30,0)</x:f>
      </x:c>
      <x:c r="DR57" s="117">
        <x:f>IF(AND(YEAR(DR$3)=YEAR($B$6),MONTH(DR$3)=MONTH($B$6),$B$5=1),('CAPEX'!$B$82+'CAPEX'!$B$85+'CAPEX'!$B$86+IF('Вводные'!$B$37="Денежная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компенсация",'Вводные'!$B$56*'Вводные'!$R$90*'Вводные'!$H$6,0)))*'Вводные'!$B$30,0)+IF(AND(YEAR(DR$3)=YEAR($B$7),MONTH(DR$3)=MONTH($B$7),$B$5=1),'Вводные'!$B$26*'Вводные'!$V$90*'Вводные'!$B$30,0)</x:f>
      </x:c>
      <x:c r="DS57" s="117">
        <x:f>IF(AND(YEAR(DS$3)=YEAR($B$6),MONTH(DS$3)=MONTH($B$6),$B$5=1),('CAPEX'!$B$82+'CAPEX'!$B$85+'CAPEX'!$B$86+IF('Вводные'!$B$37="Денежная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компенсация",'Вводные'!$B$56*'Вводные'!$R$90*'Вводные'!$H$6,0)))*'Вводные'!$B$30,0)+IF(AND(YEAR(DS$3)=YEAR($B$7),MONTH(DS$3)=MONTH($B$7),$B$5=1),'Вводные'!$B$26*'Вводные'!$V$90*'Вводные'!$B$30,0)</x:f>
      </x:c>
      <x:c r="DT57" s="117">
        <x:f>IF(AND(YEAR(DT$3)=YEAR($B$6),MONTH(DT$3)=MONTH($B$6),$B$5=1),('CAPEX'!$B$82+'CAPEX'!$B$85+'CAPEX'!$B$86+IF('Вводные'!$B$37="Денежная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компенсация",'Вводные'!$B$56*'Вводные'!$R$90*'Вводные'!$H$6,0)))*'Вводные'!$B$30,0)+IF(AND(YEAR(DT$3)=YEAR($B$7),MONTH(DT$3)=MONTH($B$7),$B$5=1),'Вводные'!$B$26*'Вводные'!$V$90*'Вводные'!$B$30,0)</x:f>
      </x:c>
      <x:c r="DU57" s="117">
        <x:f>IF(AND(YEAR(DU$3)=YEAR($B$6),MONTH(DU$3)=MONTH($B$6),$B$5=1),('CAPEX'!$B$82+'CAPEX'!$B$85+'CAPEX'!$B$86+IF('Вводные'!$B$37="Денежная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компенсация",'Вводные'!$B$56*'Вводные'!$R$90*'Вводные'!$H$6,0)))*'Вводные'!$B$30,0)+IF(AND(YEAR(DU$3)=YEAR($B$7),MONTH(DU$3)=MONTH($B$7),$B$5=1),'Вводные'!$B$26*'Вводные'!$V$90*'Вводные'!$B$30,0)</x:f>
      </x:c>
      <x:c r="DV57" s="117">
        <x:f>IF(AND(YEAR(DV$3)=YEAR($B$6),MONTH(DV$3)=MONTH($B$6),$B$5=1),('CAPEX'!$B$82+'CAPEX'!$B$85+'CAPEX'!$B$86+IF('Вводные'!$B$37="Денежная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компенсация",'Вводные'!$B$56*'Вводные'!$R$90*'Вводные'!$H$6,0)))*'Вводные'!$B$30,0)+IF(AND(YEAR(DV$3)=YEAR($B$7),MONTH(DV$3)=MONTH($B$7),$B$5=1),'Вводные'!$B$26*'Вводные'!$V$90*'Вводные'!$B$30,0)</x:f>
      </x:c>
      <x:c r="DW57" s="117">
        <x:f>IF(AND(YEAR(DW$3)=YEAR($B$6),MONTH(DW$3)=MONTH($B$6),$B$5=1),('CAPEX'!$B$82+'CAPEX'!$B$85+'CAPEX'!$B$86+IF('Вводные'!$B$37="Денежная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компенсация",'Вводные'!$B$56*'Вводные'!$R$90*'Вводные'!$H$6,0)))*'Вводные'!$B$30,0)+IF(AND(YEAR(DW$3)=YEAR($B$7),MONTH(DW$3)=MONTH($B$7),$B$5=1),'Вводные'!$B$26*'Вводные'!$V$90*'Вводные'!$B$30,0)</x:f>
      </x:c>
      <x:c r="DX57" s="117">
        <x:f>IF(AND(YEAR(DX$3)=YEAR($B$6),MONTH(DX$3)=MONTH($B$6),$B$5=1),('CAPEX'!$B$82+'CAPEX'!$B$85+'CAPEX'!$B$86+IF('Вводные'!$B$37="Денежная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компенсация",'Вводные'!$B$56*'Вводные'!$R$90*'Вводные'!$H$6,0)))*'Вводные'!$B$30,0)+IF(AND(YEAR(DX$3)=YEAR($B$7),MONTH(DX$3)=MONTH($B$7),$B$5=1),'Вводные'!$B$26*'Вводные'!$V$90*'Вводные'!$B$30,0)</x:f>
      </x:c>
      <x:c r="DY57" s="117">
        <x:f>IF(AND(YEAR(DY$3)=YEAR($B$6),MONTH(DY$3)=MONTH($B$6),$B$5=1),('CAPEX'!$B$82+'CAPEX'!$B$85+'CAPEX'!$B$86+IF('Вводные'!$B$37="Денежная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компенсация",'Вводные'!$B$56*'Вводные'!$R$90*'Вводные'!$H$6,0)))*'Вводные'!$B$30,0)+IF(AND(YEAR(DY$3)=YEAR($B$7),MONTH(DY$3)=MONTH($B$7),$B$5=1),'Вводные'!$B$26*'Вводные'!$V$90*'Вводные'!$B$30,0)</x:f>
      </x:c>
      <x:c r="DZ57" s="117">
        <x:f>IF(AND(YEAR(DZ$3)=YEAR($B$6),MONTH(DZ$3)=MONTH($B$6),$B$5=1),('CAPEX'!$B$82+'CAPEX'!$B$85+'CAPEX'!$B$86+IF('Вводные'!$B$37="Денежная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компенсация",'Вводные'!$B$56*'Вводные'!$R$90*'Вводные'!$H$6,0)))*'Вводные'!$B$30,0)+IF(AND(YEAR(DZ$3)=YEAR($B$7),MONTH(DZ$3)=MONTH($B$7),$B$5=1),'Вводные'!$B$26*'Вводные'!$V$90*'Вводные'!$B$30,0)</x:f>
      </x:c>
      <x:c r="EA57" s="117">
        <x:f>IF(AND(YEAR(EA$3)=YEAR($B$6),MONTH(EA$3)=MONTH($B$6),$B$5=1),('CAPEX'!$B$82+'CAPEX'!$B$85+'CAPEX'!$B$86+IF('Вводные'!$B$37="Денежная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компенсация",'Вводные'!$B$56*'Вводные'!$R$90*'Вводные'!$H$6,0)))*'Вводные'!$B$30,0)+IF(AND(YEAR(EA$3)=YEAR($B$7),MONTH(EA$3)=MONTH($B$7),$B$5=1),'Вводные'!$B$26*'Вводные'!$V$90*'Вводные'!$B$30,0)</x:f>
      </x:c>
      <x:c r="EB57" s="117">
        <x:f>IF(AND(YEAR(EB$3)=YEAR($B$6),MONTH(EB$3)=MONTH($B$6),$B$5=1),('CAPEX'!$B$82+'CAPEX'!$B$85+'CAPEX'!$B$86+IF('Вводные'!$B$37="Денежная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компенсация",'Вводные'!$B$56*'Вводные'!$R$90*'Вводные'!$H$6,0)))*'Вводные'!$B$30,0)+IF(AND(YEAR(EB$3)=YEAR($B$7),MONTH(EB$3)=MONTH($B$7),$B$5=1),'Вводные'!$B$26*'Вводные'!$V$90*'Вводные'!$B$30,0)</x:f>
      </x:c>
      <x:c r="EC57" s="117">
        <x:f>IF(AND(YEAR(EC$3)=YEAR($B$6),MONTH(EC$3)=MONTH($B$6),$B$5=1),('CAPEX'!$B$82+'CAPEX'!$B$85+'CAPEX'!$B$86+IF('Вводные'!$B$37="Денежная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компенсация",'Вводные'!$B$56*'Вводные'!$R$90*'Вводные'!$H$6,0)))*'Вводные'!$B$30,0)+IF(AND(YEAR(EC$3)=YEAR($B$7),MONTH(EC$3)=MONTH($B$7),$B$5=1),'Вводные'!$B$26*'Вводные'!$V$90*'Вводные'!$B$30,0)</x:f>
      </x:c>
      <x:c r="ED57" s="117">
        <x:f>IF(AND(YEAR(ED$3)=YEAR($B$6),MONTH(ED$3)=MONTH($B$6),$B$5=1),('CAPEX'!$B$82+'CAPEX'!$B$85+'CAPEX'!$B$86+IF('Вводные'!$B$37="Денежная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компенсация",'Вводные'!$B$56*'Вводные'!$R$90*'Вводные'!$H$6,0)))*'Вводные'!$B$30,0)+IF(AND(YEAR(ED$3)=YEAR($B$7),MONTH(ED$3)=MONTH($B$7),$B$5=1),'Вводные'!$B$26*'Вводные'!$V$90*'Вводные'!$B$30,0)</x:f>
      </x:c>
      <x:c r="EE57" s="117">
        <x:f>IF(AND(YEAR(EE$3)=YEAR($B$6),MONTH(EE$3)=MONTH($B$6),$B$5=1),('CAPEX'!$B$82+'CAPEX'!$B$85+'CAPEX'!$B$86+IF('Вводные'!$B$37="Денежная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компенсация",'Вводные'!$B$56*'Вводные'!$R$90*'Вводные'!$H$6,0)))*'Вводные'!$B$30,0)+IF(AND(YEAR(EE$3)=YEAR($B$7),MONTH(EE$3)=MONTH($B$7),$B$5=1),'Вводные'!$B$26*'Вводные'!$V$90*'Вводные'!$B$30,0)</x:f>
      </x:c>
      <x:c r="EF57" s="117">
        <x:f>IF(AND(YEAR(EF$3)=YEAR($B$6),MONTH(EF$3)=MONTH($B$6),$B$5=1),('CAPEX'!$B$82+'CAPEX'!$B$85+'CAPEX'!$B$86+IF('Вводные'!$B$37="Денежная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компенсация",'Вводные'!$B$56*'Вводные'!$R$90*'Вводные'!$H$6,0)))*'Вводные'!$B$30,0)+IF(AND(YEAR(EF$3)=YEAR($B$7),MONTH(EF$3)=MONTH($B$7),$B$5=1),'Вводные'!$B$26*'Вводные'!$V$90*'Вводные'!$B$30,0)</x:f>
      </x:c>
      <x:c r="EG57" s="117">
        <x:f>IF(AND(YEAR(EG$3)=YEAR($B$6),MONTH(EG$3)=MONTH($B$6),$B$5=1),('CAPEX'!$B$82+'CAPEX'!$B$85+'CAPEX'!$B$86+IF('Вводные'!$B$37="Денежная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компенсация",'Вводные'!$B$56*'Вводные'!$R$90*'Вводные'!$H$6,0)))*'Вводные'!$B$30,0)+IF(AND(YEAR(EG$3)=YEAR($B$7),MONTH(EG$3)=MONTH($B$7),$B$5=1),'Вводные'!$B$26*'Вводные'!$V$90*'Вводные'!$B$30,0)</x:f>
      </x:c>
      <x:c r="EH57" s="117">
        <x:f>IF(AND(YEAR(EH$3)=YEAR($B$6),MONTH(EH$3)=MONTH($B$6),$B$5=1),('CAPEX'!$B$82+'CAPEX'!$B$85+'CAPEX'!$B$86+IF('Вводные'!$B$37="Денежная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компенсация",'Вводные'!$B$56*'Вводные'!$R$90*'Вводные'!$H$6,0)))*'Вводные'!$B$30,0)+IF(AND(YEAR(EH$3)=YEAR($B$7),MONTH(EH$3)=MONTH($B$7),$B$5=1),'Вводные'!$B$26*'Вводные'!$V$90*'Вводные'!$B$30,0)</x:f>
      </x:c>
      <x:c r="EI57" s="117">
        <x:f>IF(AND(YEAR(EI$3)=YEAR($B$6),MONTH(EI$3)=MONTH($B$6),$B$5=1),('CAPEX'!$B$82+'CAPEX'!$B$85+'CAPEX'!$B$86+IF('Вводные'!$B$37="Денежная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компенсация",'Вводные'!$B$56*'Вводные'!$R$90*'Вводные'!$H$6,0)))*'Вводные'!$B$30,0)+IF(AND(YEAR(EI$3)=YEAR($B$7),MONTH(EI$3)=MONTH($B$7),$B$5=1),'Вводные'!$B$26*'Вводные'!$V$90*'Вводные'!$B$30,0)</x:f>
      </x:c>
      <x:c r="EJ57" s="117">
        <x:f>IF(AND(YEAR(EJ$3)=YEAR($B$6),MONTH(EJ$3)=MONTH($B$6),$B$5=1),('CAPEX'!$B$82+'CAPEX'!$B$85+'CAPEX'!$B$86+IF('Вводные'!$B$37="Денежная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компенсация",'Вводные'!$B$56*'Вводные'!$R$90*'Вводные'!$H$6,0)))*'Вводные'!$B$30,0)+IF(AND(YEAR(EJ$3)=YEAR($B$7),MONTH(EJ$3)=MONTH($B$7),$B$5=1),'Вводные'!$B$26*'Вводные'!$V$90*'Вводные'!$B$30,0)</x:f>
      </x:c>
      <x:c r="EK57" s="117">
        <x:f>IF(AND(YEAR(EK$3)=YEAR($B$6),MONTH(EK$3)=MONTH($B$6),$B$5=1),('CAPEX'!$B$82+'CAPEX'!$B$85+'CAPEX'!$B$86+IF('Вводные'!$B$37="Денежная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компенсация",'Вводные'!$B$56*'Вводные'!$R$90*'Вводные'!$H$6,0)))*'Вводные'!$B$30,0)+IF(AND(YEAR(EK$3)=YEAR($B$7),MONTH(EK$3)=MONTH($B$7),$B$5=1),'Вводные'!$B$26*'Вводные'!$V$90*'Вводные'!$B$30,0)</x:f>
      </x:c>
      <x:c r="EL57" s="117">
        <x:f>IF(AND(YEAR(EL$3)=YEAR($B$6),MONTH(EL$3)=MONTH($B$6),$B$5=1),('CAPEX'!$B$82+'CAPEX'!$B$85+'CAPEX'!$B$86+IF('Вводные'!$B$37="Денежная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компенсация",'Вводные'!$B$56*'Вводные'!$R$90*'Вводные'!$H$6,0)))*'Вводные'!$B$30,0)+IF(AND(YEAR(EL$3)=YEAR($B$7),MONTH(EL$3)=MONTH($B$7),$B$5=1),'Вводные'!$B$26*'Вводные'!$V$90*'Вводные'!$B$30,0)</x:f>
      </x:c>
      <x:c r="EM57" s="117">
        <x:f>IF(AND(YEAR(EM$3)=YEAR($B$6),MONTH(EM$3)=MONTH($B$6),$B$5=1),('CAPEX'!$B$82+'CAPEX'!$B$85+'CAPEX'!$B$86+IF('Вводные'!$B$37="Денежная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компенсация",'Вводные'!$B$56*'Вводные'!$R$90*'Вводные'!$H$6,0)))*'Вводные'!$B$30,0)+IF(AND(YEAR(EM$3)=YEAR($B$7),MONTH(EM$3)=MONTH($B$7),$B$5=1),'Вводные'!$B$26*'Вводные'!$V$90*'Вводные'!$B$30,0)</x:f>
      </x:c>
      <x:c r="EN57" s="117">
        <x:f>IF(AND(YEAR(EN$3)=YEAR($B$6),MONTH(EN$3)=MONTH($B$6),$B$5=1),('CAPEX'!$B$82+'CAPEX'!$B$85+'CAPEX'!$B$86+IF('Вводные'!$B$37="Денежная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компенсация",'Вводные'!$B$56*'Вводные'!$R$90*'Вводные'!$H$6,0)))*'Вводные'!$B$30,0)+IF(AND(YEAR(EN$3)=YEAR($B$7),MONTH(EN$3)=MONTH($B$7),$B$5=1),'Вводные'!$B$26*'Вводные'!$V$90*'Вводные'!$B$30,0)</x:f>
      </x:c>
      <x:c r="EO57" s="117">
        <x:f>IF(AND(YEAR(EO$3)=YEAR($B$6),MONTH(EO$3)=MONTH($B$6),$B$5=1),('CAPEX'!$B$82+'CAPEX'!$B$85+'CAPEX'!$B$86+IF('Вводные'!$B$37="Денежная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компенсация",'Вводные'!$B$56*'Вводные'!$R$90*'Вводные'!$H$6,0)))*'Вводные'!$B$30,0)+IF(AND(YEAR(EO$3)=YEAR($B$7),MONTH(EO$3)=MONTH($B$7),$B$5=1),'Вводные'!$B$26*'Вводные'!$V$90*'Вводные'!$B$30,0)</x:f>
      </x:c>
      <x:c r="EP57" s="117">
        <x:f>IF(AND(YEAR(EP$3)=YEAR($B$6),MONTH(EP$3)=MONTH($B$6),$B$5=1),('CAPEX'!$B$82+'CAPEX'!$B$85+'CAPEX'!$B$86+IF('Вводные'!$B$37="Денежная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компенсация",'Вводные'!$B$56*'Вводные'!$R$90*'Вводные'!$H$6,0)))*'Вводные'!$B$30,0)+IF(AND(YEAR(EP$3)=YEAR($B$7),MONTH(EP$3)=MONTH($B$7),$B$5=1),'Вводные'!$B$26*'Вводные'!$V$90*'Вводные'!$B$30,0)</x:f>
      </x:c>
      <x:c r="EQ57" s="117">
        <x:f>IF(AND(YEAR(EQ$3)=YEAR($B$6),MONTH(EQ$3)=MONTH($B$6),$B$5=1),('CAPEX'!$B$82+'CAPEX'!$B$85+'CAPEX'!$B$86+IF('Вводные'!$B$37="Денежная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компенсация",'Вводные'!$B$56*'Вводные'!$R$90*'Вводные'!$H$6,0)))*'Вводные'!$B$30,0)+IF(AND(YEAR(EQ$3)=YEAR($B$7),MONTH(EQ$3)=MONTH($B$7),$B$5=1),'Вводные'!$B$26*'Вводные'!$V$90*'Вводные'!$B$30,0)</x:f>
      </x:c>
      <x:c r="ER57" s="117">
        <x:f>IF(AND(YEAR(ER$3)=YEAR($B$6),MONTH(ER$3)=MONTH($B$6),$B$5=1),('CAPEX'!$B$82+'CAPEX'!$B$85+'CAPEX'!$B$86+IF('Вводные'!$B$37="Денежная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компенсация",'Вводные'!$B$56*'Вводные'!$R$90*'Вводные'!$H$6,0)))*'Вводные'!$B$30,0)+IF(AND(YEAR(ER$3)=YEAR($B$7),MONTH(ER$3)=MONTH($B$7),$B$5=1),'Вводные'!$B$26*'Вводные'!$V$90*'Вводные'!$B$30,0)</x:f>
      </x:c>
      <x:c r="ES57" s="117">
        <x:f>IF(AND(YEAR(ES$3)=YEAR($B$6),MONTH(ES$3)=MONTH($B$6),$B$5=1),('CAPEX'!$B$82+'CAPEX'!$B$85+'CAPEX'!$B$86+IF('Вводные'!$B$37="Денежная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компенсация",'Вводные'!$B$56*'Вводные'!$R$90*'Вводные'!$H$6,0)))*'Вводные'!$B$30,0)+IF(AND(YEAR(ES$3)=YEAR($B$7),MONTH(ES$3)=MONTH($B$7),$B$5=1),'Вводные'!$B$26*'Вводные'!$V$90*'Вводные'!$B$30,0)</x:f>
      </x:c>
      <x:c r="ET57" s="117">
        <x:f>IF(AND(YEAR(ET$3)=YEAR($B$6),MONTH(ET$3)=MONTH($B$6),$B$5=1),('CAPEX'!$B$82+'CAPEX'!$B$85+'CAPEX'!$B$86+IF('Вводные'!$B$37="Денежная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компенсация",'Вводные'!$B$56*'Вводные'!$R$90*'Вводные'!$H$6,0)))*'Вводные'!$B$30,0)+IF(AND(YEAR(ET$3)=YEAR($B$7),MONTH(ET$3)=MONTH($B$7),$B$5=1),'Вводные'!$B$26*'Вводные'!$V$90*'Вводные'!$B$30,0)</x:f>
      </x:c>
      <x:c r="EU57" s="117">
        <x:f>IF(AND(YEAR(EU$3)=YEAR($B$6),MONTH(EU$3)=MONTH($B$6),$B$5=1),('CAPEX'!$B$82+'CAPEX'!$B$85+'CAPEX'!$B$86+IF('Вводные'!$B$37="Денежная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компенсация",'Вводные'!$B$56*'Вводные'!$R$90*'Вводные'!$H$6,0)))*'Вводные'!$B$30,0)+IF(AND(YEAR(EU$3)=YEAR($B$7),MONTH(EU$3)=MONTH($B$7),$B$5=1),'Вводные'!$B$26*'Вводные'!$V$90*'Вводные'!$B$30,0)</x:f>
      </x:c>
      <x:c r="EV57" s="117">
        <x:f>IF(AND(YEAR(EV$3)=YEAR($B$6),MONTH(EV$3)=MONTH($B$6),$B$5=1),('CAPEX'!$B$82+'CAPEX'!$B$85+'CAPEX'!$B$86+IF('Вводные'!$B$37="Денежная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компенсация",'Вводные'!$B$56*'Вводные'!$R$90*'Вводные'!$H$6,0)))*'Вводные'!$B$30,0)+IF(AND(YEAR(EV$3)=YEAR($B$7),MONTH(EV$3)=MONTH($B$7),$B$5=1),'Вводные'!$B$26*'Вводные'!$V$90*'Вводные'!$B$30,0)</x:f>
      </x:c>
      <x:c r="EW57" s="117">
        <x:f>IF(AND(YEAR(EW$3)=YEAR($B$6),MONTH(EW$3)=MONTH($B$6),$B$5=1),('CAPEX'!$B$82+'CAPEX'!$B$85+'CAPEX'!$B$86+IF('Вводные'!$B$37="Денежная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компенсация",'Вводные'!$B$56*'Вводные'!$R$90*'Вводные'!$H$6,0)))*'Вводные'!$B$30,0)+IF(AND(YEAR(EW$3)=YEAR($B$7),MONTH(EW$3)=MONTH($B$7),$B$5=1),'Вводные'!$B$26*'Вводные'!$V$90*'Вводные'!$B$30,0)</x:f>
      </x:c>
      <x:c r="EX57" s="117">
        <x:f>IF(AND(YEAR(EX$3)=YEAR($B$6),MONTH(EX$3)=MONTH($B$6),$B$5=1),('CAPEX'!$B$82+'CAPEX'!$B$85+'CAPEX'!$B$86+IF('Вводные'!$B$37="Денежная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компенсация",'Вводные'!$B$56*'Вводные'!$R$90*'Вводные'!$H$6,0)))*'Вводные'!$B$30,0)+IF(AND(YEAR(EX$3)=YEAR($B$7),MONTH(EX$3)=MONTH($B$7),$B$5=1),'Вводные'!$B$26*'Вводные'!$V$90*'Вводные'!$B$30,0)</x:f>
      </x:c>
      <x:c r="EY57" s="117">
        <x:f>IF(AND(YEAR(EY$3)=YEAR($B$6),MONTH(EY$3)=MONTH($B$6),$B$5=1),('CAPEX'!$B$82+'CAPEX'!$B$85+'CAPEX'!$B$86+IF('Вводные'!$B$37="Денежная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компенсация",'Вводные'!$B$56*'Вводные'!$R$90*'Вводные'!$H$6,0)))*'Вводные'!$B$30,0)+IF(AND(YEAR(EY$3)=YEAR($B$7),MONTH(EY$3)=MONTH($B$7),$B$5=1),'Вводные'!$B$26*'Вводные'!$V$90*'Вводные'!$B$30,0)</x:f>
      </x:c>
      <x:c r="EZ57" s="117">
        <x:f>IF(AND(YEAR(EZ$3)=YEAR($B$6),MONTH(EZ$3)=MONTH($B$6),$B$5=1),('CAPEX'!$B$82+'CAPEX'!$B$85+'CAPEX'!$B$86+IF('Вводные'!$B$37="Денежная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компенсация",'Вводные'!$B$56*'Вводные'!$R$90*'Вводные'!$H$6,0)))*'Вводные'!$B$30,0)+IF(AND(YEAR(EZ$3)=YEAR($B$7),MONTH(EZ$3)=MONTH($B$7),$B$5=1),'Вводные'!$B$26*'Вводные'!$V$90*'Вводные'!$B$30,0)</x:f>
      </x:c>
      <x:c r="FA57" s="117">
        <x:f>IF(AND(YEAR(FA$3)=YEAR($B$6),MONTH(FA$3)=MONTH($B$6),$B$5=1),('CAPEX'!$B$82+'CAPEX'!$B$85+'CAPEX'!$B$86+IF('Вводные'!$B$37="Денежная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компенсация",'Вводные'!$B$56*'Вводные'!$R$90*'Вводные'!$H$6,0)))*'Вводные'!$B$30,0)+IF(AND(YEAR(FA$3)=YEAR($B$7),MONTH(FA$3)=MONTH($B$7),$B$5=1),'Вводные'!$B$26*'Вводные'!$V$90*'Вводные'!$B$30,0)</x:f>
      </x:c>
      <x:c r="FB57" s="117">
        <x:f>IF(AND(YEAR(FB$3)=YEAR($B$6),MONTH(FB$3)=MONTH($B$6),$B$5=1),('CAPEX'!$B$82+'CAPEX'!$B$85+'CAPEX'!$B$86+IF('Вводные'!$B$37="Денежная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компенсация",'Вводные'!$B$56*'Вводные'!$R$90*'Вводные'!$H$6,0)))*'Вводные'!$B$30,0)+IF(AND(YEAR(FB$3)=YEAR($B$7),MONTH(FB$3)=MONTH($B$7),$B$5=1),'Вводные'!$B$26*'Вводные'!$V$90*'Вводные'!$B$30,0)</x:f>
      </x:c>
      <x:c r="FC57" s="117">
        <x:f>IF(AND(YEAR(FC$3)=YEAR($B$6),MONTH(FC$3)=MONTH($B$6),$B$5=1),('CAPEX'!$B$82+'CAPEX'!$B$85+'CAPEX'!$B$86+IF('Вводные'!$B$37="Денежная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компенсация",'Вводные'!$B$56*'Вводные'!$R$90*'Вводные'!$H$6,0)))*'Вводные'!$B$30,0)+IF(AND(YEAR(FC$3)=YEAR($B$7),MONTH(FC$3)=MONTH($B$7),$B$5=1),'Вводные'!$B$26*'Вводные'!$V$90*'Вводные'!$B$30,0)</x:f>
      </x:c>
      <x:c r="FD57" s="117">
        <x:f>IF(AND(YEAR(FD$3)=YEAR($B$6),MONTH(FD$3)=MONTH($B$6),$B$5=1),('CAPEX'!$B$82+'CAPEX'!$B$85+'CAPEX'!$B$86+IF('Вводные'!$B$37="Денежная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компенсация",'Вводные'!$B$56*'Вводные'!$R$90*'Вводные'!$H$6,0)))*'Вводные'!$B$30,0)+IF(AND(YEAR(FD$3)=YEAR($B$7),MONTH(FD$3)=MONTH($B$7),$B$5=1),'Вводные'!$B$26*'Вводные'!$V$90*'Вводные'!$B$30,0)</x:f>
      </x:c>
      <x:c r="FE57" s="117">
        <x:f>IF(AND(YEAR(FE$3)=YEAR($B$6),MONTH(FE$3)=MONTH($B$6),$B$5=1),('CAPEX'!$B$82+'CAPEX'!$B$85+'CAPEX'!$B$86+IF('Вводные'!$B$37="Денежная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компенсация",'Вводные'!$B$56*'Вводные'!$R$90*'Вводные'!$H$6,0)))*'Вводные'!$B$30,0)+IF(AND(YEAR(FE$3)=YEAR($B$7),MONTH(FE$3)=MONTH($B$7),$B$5=1),'Вводные'!$B$26*'Вводные'!$V$90*'Вводные'!$B$30,0)</x:f>
      </x:c>
      <x:c r="FF57" s="117">
        <x:f>IF(AND(YEAR(FF$3)=YEAR($B$6),MONTH(FF$3)=MONTH($B$6),$B$5=1),('CAPEX'!$B$82+'CAPEX'!$B$85+'CAPEX'!$B$86+IF('Вводные'!$B$37="Денежная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компенсация",'Вводные'!$B$56*'Вводные'!$R$90*'Вводные'!$H$6,0)))*'Вводные'!$B$30,0)+IF(AND(YEAR(FF$3)=YEAR($B$7),MONTH(FF$3)=MONTH($B$7),$B$5=1),'Вводные'!$B$26*'Вводные'!$V$90*'Вводные'!$B$30,0)</x:f>
      </x:c>
      <x:c r="FG57" s="117">
        <x:f>IF(AND(YEAR(FG$3)=YEAR($B$6),MONTH(FG$3)=MONTH($B$6),$B$5=1),('CAPEX'!$B$82+'CAPEX'!$B$85+'CAPEX'!$B$86+IF('Вводные'!$B$37="Денежная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компенсация",'Вводные'!$B$56*'Вводные'!$R$90*'Вводные'!$H$6,0)))*'Вводные'!$B$30,0)+IF(AND(YEAR(FG$3)=YEAR($B$7),MONTH(FG$3)=MONTH($B$7),$B$5=1),'Вводные'!$B$26*'Вводные'!$V$90*'Вводные'!$B$30,0)</x:f>
      </x:c>
      <x:c r="FH57" s="117">
        <x:f>IF(AND(YEAR(FH$3)=YEAR($B$6),MONTH(FH$3)=MONTH($B$6),$B$5=1),('CAPEX'!$B$82+'CAPEX'!$B$85+'CAPEX'!$B$86+IF('Вводные'!$B$37="Денежная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компенсация",'Вводные'!$B$56*'Вводные'!$R$90*'Вводные'!$H$6,0)))*'Вводные'!$B$30,0)+IF(AND(YEAR(FH$3)=YEAR($B$7),MONTH(FH$3)=MONTH($B$7),$B$5=1),'Вводные'!$B$26*'Вводные'!$V$90*'Вводные'!$B$30,0)</x:f>
      </x:c>
      <x:c r="FI57" s="117">
        <x:f>IF(AND(YEAR(FI$3)=YEAR($B$6),MONTH(FI$3)=MONTH($B$6),$B$5=1),('CAPEX'!$B$82+'CAPEX'!$B$85+'CAPEX'!$B$86+IF('Вводные'!$B$37="Денежная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компенсация",'Вводные'!$B$56*'Вводные'!$R$90*'Вводные'!$H$6,0)))*'Вводные'!$B$30,0)+IF(AND(YEAR(FI$3)=YEAR($B$7),MONTH(FI$3)=MONTH($B$7),$B$5=1),'Вводные'!$B$26*'Вводные'!$V$90*'Вводные'!$B$30,0)</x:f>
      </x:c>
      <x:c r="FJ57" s="117">
        <x:f>IF(AND(YEAR(FJ$3)=YEAR($B$6),MONTH(FJ$3)=MONTH($B$6),$B$5=1),('CAPEX'!$B$82+'CAPEX'!$B$85+'CAPEX'!$B$86+IF('Вводные'!$B$37="Денежная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компенсация",'Вводные'!$B$56*'Вводные'!$R$90*'Вводные'!$H$6,0)))*'Вводные'!$B$30,0)+IF(AND(YEAR(FJ$3)=YEAR($B$7),MONTH(FJ$3)=MONTH($B$7),$B$5=1),'Вводные'!$B$26*'Вводные'!$V$90*'Вводные'!$B$30,0)</x:f>
      </x:c>
      <x:c r="FK57" s="117">
        <x:f>IF(AND(YEAR(FK$3)=YEAR($B$6),MONTH(FK$3)=MONTH($B$6),$B$5=1),('CAPEX'!$B$82+'CAPEX'!$B$85+'CAPEX'!$B$86+IF('Вводные'!$B$37="Денежная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компенсация",'Вводные'!$B$56*'Вводные'!$R$90*'Вводные'!$H$6,0)))*'Вводные'!$B$30,0)+IF(AND(YEAR(FK$3)=YEAR($B$7),MONTH(FK$3)=MONTH($B$7),$B$5=1),'Вводные'!$B$26*'Вводные'!$V$90*'Вводные'!$B$30,0)</x:f>
      </x:c>
      <x:c r="FL57" s="117">
        <x:f>IF(AND(YEAR(FL$3)=YEAR($B$6),MONTH(FL$3)=MONTH($B$6),$B$5=1),('CAPEX'!$B$82+'CAPEX'!$B$85+'CAPEX'!$B$86+IF('Вводные'!$B$37="Денежная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компенсация",'Вводные'!$B$56*'Вводные'!$R$90*'Вводные'!$H$6,0)))*'Вводные'!$B$30,0)+IF(AND(YEAR(FL$3)=YEAR($B$7),MONTH(FL$3)=MONTH($B$7),$B$5=1),'Вводные'!$B$26*'Вводные'!$V$90*'Вводные'!$B$30,0)</x:f>
      </x:c>
      <x:c r="FM57" s="117">
        <x:f>IF(AND(YEAR(FM$3)=YEAR($B$6),MONTH(FM$3)=MONTH($B$6),$B$5=1),('CAPEX'!$B$82+'CAPEX'!$B$85+'CAPEX'!$B$86+IF('Вводные'!$B$37="Денежная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компенсация",'Вводные'!$B$56*'Вводные'!$R$90*'Вводные'!$H$6,0)))*'Вводные'!$B$30,0)+IF(AND(YEAR(FM$3)=YEAR($B$7),MONTH(FM$3)=MONTH($B$7),$B$5=1),'Вводные'!$B$26*'Вводные'!$V$90*'Вводные'!$B$30,0)</x:f>
      </x:c>
      <x:c r="FN57" s="117">
        <x:f>IF(AND(YEAR(FN$3)=YEAR($B$6),MONTH(FN$3)=MONTH($B$6),$B$5=1),('CAPEX'!$B$82+'CAPEX'!$B$85+'CAPEX'!$B$86+IF('Вводные'!$B$37="Денежная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компенсация",'Вводные'!$B$56*'Вводные'!$R$90*'Вводные'!$H$6,0)))*'Вводные'!$B$30,0)+IF(AND(YEAR(FN$3)=YEAR($B$7),MONTH(FN$3)=MONTH($B$7),$B$5=1),'Вводные'!$B$26*'Вводные'!$V$90*'Вводные'!$B$30,0)</x:f>
      </x:c>
      <x:c r="FO57" s="117">
        <x:f>IF(AND(YEAR(FO$3)=YEAR($B$6),MONTH(FO$3)=MONTH($B$6),$B$5=1),('CAPEX'!$B$82+'CAPEX'!$B$85+'CAPEX'!$B$86+IF('Вводные'!$B$37="Денежная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компенсация",'Вводные'!$B$56*'Вводные'!$R$90*'Вводные'!$H$6,0)))*'Вводные'!$B$30,0)+IF(AND(YEAR(FO$3)=YEAR($B$7),MONTH(FO$3)=MONTH($B$7),$B$5=1),'Вводные'!$B$26*'Вводные'!$V$90*'Вводные'!$B$30,0)</x:f>
      </x:c>
      <x:c r="FP57" s="117">
        <x:f>IF(AND(YEAR(FP$3)=YEAR($B$6),MONTH(FP$3)=MONTH($B$6),$B$5=1),('CAPEX'!$B$82+'CAPEX'!$B$85+'CAPEX'!$B$86+IF('Вводные'!$B$37="Денежная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компенсация",'Вводные'!$B$56*'Вводные'!$R$90*'Вводные'!$H$6,0)))*'Вводные'!$B$30,0)+IF(AND(YEAR(FP$3)=YEAR($B$7),MONTH(FP$3)=MONTH($B$7),$B$5=1),'Вводные'!$B$26*'Вводные'!$V$90*'Вводные'!$B$30,0)</x:f>
      </x:c>
      <x:c r="FQ57" s="117">
        <x:f>IF(AND(YEAR(FQ$3)=YEAR($B$6),MONTH(FQ$3)=MONTH($B$6),$B$5=1),('CAPEX'!$B$82+'CAPEX'!$B$85+'CAPEX'!$B$86+IF('Вводные'!$B$37="Денежная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компенсация",'Вводные'!$B$56*'Вводные'!$R$90*'Вводные'!$H$6,0)))*'Вводные'!$B$30,0)+IF(AND(YEAR(FQ$3)=YEAR($B$7),MONTH(FQ$3)=MONTH($B$7),$B$5=1),'Вводные'!$B$26*'Вводные'!$V$90*'Вводные'!$B$30,0)</x:f>
      </x:c>
      <x:c r="FR57" s="117">
        <x:f>IF(AND(YEAR(FR$3)=YEAR($B$6),MONTH(FR$3)=MONTH($B$6),$B$5=1),('CAPEX'!$B$82+'CAPEX'!$B$85+'CAPEX'!$B$86+IF('Вводные'!$B$37="Денежная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компенсация",'Вводные'!$B$56*'Вводные'!$R$90*'Вводные'!$H$6,0)))*'Вводные'!$B$30,0)+IF(AND(YEAR(FR$3)=YEAR($B$7),MONTH(FR$3)=MONTH($B$7),$B$5=1),'Вводные'!$B$26*'Вводные'!$V$90*'Вводные'!$B$30,0)</x:f>
      </x:c>
      <x:c r="FS57" s="117">
        <x:f>IF(AND(YEAR(FS$3)=YEAR($B$6),MONTH(FS$3)=MONTH($B$6),$B$5=1),('CAPEX'!$B$82+'CAPEX'!$B$85+'CAPEX'!$B$86+IF('Вводные'!$B$37="Денежная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компенсация",'Вводные'!$B$56*'Вводные'!$R$90*'Вводные'!$H$6,0)))*'Вводные'!$B$30,0)+IF(AND(YEAR(FS$3)=YEAR($B$7),MONTH(FS$3)=MONTH($B$7),$B$5=1),'Вводные'!$B$26*'Вводные'!$V$90*'Вводные'!$B$30,0)</x:f>
      </x:c>
      <x:c r="FT57" s="117">
        <x:f>IF(AND(YEAR(FT$3)=YEAR($B$6),MONTH(FT$3)=MONTH($B$6),$B$5=1),('CAPEX'!$B$82+'CAPEX'!$B$85+'CAPEX'!$B$86+IF('Вводные'!$B$37="Денежная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компенсация",'Вводные'!$B$56*'Вводные'!$R$90*'Вводные'!$H$6,0)))*'Вводные'!$B$30,0)+IF(AND(YEAR(FT$3)=YEAR($B$7),MONTH(FT$3)=MONTH($B$7),$B$5=1),'Вводные'!$B$26*'Вводные'!$V$90*'Вводные'!$B$30,0)</x:f>
      </x:c>
      <x:c r="FU57" s="117">
        <x:f>IF(AND(YEAR(FU$3)=YEAR($B$6),MONTH(FU$3)=MONTH($B$6),$B$5=1),('CAPEX'!$B$82+'CAPEX'!$B$85+'CAPEX'!$B$86+IF('Вводные'!$B$37="Денежная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компенсация",'Вводные'!$B$56*'Вводные'!$R$90*'Вводные'!$H$6,0)))*'Вводные'!$B$30,0)+IF(AND(YEAR(FU$3)=YEAR($B$7),MONTH(FU$3)=MONTH($B$7),$B$5=1),'Вводные'!$B$26*'Вводные'!$V$90*'Вводные'!$B$30,0)</x:f>
      </x:c>
      <x:c r="FV57" s="117">
        <x:f>IF(AND(YEAR(FV$3)=YEAR($B$6),MONTH(FV$3)=MONTH($B$6),$B$5=1),('CAPEX'!$B$82+'CAPEX'!$B$85+'CAPEX'!$B$86+IF('Вводные'!$B$37="Денежная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компенсация",'Вводные'!$B$56*'Вводные'!$R$90*'Вводные'!$H$6,0)))*'Вводные'!$B$30,0)+IF(AND(YEAR(FV$3)=YEAR($B$7),MONTH(FV$3)=MONTH($B$7),$B$5=1),'Вводные'!$B$26*'Вводные'!$V$90*'Вводные'!$B$30,0)</x:f>
      </x:c>
      <x:c r="FW57" s="117">
        <x:f>IF(AND(YEAR(FW$3)=YEAR($B$6),MONTH(FW$3)=MONTH($B$6),$B$5=1),('CAPEX'!$B$82+'CAPEX'!$B$85+'CAPEX'!$B$86+IF('Вводные'!$B$37="Денежная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компенсация",'Вводные'!$B$56*'Вводные'!$R$90*'Вводные'!$H$6,0)))*'Вводные'!$B$30,0)+IF(AND(YEAR(FW$3)=YEAR($B$7),MONTH(FW$3)=MONTH($B$7),$B$5=1),'Вводные'!$B$26*'Вводные'!$V$90*'Вводные'!$B$30,0)</x:f>
      </x:c>
      <x:c r="FX57" s="117">
        <x:f>IF(AND(YEAR(FX$3)=YEAR($B$6),MONTH(FX$3)=MONTH($B$6),$B$5=1),('CAPEX'!$B$82+'CAPEX'!$B$85+'CAPEX'!$B$86+IF('Вводные'!$B$37="Денежная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компенсация",'Вводные'!$B$56*'Вводные'!$R$90*'Вводные'!$H$6,0)))*'Вводные'!$B$30,0)+IF(AND(YEAR(FX$3)=YEAR($B$7),MONTH(FX$3)=MONTH($B$7),$B$5=1),'Вводные'!$B$26*'Вводные'!$V$90*'Вводные'!$B$30,0)</x:f>
      </x:c>
      <x:c r="FY57" s="117">
        <x:f>IF(AND(YEAR(FY$3)=YEAR($B$6),MONTH(FY$3)=MONTH($B$6),$B$5=1),('CAPEX'!$B$82+'CAPEX'!$B$85+'CAPEX'!$B$86+IF('Вводные'!$B$37="Денежная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компенсация",'Вводные'!$B$56*'Вводные'!$R$90*'Вводные'!$H$6,0)))*'Вводные'!$B$30,0)+IF(AND(YEAR(FY$3)=YEAR($B$7),MONTH(FY$3)=MONTH($B$7),$B$5=1),'Вводные'!$B$26*'Вводные'!$V$90*'Вводные'!$B$30,0)</x:f>
      </x:c>
      <x:c r="FZ57" s="117">
        <x:f>IF(AND(YEAR(FZ$3)=YEAR($B$6),MONTH(FZ$3)=MONTH($B$6),$B$5=1),('CAPEX'!$B$82+'CAPEX'!$B$85+'CAPEX'!$B$86+IF('Вводные'!$B$37="Денежная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компенсация",'Вводные'!$B$56*'Вводные'!$R$90*'Вводные'!$H$6,0)))*'Вводные'!$B$30,0)+IF(AND(YEAR(FZ$3)=YEAR($B$7),MONTH(FZ$3)=MONTH($B$7),$B$5=1),'Вводные'!$B$26*'Вводные'!$V$90*'Вводные'!$B$30,0)</x:f>
      </x:c>
      <x:c r="GA57" s="117">
        <x:f>IF(AND(YEAR(GA$3)=YEAR($B$6),MONTH(GA$3)=MONTH($B$6),$B$5=1),('CAPEX'!$B$82+'CAPEX'!$B$85+'CAPEX'!$B$86+IF('Вводные'!$B$37="Денежная компенсация",'CAPEX'!$B$99,IF('Вводные'!$B$37="Строительство и компенсация",'Вводные'!$B$56*'Вводные'!$R$90*'Вводные'!$H$6,0)))*'Вводные'!$B$30,0)+IF(AND(YEAR(GA$3)=YEAR($B$7),MONTH(GA$3)=MONTH($B$7),$B$5=1),'Вводные'!$B$26*'Вводные'!$V$90*'Вводные'!$B$30,0)</x:f>
      </x:c>
    </x:row>
    <x:row r="58">
      <x:c r="A58" t="inlineStr">
        <x:is>
          <x:t/>
        </x:is>
      </x:c>
      <x:c r="B58" s="126"/>
      <x:c r="C58" s="126" t="str">
        <x:v>×</x:v>
      </x:c>
      <x:c r="D58" s="125"/>
      <x:c r="E58" s="125"/>
      <x:c r="F58" s="125"/>
      <x:c r="G58" s="125"/>
      <x:c r="H58" s="125"/>
      <x:c r="I58" s="125"/>
      <x:c r="J58" s="125"/>
      <x:c r="K58" s="125"/>
      <x:c r="L58" s="125"/>
      <x:c r="M58" s="125"/>
      <x:c r="N58" s="125"/>
      <x:c r="O58" s="125"/>
      <x:c r="P58" s="125"/>
      <x:c r="Q58" s="125"/>
      <x:c r="R58" s="125"/>
      <x:c r="S58" s="125"/>
      <x:c r="T58" s="125"/>
      <x:c r="U58" s="125"/>
      <x:c r="V58" s="125"/>
      <x:c r="W58" s="125"/>
      <x:c r="X58" s="125"/>
      <x:c r="Y58" s="125"/>
      <x:c r="Z58" s="125"/>
      <x:c r="AA58" s="125"/>
      <x:c r="AB58" s="125"/>
      <x:c r="AC58" s="125"/>
      <x:c r="AD58" s="125"/>
      <x:c r="AE58" s="125"/>
      <x:c r="AF58" s="125"/>
      <x:c r="AG58" s="125"/>
      <x:c r="AH58" s="125"/>
      <x:c r="AI58" s="125"/>
      <x:c r="AJ58" s="125"/>
      <x:c r="AK58" s="125"/>
      <x:c r="AL58" s="125"/>
      <x:c r="AM58" s="125"/>
      <x:c r="AN58" s="125"/>
      <x:c r="AO58" s="125"/>
      <x:c r="AP58" s="125"/>
      <x:c r="AQ58" s="125"/>
      <x:c r="AR58" s="125"/>
      <x:c r="AS58" s="125"/>
      <x:c r="AT58" s="125"/>
      <x:c r="AU58" s="125"/>
      <x:c r="AV58" s="125"/>
      <x:c r="AW58" s="125"/>
      <x:c r="AX58" s="125"/>
      <x:c r="AY58" s="125"/>
      <x:c r="AZ58" s="125"/>
      <x:c r="BA58" s="125"/>
      <x:c r="BB58" s="125"/>
      <x:c r="BC58" s="125"/>
      <x:c r="BD58" s="125"/>
      <x:c r="BE58" s="125"/>
      <x:c r="BF58" s="125"/>
      <x:c r="BG58" s="125"/>
      <x:c r="BH58" s="125"/>
      <x:c r="BI58" s="125"/>
      <x:c r="BJ58" s="125"/>
      <x:c r="BK58" s="125"/>
      <x:c r="BL58" s="125"/>
      <x:c r="BM58" s="125"/>
      <x:c r="BN58" s="125"/>
      <x:c r="BO58" s="125"/>
      <x:c r="BP58" s="125"/>
      <x:c r="BQ58" s="125"/>
      <x:c r="BR58" s="125"/>
      <x:c r="BS58" s="125"/>
      <x:c r="BT58" s="125"/>
      <x:c r="BU58" s="125"/>
      <x:c r="BV58" s="125"/>
      <x:c r="BW58" s="125"/>
      <x:c r="BX58" s="125"/>
      <x:c r="BY58" s="125"/>
      <x:c r="BZ58" s="125"/>
      <x:c r="CA58" s="125"/>
      <x:c r="CB58" s="125"/>
      <x:c r="CC58" s="125"/>
      <x:c r="CD58" s="125"/>
      <x:c r="CE58" s="125"/>
      <x:c r="CF58" s="125"/>
      <x:c r="CG58" s="125"/>
      <x:c r="CH58" s="125"/>
      <x:c r="CI58" s="125"/>
      <x:c r="CJ58" s="125"/>
      <x:c r="CK58" s="125"/>
      <x:c r="CL58" s="125"/>
      <x:c r="CM58" s="125"/>
      <x:c r="CN58" s="125"/>
      <x:c r="CO58" s="125"/>
      <x:c r="CP58" s="125"/>
      <x:c r="CQ58" s="125"/>
      <x:c r="CR58" s="125"/>
      <x:c r="CS58" s="125"/>
      <x:c r="CT58" s="125"/>
      <x:c r="CU58" s="125"/>
      <x:c r="CV58" s="125"/>
      <x:c r="CW58" s="125"/>
      <x:c r="CX58" s="125"/>
      <x:c r="CY58" s="125"/>
      <x:c r="CZ58" s="125"/>
      <x:c r="DA58" s="125"/>
      <x:c r="DB58" s="125"/>
      <x:c r="DC58" s="125"/>
      <x:c r="DD58" s="125"/>
      <x:c r="DE58" s="125"/>
      <x:c r="DF58" s="125"/>
      <x:c r="DG58" s="125"/>
      <x:c r="DH58" s="125"/>
      <x:c r="DI58" s="125"/>
      <x:c r="DJ58" s="125"/>
      <x:c r="DK58" s="125"/>
      <x:c r="DL58" s="125"/>
      <x:c r="DM58" s="125"/>
      <x:c r="DN58" s="125"/>
      <x:c r="DO58" s="125"/>
      <x:c r="DP58" s="125"/>
      <x:c r="DQ58" s="125"/>
      <x:c r="DR58" s="125"/>
      <x:c r="DS58" s="125"/>
      <x:c r="DT58" s="125"/>
      <x:c r="DU58" s="125"/>
      <x:c r="DV58" s="125"/>
      <x:c r="DW58" s="125"/>
      <x:c r="DX58" s="125"/>
      <x:c r="DY58" s="125"/>
      <x:c r="DZ58" s="125"/>
      <x:c r="EA58" s="125"/>
      <x:c r="EB58" s="125"/>
      <x:c r="EC58" s="125"/>
      <x:c r="ED58" s="125"/>
      <x:c r="EE58" s="125"/>
      <x:c r="EF58" s="125"/>
      <x:c r="EG58" s="125"/>
      <x:c r="EH58" s="125"/>
      <x:c r="EI58" s="125"/>
      <x:c r="EJ58" s="125"/>
      <x:c r="EK58" s="125"/>
      <x:c r="EL58" s="125"/>
      <x:c r="EM58" s="125"/>
      <x:c r="EN58" s="125"/>
      <x:c r="EO58" s="125"/>
      <x:c r="EP58" s="125"/>
      <x:c r="EQ58" s="125"/>
      <x:c r="ER58" s="125"/>
      <x:c r="ES58" s="125"/>
      <x:c r="ET58" s="125"/>
      <x:c r="EU58" s="125"/>
      <x:c r="EV58" s="125"/>
      <x:c r="EW58" s="125"/>
      <x:c r="EX58" s="125"/>
      <x:c r="EY58" s="125"/>
      <x:c r="EZ58" s="125"/>
      <x:c r="FA58" s="125"/>
      <x:c r="FB58" s="125"/>
      <x:c r="FC58" s="125"/>
      <x:c r="FD58" s="125"/>
      <x:c r="FE58" s="125"/>
      <x:c r="FF58" s="125"/>
      <x:c r="FG58" s="125"/>
      <x:c r="FH58" s="125"/>
      <x:c r="FI58" s="125"/>
      <x:c r="FJ58" s="125"/>
      <x:c r="FK58" s="125"/>
      <x:c r="FL58" s="125"/>
      <x:c r="FM58" s="125"/>
      <x:c r="FN58" s="125"/>
      <x:c r="FO58" s="125"/>
      <x:c r="FP58" s="125"/>
      <x:c r="FQ58" s="125"/>
      <x:c r="FR58" s="125"/>
      <x:c r="FS58" s="125"/>
      <x:c r="FT58" s="125"/>
      <x:c r="FU58" s="125"/>
      <x:c r="FV58" s="125"/>
      <x:c r="FW58" s="125"/>
      <x:c r="FX58" s="125"/>
      <x:c r="FY58" s="125"/>
      <x:c r="FZ58" s="125"/>
      <x:c r="GA58" s="125"/>
    </x:row>
    <x:row r="59">
      <x:c r="A59" t="str">
        <x:v>Собственные средства — остаток</x:v>
      </x:c>
      <x:c r="B59">
        <x:f>GA59</x:f>
      </x:c>
      <x:c r="C59" t="str">
        <x:v>млн ₽</x:v>
      </x:c>
      <x:c r="D59" s="117">
        <x:f>MAX(0,'Вводные'!$B$85*'Вводные'!$AI$90-D56)</x:f>
      </x:c>
      <x:c r="E59" s="117">
        <x:f>MAX(0,D59-E56)</x:f>
      </x:c>
      <x:c r="F59" s="117">
        <x:f>MAX(0,E59-F56)</x:f>
      </x:c>
      <x:c r="G59" s="117">
        <x:f>MAX(0,F59-G56)</x:f>
      </x:c>
      <x:c r="H59" s="117">
        <x:f>MAX(0,G59-H56)</x:f>
      </x:c>
      <x:c r="I59" s="117">
        <x:f>MAX(0,H59-I56)</x:f>
      </x:c>
      <x:c r="J59" s="117">
        <x:f>MAX(0,I59-J56)</x:f>
      </x:c>
      <x:c r="K59" s="117">
        <x:f>MAX(0,J59-K56)</x:f>
      </x:c>
      <x:c r="L59" s="117">
        <x:f>MAX(0,K59-L56)</x:f>
      </x:c>
      <x:c r="M59" s="117">
        <x:f>MAX(0,L59-M56)</x:f>
      </x:c>
      <x:c r="N59" s="117">
        <x:f>MAX(0,M59-N56)</x:f>
      </x:c>
      <x:c r="O59" s="117">
        <x:f>MAX(0,N59-O56)</x:f>
      </x:c>
      <x:c r="P59" s="117">
        <x:f>MAX(0,O59-P56)</x:f>
      </x:c>
      <x:c r="Q59" s="117">
        <x:f>MAX(0,P59-Q56)</x:f>
      </x:c>
      <x:c r="R59" s="117">
        <x:f>MAX(0,Q59-R56)</x:f>
      </x:c>
      <x:c r="S59" s="117">
        <x:f>MAX(0,R59-S56)</x:f>
      </x:c>
      <x:c r="T59" s="117">
        <x:f>MAX(0,S59-T56)</x:f>
      </x:c>
      <x:c r="U59" s="117">
        <x:f>MAX(0,T59-U56)</x:f>
      </x:c>
      <x:c r="V59" s="117">
        <x:f>MAX(0,U59-V56)</x:f>
      </x:c>
      <x:c r="W59" s="117">
        <x:f>MAX(0,V59-W56)</x:f>
      </x:c>
      <x:c r="X59" s="117">
        <x:f>MAX(0,W59-X56)</x:f>
      </x:c>
      <x:c r="Y59" s="117">
        <x:f>MAX(0,X59-Y56)</x:f>
      </x:c>
      <x:c r="Z59" s="117">
        <x:f>MAX(0,Y59-Z56)</x:f>
      </x:c>
      <x:c r="AA59" s="117">
        <x:f>MAX(0,Z59-AA56)</x:f>
      </x:c>
      <x:c r="AB59" s="117">
        <x:f>MAX(0,AA59-AB56)</x:f>
      </x:c>
      <x:c r="AC59" s="117">
        <x:f>MAX(0,AB59-AC56)</x:f>
      </x:c>
      <x:c r="AD59" s="117">
        <x:f>MAX(0,AC59-AD56)</x:f>
      </x:c>
      <x:c r="AE59" s="117">
        <x:f>MAX(0,AD59-AE56)</x:f>
      </x:c>
      <x:c r="AF59" s="117">
        <x:f>MAX(0,AE59-AF56)</x:f>
      </x:c>
      <x:c r="AG59" s="117">
        <x:f>MAX(0,AF59-AG56)</x:f>
      </x:c>
      <x:c r="AH59" s="117">
        <x:f>MAX(0,AG59-AH56)</x:f>
      </x:c>
      <x:c r="AI59" s="117">
        <x:f>MAX(0,AH59-AI56)</x:f>
      </x:c>
      <x:c r="AJ59" s="117">
        <x:f>MAX(0,AI59-AJ56)</x:f>
      </x:c>
      <x:c r="AK59" s="117">
        <x:f>MAX(0,AJ59-AK56)</x:f>
      </x:c>
      <x:c r="AL59" s="117">
        <x:f>MAX(0,AK59-AL56)</x:f>
      </x:c>
      <x:c r="AM59" s="117">
        <x:f>MAX(0,AL59-AM56)</x:f>
      </x:c>
      <x:c r="AN59" s="117">
        <x:f>MAX(0,AM59-AN56)</x:f>
      </x:c>
      <x:c r="AO59" s="117">
        <x:f>MAX(0,AN59-AO56)</x:f>
      </x:c>
      <x:c r="AP59" s="117">
        <x:f>MAX(0,AO59-AP56)</x:f>
      </x:c>
      <x:c r="AQ59" s="117">
        <x:f>MAX(0,AP59-AQ56)</x:f>
      </x:c>
      <x:c r="AR59" s="117">
        <x:f>MAX(0,AQ59-AR56)</x:f>
      </x:c>
      <x:c r="AS59" s="117">
        <x:f>MAX(0,AR59-AS56)</x:f>
      </x:c>
      <x:c r="AT59" s="117">
        <x:f>MAX(0,AS59-AT56)</x:f>
      </x:c>
      <x:c r="AU59" s="117">
        <x:f>MAX(0,AT59-AU56)</x:f>
      </x:c>
      <x:c r="AV59" s="117">
        <x:f>MAX(0,AU59-AV56)</x:f>
      </x:c>
      <x:c r="AW59" s="117">
        <x:f>MAX(0,AV59-AW56)</x:f>
      </x:c>
      <x:c r="AX59" s="117">
        <x:f>MAX(0,AW59-AX56)</x:f>
      </x:c>
      <x:c r="AY59" s="117">
        <x:f>MAX(0,AX59-AY56)</x:f>
      </x:c>
      <x:c r="AZ59" s="117">
        <x:f>MAX(0,AY59-AZ56)</x:f>
      </x:c>
      <x:c r="BA59" s="117">
        <x:f>MAX(0,AZ59-BA56)</x:f>
      </x:c>
      <x:c r="BB59" s="117">
        <x:f>MAX(0,BA59-BB56)</x:f>
      </x:c>
      <x:c r="BC59" s="117">
        <x:f>MAX(0,BB59-BC56)</x:f>
      </x:c>
      <x:c r="BD59" s="117">
        <x:f>MAX(0,BC59-BD56)</x:f>
      </x:c>
      <x:c r="BE59" s="117">
        <x:f>MAX(0,BD59-BE56)</x:f>
      </x:c>
      <x:c r="BF59" s="117">
        <x:f>MAX(0,BE59-BF56)</x:f>
      </x:c>
      <x:c r="BG59" s="117">
        <x:f>MAX(0,BF59-BG56)</x:f>
      </x:c>
      <x:c r="BH59" s="117">
        <x:f>MAX(0,BG59-BH56)</x:f>
      </x:c>
      <x:c r="BI59" s="117">
        <x:f>MAX(0,BH59-BI56)</x:f>
      </x:c>
      <x:c r="BJ59" s="117">
        <x:f>MAX(0,BI59-BJ56)</x:f>
      </x:c>
      <x:c r="BK59" s="117">
        <x:f>MAX(0,BJ59-BK56)</x:f>
      </x:c>
      <x:c r="BL59" s="117">
        <x:f>MAX(0,BK59-BL56)</x:f>
      </x:c>
      <x:c r="BM59" s="117">
        <x:f>MAX(0,BL59-BM56)</x:f>
      </x:c>
      <x:c r="BN59" s="117">
        <x:f>MAX(0,BM59-BN56)</x:f>
      </x:c>
      <x:c r="BO59" s="117">
        <x:f>MAX(0,BN59-BO56)</x:f>
      </x:c>
      <x:c r="BP59" s="117">
        <x:f>MAX(0,BO59-BP56)</x:f>
      </x:c>
      <x:c r="BQ59" s="117">
        <x:f>MAX(0,BP59-BQ56)</x:f>
      </x:c>
      <x:c r="BR59" s="117">
        <x:f>MAX(0,BQ59-BR56)</x:f>
      </x:c>
      <x:c r="BS59" s="117">
        <x:f>MAX(0,BR59-BS56)</x:f>
      </x:c>
      <x:c r="BT59" s="117">
        <x:f>MAX(0,BS59-BT56)</x:f>
      </x:c>
      <x:c r="BU59" s="117">
        <x:f>MAX(0,BT59-BU56)</x:f>
      </x:c>
      <x:c r="BV59" s="117">
        <x:f>MAX(0,BU59-BV56)</x:f>
      </x:c>
      <x:c r="BW59" s="117">
        <x:f>MAX(0,BV59-BW56)</x:f>
      </x:c>
      <x:c r="BX59" s="117">
        <x:f>MAX(0,BW59-BX56)</x:f>
      </x:c>
      <x:c r="BY59" s="117">
        <x:f>MAX(0,BX59-BY56)</x:f>
      </x:c>
      <x:c r="BZ59" s="117">
        <x:f>MAX(0,BY59-BZ56)</x:f>
      </x:c>
      <x:c r="CA59" s="117">
        <x:f>MAX(0,BZ59-CA56)</x:f>
      </x:c>
      <x:c r="CB59" s="117">
        <x:f>MAX(0,CA59-CB56)</x:f>
      </x:c>
      <x:c r="CC59" s="117">
        <x:f>MAX(0,CB59-CC56)</x:f>
      </x:c>
      <x:c r="CD59" s="117">
        <x:f>MAX(0,CC59-CD56)</x:f>
      </x:c>
      <x:c r="CE59" s="117">
        <x:f>MAX(0,CD59-CE56)</x:f>
      </x:c>
      <x:c r="CF59" s="117">
        <x:f>MAX(0,CE59-CF56)</x:f>
      </x:c>
      <x:c r="CG59" s="117">
        <x:f>MAX(0,CF59-CG56)</x:f>
      </x:c>
      <x:c r="CH59" s="117">
        <x:f>MAX(0,CG59-CH56)</x:f>
      </x:c>
      <x:c r="CI59" s="117">
        <x:f>MAX(0,CH59-CI56)</x:f>
      </x:c>
      <x:c r="CJ59" s="117">
        <x:f>MAX(0,CI59-CJ56)</x:f>
      </x:c>
      <x:c r="CK59" s="117">
        <x:f>MAX(0,CJ59-CK56)</x:f>
      </x:c>
      <x:c r="CL59" s="117">
        <x:f>MAX(0,CK59-CL56)</x:f>
      </x:c>
      <x:c r="CM59" s="117">
        <x:f>MAX(0,CL59-CM56)</x:f>
      </x:c>
      <x:c r="CN59" s="117">
        <x:f>MAX(0,CM59-CN56)</x:f>
      </x:c>
      <x:c r="CO59" s="117">
        <x:f>MAX(0,CN59-CO56)</x:f>
      </x:c>
      <x:c r="CP59" s="117">
        <x:f>MAX(0,CO59-CP56)</x:f>
      </x:c>
      <x:c r="CQ59" s="117">
        <x:f>MAX(0,CP59-CQ56)</x:f>
      </x:c>
      <x:c r="CR59" s="117">
        <x:f>MAX(0,CQ59-CR56)</x:f>
      </x:c>
      <x:c r="CS59" s="117">
        <x:f>MAX(0,CR59-CS56)</x:f>
      </x:c>
      <x:c r="CT59" s="117">
        <x:f>MAX(0,CS59-CT56)</x:f>
      </x:c>
      <x:c r="CU59" s="117">
        <x:f>MAX(0,CT59-CU56)</x:f>
      </x:c>
      <x:c r="CV59" s="117">
        <x:f>MAX(0,CU59-CV56)</x:f>
      </x:c>
      <x:c r="CW59" s="117">
        <x:f>MAX(0,CV59-CW56)</x:f>
      </x:c>
      <x:c r="CX59" s="117">
        <x:f>MAX(0,CW59-CX56)</x:f>
      </x:c>
      <x:c r="CY59" s="117">
        <x:f>MAX(0,CX59-CY56)</x:f>
      </x:c>
      <x:c r="CZ59" s="117">
        <x:f>MAX(0,CY59-CZ56)</x:f>
      </x:c>
      <x:c r="DA59" s="117">
        <x:f>MAX(0,CZ59-DA56)</x:f>
      </x:c>
      <x:c r="DB59" s="117">
        <x:f>MAX(0,DA59-DB56)</x:f>
      </x:c>
      <x:c r="DC59" s="117">
        <x:f>MAX(0,DB59-DC56)</x:f>
      </x:c>
      <x:c r="DD59" s="117">
        <x:f>MAX(0,DC59-DD56)</x:f>
      </x:c>
      <x:c r="DE59" s="117">
        <x:f>MAX(0,DD59-DE56)</x:f>
      </x:c>
      <x:c r="DF59" s="117">
        <x:f>MAX(0,DE59-DF56)</x:f>
      </x:c>
      <x:c r="DG59" s="117">
        <x:f>MAX(0,DF59-DG56)</x:f>
      </x:c>
      <x:c r="DH59" s="117">
        <x:f>MAX(0,DG59-DH56)</x:f>
      </x:c>
      <x:c r="DI59" s="117">
        <x:f>MAX(0,DH59-DI56)</x:f>
      </x:c>
      <x:c r="DJ59" s="117">
        <x:f>MAX(0,DI59-DJ56)</x:f>
      </x:c>
      <x:c r="DK59" s="117">
        <x:f>MAX(0,DJ59-DK56)</x:f>
      </x:c>
      <x:c r="DL59" s="117">
        <x:f>MAX(0,DK59-DL56)</x:f>
      </x:c>
      <x:c r="DM59" s="117">
        <x:f>MAX(0,DL59-DM56)</x:f>
      </x:c>
      <x:c r="DN59" s="117">
        <x:f>MAX(0,DM59-DN56)</x:f>
      </x:c>
      <x:c r="DO59" s="117">
        <x:f>MAX(0,DN59-DO56)</x:f>
      </x:c>
      <x:c r="DP59" s="117">
        <x:f>MAX(0,DO59-DP56)</x:f>
      </x:c>
      <x:c r="DQ59" s="117">
        <x:f>MAX(0,DP59-DQ56)</x:f>
      </x:c>
      <x:c r="DR59" s="117">
        <x:f>MAX(0,DQ59-DR56)</x:f>
      </x:c>
      <x:c r="DS59" s="117">
        <x:f>MAX(0,DR59-DS56)</x:f>
      </x:c>
      <x:c r="DT59" s="117">
        <x:f>MAX(0,DS59-DT56)</x:f>
      </x:c>
      <x:c r="DU59" s="117">
        <x:f>MAX(0,DT59-DU56)</x:f>
      </x:c>
      <x:c r="DV59" s="117">
        <x:f>MAX(0,DU59-DV56)</x:f>
      </x:c>
      <x:c r="DW59" s="117">
        <x:f>MAX(0,DV59-DW56)</x:f>
      </x:c>
      <x:c r="DX59" s="117">
        <x:f>MAX(0,DW59-DX56)</x:f>
      </x:c>
      <x:c r="DY59" s="117">
        <x:f>MAX(0,DX59-DY56)</x:f>
      </x:c>
      <x:c r="DZ59" s="117">
        <x:f>MAX(0,DY59-DZ56)</x:f>
      </x:c>
      <x:c r="EA59" s="117">
        <x:f>MAX(0,DZ59-EA56)</x:f>
      </x:c>
      <x:c r="EB59" s="117">
        <x:f>MAX(0,EA59-EB56)</x:f>
      </x:c>
      <x:c r="EC59" s="117">
        <x:f>MAX(0,EB59-EC56)</x:f>
      </x:c>
      <x:c r="ED59" s="117">
        <x:f>MAX(0,EC59-ED56)</x:f>
      </x:c>
      <x:c r="EE59" s="117">
        <x:f>MAX(0,ED59-EE56)</x:f>
      </x:c>
      <x:c r="EF59" s="117">
        <x:f>MAX(0,EE59-EF56)</x:f>
      </x:c>
      <x:c r="EG59" s="117">
        <x:f>MAX(0,EF59-EG56)</x:f>
      </x:c>
      <x:c r="EH59" s="117">
        <x:f>MAX(0,EG59-EH56)</x:f>
      </x:c>
      <x:c r="EI59" s="117">
        <x:f>MAX(0,EH59-EI56)</x:f>
      </x:c>
      <x:c r="EJ59" s="117">
        <x:f>MAX(0,EI59-EJ56)</x:f>
      </x:c>
      <x:c r="EK59" s="117">
        <x:f>MAX(0,EJ59-EK56)</x:f>
      </x:c>
      <x:c r="EL59" s="117">
        <x:f>MAX(0,EK59-EL56)</x:f>
      </x:c>
      <x:c r="EM59" s="117">
        <x:f>MAX(0,EL59-EM56)</x:f>
      </x:c>
      <x:c r="EN59" s="117">
        <x:f>MAX(0,EM59-EN56)</x:f>
      </x:c>
      <x:c r="EO59" s="117">
        <x:f>MAX(0,EN59-EO56)</x:f>
      </x:c>
      <x:c r="EP59" s="117">
        <x:f>MAX(0,EO59-EP56)</x:f>
      </x:c>
      <x:c r="EQ59" s="117">
        <x:f>MAX(0,EP59-EQ56)</x:f>
      </x:c>
      <x:c r="ER59" s="117">
        <x:f>MAX(0,EQ59-ER56)</x:f>
      </x:c>
      <x:c r="ES59" s="117">
        <x:f>MAX(0,ER59-ES56)</x:f>
      </x:c>
      <x:c r="ET59" s="117">
        <x:f>MAX(0,ES59-ET56)</x:f>
      </x:c>
      <x:c r="EU59" s="117">
        <x:f>MAX(0,ET59-EU56)</x:f>
      </x:c>
      <x:c r="EV59" s="117">
        <x:f>MAX(0,EU59-EV56)</x:f>
      </x:c>
      <x:c r="EW59" s="117">
        <x:f>MAX(0,EV59-EW56)</x:f>
      </x:c>
      <x:c r="EX59" s="117">
        <x:f>MAX(0,EW59-EX56)</x:f>
      </x:c>
      <x:c r="EY59" s="117">
        <x:f>MAX(0,EX59-EY56)</x:f>
      </x:c>
      <x:c r="EZ59" s="117">
        <x:f>MAX(0,EY59-EZ56)</x:f>
      </x:c>
      <x:c r="FA59" s="117">
        <x:f>MAX(0,EZ59-FA56)</x:f>
      </x:c>
      <x:c r="FB59" s="117">
        <x:f>MAX(0,FA59-FB56)</x:f>
      </x:c>
      <x:c r="FC59" s="117">
        <x:f>MAX(0,FB59-FC56)</x:f>
      </x:c>
      <x:c r="FD59" s="117">
        <x:f>MAX(0,FC59-FD56)</x:f>
      </x:c>
      <x:c r="FE59" s="117">
        <x:f>MAX(0,FD59-FE56)</x:f>
      </x:c>
      <x:c r="FF59" s="117">
        <x:f>MAX(0,FE59-FF56)</x:f>
      </x:c>
      <x:c r="FG59" s="117">
        <x:f>MAX(0,FF59-FG56)</x:f>
      </x:c>
      <x:c r="FH59" s="117">
        <x:f>MAX(0,FG59-FH56)</x:f>
      </x:c>
      <x:c r="FI59" s="117">
        <x:f>MAX(0,FH59-FI56)</x:f>
      </x:c>
      <x:c r="FJ59" s="117">
        <x:f>MAX(0,FI59-FJ56)</x:f>
      </x:c>
      <x:c r="FK59" s="117">
        <x:f>MAX(0,FJ59-FK56)</x:f>
      </x:c>
      <x:c r="FL59" s="117">
        <x:f>MAX(0,FK59-FL56)</x:f>
      </x:c>
      <x:c r="FM59" s="117">
        <x:f>MAX(0,FL59-FM56)</x:f>
      </x:c>
      <x:c r="FN59" s="117">
        <x:f>MAX(0,FM59-FN56)</x:f>
      </x:c>
      <x:c r="FO59" s="117">
        <x:f>MAX(0,FN59-FO56)</x:f>
      </x:c>
      <x:c r="FP59" s="117">
        <x:f>MAX(0,FO59-FP56)</x:f>
      </x:c>
      <x:c r="FQ59" s="117">
        <x:f>MAX(0,FP59-FQ56)</x:f>
      </x:c>
      <x:c r="FR59" s="117">
        <x:f>MAX(0,FQ59-FR56)</x:f>
      </x:c>
      <x:c r="FS59" s="117">
        <x:f>MAX(0,FR59-FS56)</x:f>
      </x:c>
      <x:c r="FT59" s="117">
        <x:f>MAX(0,FS59-FT56)</x:f>
      </x:c>
      <x:c r="FU59" s="117">
        <x:f>MAX(0,FT59-FU56)</x:f>
      </x:c>
      <x:c r="FV59" s="117">
        <x:f>MAX(0,FU59-FV56)</x:f>
      </x:c>
      <x:c r="FW59" s="117">
        <x:f>MAX(0,FV59-FW56)</x:f>
      </x:c>
      <x:c r="FX59" s="117">
        <x:f>MAX(0,FW59-FX56)</x:f>
      </x:c>
      <x:c r="FY59" s="117">
        <x:f>MAX(0,FX59-FY56)</x:f>
      </x:c>
      <x:c r="FZ59" s="117">
        <x:f>MAX(0,FY59-FZ56)</x:f>
      </x:c>
      <x:c r="GA59" s="117">
        <x:f>MAX(0,FZ59-GA56)</x:f>
      </x:c>
    </x:row>
    <x:row r="60">
      <x:c r="A60" s="128" t="str">
        <x:v>CHECK: roll-forward БРИДЖ</x:v>
      </x:c>
      <x:c r="B60" s="128" t="n">
        <x:f>MAX(MAX(D60:GA60),-MIN(D60:GA60))</x:f>
      </x:c>
      <x:c r="C60" s="128" t="str">
        <x:v>млн ₽</x:v>
      </x:c>
      <x:c r="D60" s="118">
        <x:f>D36-(D30+D34-D35)</x:f>
      </x:c>
      <x:c r="E60" s="118">
        <x:f>E36-(E30+E34-E35)</x:f>
      </x:c>
      <x:c r="F60" s="118">
        <x:f>F36-(F30+F34-F35)</x:f>
      </x:c>
      <x:c r="G60" s="118">
        <x:f>G36-(G30+G34-G35)</x:f>
      </x:c>
      <x:c r="H60" s="118">
        <x:f>H36-(H30+H34-H35)</x:f>
      </x:c>
      <x:c r="I60" s="118">
        <x:f>I36-(I30+I34-I35)</x:f>
      </x:c>
      <x:c r="J60" s="118">
        <x:f>J36-(J30+J34-J35)</x:f>
      </x:c>
      <x:c r="K60" s="118">
        <x:f>K36-(K30+K34-K35)</x:f>
      </x:c>
      <x:c r="L60" s="118">
        <x:f>L36-(L30+L34-L35)</x:f>
      </x:c>
      <x:c r="M60" s="118">
        <x:f>M36-(M30+M34-M35)</x:f>
      </x:c>
      <x:c r="N60" s="118">
        <x:f>N36-(N30+N34-N35)</x:f>
      </x:c>
      <x:c r="O60" s="118">
        <x:f>O36-(O30+O34-O35)</x:f>
      </x:c>
      <x:c r="P60" s="118">
        <x:f>P36-(P30+P34-P35)</x:f>
      </x:c>
      <x:c r="Q60" s="118">
        <x:f>Q36-(Q30+Q34-Q35)</x:f>
      </x:c>
      <x:c r="R60" s="118">
        <x:f>R36-(R30+R34-R35)</x:f>
      </x:c>
      <x:c r="S60" s="118">
        <x:f>S36-(S30+S34-S35)</x:f>
      </x:c>
      <x:c r="T60" s="118">
        <x:f>T36-(T30+T34-T35)</x:f>
      </x:c>
      <x:c r="U60" s="118">
        <x:f>U36-(U30+U34-U35)</x:f>
      </x:c>
      <x:c r="V60" s="118">
        <x:f>V36-(V30+V34-V35)</x:f>
      </x:c>
      <x:c r="W60" s="118">
        <x:f>W36-(W30+W34-W35)</x:f>
      </x:c>
      <x:c r="X60" s="118">
        <x:f>X36-(X30+X34-X35)</x:f>
      </x:c>
      <x:c r="Y60" s="118">
        <x:f>Y36-(Y30+Y34-Y35)</x:f>
      </x:c>
      <x:c r="Z60" s="118">
        <x:f>Z36-(Z30+Z34-Z35)</x:f>
      </x:c>
      <x:c r="AA60" s="118">
        <x:f>AA36-(AA30+AA34-AA35)</x:f>
      </x:c>
      <x:c r="AB60" s="118">
        <x:f>AB36-(AB30+AB34-AB35)</x:f>
      </x:c>
      <x:c r="AC60" s="118">
        <x:f>AC36-(AC30+AC34-AC35)</x:f>
      </x:c>
      <x:c r="AD60" s="118">
        <x:f>AD36-(AD30+AD34-AD35)</x:f>
      </x:c>
      <x:c r="AE60" s="118">
        <x:f>AE36-(AE30+AE34-AE35)</x:f>
      </x:c>
      <x:c r="AF60" s="118">
        <x:f>AF36-(AF30+AF34-AF35)</x:f>
      </x:c>
      <x:c r="AG60" s="118">
        <x:f>AG36-(AG30+AG34-AG35)</x:f>
      </x:c>
      <x:c r="AH60" s="118">
        <x:f>AH36-(AH30+AH34-AH35)</x:f>
      </x:c>
      <x:c r="AI60" s="118">
        <x:f>AI36-(AI30+AI34-AI35)</x:f>
      </x:c>
      <x:c r="AJ60" s="118">
        <x:f>AJ36-(AJ30+AJ34-AJ35)</x:f>
      </x:c>
      <x:c r="AK60" s="118">
        <x:f>AK36-(AK30+AK34-AK35)</x:f>
      </x:c>
      <x:c r="AL60" s="118">
        <x:f>AL36-(AL30+AL34-AL35)</x:f>
      </x:c>
      <x:c r="AM60" s="118">
        <x:f>AM36-(AM30+AM34-AM35)</x:f>
      </x:c>
      <x:c r="AN60" s="118">
        <x:f>AN36-(AN30+AN34-AN35)</x:f>
      </x:c>
      <x:c r="AO60" s="118">
        <x:f>AO36-(AO30+AO34-AO35)</x:f>
      </x:c>
      <x:c r="AP60" s="118">
        <x:f>AP36-(AP30+AP34-AP35)</x:f>
      </x:c>
      <x:c r="AQ60" s="118">
        <x:f>AQ36-(AQ30+AQ34-AQ35)</x:f>
      </x:c>
      <x:c r="AR60" s="118">
        <x:f>AR36-(AR30+AR34-AR35)</x:f>
      </x:c>
      <x:c r="AS60" s="118">
        <x:f>AS36-(AS30+AS34-AS35)</x:f>
      </x:c>
      <x:c r="AT60" s="118">
        <x:f>AT36-(AT30+AT34-AT35)</x:f>
      </x:c>
      <x:c r="AU60" s="118">
        <x:f>AU36-(AU30+AU34-AU35)</x:f>
      </x:c>
      <x:c r="AV60" s="118">
        <x:f>AV36-(AV30+AV34-AV35)</x:f>
      </x:c>
      <x:c r="AW60" s="118">
        <x:f>AW36-(AW30+AW34-AW35)</x:f>
      </x:c>
      <x:c r="AX60" s="118">
        <x:f>AX36-(AX30+AX34-AX35)</x:f>
      </x:c>
      <x:c r="AY60" s="118">
        <x:f>AY36-(AY30+AY34-AY35)</x:f>
      </x:c>
      <x:c r="AZ60" s="118">
        <x:f>AZ36-(AZ30+AZ34-AZ35)</x:f>
      </x:c>
      <x:c r="BA60" s="118">
        <x:f>BA36-(BA30+BA34-BA35)</x:f>
      </x:c>
      <x:c r="BB60" s="118">
        <x:f>BB36-(BB30+BB34-BB35)</x:f>
      </x:c>
      <x:c r="BC60" s="118">
        <x:f>BC36-(BC30+BC34-BC35)</x:f>
      </x:c>
      <x:c r="BD60" s="118">
        <x:f>BD36-(BD30+BD34-BD35)</x:f>
      </x:c>
      <x:c r="BE60" s="118">
        <x:f>BE36-(BE30+BE34-BE35)</x:f>
      </x:c>
      <x:c r="BF60" s="118">
        <x:f>BF36-(BF30+BF34-BF35)</x:f>
      </x:c>
      <x:c r="BG60" s="118">
        <x:f>BG36-(BG30+BG34-BG35)</x:f>
      </x:c>
      <x:c r="BH60" s="118">
        <x:f>BH36-(BH30+BH34-BH35)</x:f>
      </x:c>
      <x:c r="BI60" s="118">
        <x:f>BI36-(BI30+BI34-BI35)</x:f>
      </x:c>
      <x:c r="BJ60" s="118">
        <x:f>BJ36-(BJ30+BJ34-BJ35)</x:f>
      </x:c>
      <x:c r="BK60" s="118">
        <x:f>BK36-(BK30+BK34-BK35)</x:f>
      </x:c>
      <x:c r="BL60" s="118">
        <x:f>BL36-(BL30+BL34-BL35)</x:f>
      </x:c>
      <x:c r="BM60" s="118">
        <x:f>BM36-(BM30+BM34-BM35)</x:f>
      </x:c>
      <x:c r="BN60" s="118">
        <x:f>BN36-(BN30+BN34-BN35)</x:f>
      </x:c>
      <x:c r="BO60" s="118">
        <x:f>BO36-(BO30+BO34-BO35)</x:f>
      </x:c>
      <x:c r="BP60" s="118">
        <x:f>BP36-(BP30+BP34-BP35)</x:f>
      </x:c>
      <x:c r="BQ60" s="118">
        <x:f>BQ36-(BQ30+BQ34-BQ35)</x:f>
      </x:c>
      <x:c r="BR60" s="118">
        <x:f>BR36-(BR30+BR34-BR35)</x:f>
      </x:c>
      <x:c r="BS60" s="118">
        <x:f>BS36-(BS30+BS34-BS35)</x:f>
      </x:c>
      <x:c r="BT60" s="118">
        <x:f>BT36-(BT30+BT34-BT35)</x:f>
      </x:c>
      <x:c r="BU60" s="118">
        <x:f>BU36-(BU30+BU34-BU35)</x:f>
      </x:c>
      <x:c r="BV60" s="118">
        <x:f>BV36-(BV30+BV34-BV35)</x:f>
      </x:c>
      <x:c r="BW60" s="118">
        <x:f>BW36-(BW30+BW34-BW35)</x:f>
      </x:c>
      <x:c r="BX60" s="118">
        <x:f>BX36-(BX30+BX34-BX35)</x:f>
      </x:c>
      <x:c r="BY60" s="118">
        <x:f>BY36-(BY30+BY34-BY35)</x:f>
      </x:c>
      <x:c r="BZ60" s="118">
        <x:f>BZ36-(BZ30+BZ34-BZ35)</x:f>
      </x:c>
      <x:c r="CA60" s="118">
        <x:f>CA36-(CA30+CA34-CA35)</x:f>
      </x:c>
      <x:c r="CB60" s="118">
        <x:f>CB36-(CB30+CB34-CB35)</x:f>
      </x:c>
      <x:c r="CC60" s="118">
        <x:f>CC36-(CC30+CC34-CC35)</x:f>
      </x:c>
      <x:c r="CD60" s="118">
        <x:f>CD36-(CD30+CD34-CD35)</x:f>
      </x:c>
      <x:c r="CE60" s="118">
        <x:f>CE36-(CE30+CE34-CE35)</x:f>
      </x:c>
      <x:c r="CF60" s="118">
        <x:f>CF36-(CF30+CF34-CF35)</x:f>
      </x:c>
      <x:c r="CG60" s="118">
        <x:f>CG36-(CG30+CG34-CG35)</x:f>
      </x:c>
      <x:c r="CH60" s="118">
        <x:f>CH36-(CH30+CH34-CH35)</x:f>
      </x:c>
      <x:c r="CI60" s="118">
        <x:f>CI36-(CI30+CI34-CI35)</x:f>
      </x:c>
      <x:c r="CJ60" s="118">
        <x:f>CJ36-(CJ30+CJ34-CJ35)</x:f>
      </x:c>
      <x:c r="CK60" s="118">
        <x:f>CK36-(CK30+CK34-CK35)</x:f>
      </x:c>
      <x:c r="CL60" s="118">
        <x:f>CL36-(CL30+CL34-CL35)</x:f>
      </x:c>
      <x:c r="CM60" s="118">
        <x:f>CM36-(CM30+CM34-CM35)</x:f>
      </x:c>
      <x:c r="CN60" s="118">
        <x:f>CN36-(CN30+CN34-CN35)</x:f>
      </x:c>
      <x:c r="CO60" s="118">
        <x:f>CO36-(CO30+CO34-CO35)</x:f>
      </x:c>
      <x:c r="CP60" s="118">
        <x:f>CP36-(CP30+CP34-CP35)</x:f>
      </x:c>
      <x:c r="CQ60" s="118">
        <x:f>CQ36-(CQ30+CQ34-CQ35)</x:f>
      </x:c>
      <x:c r="CR60" s="118">
        <x:f>CR36-(CR30+CR34-CR35)</x:f>
      </x:c>
      <x:c r="CS60" s="118">
        <x:f>CS36-(CS30+CS34-CS35)</x:f>
      </x:c>
      <x:c r="CT60" s="118">
        <x:f>CT36-(CT30+CT34-CT35)</x:f>
      </x:c>
      <x:c r="CU60" s="118">
        <x:f>CU36-(CU30+CU34-CU35)</x:f>
      </x:c>
      <x:c r="CV60" s="118">
        <x:f>CV36-(CV30+CV34-CV35)</x:f>
      </x:c>
      <x:c r="CW60" s="118">
        <x:f>CW36-(CW30+CW34-CW35)</x:f>
      </x:c>
      <x:c r="CX60" s="118">
        <x:f>CX36-(CX30+CX34-CX35)</x:f>
      </x:c>
      <x:c r="CY60" s="118">
        <x:f>CY36-(CY30+CY34-CY35)</x:f>
      </x:c>
      <x:c r="CZ60" s="118">
        <x:f>CZ36-(CZ30+CZ34-CZ35)</x:f>
      </x:c>
      <x:c r="DA60" s="118">
        <x:f>DA36-(DA30+DA34-DA35)</x:f>
      </x:c>
      <x:c r="DB60" s="118">
        <x:f>DB36-(DB30+DB34-DB35)</x:f>
      </x:c>
      <x:c r="DC60" s="118">
        <x:f>DC36-(DC30+DC34-DC35)</x:f>
      </x:c>
      <x:c r="DD60" s="118">
        <x:f>DD36-(DD30+DD34-DD35)</x:f>
      </x:c>
      <x:c r="DE60" s="118">
        <x:f>DE36-(DE30+DE34-DE35)</x:f>
      </x:c>
      <x:c r="DF60" s="118">
        <x:f>DF36-(DF30+DF34-DF35)</x:f>
      </x:c>
      <x:c r="DG60" s="118">
        <x:f>DG36-(DG30+DG34-DG35)</x:f>
      </x:c>
      <x:c r="DH60" s="118">
        <x:f>DH36-(DH30+DH34-DH35)</x:f>
      </x:c>
      <x:c r="DI60" s="118">
        <x:f>DI36-(DI30+DI34-DI35)</x:f>
      </x:c>
      <x:c r="DJ60" s="118">
        <x:f>DJ36-(DJ30+DJ34-DJ35)</x:f>
      </x:c>
      <x:c r="DK60" s="118">
        <x:f>DK36-(DK30+DK34-DK35)</x:f>
      </x:c>
      <x:c r="DL60" s="118">
        <x:f>DL36-(DL30+DL34-DL35)</x:f>
      </x:c>
      <x:c r="DM60" s="118">
        <x:f>DM36-(DM30+DM34-DM35)</x:f>
      </x:c>
      <x:c r="DN60" s="118">
        <x:f>DN36-(DN30+DN34-DN35)</x:f>
      </x:c>
      <x:c r="DO60" s="118">
        <x:f>DO36-(DO30+DO34-DO35)</x:f>
      </x:c>
      <x:c r="DP60" s="118">
        <x:f>DP36-(DP30+DP34-DP35)</x:f>
      </x:c>
      <x:c r="DQ60" s="118">
        <x:f>DQ36-(DQ30+DQ34-DQ35)</x:f>
      </x:c>
      <x:c r="DR60" s="118">
        <x:f>DR36-(DR30+DR34-DR35)</x:f>
      </x:c>
      <x:c r="DS60" s="118">
        <x:f>DS36-(DS30+DS34-DS35)</x:f>
      </x:c>
      <x:c r="DT60" s="118">
        <x:f>DT36-(DT30+DT34-DT35)</x:f>
      </x:c>
      <x:c r="DU60" s="118">
        <x:f>DU36-(DU30+DU34-DU35)</x:f>
      </x:c>
      <x:c r="DV60" s="118">
        <x:f>DV36-(DV30+DV34-DV35)</x:f>
      </x:c>
      <x:c r="DW60" s="118">
        <x:f>DW36-(DW30+DW34-DW35)</x:f>
      </x:c>
      <x:c r="DX60" s="118">
        <x:f>DX36-(DX30+DX34-DX35)</x:f>
      </x:c>
      <x:c r="DY60" s="118">
        <x:f>DY36-(DY30+DY34-DY35)</x:f>
      </x:c>
      <x:c r="DZ60" s="118">
        <x:f>DZ36-(DZ30+DZ34-DZ35)</x:f>
      </x:c>
      <x:c r="EA60" s="118">
        <x:f>EA36-(EA30+EA34-EA35)</x:f>
      </x:c>
      <x:c r="EB60" s="118">
        <x:f>EB36-(EB30+EB34-EB35)</x:f>
      </x:c>
      <x:c r="EC60" s="118">
        <x:f>EC36-(EC30+EC34-EC35)</x:f>
      </x:c>
      <x:c r="ED60" s="118">
        <x:f>ED36-(ED30+ED34-ED35)</x:f>
      </x:c>
      <x:c r="EE60" s="118">
        <x:f>EE36-(EE30+EE34-EE35)</x:f>
      </x:c>
      <x:c r="EF60" s="118">
        <x:f>EF36-(EF30+EF34-EF35)</x:f>
      </x:c>
      <x:c r="EG60" s="118">
        <x:f>EG36-(EG30+EG34-EG35)</x:f>
      </x:c>
      <x:c r="EH60" s="118">
        <x:f>EH36-(EH30+EH34-EH35)</x:f>
      </x:c>
      <x:c r="EI60" s="118">
        <x:f>EI36-(EI30+EI34-EI35)</x:f>
      </x:c>
      <x:c r="EJ60" s="118">
        <x:f>EJ36-(EJ30+EJ34-EJ35)</x:f>
      </x:c>
      <x:c r="EK60" s="118">
        <x:f>EK36-(EK30+EK34-EK35)</x:f>
      </x:c>
      <x:c r="EL60" s="118">
        <x:f>EL36-(EL30+EL34-EL35)</x:f>
      </x:c>
      <x:c r="EM60" s="118">
        <x:f>EM36-(EM30+EM34-EM35)</x:f>
      </x:c>
      <x:c r="EN60" s="118">
        <x:f>EN36-(EN30+EN34-EN35)</x:f>
      </x:c>
      <x:c r="EO60" s="118">
        <x:f>EO36-(EO30+EO34-EO35)</x:f>
      </x:c>
      <x:c r="EP60" s="118">
        <x:f>EP36-(EP30+EP34-EP35)</x:f>
      </x:c>
      <x:c r="EQ60" s="118">
        <x:f>EQ36-(EQ30+EQ34-EQ35)</x:f>
      </x:c>
      <x:c r="ER60" s="118">
        <x:f>ER36-(ER30+ER34-ER35)</x:f>
      </x:c>
      <x:c r="ES60" s="118">
        <x:f>ES36-(ES30+ES34-ES35)</x:f>
      </x:c>
      <x:c r="ET60" s="118">
        <x:f>ET36-(ET30+ET34-ET35)</x:f>
      </x:c>
      <x:c r="EU60" s="118">
        <x:f>EU36-(EU30+EU34-EU35)</x:f>
      </x:c>
      <x:c r="EV60" s="118">
        <x:f>EV36-(EV30+EV34-EV35)</x:f>
      </x:c>
      <x:c r="EW60" s="118">
        <x:f>EW36-(EW30+EW34-EW35)</x:f>
      </x:c>
      <x:c r="EX60" s="118">
        <x:f>EX36-(EX30+EX34-EX35)</x:f>
      </x:c>
      <x:c r="EY60" s="118">
        <x:f>EY36-(EY30+EY34-EY35)</x:f>
      </x:c>
      <x:c r="EZ60" s="118">
        <x:f>EZ36-(EZ30+EZ34-EZ35)</x:f>
      </x:c>
      <x:c r="FA60" s="118">
        <x:f>FA36-(FA30+FA34-FA35)</x:f>
      </x:c>
      <x:c r="FB60" s="118">
        <x:f>FB36-(FB30+FB34-FB35)</x:f>
      </x:c>
      <x:c r="FC60" s="118">
        <x:f>FC36-(FC30+FC34-FC35)</x:f>
      </x:c>
      <x:c r="FD60" s="118">
        <x:f>FD36-(FD30+FD34-FD35)</x:f>
      </x:c>
      <x:c r="FE60" s="118">
        <x:f>FE36-(FE30+FE34-FE35)</x:f>
      </x:c>
      <x:c r="FF60" s="118">
        <x:f>FF36-(FF30+FF34-FF35)</x:f>
      </x:c>
      <x:c r="FG60" s="118">
        <x:f>FG36-(FG30+FG34-FG35)</x:f>
      </x:c>
      <x:c r="FH60" s="118">
        <x:f>FH36-(FH30+FH34-FH35)</x:f>
      </x:c>
      <x:c r="FI60" s="118">
        <x:f>FI36-(FI30+FI34-FI35)</x:f>
      </x:c>
      <x:c r="FJ60" s="118">
        <x:f>FJ36-(FJ30+FJ34-FJ35)</x:f>
      </x:c>
      <x:c r="FK60" s="118">
        <x:f>FK36-(FK30+FK34-FK35)</x:f>
      </x:c>
      <x:c r="FL60" s="118">
        <x:f>FL36-(FL30+FL34-FL35)</x:f>
      </x:c>
      <x:c r="FM60" s="118">
        <x:f>FM36-(FM30+FM34-FM35)</x:f>
      </x:c>
      <x:c r="FN60" s="118">
        <x:f>FN36-(FN30+FN34-FN35)</x:f>
      </x:c>
      <x:c r="FO60" s="118">
        <x:f>FO36-(FO30+FO34-FO35)</x:f>
      </x:c>
      <x:c r="FP60" s="118">
        <x:f>FP36-(FP30+FP34-FP35)</x:f>
      </x:c>
      <x:c r="FQ60" s="118">
        <x:f>FQ36-(FQ30+FQ34-FQ35)</x:f>
      </x:c>
      <x:c r="FR60" s="118">
        <x:f>FR36-(FR30+FR34-FR35)</x:f>
      </x:c>
      <x:c r="FS60" s="118">
        <x:f>FS36-(FS30+FS34-FS35)</x:f>
      </x:c>
      <x:c r="FT60" s="118">
        <x:f>FT36-(FT30+FT34-FT35)</x:f>
      </x:c>
      <x:c r="FU60" s="118">
        <x:f>FU36-(FU30+FU34-FU35)</x:f>
      </x:c>
      <x:c r="FV60" s="118">
        <x:f>FV36-(FV30+FV34-FV35)</x:f>
      </x:c>
      <x:c r="FW60" s="118">
        <x:f>FW36-(FW30+FW34-FW35)</x:f>
      </x:c>
      <x:c r="FX60" s="118">
        <x:f>FX36-(FX30+FX34-FX35)</x:f>
      </x:c>
      <x:c r="FY60" s="118">
        <x:f>FY36-(FY30+FY34-FY35)</x:f>
      </x:c>
      <x:c r="FZ60" s="118">
        <x:f>FZ36-(FZ30+FZ34-FZ35)</x:f>
      </x:c>
      <x:c r="GA60" s="118">
        <x:f>GA36-(GA30+GA34-GA35)</x:f>
      </x:c>
    </x:row>
    <x:row r="61">
      <x:c r="A61" s="128" t="str">
        <x:v>CHECK: roll-forward ПФ</x:v>
      </x:c>
      <x:c r="B61" s="128" t="n">
        <x:f>MAX(MAX(D61:GA61),-MIN(D61:GA61))</x:f>
      </x:c>
      <x:c r="C61" s="128" t="str">
        <x:v>млн ₽</x:v>
      </x:c>
      <x:c r="D61" s="118">
        <x:f>D47-(D38+D45-D46)</x:f>
      </x:c>
      <x:c r="E61" s="118">
        <x:f>E47-(E38+E45-E46)</x:f>
      </x:c>
      <x:c r="F61" s="118">
        <x:f>F47-(F38+F45-F46)</x:f>
      </x:c>
      <x:c r="G61" s="118">
        <x:f>G47-(G38+G45-G46)</x:f>
      </x:c>
      <x:c r="H61" s="118">
        <x:f>H47-(H38+H45-H46)</x:f>
      </x:c>
      <x:c r="I61" s="118">
        <x:f>I47-(I38+I45-I46)</x:f>
      </x:c>
      <x:c r="J61" s="118">
        <x:f>J47-(J38+J45-J46)</x:f>
      </x:c>
      <x:c r="K61" s="118">
        <x:f>K47-(K38+K45-K46)</x:f>
      </x:c>
      <x:c r="L61" s="118">
        <x:f>L47-(L38+L45-L46)</x:f>
      </x:c>
      <x:c r="M61" s="118">
        <x:f>M47-(M38+M45-M46)</x:f>
      </x:c>
      <x:c r="N61" s="118">
        <x:f>N47-(N38+N45-N46)</x:f>
      </x:c>
      <x:c r="O61" s="118">
        <x:f>O47-(O38+O45-O46)</x:f>
      </x:c>
      <x:c r="P61" s="118">
        <x:f>P47-(P38+P45-P46)</x:f>
      </x:c>
      <x:c r="Q61" s="118">
        <x:f>Q47-(Q38+Q45-Q46)</x:f>
      </x:c>
      <x:c r="R61" s="118">
        <x:f>R47-(R38+R45-R46)</x:f>
      </x:c>
      <x:c r="S61" s="118">
        <x:f>S47-(S38+S45-S46)</x:f>
      </x:c>
      <x:c r="T61" s="118">
        <x:f>T47-(T38+T45-T46)</x:f>
      </x:c>
      <x:c r="U61" s="118">
        <x:f>U47-(U38+U45-U46)</x:f>
      </x:c>
      <x:c r="V61" s="118">
        <x:f>V47-(V38+V45-V46)</x:f>
      </x:c>
      <x:c r="W61" s="118">
        <x:f>W47-(W38+W45-W46)</x:f>
      </x:c>
      <x:c r="X61" s="118">
        <x:f>X47-(X38+X45-X46)</x:f>
      </x:c>
      <x:c r="Y61" s="118">
        <x:f>Y47-(Y38+Y45-Y46)</x:f>
      </x:c>
      <x:c r="Z61" s="118">
        <x:f>Z47-(Z38+Z45-Z46)</x:f>
      </x:c>
      <x:c r="AA61" s="118">
        <x:f>AA47-(AA38+AA45-AA46)</x:f>
      </x:c>
      <x:c r="AB61" s="118">
        <x:f>AB47-(AB38+AB45-AB46)</x:f>
      </x:c>
      <x:c r="AC61" s="118">
        <x:f>AC47-(AC38+AC45-AC46)</x:f>
      </x:c>
      <x:c r="AD61" s="118">
        <x:f>AD47-(AD38+AD45-AD46)</x:f>
      </x:c>
      <x:c r="AE61" s="118">
        <x:f>AE47-(AE38+AE45-AE46)</x:f>
      </x:c>
      <x:c r="AF61" s="118">
        <x:f>AF47-(AF38+AF45-AF46)</x:f>
      </x:c>
      <x:c r="AG61" s="118">
        <x:f>AG47-(AG38+AG45-AG46)</x:f>
      </x:c>
      <x:c r="AH61" s="118">
        <x:f>AH47-(AH38+AH45-AH46)</x:f>
      </x:c>
      <x:c r="AI61" s="118">
        <x:f>AI47-(AI38+AI45-AI46)</x:f>
      </x:c>
      <x:c r="AJ61" s="118">
        <x:f>AJ47-(AJ38+AJ45-AJ46)</x:f>
      </x:c>
      <x:c r="AK61" s="118">
        <x:f>AK47-(AK38+AK45-AK46)</x:f>
      </x:c>
      <x:c r="AL61" s="118">
        <x:f>AL47-(AL38+AL45-AL46)</x:f>
      </x:c>
      <x:c r="AM61" s="118">
        <x:f>AM47-(AM38+AM45-AM46)</x:f>
      </x:c>
      <x:c r="AN61" s="118">
        <x:f>AN47-(AN38+AN45-AN46)</x:f>
      </x:c>
      <x:c r="AO61" s="118">
        <x:f>AO47-(AO38+AO45-AO46)</x:f>
      </x:c>
      <x:c r="AP61" s="118">
        <x:f>AP47-(AP38+AP45-AP46)</x:f>
      </x:c>
      <x:c r="AQ61" s="118">
        <x:f>AQ47-(AQ38+AQ45-AQ46)</x:f>
      </x:c>
      <x:c r="AR61" s="118">
        <x:f>AR47-(AR38+AR45-AR46)</x:f>
      </x:c>
      <x:c r="AS61" s="118">
        <x:f>AS47-(AS38+AS45-AS46)</x:f>
      </x:c>
      <x:c r="AT61" s="118">
        <x:f>AT47-(AT38+AT45-AT46)</x:f>
      </x:c>
      <x:c r="AU61" s="118">
        <x:f>AU47-(AU38+AU45-AU46)</x:f>
      </x:c>
      <x:c r="AV61" s="118">
        <x:f>AV47-(AV38+AV45-AV46)</x:f>
      </x:c>
      <x:c r="AW61" s="118">
        <x:f>AW47-(AW38+AW45-AW46)</x:f>
      </x:c>
      <x:c r="AX61" s="118">
        <x:f>AX47-(AX38+AX45-AX46)</x:f>
      </x:c>
      <x:c r="AY61" s="118">
        <x:f>AY47-(AY38+AY45-AY46)</x:f>
      </x:c>
      <x:c r="AZ61" s="118">
        <x:f>AZ47-(AZ38+AZ45-AZ46)</x:f>
      </x:c>
      <x:c r="BA61" s="118">
        <x:f>BA47-(BA38+BA45-BA46)</x:f>
      </x:c>
      <x:c r="BB61" s="118">
        <x:f>BB47-(BB38+BB45-BB46)</x:f>
      </x:c>
      <x:c r="BC61" s="118">
        <x:f>BC47-(BC38+BC45-BC46)</x:f>
      </x:c>
      <x:c r="BD61" s="118">
        <x:f>BD47-(BD38+BD45-BD46)</x:f>
      </x:c>
      <x:c r="BE61" s="118">
        <x:f>BE47-(BE38+BE45-BE46)</x:f>
      </x:c>
      <x:c r="BF61" s="118">
        <x:f>BF47-(BF38+BF45-BF46)</x:f>
      </x:c>
      <x:c r="BG61" s="118">
        <x:f>BG47-(BG38+BG45-BG46)</x:f>
      </x:c>
      <x:c r="BH61" s="118">
        <x:f>BH47-(BH38+BH45-BH46)</x:f>
      </x:c>
      <x:c r="BI61" s="118">
        <x:f>BI47-(BI38+BI45-BI46)</x:f>
      </x:c>
      <x:c r="BJ61" s="118">
        <x:f>BJ47-(BJ38+BJ45-BJ46)</x:f>
      </x:c>
      <x:c r="BK61" s="118">
        <x:f>BK47-(BK38+BK45-BK46)</x:f>
      </x:c>
      <x:c r="BL61" s="118">
        <x:f>BL47-(BL38+BL45-BL46)</x:f>
      </x:c>
      <x:c r="BM61" s="118">
        <x:f>BM47-(BM38+BM45-BM46)</x:f>
      </x:c>
      <x:c r="BN61" s="118">
        <x:f>BN47-(BN38+BN45-BN46)</x:f>
      </x:c>
      <x:c r="BO61" s="118">
        <x:f>BO47-(BO38+BO45-BO46)</x:f>
      </x:c>
      <x:c r="BP61" s="118">
        <x:f>BP47-(BP38+BP45-BP46)</x:f>
      </x:c>
      <x:c r="BQ61" s="118">
        <x:f>BQ47-(BQ38+BQ45-BQ46)</x:f>
      </x:c>
      <x:c r="BR61" s="118">
        <x:f>BR47-(BR38+BR45-BR46)</x:f>
      </x:c>
      <x:c r="BS61" s="118">
        <x:f>BS47-(BS38+BS45-BS46)</x:f>
      </x:c>
      <x:c r="BT61" s="118">
        <x:f>BT47-(BT38+BT45-BT46)</x:f>
      </x:c>
      <x:c r="BU61" s="118">
        <x:f>BU47-(BU38+BU45-BU46)</x:f>
      </x:c>
      <x:c r="BV61" s="118">
        <x:f>BV47-(BV38+BV45-BV46)</x:f>
      </x:c>
      <x:c r="BW61" s="118">
        <x:f>BW47-(BW38+BW45-BW46)</x:f>
      </x:c>
      <x:c r="BX61" s="118">
        <x:f>BX47-(BX38+BX45-BX46)</x:f>
      </x:c>
      <x:c r="BY61" s="118">
        <x:f>BY47-(BY38+BY45-BY46)</x:f>
      </x:c>
      <x:c r="BZ61" s="118">
        <x:f>BZ47-(BZ38+BZ45-BZ46)</x:f>
      </x:c>
      <x:c r="CA61" s="118">
        <x:f>CA47-(CA38+CA45-CA46)</x:f>
      </x:c>
      <x:c r="CB61" s="118">
        <x:f>CB47-(CB38+CB45-CB46)</x:f>
      </x:c>
      <x:c r="CC61" s="118">
        <x:f>CC47-(CC38+CC45-CC46)</x:f>
      </x:c>
      <x:c r="CD61" s="118">
        <x:f>CD47-(CD38+CD45-CD46)</x:f>
      </x:c>
      <x:c r="CE61" s="118">
        <x:f>CE47-(CE38+CE45-CE46)</x:f>
      </x:c>
      <x:c r="CF61" s="118">
        <x:f>CF47-(CF38+CF45-CF46)</x:f>
      </x:c>
      <x:c r="CG61" s="118">
        <x:f>CG47-(CG38+CG45-CG46)</x:f>
      </x:c>
      <x:c r="CH61" s="118">
        <x:f>CH47-(CH38+CH45-CH46)</x:f>
      </x:c>
      <x:c r="CI61" s="118">
        <x:f>CI47-(CI38+CI45-CI46)</x:f>
      </x:c>
      <x:c r="CJ61" s="118">
        <x:f>CJ47-(CJ38+CJ45-CJ46)</x:f>
      </x:c>
      <x:c r="CK61" s="118">
        <x:f>CK47-(CK38+CK45-CK46)</x:f>
      </x:c>
      <x:c r="CL61" s="118">
        <x:f>CL47-(CL38+CL45-CL46)</x:f>
      </x:c>
      <x:c r="CM61" s="118">
        <x:f>CM47-(CM38+CM45-CM46)</x:f>
      </x:c>
      <x:c r="CN61" s="118">
        <x:f>CN47-(CN38+CN45-CN46)</x:f>
      </x:c>
      <x:c r="CO61" s="118">
        <x:f>CO47-(CO38+CO45-CO46)</x:f>
      </x:c>
      <x:c r="CP61" s="118">
        <x:f>CP47-(CP38+CP45-CP46)</x:f>
      </x:c>
      <x:c r="CQ61" s="118">
        <x:f>CQ47-(CQ38+CQ45-CQ46)</x:f>
      </x:c>
      <x:c r="CR61" s="118">
        <x:f>CR47-(CR38+CR45-CR46)</x:f>
      </x:c>
      <x:c r="CS61" s="118">
        <x:f>CS47-(CS38+CS45-CS46)</x:f>
      </x:c>
      <x:c r="CT61" s="118">
        <x:f>CT47-(CT38+CT45-CT46)</x:f>
      </x:c>
      <x:c r="CU61" s="118">
        <x:f>CU47-(CU38+CU45-CU46)</x:f>
      </x:c>
      <x:c r="CV61" s="118">
        <x:f>CV47-(CV38+CV45-CV46)</x:f>
      </x:c>
      <x:c r="CW61" s="118">
        <x:f>CW47-(CW38+CW45-CW46)</x:f>
      </x:c>
      <x:c r="CX61" s="118">
        <x:f>CX47-(CX38+CX45-CX46)</x:f>
      </x:c>
      <x:c r="CY61" s="118">
        <x:f>CY47-(CY38+CY45-CY46)</x:f>
      </x:c>
      <x:c r="CZ61" s="118">
        <x:f>CZ47-(CZ38+CZ45-CZ46)</x:f>
      </x:c>
      <x:c r="DA61" s="118">
        <x:f>DA47-(DA38+DA45-DA46)</x:f>
      </x:c>
      <x:c r="DB61" s="118">
        <x:f>DB47-(DB38+DB45-DB46)</x:f>
      </x:c>
      <x:c r="DC61" s="118">
        <x:f>DC47-(DC38+DC45-DC46)</x:f>
      </x:c>
      <x:c r="DD61" s="118">
        <x:f>DD47-(DD38+DD45-DD46)</x:f>
      </x:c>
      <x:c r="DE61" s="118">
        <x:f>DE47-(DE38+DE45-DE46)</x:f>
      </x:c>
      <x:c r="DF61" s="118">
        <x:f>DF47-(DF38+DF45-DF46)</x:f>
      </x:c>
      <x:c r="DG61" s="118">
        <x:f>DG47-(DG38+DG45-DG46)</x:f>
      </x:c>
      <x:c r="DH61" s="118">
        <x:f>DH47-(DH38+DH45-DH46)</x:f>
      </x:c>
      <x:c r="DI61" s="118">
        <x:f>DI47-(DI38+DI45-DI46)</x:f>
      </x:c>
      <x:c r="DJ61" s="118">
        <x:f>DJ47-(DJ38+DJ45-DJ46)</x:f>
      </x:c>
      <x:c r="DK61" s="118">
        <x:f>DK47-(DK38+DK45-DK46)</x:f>
      </x:c>
      <x:c r="DL61" s="118">
        <x:f>DL47-(DL38+DL45-DL46)</x:f>
      </x:c>
      <x:c r="DM61" s="118">
        <x:f>DM47-(DM38+DM45-DM46)</x:f>
      </x:c>
      <x:c r="DN61" s="118">
        <x:f>DN47-(DN38+DN45-DN46)</x:f>
      </x:c>
      <x:c r="DO61" s="118">
        <x:f>DO47-(DO38+DO45-DO46)</x:f>
      </x:c>
      <x:c r="DP61" s="118">
        <x:f>DP47-(DP38+DP45-DP46)</x:f>
      </x:c>
      <x:c r="DQ61" s="118">
        <x:f>DQ47-(DQ38+DQ45-DQ46)</x:f>
      </x:c>
      <x:c r="DR61" s="118">
        <x:f>DR47-(DR38+DR45-DR46)</x:f>
      </x:c>
      <x:c r="DS61" s="118">
        <x:f>DS47-(DS38+DS45-DS46)</x:f>
      </x:c>
      <x:c r="DT61" s="118">
        <x:f>DT47-(DT38+DT45-DT46)</x:f>
      </x:c>
      <x:c r="DU61" s="118">
        <x:f>DU47-(DU38+DU45-DU46)</x:f>
      </x:c>
      <x:c r="DV61" s="118">
        <x:f>DV47-(DV38+DV45-DV46)</x:f>
      </x:c>
      <x:c r="DW61" s="118">
        <x:f>DW47-(DW38+DW45-DW46)</x:f>
      </x:c>
      <x:c r="DX61" s="118">
        <x:f>DX47-(DX38+DX45-DX46)</x:f>
      </x:c>
      <x:c r="DY61" s="118">
        <x:f>DY47-(DY38+DY45-DY46)</x:f>
      </x:c>
      <x:c r="DZ61" s="118">
        <x:f>DZ47-(DZ38+DZ45-DZ46)</x:f>
      </x:c>
      <x:c r="EA61" s="118">
        <x:f>EA47-(EA38+EA45-EA46)</x:f>
      </x:c>
      <x:c r="EB61" s="118">
        <x:f>EB47-(EB38+EB45-EB46)</x:f>
      </x:c>
      <x:c r="EC61" s="118">
        <x:f>EC47-(EC38+EC45-EC46)</x:f>
      </x:c>
      <x:c r="ED61" s="118">
        <x:f>ED47-(ED38+ED45-ED46)</x:f>
      </x:c>
      <x:c r="EE61" s="118">
        <x:f>EE47-(EE38+EE45-EE46)</x:f>
      </x:c>
      <x:c r="EF61" s="118">
        <x:f>EF47-(EF38+EF45-EF46)</x:f>
      </x:c>
      <x:c r="EG61" s="118">
        <x:f>EG47-(EG38+EG45-EG46)</x:f>
      </x:c>
      <x:c r="EH61" s="118">
        <x:f>EH47-(EH38+EH45-EH46)</x:f>
      </x:c>
      <x:c r="EI61" s="118">
        <x:f>EI47-(EI38+EI45-EI46)</x:f>
      </x:c>
      <x:c r="EJ61" s="118">
        <x:f>EJ47-(EJ38+EJ45-EJ46)</x:f>
      </x:c>
      <x:c r="EK61" s="118">
        <x:f>EK47-(EK38+EK45-EK46)</x:f>
      </x:c>
      <x:c r="EL61" s="118">
        <x:f>EL47-(EL38+EL45-EL46)</x:f>
      </x:c>
      <x:c r="EM61" s="118">
        <x:f>EM47-(EM38+EM45-EM46)</x:f>
      </x:c>
      <x:c r="EN61" s="118">
        <x:f>EN47-(EN38+EN45-EN46)</x:f>
      </x:c>
      <x:c r="EO61" s="118">
        <x:f>EO47-(EO38+EO45-EO46)</x:f>
      </x:c>
      <x:c r="EP61" s="118">
        <x:f>EP47-(EP38+EP45-EP46)</x:f>
      </x:c>
      <x:c r="EQ61" s="118">
        <x:f>EQ47-(EQ38+EQ45-EQ46)</x:f>
      </x:c>
      <x:c r="ER61" s="118">
        <x:f>ER47-(ER38+ER45-ER46)</x:f>
      </x:c>
      <x:c r="ES61" s="118">
        <x:f>ES47-(ES38+ES45-ES46)</x:f>
      </x:c>
      <x:c r="ET61" s="118">
        <x:f>ET47-(ET38+ET45-ET46)</x:f>
      </x:c>
      <x:c r="EU61" s="118">
        <x:f>EU47-(EU38+EU45-EU46)</x:f>
      </x:c>
      <x:c r="EV61" s="118">
        <x:f>EV47-(EV38+EV45-EV46)</x:f>
      </x:c>
      <x:c r="EW61" s="118">
        <x:f>EW47-(EW38+EW45-EW46)</x:f>
      </x:c>
      <x:c r="EX61" s="118">
        <x:f>EX47-(EX38+EX45-EX46)</x:f>
      </x:c>
      <x:c r="EY61" s="118">
        <x:f>EY47-(EY38+EY45-EY46)</x:f>
      </x:c>
      <x:c r="EZ61" s="118">
        <x:f>EZ47-(EZ38+EZ45-EZ46)</x:f>
      </x:c>
      <x:c r="FA61" s="118">
        <x:f>FA47-(FA38+FA45-FA46)</x:f>
      </x:c>
      <x:c r="FB61" s="118">
        <x:f>FB47-(FB38+FB45-FB46)</x:f>
      </x:c>
      <x:c r="FC61" s="118">
        <x:f>FC47-(FC38+FC45-FC46)</x:f>
      </x:c>
      <x:c r="FD61" s="118">
        <x:f>FD47-(FD38+FD45-FD46)</x:f>
      </x:c>
      <x:c r="FE61" s="118">
        <x:f>FE47-(FE38+FE45-FE46)</x:f>
      </x:c>
      <x:c r="FF61" s="118">
        <x:f>FF47-(FF38+FF45-FF46)</x:f>
      </x:c>
      <x:c r="FG61" s="118">
        <x:f>FG47-(FG38+FG45-FG46)</x:f>
      </x:c>
      <x:c r="FH61" s="118">
        <x:f>FH47-(FH38+FH45-FH46)</x:f>
      </x:c>
      <x:c r="FI61" s="118">
        <x:f>FI47-(FI38+FI45-FI46)</x:f>
      </x:c>
      <x:c r="FJ61" s="118">
        <x:f>FJ47-(FJ38+FJ45-FJ46)</x:f>
      </x:c>
      <x:c r="FK61" s="118">
        <x:f>FK47-(FK38+FK45-FK46)</x:f>
      </x:c>
      <x:c r="FL61" s="118">
        <x:f>FL47-(FL38+FL45-FL46)</x:f>
      </x:c>
      <x:c r="FM61" s="118">
        <x:f>FM47-(FM38+FM45-FM46)</x:f>
      </x:c>
      <x:c r="FN61" s="118">
        <x:f>FN47-(FN38+FN45-FN46)</x:f>
      </x:c>
      <x:c r="FO61" s="118">
        <x:f>FO47-(FO38+FO45-FO46)</x:f>
      </x:c>
      <x:c r="FP61" s="118">
        <x:f>FP47-(FP38+FP45-FP46)</x:f>
      </x:c>
      <x:c r="FQ61" s="118">
        <x:f>FQ47-(FQ38+FQ45-FQ46)</x:f>
      </x:c>
      <x:c r="FR61" s="118">
        <x:f>FR47-(FR38+FR45-FR46)</x:f>
      </x:c>
      <x:c r="FS61" s="118">
        <x:f>FS47-(FS38+FS45-FS46)</x:f>
      </x:c>
      <x:c r="FT61" s="118">
        <x:f>FT47-(FT38+FT45-FT46)</x:f>
      </x:c>
      <x:c r="FU61" s="118">
        <x:f>FU47-(FU38+FU45-FU46)</x:f>
      </x:c>
      <x:c r="FV61" s="118">
        <x:f>FV47-(FV38+FV45-FV46)</x:f>
      </x:c>
      <x:c r="FW61" s="118">
        <x:f>FW47-(FW38+FW45-FW46)</x:f>
      </x:c>
      <x:c r="FX61" s="118">
        <x:f>FX47-(FX38+FX45-FX46)</x:f>
      </x:c>
      <x:c r="FY61" s="118">
        <x:f>FY47-(FY38+FY45-FY46)</x:f>
      </x:c>
      <x:c r="FZ61" s="118">
        <x:f>FZ47-(FZ38+FZ45-FZ46)</x:f>
      </x:c>
      <x:c r="GA61" s="118">
        <x:f>GA47-(GA38+GA45-GA46)</x:f>
      </x:c>
    </x:row>
    <x:row r="62">
      <x:c r="A62" s="128" t="str">
        <x:v>CHECK: roll-forward эскроу</x:v>
      </x:c>
      <x:c r="B62" s="128" t="n">
        <x:f>MAX(MAX(D62:GA62),-MIN(D62:GA62))</x:f>
      </x:c>
      <x:c r="C62" s="128" t="str">
        <x:v>млн ₽</x:v>
      </x:c>
      <x:c r="D62" s="118" t="n">
        <x:f>D15-(D13+D11-D14)</x:f>
      </x:c>
      <x:c r="E62" s="118" t="n">
        <x:f>E15-(E13+E11-E14)</x:f>
      </x:c>
      <x:c r="F62" s="118" t="n">
        <x:f>F15-(F13+F11-F14)</x:f>
      </x:c>
      <x:c r="G62" s="118" t="n">
        <x:f>G15-(G13+G11-G14)</x:f>
      </x:c>
      <x:c r="H62" s="118" t="n">
        <x:f>H15-(H13+H11-H14)</x:f>
      </x:c>
      <x:c r="I62" s="118" t="n">
        <x:f>I15-(I13+I11-I14)</x:f>
      </x:c>
      <x:c r="J62" s="118" t="n">
        <x:f>J15-(J13+J11-J14)</x:f>
      </x:c>
      <x:c r="K62" s="118" t="n">
        <x:f>K15-(K13+K11-K14)</x:f>
      </x:c>
      <x:c r="L62" s="118" t="n">
        <x:f>L15-(L13+L11-L14)</x:f>
      </x:c>
      <x:c r="M62" s="118" t="n">
        <x:f>M15-(M13+M11-M14)</x:f>
      </x:c>
      <x:c r="N62" s="118" t="n">
        <x:f>N15-(N13+N11-N14)</x:f>
      </x:c>
      <x:c r="O62" s="118" t="n">
        <x:f>O15-(O13+O11-O14)</x:f>
      </x:c>
      <x:c r="P62" s="118" t="n">
        <x:f>P15-(P13+P11-P14)</x:f>
      </x:c>
      <x:c r="Q62" s="118" t="n">
        <x:f>Q15-(Q13+Q11-Q14)</x:f>
      </x:c>
      <x:c r="R62" s="118" t="n">
        <x:f>R15-(R13+R11-R14)</x:f>
      </x:c>
      <x:c r="S62" s="118" t="n">
        <x:f>S15-(S13+S11-S14)</x:f>
      </x:c>
      <x:c r="T62" s="118" t="n">
        <x:f>T15-(T13+T11-T14)</x:f>
      </x:c>
      <x:c r="U62" s="118" t="n">
        <x:f>U15-(U13+U11-U14)</x:f>
      </x:c>
      <x:c r="V62" s="118" t="n">
        <x:f>V15-(V13+V11-V14)</x:f>
      </x:c>
      <x:c r="W62" s="118" t="n">
        <x:f>W15-(W13+W11-W14)</x:f>
      </x:c>
      <x:c r="X62" s="118" t="n">
        <x:f>X15-(X13+X11-X14)</x:f>
      </x:c>
      <x:c r="Y62" s="118" t="n">
        <x:f>Y15-(Y13+Y11-Y14)</x:f>
      </x:c>
      <x:c r="Z62" s="118" t="n">
        <x:f>Z15-(Z13+Z11-Z14)</x:f>
      </x:c>
      <x:c r="AA62" s="118" t="n">
        <x:f>AA15-(AA13+AA11-AA14)</x:f>
      </x:c>
      <x:c r="AB62" s="118" t="n">
        <x:f>AB15-(AB13+AB11-AB14)</x:f>
      </x:c>
      <x:c r="AC62" s="118" t="n">
        <x:f>AC15-(AC13+AC11-AC14)</x:f>
      </x:c>
      <x:c r="AD62" s="118" t="n">
        <x:f>AD15-(AD13+AD11-AD14)</x:f>
      </x:c>
      <x:c r="AE62" s="118" t="n">
        <x:f>AE15-(AE13+AE11-AE14)</x:f>
      </x:c>
      <x:c r="AF62" s="118" t="n">
        <x:f>AF15-(AF13+AF11-AF14)</x:f>
      </x:c>
      <x:c r="AG62" s="118" t="n">
        <x:f>AG15-(AG13+AG11-AG14)</x:f>
      </x:c>
      <x:c r="AH62" s="118" t="n">
        <x:f>AH15-(AH13+AH11-AH14)</x:f>
      </x:c>
      <x:c r="AI62" s="118" t="n">
        <x:f>AI15-(AI13+AI11-AI14)</x:f>
      </x:c>
      <x:c r="AJ62" s="118" t="n">
        <x:f>AJ15-(AJ13+AJ11-AJ14)</x:f>
      </x:c>
      <x:c r="AK62" s="118" t="n">
        <x:f>AK15-(AK13+AK11-AK14)</x:f>
      </x:c>
      <x:c r="AL62" s="118" t="n">
        <x:f>AL15-(AL13+AL11-AL14)</x:f>
      </x:c>
      <x:c r="AM62" s="118" t="n">
        <x:f>AM15-(AM13+AM11-AM14)</x:f>
      </x:c>
      <x:c r="AN62" s="118" t="n">
        <x:f>AN15-(AN13+AN11-AN14)</x:f>
      </x:c>
      <x:c r="AO62" s="118" t="n">
        <x:f>AO15-(AO13+AO11-AO14)</x:f>
      </x:c>
      <x:c r="AP62" s="118" t="n">
        <x:f>AP15-(AP13+AP11-AP14)</x:f>
      </x:c>
      <x:c r="AQ62" s="118" t="n">
        <x:f>AQ15-(AQ13+AQ11-AQ14)</x:f>
      </x:c>
      <x:c r="AR62" s="118" t="n">
        <x:f>AR15-(AR13+AR11-AR14)</x:f>
      </x:c>
      <x:c r="AS62" s="118" t="n">
        <x:f>AS15-(AS13+AS11-AS14)</x:f>
      </x:c>
      <x:c r="AT62" s="118" t="n">
        <x:f>AT15-(AT13+AT11-AT14)</x:f>
      </x:c>
      <x:c r="AU62" s="118" t="n">
        <x:f>AU15-(AU13+AU11-AU14)</x:f>
      </x:c>
      <x:c r="AV62" s="118" t="n">
        <x:f>AV15-(AV13+AV11-AV14)</x:f>
      </x:c>
      <x:c r="AW62" s="118" t="n">
        <x:f>AW15-(AW13+AW11-AW14)</x:f>
      </x:c>
      <x:c r="AX62" s="118" t="n">
        <x:f>AX15-(AX13+AX11-AX14)</x:f>
      </x:c>
      <x:c r="AY62" s="118" t="n">
        <x:f>AY15-(AY13+AY11-AY14)</x:f>
      </x:c>
      <x:c r="AZ62" s="118" t="n">
        <x:f>AZ15-(AZ13+AZ11-AZ14)</x:f>
      </x:c>
      <x:c r="BA62" s="118" t="n">
        <x:f>BA15-(BA13+BA11-BA14)</x:f>
      </x:c>
      <x:c r="BB62" s="118" t="n">
        <x:f>BB15-(BB13+BB11-BB14)</x:f>
      </x:c>
      <x:c r="BC62" s="118" t="n">
        <x:f>BC15-(BC13+BC11-BC14)</x:f>
      </x:c>
      <x:c r="BD62" s="118" t="n">
        <x:f>BD15-(BD13+BD11-BD14)</x:f>
      </x:c>
      <x:c r="BE62" s="118" t="n">
        <x:f>BE15-(BE13+BE11-BE14)</x:f>
      </x:c>
      <x:c r="BF62" s="118" t="n">
        <x:f>BF15-(BF13+BF11-BF14)</x:f>
      </x:c>
      <x:c r="BG62" s="118" t="n">
        <x:f>BG15-(BG13+BG11-BG14)</x:f>
      </x:c>
      <x:c r="BH62" s="118" t="n">
        <x:f>BH15-(BH13+BH11-BH14)</x:f>
      </x:c>
      <x:c r="BI62" s="118" t="n">
        <x:f>BI15-(BI13+BI11-BI14)</x:f>
      </x:c>
      <x:c r="BJ62" s="118" t="n">
        <x:f>BJ15-(BJ13+BJ11-BJ14)</x:f>
      </x:c>
      <x:c r="BK62" s="118" t="n">
        <x:f>BK15-(BK13+BK11-BK14)</x:f>
      </x:c>
      <x:c r="BL62" s="118" t="n">
        <x:f>BL15-(BL13+BL11-BL14)</x:f>
      </x:c>
      <x:c r="BM62" s="118" t="n">
        <x:f>BM15-(BM13+BM11-BM14)</x:f>
      </x:c>
      <x:c r="BN62" s="118" t="n">
        <x:f>BN15-(BN13+BN11-BN14)</x:f>
      </x:c>
      <x:c r="BO62" s="118" t="n">
        <x:f>BO15-(BO13+BO11-BO14)</x:f>
      </x:c>
      <x:c r="BP62" s="118" t="n">
        <x:f>BP15-(BP13+BP11-BP14)</x:f>
      </x:c>
      <x:c r="BQ62" s="118" t="n">
        <x:f>BQ15-(BQ13+BQ11-BQ14)</x:f>
      </x:c>
      <x:c r="BR62" s="118" t="n">
        <x:f>BR15-(BR13+BR11-BR14)</x:f>
      </x:c>
      <x:c r="BS62" s="118" t="n">
        <x:f>BS15-(BS13+BS11-BS14)</x:f>
      </x:c>
      <x:c r="BT62" s="118" t="n">
        <x:f>BT15-(BT13+BT11-BT14)</x:f>
      </x:c>
      <x:c r="BU62" s="118" t="n">
        <x:f>BU15-(BU13+BU11-BU14)</x:f>
      </x:c>
      <x:c r="BV62" s="118" t="n">
        <x:f>BV15-(BV13+BV11-BV14)</x:f>
      </x:c>
      <x:c r="BW62" s="118" t="n">
        <x:f>BW15-(BW13+BW11-BW14)</x:f>
      </x:c>
      <x:c r="BX62" s="118" t="n">
        <x:f>BX15-(BX13+BX11-BX14)</x:f>
      </x:c>
      <x:c r="BY62" s="118" t="n">
        <x:f>BY15-(BY13+BY11-BY14)</x:f>
      </x:c>
      <x:c r="BZ62" s="118" t="n">
        <x:f>BZ15-(BZ13+BZ11-BZ14)</x:f>
      </x:c>
      <x:c r="CA62" s="118" t="n">
        <x:f>CA15-(CA13+CA11-CA14)</x:f>
      </x:c>
      <x:c r="CB62" s="118" t="n">
        <x:f>CB15-(CB13+CB11-CB14)</x:f>
      </x:c>
      <x:c r="CC62" s="118" t="n">
        <x:f>CC15-(CC13+CC11-CC14)</x:f>
      </x:c>
      <x:c r="CD62" s="118" t="n">
        <x:f>CD15-(CD13+CD11-CD14)</x:f>
      </x:c>
      <x:c r="CE62" s="118" t="n">
        <x:f>CE15-(CE13+CE11-CE14)</x:f>
      </x:c>
      <x:c r="CF62" s="118" t="n">
        <x:f>CF15-(CF13+CF11-CF14)</x:f>
      </x:c>
      <x:c r="CG62" s="118" t="n">
        <x:f>CG15-(CG13+CG11-CG14)</x:f>
      </x:c>
      <x:c r="CH62" s="118" t="n">
        <x:f>CH15-(CH13+CH11-CH14)</x:f>
      </x:c>
      <x:c r="CI62" s="118" t="n">
        <x:f>CI15-(CI13+CI11-CI14)</x:f>
      </x:c>
      <x:c r="CJ62" s="118" t="n">
        <x:f>CJ15-(CJ13+CJ11-CJ14)</x:f>
      </x:c>
      <x:c r="CK62" s="118" t="n">
        <x:f>CK15-(CK13+CK11-CK14)</x:f>
      </x:c>
      <x:c r="CL62" s="118" t="n">
        <x:f>CL15-(CL13+CL11-CL14)</x:f>
      </x:c>
      <x:c r="CM62" s="118" t="n">
        <x:f>CM15-(CM13+CM11-CM14)</x:f>
      </x:c>
      <x:c r="CN62" s="118" t="n">
        <x:f>CN15-(CN13+CN11-CN14)</x:f>
      </x:c>
      <x:c r="CO62" s="118" t="n">
        <x:f>CO15-(CO13+CO11-CO14)</x:f>
      </x:c>
      <x:c r="CP62" s="118" t="n">
        <x:f>CP15-(CP13+CP11-CP14)</x:f>
      </x:c>
      <x:c r="CQ62" s="118" t="n">
        <x:f>CQ15-(CQ13+CQ11-CQ14)</x:f>
      </x:c>
      <x:c r="CR62" s="118" t="n">
        <x:f>CR15-(CR13+CR11-CR14)</x:f>
      </x:c>
      <x:c r="CS62" s="118" t="n">
        <x:f>CS15-(CS13+CS11-CS14)</x:f>
      </x:c>
      <x:c r="CT62" s="118" t="n">
        <x:f>CT15-(CT13+CT11-CT14)</x:f>
      </x:c>
      <x:c r="CU62" s="118" t="n">
        <x:f>CU15-(CU13+CU11-CU14)</x:f>
      </x:c>
      <x:c r="CV62" s="118" t="n">
        <x:f>CV15-(CV13+CV11-CV14)</x:f>
      </x:c>
      <x:c r="CW62" s="118" t="n">
        <x:f>CW15-(CW13+CW11-CW14)</x:f>
      </x:c>
      <x:c r="CX62" s="118" t="n">
        <x:f>CX15-(CX13+CX11-CX14)</x:f>
      </x:c>
      <x:c r="CY62" s="118" t="n">
        <x:f>CY15-(CY13+CY11-CY14)</x:f>
      </x:c>
      <x:c r="CZ62" s="118" t="n">
        <x:f>CZ15-(CZ13+CZ11-CZ14)</x:f>
      </x:c>
      <x:c r="DA62" s="118" t="n">
        <x:f>DA15-(DA13+DA11-DA14)</x:f>
      </x:c>
      <x:c r="DB62" s="118" t="n">
        <x:f>DB15-(DB13+DB11-DB14)</x:f>
      </x:c>
      <x:c r="DC62" s="118" t="n">
        <x:f>DC15-(DC13+DC11-DC14)</x:f>
      </x:c>
      <x:c r="DD62" s="118" t="n">
        <x:f>DD15-(DD13+DD11-DD14)</x:f>
      </x:c>
      <x:c r="DE62" s="118" t="n">
        <x:f>DE15-(DE13+DE11-DE14)</x:f>
      </x:c>
      <x:c r="DF62" s="118" t="n">
        <x:f>DF15-(DF13+DF11-DF14)</x:f>
      </x:c>
      <x:c r="DG62" s="118" t="n">
        <x:f>DG15-(DG13+DG11-DG14)</x:f>
      </x:c>
      <x:c r="DH62" s="118" t="n">
        <x:f>DH15-(DH13+DH11-DH14)</x:f>
      </x:c>
      <x:c r="DI62" s="118" t="n">
        <x:f>DI15-(DI13+DI11-DI14)</x:f>
      </x:c>
      <x:c r="DJ62" s="118" t="n">
        <x:f>DJ15-(DJ13+DJ11-DJ14)</x:f>
      </x:c>
      <x:c r="DK62" s="118" t="n">
        <x:f>DK15-(DK13+DK11-DK14)</x:f>
      </x:c>
      <x:c r="DL62" s="118" t="n">
        <x:f>DL15-(DL13+DL11-DL14)</x:f>
      </x:c>
      <x:c r="DM62" s="118" t="n">
        <x:f>DM15-(DM13+DM11-DM14)</x:f>
      </x:c>
      <x:c r="DN62" s="118" t="n">
        <x:f>DN15-(DN13+DN11-DN14)</x:f>
      </x:c>
      <x:c r="DO62" s="118" t="n">
        <x:f>DO15-(DO13+DO11-DO14)</x:f>
      </x:c>
      <x:c r="DP62" s="118" t="n">
        <x:f>DP15-(DP13+DP11-DP14)</x:f>
      </x:c>
      <x:c r="DQ62" s="118" t="n">
        <x:f>DQ15-(DQ13+DQ11-DQ14)</x:f>
      </x:c>
      <x:c r="DR62" s="118" t="n">
        <x:f>DR15-(DR13+DR11-DR14)</x:f>
      </x:c>
      <x:c r="DS62" s="118" t="n">
        <x:f>DS15-(DS13+DS11-DS14)</x:f>
      </x:c>
      <x:c r="DT62" s="118" t="n">
        <x:f>DT15-(DT13+DT11-DT14)</x:f>
      </x:c>
      <x:c r="DU62" s="118" t="n">
        <x:f>DU15-(DU13+DU11-DU14)</x:f>
      </x:c>
      <x:c r="DV62" s="118" t="n">
        <x:f>DV15-(DV13+DV11-DV14)</x:f>
      </x:c>
      <x:c r="DW62" s="118" t="n">
        <x:f>DW15-(DW13+DW11-DW14)</x:f>
      </x:c>
      <x:c r="DX62" s="118" t="n">
        <x:f>DX15-(DX13+DX11-DX14)</x:f>
      </x:c>
      <x:c r="DY62" s="118" t="n">
        <x:f>DY15-(DY13+DY11-DY14)</x:f>
      </x:c>
      <x:c r="DZ62" s="118" t="n">
        <x:f>DZ15-(DZ13+DZ11-DZ14)</x:f>
      </x:c>
      <x:c r="EA62" s="118" t="n">
        <x:f>EA15-(EA13+EA11-EA14)</x:f>
      </x:c>
      <x:c r="EB62" s="118" t="n">
        <x:f>EB15-(EB13+EB11-EB14)</x:f>
      </x:c>
      <x:c r="EC62" s="118" t="n">
        <x:f>EC15-(EC13+EC11-EC14)</x:f>
      </x:c>
      <x:c r="ED62" s="118" t="n">
        <x:f>ED15-(ED13+ED11-ED14)</x:f>
      </x:c>
      <x:c r="EE62" s="118" t="n">
        <x:f>EE15-(EE13+EE11-EE14)</x:f>
      </x:c>
      <x:c r="EF62" s="118" t="n">
        <x:f>EF15-(EF13+EF11-EF14)</x:f>
      </x:c>
      <x:c r="EG62" s="118" t="n">
        <x:f>EG15-(EG13+EG11-EG14)</x:f>
      </x:c>
      <x:c r="EH62" s="118" t="n">
        <x:f>EH15-(EH13+EH11-EH14)</x:f>
      </x:c>
      <x:c r="EI62" s="118" t="n">
        <x:f>EI15-(EI13+EI11-EI14)</x:f>
      </x:c>
      <x:c r="EJ62" s="118" t="n">
        <x:f>EJ15-(EJ13+EJ11-EJ14)</x:f>
      </x:c>
      <x:c r="EK62" s="118" t="n">
        <x:f>EK15-(EK13+EK11-EK14)</x:f>
      </x:c>
      <x:c r="EL62" s="118" t="n">
        <x:f>EL15-(EL13+EL11-EL14)</x:f>
      </x:c>
      <x:c r="EM62" s="118" t="n">
        <x:f>EM15-(EM13+EM11-EM14)</x:f>
      </x:c>
      <x:c r="EN62" s="118" t="n">
        <x:f>EN15-(EN13+EN11-EN14)</x:f>
      </x:c>
      <x:c r="EO62" s="118" t="n">
        <x:f>EO15-(EO13+EO11-EO14)</x:f>
      </x:c>
      <x:c r="EP62" s="118" t="n">
        <x:f>EP15-(EP13+EP11-EP14)</x:f>
      </x:c>
      <x:c r="EQ62" s="118" t="n">
        <x:f>EQ15-(EQ13+EQ11-EQ14)</x:f>
      </x:c>
      <x:c r="ER62" s="118" t="n">
        <x:f>ER15-(ER13+ER11-ER14)</x:f>
      </x:c>
      <x:c r="ES62" s="118" t="n">
        <x:f>ES15-(ES13+ES11-ES14)</x:f>
      </x:c>
      <x:c r="ET62" s="118" t="n">
        <x:f>ET15-(ET13+ET11-ET14)</x:f>
      </x:c>
      <x:c r="EU62" s="118" t="n">
        <x:f>EU15-(EU13+EU11-EU14)</x:f>
      </x:c>
      <x:c r="EV62" s="118" t="n">
        <x:f>EV15-(EV13+EV11-EV14)</x:f>
      </x:c>
      <x:c r="EW62" s="118" t="n">
        <x:f>EW15-(EW13+EW11-EW14)</x:f>
      </x:c>
      <x:c r="EX62" s="118" t="n">
        <x:f>EX15-(EX13+EX11-EX14)</x:f>
      </x:c>
      <x:c r="EY62" s="118" t="n">
        <x:f>EY15-(EY13+EY11-EY14)</x:f>
      </x:c>
      <x:c r="EZ62" s="118" t="n">
        <x:f>EZ15-(EZ13+EZ11-EZ14)</x:f>
      </x:c>
      <x:c r="FA62" s="118" t="n">
        <x:f>FA15-(FA13+FA11-FA14)</x:f>
      </x:c>
      <x:c r="FB62" s="118" t="n">
        <x:f>FB15-(FB13+FB11-FB14)</x:f>
      </x:c>
      <x:c r="FC62" s="118" t="n">
        <x:f>FC15-(FC13+FC11-FC14)</x:f>
      </x:c>
      <x:c r="FD62" s="118" t="n">
        <x:f>FD15-(FD13+FD11-FD14)</x:f>
      </x:c>
      <x:c r="FE62" s="118" t="n">
        <x:f>FE15-(FE13+FE11-FE14)</x:f>
      </x:c>
      <x:c r="FF62" s="118" t="n">
        <x:f>FF15-(FF13+FF11-FF14)</x:f>
      </x:c>
      <x:c r="FG62" s="118" t="n">
        <x:f>FG15-(FG13+FG11-FG14)</x:f>
      </x:c>
      <x:c r="FH62" s="118" t="n">
        <x:f>FH15-(FH13+FH11-FH14)</x:f>
      </x:c>
      <x:c r="FI62" s="118" t="n">
        <x:f>FI15-(FI13+FI11-FI14)</x:f>
      </x:c>
      <x:c r="FJ62" s="118" t="n">
        <x:f>FJ15-(FJ13+FJ11-FJ14)</x:f>
      </x:c>
      <x:c r="FK62" s="118" t="n">
        <x:f>FK15-(FK13+FK11-FK14)</x:f>
      </x:c>
      <x:c r="FL62" s="118" t="n">
        <x:f>FL15-(FL13+FL11-FL14)</x:f>
      </x:c>
      <x:c r="FM62" s="118" t="n">
        <x:f>FM15-(FM13+FM11-FM14)</x:f>
      </x:c>
      <x:c r="FN62" s="118" t="n">
        <x:f>FN15-(FN13+FN11-FN14)</x:f>
      </x:c>
      <x:c r="FO62" s="118" t="n">
        <x:f>FO15-(FO13+FO11-FO14)</x:f>
      </x:c>
      <x:c r="FP62" s="118" t="n">
        <x:f>FP15-(FP13+FP11-FP14)</x:f>
      </x:c>
      <x:c r="FQ62" s="118" t="n">
        <x:f>FQ15-(FQ13+FQ11-FQ14)</x:f>
      </x:c>
      <x:c r="FR62" s="118" t="n">
        <x:f>FR15-(FR13+FR11-FR14)</x:f>
      </x:c>
      <x:c r="FS62" s="118" t="n">
        <x:f>FS15-(FS13+FS11-FS14)</x:f>
      </x:c>
      <x:c r="FT62" s="118" t="n">
        <x:f>FT15-(FT13+FT11-FT14)</x:f>
      </x:c>
      <x:c r="FU62" s="118" t="n">
        <x:f>FU15-(FU13+FU11-FU14)</x:f>
      </x:c>
      <x:c r="FV62" s="118" t="n">
        <x:f>FV15-(FV13+FV11-FV14)</x:f>
      </x:c>
      <x:c r="FW62" s="118" t="n">
        <x:f>FW15-(FW13+FW11-FW14)</x:f>
      </x:c>
      <x:c r="FX62" s="118" t="n">
        <x:f>FX15-(FX13+FX11-FX14)</x:f>
      </x:c>
      <x:c r="FY62" s="118" t="n">
        <x:f>FY15-(FY13+FY11-FY14)</x:f>
      </x:c>
      <x:c r="FZ62" s="118" t="n">
        <x:f>FZ15-(FZ13+FZ11-FZ14)</x:f>
      </x:c>
      <x:c r="GA62" s="118" t="n">
        <x:f>GA15-(GA13+GA11-GA14)</x:f>
      </x:c>
    </x:row>
    <x:row r="63">
      <x:c r="A63" s="128" t="str">
        <x:v>CHECK: дефицит фондирования</x:v>
      </x:c>
      <x:c r="B63" s="128" t="n">
        <x:f>MAX(MAX(D63:GA63),-MIN(D63:GA63))</x:f>
      </x:c>
      <x:c r="C63" s="128" t="str">
        <x:v>млн ₽</x:v>
      </x:c>
      <x:c r="D63" s="118">
        <x:f>D27+D34+D45+D49-D20-D24-D53-D57-D35-D46-D50</x:f>
      </x:c>
      <x:c r="E63" s="118">
        <x:f>E27+E34+E45+E49-E20-E24-E53-E57-E35-E46-E50</x:f>
      </x:c>
      <x:c r="F63" s="118">
        <x:f>F27+F34+F45+F49-F20-F24-F53-F57-F35-F46-F50</x:f>
      </x:c>
      <x:c r="G63" s="118">
        <x:f>G27+G34+G45+G49-G20-G24-G53-G57-G35-G46-G50</x:f>
      </x:c>
      <x:c r="H63" s="118">
        <x:f>H27+H34+H45+H49-H20-H24-H53-H57-H35-H46-H50</x:f>
      </x:c>
      <x:c r="I63" s="118">
        <x:f>I27+I34+I45+I49-I20-I24-I53-I57-I35-I46-I50</x:f>
      </x:c>
      <x:c r="J63" s="118">
        <x:f>J27+J34+J45+J49-J20-J24-J53-J57-J35-J46-J50</x:f>
      </x:c>
      <x:c r="K63" s="118">
        <x:f>K27+K34+K45+K49-K20-K24-K53-K57-K35-K46-K50</x:f>
      </x:c>
      <x:c r="L63" s="118">
        <x:f>L27+L34+L45+L49-L20-L24-L53-L57-L35-L46-L50</x:f>
      </x:c>
      <x:c r="M63" s="118">
        <x:f>M27+M34+M45+M49-M20-M24-M53-M57-M35-M46-M50</x:f>
      </x:c>
      <x:c r="N63" s="118">
        <x:f>N27+N34+N45+N49-N20-N24-N53-N57-N35-N46-N50</x:f>
      </x:c>
      <x:c r="O63" s="118">
        <x:f>O27+O34+O45+O49-O20-O24-O53-O57-O35-O46-O50</x:f>
      </x:c>
      <x:c r="P63" s="118">
        <x:f>P27+P34+P45+P49-P20-P24-P53-P57-P35-P46-P50</x:f>
      </x:c>
      <x:c r="Q63" s="118">
        <x:f>Q27+Q34+Q45+Q49-Q20-Q24-Q53-Q57-Q35-Q46-Q50</x:f>
      </x:c>
      <x:c r="R63" s="118">
        <x:f>R27+R34+R45+R49-R20-R24-R53-R57-R35-R46-R50</x:f>
      </x:c>
      <x:c r="S63" s="118">
        <x:f>S27+S34+S45+S49-S20-S24-S53-S57-S35-S46-S50</x:f>
      </x:c>
      <x:c r="T63" s="118">
        <x:f>T27+T34+T45+T49-T20-T24-T53-T57-T35-T46-T50</x:f>
      </x:c>
      <x:c r="U63" s="118">
        <x:f>U27+U34+U45+U49-U20-U24-U53-U57-U35-U46-U50</x:f>
      </x:c>
      <x:c r="V63" s="118">
        <x:f>V27+V34+V45+V49-V20-V24-V53-V57-V35-V46-V50</x:f>
      </x:c>
      <x:c r="W63" s="118">
        <x:f>W27+W34+W45+W49-W20-W24-W53-W57-W35-W46-W50</x:f>
      </x:c>
      <x:c r="X63" s="118">
        <x:f>X27+X34+X45+X49-X20-X24-X53-X57-X35-X46-X50</x:f>
      </x:c>
      <x:c r="Y63" s="118">
        <x:f>Y27+Y34+Y45+Y49-Y20-Y24-Y53-Y57-Y35-Y46-Y50</x:f>
      </x:c>
      <x:c r="Z63" s="118">
        <x:f>Z27+Z34+Z45+Z49-Z20-Z24-Z53-Z57-Z35-Z46-Z50</x:f>
      </x:c>
      <x:c r="AA63" s="118">
        <x:f>AA27+AA34+AA45+AA49-AA20-AA24-AA53-AA57-AA35-AA46-AA50</x:f>
      </x:c>
      <x:c r="AB63" s="118">
        <x:f>AB27+AB34+AB45+AB49-AB20-AB24-AB53-AB57-AB35-AB46-AB50</x:f>
      </x:c>
      <x:c r="AC63" s="118">
        <x:f>AC27+AC34+AC45+AC49-AC20-AC24-AC53-AC57-AC35-AC46-AC50</x:f>
      </x:c>
      <x:c r="AD63" s="118">
        <x:f>AD27+AD34+AD45+AD49-AD20-AD24-AD53-AD57-AD35-AD46-AD50</x:f>
      </x:c>
      <x:c r="AE63" s="118">
        <x:f>AE27+AE34+AE45+AE49-AE20-AE24-AE53-AE57-AE35-AE46-AE50</x:f>
      </x:c>
      <x:c r="AF63" s="118">
        <x:f>AF27+AF34+AF45+AF49-AF20-AF24-AF53-AF57-AF35-AF46-AF50</x:f>
      </x:c>
      <x:c r="AG63" s="118">
        <x:f>AG27+AG34+AG45+AG49-AG20-AG24-AG53-AG57-AG35-AG46-AG50</x:f>
      </x:c>
      <x:c r="AH63" s="118">
        <x:f>AH27+AH34+AH45+AH49-AH20-AH24-AH53-AH57-AH35-AH46-AH50</x:f>
      </x:c>
      <x:c r="AI63" s="118">
        <x:f>AI27+AI34+AI45+AI49-AI20-AI24-AI53-AI57-AI35-AI46-AI50</x:f>
      </x:c>
      <x:c r="AJ63" s="118">
        <x:f>AJ27+AJ34+AJ45+AJ49-AJ20-AJ24-AJ53-AJ57-AJ35-AJ46-AJ50</x:f>
      </x:c>
      <x:c r="AK63" s="118">
        <x:f>AK27+AK34+AK45+AK49-AK20-AK24-AK53-AK57-AK35-AK46-AK50</x:f>
      </x:c>
      <x:c r="AL63" s="118">
        <x:f>AL27+AL34+AL45+AL49-AL20-AL24-AL53-AL57-AL35-AL46-AL50</x:f>
      </x:c>
      <x:c r="AM63" s="118">
        <x:f>AM27+AM34+AM45+AM49-AM20-AM24-AM53-AM57-AM35-AM46-AM50</x:f>
      </x:c>
      <x:c r="AN63" s="118">
        <x:f>AN27+AN34+AN45+AN49-AN20-AN24-AN53-AN57-AN35-AN46-AN50</x:f>
      </x:c>
      <x:c r="AO63" s="118">
        <x:f>AO27+AO34+AO45+AO49-AO20-AO24-AO53-AO57-AO35-AO46-AO50</x:f>
      </x:c>
      <x:c r="AP63" s="118">
        <x:f>AP27+AP34+AP45+AP49-AP20-AP24-AP53-AP57-AP35-AP46-AP50</x:f>
      </x:c>
      <x:c r="AQ63" s="118">
        <x:f>AQ27+AQ34+AQ45+AQ49-AQ20-AQ24-AQ53-AQ57-AQ35-AQ46-AQ50</x:f>
      </x:c>
      <x:c r="AR63" s="118">
        <x:f>AR27+AR34+AR45+AR49-AR20-AR24-AR53-AR57-AR35-AR46-AR50</x:f>
      </x:c>
      <x:c r="AS63" s="118">
        <x:f>AS27+AS34+AS45+AS49-AS20-AS24-AS53-AS57-AS35-AS46-AS50</x:f>
      </x:c>
      <x:c r="AT63" s="118">
        <x:f>AT27+AT34+AT45+AT49-AT20-AT24-AT53-AT57-AT35-AT46-AT50</x:f>
      </x:c>
      <x:c r="AU63" s="118">
        <x:f>AU27+AU34+AU45+AU49-AU20-AU24-AU53-AU57-AU35-AU46-AU50</x:f>
      </x:c>
      <x:c r="AV63" s="118">
        <x:f>AV27+AV34+AV45+AV49-AV20-AV24-AV53-AV57-AV35-AV46-AV50</x:f>
      </x:c>
      <x:c r="AW63" s="118">
        <x:f>AW27+AW34+AW45+AW49-AW20-AW24-AW53-AW57-AW35-AW46-AW50</x:f>
      </x:c>
      <x:c r="AX63" s="118">
        <x:f>AX27+AX34+AX45+AX49-AX20-AX24-AX53-AX57-AX35-AX46-AX50</x:f>
      </x:c>
      <x:c r="AY63" s="118">
        <x:f>AY27+AY34+AY45+AY49-AY20-AY24-AY53-AY57-AY35-AY46-AY50</x:f>
      </x:c>
      <x:c r="AZ63" s="118">
        <x:f>AZ27+AZ34+AZ45+AZ49-AZ20-AZ24-AZ53-AZ57-AZ35-AZ46-AZ50</x:f>
      </x:c>
      <x:c r="BA63" s="118">
        <x:f>BA27+BA34+BA45+BA49-BA20-BA24-BA53-BA57-BA35-BA46-BA50</x:f>
      </x:c>
      <x:c r="BB63" s="118">
        <x:f>BB27+BB34+BB45+BB49-BB20-BB24-BB53-BB57-BB35-BB46-BB50</x:f>
      </x:c>
      <x:c r="BC63" s="118">
        <x:f>BC27+BC34+BC45+BC49-BC20-BC24-BC53-BC57-BC35-BC46-BC50</x:f>
      </x:c>
      <x:c r="BD63" s="118">
        <x:f>BD27+BD34+BD45+BD49-BD20-BD24-BD53-BD57-BD35-BD46-BD50</x:f>
      </x:c>
      <x:c r="BE63" s="118">
        <x:f>BE27+BE34+BE45+BE49-BE20-BE24-BE53-BE57-BE35-BE46-BE50</x:f>
      </x:c>
      <x:c r="BF63" s="118">
        <x:f>BF27+BF34+BF45+BF49-BF20-BF24-BF53-BF57-BF35-BF46-BF50</x:f>
      </x:c>
      <x:c r="BG63" s="118">
        <x:f>BG27+BG34+BG45+BG49-BG20-BG24-BG53-BG57-BG35-BG46-BG50</x:f>
      </x:c>
      <x:c r="BH63" s="118">
        <x:f>BH27+BH34+BH45+BH49-BH20-BH24-BH53-BH57-BH35-BH46-BH50</x:f>
      </x:c>
      <x:c r="BI63" s="118">
        <x:f>BI27+BI34+BI45+BI49-BI20-BI24-BI53-BI57-BI35-BI46-BI50</x:f>
      </x:c>
      <x:c r="BJ63" s="118">
        <x:f>BJ27+BJ34+BJ45+BJ49-BJ20-BJ24-BJ53-BJ57-BJ35-BJ46-BJ50</x:f>
      </x:c>
      <x:c r="BK63" s="118">
        <x:f>BK27+BK34+BK45+BK49-BK20-BK24-BK53-BK57-BK35-BK46-BK50</x:f>
      </x:c>
      <x:c r="BL63" s="118">
        <x:f>BL27+BL34+BL45+BL49-BL20-BL24-BL53-BL57-BL35-BL46-BL50</x:f>
      </x:c>
      <x:c r="BM63" s="118">
        <x:f>BM27+BM34+BM45+BM49-BM20-BM24-BM53-BM57-BM35-BM46-BM50</x:f>
      </x:c>
      <x:c r="BN63" s="118">
        <x:f>BN27+BN34+BN45+BN49-BN20-BN24-BN53-BN57-BN35-BN46-BN50</x:f>
      </x:c>
      <x:c r="BO63" s="118">
        <x:f>BO27+BO34+BO45+BO49-BO20-BO24-BO53-BO57-BO35-BO46-BO50</x:f>
      </x:c>
      <x:c r="BP63" s="118">
        <x:f>BP27+BP34+BP45+BP49-BP20-BP24-BP53-BP57-BP35-BP46-BP50</x:f>
      </x:c>
      <x:c r="BQ63" s="118">
        <x:f>BQ27+BQ34+BQ45+BQ49-BQ20-BQ24-BQ53-BQ57-BQ35-BQ46-BQ50</x:f>
      </x:c>
      <x:c r="BR63" s="118">
        <x:f>BR27+BR34+BR45+BR49-BR20-BR24-BR53-BR57-BR35-BR46-BR50</x:f>
      </x:c>
      <x:c r="BS63" s="118">
        <x:f>BS27+BS34+BS45+BS49-BS20-BS24-BS53-BS57-BS35-BS46-BS50</x:f>
      </x:c>
      <x:c r="BT63" s="118">
        <x:f>BT27+BT34+BT45+BT49-BT20-BT24-BT53-BT57-BT35-BT46-BT50</x:f>
      </x:c>
      <x:c r="BU63" s="118">
        <x:f>BU27+BU34+BU45+BU49-BU20-BU24-BU53-BU57-BU35-BU46-BU50</x:f>
      </x:c>
      <x:c r="BV63" s="118">
        <x:f>BV27+BV34+BV45+BV49-BV20-BV24-BV53-BV57-BV35-BV46-BV50</x:f>
      </x:c>
      <x:c r="BW63" s="118">
        <x:f>BW27+BW34+BW45+BW49-BW20-BW24-BW53-BW57-BW35-BW46-BW50</x:f>
      </x:c>
      <x:c r="BX63" s="118">
        <x:f>BX27+BX34+BX45+BX49-BX20-BX24-BX53-BX57-BX35-BX46-BX50</x:f>
      </x:c>
      <x:c r="BY63" s="118">
        <x:f>BY27+BY34+BY45+BY49-BY20-BY24-BY53-BY57-BY35-BY46-BY50</x:f>
      </x:c>
      <x:c r="BZ63" s="118">
        <x:f>BZ27+BZ34+BZ45+BZ49-BZ20-BZ24-BZ53-BZ57-BZ35-BZ46-BZ50</x:f>
      </x:c>
      <x:c r="CA63" s="118">
        <x:f>CA27+CA34+CA45+CA49-CA20-CA24-CA53-CA57-CA35-CA46-CA50</x:f>
      </x:c>
      <x:c r="CB63" s="118">
        <x:f>CB27+CB34+CB45+CB49-CB20-CB24-CB53-CB57-CB35-CB46-CB50</x:f>
      </x:c>
      <x:c r="CC63" s="118">
        <x:f>CC27+CC34+CC45+CC49-CC20-CC24-CC53-CC57-CC35-CC46-CC50</x:f>
      </x:c>
      <x:c r="CD63" s="118">
        <x:f>CD27+CD34+CD45+CD49-CD20-CD24-CD53-CD57-CD35-CD46-CD50</x:f>
      </x:c>
      <x:c r="CE63" s="118">
        <x:f>CE27+CE34+CE45+CE49-CE20-CE24-CE53-CE57-CE35-CE46-CE50</x:f>
      </x:c>
      <x:c r="CF63" s="118">
        <x:f>CF27+CF34+CF45+CF49-CF20-CF24-CF53-CF57-CF35-CF46-CF50</x:f>
      </x:c>
      <x:c r="CG63" s="118">
        <x:f>CG27+CG34+CG45+CG49-CG20-CG24-CG53-CG57-CG35-CG46-CG50</x:f>
      </x:c>
      <x:c r="CH63" s="118">
        <x:f>CH27+CH34+CH45+CH49-CH20-CH24-CH53-CH57-CH35-CH46-CH50</x:f>
      </x:c>
      <x:c r="CI63" s="118">
        <x:f>CI27+CI34+CI45+CI49-CI20-CI24-CI53-CI57-CI35-CI46-CI50</x:f>
      </x:c>
      <x:c r="CJ63" s="118">
        <x:f>CJ27+CJ34+CJ45+CJ49-CJ20-CJ24-CJ53-CJ57-CJ35-CJ46-CJ50</x:f>
      </x:c>
      <x:c r="CK63" s="118">
        <x:f>CK27+CK34+CK45+CK49-CK20-CK24-CK53-CK57-CK35-CK46-CK50</x:f>
      </x:c>
      <x:c r="CL63" s="118">
        <x:f>CL27+CL34+CL45+CL49-CL20-CL24-CL53-CL57-CL35-CL46-CL50</x:f>
      </x:c>
      <x:c r="CM63" s="118">
        <x:f>CM27+CM34+CM45+CM49-CM20-CM24-CM53-CM57-CM35-CM46-CM50</x:f>
      </x:c>
      <x:c r="CN63" s="118">
        <x:f>CN27+CN34+CN45+CN49-CN20-CN24-CN53-CN57-CN35-CN46-CN50</x:f>
      </x:c>
      <x:c r="CO63" s="118">
        <x:f>CO27+CO34+CO45+CO49-CO20-CO24-CO53-CO57-CO35-CO46-CO50</x:f>
      </x:c>
      <x:c r="CP63" s="118">
        <x:f>CP27+CP34+CP45+CP49-CP20-CP24-CP53-CP57-CP35-CP46-CP50</x:f>
      </x:c>
      <x:c r="CQ63" s="118">
        <x:f>CQ27+CQ34+CQ45+CQ49-CQ20-CQ24-CQ53-CQ57-CQ35-CQ46-CQ50</x:f>
      </x:c>
      <x:c r="CR63" s="118">
        <x:f>CR27+CR34+CR45+CR49-CR20-CR24-CR53-CR57-CR35-CR46-CR50</x:f>
      </x:c>
      <x:c r="CS63" s="118">
        <x:f>CS27+CS34+CS45+CS49-CS20-CS24-CS53-CS57-CS35-CS46-CS50</x:f>
      </x:c>
      <x:c r="CT63" s="118">
        <x:f>CT27+CT34+CT45+CT49-CT20-CT24-CT53-CT57-CT35-CT46-CT50</x:f>
      </x:c>
      <x:c r="CU63" s="118">
        <x:f>CU27+CU34+CU45+CU49-CU20-CU24-CU53-CU57-CU35-CU46-CU50</x:f>
      </x:c>
      <x:c r="CV63" s="118">
        <x:f>CV27+CV34+CV45+CV49-CV20-CV24-CV53-CV57-CV35-CV46-CV50</x:f>
      </x:c>
      <x:c r="CW63" s="118">
        <x:f>CW27+CW34+CW45+CW49-CW20-CW24-CW53-CW57-CW35-CW46-CW50</x:f>
      </x:c>
      <x:c r="CX63" s="118">
        <x:f>CX27+CX34+CX45+CX49-CX20-CX24-CX53-CX57-CX35-CX46-CX50</x:f>
      </x:c>
      <x:c r="CY63" s="118">
        <x:f>CY27+CY34+CY45+CY49-CY20-CY24-CY53-CY57-CY35-CY46-CY50</x:f>
      </x:c>
      <x:c r="CZ63" s="118">
        <x:f>CZ27+CZ34+CZ45+CZ49-CZ20-CZ24-CZ53-CZ57-CZ35-CZ46-CZ50</x:f>
      </x:c>
      <x:c r="DA63" s="118">
        <x:f>DA27+DA34+DA45+DA49-DA20-DA24-DA53-DA57-DA35-DA46-DA50</x:f>
      </x:c>
      <x:c r="DB63" s="118">
        <x:f>DB27+DB34+DB45+DB49-DB20-DB24-DB53-DB57-DB35-DB46-DB50</x:f>
      </x:c>
      <x:c r="DC63" s="118">
        <x:f>DC27+DC34+DC45+DC49-DC20-DC24-DC53-DC57-DC35-DC46-DC50</x:f>
      </x:c>
      <x:c r="DD63" s="118">
        <x:f>DD27+DD34+DD45+DD49-DD20-DD24-DD53-DD57-DD35-DD46-DD50</x:f>
      </x:c>
      <x:c r="DE63" s="118">
        <x:f>DE27+DE34+DE45+DE49-DE20-DE24-DE53-DE57-DE35-DE46-DE50</x:f>
      </x:c>
      <x:c r="DF63" s="118">
        <x:f>DF27+DF34+DF45+DF49-DF20-DF24-DF53-DF57-DF35-DF46-DF50</x:f>
      </x:c>
      <x:c r="DG63" s="118">
        <x:f>DG27+DG34+DG45+DG49-DG20-DG24-DG53-DG57-DG35-DG46-DG50</x:f>
      </x:c>
      <x:c r="DH63" s="118">
        <x:f>DH27+DH34+DH45+DH49-DH20-DH24-DH53-DH57-DH35-DH46-DH50</x:f>
      </x:c>
      <x:c r="DI63" s="118">
        <x:f>DI27+DI34+DI45+DI49-DI20-DI24-DI53-DI57-DI35-DI46-DI50</x:f>
      </x:c>
      <x:c r="DJ63" s="118">
        <x:f>DJ27+DJ34+DJ45+DJ49-DJ20-DJ24-DJ53-DJ57-DJ35-DJ46-DJ50</x:f>
      </x:c>
      <x:c r="DK63" s="118">
        <x:f>DK27+DK34+DK45+DK49-DK20-DK24-DK53-DK57-DK35-DK46-DK50</x:f>
      </x:c>
      <x:c r="DL63" s="118">
        <x:f>DL27+DL34+DL45+DL49-DL20-DL24-DL53-DL57-DL35-DL46-DL50</x:f>
      </x:c>
      <x:c r="DM63" s="118">
        <x:f>DM27+DM34+DM45+DM49-DM20-DM24-DM53-DM57-DM35-DM46-DM50</x:f>
      </x:c>
      <x:c r="DN63" s="118">
        <x:f>DN27+DN34+DN45+DN49-DN20-DN24-DN53-DN57-DN35-DN46-DN50</x:f>
      </x:c>
      <x:c r="DO63" s="118">
        <x:f>DO27+DO34+DO45+DO49-DO20-DO24-DO53-DO57-DO35-DO46-DO50</x:f>
      </x:c>
      <x:c r="DP63" s="118">
        <x:f>DP27+DP34+DP45+DP49-DP20-DP24-DP53-DP57-DP35-DP46-DP50</x:f>
      </x:c>
      <x:c r="DQ63" s="118">
        <x:f>DQ27+DQ34+DQ45+DQ49-DQ20-DQ24-DQ53-DQ57-DQ35-DQ46-DQ50</x:f>
      </x:c>
      <x:c r="DR63" s="118">
        <x:f>DR27+DR34+DR45+DR49-DR20-DR24-DR53-DR57-DR35-DR46-DR50</x:f>
      </x:c>
      <x:c r="DS63" s="118">
        <x:f>DS27+DS34+DS45+DS49-DS20-DS24-DS53-DS57-DS35-DS46-DS50</x:f>
      </x:c>
      <x:c r="DT63" s="118">
        <x:f>DT27+DT34+DT45+DT49-DT20-DT24-DT53-DT57-DT35-DT46-DT50</x:f>
      </x:c>
      <x:c r="DU63" s="118">
        <x:f>DU27+DU34+DU45+DU49-DU20-DU24-DU53-DU57-DU35-DU46-DU50</x:f>
      </x:c>
      <x:c r="DV63" s="118">
        <x:f>DV27+DV34+DV45+DV49-DV20-DV24-DV53-DV57-DV35-DV46-DV50</x:f>
      </x:c>
      <x:c r="DW63" s="118">
        <x:f>DW27+DW34+DW45+DW49-DW20-DW24-DW53-DW57-DW35-DW46-DW50</x:f>
      </x:c>
      <x:c r="DX63" s="118">
        <x:f>DX27+DX34+DX45+DX49-DX20-DX24-DX53-DX57-DX35-DX46-DX50</x:f>
      </x:c>
      <x:c r="DY63" s="118">
        <x:f>DY27+DY34+DY45+DY49-DY20-DY24-DY53-DY57-DY35-DY46-DY50</x:f>
      </x:c>
      <x:c r="DZ63" s="118">
        <x:f>DZ27+DZ34+DZ45+DZ49-DZ20-DZ24-DZ53-DZ57-DZ35-DZ46-DZ50</x:f>
      </x:c>
      <x:c r="EA63" s="118">
        <x:f>EA27+EA34+EA45+EA49-EA20-EA24-EA53-EA57-EA35-EA46-EA50</x:f>
      </x:c>
      <x:c r="EB63" s="118">
        <x:f>EB27+EB34+EB45+EB49-EB20-EB24-EB53-EB57-EB35-EB46-EB50</x:f>
      </x:c>
      <x:c r="EC63" s="118">
        <x:f>EC27+EC34+EC45+EC49-EC20-EC24-EC53-EC57-EC35-EC46-EC50</x:f>
      </x:c>
      <x:c r="ED63" s="118">
        <x:f>ED27+ED34+ED45+ED49-ED20-ED24-ED53-ED57-ED35-ED46-ED50</x:f>
      </x:c>
      <x:c r="EE63" s="118">
        <x:f>EE27+EE34+EE45+EE49-EE20-EE24-EE53-EE57-EE35-EE46-EE50</x:f>
      </x:c>
      <x:c r="EF63" s="118">
        <x:f>EF27+EF34+EF45+EF49-EF20-EF24-EF53-EF57-EF35-EF46-EF50</x:f>
      </x:c>
      <x:c r="EG63" s="118">
        <x:f>EG27+EG34+EG45+EG49-EG20-EG24-EG53-EG57-EG35-EG46-EG50</x:f>
      </x:c>
      <x:c r="EH63" s="118">
        <x:f>EH27+EH34+EH45+EH49-EH20-EH24-EH53-EH57-EH35-EH46-EH50</x:f>
      </x:c>
      <x:c r="EI63" s="118">
        <x:f>EI27+EI34+EI45+EI49-EI20-EI24-EI53-EI57-EI35-EI46-EI50</x:f>
      </x:c>
      <x:c r="EJ63" s="118">
        <x:f>EJ27+EJ34+EJ45+EJ49-EJ20-EJ24-EJ53-EJ57-EJ35-EJ46-EJ50</x:f>
      </x:c>
      <x:c r="EK63" s="118">
        <x:f>EK27+EK34+EK45+EK49-EK20-EK24-EK53-EK57-EK35-EK46-EK50</x:f>
      </x:c>
      <x:c r="EL63" s="118">
        <x:f>EL27+EL34+EL45+EL49-EL20-EL24-EL53-EL57-EL35-EL46-EL50</x:f>
      </x:c>
      <x:c r="EM63" s="118">
        <x:f>EM27+EM34+EM45+EM49-EM20-EM24-EM53-EM57-EM35-EM46-EM50</x:f>
      </x:c>
      <x:c r="EN63" s="118">
        <x:f>EN27+EN34+EN45+EN49-EN20-EN24-EN53-EN57-EN35-EN46-EN50</x:f>
      </x:c>
      <x:c r="EO63" s="118">
        <x:f>EO27+EO34+EO45+EO49-EO20-EO24-EO53-EO57-EO35-EO46-EO50</x:f>
      </x:c>
      <x:c r="EP63" s="118">
        <x:f>EP27+EP34+EP45+EP49-EP20-EP24-EP53-EP57-EP35-EP46-EP50</x:f>
      </x:c>
      <x:c r="EQ63" s="118">
        <x:f>EQ27+EQ34+EQ45+EQ49-EQ20-EQ24-EQ53-EQ57-EQ35-EQ46-EQ50</x:f>
      </x:c>
      <x:c r="ER63" s="118">
        <x:f>ER27+ER34+ER45+ER49-ER20-ER24-ER53-ER57-ER35-ER46-ER50</x:f>
      </x:c>
      <x:c r="ES63" s="118">
        <x:f>ES27+ES34+ES45+ES49-ES20-ES24-ES53-ES57-ES35-ES46-ES50</x:f>
      </x:c>
      <x:c r="ET63" s="118">
        <x:f>ET27+ET34+ET45+ET49-ET20-ET24-ET53-ET57-ET35-ET46-ET50</x:f>
      </x:c>
      <x:c r="EU63" s="118">
        <x:f>EU27+EU34+EU45+EU49-EU20-EU24-EU53-EU57-EU35-EU46-EU50</x:f>
      </x:c>
      <x:c r="EV63" s="118">
        <x:f>EV27+EV34+EV45+EV49-EV20-EV24-EV53-EV57-EV35-EV46-EV50</x:f>
      </x:c>
      <x:c r="EW63" s="118">
        <x:f>EW27+EW34+EW45+EW49-EW20-EW24-EW53-EW57-EW35-EW46-EW50</x:f>
      </x:c>
      <x:c r="EX63" s="118">
        <x:f>EX27+EX34+EX45+EX49-EX20-EX24-EX53-EX57-EX35-EX46-EX50</x:f>
      </x:c>
      <x:c r="EY63" s="118">
        <x:f>EY27+EY34+EY45+EY49-EY20-EY24-EY53-EY57-EY35-EY46-EY50</x:f>
      </x:c>
      <x:c r="EZ63" s="118">
        <x:f>EZ27+EZ34+EZ45+EZ49-EZ20-EZ24-EZ53-EZ57-EZ35-EZ46-EZ50</x:f>
      </x:c>
      <x:c r="FA63" s="118">
        <x:f>FA27+FA34+FA45+FA49-FA20-FA24-FA53-FA57-FA35-FA46-FA50</x:f>
      </x:c>
      <x:c r="FB63" s="118">
        <x:f>FB27+FB34+FB45+FB49-FB20-FB24-FB53-FB57-FB35-FB46-FB50</x:f>
      </x:c>
      <x:c r="FC63" s="118">
        <x:f>FC27+FC34+FC45+FC49-FC20-FC24-FC53-FC57-FC35-FC46-FC50</x:f>
      </x:c>
      <x:c r="FD63" s="118">
        <x:f>FD27+FD34+FD45+FD49-FD20-FD24-FD53-FD57-FD35-FD46-FD50</x:f>
      </x:c>
      <x:c r="FE63" s="118">
        <x:f>FE27+FE34+FE45+FE49-FE20-FE24-FE53-FE57-FE35-FE46-FE50</x:f>
      </x:c>
      <x:c r="FF63" s="118">
        <x:f>FF27+FF34+FF45+FF49-FF20-FF24-FF53-FF57-FF35-FF46-FF50</x:f>
      </x:c>
      <x:c r="FG63" s="118">
        <x:f>FG27+FG34+FG45+FG49-FG20-FG24-FG53-FG57-FG35-FG46-FG50</x:f>
      </x:c>
      <x:c r="FH63" s="118">
        <x:f>FH27+FH34+FH45+FH49-FH20-FH24-FH53-FH57-FH35-FH46-FH50</x:f>
      </x:c>
      <x:c r="FI63" s="118">
        <x:f>FI27+FI34+FI45+FI49-FI20-FI24-FI53-FI57-FI35-FI46-FI50</x:f>
      </x:c>
      <x:c r="FJ63" s="118">
        <x:f>FJ27+FJ34+FJ45+FJ49-FJ20-FJ24-FJ53-FJ57-FJ35-FJ46-FJ50</x:f>
      </x:c>
      <x:c r="FK63" s="118">
        <x:f>FK27+FK34+FK45+FK49-FK20-FK24-FK53-FK57-FK35-FK46-FK50</x:f>
      </x:c>
      <x:c r="FL63" s="118">
        <x:f>FL27+FL34+FL45+FL49-FL20-FL24-FL53-FL57-FL35-FL46-FL50</x:f>
      </x:c>
      <x:c r="FM63" s="118">
        <x:f>FM27+FM34+FM45+FM49-FM20-FM24-FM53-FM57-FM35-FM46-FM50</x:f>
      </x:c>
      <x:c r="FN63" s="118">
        <x:f>FN27+FN34+FN45+FN49-FN20-FN24-FN53-FN57-FN35-FN46-FN50</x:f>
      </x:c>
      <x:c r="FO63" s="118">
        <x:f>FO27+FO34+FO45+FO49-FO20-FO24-FO53-FO57-FO35-FO46-FO50</x:f>
      </x:c>
      <x:c r="FP63" s="118">
        <x:f>FP27+FP34+FP45+FP49-FP20-FP24-FP53-FP57-FP35-FP46-FP50</x:f>
      </x:c>
      <x:c r="FQ63" s="118">
        <x:f>FQ27+FQ34+FQ45+FQ49-FQ20-FQ24-FQ53-FQ57-FQ35-FQ46-FQ50</x:f>
      </x:c>
      <x:c r="FR63" s="118">
        <x:f>FR27+FR34+FR45+FR49-FR20-FR24-FR53-FR57-FR35-FR46-FR50</x:f>
      </x:c>
      <x:c r="FS63" s="118">
        <x:f>FS27+FS34+FS45+FS49-FS20-FS24-FS53-FS57-FS35-FS46-FS50</x:f>
      </x:c>
      <x:c r="FT63" s="118">
        <x:f>FT27+FT34+FT45+FT49-FT20-FT24-FT53-FT57-FT35-FT46-FT50</x:f>
      </x:c>
      <x:c r="FU63" s="118">
        <x:f>FU27+FU34+FU45+FU49-FU20-FU24-FU53-FU57-FU35-FU46-FU50</x:f>
      </x:c>
      <x:c r="FV63" s="118">
        <x:f>FV27+FV34+FV45+FV49-FV20-FV24-FV53-FV57-FV35-FV46-FV50</x:f>
      </x:c>
      <x:c r="FW63" s="118">
        <x:f>FW27+FW34+FW45+FW49-FW20-FW24-FW53-FW57-FW35-FW46-FW50</x:f>
      </x:c>
      <x:c r="FX63" s="118">
        <x:f>FX27+FX34+FX45+FX49-FX20-FX24-FX53-FX57-FX35-FX46-FX50</x:f>
      </x:c>
      <x:c r="FY63" s="118">
        <x:f>FY27+FY34+FY45+FY49-FY20-FY24-FY53-FY57-FY35-FY46-FY50</x:f>
      </x:c>
      <x:c r="FZ63" s="118">
        <x:f>FZ27+FZ34+FZ45+FZ49-FZ20-FZ24-FZ53-FZ57-FZ35-FZ46-FZ50</x:f>
      </x:c>
      <x:c r="GA63" s="118">
        <x:f>GA27+GA34+GA45+GA49-GA20-GA24-GA53-GA57-GA35-GA46-GA50</x:f>
      </x:c>
    </x:row>
    <x:row r="66" ht="21" customHeight="1">
      <x:c r="A66" s="52" t="str">
        <x:v>СВОДКА ОЧЕРЕДИ 3</x:v>
      </x:c>
      <x:c r="B66" s="53" t="str">
        <x:v>СВОДКА ОЧЕРЕДИ 3</x:v>
      </x:c>
      <x:c r="C66" s="54" t="str">
        <x:v>СВОДКА ОЧЕРЕДИ 3</x:v>
      </x:c>
    </x:row>
    <x:row r="67">
      <x:c r="A67" s="99" t="str">
        <x:v>Выручка</x:v>
      </x:c>
      <x:c r="B67" s="116" t="n">
        <x:f>B10</x:f>
      </x:c>
      <x:c r="C67" s="99" t="str">
        <x:v>млн ₽</x:v>
      </x:c>
    </x:row>
    <x:row r="68">
      <x:c r="A68" s="99" t="str">
        <x:v>CAPEX</x:v>
      </x:c>
      <x:c r="B68" s="116" t="n">
        <x:f>B17</x:f>
      </x:c>
      <x:c r="C68" s="99" t="str">
        <x:v>млн ₽</x:v>
      </x:c>
    </x:row>
    <x:row r="69">
      <x:c r="A69" s="99" t="str">
        <x:v>Коммерческие расходы</x:v>
      </x:c>
      <x:c r="B69" s="116" t="n">
        <x:f>SUM(B18:B19)</x:f>
      </x:c>
      <x:c r="C69" s="99" t="str">
        <x:v>млн ₽</x:v>
      </x:c>
    </x:row>
    <x:row r="70">
      <x:c r="A70" s="99" t="str">
        <x:v>EBITDA</x:v>
      </x:c>
      <x:c r="B70" s="116" t="n">
        <x:f>B10-B20</x:f>
      </x:c>
      <x:c r="C70" s="99" t="str">
        <x:v>млн ₽</x:v>
      </x:c>
    </x:row>
    <x:row r="71">
      <x:c r="A71" s="99" t="str">
        <x:v>Проценты БРИДЖ</x:v>
      </x:c>
      <x:c r="B71" s="116" t="n">
        <x:f>B32</x:f>
      </x:c>
      <x:c r="C71" s="99" t="str">
        <x:v>млн ₽</x:v>
      </x:c>
    </x:row>
    <x:row r="72">
      <x:c r="A72" s="99" t="str">
        <x:v>Проценты ПФ</x:v>
      </x:c>
      <x:c r="B72" s="116" t="n">
        <x:f>B42</x:f>
      </x:c>
      <x:c r="C72" s="99" t="str">
        <x:v>млн ₽</x:v>
      </x:c>
    </x:row>
    <x:row r="73">
      <x:c r="A73" s="99" t="str">
        <x:v>Комиссии ПФ</x:v>
      </x:c>
      <x:c r="B73" s="116" t="n">
        <x:f>B43</x:f>
      </x:c>
      <x:c r="C73" s="99" t="str">
        <x:v>млн ₽</x:v>
      </x:c>
    </x:row>
    <x:row r="74">
      <x:c r="A74" s="99" t="str">
        <x:v>Стоимость финансирования (кассовая)</x:v>
      </x:c>
      <x:c r="B74" s="116" t="n">
        <x:f>SUM(B53,B57)+IF('Вводные'!$B$31="Оплата капиталом",MAX(D37:GA37),0)</x:f>
      </x:c>
      <x:c r="C74" s="99" t="str">
        <x:v>млн ₽</x:v>
      </x:c>
    </x:row>
    <x:row r="75">
      <x:c r="A75" s="99" t="str">
        <x:v>Прибыль до налога</x:v>
      </x:c>
      <x:c r="B75" s="116" t="n">
        <x:f>B10-B20-B74</x:f>
      </x:c>
      <x:c r="C75" s="99" t="str">
        <x:v>млн ₽</x:v>
      </x:c>
    </x:row>
    <x:row r="76">
      <x:c r="A76" s="99" t="str">
        <x:v>Налог на прибыль</x:v>
      </x:c>
      <x:c r="B76" s="116" t="n">
        <x:f>B24</x:f>
      </x:c>
      <x:c r="C76" s="99" t="str">
        <x:v>млн ₽</x:v>
      </x:c>
    </x:row>
    <x:row r="77">
      <x:c r="A77" s="99" t="str">
        <x:v>Чистая прибыль (кассовая по очереди)</x:v>
      </x:c>
      <x:c r="B77" s="116" t="n">
        <x:f>B75-B76-B21</x:f>
      </x:c>
      <x:c r="C77" s="99" t="str">
        <x:v>млн ₽</x:v>
      </x:c>
    </x:row>
    <x:row r="78">
      <x:c r="A78" s="99" t="str">
        <x:v>Вложено собственного капитала</x:v>
      </x:c>
      <x:c r="B78" s="116" t="n">
        <x:f>B49</x:f>
      </x:c>
      <x:c r="C78" s="99" t="str">
        <x:v>млн ₽</x:v>
      </x:c>
    </x:row>
    <x:row r="79">
      <x:c r="A79" s="99" t="str">
        <x:v>Распределено собственнику</x:v>
      </x:c>
      <x:c r="B79" s="116" t="n">
        <x:f>B50</x:f>
      </x:c>
      <x:c r="C79" s="99" t="str">
        <x:v>млн ₽</x:v>
      </x:c>
    </x:row>
    <x:row r="80">
      <x:c r="A80" s="99" t="str">
        <x:v>IRR собственного капитала</x:v>
      </x:c>
      <x:c r="B80" s="130" t="str">
        <x:f>IF(B86&gt;0.5,"N/A (долг не погашен)",IF(B49&lt;1,"N/A (капитал не привлекался)",IF(AND(MIN(D51:GA51)&lt;0,MAX(D51:GA51)&gt;0),IFERROR(XIRR(D51:GA51,D3:GA3,0.1),IFERROR(XIRR(D51:GA51,D3:GA3,1),IFERROR(XIRR(D51:GA51,D3:GA3,5),""))),"")))</x:f>
      </x:c>
      <x:c r="C80" s="99" t="str">
        <x:v>% год</x:v>
      </x:c>
    </x:row>
    <x:row r="81">
      <x:c r="A81" s="99" t="str">
        <x:v>NPV собственного капитала</x:v>
      </x:c>
      <x:c r="B81" s="116" t="n">
        <x:f>IF(B86&gt;0.5,"N/A (долг не погашен)",D51+NPV('Вводные'!$B$23/12,E51:GA51))</x:f>
      </x:c>
      <x:c r="C81" s="99" t="str">
        <x:v>млн ₽</x:v>
      </x:c>
    </x:row>
    <x:row r="82">
      <x:c r="A82" t="inlineStr">
        <x:is>
          <x:t>Пиковый долг БРИДЖ (тело долга)</x:t>
        </x:is>
      </x:c>
      <x:c r="B82" s="116" t="n">
        <x:f>MAX(D36:GA36)</x:f>
      </x:c>
      <x:c r="C82" s="99" t="str">
        <x:v>млн ₽</x:v>
      </x:c>
    </x:row>
    <x:row r="83">
      <x:c r="A83" s="99" t="str">
        <x:v>Пиковый долг ПФ</x:v>
      </x:c>
      <x:c r="B83" s="116" t="n">
        <x:f>MAX(D47:GA47)</x:f>
      </x:c>
      <x:c r="C83" s="99" t="str">
        <x:v>млн ₽</x:v>
      </x:c>
    </x:row>
    <x:row r="84">
      <x:c r="A84" s="99" t="str">
        <x:v>Пиковый эскроу</x:v>
      </x:c>
      <x:c r="B84" s="116" t="n">
        <x:f>MAX(D15:GA15)</x:f>
      </x:c>
      <x:c r="C84" s="99" t="str">
        <x:v>млн ₽</x:v>
      </x:c>
    </x:row>
    <x:row r="85">
      <x:c r="A85" t="inlineStr">
        <x:is>
          <x:t>LLCR очереди (за весь срок)</x:t>
        </x:is>
      </x:c>
      <x:c r="B85" s="131" t="n">
        <x:f>IFERROR((B67-B68-B69-B76-B21+SUM(D45:GA45))/(SUM(D45:GA45)+B74),0)</x:f>
      </x:c>
      <x:c r="C85" s="99" t="str">
        <x:v>×</x:v>
      </x:c>
    </x:row>
    <x:row r="86">
      <x:c r="A86" s="99" t="str">
        <x:v>Непогашенный долг на конец проекта</x:v>
      </x:c>
      <x:c r="B86" s="116" t="n">
        <x:f>B36+B47</x:f>
      </x:c>
      <x:c r="C86" s="99" t="str">
        <x:v>млн ₽</x:v>
      </x:c>
    </x:row>
  </x:sheetData>
  <x:mergeCells>
    <x:mergeCell ref="A1:GA1"/>
    <x:mergeCell ref="A66:C66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5" hidden="0" customWidth="1"/>
    <x:col min="3" max="3" width="12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  <x:col min="45" max="45" width="11" hidden="0" customWidth="1"/>
    <x:col min="46" max="46" width="11" hidden="0" customWidth="1"/>
    <x:col min="47" max="47" width="11" hidden="0" customWidth="1"/>
    <x:col min="48" max="48" width="11" hidden="0" customWidth="1"/>
    <x:col min="49" max="49" width="11" hidden="0" customWidth="1"/>
    <x:col min="50" max="50" width="11" hidden="0" customWidth="1"/>
    <x:col min="51" max="51" width="11" hidden="0" customWidth="1"/>
    <x:col min="52" max="52" width="11" hidden="0" customWidth="1"/>
    <x:col min="53" max="53" width="11" hidden="0" customWidth="1"/>
    <x:col min="54" max="54" width="11" hidden="0" customWidth="1"/>
    <x:col min="55" max="55" width="11" hidden="0" customWidth="1"/>
    <x:col min="56" max="56" width="11" hidden="0" customWidth="1"/>
    <x:col min="57" max="57" width="11" hidden="0" customWidth="1"/>
    <x:col min="58" max="58" width="11" hidden="0" customWidth="1"/>
    <x:col min="59" max="59" width="11" hidden="0" customWidth="1"/>
    <x:col min="60" max="60" width="11" hidden="0" customWidth="1"/>
    <x:col min="61" max="61" width="11" hidden="0" customWidth="1"/>
    <x:col min="62" max="62" width="11" hidden="0" customWidth="1"/>
    <x:col min="63" max="63" width="11" hidden="0" customWidth="1"/>
    <x:col min="64" max="64" width="11" hidden="0" customWidth="1"/>
    <x:col min="65" max="65" width="11" hidden="0" customWidth="1"/>
    <x:col min="66" max="66" width="11" hidden="0" customWidth="1"/>
    <x:col min="67" max="67" width="11" hidden="0" customWidth="1"/>
    <x:col min="68" max="68" width="11" hidden="0" customWidth="1"/>
    <x:col min="69" max="69" width="11" hidden="0" customWidth="1"/>
    <x:col min="70" max="70" width="11" hidden="0" customWidth="1"/>
    <x:col min="71" max="71" width="11" hidden="0" customWidth="1"/>
    <x:col min="72" max="72" width="11" hidden="0" customWidth="1"/>
    <x:col min="73" max="73" width="11" hidden="0" customWidth="1"/>
    <x:col min="74" max="74" width="11" hidden="0" customWidth="1"/>
    <x:col min="75" max="75" width="11" hidden="0" customWidth="1"/>
    <x:col min="76" max="76" width="11" hidden="0" customWidth="1"/>
    <x:col min="77" max="77" width="11" hidden="0" customWidth="1"/>
    <x:col min="78" max="78" width="11" hidden="0" customWidth="1"/>
    <x:col min="79" max="79" width="11" hidden="0" customWidth="1"/>
    <x:col min="80" max="80" width="11" hidden="0" customWidth="1"/>
    <x:col min="81" max="81" width="11" hidden="0" customWidth="1"/>
    <x:col min="82" max="82" width="11" hidden="0" customWidth="1"/>
    <x:col min="83" max="83" width="11" hidden="0" customWidth="1"/>
    <x:col min="84" max="84" width="11" hidden="0" customWidth="1"/>
    <x:col min="85" max="85" width="11" hidden="0" customWidth="1"/>
    <x:col min="86" max="86" width="11" hidden="0" customWidth="1"/>
    <x:col min="87" max="87" width="11" hidden="0" customWidth="1"/>
    <x:col min="88" max="88" width="11" hidden="0" customWidth="1"/>
    <x:col min="89" max="89" width="11" hidden="0" customWidth="1"/>
    <x:col min="90" max="90" width="11" hidden="0" customWidth="1"/>
    <x:col min="91" max="91" width="11" hidden="0" customWidth="1"/>
    <x:col min="92" max="92" width="11" hidden="0" customWidth="1"/>
    <x:col min="93" max="93" width="11" hidden="0" customWidth="1"/>
    <x:col min="94" max="94" width="11" hidden="0" customWidth="1"/>
    <x:col min="95" max="95" width="11" hidden="0" customWidth="1"/>
    <x:col min="96" max="96" width="11" hidden="0" customWidth="1"/>
    <x:col min="97" max="97" width="11" hidden="0" customWidth="1"/>
    <x:col min="98" max="98" width="11" hidden="0" customWidth="1"/>
    <x:col min="99" max="99" width="11" hidden="0" customWidth="1"/>
    <x:col min="100" max="100" width="11" hidden="0" customWidth="1"/>
    <x:col min="101" max="101" width="11" hidden="0" customWidth="1"/>
    <x:col min="102" max="102" width="11" hidden="0" customWidth="1"/>
    <x:col min="103" max="103" width="11" hidden="0" customWidth="1"/>
    <x:col min="104" max="104" width="11" hidden="0" customWidth="1"/>
    <x:col min="105" max="105" width="11" hidden="0" customWidth="1"/>
    <x:col min="106" max="106" width="11" hidden="0" customWidth="1"/>
    <x:col min="107" max="107" width="11" hidden="0" customWidth="1"/>
    <x:col min="108" max="108" width="11" hidden="0" customWidth="1"/>
    <x:col min="109" max="109" width="11" hidden="0" customWidth="1"/>
    <x:col min="110" max="110" width="11" hidden="0" customWidth="1"/>
    <x:col min="111" max="111" width="11" hidden="0" customWidth="1"/>
    <x:col min="112" max="112" width="11" hidden="0" customWidth="1"/>
    <x:col min="113" max="113" width="11" hidden="0" customWidth="1"/>
    <x:col min="114" max="114" width="11" hidden="0" customWidth="1"/>
    <x:col min="115" max="115" width="11" hidden="0" customWidth="1"/>
    <x:col min="116" max="116" width="11" hidden="0" customWidth="1"/>
    <x:col min="117" max="117" width="11" hidden="0" customWidth="1"/>
    <x:col min="118" max="118" width="11" hidden="0" customWidth="1"/>
    <x:col min="119" max="119" width="11" hidden="0" customWidth="1"/>
    <x:col min="120" max="120" width="11" hidden="0" customWidth="1"/>
    <x:col min="121" max="121" width="11" hidden="0" customWidth="1"/>
    <x:col min="122" max="122" width="11" hidden="0" customWidth="1"/>
    <x:col min="123" max="123" width="11" hidden="0" customWidth="1"/>
    <x:col min="124" max="124" width="11" hidden="0" customWidth="1"/>
    <x:col min="125" max="125" width="11" hidden="0" customWidth="1"/>
    <x:col min="126" max="126" width="11" hidden="0" customWidth="1"/>
    <x:col min="127" max="127" width="11" hidden="0" customWidth="1"/>
    <x:col min="128" max="128" width="11" hidden="0" customWidth="1"/>
    <x:col min="129" max="129" width="11" hidden="0" customWidth="1"/>
    <x:col min="130" max="130" width="11" hidden="0" customWidth="1"/>
    <x:col min="131" max="131" width="11" hidden="0" customWidth="1"/>
    <x:col min="132" max="132" width="11" hidden="0" customWidth="1"/>
    <x:col min="133" max="133" width="11" hidden="0" customWidth="1"/>
    <x:col min="134" max="134" width="11" hidden="0" customWidth="1"/>
    <x:col min="135" max="135" width="11" hidden="0" customWidth="1"/>
    <x:col min="136" max="136" width="11" hidden="0" customWidth="1"/>
    <x:col min="137" max="137" width="11" hidden="0" customWidth="1"/>
    <x:col min="138" max="138" width="11" hidden="0" customWidth="1"/>
    <x:col min="139" max="139" width="11" hidden="0" customWidth="1"/>
    <x:col min="140" max="140" width="11" hidden="0" customWidth="1"/>
    <x:col min="141" max="141" width="11" hidden="0" customWidth="1"/>
    <x:col min="142" max="142" width="11" hidden="0" customWidth="1"/>
    <x:col min="143" max="143" width="11" hidden="0" customWidth="1"/>
    <x:col min="144" max="144" width="11" hidden="0" customWidth="1"/>
    <x:col min="145" max="145" width="11" hidden="0" customWidth="1"/>
    <x:col min="146" max="146" width="11" hidden="0" customWidth="1"/>
    <x:col min="147" max="147" width="11" hidden="0" customWidth="1"/>
    <x:col min="148" max="148" width="11" hidden="0" customWidth="1"/>
    <x:col min="149" max="149" width="11" hidden="0" customWidth="1"/>
    <x:col min="150" max="150" width="11" hidden="0" customWidth="1"/>
    <x:col min="151" max="151" width="11" hidden="0" customWidth="1"/>
    <x:col min="152" max="152" width="11" hidden="0" customWidth="1"/>
    <x:col min="153" max="153" width="11" hidden="0" customWidth="1"/>
    <x:col min="154" max="154" width="11" hidden="0" customWidth="1"/>
    <x:col min="155" max="155" width="11" hidden="0" customWidth="1"/>
    <x:col min="156" max="156" width="11" hidden="0" customWidth="1"/>
    <x:col min="157" max="157" width="11" hidden="0" customWidth="1"/>
    <x:col min="158" max="158" width="11" hidden="0" customWidth="1"/>
    <x:col min="159" max="159" width="11" hidden="0" customWidth="1"/>
    <x:col min="160" max="160" width="11" hidden="0" customWidth="1"/>
    <x:col min="161" max="161" width="11" hidden="0" customWidth="1"/>
    <x:col min="162" max="162" width="11" hidden="0" customWidth="1"/>
    <x:col min="163" max="163" width="11" hidden="0" customWidth="1"/>
    <x:col min="164" max="164" width="11" hidden="0" customWidth="1"/>
    <x:col min="165" max="165" width="11" hidden="0" customWidth="1"/>
    <x:col min="166" max="166" width="11" hidden="0" customWidth="1"/>
    <x:col min="167" max="167" width="11" hidden="0" customWidth="1"/>
    <x:col min="168" max="168" width="11" hidden="0" customWidth="1"/>
    <x:col min="169" max="169" width="11" hidden="0" customWidth="1"/>
    <x:col min="170" max="170" width="11" hidden="0" customWidth="1"/>
    <x:col min="171" max="171" width="11" hidden="0" customWidth="1"/>
    <x:col min="172" max="172" width="11" hidden="0" customWidth="1"/>
    <x:col min="173" max="173" width="11" hidden="0" customWidth="1"/>
    <x:col min="174" max="174" width="11" hidden="0" customWidth="1"/>
    <x:col min="175" max="175" width="11" hidden="0" customWidth="1"/>
    <x:col min="176" max="176" width="11" hidden="0" customWidth="1"/>
    <x:col min="177" max="177" width="11" hidden="0" customWidth="1"/>
    <x:col min="178" max="178" width="11" hidden="0" customWidth="1"/>
    <x:col min="179" max="179" width="11" hidden="0" customWidth="1"/>
    <x:col min="180" max="180" width="11" hidden="0" customWidth="1"/>
    <x:col min="181" max="181" width="11" hidden="0" customWidth="1"/>
    <x:col min="182" max="182" width="11" hidden="0" customWidth="1"/>
    <x:col min="183" max="183" width="11" hidden="0" customWidth="1"/>
  </x:cols>
  <x:sheetData>
    <x:row r="1" ht="28" customHeight="1">
      <x:c r="A1" s="4" t="str">
        <x:v>КОНСОЛИДИРОВАННЫЙ ДЕНЕЖНЫЙ ПОТОК</x:v>
      </x:c>
      <x:c r="B1" s="4" t="str">
        <x:v>КОНСОЛИДИРОВАННЫЙ ДЕНЕЖНЫЙ ПОТОК</x:v>
      </x:c>
      <x:c r="C1" s="4" t="str">
        <x:v>КОНСОЛИДИРОВАННЫЙ ДЕНЕЖНЫЙ ПОТОК</x:v>
      </x:c>
      <x:c r="D1" s="4" t="str">
        <x:v>КОНСОЛИДИРОВАННЫЙ ДЕНЕЖНЫЙ ПОТОК</x:v>
      </x:c>
      <x:c r="E1" s="4" t="str">
        <x:v>КОНСОЛИДИРОВАННЫЙ ДЕНЕЖНЫЙ ПОТОК</x:v>
      </x:c>
      <x:c r="F1" s="4" t="str">
        <x:v>КОНСОЛИДИРОВАННЫЙ ДЕНЕЖНЫЙ ПОТОК</x:v>
      </x:c>
      <x:c r="G1" s="4" t="str">
        <x:v>КОНСОЛИДИРОВАННЫЙ ДЕНЕЖНЫЙ ПОТОК</x:v>
      </x:c>
      <x:c r="H1" s="4" t="str">
        <x:v>КОНСОЛИДИРОВАННЫЙ ДЕНЕЖНЫЙ ПОТОК</x:v>
      </x:c>
      <x:c r="I1" s="4" t="str">
        <x:v>КОНСОЛИДИРОВАННЫЙ ДЕНЕЖНЫЙ ПОТОК</x:v>
      </x:c>
      <x:c r="J1" s="4" t="str">
        <x:v>КОНСОЛИДИРОВАННЫЙ ДЕНЕЖНЫЙ ПОТОК</x:v>
      </x:c>
      <x:c r="K1" s="4" t="str">
        <x:v>КОНСОЛИДИРОВАННЫЙ ДЕНЕЖНЫЙ ПОТОК</x:v>
      </x:c>
      <x:c r="L1" s="4" t="str">
        <x:v>КОНСОЛИДИРОВАННЫЙ ДЕНЕЖНЫЙ ПОТОК</x:v>
      </x:c>
      <x:c r="M1" s="4" t="str">
        <x:v>КОНСОЛИДИРОВАННЫЙ ДЕНЕЖНЫЙ ПОТОК</x:v>
      </x:c>
      <x:c r="N1" s="4" t="str">
        <x:v>КОНСОЛИДИРОВАННЫЙ ДЕНЕЖНЫЙ ПОТОК</x:v>
      </x:c>
      <x:c r="O1" s="4" t="str">
        <x:v>КОНСОЛИДИРОВАННЫЙ ДЕНЕЖНЫЙ ПОТОК</x:v>
      </x:c>
      <x:c r="P1" s="4" t="str">
        <x:v>КОНСОЛИДИРОВАННЫЙ ДЕНЕЖНЫЙ ПОТОК</x:v>
      </x:c>
      <x:c r="Q1" s="4" t="str">
        <x:v>КОНСОЛИДИРОВАННЫЙ ДЕНЕЖНЫЙ ПОТОК</x:v>
      </x:c>
      <x:c r="R1" s="4" t="str">
        <x:v>КОНСОЛИДИРОВАННЫЙ ДЕНЕЖНЫЙ ПОТОК</x:v>
      </x:c>
      <x:c r="S1" s="4" t="str">
        <x:v>КОНСОЛИДИРОВАННЫЙ ДЕНЕЖНЫЙ ПОТОК</x:v>
      </x:c>
      <x:c r="T1" s="4" t="str">
        <x:v>КОНСОЛИДИРОВАННЫЙ ДЕНЕЖНЫЙ ПОТОК</x:v>
      </x:c>
      <x:c r="U1" s="4" t="str">
        <x:v>КОНСОЛИДИРОВАННЫЙ ДЕНЕЖНЫЙ ПОТОК</x:v>
      </x:c>
      <x:c r="V1" s="4" t="str">
        <x:v>КОНСОЛИДИРОВАННЫЙ ДЕНЕЖНЫЙ ПОТОК</x:v>
      </x:c>
      <x:c r="W1" s="4" t="str">
        <x:v>КОНСОЛИДИРОВАННЫЙ ДЕНЕЖНЫЙ ПОТОК</x:v>
      </x:c>
      <x:c r="X1" s="4" t="str">
        <x:v>КОНСОЛИДИРОВАННЫЙ ДЕНЕЖНЫЙ ПОТОК</x:v>
      </x:c>
      <x:c r="Y1" s="4" t="str">
        <x:v>КОНСОЛИДИРОВАННЫЙ ДЕНЕЖНЫЙ ПОТОК</x:v>
      </x:c>
      <x:c r="Z1" s="4" t="str">
        <x:v>КОНСОЛИДИРОВАННЫЙ ДЕНЕЖНЫЙ ПОТОК</x:v>
      </x:c>
      <x:c r="AA1" s="4" t="str">
        <x:v>КОНСОЛИДИРОВАННЫЙ ДЕНЕЖНЫЙ ПОТОК</x:v>
      </x:c>
      <x:c r="AB1" s="4" t="str">
        <x:v>КОНСОЛИДИРОВАННЫЙ ДЕНЕЖНЫЙ ПОТОК</x:v>
      </x:c>
      <x:c r="AC1" s="4" t="str">
        <x:v>КОНСОЛИДИРОВАННЫЙ ДЕНЕЖНЫЙ ПОТОК</x:v>
      </x:c>
      <x:c r="AD1" s="4" t="str">
        <x:v>КОНСОЛИДИРОВАННЫЙ ДЕНЕЖНЫЙ ПОТОК</x:v>
      </x:c>
      <x:c r="AE1" s="4" t="str">
        <x:v>КОНСОЛИДИРОВАННЫЙ ДЕНЕЖНЫЙ ПОТОК</x:v>
      </x:c>
      <x:c r="AF1" s="4" t="str">
        <x:v>КОНСОЛИДИРОВАННЫЙ ДЕНЕЖНЫЙ ПОТОК</x:v>
      </x:c>
      <x:c r="AG1" s="4" t="str">
        <x:v>КОНСОЛИДИРОВАННЫЙ ДЕНЕЖНЫЙ ПОТОК</x:v>
      </x:c>
      <x:c r="AH1" s="4" t="str">
        <x:v>КОНСОЛИДИРОВАННЫЙ ДЕНЕЖНЫЙ ПОТОК</x:v>
      </x:c>
      <x:c r="AI1" s="4" t="str">
        <x:v>КОНСОЛИДИРОВАННЫЙ ДЕНЕЖНЫЙ ПОТОК</x:v>
      </x:c>
      <x:c r="AJ1" s="4" t="str">
        <x:v>КОНСОЛИДИРОВАННЫЙ ДЕНЕЖНЫЙ ПОТОК</x:v>
      </x:c>
      <x:c r="AK1" s="4" t="str">
        <x:v>КОНСОЛИДИРОВАННЫЙ ДЕНЕЖНЫЙ ПОТОК</x:v>
      </x:c>
      <x:c r="AL1" s="4" t="str">
        <x:v>КОНСОЛИДИРОВАННЫЙ ДЕНЕЖНЫЙ ПОТОК</x:v>
      </x:c>
      <x:c r="AM1" s="4" t="str">
        <x:v>КОНСОЛИДИРОВАННЫЙ ДЕНЕЖНЫЙ ПОТОК</x:v>
      </x:c>
      <x:c r="AN1" s="4" t="str">
        <x:v>КОНСОЛИДИРОВАННЫЙ ДЕНЕЖНЫЙ ПОТОК</x:v>
      </x:c>
      <x:c r="AO1" s="4" t="str">
        <x:v>КОНСОЛИДИРОВАННЫЙ ДЕНЕЖНЫЙ ПОТОК</x:v>
      </x:c>
      <x:c r="AP1" s="4" t="str">
        <x:v>КОНСОЛИДИРОВАННЫЙ ДЕНЕЖНЫЙ ПОТОК</x:v>
      </x:c>
      <x:c r="AQ1" s="4" t="str">
        <x:v>КОНСОЛИДИРОВАННЫЙ ДЕНЕЖНЫЙ ПОТОК</x:v>
      </x:c>
      <x:c r="AR1" s="4" t="str">
        <x:v>КОНСОЛИДИРОВАННЫЙ ДЕНЕЖНЫЙ ПОТОК</x:v>
      </x:c>
      <x:c r="AS1" s="4" t="str">
        <x:v>КОНСОЛИДИРОВАННЫЙ ДЕНЕЖНЫЙ ПОТОК</x:v>
      </x:c>
      <x:c r="AT1" s="4" t="str">
        <x:v>КОНСОЛИДИРОВАННЫЙ ДЕНЕЖНЫЙ ПОТОК</x:v>
      </x:c>
      <x:c r="AU1" s="4" t="str">
        <x:v>КОНСОЛИДИРОВАННЫЙ ДЕНЕЖНЫЙ ПОТОК</x:v>
      </x:c>
      <x:c r="AV1" s="4" t="str">
        <x:v>КОНСОЛИДИРОВАННЫЙ ДЕНЕЖНЫЙ ПОТОК</x:v>
      </x:c>
      <x:c r="AW1" s="4" t="str">
        <x:v>КОНСОЛИДИРОВАННЫЙ ДЕНЕЖНЫЙ ПОТОК</x:v>
      </x:c>
      <x:c r="AX1" s="4" t="str">
        <x:v>КОНСОЛИДИРОВАННЫЙ ДЕНЕЖНЫЙ ПОТОК</x:v>
      </x:c>
      <x:c r="AY1" s="4" t="str">
        <x:v>КОНСОЛИДИРОВАННЫЙ ДЕНЕЖНЫЙ ПОТОК</x:v>
      </x:c>
      <x:c r="AZ1" s="4" t="str">
        <x:v>КОНСОЛИДИРОВАННЫЙ ДЕНЕЖНЫЙ ПОТОК</x:v>
      </x:c>
      <x:c r="BA1" s="4" t="str">
        <x:v>КОНСОЛИДИРОВАННЫЙ ДЕНЕЖНЫЙ ПОТОК</x:v>
      </x:c>
      <x:c r="BB1" s="4" t="str">
        <x:v>КОНСОЛИДИРОВАННЫЙ ДЕНЕЖНЫЙ ПОТОК</x:v>
      </x:c>
      <x:c r="BC1" s="4" t="str">
        <x:v>КОНСОЛИДИРОВАННЫЙ ДЕНЕЖНЫЙ ПОТОК</x:v>
      </x:c>
      <x:c r="BD1" s="4" t="str">
        <x:v>КОНСОЛИДИРОВАННЫЙ ДЕНЕЖНЫЙ ПОТОК</x:v>
      </x:c>
      <x:c r="BE1" s="4" t="str">
        <x:v>КОНСОЛИДИРОВАННЫЙ ДЕНЕЖНЫЙ ПОТОК</x:v>
      </x:c>
      <x:c r="BF1" s="4" t="str">
        <x:v>КОНСОЛИДИРОВАННЫЙ ДЕНЕЖНЫЙ ПОТОК</x:v>
      </x:c>
      <x:c r="BG1" s="4" t="str">
        <x:v>КОНСОЛИДИРОВАННЫЙ ДЕНЕЖНЫЙ ПОТОК</x:v>
      </x:c>
      <x:c r="BH1" s="4" t="str">
        <x:v>КОНСОЛИДИРОВАННЫЙ ДЕНЕЖНЫЙ ПОТОК</x:v>
      </x:c>
      <x:c r="BI1" s="4" t="str">
        <x:v>КОНСОЛИДИРОВАННЫЙ ДЕНЕЖНЫЙ ПОТОК</x:v>
      </x:c>
      <x:c r="BJ1" s="4" t="str">
        <x:v>КОНСОЛИДИРОВАННЫЙ ДЕНЕЖНЫЙ ПОТОК</x:v>
      </x:c>
      <x:c r="BK1" s="4" t="str">
        <x:v>КОНСОЛИДИРОВАННЫЙ ДЕНЕЖНЫЙ ПОТОК</x:v>
      </x:c>
      <x:c r="BL1" s="4" t="str">
        <x:v>КОНСОЛИДИРОВАННЫЙ ДЕНЕЖНЫЙ ПОТОК</x:v>
      </x:c>
      <x:c r="BM1" s="4" t="str">
        <x:v>КОНСОЛИДИРОВАННЫЙ ДЕНЕЖНЫЙ ПОТОК</x:v>
      </x:c>
      <x:c r="BN1" s="4" t="str">
        <x:v>КОНСОЛИДИРОВАННЫЙ ДЕНЕЖНЫЙ ПОТОК</x:v>
      </x:c>
      <x:c r="BO1" s="4" t="str">
        <x:v>КОНСОЛИДИРОВАННЫЙ ДЕНЕЖНЫЙ ПОТОК</x:v>
      </x:c>
      <x:c r="BP1" s="4" t="str">
        <x:v>КОНСОЛИДИРОВАННЫЙ ДЕНЕЖНЫЙ ПОТОК</x:v>
      </x:c>
      <x:c r="BQ1" s="4" t="str">
        <x:v>КОНСОЛИДИРОВАННЫЙ ДЕНЕЖНЫЙ ПОТОК</x:v>
      </x:c>
      <x:c r="BR1" s="4" t="str">
        <x:v>КОНСОЛИДИРОВАННЫЙ ДЕНЕЖНЫЙ ПОТОК</x:v>
      </x:c>
      <x:c r="BS1" s="4" t="str">
        <x:v>КОНСОЛИДИРОВАННЫЙ ДЕНЕЖНЫЙ ПОТОК</x:v>
      </x:c>
      <x:c r="BT1" s="4" t="str">
        <x:v>КОНСОЛИДИРОВАННЫЙ ДЕНЕЖНЫЙ ПОТОК</x:v>
      </x:c>
      <x:c r="BU1" s="4" t="str">
        <x:v>КОНСОЛИДИРОВАННЫЙ ДЕНЕЖНЫЙ ПОТОК</x:v>
      </x:c>
      <x:c r="BV1" s="4" t="str">
        <x:v>КОНСОЛИДИРОВАННЫЙ ДЕНЕЖНЫЙ ПОТОК</x:v>
      </x:c>
      <x:c r="BW1" s="4" t="str">
        <x:v>КОНСОЛИДИРОВАННЫЙ ДЕНЕЖНЫЙ ПОТОК</x:v>
      </x:c>
      <x:c r="BX1" s="4" t="str">
        <x:v>КОНСОЛИДИРОВАННЫЙ ДЕНЕЖНЫЙ ПОТОК</x:v>
      </x:c>
      <x:c r="BY1" s="4" t="str">
        <x:v>КОНСОЛИДИРОВАННЫЙ ДЕНЕЖНЫЙ ПОТОК</x:v>
      </x:c>
      <x:c r="BZ1" s="4" t="str">
        <x:v>КОНСОЛИДИРОВАННЫЙ ДЕНЕЖНЫЙ ПОТОК</x:v>
      </x:c>
      <x:c r="CA1" s="4" t="str">
        <x:v>КОНСОЛИДИРОВАННЫЙ ДЕНЕЖНЫЙ ПОТОК</x:v>
      </x:c>
      <x:c r="CB1" s="4" t="str">
        <x:v>КОНСОЛИДИРОВАННЫЙ ДЕНЕЖНЫЙ ПОТОК</x:v>
      </x:c>
      <x:c r="CC1" s="4" t="str">
        <x:v>КОНСОЛИДИРОВАННЫЙ ДЕНЕЖНЫЙ ПОТОК</x:v>
      </x:c>
      <x:c r="CD1" s="4" t="str">
        <x:v>КОНСОЛИДИРОВАННЫЙ ДЕНЕЖНЫЙ ПОТОК</x:v>
      </x:c>
      <x:c r="CE1" s="4" t="str">
        <x:v>КОНСОЛИДИРОВАННЫЙ ДЕНЕЖНЫЙ ПОТОК</x:v>
      </x:c>
      <x:c r="CF1" s="4" t="str">
        <x:v>КОНСОЛИДИРОВАННЫЙ ДЕНЕЖНЫЙ ПОТОК</x:v>
      </x:c>
      <x:c r="CG1" s="4" t="str">
        <x:v>КОНСОЛИДИРОВАННЫЙ ДЕНЕЖНЫЙ ПОТОК</x:v>
      </x:c>
      <x:c r="CH1" s="4" t="str">
        <x:v>КОНСОЛИДИРОВАННЫЙ ДЕНЕЖНЫЙ ПОТОК</x:v>
      </x:c>
      <x:c r="CI1" s="4" t="str">
        <x:v>КОНСОЛИДИРОВАННЫЙ ДЕНЕЖНЫЙ ПОТОК</x:v>
      </x:c>
      <x:c r="CJ1" s="4" t="str">
        <x:v>КОНСОЛИДИРОВАННЫЙ ДЕНЕЖНЫЙ ПОТОК</x:v>
      </x:c>
      <x:c r="CK1" s="4" t="str">
        <x:v>КОНСОЛИДИРОВАННЫЙ ДЕНЕЖНЫЙ ПОТОК</x:v>
      </x:c>
      <x:c r="CL1" s="4" t="str">
        <x:v>КОНСОЛИДИРОВАННЫЙ ДЕНЕЖНЫЙ ПОТОК</x:v>
      </x:c>
      <x:c r="CM1" s="4" t="str">
        <x:v>КОНСОЛИДИРОВАННЫЙ ДЕНЕЖНЫЙ ПОТОК</x:v>
      </x:c>
      <x:c r="CN1" s="4" t="str">
        <x:v>КОНСОЛИДИРОВАННЫЙ ДЕНЕЖНЫЙ ПОТОК</x:v>
      </x:c>
      <x:c r="CO1" s="4" t="str">
        <x:v>КОНСОЛИДИРОВАННЫЙ ДЕНЕЖНЫЙ ПОТОК</x:v>
      </x:c>
      <x:c r="CP1" s="4" t="str">
        <x:v>КОНСОЛИДИРОВАННЫЙ ДЕНЕЖНЫЙ ПОТОК</x:v>
      </x:c>
      <x:c r="CQ1" s="4" t="str">
        <x:v>КОНСОЛИДИРОВАННЫЙ ДЕНЕЖНЫЙ ПОТОК</x:v>
      </x:c>
      <x:c r="CR1" s="4" t="str">
        <x:v>КОНСОЛИДИРОВАННЫЙ ДЕНЕЖНЫЙ ПОТОК</x:v>
      </x:c>
      <x:c r="CS1" s="4" t="str">
        <x:v>КОНСОЛИДИРОВАННЫЙ ДЕНЕЖНЫЙ ПОТОК</x:v>
      </x:c>
      <x:c r="CT1" s="4" t="str">
        <x:v>КОНСОЛИДИРОВАННЫЙ ДЕНЕЖНЫЙ ПОТОК</x:v>
      </x:c>
      <x:c r="CU1" s="4" t="str">
        <x:v>КОНСОЛИДИРОВАННЫЙ ДЕНЕЖНЫЙ ПОТОК</x:v>
      </x:c>
      <x:c r="CV1" s="4" t="str">
        <x:v>КОНСОЛИДИРОВАННЫЙ ДЕНЕЖНЫЙ ПОТОК</x:v>
      </x:c>
      <x:c r="CW1" s="4" t="str">
        <x:v>КОНСОЛИДИРОВАННЫЙ ДЕНЕЖНЫЙ ПОТОК</x:v>
      </x:c>
      <x:c r="CX1" s="4" t="str">
        <x:v>КОНСОЛИДИРОВАННЫЙ ДЕНЕЖНЫЙ ПОТОК</x:v>
      </x:c>
      <x:c r="CY1" s="4" t="str">
        <x:v>КОНСОЛИДИРОВАННЫЙ ДЕНЕЖНЫЙ ПОТОК</x:v>
      </x:c>
      <x:c r="CZ1" s="4" t="str">
        <x:v>КОНСОЛИДИРОВАННЫЙ ДЕНЕЖНЫЙ ПОТОК</x:v>
      </x:c>
      <x:c r="DA1" s="4" t="str">
        <x:v>КОНСОЛИДИРОВАННЫЙ ДЕНЕЖНЫЙ ПОТОК</x:v>
      </x:c>
      <x:c r="DB1" s="4" t="str">
        <x:v>КОНСОЛИДИРОВАННЫЙ ДЕНЕЖНЫЙ ПОТОК</x:v>
      </x:c>
      <x:c r="DC1" s="4" t="str">
        <x:v>КОНСОЛИДИРОВАННЫЙ ДЕНЕЖНЫЙ ПОТОК</x:v>
      </x:c>
      <x:c r="DD1" s="4" t="str">
        <x:v>КОНСОЛИДИРОВАННЫЙ ДЕНЕЖНЫЙ ПОТОК</x:v>
      </x:c>
      <x:c r="DE1" s="4" t="str">
        <x:v>КОНСОЛИДИРОВАННЫЙ ДЕНЕЖНЫЙ ПОТОК</x:v>
      </x:c>
      <x:c r="DF1" s="4" t="str">
        <x:v>КОНСОЛИДИРОВАННЫЙ ДЕНЕЖНЫЙ ПОТОК</x:v>
      </x:c>
      <x:c r="DG1" s="4" t="str">
        <x:v>КОНСОЛИДИРОВАННЫЙ ДЕНЕЖНЫЙ ПОТОК</x:v>
      </x:c>
      <x:c r="DH1" s="4" t="str">
        <x:v>КОНСОЛИДИРОВАННЫЙ ДЕНЕЖНЫЙ ПОТОК</x:v>
      </x:c>
      <x:c r="DI1" s="4" t="str">
        <x:v>КОНСОЛИДИРОВАННЫЙ ДЕНЕЖНЫЙ ПОТОК</x:v>
      </x:c>
      <x:c r="DJ1" s="4" t="str">
        <x:v>КОНСОЛИДИРОВАННЫЙ ДЕНЕЖНЫЙ ПОТОК</x:v>
      </x:c>
      <x:c r="DK1" s="4" t="str">
        <x:v>КОНСОЛИДИРОВАННЫЙ ДЕНЕЖНЫЙ ПОТОК</x:v>
      </x:c>
      <x:c r="DL1" s="4" t="str">
        <x:v>КОНСОЛИДИРОВАННЫЙ ДЕНЕЖНЫЙ ПОТОК</x:v>
      </x:c>
      <x:c r="DM1" s="4" t="str">
        <x:v>КОНСОЛИДИРОВАННЫЙ ДЕНЕЖНЫЙ ПОТОК</x:v>
      </x:c>
      <x:c r="DN1" s="4" t="str">
        <x:v>КОНСОЛИДИРОВАННЫЙ ДЕНЕЖНЫЙ ПОТОК</x:v>
      </x:c>
      <x:c r="DO1" s="4" t="str">
        <x:v>КОНСОЛИДИРОВАННЫЙ ДЕНЕЖНЫЙ ПОТОК</x:v>
      </x:c>
      <x:c r="DP1" s="4" t="str">
        <x:v>КОНСОЛИДИРОВАННЫЙ ДЕНЕЖНЫЙ ПОТОК</x:v>
      </x:c>
      <x:c r="DQ1" s="4" t="str">
        <x:v>КОНСОЛИДИРОВАННЫЙ ДЕНЕЖНЫЙ ПОТОК</x:v>
      </x:c>
      <x:c r="DR1" s="4" t="str">
        <x:v>КОНСОЛИДИРОВАННЫЙ ДЕНЕЖНЫЙ ПОТОК</x:v>
      </x:c>
      <x:c r="DS1" s="4" t="str">
        <x:v>КОНСОЛИДИРОВАННЫЙ ДЕНЕЖНЫЙ ПОТОК</x:v>
      </x:c>
      <x:c r="DT1" s="4" t="str"/>
      <x:c r="DU1" s="4" t="str"/>
      <x:c r="DV1" s="4" t="str"/>
      <x:c r="DW1" s="4" t="str"/>
      <x:c r="DX1" s="4" t="str"/>
      <x:c r="DY1" s="4" t="str"/>
      <x:c r="DZ1" s="4" t="str"/>
      <x:c r="EA1" s="4" t="str"/>
      <x:c r="EB1" s="4" t="str"/>
      <x:c r="EC1" s="4" t="str"/>
      <x:c r="ED1" s="4" t="str"/>
      <x:c r="EE1" s="4" t="str"/>
      <x:c r="EF1" s="4" t="str"/>
      <x:c r="EG1" s="4" t="str"/>
      <x:c r="EH1" s="4" t="str"/>
      <x:c r="EI1" s="4" t="str"/>
      <x:c r="EJ1" s="4" t="str"/>
      <x:c r="EK1" s="4" t="str"/>
      <x:c r="EL1" s="4" t="str"/>
      <x:c r="EM1" s="4" t="str"/>
      <x:c r="EN1" s="4" t="str"/>
      <x:c r="EO1" s="4" t="str"/>
      <x:c r="EP1" s="4" t="str"/>
      <x:c r="EQ1" s="4" t="str"/>
      <x:c r="ER1" s="4" t="str"/>
      <x:c r="ES1" s="4" t="str"/>
      <x:c r="ET1" s="4" t="str"/>
      <x:c r="EU1" s="4" t="str"/>
      <x:c r="EV1" s="4" t="str"/>
      <x:c r="EW1" s="4" t="str"/>
      <x:c r="EX1" s="4" t="str"/>
      <x:c r="EY1" s="4" t="str"/>
      <x:c r="EZ1" s="4" t="str"/>
      <x:c r="FA1" s="4" t="str"/>
      <x:c r="FB1" s="4" t="str"/>
      <x:c r="FC1" s="4" t="str"/>
      <x:c r="FD1" s="4" t="str"/>
      <x:c r="FE1" s="4" t="str"/>
      <x:c r="FF1" s="4" t="str"/>
      <x:c r="FG1" s="4" t="str"/>
      <x:c r="FH1" s="4" t="str"/>
      <x:c r="FI1" s="4" t="str"/>
      <x:c r="FJ1" s="4" t="str"/>
      <x:c r="FK1" s="4" t="str"/>
      <x:c r="FL1" s="4" t="str"/>
      <x:c r="FM1" s="4" t="str"/>
      <x:c r="FN1" s="4" t="str"/>
      <x:c r="FO1" s="4" t="str"/>
      <x:c r="FP1" s="4" t="str"/>
      <x:c r="FQ1" s="4" t="str"/>
      <x:c r="FR1" s="4" t="str"/>
      <x:c r="FS1" s="4" t="str"/>
      <x:c r="FT1" s="4" t="str"/>
      <x:c r="FU1" s="4" t="str"/>
      <x:c r="FV1" s="4" t="str"/>
      <x:c r="FW1" s="4" t="str"/>
      <x:c r="FX1" s="4" t="str"/>
      <x:c r="FY1" s="4" t="str"/>
      <x:c r="FZ1" s="4" t="str"/>
      <x:c r="GA1" s="4" t="str"/>
    </x:row>
    <x:row r="3">
      <x:c r="A3" s="23" t="str">
        <x:v>Показатель</x:v>
      </x:c>
      <x:c r="B3" s="23" t="str">
        <x:v>Итого / значение</x:v>
      </x:c>
      <x:c r="C3" s="23" t="str">
        <x:v>Ед.</x:v>
      </x:c>
      <x:c r="D3" s="102" t="n">
        <x:f>'Ставки'!$D$3</x:f>
      </x:c>
      <x:c r="E3" s="102" t="n">
        <x:f>'Ставки'!$E$3</x:f>
      </x:c>
      <x:c r="F3" s="102" t="n">
        <x:f>'Ставки'!$F$3</x:f>
      </x:c>
      <x:c r="G3" s="102" t="n">
        <x:f>'Ставки'!$G$3</x:f>
      </x:c>
      <x:c r="H3" s="102" t="n">
        <x:f>'Ставки'!$H$3</x:f>
      </x:c>
      <x:c r="I3" s="102" t="n">
        <x:f>'Ставки'!$I$3</x:f>
      </x:c>
      <x:c r="J3" s="102" t="n">
        <x:f>'Ставки'!$J$3</x:f>
      </x:c>
      <x:c r="K3" s="102" t="n">
        <x:f>'Ставки'!$K$3</x:f>
      </x:c>
      <x:c r="L3" s="102" t="n">
        <x:f>'Ставки'!$L$3</x:f>
      </x:c>
      <x:c r="M3" s="102" t="n">
        <x:f>'Ставки'!$M$3</x:f>
      </x:c>
      <x:c r="N3" s="102" t="n">
        <x:f>'Ставки'!$N$3</x:f>
      </x:c>
      <x:c r="O3" s="102" t="n">
        <x:f>'Ставки'!$O$3</x:f>
      </x:c>
      <x:c r="P3" s="102" t="n">
        <x:f>'Ставки'!$P$3</x:f>
      </x:c>
      <x:c r="Q3" s="102" t="n">
        <x:f>'Ставки'!$Q$3</x:f>
      </x:c>
      <x:c r="R3" s="102" t="n">
        <x:f>'Ставки'!$R$3</x:f>
      </x:c>
      <x:c r="S3" s="102" t="n">
        <x:f>'Ставки'!$S$3</x:f>
      </x:c>
      <x:c r="T3" s="102" t="n">
        <x:f>'Ставки'!$T$3</x:f>
      </x:c>
      <x:c r="U3" s="102" t="n">
        <x:f>'Ставки'!$U$3</x:f>
      </x:c>
      <x:c r="V3" s="102" t="n">
        <x:f>'Ставки'!$V$3</x:f>
      </x:c>
      <x:c r="W3" s="102" t="n">
        <x:f>'Ставки'!$W$3</x:f>
      </x:c>
      <x:c r="X3" s="102" t="n">
        <x:f>'Ставки'!$X$3</x:f>
      </x:c>
      <x:c r="Y3" s="102" t="n">
        <x:f>'Ставки'!$Y$3</x:f>
      </x:c>
      <x:c r="Z3" s="102" t="n">
        <x:f>'Ставки'!$Z$3</x:f>
      </x:c>
      <x:c r="AA3" s="102" t="n">
        <x:f>'Ставки'!$AA$3</x:f>
      </x:c>
      <x:c r="AB3" s="102" t="n">
        <x:f>'Ставки'!$AB$3</x:f>
      </x:c>
      <x:c r="AC3" s="102" t="n">
        <x:f>'Ставки'!$AC$3</x:f>
      </x:c>
      <x:c r="AD3" s="102" t="n">
        <x:f>'Ставки'!$AD$3</x:f>
      </x:c>
      <x:c r="AE3" s="102" t="n">
        <x:f>'Ставки'!$AE$3</x:f>
      </x:c>
      <x:c r="AF3" s="102" t="n">
        <x:f>'Ставки'!$AF$3</x:f>
      </x:c>
      <x:c r="AG3" s="102" t="n">
        <x:f>'Ставки'!$AG$3</x:f>
      </x:c>
      <x:c r="AH3" s="102" t="n">
        <x:f>'Ставки'!$AH$3</x:f>
      </x:c>
      <x:c r="AI3" s="102" t="n">
        <x:f>'Ставки'!$AI$3</x:f>
      </x:c>
      <x:c r="AJ3" s="102" t="n">
        <x:f>'Ставки'!$AJ$3</x:f>
      </x:c>
      <x:c r="AK3" s="102" t="n">
        <x:f>'Ставки'!$AK$3</x:f>
      </x:c>
      <x:c r="AL3" s="102" t="n">
        <x:f>'Ставки'!$AL$3</x:f>
      </x:c>
      <x:c r="AM3" s="102" t="n">
        <x:f>'Ставки'!$AM$3</x:f>
      </x:c>
      <x:c r="AN3" s="102" t="n">
        <x:f>'Ставки'!$AN$3</x:f>
      </x:c>
      <x:c r="AO3" s="102" t="n">
        <x:f>'Ставки'!$AO$3</x:f>
      </x:c>
      <x:c r="AP3" s="102" t="n">
        <x:f>'Ставки'!$AP$3</x:f>
      </x:c>
      <x:c r="AQ3" s="102" t="n">
        <x:f>'Ставки'!$AQ$3</x:f>
      </x:c>
      <x:c r="AR3" s="102" t="n">
        <x:f>'Ставки'!$AR$3</x:f>
      </x:c>
      <x:c r="AS3" s="102" t="n">
        <x:f>'Ставки'!$AS$3</x:f>
      </x:c>
      <x:c r="AT3" s="102" t="n">
        <x:f>'Ставки'!$AT$3</x:f>
      </x:c>
      <x:c r="AU3" s="102" t="n">
        <x:f>'Ставки'!$AU$3</x:f>
      </x:c>
      <x:c r="AV3" s="102" t="n">
        <x:f>'Ставки'!$AV$3</x:f>
      </x:c>
      <x:c r="AW3" s="102" t="n">
        <x:f>'Ставки'!$AW$3</x:f>
      </x:c>
      <x:c r="AX3" s="102" t="n">
        <x:f>'Ставки'!$AX$3</x:f>
      </x:c>
      <x:c r="AY3" s="102" t="n">
        <x:f>'Ставки'!$AY$3</x:f>
      </x:c>
      <x:c r="AZ3" s="102" t="n">
        <x:f>'Ставки'!$AZ$3</x:f>
      </x:c>
      <x:c r="BA3" s="102" t="n">
        <x:f>'Ставки'!$BA$3</x:f>
      </x:c>
      <x:c r="BB3" s="102" t="n">
        <x:f>'Ставки'!$BB$3</x:f>
      </x:c>
      <x:c r="BC3" s="102" t="n">
        <x:f>'Ставки'!$BC$3</x:f>
      </x:c>
      <x:c r="BD3" s="102" t="n">
        <x:f>'Ставки'!$BD$3</x:f>
      </x:c>
      <x:c r="BE3" s="102" t="n">
        <x:f>'Ставки'!$BE$3</x:f>
      </x:c>
      <x:c r="BF3" s="102" t="n">
        <x:f>'Ставки'!$BF$3</x:f>
      </x:c>
      <x:c r="BG3" s="102" t="n">
        <x:f>'Ставки'!$BG$3</x:f>
      </x:c>
      <x:c r="BH3" s="102" t="n">
        <x:f>'Ставки'!$BH$3</x:f>
      </x:c>
      <x:c r="BI3" s="102" t="n">
        <x:f>'Ставки'!$BI$3</x:f>
      </x:c>
      <x:c r="BJ3" s="102" t="n">
        <x:f>'Ставки'!$BJ$3</x:f>
      </x:c>
      <x:c r="BK3" s="102" t="n">
        <x:f>'Ставки'!$BK$3</x:f>
      </x:c>
      <x:c r="BL3" s="102" t="n">
        <x:f>'Ставки'!$BL$3</x:f>
      </x:c>
      <x:c r="BM3" s="102" t="n">
        <x:f>'Ставки'!$BM$3</x:f>
      </x:c>
      <x:c r="BN3" s="102" t="n">
        <x:f>'Ставки'!$BN$3</x:f>
      </x:c>
      <x:c r="BO3" s="102" t="n">
        <x:f>'Ставки'!$BO$3</x:f>
      </x:c>
      <x:c r="BP3" s="102" t="n">
        <x:f>'Ставки'!$BP$3</x:f>
      </x:c>
      <x:c r="BQ3" s="102" t="n">
        <x:f>'Ставки'!$BQ$3</x:f>
      </x:c>
      <x:c r="BR3" s="102" t="n">
        <x:f>'Ставки'!$BR$3</x:f>
      </x:c>
      <x:c r="BS3" s="102" t="n">
        <x:f>'Ставки'!$BS$3</x:f>
      </x:c>
      <x:c r="BT3" s="102" t="n">
        <x:f>'Ставки'!$BT$3</x:f>
      </x:c>
      <x:c r="BU3" s="102" t="n">
        <x:f>'Ставки'!$BU$3</x:f>
      </x:c>
      <x:c r="BV3" s="102" t="n">
        <x:f>'Ставки'!$BV$3</x:f>
      </x:c>
      <x:c r="BW3" s="102" t="n">
        <x:f>'Ставки'!$BW$3</x:f>
      </x:c>
      <x:c r="BX3" s="102" t="n">
        <x:f>'Ставки'!$BX$3</x:f>
      </x:c>
      <x:c r="BY3" s="102" t="n">
        <x:f>'Ставки'!$BY$3</x:f>
      </x:c>
      <x:c r="BZ3" s="102" t="n">
        <x:f>'Ставки'!$BZ$3</x:f>
      </x:c>
      <x:c r="CA3" s="102" t="n">
        <x:f>'Ставки'!$CA$3</x:f>
      </x:c>
      <x:c r="CB3" s="102" t="n">
        <x:f>'Ставки'!$CB$3</x:f>
      </x:c>
      <x:c r="CC3" s="102" t="n">
        <x:f>'Ставки'!$CC$3</x:f>
      </x:c>
      <x:c r="CD3" s="102" t="n">
        <x:f>'Ставки'!$CD$3</x:f>
      </x:c>
      <x:c r="CE3" s="102" t="n">
        <x:f>'Ставки'!$CE$3</x:f>
      </x:c>
      <x:c r="CF3" s="102" t="n">
        <x:f>'Ставки'!$CF$3</x:f>
      </x:c>
      <x:c r="CG3" s="102" t="n">
        <x:f>'Ставки'!$CG$3</x:f>
      </x:c>
      <x:c r="CH3" s="102" t="n">
        <x:f>'Ставки'!$CH$3</x:f>
      </x:c>
      <x:c r="CI3" s="102" t="n">
        <x:f>'Ставки'!$CI$3</x:f>
      </x:c>
      <x:c r="CJ3" s="102" t="n">
        <x:f>'Ставки'!$CJ$3</x:f>
      </x:c>
      <x:c r="CK3" s="102" t="n">
        <x:f>'Ставки'!$CK$3</x:f>
      </x:c>
      <x:c r="CL3" s="102" t="n">
        <x:f>'Ставки'!$CL$3</x:f>
      </x:c>
      <x:c r="CM3" s="102" t="n">
        <x:f>'Ставки'!$CM$3</x:f>
      </x:c>
      <x:c r="CN3" s="102" t="n">
        <x:f>'Ставки'!$CN$3</x:f>
      </x:c>
      <x:c r="CO3" s="102" t="n">
        <x:f>'Ставки'!$CO$3</x:f>
      </x:c>
      <x:c r="CP3" s="102" t="n">
        <x:f>'Ставки'!$CP$3</x:f>
      </x:c>
      <x:c r="CQ3" s="102" t="n">
        <x:f>'Ставки'!$CQ$3</x:f>
      </x:c>
      <x:c r="CR3" s="102" t="n">
        <x:f>'Ставки'!$CR$3</x:f>
      </x:c>
      <x:c r="CS3" s="102" t="n">
        <x:f>'Ставки'!$CS$3</x:f>
      </x:c>
      <x:c r="CT3" s="102" t="n">
        <x:f>'Ставки'!$CT$3</x:f>
      </x:c>
      <x:c r="CU3" s="102" t="n">
        <x:f>'Ставки'!$CU$3</x:f>
      </x:c>
      <x:c r="CV3" s="102" t="n">
        <x:f>'Ставки'!$CV$3</x:f>
      </x:c>
      <x:c r="CW3" s="102" t="n">
        <x:f>'Ставки'!$CW$3</x:f>
      </x:c>
      <x:c r="CX3" s="102" t="n">
        <x:f>'Ставки'!$CX$3</x:f>
      </x:c>
      <x:c r="CY3" s="102" t="n">
        <x:f>'Ставки'!$CY$3</x:f>
      </x:c>
      <x:c r="CZ3" s="102" t="n">
        <x:f>'Ставки'!$CZ$3</x:f>
      </x:c>
      <x:c r="DA3" s="102" t="n">
        <x:f>'Ставки'!$DA$3</x:f>
      </x:c>
      <x:c r="DB3" s="102" t="n">
        <x:f>'Ставки'!$DB$3</x:f>
      </x:c>
      <x:c r="DC3" s="102" t="n">
        <x:f>'Ставки'!$DC$3</x:f>
      </x:c>
      <x:c r="DD3" s="102" t="n">
        <x:f>'Ставки'!$DD$3</x:f>
      </x:c>
      <x:c r="DE3" s="102" t="n">
        <x:f>'Ставки'!$DE$3</x:f>
      </x:c>
      <x:c r="DF3" s="102" t="n">
        <x:f>'Ставки'!$DF$3</x:f>
      </x:c>
      <x:c r="DG3" s="102" t="n">
        <x:f>'Ставки'!$DG$3</x:f>
      </x:c>
      <x:c r="DH3" s="102" t="n">
        <x:f>'Ставки'!$DH$3</x:f>
      </x:c>
      <x:c r="DI3" s="102" t="n">
        <x:f>'Ставки'!$DI$3</x:f>
      </x:c>
      <x:c r="DJ3" s="102" t="n">
        <x:f>'Ставки'!$DJ$3</x:f>
      </x:c>
      <x:c r="DK3" s="102" t="n">
        <x:f>'Ставки'!$DK$3</x:f>
      </x:c>
      <x:c r="DL3" s="102" t="n">
        <x:f>'Ставки'!$DL$3</x:f>
      </x:c>
      <x:c r="DM3" s="102" t="n">
        <x:f>'Ставки'!$DM$3</x:f>
      </x:c>
      <x:c r="DN3" s="102" t="n">
        <x:f>'Ставки'!$DN$3</x:f>
      </x:c>
      <x:c r="DO3" s="102" t="n">
        <x:f>'Ставки'!$DO$3</x:f>
      </x:c>
      <x:c r="DP3" s="102" t="n">
        <x:f>'Ставки'!$DP$3</x:f>
      </x:c>
      <x:c r="DQ3" s="102" t="n">
        <x:f>'Ставки'!$DQ$3</x:f>
      </x:c>
      <x:c r="DR3" s="102" t="n">
        <x:f>'Ставки'!$DR$3</x:f>
      </x:c>
      <x:c r="DS3" s="102" t="n">
        <x:f>'Ставки'!$DS$3</x:f>
      </x:c>
      <x:c r="DT3" s="102" t="n">
        <x:f>'Ставки'!$DT$3</x:f>
      </x:c>
      <x:c r="DU3" s="102" t="n">
        <x:f>'Ставки'!$DU$3</x:f>
      </x:c>
      <x:c r="DV3" s="102" t="n">
        <x:f>'Ставки'!$DV$3</x:f>
      </x:c>
      <x:c r="DW3" s="102" t="n">
        <x:f>'Ставки'!$DW$3</x:f>
      </x:c>
      <x:c r="DX3" s="102" t="n">
        <x:f>'Ставки'!$DX$3</x:f>
      </x:c>
      <x:c r="DY3" s="102" t="n">
        <x:f>'Ставки'!$DY$3</x:f>
      </x:c>
      <x:c r="DZ3" s="102" t="n">
        <x:f>'Ставки'!$DZ$3</x:f>
      </x:c>
      <x:c r="EA3" s="102" t="n">
        <x:f>'Ставки'!$EA$3</x:f>
      </x:c>
      <x:c r="EB3" s="102" t="n">
        <x:f>'Ставки'!$EB$3</x:f>
      </x:c>
      <x:c r="EC3" s="102" t="n">
        <x:f>'Ставки'!$EC$3</x:f>
      </x:c>
      <x:c r="ED3" s="102" t="n">
        <x:f>'Ставки'!$ED$3</x:f>
      </x:c>
      <x:c r="EE3" s="102" t="n">
        <x:f>'Ставки'!$EE$3</x:f>
      </x:c>
      <x:c r="EF3" s="102" t="n">
        <x:f>'Ставки'!$EF$3</x:f>
      </x:c>
      <x:c r="EG3" s="102" t="n">
        <x:f>'Ставки'!$EG$3</x:f>
      </x:c>
      <x:c r="EH3" s="102" t="n">
        <x:f>'Ставки'!$EH$3</x:f>
      </x:c>
      <x:c r="EI3" s="102" t="n">
        <x:f>'Ставки'!$EI$3</x:f>
      </x:c>
      <x:c r="EJ3" s="102" t="n">
        <x:f>'Ставки'!$EJ$3</x:f>
      </x:c>
      <x:c r="EK3" s="102" t="n">
        <x:f>'Ставки'!$EK$3</x:f>
      </x:c>
      <x:c r="EL3" s="102" t="n">
        <x:f>'Ставки'!$EL$3</x:f>
      </x:c>
      <x:c r="EM3" s="102" t="n">
        <x:f>'Ставки'!$EM$3</x:f>
      </x:c>
      <x:c r="EN3" s="102" t="n">
        <x:f>'Ставки'!$EN$3</x:f>
      </x:c>
      <x:c r="EO3" s="102" t="n">
        <x:f>'Ставки'!$EO$3</x:f>
      </x:c>
      <x:c r="EP3" s="102" t="n">
        <x:f>'Ставки'!$EP$3</x:f>
      </x:c>
      <x:c r="EQ3" s="102" t="n">
        <x:f>'Ставки'!$EQ$3</x:f>
      </x:c>
      <x:c r="ER3" s="102" t="n">
        <x:f>'Ставки'!$ER$3</x:f>
      </x:c>
      <x:c r="ES3" s="102" t="n">
        <x:f>'Ставки'!$ES$3</x:f>
      </x:c>
      <x:c r="ET3" s="102" t="n">
        <x:f>'Ставки'!$ET$3</x:f>
      </x:c>
      <x:c r="EU3" s="102" t="n">
        <x:f>'Ставки'!$EU$3</x:f>
      </x:c>
      <x:c r="EV3" s="102" t="n">
        <x:f>'Ставки'!$EV$3</x:f>
      </x:c>
      <x:c r="EW3" s="102" t="n">
        <x:f>'Ставки'!$EW$3</x:f>
      </x:c>
      <x:c r="EX3" s="102" t="n">
        <x:f>'Ставки'!$EX$3</x:f>
      </x:c>
      <x:c r="EY3" s="102" t="n">
        <x:f>'Ставки'!$EY$3</x:f>
      </x:c>
      <x:c r="EZ3" s="102" t="n">
        <x:f>'Ставки'!$EZ$3</x:f>
      </x:c>
      <x:c r="FA3" s="102" t="n">
        <x:f>'Ставки'!$FA$3</x:f>
      </x:c>
      <x:c r="FB3" s="102" t="n">
        <x:f>'Ставки'!$FB$3</x:f>
      </x:c>
      <x:c r="FC3" s="102" t="n">
        <x:f>'Ставки'!$FC$3</x:f>
      </x:c>
      <x:c r="FD3" s="102" t="n">
        <x:f>'Ставки'!$FD$3</x:f>
      </x:c>
      <x:c r="FE3" s="102" t="n">
        <x:f>'Ставки'!$FE$3</x:f>
      </x:c>
      <x:c r="FF3" s="102" t="n">
        <x:f>'Ставки'!$FF$3</x:f>
      </x:c>
      <x:c r="FG3" s="102" t="n">
        <x:f>'Ставки'!$FG$3</x:f>
      </x:c>
      <x:c r="FH3" s="102" t="n">
        <x:f>'Ставки'!$FH$3</x:f>
      </x:c>
      <x:c r="FI3" s="102" t="n">
        <x:f>'Ставки'!$FI$3</x:f>
      </x:c>
      <x:c r="FJ3" s="102" t="n">
        <x:f>'Ставки'!$FJ$3</x:f>
      </x:c>
      <x:c r="FK3" s="102" t="n">
        <x:f>'Ставки'!$FK$3</x:f>
      </x:c>
      <x:c r="FL3" s="102" t="n">
        <x:f>'Ставки'!$FL$3</x:f>
      </x:c>
      <x:c r="FM3" s="102" t="n">
        <x:f>'Ставки'!$FM$3</x:f>
      </x:c>
      <x:c r="FN3" s="102" t="n">
        <x:f>'Ставки'!$FN$3</x:f>
      </x:c>
      <x:c r="FO3" s="102" t="n">
        <x:f>'Ставки'!$FO$3</x:f>
      </x:c>
      <x:c r="FP3" s="102" t="n">
        <x:f>'Ставки'!$FP$3</x:f>
      </x:c>
      <x:c r="FQ3" s="102" t="n">
        <x:f>'Ставки'!$FQ$3</x:f>
      </x:c>
      <x:c r="FR3" s="102" t="n">
        <x:f>'Ставки'!$FR$3</x:f>
      </x:c>
      <x:c r="FS3" s="102" t="n">
        <x:f>'Ставки'!$FS$3</x:f>
      </x:c>
      <x:c r="FT3" s="102" t="n">
        <x:f>'Ставки'!$FT$3</x:f>
      </x:c>
      <x:c r="FU3" s="102" t="n">
        <x:f>'Ставки'!$FU$3</x:f>
      </x:c>
      <x:c r="FV3" s="102" t="n">
        <x:f>'Ставки'!$FV$3</x:f>
      </x:c>
      <x:c r="FW3" s="102" t="n">
        <x:f>'Ставки'!$FW$3</x:f>
      </x:c>
      <x:c r="FX3" s="102" t="n">
        <x:f>'Ставки'!$FX$3</x:f>
      </x:c>
      <x:c r="FY3" s="102" t="n">
        <x:f>'Ставки'!$FY$3</x:f>
      </x:c>
      <x:c r="FZ3" s="102" t="n">
        <x:f>'Ставки'!$FZ$3</x:f>
      </x:c>
      <x:c r="GA3" s="102" t="n">
        <x:f>'Ставки'!$GA$3</x:f>
      </x:c>
    </x:row>
    <x:row r="4">
      <x:c r="A4" t="str">
        <x:v>Период</x:v>
      </x:c>
      <x:c r="B4"/>
      <x:c r="C4" t="str">
        <x:v>№</x:v>
      </x:c>
      <x:c r="D4" s="104" t="n">
        <x:f>1</x:f>
      </x:c>
      <x:c r="E4" s="104" t="n">
        <x:f>2</x:f>
      </x:c>
      <x:c r="F4" s="104" t="n">
        <x:f>3</x:f>
      </x:c>
      <x:c r="G4" s="104" t="n">
        <x:f>4</x:f>
      </x:c>
      <x:c r="H4" s="104" t="n">
        <x:f>5</x:f>
      </x:c>
      <x:c r="I4" s="104" t="n">
        <x:f>6</x:f>
      </x:c>
      <x:c r="J4" s="104" t="n">
        <x:f>7</x:f>
      </x:c>
      <x:c r="K4" s="104" t="n">
        <x:f>8</x:f>
      </x:c>
      <x:c r="L4" s="104" t="n">
        <x:f>9</x:f>
      </x:c>
      <x:c r="M4" s="104" t="n">
        <x:f>10</x:f>
      </x:c>
      <x:c r="N4" s="104" t="n">
        <x:f>11</x:f>
      </x:c>
      <x:c r="O4" s="104" t="n">
        <x:f>12</x:f>
      </x:c>
      <x:c r="P4" s="104" t="n">
        <x:f>13</x:f>
      </x:c>
      <x:c r="Q4" s="104" t="n">
        <x:f>14</x:f>
      </x:c>
      <x:c r="R4" s="104" t="n">
        <x:f>15</x:f>
      </x:c>
      <x:c r="S4" s="104" t="n">
        <x:f>16</x:f>
      </x:c>
      <x:c r="T4" s="104" t="n">
        <x:f>17</x:f>
      </x:c>
      <x:c r="U4" s="104" t="n">
        <x:f>18</x:f>
      </x:c>
      <x:c r="V4" s="104" t="n">
        <x:f>19</x:f>
      </x:c>
      <x:c r="W4" s="104" t="n">
        <x:f>20</x:f>
      </x:c>
      <x:c r="X4" s="104" t="n">
        <x:f>21</x:f>
      </x:c>
      <x:c r="Y4" s="104" t="n">
        <x:f>22</x:f>
      </x:c>
      <x:c r="Z4" s="104" t="n">
        <x:f>23</x:f>
      </x:c>
      <x:c r="AA4" s="104" t="n">
        <x:f>24</x:f>
      </x:c>
      <x:c r="AB4" s="104" t="n">
        <x:f>25</x:f>
      </x:c>
      <x:c r="AC4" s="104" t="n">
        <x:f>26</x:f>
      </x:c>
      <x:c r="AD4" s="104" t="n">
        <x:f>27</x:f>
      </x:c>
      <x:c r="AE4" s="104" t="n">
        <x:f>28</x:f>
      </x:c>
      <x:c r="AF4" s="104" t="n">
        <x:f>29</x:f>
      </x:c>
      <x:c r="AG4" s="104" t="n">
        <x:f>30</x:f>
      </x:c>
      <x:c r="AH4" s="104" t="n">
        <x:f>31</x:f>
      </x:c>
      <x:c r="AI4" s="104" t="n">
        <x:f>32</x:f>
      </x:c>
      <x:c r="AJ4" s="104" t="n">
        <x:f>33</x:f>
      </x:c>
      <x:c r="AK4" s="104" t="n">
        <x:f>34</x:f>
      </x:c>
      <x:c r="AL4" s="104" t="n">
        <x:f>35</x:f>
      </x:c>
      <x:c r="AM4" s="104" t="n">
        <x:f>36</x:f>
      </x:c>
      <x:c r="AN4" s="104" t="n">
        <x:f>37</x:f>
      </x:c>
      <x:c r="AO4" s="104" t="n">
        <x:f>38</x:f>
      </x:c>
      <x:c r="AP4" s="104" t="n">
        <x:f>39</x:f>
      </x:c>
      <x:c r="AQ4" s="104" t="n">
        <x:f>40</x:f>
      </x:c>
      <x:c r="AR4" s="104" t="n">
        <x:f>41</x:f>
      </x:c>
      <x:c r="AS4" s="104" t="n">
        <x:f>42</x:f>
      </x:c>
      <x:c r="AT4" s="104" t="n">
        <x:f>43</x:f>
      </x:c>
      <x:c r="AU4" s="104" t="n">
        <x:f>44</x:f>
      </x:c>
      <x:c r="AV4" s="104" t="n">
        <x:f>45</x:f>
      </x:c>
      <x:c r="AW4" s="104" t="n">
        <x:f>46</x:f>
      </x:c>
      <x:c r="AX4" s="104" t="n">
        <x:f>47</x:f>
      </x:c>
      <x:c r="AY4" s="104" t="n">
        <x:f>48</x:f>
      </x:c>
      <x:c r="AZ4" s="104" t="n">
        <x:f>49</x:f>
      </x:c>
      <x:c r="BA4" s="104" t="n">
        <x:f>50</x:f>
      </x:c>
      <x:c r="BB4" s="104" t="n">
        <x:f>51</x:f>
      </x:c>
      <x:c r="BC4" s="104" t="n">
        <x:f>52</x:f>
      </x:c>
      <x:c r="BD4" s="104" t="n">
        <x:f>53</x:f>
      </x:c>
      <x:c r="BE4" s="104" t="n">
        <x:f>54</x:f>
      </x:c>
      <x:c r="BF4" s="104" t="n">
        <x:f>55</x:f>
      </x:c>
      <x:c r="BG4" s="104" t="n">
        <x:f>56</x:f>
      </x:c>
      <x:c r="BH4" s="104" t="n">
        <x:f>57</x:f>
      </x:c>
      <x:c r="BI4" s="104" t="n">
        <x:f>58</x:f>
      </x:c>
      <x:c r="BJ4" s="104" t="n">
        <x:f>59</x:f>
      </x:c>
      <x:c r="BK4" s="104" t="n">
        <x:f>60</x:f>
      </x:c>
      <x:c r="BL4" s="104" t="n">
        <x:f>61</x:f>
      </x:c>
      <x:c r="BM4" s="104" t="n">
        <x:f>62</x:f>
      </x:c>
      <x:c r="BN4" s="104" t="n">
        <x:f>63</x:f>
      </x:c>
      <x:c r="BO4" s="104" t="n">
        <x:f>64</x:f>
      </x:c>
      <x:c r="BP4" s="104" t="n">
        <x:f>65</x:f>
      </x:c>
      <x:c r="BQ4" s="104" t="n">
        <x:f>66</x:f>
      </x:c>
      <x:c r="BR4" s="104" t="n">
        <x:f>67</x:f>
      </x:c>
      <x:c r="BS4" s="104" t="n">
        <x:f>68</x:f>
      </x:c>
      <x:c r="BT4" s="104" t="n">
        <x:f>69</x:f>
      </x:c>
      <x:c r="BU4" s="104" t="n">
        <x:f>70</x:f>
      </x:c>
      <x:c r="BV4" s="104" t="n">
        <x:f>71</x:f>
      </x:c>
      <x:c r="BW4" s="104" t="n">
        <x:f>72</x:f>
      </x:c>
      <x:c r="BX4" s="104" t="n">
        <x:f>73</x:f>
      </x:c>
      <x:c r="BY4" s="104" t="n">
        <x:f>74</x:f>
      </x:c>
      <x:c r="BZ4" s="104" t="n">
        <x:f>75</x:f>
      </x:c>
      <x:c r="CA4" s="104" t="n">
        <x:f>76</x:f>
      </x:c>
      <x:c r="CB4" s="104" t="n">
        <x:f>77</x:f>
      </x:c>
      <x:c r="CC4" s="104" t="n">
        <x:f>78</x:f>
      </x:c>
      <x:c r="CD4" s="104" t="n">
        <x:f>79</x:f>
      </x:c>
      <x:c r="CE4" s="104" t="n">
        <x:f>80</x:f>
      </x:c>
      <x:c r="CF4" s="104" t="n">
        <x:f>81</x:f>
      </x:c>
      <x:c r="CG4" s="104" t="n">
        <x:f>82</x:f>
      </x:c>
      <x:c r="CH4" s="104" t="n">
        <x:f>83</x:f>
      </x:c>
      <x:c r="CI4" s="104" t="n">
        <x:f>84</x:f>
      </x:c>
      <x:c r="CJ4" s="104" t="n">
        <x:f>85</x:f>
      </x:c>
      <x:c r="CK4" s="104" t="n">
        <x:f>86</x:f>
      </x:c>
      <x:c r="CL4" s="104" t="n">
        <x:f>87</x:f>
      </x:c>
      <x:c r="CM4" s="104" t="n">
        <x:f>88</x:f>
      </x:c>
      <x:c r="CN4" s="104" t="n">
        <x:f>89</x:f>
      </x:c>
      <x:c r="CO4" s="104" t="n">
        <x:f>90</x:f>
      </x:c>
      <x:c r="CP4" s="104" t="n">
        <x:f>91</x:f>
      </x:c>
      <x:c r="CQ4" s="104" t="n">
        <x:f>92</x:f>
      </x:c>
      <x:c r="CR4" s="104" t="n">
        <x:f>93</x:f>
      </x:c>
      <x:c r="CS4" s="104" t="n">
        <x:f>94</x:f>
      </x:c>
      <x:c r="CT4" s="104" t="n">
        <x:f>95</x:f>
      </x:c>
      <x:c r="CU4" s="104" t="n">
        <x:f>96</x:f>
      </x:c>
      <x:c r="CV4" s="104" t="n">
        <x:f>97</x:f>
      </x:c>
      <x:c r="CW4" s="104" t="n">
        <x:f>98</x:f>
      </x:c>
      <x:c r="CX4" s="104" t="n">
        <x:f>99</x:f>
      </x:c>
      <x:c r="CY4" s="104" t="n">
        <x:f>100</x:f>
      </x:c>
      <x:c r="CZ4" s="104" t="n">
        <x:f>101</x:f>
      </x:c>
      <x:c r="DA4" s="104" t="n">
        <x:f>102</x:f>
      </x:c>
      <x:c r="DB4" s="104" t="n">
        <x:f>103</x:f>
      </x:c>
      <x:c r="DC4" s="104" t="n">
        <x:f>104</x:f>
      </x:c>
      <x:c r="DD4" s="104" t="n">
        <x:f>105</x:f>
      </x:c>
      <x:c r="DE4" s="104" t="n">
        <x:f>106</x:f>
      </x:c>
      <x:c r="DF4" s="104" t="n">
        <x:f>107</x:f>
      </x:c>
      <x:c r="DG4" s="104" t="n">
        <x:f>108</x:f>
      </x:c>
      <x:c r="DH4" s="104" t="n">
        <x:f>109</x:f>
      </x:c>
      <x:c r="DI4" s="104" t="n">
        <x:f>110</x:f>
      </x:c>
      <x:c r="DJ4" s="104" t="n">
        <x:f>111</x:f>
      </x:c>
      <x:c r="DK4" s="104" t="n">
        <x:f>112</x:f>
      </x:c>
      <x:c r="DL4" s="104" t="n">
        <x:f>113</x:f>
      </x:c>
      <x:c r="DM4" s="104" t="n">
        <x:f>114</x:f>
      </x:c>
      <x:c r="DN4" s="104" t="n">
        <x:f>115</x:f>
      </x:c>
      <x:c r="DO4" s="104" t="n">
        <x:f>116</x:f>
      </x:c>
      <x:c r="DP4" s="104" t="n">
        <x:f>117</x:f>
      </x:c>
      <x:c r="DQ4" s="104" t="n">
        <x:f>118</x:f>
      </x:c>
      <x:c r="DR4" s="104" t="n">
        <x:f>119</x:f>
      </x:c>
      <x:c r="DS4" s="104" t="n">
        <x:f>120</x:f>
      </x:c>
      <x:c r="DT4" s="104" t="n">
        <x:f>121</x:f>
      </x:c>
      <x:c r="DU4" s="104" t="n">
        <x:f>122</x:f>
      </x:c>
      <x:c r="DV4" s="104" t="n">
        <x:f>123</x:f>
      </x:c>
      <x:c r="DW4" s="104" t="n">
        <x:f>124</x:f>
      </x:c>
      <x:c r="DX4" s="104" t="n">
        <x:f>125</x:f>
      </x:c>
      <x:c r="DY4" s="104" t="n">
        <x:f>126</x:f>
      </x:c>
      <x:c r="DZ4" s="104" t="n">
        <x:f>127</x:f>
      </x:c>
      <x:c r="EA4" s="104" t="n">
        <x:f>128</x:f>
      </x:c>
      <x:c r="EB4" s="104" t="n">
        <x:f>129</x:f>
      </x:c>
      <x:c r="EC4" s="104" t="n">
        <x:f>130</x:f>
      </x:c>
      <x:c r="ED4" s="104" t="n">
        <x:f>131</x:f>
      </x:c>
      <x:c r="EE4" s="104" t="n">
        <x:f>132</x:f>
      </x:c>
      <x:c r="EF4" s="104" t="n">
        <x:f>133</x:f>
      </x:c>
      <x:c r="EG4" s="104" t="n">
        <x:f>134</x:f>
      </x:c>
      <x:c r="EH4" s="104" t="n">
        <x:f>135</x:f>
      </x:c>
      <x:c r="EI4" s="104" t="n">
        <x:f>136</x:f>
      </x:c>
      <x:c r="EJ4" s="104" t="n">
        <x:f>137</x:f>
      </x:c>
      <x:c r="EK4" s="104" t="n">
        <x:f>138</x:f>
      </x:c>
      <x:c r="EL4" s="104" t="n">
        <x:f>139</x:f>
      </x:c>
      <x:c r="EM4" s="104" t="n">
        <x:f>140</x:f>
      </x:c>
      <x:c r="EN4" s="104" t="n">
        <x:f>141</x:f>
      </x:c>
      <x:c r="EO4" s="104" t="n">
        <x:f>142</x:f>
      </x:c>
      <x:c r="EP4" s="104" t="n">
        <x:f>143</x:f>
      </x:c>
      <x:c r="EQ4" s="104" t="n">
        <x:f>144</x:f>
      </x:c>
      <x:c r="ER4" s="104" t="n">
        <x:f>145</x:f>
      </x:c>
      <x:c r="ES4" s="104" t="n">
        <x:f>146</x:f>
      </x:c>
      <x:c r="ET4" s="104" t="n">
        <x:f>147</x:f>
      </x:c>
      <x:c r="EU4" s="104" t="n">
        <x:f>148</x:f>
      </x:c>
      <x:c r="EV4" s="104" t="n">
        <x:f>149</x:f>
      </x:c>
      <x:c r="EW4" s="104" t="n">
        <x:f>150</x:f>
      </x:c>
      <x:c r="EX4" s="104" t="n">
        <x:f>151</x:f>
      </x:c>
      <x:c r="EY4" s="104" t="n">
        <x:f>152</x:f>
      </x:c>
      <x:c r="EZ4" s="104" t="n">
        <x:f>153</x:f>
      </x:c>
      <x:c r="FA4" s="104" t="n">
        <x:f>154</x:f>
      </x:c>
      <x:c r="FB4" s="104" t="n">
        <x:f>155</x:f>
      </x:c>
      <x:c r="FC4" s="104" t="n">
        <x:f>156</x:f>
      </x:c>
      <x:c r="FD4" s="104" t="n">
        <x:f>157</x:f>
      </x:c>
      <x:c r="FE4" s="104" t="n">
        <x:f>158</x:f>
      </x:c>
      <x:c r="FF4" s="104" t="n">
        <x:f>159</x:f>
      </x:c>
      <x:c r="FG4" s="104" t="n">
        <x:f>160</x:f>
      </x:c>
      <x:c r="FH4" s="104" t="n">
        <x:f>161</x:f>
      </x:c>
      <x:c r="FI4" s="104" t="n">
        <x:f>162</x:f>
      </x:c>
      <x:c r="FJ4" s="104" t="n">
        <x:f>163</x:f>
      </x:c>
      <x:c r="FK4" s="104" t="n">
        <x:f>164</x:f>
      </x:c>
      <x:c r="FL4" s="104" t="n">
        <x:f>165</x:f>
      </x:c>
      <x:c r="FM4" s="104" t="n">
        <x:f>166</x:f>
      </x:c>
      <x:c r="FN4" s="104" t="n">
        <x:f>167</x:f>
      </x:c>
      <x:c r="FO4" s="104" t="n">
        <x:f>168</x:f>
      </x:c>
      <x:c r="FP4" s="104" t="n">
        <x:f>169</x:f>
      </x:c>
      <x:c r="FQ4" s="104" t="n">
        <x:f>170</x:f>
      </x:c>
      <x:c r="FR4" s="104" t="n">
        <x:f>171</x:f>
      </x:c>
      <x:c r="FS4" s="104" t="n">
        <x:f>172</x:f>
      </x:c>
      <x:c r="FT4" s="104" t="n">
        <x:f>173</x:f>
      </x:c>
      <x:c r="FU4" s="104" t="n">
        <x:f>174</x:f>
      </x:c>
      <x:c r="FV4" s="104" t="n">
        <x:f>175</x:f>
      </x:c>
      <x:c r="FW4" s="104" t="n">
        <x:f>176</x:f>
      </x:c>
      <x:c r="FX4" s="104" t="n">
        <x:f>177</x:f>
      </x:c>
      <x:c r="FY4" s="104" t="n">
        <x:f>178</x:f>
      </x:c>
      <x:c r="FZ4" s="104" t="n">
        <x:f>179</x:f>
      </x:c>
      <x:c r="GA4" s="104" t="n">
        <x:f>180</x:f>
      </x:c>
    </x:row>
    <x:row r="6">
      <x:c r="A6" t="str">
        <x:v>Продажи по договорам</x:v>
      </x:c>
      <x:c r="B6" t="n">
        <x:f>SUM(D6:GA6)</x:f>
      </x:c>
      <x:c r="C6" t="str">
        <x:v>млн ₽</x:v>
      </x:c>
      <x:c r="D6" s="117" t="n">
        <x:f>SUM('CF_1'!D10,'CF_2'!D10,'CF_3'!D10,'CF_4'!D10)</x:f>
      </x:c>
      <x:c r="E6" s="117" t="n">
        <x:f>SUM('CF_1'!E10,'CF_2'!E10,'CF_3'!E10,'CF_4'!E10)</x:f>
      </x:c>
      <x:c r="F6" s="117" t="n">
        <x:f>SUM('CF_1'!F10,'CF_2'!F10,'CF_3'!F10,'CF_4'!F10)</x:f>
      </x:c>
      <x:c r="G6" s="117" t="n">
        <x:f>SUM('CF_1'!G10,'CF_2'!G10,'CF_3'!G10,'CF_4'!G10)</x:f>
      </x:c>
      <x:c r="H6" s="117" t="n">
        <x:f>SUM('CF_1'!H10,'CF_2'!H10,'CF_3'!H10,'CF_4'!H10)</x:f>
      </x:c>
      <x:c r="I6" s="117" t="n">
        <x:f>SUM('CF_1'!I10,'CF_2'!I10,'CF_3'!I10,'CF_4'!I10)</x:f>
      </x:c>
      <x:c r="J6" s="117" t="n">
        <x:f>SUM('CF_1'!J10,'CF_2'!J10,'CF_3'!J10,'CF_4'!J10)</x:f>
      </x:c>
      <x:c r="K6" s="117" t="n">
        <x:f>SUM('CF_1'!K10,'CF_2'!K10,'CF_3'!K10,'CF_4'!K10)</x:f>
      </x:c>
      <x:c r="L6" s="117" t="n">
        <x:f>SUM('CF_1'!L10,'CF_2'!L10,'CF_3'!L10,'CF_4'!L10)</x:f>
      </x:c>
      <x:c r="M6" s="117" t="n">
        <x:f>SUM('CF_1'!M10,'CF_2'!M10,'CF_3'!M10,'CF_4'!M10)</x:f>
      </x:c>
      <x:c r="N6" s="117" t="n">
        <x:f>SUM('CF_1'!N10,'CF_2'!N10,'CF_3'!N10,'CF_4'!N10)</x:f>
      </x:c>
      <x:c r="O6" s="117" t="n">
        <x:f>SUM('CF_1'!O10,'CF_2'!O10,'CF_3'!O10,'CF_4'!O10)</x:f>
      </x:c>
      <x:c r="P6" s="117" t="n">
        <x:f>SUM('CF_1'!P10,'CF_2'!P10,'CF_3'!P10,'CF_4'!P10)</x:f>
      </x:c>
      <x:c r="Q6" s="117" t="n">
        <x:f>SUM('CF_1'!Q10,'CF_2'!Q10,'CF_3'!Q10,'CF_4'!Q10)</x:f>
      </x:c>
      <x:c r="R6" s="117" t="n">
        <x:f>SUM('CF_1'!R10,'CF_2'!R10,'CF_3'!R10,'CF_4'!R10)</x:f>
      </x:c>
      <x:c r="S6" s="117" t="n">
        <x:f>SUM('CF_1'!S10,'CF_2'!S10,'CF_3'!S10,'CF_4'!S10)</x:f>
      </x:c>
      <x:c r="T6" s="117" t="n">
        <x:f>SUM('CF_1'!T10,'CF_2'!T10,'CF_3'!T10,'CF_4'!T10)</x:f>
      </x:c>
      <x:c r="U6" s="117" t="n">
        <x:f>SUM('CF_1'!U10,'CF_2'!U10,'CF_3'!U10,'CF_4'!U10)</x:f>
      </x:c>
      <x:c r="V6" s="117" t="n">
        <x:f>SUM('CF_1'!V10,'CF_2'!V10,'CF_3'!V10,'CF_4'!V10)</x:f>
      </x:c>
      <x:c r="W6" s="117" t="n">
        <x:f>SUM('CF_1'!W10,'CF_2'!W10,'CF_3'!W10,'CF_4'!W10)</x:f>
      </x:c>
      <x:c r="X6" s="117" t="n">
        <x:f>SUM('CF_1'!X10,'CF_2'!X10,'CF_3'!X10,'CF_4'!X10)</x:f>
      </x:c>
      <x:c r="Y6" s="117" t="n">
        <x:f>SUM('CF_1'!Y10,'CF_2'!Y10,'CF_3'!Y10,'CF_4'!Y10)</x:f>
      </x:c>
      <x:c r="Z6" s="117" t="n">
        <x:f>SUM('CF_1'!Z10,'CF_2'!Z10,'CF_3'!Z10,'CF_4'!Z10)</x:f>
      </x:c>
      <x:c r="AA6" s="117" t="n">
        <x:f>SUM('CF_1'!AA10,'CF_2'!AA10,'CF_3'!AA10,'CF_4'!AA10)</x:f>
      </x:c>
      <x:c r="AB6" s="117" t="n">
        <x:f>SUM('CF_1'!AB10,'CF_2'!AB10,'CF_3'!AB10,'CF_4'!AB10)</x:f>
      </x:c>
      <x:c r="AC6" s="117" t="n">
        <x:f>SUM('CF_1'!AC10,'CF_2'!AC10,'CF_3'!AC10,'CF_4'!AC10)</x:f>
      </x:c>
      <x:c r="AD6" s="117" t="n">
        <x:f>SUM('CF_1'!AD10,'CF_2'!AD10,'CF_3'!AD10,'CF_4'!AD10)</x:f>
      </x:c>
      <x:c r="AE6" s="117" t="n">
        <x:f>SUM('CF_1'!AE10,'CF_2'!AE10,'CF_3'!AE10,'CF_4'!AE10)</x:f>
      </x:c>
      <x:c r="AF6" s="117" t="n">
        <x:f>SUM('CF_1'!AF10,'CF_2'!AF10,'CF_3'!AF10,'CF_4'!AF10)</x:f>
      </x:c>
      <x:c r="AG6" s="117" t="n">
        <x:f>SUM('CF_1'!AG10,'CF_2'!AG10,'CF_3'!AG10,'CF_4'!AG10)</x:f>
      </x:c>
      <x:c r="AH6" s="117" t="n">
        <x:f>SUM('CF_1'!AH10,'CF_2'!AH10,'CF_3'!AH10,'CF_4'!AH10)</x:f>
      </x:c>
      <x:c r="AI6" s="117" t="n">
        <x:f>SUM('CF_1'!AI10,'CF_2'!AI10,'CF_3'!AI10,'CF_4'!AI10)</x:f>
      </x:c>
      <x:c r="AJ6" s="117" t="n">
        <x:f>SUM('CF_1'!AJ10,'CF_2'!AJ10,'CF_3'!AJ10,'CF_4'!AJ10)</x:f>
      </x:c>
      <x:c r="AK6" s="117" t="n">
        <x:f>SUM('CF_1'!AK10,'CF_2'!AK10,'CF_3'!AK10,'CF_4'!AK10)</x:f>
      </x:c>
      <x:c r="AL6" s="117" t="n">
        <x:f>SUM('CF_1'!AL10,'CF_2'!AL10,'CF_3'!AL10,'CF_4'!AL10)</x:f>
      </x:c>
      <x:c r="AM6" s="117" t="n">
        <x:f>SUM('CF_1'!AM10,'CF_2'!AM10,'CF_3'!AM10,'CF_4'!AM10)</x:f>
      </x:c>
      <x:c r="AN6" s="117" t="n">
        <x:f>SUM('CF_1'!AN10,'CF_2'!AN10,'CF_3'!AN10,'CF_4'!AN10)</x:f>
      </x:c>
      <x:c r="AO6" s="117" t="n">
        <x:f>SUM('CF_1'!AO10,'CF_2'!AO10,'CF_3'!AO10,'CF_4'!AO10)</x:f>
      </x:c>
      <x:c r="AP6" s="117" t="n">
        <x:f>SUM('CF_1'!AP10,'CF_2'!AP10,'CF_3'!AP10,'CF_4'!AP10)</x:f>
      </x:c>
      <x:c r="AQ6" s="117" t="n">
        <x:f>SUM('CF_1'!AQ10,'CF_2'!AQ10,'CF_3'!AQ10,'CF_4'!AQ10)</x:f>
      </x:c>
      <x:c r="AR6" s="117" t="n">
        <x:f>SUM('CF_1'!AR10,'CF_2'!AR10,'CF_3'!AR10,'CF_4'!AR10)</x:f>
      </x:c>
      <x:c r="AS6" s="117" t="n">
        <x:f>SUM('CF_1'!AS10,'CF_2'!AS10,'CF_3'!AS10,'CF_4'!AS10)</x:f>
      </x:c>
      <x:c r="AT6" s="117" t="n">
        <x:f>SUM('CF_1'!AT10,'CF_2'!AT10,'CF_3'!AT10,'CF_4'!AT10)</x:f>
      </x:c>
      <x:c r="AU6" s="117" t="n">
        <x:f>SUM('CF_1'!AU10,'CF_2'!AU10,'CF_3'!AU10,'CF_4'!AU10)</x:f>
      </x:c>
      <x:c r="AV6" s="117" t="n">
        <x:f>SUM('CF_1'!AV10,'CF_2'!AV10,'CF_3'!AV10,'CF_4'!AV10)</x:f>
      </x:c>
      <x:c r="AW6" s="117" t="n">
        <x:f>SUM('CF_1'!AW10,'CF_2'!AW10,'CF_3'!AW10,'CF_4'!AW10)</x:f>
      </x:c>
      <x:c r="AX6" s="117" t="n">
        <x:f>SUM('CF_1'!AX10,'CF_2'!AX10,'CF_3'!AX10,'CF_4'!AX10)</x:f>
      </x:c>
      <x:c r="AY6" s="117" t="n">
        <x:f>SUM('CF_1'!AY10,'CF_2'!AY10,'CF_3'!AY10,'CF_4'!AY10)</x:f>
      </x:c>
      <x:c r="AZ6" s="117" t="n">
        <x:f>SUM('CF_1'!AZ10,'CF_2'!AZ10,'CF_3'!AZ10,'CF_4'!AZ10)</x:f>
      </x:c>
      <x:c r="BA6" s="117" t="n">
        <x:f>SUM('CF_1'!BA10,'CF_2'!BA10,'CF_3'!BA10,'CF_4'!BA10)</x:f>
      </x:c>
      <x:c r="BB6" s="117" t="n">
        <x:f>SUM('CF_1'!BB10,'CF_2'!BB10,'CF_3'!BB10,'CF_4'!BB10)</x:f>
      </x:c>
      <x:c r="BC6" s="117" t="n">
        <x:f>SUM('CF_1'!BC10,'CF_2'!BC10,'CF_3'!BC10,'CF_4'!BC10)</x:f>
      </x:c>
      <x:c r="BD6" s="117" t="n">
        <x:f>SUM('CF_1'!BD10,'CF_2'!BD10,'CF_3'!BD10,'CF_4'!BD10)</x:f>
      </x:c>
      <x:c r="BE6" s="117" t="n">
        <x:f>SUM('CF_1'!BE10,'CF_2'!BE10,'CF_3'!BE10,'CF_4'!BE10)</x:f>
      </x:c>
      <x:c r="BF6" s="117" t="n">
        <x:f>SUM('CF_1'!BF10,'CF_2'!BF10,'CF_3'!BF10,'CF_4'!BF10)</x:f>
      </x:c>
      <x:c r="BG6" s="117" t="n">
        <x:f>SUM('CF_1'!BG10,'CF_2'!BG10,'CF_3'!BG10,'CF_4'!BG10)</x:f>
      </x:c>
      <x:c r="BH6" s="117" t="n">
        <x:f>SUM('CF_1'!BH10,'CF_2'!BH10,'CF_3'!BH10,'CF_4'!BH10)</x:f>
      </x:c>
      <x:c r="BI6" s="117" t="n">
        <x:f>SUM('CF_1'!BI10,'CF_2'!BI10,'CF_3'!BI10,'CF_4'!BI10)</x:f>
      </x:c>
      <x:c r="BJ6" s="117" t="n">
        <x:f>SUM('CF_1'!BJ10,'CF_2'!BJ10,'CF_3'!BJ10,'CF_4'!BJ10)</x:f>
      </x:c>
      <x:c r="BK6" s="117" t="n">
        <x:f>SUM('CF_1'!BK10,'CF_2'!BK10,'CF_3'!BK10,'CF_4'!BK10)</x:f>
      </x:c>
      <x:c r="BL6" s="117" t="n">
        <x:f>SUM('CF_1'!BL10,'CF_2'!BL10,'CF_3'!BL10,'CF_4'!BL10)</x:f>
      </x:c>
      <x:c r="BM6" s="117" t="n">
        <x:f>SUM('CF_1'!BM10,'CF_2'!BM10,'CF_3'!BM10,'CF_4'!BM10)</x:f>
      </x:c>
      <x:c r="BN6" s="117" t="n">
        <x:f>SUM('CF_1'!BN10,'CF_2'!BN10,'CF_3'!BN10,'CF_4'!BN10)</x:f>
      </x:c>
      <x:c r="BO6" s="117" t="n">
        <x:f>SUM('CF_1'!BO10,'CF_2'!BO10,'CF_3'!BO10,'CF_4'!BO10)</x:f>
      </x:c>
      <x:c r="BP6" s="117" t="n">
        <x:f>SUM('CF_1'!BP10,'CF_2'!BP10,'CF_3'!BP10,'CF_4'!BP10)</x:f>
      </x:c>
      <x:c r="BQ6" s="117" t="n">
        <x:f>SUM('CF_1'!BQ10,'CF_2'!BQ10,'CF_3'!BQ10,'CF_4'!BQ10)</x:f>
      </x:c>
      <x:c r="BR6" s="117" t="n">
        <x:f>SUM('CF_1'!BR10,'CF_2'!BR10,'CF_3'!BR10,'CF_4'!BR10)</x:f>
      </x:c>
      <x:c r="BS6" s="117" t="n">
        <x:f>SUM('CF_1'!BS10,'CF_2'!BS10,'CF_3'!BS10,'CF_4'!BS10)</x:f>
      </x:c>
      <x:c r="BT6" s="117" t="n">
        <x:f>SUM('CF_1'!BT10,'CF_2'!BT10,'CF_3'!BT10,'CF_4'!BT10)</x:f>
      </x:c>
      <x:c r="BU6" s="117" t="n">
        <x:f>SUM('CF_1'!BU10,'CF_2'!BU10,'CF_3'!BU10,'CF_4'!BU10)</x:f>
      </x:c>
      <x:c r="BV6" s="117" t="n">
        <x:f>SUM('CF_1'!BV10,'CF_2'!BV10,'CF_3'!BV10,'CF_4'!BV10)</x:f>
      </x:c>
      <x:c r="BW6" s="117" t="n">
        <x:f>SUM('CF_1'!BW10,'CF_2'!BW10,'CF_3'!BW10,'CF_4'!BW10)</x:f>
      </x:c>
      <x:c r="BX6" s="117" t="n">
        <x:f>SUM('CF_1'!BX10,'CF_2'!BX10,'CF_3'!BX10,'CF_4'!BX10)</x:f>
      </x:c>
      <x:c r="BY6" s="117" t="n">
        <x:f>SUM('CF_1'!BY10,'CF_2'!BY10,'CF_3'!BY10,'CF_4'!BY10)</x:f>
      </x:c>
      <x:c r="BZ6" s="117" t="n">
        <x:f>SUM('CF_1'!BZ10,'CF_2'!BZ10,'CF_3'!BZ10,'CF_4'!BZ10)</x:f>
      </x:c>
      <x:c r="CA6" s="117" t="n">
        <x:f>SUM('CF_1'!CA10,'CF_2'!CA10,'CF_3'!CA10,'CF_4'!CA10)</x:f>
      </x:c>
      <x:c r="CB6" s="117" t="n">
        <x:f>SUM('CF_1'!CB10,'CF_2'!CB10,'CF_3'!CB10,'CF_4'!CB10)</x:f>
      </x:c>
      <x:c r="CC6" s="117" t="n">
        <x:f>SUM('CF_1'!CC10,'CF_2'!CC10,'CF_3'!CC10,'CF_4'!CC10)</x:f>
      </x:c>
      <x:c r="CD6" s="117" t="n">
        <x:f>SUM('CF_1'!CD10,'CF_2'!CD10,'CF_3'!CD10,'CF_4'!CD10)</x:f>
      </x:c>
      <x:c r="CE6" s="117" t="n">
        <x:f>SUM('CF_1'!CE10,'CF_2'!CE10,'CF_3'!CE10,'CF_4'!CE10)</x:f>
      </x:c>
      <x:c r="CF6" s="117" t="n">
        <x:f>SUM('CF_1'!CF10,'CF_2'!CF10,'CF_3'!CF10,'CF_4'!CF10)</x:f>
      </x:c>
      <x:c r="CG6" s="117" t="n">
        <x:f>SUM('CF_1'!CG10,'CF_2'!CG10,'CF_3'!CG10,'CF_4'!CG10)</x:f>
      </x:c>
      <x:c r="CH6" s="117" t="n">
        <x:f>SUM('CF_1'!CH10,'CF_2'!CH10,'CF_3'!CH10,'CF_4'!CH10)</x:f>
      </x:c>
      <x:c r="CI6" s="117" t="n">
        <x:f>SUM('CF_1'!CI10,'CF_2'!CI10,'CF_3'!CI10,'CF_4'!CI10)</x:f>
      </x:c>
      <x:c r="CJ6" s="117" t="n">
        <x:f>SUM('CF_1'!CJ10,'CF_2'!CJ10,'CF_3'!CJ10,'CF_4'!CJ10)</x:f>
      </x:c>
      <x:c r="CK6" s="117" t="n">
        <x:f>SUM('CF_1'!CK10,'CF_2'!CK10,'CF_3'!CK10,'CF_4'!CK10)</x:f>
      </x:c>
      <x:c r="CL6" s="117" t="n">
        <x:f>SUM('CF_1'!CL10,'CF_2'!CL10,'CF_3'!CL10,'CF_4'!CL10)</x:f>
      </x:c>
      <x:c r="CM6" s="117" t="n">
        <x:f>SUM('CF_1'!CM10,'CF_2'!CM10,'CF_3'!CM10,'CF_4'!CM10)</x:f>
      </x:c>
      <x:c r="CN6" s="117" t="n">
        <x:f>SUM('CF_1'!CN10,'CF_2'!CN10,'CF_3'!CN10,'CF_4'!CN10)</x:f>
      </x:c>
      <x:c r="CO6" s="117" t="n">
        <x:f>SUM('CF_1'!CO10,'CF_2'!CO10,'CF_3'!CO10,'CF_4'!CO10)</x:f>
      </x:c>
      <x:c r="CP6" s="117" t="n">
        <x:f>SUM('CF_1'!CP10,'CF_2'!CP10,'CF_3'!CP10,'CF_4'!CP10)</x:f>
      </x:c>
      <x:c r="CQ6" s="117" t="n">
        <x:f>SUM('CF_1'!CQ10,'CF_2'!CQ10,'CF_3'!CQ10,'CF_4'!CQ10)</x:f>
      </x:c>
      <x:c r="CR6" s="117" t="n">
        <x:f>SUM('CF_1'!CR10,'CF_2'!CR10,'CF_3'!CR10,'CF_4'!CR10)</x:f>
      </x:c>
      <x:c r="CS6" s="117" t="n">
        <x:f>SUM('CF_1'!CS10,'CF_2'!CS10,'CF_3'!CS10,'CF_4'!CS10)</x:f>
      </x:c>
      <x:c r="CT6" s="117" t="n">
        <x:f>SUM('CF_1'!CT10,'CF_2'!CT10,'CF_3'!CT10,'CF_4'!CT10)</x:f>
      </x:c>
      <x:c r="CU6" s="117" t="n">
        <x:f>SUM('CF_1'!CU10,'CF_2'!CU10,'CF_3'!CU10,'CF_4'!CU10)</x:f>
      </x:c>
      <x:c r="CV6" s="117" t="n">
        <x:f>SUM('CF_1'!CV10,'CF_2'!CV10,'CF_3'!CV10,'CF_4'!CV10)</x:f>
      </x:c>
      <x:c r="CW6" s="117" t="n">
        <x:f>SUM('CF_1'!CW10,'CF_2'!CW10,'CF_3'!CW10,'CF_4'!CW10)</x:f>
      </x:c>
      <x:c r="CX6" s="117" t="n">
        <x:f>SUM('CF_1'!CX10,'CF_2'!CX10,'CF_3'!CX10,'CF_4'!CX10)</x:f>
      </x:c>
      <x:c r="CY6" s="117" t="n">
        <x:f>SUM('CF_1'!CY10,'CF_2'!CY10,'CF_3'!CY10,'CF_4'!CY10)</x:f>
      </x:c>
      <x:c r="CZ6" s="117" t="n">
        <x:f>SUM('CF_1'!CZ10,'CF_2'!CZ10,'CF_3'!CZ10,'CF_4'!CZ10)</x:f>
      </x:c>
      <x:c r="DA6" s="117" t="n">
        <x:f>SUM('CF_1'!DA10,'CF_2'!DA10,'CF_3'!DA10,'CF_4'!DA10)</x:f>
      </x:c>
      <x:c r="DB6" s="117" t="n">
        <x:f>SUM('CF_1'!DB10,'CF_2'!DB10,'CF_3'!DB10,'CF_4'!DB10)</x:f>
      </x:c>
      <x:c r="DC6" s="117" t="n">
        <x:f>SUM('CF_1'!DC10,'CF_2'!DC10,'CF_3'!DC10,'CF_4'!DC10)</x:f>
      </x:c>
      <x:c r="DD6" s="117" t="n">
        <x:f>SUM('CF_1'!DD10,'CF_2'!DD10,'CF_3'!DD10,'CF_4'!DD10)</x:f>
      </x:c>
      <x:c r="DE6" s="117" t="n">
        <x:f>SUM('CF_1'!DE10,'CF_2'!DE10,'CF_3'!DE10,'CF_4'!DE10)</x:f>
      </x:c>
      <x:c r="DF6" s="117" t="n">
        <x:f>SUM('CF_1'!DF10,'CF_2'!DF10,'CF_3'!DF10,'CF_4'!DF10)</x:f>
      </x:c>
      <x:c r="DG6" s="117" t="n">
        <x:f>SUM('CF_1'!DG10,'CF_2'!DG10,'CF_3'!DG10,'CF_4'!DG10)</x:f>
      </x:c>
      <x:c r="DH6" s="117" t="n">
        <x:f>SUM('CF_1'!DH10,'CF_2'!DH10,'CF_3'!DH10,'CF_4'!DH10)</x:f>
      </x:c>
      <x:c r="DI6" s="117" t="n">
        <x:f>SUM('CF_1'!DI10,'CF_2'!DI10,'CF_3'!DI10,'CF_4'!DI10)</x:f>
      </x:c>
      <x:c r="DJ6" s="117" t="n">
        <x:f>SUM('CF_1'!DJ10,'CF_2'!DJ10,'CF_3'!DJ10,'CF_4'!DJ10)</x:f>
      </x:c>
      <x:c r="DK6" s="117" t="n">
        <x:f>SUM('CF_1'!DK10,'CF_2'!DK10,'CF_3'!DK10,'CF_4'!DK10)</x:f>
      </x:c>
      <x:c r="DL6" s="117" t="n">
        <x:f>SUM('CF_1'!DL10,'CF_2'!DL10,'CF_3'!DL10,'CF_4'!DL10)</x:f>
      </x:c>
      <x:c r="DM6" s="117" t="n">
        <x:f>SUM('CF_1'!DM10,'CF_2'!DM10,'CF_3'!DM10,'CF_4'!DM10)</x:f>
      </x:c>
      <x:c r="DN6" s="117" t="n">
        <x:f>SUM('CF_1'!DN10,'CF_2'!DN10,'CF_3'!DN10,'CF_4'!DN10)</x:f>
      </x:c>
      <x:c r="DO6" s="117" t="n">
        <x:f>SUM('CF_1'!DO10,'CF_2'!DO10,'CF_3'!DO10,'CF_4'!DO10)</x:f>
      </x:c>
      <x:c r="DP6" s="117" t="n">
        <x:f>SUM('CF_1'!DP10,'CF_2'!DP10,'CF_3'!DP10,'CF_4'!DP10)</x:f>
      </x:c>
      <x:c r="DQ6" s="117" t="n">
        <x:f>SUM('CF_1'!DQ10,'CF_2'!DQ10,'CF_3'!DQ10,'CF_4'!DQ10)</x:f>
      </x:c>
      <x:c r="DR6" s="117" t="n">
        <x:f>SUM('CF_1'!DR10,'CF_2'!DR10,'CF_3'!DR10,'CF_4'!DR10)</x:f>
      </x:c>
      <x:c r="DS6" s="117" t="n">
        <x:f>SUM('CF_1'!DS10,'CF_2'!DS10,'CF_3'!DS10,'CF_4'!DS10)</x:f>
      </x:c>
      <x:c r="DT6" s="117" t="n">
        <x:f>SUM('CF_1'!DT10,'CF_2'!DT10,'CF_3'!DT10,'CF_4'!DT10)</x:f>
      </x:c>
      <x:c r="DU6" s="117" t="n">
        <x:f>SUM('CF_1'!DU10,'CF_2'!DU10,'CF_3'!DU10,'CF_4'!DU10)</x:f>
      </x:c>
      <x:c r="DV6" s="117" t="n">
        <x:f>SUM('CF_1'!DV10,'CF_2'!DV10,'CF_3'!DV10,'CF_4'!DV10)</x:f>
      </x:c>
      <x:c r="DW6" s="117" t="n">
        <x:f>SUM('CF_1'!DW10,'CF_2'!DW10,'CF_3'!DW10,'CF_4'!DW10)</x:f>
      </x:c>
      <x:c r="DX6" s="117" t="n">
        <x:f>SUM('CF_1'!DX10,'CF_2'!DX10,'CF_3'!DX10,'CF_4'!DX10)</x:f>
      </x:c>
      <x:c r="DY6" s="117" t="n">
        <x:f>SUM('CF_1'!DY10,'CF_2'!DY10,'CF_3'!DY10,'CF_4'!DY10)</x:f>
      </x:c>
      <x:c r="DZ6" s="117" t="n">
        <x:f>SUM('CF_1'!DZ10,'CF_2'!DZ10,'CF_3'!DZ10,'CF_4'!DZ10)</x:f>
      </x:c>
      <x:c r="EA6" s="117" t="n">
        <x:f>SUM('CF_1'!EA10,'CF_2'!EA10,'CF_3'!EA10,'CF_4'!EA10)</x:f>
      </x:c>
      <x:c r="EB6" s="117" t="n">
        <x:f>SUM('CF_1'!EB10,'CF_2'!EB10,'CF_3'!EB10,'CF_4'!EB10)</x:f>
      </x:c>
      <x:c r="EC6" s="117" t="n">
        <x:f>SUM('CF_1'!EC10,'CF_2'!EC10,'CF_3'!EC10,'CF_4'!EC10)</x:f>
      </x:c>
      <x:c r="ED6" s="117" t="n">
        <x:f>SUM('CF_1'!ED10,'CF_2'!ED10,'CF_3'!ED10,'CF_4'!ED10)</x:f>
      </x:c>
      <x:c r="EE6" s="117" t="n">
        <x:f>SUM('CF_1'!EE10,'CF_2'!EE10,'CF_3'!EE10,'CF_4'!EE10)</x:f>
      </x:c>
      <x:c r="EF6" s="117" t="n">
        <x:f>SUM('CF_1'!EF10,'CF_2'!EF10,'CF_3'!EF10,'CF_4'!EF10)</x:f>
      </x:c>
      <x:c r="EG6" s="117" t="n">
        <x:f>SUM('CF_1'!EG10,'CF_2'!EG10,'CF_3'!EG10,'CF_4'!EG10)</x:f>
      </x:c>
      <x:c r="EH6" s="117" t="n">
        <x:f>SUM('CF_1'!EH10,'CF_2'!EH10,'CF_3'!EH10,'CF_4'!EH10)</x:f>
      </x:c>
      <x:c r="EI6" s="117" t="n">
        <x:f>SUM('CF_1'!EI10,'CF_2'!EI10,'CF_3'!EI10,'CF_4'!EI10)</x:f>
      </x:c>
      <x:c r="EJ6" s="117" t="n">
        <x:f>SUM('CF_1'!EJ10,'CF_2'!EJ10,'CF_3'!EJ10,'CF_4'!EJ10)</x:f>
      </x:c>
      <x:c r="EK6" s="117" t="n">
        <x:f>SUM('CF_1'!EK10,'CF_2'!EK10,'CF_3'!EK10,'CF_4'!EK10)</x:f>
      </x:c>
      <x:c r="EL6" s="117" t="n">
        <x:f>SUM('CF_1'!EL10,'CF_2'!EL10,'CF_3'!EL10,'CF_4'!EL10)</x:f>
      </x:c>
      <x:c r="EM6" s="117" t="n">
        <x:f>SUM('CF_1'!EM10,'CF_2'!EM10,'CF_3'!EM10,'CF_4'!EM10)</x:f>
      </x:c>
      <x:c r="EN6" s="117" t="n">
        <x:f>SUM('CF_1'!EN10,'CF_2'!EN10,'CF_3'!EN10,'CF_4'!EN10)</x:f>
      </x:c>
      <x:c r="EO6" s="117" t="n">
        <x:f>SUM('CF_1'!EO10,'CF_2'!EO10,'CF_3'!EO10,'CF_4'!EO10)</x:f>
      </x:c>
      <x:c r="EP6" s="117" t="n">
        <x:f>SUM('CF_1'!EP10,'CF_2'!EP10,'CF_3'!EP10,'CF_4'!EP10)</x:f>
      </x:c>
      <x:c r="EQ6" s="117" t="n">
        <x:f>SUM('CF_1'!EQ10,'CF_2'!EQ10,'CF_3'!EQ10,'CF_4'!EQ10)</x:f>
      </x:c>
      <x:c r="ER6" s="117" t="n">
        <x:f>SUM('CF_1'!ER10,'CF_2'!ER10,'CF_3'!ER10,'CF_4'!ER10)</x:f>
      </x:c>
      <x:c r="ES6" s="117" t="n">
        <x:f>SUM('CF_1'!ES10,'CF_2'!ES10,'CF_3'!ES10,'CF_4'!ES10)</x:f>
      </x:c>
      <x:c r="ET6" s="117" t="n">
        <x:f>SUM('CF_1'!ET10,'CF_2'!ET10,'CF_3'!ET10,'CF_4'!ET10)</x:f>
      </x:c>
      <x:c r="EU6" s="117" t="n">
        <x:f>SUM('CF_1'!EU10,'CF_2'!EU10,'CF_3'!EU10,'CF_4'!EU10)</x:f>
      </x:c>
      <x:c r="EV6" s="117" t="n">
        <x:f>SUM('CF_1'!EV10,'CF_2'!EV10,'CF_3'!EV10,'CF_4'!EV10)</x:f>
      </x:c>
      <x:c r="EW6" s="117" t="n">
        <x:f>SUM('CF_1'!EW10,'CF_2'!EW10,'CF_3'!EW10,'CF_4'!EW10)</x:f>
      </x:c>
      <x:c r="EX6" s="117" t="n">
        <x:f>SUM('CF_1'!EX10,'CF_2'!EX10,'CF_3'!EX10,'CF_4'!EX10)</x:f>
      </x:c>
      <x:c r="EY6" s="117" t="n">
        <x:f>SUM('CF_1'!EY10,'CF_2'!EY10,'CF_3'!EY10,'CF_4'!EY10)</x:f>
      </x:c>
      <x:c r="EZ6" s="117" t="n">
        <x:f>SUM('CF_1'!EZ10,'CF_2'!EZ10,'CF_3'!EZ10,'CF_4'!EZ10)</x:f>
      </x:c>
      <x:c r="FA6" s="117" t="n">
        <x:f>SUM('CF_1'!FA10,'CF_2'!FA10,'CF_3'!FA10,'CF_4'!FA10)</x:f>
      </x:c>
      <x:c r="FB6" s="117" t="n">
        <x:f>SUM('CF_1'!FB10,'CF_2'!FB10,'CF_3'!FB10,'CF_4'!FB10)</x:f>
      </x:c>
      <x:c r="FC6" s="117" t="n">
        <x:f>SUM('CF_1'!FC10,'CF_2'!FC10,'CF_3'!FC10,'CF_4'!FC10)</x:f>
      </x:c>
      <x:c r="FD6" s="117" t="n">
        <x:f>SUM('CF_1'!FD10,'CF_2'!FD10,'CF_3'!FD10,'CF_4'!FD10)</x:f>
      </x:c>
      <x:c r="FE6" s="117" t="n">
        <x:f>SUM('CF_1'!FE10,'CF_2'!FE10,'CF_3'!FE10,'CF_4'!FE10)</x:f>
      </x:c>
      <x:c r="FF6" s="117" t="n">
        <x:f>SUM('CF_1'!FF10,'CF_2'!FF10,'CF_3'!FF10,'CF_4'!FF10)</x:f>
      </x:c>
      <x:c r="FG6" s="117" t="n">
        <x:f>SUM('CF_1'!FG10,'CF_2'!FG10,'CF_3'!FG10,'CF_4'!FG10)</x:f>
      </x:c>
      <x:c r="FH6" s="117" t="n">
        <x:f>SUM('CF_1'!FH10,'CF_2'!FH10,'CF_3'!FH10,'CF_4'!FH10)</x:f>
      </x:c>
      <x:c r="FI6" s="117" t="n">
        <x:f>SUM('CF_1'!FI10,'CF_2'!FI10,'CF_3'!FI10,'CF_4'!FI10)</x:f>
      </x:c>
      <x:c r="FJ6" s="117" t="n">
        <x:f>SUM('CF_1'!FJ10,'CF_2'!FJ10,'CF_3'!FJ10,'CF_4'!FJ10)</x:f>
      </x:c>
      <x:c r="FK6" s="117" t="n">
        <x:f>SUM('CF_1'!FK10,'CF_2'!FK10,'CF_3'!FK10,'CF_4'!FK10)</x:f>
      </x:c>
      <x:c r="FL6" s="117" t="n">
        <x:f>SUM('CF_1'!FL10,'CF_2'!FL10,'CF_3'!FL10,'CF_4'!FL10)</x:f>
      </x:c>
      <x:c r="FM6" s="117" t="n">
        <x:f>SUM('CF_1'!FM10,'CF_2'!FM10,'CF_3'!FM10,'CF_4'!FM10)</x:f>
      </x:c>
      <x:c r="FN6" s="117" t="n">
        <x:f>SUM('CF_1'!FN10,'CF_2'!FN10,'CF_3'!FN10,'CF_4'!FN10)</x:f>
      </x:c>
      <x:c r="FO6" s="117" t="n">
        <x:f>SUM('CF_1'!FO10,'CF_2'!FO10,'CF_3'!FO10,'CF_4'!FO10)</x:f>
      </x:c>
      <x:c r="FP6" s="117" t="n">
        <x:f>SUM('CF_1'!FP10,'CF_2'!FP10,'CF_3'!FP10,'CF_4'!FP10)</x:f>
      </x:c>
      <x:c r="FQ6" s="117" t="n">
        <x:f>SUM('CF_1'!FQ10,'CF_2'!FQ10,'CF_3'!FQ10,'CF_4'!FQ10)</x:f>
      </x:c>
      <x:c r="FR6" s="117" t="n">
        <x:f>SUM('CF_1'!FR10,'CF_2'!FR10,'CF_3'!FR10,'CF_4'!FR10)</x:f>
      </x:c>
      <x:c r="FS6" s="117" t="n">
        <x:f>SUM('CF_1'!FS10,'CF_2'!FS10,'CF_3'!FS10,'CF_4'!FS10)</x:f>
      </x:c>
      <x:c r="FT6" s="117" t="n">
        <x:f>SUM('CF_1'!FT10,'CF_2'!FT10,'CF_3'!FT10,'CF_4'!FT10)</x:f>
      </x:c>
      <x:c r="FU6" s="117" t="n">
        <x:f>SUM('CF_1'!FU10,'CF_2'!FU10,'CF_3'!FU10,'CF_4'!FU10)</x:f>
      </x:c>
      <x:c r="FV6" s="117" t="n">
        <x:f>SUM('CF_1'!FV10,'CF_2'!FV10,'CF_3'!FV10,'CF_4'!FV10)</x:f>
      </x:c>
      <x:c r="FW6" s="117" t="n">
        <x:f>SUM('CF_1'!FW10,'CF_2'!FW10,'CF_3'!FW10,'CF_4'!FW10)</x:f>
      </x:c>
      <x:c r="FX6" s="117" t="n">
        <x:f>SUM('CF_1'!FX10,'CF_2'!FX10,'CF_3'!FX10,'CF_4'!FX10)</x:f>
      </x:c>
      <x:c r="FY6" s="117" t="n">
        <x:f>SUM('CF_1'!FY10,'CF_2'!FY10,'CF_3'!FY10,'CF_4'!FY10)</x:f>
      </x:c>
      <x:c r="FZ6" s="117" t="n">
        <x:f>SUM('CF_1'!FZ10,'CF_2'!FZ10,'CF_3'!FZ10,'CF_4'!FZ10)</x:f>
      </x:c>
      <x:c r="GA6" s="117" t="n">
        <x:f>SUM('CF_1'!GA10,'CF_2'!GA10,'CF_3'!GA10,'CF_4'!GA10)</x:f>
      </x:c>
    </x:row>
    <x:row r="7">
      <x:c r="A7" t="str">
        <x:v>Поступления на эскроу</x:v>
      </x:c>
      <x:c r="B7" t="n">
        <x:f>SUM(D7:GA7)</x:f>
      </x:c>
      <x:c r="C7" t="str">
        <x:v>млн ₽</x:v>
      </x:c>
      <x:c r="D7" s="117" t="n">
        <x:f>SUM('CF_1'!D11,'CF_2'!D11,'CF_3'!D11,'CF_4'!D11)</x:f>
      </x:c>
      <x:c r="E7" s="117" t="n">
        <x:f>SUM('CF_1'!E11,'CF_2'!E11,'CF_3'!E11,'CF_4'!E11)</x:f>
      </x:c>
      <x:c r="F7" s="117" t="n">
        <x:f>SUM('CF_1'!F11,'CF_2'!F11,'CF_3'!F11,'CF_4'!F11)</x:f>
      </x:c>
      <x:c r="G7" s="117" t="n">
        <x:f>SUM('CF_1'!G11,'CF_2'!G11,'CF_3'!G11,'CF_4'!G11)</x:f>
      </x:c>
      <x:c r="H7" s="117" t="n">
        <x:f>SUM('CF_1'!H11,'CF_2'!H11,'CF_3'!H11,'CF_4'!H11)</x:f>
      </x:c>
      <x:c r="I7" s="117" t="n">
        <x:f>SUM('CF_1'!I11,'CF_2'!I11,'CF_3'!I11,'CF_4'!I11)</x:f>
      </x:c>
      <x:c r="J7" s="117" t="n">
        <x:f>SUM('CF_1'!J11,'CF_2'!J11,'CF_3'!J11,'CF_4'!J11)</x:f>
      </x:c>
      <x:c r="K7" s="117" t="n">
        <x:f>SUM('CF_1'!K11,'CF_2'!K11,'CF_3'!K11,'CF_4'!K11)</x:f>
      </x:c>
      <x:c r="L7" s="117" t="n">
        <x:f>SUM('CF_1'!L11,'CF_2'!L11,'CF_3'!L11,'CF_4'!L11)</x:f>
      </x:c>
      <x:c r="M7" s="117" t="n">
        <x:f>SUM('CF_1'!M11,'CF_2'!M11,'CF_3'!M11,'CF_4'!M11)</x:f>
      </x:c>
      <x:c r="N7" s="117" t="n">
        <x:f>SUM('CF_1'!N11,'CF_2'!N11,'CF_3'!N11,'CF_4'!N11)</x:f>
      </x:c>
      <x:c r="O7" s="117" t="n">
        <x:f>SUM('CF_1'!O11,'CF_2'!O11,'CF_3'!O11,'CF_4'!O11)</x:f>
      </x:c>
      <x:c r="P7" s="117" t="n">
        <x:f>SUM('CF_1'!P11,'CF_2'!P11,'CF_3'!P11,'CF_4'!P11)</x:f>
      </x:c>
      <x:c r="Q7" s="117" t="n">
        <x:f>SUM('CF_1'!Q11,'CF_2'!Q11,'CF_3'!Q11,'CF_4'!Q11)</x:f>
      </x:c>
      <x:c r="R7" s="117" t="n">
        <x:f>SUM('CF_1'!R11,'CF_2'!R11,'CF_3'!R11,'CF_4'!R11)</x:f>
      </x:c>
      <x:c r="S7" s="117" t="n">
        <x:f>SUM('CF_1'!S11,'CF_2'!S11,'CF_3'!S11,'CF_4'!S11)</x:f>
      </x:c>
      <x:c r="T7" s="117" t="n">
        <x:f>SUM('CF_1'!T11,'CF_2'!T11,'CF_3'!T11,'CF_4'!T11)</x:f>
      </x:c>
      <x:c r="U7" s="117" t="n">
        <x:f>SUM('CF_1'!U11,'CF_2'!U11,'CF_3'!U11,'CF_4'!U11)</x:f>
      </x:c>
      <x:c r="V7" s="117" t="n">
        <x:f>SUM('CF_1'!V11,'CF_2'!V11,'CF_3'!V11,'CF_4'!V11)</x:f>
      </x:c>
      <x:c r="W7" s="117" t="n">
        <x:f>SUM('CF_1'!W11,'CF_2'!W11,'CF_3'!W11,'CF_4'!W11)</x:f>
      </x:c>
      <x:c r="X7" s="117" t="n">
        <x:f>SUM('CF_1'!X11,'CF_2'!X11,'CF_3'!X11,'CF_4'!X11)</x:f>
      </x:c>
      <x:c r="Y7" s="117" t="n">
        <x:f>SUM('CF_1'!Y11,'CF_2'!Y11,'CF_3'!Y11,'CF_4'!Y11)</x:f>
      </x:c>
      <x:c r="Z7" s="117" t="n">
        <x:f>SUM('CF_1'!Z11,'CF_2'!Z11,'CF_3'!Z11,'CF_4'!Z11)</x:f>
      </x:c>
      <x:c r="AA7" s="117" t="n">
        <x:f>SUM('CF_1'!AA11,'CF_2'!AA11,'CF_3'!AA11,'CF_4'!AA11)</x:f>
      </x:c>
      <x:c r="AB7" s="117" t="n">
        <x:f>SUM('CF_1'!AB11,'CF_2'!AB11,'CF_3'!AB11,'CF_4'!AB11)</x:f>
      </x:c>
      <x:c r="AC7" s="117" t="n">
        <x:f>SUM('CF_1'!AC11,'CF_2'!AC11,'CF_3'!AC11,'CF_4'!AC11)</x:f>
      </x:c>
      <x:c r="AD7" s="117" t="n">
        <x:f>SUM('CF_1'!AD11,'CF_2'!AD11,'CF_3'!AD11,'CF_4'!AD11)</x:f>
      </x:c>
      <x:c r="AE7" s="117" t="n">
        <x:f>SUM('CF_1'!AE11,'CF_2'!AE11,'CF_3'!AE11,'CF_4'!AE11)</x:f>
      </x:c>
      <x:c r="AF7" s="117" t="n">
        <x:f>SUM('CF_1'!AF11,'CF_2'!AF11,'CF_3'!AF11,'CF_4'!AF11)</x:f>
      </x:c>
      <x:c r="AG7" s="117" t="n">
        <x:f>SUM('CF_1'!AG11,'CF_2'!AG11,'CF_3'!AG11,'CF_4'!AG11)</x:f>
      </x:c>
      <x:c r="AH7" s="117" t="n">
        <x:f>SUM('CF_1'!AH11,'CF_2'!AH11,'CF_3'!AH11,'CF_4'!AH11)</x:f>
      </x:c>
      <x:c r="AI7" s="117" t="n">
        <x:f>SUM('CF_1'!AI11,'CF_2'!AI11,'CF_3'!AI11,'CF_4'!AI11)</x:f>
      </x:c>
      <x:c r="AJ7" s="117" t="n">
        <x:f>SUM('CF_1'!AJ11,'CF_2'!AJ11,'CF_3'!AJ11,'CF_4'!AJ11)</x:f>
      </x:c>
      <x:c r="AK7" s="117" t="n">
        <x:f>SUM('CF_1'!AK11,'CF_2'!AK11,'CF_3'!AK11,'CF_4'!AK11)</x:f>
      </x:c>
      <x:c r="AL7" s="117" t="n">
        <x:f>SUM('CF_1'!AL11,'CF_2'!AL11,'CF_3'!AL11,'CF_4'!AL11)</x:f>
      </x:c>
      <x:c r="AM7" s="117" t="n">
        <x:f>SUM('CF_1'!AM11,'CF_2'!AM11,'CF_3'!AM11,'CF_4'!AM11)</x:f>
      </x:c>
      <x:c r="AN7" s="117" t="n">
        <x:f>SUM('CF_1'!AN11,'CF_2'!AN11,'CF_3'!AN11,'CF_4'!AN11)</x:f>
      </x:c>
      <x:c r="AO7" s="117" t="n">
        <x:f>SUM('CF_1'!AO11,'CF_2'!AO11,'CF_3'!AO11,'CF_4'!AO11)</x:f>
      </x:c>
      <x:c r="AP7" s="117" t="n">
        <x:f>SUM('CF_1'!AP11,'CF_2'!AP11,'CF_3'!AP11,'CF_4'!AP11)</x:f>
      </x:c>
      <x:c r="AQ7" s="117" t="n">
        <x:f>SUM('CF_1'!AQ11,'CF_2'!AQ11,'CF_3'!AQ11,'CF_4'!AQ11)</x:f>
      </x:c>
      <x:c r="AR7" s="117" t="n">
        <x:f>SUM('CF_1'!AR11,'CF_2'!AR11,'CF_3'!AR11,'CF_4'!AR11)</x:f>
      </x:c>
      <x:c r="AS7" s="117" t="n">
        <x:f>SUM('CF_1'!AS11,'CF_2'!AS11,'CF_3'!AS11,'CF_4'!AS11)</x:f>
      </x:c>
      <x:c r="AT7" s="117" t="n">
        <x:f>SUM('CF_1'!AT11,'CF_2'!AT11,'CF_3'!AT11,'CF_4'!AT11)</x:f>
      </x:c>
      <x:c r="AU7" s="117" t="n">
        <x:f>SUM('CF_1'!AU11,'CF_2'!AU11,'CF_3'!AU11,'CF_4'!AU11)</x:f>
      </x:c>
      <x:c r="AV7" s="117" t="n">
        <x:f>SUM('CF_1'!AV11,'CF_2'!AV11,'CF_3'!AV11,'CF_4'!AV11)</x:f>
      </x:c>
      <x:c r="AW7" s="117" t="n">
        <x:f>SUM('CF_1'!AW11,'CF_2'!AW11,'CF_3'!AW11,'CF_4'!AW11)</x:f>
      </x:c>
      <x:c r="AX7" s="117" t="n">
        <x:f>SUM('CF_1'!AX11,'CF_2'!AX11,'CF_3'!AX11,'CF_4'!AX11)</x:f>
      </x:c>
      <x:c r="AY7" s="117" t="n">
        <x:f>SUM('CF_1'!AY11,'CF_2'!AY11,'CF_3'!AY11,'CF_4'!AY11)</x:f>
      </x:c>
      <x:c r="AZ7" s="117" t="n">
        <x:f>SUM('CF_1'!AZ11,'CF_2'!AZ11,'CF_3'!AZ11,'CF_4'!AZ11)</x:f>
      </x:c>
      <x:c r="BA7" s="117" t="n">
        <x:f>SUM('CF_1'!BA11,'CF_2'!BA11,'CF_3'!BA11,'CF_4'!BA11)</x:f>
      </x:c>
      <x:c r="BB7" s="117" t="n">
        <x:f>SUM('CF_1'!BB11,'CF_2'!BB11,'CF_3'!BB11,'CF_4'!BB11)</x:f>
      </x:c>
      <x:c r="BC7" s="117" t="n">
        <x:f>SUM('CF_1'!BC11,'CF_2'!BC11,'CF_3'!BC11,'CF_4'!BC11)</x:f>
      </x:c>
      <x:c r="BD7" s="117" t="n">
        <x:f>SUM('CF_1'!BD11,'CF_2'!BD11,'CF_3'!BD11,'CF_4'!BD11)</x:f>
      </x:c>
      <x:c r="BE7" s="117" t="n">
        <x:f>SUM('CF_1'!BE11,'CF_2'!BE11,'CF_3'!BE11,'CF_4'!BE11)</x:f>
      </x:c>
      <x:c r="BF7" s="117" t="n">
        <x:f>SUM('CF_1'!BF11,'CF_2'!BF11,'CF_3'!BF11,'CF_4'!BF11)</x:f>
      </x:c>
      <x:c r="BG7" s="117" t="n">
        <x:f>SUM('CF_1'!BG11,'CF_2'!BG11,'CF_3'!BG11,'CF_4'!BG11)</x:f>
      </x:c>
      <x:c r="BH7" s="117" t="n">
        <x:f>SUM('CF_1'!BH11,'CF_2'!BH11,'CF_3'!BH11,'CF_4'!BH11)</x:f>
      </x:c>
      <x:c r="BI7" s="117" t="n">
        <x:f>SUM('CF_1'!BI11,'CF_2'!BI11,'CF_3'!BI11,'CF_4'!BI11)</x:f>
      </x:c>
      <x:c r="BJ7" s="117" t="n">
        <x:f>SUM('CF_1'!BJ11,'CF_2'!BJ11,'CF_3'!BJ11,'CF_4'!BJ11)</x:f>
      </x:c>
      <x:c r="BK7" s="117" t="n">
        <x:f>SUM('CF_1'!BK11,'CF_2'!BK11,'CF_3'!BK11,'CF_4'!BK11)</x:f>
      </x:c>
      <x:c r="BL7" s="117" t="n">
        <x:f>SUM('CF_1'!BL11,'CF_2'!BL11,'CF_3'!BL11,'CF_4'!BL11)</x:f>
      </x:c>
      <x:c r="BM7" s="117" t="n">
        <x:f>SUM('CF_1'!BM11,'CF_2'!BM11,'CF_3'!BM11,'CF_4'!BM11)</x:f>
      </x:c>
      <x:c r="BN7" s="117" t="n">
        <x:f>SUM('CF_1'!BN11,'CF_2'!BN11,'CF_3'!BN11,'CF_4'!BN11)</x:f>
      </x:c>
      <x:c r="BO7" s="117" t="n">
        <x:f>SUM('CF_1'!BO11,'CF_2'!BO11,'CF_3'!BO11,'CF_4'!BO11)</x:f>
      </x:c>
      <x:c r="BP7" s="117" t="n">
        <x:f>SUM('CF_1'!BP11,'CF_2'!BP11,'CF_3'!BP11,'CF_4'!BP11)</x:f>
      </x:c>
      <x:c r="BQ7" s="117" t="n">
        <x:f>SUM('CF_1'!BQ11,'CF_2'!BQ11,'CF_3'!BQ11,'CF_4'!BQ11)</x:f>
      </x:c>
      <x:c r="BR7" s="117" t="n">
        <x:f>SUM('CF_1'!BR11,'CF_2'!BR11,'CF_3'!BR11,'CF_4'!BR11)</x:f>
      </x:c>
      <x:c r="BS7" s="117" t="n">
        <x:f>SUM('CF_1'!BS11,'CF_2'!BS11,'CF_3'!BS11,'CF_4'!BS11)</x:f>
      </x:c>
      <x:c r="BT7" s="117" t="n">
        <x:f>SUM('CF_1'!BT11,'CF_2'!BT11,'CF_3'!BT11,'CF_4'!BT11)</x:f>
      </x:c>
      <x:c r="BU7" s="117" t="n">
        <x:f>SUM('CF_1'!BU11,'CF_2'!BU11,'CF_3'!BU11,'CF_4'!BU11)</x:f>
      </x:c>
      <x:c r="BV7" s="117" t="n">
        <x:f>SUM('CF_1'!BV11,'CF_2'!BV11,'CF_3'!BV11,'CF_4'!BV11)</x:f>
      </x:c>
      <x:c r="BW7" s="117" t="n">
        <x:f>SUM('CF_1'!BW11,'CF_2'!BW11,'CF_3'!BW11,'CF_4'!BW11)</x:f>
      </x:c>
      <x:c r="BX7" s="117" t="n">
        <x:f>SUM('CF_1'!BX11,'CF_2'!BX11,'CF_3'!BX11,'CF_4'!BX11)</x:f>
      </x:c>
      <x:c r="BY7" s="117" t="n">
        <x:f>SUM('CF_1'!BY11,'CF_2'!BY11,'CF_3'!BY11,'CF_4'!BY11)</x:f>
      </x:c>
      <x:c r="BZ7" s="117" t="n">
        <x:f>SUM('CF_1'!BZ11,'CF_2'!BZ11,'CF_3'!BZ11,'CF_4'!BZ11)</x:f>
      </x:c>
      <x:c r="CA7" s="117" t="n">
        <x:f>SUM('CF_1'!CA11,'CF_2'!CA11,'CF_3'!CA11,'CF_4'!CA11)</x:f>
      </x:c>
      <x:c r="CB7" s="117" t="n">
        <x:f>SUM('CF_1'!CB11,'CF_2'!CB11,'CF_3'!CB11,'CF_4'!CB11)</x:f>
      </x:c>
      <x:c r="CC7" s="117" t="n">
        <x:f>SUM('CF_1'!CC11,'CF_2'!CC11,'CF_3'!CC11,'CF_4'!CC11)</x:f>
      </x:c>
      <x:c r="CD7" s="117" t="n">
        <x:f>SUM('CF_1'!CD11,'CF_2'!CD11,'CF_3'!CD11,'CF_4'!CD11)</x:f>
      </x:c>
      <x:c r="CE7" s="117" t="n">
        <x:f>SUM('CF_1'!CE11,'CF_2'!CE11,'CF_3'!CE11,'CF_4'!CE11)</x:f>
      </x:c>
      <x:c r="CF7" s="117" t="n">
        <x:f>SUM('CF_1'!CF11,'CF_2'!CF11,'CF_3'!CF11,'CF_4'!CF11)</x:f>
      </x:c>
      <x:c r="CG7" s="117" t="n">
        <x:f>SUM('CF_1'!CG11,'CF_2'!CG11,'CF_3'!CG11,'CF_4'!CG11)</x:f>
      </x:c>
      <x:c r="CH7" s="117" t="n">
        <x:f>SUM('CF_1'!CH11,'CF_2'!CH11,'CF_3'!CH11,'CF_4'!CH11)</x:f>
      </x:c>
      <x:c r="CI7" s="117" t="n">
        <x:f>SUM('CF_1'!CI11,'CF_2'!CI11,'CF_3'!CI11,'CF_4'!CI11)</x:f>
      </x:c>
      <x:c r="CJ7" s="117" t="n">
        <x:f>SUM('CF_1'!CJ11,'CF_2'!CJ11,'CF_3'!CJ11,'CF_4'!CJ11)</x:f>
      </x:c>
      <x:c r="CK7" s="117" t="n">
        <x:f>SUM('CF_1'!CK11,'CF_2'!CK11,'CF_3'!CK11,'CF_4'!CK11)</x:f>
      </x:c>
      <x:c r="CL7" s="117" t="n">
        <x:f>SUM('CF_1'!CL11,'CF_2'!CL11,'CF_3'!CL11,'CF_4'!CL11)</x:f>
      </x:c>
      <x:c r="CM7" s="117" t="n">
        <x:f>SUM('CF_1'!CM11,'CF_2'!CM11,'CF_3'!CM11,'CF_4'!CM11)</x:f>
      </x:c>
      <x:c r="CN7" s="117" t="n">
        <x:f>SUM('CF_1'!CN11,'CF_2'!CN11,'CF_3'!CN11,'CF_4'!CN11)</x:f>
      </x:c>
      <x:c r="CO7" s="117" t="n">
        <x:f>SUM('CF_1'!CO11,'CF_2'!CO11,'CF_3'!CO11,'CF_4'!CO11)</x:f>
      </x:c>
      <x:c r="CP7" s="117" t="n">
        <x:f>SUM('CF_1'!CP11,'CF_2'!CP11,'CF_3'!CP11,'CF_4'!CP11)</x:f>
      </x:c>
      <x:c r="CQ7" s="117" t="n">
        <x:f>SUM('CF_1'!CQ11,'CF_2'!CQ11,'CF_3'!CQ11,'CF_4'!CQ11)</x:f>
      </x:c>
      <x:c r="CR7" s="117" t="n">
        <x:f>SUM('CF_1'!CR11,'CF_2'!CR11,'CF_3'!CR11,'CF_4'!CR11)</x:f>
      </x:c>
      <x:c r="CS7" s="117" t="n">
        <x:f>SUM('CF_1'!CS11,'CF_2'!CS11,'CF_3'!CS11,'CF_4'!CS11)</x:f>
      </x:c>
      <x:c r="CT7" s="117" t="n">
        <x:f>SUM('CF_1'!CT11,'CF_2'!CT11,'CF_3'!CT11,'CF_4'!CT11)</x:f>
      </x:c>
      <x:c r="CU7" s="117" t="n">
        <x:f>SUM('CF_1'!CU11,'CF_2'!CU11,'CF_3'!CU11,'CF_4'!CU11)</x:f>
      </x:c>
      <x:c r="CV7" s="117" t="n">
        <x:f>SUM('CF_1'!CV11,'CF_2'!CV11,'CF_3'!CV11,'CF_4'!CV11)</x:f>
      </x:c>
      <x:c r="CW7" s="117" t="n">
        <x:f>SUM('CF_1'!CW11,'CF_2'!CW11,'CF_3'!CW11,'CF_4'!CW11)</x:f>
      </x:c>
      <x:c r="CX7" s="117" t="n">
        <x:f>SUM('CF_1'!CX11,'CF_2'!CX11,'CF_3'!CX11,'CF_4'!CX11)</x:f>
      </x:c>
      <x:c r="CY7" s="117" t="n">
        <x:f>SUM('CF_1'!CY11,'CF_2'!CY11,'CF_3'!CY11,'CF_4'!CY11)</x:f>
      </x:c>
      <x:c r="CZ7" s="117" t="n">
        <x:f>SUM('CF_1'!CZ11,'CF_2'!CZ11,'CF_3'!CZ11,'CF_4'!CZ11)</x:f>
      </x:c>
      <x:c r="DA7" s="117" t="n">
        <x:f>SUM('CF_1'!DA11,'CF_2'!DA11,'CF_3'!DA11,'CF_4'!DA11)</x:f>
      </x:c>
      <x:c r="DB7" s="117" t="n">
        <x:f>SUM('CF_1'!DB11,'CF_2'!DB11,'CF_3'!DB11,'CF_4'!DB11)</x:f>
      </x:c>
      <x:c r="DC7" s="117" t="n">
        <x:f>SUM('CF_1'!DC11,'CF_2'!DC11,'CF_3'!DC11,'CF_4'!DC11)</x:f>
      </x:c>
      <x:c r="DD7" s="117" t="n">
        <x:f>SUM('CF_1'!DD11,'CF_2'!DD11,'CF_3'!DD11,'CF_4'!DD11)</x:f>
      </x:c>
      <x:c r="DE7" s="117" t="n">
        <x:f>SUM('CF_1'!DE11,'CF_2'!DE11,'CF_3'!DE11,'CF_4'!DE11)</x:f>
      </x:c>
      <x:c r="DF7" s="117" t="n">
        <x:f>SUM('CF_1'!DF11,'CF_2'!DF11,'CF_3'!DF11,'CF_4'!DF11)</x:f>
      </x:c>
      <x:c r="DG7" s="117" t="n">
        <x:f>SUM('CF_1'!DG11,'CF_2'!DG11,'CF_3'!DG11,'CF_4'!DG11)</x:f>
      </x:c>
      <x:c r="DH7" s="117" t="n">
        <x:f>SUM('CF_1'!DH11,'CF_2'!DH11,'CF_3'!DH11,'CF_4'!DH11)</x:f>
      </x:c>
      <x:c r="DI7" s="117" t="n">
        <x:f>SUM('CF_1'!DI11,'CF_2'!DI11,'CF_3'!DI11,'CF_4'!DI11)</x:f>
      </x:c>
      <x:c r="DJ7" s="117" t="n">
        <x:f>SUM('CF_1'!DJ11,'CF_2'!DJ11,'CF_3'!DJ11,'CF_4'!DJ11)</x:f>
      </x:c>
      <x:c r="DK7" s="117" t="n">
        <x:f>SUM('CF_1'!DK11,'CF_2'!DK11,'CF_3'!DK11,'CF_4'!DK11)</x:f>
      </x:c>
      <x:c r="DL7" s="117" t="n">
        <x:f>SUM('CF_1'!DL11,'CF_2'!DL11,'CF_3'!DL11,'CF_4'!DL11)</x:f>
      </x:c>
      <x:c r="DM7" s="117" t="n">
        <x:f>SUM('CF_1'!DM11,'CF_2'!DM11,'CF_3'!DM11,'CF_4'!DM11)</x:f>
      </x:c>
      <x:c r="DN7" s="117" t="n">
        <x:f>SUM('CF_1'!DN11,'CF_2'!DN11,'CF_3'!DN11,'CF_4'!DN11)</x:f>
      </x:c>
      <x:c r="DO7" s="117" t="n">
        <x:f>SUM('CF_1'!DO11,'CF_2'!DO11,'CF_3'!DO11,'CF_4'!DO11)</x:f>
      </x:c>
      <x:c r="DP7" s="117" t="n">
        <x:f>SUM('CF_1'!DP11,'CF_2'!DP11,'CF_3'!DP11,'CF_4'!DP11)</x:f>
      </x:c>
      <x:c r="DQ7" s="117" t="n">
        <x:f>SUM('CF_1'!DQ11,'CF_2'!DQ11,'CF_3'!DQ11,'CF_4'!DQ11)</x:f>
      </x:c>
      <x:c r="DR7" s="117" t="n">
        <x:f>SUM('CF_1'!DR11,'CF_2'!DR11,'CF_3'!DR11,'CF_4'!DR11)</x:f>
      </x:c>
      <x:c r="DS7" s="117" t="n">
        <x:f>SUM('CF_1'!DS11,'CF_2'!DS11,'CF_3'!DS11,'CF_4'!DS11)</x:f>
      </x:c>
      <x:c r="DT7" s="117" t="n">
        <x:f>SUM('CF_1'!DT11,'CF_2'!DT11,'CF_3'!DT11,'CF_4'!DT11)</x:f>
      </x:c>
      <x:c r="DU7" s="117" t="n">
        <x:f>SUM('CF_1'!DU11,'CF_2'!DU11,'CF_3'!DU11,'CF_4'!DU11)</x:f>
      </x:c>
      <x:c r="DV7" s="117" t="n">
        <x:f>SUM('CF_1'!DV11,'CF_2'!DV11,'CF_3'!DV11,'CF_4'!DV11)</x:f>
      </x:c>
      <x:c r="DW7" s="117" t="n">
        <x:f>SUM('CF_1'!DW11,'CF_2'!DW11,'CF_3'!DW11,'CF_4'!DW11)</x:f>
      </x:c>
      <x:c r="DX7" s="117" t="n">
        <x:f>SUM('CF_1'!DX11,'CF_2'!DX11,'CF_3'!DX11,'CF_4'!DX11)</x:f>
      </x:c>
      <x:c r="DY7" s="117" t="n">
        <x:f>SUM('CF_1'!DY11,'CF_2'!DY11,'CF_3'!DY11,'CF_4'!DY11)</x:f>
      </x:c>
      <x:c r="DZ7" s="117" t="n">
        <x:f>SUM('CF_1'!DZ11,'CF_2'!DZ11,'CF_3'!DZ11,'CF_4'!DZ11)</x:f>
      </x:c>
      <x:c r="EA7" s="117" t="n">
        <x:f>SUM('CF_1'!EA11,'CF_2'!EA11,'CF_3'!EA11,'CF_4'!EA11)</x:f>
      </x:c>
      <x:c r="EB7" s="117" t="n">
        <x:f>SUM('CF_1'!EB11,'CF_2'!EB11,'CF_3'!EB11,'CF_4'!EB11)</x:f>
      </x:c>
      <x:c r="EC7" s="117" t="n">
        <x:f>SUM('CF_1'!EC11,'CF_2'!EC11,'CF_3'!EC11,'CF_4'!EC11)</x:f>
      </x:c>
      <x:c r="ED7" s="117" t="n">
        <x:f>SUM('CF_1'!ED11,'CF_2'!ED11,'CF_3'!ED11,'CF_4'!ED11)</x:f>
      </x:c>
      <x:c r="EE7" s="117" t="n">
        <x:f>SUM('CF_1'!EE11,'CF_2'!EE11,'CF_3'!EE11,'CF_4'!EE11)</x:f>
      </x:c>
      <x:c r="EF7" s="117" t="n">
        <x:f>SUM('CF_1'!EF11,'CF_2'!EF11,'CF_3'!EF11,'CF_4'!EF11)</x:f>
      </x:c>
      <x:c r="EG7" s="117" t="n">
        <x:f>SUM('CF_1'!EG11,'CF_2'!EG11,'CF_3'!EG11,'CF_4'!EG11)</x:f>
      </x:c>
      <x:c r="EH7" s="117" t="n">
        <x:f>SUM('CF_1'!EH11,'CF_2'!EH11,'CF_3'!EH11,'CF_4'!EH11)</x:f>
      </x:c>
      <x:c r="EI7" s="117" t="n">
        <x:f>SUM('CF_1'!EI11,'CF_2'!EI11,'CF_3'!EI11,'CF_4'!EI11)</x:f>
      </x:c>
      <x:c r="EJ7" s="117" t="n">
        <x:f>SUM('CF_1'!EJ11,'CF_2'!EJ11,'CF_3'!EJ11,'CF_4'!EJ11)</x:f>
      </x:c>
      <x:c r="EK7" s="117" t="n">
        <x:f>SUM('CF_1'!EK11,'CF_2'!EK11,'CF_3'!EK11,'CF_4'!EK11)</x:f>
      </x:c>
      <x:c r="EL7" s="117" t="n">
        <x:f>SUM('CF_1'!EL11,'CF_2'!EL11,'CF_3'!EL11,'CF_4'!EL11)</x:f>
      </x:c>
      <x:c r="EM7" s="117" t="n">
        <x:f>SUM('CF_1'!EM11,'CF_2'!EM11,'CF_3'!EM11,'CF_4'!EM11)</x:f>
      </x:c>
      <x:c r="EN7" s="117" t="n">
        <x:f>SUM('CF_1'!EN11,'CF_2'!EN11,'CF_3'!EN11,'CF_4'!EN11)</x:f>
      </x:c>
      <x:c r="EO7" s="117" t="n">
        <x:f>SUM('CF_1'!EO11,'CF_2'!EO11,'CF_3'!EO11,'CF_4'!EO11)</x:f>
      </x:c>
      <x:c r="EP7" s="117" t="n">
        <x:f>SUM('CF_1'!EP11,'CF_2'!EP11,'CF_3'!EP11,'CF_4'!EP11)</x:f>
      </x:c>
      <x:c r="EQ7" s="117" t="n">
        <x:f>SUM('CF_1'!EQ11,'CF_2'!EQ11,'CF_3'!EQ11,'CF_4'!EQ11)</x:f>
      </x:c>
      <x:c r="ER7" s="117" t="n">
        <x:f>SUM('CF_1'!ER11,'CF_2'!ER11,'CF_3'!ER11,'CF_4'!ER11)</x:f>
      </x:c>
      <x:c r="ES7" s="117" t="n">
        <x:f>SUM('CF_1'!ES11,'CF_2'!ES11,'CF_3'!ES11,'CF_4'!ES11)</x:f>
      </x:c>
      <x:c r="ET7" s="117" t="n">
        <x:f>SUM('CF_1'!ET11,'CF_2'!ET11,'CF_3'!ET11,'CF_4'!ET11)</x:f>
      </x:c>
      <x:c r="EU7" s="117" t="n">
        <x:f>SUM('CF_1'!EU11,'CF_2'!EU11,'CF_3'!EU11,'CF_4'!EU11)</x:f>
      </x:c>
      <x:c r="EV7" s="117" t="n">
        <x:f>SUM('CF_1'!EV11,'CF_2'!EV11,'CF_3'!EV11,'CF_4'!EV11)</x:f>
      </x:c>
      <x:c r="EW7" s="117" t="n">
        <x:f>SUM('CF_1'!EW11,'CF_2'!EW11,'CF_3'!EW11,'CF_4'!EW11)</x:f>
      </x:c>
      <x:c r="EX7" s="117" t="n">
        <x:f>SUM('CF_1'!EX11,'CF_2'!EX11,'CF_3'!EX11,'CF_4'!EX11)</x:f>
      </x:c>
      <x:c r="EY7" s="117" t="n">
        <x:f>SUM('CF_1'!EY11,'CF_2'!EY11,'CF_3'!EY11,'CF_4'!EY11)</x:f>
      </x:c>
      <x:c r="EZ7" s="117" t="n">
        <x:f>SUM('CF_1'!EZ11,'CF_2'!EZ11,'CF_3'!EZ11,'CF_4'!EZ11)</x:f>
      </x:c>
      <x:c r="FA7" s="117" t="n">
        <x:f>SUM('CF_1'!FA11,'CF_2'!FA11,'CF_3'!FA11,'CF_4'!FA11)</x:f>
      </x:c>
      <x:c r="FB7" s="117" t="n">
        <x:f>SUM('CF_1'!FB11,'CF_2'!FB11,'CF_3'!FB11,'CF_4'!FB11)</x:f>
      </x:c>
      <x:c r="FC7" s="117" t="n">
        <x:f>SUM('CF_1'!FC11,'CF_2'!FC11,'CF_3'!FC11,'CF_4'!FC11)</x:f>
      </x:c>
      <x:c r="FD7" s="117" t="n">
        <x:f>SUM('CF_1'!FD11,'CF_2'!FD11,'CF_3'!FD11,'CF_4'!FD11)</x:f>
      </x:c>
      <x:c r="FE7" s="117" t="n">
        <x:f>SUM('CF_1'!FE11,'CF_2'!FE11,'CF_3'!FE11,'CF_4'!FE11)</x:f>
      </x:c>
      <x:c r="FF7" s="117" t="n">
        <x:f>SUM('CF_1'!FF11,'CF_2'!FF11,'CF_3'!FF11,'CF_4'!FF11)</x:f>
      </x:c>
      <x:c r="FG7" s="117" t="n">
        <x:f>SUM('CF_1'!FG11,'CF_2'!FG11,'CF_3'!FG11,'CF_4'!FG11)</x:f>
      </x:c>
      <x:c r="FH7" s="117" t="n">
        <x:f>SUM('CF_1'!FH11,'CF_2'!FH11,'CF_3'!FH11,'CF_4'!FH11)</x:f>
      </x:c>
      <x:c r="FI7" s="117" t="n">
        <x:f>SUM('CF_1'!FI11,'CF_2'!FI11,'CF_3'!FI11,'CF_4'!FI11)</x:f>
      </x:c>
      <x:c r="FJ7" s="117" t="n">
        <x:f>SUM('CF_1'!FJ11,'CF_2'!FJ11,'CF_3'!FJ11,'CF_4'!FJ11)</x:f>
      </x:c>
      <x:c r="FK7" s="117" t="n">
        <x:f>SUM('CF_1'!FK11,'CF_2'!FK11,'CF_3'!FK11,'CF_4'!FK11)</x:f>
      </x:c>
      <x:c r="FL7" s="117" t="n">
        <x:f>SUM('CF_1'!FL11,'CF_2'!FL11,'CF_3'!FL11,'CF_4'!FL11)</x:f>
      </x:c>
      <x:c r="FM7" s="117" t="n">
        <x:f>SUM('CF_1'!FM11,'CF_2'!FM11,'CF_3'!FM11,'CF_4'!FM11)</x:f>
      </x:c>
      <x:c r="FN7" s="117" t="n">
        <x:f>SUM('CF_1'!FN11,'CF_2'!FN11,'CF_3'!FN11,'CF_4'!FN11)</x:f>
      </x:c>
      <x:c r="FO7" s="117" t="n">
        <x:f>SUM('CF_1'!FO11,'CF_2'!FO11,'CF_3'!FO11,'CF_4'!FO11)</x:f>
      </x:c>
      <x:c r="FP7" s="117" t="n">
        <x:f>SUM('CF_1'!FP11,'CF_2'!FP11,'CF_3'!FP11,'CF_4'!FP11)</x:f>
      </x:c>
      <x:c r="FQ7" s="117" t="n">
        <x:f>SUM('CF_1'!FQ11,'CF_2'!FQ11,'CF_3'!FQ11,'CF_4'!FQ11)</x:f>
      </x:c>
      <x:c r="FR7" s="117" t="n">
        <x:f>SUM('CF_1'!FR11,'CF_2'!FR11,'CF_3'!FR11,'CF_4'!FR11)</x:f>
      </x:c>
      <x:c r="FS7" s="117" t="n">
        <x:f>SUM('CF_1'!FS11,'CF_2'!FS11,'CF_3'!FS11,'CF_4'!FS11)</x:f>
      </x:c>
      <x:c r="FT7" s="117" t="n">
        <x:f>SUM('CF_1'!FT11,'CF_2'!FT11,'CF_3'!FT11,'CF_4'!FT11)</x:f>
      </x:c>
      <x:c r="FU7" s="117" t="n">
        <x:f>SUM('CF_1'!FU11,'CF_2'!FU11,'CF_3'!FU11,'CF_4'!FU11)</x:f>
      </x:c>
      <x:c r="FV7" s="117" t="n">
        <x:f>SUM('CF_1'!FV11,'CF_2'!FV11,'CF_3'!FV11,'CF_4'!FV11)</x:f>
      </x:c>
      <x:c r="FW7" s="117" t="n">
        <x:f>SUM('CF_1'!FW11,'CF_2'!FW11,'CF_3'!FW11,'CF_4'!FW11)</x:f>
      </x:c>
      <x:c r="FX7" s="117" t="n">
        <x:f>SUM('CF_1'!FX11,'CF_2'!FX11,'CF_3'!FX11,'CF_4'!FX11)</x:f>
      </x:c>
      <x:c r="FY7" s="117" t="n">
        <x:f>SUM('CF_1'!FY11,'CF_2'!FY11,'CF_3'!FY11,'CF_4'!FY11)</x:f>
      </x:c>
      <x:c r="FZ7" s="117" t="n">
        <x:f>SUM('CF_1'!FZ11,'CF_2'!FZ11,'CF_3'!FZ11,'CF_4'!FZ11)</x:f>
      </x:c>
      <x:c r="GA7" s="117" t="n">
        <x:f>SUM('CF_1'!GA11,'CF_2'!GA11,'CF_3'!GA11,'CF_4'!GA11)</x:f>
      </x:c>
    </x:row>
    <x:row r="8">
      <x:c r="A8" t="str">
        <x:v>Раскрытие эскроу</x:v>
      </x:c>
      <x:c r="B8" t="n">
        <x:f>SUM(D8:GA8)</x:f>
      </x:c>
      <x:c r="C8" t="str">
        <x:v>млн ₽</x:v>
      </x:c>
      <x:c r="D8" s="117" t="n">
        <x:f>SUM('CF_1'!D14,'CF_2'!D14,'CF_3'!D14,'CF_4'!D14)</x:f>
      </x:c>
      <x:c r="E8" s="117" t="n">
        <x:f>SUM('CF_1'!E14,'CF_2'!E14,'CF_3'!E14,'CF_4'!E14)</x:f>
      </x:c>
      <x:c r="F8" s="117" t="n">
        <x:f>SUM('CF_1'!F14,'CF_2'!F14,'CF_3'!F14,'CF_4'!F14)</x:f>
      </x:c>
      <x:c r="G8" s="117" t="n">
        <x:f>SUM('CF_1'!G14,'CF_2'!G14,'CF_3'!G14,'CF_4'!G14)</x:f>
      </x:c>
      <x:c r="H8" s="117" t="n">
        <x:f>SUM('CF_1'!H14,'CF_2'!H14,'CF_3'!H14,'CF_4'!H14)</x:f>
      </x:c>
      <x:c r="I8" s="117" t="n">
        <x:f>SUM('CF_1'!I14,'CF_2'!I14,'CF_3'!I14,'CF_4'!I14)</x:f>
      </x:c>
      <x:c r="J8" s="117" t="n">
        <x:f>SUM('CF_1'!J14,'CF_2'!J14,'CF_3'!J14,'CF_4'!J14)</x:f>
      </x:c>
      <x:c r="K8" s="117" t="n">
        <x:f>SUM('CF_1'!K14,'CF_2'!K14,'CF_3'!K14,'CF_4'!K14)</x:f>
      </x:c>
      <x:c r="L8" s="117" t="n">
        <x:f>SUM('CF_1'!L14,'CF_2'!L14,'CF_3'!L14,'CF_4'!L14)</x:f>
      </x:c>
      <x:c r="M8" s="117" t="n">
        <x:f>SUM('CF_1'!M14,'CF_2'!M14,'CF_3'!M14,'CF_4'!M14)</x:f>
      </x:c>
      <x:c r="N8" s="117" t="n">
        <x:f>SUM('CF_1'!N14,'CF_2'!N14,'CF_3'!N14,'CF_4'!N14)</x:f>
      </x:c>
      <x:c r="O8" s="117" t="n">
        <x:f>SUM('CF_1'!O14,'CF_2'!O14,'CF_3'!O14,'CF_4'!O14)</x:f>
      </x:c>
      <x:c r="P8" s="117" t="n">
        <x:f>SUM('CF_1'!P14,'CF_2'!P14,'CF_3'!P14,'CF_4'!P14)</x:f>
      </x:c>
      <x:c r="Q8" s="117" t="n">
        <x:f>SUM('CF_1'!Q14,'CF_2'!Q14,'CF_3'!Q14,'CF_4'!Q14)</x:f>
      </x:c>
      <x:c r="R8" s="117" t="n">
        <x:f>SUM('CF_1'!R14,'CF_2'!R14,'CF_3'!R14,'CF_4'!R14)</x:f>
      </x:c>
      <x:c r="S8" s="117" t="n">
        <x:f>SUM('CF_1'!S14,'CF_2'!S14,'CF_3'!S14,'CF_4'!S14)</x:f>
      </x:c>
      <x:c r="T8" s="117" t="n">
        <x:f>SUM('CF_1'!T14,'CF_2'!T14,'CF_3'!T14,'CF_4'!T14)</x:f>
      </x:c>
      <x:c r="U8" s="117" t="n">
        <x:f>SUM('CF_1'!U14,'CF_2'!U14,'CF_3'!U14,'CF_4'!U14)</x:f>
      </x:c>
      <x:c r="V8" s="117" t="n">
        <x:f>SUM('CF_1'!V14,'CF_2'!V14,'CF_3'!V14,'CF_4'!V14)</x:f>
      </x:c>
      <x:c r="W8" s="117" t="n">
        <x:f>SUM('CF_1'!W14,'CF_2'!W14,'CF_3'!W14,'CF_4'!W14)</x:f>
      </x:c>
      <x:c r="X8" s="117" t="n">
        <x:f>SUM('CF_1'!X14,'CF_2'!X14,'CF_3'!X14,'CF_4'!X14)</x:f>
      </x:c>
      <x:c r="Y8" s="117" t="n">
        <x:f>SUM('CF_1'!Y14,'CF_2'!Y14,'CF_3'!Y14,'CF_4'!Y14)</x:f>
      </x:c>
      <x:c r="Z8" s="117" t="n">
        <x:f>SUM('CF_1'!Z14,'CF_2'!Z14,'CF_3'!Z14,'CF_4'!Z14)</x:f>
      </x:c>
      <x:c r="AA8" s="117" t="n">
        <x:f>SUM('CF_1'!AA14,'CF_2'!AA14,'CF_3'!AA14,'CF_4'!AA14)</x:f>
      </x:c>
      <x:c r="AB8" s="117" t="n">
        <x:f>SUM('CF_1'!AB14,'CF_2'!AB14,'CF_3'!AB14,'CF_4'!AB14)</x:f>
      </x:c>
      <x:c r="AC8" s="117" t="n">
        <x:f>SUM('CF_1'!AC14,'CF_2'!AC14,'CF_3'!AC14,'CF_4'!AC14)</x:f>
      </x:c>
      <x:c r="AD8" s="117" t="n">
        <x:f>SUM('CF_1'!AD14,'CF_2'!AD14,'CF_3'!AD14,'CF_4'!AD14)</x:f>
      </x:c>
      <x:c r="AE8" s="117" t="n">
        <x:f>SUM('CF_1'!AE14,'CF_2'!AE14,'CF_3'!AE14,'CF_4'!AE14)</x:f>
      </x:c>
      <x:c r="AF8" s="117" t="n">
        <x:f>SUM('CF_1'!AF14,'CF_2'!AF14,'CF_3'!AF14,'CF_4'!AF14)</x:f>
      </x:c>
      <x:c r="AG8" s="117" t="n">
        <x:f>SUM('CF_1'!AG14,'CF_2'!AG14,'CF_3'!AG14,'CF_4'!AG14)</x:f>
      </x:c>
      <x:c r="AH8" s="117" t="n">
        <x:f>SUM('CF_1'!AH14,'CF_2'!AH14,'CF_3'!AH14,'CF_4'!AH14)</x:f>
      </x:c>
      <x:c r="AI8" s="117" t="n">
        <x:f>SUM('CF_1'!AI14,'CF_2'!AI14,'CF_3'!AI14,'CF_4'!AI14)</x:f>
      </x:c>
      <x:c r="AJ8" s="117" t="n">
        <x:f>SUM('CF_1'!AJ14,'CF_2'!AJ14,'CF_3'!AJ14,'CF_4'!AJ14)</x:f>
      </x:c>
      <x:c r="AK8" s="117" t="n">
        <x:f>SUM('CF_1'!AK14,'CF_2'!AK14,'CF_3'!AK14,'CF_4'!AK14)</x:f>
      </x:c>
      <x:c r="AL8" s="117" t="n">
        <x:f>SUM('CF_1'!AL14,'CF_2'!AL14,'CF_3'!AL14,'CF_4'!AL14)</x:f>
      </x:c>
      <x:c r="AM8" s="117" t="n">
        <x:f>SUM('CF_1'!AM14,'CF_2'!AM14,'CF_3'!AM14,'CF_4'!AM14)</x:f>
      </x:c>
      <x:c r="AN8" s="117" t="n">
        <x:f>SUM('CF_1'!AN14,'CF_2'!AN14,'CF_3'!AN14,'CF_4'!AN14)</x:f>
      </x:c>
      <x:c r="AO8" s="117" t="n">
        <x:f>SUM('CF_1'!AO14,'CF_2'!AO14,'CF_3'!AO14,'CF_4'!AO14)</x:f>
      </x:c>
      <x:c r="AP8" s="117" t="n">
        <x:f>SUM('CF_1'!AP14,'CF_2'!AP14,'CF_3'!AP14,'CF_4'!AP14)</x:f>
      </x:c>
      <x:c r="AQ8" s="117" t="n">
        <x:f>SUM('CF_1'!AQ14,'CF_2'!AQ14,'CF_3'!AQ14,'CF_4'!AQ14)</x:f>
      </x:c>
      <x:c r="AR8" s="117" t="n">
        <x:f>SUM('CF_1'!AR14,'CF_2'!AR14,'CF_3'!AR14,'CF_4'!AR14)</x:f>
      </x:c>
      <x:c r="AS8" s="117" t="n">
        <x:f>SUM('CF_1'!AS14,'CF_2'!AS14,'CF_3'!AS14,'CF_4'!AS14)</x:f>
      </x:c>
      <x:c r="AT8" s="117" t="n">
        <x:f>SUM('CF_1'!AT14,'CF_2'!AT14,'CF_3'!AT14,'CF_4'!AT14)</x:f>
      </x:c>
      <x:c r="AU8" s="117" t="n">
        <x:f>SUM('CF_1'!AU14,'CF_2'!AU14,'CF_3'!AU14,'CF_4'!AU14)</x:f>
      </x:c>
      <x:c r="AV8" s="117" t="n">
        <x:f>SUM('CF_1'!AV14,'CF_2'!AV14,'CF_3'!AV14,'CF_4'!AV14)</x:f>
      </x:c>
      <x:c r="AW8" s="117" t="n">
        <x:f>SUM('CF_1'!AW14,'CF_2'!AW14,'CF_3'!AW14,'CF_4'!AW14)</x:f>
      </x:c>
      <x:c r="AX8" s="117" t="n">
        <x:f>SUM('CF_1'!AX14,'CF_2'!AX14,'CF_3'!AX14,'CF_4'!AX14)</x:f>
      </x:c>
      <x:c r="AY8" s="117" t="n">
        <x:f>SUM('CF_1'!AY14,'CF_2'!AY14,'CF_3'!AY14,'CF_4'!AY14)</x:f>
      </x:c>
      <x:c r="AZ8" s="117" t="n">
        <x:f>SUM('CF_1'!AZ14,'CF_2'!AZ14,'CF_3'!AZ14,'CF_4'!AZ14)</x:f>
      </x:c>
      <x:c r="BA8" s="117" t="n">
        <x:f>SUM('CF_1'!BA14,'CF_2'!BA14,'CF_3'!BA14,'CF_4'!BA14)</x:f>
      </x:c>
      <x:c r="BB8" s="117" t="n">
        <x:f>SUM('CF_1'!BB14,'CF_2'!BB14,'CF_3'!BB14,'CF_4'!BB14)</x:f>
      </x:c>
      <x:c r="BC8" s="117" t="n">
        <x:f>SUM('CF_1'!BC14,'CF_2'!BC14,'CF_3'!BC14,'CF_4'!BC14)</x:f>
      </x:c>
      <x:c r="BD8" s="117" t="n">
        <x:f>SUM('CF_1'!BD14,'CF_2'!BD14,'CF_3'!BD14,'CF_4'!BD14)</x:f>
      </x:c>
      <x:c r="BE8" s="117" t="n">
        <x:f>SUM('CF_1'!BE14,'CF_2'!BE14,'CF_3'!BE14,'CF_4'!BE14)</x:f>
      </x:c>
      <x:c r="BF8" s="117" t="n">
        <x:f>SUM('CF_1'!BF14,'CF_2'!BF14,'CF_3'!BF14,'CF_4'!BF14)</x:f>
      </x:c>
      <x:c r="BG8" s="117" t="n">
        <x:f>SUM('CF_1'!BG14,'CF_2'!BG14,'CF_3'!BG14,'CF_4'!BG14)</x:f>
      </x:c>
      <x:c r="BH8" s="117" t="n">
        <x:f>SUM('CF_1'!BH14,'CF_2'!BH14,'CF_3'!BH14,'CF_4'!BH14)</x:f>
      </x:c>
      <x:c r="BI8" s="117" t="n">
        <x:f>SUM('CF_1'!BI14,'CF_2'!BI14,'CF_3'!BI14,'CF_4'!BI14)</x:f>
      </x:c>
      <x:c r="BJ8" s="117" t="n">
        <x:f>SUM('CF_1'!BJ14,'CF_2'!BJ14,'CF_3'!BJ14,'CF_4'!BJ14)</x:f>
      </x:c>
      <x:c r="BK8" s="117" t="n">
        <x:f>SUM('CF_1'!BK14,'CF_2'!BK14,'CF_3'!BK14,'CF_4'!BK14)</x:f>
      </x:c>
      <x:c r="BL8" s="117" t="n">
        <x:f>SUM('CF_1'!BL14,'CF_2'!BL14,'CF_3'!BL14,'CF_4'!BL14)</x:f>
      </x:c>
      <x:c r="BM8" s="117" t="n">
        <x:f>SUM('CF_1'!BM14,'CF_2'!BM14,'CF_3'!BM14,'CF_4'!BM14)</x:f>
      </x:c>
      <x:c r="BN8" s="117" t="n">
        <x:f>SUM('CF_1'!BN14,'CF_2'!BN14,'CF_3'!BN14,'CF_4'!BN14)</x:f>
      </x:c>
      <x:c r="BO8" s="117" t="n">
        <x:f>SUM('CF_1'!BO14,'CF_2'!BO14,'CF_3'!BO14,'CF_4'!BO14)</x:f>
      </x:c>
      <x:c r="BP8" s="117" t="n">
        <x:f>SUM('CF_1'!BP14,'CF_2'!BP14,'CF_3'!BP14,'CF_4'!BP14)</x:f>
      </x:c>
      <x:c r="BQ8" s="117" t="n">
        <x:f>SUM('CF_1'!BQ14,'CF_2'!BQ14,'CF_3'!BQ14,'CF_4'!BQ14)</x:f>
      </x:c>
      <x:c r="BR8" s="117" t="n">
        <x:f>SUM('CF_1'!BR14,'CF_2'!BR14,'CF_3'!BR14,'CF_4'!BR14)</x:f>
      </x:c>
      <x:c r="BS8" s="117" t="n">
        <x:f>SUM('CF_1'!BS14,'CF_2'!BS14,'CF_3'!BS14,'CF_4'!BS14)</x:f>
      </x:c>
      <x:c r="BT8" s="117" t="n">
        <x:f>SUM('CF_1'!BT14,'CF_2'!BT14,'CF_3'!BT14,'CF_4'!BT14)</x:f>
      </x:c>
      <x:c r="BU8" s="117" t="n">
        <x:f>SUM('CF_1'!BU14,'CF_2'!BU14,'CF_3'!BU14,'CF_4'!BU14)</x:f>
      </x:c>
      <x:c r="BV8" s="117" t="n">
        <x:f>SUM('CF_1'!BV14,'CF_2'!BV14,'CF_3'!BV14,'CF_4'!BV14)</x:f>
      </x:c>
      <x:c r="BW8" s="117" t="n">
        <x:f>SUM('CF_1'!BW14,'CF_2'!BW14,'CF_3'!BW14,'CF_4'!BW14)</x:f>
      </x:c>
      <x:c r="BX8" s="117" t="n">
        <x:f>SUM('CF_1'!BX14,'CF_2'!BX14,'CF_3'!BX14,'CF_4'!BX14)</x:f>
      </x:c>
      <x:c r="BY8" s="117" t="n">
        <x:f>SUM('CF_1'!BY14,'CF_2'!BY14,'CF_3'!BY14,'CF_4'!BY14)</x:f>
      </x:c>
      <x:c r="BZ8" s="117" t="n">
        <x:f>SUM('CF_1'!BZ14,'CF_2'!BZ14,'CF_3'!BZ14,'CF_4'!BZ14)</x:f>
      </x:c>
      <x:c r="CA8" s="117" t="n">
        <x:f>SUM('CF_1'!CA14,'CF_2'!CA14,'CF_3'!CA14,'CF_4'!CA14)</x:f>
      </x:c>
      <x:c r="CB8" s="117" t="n">
        <x:f>SUM('CF_1'!CB14,'CF_2'!CB14,'CF_3'!CB14,'CF_4'!CB14)</x:f>
      </x:c>
      <x:c r="CC8" s="117" t="n">
        <x:f>SUM('CF_1'!CC14,'CF_2'!CC14,'CF_3'!CC14,'CF_4'!CC14)</x:f>
      </x:c>
      <x:c r="CD8" s="117" t="n">
        <x:f>SUM('CF_1'!CD14,'CF_2'!CD14,'CF_3'!CD14,'CF_4'!CD14)</x:f>
      </x:c>
      <x:c r="CE8" s="117" t="n">
        <x:f>SUM('CF_1'!CE14,'CF_2'!CE14,'CF_3'!CE14,'CF_4'!CE14)</x:f>
      </x:c>
      <x:c r="CF8" s="117" t="n">
        <x:f>SUM('CF_1'!CF14,'CF_2'!CF14,'CF_3'!CF14,'CF_4'!CF14)</x:f>
      </x:c>
      <x:c r="CG8" s="117" t="n">
        <x:f>SUM('CF_1'!CG14,'CF_2'!CG14,'CF_3'!CG14,'CF_4'!CG14)</x:f>
      </x:c>
      <x:c r="CH8" s="117" t="n">
        <x:f>SUM('CF_1'!CH14,'CF_2'!CH14,'CF_3'!CH14,'CF_4'!CH14)</x:f>
      </x:c>
      <x:c r="CI8" s="117" t="n">
        <x:f>SUM('CF_1'!CI14,'CF_2'!CI14,'CF_3'!CI14,'CF_4'!CI14)</x:f>
      </x:c>
      <x:c r="CJ8" s="117" t="n">
        <x:f>SUM('CF_1'!CJ14,'CF_2'!CJ14,'CF_3'!CJ14,'CF_4'!CJ14)</x:f>
      </x:c>
      <x:c r="CK8" s="117" t="n">
        <x:f>SUM('CF_1'!CK14,'CF_2'!CK14,'CF_3'!CK14,'CF_4'!CK14)</x:f>
      </x:c>
      <x:c r="CL8" s="117" t="n">
        <x:f>SUM('CF_1'!CL14,'CF_2'!CL14,'CF_3'!CL14,'CF_4'!CL14)</x:f>
      </x:c>
      <x:c r="CM8" s="117" t="n">
        <x:f>SUM('CF_1'!CM14,'CF_2'!CM14,'CF_3'!CM14,'CF_4'!CM14)</x:f>
      </x:c>
      <x:c r="CN8" s="117" t="n">
        <x:f>SUM('CF_1'!CN14,'CF_2'!CN14,'CF_3'!CN14,'CF_4'!CN14)</x:f>
      </x:c>
      <x:c r="CO8" s="117" t="n">
        <x:f>SUM('CF_1'!CO14,'CF_2'!CO14,'CF_3'!CO14,'CF_4'!CO14)</x:f>
      </x:c>
      <x:c r="CP8" s="117" t="n">
        <x:f>SUM('CF_1'!CP14,'CF_2'!CP14,'CF_3'!CP14,'CF_4'!CP14)</x:f>
      </x:c>
      <x:c r="CQ8" s="117" t="n">
        <x:f>SUM('CF_1'!CQ14,'CF_2'!CQ14,'CF_3'!CQ14,'CF_4'!CQ14)</x:f>
      </x:c>
      <x:c r="CR8" s="117" t="n">
        <x:f>SUM('CF_1'!CR14,'CF_2'!CR14,'CF_3'!CR14,'CF_4'!CR14)</x:f>
      </x:c>
      <x:c r="CS8" s="117" t="n">
        <x:f>SUM('CF_1'!CS14,'CF_2'!CS14,'CF_3'!CS14,'CF_4'!CS14)</x:f>
      </x:c>
      <x:c r="CT8" s="117" t="n">
        <x:f>SUM('CF_1'!CT14,'CF_2'!CT14,'CF_3'!CT14,'CF_4'!CT14)</x:f>
      </x:c>
      <x:c r="CU8" s="117" t="n">
        <x:f>SUM('CF_1'!CU14,'CF_2'!CU14,'CF_3'!CU14,'CF_4'!CU14)</x:f>
      </x:c>
      <x:c r="CV8" s="117" t="n">
        <x:f>SUM('CF_1'!CV14,'CF_2'!CV14,'CF_3'!CV14,'CF_4'!CV14)</x:f>
      </x:c>
      <x:c r="CW8" s="117" t="n">
        <x:f>SUM('CF_1'!CW14,'CF_2'!CW14,'CF_3'!CW14,'CF_4'!CW14)</x:f>
      </x:c>
      <x:c r="CX8" s="117" t="n">
        <x:f>SUM('CF_1'!CX14,'CF_2'!CX14,'CF_3'!CX14,'CF_4'!CX14)</x:f>
      </x:c>
      <x:c r="CY8" s="117" t="n">
        <x:f>SUM('CF_1'!CY14,'CF_2'!CY14,'CF_3'!CY14,'CF_4'!CY14)</x:f>
      </x:c>
      <x:c r="CZ8" s="117" t="n">
        <x:f>SUM('CF_1'!CZ14,'CF_2'!CZ14,'CF_3'!CZ14,'CF_4'!CZ14)</x:f>
      </x:c>
      <x:c r="DA8" s="117" t="n">
        <x:f>SUM('CF_1'!DA14,'CF_2'!DA14,'CF_3'!DA14,'CF_4'!DA14)</x:f>
      </x:c>
      <x:c r="DB8" s="117" t="n">
        <x:f>SUM('CF_1'!DB14,'CF_2'!DB14,'CF_3'!DB14,'CF_4'!DB14)</x:f>
      </x:c>
      <x:c r="DC8" s="117" t="n">
        <x:f>SUM('CF_1'!DC14,'CF_2'!DC14,'CF_3'!DC14,'CF_4'!DC14)</x:f>
      </x:c>
      <x:c r="DD8" s="117" t="n">
        <x:f>SUM('CF_1'!DD14,'CF_2'!DD14,'CF_3'!DD14,'CF_4'!DD14)</x:f>
      </x:c>
      <x:c r="DE8" s="117" t="n">
        <x:f>SUM('CF_1'!DE14,'CF_2'!DE14,'CF_3'!DE14,'CF_4'!DE14)</x:f>
      </x:c>
      <x:c r="DF8" s="117" t="n">
        <x:f>SUM('CF_1'!DF14,'CF_2'!DF14,'CF_3'!DF14,'CF_4'!DF14)</x:f>
      </x:c>
      <x:c r="DG8" s="117" t="n">
        <x:f>SUM('CF_1'!DG14,'CF_2'!DG14,'CF_3'!DG14,'CF_4'!DG14)</x:f>
      </x:c>
      <x:c r="DH8" s="117" t="n">
        <x:f>SUM('CF_1'!DH14,'CF_2'!DH14,'CF_3'!DH14,'CF_4'!DH14)</x:f>
      </x:c>
      <x:c r="DI8" s="117" t="n">
        <x:f>SUM('CF_1'!DI14,'CF_2'!DI14,'CF_3'!DI14,'CF_4'!DI14)</x:f>
      </x:c>
      <x:c r="DJ8" s="117" t="n">
        <x:f>SUM('CF_1'!DJ14,'CF_2'!DJ14,'CF_3'!DJ14,'CF_4'!DJ14)</x:f>
      </x:c>
      <x:c r="DK8" s="117" t="n">
        <x:f>SUM('CF_1'!DK14,'CF_2'!DK14,'CF_3'!DK14,'CF_4'!DK14)</x:f>
      </x:c>
      <x:c r="DL8" s="117" t="n">
        <x:f>SUM('CF_1'!DL14,'CF_2'!DL14,'CF_3'!DL14,'CF_4'!DL14)</x:f>
      </x:c>
      <x:c r="DM8" s="117" t="n">
        <x:f>SUM('CF_1'!DM14,'CF_2'!DM14,'CF_3'!DM14,'CF_4'!DM14)</x:f>
      </x:c>
      <x:c r="DN8" s="117" t="n">
        <x:f>SUM('CF_1'!DN14,'CF_2'!DN14,'CF_3'!DN14,'CF_4'!DN14)</x:f>
      </x:c>
      <x:c r="DO8" s="117" t="n">
        <x:f>SUM('CF_1'!DO14,'CF_2'!DO14,'CF_3'!DO14,'CF_4'!DO14)</x:f>
      </x:c>
      <x:c r="DP8" s="117" t="n">
        <x:f>SUM('CF_1'!DP14,'CF_2'!DP14,'CF_3'!DP14,'CF_4'!DP14)</x:f>
      </x:c>
      <x:c r="DQ8" s="117" t="n">
        <x:f>SUM('CF_1'!DQ14,'CF_2'!DQ14,'CF_3'!DQ14,'CF_4'!DQ14)</x:f>
      </x:c>
      <x:c r="DR8" s="117" t="n">
        <x:f>SUM('CF_1'!DR14,'CF_2'!DR14,'CF_3'!DR14,'CF_4'!DR14)</x:f>
      </x:c>
      <x:c r="DS8" s="117" t="n">
        <x:f>SUM('CF_1'!DS14,'CF_2'!DS14,'CF_3'!DS14,'CF_4'!DS14)</x:f>
      </x:c>
      <x:c r="DT8" s="117" t="n">
        <x:f>SUM('CF_1'!DT14,'CF_2'!DT14,'CF_3'!DT14,'CF_4'!DT14)</x:f>
      </x:c>
      <x:c r="DU8" s="117" t="n">
        <x:f>SUM('CF_1'!DU14,'CF_2'!DU14,'CF_3'!DU14,'CF_4'!DU14)</x:f>
      </x:c>
      <x:c r="DV8" s="117" t="n">
        <x:f>SUM('CF_1'!DV14,'CF_2'!DV14,'CF_3'!DV14,'CF_4'!DV14)</x:f>
      </x:c>
      <x:c r="DW8" s="117" t="n">
        <x:f>SUM('CF_1'!DW14,'CF_2'!DW14,'CF_3'!DW14,'CF_4'!DW14)</x:f>
      </x:c>
      <x:c r="DX8" s="117" t="n">
        <x:f>SUM('CF_1'!DX14,'CF_2'!DX14,'CF_3'!DX14,'CF_4'!DX14)</x:f>
      </x:c>
      <x:c r="DY8" s="117" t="n">
        <x:f>SUM('CF_1'!DY14,'CF_2'!DY14,'CF_3'!DY14,'CF_4'!DY14)</x:f>
      </x:c>
      <x:c r="DZ8" s="117" t="n">
        <x:f>SUM('CF_1'!DZ14,'CF_2'!DZ14,'CF_3'!DZ14,'CF_4'!DZ14)</x:f>
      </x:c>
      <x:c r="EA8" s="117" t="n">
        <x:f>SUM('CF_1'!EA14,'CF_2'!EA14,'CF_3'!EA14,'CF_4'!EA14)</x:f>
      </x:c>
      <x:c r="EB8" s="117" t="n">
        <x:f>SUM('CF_1'!EB14,'CF_2'!EB14,'CF_3'!EB14,'CF_4'!EB14)</x:f>
      </x:c>
      <x:c r="EC8" s="117" t="n">
        <x:f>SUM('CF_1'!EC14,'CF_2'!EC14,'CF_3'!EC14,'CF_4'!EC14)</x:f>
      </x:c>
      <x:c r="ED8" s="117" t="n">
        <x:f>SUM('CF_1'!ED14,'CF_2'!ED14,'CF_3'!ED14,'CF_4'!ED14)</x:f>
      </x:c>
      <x:c r="EE8" s="117" t="n">
        <x:f>SUM('CF_1'!EE14,'CF_2'!EE14,'CF_3'!EE14,'CF_4'!EE14)</x:f>
      </x:c>
      <x:c r="EF8" s="117" t="n">
        <x:f>SUM('CF_1'!EF14,'CF_2'!EF14,'CF_3'!EF14,'CF_4'!EF14)</x:f>
      </x:c>
      <x:c r="EG8" s="117" t="n">
        <x:f>SUM('CF_1'!EG14,'CF_2'!EG14,'CF_3'!EG14,'CF_4'!EG14)</x:f>
      </x:c>
      <x:c r="EH8" s="117" t="n">
        <x:f>SUM('CF_1'!EH14,'CF_2'!EH14,'CF_3'!EH14,'CF_4'!EH14)</x:f>
      </x:c>
      <x:c r="EI8" s="117" t="n">
        <x:f>SUM('CF_1'!EI14,'CF_2'!EI14,'CF_3'!EI14,'CF_4'!EI14)</x:f>
      </x:c>
      <x:c r="EJ8" s="117" t="n">
        <x:f>SUM('CF_1'!EJ14,'CF_2'!EJ14,'CF_3'!EJ14,'CF_4'!EJ14)</x:f>
      </x:c>
      <x:c r="EK8" s="117" t="n">
        <x:f>SUM('CF_1'!EK14,'CF_2'!EK14,'CF_3'!EK14,'CF_4'!EK14)</x:f>
      </x:c>
      <x:c r="EL8" s="117" t="n">
        <x:f>SUM('CF_1'!EL14,'CF_2'!EL14,'CF_3'!EL14,'CF_4'!EL14)</x:f>
      </x:c>
      <x:c r="EM8" s="117" t="n">
        <x:f>SUM('CF_1'!EM14,'CF_2'!EM14,'CF_3'!EM14,'CF_4'!EM14)</x:f>
      </x:c>
      <x:c r="EN8" s="117" t="n">
        <x:f>SUM('CF_1'!EN14,'CF_2'!EN14,'CF_3'!EN14,'CF_4'!EN14)</x:f>
      </x:c>
      <x:c r="EO8" s="117" t="n">
        <x:f>SUM('CF_1'!EO14,'CF_2'!EO14,'CF_3'!EO14,'CF_4'!EO14)</x:f>
      </x:c>
      <x:c r="EP8" s="117" t="n">
        <x:f>SUM('CF_1'!EP14,'CF_2'!EP14,'CF_3'!EP14,'CF_4'!EP14)</x:f>
      </x:c>
      <x:c r="EQ8" s="117" t="n">
        <x:f>SUM('CF_1'!EQ14,'CF_2'!EQ14,'CF_3'!EQ14,'CF_4'!EQ14)</x:f>
      </x:c>
      <x:c r="ER8" s="117" t="n">
        <x:f>SUM('CF_1'!ER14,'CF_2'!ER14,'CF_3'!ER14,'CF_4'!ER14)</x:f>
      </x:c>
      <x:c r="ES8" s="117" t="n">
        <x:f>SUM('CF_1'!ES14,'CF_2'!ES14,'CF_3'!ES14,'CF_4'!ES14)</x:f>
      </x:c>
      <x:c r="ET8" s="117" t="n">
        <x:f>SUM('CF_1'!ET14,'CF_2'!ET14,'CF_3'!ET14,'CF_4'!ET14)</x:f>
      </x:c>
      <x:c r="EU8" s="117" t="n">
        <x:f>SUM('CF_1'!EU14,'CF_2'!EU14,'CF_3'!EU14,'CF_4'!EU14)</x:f>
      </x:c>
      <x:c r="EV8" s="117" t="n">
        <x:f>SUM('CF_1'!EV14,'CF_2'!EV14,'CF_3'!EV14,'CF_4'!EV14)</x:f>
      </x:c>
      <x:c r="EW8" s="117" t="n">
        <x:f>SUM('CF_1'!EW14,'CF_2'!EW14,'CF_3'!EW14,'CF_4'!EW14)</x:f>
      </x:c>
      <x:c r="EX8" s="117" t="n">
        <x:f>SUM('CF_1'!EX14,'CF_2'!EX14,'CF_3'!EX14,'CF_4'!EX14)</x:f>
      </x:c>
      <x:c r="EY8" s="117" t="n">
        <x:f>SUM('CF_1'!EY14,'CF_2'!EY14,'CF_3'!EY14,'CF_4'!EY14)</x:f>
      </x:c>
      <x:c r="EZ8" s="117" t="n">
        <x:f>SUM('CF_1'!EZ14,'CF_2'!EZ14,'CF_3'!EZ14,'CF_4'!EZ14)</x:f>
      </x:c>
      <x:c r="FA8" s="117" t="n">
        <x:f>SUM('CF_1'!FA14,'CF_2'!FA14,'CF_3'!FA14,'CF_4'!FA14)</x:f>
      </x:c>
      <x:c r="FB8" s="117" t="n">
        <x:f>SUM('CF_1'!FB14,'CF_2'!FB14,'CF_3'!FB14,'CF_4'!FB14)</x:f>
      </x:c>
      <x:c r="FC8" s="117" t="n">
        <x:f>SUM('CF_1'!FC14,'CF_2'!FC14,'CF_3'!FC14,'CF_4'!FC14)</x:f>
      </x:c>
      <x:c r="FD8" s="117" t="n">
        <x:f>SUM('CF_1'!FD14,'CF_2'!FD14,'CF_3'!FD14,'CF_4'!FD14)</x:f>
      </x:c>
      <x:c r="FE8" s="117" t="n">
        <x:f>SUM('CF_1'!FE14,'CF_2'!FE14,'CF_3'!FE14,'CF_4'!FE14)</x:f>
      </x:c>
      <x:c r="FF8" s="117" t="n">
        <x:f>SUM('CF_1'!FF14,'CF_2'!FF14,'CF_3'!FF14,'CF_4'!FF14)</x:f>
      </x:c>
      <x:c r="FG8" s="117" t="n">
        <x:f>SUM('CF_1'!FG14,'CF_2'!FG14,'CF_3'!FG14,'CF_4'!FG14)</x:f>
      </x:c>
      <x:c r="FH8" s="117" t="n">
        <x:f>SUM('CF_1'!FH14,'CF_2'!FH14,'CF_3'!FH14,'CF_4'!FH14)</x:f>
      </x:c>
      <x:c r="FI8" s="117" t="n">
        <x:f>SUM('CF_1'!FI14,'CF_2'!FI14,'CF_3'!FI14,'CF_4'!FI14)</x:f>
      </x:c>
      <x:c r="FJ8" s="117" t="n">
        <x:f>SUM('CF_1'!FJ14,'CF_2'!FJ14,'CF_3'!FJ14,'CF_4'!FJ14)</x:f>
      </x:c>
      <x:c r="FK8" s="117" t="n">
        <x:f>SUM('CF_1'!FK14,'CF_2'!FK14,'CF_3'!FK14,'CF_4'!FK14)</x:f>
      </x:c>
      <x:c r="FL8" s="117" t="n">
        <x:f>SUM('CF_1'!FL14,'CF_2'!FL14,'CF_3'!FL14,'CF_4'!FL14)</x:f>
      </x:c>
      <x:c r="FM8" s="117" t="n">
        <x:f>SUM('CF_1'!FM14,'CF_2'!FM14,'CF_3'!FM14,'CF_4'!FM14)</x:f>
      </x:c>
      <x:c r="FN8" s="117" t="n">
        <x:f>SUM('CF_1'!FN14,'CF_2'!FN14,'CF_3'!FN14,'CF_4'!FN14)</x:f>
      </x:c>
      <x:c r="FO8" s="117" t="n">
        <x:f>SUM('CF_1'!FO14,'CF_2'!FO14,'CF_3'!FO14,'CF_4'!FO14)</x:f>
      </x:c>
      <x:c r="FP8" s="117" t="n">
        <x:f>SUM('CF_1'!FP14,'CF_2'!FP14,'CF_3'!FP14,'CF_4'!FP14)</x:f>
      </x:c>
      <x:c r="FQ8" s="117" t="n">
        <x:f>SUM('CF_1'!FQ14,'CF_2'!FQ14,'CF_3'!FQ14,'CF_4'!FQ14)</x:f>
      </x:c>
      <x:c r="FR8" s="117" t="n">
        <x:f>SUM('CF_1'!FR14,'CF_2'!FR14,'CF_3'!FR14,'CF_4'!FR14)</x:f>
      </x:c>
      <x:c r="FS8" s="117" t="n">
        <x:f>SUM('CF_1'!FS14,'CF_2'!FS14,'CF_3'!FS14,'CF_4'!FS14)</x:f>
      </x:c>
      <x:c r="FT8" s="117" t="n">
        <x:f>SUM('CF_1'!FT14,'CF_2'!FT14,'CF_3'!FT14,'CF_4'!FT14)</x:f>
      </x:c>
      <x:c r="FU8" s="117" t="n">
        <x:f>SUM('CF_1'!FU14,'CF_2'!FU14,'CF_3'!FU14,'CF_4'!FU14)</x:f>
      </x:c>
      <x:c r="FV8" s="117" t="n">
        <x:f>SUM('CF_1'!FV14,'CF_2'!FV14,'CF_3'!FV14,'CF_4'!FV14)</x:f>
      </x:c>
      <x:c r="FW8" s="117" t="n">
        <x:f>SUM('CF_1'!FW14,'CF_2'!FW14,'CF_3'!FW14,'CF_4'!FW14)</x:f>
      </x:c>
      <x:c r="FX8" s="117" t="n">
        <x:f>SUM('CF_1'!FX14,'CF_2'!FX14,'CF_3'!FX14,'CF_4'!FX14)</x:f>
      </x:c>
      <x:c r="FY8" s="117" t="n">
        <x:f>SUM('CF_1'!FY14,'CF_2'!FY14,'CF_3'!FY14,'CF_4'!FY14)</x:f>
      </x:c>
      <x:c r="FZ8" s="117" t="n">
        <x:f>SUM('CF_1'!FZ14,'CF_2'!FZ14,'CF_3'!FZ14,'CF_4'!FZ14)</x:f>
      </x:c>
      <x:c r="GA8" s="117" t="n">
        <x:f>SUM('CF_1'!GA14,'CF_2'!GA14,'CF_3'!GA14,'CF_4'!GA14)</x:f>
      </x:c>
    </x:row>
    <x:row r="9">
      <x:c r="A9" t="str">
        <x:v>Эскроу на конец</x:v>
      </x:c>
      <x:c r="B9" t="n">
        <x:f>GA9</x:f>
      </x:c>
      <x:c r="C9" t="str">
        <x:v>млн ₽</x:v>
      </x:c>
      <x:c r="D9" s="117" t="n">
        <x:f>SUM('CF_1'!D15,'CF_2'!D15,'CF_3'!D15,'CF_4'!D15)</x:f>
      </x:c>
      <x:c r="E9" s="117" t="n">
        <x:f>SUM('CF_1'!E15,'CF_2'!E15,'CF_3'!E15,'CF_4'!E15)</x:f>
      </x:c>
      <x:c r="F9" s="117" t="n">
        <x:f>SUM('CF_1'!F15,'CF_2'!F15,'CF_3'!F15,'CF_4'!F15)</x:f>
      </x:c>
      <x:c r="G9" s="117" t="n">
        <x:f>SUM('CF_1'!G15,'CF_2'!G15,'CF_3'!G15,'CF_4'!G15)</x:f>
      </x:c>
      <x:c r="H9" s="117" t="n">
        <x:f>SUM('CF_1'!H15,'CF_2'!H15,'CF_3'!H15,'CF_4'!H15)</x:f>
      </x:c>
      <x:c r="I9" s="117" t="n">
        <x:f>SUM('CF_1'!I15,'CF_2'!I15,'CF_3'!I15,'CF_4'!I15)</x:f>
      </x:c>
      <x:c r="J9" s="117" t="n">
        <x:f>SUM('CF_1'!J15,'CF_2'!J15,'CF_3'!J15,'CF_4'!J15)</x:f>
      </x:c>
      <x:c r="K9" s="117" t="n">
        <x:f>SUM('CF_1'!K15,'CF_2'!K15,'CF_3'!K15,'CF_4'!K15)</x:f>
      </x:c>
      <x:c r="L9" s="117" t="n">
        <x:f>SUM('CF_1'!L15,'CF_2'!L15,'CF_3'!L15,'CF_4'!L15)</x:f>
      </x:c>
      <x:c r="M9" s="117" t="n">
        <x:f>SUM('CF_1'!M15,'CF_2'!M15,'CF_3'!M15,'CF_4'!M15)</x:f>
      </x:c>
      <x:c r="N9" s="117" t="n">
        <x:f>SUM('CF_1'!N15,'CF_2'!N15,'CF_3'!N15,'CF_4'!N15)</x:f>
      </x:c>
      <x:c r="O9" s="117" t="n">
        <x:f>SUM('CF_1'!O15,'CF_2'!O15,'CF_3'!O15,'CF_4'!O15)</x:f>
      </x:c>
      <x:c r="P9" s="117" t="n">
        <x:f>SUM('CF_1'!P15,'CF_2'!P15,'CF_3'!P15,'CF_4'!P15)</x:f>
      </x:c>
      <x:c r="Q9" s="117" t="n">
        <x:f>SUM('CF_1'!Q15,'CF_2'!Q15,'CF_3'!Q15,'CF_4'!Q15)</x:f>
      </x:c>
      <x:c r="R9" s="117" t="n">
        <x:f>SUM('CF_1'!R15,'CF_2'!R15,'CF_3'!R15,'CF_4'!R15)</x:f>
      </x:c>
      <x:c r="S9" s="117" t="n">
        <x:f>SUM('CF_1'!S15,'CF_2'!S15,'CF_3'!S15,'CF_4'!S15)</x:f>
      </x:c>
      <x:c r="T9" s="117" t="n">
        <x:f>SUM('CF_1'!T15,'CF_2'!T15,'CF_3'!T15,'CF_4'!T15)</x:f>
      </x:c>
      <x:c r="U9" s="117" t="n">
        <x:f>SUM('CF_1'!U15,'CF_2'!U15,'CF_3'!U15,'CF_4'!U15)</x:f>
      </x:c>
      <x:c r="V9" s="117" t="n">
        <x:f>SUM('CF_1'!V15,'CF_2'!V15,'CF_3'!V15,'CF_4'!V15)</x:f>
      </x:c>
      <x:c r="W9" s="117" t="n">
        <x:f>SUM('CF_1'!W15,'CF_2'!W15,'CF_3'!W15,'CF_4'!W15)</x:f>
      </x:c>
      <x:c r="X9" s="117" t="n">
        <x:f>SUM('CF_1'!X15,'CF_2'!X15,'CF_3'!X15,'CF_4'!X15)</x:f>
      </x:c>
      <x:c r="Y9" s="117" t="n">
        <x:f>SUM('CF_1'!Y15,'CF_2'!Y15,'CF_3'!Y15,'CF_4'!Y15)</x:f>
      </x:c>
      <x:c r="Z9" s="117" t="n">
        <x:f>SUM('CF_1'!Z15,'CF_2'!Z15,'CF_3'!Z15,'CF_4'!Z15)</x:f>
      </x:c>
      <x:c r="AA9" s="117" t="n">
        <x:f>SUM('CF_1'!AA15,'CF_2'!AA15,'CF_3'!AA15,'CF_4'!AA15)</x:f>
      </x:c>
      <x:c r="AB9" s="117" t="n">
        <x:f>SUM('CF_1'!AB15,'CF_2'!AB15,'CF_3'!AB15,'CF_4'!AB15)</x:f>
      </x:c>
      <x:c r="AC9" s="117" t="n">
        <x:f>SUM('CF_1'!AC15,'CF_2'!AC15,'CF_3'!AC15,'CF_4'!AC15)</x:f>
      </x:c>
      <x:c r="AD9" s="117" t="n">
        <x:f>SUM('CF_1'!AD15,'CF_2'!AD15,'CF_3'!AD15,'CF_4'!AD15)</x:f>
      </x:c>
      <x:c r="AE9" s="117" t="n">
        <x:f>SUM('CF_1'!AE15,'CF_2'!AE15,'CF_3'!AE15,'CF_4'!AE15)</x:f>
      </x:c>
      <x:c r="AF9" s="117" t="n">
        <x:f>SUM('CF_1'!AF15,'CF_2'!AF15,'CF_3'!AF15,'CF_4'!AF15)</x:f>
      </x:c>
      <x:c r="AG9" s="117" t="n">
        <x:f>SUM('CF_1'!AG15,'CF_2'!AG15,'CF_3'!AG15,'CF_4'!AG15)</x:f>
      </x:c>
      <x:c r="AH9" s="117" t="n">
        <x:f>SUM('CF_1'!AH15,'CF_2'!AH15,'CF_3'!AH15,'CF_4'!AH15)</x:f>
      </x:c>
      <x:c r="AI9" s="117" t="n">
        <x:f>SUM('CF_1'!AI15,'CF_2'!AI15,'CF_3'!AI15,'CF_4'!AI15)</x:f>
      </x:c>
      <x:c r="AJ9" s="117" t="n">
        <x:f>SUM('CF_1'!AJ15,'CF_2'!AJ15,'CF_3'!AJ15,'CF_4'!AJ15)</x:f>
      </x:c>
      <x:c r="AK9" s="117" t="n">
        <x:f>SUM('CF_1'!AK15,'CF_2'!AK15,'CF_3'!AK15,'CF_4'!AK15)</x:f>
      </x:c>
      <x:c r="AL9" s="117" t="n">
        <x:f>SUM('CF_1'!AL15,'CF_2'!AL15,'CF_3'!AL15,'CF_4'!AL15)</x:f>
      </x:c>
      <x:c r="AM9" s="117" t="n">
        <x:f>SUM('CF_1'!AM15,'CF_2'!AM15,'CF_3'!AM15,'CF_4'!AM15)</x:f>
      </x:c>
      <x:c r="AN9" s="117" t="n">
        <x:f>SUM('CF_1'!AN15,'CF_2'!AN15,'CF_3'!AN15,'CF_4'!AN15)</x:f>
      </x:c>
      <x:c r="AO9" s="117" t="n">
        <x:f>SUM('CF_1'!AO15,'CF_2'!AO15,'CF_3'!AO15,'CF_4'!AO15)</x:f>
      </x:c>
      <x:c r="AP9" s="117" t="n">
        <x:f>SUM('CF_1'!AP15,'CF_2'!AP15,'CF_3'!AP15,'CF_4'!AP15)</x:f>
      </x:c>
      <x:c r="AQ9" s="117" t="n">
        <x:f>SUM('CF_1'!AQ15,'CF_2'!AQ15,'CF_3'!AQ15,'CF_4'!AQ15)</x:f>
      </x:c>
      <x:c r="AR9" s="117" t="n">
        <x:f>SUM('CF_1'!AR15,'CF_2'!AR15,'CF_3'!AR15,'CF_4'!AR15)</x:f>
      </x:c>
      <x:c r="AS9" s="117" t="n">
        <x:f>SUM('CF_1'!AS15,'CF_2'!AS15,'CF_3'!AS15,'CF_4'!AS15)</x:f>
      </x:c>
      <x:c r="AT9" s="117" t="n">
        <x:f>SUM('CF_1'!AT15,'CF_2'!AT15,'CF_3'!AT15,'CF_4'!AT15)</x:f>
      </x:c>
      <x:c r="AU9" s="117" t="n">
        <x:f>SUM('CF_1'!AU15,'CF_2'!AU15,'CF_3'!AU15,'CF_4'!AU15)</x:f>
      </x:c>
      <x:c r="AV9" s="117" t="n">
        <x:f>SUM('CF_1'!AV15,'CF_2'!AV15,'CF_3'!AV15,'CF_4'!AV15)</x:f>
      </x:c>
      <x:c r="AW9" s="117" t="n">
        <x:f>SUM('CF_1'!AW15,'CF_2'!AW15,'CF_3'!AW15,'CF_4'!AW15)</x:f>
      </x:c>
      <x:c r="AX9" s="117" t="n">
        <x:f>SUM('CF_1'!AX15,'CF_2'!AX15,'CF_3'!AX15,'CF_4'!AX15)</x:f>
      </x:c>
      <x:c r="AY9" s="117" t="n">
        <x:f>SUM('CF_1'!AY15,'CF_2'!AY15,'CF_3'!AY15,'CF_4'!AY15)</x:f>
      </x:c>
      <x:c r="AZ9" s="117" t="n">
        <x:f>SUM('CF_1'!AZ15,'CF_2'!AZ15,'CF_3'!AZ15,'CF_4'!AZ15)</x:f>
      </x:c>
      <x:c r="BA9" s="117" t="n">
        <x:f>SUM('CF_1'!BA15,'CF_2'!BA15,'CF_3'!BA15,'CF_4'!BA15)</x:f>
      </x:c>
      <x:c r="BB9" s="117" t="n">
        <x:f>SUM('CF_1'!BB15,'CF_2'!BB15,'CF_3'!BB15,'CF_4'!BB15)</x:f>
      </x:c>
      <x:c r="BC9" s="117" t="n">
        <x:f>SUM('CF_1'!BC15,'CF_2'!BC15,'CF_3'!BC15,'CF_4'!BC15)</x:f>
      </x:c>
      <x:c r="BD9" s="117" t="n">
        <x:f>SUM('CF_1'!BD15,'CF_2'!BD15,'CF_3'!BD15,'CF_4'!BD15)</x:f>
      </x:c>
      <x:c r="BE9" s="117" t="n">
        <x:f>SUM('CF_1'!BE15,'CF_2'!BE15,'CF_3'!BE15,'CF_4'!BE15)</x:f>
      </x:c>
      <x:c r="BF9" s="117" t="n">
        <x:f>SUM('CF_1'!BF15,'CF_2'!BF15,'CF_3'!BF15,'CF_4'!BF15)</x:f>
      </x:c>
      <x:c r="BG9" s="117" t="n">
        <x:f>SUM('CF_1'!BG15,'CF_2'!BG15,'CF_3'!BG15,'CF_4'!BG15)</x:f>
      </x:c>
      <x:c r="BH9" s="117" t="n">
        <x:f>SUM('CF_1'!BH15,'CF_2'!BH15,'CF_3'!BH15,'CF_4'!BH15)</x:f>
      </x:c>
      <x:c r="BI9" s="117" t="n">
        <x:f>SUM('CF_1'!BI15,'CF_2'!BI15,'CF_3'!BI15,'CF_4'!BI15)</x:f>
      </x:c>
      <x:c r="BJ9" s="117" t="n">
        <x:f>SUM('CF_1'!BJ15,'CF_2'!BJ15,'CF_3'!BJ15,'CF_4'!BJ15)</x:f>
      </x:c>
      <x:c r="BK9" s="117" t="n">
        <x:f>SUM('CF_1'!BK15,'CF_2'!BK15,'CF_3'!BK15,'CF_4'!BK15)</x:f>
      </x:c>
      <x:c r="BL9" s="117" t="n">
        <x:f>SUM('CF_1'!BL15,'CF_2'!BL15,'CF_3'!BL15,'CF_4'!BL15)</x:f>
      </x:c>
      <x:c r="BM9" s="117" t="n">
        <x:f>SUM('CF_1'!BM15,'CF_2'!BM15,'CF_3'!BM15,'CF_4'!BM15)</x:f>
      </x:c>
      <x:c r="BN9" s="117" t="n">
        <x:f>SUM('CF_1'!BN15,'CF_2'!BN15,'CF_3'!BN15,'CF_4'!BN15)</x:f>
      </x:c>
      <x:c r="BO9" s="117" t="n">
        <x:f>SUM('CF_1'!BO15,'CF_2'!BO15,'CF_3'!BO15,'CF_4'!BO15)</x:f>
      </x:c>
      <x:c r="BP9" s="117" t="n">
        <x:f>SUM('CF_1'!BP15,'CF_2'!BP15,'CF_3'!BP15,'CF_4'!BP15)</x:f>
      </x:c>
      <x:c r="BQ9" s="117" t="n">
        <x:f>SUM('CF_1'!BQ15,'CF_2'!BQ15,'CF_3'!BQ15,'CF_4'!BQ15)</x:f>
      </x:c>
      <x:c r="BR9" s="117" t="n">
        <x:f>SUM('CF_1'!BR15,'CF_2'!BR15,'CF_3'!BR15,'CF_4'!BR15)</x:f>
      </x:c>
      <x:c r="BS9" s="117" t="n">
        <x:f>SUM('CF_1'!BS15,'CF_2'!BS15,'CF_3'!BS15,'CF_4'!BS15)</x:f>
      </x:c>
      <x:c r="BT9" s="117" t="n">
        <x:f>SUM('CF_1'!BT15,'CF_2'!BT15,'CF_3'!BT15,'CF_4'!BT15)</x:f>
      </x:c>
      <x:c r="BU9" s="117" t="n">
        <x:f>SUM('CF_1'!BU15,'CF_2'!BU15,'CF_3'!BU15,'CF_4'!BU15)</x:f>
      </x:c>
      <x:c r="BV9" s="117" t="n">
        <x:f>SUM('CF_1'!BV15,'CF_2'!BV15,'CF_3'!BV15,'CF_4'!BV15)</x:f>
      </x:c>
      <x:c r="BW9" s="117" t="n">
        <x:f>SUM('CF_1'!BW15,'CF_2'!BW15,'CF_3'!BW15,'CF_4'!BW15)</x:f>
      </x:c>
      <x:c r="BX9" s="117" t="n">
        <x:f>SUM('CF_1'!BX15,'CF_2'!BX15,'CF_3'!BX15,'CF_4'!BX15)</x:f>
      </x:c>
      <x:c r="BY9" s="117" t="n">
        <x:f>SUM('CF_1'!BY15,'CF_2'!BY15,'CF_3'!BY15,'CF_4'!BY15)</x:f>
      </x:c>
      <x:c r="BZ9" s="117" t="n">
        <x:f>SUM('CF_1'!BZ15,'CF_2'!BZ15,'CF_3'!BZ15,'CF_4'!BZ15)</x:f>
      </x:c>
      <x:c r="CA9" s="117" t="n">
        <x:f>SUM('CF_1'!CA15,'CF_2'!CA15,'CF_3'!CA15,'CF_4'!CA15)</x:f>
      </x:c>
      <x:c r="CB9" s="117" t="n">
        <x:f>SUM('CF_1'!CB15,'CF_2'!CB15,'CF_3'!CB15,'CF_4'!CB15)</x:f>
      </x:c>
      <x:c r="CC9" s="117" t="n">
        <x:f>SUM('CF_1'!CC15,'CF_2'!CC15,'CF_3'!CC15,'CF_4'!CC15)</x:f>
      </x:c>
      <x:c r="CD9" s="117" t="n">
        <x:f>SUM('CF_1'!CD15,'CF_2'!CD15,'CF_3'!CD15,'CF_4'!CD15)</x:f>
      </x:c>
      <x:c r="CE9" s="117" t="n">
        <x:f>SUM('CF_1'!CE15,'CF_2'!CE15,'CF_3'!CE15,'CF_4'!CE15)</x:f>
      </x:c>
      <x:c r="CF9" s="117" t="n">
        <x:f>SUM('CF_1'!CF15,'CF_2'!CF15,'CF_3'!CF15,'CF_4'!CF15)</x:f>
      </x:c>
      <x:c r="CG9" s="117" t="n">
        <x:f>SUM('CF_1'!CG15,'CF_2'!CG15,'CF_3'!CG15,'CF_4'!CG15)</x:f>
      </x:c>
      <x:c r="CH9" s="117" t="n">
        <x:f>SUM('CF_1'!CH15,'CF_2'!CH15,'CF_3'!CH15,'CF_4'!CH15)</x:f>
      </x:c>
      <x:c r="CI9" s="117" t="n">
        <x:f>SUM('CF_1'!CI15,'CF_2'!CI15,'CF_3'!CI15,'CF_4'!CI15)</x:f>
      </x:c>
      <x:c r="CJ9" s="117" t="n">
        <x:f>SUM('CF_1'!CJ15,'CF_2'!CJ15,'CF_3'!CJ15,'CF_4'!CJ15)</x:f>
      </x:c>
      <x:c r="CK9" s="117" t="n">
        <x:f>SUM('CF_1'!CK15,'CF_2'!CK15,'CF_3'!CK15,'CF_4'!CK15)</x:f>
      </x:c>
      <x:c r="CL9" s="117" t="n">
        <x:f>SUM('CF_1'!CL15,'CF_2'!CL15,'CF_3'!CL15,'CF_4'!CL15)</x:f>
      </x:c>
      <x:c r="CM9" s="117" t="n">
        <x:f>SUM('CF_1'!CM15,'CF_2'!CM15,'CF_3'!CM15,'CF_4'!CM15)</x:f>
      </x:c>
      <x:c r="CN9" s="117" t="n">
        <x:f>SUM('CF_1'!CN15,'CF_2'!CN15,'CF_3'!CN15,'CF_4'!CN15)</x:f>
      </x:c>
      <x:c r="CO9" s="117" t="n">
        <x:f>SUM('CF_1'!CO15,'CF_2'!CO15,'CF_3'!CO15,'CF_4'!CO15)</x:f>
      </x:c>
      <x:c r="CP9" s="117" t="n">
        <x:f>SUM('CF_1'!CP15,'CF_2'!CP15,'CF_3'!CP15,'CF_4'!CP15)</x:f>
      </x:c>
      <x:c r="CQ9" s="117" t="n">
        <x:f>SUM('CF_1'!CQ15,'CF_2'!CQ15,'CF_3'!CQ15,'CF_4'!CQ15)</x:f>
      </x:c>
      <x:c r="CR9" s="117" t="n">
        <x:f>SUM('CF_1'!CR15,'CF_2'!CR15,'CF_3'!CR15,'CF_4'!CR15)</x:f>
      </x:c>
      <x:c r="CS9" s="117" t="n">
        <x:f>SUM('CF_1'!CS15,'CF_2'!CS15,'CF_3'!CS15,'CF_4'!CS15)</x:f>
      </x:c>
      <x:c r="CT9" s="117" t="n">
        <x:f>SUM('CF_1'!CT15,'CF_2'!CT15,'CF_3'!CT15,'CF_4'!CT15)</x:f>
      </x:c>
      <x:c r="CU9" s="117" t="n">
        <x:f>SUM('CF_1'!CU15,'CF_2'!CU15,'CF_3'!CU15,'CF_4'!CU15)</x:f>
      </x:c>
      <x:c r="CV9" s="117" t="n">
        <x:f>SUM('CF_1'!CV15,'CF_2'!CV15,'CF_3'!CV15,'CF_4'!CV15)</x:f>
      </x:c>
      <x:c r="CW9" s="117" t="n">
        <x:f>SUM('CF_1'!CW15,'CF_2'!CW15,'CF_3'!CW15,'CF_4'!CW15)</x:f>
      </x:c>
      <x:c r="CX9" s="117" t="n">
        <x:f>SUM('CF_1'!CX15,'CF_2'!CX15,'CF_3'!CX15,'CF_4'!CX15)</x:f>
      </x:c>
      <x:c r="CY9" s="117" t="n">
        <x:f>SUM('CF_1'!CY15,'CF_2'!CY15,'CF_3'!CY15,'CF_4'!CY15)</x:f>
      </x:c>
      <x:c r="CZ9" s="117" t="n">
        <x:f>SUM('CF_1'!CZ15,'CF_2'!CZ15,'CF_3'!CZ15,'CF_4'!CZ15)</x:f>
      </x:c>
      <x:c r="DA9" s="117" t="n">
        <x:f>SUM('CF_1'!DA15,'CF_2'!DA15,'CF_3'!DA15,'CF_4'!DA15)</x:f>
      </x:c>
      <x:c r="DB9" s="117" t="n">
        <x:f>SUM('CF_1'!DB15,'CF_2'!DB15,'CF_3'!DB15,'CF_4'!DB15)</x:f>
      </x:c>
      <x:c r="DC9" s="117" t="n">
        <x:f>SUM('CF_1'!DC15,'CF_2'!DC15,'CF_3'!DC15,'CF_4'!DC15)</x:f>
      </x:c>
      <x:c r="DD9" s="117" t="n">
        <x:f>SUM('CF_1'!DD15,'CF_2'!DD15,'CF_3'!DD15,'CF_4'!DD15)</x:f>
      </x:c>
      <x:c r="DE9" s="117" t="n">
        <x:f>SUM('CF_1'!DE15,'CF_2'!DE15,'CF_3'!DE15,'CF_4'!DE15)</x:f>
      </x:c>
      <x:c r="DF9" s="117" t="n">
        <x:f>SUM('CF_1'!DF15,'CF_2'!DF15,'CF_3'!DF15,'CF_4'!DF15)</x:f>
      </x:c>
      <x:c r="DG9" s="117" t="n">
        <x:f>SUM('CF_1'!DG15,'CF_2'!DG15,'CF_3'!DG15,'CF_4'!DG15)</x:f>
      </x:c>
      <x:c r="DH9" s="117" t="n">
        <x:f>SUM('CF_1'!DH15,'CF_2'!DH15,'CF_3'!DH15,'CF_4'!DH15)</x:f>
      </x:c>
      <x:c r="DI9" s="117" t="n">
        <x:f>SUM('CF_1'!DI15,'CF_2'!DI15,'CF_3'!DI15,'CF_4'!DI15)</x:f>
      </x:c>
      <x:c r="DJ9" s="117" t="n">
        <x:f>SUM('CF_1'!DJ15,'CF_2'!DJ15,'CF_3'!DJ15,'CF_4'!DJ15)</x:f>
      </x:c>
      <x:c r="DK9" s="117" t="n">
        <x:f>SUM('CF_1'!DK15,'CF_2'!DK15,'CF_3'!DK15,'CF_4'!DK15)</x:f>
      </x:c>
      <x:c r="DL9" s="117" t="n">
        <x:f>SUM('CF_1'!DL15,'CF_2'!DL15,'CF_3'!DL15,'CF_4'!DL15)</x:f>
      </x:c>
      <x:c r="DM9" s="117" t="n">
        <x:f>SUM('CF_1'!DM15,'CF_2'!DM15,'CF_3'!DM15,'CF_4'!DM15)</x:f>
      </x:c>
      <x:c r="DN9" s="117" t="n">
        <x:f>SUM('CF_1'!DN15,'CF_2'!DN15,'CF_3'!DN15,'CF_4'!DN15)</x:f>
      </x:c>
      <x:c r="DO9" s="117" t="n">
        <x:f>SUM('CF_1'!DO15,'CF_2'!DO15,'CF_3'!DO15,'CF_4'!DO15)</x:f>
      </x:c>
      <x:c r="DP9" s="117" t="n">
        <x:f>SUM('CF_1'!DP15,'CF_2'!DP15,'CF_3'!DP15,'CF_4'!DP15)</x:f>
      </x:c>
      <x:c r="DQ9" s="117" t="n">
        <x:f>SUM('CF_1'!DQ15,'CF_2'!DQ15,'CF_3'!DQ15,'CF_4'!DQ15)</x:f>
      </x:c>
      <x:c r="DR9" s="117" t="n">
        <x:f>SUM('CF_1'!DR15,'CF_2'!DR15,'CF_3'!DR15,'CF_4'!DR15)</x:f>
      </x:c>
      <x:c r="DS9" s="117" t="n">
        <x:f>SUM('CF_1'!DS15,'CF_2'!DS15,'CF_3'!DS15,'CF_4'!DS15)</x:f>
      </x:c>
      <x:c r="DT9" s="117" t="n">
        <x:f>SUM('CF_1'!DT15,'CF_2'!DT15,'CF_3'!DT15,'CF_4'!DT15)</x:f>
      </x:c>
      <x:c r="DU9" s="117" t="n">
        <x:f>SUM('CF_1'!DU15,'CF_2'!DU15,'CF_3'!DU15,'CF_4'!DU15)</x:f>
      </x:c>
      <x:c r="DV9" s="117" t="n">
        <x:f>SUM('CF_1'!DV15,'CF_2'!DV15,'CF_3'!DV15,'CF_4'!DV15)</x:f>
      </x:c>
      <x:c r="DW9" s="117" t="n">
        <x:f>SUM('CF_1'!DW15,'CF_2'!DW15,'CF_3'!DW15,'CF_4'!DW15)</x:f>
      </x:c>
      <x:c r="DX9" s="117" t="n">
        <x:f>SUM('CF_1'!DX15,'CF_2'!DX15,'CF_3'!DX15,'CF_4'!DX15)</x:f>
      </x:c>
      <x:c r="DY9" s="117" t="n">
        <x:f>SUM('CF_1'!DY15,'CF_2'!DY15,'CF_3'!DY15,'CF_4'!DY15)</x:f>
      </x:c>
      <x:c r="DZ9" s="117" t="n">
        <x:f>SUM('CF_1'!DZ15,'CF_2'!DZ15,'CF_3'!DZ15,'CF_4'!DZ15)</x:f>
      </x:c>
      <x:c r="EA9" s="117" t="n">
        <x:f>SUM('CF_1'!EA15,'CF_2'!EA15,'CF_3'!EA15,'CF_4'!EA15)</x:f>
      </x:c>
      <x:c r="EB9" s="117" t="n">
        <x:f>SUM('CF_1'!EB15,'CF_2'!EB15,'CF_3'!EB15,'CF_4'!EB15)</x:f>
      </x:c>
      <x:c r="EC9" s="117" t="n">
        <x:f>SUM('CF_1'!EC15,'CF_2'!EC15,'CF_3'!EC15,'CF_4'!EC15)</x:f>
      </x:c>
      <x:c r="ED9" s="117" t="n">
        <x:f>SUM('CF_1'!ED15,'CF_2'!ED15,'CF_3'!ED15,'CF_4'!ED15)</x:f>
      </x:c>
      <x:c r="EE9" s="117" t="n">
        <x:f>SUM('CF_1'!EE15,'CF_2'!EE15,'CF_3'!EE15,'CF_4'!EE15)</x:f>
      </x:c>
      <x:c r="EF9" s="117" t="n">
        <x:f>SUM('CF_1'!EF15,'CF_2'!EF15,'CF_3'!EF15,'CF_4'!EF15)</x:f>
      </x:c>
      <x:c r="EG9" s="117" t="n">
        <x:f>SUM('CF_1'!EG15,'CF_2'!EG15,'CF_3'!EG15,'CF_4'!EG15)</x:f>
      </x:c>
      <x:c r="EH9" s="117" t="n">
        <x:f>SUM('CF_1'!EH15,'CF_2'!EH15,'CF_3'!EH15,'CF_4'!EH15)</x:f>
      </x:c>
      <x:c r="EI9" s="117" t="n">
        <x:f>SUM('CF_1'!EI15,'CF_2'!EI15,'CF_3'!EI15,'CF_4'!EI15)</x:f>
      </x:c>
      <x:c r="EJ9" s="117" t="n">
        <x:f>SUM('CF_1'!EJ15,'CF_2'!EJ15,'CF_3'!EJ15,'CF_4'!EJ15)</x:f>
      </x:c>
      <x:c r="EK9" s="117" t="n">
        <x:f>SUM('CF_1'!EK15,'CF_2'!EK15,'CF_3'!EK15,'CF_4'!EK15)</x:f>
      </x:c>
      <x:c r="EL9" s="117" t="n">
        <x:f>SUM('CF_1'!EL15,'CF_2'!EL15,'CF_3'!EL15,'CF_4'!EL15)</x:f>
      </x:c>
      <x:c r="EM9" s="117" t="n">
        <x:f>SUM('CF_1'!EM15,'CF_2'!EM15,'CF_3'!EM15,'CF_4'!EM15)</x:f>
      </x:c>
      <x:c r="EN9" s="117" t="n">
        <x:f>SUM('CF_1'!EN15,'CF_2'!EN15,'CF_3'!EN15,'CF_4'!EN15)</x:f>
      </x:c>
      <x:c r="EO9" s="117" t="n">
        <x:f>SUM('CF_1'!EO15,'CF_2'!EO15,'CF_3'!EO15,'CF_4'!EO15)</x:f>
      </x:c>
      <x:c r="EP9" s="117" t="n">
        <x:f>SUM('CF_1'!EP15,'CF_2'!EP15,'CF_3'!EP15,'CF_4'!EP15)</x:f>
      </x:c>
      <x:c r="EQ9" s="117" t="n">
        <x:f>SUM('CF_1'!EQ15,'CF_2'!EQ15,'CF_3'!EQ15,'CF_4'!EQ15)</x:f>
      </x:c>
      <x:c r="ER9" s="117" t="n">
        <x:f>SUM('CF_1'!ER15,'CF_2'!ER15,'CF_3'!ER15,'CF_4'!ER15)</x:f>
      </x:c>
      <x:c r="ES9" s="117" t="n">
        <x:f>SUM('CF_1'!ES15,'CF_2'!ES15,'CF_3'!ES15,'CF_4'!ES15)</x:f>
      </x:c>
      <x:c r="ET9" s="117" t="n">
        <x:f>SUM('CF_1'!ET15,'CF_2'!ET15,'CF_3'!ET15,'CF_4'!ET15)</x:f>
      </x:c>
      <x:c r="EU9" s="117" t="n">
        <x:f>SUM('CF_1'!EU15,'CF_2'!EU15,'CF_3'!EU15,'CF_4'!EU15)</x:f>
      </x:c>
      <x:c r="EV9" s="117" t="n">
        <x:f>SUM('CF_1'!EV15,'CF_2'!EV15,'CF_3'!EV15,'CF_4'!EV15)</x:f>
      </x:c>
      <x:c r="EW9" s="117" t="n">
        <x:f>SUM('CF_1'!EW15,'CF_2'!EW15,'CF_3'!EW15,'CF_4'!EW15)</x:f>
      </x:c>
      <x:c r="EX9" s="117" t="n">
        <x:f>SUM('CF_1'!EX15,'CF_2'!EX15,'CF_3'!EX15,'CF_4'!EX15)</x:f>
      </x:c>
      <x:c r="EY9" s="117" t="n">
        <x:f>SUM('CF_1'!EY15,'CF_2'!EY15,'CF_3'!EY15,'CF_4'!EY15)</x:f>
      </x:c>
      <x:c r="EZ9" s="117" t="n">
        <x:f>SUM('CF_1'!EZ15,'CF_2'!EZ15,'CF_3'!EZ15,'CF_4'!EZ15)</x:f>
      </x:c>
      <x:c r="FA9" s="117" t="n">
        <x:f>SUM('CF_1'!FA15,'CF_2'!FA15,'CF_3'!FA15,'CF_4'!FA15)</x:f>
      </x:c>
      <x:c r="FB9" s="117" t="n">
        <x:f>SUM('CF_1'!FB15,'CF_2'!FB15,'CF_3'!FB15,'CF_4'!FB15)</x:f>
      </x:c>
      <x:c r="FC9" s="117" t="n">
        <x:f>SUM('CF_1'!FC15,'CF_2'!FC15,'CF_3'!FC15,'CF_4'!FC15)</x:f>
      </x:c>
      <x:c r="FD9" s="117" t="n">
        <x:f>SUM('CF_1'!FD15,'CF_2'!FD15,'CF_3'!FD15,'CF_4'!FD15)</x:f>
      </x:c>
      <x:c r="FE9" s="117" t="n">
        <x:f>SUM('CF_1'!FE15,'CF_2'!FE15,'CF_3'!FE15,'CF_4'!FE15)</x:f>
      </x:c>
      <x:c r="FF9" s="117" t="n">
        <x:f>SUM('CF_1'!FF15,'CF_2'!FF15,'CF_3'!FF15,'CF_4'!FF15)</x:f>
      </x:c>
      <x:c r="FG9" s="117" t="n">
        <x:f>SUM('CF_1'!FG15,'CF_2'!FG15,'CF_3'!FG15,'CF_4'!FG15)</x:f>
      </x:c>
      <x:c r="FH9" s="117" t="n">
        <x:f>SUM('CF_1'!FH15,'CF_2'!FH15,'CF_3'!FH15,'CF_4'!FH15)</x:f>
      </x:c>
      <x:c r="FI9" s="117" t="n">
        <x:f>SUM('CF_1'!FI15,'CF_2'!FI15,'CF_3'!FI15,'CF_4'!FI15)</x:f>
      </x:c>
      <x:c r="FJ9" s="117" t="n">
        <x:f>SUM('CF_1'!FJ15,'CF_2'!FJ15,'CF_3'!FJ15,'CF_4'!FJ15)</x:f>
      </x:c>
      <x:c r="FK9" s="117" t="n">
        <x:f>SUM('CF_1'!FK15,'CF_2'!FK15,'CF_3'!FK15,'CF_4'!FK15)</x:f>
      </x:c>
      <x:c r="FL9" s="117" t="n">
        <x:f>SUM('CF_1'!FL15,'CF_2'!FL15,'CF_3'!FL15,'CF_4'!FL15)</x:f>
      </x:c>
      <x:c r="FM9" s="117" t="n">
        <x:f>SUM('CF_1'!FM15,'CF_2'!FM15,'CF_3'!FM15,'CF_4'!FM15)</x:f>
      </x:c>
      <x:c r="FN9" s="117" t="n">
        <x:f>SUM('CF_1'!FN15,'CF_2'!FN15,'CF_3'!FN15,'CF_4'!FN15)</x:f>
      </x:c>
      <x:c r="FO9" s="117" t="n">
        <x:f>SUM('CF_1'!FO15,'CF_2'!FO15,'CF_3'!FO15,'CF_4'!FO15)</x:f>
      </x:c>
      <x:c r="FP9" s="117" t="n">
        <x:f>SUM('CF_1'!FP15,'CF_2'!FP15,'CF_3'!FP15,'CF_4'!FP15)</x:f>
      </x:c>
      <x:c r="FQ9" s="117" t="n">
        <x:f>SUM('CF_1'!FQ15,'CF_2'!FQ15,'CF_3'!FQ15,'CF_4'!FQ15)</x:f>
      </x:c>
      <x:c r="FR9" s="117" t="n">
        <x:f>SUM('CF_1'!FR15,'CF_2'!FR15,'CF_3'!FR15,'CF_4'!FR15)</x:f>
      </x:c>
      <x:c r="FS9" s="117" t="n">
        <x:f>SUM('CF_1'!FS15,'CF_2'!FS15,'CF_3'!FS15,'CF_4'!FS15)</x:f>
      </x:c>
      <x:c r="FT9" s="117" t="n">
        <x:f>SUM('CF_1'!FT15,'CF_2'!FT15,'CF_3'!FT15,'CF_4'!FT15)</x:f>
      </x:c>
      <x:c r="FU9" s="117" t="n">
        <x:f>SUM('CF_1'!FU15,'CF_2'!FU15,'CF_3'!FU15,'CF_4'!FU15)</x:f>
      </x:c>
      <x:c r="FV9" s="117" t="n">
        <x:f>SUM('CF_1'!FV15,'CF_2'!FV15,'CF_3'!FV15,'CF_4'!FV15)</x:f>
      </x:c>
      <x:c r="FW9" s="117" t="n">
        <x:f>SUM('CF_1'!FW15,'CF_2'!FW15,'CF_3'!FW15,'CF_4'!FW15)</x:f>
      </x:c>
      <x:c r="FX9" s="117" t="n">
        <x:f>SUM('CF_1'!FX15,'CF_2'!FX15,'CF_3'!FX15,'CF_4'!FX15)</x:f>
      </x:c>
      <x:c r="FY9" s="117" t="n">
        <x:f>SUM('CF_1'!FY15,'CF_2'!FY15,'CF_3'!FY15,'CF_4'!FY15)</x:f>
      </x:c>
      <x:c r="FZ9" s="117" t="n">
        <x:f>SUM('CF_1'!FZ15,'CF_2'!FZ15,'CF_3'!FZ15,'CF_4'!FZ15)</x:f>
      </x:c>
      <x:c r="GA9" s="117" t="n">
        <x:f>SUM('CF_1'!GA15,'CF_2'!GA15,'CF_3'!GA15,'CF_4'!GA15)</x:f>
      </x:c>
    </x:row>
    <x:row r="10">
      <x:c r="D10" s="117"/>
      <x:c r="E10" s="117"/>
      <x:c r="F10" s="117"/>
      <x:c r="G10" s="117"/>
      <x:c r="H10" s="117"/>
      <x:c r="I10" s="117"/>
      <x:c r="J10" s="117"/>
      <x:c r="K10" s="117"/>
      <x:c r="L10" s="117"/>
      <x:c r="M10" s="117"/>
      <x:c r="N10" s="117"/>
      <x:c r="O10" s="117"/>
      <x:c r="P10" s="117"/>
      <x:c r="Q10" s="117"/>
      <x:c r="R10" s="117"/>
      <x:c r="S10" s="117"/>
      <x:c r="T10" s="117"/>
      <x:c r="U10" s="117"/>
      <x:c r="V10" s="117"/>
      <x:c r="W10" s="117"/>
      <x:c r="X10" s="117"/>
      <x:c r="Y10" s="117"/>
      <x:c r="Z10" s="117"/>
      <x:c r="AA10" s="117"/>
      <x:c r="AB10" s="117"/>
      <x:c r="AC10" s="117"/>
      <x:c r="AD10" s="117"/>
      <x:c r="AE10" s="117"/>
      <x:c r="AF10" s="117"/>
      <x:c r="AG10" s="117"/>
      <x:c r="AH10" s="117"/>
      <x:c r="AI10" s="117"/>
      <x:c r="AJ10" s="117"/>
      <x:c r="AK10" s="117"/>
      <x:c r="AL10" s="117"/>
      <x:c r="AM10" s="117"/>
      <x:c r="AN10" s="117"/>
      <x:c r="AO10" s="117"/>
      <x:c r="AP10" s="117"/>
      <x:c r="AQ10" s="117"/>
      <x:c r="AR10" s="117"/>
      <x:c r="AS10" s="117"/>
      <x:c r="AT10" s="117"/>
      <x:c r="AU10" s="117"/>
      <x:c r="AV10" s="117"/>
      <x:c r="AW10" s="117"/>
      <x:c r="AX10" s="117"/>
      <x:c r="AY10" s="117"/>
      <x:c r="AZ10" s="117"/>
      <x:c r="BA10" s="117"/>
      <x:c r="BB10" s="117"/>
      <x:c r="BC10" s="117"/>
      <x:c r="BD10" s="117"/>
      <x:c r="BE10" s="117"/>
      <x:c r="BF10" s="117"/>
      <x:c r="BG10" s="117"/>
      <x:c r="BH10" s="117"/>
      <x:c r="BI10" s="117"/>
      <x:c r="BJ10" s="117"/>
      <x:c r="BK10" s="117"/>
      <x:c r="BL10" s="117"/>
      <x:c r="BM10" s="117"/>
      <x:c r="BN10" s="117"/>
      <x:c r="BO10" s="117"/>
      <x:c r="BP10" s="117"/>
      <x:c r="BQ10" s="117"/>
      <x:c r="BR10" s="117"/>
      <x:c r="BS10" s="117"/>
      <x:c r="BT10" s="117"/>
      <x:c r="BU10" s="117"/>
      <x:c r="BV10" s="117"/>
      <x:c r="BW10" s="117"/>
      <x:c r="BX10" s="117"/>
      <x:c r="BY10" s="117"/>
      <x:c r="BZ10" s="117"/>
      <x:c r="CA10" s="117"/>
      <x:c r="CB10" s="117"/>
      <x:c r="CC10" s="117"/>
      <x:c r="CD10" s="117"/>
      <x:c r="CE10" s="117"/>
      <x:c r="CF10" s="117"/>
      <x:c r="CG10" s="117"/>
      <x:c r="CH10" s="117"/>
      <x:c r="CI10" s="117"/>
      <x:c r="CJ10" s="117"/>
      <x:c r="CK10" s="117"/>
      <x:c r="CL10" s="117"/>
      <x:c r="CM10" s="117"/>
      <x:c r="CN10" s="117"/>
      <x:c r="CO10" s="117"/>
      <x:c r="CP10" s="117"/>
      <x:c r="CQ10" s="117"/>
      <x:c r="CR10" s="117"/>
      <x:c r="CS10" s="117"/>
      <x:c r="CT10" s="117"/>
      <x:c r="CU10" s="117"/>
      <x:c r="CV10" s="117"/>
      <x:c r="CW10" s="117"/>
      <x:c r="CX10" s="117"/>
      <x:c r="CY10" s="117"/>
      <x:c r="CZ10" s="117"/>
      <x:c r="DA10" s="117"/>
      <x:c r="DB10" s="117"/>
      <x:c r="DC10" s="117"/>
      <x:c r="DD10" s="117"/>
      <x:c r="DE10" s="117"/>
      <x:c r="DF10" s="117"/>
      <x:c r="DG10" s="117"/>
      <x:c r="DH10" s="117"/>
      <x:c r="DI10" s="117"/>
      <x:c r="DJ10" s="117"/>
      <x:c r="DK10" s="117"/>
      <x:c r="DL10" s="117"/>
      <x:c r="DM10" s="117"/>
      <x:c r="DN10" s="117"/>
      <x:c r="DO10" s="117"/>
      <x:c r="DP10" s="117"/>
      <x:c r="DQ10" s="117"/>
      <x:c r="DR10" s="117"/>
      <x:c r="DS10" s="117"/>
      <x:c r="DT10" s="117"/>
      <x:c r="DU10" s="117"/>
      <x:c r="DV10" s="117"/>
      <x:c r="DW10" s="117"/>
      <x:c r="DX10" s="117"/>
      <x:c r="DY10" s="117"/>
      <x:c r="DZ10" s="117"/>
      <x:c r="EA10" s="117"/>
      <x:c r="EB10" s="117"/>
      <x:c r="EC10" s="117"/>
      <x:c r="ED10" s="117"/>
      <x:c r="EE10" s="117"/>
      <x:c r="EF10" s="117"/>
      <x:c r="EG10" s="117"/>
      <x:c r="EH10" s="117"/>
      <x:c r="EI10" s="117"/>
      <x:c r="EJ10" s="117"/>
      <x:c r="EK10" s="117"/>
      <x:c r="EL10" s="117"/>
      <x:c r="EM10" s="117"/>
      <x:c r="EN10" s="117"/>
      <x:c r="EO10" s="117"/>
      <x:c r="EP10" s="117"/>
      <x:c r="EQ10" s="117"/>
      <x:c r="ER10" s="117"/>
      <x:c r="ES10" s="117"/>
      <x:c r="ET10" s="117"/>
      <x:c r="EU10" s="117"/>
      <x:c r="EV10" s="117"/>
      <x:c r="EW10" s="117"/>
      <x:c r="EX10" s="117"/>
      <x:c r="EY10" s="117"/>
      <x:c r="EZ10" s="117"/>
      <x:c r="FA10" s="117"/>
      <x:c r="FB10" s="117"/>
      <x:c r="FC10" s="117"/>
      <x:c r="FD10" s="117"/>
      <x:c r="FE10" s="117"/>
      <x:c r="FF10" s="117"/>
      <x:c r="FG10" s="117"/>
      <x:c r="FH10" s="117"/>
      <x:c r="FI10" s="117"/>
      <x:c r="FJ10" s="117"/>
      <x:c r="FK10" s="117"/>
      <x:c r="FL10" s="117"/>
      <x:c r="FM10" s="117"/>
      <x:c r="FN10" s="117"/>
      <x:c r="FO10" s="117"/>
      <x:c r="FP10" s="117"/>
      <x:c r="FQ10" s="117"/>
      <x:c r="FR10" s="117"/>
      <x:c r="FS10" s="117"/>
      <x:c r="FT10" s="117"/>
      <x:c r="FU10" s="117"/>
      <x:c r="FV10" s="117"/>
      <x:c r="FW10" s="117"/>
      <x:c r="FX10" s="117"/>
      <x:c r="FY10" s="117"/>
      <x:c r="FZ10" s="117"/>
      <x:c r="GA10" s="117"/>
    </x:row>
    <x:row r="11">
      <x:c r="A11" t="str">
        <x:v>CAPEX</x:v>
      </x:c>
      <x:c r="B11" t="n">
        <x:f>SUM(D11:GA11)</x:f>
      </x:c>
      <x:c r="C11" t="str">
        <x:v>млн ₽</x:v>
      </x:c>
      <x:c r="D11" s="117" t="n">
        <x:f>SUM('CF_1'!D17,'CF_2'!D17,'CF_3'!D17,'CF_4'!D17)</x:f>
      </x:c>
      <x:c r="E11" s="117" t="n">
        <x:f>SUM('CF_1'!E17,'CF_2'!E17,'CF_3'!E17,'CF_4'!E17)</x:f>
      </x:c>
      <x:c r="F11" s="117" t="n">
        <x:f>SUM('CF_1'!F17,'CF_2'!F17,'CF_3'!F17,'CF_4'!F17)</x:f>
      </x:c>
      <x:c r="G11" s="117" t="n">
        <x:f>SUM('CF_1'!G17,'CF_2'!G17,'CF_3'!G17,'CF_4'!G17)</x:f>
      </x:c>
      <x:c r="H11" s="117" t="n">
        <x:f>SUM('CF_1'!H17,'CF_2'!H17,'CF_3'!H17,'CF_4'!H17)</x:f>
      </x:c>
      <x:c r="I11" s="117" t="n">
        <x:f>SUM('CF_1'!I17,'CF_2'!I17,'CF_3'!I17,'CF_4'!I17)</x:f>
      </x:c>
      <x:c r="J11" s="117" t="n">
        <x:f>SUM('CF_1'!J17,'CF_2'!J17,'CF_3'!J17,'CF_4'!J17)</x:f>
      </x:c>
      <x:c r="K11" s="117" t="n">
        <x:f>SUM('CF_1'!K17,'CF_2'!K17,'CF_3'!K17,'CF_4'!K17)</x:f>
      </x:c>
      <x:c r="L11" s="117" t="n">
        <x:f>SUM('CF_1'!L17,'CF_2'!L17,'CF_3'!L17,'CF_4'!L17)</x:f>
      </x:c>
      <x:c r="M11" s="117" t="n">
        <x:f>SUM('CF_1'!M17,'CF_2'!M17,'CF_3'!M17,'CF_4'!M17)</x:f>
      </x:c>
      <x:c r="N11" s="117" t="n">
        <x:f>SUM('CF_1'!N17,'CF_2'!N17,'CF_3'!N17,'CF_4'!N17)</x:f>
      </x:c>
      <x:c r="O11" s="117" t="n">
        <x:f>SUM('CF_1'!O17,'CF_2'!O17,'CF_3'!O17,'CF_4'!O17)</x:f>
      </x:c>
      <x:c r="P11" s="117" t="n">
        <x:f>SUM('CF_1'!P17,'CF_2'!P17,'CF_3'!P17,'CF_4'!P17)</x:f>
      </x:c>
      <x:c r="Q11" s="117" t="n">
        <x:f>SUM('CF_1'!Q17,'CF_2'!Q17,'CF_3'!Q17,'CF_4'!Q17)</x:f>
      </x:c>
      <x:c r="R11" s="117" t="n">
        <x:f>SUM('CF_1'!R17,'CF_2'!R17,'CF_3'!R17,'CF_4'!R17)</x:f>
      </x:c>
      <x:c r="S11" s="117" t="n">
        <x:f>SUM('CF_1'!S17,'CF_2'!S17,'CF_3'!S17,'CF_4'!S17)</x:f>
      </x:c>
      <x:c r="T11" s="117" t="n">
        <x:f>SUM('CF_1'!T17,'CF_2'!T17,'CF_3'!T17,'CF_4'!T17)</x:f>
      </x:c>
      <x:c r="U11" s="117" t="n">
        <x:f>SUM('CF_1'!U17,'CF_2'!U17,'CF_3'!U17,'CF_4'!U17)</x:f>
      </x:c>
      <x:c r="V11" s="117" t="n">
        <x:f>SUM('CF_1'!V17,'CF_2'!V17,'CF_3'!V17,'CF_4'!V17)</x:f>
      </x:c>
      <x:c r="W11" s="117" t="n">
        <x:f>SUM('CF_1'!W17,'CF_2'!W17,'CF_3'!W17,'CF_4'!W17)</x:f>
      </x:c>
      <x:c r="X11" s="117" t="n">
        <x:f>SUM('CF_1'!X17,'CF_2'!X17,'CF_3'!X17,'CF_4'!X17)</x:f>
      </x:c>
      <x:c r="Y11" s="117" t="n">
        <x:f>SUM('CF_1'!Y17,'CF_2'!Y17,'CF_3'!Y17,'CF_4'!Y17)</x:f>
      </x:c>
      <x:c r="Z11" s="117" t="n">
        <x:f>SUM('CF_1'!Z17,'CF_2'!Z17,'CF_3'!Z17,'CF_4'!Z17)</x:f>
      </x:c>
      <x:c r="AA11" s="117" t="n">
        <x:f>SUM('CF_1'!AA17,'CF_2'!AA17,'CF_3'!AA17,'CF_4'!AA17)</x:f>
      </x:c>
      <x:c r="AB11" s="117" t="n">
        <x:f>SUM('CF_1'!AB17,'CF_2'!AB17,'CF_3'!AB17,'CF_4'!AB17)</x:f>
      </x:c>
      <x:c r="AC11" s="117" t="n">
        <x:f>SUM('CF_1'!AC17,'CF_2'!AC17,'CF_3'!AC17,'CF_4'!AC17)</x:f>
      </x:c>
      <x:c r="AD11" s="117" t="n">
        <x:f>SUM('CF_1'!AD17,'CF_2'!AD17,'CF_3'!AD17,'CF_4'!AD17)</x:f>
      </x:c>
      <x:c r="AE11" s="117" t="n">
        <x:f>SUM('CF_1'!AE17,'CF_2'!AE17,'CF_3'!AE17,'CF_4'!AE17)</x:f>
      </x:c>
      <x:c r="AF11" s="117" t="n">
        <x:f>SUM('CF_1'!AF17,'CF_2'!AF17,'CF_3'!AF17,'CF_4'!AF17)</x:f>
      </x:c>
      <x:c r="AG11" s="117" t="n">
        <x:f>SUM('CF_1'!AG17,'CF_2'!AG17,'CF_3'!AG17,'CF_4'!AG17)</x:f>
      </x:c>
      <x:c r="AH11" s="117" t="n">
        <x:f>SUM('CF_1'!AH17,'CF_2'!AH17,'CF_3'!AH17,'CF_4'!AH17)</x:f>
      </x:c>
      <x:c r="AI11" s="117" t="n">
        <x:f>SUM('CF_1'!AI17,'CF_2'!AI17,'CF_3'!AI17,'CF_4'!AI17)</x:f>
      </x:c>
      <x:c r="AJ11" s="117" t="n">
        <x:f>SUM('CF_1'!AJ17,'CF_2'!AJ17,'CF_3'!AJ17,'CF_4'!AJ17)</x:f>
      </x:c>
      <x:c r="AK11" s="117" t="n">
        <x:f>SUM('CF_1'!AK17,'CF_2'!AK17,'CF_3'!AK17,'CF_4'!AK17)</x:f>
      </x:c>
      <x:c r="AL11" s="117" t="n">
        <x:f>SUM('CF_1'!AL17,'CF_2'!AL17,'CF_3'!AL17,'CF_4'!AL17)</x:f>
      </x:c>
      <x:c r="AM11" s="117" t="n">
        <x:f>SUM('CF_1'!AM17,'CF_2'!AM17,'CF_3'!AM17,'CF_4'!AM17)</x:f>
      </x:c>
      <x:c r="AN11" s="117" t="n">
        <x:f>SUM('CF_1'!AN17,'CF_2'!AN17,'CF_3'!AN17,'CF_4'!AN17)</x:f>
      </x:c>
      <x:c r="AO11" s="117" t="n">
        <x:f>SUM('CF_1'!AO17,'CF_2'!AO17,'CF_3'!AO17,'CF_4'!AO17)</x:f>
      </x:c>
      <x:c r="AP11" s="117" t="n">
        <x:f>SUM('CF_1'!AP17,'CF_2'!AP17,'CF_3'!AP17,'CF_4'!AP17)</x:f>
      </x:c>
      <x:c r="AQ11" s="117" t="n">
        <x:f>SUM('CF_1'!AQ17,'CF_2'!AQ17,'CF_3'!AQ17,'CF_4'!AQ17)</x:f>
      </x:c>
      <x:c r="AR11" s="117" t="n">
        <x:f>SUM('CF_1'!AR17,'CF_2'!AR17,'CF_3'!AR17,'CF_4'!AR17)</x:f>
      </x:c>
      <x:c r="AS11" s="117" t="n">
        <x:f>SUM('CF_1'!AS17,'CF_2'!AS17,'CF_3'!AS17,'CF_4'!AS17)</x:f>
      </x:c>
      <x:c r="AT11" s="117" t="n">
        <x:f>SUM('CF_1'!AT17,'CF_2'!AT17,'CF_3'!AT17,'CF_4'!AT17)</x:f>
      </x:c>
      <x:c r="AU11" s="117" t="n">
        <x:f>SUM('CF_1'!AU17,'CF_2'!AU17,'CF_3'!AU17,'CF_4'!AU17)</x:f>
      </x:c>
      <x:c r="AV11" s="117" t="n">
        <x:f>SUM('CF_1'!AV17,'CF_2'!AV17,'CF_3'!AV17,'CF_4'!AV17)</x:f>
      </x:c>
      <x:c r="AW11" s="117" t="n">
        <x:f>SUM('CF_1'!AW17,'CF_2'!AW17,'CF_3'!AW17,'CF_4'!AW17)</x:f>
      </x:c>
      <x:c r="AX11" s="117" t="n">
        <x:f>SUM('CF_1'!AX17,'CF_2'!AX17,'CF_3'!AX17,'CF_4'!AX17)</x:f>
      </x:c>
      <x:c r="AY11" s="117" t="n">
        <x:f>SUM('CF_1'!AY17,'CF_2'!AY17,'CF_3'!AY17,'CF_4'!AY17)</x:f>
      </x:c>
      <x:c r="AZ11" s="117" t="n">
        <x:f>SUM('CF_1'!AZ17,'CF_2'!AZ17,'CF_3'!AZ17,'CF_4'!AZ17)</x:f>
      </x:c>
      <x:c r="BA11" s="117" t="n">
        <x:f>SUM('CF_1'!BA17,'CF_2'!BA17,'CF_3'!BA17,'CF_4'!BA17)</x:f>
      </x:c>
      <x:c r="BB11" s="117" t="n">
        <x:f>SUM('CF_1'!BB17,'CF_2'!BB17,'CF_3'!BB17,'CF_4'!BB17)</x:f>
      </x:c>
      <x:c r="BC11" s="117" t="n">
        <x:f>SUM('CF_1'!BC17,'CF_2'!BC17,'CF_3'!BC17,'CF_4'!BC17)</x:f>
      </x:c>
      <x:c r="BD11" s="117" t="n">
        <x:f>SUM('CF_1'!BD17,'CF_2'!BD17,'CF_3'!BD17,'CF_4'!BD17)</x:f>
      </x:c>
      <x:c r="BE11" s="117" t="n">
        <x:f>SUM('CF_1'!BE17,'CF_2'!BE17,'CF_3'!BE17,'CF_4'!BE17)</x:f>
      </x:c>
      <x:c r="BF11" s="117" t="n">
        <x:f>SUM('CF_1'!BF17,'CF_2'!BF17,'CF_3'!BF17,'CF_4'!BF17)</x:f>
      </x:c>
      <x:c r="BG11" s="117" t="n">
        <x:f>SUM('CF_1'!BG17,'CF_2'!BG17,'CF_3'!BG17,'CF_4'!BG17)</x:f>
      </x:c>
      <x:c r="BH11" s="117" t="n">
        <x:f>SUM('CF_1'!BH17,'CF_2'!BH17,'CF_3'!BH17,'CF_4'!BH17)</x:f>
      </x:c>
      <x:c r="BI11" s="117" t="n">
        <x:f>SUM('CF_1'!BI17,'CF_2'!BI17,'CF_3'!BI17,'CF_4'!BI17)</x:f>
      </x:c>
      <x:c r="BJ11" s="117" t="n">
        <x:f>SUM('CF_1'!BJ17,'CF_2'!BJ17,'CF_3'!BJ17,'CF_4'!BJ17)</x:f>
      </x:c>
      <x:c r="BK11" s="117" t="n">
        <x:f>SUM('CF_1'!BK17,'CF_2'!BK17,'CF_3'!BK17,'CF_4'!BK17)</x:f>
      </x:c>
      <x:c r="BL11" s="117" t="n">
        <x:f>SUM('CF_1'!BL17,'CF_2'!BL17,'CF_3'!BL17,'CF_4'!BL17)</x:f>
      </x:c>
      <x:c r="BM11" s="117" t="n">
        <x:f>SUM('CF_1'!BM17,'CF_2'!BM17,'CF_3'!BM17,'CF_4'!BM17)</x:f>
      </x:c>
      <x:c r="BN11" s="117" t="n">
        <x:f>SUM('CF_1'!BN17,'CF_2'!BN17,'CF_3'!BN17,'CF_4'!BN17)</x:f>
      </x:c>
      <x:c r="BO11" s="117" t="n">
        <x:f>SUM('CF_1'!BO17,'CF_2'!BO17,'CF_3'!BO17,'CF_4'!BO17)</x:f>
      </x:c>
      <x:c r="BP11" s="117" t="n">
        <x:f>SUM('CF_1'!BP17,'CF_2'!BP17,'CF_3'!BP17,'CF_4'!BP17)</x:f>
      </x:c>
      <x:c r="BQ11" s="117" t="n">
        <x:f>SUM('CF_1'!BQ17,'CF_2'!BQ17,'CF_3'!BQ17,'CF_4'!BQ17)</x:f>
      </x:c>
      <x:c r="BR11" s="117" t="n">
        <x:f>SUM('CF_1'!BR17,'CF_2'!BR17,'CF_3'!BR17,'CF_4'!BR17)</x:f>
      </x:c>
      <x:c r="BS11" s="117" t="n">
        <x:f>SUM('CF_1'!BS17,'CF_2'!BS17,'CF_3'!BS17,'CF_4'!BS17)</x:f>
      </x:c>
      <x:c r="BT11" s="117" t="n">
        <x:f>SUM('CF_1'!BT17,'CF_2'!BT17,'CF_3'!BT17,'CF_4'!BT17)</x:f>
      </x:c>
      <x:c r="BU11" s="117" t="n">
        <x:f>SUM('CF_1'!BU17,'CF_2'!BU17,'CF_3'!BU17,'CF_4'!BU17)</x:f>
      </x:c>
      <x:c r="BV11" s="117" t="n">
        <x:f>SUM('CF_1'!BV17,'CF_2'!BV17,'CF_3'!BV17,'CF_4'!BV17)</x:f>
      </x:c>
      <x:c r="BW11" s="117" t="n">
        <x:f>SUM('CF_1'!BW17,'CF_2'!BW17,'CF_3'!BW17,'CF_4'!BW17)</x:f>
      </x:c>
      <x:c r="BX11" s="117" t="n">
        <x:f>SUM('CF_1'!BX17,'CF_2'!BX17,'CF_3'!BX17,'CF_4'!BX17)</x:f>
      </x:c>
      <x:c r="BY11" s="117" t="n">
        <x:f>SUM('CF_1'!BY17,'CF_2'!BY17,'CF_3'!BY17,'CF_4'!BY17)</x:f>
      </x:c>
      <x:c r="BZ11" s="117" t="n">
        <x:f>SUM('CF_1'!BZ17,'CF_2'!BZ17,'CF_3'!BZ17,'CF_4'!BZ17)</x:f>
      </x:c>
      <x:c r="CA11" s="117" t="n">
        <x:f>SUM('CF_1'!CA17,'CF_2'!CA17,'CF_3'!CA17,'CF_4'!CA17)</x:f>
      </x:c>
      <x:c r="CB11" s="117" t="n">
        <x:f>SUM('CF_1'!CB17,'CF_2'!CB17,'CF_3'!CB17,'CF_4'!CB17)</x:f>
      </x:c>
      <x:c r="CC11" s="117" t="n">
        <x:f>SUM('CF_1'!CC17,'CF_2'!CC17,'CF_3'!CC17,'CF_4'!CC17)</x:f>
      </x:c>
      <x:c r="CD11" s="117" t="n">
        <x:f>SUM('CF_1'!CD17,'CF_2'!CD17,'CF_3'!CD17,'CF_4'!CD17)</x:f>
      </x:c>
      <x:c r="CE11" s="117" t="n">
        <x:f>SUM('CF_1'!CE17,'CF_2'!CE17,'CF_3'!CE17,'CF_4'!CE17)</x:f>
      </x:c>
      <x:c r="CF11" s="117" t="n">
        <x:f>SUM('CF_1'!CF17,'CF_2'!CF17,'CF_3'!CF17,'CF_4'!CF17)</x:f>
      </x:c>
      <x:c r="CG11" s="117" t="n">
        <x:f>SUM('CF_1'!CG17,'CF_2'!CG17,'CF_3'!CG17,'CF_4'!CG17)</x:f>
      </x:c>
      <x:c r="CH11" s="117" t="n">
        <x:f>SUM('CF_1'!CH17,'CF_2'!CH17,'CF_3'!CH17,'CF_4'!CH17)</x:f>
      </x:c>
      <x:c r="CI11" s="117" t="n">
        <x:f>SUM('CF_1'!CI17,'CF_2'!CI17,'CF_3'!CI17,'CF_4'!CI17)</x:f>
      </x:c>
      <x:c r="CJ11" s="117" t="n">
        <x:f>SUM('CF_1'!CJ17,'CF_2'!CJ17,'CF_3'!CJ17,'CF_4'!CJ17)</x:f>
      </x:c>
      <x:c r="CK11" s="117" t="n">
        <x:f>SUM('CF_1'!CK17,'CF_2'!CK17,'CF_3'!CK17,'CF_4'!CK17)</x:f>
      </x:c>
      <x:c r="CL11" s="117" t="n">
        <x:f>SUM('CF_1'!CL17,'CF_2'!CL17,'CF_3'!CL17,'CF_4'!CL17)</x:f>
      </x:c>
      <x:c r="CM11" s="117" t="n">
        <x:f>SUM('CF_1'!CM17,'CF_2'!CM17,'CF_3'!CM17,'CF_4'!CM17)</x:f>
      </x:c>
      <x:c r="CN11" s="117" t="n">
        <x:f>SUM('CF_1'!CN17,'CF_2'!CN17,'CF_3'!CN17,'CF_4'!CN17)</x:f>
      </x:c>
      <x:c r="CO11" s="117" t="n">
        <x:f>SUM('CF_1'!CO17,'CF_2'!CO17,'CF_3'!CO17,'CF_4'!CO17)</x:f>
      </x:c>
      <x:c r="CP11" s="117" t="n">
        <x:f>SUM('CF_1'!CP17,'CF_2'!CP17,'CF_3'!CP17,'CF_4'!CP17)</x:f>
      </x:c>
      <x:c r="CQ11" s="117" t="n">
        <x:f>SUM('CF_1'!CQ17,'CF_2'!CQ17,'CF_3'!CQ17,'CF_4'!CQ17)</x:f>
      </x:c>
      <x:c r="CR11" s="117" t="n">
        <x:f>SUM('CF_1'!CR17,'CF_2'!CR17,'CF_3'!CR17,'CF_4'!CR17)</x:f>
      </x:c>
      <x:c r="CS11" s="117" t="n">
        <x:f>SUM('CF_1'!CS17,'CF_2'!CS17,'CF_3'!CS17,'CF_4'!CS17)</x:f>
      </x:c>
      <x:c r="CT11" s="117" t="n">
        <x:f>SUM('CF_1'!CT17,'CF_2'!CT17,'CF_3'!CT17,'CF_4'!CT17)</x:f>
      </x:c>
      <x:c r="CU11" s="117" t="n">
        <x:f>SUM('CF_1'!CU17,'CF_2'!CU17,'CF_3'!CU17,'CF_4'!CU17)</x:f>
      </x:c>
      <x:c r="CV11" s="117" t="n">
        <x:f>SUM('CF_1'!CV17,'CF_2'!CV17,'CF_3'!CV17,'CF_4'!CV17)</x:f>
      </x:c>
      <x:c r="CW11" s="117" t="n">
        <x:f>SUM('CF_1'!CW17,'CF_2'!CW17,'CF_3'!CW17,'CF_4'!CW17)</x:f>
      </x:c>
      <x:c r="CX11" s="117" t="n">
        <x:f>SUM('CF_1'!CX17,'CF_2'!CX17,'CF_3'!CX17,'CF_4'!CX17)</x:f>
      </x:c>
      <x:c r="CY11" s="117" t="n">
        <x:f>SUM('CF_1'!CY17,'CF_2'!CY17,'CF_3'!CY17,'CF_4'!CY17)</x:f>
      </x:c>
      <x:c r="CZ11" s="117" t="n">
        <x:f>SUM('CF_1'!CZ17,'CF_2'!CZ17,'CF_3'!CZ17,'CF_4'!CZ17)</x:f>
      </x:c>
      <x:c r="DA11" s="117" t="n">
        <x:f>SUM('CF_1'!DA17,'CF_2'!DA17,'CF_3'!DA17,'CF_4'!DA17)</x:f>
      </x:c>
      <x:c r="DB11" s="117" t="n">
        <x:f>SUM('CF_1'!DB17,'CF_2'!DB17,'CF_3'!DB17,'CF_4'!DB17)</x:f>
      </x:c>
      <x:c r="DC11" s="117" t="n">
        <x:f>SUM('CF_1'!DC17,'CF_2'!DC17,'CF_3'!DC17,'CF_4'!DC17)</x:f>
      </x:c>
      <x:c r="DD11" s="117" t="n">
        <x:f>SUM('CF_1'!DD17,'CF_2'!DD17,'CF_3'!DD17,'CF_4'!DD17)</x:f>
      </x:c>
      <x:c r="DE11" s="117" t="n">
        <x:f>SUM('CF_1'!DE17,'CF_2'!DE17,'CF_3'!DE17,'CF_4'!DE17)</x:f>
      </x:c>
      <x:c r="DF11" s="117" t="n">
        <x:f>SUM('CF_1'!DF17,'CF_2'!DF17,'CF_3'!DF17,'CF_4'!DF17)</x:f>
      </x:c>
      <x:c r="DG11" s="117" t="n">
        <x:f>SUM('CF_1'!DG17,'CF_2'!DG17,'CF_3'!DG17,'CF_4'!DG17)</x:f>
      </x:c>
      <x:c r="DH11" s="117" t="n">
        <x:f>SUM('CF_1'!DH17,'CF_2'!DH17,'CF_3'!DH17,'CF_4'!DH17)</x:f>
      </x:c>
      <x:c r="DI11" s="117" t="n">
        <x:f>SUM('CF_1'!DI17,'CF_2'!DI17,'CF_3'!DI17,'CF_4'!DI17)</x:f>
      </x:c>
      <x:c r="DJ11" s="117" t="n">
        <x:f>SUM('CF_1'!DJ17,'CF_2'!DJ17,'CF_3'!DJ17,'CF_4'!DJ17)</x:f>
      </x:c>
      <x:c r="DK11" s="117" t="n">
        <x:f>SUM('CF_1'!DK17,'CF_2'!DK17,'CF_3'!DK17,'CF_4'!DK17)</x:f>
      </x:c>
      <x:c r="DL11" s="117" t="n">
        <x:f>SUM('CF_1'!DL17,'CF_2'!DL17,'CF_3'!DL17,'CF_4'!DL17)</x:f>
      </x:c>
      <x:c r="DM11" s="117" t="n">
        <x:f>SUM('CF_1'!DM17,'CF_2'!DM17,'CF_3'!DM17,'CF_4'!DM17)</x:f>
      </x:c>
      <x:c r="DN11" s="117" t="n">
        <x:f>SUM('CF_1'!DN17,'CF_2'!DN17,'CF_3'!DN17,'CF_4'!DN17)</x:f>
      </x:c>
      <x:c r="DO11" s="117" t="n">
        <x:f>SUM('CF_1'!DO17,'CF_2'!DO17,'CF_3'!DO17,'CF_4'!DO17)</x:f>
      </x:c>
      <x:c r="DP11" s="117" t="n">
        <x:f>SUM('CF_1'!DP17,'CF_2'!DP17,'CF_3'!DP17,'CF_4'!DP17)</x:f>
      </x:c>
      <x:c r="DQ11" s="117" t="n">
        <x:f>SUM('CF_1'!DQ17,'CF_2'!DQ17,'CF_3'!DQ17,'CF_4'!DQ17)</x:f>
      </x:c>
      <x:c r="DR11" s="117" t="n">
        <x:f>SUM('CF_1'!DR17,'CF_2'!DR17,'CF_3'!DR17,'CF_4'!DR17)</x:f>
      </x:c>
      <x:c r="DS11" s="117" t="n">
        <x:f>SUM('CF_1'!DS17,'CF_2'!DS17,'CF_3'!DS17,'CF_4'!DS17)</x:f>
      </x:c>
      <x:c r="DT11" s="117" t="n">
        <x:f>SUM('CF_1'!DT17,'CF_2'!DT17,'CF_3'!DT17,'CF_4'!DT17)</x:f>
      </x:c>
      <x:c r="DU11" s="117" t="n">
        <x:f>SUM('CF_1'!DU17,'CF_2'!DU17,'CF_3'!DU17,'CF_4'!DU17)</x:f>
      </x:c>
      <x:c r="DV11" s="117" t="n">
        <x:f>SUM('CF_1'!DV17,'CF_2'!DV17,'CF_3'!DV17,'CF_4'!DV17)</x:f>
      </x:c>
      <x:c r="DW11" s="117" t="n">
        <x:f>SUM('CF_1'!DW17,'CF_2'!DW17,'CF_3'!DW17,'CF_4'!DW17)</x:f>
      </x:c>
      <x:c r="DX11" s="117" t="n">
        <x:f>SUM('CF_1'!DX17,'CF_2'!DX17,'CF_3'!DX17,'CF_4'!DX17)</x:f>
      </x:c>
      <x:c r="DY11" s="117" t="n">
        <x:f>SUM('CF_1'!DY17,'CF_2'!DY17,'CF_3'!DY17,'CF_4'!DY17)</x:f>
      </x:c>
      <x:c r="DZ11" s="117" t="n">
        <x:f>SUM('CF_1'!DZ17,'CF_2'!DZ17,'CF_3'!DZ17,'CF_4'!DZ17)</x:f>
      </x:c>
      <x:c r="EA11" s="117" t="n">
        <x:f>SUM('CF_1'!EA17,'CF_2'!EA17,'CF_3'!EA17,'CF_4'!EA17)</x:f>
      </x:c>
      <x:c r="EB11" s="117" t="n">
        <x:f>SUM('CF_1'!EB17,'CF_2'!EB17,'CF_3'!EB17,'CF_4'!EB17)</x:f>
      </x:c>
      <x:c r="EC11" s="117" t="n">
        <x:f>SUM('CF_1'!EC17,'CF_2'!EC17,'CF_3'!EC17,'CF_4'!EC17)</x:f>
      </x:c>
      <x:c r="ED11" s="117" t="n">
        <x:f>SUM('CF_1'!ED17,'CF_2'!ED17,'CF_3'!ED17,'CF_4'!ED17)</x:f>
      </x:c>
      <x:c r="EE11" s="117" t="n">
        <x:f>SUM('CF_1'!EE17,'CF_2'!EE17,'CF_3'!EE17,'CF_4'!EE17)</x:f>
      </x:c>
      <x:c r="EF11" s="117" t="n">
        <x:f>SUM('CF_1'!EF17,'CF_2'!EF17,'CF_3'!EF17,'CF_4'!EF17)</x:f>
      </x:c>
      <x:c r="EG11" s="117" t="n">
        <x:f>SUM('CF_1'!EG17,'CF_2'!EG17,'CF_3'!EG17,'CF_4'!EG17)</x:f>
      </x:c>
      <x:c r="EH11" s="117" t="n">
        <x:f>SUM('CF_1'!EH17,'CF_2'!EH17,'CF_3'!EH17,'CF_4'!EH17)</x:f>
      </x:c>
      <x:c r="EI11" s="117" t="n">
        <x:f>SUM('CF_1'!EI17,'CF_2'!EI17,'CF_3'!EI17,'CF_4'!EI17)</x:f>
      </x:c>
      <x:c r="EJ11" s="117" t="n">
        <x:f>SUM('CF_1'!EJ17,'CF_2'!EJ17,'CF_3'!EJ17,'CF_4'!EJ17)</x:f>
      </x:c>
      <x:c r="EK11" s="117" t="n">
        <x:f>SUM('CF_1'!EK17,'CF_2'!EK17,'CF_3'!EK17,'CF_4'!EK17)</x:f>
      </x:c>
      <x:c r="EL11" s="117" t="n">
        <x:f>SUM('CF_1'!EL17,'CF_2'!EL17,'CF_3'!EL17,'CF_4'!EL17)</x:f>
      </x:c>
      <x:c r="EM11" s="117" t="n">
        <x:f>SUM('CF_1'!EM17,'CF_2'!EM17,'CF_3'!EM17,'CF_4'!EM17)</x:f>
      </x:c>
      <x:c r="EN11" s="117" t="n">
        <x:f>SUM('CF_1'!EN17,'CF_2'!EN17,'CF_3'!EN17,'CF_4'!EN17)</x:f>
      </x:c>
      <x:c r="EO11" s="117" t="n">
        <x:f>SUM('CF_1'!EO17,'CF_2'!EO17,'CF_3'!EO17,'CF_4'!EO17)</x:f>
      </x:c>
      <x:c r="EP11" s="117" t="n">
        <x:f>SUM('CF_1'!EP17,'CF_2'!EP17,'CF_3'!EP17,'CF_4'!EP17)</x:f>
      </x:c>
      <x:c r="EQ11" s="117" t="n">
        <x:f>SUM('CF_1'!EQ17,'CF_2'!EQ17,'CF_3'!EQ17,'CF_4'!EQ17)</x:f>
      </x:c>
      <x:c r="ER11" s="117" t="n">
        <x:f>SUM('CF_1'!ER17,'CF_2'!ER17,'CF_3'!ER17,'CF_4'!ER17)</x:f>
      </x:c>
      <x:c r="ES11" s="117" t="n">
        <x:f>SUM('CF_1'!ES17,'CF_2'!ES17,'CF_3'!ES17,'CF_4'!ES17)</x:f>
      </x:c>
      <x:c r="ET11" s="117" t="n">
        <x:f>SUM('CF_1'!ET17,'CF_2'!ET17,'CF_3'!ET17,'CF_4'!ET17)</x:f>
      </x:c>
      <x:c r="EU11" s="117" t="n">
        <x:f>SUM('CF_1'!EU17,'CF_2'!EU17,'CF_3'!EU17,'CF_4'!EU17)</x:f>
      </x:c>
      <x:c r="EV11" s="117" t="n">
        <x:f>SUM('CF_1'!EV17,'CF_2'!EV17,'CF_3'!EV17,'CF_4'!EV17)</x:f>
      </x:c>
      <x:c r="EW11" s="117" t="n">
        <x:f>SUM('CF_1'!EW17,'CF_2'!EW17,'CF_3'!EW17,'CF_4'!EW17)</x:f>
      </x:c>
      <x:c r="EX11" s="117" t="n">
        <x:f>SUM('CF_1'!EX17,'CF_2'!EX17,'CF_3'!EX17,'CF_4'!EX17)</x:f>
      </x:c>
      <x:c r="EY11" s="117" t="n">
        <x:f>SUM('CF_1'!EY17,'CF_2'!EY17,'CF_3'!EY17,'CF_4'!EY17)</x:f>
      </x:c>
      <x:c r="EZ11" s="117" t="n">
        <x:f>SUM('CF_1'!EZ17,'CF_2'!EZ17,'CF_3'!EZ17,'CF_4'!EZ17)</x:f>
      </x:c>
      <x:c r="FA11" s="117" t="n">
        <x:f>SUM('CF_1'!FA17,'CF_2'!FA17,'CF_3'!FA17,'CF_4'!FA17)</x:f>
      </x:c>
      <x:c r="FB11" s="117" t="n">
        <x:f>SUM('CF_1'!FB17,'CF_2'!FB17,'CF_3'!FB17,'CF_4'!FB17)</x:f>
      </x:c>
      <x:c r="FC11" s="117" t="n">
        <x:f>SUM('CF_1'!FC17,'CF_2'!FC17,'CF_3'!FC17,'CF_4'!FC17)</x:f>
      </x:c>
      <x:c r="FD11" s="117" t="n">
        <x:f>SUM('CF_1'!FD17,'CF_2'!FD17,'CF_3'!FD17,'CF_4'!FD17)</x:f>
      </x:c>
      <x:c r="FE11" s="117" t="n">
        <x:f>SUM('CF_1'!FE17,'CF_2'!FE17,'CF_3'!FE17,'CF_4'!FE17)</x:f>
      </x:c>
      <x:c r="FF11" s="117" t="n">
        <x:f>SUM('CF_1'!FF17,'CF_2'!FF17,'CF_3'!FF17,'CF_4'!FF17)</x:f>
      </x:c>
      <x:c r="FG11" s="117" t="n">
        <x:f>SUM('CF_1'!FG17,'CF_2'!FG17,'CF_3'!FG17,'CF_4'!FG17)</x:f>
      </x:c>
      <x:c r="FH11" s="117" t="n">
        <x:f>SUM('CF_1'!FH17,'CF_2'!FH17,'CF_3'!FH17,'CF_4'!FH17)</x:f>
      </x:c>
      <x:c r="FI11" s="117" t="n">
        <x:f>SUM('CF_1'!FI17,'CF_2'!FI17,'CF_3'!FI17,'CF_4'!FI17)</x:f>
      </x:c>
      <x:c r="FJ11" s="117" t="n">
        <x:f>SUM('CF_1'!FJ17,'CF_2'!FJ17,'CF_3'!FJ17,'CF_4'!FJ17)</x:f>
      </x:c>
      <x:c r="FK11" s="117" t="n">
        <x:f>SUM('CF_1'!FK17,'CF_2'!FK17,'CF_3'!FK17,'CF_4'!FK17)</x:f>
      </x:c>
      <x:c r="FL11" s="117" t="n">
        <x:f>SUM('CF_1'!FL17,'CF_2'!FL17,'CF_3'!FL17,'CF_4'!FL17)</x:f>
      </x:c>
      <x:c r="FM11" s="117" t="n">
        <x:f>SUM('CF_1'!FM17,'CF_2'!FM17,'CF_3'!FM17,'CF_4'!FM17)</x:f>
      </x:c>
      <x:c r="FN11" s="117" t="n">
        <x:f>SUM('CF_1'!FN17,'CF_2'!FN17,'CF_3'!FN17,'CF_4'!FN17)</x:f>
      </x:c>
      <x:c r="FO11" s="117" t="n">
        <x:f>SUM('CF_1'!FO17,'CF_2'!FO17,'CF_3'!FO17,'CF_4'!FO17)</x:f>
      </x:c>
      <x:c r="FP11" s="117" t="n">
        <x:f>SUM('CF_1'!FP17,'CF_2'!FP17,'CF_3'!FP17,'CF_4'!FP17)</x:f>
      </x:c>
      <x:c r="FQ11" s="117" t="n">
        <x:f>SUM('CF_1'!FQ17,'CF_2'!FQ17,'CF_3'!FQ17,'CF_4'!FQ17)</x:f>
      </x:c>
      <x:c r="FR11" s="117" t="n">
        <x:f>SUM('CF_1'!FR17,'CF_2'!FR17,'CF_3'!FR17,'CF_4'!FR17)</x:f>
      </x:c>
      <x:c r="FS11" s="117" t="n">
        <x:f>SUM('CF_1'!FS17,'CF_2'!FS17,'CF_3'!FS17,'CF_4'!FS17)</x:f>
      </x:c>
      <x:c r="FT11" s="117" t="n">
        <x:f>SUM('CF_1'!FT17,'CF_2'!FT17,'CF_3'!FT17,'CF_4'!FT17)</x:f>
      </x:c>
      <x:c r="FU11" s="117" t="n">
        <x:f>SUM('CF_1'!FU17,'CF_2'!FU17,'CF_3'!FU17,'CF_4'!FU17)</x:f>
      </x:c>
      <x:c r="FV11" s="117" t="n">
        <x:f>SUM('CF_1'!FV17,'CF_2'!FV17,'CF_3'!FV17,'CF_4'!FV17)</x:f>
      </x:c>
      <x:c r="FW11" s="117" t="n">
        <x:f>SUM('CF_1'!FW17,'CF_2'!FW17,'CF_3'!FW17,'CF_4'!FW17)</x:f>
      </x:c>
      <x:c r="FX11" s="117" t="n">
        <x:f>SUM('CF_1'!FX17,'CF_2'!FX17,'CF_3'!FX17,'CF_4'!FX17)</x:f>
      </x:c>
      <x:c r="FY11" s="117" t="n">
        <x:f>SUM('CF_1'!FY17,'CF_2'!FY17,'CF_3'!FY17,'CF_4'!FY17)</x:f>
      </x:c>
      <x:c r="FZ11" s="117" t="n">
        <x:f>SUM('CF_1'!FZ17,'CF_2'!FZ17,'CF_3'!FZ17,'CF_4'!FZ17)</x:f>
      </x:c>
      <x:c r="GA11" s="117" t="n">
        <x:f>SUM('CF_1'!GA17,'CF_2'!GA17,'CF_3'!GA17,'CF_4'!GA17)</x:f>
      </x:c>
    </x:row>
    <x:row r="12">
      <x:c r="A12" t="str">
        <x:v>Коммерческие расходы</x:v>
      </x:c>
      <x:c r="B12" t="n">
        <x:f>SUM(D12:GA12)</x:f>
      </x:c>
      <x:c r="C12" t="str">
        <x:v>млн ₽</x:v>
      </x:c>
      <x:c r="D12" s="117" t="n">
        <x:f>SUM('CF_1'!D18+'CF_1'!D19,'CF_2'!D18+'CF_2'!D19,'CF_3'!D18+'CF_3'!D19,'CF_4'!D18+'CF_4'!D19)</x:f>
      </x:c>
      <x:c r="E12" s="117" t="n">
        <x:f>SUM('CF_1'!E18+'CF_1'!E19,'CF_2'!E18+'CF_2'!E19,'CF_3'!E18+'CF_3'!E19,'CF_4'!E18+'CF_4'!E19)</x:f>
      </x:c>
      <x:c r="F12" s="117" t="n">
        <x:f>SUM('CF_1'!F18+'CF_1'!F19,'CF_2'!F18+'CF_2'!F19,'CF_3'!F18+'CF_3'!F19,'CF_4'!F18+'CF_4'!F19)</x:f>
      </x:c>
      <x:c r="G12" s="117" t="n">
        <x:f>SUM('CF_1'!G18+'CF_1'!G19,'CF_2'!G18+'CF_2'!G19,'CF_3'!G18+'CF_3'!G19,'CF_4'!G18+'CF_4'!G19)</x:f>
      </x:c>
      <x:c r="H12" s="117" t="n">
        <x:f>SUM('CF_1'!H18+'CF_1'!H19,'CF_2'!H18+'CF_2'!H19,'CF_3'!H18+'CF_3'!H19,'CF_4'!H18+'CF_4'!H19)</x:f>
      </x:c>
      <x:c r="I12" s="117" t="n">
        <x:f>SUM('CF_1'!I18+'CF_1'!I19,'CF_2'!I18+'CF_2'!I19,'CF_3'!I18+'CF_3'!I19,'CF_4'!I18+'CF_4'!I19)</x:f>
      </x:c>
      <x:c r="J12" s="117" t="n">
        <x:f>SUM('CF_1'!J18+'CF_1'!J19,'CF_2'!J18+'CF_2'!J19,'CF_3'!J18+'CF_3'!J19,'CF_4'!J18+'CF_4'!J19)</x:f>
      </x:c>
      <x:c r="K12" s="117" t="n">
        <x:f>SUM('CF_1'!K18+'CF_1'!K19,'CF_2'!K18+'CF_2'!K19,'CF_3'!K18+'CF_3'!K19,'CF_4'!K18+'CF_4'!K19)</x:f>
      </x:c>
      <x:c r="L12" s="117" t="n">
        <x:f>SUM('CF_1'!L18+'CF_1'!L19,'CF_2'!L18+'CF_2'!L19,'CF_3'!L18+'CF_3'!L19,'CF_4'!L18+'CF_4'!L19)</x:f>
      </x:c>
      <x:c r="M12" s="117" t="n">
        <x:f>SUM('CF_1'!M18+'CF_1'!M19,'CF_2'!M18+'CF_2'!M19,'CF_3'!M18+'CF_3'!M19,'CF_4'!M18+'CF_4'!M19)</x:f>
      </x:c>
      <x:c r="N12" s="117" t="n">
        <x:f>SUM('CF_1'!N18+'CF_1'!N19,'CF_2'!N18+'CF_2'!N19,'CF_3'!N18+'CF_3'!N19,'CF_4'!N18+'CF_4'!N19)</x:f>
      </x:c>
      <x:c r="O12" s="117" t="n">
        <x:f>SUM('CF_1'!O18+'CF_1'!O19,'CF_2'!O18+'CF_2'!O19,'CF_3'!O18+'CF_3'!O19,'CF_4'!O18+'CF_4'!O19)</x:f>
      </x:c>
      <x:c r="P12" s="117" t="n">
        <x:f>SUM('CF_1'!P18+'CF_1'!P19,'CF_2'!P18+'CF_2'!P19,'CF_3'!P18+'CF_3'!P19,'CF_4'!P18+'CF_4'!P19)</x:f>
      </x:c>
      <x:c r="Q12" s="117" t="n">
        <x:f>SUM('CF_1'!Q18+'CF_1'!Q19,'CF_2'!Q18+'CF_2'!Q19,'CF_3'!Q18+'CF_3'!Q19,'CF_4'!Q18+'CF_4'!Q19)</x:f>
      </x:c>
      <x:c r="R12" s="117" t="n">
        <x:f>SUM('CF_1'!R18+'CF_1'!R19,'CF_2'!R18+'CF_2'!R19,'CF_3'!R18+'CF_3'!R19,'CF_4'!R18+'CF_4'!R19)</x:f>
      </x:c>
      <x:c r="S12" s="117" t="n">
        <x:f>SUM('CF_1'!S18+'CF_1'!S19,'CF_2'!S18+'CF_2'!S19,'CF_3'!S18+'CF_3'!S19,'CF_4'!S18+'CF_4'!S19)</x:f>
      </x:c>
      <x:c r="T12" s="117" t="n">
        <x:f>SUM('CF_1'!T18+'CF_1'!T19,'CF_2'!T18+'CF_2'!T19,'CF_3'!T18+'CF_3'!T19,'CF_4'!T18+'CF_4'!T19)</x:f>
      </x:c>
      <x:c r="U12" s="117" t="n">
        <x:f>SUM('CF_1'!U18+'CF_1'!U19,'CF_2'!U18+'CF_2'!U19,'CF_3'!U18+'CF_3'!U19,'CF_4'!U18+'CF_4'!U19)</x:f>
      </x:c>
      <x:c r="V12" s="117" t="n">
        <x:f>SUM('CF_1'!V18+'CF_1'!V19,'CF_2'!V18+'CF_2'!V19,'CF_3'!V18+'CF_3'!V19,'CF_4'!V18+'CF_4'!V19)</x:f>
      </x:c>
      <x:c r="W12" s="117" t="n">
        <x:f>SUM('CF_1'!W18+'CF_1'!W19,'CF_2'!W18+'CF_2'!W19,'CF_3'!W18+'CF_3'!W19,'CF_4'!W18+'CF_4'!W19)</x:f>
      </x:c>
      <x:c r="X12" s="117" t="n">
        <x:f>SUM('CF_1'!X18+'CF_1'!X19,'CF_2'!X18+'CF_2'!X19,'CF_3'!X18+'CF_3'!X19,'CF_4'!X18+'CF_4'!X19)</x:f>
      </x:c>
      <x:c r="Y12" s="117" t="n">
        <x:f>SUM('CF_1'!Y18+'CF_1'!Y19,'CF_2'!Y18+'CF_2'!Y19,'CF_3'!Y18+'CF_3'!Y19,'CF_4'!Y18+'CF_4'!Y19)</x:f>
      </x:c>
      <x:c r="Z12" s="117" t="n">
        <x:f>SUM('CF_1'!Z18+'CF_1'!Z19,'CF_2'!Z18+'CF_2'!Z19,'CF_3'!Z18+'CF_3'!Z19,'CF_4'!Z18+'CF_4'!Z19)</x:f>
      </x:c>
      <x:c r="AA12" s="117" t="n">
        <x:f>SUM('CF_1'!AA18+'CF_1'!AA19,'CF_2'!AA18+'CF_2'!AA19,'CF_3'!AA18+'CF_3'!AA19,'CF_4'!AA18+'CF_4'!AA19)</x:f>
      </x:c>
      <x:c r="AB12" s="117" t="n">
        <x:f>SUM('CF_1'!AB18+'CF_1'!AB19,'CF_2'!AB18+'CF_2'!AB19,'CF_3'!AB18+'CF_3'!AB19,'CF_4'!AB18+'CF_4'!AB19)</x:f>
      </x:c>
      <x:c r="AC12" s="117" t="n">
        <x:f>SUM('CF_1'!AC18+'CF_1'!AC19,'CF_2'!AC18+'CF_2'!AC19,'CF_3'!AC18+'CF_3'!AC19,'CF_4'!AC18+'CF_4'!AC19)</x:f>
      </x:c>
      <x:c r="AD12" s="117" t="n">
        <x:f>SUM('CF_1'!AD18+'CF_1'!AD19,'CF_2'!AD18+'CF_2'!AD19,'CF_3'!AD18+'CF_3'!AD19,'CF_4'!AD18+'CF_4'!AD19)</x:f>
      </x:c>
      <x:c r="AE12" s="117" t="n">
        <x:f>SUM('CF_1'!AE18+'CF_1'!AE19,'CF_2'!AE18+'CF_2'!AE19,'CF_3'!AE18+'CF_3'!AE19,'CF_4'!AE18+'CF_4'!AE19)</x:f>
      </x:c>
      <x:c r="AF12" s="117" t="n">
        <x:f>SUM('CF_1'!AF18+'CF_1'!AF19,'CF_2'!AF18+'CF_2'!AF19,'CF_3'!AF18+'CF_3'!AF19,'CF_4'!AF18+'CF_4'!AF19)</x:f>
      </x:c>
      <x:c r="AG12" s="117" t="n">
        <x:f>SUM('CF_1'!AG18+'CF_1'!AG19,'CF_2'!AG18+'CF_2'!AG19,'CF_3'!AG18+'CF_3'!AG19,'CF_4'!AG18+'CF_4'!AG19)</x:f>
      </x:c>
      <x:c r="AH12" s="117" t="n">
        <x:f>SUM('CF_1'!AH18+'CF_1'!AH19,'CF_2'!AH18+'CF_2'!AH19,'CF_3'!AH18+'CF_3'!AH19,'CF_4'!AH18+'CF_4'!AH19)</x:f>
      </x:c>
      <x:c r="AI12" s="117" t="n">
        <x:f>SUM('CF_1'!AI18+'CF_1'!AI19,'CF_2'!AI18+'CF_2'!AI19,'CF_3'!AI18+'CF_3'!AI19,'CF_4'!AI18+'CF_4'!AI19)</x:f>
      </x:c>
      <x:c r="AJ12" s="117" t="n">
        <x:f>SUM('CF_1'!AJ18+'CF_1'!AJ19,'CF_2'!AJ18+'CF_2'!AJ19,'CF_3'!AJ18+'CF_3'!AJ19,'CF_4'!AJ18+'CF_4'!AJ19)</x:f>
      </x:c>
      <x:c r="AK12" s="117" t="n">
        <x:f>SUM('CF_1'!AK18+'CF_1'!AK19,'CF_2'!AK18+'CF_2'!AK19,'CF_3'!AK18+'CF_3'!AK19,'CF_4'!AK18+'CF_4'!AK19)</x:f>
      </x:c>
      <x:c r="AL12" s="117" t="n">
        <x:f>SUM('CF_1'!AL18+'CF_1'!AL19,'CF_2'!AL18+'CF_2'!AL19,'CF_3'!AL18+'CF_3'!AL19,'CF_4'!AL18+'CF_4'!AL19)</x:f>
      </x:c>
      <x:c r="AM12" s="117" t="n">
        <x:f>SUM('CF_1'!AM18+'CF_1'!AM19,'CF_2'!AM18+'CF_2'!AM19,'CF_3'!AM18+'CF_3'!AM19,'CF_4'!AM18+'CF_4'!AM19)</x:f>
      </x:c>
      <x:c r="AN12" s="117" t="n">
        <x:f>SUM('CF_1'!AN18+'CF_1'!AN19,'CF_2'!AN18+'CF_2'!AN19,'CF_3'!AN18+'CF_3'!AN19,'CF_4'!AN18+'CF_4'!AN19)</x:f>
      </x:c>
      <x:c r="AO12" s="117" t="n">
        <x:f>SUM('CF_1'!AO18+'CF_1'!AO19,'CF_2'!AO18+'CF_2'!AO19,'CF_3'!AO18+'CF_3'!AO19,'CF_4'!AO18+'CF_4'!AO19)</x:f>
      </x:c>
      <x:c r="AP12" s="117" t="n">
        <x:f>SUM('CF_1'!AP18+'CF_1'!AP19,'CF_2'!AP18+'CF_2'!AP19,'CF_3'!AP18+'CF_3'!AP19,'CF_4'!AP18+'CF_4'!AP19)</x:f>
      </x:c>
      <x:c r="AQ12" s="117" t="n">
        <x:f>SUM('CF_1'!AQ18+'CF_1'!AQ19,'CF_2'!AQ18+'CF_2'!AQ19,'CF_3'!AQ18+'CF_3'!AQ19,'CF_4'!AQ18+'CF_4'!AQ19)</x:f>
      </x:c>
      <x:c r="AR12" s="117" t="n">
        <x:f>SUM('CF_1'!AR18+'CF_1'!AR19,'CF_2'!AR18+'CF_2'!AR19,'CF_3'!AR18+'CF_3'!AR19,'CF_4'!AR18+'CF_4'!AR19)</x:f>
      </x:c>
      <x:c r="AS12" s="117" t="n">
        <x:f>SUM('CF_1'!AS18+'CF_1'!AS19,'CF_2'!AS18+'CF_2'!AS19,'CF_3'!AS18+'CF_3'!AS19,'CF_4'!AS18+'CF_4'!AS19)</x:f>
      </x:c>
      <x:c r="AT12" s="117" t="n">
        <x:f>SUM('CF_1'!AT18+'CF_1'!AT19,'CF_2'!AT18+'CF_2'!AT19,'CF_3'!AT18+'CF_3'!AT19,'CF_4'!AT18+'CF_4'!AT19)</x:f>
      </x:c>
      <x:c r="AU12" s="117" t="n">
        <x:f>SUM('CF_1'!AU18+'CF_1'!AU19,'CF_2'!AU18+'CF_2'!AU19,'CF_3'!AU18+'CF_3'!AU19,'CF_4'!AU18+'CF_4'!AU19)</x:f>
      </x:c>
      <x:c r="AV12" s="117" t="n">
        <x:f>SUM('CF_1'!AV18+'CF_1'!AV19,'CF_2'!AV18+'CF_2'!AV19,'CF_3'!AV18+'CF_3'!AV19,'CF_4'!AV18+'CF_4'!AV19)</x:f>
      </x:c>
      <x:c r="AW12" s="117" t="n">
        <x:f>SUM('CF_1'!AW18+'CF_1'!AW19,'CF_2'!AW18+'CF_2'!AW19,'CF_3'!AW18+'CF_3'!AW19,'CF_4'!AW18+'CF_4'!AW19)</x:f>
      </x:c>
      <x:c r="AX12" s="117" t="n">
        <x:f>SUM('CF_1'!AX18+'CF_1'!AX19,'CF_2'!AX18+'CF_2'!AX19,'CF_3'!AX18+'CF_3'!AX19,'CF_4'!AX18+'CF_4'!AX19)</x:f>
      </x:c>
      <x:c r="AY12" s="117" t="n">
        <x:f>SUM('CF_1'!AY18+'CF_1'!AY19,'CF_2'!AY18+'CF_2'!AY19,'CF_3'!AY18+'CF_3'!AY19,'CF_4'!AY18+'CF_4'!AY19)</x:f>
      </x:c>
      <x:c r="AZ12" s="117" t="n">
        <x:f>SUM('CF_1'!AZ18+'CF_1'!AZ19,'CF_2'!AZ18+'CF_2'!AZ19,'CF_3'!AZ18+'CF_3'!AZ19,'CF_4'!AZ18+'CF_4'!AZ19)</x:f>
      </x:c>
      <x:c r="BA12" s="117" t="n">
        <x:f>SUM('CF_1'!BA18+'CF_1'!BA19,'CF_2'!BA18+'CF_2'!BA19,'CF_3'!BA18+'CF_3'!BA19,'CF_4'!BA18+'CF_4'!BA19)</x:f>
      </x:c>
      <x:c r="BB12" s="117" t="n">
        <x:f>SUM('CF_1'!BB18+'CF_1'!BB19,'CF_2'!BB18+'CF_2'!BB19,'CF_3'!BB18+'CF_3'!BB19,'CF_4'!BB18+'CF_4'!BB19)</x:f>
      </x:c>
      <x:c r="BC12" s="117" t="n">
        <x:f>SUM('CF_1'!BC18+'CF_1'!BC19,'CF_2'!BC18+'CF_2'!BC19,'CF_3'!BC18+'CF_3'!BC19,'CF_4'!BC18+'CF_4'!BC19)</x:f>
      </x:c>
      <x:c r="BD12" s="117" t="n">
        <x:f>SUM('CF_1'!BD18+'CF_1'!BD19,'CF_2'!BD18+'CF_2'!BD19,'CF_3'!BD18+'CF_3'!BD19,'CF_4'!BD18+'CF_4'!BD19)</x:f>
      </x:c>
      <x:c r="BE12" s="117" t="n">
        <x:f>SUM('CF_1'!BE18+'CF_1'!BE19,'CF_2'!BE18+'CF_2'!BE19,'CF_3'!BE18+'CF_3'!BE19,'CF_4'!BE18+'CF_4'!BE19)</x:f>
      </x:c>
      <x:c r="BF12" s="117" t="n">
        <x:f>SUM('CF_1'!BF18+'CF_1'!BF19,'CF_2'!BF18+'CF_2'!BF19,'CF_3'!BF18+'CF_3'!BF19,'CF_4'!BF18+'CF_4'!BF19)</x:f>
      </x:c>
      <x:c r="BG12" s="117" t="n">
        <x:f>SUM('CF_1'!BG18+'CF_1'!BG19,'CF_2'!BG18+'CF_2'!BG19,'CF_3'!BG18+'CF_3'!BG19,'CF_4'!BG18+'CF_4'!BG19)</x:f>
      </x:c>
      <x:c r="BH12" s="117" t="n">
        <x:f>SUM('CF_1'!BH18+'CF_1'!BH19,'CF_2'!BH18+'CF_2'!BH19,'CF_3'!BH18+'CF_3'!BH19,'CF_4'!BH18+'CF_4'!BH19)</x:f>
      </x:c>
      <x:c r="BI12" s="117" t="n">
        <x:f>SUM('CF_1'!BI18+'CF_1'!BI19,'CF_2'!BI18+'CF_2'!BI19,'CF_3'!BI18+'CF_3'!BI19,'CF_4'!BI18+'CF_4'!BI19)</x:f>
      </x:c>
      <x:c r="BJ12" s="117" t="n">
        <x:f>SUM('CF_1'!BJ18+'CF_1'!BJ19,'CF_2'!BJ18+'CF_2'!BJ19,'CF_3'!BJ18+'CF_3'!BJ19,'CF_4'!BJ18+'CF_4'!BJ19)</x:f>
      </x:c>
      <x:c r="BK12" s="117" t="n">
        <x:f>SUM('CF_1'!BK18+'CF_1'!BK19,'CF_2'!BK18+'CF_2'!BK19,'CF_3'!BK18+'CF_3'!BK19,'CF_4'!BK18+'CF_4'!BK19)</x:f>
      </x:c>
      <x:c r="BL12" s="117" t="n">
        <x:f>SUM('CF_1'!BL18+'CF_1'!BL19,'CF_2'!BL18+'CF_2'!BL19,'CF_3'!BL18+'CF_3'!BL19,'CF_4'!BL18+'CF_4'!BL19)</x:f>
      </x:c>
      <x:c r="BM12" s="117" t="n">
        <x:f>SUM('CF_1'!BM18+'CF_1'!BM19,'CF_2'!BM18+'CF_2'!BM19,'CF_3'!BM18+'CF_3'!BM19,'CF_4'!BM18+'CF_4'!BM19)</x:f>
      </x:c>
      <x:c r="BN12" s="117" t="n">
        <x:f>SUM('CF_1'!BN18+'CF_1'!BN19,'CF_2'!BN18+'CF_2'!BN19,'CF_3'!BN18+'CF_3'!BN19,'CF_4'!BN18+'CF_4'!BN19)</x:f>
      </x:c>
      <x:c r="BO12" s="117" t="n">
        <x:f>SUM('CF_1'!BO18+'CF_1'!BO19,'CF_2'!BO18+'CF_2'!BO19,'CF_3'!BO18+'CF_3'!BO19,'CF_4'!BO18+'CF_4'!BO19)</x:f>
      </x:c>
      <x:c r="BP12" s="117" t="n">
        <x:f>SUM('CF_1'!BP18+'CF_1'!BP19,'CF_2'!BP18+'CF_2'!BP19,'CF_3'!BP18+'CF_3'!BP19,'CF_4'!BP18+'CF_4'!BP19)</x:f>
      </x:c>
      <x:c r="BQ12" s="117" t="n">
        <x:f>SUM('CF_1'!BQ18+'CF_1'!BQ19,'CF_2'!BQ18+'CF_2'!BQ19,'CF_3'!BQ18+'CF_3'!BQ19,'CF_4'!BQ18+'CF_4'!BQ19)</x:f>
      </x:c>
      <x:c r="BR12" s="117" t="n">
        <x:f>SUM('CF_1'!BR18+'CF_1'!BR19,'CF_2'!BR18+'CF_2'!BR19,'CF_3'!BR18+'CF_3'!BR19,'CF_4'!BR18+'CF_4'!BR19)</x:f>
      </x:c>
      <x:c r="BS12" s="117" t="n">
        <x:f>SUM('CF_1'!BS18+'CF_1'!BS19,'CF_2'!BS18+'CF_2'!BS19,'CF_3'!BS18+'CF_3'!BS19,'CF_4'!BS18+'CF_4'!BS19)</x:f>
      </x:c>
      <x:c r="BT12" s="117" t="n">
        <x:f>SUM('CF_1'!BT18+'CF_1'!BT19,'CF_2'!BT18+'CF_2'!BT19,'CF_3'!BT18+'CF_3'!BT19,'CF_4'!BT18+'CF_4'!BT19)</x:f>
      </x:c>
      <x:c r="BU12" s="117" t="n">
        <x:f>SUM('CF_1'!BU18+'CF_1'!BU19,'CF_2'!BU18+'CF_2'!BU19,'CF_3'!BU18+'CF_3'!BU19,'CF_4'!BU18+'CF_4'!BU19)</x:f>
      </x:c>
      <x:c r="BV12" s="117" t="n">
        <x:f>SUM('CF_1'!BV18+'CF_1'!BV19,'CF_2'!BV18+'CF_2'!BV19,'CF_3'!BV18+'CF_3'!BV19,'CF_4'!BV18+'CF_4'!BV19)</x:f>
      </x:c>
      <x:c r="BW12" s="117" t="n">
        <x:f>SUM('CF_1'!BW18+'CF_1'!BW19,'CF_2'!BW18+'CF_2'!BW19,'CF_3'!BW18+'CF_3'!BW19,'CF_4'!BW18+'CF_4'!BW19)</x:f>
      </x:c>
      <x:c r="BX12" s="117" t="n">
        <x:f>SUM('CF_1'!BX18+'CF_1'!BX19,'CF_2'!BX18+'CF_2'!BX19,'CF_3'!BX18+'CF_3'!BX19,'CF_4'!BX18+'CF_4'!BX19)</x:f>
      </x:c>
      <x:c r="BY12" s="117" t="n">
        <x:f>SUM('CF_1'!BY18+'CF_1'!BY19,'CF_2'!BY18+'CF_2'!BY19,'CF_3'!BY18+'CF_3'!BY19,'CF_4'!BY18+'CF_4'!BY19)</x:f>
      </x:c>
      <x:c r="BZ12" s="117" t="n">
        <x:f>SUM('CF_1'!BZ18+'CF_1'!BZ19,'CF_2'!BZ18+'CF_2'!BZ19,'CF_3'!BZ18+'CF_3'!BZ19,'CF_4'!BZ18+'CF_4'!BZ19)</x:f>
      </x:c>
      <x:c r="CA12" s="117" t="n">
        <x:f>SUM('CF_1'!CA18+'CF_1'!CA19,'CF_2'!CA18+'CF_2'!CA19,'CF_3'!CA18+'CF_3'!CA19,'CF_4'!CA18+'CF_4'!CA19)</x:f>
      </x:c>
      <x:c r="CB12" s="117" t="n">
        <x:f>SUM('CF_1'!CB18+'CF_1'!CB19,'CF_2'!CB18+'CF_2'!CB19,'CF_3'!CB18+'CF_3'!CB19,'CF_4'!CB18+'CF_4'!CB19)</x:f>
      </x:c>
      <x:c r="CC12" s="117" t="n">
        <x:f>SUM('CF_1'!CC18+'CF_1'!CC19,'CF_2'!CC18+'CF_2'!CC19,'CF_3'!CC18+'CF_3'!CC19,'CF_4'!CC18+'CF_4'!CC19)</x:f>
      </x:c>
      <x:c r="CD12" s="117" t="n">
        <x:f>SUM('CF_1'!CD18+'CF_1'!CD19,'CF_2'!CD18+'CF_2'!CD19,'CF_3'!CD18+'CF_3'!CD19,'CF_4'!CD18+'CF_4'!CD19)</x:f>
      </x:c>
      <x:c r="CE12" s="117" t="n">
        <x:f>SUM('CF_1'!CE18+'CF_1'!CE19,'CF_2'!CE18+'CF_2'!CE19,'CF_3'!CE18+'CF_3'!CE19,'CF_4'!CE18+'CF_4'!CE19)</x:f>
      </x:c>
      <x:c r="CF12" s="117" t="n">
        <x:f>SUM('CF_1'!CF18+'CF_1'!CF19,'CF_2'!CF18+'CF_2'!CF19,'CF_3'!CF18+'CF_3'!CF19,'CF_4'!CF18+'CF_4'!CF19)</x:f>
      </x:c>
      <x:c r="CG12" s="117" t="n">
        <x:f>SUM('CF_1'!CG18+'CF_1'!CG19,'CF_2'!CG18+'CF_2'!CG19,'CF_3'!CG18+'CF_3'!CG19,'CF_4'!CG18+'CF_4'!CG19)</x:f>
      </x:c>
      <x:c r="CH12" s="117" t="n">
        <x:f>SUM('CF_1'!CH18+'CF_1'!CH19,'CF_2'!CH18+'CF_2'!CH19,'CF_3'!CH18+'CF_3'!CH19,'CF_4'!CH18+'CF_4'!CH19)</x:f>
      </x:c>
      <x:c r="CI12" s="117" t="n">
        <x:f>SUM('CF_1'!CI18+'CF_1'!CI19,'CF_2'!CI18+'CF_2'!CI19,'CF_3'!CI18+'CF_3'!CI19,'CF_4'!CI18+'CF_4'!CI19)</x:f>
      </x:c>
      <x:c r="CJ12" s="117" t="n">
        <x:f>SUM('CF_1'!CJ18+'CF_1'!CJ19,'CF_2'!CJ18+'CF_2'!CJ19,'CF_3'!CJ18+'CF_3'!CJ19,'CF_4'!CJ18+'CF_4'!CJ19)</x:f>
      </x:c>
      <x:c r="CK12" s="117" t="n">
        <x:f>SUM('CF_1'!CK18+'CF_1'!CK19,'CF_2'!CK18+'CF_2'!CK19,'CF_3'!CK18+'CF_3'!CK19,'CF_4'!CK18+'CF_4'!CK19)</x:f>
      </x:c>
      <x:c r="CL12" s="117" t="n">
        <x:f>SUM('CF_1'!CL18+'CF_1'!CL19,'CF_2'!CL18+'CF_2'!CL19,'CF_3'!CL18+'CF_3'!CL19,'CF_4'!CL18+'CF_4'!CL19)</x:f>
      </x:c>
      <x:c r="CM12" s="117" t="n">
        <x:f>SUM('CF_1'!CM18+'CF_1'!CM19,'CF_2'!CM18+'CF_2'!CM19,'CF_3'!CM18+'CF_3'!CM19,'CF_4'!CM18+'CF_4'!CM19)</x:f>
      </x:c>
      <x:c r="CN12" s="117" t="n">
        <x:f>SUM('CF_1'!CN18+'CF_1'!CN19,'CF_2'!CN18+'CF_2'!CN19,'CF_3'!CN18+'CF_3'!CN19,'CF_4'!CN18+'CF_4'!CN19)</x:f>
      </x:c>
      <x:c r="CO12" s="117" t="n">
        <x:f>SUM('CF_1'!CO18+'CF_1'!CO19,'CF_2'!CO18+'CF_2'!CO19,'CF_3'!CO18+'CF_3'!CO19,'CF_4'!CO18+'CF_4'!CO19)</x:f>
      </x:c>
      <x:c r="CP12" s="117" t="n">
        <x:f>SUM('CF_1'!CP18+'CF_1'!CP19,'CF_2'!CP18+'CF_2'!CP19,'CF_3'!CP18+'CF_3'!CP19,'CF_4'!CP18+'CF_4'!CP19)</x:f>
      </x:c>
      <x:c r="CQ12" s="117" t="n">
        <x:f>SUM('CF_1'!CQ18+'CF_1'!CQ19,'CF_2'!CQ18+'CF_2'!CQ19,'CF_3'!CQ18+'CF_3'!CQ19,'CF_4'!CQ18+'CF_4'!CQ19)</x:f>
      </x:c>
      <x:c r="CR12" s="117" t="n">
        <x:f>SUM('CF_1'!CR18+'CF_1'!CR19,'CF_2'!CR18+'CF_2'!CR19,'CF_3'!CR18+'CF_3'!CR19,'CF_4'!CR18+'CF_4'!CR19)</x:f>
      </x:c>
      <x:c r="CS12" s="117" t="n">
        <x:f>SUM('CF_1'!CS18+'CF_1'!CS19,'CF_2'!CS18+'CF_2'!CS19,'CF_3'!CS18+'CF_3'!CS19,'CF_4'!CS18+'CF_4'!CS19)</x:f>
      </x:c>
      <x:c r="CT12" s="117" t="n">
        <x:f>SUM('CF_1'!CT18+'CF_1'!CT19,'CF_2'!CT18+'CF_2'!CT19,'CF_3'!CT18+'CF_3'!CT19,'CF_4'!CT18+'CF_4'!CT19)</x:f>
      </x:c>
      <x:c r="CU12" s="117" t="n">
        <x:f>SUM('CF_1'!CU18+'CF_1'!CU19,'CF_2'!CU18+'CF_2'!CU19,'CF_3'!CU18+'CF_3'!CU19,'CF_4'!CU18+'CF_4'!CU19)</x:f>
      </x:c>
      <x:c r="CV12" s="117" t="n">
        <x:f>SUM('CF_1'!CV18+'CF_1'!CV19,'CF_2'!CV18+'CF_2'!CV19,'CF_3'!CV18+'CF_3'!CV19,'CF_4'!CV18+'CF_4'!CV19)</x:f>
      </x:c>
      <x:c r="CW12" s="117" t="n">
        <x:f>SUM('CF_1'!CW18+'CF_1'!CW19,'CF_2'!CW18+'CF_2'!CW19,'CF_3'!CW18+'CF_3'!CW19,'CF_4'!CW18+'CF_4'!CW19)</x:f>
      </x:c>
      <x:c r="CX12" s="117" t="n">
        <x:f>SUM('CF_1'!CX18+'CF_1'!CX19,'CF_2'!CX18+'CF_2'!CX19,'CF_3'!CX18+'CF_3'!CX19,'CF_4'!CX18+'CF_4'!CX19)</x:f>
      </x:c>
      <x:c r="CY12" s="117" t="n">
        <x:f>SUM('CF_1'!CY18+'CF_1'!CY19,'CF_2'!CY18+'CF_2'!CY19,'CF_3'!CY18+'CF_3'!CY19,'CF_4'!CY18+'CF_4'!CY19)</x:f>
      </x:c>
      <x:c r="CZ12" s="117" t="n">
        <x:f>SUM('CF_1'!CZ18+'CF_1'!CZ19,'CF_2'!CZ18+'CF_2'!CZ19,'CF_3'!CZ18+'CF_3'!CZ19,'CF_4'!CZ18+'CF_4'!CZ19)</x:f>
      </x:c>
      <x:c r="DA12" s="117" t="n">
        <x:f>SUM('CF_1'!DA18+'CF_1'!DA19,'CF_2'!DA18+'CF_2'!DA19,'CF_3'!DA18+'CF_3'!DA19,'CF_4'!DA18+'CF_4'!DA19)</x:f>
      </x:c>
      <x:c r="DB12" s="117" t="n">
        <x:f>SUM('CF_1'!DB18+'CF_1'!DB19,'CF_2'!DB18+'CF_2'!DB19,'CF_3'!DB18+'CF_3'!DB19,'CF_4'!DB18+'CF_4'!DB19)</x:f>
      </x:c>
      <x:c r="DC12" s="117" t="n">
        <x:f>SUM('CF_1'!DC18+'CF_1'!DC19,'CF_2'!DC18+'CF_2'!DC19,'CF_3'!DC18+'CF_3'!DC19,'CF_4'!DC18+'CF_4'!DC19)</x:f>
      </x:c>
      <x:c r="DD12" s="117" t="n">
        <x:f>SUM('CF_1'!DD18+'CF_1'!DD19,'CF_2'!DD18+'CF_2'!DD19,'CF_3'!DD18+'CF_3'!DD19,'CF_4'!DD18+'CF_4'!DD19)</x:f>
      </x:c>
      <x:c r="DE12" s="117" t="n">
        <x:f>SUM('CF_1'!DE18+'CF_1'!DE19,'CF_2'!DE18+'CF_2'!DE19,'CF_3'!DE18+'CF_3'!DE19,'CF_4'!DE18+'CF_4'!DE19)</x:f>
      </x:c>
      <x:c r="DF12" s="117" t="n">
        <x:f>SUM('CF_1'!DF18+'CF_1'!DF19,'CF_2'!DF18+'CF_2'!DF19,'CF_3'!DF18+'CF_3'!DF19,'CF_4'!DF18+'CF_4'!DF19)</x:f>
      </x:c>
      <x:c r="DG12" s="117" t="n">
        <x:f>SUM('CF_1'!DG18+'CF_1'!DG19,'CF_2'!DG18+'CF_2'!DG19,'CF_3'!DG18+'CF_3'!DG19,'CF_4'!DG18+'CF_4'!DG19)</x:f>
      </x:c>
      <x:c r="DH12" s="117" t="n">
        <x:f>SUM('CF_1'!DH18+'CF_1'!DH19,'CF_2'!DH18+'CF_2'!DH19,'CF_3'!DH18+'CF_3'!DH19,'CF_4'!DH18+'CF_4'!DH19)</x:f>
      </x:c>
      <x:c r="DI12" s="117" t="n">
        <x:f>SUM('CF_1'!DI18+'CF_1'!DI19,'CF_2'!DI18+'CF_2'!DI19,'CF_3'!DI18+'CF_3'!DI19,'CF_4'!DI18+'CF_4'!DI19)</x:f>
      </x:c>
      <x:c r="DJ12" s="117" t="n">
        <x:f>SUM('CF_1'!DJ18+'CF_1'!DJ19,'CF_2'!DJ18+'CF_2'!DJ19,'CF_3'!DJ18+'CF_3'!DJ19,'CF_4'!DJ18+'CF_4'!DJ19)</x:f>
      </x:c>
      <x:c r="DK12" s="117" t="n">
        <x:f>SUM('CF_1'!DK18+'CF_1'!DK19,'CF_2'!DK18+'CF_2'!DK19,'CF_3'!DK18+'CF_3'!DK19,'CF_4'!DK18+'CF_4'!DK19)</x:f>
      </x:c>
      <x:c r="DL12" s="117" t="n">
        <x:f>SUM('CF_1'!DL18+'CF_1'!DL19,'CF_2'!DL18+'CF_2'!DL19,'CF_3'!DL18+'CF_3'!DL19,'CF_4'!DL18+'CF_4'!DL19)</x:f>
      </x:c>
      <x:c r="DM12" s="117" t="n">
        <x:f>SUM('CF_1'!DM18+'CF_1'!DM19,'CF_2'!DM18+'CF_2'!DM19,'CF_3'!DM18+'CF_3'!DM19,'CF_4'!DM18+'CF_4'!DM19)</x:f>
      </x:c>
      <x:c r="DN12" s="117" t="n">
        <x:f>SUM('CF_1'!DN18+'CF_1'!DN19,'CF_2'!DN18+'CF_2'!DN19,'CF_3'!DN18+'CF_3'!DN19,'CF_4'!DN18+'CF_4'!DN19)</x:f>
      </x:c>
      <x:c r="DO12" s="117" t="n">
        <x:f>SUM('CF_1'!DO18+'CF_1'!DO19,'CF_2'!DO18+'CF_2'!DO19,'CF_3'!DO18+'CF_3'!DO19,'CF_4'!DO18+'CF_4'!DO19)</x:f>
      </x:c>
      <x:c r="DP12" s="117" t="n">
        <x:f>SUM('CF_1'!DP18+'CF_1'!DP19,'CF_2'!DP18+'CF_2'!DP19,'CF_3'!DP18+'CF_3'!DP19,'CF_4'!DP18+'CF_4'!DP19)</x:f>
      </x:c>
      <x:c r="DQ12" s="117" t="n">
        <x:f>SUM('CF_1'!DQ18+'CF_1'!DQ19,'CF_2'!DQ18+'CF_2'!DQ19,'CF_3'!DQ18+'CF_3'!DQ19,'CF_4'!DQ18+'CF_4'!DQ19)</x:f>
      </x:c>
      <x:c r="DR12" s="117" t="n">
        <x:f>SUM('CF_1'!DR18+'CF_1'!DR19,'CF_2'!DR18+'CF_2'!DR19,'CF_3'!DR18+'CF_3'!DR19,'CF_4'!DR18+'CF_4'!DR19)</x:f>
      </x:c>
      <x:c r="DS12" s="117" t="n">
        <x:f>SUM('CF_1'!DS18+'CF_1'!DS19,'CF_2'!DS18+'CF_2'!DS19,'CF_3'!DS18+'CF_3'!DS19,'CF_4'!DS18+'CF_4'!DS19)</x:f>
      </x:c>
      <x:c r="DT12" s="117" t="n">
        <x:f>SUM('CF_1'!DT18+'CF_1'!DT19,'CF_2'!DT18+'CF_2'!DT19,'CF_3'!DT18+'CF_3'!DT19,'CF_4'!DT18+'CF_4'!DT19)</x:f>
      </x:c>
      <x:c r="DU12" s="117" t="n">
        <x:f>SUM('CF_1'!DU18+'CF_1'!DU19,'CF_2'!DU18+'CF_2'!DU19,'CF_3'!DU18+'CF_3'!DU19,'CF_4'!DU18+'CF_4'!DU19)</x:f>
      </x:c>
      <x:c r="DV12" s="117" t="n">
        <x:f>SUM('CF_1'!DV18+'CF_1'!DV19,'CF_2'!DV18+'CF_2'!DV19,'CF_3'!DV18+'CF_3'!DV19,'CF_4'!DV18+'CF_4'!DV19)</x:f>
      </x:c>
      <x:c r="DW12" s="117" t="n">
        <x:f>SUM('CF_1'!DW18+'CF_1'!DW19,'CF_2'!DW18+'CF_2'!DW19,'CF_3'!DW18+'CF_3'!DW19,'CF_4'!DW18+'CF_4'!DW19)</x:f>
      </x:c>
      <x:c r="DX12" s="117" t="n">
        <x:f>SUM('CF_1'!DX18+'CF_1'!DX19,'CF_2'!DX18+'CF_2'!DX19,'CF_3'!DX18+'CF_3'!DX19,'CF_4'!DX18+'CF_4'!DX19)</x:f>
      </x:c>
      <x:c r="DY12" s="117" t="n">
        <x:f>SUM('CF_1'!DY18+'CF_1'!DY19,'CF_2'!DY18+'CF_2'!DY19,'CF_3'!DY18+'CF_3'!DY19,'CF_4'!DY18+'CF_4'!DY19)</x:f>
      </x:c>
      <x:c r="DZ12" s="117" t="n">
        <x:f>SUM('CF_1'!DZ18+'CF_1'!DZ19,'CF_2'!DZ18+'CF_2'!DZ19,'CF_3'!DZ18+'CF_3'!DZ19,'CF_4'!DZ18+'CF_4'!DZ19)</x:f>
      </x:c>
      <x:c r="EA12" s="117" t="n">
        <x:f>SUM('CF_1'!EA18+'CF_1'!EA19,'CF_2'!EA18+'CF_2'!EA19,'CF_3'!EA18+'CF_3'!EA19,'CF_4'!EA18+'CF_4'!EA19)</x:f>
      </x:c>
      <x:c r="EB12" s="117" t="n">
        <x:f>SUM('CF_1'!EB18+'CF_1'!EB19,'CF_2'!EB18+'CF_2'!EB19,'CF_3'!EB18+'CF_3'!EB19,'CF_4'!EB18+'CF_4'!EB19)</x:f>
      </x:c>
      <x:c r="EC12" s="117" t="n">
        <x:f>SUM('CF_1'!EC18+'CF_1'!EC19,'CF_2'!EC18+'CF_2'!EC19,'CF_3'!EC18+'CF_3'!EC19,'CF_4'!EC18+'CF_4'!EC19)</x:f>
      </x:c>
      <x:c r="ED12" s="117" t="n">
        <x:f>SUM('CF_1'!ED18+'CF_1'!ED19,'CF_2'!ED18+'CF_2'!ED19,'CF_3'!ED18+'CF_3'!ED19,'CF_4'!ED18+'CF_4'!ED19)</x:f>
      </x:c>
      <x:c r="EE12" s="117" t="n">
        <x:f>SUM('CF_1'!EE18+'CF_1'!EE19,'CF_2'!EE18+'CF_2'!EE19,'CF_3'!EE18+'CF_3'!EE19,'CF_4'!EE18+'CF_4'!EE19)</x:f>
      </x:c>
      <x:c r="EF12" s="117" t="n">
        <x:f>SUM('CF_1'!EF18+'CF_1'!EF19,'CF_2'!EF18+'CF_2'!EF19,'CF_3'!EF18+'CF_3'!EF19,'CF_4'!EF18+'CF_4'!EF19)</x:f>
      </x:c>
      <x:c r="EG12" s="117" t="n">
        <x:f>SUM('CF_1'!EG18+'CF_1'!EG19,'CF_2'!EG18+'CF_2'!EG19,'CF_3'!EG18+'CF_3'!EG19,'CF_4'!EG18+'CF_4'!EG19)</x:f>
      </x:c>
      <x:c r="EH12" s="117" t="n">
        <x:f>SUM('CF_1'!EH18+'CF_1'!EH19,'CF_2'!EH18+'CF_2'!EH19,'CF_3'!EH18+'CF_3'!EH19,'CF_4'!EH18+'CF_4'!EH19)</x:f>
      </x:c>
      <x:c r="EI12" s="117" t="n">
        <x:f>SUM('CF_1'!EI18+'CF_1'!EI19,'CF_2'!EI18+'CF_2'!EI19,'CF_3'!EI18+'CF_3'!EI19,'CF_4'!EI18+'CF_4'!EI19)</x:f>
      </x:c>
      <x:c r="EJ12" s="117" t="n">
        <x:f>SUM('CF_1'!EJ18+'CF_1'!EJ19,'CF_2'!EJ18+'CF_2'!EJ19,'CF_3'!EJ18+'CF_3'!EJ19,'CF_4'!EJ18+'CF_4'!EJ19)</x:f>
      </x:c>
      <x:c r="EK12" s="117" t="n">
        <x:f>SUM('CF_1'!EK18+'CF_1'!EK19,'CF_2'!EK18+'CF_2'!EK19,'CF_3'!EK18+'CF_3'!EK19,'CF_4'!EK18+'CF_4'!EK19)</x:f>
      </x:c>
      <x:c r="EL12" s="117" t="n">
        <x:f>SUM('CF_1'!EL18+'CF_1'!EL19,'CF_2'!EL18+'CF_2'!EL19,'CF_3'!EL18+'CF_3'!EL19,'CF_4'!EL18+'CF_4'!EL19)</x:f>
      </x:c>
      <x:c r="EM12" s="117" t="n">
        <x:f>SUM('CF_1'!EM18+'CF_1'!EM19,'CF_2'!EM18+'CF_2'!EM19,'CF_3'!EM18+'CF_3'!EM19,'CF_4'!EM18+'CF_4'!EM19)</x:f>
      </x:c>
      <x:c r="EN12" s="117" t="n">
        <x:f>SUM('CF_1'!EN18+'CF_1'!EN19,'CF_2'!EN18+'CF_2'!EN19,'CF_3'!EN18+'CF_3'!EN19,'CF_4'!EN18+'CF_4'!EN19)</x:f>
      </x:c>
      <x:c r="EO12" s="117" t="n">
        <x:f>SUM('CF_1'!EO18+'CF_1'!EO19,'CF_2'!EO18+'CF_2'!EO19,'CF_3'!EO18+'CF_3'!EO19,'CF_4'!EO18+'CF_4'!EO19)</x:f>
      </x:c>
      <x:c r="EP12" s="117" t="n">
        <x:f>SUM('CF_1'!EP18+'CF_1'!EP19,'CF_2'!EP18+'CF_2'!EP19,'CF_3'!EP18+'CF_3'!EP19,'CF_4'!EP18+'CF_4'!EP19)</x:f>
      </x:c>
      <x:c r="EQ12" s="117" t="n">
        <x:f>SUM('CF_1'!EQ18+'CF_1'!EQ19,'CF_2'!EQ18+'CF_2'!EQ19,'CF_3'!EQ18+'CF_3'!EQ19,'CF_4'!EQ18+'CF_4'!EQ19)</x:f>
      </x:c>
      <x:c r="ER12" s="117" t="n">
        <x:f>SUM('CF_1'!ER18+'CF_1'!ER19,'CF_2'!ER18+'CF_2'!ER19,'CF_3'!ER18+'CF_3'!ER19,'CF_4'!ER18+'CF_4'!ER19)</x:f>
      </x:c>
      <x:c r="ES12" s="117" t="n">
        <x:f>SUM('CF_1'!ES18+'CF_1'!ES19,'CF_2'!ES18+'CF_2'!ES19,'CF_3'!ES18+'CF_3'!ES19,'CF_4'!ES18+'CF_4'!ES19)</x:f>
      </x:c>
      <x:c r="ET12" s="117" t="n">
        <x:f>SUM('CF_1'!ET18+'CF_1'!ET19,'CF_2'!ET18+'CF_2'!ET19,'CF_3'!ET18+'CF_3'!ET19,'CF_4'!ET18+'CF_4'!ET19)</x:f>
      </x:c>
      <x:c r="EU12" s="117" t="n">
        <x:f>SUM('CF_1'!EU18+'CF_1'!EU19,'CF_2'!EU18+'CF_2'!EU19,'CF_3'!EU18+'CF_3'!EU19,'CF_4'!EU18+'CF_4'!EU19)</x:f>
      </x:c>
      <x:c r="EV12" s="117" t="n">
        <x:f>SUM('CF_1'!EV18+'CF_1'!EV19,'CF_2'!EV18+'CF_2'!EV19,'CF_3'!EV18+'CF_3'!EV19,'CF_4'!EV18+'CF_4'!EV19)</x:f>
      </x:c>
      <x:c r="EW12" s="117" t="n">
        <x:f>SUM('CF_1'!EW18+'CF_1'!EW19,'CF_2'!EW18+'CF_2'!EW19,'CF_3'!EW18+'CF_3'!EW19,'CF_4'!EW18+'CF_4'!EW19)</x:f>
      </x:c>
      <x:c r="EX12" s="117" t="n">
        <x:f>SUM('CF_1'!EX18+'CF_1'!EX19,'CF_2'!EX18+'CF_2'!EX19,'CF_3'!EX18+'CF_3'!EX19,'CF_4'!EX18+'CF_4'!EX19)</x:f>
      </x:c>
      <x:c r="EY12" s="117" t="n">
        <x:f>SUM('CF_1'!EY18+'CF_1'!EY19,'CF_2'!EY18+'CF_2'!EY19,'CF_3'!EY18+'CF_3'!EY19,'CF_4'!EY18+'CF_4'!EY19)</x:f>
      </x:c>
      <x:c r="EZ12" s="117" t="n">
        <x:f>SUM('CF_1'!EZ18+'CF_1'!EZ19,'CF_2'!EZ18+'CF_2'!EZ19,'CF_3'!EZ18+'CF_3'!EZ19,'CF_4'!EZ18+'CF_4'!EZ19)</x:f>
      </x:c>
      <x:c r="FA12" s="117" t="n">
        <x:f>SUM('CF_1'!FA18+'CF_1'!FA19,'CF_2'!FA18+'CF_2'!FA19,'CF_3'!FA18+'CF_3'!FA19,'CF_4'!FA18+'CF_4'!FA19)</x:f>
      </x:c>
      <x:c r="FB12" s="117" t="n">
        <x:f>SUM('CF_1'!FB18+'CF_1'!FB19,'CF_2'!FB18+'CF_2'!FB19,'CF_3'!FB18+'CF_3'!FB19,'CF_4'!FB18+'CF_4'!FB19)</x:f>
      </x:c>
      <x:c r="FC12" s="117" t="n">
        <x:f>SUM('CF_1'!FC18+'CF_1'!FC19,'CF_2'!FC18+'CF_2'!FC19,'CF_3'!FC18+'CF_3'!FC19,'CF_4'!FC18+'CF_4'!FC19)</x:f>
      </x:c>
      <x:c r="FD12" s="117" t="n">
        <x:f>SUM('CF_1'!FD18+'CF_1'!FD19,'CF_2'!FD18+'CF_2'!FD19,'CF_3'!FD18+'CF_3'!FD19,'CF_4'!FD18+'CF_4'!FD19)</x:f>
      </x:c>
      <x:c r="FE12" s="117" t="n">
        <x:f>SUM('CF_1'!FE18+'CF_1'!FE19,'CF_2'!FE18+'CF_2'!FE19,'CF_3'!FE18+'CF_3'!FE19,'CF_4'!FE18+'CF_4'!FE19)</x:f>
      </x:c>
      <x:c r="FF12" s="117" t="n">
        <x:f>SUM('CF_1'!FF18+'CF_1'!FF19,'CF_2'!FF18+'CF_2'!FF19,'CF_3'!FF18+'CF_3'!FF19,'CF_4'!FF18+'CF_4'!FF19)</x:f>
      </x:c>
      <x:c r="FG12" s="117" t="n">
        <x:f>SUM('CF_1'!FG18+'CF_1'!FG19,'CF_2'!FG18+'CF_2'!FG19,'CF_3'!FG18+'CF_3'!FG19,'CF_4'!FG18+'CF_4'!FG19)</x:f>
      </x:c>
      <x:c r="FH12" s="117" t="n">
        <x:f>SUM('CF_1'!FH18+'CF_1'!FH19,'CF_2'!FH18+'CF_2'!FH19,'CF_3'!FH18+'CF_3'!FH19,'CF_4'!FH18+'CF_4'!FH19)</x:f>
      </x:c>
      <x:c r="FI12" s="117" t="n">
        <x:f>SUM('CF_1'!FI18+'CF_1'!FI19,'CF_2'!FI18+'CF_2'!FI19,'CF_3'!FI18+'CF_3'!FI19,'CF_4'!FI18+'CF_4'!FI19)</x:f>
      </x:c>
      <x:c r="FJ12" s="117" t="n">
        <x:f>SUM('CF_1'!FJ18+'CF_1'!FJ19,'CF_2'!FJ18+'CF_2'!FJ19,'CF_3'!FJ18+'CF_3'!FJ19,'CF_4'!FJ18+'CF_4'!FJ19)</x:f>
      </x:c>
      <x:c r="FK12" s="117" t="n">
        <x:f>SUM('CF_1'!FK18+'CF_1'!FK19,'CF_2'!FK18+'CF_2'!FK19,'CF_3'!FK18+'CF_3'!FK19,'CF_4'!FK18+'CF_4'!FK19)</x:f>
      </x:c>
      <x:c r="FL12" s="117" t="n">
        <x:f>SUM('CF_1'!FL18+'CF_1'!FL19,'CF_2'!FL18+'CF_2'!FL19,'CF_3'!FL18+'CF_3'!FL19,'CF_4'!FL18+'CF_4'!FL19)</x:f>
      </x:c>
      <x:c r="FM12" s="117" t="n">
        <x:f>SUM('CF_1'!FM18+'CF_1'!FM19,'CF_2'!FM18+'CF_2'!FM19,'CF_3'!FM18+'CF_3'!FM19,'CF_4'!FM18+'CF_4'!FM19)</x:f>
      </x:c>
      <x:c r="FN12" s="117" t="n">
        <x:f>SUM('CF_1'!FN18+'CF_1'!FN19,'CF_2'!FN18+'CF_2'!FN19,'CF_3'!FN18+'CF_3'!FN19,'CF_4'!FN18+'CF_4'!FN19)</x:f>
      </x:c>
      <x:c r="FO12" s="117" t="n">
        <x:f>SUM('CF_1'!FO18+'CF_1'!FO19,'CF_2'!FO18+'CF_2'!FO19,'CF_3'!FO18+'CF_3'!FO19,'CF_4'!FO18+'CF_4'!FO19)</x:f>
      </x:c>
      <x:c r="FP12" s="117" t="n">
        <x:f>SUM('CF_1'!FP18+'CF_1'!FP19,'CF_2'!FP18+'CF_2'!FP19,'CF_3'!FP18+'CF_3'!FP19,'CF_4'!FP18+'CF_4'!FP19)</x:f>
      </x:c>
      <x:c r="FQ12" s="117" t="n">
        <x:f>SUM('CF_1'!FQ18+'CF_1'!FQ19,'CF_2'!FQ18+'CF_2'!FQ19,'CF_3'!FQ18+'CF_3'!FQ19,'CF_4'!FQ18+'CF_4'!FQ19)</x:f>
      </x:c>
      <x:c r="FR12" s="117" t="n">
        <x:f>SUM('CF_1'!FR18+'CF_1'!FR19,'CF_2'!FR18+'CF_2'!FR19,'CF_3'!FR18+'CF_3'!FR19,'CF_4'!FR18+'CF_4'!FR19)</x:f>
      </x:c>
      <x:c r="FS12" s="117" t="n">
        <x:f>SUM('CF_1'!FS18+'CF_1'!FS19,'CF_2'!FS18+'CF_2'!FS19,'CF_3'!FS18+'CF_3'!FS19,'CF_4'!FS18+'CF_4'!FS19)</x:f>
      </x:c>
      <x:c r="FT12" s="117" t="n">
        <x:f>SUM('CF_1'!FT18+'CF_1'!FT19,'CF_2'!FT18+'CF_2'!FT19,'CF_3'!FT18+'CF_3'!FT19,'CF_4'!FT18+'CF_4'!FT19)</x:f>
      </x:c>
      <x:c r="FU12" s="117" t="n">
        <x:f>SUM('CF_1'!FU18+'CF_1'!FU19,'CF_2'!FU18+'CF_2'!FU19,'CF_3'!FU18+'CF_3'!FU19,'CF_4'!FU18+'CF_4'!FU19)</x:f>
      </x:c>
      <x:c r="FV12" s="117" t="n">
        <x:f>SUM('CF_1'!FV18+'CF_1'!FV19,'CF_2'!FV18+'CF_2'!FV19,'CF_3'!FV18+'CF_3'!FV19,'CF_4'!FV18+'CF_4'!FV19)</x:f>
      </x:c>
      <x:c r="FW12" s="117" t="n">
        <x:f>SUM('CF_1'!FW18+'CF_1'!FW19,'CF_2'!FW18+'CF_2'!FW19,'CF_3'!FW18+'CF_3'!FW19,'CF_4'!FW18+'CF_4'!FW19)</x:f>
      </x:c>
      <x:c r="FX12" s="117" t="n">
        <x:f>SUM('CF_1'!FX18+'CF_1'!FX19,'CF_2'!FX18+'CF_2'!FX19,'CF_3'!FX18+'CF_3'!FX19,'CF_4'!FX18+'CF_4'!FX19)</x:f>
      </x:c>
      <x:c r="FY12" s="117" t="n">
        <x:f>SUM('CF_1'!FY18+'CF_1'!FY19,'CF_2'!FY18+'CF_2'!FY19,'CF_3'!FY18+'CF_3'!FY19,'CF_4'!FY18+'CF_4'!FY19)</x:f>
      </x:c>
      <x:c r="FZ12" s="117" t="n">
        <x:f>SUM('CF_1'!FZ18+'CF_1'!FZ19,'CF_2'!FZ18+'CF_2'!FZ19,'CF_3'!FZ18+'CF_3'!FZ19,'CF_4'!FZ18+'CF_4'!FZ19)</x:f>
      </x:c>
      <x:c r="GA12" s="117" t="n">
        <x:f>SUM('CF_1'!GA18+'CF_1'!GA19,'CF_2'!GA18+'CF_2'!GA19,'CF_3'!GA18+'CF_3'!GA19,'CF_4'!GA18+'CF_4'!GA19)</x:f>
      </x:c>
    </x:row>
    <x:row r="13">
      <x:c r="A13" s="113" t="str">
        <x:v>Расходы проекта всего</x:v>
      </x:c>
      <x:c r="B13" s="113" t="n">
        <x:f>SUM(D13:GA13)</x:f>
      </x:c>
      <x:c r="C13" s="113" t="str">
        <x:v>млн ₽</x:v>
      </x:c>
      <x:c r="D13" s="120" t="n">
        <x:f>SUM('CF_1'!D20,'CF_2'!D20,'CF_3'!D20,'CF_4'!D20)</x:f>
      </x:c>
      <x:c r="E13" s="120" t="n">
        <x:f>SUM('CF_1'!E20,'CF_2'!E20,'CF_3'!E20,'CF_4'!E20)</x:f>
      </x:c>
      <x:c r="F13" s="120" t="n">
        <x:f>SUM('CF_1'!F20,'CF_2'!F20,'CF_3'!F20,'CF_4'!F20)</x:f>
      </x:c>
      <x:c r="G13" s="120" t="n">
        <x:f>SUM('CF_1'!G20,'CF_2'!G20,'CF_3'!G20,'CF_4'!G20)</x:f>
      </x:c>
      <x:c r="H13" s="120" t="n">
        <x:f>SUM('CF_1'!H20,'CF_2'!H20,'CF_3'!H20,'CF_4'!H20)</x:f>
      </x:c>
      <x:c r="I13" s="120" t="n">
        <x:f>SUM('CF_1'!I20,'CF_2'!I20,'CF_3'!I20,'CF_4'!I20)</x:f>
      </x:c>
      <x:c r="J13" s="120" t="n">
        <x:f>SUM('CF_1'!J20,'CF_2'!J20,'CF_3'!J20,'CF_4'!J20)</x:f>
      </x:c>
      <x:c r="K13" s="120" t="n">
        <x:f>SUM('CF_1'!K20,'CF_2'!K20,'CF_3'!K20,'CF_4'!K20)</x:f>
      </x:c>
      <x:c r="L13" s="120" t="n">
        <x:f>SUM('CF_1'!L20,'CF_2'!L20,'CF_3'!L20,'CF_4'!L20)</x:f>
      </x:c>
      <x:c r="M13" s="120" t="n">
        <x:f>SUM('CF_1'!M20,'CF_2'!M20,'CF_3'!M20,'CF_4'!M20)</x:f>
      </x:c>
      <x:c r="N13" s="120" t="n">
        <x:f>SUM('CF_1'!N20,'CF_2'!N20,'CF_3'!N20,'CF_4'!N20)</x:f>
      </x:c>
      <x:c r="O13" s="120" t="n">
        <x:f>SUM('CF_1'!O20,'CF_2'!O20,'CF_3'!O20,'CF_4'!O20)</x:f>
      </x:c>
      <x:c r="P13" s="120" t="n">
        <x:f>SUM('CF_1'!P20,'CF_2'!P20,'CF_3'!P20,'CF_4'!P20)</x:f>
      </x:c>
      <x:c r="Q13" s="120" t="n">
        <x:f>SUM('CF_1'!Q20,'CF_2'!Q20,'CF_3'!Q20,'CF_4'!Q20)</x:f>
      </x:c>
      <x:c r="R13" s="120" t="n">
        <x:f>SUM('CF_1'!R20,'CF_2'!R20,'CF_3'!R20,'CF_4'!R20)</x:f>
      </x:c>
      <x:c r="S13" s="120" t="n">
        <x:f>SUM('CF_1'!S20,'CF_2'!S20,'CF_3'!S20,'CF_4'!S20)</x:f>
      </x:c>
      <x:c r="T13" s="120" t="n">
        <x:f>SUM('CF_1'!T20,'CF_2'!T20,'CF_3'!T20,'CF_4'!T20)</x:f>
      </x:c>
      <x:c r="U13" s="120" t="n">
        <x:f>SUM('CF_1'!U20,'CF_2'!U20,'CF_3'!U20,'CF_4'!U20)</x:f>
      </x:c>
      <x:c r="V13" s="120" t="n">
        <x:f>SUM('CF_1'!V20,'CF_2'!V20,'CF_3'!V20,'CF_4'!V20)</x:f>
      </x:c>
      <x:c r="W13" s="120" t="n">
        <x:f>SUM('CF_1'!W20,'CF_2'!W20,'CF_3'!W20,'CF_4'!W20)</x:f>
      </x:c>
      <x:c r="X13" s="120" t="n">
        <x:f>SUM('CF_1'!X20,'CF_2'!X20,'CF_3'!X20,'CF_4'!X20)</x:f>
      </x:c>
      <x:c r="Y13" s="120" t="n">
        <x:f>SUM('CF_1'!Y20,'CF_2'!Y20,'CF_3'!Y20,'CF_4'!Y20)</x:f>
      </x:c>
      <x:c r="Z13" s="120" t="n">
        <x:f>SUM('CF_1'!Z20,'CF_2'!Z20,'CF_3'!Z20,'CF_4'!Z20)</x:f>
      </x:c>
      <x:c r="AA13" s="120" t="n">
        <x:f>SUM('CF_1'!AA20,'CF_2'!AA20,'CF_3'!AA20,'CF_4'!AA20)</x:f>
      </x:c>
      <x:c r="AB13" s="120" t="n">
        <x:f>SUM('CF_1'!AB20,'CF_2'!AB20,'CF_3'!AB20,'CF_4'!AB20)</x:f>
      </x:c>
      <x:c r="AC13" s="120" t="n">
        <x:f>SUM('CF_1'!AC20,'CF_2'!AC20,'CF_3'!AC20,'CF_4'!AC20)</x:f>
      </x:c>
      <x:c r="AD13" s="120" t="n">
        <x:f>SUM('CF_1'!AD20,'CF_2'!AD20,'CF_3'!AD20,'CF_4'!AD20)</x:f>
      </x:c>
      <x:c r="AE13" s="120" t="n">
        <x:f>SUM('CF_1'!AE20,'CF_2'!AE20,'CF_3'!AE20,'CF_4'!AE20)</x:f>
      </x:c>
      <x:c r="AF13" s="120" t="n">
        <x:f>SUM('CF_1'!AF20,'CF_2'!AF20,'CF_3'!AF20,'CF_4'!AF20)</x:f>
      </x:c>
      <x:c r="AG13" s="120" t="n">
        <x:f>SUM('CF_1'!AG20,'CF_2'!AG20,'CF_3'!AG20,'CF_4'!AG20)</x:f>
      </x:c>
      <x:c r="AH13" s="120" t="n">
        <x:f>SUM('CF_1'!AH20,'CF_2'!AH20,'CF_3'!AH20,'CF_4'!AH20)</x:f>
      </x:c>
      <x:c r="AI13" s="120" t="n">
        <x:f>SUM('CF_1'!AI20,'CF_2'!AI20,'CF_3'!AI20,'CF_4'!AI20)</x:f>
      </x:c>
      <x:c r="AJ13" s="120" t="n">
        <x:f>SUM('CF_1'!AJ20,'CF_2'!AJ20,'CF_3'!AJ20,'CF_4'!AJ20)</x:f>
      </x:c>
      <x:c r="AK13" s="120" t="n">
        <x:f>SUM('CF_1'!AK20,'CF_2'!AK20,'CF_3'!AK20,'CF_4'!AK20)</x:f>
      </x:c>
      <x:c r="AL13" s="120" t="n">
        <x:f>SUM('CF_1'!AL20,'CF_2'!AL20,'CF_3'!AL20,'CF_4'!AL20)</x:f>
      </x:c>
      <x:c r="AM13" s="120" t="n">
        <x:f>SUM('CF_1'!AM20,'CF_2'!AM20,'CF_3'!AM20,'CF_4'!AM20)</x:f>
      </x:c>
      <x:c r="AN13" s="120" t="n">
        <x:f>SUM('CF_1'!AN20,'CF_2'!AN20,'CF_3'!AN20,'CF_4'!AN20)</x:f>
      </x:c>
      <x:c r="AO13" s="120" t="n">
        <x:f>SUM('CF_1'!AO20,'CF_2'!AO20,'CF_3'!AO20,'CF_4'!AO20)</x:f>
      </x:c>
      <x:c r="AP13" s="120" t="n">
        <x:f>SUM('CF_1'!AP20,'CF_2'!AP20,'CF_3'!AP20,'CF_4'!AP20)</x:f>
      </x:c>
      <x:c r="AQ13" s="120" t="n">
        <x:f>SUM('CF_1'!AQ20,'CF_2'!AQ20,'CF_3'!AQ20,'CF_4'!AQ20)</x:f>
      </x:c>
      <x:c r="AR13" s="120" t="n">
        <x:f>SUM('CF_1'!AR20,'CF_2'!AR20,'CF_3'!AR20,'CF_4'!AR20)</x:f>
      </x:c>
      <x:c r="AS13" s="120" t="n">
        <x:f>SUM('CF_1'!AS20,'CF_2'!AS20,'CF_3'!AS20,'CF_4'!AS20)</x:f>
      </x:c>
      <x:c r="AT13" s="120" t="n">
        <x:f>SUM('CF_1'!AT20,'CF_2'!AT20,'CF_3'!AT20,'CF_4'!AT20)</x:f>
      </x:c>
      <x:c r="AU13" s="120" t="n">
        <x:f>SUM('CF_1'!AU20,'CF_2'!AU20,'CF_3'!AU20,'CF_4'!AU20)</x:f>
      </x:c>
      <x:c r="AV13" s="120" t="n">
        <x:f>SUM('CF_1'!AV20,'CF_2'!AV20,'CF_3'!AV20,'CF_4'!AV20)</x:f>
      </x:c>
      <x:c r="AW13" s="120" t="n">
        <x:f>SUM('CF_1'!AW20,'CF_2'!AW20,'CF_3'!AW20,'CF_4'!AW20)</x:f>
      </x:c>
      <x:c r="AX13" s="120" t="n">
        <x:f>SUM('CF_1'!AX20,'CF_2'!AX20,'CF_3'!AX20,'CF_4'!AX20)</x:f>
      </x:c>
      <x:c r="AY13" s="120" t="n">
        <x:f>SUM('CF_1'!AY20,'CF_2'!AY20,'CF_3'!AY20,'CF_4'!AY20)</x:f>
      </x:c>
      <x:c r="AZ13" s="120" t="n">
        <x:f>SUM('CF_1'!AZ20,'CF_2'!AZ20,'CF_3'!AZ20,'CF_4'!AZ20)</x:f>
      </x:c>
      <x:c r="BA13" s="120" t="n">
        <x:f>SUM('CF_1'!BA20,'CF_2'!BA20,'CF_3'!BA20,'CF_4'!BA20)</x:f>
      </x:c>
      <x:c r="BB13" s="120" t="n">
        <x:f>SUM('CF_1'!BB20,'CF_2'!BB20,'CF_3'!BB20,'CF_4'!BB20)</x:f>
      </x:c>
      <x:c r="BC13" s="120" t="n">
        <x:f>SUM('CF_1'!BC20,'CF_2'!BC20,'CF_3'!BC20,'CF_4'!BC20)</x:f>
      </x:c>
      <x:c r="BD13" s="120" t="n">
        <x:f>SUM('CF_1'!BD20,'CF_2'!BD20,'CF_3'!BD20,'CF_4'!BD20)</x:f>
      </x:c>
      <x:c r="BE13" s="120" t="n">
        <x:f>SUM('CF_1'!BE20,'CF_2'!BE20,'CF_3'!BE20,'CF_4'!BE20)</x:f>
      </x:c>
      <x:c r="BF13" s="120" t="n">
        <x:f>SUM('CF_1'!BF20,'CF_2'!BF20,'CF_3'!BF20,'CF_4'!BF20)</x:f>
      </x:c>
      <x:c r="BG13" s="120" t="n">
        <x:f>SUM('CF_1'!BG20,'CF_2'!BG20,'CF_3'!BG20,'CF_4'!BG20)</x:f>
      </x:c>
      <x:c r="BH13" s="120" t="n">
        <x:f>SUM('CF_1'!BH20,'CF_2'!BH20,'CF_3'!BH20,'CF_4'!BH20)</x:f>
      </x:c>
      <x:c r="BI13" s="120" t="n">
        <x:f>SUM('CF_1'!BI20,'CF_2'!BI20,'CF_3'!BI20,'CF_4'!BI20)</x:f>
      </x:c>
      <x:c r="BJ13" s="120" t="n">
        <x:f>SUM('CF_1'!BJ20,'CF_2'!BJ20,'CF_3'!BJ20,'CF_4'!BJ20)</x:f>
      </x:c>
      <x:c r="BK13" s="120" t="n">
        <x:f>SUM('CF_1'!BK20,'CF_2'!BK20,'CF_3'!BK20,'CF_4'!BK20)</x:f>
      </x:c>
      <x:c r="BL13" s="120" t="n">
        <x:f>SUM('CF_1'!BL20,'CF_2'!BL20,'CF_3'!BL20,'CF_4'!BL20)</x:f>
      </x:c>
      <x:c r="BM13" s="120" t="n">
        <x:f>SUM('CF_1'!BM20,'CF_2'!BM20,'CF_3'!BM20,'CF_4'!BM20)</x:f>
      </x:c>
      <x:c r="BN13" s="120" t="n">
        <x:f>SUM('CF_1'!BN20,'CF_2'!BN20,'CF_3'!BN20,'CF_4'!BN20)</x:f>
      </x:c>
      <x:c r="BO13" s="120" t="n">
        <x:f>SUM('CF_1'!BO20,'CF_2'!BO20,'CF_3'!BO20,'CF_4'!BO20)</x:f>
      </x:c>
      <x:c r="BP13" s="120" t="n">
        <x:f>SUM('CF_1'!BP20,'CF_2'!BP20,'CF_3'!BP20,'CF_4'!BP20)</x:f>
      </x:c>
      <x:c r="BQ13" s="120" t="n">
        <x:f>SUM('CF_1'!BQ20,'CF_2'!BQ20,'CF_3'!BQ20,'CF_4'!BQ20)</x:f>
      </x:c>
      <x:c r="BR13" s="120" t="n">
        <x:f>SUM('CF_1'!BR20,'CF_2'!BR20,'CF_3'!BR20,'CF_4'!BR20)</x:f>
      </x:c>
      <x:c r="BS13" s="120" t="n">
        <x:f>SUM('CF_1'!BS20,'CF_2'!BS20,'CF_3'!BS20,'CF_4'!BS20)</x:f>
      </x:c>
      <x:c r="BT13" s="120" t="n">
        <x:f>SUM('CF_1'!BT20,'CF_2'!BT20,'CF_3'!BT20,'CF_4'!BT20)</x:f>
      </x:c>
      <x:c r="BU13" s="120" t="n">
        <x:f>SUM('CF_1'!BU20,'CF_2'!BU20,'CF_3'!BU20,'CF_4'!BU20)</x:f>
      </x:c>
      <x:c r="BV13" s="120" t="n">
        <x:f>SUM('CF_1'!BV20,'CF_2'!BV20,'CF_3'!BV20,'CF_4'!BV20)</x:f>
      </x:c>
      <x:c r="BW13" s="120" t="n">
        <x:f>SUM('CF_1'!BW20,'CF_2'!BW20,'CF_3'!BW20,'CF_4'!BW20)</x:f>
      </x:c>
      <x:c r="BX13" s="120" t="n">
        <x:f>SUM('CF_1'!BX20,'CF_2'!BX20,'CF_3'!BX20,'CF_4'!BX20)</x:f>
      </x:c>
      <x:c r="BY13" s="120" t="n">
        <x:f>SUM('CF_1'!BY20,'CF_2'!BY20,'CF_3'!BY20,'CF_4'!BY20)</x:f>
      </x:c>
      <x:c r="BZ13" s="120" t="n">
        <x:f>SUM('CF_1'!BZ20,'CF_2'!BZ20,'CF_3'!BZ20,'CF_4'!BZ20)</x:f>
      </x:c>
      <x:c r="CA13" s="120" t="n">
        <x:f>SUM('CF_1'!CA20,'CF_2'!CA20,'CF_3'!CA20,'CF_4'!CA20)</x:f>
      </x:c>
      <x:c r="CB13" s="120" t="n">
        <x:f>SUM('CF_1'!CB20,'CF_2'!CB20,'CF_3'!CB20,'CF_4'!CB20)</x:f>
      </x:c>
      <x:c r="CC13" s="120" t="n">
        <x:f>SUM('CF_1'!CC20,'CF_2'!CC20,'CF_3'!CC20,'CF_4'!CC20)</x:f>
      </x:c>
      <x:c r="CD13" s="120" t="n">
        <x:f>SUM('CF_1'!CD20,'CF_2'!CD20,'CF_3'!CD20,'CF_4'!CD20)</x:f>
      </x:c>
      <x:c r="CE13" s="120" t="n">
        <x:f>SUM('CF_1'!CE20,'CF_2'!CE20,'CF_3'!CE20,'CF_4'!CE20)</x:f>
      </x:c>
      <x:c r="CF13" s="120" t="n">
        <x:f>SUM('CF_1'!CF20,'CF_2'!CF20,'CF_3'!CF20,'CF_4'!CF20)</x:f>
      </x:c>
      <x:c r="CG13" s="120" t="n">
        <x:f>SUM('CF_1'!CG20,'CF_2'!CG20,'CF_3'!CG20,'CF_4'!CG20)</x:f>
      </x:c>
      <x:c r="CH13" s="120" t="n">
        <x:f>SUM('CF_1'!CH20,'CF_2'!CH20,'CF_3'!CH20,'CF_4'!CH20)</x:f>
      </x:c>
      <x:c r="CI13" s="120" t="n">
        <x:f>SUM('CF_1'!CI20,'CF_2'!CI20,'CF_3'!CI20,'CF_4'!CI20)</x:f>
      </x:c>
      <x:c r="CJ13" s="120" t="n">
        <x:f>SUM('CF_1'!CJ20,'CF_2'!CJ20,'CF_3'!CJ20,'CF_4'!CJ20)</x:f>
      </x:c>
      <x:c r="CK13" s="120" t="n">
        <x:f>SUM('CF_1'!CK20,'CF_2'!CK20,'CF_3'!CK20,'CF_4'!CK20)</x:f>
      </x:c>
      <x:c r="CL13" s="120" t="n">
        <x:f>SUM('CF_1'!CL20,'CF_2'!CL20,'CF_3'!CL20,'CF_4'!CL20)</x:f>
      </x:c>
      <x:c r="CM13" s="120" t="n">
        <x:f>SUM('CF_1'!CM20,'CF_2'!CM20,'CF_3'!CM20,'CF_4'!CM20)</x:f>
      </x:c>
      <x:c r="CN13" s="120" t="n">
        <x:f>SUM('CF_1'!CN20,'CF_2'!CN20,'CF_3'!CN20,'CF_4'!CN20)</x:f>
      </x:c>
      <x:c r="CO13" s="120" t="n">
        <x:f>SUM('CF_1'!CO20,'CF_2'!CO20,'CF_3'!CO20,'CF_4'!CO20)</x:f>
      </x:c>
      <x:c r="CP13" s="120" t="n">
        <x:f>SUM('CF_1'!CP20,'CF_2'!CP20,'CF_3'!CP20,'CF_4'!CP20)</x:f>
      </x:c>
      <x:c r="CQ13" s="120" t="n">
        <x:f>SUM('CF_1'!CQ20,'CF_2'!CQ20,'CF_3'!CQ20,'CF_4'!CQ20)</x:f>
      </x:c>
      <x:c r="CR13" s="120" t="n">
        <x:f>SUM('CF_1'!CR20,'CF_2'!CR20,'CF_3'!CR20,'CF_4'!CR20)</x:f>
      </x:c>
      <x:c r="CS13" s="120" t="n">
        <x:f>SUM('CF_1'!CS20,'CF_2'!CS20,'CF_3'!CS20,'CF_4'!CS20)</x:f>
      </x:c>
      <x:c r="CT13" s="120" t="n">
        <x:f>SUM('CF_1'!CT20,'CF_2'!CT20,'CF_3'!CT20,'CF_4'!CT20)</x:f>
      </x:c>
      <x:c r="CU13" s="120" t="n">
        <x:f>SUM('CF_1'!CU20,'CF_2'!CU20,'CF_3'!CU20,'CF_4'!CU20)</x:f>
      </x:c>
      <x:c r="CV13" s="120" t="n">
        <x:f>SUM('CF_1'!CV20,'CF_2'!CV20,'CF_3'!CV20,'CF_4'!CV20)</x:f>
      </x:c>
      <x:c r="CW13" s="120" t="n">
        <x:f>SUM('CF_1'!CW20,'CF_2'!CW20,'CF_3'!CW20,'CF_4'!CW20)</x:f>
      </x:c>
      <x:c r="CX13" s="120" t="n">
        <x:f>SUM('CF_1'!CX20,'CF_2'!CX20,'CF_3'!CX20,'CF_4'!CX20)</x:f>
      </x:c>
      <x:c r="CY13" s="120" t="n">
        <x:f>SUM('CF_1'!CY20,'CF_2'!CY20,'CF_3'!CY20,'CF_4'!CY20)</x:f>
      </x:c>
      <x:c r="CZ13" s="120" t="n">
        <x:f>SUM('CF_1'!CZ20,'CF_2'!CZ20,'CF_3'!CZ20,'CF_4'!CZ20)</x:f>
      </x:c>
      <x:c r="DA13" s="120" t="n">
        <x:f>SUM('CF_1'!DA20,'CF_2'!DA20,'CF_3'!DA20,'CF_4'!DA20)</x:f>
      </x:c>
      <x:c r="DB13" s="120" t="n">
        <x:f>SUM('CF_1'!DB20,'CF_2'!DB20,'CF_3'!DB20,'CF_4'!DB20)</x:f>
      </x:c>
      <x:c r="DC13" s="120" t="n">
        <x:f>SUM('CF_1'!DC20,'CF_2'!DC20,'CF_3'!DC20,'CF_4'!DC20)</x:f>
      </x:c>
      <x:c r="DD13" s="120" t="n">
        <x:f>SUM('CF_1'!DD20,'CF_2'!DD20,'CF_3'!DD20,'CF_4'!DD20)</x:f>
      </x:c>
      <x:c r="DE13" s="120" t="n">
        <x:f>SUM('CF_1'!DE20,'CF_2'!DE20,'CF_3'!DE20,'CF_4'!DE20)</x:f>
      </x:c>
      <x:c r="DF13" s="120" t="n">
        <x:f>SUM('CF_1'!DF20,'CF_2'!DF20,'CF_3'!DF20,'CF_4'!DF20)</x:f>
      </x:c>
      <x:c r="DG13" s="120" t="n">
        <x:f>SUM('CF_1'!DG20,'CF_2'!DG20,'CF_3'!DG20,'CF_4'!DG20)</x:f>
      </x:c>
      <x:c r="DH13" s="120" t="n">
        <x:f>SUM('CF_1'!DH20,'CF_2'!DH20,'CF_3'!DH20,'CF_4'!DH20)</x:f>
      </x:c>
      <x:c r="DI13" s="120" t="n">
        <x:f>SUM('CF_1'!DI20,'CF_2'!DI20,'CF_3'!DI20,'CF_4'!DI20)</x:f>
      </x:c>
      <x:c r="DJ13" s="120" t="n">
        <x:f>SUM('CF_1'!DJ20,'CF_2'!DJ20,'CF_3'!DJ20,'CF_4'!DJ20)</x:f>
      </x:c>
      <x:c r="DK13" s="120" t="n">
        <x:f>SUM('CF_1'!DK20,'CF_2'!DK20,'CF_3'!DK20,'CF_4'!DK20)</x:f>
      </x:c>
      <x:c r="DL13" s="120" t="n">
        <x:f>SUM('CF_1'!DL20,'CF_2'!DL20,'CF_3'!DL20,'CF_4'!DL20)</x:f>
      </x:c>
      <x:c r="DM13" s="120" t="n">
        <x:f>SUM('CF_1'!DM20,'CF_2'!DM20,'CF_3'!DM20,'CF_4'!DM20)</x:f>
      </x:c>
      <x:c r="DN13" s="120" t="n">
        <x:f>SUM('CF_1'!DN20,'CF_2'!DN20,'CF_3'!DN20,'CF_4'!DN20)</x:f>
      </x:c>
      <x:c r="DO13" s="120" t="n">
        <x:f>SUM('CF_1'!DO20,'CF_2'!DO20,'CF_3'!DO20,'CF_4'!DO20)</x:f>
      </x:c>
      <x:c r="DP13" s="120" t="n">
        <x:f>SUM('CF_1'!DP20,'CF_2'!DP20,'CF_3'!DP20,'CF_4'!DP20)</x:f>
      </x:c>
      <x:c r="DQ13" s="120" t="n">
        <x:f>SUM('CF_1'!DQ20,'CF_2'!DQ20,'CF_3'!DQ20,'CF_4'!DQ20)</x:f>
      </x:c>
      <x:c r="DR13" s="120" t="n">
        <x:f>SUM('CF_1'!DR20,'CF_2'!DR20,'CF_3'!DR20,'CF_4'!DR20)</x:f>
      </x:c>
      <x:c r="DS13" s="120" t="n">
        <x:f>SUM('CF_1'!DS20,'CF_2'!DS20,'CF_3'!DS20,'CF_4'!DS20)</x:f>
      </x:c>
      <x:c r="DT13" s="120" t="n">
        <x:f>SUM('CF_1'!DT20,'CF_2'!DT20,'CF_3'!DT20,'CF_4'!DT20)</x:f>
      </x:c>
      <x:c r="DU13" s="120" t="n">
        <x:f>SUM('CF_1'!DU20,'CF_2'!DU20,'CF_3'!DU20,'CF_4'!DU20)</x:f>
      </x:c>
      <x:c r="DV13" s="120" t="n">
        <x:f>SUM('CF_1'!DV20,'CF_2'!DV20,'CF_3'!DV20,'CF_4'!DV20)</x:f>
      </x:c>
      <x:c r="DW13" s="120" t="n">
        <x:f>SUM('CF_1'!DW20,'CF_2'!DW20,'CF_3'!DW20,'CF_4'!DW20)</x:f>
      </x:c>
      <x:c r="DX13" s="120" t="n">
        <x:f>SUM('CF_1'!DX20,'CF_2'!DX20,'CF_3'!DX20,'CF_4'!DX20)</x:f>
      </x:c>
      <x:c r="DY13" s="120" t="n">
        <x:f>SUM('CF_1'!DY20,'CF_2'!DY20,'CF_3'!DY20,'CF_4'!DY20)</x:f>
      </x:c>
      <x:c r="DZ13" s="120" t="n">
        <x:f>SUM('CF_1'!DZ20,'CF_2'!DZ20,'CF_3'!DZ20,'CF_4'!DZ20)</x:f>
      </x:c>
      <x:c r="EA13" s="120" t="n">
        <x:f>SUM('CF_1'!EA20,'CF_2'!EA20,'CF_3'!EA20,'CF_4'!EA20)</x:f>
      </x:c>
      <x:c r="EB13" s="120" t="n">
        <x:f>SUM('CF_1'!EB20,'CF_2'!EB20,'CF_3'!EB20,'CF_4'!EB20)</x:f>
      </x:c>
      <x:c r="EC13" s="120" t="n">
        <x:f>SUM('CF_1'!EC20,'CF_2'!EC20,'CF_3'!EC20,'CF_4'!EC20)</x:f>
      </x:c>
      <x:c r="ED13" s="120" t="n">
        <x:f>SUM('CF_1'!ED20,'CF_2'!ED20,'CF_3'!ED20,'CF_4'!ED20)</x:f>
      </x:c>
      <x:c r="EE13" s="120" t="n">
        <x:f>SUM('CF_1'!EE20,'CF_2'!EE20,'CF_3'!EE20,'CF_4'!EE20)</x:f>
      </x:c>
      <x:c r="EF13" s="120" t="n">
        <x:f>SUM('CF_1'!EF20,'CF_2'!EF20,'CF_3'!EF20,'CF_4'!EF20)</x:f>
      </x:c>
      <x:c r="EG13" s="120" t="n">
        <x:f>SUM('CF_1'!EG20,'CF_2'!EG20,'CF_3'!EG20,'CF_4'!EG20)</x:f>
      </x:c>
      <x:c r="EH13" s="120" t="n">
        <x:f>SUM('CF_1'!EH20,'CF_2'!EH20,'CF_3'!EH20,'CF_4'!EH20)</x:f>
      </x:c>
      <x:c r="EI13" s="120" t="n">
        <x:f>SUM('CF_1'!EI20,'CF_2'!EI20,'CF_3'!EI20,'CF_4'!EI20)</x:f>
      </x:c>
      <x:c r="EJ13" s="120" t="n">
        <x:f>SUM('CF_1'!EJ20,'CF_2'!EJ20,'CF_3'!EJ20,'CF_4'!EJ20)</x:f>
      </x:c>
      <x:c r="EK13" s="120" t="n">
        <x:f>SUM('CF_1'!EK20,'CF_2'!EK20,'CF_3'!EK20,'CF_4'!EK20)</x:f>
      </x:c>
      <x:c r="EL13" s="120" t="n">
        <x:f>SUM('CF_1'!EL20,'CF_2'!EL20,'CF_3'!EL20,'CF_4'!EL20)</x:f>
      </x:c>
      <x:c r="EM13" s="120" t="n">
        <x:f>SUM('CF_1'!EM20,'CF_2'!EM20,'CF_3'!EM20,'CF_4'!EM20)</x:f>
      </x:c>
      <x:c r="EN13" s="120" t="n">
        <x:f>SUM('CF_1'!EN20,'CF_2'!EN20,'CF_3'!EN20,'CF_4'!EN20)</x:f>
      </x:c>
      <x:c r="EO13" s="120" t="n">
        <x:f>SUM('CF_1'!EO20,'CF_2'!EO20,'CF_3'!EO20,'CF_4'!EO20)</x:f>
      </x:c>
      <x:c r="EP13" s="120" t="n">
        <x:f>SUM('CF_1'!EP20,'CF_2'!EP20,'CF_3'!EP20,'CF_4'!EP20)</x:f>
      </x:c>
      <x:c r="EQ13" s="120" t="n">
        <x:f>SUM('CF_1'!EQ20,'CF_2'!EQ20,'CF_3'!EQ20,'CF_4'!EQ20)</x:f>
      </x:c>
      <x:c r="ER13" s="120" t="n">
        <x:f>SUM('CF_1'!ER20,'CF_2'!ER20,'CF_3'!ER20,'CF_4'!ER20)</x:f>
      </x:c>
      <x:c r="ES13" s="120" t="n">
        <x:f>SUM('CF_1'!ES20,'CF_2'!ES20,'CF_3'!ES20,'CF_4'!ES20)</x:f>
      </x:c>
      <x:c r="ET13" s="120" t="n">
        <x:f>SUM('CF_1'!ET20,'CF_2'!ET20,'CF_3'!ET20,'CF_4'!ET20)</x:f>
      </x:c>
      <x:c r="EU13" s="120" t="n">
        <x:f>SUM('CF_1'!EU20,'CF_2'!EU20,'CF_3'!EU20,'CF_4'!EU20)</x:f>
      </x:c>
      <x:c r="EV13" s="120" t="n">
        <x:f>SUM('CF_1'!EV20,'CF_2'!EV20,'CF_3'!EV20,'CF_4'!EV20)</x:f>
      </x:c>
      <x:c r="EW13" s="120" t="n">
        <x:f>SUM('CF_1'!EW20,'CF_2'!EW20,'CF_3'!EW20,'CF_4'!EW20)</x:f>
      </x:c>
      <x:c r="EX13" s="120" t="n">
        <x:f>SUM('CF_1'!EX20,'CF_2'!EX20,'CF_3'!EX20,'CF_4'!EX20)</x:f>
      </x:c>
      <x:c r="EY13" s="120" t="n">
        <x:f>SUM('CF_1'!EY20,'CF_2'!EY20,'CF_3'!EY20,'CF_4'!EY20)</x:f>
      </x:c>
      <x:c r="EZ13" s="120" t="n">
        <x:f>SUM('CF_1'!EZ20,'CF_2'!EZ20,'CF_3'!EZ20,'CF_4'!EZ20)</x:f>
      </x:c>
      <x:c r="FA13" s="120" t="n">
        <x:f>SUM('CF_1'!FA20,'CF_2'!FA20,'CF_3'!FA20,'CF_4'!FA20)</x:f>
      </x:c>
      <x:c r="FB13" s="120" t="n">
        <x:f>SUM('CF_1'!FB20,'CF_2'!FB20,'CF_3'!FB20,'CF_4'!FB20)</x:f>
      </x:c>
      <x:c r="FC13" s="120" t="n">
        <x:f>SUM('CF_1'!FC20,'CF_2'!FC20,'CF_3'!FC20,'CF_4'!FC20)</x:f>
      </x:c>
      <x:c r="FD13" s="120" t="n">
        <x:f>SUM('CF_1'!FD20,'CF_2'!FD20,'CF_3'!FD20,'CF_4'!FD20)</x:f>
      </x:c>
      <x:c r="FE13" s="120" t="n">
        <x:f>SUM('CF_1'!FE20,'CF_2'!FE20,'CF_3'!FE20,'CF_4'!FE20)</x:f>
      </x:c>
      <x:c r="FF13" s="120" t="n">
        <x:f>SUM('CF_1'!FF20,'CF_2'!FF20,'CF_3'!FF20,'CF_4'!FF20)</x:f>
      </x:c>
      <x:c r="FG13" s="120" t="n">
        <x:f>SUM('CF_1'!FG20,'CF_2'!FG20,'CF_3'!FG20,'CF_4'!FG20)</x:f>
      </x:c>
      <x:c r="FH13" s="120" t="n">
        <x:f>SUM('CF_1'!FH20,'CF_2'!FH20,'CF_3'!FH20,'CF_4'!FH20)</x:f>
      </x:c>
      <x:c r="FI13" s="120" t="n">
        <x:f>SUM('CF_1'!FI20,'CF_2'!FI20,'CF_3'!FI20,'CF_4'!FI20)</x:f>
      </x:c>
      <x:c r="FJ13" s="120" t="n">
        <x:f>SUM('CF_1'!FJ20,'CF_2'!FJ20,'CF_3'!FJ20,'CF_4'!FJ20)</x:f>
      </x:c>
      <x:c r="FK13" s="120" t="n">
        <x:f>SUM('CF_1'!FK20,'CF_2'!FK20,'CF_3'!FK20,'CF_4'!FK20)</x:f>
      </x:c>
      <x:c r="FL13" s="120" t="n">
        <x:f>SUM('CF_1'!FL20,'CF_2'!FL20,'CF_3'!FL20,'CF_4'!FL20)</x:f>
      </x:c>
      <x:c r="FM13" s="120" t="n">
        <x:f>SUM('CF_1'!FM20,'CF_2'!FM20,'CF_3'!FM20,'CF_4'!FM20)</x:f>
      </x:c>
      <x:c r="FN13" s="120" t="n">
        <x:f>SUM('CF_1'!FN20,'CF_2'!FN20,'CF_3'!FN20,'CF_4'!FN20)</x:f>
      </x:c>
      <x:c r="FO13" s="120" t="n">
        <x:f>SUM('CF_1'!FO20,'CF_2'!FO20,'CF_3'!FO20,'CF_4'!FO20)</x:f>
      </x:c>
      <x:c r="FP13" s="120" t="n">
        <x:f>SUM('CF_1'!FP20,'CF_2'!FP20,'CF_3'!FP20,'CF_4'!FP20)</x:f>
      </x:c>
      <x:c r="FQ13" s="120" t="n">
        <x:f>SUM('CF_1'!FQ20,'CF_2'!FQ20,'CF_3'!FQ20,'CF_4'!FQ20)</x:f>
      </x:c>
      <x:c r="FR13" s="120" t="n">
        <x:f>SUM('CF_1'!FR20,'CF_2'!FR20,'CF_3'!FR20,'CF_4'!FR20)</x:f>
      </x:c>
      <x:c r="FS13" s="120" t="n">
        <x:f>SUM('CF_1'!FS20,'CF_2'!FS20,'CF_3'!FS20,'CF_4'!FS20)</x:f>
      </x:c>
      <x:c r="FT13" s="120" t="n">
        <x:f>SUM('CF_1'!FT20,'CF_2'!FT20,'CF_3'!FT20,'CF_4'!FT20)</x:f>
      </x:c>
      <x:c r="FU13" s="120" t="n">
        <x:f>SUM('CF_1'!FU20,'CF_2'!FU20,'CF_3'!FU20,'CF_4'!FU20)</x:f>
      </x:c>
      <x:c r="FV13" s="120" t="n">
        <x:f>SUM('CF_1'!FV20,'CF_2'!FV20,'CF_3'!FV20,'CF_4'!FV20)</x:f>
      </x:c>
      <x:c r="FW13" s="120" t="n">
        <x:f>SUM('CF_1'!FW20,'CF_2'!FW20,'CF_3'!FW20,'CF_4'!FW20)</x:f>
      </x:c>
      <x:c r="FX13" s="120" t="n">
        <x:f>SUM('CF_1'!FX20,'CF_2'!FX20,'CF_3'!FX20,'CF_4'!FX20)</x:f>
      </x:c>
      <x:c r="FY13" s="120" t="n">
        <x:f>SUM('CF_1'!FY20,'CF_2'!FY20,'CF_3'!FY20,'CF_4'!FY20)</x:f>
      </x:c>
      <x:c r="FZ13" s="120" t="n">
        <x:f>SUM('CF_1'!FZ20,'CF_2'!FZ20,'CF_3'!FZ20,'CF_4'!FZ20)</x:f>
      </x:c>
      <x:c r="GA13" s="120" t="n">
        <x:f>SUM('CF_1'!GA20,'CF_2'!GA20,'CF_3'!GA20,'CF_4'!GA20)</x:f>
      </x:c>
    </x:row>
    <x:row r="14">
      <x:c r="A14" t="str">
        <x:v>Налог на прибыль</x:v>
      </x:c>
      <x:c r="B14" t="n">
        <x:f>SUM(D14:GA14)</x:f>
      </x:c>
      <x:c r="C14" t="str">
        <x:v>млн ₽</x:v>
      </x:c>
      <x:c r="D14" s="117" t="n">
        <x:f>SUM('CF_1'!D24,'CF_2'!D24,'CF_3'!D24,'CF_4'!D24)</x:f>
      </x:c>
      <x:c r="E14" s="117" t="n">
        <x:f>SUM('CF_1'!E24,'CF_2'!E24,'CF_3'!E24,'CF_4'!E24)</x:f>
      </x:c>
      <x:c r="F14" s="117" t="n">
        <x:f>SUM('CF_1'!F24,'CF_2'!F24,'CF_3'!F24,'CF_4'!F24)</x:f>
      </x:c>
      <x:c r="G14" s="117" t="n">
        <x:f>SUM('CF_1'!G24,'CF_2'!G24,'CF_3'!G24,'CF_4'!G24)</x:f>
      </x:c>
      <x:c r="H14" s="117" t="n">
        <x:f>SUM('CF_1'!H24,'CF_2'!H24,'CF_3'!H24,'CF_4'!H24)</x:f>
      </x:c>
      <x:c r="I14" s="117" t="n">
        <x:f>SUM('CF_1'!I24,'CF_2'!I24,'CF_3'!I24,'CF_4'!I24)</x:f>
      </x:c>
      <x:c r="J14" s="117" t="n">
        <x:f>SUM('CF_1'!J24,'CF_2'!J24,'CF_3'!J24,'CF_4'!J24)</x:f>
      </x:c>
      <x:c r="K14" s="117" t="n">
        <x:f>SUM('CF_1'!K24,'CF_2'!K24,'CF_3'!K24,'CF_4'!K24)</x:f>
      </x:c>
      <x:c r="L14" s="117" t="n">
        <x:f>SUM('CF_1'!L24,'CF_2'!L24,'CF_3'!L24,'CF_4'!L24)</x:f>
      </x:c>
      <x:c r="M14" s="117" t="n">
        <x:f>SUM('CF_1'!M24,'CF_2'!M24,'CF_3'!M24,'CF_4'!M24)</x:f>
      </x:c>
      <x:c r="N14" s="117" t="n">
        <x:f>SUM('CF_1'!N24,'CF_2'!N24,'CF_3'!N24,'CF_4'!N24)</x:f>
      </x:c>
      <x:c r="O14" s="117" t="n">
        <x:f>SUM('CF_1'!O24,'CF_2'!O24,'CF_3'!O24,'CF_4'!O24)</x:f>
      </x:c>
      <x:c r="P14" s="117" t="n">
        <x:f>SUM('CF_1'!P24,'CF_2'!P24,'CF_3'!P24,'CF_4'!P24)</x:f>
      </x:c>
      <x:c r="Q14" s="117" t="n">
        <x:f>SUM('CF_1'!Q24,'CF_2'!Q24,'CF_3'!Q24,'CF_4'!Q24)</x:f>
      </x:c>
      <x:c r="R14" s="117" t="n">
        <x:f>SUM('CF_1'!R24,'CF_2'!R24,'CF_3'!R24,'CF_4'!R24)</x:f>
      </x:c>
      <x:c r="S14" s="117" t="n">
        <x:f>SUM('CF_1'!S24,'CF_2'!S24,'CF_3'!S24,'CF_4'!S24)</x:f>
      </x:c>
      <x:c r="T14" s="117" t="n">
        <x:f>SUM('CF_1'!T24,'CF_2'!T24,'CF_3'!T24,'CF_4'!T24)</x:f>
      </x:c>
      <x:c r="U14" s="117" t="n">
        <x:f>SUM('CF_1'!U24,'CF_2'!U24,'CF_3'!U24,'CF_4'!U24)</x:f>
      </x:c>
      <x:c r="V14" s="117" t="n">
        <x:f>SUM('CF_1'!V24,'CF_2'!V24,'CF_3'!V24,'CF_4'!V24)</x:f>
      </x:c>
      <x:c r="W14" s="117" t="n">
        <x:f>SUM('CF_1'!W24,'CF_2'!W24,'CF_3'!W24,'CF_4'!W24)</x:f>
      </x:c>
      <x:c r="X14" s="117" t="n">
        <x:f>SUM('CF_1'!X24,'CF_2'!X24,'CF_3'!X24,'CF_4'!X24)</x:f>
      </x:c>
      <x:c r="Y14" s="117" t="n">
        <x:f>SUM('CF_1'!Y24,'CF_2'!Y24,'CF_3'!Y24,'CF_4'!Y24)</x:f>
      </x:c>
      <x:c r="Z14" s="117" t="n">
        <x:f>SUM('CF_1'!Z24,'CF_2'!Z24,'CF_3'!Z24,'CF_4'!Z24)</x:f>
      </x:c>
      <x:c r="AA14" s="117" t="n">
        <x:f>SUM('CF_1'!AA24,'CF_2'!AA24,'CF_3'!AA24,'CF_4'!AA24)</x:f>
      </x:c>
      <x:c r="AB14" s="117" t="n">
        <x:f>SUM('CF_1'!AB24,'CF_2'!AB24,'CF_3'!AB24,'CF_4'!AB24)</x:f>
      </x:c>
      <x:c r="AC14" s="117" t="n">
        <x:f>SUM('CF_1'!AC24,'CF_2'!AC24,'CF_3'!AC24,'CF_4'!AC24)</x:f>
      </x:c>
      <x:c r="AD14" s="117" t="n">
        <x:f>SUM('CF_1'!AD24,'CF_2'!AD24,'CF_3'!AD24,'CF_4'!AD24)</x:f>
      </x:c>
      <x:c r="AE14" s="117" t="n">
        <x:f>SUM('CF_1'!AE24,'CF_2'!AE24,'CF_3'!AE24,'CF_4'!AE24)</x:f>
      </x:c>
      <x:c r="AF14" s="117" t="n">
        <x:f>SUM('CF_1'!AF24,'CF_2'!AF24,'CF_3'!AF24,'CF_4'!AF24)</x:f>
      </x:c>
      <x:c r="AG14" s="117" t="n">
        <x:f>SUM('CF_1'!AG24,'CF_2'!AG24,'CF_3'!AG24,'CF_4'!AG24)</x:f>
      </x:c>
      <x:c r="AH14" s="117" t="n">
        <x:f>SUM('CF_1'!AH24,'CF_2'!AH24,'CF_3'!AH24,'CF_4'!AH24)</x:f>
      </x:c>
      <x:c r="AI14" s="117" t="n">
        <x:f>SUM('CF_1'!AI24,'CF_2'!AI24,'CF_3'!AI24,'CF_4'!AI24)</x:f>
      </x:c>
      <x:c r="AJ14" s="117" t="n">
        <x:f>SUM('CF_1'!AJ24,'CF_2'!AJ24,'CF_3'!AJ24,'CF_4'!AJ24)</x:f>
      </x:c>
      <x:c r="AK14" s="117" t="n">
        <x:f>SUM('CF_1'!AK24,'CF_2'!AK24,'CF_3'!AK24,'CF_4'!AK24)</x:f>
      </x:c>
      <x:c r="AL14" s="117" t="n">
        <x:f>SUM('CF_1'!AL24,'CF_2'!AL24,'CF_3'!AL24,'CF_4'!AL24)</x:f>
      </x:c>
      <x:c r="AM14" s="117" t="n">
        <x:f>SUM('CF_1'!AM24,'CF_2'!AM24,'CF_3'!AM24,'CF_4'!AM24)</x:f>
      </x:c>
      <x:c r="AN14" s="117" t="n">
        <x:f>SUM('CF_1'!AN24,'CF_2'!AN24,'CF_3'!AN24,'CF_4'!AN24)</x:f>
      </x:c>
      <x:c r="AO14" s="117" t="n">
        <x:f>SUM('CF_1'!AO24,'CF_2'!AO24,'CF_3'!AO24,'CF_4'!AO24)</x:f>
      </x:c>
      <x:c r="AP14" s="117" t="n">
        <x:f>SUM('CF_1'!AP24,'CF_2'!AP24,'CF_3'!AP24,'CF_4'!AP24)</x:f>
      </x:c>
      <x:c r="AQ14" s="117" t="n">
        <x:f>SUM('CF_1'!AQ24,'CF_2'!AQ24,'CF_3'!AQ24,'CF_4'!AQ24)</x:f>
      </x:c>
      <x:c r="AR14" s="117" t="n">
        <x:f>SUM('CF_1'!AR24,'CF_2'!AR24,'CF_3'!AR24,'CF_4'!AR24)</x:f>
      </x:c>
      <x:c r="AS14" s="117" t="n">
        <x:f>SUM('CF_1'!AS24,'CF_2'!AS24,'CF_3'!AS24,'CF_4'!AS24)</x:f>
      </x:c>
      <x:c r="AT14" s="117" t="n">
        <x:f>SUM('CF_1'!AT24,'CF_2'!AT24,'CF_3'!AT24,'CF_4'!AT24)</x:f>
      </x:c>
      <x:c r="AU14" s="117" t="n">
        <x:f>SUM('CF_1'!AU24,'CF_2'!AU24,'CF_3'!AU24,'CF_4'!AU24)</x:f>
      </x:c>
      <x:c r="AV14" s="117" t="n">
        <x:f>SUM('CF_1'!AV24,'CF_2'!AV24,'CF_3'!AV24,'CF_4'!AV24)</x:f>
      </x:c>
      <x:c r="AW14" s="117" t="n">
        <x:f>SUM('CF_1'!AW24,'CF_2'!AW24,'CF_3'!AW24,'CF_4'!AW24)</x:f>
      </x:c>
      <x:c r="AX14" s="117" t="n">
        <x:f>SUM('CF_1'!AX24,'CF_2'!AX24,'CF_3'!AX24,'CF_4'!AX24)</x:f>
      </x:c>
      <x:c r="AY14" s="117" t="n">
        <x:f>SUM('CF_1'!AY24,'CF_2'!AY24,'CF_3'!AY24,'CF_4'!AY24)</x:f>
      </x:c>
      <x:c r="AZ14" s="117" t="n">
        <x:f>SUM('CF_1'!AZ24,'CF_2'!AZ24,'CF_3'!AZ24,'CF_4'!AZ24)</x:f>
      </x:c>
      <x:c r="BA14" s="117" t="n">
        <x:f>SUM('CF_1'!BA24,'CF_2'!BA24,'CF_3'!BA24,'CF_4'!BA24)</x:f>
      </x:c>
      <x:c r="BB14" s="117" t="n">
        <x:f>SUM('CF_1'!BB24,'CF_2'!BB24,'CF_3'!BB24,'CF_4'!BB24)</x:f>
      </x:c>
      <x:c r="BC14" s="117" t="n">
        <x:f>SUM('CF_1'!BC24,'CF_2'!BC24,'CF_3'!BC24,'CF_4'!BC24)</x:f>
      </x:c>
      <x:c r="BD14" s="117" t="n">
        <x:f>SUM('CF_1'!BD24,'CF_2'!BD24,'CF_3'!BD24,'CF_4'!BD24)</x:f>
      </x:c>
      <x:c r="BE14" s="117" t="n">
        <x:f>SUM('CF_1'!BE24,'CF_2'!BE24,'CF_3'!BE24,'CF_4'!BE24)</x:f>
      </x:c>
      <x:c r="BF14" s="117" t="n">
        <x:f>SUM('CF_1'!BF24,'CF_2'!BF24,'CF_3'!BF24,'CF_4'!BF24)</x:f>
      </x:c>
      <x:c r="BG14" s="117" t="n">
        <x:f>SUM('CF_1'!BG24,'CF_2'!BG24,'CF_3'!BG24,'CF_4'!BG24)</x:f>
      </x:c>
      <x:c r="BH14" s="117" t="n">
        <x:f>SUM('CF_1'!BH24,'CF_2'!BH24,'CF_3'!BH24,'CF_4'!BH24)</x:f>
      </x:c>
      <x:c r="BI14" s="117" t="n">
        <x:f>SUM('CF_1'!BI24,'CF_2'!BI24,'CF_3'!BI24,'CF_4'!BI24)</x:f>
      </x:c>
      <x:c r="BJ14" s="117" t="n">
        <x:f>SUM('CF_1'!BJ24,'CF_2'!BJ24,'CF_3'!BJ24,'CF_4'!BJ24)</x:f>
      </x:c>
      <x:c r="BK14" s="117" t="n">
        <x:f>SUM('CF_1'!BK24,'CF_2'!BK24,'CF_3'!BK24,'CF_4'!BK24)</x:f>
      </x:c>
      <x:c r="BL14" s="117" t="n">
        <x:f>SUM('CF_1'!BL24,'CF_2'!BL24,'CF_3'!BL24,'CF_4'!BL24)</x:f>
      </x:c>
      <x:c r="BM14" s="117" t="n">
        <x:f>SUM('CF_1'!BM24,'CF_2'!BM24,'CF_3'!BM24,'CF_4'!BM24)</x:f>
      </x:c>
      <x:c r="BN14" s="117" t="n">
        <x:f>SUM('CF_1'!BN24,'CF_2'!BN24,'CF_3'!BN24,'CF_4'!BN24)</x:f>
      </x:c>
      <x:c r="BO14" s="117" t="n">
        <x:f>SUM('CF_1'!BO24,'CF_2'!BO24,'CF_3'!BO24,'CF_4'!BO24)</x:f>
      </x:c>
      <x:c r="BP14" s="117" t="n">
        <x:f>SUM('CF_1'!BP24,'CF_2'!BP24,'CF_3'!BP24,'CF_4'!BP24)</x:f>
      </x:c>
      <x:c r="BQ14" s="117" t="n">
        <x:f>SUM('CF_1'!BQ24,'CF_2'!BQ24,'CF_3'!BQ24,'CF_4'!BQ24)</x:f>
      </x:c>
      <x:c r="BR14" s="117" t="n">
        <x:f>SUM('CF_1'!BR24,'CF_2'!BR24,'CF_3'!BR24,'CF_4'!BR24)</x:f>
      </x:c>
      <x:c r="BS14" s="117" t="n">
        <x:f>SUM('CF_1'!BS24,'CF_2'!BS24,'CF_3'!BS24,'CF_4'!BS24)</x:f>
      </x:c>
      <x:c r="BT14" s="117" t="n">
        <x:f>SUM('CF_1'!BT24,'CF_2'!BT24,'CF_3'!BT24,'CF_4'!BT24)</x:f>
      </x:c>
      <x:c r="BU14" s="117" t="n">
        <x:f>SUM('CF_1'!BU24,'CF_2'!BU24,'CF_3'!BU24,'CF_4'!BU24)</x:f>
      </x:c>
      <x:c r="BV14" s="117" t="n">
        <x:f>SUM('CF_1'!BV24,'CF_2'!BV24,'CF_3'!BV24,'CF_4'!BV24)</x:f>
      </x:c>
      <x:c r="BW14" s="117" t="n">
        <x:f>SUM('CF_1'!BW24,'CF_2'!BW24,'CF_3'!BW24,'CF_4'!BW24)</x:f>
      </x:c>
      <x:c r="BX14" s="117" t="n">
        <x:f>SUM('CF_1'!BX24,'CF_2'!BX24,'CF_3'!BX24,'CF_4'!BX24)</x:f>
      </x:c>
      <x:c r="BY14" s="117" t="n">
        <x:f>SUM('CF_1'!BY24,'CF_2'!BY24,'CF_3'!BY24,'CF_4'!BY24)</x:f>
      </x:c>
      <x:c r="BZ14" s="117" t="n">
        <x:f>SUM('CF_1'!BZ24,'CF_2'!BZ24,'CF_3'!BZ24,'CF_4'!BZ24)</x:f>
      </x:c>
      <x:c r="CA14" s="117" t="n">
        <x:f>SUM('CF_1'!CA24,'CF_2'!CA24,'CF_3'!CA24,'CF_4'!CA24)</x:f>
      </x:c>
      <x:c r="CB14" s="117" t="n">
        <x:f>SUM('CF_1'!CB24,'CF_2'!CB24,'CF_3'!CB24,'CF_4'!CB24)</x:f>
      </x:c>
      <x:c r="CC14" s="117" t="n">
        <x:f>SUM('CF_1'!CC24,'CF_2'!CC24,'CF_3'!CC24,'CF_4'!CC24)</x:f>
      </x:c>
      <x:c r="CD14" s="117" t="n">
        <x:f>SUM('CF_1'!CD24,'CF_2'!CD24,'CF_3'!CD24,'CF_4'!CD24)</x:f>
      </x:c>
      <x:c r="CE14" s="117" t="n">
        <x:f>SUM('CF_1'!CE24,'CF_2'!CE24,'CF_3'!CE24,'CF_4'!CE24)</x:f>
      </x:c>
      <x:c r="CF14" s="117" t="n">
        <x:f>SUM('CF_1'!CF24,'CF_2'!CF24,'CF_3'!CF24,'CF_4'!CF24)</x:f>
      </x:c>
      <x:c r="CG14" s="117" t="n">
        <x:f>SUM('CF_1'!CG24,'CF_2'!CG24,'CF_3'!CG24,'CF_4'!CG24)</x:f>
      </x:c>
      <x:c r="CH14" s="117" t="n">
        <x:f>SUM('CF_1'!CH24,'CF_2'!CH24,'CF_3'!CH24,'CF_4'!CH24)</x:f>
      </x:c>
      <x:c r="CI14" s="117" t="n">
        <x:f>SUM('CF_1'!CI24,'CF_2'!CI24,'CF_3'!CI24,'CF_4'!CI24)</x:f>
      </x:c>
      <x:c r="CJ14" s="117" t="n">
        <x:f>SUM('CF_1'!CJ24,'CF_2'!CJ24,'CF_3'!CJ24,'CF_4'!CJ24)</x:f>
      </x:c>
      <x:c r="CK14" s="117" t="n">
        <x:f>SUM('CF_1'!CK24,'CF_2'!CK24,'CF_3'!CK24,'CF_4'!CK24)</x:f>
      </x:c>
      <x:c r="CL14" s="117" t="n">
        <x:f>SUM('CF_1'!CL24,'CF_2'!CL24,'CF_3'!CL24,'CF_4'!CL24)</x:f>
      </x:c>
      <x:c r="CM14" s="117" t="n">
        <x:f>SUM('CF_1'!CM24,'CF_2'!CM24,'CF_3'!CM24,'CF_4'!CM24)</x:f>
      </x:c>
      <x:c r="CN14" s="117" t="n">
        <x:f>SUM('CF_1'!CN24,'CF_2'!CN24,'CF_3'!CN24,'CF_4'!CN24)</x:f>
      </x:c>
      <x:c r="CO14" s="117" t="n">
        <x:f>SUM('CF_1'!CO24,'CF_2'!CO24,'CF_3'!CO24,'CF_4'!CO24)</x:f>
      </x:c>
      <x:c r="CP14" s="117" t="n">
        <x:f>SUM('CF_1'!CP24,'CF_2'!CP24,'CF_3'!CP24,'CF_4'!CP24)</x:f>
      </x:c>
      <x:c r="CQ14" s="117" t="n">
        <x:f>SUM('CF_1'!CQ24,'CF_2'!CQ24,'CF_3'!CQ24,'CF_4'!CQ24)</x:f>
      </x:c>
      <x:c r="CR14" s="117" t="n">
        <x:f>SUM('CF_1'!CR24,'CF_2'!CR24,'CF_3'!CR24,'CF_4'!CR24)</x:f>
      </x:c>
      <x:c r="CS14" s="117" t="n">
        <x:f>SUM('CF_1'!CS24,'CF_2'!CS24,'CF_3'!CS24,'CF_4'!CS24)</x:f>
      </x:c>
      <x:c r="CT14" s="117" t="n">
        <x:f>SUM('CF_1'!CT24,'CF_2'!CT24,'CF_3'!CT24,'CF_4'!CT24)</x:f>
      </x:c>
      <x:c r="CU14" s="117" t="n">
        <x:f>SUM('CF_1'!CU24,'CF_2'!CU24,'CF_3'!CU24,'CF_4'!CU24)</x:f>
      </x:c>
      <x:c r="CV14" s="117" t="n">
        <x:f>SUM('CF_1'!CV24,'CF_2'!CV24,'CF_3'!CV24,'CF_4'!CV24)</x:f>
      </x:c>
      <x:c r="CW14" s="117" t="n">
        <x:f>SUM('CF_1'!CW24,'CF_2'!CW24,'CF_3'!CW24,'CF_4'!CW24)</x:f>
      </x:c>
      <x:c r="CX14" s="117" t="n">
        <x:f>SUM('CF_1'!CX24,'CF_2'!CX24,'CF_3'!CX24,'CF_4'!CX24)</x:f>
      </x:c>
      <x:c r="CY14" s="117" t="n">
        <x:f>SUM('CF_1'!CY24,'CF_2'!CY24,'CF_3'!CY24,'CF_4'!CY24)</x:f>
      </x:c>
      <x:c r="CZ14" s="117" t="n">
        <x:f>SUM('CF_1'!CZ24,'CF_2'!CZ24,'CF_3'!CZ24,'CF_4'!CZ24)</x:f>
      </x:c>
      <x:c r="DA14" s="117" t="n">
        <x:f>SUM('CF_1'!DA24,'CF_2'!DA24,'CF_3'!DA24,'CF_4'!DA24)</x:f>
      </x:c>
      <x:c r="DB14" s="117" t="n">
        <x:f>SUM('CF_1'!DB24,'CF_2'!DB24,'CF_3'!DB24,'CF_4'!DB24)</x:f>
      </x:c>
      <x:c r="DC14" s="117" t="n">
        <x:f>SUM('CF_1'!DC24,'CF_2'!DC24,'CF_3'!DC24,'CF_4'!DC24)</x:f>
      </x:c>
      <x:c r="DD14" s="117" t="n">
        <x:f>SUM('CF_1'!DD24,'CF_2'!DD24,'CF_3'!DD24,'CF_4'!DD24)</x:f>
      </x:c>
      <x:c r="DE14" s="117" t="n">
        <x:f>SUM('CF_1'!DE24,'CF_2'!DE24,'CF_3'!DE24,'CF_4'!DE24)</x:f>
      </x:c>
      <x:c r="DF14" s="117" t="n">
        <x:f>SUM('CF_1'!DF24,'CF_2'!DF24,'CF_3'!DF24,'CF_4'!DF24)</x:f>
      </x:c>
      <x:c r="DG14" s="117" t="n">
        <x:f>SUM('CF_1'!DG24,'CF_2'!DG24,'CF_3'!DG24,'CF_4'!DG24)</x:f>
      </x:c>
      <x:c r="DH14" s="117" t="n">
        <x:f>SUM('CF_1'!DH24,'CF_2'!DH24,'CF_3'!DH24,'CF_4'!DH24)</x:f>
      </x:c>
      <x:c r="DI14" s="117" t="n">
        <x:f>SUM('CF_1'!DI24,'CF_2'!DI24,'CF_3'!DI24,'CF_4'!DI24)</x:f>
      </x:c>
      <x:c r="DJ14" s="117" t="n">
        <x:f>SUM('CF_1'!DJ24,'CF_2'!DJ24,'CF_3'!DJ24,'CF_4'!DJ24)</x:f>
      </x:c>
      <x:c r="DK14" s="117" t="n">
        <x:f>SUM('CF_1'!DK24,'CF_2'!DK24,'CF_3'!DK24,'CF_4'!DK24)</x:f>
      </x:c>
      <x:c r="DL14" s="117" t="n">
        <x:f>SUM('CF_1'!DL24,'CF_2'!DL24,'CF_3'!DL24,'CF_4'!DL24)</x:f>
      </x:c>
      <x:c r="DM14" s="117" t="n">
        <x:f>SUM('CF_1'!DM24,'CF_2'!DM24,'CF_3'!DM24,'CF_4'!DM24)</x:f>
      </x:c>
      <x:c r="DN14" s="117" t="n">
        <x:f>SUM('CF_1'!DN24,'CF_2'!DN24,'CF_3'!DN24,'CF_4'!DN24)</x:f>
      </x:c>
      <x:c r="DO14" s="117" t="n">
        <x:f>SUM('CF_1'!DO24,'CF_2'!DO24,'CF_3'!DO24,'CF_4'!DO24)</x:f>
      </x:c>
      <x:c r="DP14" s="117" t="n">
        <x:f>SUM('CF_1'!DP24,'CF_2'!DP24,'CF_3'!DP24,'CF_4'!DP24)</x:f>
      </x:c>
      <x:c r="DQ14" s="117" t="n">
        <x:f>SUM('CF_1'!DQ24,'CF_2'!DQ24,'CF_3'!DQ24,'CF_4'!DQ24)</x:f>
      </x:c>
      <x:c r="DR14" s="117" t="n">
        <x:f>SUM('CF_1'!DR24,'CF_2'!DR24,'CF_3'!DR24,'CF_4'!DR24)</x:f>
      </x:c>
      <x:c r="DS14" s="117" t="n">
        <x:f>SUM('CF_1'!DS24,'CF_2'!DS24,'CF_3'!DS24,'CF_4'!DS24)</x:f>
      </x:c>
      <x:c r="DT14" s="117" t="n">
        <x:f>SUM('CF_1'!DT24,'CF_2'!DT24,'CF_3'!DT24,'CF_4'!DT24)</x:f>
      </x:c>
      <x:c r="DU14" s="117" t="n">
        <x:f>SUM('CF_1'!DU24,'CF_2'!DU24,'CF_3'!DU24,'CF_4'!DU24)</x:f>
      </x:c>
      <x:c r="DV14" s="117" t="n">
        <x:f>SUM('CF_1'!DV24,'CF_2'!DV24,'CF_3'!DV24,'CF_4'!DV24)</x:f>
      </x:c>
      <x:c r="DW14" s="117" t="n">
        <x:f>SUM('CF_1'!DW24,'CF_2'!DW24,'CF_3'!DW24,'CF_4'!DW24)</x:f>
      </x:c>
      <x:c r="DX14" s="117" t="n">
        <x:f>SUM('CF_1'!DX24,'CF_2'!DX24,'CF_3'!DX24,'CF_4'!DX24)</x:f>
      </x:c>
      <x:c r="DY14" s="117" t="n">
        <x:f>SUM('CF_1'!DY24,'CF_2'!DY24,'CF_3'!DY24,'CF_4'!DY24)</x:f>
      </x:c>
      <x:c r="DZ14" s="117" t="n">
        <x:f>SUM('CF_1'!DZ24,'CF_2'!DZ24,'CF_3'!DZ24,'CF_4'!DZ24)</x:f>
      </x:c>
      <x:c r="EA14" s="117" t="n">
        <x:f>SUM('CF_1'!EA24,'CF_2'!EA24,'CF_3'!EA24,'CF_4'!EA24)</x:f>
      </x:c>
      <x:c r="EB14" s="117" t="n">
        <x:f>SUM('CF_1'!EB24,'CF_2'!EB24,'CF_3'!EB24,'CF_4'!EB24)</x:f>
      </x:c>
      <x:c r="EC14" s="117" t="n">
        <x:f>SUM('CF_1'!EC24,'CF_2'!EC24,'CF_3'!EC24,'CF_4'!EC24)</x:f>
      </x:c>
      <x:c r="ED14" s="117" t="n">
        <x:f>SUM('CF_1'!ED24,'CF_2'!ED24,'CF_3'!ED24,'CF_4'!ED24)</x:f>
      </x:c>
      <x:c r="EE14" s="117" t="n">
        <x:f>SUM('CF_1'!EE24,'CF_2'!EE24,'CF_3'!EE24,'CF_4'!EE24)</x:f>
      </x:c>
      <x:c r="EF14" s="117" t="n">
        <x:f>SUM('CF_1'!EF24,'CF_2'!EF24,'CF_3'!EF24,'CF_4'!EF24)</x:f>
      </x:c>
      <x:c r="EG14" s="117" t="n">
        <x:f>SUM('CF_1'!EG24,'CF_2'!EG24,'CF_3'!EG24,'CF_4'!EG24)</x:f>
      </x:c>
      <x:c r="EH14" s="117" t="n">
        <x:f>SUM('CF_1'!EH24,'CF_2'!EH24,'CF_3'!EH24,'CF_4'!EH24)</x:f>
      </x:c>
      <x:c r="EI14" s="117" t="n">
        <x:f>SUM('CF_1'!EI24,'CF_2'!EI24,'CF_3'!EI24,'CF_4'!EI24)</x:f>
      </x:c>
      <x:c r="EJ14" s="117" t="n">
        <x:f>SUM('CF_1'!EJ24,'CF_2'!EJ24,'CF_3'!EJ24,'CF_4'!EJ24)</x:f>
      </x:c>
      <x:c r="EK14" s="117" t="n">
        <x:f>SUM('CF_1'!EK24,'CF_2'!EK24,'CF_3'!EK24,'CF_4'!EK24)</x:f>
      </x:c>
      <x:c r="EL14" s="117" t="n">
        <x:f>SUM('CF_1'!EL24,'CF_2'!EL24,'CF_3'!EL24,'CF_4'!EL24)</x:f>
      </x:c>
      <x:c r="EM14" s="117" t="n">
        <x:f>SUM('CF_1'!EM24,'CF_2'!EM24,'CF_3'!EM24,'CF_4'!EM24)</x:f>
      </x:c>
      <x:c r="EN14" s="117" t="n">
        <x:f>SUM('CF_1'!EN24,'CF_2'!EN24,'CF_3'!EN24,'CF_4'!EN24)</x:f>
      </x:c>
      <x:c r="EO14" s="117" t="n">
        <x:f>SUM('CF_1'!EO24,'CF_2'!EO24,'CF_3'!EO24,'CF_4'!EO24)</x:f>
      </x:c>
      <x:c r="EP14" s="117" t="n">
        <x:f>SUM('CF_1'!EP24,'CF_2'!EP24,'CF_3'!EP24,'CF_4'!EP24)</x:f>
      </x:c>
      <x:c r="EQ14" s="117" t="n">
        <x:f>SUM('CF_1'!EQ24,'CF_2'!EQ24,'CF_3'!EQ24,'CF_4'!EQ24)</x:f>
      </x:c>
      <x:c r="ER14" s="117" t="n">
        <x:f>SUM('CF_1'!ER24,'CF_2'!ER24,'CF_3'!ER24,'CF_4'!ER24)</x:f>
      </x:c>
      <x:c r="ES14" s="117" t="n">
        <x:f>SUM('CF_1'!ES24,'CF_2'!ES24,'CF_3'!ES24,'CF_4'!ES24)</x:f>
      </x:c>
      <x:c r="ET14" s="117" t="n">
        <x:f>SUM('CF_1'!ET24,'CF_2'!ET24,'CF_3'!ET24,'CF_4'!ET24)</x:f>
      </x:c>
      <x:c r="EU14" s="117" t="n">
        <x:f>SUM('CF_1'!EU24,'CF_2'!EU24,'CF_3'!EU24,'CF_4'!EU24)</x:f>
      </x:c>
      <x:c r="EV14" s="117" t="n">
        <x:f>SUM('CF_1'!EV24,'CF_2'!EV24,'CF_3'!EV24,'CF_4'!EV24)</x:f>
      </x:c>
      <x:c r="EW14" s="117" t="n">
        <x:f>SUM('CF_1'!EW24,'CF_2'!EW24,'CF_3'!EW24,'CF_4'!EW24)</x:f>
      </x:c>
      <x:c r="EX14" s="117" t="n">
        <x:f>SUM('CF_1'!EX24,'CF_2'!EX24,'CF_3'!EX24,'CF_4'!EX24)</x:f>
      </x:c>
      <x:c r="EY14" s="117" t="n">
        <x:f>SUM('CF_1'!EY24,'CF_2'!EY24,'CF_3'!EY24,'CF_4'!EY24)</x:f>
      </x:c>
      <x:c r="EZ14" s="117" t="n">
        <x:f>SUM('CF_1'!EZ24,'CF_2'!EZ24,'CF_3'!EZ24,'CF_4'!EZ24)</x:f>
      </x:c>
      <x:c r="FA14" s="117" t="n">
        <x:f>SUM('CF_1'!FA24,'CF_2'!FA24,'CF_3'!FA24,'CF_4'!FA24)</x:f>
      </x:c>
      <x:c r="FB14" s="117" t="n">
        <x:f>SUM('CF_1'!FB24,'CF_2'!FB24,'CF_3'!FB24,'CF_4'!FB24)</x:f>
      </x:c>
      <x:c r="FC14" s="117" t="n">
        <x:f>SUM('CF_1'!FC24,'CF_2'!FC24,'CF_3'!FC24,'CF_4'!FC24)</x:f>
      </x:c>
      <x:c r="FD14" s="117" t="n">
        <x:f>SUM('CF_1'!FD24,'CF_2'!FD24,'CF_3'!FD24,'CF_4'!FD24)</x:f>
      </x:c>
      <x:c r="FE14" s="117" t="n">
        <x:f>SUM('CF_1'!FE24,'CF_2'!FE24,'CF_3'!FE24,'CF_4'!FE24)</x:f>
      </x:c>
      <x:c r="FF14" s="117" t="n">
        <x:f>SUM('CF_1'!FF24,'CF_2'!FF24,'CF_3'!FF24,'CF_4'!FF24)</x:f>
      </x:c>
      <x:c r="FG14" s="117" t="n">
        <x:f>SUM('CF_1'!FG24,'CF_2'!FG24,'CF_3'!FG24,'CF_4'!FG24)</x:f>
      </x:c>
      <x:c r="FH14" s="117" t="n">
        <x:f>SUM('CF_1'!FH24,'CF_2'!FH24,'CF_3'!FH24,'CF_4'!FH24)</x:f>
      </x:c>
      <x:c r="FI14" s="117" t="n">
        <x:f>SUM('CF_1'!FI24,'CF_2'!FI24,'CF_3'!FI24,'CF_4'!FI24)</x:f>
      </x:c>
      <x:c r="FJ14" s="117" t="n">
        <x:f>SUM('CF_1'!FJ24,'CF_2'!FJ24,'CF_3'!FJ24,'CF_4'!FJ24)</x:f>
      </x:c>
      <x:c r="FK14" s="117" t="n">
        <x:f>SUM('CF_1'!FK24,'CF_2'!FK24,'CF_3'!FK24,'CF_4'!FK24)</x:f>
      </x:c>
      <x:c r="FL14" s="117" t="n">
        <x:f>SUM('CF_1'!FL24,'CF_2'!FL24,'CF_3'!FL24,'CF_4'!FL24)</x:f>
      </x:c>
      <x:c r="FM14" s="117" t="n">
        <x:f>SUM('CF_1'!FM24,'CF_2'!FM24,'CF_3'!FM24,'CF_4'!FM24)</x:f>
      </x:c>
      <x:c r="FN14" s="117" t="n">
        <x:f>SUM('CF_1'!FN24,'CF_2'!FN24,'CF_3'!FN24,'CF_4'!FN24)</x:f>
      </x:c>
      <x:c r="FO14" s="117" t="n">
        <x:f>SUM('CF_1'!FO24,'CF_2'!FO24,'CF_3'!FO24,'CF_4'!FO24)</x:f>
      </x:c>
      <x:c r="FP14" s="117" t="n">
        <x:f>SUM('CF_1'!FP24,'CF_2'!FP24,'CF_3'!FP24,'CF_4'!FP24)</x:f>
      </x:c>
      <x:c r="FQ14" s="117" t="n">
        <x:f>SUM('CF_1'!FQ24,'CF_2'!FQ24,'CF_3'!FQ24,'CF_4'!FQ24)</x:f>
      </x:c>
      <x:c r="FR14" s="117" t="n">
        <x:f>SUM('CF_1'!FR24,'CF_2'!FR24,'CF_3'!FR24,'CF_4'!FR24)</x:f>
      </x:c>
      <x:c r="FS14" s="117" t="n">
        <x:f>SUM('CF_1'!FS24,'CF_2'!FS24,'CF_3'!FS24,'CF_4'!FS24)</x:f>
      </x:c>
      <x:c r="FT14" s="117" t="n">
        <x:f>SUM('CF_1'!FT24,'CF_2'!FT24,'CF_3'!FT24,'CF_4'!FT24)</x:f>
      </x:c>
      <x:c r="FU14" s="117" t="n">
        <x:f>SUM('CF_1'!FU24,'CF_2'!FU24,'CF_3'!FU24,'CF_4'!FU24)</x:f>
      </x:c>
      <x:c r="FV14" s="117" t="n">
        <x:f>SUM('CF_1'!FV24,'CF_2'!FV24,'CF_3'!FV24,'CF_4'!FV24)</x:f>
      </x:c>
      <x:c r="FW14" s="117" t="n">
        <x:f>SUM('CF_1'!FW24,'CF_2'!FW24,'CF_3'!FW24,'CF_4'!FW24)</x:f>
      </x:c>
      <x:c r="FX14" s="117" t="n">
        <x:f>SUM('CF_1'!FX24,'CF_2'!FX24,'CF_3'!FX24,'CF_4'!FX24)</x:f>
      </x:c>
      <x:c r="FY14" s="117" t="n">
        <x:f>SUM('CF_1'!FY24,'CF_2'!FY24,'CF_3'!FY24,'CF_4'!FY24)</x:f>
      </x:c>
      <x:c r="FZ14" s="117" t="n">
        <x:f>SUM('CF_1'!FZ24,'CF_2'!FZ24,'CF_3'!FZ24,'CF_4'!FZ24)</x:f>
      </x:c>
      <x:c r="GA14" s="117" t="n">
        <x:f>SUM('CF_1'!GA24,'CF_2'!GA24,'CF_3'!GA24,'CF_4'!GA24)</x:f>
      </x:c>
    </x:row>
    <x:row r="15">
      <x:c r="A15" s="113" t="str">
        <x:v>CFADS</x:v>
      </x:c>
      <x:c r="B15" s="113" t="n">
        <x:f>SUM(D15:GA15)</x:f>
      </x:c>
      <x:c r="C15" s="113" t="str">
        <x:v>млн ₽</x:v>
      </x:c>
      <x:c r="D15" s="120" t="n">
        <x:f>SUM('CF_1'!D28,'CF_2'!D28,'CF_3'!D28,'CF_4'!D28)</x:f>
      </x:c>
      <x:c r="E15" s="120" t="n">
        <x:f>SUM('CF_1'!E28,'CF_2'!E28,'CF_3'!E28,'CF_4'!E28)</x:f>
      </x:c>
      <x:c r="F15" s="120" t="n">
        <x:f>SUM('CF_1'!F28,'CF_2'!F28,'CF_3'!F28,'CF_4'!F28)</x:f>
      </x:c>
      <x:c r="G15" s="120" t="n">
        <x:f>SUM('CF_1'!G28,'CF_2'!G28,'CF_3'!G28,'CF_4'!G28)</x:f>
      </x:c>
      <x:c r="H15" s="120" t="n">
        <x:f>SUM('CF_1'!H28,'CF_2'!H28,'CF_3'!H28,'CF_4'!H28)</x:f>
      </x:c>
      <x:c r="I15" s="120" t="n">
        <x:f>SUM('CF_1'!I28,'CF_2'!I28,'CF_3'!I28,'CF_4'!I28)</x:f>
      </x:c>
      <x:c r="J15" s="120" t="n">
        <x:f>SUM('CF_1'!J28,'CF_2'!J28,'CF_3'!J28,'CF_4'!J28)</x:f>
      </x:c>
      <x:c r="K15" s="120" t="n">
        <x:f>SUM('CF_1'!K28,'CF_2'!K28,'CF_3'!K28,'CF_4'!K28)</x:f>
      </x:c>
      <x:c r="L15" s="120" t="n">
        <x:f>SUM('CF_1'!L28,'CF_2'!L28,'CF_3'!L28,'CF_4'!L28)</x:f>
      </x:c>
      <x:c r="M15" s="120" t="n">
        <x:f>SUM('CF_1'!M28,'CF_2'!M28,'CF_3'!M28,'CF_4'!M28)</x:f>
      </x:c>
      <x:c r="N15" s="120" t="n">
        <x:f>SUM('CF_1'!N28,'CF_2'!N28,'CF_3'!N28,'CF_4'!N28)</x:f>
      </x:c>
      <x:c r="O15" s="120" t="n">
        <x:f>SUM('CF_1'!O28,'CF_2'!O28,'CF_3'!O28,'CF_4'!O28)</x:f>
      </x:c>
      <x:c r="P15" s="120" t="n">
        <x:f>SUM('CF_1'!P28,'CF_2'!P28,'CF_3'!P28,'CF_4'!P28)</x:f>
      </x:c>
      <x:c r="Q15" s="120" t="n">
        <x:f>SUM('CF_1'!Q28,'CF_2'!Q28,'CF_3'!Q28,'CF_4'!Q28)</x:f>
      </x:c>
      <x:c r="R15" s="120" t="n">
        <x:f>SUM('CF_1'!R28,'CF_2'!R28,'CF_3'!R28,'CF_4'!R28)</x:f>
      </x:c>
      <x:c r="S15" s="120" t="n">
        <x:f>SUM('CF_1'!S28,'CF_2'!S28,'CF_3'!S28,'CF_4'!S28)</x:f>
      </x:c>
      <x:c r="T15" s="120" t="n">
        <x:f>SUM('CF_1'!T28,'CF_2'!T28,'CF_3'!T28,'CF_4'!T28)</x:f>
      </x:c>
      <x:c r="U15" s="120" t="n">
        <x:f>SUM('CF_1'!U28,'CF_2'!U28,'CF_3'!U28,'CF_4'!U28)</x:f>
      </x:c>
      <x:c r="V15" s="120" t="n">
        <x:f>SUM('CF_1'!V28,'CF_2'!V28,'CF_3'!V28,'CF_4'!V28)</x:f>
      </x:c>
      <x:c r="W15" s="120" t="n">
        <x:f>SUM('CF_1'!W28,'CF_2'!W28,'CF_3'!W28,'CF_4'!W28)</x:f>
      </x:c>
      <x:c r="X15" s="120" t="n">
        <x:f>SUM('CF_1'!X28,'CF_2'!X28,'CF_3'!X28,'CF_4'!X28)</x:f>
      </x:c>
      <x:c r="Y15" s="120" t="n">
        <x:f>SUM('CF_1'!Y28,'CF_2'!Y28,'CF_3'!Y28,'CF_4'!Y28)</x:f>
      </x:c>
      <x:c r="Z15" s="120" t="n">
        <x:f>SUM('CF_1'!Z28,'CF_2'!Z28,'CF_3'!Z28,'CF_4'!Z28)</x:f>
      </x:c>
      <x:c r="AA15" s="120" t="n">
        <x:f>SUM('CF_1'!AA28,'CF_2'!AA28,'CF_3'!AA28,'CF_4'!AA28)</x:f>
      </x:c>
      <x:c r="AB15" s="120" t="n">
        <x:f>SUM('CF_1'!AB28,'CF_2'!AB28,'CF_3'!AB28,'CF_4'!AB28)</x:f>
      </x:c>
      <x:c r="AC15" s="120" t="n">
        <x:f>SUM('CF_1'!AC28,'CF_2'!AC28,'CF_3'!AC28,'CF_4'!AC28)</x:f>
      </x:c>
      <x:c r="AD15" s="120" t="n">
        <x:f>SUM('CF_1'!AD28,'CF_2'!AD28,'CF_3'!AD28,'CF_4'!AD28)</x:f>
      </x:c>
      <x:c r="AE15" s="120" t="n">
        <x:f>SUM('CF_1'!AE28,'CF_2'!AE28,'CF_3'!AE28,'CF_4'!AE28)</x:f>
      </x:c>
      <x:c r="AF15" s="120" t="n">
        <x:f>SUM('CF_1'!AF28,'CF_2'!AF28,'CF_3'!AF28,'CF_4'!AF28)</x:f>
      </x:c>
      <x:c r="AG15" s="120" t="n">
        <x:f>SUM('CF_1'!AG28,'CF_2'!AG28,'CF_3'!AG28,'CF_4'!AG28)</x:f>
      </x:c>
      <x:c r="AH15" s="120" t="n">
        <x:f>SUM('CF_1'!AH28,'CF_2'!AH28,'CF_3'!AH28,'CF_4'!AH28)</x:f>
      </x:c>
      <x:c r="AI15" s="120" t="n">
        <x:f>SUM('CF_1'!AI28,'CF_2'!AI28,'CF_3'!AI28,'CF_4'!AI28)</x:f>
      </x:c>
      <x:c r="AJ15" s="120" t="n">
        <x:f>SUM('CF_1'!AJ28,'CF_2'!AJ28,'CF_3'!AJ28,'CF_4'!AJ28)</x:f>
      </x:c>
      <x:c r="AK15" s="120" t="n">
        <x:f>SUM('CF_1'!AK28,'CF_2'!AK28,'CF_3'!AK28,'CF_4'!AK28)</x:f>
      </x:c>
      <x:c r="AL15" s="120" t="n">
        <x:f>SUM('CF_1'!AL28,'CF_2'!AL28,'CF_3'!AL28,'CF_4'!AL28)</x:f>
      </x:c>
      <x:c r="AM15" s="120" t="n">
        <x:f>SUM('CF_1'!AM28,'CF_2'!AM28,'CF_3'!AM28,'CF_4'!AM28)</x:f>
      </x:c>
      <x:c r="AN15" s="120" t="n">
        <x:f>SUM('CF_1'!AN28,'CF_2'!AN28,'CF_3'!AN28,'CF_4'!AN28)</x:f>
      </x:c>
      <x:c r="AO15" s="120" t="n">
        <x:f>SUM('CF_1'!AO28,'CF_2'!AO28,'CF_3'!AO28,'CF_4'!AO28)</x:f>
      </x:c>
      <x:c r="AP15" s="120" t="n">
        <x:f>SUM('CF_1'!AP28,'CF_2'!AP28,'CF_3'!AP28,'CF_4'!AP28)</x:f>
      </x:c>
      <x:c r="AQ15" s="120" t="n">
        <x:f>SUM('CF_1'!AQ28,'CF_2'!AQ28,'CF_3'!AQ28,'CF_4'!AQ28)</x:f>
      </x:c>
      <x:c r="AR15" s="120" t="n">
        <x:f>SUM('CF_1'!AR28,'CF_2'!AR28,'CF_3'!AR28,'CF_4'!AR28)</x:f>
      </x:c>
      <x:c r="AS15" s="120" t="n">
        <x:f>SUM('CF_1'!AS28,'CF_2'!AS28,'CF_3'!AS28,'CF_4'!AS28)</x:f>
      </x:c>
      <x:c r="AT15" s="120" t="n">
        <x:f>SUM('CF_1'!AT28,'CF_2'!AT28,'CF_3'!AT28,'CF_4'!AT28)</x:f>
      </x:c>
      <x:c r="AU15" s="120" t="n">
        <x:f>SUM('CF_1'!AU28,'CF_2'!AU28,'CF_3'!AU28,'CF_4'!AU28)</x:f>
      </x:c>
      <x:c r="AV15" s="120" t="n">
        <x:f>SUM('CF_1'!AV28,'CF_2'!AV28,'CF_3'!AV28,'CF_4'!AV28)</x:f>
      </x:c>
      <x:c r="AW15" s="120" t="n">
        <x:f>SUM('CF_1'!AW28,'CF_2'!AW28,'CF_3'!AW28,'CF_4'!AW28)</x:f>
      </x:c>
      <x:c r="AX15" s="120" t="n">
        <x:f>SUM('CF_1'!AX28,'CF_2'!AX28,'CF_3'!AX28,'CF_4'!AX28)</x:f>
      </x:c>
      <x:c r="AY15" s="120" t="n">
        <x:f>SUM('CF_1'!AY28,'CF_2'!AY28,'CF_3'!AY28,'CF_4'!AY28)</x:f>
      </x:c>
      <x:c r="AZ15" s="120" t="n">
        <x:f>SUM('CF_1'!AZ28,'CF_2'!AZ28,'CF_3'!AZ28,'CF_4'!AZ28)</x:f>
      </x:c>
      <x:c r="BA15" s="120" t="n">
        <x:f>SUM('CF_1'!BA28,'CF_2'!BA28,'CF_3'!BA28,'CF_4'!BA28)</x:f>
      </x:c>
      <x:c r="BB15" s="120" t="n">
        <x:f>SUM('CF_1'!BB28,'CF_2'!BB28,'CF_3'!BB28,'CF_4'!BB28)</x:f>
      </x:c>
      <x:c r="BC15" s="120" t="n">
        <x:f>SUM('CF_1'!BC28,'CF_2'!BC28,'CF_3'!BC28,'CF_4'!BC28)</x:f>
      </x:c>
      <x:c r="BD15" s="120" t="n">
        <x:f>SUM('CF_1'!BD28,'CF_2'!BD28,'CF_3'!BD28,'CF_4'!BD28)</x:f>
      </x:c>
      <x:c r="BE15" s="120" t="n">
        <x:f>SUM('CF_1'!BE28,'CF_2'!BE28,'CF_3'!BE28,'CF_4'!BE28)</x:f>
      </x:c>
      <x:c r="BF15" s="120" t="n">
        <x:f>SUM('CF_1'!BF28,'CF_2'!BF28,'CF_3'!BF28,'CF_4'!BF28)</x:f>
      </x:c>
      <x:c r="BG15" s="120" t="n">
        <x:f>SUM('CF_1'!BG28,'CF_2'!BG28,'CF_3'!BG28,'CF_4'!BG28)</x:f>
      </x:c>
      <x:c r="BH15" s="120" t="n">
        <x:f>SUM('CF_1'!BH28,'CF_2'!BH28,'CF_3'!BH28,'CF_4'!BH28)</x:f>
      </x:c>
      <x:c r="BI15" s="120" t="n">
        <x:f>SUM('CF_1'!BI28,'CF_2'!BI28,'CF_3'!BI28,'CF_4'!BI28)</x:f>
      </x:c>
      <x:c r="BJ15" s="120" t="n">
        <x:f>SUM('CF_1'!BJ28,'CF_2'!BJ28,'CF_3'!BJ28,'CF_4'!BJ28)</x:f>
      </x:c>
      <x:c r="BK15" s="120" t="n">
        <x:f>SUM('CF_1'!BK28,'CF_2'!BK28,'CF_3'!BK28,'CF_4'!BK28)</x:f>
      </x:c>
      <x:c r="BL15" s="120" t="n">
        <x:f>SUM('CF_1'!BL28,'CF_2'!BL28,'CF_3'!BL28,'CF_4'!BL28)</x:f>
      </x:c>
      <x:c r="BM15" s="120" t="n">
        <x:f>SUM('CF_1'!BM28,'CF_2'!BM28,'CF_3'!BM28,'CF_4'!BM28)</x:f>
      </x:c>
      <x:c r="BN15" s="120" t="n">
        <x:f>SUM('CF_1'!BN28,'CF_2'!BN28,'CF_3'!BN28,'CF_4'!BN28)</x:f>
      </x:c>
      <x:c r="BO15" s="120" t="n">
        <x:f>SUM('CF_1'!BO28,'CF_2'!BO28,'CF_3'!BO28,'CF_4'!BO28)</x:f>
      </x:c>
      <x:c r="BP15" s="120" t="n">
        <x:f>SUM('CF_1'!BP28,'CF_2'!BP28,'CF_3'!BP28,'CF_4'!BP28)</x:f>
      </x:c>
      <x:c r="BQ15" s="120" t="n">
        <x:f>SUM('CF_1'!BQ28,'CF_2'!BQ28,'CF_3'!BQ28,'CF_4'!BQ28)</x:f>
      </x:c>
      <x:c r="BR15" s="120" t="n">
        <x:f>SUM('CF_1'!BR28,'CF_2'!BR28,'CF_3'!BR28,'CF_4'!BR28)</x:f>
      </x:c>
      <x:c r="BS15" s="120" t="n">
        <x:f>SUM('CF_1'!BS28,'CF_2'!BS28,'CF_3'!BS28,'CF_4'!BS28)</x:f>
      </x:c>
      <x:c r="BT15" s="120" t="n">
        <x:f>SUM('CF_1'!BT28,'CF_2'!BT28,'CF_3'!BT28,'CF_4'!BT28)</x:f>
      </x:c>
      <x:c r="BU15" s="120" t="n">
        <x:f>SUM('CF_1'!BU28,'CF_2'!BU28,'CF_3'!BU28,'CF_4'!BU28)</x:f>
      </x:c>
      <x:c r="BV15" s="120" t="n">
        <x:f>SUM('CF_1'!BV28,'CF_2'!BV28,'CF_3'!BV28,'CF_4'!BV28)</x:f>
      </x:c>
      <x:c r="BW15" s="120" t="n">
        <x:f>SUM('CF_1'!BW28,'CF_2'!BW28,'CF_3'!BW28,'CF_4'!BW28)</x:f>
      </x:c>
      <x:c r="BX15" s="120" t="n">
        <x:f>SUM('CF_1'!BX28,'CF_2'!BX28,'CF_3'!BX28,'CF_4'!BX28)</x:f>
      </x:c>
      <x:c r="BY15" s="120" t="n">
        <x:f>SUM('CF_1'!BY28,'CF_2'!BY28,'CF_3'!BY28,'CF_4'!BY28)</x:f>
      </x:c>
      <x:c r="BZ15" s="120" t="n">
        <x:f>SUM('CF_1'!BZ28,'CF_2'!BZ28,'CF_3'!BZ28,'CF_4'!BZ28)</x:f>
      </x:c>
      <x:c r="CA15" s="120" t="n">
        <x:f>SUM('CF_1'!CA28,'CF_2'!CA28,'CF_3'!CA28,'CF_4'!CA28)</x:f>
      </x:c>
      <x:c r="CB15" s="120" t="n">
        <x:f>SUM('CF_1'!CB28,'CF_2'!CB28,'CF_3'!CB28,'CF_4'!CB28)</x:f>
      </x:c>
      <x:c r="CC15" s="120" t="n">
        <x:f>SUM('CF_1'!CC28,'CF_2'!CC28,'CF_3'!CC28,'CF_4'!CC28)</x:f>
      </x:c>
      <x:c r="CD15" s="120" t="n">
        <x:f>SUM('CF_1'!CD28,'CF_2'!CD28,'CF_3'!CD28,'CF_4'!CD28)</x:f>
      </x:c>
      <x:c r="CE15" s="120" t="n">
        <x:f>SUM('CF_1'!CE28,'CF_2'!CE28,'CF_3'!CE28,'CF_4'!CE28)</x:f>
      </x:c>
      <x:c r="CF15" s="120" t="n">
        <x:f>SUM('CF_1'!CF28,'CF_2'!CF28,'CF_3'!CF28,'CF_4'!CF28)</x:f>
      </x:c>
      <x:c r="CG15" s="120" t="n">
        <x:f>SUM('CF_1'!CG28,'CF_2'!CG28,'CF_3'!CG28,'CF_4'!CG28)</x:f>
      </x:c>
      <x:c r="CH15" s="120" t="n">
        <x:f>SUM('CF_1'!CH28,'CF_2'!CH28,'CF_3'!CH28,'CF_4'!CH28)</x:f>
      </x:c>
      <x:c r="CI15" s="120" t="n">
        <x:f>SUM('CF_1'!CI28,'CF_2'!CI28,'CF_3'!CI28,'CF_4'!CI28)</x:f>
      </x:c>
      <x:c r="CJ15" s="120" t="n">
        <x:f>SUM('CF_1'!CJ28,'CF_2'!CJ28,'CF_3'!CJ28,'CF_4'!CJ28)</x:f>
      </x:c>
      <x:c r="CK15" s="120" t="n">
        <x:f>SUM('CF_1'!CK28,'CF_2'!CK28,'CF_3'!CK28,'CF_4'!CK28)</x:f>
      </x:c>
      <x:c r="CL15" s="120" t="n">
        <x:f>SUM('CF_1'!CL28,'CF_2'!CL28,'CF_3'!CL28,'CF_4'!CL28)</x:f>
      </x:c>
      <x:c r="CM15" s="120" t="n">
        <x:f>SUM('CF_1'!CM28,'CF_2'!CM28,'CF_3'!CM28,'CF_4'!CM28)</x:f>
      </x:c>
      <x:c r="CN15" s="120" t="n">
        <x:f>SUM('CF_1'!CN28,'CF_2'!CN28,'CF_3'!CN28,'CF_4'!CN28)</x:f>
      </x:c>
      <x:c r="CO15" s="120" t="n">
        <x:f>SUM('CF_1'!CO28,'CF_2'!CO28,'CF_3'!CO28,'CF_4'!CO28)</x:f>
      </x:c>
      <x:c r="CP15" s="120" t="n">
        <x:f>SUM('CF_1'!CP28,'CF_2'!CP28,'CF_3'!CP28,'CF_4'!CP28)</x:f>
      </x:c>
      <x:c r="CQ15" s="120" t="n">
        <x:f>SUM('CF_1'!CQ28,'CF_2'!CQ28,'CF_3'!CQ28,'CF_4'!CQ28)</x:f>
      </x:c>
      <x:c r="CR15" s="120" t="n">
        <x:f>SUM('CF_1'!CR28,'CF_2'!CR28,'CF_3'!CR28,'CF_4'!CR28)</x:f>
      </x:c>
      <x:c r="CS15" s="120" t="n">
        <x:f>SUM('CF_1'!CS28,'CF_2'!CS28,'CF_3'!CS28,'CF_4'!CS28)</x:f>
      </x:c>
      <x:c r="CT15" s="120" t="n">
        <x:f>SUM('CF_1'!CT28,'CF_2'!CT28,'CF_3'!CT28,'CF_4'!CT28)</x:f>
      </x:c>
      <x:c r="CU15" s="120" t="n">
        <x:f>SUM('CF_1'!CU28,'CF_2'!CU28,'CF_3'!CU28,'CF_4'!CU28)</x:f>
      </x:c>
      <x:c r="CV15" s="120" t="n">
        <x:f>SUM('CF_1'!CV28,'CF_2'!CV28,'CF_3'!CV28,'CF_4'!CV28)</x:f>
      </x:c>
      <x:c r="CW15" s="120" t="n">
        <x:f>SUM('CF_1'!CW28,'CF_2'!CW28,'CF_3'!CW28,'CF_4'!CW28)</x:f>
      </x:c>
      <x:c r="CX15" s="120" t="n">
        <x:f>SUM('CF_1'!CX28,'CF_2'!CX28,'CF_3'!CX28,'CF_4'!CX28)</x:f>
      </x:c>
      <x:c r="CY15" s="120" t="n">
        <x:f>SUM('CF_1'!CY28,'CF_2'!CY28,'CF_3'!CY28,'CF_4'!CY28)</x:f>
      </x:c>
      <x:c r="CZ15" s="120" t="n">
        <x:f>SUM('CF_1'!CZ28,'CF_2'!CZ28,'CF_3'!CZ28,'CF_4'!CZ28)</x:f>
      </x:c>
      <x:c r="DA15" s="120" t="n">
        <x:f>SUM('CF_1'!DA28,'CF_2'!DA28,'CF_3'!DA28,'CF_4'!DA28)</x:f>
      </x:c>
      <x:c r="DB15" s="120" t="n">
        <x:f>SUM('CF_1'!DB28,'CF_2'!DB28,'CF_3'!DB28,'CF_4'!DB28)</x:f>
      </x:c>
      <x:c r="DC15" s="120" t="n">
        <x:f>SUM('CF_1'!DC28,'CF_2'!DC28,'CF_3'!DC28,'CF_4'!DC28)</x:f>
      </x:c>
      <x:c r="DD15" s="120" t="n">
        <x:f>SUM('CF_1'!DD28,'CF_2'!DD28,'CF_3'!DD28,'CF_4'!DD28)</x:f>
      </x:c>
      <x:c r="DE15" s="120" t="n">
        <x:f>SUM('CF_1'!DE28,'CF_2'!DE28,'CF_3'!DE28,'CF_4'!DE28)</x:f>
      </x:c>
      <x:c r="DF15" s="120" t="n">
        <x:f>SUM('CF_1'!DF28,'CF_2'!DF28,'CF_3'!DF28,'CF_4'!DF28)</x:f>
      </x:c>
      <x:c r="DG15" s="120" t="n">
        <x:f>SUM('CF_1'!DG28,'CF_2'!DG28,'CF_3'!DG28,'CF_4'!DG28)</x:f>
      </x:c>
      <x:c r="DH15" s="120" t="n">
        <x:f>SUM('CF_1'!DH28,'CF_2'!DH28,'CF_3'!DH28,'CF_4'!DH28)</x:f>
      </x:c>
      <x:c r="DI15" s="120" t="n">
        <x:f>SUM('CF_1'!DI28,'CF_2'!DI28,'CF_3'!DI28,'CF_4'!DI28)</x:f>
      </x:c>
      <x:c r="DJ15" s="120" t="n">
        <x:f>SUM('CF_1'!DJ28,'CF_2'!DJ28,'CF_3'!DJ28,'CF_4'!DJ28)</x:f>
      </x:c>
      <x:c r="DK15" s="120" t="n">
        <x:f>SUM('CF_1'!DK28,'CF_2'!DK28,'CF_3'!DK28,'CF_4'!DK28)</x:f>
      </x:c>
      <x:c r="DL15" s="120" t="n">
        <x:f>SUM('CF_1'!DL28,'CF_2'!DL28,'CF_3'!DL28,'CF_4'!DL28)</x:f>
      </x:c>
      <x:c r="DM15" s="120" t="n">
        <x:f>SUM('CF_1'!DM28,'CF_2'!DM28,'CF_3'!DM28,'CF_4'!DM28)</x:f>
      </x:c>
      <x:c r="DN15" s="120" t="n">
        <x:f>SUM('CF_1'!DN28,'CF_2'!DN28,'CF_3'!DN28,'CF_4'!DN28)</x:f>
      </x:c>
      <x:c r="DO15" s="120" t="n">
        <x:f>SUM('CF_1'!DO28,'CF_2'!DO28,'CF_3'!DO28,'CF_4'!DO28)</x:f>
      </x:c>
      <x:c r="DP15" s="120" t="n">
        <x:f>SUM('CF_1'!DP28,'CF_2'!DP28,'CF_3'!DP28,'CF_4'!DP28)</x:f>
      </x:c>
      <x:c r="DQ15" s="120" t="n">
        <x:f>SUM('CF_1'!DQ28,'CF_2'!DQ28,'CF_3'!DQ28,'CF_4'!DQ28)</x:f>
      </x:c>
      <x:c r="DR15" s="120" t="n">
        <x:f>SUM('CF_1'!DR28,'CF_2'!DR28,'CF_3'!DR28,'CF_4'!DR28)</x:f>
      </x:c>
      <x:c r="DS15" s="120" t="n">
        <x:f>SUM('CF_1'!DS28,'CF_2'!DS28,'CF_3'!DS28,'CF_4'!DS28)</x:f>
      </x:c>
      <x:c r="DT15" s="120" t="n">
        <x:f>SUM('CF_1'!DT28,'CF_2'!DT28,'CF_3'!DT28,'CF_4'!DT28)</x:f>
      </x:c>
      <x:c r="DU15" s="120" t="n">
        <x:f>SUM('CF_1'!DU28,'CF_2'!DU28,'CF_3'!DU28,'CF_4'!DU28)</x:f>
      </x:c>
      <x:c r="DV15" s="120" t="n">
        <x:f>SUM('CF_1'!DV28,'CF_2'!DV28,'CF_3'!DV28,'CF_4'!DV28)</x:f>
      </x:c>
      <x:c r="DW15" s="120" t="n">
        <x:f>SUM('CF_1'!DW28,'CF_2'!DW28,'CF_3'!DW28,'CF_4'!DW28)</x:f>
      </x:c>
      <x:c r="DX15" s="120" t="n">
        <x:f>SUM('CF_1'!DX28,'CF_2'!DX28,'CF_3'!DX28,'CF_4'!DX28)</x:f>
      </x:c>
      <x:c r="DY15" s="120" t="n">
        <x:f>SUM('CF_1'!DY28,'CF_2'!DY28,'CF_3'!DY28,'CF_4'!DY28)</x:f>
      </x:c>
      <x:c r="DZ15" s="120" t="n">
        <x:f>SUM('CF_1'!DZ28,'CF_2'!DZ28,'CF_3'!DZ28,'CF_4'!DZ28)</x:f>
      </x:c>
      <x:c r="EA15" s="120" t="n">
        <x:f>SUM('CF_1'!EA28,'CF_2'!EA28,'CF_3'!EA28,'CF_4'!EA28)</x:f>
      </x:c>
      <x:c r="EB15" s="120" t="n">
        <x:f>SUM('CF_1'!EB28,'CF_2'!EB28,'CF_3'!EB28,'CF_4'!EB28)</x:f>
      </x:c>
      <x:c r="EC15" s="120" t="n">
        <x:f>SUM('CF_1'!EC28,'CF_2'!EC28,'CF_3'!EC28,'CF_4'!EC28)</x:f>
      </x:c>
      <x:c r="ED15" s="120" t="n">
        <x:f>SUM('CF_1'!ED28,'CF_2'!ED28,'CF_3'!ED28,'CF_4'!ED28)</x:f>
      </x:c>
      <x:c r="EE15" s="120" t="n">
        <x:f>SUM('CF_1'!EE28,'CF_2'!EE28,'CF_3'!EE28,'CF_4'!EE28)</x:f>
      </x:c>
      <x:c r="EF15" s="120" t="n">
        <x:f>SUM('CF_1'!EF28,'CF_2'!EF28,'CF_3'!EF28,'CF_4'!EF28)</x:f>
      </x:c>
      <x:c r="EG15" s="120" t="n">
        <x:f>SUM('CF_1'!EG28,'CF_2'!EG28,'CF_3'!EG28,'CF_4'!EG28)</x:f>
      </x:c>
      <x:c r="EH15" s="120" t="n">
        <x:f>SUM('CF_1'!EH28,'CF_2'!EH28,'CF_3'!EH28,'CF_4'!EH28)</x:f>
      </x:c>
      <x:c r="EI15" s="120" t="n">
        <x:f>SUM('CF_1'!EI28,'CF_2'!EI28,'CF_3'!EI28,'CF_4'!EI28)</x:f>
      </x:c>
      <x:c r="EJ15" s="120" t="n">
        <x:f>SUM('CF_1'!EJ28,'CF_2'!EJ28,'CF_3'!EJ28,'CF_4'!EJ28)</x:f>
      </x:c>
      <x:c r="EK15" s="120" t="n">
        <x:f>SUM('CF_1'!EK28,'CF_2'!EK28,'CF_3'!EK28,'CF_4'!EK28)</x:f>
      </x:c>
      <x:c r="EL15" s="120" t="n">
        <x:f>SUM('CF_1'!EL28,'CF_2'!EL28,'CF_3'!EL28,'CF_4'!EL28)</x:f>
      </x:c>
      <x:c r="EM15" s="120" t="n">
        <x:f>SUM('CF_1'!EM28,'CF_2'!EM28,'CF_3'!EM28,'CF_4'!EM28)</x:f>
      </x:c>
      <x:c r="EN15" s="120" t="n">
        <x:f>SUM('CF_1'!EN28,'CF_2'!EN28,'CF_3'!EN28,'CF_4'!EN28)</x:f>
      </x:c>
      <x:c r="EO15" s="120" t="n">
        <x:f>SUM('CF_1'!EO28,'CF_2'!EO28,'CF_3'!EO28,'CF_4'!EO28)</x:f>
      </x:c>
      <x:c r="EP15" s="120" t="n">
        <x:f>SUM('CF_1'!EP28,'CF_2'!EP28,'CF_3'!EP28,'CF_4'!EP28)</x:f>
      </x:c>
      <x:c r="EQ15" s="120" t="n">
        <x:f>SUM('CF_1'!EQ28,'CF_2'!EQ28,'CF_3'!EQ28,'CF_4'!EQ28)</x:f>
      </x:c>
      <x:c r="ER15" s="120" t="n">
        <x:f>SUM('CF_1'!ER28,'CF_2'!ER28,'CF_3'!ER28,'CF_4'!ER28)</x:f>
      </x:c>
      <x:c r="ES15" s="120" t="n">
        <x:f>SUM('CF_1'!ES28,'CF_2'!ES28,'CF_3'!ES28,'CF_4'!ES28)</x:f>
      </x:c>
      <x:c r="ET15" s="120" t="n">
        <x:f>SUM('CF_1'!ET28,'CF_2'!ET28,'CF_3'!ET28,'CF_4'!ET28)</x:f>
      </x:c>
      <x:c r="EU15" s="120" t="n">
        <x:f>SUM('CF_1'!EU28,'CF_2'!EU28,'CF_3'!EU28,'CF_4'!EU28)</x:f>
      </x:c>
      <x:c r="EV15" s="120" t="n">
        <x:f>SUM('CF_1'!EV28,'CF_2'!EV28,'CF_3'!EV28,'CF_4'!EV28)</x:f>
      </x:c>
      <x:c r="EW15" s="120" t="n">
        <x:f>SUM('CF_1'!EW28,'CF_2'!EW28,'CF_3'!EW28,'CF_4'!EW28)</x:f>
      </x:c>
      <x:c r="EX15" s="120" t="n">
        <x:f>SUM('CF_1'!EX28,'CF_2'!EX28,'CF_3'!EX28,'CF_4'!EX28)</x:f>
      </x:c>
      <x:c r="EY15" s="120" t="n">
        <x:f>SUM('CF_1'!EY28,'CF_2'!EY28,'CF_3'!EY28,'CF_4'!EY28)</x:f>
      </x:c>
      <x:c r="EZ15" s="120" t="n">
        <x:f>SUM('CF_1'!EZ28,'CF_2'!EZ28,'CF_3'!EZ28,'CF_4'!EZ28)</x:f>
      </x:c>
      <x:c r="FA15" s="120" t="n">
        <x:f>SUM('CF_1'!FA28,'CF_2'!FA28,'CF_3'!FA28,'CF_4'!FA28)</x:f>
      </x:c>
      <x:c r="FB15" s="120" t="n">
        <x:f>SUM('CF_1'!FB28,'CF_2'!FB28,'CF_3'!FB28,'CF_4'!FB28)</x:f>
      </x:c>
      <x:c r="FC15" s="120" t="n">
        <x:f>SUM('CF_1'!FC28,'CF_2'!FC28,'CF_3'!FC28,'CF_4'!FC28)</x:f>
      </x:c>
      <x:c r="FD15" s="120" t="n">
        <x:f>SUM('CF_1'!FD28,'CF_2'!FD28,'CF_3'!FD28,'CF_4'!FD28)</x:f>
      </x:c>
      <x:c r="FE15" s="120" t="n">
        <x:f>SUM('CF_1'!FE28,'CF_2'!FE28,'CF_3'!FE28,'CF_4'!FE28)</x:f>
      </x:c>
      <x:c r="FF15" s="120" t="n">
        <x:f>SUM('CF_1'!FF28,'CF_2'!FF28,'CF_3'!FF28,'CF_4'!FF28)</x:f>
      </x:c>
      <x:c r="FG15" s="120" t="n">
        <x:f>SUM('CF_1'!FG28,'CF_2'!FG28,'CF_3'!FG28,'CF_4'!FG28)</x:f>
      </x:c>
      <x:c r="FH15" s="120" t="n">
        <x:f>SUM('CF_1'!FH28,'CF_2'!FH28,'CF_3'!FH28,'CF_4'!FH28)</x:f>
      </x:c>
      <x:c r="FI15" s="120" t="n">
        <x:f>SUM('CF_1'!FI28,'CF_2'!FI28,'CF_3'!FI28,'CF_4'!FI28)</x:f>
      </x:c>
      <x:c r="FJ15" s="120" t="n">
        <x:f>SUM('CF_1'!FJ28,'CF_2'!FJ28,'CF_3'!FJ28,'CF_4'!FJ28)</x:f>
      </x:c>
      <x:c r="FK15" s="120" t="n">
        <x:f>SUM('CF_1'!FK28,'CF_2'!FK28,'CF_3'!FK28,'CF_4'!FK28)</x:f>
      </x:c>
      <x:c r="FL15" s="120" t="n">
        <x:f>SUM('CF_1'!FL28,'CF_2'!FL28,'CF_3'!FL28,'CF_4'!FL28)</x:f>
      </x:c>
      <x:c r="FM15" s="120" t="n">
        <x:f>SUM('CF_1'!FM28,'CF_2'!FM28,'CF_3'!FM28,'CF_4'!FM28)</x:f>
      </x:c>
      <x:c r="FN15" s="120" t="n">
        <x:f>SUM('CF_1'!FN28,'CF_2'!FN28,'CF_3'!FN28,'CF_4'!FN28)</x:f>
      </x:c>
      <x:c r="FO15" s="120" t="n">
        <x:f>SUM('CF_1'!FO28,'CF_2'!FO28,'CF_3'!FO28,'CF_4'!FO28)</x:f>
      </x:c>
      <x:c r="FP15" s="120" t="n">
        <x:f>SUM('CF_1'!FP28,'CF_2'!FP28,'CF_3'!FP28,'CF_4'!FP28)</x:f>
      </x:c>
      <x:c r="FQ15" s="120" t="n">
        <x:f>SUM('CF_1'!FQ28,'CF_2'!FQ28,'CF_3'!FQ28,'CF_4'!FQ28)</x:f>
      </x:c>
      <x:c r="FR15" s="120" t="n">
        <x:f>SUM('CF_1'!FR28,'CF_2'!FR28,'CF_3'!FR28,'CF_4'!FR28)</x:f>
      </x:c>
      <x:c r="FS15" s="120" t="n">
        <x:f>SUM('CF_1'!FS28,'CF_2'!FS28,'CF_3'!FS28,'CF_4'!FS28)</x:f>
      </x:c>
      <x:c r="FT15" s="120" t="n">
        <x:f>SUM('CF_1'!FT28,'CF_2'!FT28,'CF_3'!FT28,'CF_4'!FT28)</x:f>
      </x:c>
      <x:c r="FU15" s="120" t="n">
        <x:f>SUM('CF_1'!FU28,'CF_2'!FU28,'CF_3'!FU28,'CF_4'!FU28)</x:f>
      </x:c>
      <x:c r="FV15" s="120" t="n">
        <x:f>SUM('CF_1'!FV28,'CF_2'!FV28,'CF_3'!FV28,'CF_4'!FV28)</x:f>
      </x:c>
      <x:c r="FW15" s="120" t="n">
        <x:f>SUM('CF_1'!FW28,'CF_2'!FW28,'CF_3'!FW28,'CF_4'!FW28)</x:f>
      </x:c>
      <x:c r="FX15" s="120" t="n">
        <x:f>SUM('CF_1'!FX28,'CF_2'!FX28,'CF_3'!FX28,'CF_4'!FX28)</x:f>
      </x:c>
      <x:c r="FY15" s="120" t="n">
        <x:f>SUM('CF_1'!FY28,'CF_2'!FY28,'CF_3'!FY28,'CF_4'!FY28)</x:f>
      </x:c>
      <x:c r="FZ15" s="120" t="n">
        <x:f>SUM('CF_1'!FZ28,'CF_2'!FZ28,'CF_3'!FZ28,'CF_4'!FZ28)</x:f>
      </x:c>
      <x:c r="GA15" s="120" t="n">
        <x:f>SUM('CF_1'!GA28,'CF_2'!GA28,'CF_3'!GA28,'CF_4'!GA28)</x:f>
      </x:c>
    </x:row>
    <x:row r="16">
      <x:c r="D16" s="117"/>
      <x:c r="E16" s="117"/>
      <x:c r="F16" s="117"/>
      <x:c r="G16" s="117"/>
      <x:c r="H16" s="117"/>
      <x:c r="I16" s="117"/>
      <x:c r="J16" s="117"/>
      <x:c r="K16" s="117"/>
      <x:c r="L16" s="117"/>
      <x:c r="M16" s="117"/>
      <x:c r="N16" s="117"/>
      <x:c r="O16" s="117"/>
      <x:c r="P16" s="117"/>
      <x:c r="Q16" s="117"/>
      <x:c r="R16" s="117"/>
      <x:c r="S16" s="117"/>
      <x:c r="T16" s="117"/>
      <x:c r="U16" s="117"/>
      <x:c r="V16" s="117"/>
      <x:c r="W16" s="117"/>
      <x:c r="X16" s="117"/>
      <x:c r="Y16" s="117"/>
      <x:c r="Z16" s="117"/>
      <x:c r="AA16" s="117"/>
      <x:c r="AB16" s="117"/>
      <x:c r="AC16" s="117"/>
      <x:c r="AD16" s="117"/>
      <x:c r="AE16" s="117"/>
      <x:c r="AF16" s="117"/>
      <x:c r="AG16" s="117"/>
      <x:c r="AH16" s="117"/>
      <x:c r="AI16" s="117"/>
      <x:c r="AJ16" s="117"/>
      <x:c r="AK16" s="117"/>
      <x:c r="AL16" s="117"/>
      <x:c r="AM16" s="117"/>
      <x:c r="AN16" s="117"/>
      <x:c r="AO16" s="117"/>
      <x:c r="AP16" s="117"/>
      <x:c r="AQ16" s="117"/>
      <x:c r="AR16" s="117"/>
      <x:c r="AS16" s="117"/>
      <x:c r="AT16" s="117"/>
      <x:c r="AU16" s="117"/>
      <x:c r="AV16" s="117"/>
      <x:c r="AW16" s="117"/>
      <x:c r="AX16" s="117"/>
      <x:c r="AY16" s="117"/>
      <x:c r="AZ16" s="117"/>
      <x:c r="BA16" s="117"/>
      <x:c r="BB16" s="117"/>
      <x:c r="BC16" s="117"/>
      <x:c r="BD16" s="117"/>
      <x:c r="BE16" s="117"/>
      <x:c r="BF16" s="117"/>
      <x:c r="BG16" s="117"/>
      <x:c r="BH16" s="117"/>
      <x:c r="BI16" s="117"/>
      <x:c r="BJ16" s="117"/>
      <x:c r="BK16" s="117"/>
      <x:c r="BL16" s="117"/>
      <x:c r="BM16" s="117"/>
      <x:c r="BN16" s="117"/>
      <x:c r="BO16" s="117"/>
      <x:c r="BP16" s="117"/>
      <x:c r="BQ16" s="117"/>
      <x:c r="BR16" s="117"/>
      <x:c r="BS16" s="117"/>
      <x:c r="BT16" s="117"/>
      <x:c r="BU16" s="117"/>
      <x:c r="BV16" s="117"/>
      <x:c r="BW16" s="117"/>
      <x:c r="BX16" s="117"/>
      <x:c r="BY16" s="117"/>
      <x:c r="BZ16" s="117"/>
      <x:c r="CA16" s="117"/>
      <x:c r="CB16" s="117"/>
      <x:c r="CC16" s="117"/>
      <x:c r="CD16" s="117"/>
      <x:c r="CE16" s="117"/>
      <x:c r="CF16" s="117"/>
      <x:c r="CG16" s="117"/>
      <x:c r="CH16" s="117"/>
      <x:c r="CI16" s="117"/>
      <x:c r="CJ16" s="117"/>
      <x:c r="CK16" s="117"/>
      <x:c r="CL16" s="117"/>
      <x:c r="CM16" s="117"/>
      <x:c r="CN16" s="117"/>
      <x:c r="CO16" s="117"/>
      <x:c r="CP16" s="117"/>
      <x:c r="CQ16" s="117"/>
      <x:c r="CR16" s="117"/>
      <x:c r="CS16" s="117"/>
      <x:c r="CT16" s="117"/>
      <x:c r="CU16" s="117"/>
      <x:c r="CV16" s="117"/>
      <x:c r="CW16" s="117"/>
      <x:c r="CX16" s="117"/>
      <x:c r="CY16" s="117"/>
      <x:c r="CZ16" s="117"/>
      <x:c r="DA16" s="117"/>
      <x:c r="DB16" s="117"/>
      <x:c r="DC16" s="117"/>
      <x:c r="DD16" s="117"/>
      <x:c r="DE16" s="117"/>
      <x:c r="DF16" s="117"/>
      <x:c r="DG16" s="117"/>
      <x:c r="DH16" s="117"/>
      <x:c r="DI16" s="117"/>
      <x:c r="DJ16" s="117"/>
      <x:c r="DK16" s="117"/>
      <x:c r="DL16" s="117"/>
      <x:c r="DM16" s="117"/>
      <x:c r="DN16" s="117"/>
      <x:c r="DO16" s="117"/>
      <x:c r="DP16" s="117"/>
      <x:c r="DQ16" s="117"/>
      <x:c r="DR16" s="117"/>
      <x:c r="DS16" s="117"/>
      <x:c r="DT16" s="117"/>
      <x:c r="DU16" s="117"/>
      <x:c r="DV16" s="117"/>
      <x:c r="DW16" s="117"/>
      <x:c r="DX16" s="117"/>
      <x:c r="DY16" s="117"/>
      <x:c r="DZ16" s="117"/>
      <x:c r="EA16" s="117"/>
      <x:c r="EB16" s="117"/>
      <x:c r="EC16" s="117"/>
      <x:c r="ED16" s="117"/>
      <x:c r="EE16" s="117"/>
      <x:c r="EF16" s="117"/>
      <x:c r="EG16" s="117"/>
      <x:c r="EH16" s="117"/>
      <x:c r="EI16" s="117"/>
      <x:c r="EJ16" s="117"/>
      <x:c r="EK16" s="117"/>
      <x:c r="EL16" s="117"/>
      <x:c r="EM16" s="117"/>
      <x:c r="EN16" s="117"/>
      <x:c r="EO16" s="117"/>
      <x:c r="EP16" s="117"/>
      <x:c r="EQ16" s="117"/>
      <x:c r="ER16" s="117"/>
      <x:c r="ES16" s="117"/>
      <x:c r="ET16" s="117"/>
      <x:c r="EU16" s="117"/>
      <x:c r="EV16" s="117"/>
      <x:c r="EW16" s="117"/>
      <x:c r="EX16" s="117"/>
      <x:c r="EY16" s="117"/>
      <x:c r="EZ16" s="117"/>
      <x:c r="FA16" s="117"/>
      <x:c r="FB16" s="117"/>
      <x:c r="FC16" s="117"/>
      <x:c r="FD16" s="117"/>
      <x:c r="FE16" s="117"/>
      <x:c r="FF16" s="117"/>
      <x:c r="FG16" s="117"/>
      <x:c r="FH16" s="117"/>
      <x:c r="FI16" s="117"/>
      <x:c r="FJ16" s="117"/>
      <x:c r="FK16" s="117"/>
      <x:c r="FL16" s="117"/>
      <x:c r="FM16" s="117"/>
      <x:c r="FN16" s="117"/>
      <x:c r="FO16" s="117"/>
      <x:c r="FP16" s="117"/>
      <x:c r="FQ16" s="117"/>
      <x:c r="FR16" s="117"/>
      <x:c r="FS16" s="117"/>
      <x:c r="FT16" s="117"/>
      <x:c r="FU16" s="117"/>
      <x:c r="FV16" s="117"/>
      <x:c r="FW16" s="117"/>
      <x:c r="FX16" s="117"/>
      <x:c r="FY16" s="117"/>
      <x:c r="FZ16" s="117"/>
      <x:c r="GA16" s="117"/>
    </x:row>
    <x:row r="17">
      <x:c r="A17" t="str">
        <x:v>Долг БРИДЖ</x:v>
      </x:c>
      <x:c r="B17" t="n">
        <x:f>GA17</x:f>
      </x:c>
      <x:c r="C17" t="str">
        <x:v>млн ₽</x:v>
      </x:c>
      <x:c r="D17" s="117" t="n">
        <x:f>SUM('CF_1'!D36,'CF_2'!D36,'CF_3'!D36,'CF_4'!D36)</x:f>
      </x:c>
      <x:c r="E17" s="117" t="n">
        <x:f>SUM('CF_1'!E36,'CF_2'!E36,'CF_3'!E36,'CF_4'!E36)</x:f>
      </x:c>
      <x:c r="F17" s="117" t="n">
        <x:f>SUM('CF_1'!F36,'CF_2'!F36,'CF_3'!F36,'CF_4'!F36)</x:f>
      </x:c>
      <x:c r="G17" s="117" t="n">
        <x:f>SUM('CF_1'!G36,'CF_2'!G36,'CF_3'!G36,'CF_4'!G36)</x:f>
      </x:c>
      <x:c r="H17" s="117" t="n">
        <x:f>SUM('CF_1'!H36,'CF_2'!H36,'CF_3'!H36,'CF_4'!H36)</x:f>
      </x:c>
      <x:c r="I17" s="117" t="n">
        <x:f>SUM('CF_1'!I36,'CF_2'!I36,'CF_3'!I36,'CF_4'!I36)</x:f>
      </x:c>
      <x:c r="J17" s="117" t="n">
        <x:f>SUM('CF_1'!J36,'CF_2'!J36,'CF_3'!J36,'CF_4'!J36)</x:f>
      </x:c>
      <x:c r="K17" s="117" t="n">
        <x:f>SUM('CF_1'!K36,'CF_2'!K36,'CF_3'!K36,'CF_4'!K36)</x:f>
      </x:c>
      <x:c r="L17" s="117" t="n">
        <x:f>SUM('CF_1'!L36,'CF_2'!L36,'CF_3'!L36,'CF_4'!L36)</x:f>
      </x:c>
      <x:c r="M17" s="117" t="n">
        <x:f>SUM('CF_1'!M36,'CF_2'!M36,'CF_3'!M36,'CF_4'!M36)</x:f>
      </x:c>
      <x:c r="N17" s="117" t="n">
        <x:f>SUM('CF_1'!N36,'CF_2'!N36,'CF_3'!N36,'CF_4'!N36)</x:f>
      </x:c>
      <x:c r="O17" s="117" t="n">
        <x:f>SUM('CF_1'!O36,'CF_2'!O36,'CF_3'!O36,'CF_4'!O36)</x:f>
      </x:c>
      <x:c r="P17" s="117" t="n">
        <x:f>SUM('CF_1'!P36,'CF_2'!P36,'CF_3'!P36,'CF_4'!P36)</x:f>
      </x:c>
      <x:c r="Q17" s="117" t="n">
        <x:f>SUM('CF_1'!Q36,'CF_2'!Q36,'CF_3'!Q36,'CF_4'!Q36)</x:f>
      </x:c>
      <x:c r="R17" s="117" t="n">
        <x:f>SUM('CF_1'!R36,'CF_2'!R36,'CF_3'!R36,'CF_4'!R36)</x:f>
      </x:c>
      <x:c r="S17" s="117" t="n">
        <x:f>SUM('CF_1'!S36,'CF_2'!S36,'CF_3'!S36,'CF_4'!S36)</x:f>
      </x:c>
      <x:c r="T17" s="117" t="n">
        <x:f>SUM('CF_1'!T36,'CF_2'!T36,'CF_3'!T36,'CF_4'!T36)</x:f>
      </x:c>
      <x:c r="U17" s="117" t="n">
        <x:f>SUM('CF_1'!U36,'CF_2'!U36,'CF_3'!U36,'CF_4'!U36)</x:f>
      </x:c>
      <x:c r="V17" s="117" t="n">
        <x:f>SUM('CF_1'!V36,'CF_2'!V36,'CF_3'!V36,'CF_4'!V36)</x:f>
      </x:c>
      <x:c r="W17" s="117" t="n">
        <x:f>SUM('CF_1'!W36,'CF_2'!W36,'CF_3'!W36,'CF_4'!W36)</x:f>
      </x:c>
      <x:c r="X17" s="117" t="n">
        <x:f>SUM('CF_1'!X36,'CF_2'!X36,'CF_3'!X36,'CF_4'!X36)</x:f>
      </x:c>
      <x:c r="Y17" s="117" t="n">
        <x:f>SUM('CF_1'!Y36,'CF_2'!Y36,'CF_3'!Y36,'CF_4'!Y36)</x:f>
      </x:c>
      <x:c r="Z17" s="117" t="n">
        <x:f>SUM('CF_1'!Z36,'CF_2'!Z36,'CF_3'!Z36,'CF_4'!Z36)</x:f>
      </x:c>
      <x:c r="AA17" s="117" t="n">
        <x:f>SUM('CF_1'!AA36,'CF_2'!AA36,'CF_3'!AA36,'CF_4'!AA36)</x:f>
      </x:c>
      <x:c r="AB17" s="117" t="n">
        <x:f>SUM('CF_1'!AB36,'CF_2'!AB36,'CF_3'!AB36,'CF_4'!AB36)</x:f>
      </x:c>
      <x:c r="AC17" s="117" t="n">
        <x:f>SUM('CF_1'!AC36,'CF_2'!AC36,'CF_3'!AC36,'CF_4'!AC36)</x:f>
      </x:c>
      <x:c r="AD17" s="117" t="n">
        <x:f>SUM('CF_1'!AD36,'CF_2'!AD36,'CF_3'!AD36,'CF_4'!AD36)</x:f>
      </x:c>
      <x:c r="AE17" s="117" t="n">
        <x:f>SUM('CF_1'!AE36,'CF_2'!AE36,'CF_3'!AE36,'CF_4'!AE36)</x:f>
      </x:c>
      <x:c r="AF17" s="117" t="n">
        <x:f>SUM('CF_1'!AF36,'CF_2'!AF36,'CF_3'!AF36,'CF_4'!AF36)</x:f>
      </x:c>
      <x:c r="AG17" s="117" t="n">
        <x:f>SUM('CF_1'!AG36,'CF_2'!AG36,'CF_3'!AG36,'CF_4'!AG36)</x:f>
      </x:c>
      <x:c r="AH17" s="117" t="n">
        <x:f>SUM('CF_1'!AH36,'CF_2'!AH36,'CF_3'!AH36,'CF_4'!AH36)</x:f>
      </x:c>
      <x:c r="AI17" s="117" t="n">
        <x:f>SUM('CF_1'!AI36,'CF_2'!AI36,'CF_3'!AI36,'CF_4'!AI36)</x:f>
      </x:c>
      <x:c r="AJ17" s="117" t="n">
        <x:f>SUM('CF_1'!AJ36,'CF_2'!AJ36,'CF_3'!AJ36,'CF_4'!AJ36)</x:f>
      </x:c>
      <x:c r="AK17" s="117" t="n">
        <x:f>SUM('CF_1'!AK36,'CF_2'!AK36,'CF_3'!AK36,'CF_4'!AK36)</x:f>
      </x:c>
      <x:c r="AL17" s="117" t="n">
        <x:f>SUM('CF_1'!AL36,'CF_2'!AL36,'CF_3'!AL36,'CF_4'!AL36)</x:f>
      </x:c>
      <x:c r="AM17" s="117" t="n">
        <x:f>SUM('CF_1'!AM36,'CF_2'!AM36,'CF_3'!AM36,'CF_4'!AM36)</x:f>
      </x:c>
      <x:c r="AN17" s="117" t="n">
        <x:f>SUM('CF_1'!AN36,'CF_2'!AN36,'CF_3'!AN36,'CF_4'!AN36)</x:f>
      </x:c>
      <x:c r="AO17" s="117" t="n">
        <x:f>SUM('CF_1'!AO36,'CF_2'!AO36,'CF_3'!AO36,'CF_4'!AO36)</x:f>
      </x:c>
      <x:c r="AP17" s="117" t="n">
        <x:f>SUM('CF_1'!AP36,'CF_2'!AP36,'CF_3'!AP36,'CF_4'!AP36)</x:f>
      </x:c>
      <x:c r="AQ17" s="117" t="n">
        <x:f>SUM('CF_1'!AQ36,'CF_2'!AQ36,'CF_3'!AQ36,'CF_4'!AQ36)</x:f>
      </x:c>
      <x:c r="AR17" s="117" t="n">
        <x:f>SUM('CF_1'!AR36,'CF_2'!AR36,'CF_3'!AR36,'CF_4'!AR36)</x:f>
      </x:c>
      <x:c r="AS17" s="117" t="n">
        <x:f>SUM('CF_1'!AS36,'CF_2'!AS36,'CF_3'!AS36,'CF_4'!AS36)</x:f>
      </x:c>
      <x:c r="AT17" s="117" t="n">
        <x:f>SUM('CF_1'!AT36,'CF_2'!AT36,'CF_3'!AT36,'CF_4'!AT36)</x:f>
      </x:c>
      <x:c r="AU17" s="117" t="n">
        <x:f>SUM('CF_1'!AU36,'CF_2'!AU36,'CF_3'!AU36,'CF_4'!AU36)</x:f>
      </x:c>
      <x:c r="AV17" s="117" t="n">
        <x:f>SUM('CF_1'!AV36,'CF_2'!AV36,'CF_3'!AV36,'CF_4'!AV36)</x:f>
      </x:c>
      <x:c r="AW17" s="117" t="n">
        <x:f>SUM('CF_1'!AW36,'CF_2'!AW36,'CF_3'!AW36,'CF_4'!AW36)</x:f>
      </x:c>
      <x:c r="AX17" s="117" t="n">
        <x:f>SUM('CF_1'!AX36,'CF_2'!AX36,'CF_3'!AX36,'CF_4'!AX36)</x:f>
      </x:c>
      <x:c r="AY17" s="117" t="n">
        <x:f>SUM('CF_1'!AY36,'CF_2'!AY36,'CF_3'!AY36,'CF_4'!AY36)</x:f>
      </x:c>
      <x:c r="AZ17" s="117" t="n">
        <x:f>SUM('CF_1'!AZ36,'CF_2'!AZ36,'CF_3'!AZ36,'CF_4'!AZ36)</x:f>
      </x:c>
      <x:c r="BA17" s="117" t="n">
        <x:f>SUM('CF_1'!BA36,'CF_2'!BA36,'CF_3'!BA36,'CF_4'!BA36)</x:f>
      </x:c>
      <x:c r="BB17" s="117" t="n">
        <x:f>SUM('CF_1'!BB36,'CF_2'!BB36,'CF_3'!BB36,'CF_4'!BB36)</x:f>
      </x:c>
      <x:c r="BC17" s="117" t="n">
        <x:f>SUM('CF_1'!BC36,'CF_2'!BC36,'CF_3'!BC36,'CF_4'!BC36)</x:f>
      </x:c>
      <x:c r="BD17" s="117" t="n">
        <x:f>SUM('CF_1'!BD36,'CF_2'!BD36,'CF_3'!BD36,'CF_4'!BD36)</x:f>
      </x:c>
      <x:c r="BE17" s="117" t="n">
        <x:f>SUM('CF_1'!BE36,'CF_2'!BE36,'CF_3'!BE36,'CF_4'!BE36)</x:f>
      </x:c>
      <x:c r="BF17" s="117" t="n">
        <x:f>SUM('CF_1'!BF36,'CF_2'!BF36,'CF_3'!BF36,'CF_4'!BF36)</x:f>
      </x:c>
      <x:c r="BG17" s="117" t="n">
        <x:f>SUM('CF_1'!BG36,'CF_2'!BG36,'CF_3'!BG36,'CF_4'!BG36)</x:f>
      </x:c>
      <x:c r="BH17" s="117" t="n">
        <x:f>SUM('CF_1'!BH36,'CF_2'!BH36,'CF_3'!BH36,'CF_4'!BH36)</x:f>
      </x:c>
      <x:c r="BI17" s="117" t="n">
        <x:f>SUM('CF_1'!BI36,'CF_2'!BI36,'CF_3'!BI36,'CF_4'!BI36)</x:f>
      </x:c>
      <x:c r="BJ17" s="117" t="n">
        <x:f>SUM('CF_1'!BJ36,'CF_2'!BJ36,'CF_3'!BJ36,'CF_4'!BJ36)</x:f>
      </x:c>
      <x:c r="BK17" s="117" t="n">
        <x:f>SUM('CF_1'!BK36,'CF_2'!BK36,'CF_3'!BK36,'CF_4'!BK36)</x:f>
      </x:c>
      <x:c r="BL17" s="117" t="n">
        <x:f>SUM('CF_1'!BL36,'CF_2'!BL36,'CF_3'!BL36,'CF_4'!BL36)</x:f>
      </x:c>
      <x:c r="BM17" s="117" t="n">
        <x:f>SUM('CF_1'!BM36,'CF_2'!BM36,'CF_3'!BM36,'CF_4'!BM36)</x:f>
      </x:c>
      <x:c r="BN17" s="117" t="n">
        <x:f>SUM('CF_1'!BN36,'CF_2'!BN36,'CF_3'!BN36,'CF_4'!BN36)</x:f>
      </x:c>
      <x:c r="BO17" s="117" t="n">
        <x:f>SUM('CF_1'!BO36,'CF_2'!BO36,'CF_3'!BO36,'CF_4'!BO36)</x:f>
      </x:c>
      <x:c r="BP17" s="117" t="n">
        <x:f>SUM('CF_1'!BP36,'CF_2'!BP36,'CF_3'!BP36,'CF_4'!BP36)</x:f>
      </x:c>
      <x:c r="BQ17" s="117" t="n">
        <x:f>SUM('CF_1'!BQ36,'CF_2'!BQ36,'CF_3'!BQ36,'CF_4'!BQ36)</x:f>
      </x:c>
      <x:c r="BR17" s="117" t="n">
        <x:f>SUM('CF_1'!BR36,'CF_2'!BR36,'CF_3'!BR36,'CF_4'!BR36)</x:f>
      </x:c>
      <x:c r="BS17" s="117" t="n">
        <x:f>SUM('CF_1'!BS36,'CF_2'!BS36,'CF_3'!BS36,'CF_4'!BS36)</x:f>
      </x:c>
      <x:c r="BT17" s="117" t="n">
        <x:f>SUM('CF_1'!BT36,'CF_2'!BT36,'CF_3'!BT36,'CF_4'!BT36)</x:f>
      </x:c>
      <x:c r="BU17" s="117" t="n">
        <x:f>SUM('CF_1'!BU36,'CF_2'!BU36,'CF_3'!BU36,'CF_4'!BU36)</x:f>
      </x:c>
      <x:c r="BV17" s="117" t="n">
        <x:f>SUM('CF_1'!BV36,'CF_2'!BV36,'CF_3'!BV36,'CF_4'!BV36)</x:f>
      </x:c>
      <x:c r="BW17" s="117" t="n">
        <x:f>SUM('CF_1'!BW36,'CF_2'!BW36,'CF_3'!BW36,'CF_4'!BW36)</x:f>
      </x:c>
      <x:c r="BX17" s="117" t="n">
        <x:f>SUM('CF_1'!BX36,'CF_2'!BX36,'CF_3'!BX36,'CF_4'!BX36)</x:f>
      </x:c>
      <x:c r="BY17" s="117" t="n">
        <x:f>SUM('CF_1'!BY36,'CF_2'!BY36,'CF_3'!BY36,'CF_4'!BY36)</x:f>
      </x:c>
      <x:c r="BZ17" s="117" t="n">
        <x:f>SUM('CF_1'!BZ36,'CF_2'!BZ36,'CF_3'!BZ36,'CF_4'!BZ36)</x:f>
      </x:c>
      <x:c r="CA17" s="117" t="n">
        <x:f>SUM('CF_1'!CA36,'CF_2'!CA36,'CF_3'!CA36,'CF_4'!CA36)</x:f>
      </x:c>
      <x:c r="CB17" s="117" t="n">
        <x:f>SUM('CF_1'!CB36,'CF_2'!CB36,'CF_3'!CB36,'CF_4'!CB36)</x:f>
      </x:c>
      <x:c r="CC17" s="117" t="n">
        <x:f>SUM('CF_1'!CC36,'CF_2'!CC36,'CF_3'!CC36,'CF_4'!CC36)</x:f>
      </x:c>
      <x:c r="CD17" s="117" t="n">
        <x:f>SUM('CF_1'!CD36,'CF_2'!CD36,'CF_3'!CD36,'CF_4'!CD36)</x:f>
      </x:c>
      <x:c r="CE17" s="117" t="n">
        <x:f>SUM('CF_1'!CE36,'CF_2'!CE36,'CF_3'!CE36,'CF_4'!CE36)</x:f>
      </x:c>
      <x:c r="CF17" s="117" t="n">
        <x:f>SUM('CF_1'!CF36,'CF_2'!CF36,'CF_3'!CF36,'CF_4'!CF36)</x:f>
      </x:c>
      <x:c r="CG17" s="117" t="n">
        <x:f>SUM('CF_1'!CG36,'CF_2'!CG36,'CF_3'!CG36,'CF_4'!CG36)</x:f>
      </x:c>
      <x:c r="CH17" s="117" t="n">
        <x:f>SUM('CF_1'!CH36,'CF_2'!CH36,'CF_3'!CH36,'CF_4'!CH36)</x:f>
      </x:c>
      <x:c r="CI17" s="117" t="n">
        <x:f>SUM('CF_1'!CI36,'CF_2'!CI36,'CF_3'!CI36,'CF_4'!CI36)</x:f>
      </x:c>
      <x:c r="CJ17" s="117" t="n">
        <x:f>SUM('CF_1'!CJ36,'CF_2'!CJ36,'CF_3'!CJ36,'CF_4'!CJ36)</x:f>
      </x:c>
      <x:c r="CK17" s="117" t="n">
        <x:f>SUM('CF_1'!CK36,'CF_2'!CK36,'CF_3'!CK36,'CF_4'!CK36)</x:f>
      </x:c>
      <x:c r="CL17" s="117" t="n">
        <x:f>SUM('CF_1'!CL36,'CF_2'!CL36,'CF_3'!CL36,'CF_4'!CL36)</x:f>
      </x:c>
      <x:c r="CM17" s="117" t="n">
        <x:f>SUM('CF_1'!CM36,'CF_2'!CM36,'CF_3'!CM36,'CF_4'!CM36)</x:f>
      </x:c>
      <x:c r="CN17" s="117" t="n">
        <x:f>SUM('CF_1'!CN36,'CF_2'!CN36,'CF_3'!CN36,'CF_4'!CN36)</x:f>
      </x:c>
      <x:c r="CO17" s="117" t="n">
        <x:f>SUM('CF_1'!CO36,'CF_2'!CO36,'CF_3'!CO36,'CF_4'!CO36)</x:f>
      </x:c>
      <x:c r="CP17" s="117" t="n">
        <x:f>SUM('CF_1'!CP36,'CF_2'!CP36,'CF_3'!CP36,'CF_4'!CP36)</x:f>
      </x:c>
      <x:c r="CQ17" s="117" t="n">
        <x:f>SUM('CF_1'!CQ36,'CF_2'!CQ36,'CF_3'!CQ36,'CF_4'!CQ36)</x:f>
      </x:c>
      <x:c r="CR17" s="117" t="n">
        <x:f>SUM('CF_1'!CR36,'CF_2'!CR36,'CF_3'!CR36,'CF_4'!CR36)</x:f>
      </x:c>
      <x:c r="CS17" s="117" t="n">
        <x:f>SUM('CF_1'!CS36,'CF_2'!CS36,'CF_3'!CS36,'CF_4'!CS36)</x:f>
      </x:c>
      <x:c r="CT17" s="117" t="n">
        <x:f>SUM('CF_1'!CT36,'CF_2'!CT36,'CF_3'!CT36,'CF_4'!CT36)</x:f>
      </x:c>
      <x:c r="CU17" s="117" t="n">
        <x:f>SUM('CF_1'!CU36,'CF_2'!CU36,'CF_3'!CU36,'CF_4'!CU36)</x:f>
      </x:c>
      <x:c r="CV17" s="117" t="n">
        <x:f>SUM('CF_1'!CV36,'CF_2'!CV36,'CF_3'!CV36,'CF_4'!CV36)</x:f>
      </x:c>
      <x:c r="CW17" s="117" t="n">
        <x:f>SUM('CF_1'!CW36,'CF_2'!CW36,'CF_3'!CW36,'CF_4'!CW36)</x:f>
      </x:c>
      <x:c r="CX17" s="117" t="n">
        <x:f>SUM('CF_1'!CX36,'CF_2'!CX36,'CF_3'!CX36,'CF_4'!CX36)</x:f>
      </x:c>
      <x:c r="CY17" s="117" t="n">
        <x:f>SUM('CF_1'!CY36,'CF_2'!CY36,'CF_3'!CY36,'CF_4'!CY36)</x:f>
      </x:c>
      <x:c r="CZ17" s="117" t="n">
        <x:f>SUM('CF_1'!CZ36,'CF_2'!CZ36,'CF_3'!CZ36,'CF_4'!CZ36)</x:f>
      </x:c>
      <x:c r="DA17" s="117" t="n">
        <x:f>SUM('CF_1'!DA36,'CF_2'!DA36,'CF_3'!DA36,'CF_4'!DA36)</x:f>
      </x:c>
      <x:c r="DB17" s="117" t="n">
        <x:f>SUM('CF_1'!DB36,'CF_2'!DB36,'CF_3'!DB36,'CF_4'!DB36)</x:f>
      </x:c>
      <x:c r="DC17" s="117" t="n">
        <x:f>SUM('CF_1'!DC36,'CF_2'!DC36,'CF_3'!DC36,'CF_4'!DC36)</x:f>
      </x:c>
      <x:c r="DD17" s="117" t="n">
        <x:f>SUM('CF_1'!DD36,'CF_2'!DD36,'CF_3'!DD36,'CF_4'!DD36)</x:f>
      </x:c>
      <x:c r="DE17" s="117" t="n">
        <x:f>SUM('CF_1'!DE36,'CF_2'!DE36,'CF_3'!DE36,'CF_4'!DE36)</x:f>
      </x:c>
      <x:c r="DF17" s="117" t="n">
        <x:f>SUM('CF_1'!DF36,'CF_2'!DF36,'CF_3'!DF36,'CF_4'!DF36)</x:f>
      </x:c>
      <x:c r="DG17" s="117" t="n">
        <x:f>SUM('CF_1'!DG36,'CF_2'!DG36,'CF_3'!DG36,'CF_4'!DG36)</x:f>
      </x:c>
      <x:c r="DH17" s="117" t="n">
        <x:f>SUM('CF_1'!DH36,'CF_2'!DH36,'CF_3'!DH36,'CF_4'!DH36)</x:f>
      </x:c>
      <x:c r="DI17" s="117" t="n">
        <x:f>SUM('CF_1'!DI36,'CF_2'!DI36,'CF_3'!DI36,'CF_4'!DI36)</x:f>
      </x:c>
      <x:c r="DJ17" s="117" t="n">
        <x:f>SUM('CF_1'!DJ36,'CF_2'!DJ36,'CF_3'!DJ36,'CF_4'!DJ36)</x:f>
      </x:c>
      <x:c r="DK17" s="117" t="n">
        <x:f>SUM('CF_1'!DK36,'CF_2'!DK36,'CF_3'!DK36,'CF_4'!DK36)</x:f>
      </x:c>
      <x:c r="DL17" s="117" t="n">
        <x:f>SUM('CF_1'!DL36,'CF_2'!DL36,'CF_3'!DL36,'CF_4'!DL36)</x:f>
      </x:c>
      <x:c r="DM17" s="117" t="n">
        <x:f>SUM('CF_1'!DM36,'CF_2'!DM36,'CF_3'!DM36,'CF_4'!DM36)</x:f>
      </x:c>
      <x:c r="DN17" s="117" t="n">
        <x:f>SUM('CF_1'!DN36,'CF_2'!DN36,'CF_3'!DN36,'CF_4'!DN36)</x:f>
      </x:c>
      <x:c r="DO17" s="117" t="n">
        <x:f>SUM('CF_1'!DO36,'CF_2'!DO36,'CF_3'!DO36,'CF_4'!DO36)</x:f>
      </x:c>
      <x:c r="DP17" s="117" t="n">
        <x:f>SUM('CF_1'!DP36,'CF_2'!DP36,'CF_3'!DP36,'CF_4'!DP36)</x:f>
      </x:c>
      <x:c r="DQ17" s="117" t="n">
        <x:f>SUM('CF_1'!DQ36,'CF_2'!DQ36,'CF_3'!DQ36,'CF_4'!DQ36)</x:f>
      </x:c>
      <x:c r="DR17" s="117" t="n">
        <x:f>SUM('CF_1'!DR36,'CF_2'!DR36,'CF_3'!DR36,'CF_4'!DR36)</x:f>
      </x:c>
      <x:c r="DS17" s="117" t="n">
        <x:f>SUM('CF_1'!DS36,'CF_2'!DS36,'CF_3'!DS36,'CF_4'!DS36)</x:f>
      </x:c>
      <x:c r="DT17" s="117" t="n">
        <x:f>SUM('CF_1'!DT36,'CF_2'!DT36,'CF_3'!DT36,'CF_4'!DT36)</x:f>
      </x:c>
      <x:c r="DU17" s="117" t="n">
        <x:f>SUM('CF_1'!DU36,'CF_2'!DU36,'CF_3'!DU36,'CF_4'!DU36)</x:f>
      </x:c>
      <x:c r="DV17" s="117" t="n">
        <x:f>SUM('CF_1'!DV36,'CF_2'!DV36,'CF_3'!DV36,'CF_4'!DV36)</x:f>
      </x:c>
      <x:c r="DW17" s="117" t="n">
        <x:f>SUM('CF_1'!DW36,'CF_2'!DW36,'CF_3'!DW36,'CF_4'!DW36)</x:f>
      </x:c>
      <x:c r="DX17" s="117" t="n">
        <x:f>SUM('CF_1'!DX36,'CF_2'!DX36,'CF_3'!DX36,'CF_4'!DX36)</x:f>
      </x:c>
      <x:c r="DY17" s="117" t="n">
        <x:f>SUM('CF_1'!DY36,'CF_2'!DY36,'CF_3'!DY36,'CF_4'!DY36)</x:f>
      </x:c>
      <x:c r="DZ17" s="117" t="n">
        <x:f>SUM('CF_1'!DZ36,'CF_2'!DZ36,'CF_3'!DZ36,'CF_4'!DZ36)</x:f>
      </x:c>
      <x:c r="EA17" s="117" t="n">
        <x:f>SUM('CF_1'!EA36,'CF_2'!EA36,'CF_3'!EA36,'CF_4'!EA36)</x:f>
      </x:c>
      <x:c r="EB17" s="117" t="n">
        <x:f>SUM('CF_1'!EB36,'CF_2'!EB36,'CF_3'!EB36,'CF_4'!EB36)</x:f>
      </x:c>
      <x:c r="EC17" s="117" t="n">
        <x:f>SUM('CF_1'!EC36,'CF_2'!EC36,'CF_3'!EC36,'CF_4'!EC36)</x:f>
      </x:c>
      <x:c r="ED17" s="117" t="n">
        <x:f>SUM('CF_1'!ED36,'CF_2'!ED36,'CF_3'!ED36,'CF_4'!ED36)</x:f>
      </x:c>
      <x:c r="EE17" s="117" t="n">
        <x:f>SUM('CF_1'!EE36,'CF_2'!EE36,'CF_3'!EE36,'CF_4'!EE36)</x:f>
      </x:c>
      <x:c r="EF17" s="117" t="n">
        <x:f>SUM('CF_1'!EF36,'CF_2'!EF36,'CF_3'!EF36,'CF_4'!EF36)</x:f>
      </x:c>
      <x:c r="EG17" s="117" t="n">
        <x:f>SUM('CF_1'!EG36,'CF_2'!EG36,'CF_3'!EG36,'CF_4'!EG36)</x:f>
      </x:c>
      <x:c r="EH17" s="117" t="n">
        <x:f>SUM('CF_1'!EH36,'CF_2'!EH36,'CF_3'!EH36,'CF_4'!EH36)</x:f>
      </x:c>
      <x:c r="EI17" s="117" t="n">
        <x:f>SUM('CF_1'!EI36,'CF_2'!EI36,'CF_3'!EI36,'CF_4'!EI36)</x:f>
      </x:c>
      <x:c r="EJ17" s="117" t="n">
        <x:f>SUM('CF_1'!EJ36,'CF_2'!EJ36,'CF_3'!EJ36,'CF_4'!EJ36)</x:f>
      </x:c>
      <x:c r="EK17" s="117" t="n">
        <x:f>SUM('CF_1'!EK36,'CF_2'!EK36,'CF_3'!EK36,'CF_4'!EK36)</x:f>
      </x:c>
      <x:c r="EL17" s="117" t="n">
        <x:f>SUM('CF_1'!EL36,'CF_2'!EL36,'CF_3'!EL36,'CF_4'!EL36)</x:f>
      </x:c>
      <x:c r="EM17" s="117" t="n">
        <x:f>SUM('CF_1'!EM36,'CF_2'!EM36,'CF_3'!EM36,'CF_4'!EM36)</x:f>
      </x:c>
      <x:c r="EN17" s="117" t="n">
        <x:f>SUM('CF_1'!EN36,'CF_2'!EN36,'CF_3'!EN36,'CF_4'!EN36)</x:f>
      </x:c>
      <x:c r="EO17" s="117" t="n">
        <x:f>SUM('CF_1'!EO36,'CF_2'!EO36,'CF_3'!EO36,'CF_4'!EO36)</x:f>
      </x:c>
      <x:c r="EP17" s="117" t="n">
        <x:f>SUM('CF_1'!EP36,'CF_2'!EP36,'CF_3'!EP36,'CF_4'!EP36)</x:f>
      </x:c>
      <x:c r="EQ17" s="117" t="n">
        <x:f>SUM('CF_1'!EQ36,'CF_2'!EQ36,'CF_3'!EQ36,'CF_4'!EQ36)</x:f>
      </x:c>
      <x:c r="ER17" s="117" t="n">
        <x:f>SUM('CF_1'!ER36,'CF_2'!ER36,'CF_3'!ER36,'CF_4'!ER36)</x:f>
      </x:c>
      <x:c r="ES17" s="117" t="n">
        <x:f>SUM('CF_1'!ES36,'CF_2'!ES36,'CF_3'!ES36,'CF_4'!ES36)</x:f>
      </x:c>
      <x:c r="ET17" s="117" t="n">
        <x:f>SUM('CF_1'!ET36,'CF_2'!ET36,'CF_3'!ET36,'CF_4'!ET36)</x:f>
      </x:c>
      <x:c r="EU17" s="117" t="n">
        <x:f>SUM('CF_1'!EU36,'CF_2'!EU36,'CF_3'!EU36,'CF_4'!EU36)</x:f>
      </x:c>
      <x:c r="EV17" s="117" t="n">
        <x:f>SUM('CF_1'!EV36,'CF_2'!EV36,'CF_3'!EV36,'CF_4'!EV36)</x:f>
      </x:c>
      <x:c r="EW17" s="117" t="n">
        <x:f>SUM('CF_1'!EW36,'CF_2'!EW36,'CF_3'!EW36,'CF_4'!EW36)</x:f>
      </x:c>
      <x:c r="EX17" s="117" t="n">
        <x:f>SUM('CF_1'!EX36,'CF_2'!EX36,'CF_3'!EX36,'CF_4'!EX36)</x:f>
      </x:c>
      <x:c r="EY17" s="117" t="n">
        <x:f>SUM('CF_1'!EY36,'CF_2'!EY36,'CF_3'!EY36,'CF_4'!EY36)</x:f>
      </x:c>
      <x:c r="EZ17" s="117" t="n">
        <x:f>SUM('CF_1'!EZ36,'CF_2'!EZ36,'CF_3'!EZ36,'CF_4'!EZ36)</x:f>
      </x:c>
      <x:c r="FA17" s="117" t="n">
        <x:f>SUM('CF_1'!FA36,'CF_2'!FA36,'CF_3'!FA36,'CF_4'!FA36)</x:f>
      </x:c>
      <x:c r="FB17" s="117" t="n">
        <x:f>SUM('CF_1'!FB36,'CF_2'!FB36,'CF_3'!FB36,'CF_4'!FB36)</x:f>
      </x:c>
      <x:c r="FC17" s="117" t="n">
        <x:f>SUM('CF_1'!FC36,'CF_2'!FC36,'CF_3'!FC36,'CF_4'!FC36)</x:f>
      </x:c>
      <x:c r="FD17" s="117" t="n">
        <x:f>SUM('CF_1'!FD36,'CF_2'!FD36,'CF_3'!FD36,'CF_4'!FD36)</x:f>
      </x:c>
      <x:c r="FE17" s="117" t="n">
        <x:f>SUM('CF_1'!FE36,'CF_2'!FE36,'CF_3'!FE36,'CF_4'!FE36)</x:f>
      </x:c>
      <x:c r="FF17" s="117" t="n">
        <x:f>SUM('CF_1'!FF36,'CF_2'!FF36,'CF_3'!FF36,'CF_4'!FF36)</x:f>
      </x:c>
      <x:c r="FG17" s="117" t="n">
        <x:f>SUM('CF_1'!FG36,'CF_2'!FG36,'CF_3'!FG36,'CF_4'!FG36)</x:f>
      </x:c>
      <x:c r="FH17" s="117" t="n">
        <x:f>SUM('CF_1'!FH36,'CF_2'!FH36,'CF_3'!FH36,'CF_4'!FH36)</x:f>
      </x:c>
      <x:c r="FI17" s="117" t="n">
        <x:f>SUM('CF_1'!FI36,'CF_2'!FI36,'CF_3'!FI36,'CF_4'!FI36)</x:f>
      </x:c>
      <x:c r="FJ17" s="117" t="n">
        <x:f>SUM('CF_1'!FJ36,'CF_2'!FJ36,'CF_3'!FJ36,'CF_4'!FJ36)</x:f>
      </x:c>
      <x:c r="FK17" s="117" t="n">
        <x:f>SUM('CF_1'!FK36,'CF_2'!FK36,'CF_3'!FK36,'CF_4'!FK36)</x:f>
      </x:c>
      <x:c r="FL17" s="117" t="n">
        <x:f>SUM('CF_1'!FL36,'CF_2'!FL36,'CF_3'!FL36,'CF_4'!FL36)</x:f>
      </x:c>
      <x:c r="FM17" s="117" t="n">
        <x:f>SUM('CF_1'!FM36,'CF_2'!FM36,'CF_3'!FM36,'CF_4'!FM36)</x:f>
      </x:c>
      <x:c r="FN17" s="117" t="n">
        <x:f>SUM('CF_1'!FN36,'CF_2'!FN36,'CF_3'!FN36,'CF_4'!FN36)</x:f>
      </x:c>
      <x:c r="FO17" s="117" t="n">
        <x:f>SUM('CF_1'!FO36,'CF_2'!FO36,'CF_3'!FO36,'CF_4'!FO36)</x:f>
      </x:c>
      <x:c r="FP17" s="117" t="n">
        <x:f>SUM('CF_1'!FP36,'CF_2'!FP36,'CF_3'!FP36,'CF_4'!FP36)</x:f>
      </x:c>
      <x:c r="FQ17" s="117" t="n">
        <x:f>SUM('CF_1'!FQ36,'CF_2'!FQ36,'CF_3'!FQ36,'CF_4'!FQ36)</x:f>
      </x:c>
      <x:c r="FR17" s="117" t="n">
        <x:f>SUM('CF_1'!FR36,'CF_2'!FR36,'CF_3'!FR36,'CF_4'!FR36)</x:f>
      </x:c>
      <x:c r="FS17" s="117" t="n">
        <x:f>SUM('CF_1'!FS36,'CF_2'!FS36,'CF_3'!FS36,'CF_4'!FS36)</x:f>
      </x:c>
      <x:c r="FT17" s="117" t="n">
        <x:f>SUM('CF_1'!FT36,'CF_2'!FT36,'CF_3'!FT36,'CF_4'!FT36)</x:f>
      </x:c>
      <x:c r="FU17" s="117" t="n">
        <x:f>SUM('CF_1'!FU36,'CF_2'!FU36,'CF_3'!FU36,'CF_4'!FU36)</x:f>
      </x:c>
      <x:c r="FV17" s="117" t="n">
        <x:f>SUM('CF_1'!FV36,'CF_2'!FV36,'CF_3'!FV36,'CF_4'!FV36)</x:f>
      </x:c>
      <x:c r="FW17" s="117" t="n">
        <x:f>SUM('CF_1'!FW36,'CF_2'!FW36,'CF_3'!FW36,'CF_4'!FW36)</x:f>
      </x:c>
      <x:c r="FX17" s="117" t="n">
        <x:f>SUM('CF_1'!FX36,'CF_2'!FX36,'CF_3'!FX36,'CF_4'!FX36)</x:f>
      </x:c>
      <x:c r="FY17" s="117" t="n">
        <x:f>SUM('CF_1'!FY36,'CF_2'!FY36,'CF_3'!FY36,'CF_4'!FY36)</x:f>
      </x:c>
      <x:c r="FZ17" s="117" t="n">
        <x:f>SUM('CF_1'!FZ36,'CF_2'!FZ36,'CF_3'!FZ36,'CF_4'!FZ36)</x:f>
      </x:c>
      <x:c r="GA17" s="117" t="n">
        <x:f>SUM('CF_1'!GA36,'CF_2'!GA36,'CF_3'!GA36,'CF_4'!GA36)</x:f>
      </x:c>
    </x:row>
    <x:row r="18">
      <x:c r="A18" t="str">
        <x:v>Долг ПФ</x:v>
      </x:c>
      <x:c r="B18" t="n">
        <x:f>GA18</x:f>
      </x:c>
      <x:c r="C18" t="str">
        <x:v>млн ₽</x:v>
      </x:c>
      <x:c r="D18" s="117" t="n">
        <x:f>SUM('CF_1'!D47,'CF_2'!D47,'CF_3'!D47,'CF_4'!D47)</x:f>
      </x:c>
      <x:c r="E18" s="117" t="n">
        <x:f>SUM('CF_1'!E47,'CF_2'!E47,'CF_3'!E47,'CF_4'!E47)</x:f>
      </x:c>
      <x:c r="F18" s="117" t="n">
        <x:f>SUM('CF_1'!F47,'CF_2'!F47,'CF_3'!F47,'CF_4'!F47)</x:f>
      </x:c>
      <x:c r="G18" s="117" t="n">
        <x:f>SUM('CF_1'!G47,'CF_2'!G47,'CF_3'!G47,'CF_4'!G47)</x:f>
      </x:c>
      <x:c r="H18" s="117" t="n">
        <x:f>SUM('CF_1'!H47,'CF_2'!H47,'CF_3'!H47,'CF_4'!H47)</x:f>
      </x:c>
      <x:c r="I18" s="117" t="n">
        <x:f>SUM('CF_1'!I47,'CF_2'!I47,'CF_3'!I47,'CF_4'!I47)</x:f>
      </x:c>
      <x:c r="J18" s="117" t="n">
        <x:f>SUM('CF_1'!J47,'CF_2'!J47,'CF_3'!J47,'CF_4'!J47)</x:f>
      </x:c>
      <x:c r="K18" s="117" t="n">
        <x:f>SUM('CF_1'!K47,'CF_2'!K47,'CF_3'!K47,'CF_4'!K47)</x:f>
      </x:c>
      <x:c r="L18" s="117" t="n">
        <x:f>SUM('CF_1'!L47,'CF_2'!L47,'CF_3'!L47,'CF_4'!L47)</x:f>
      </x:c>
      <x:c r="M18" s="117" t="n">
        <x:f>SUM('CF_1'!M47,'CF_2'!M47,'CF_3'!M47,'CF_4'!M47)</x:f>
      </x:c>
      <x:c r="N18" s="117" t="n">
        <x:f>SUM('CF_1'!N47,'CF_2'!N47,'CF_3'!N47,'CF_4'!N47)</x:f>
      </x:c>
      <x:c r="O18" s="117" t="n">
        <x:f>SUM('CF_1'!O47,'CF_2'!O47,'CF_3'!O47,'CF_4'!O47)</x:f>
      </x:c>
      <x:c r="P18" s="117" t="n">
        <x:f>SUM('CF_1'!P47,'CF_2'!P47,'CF_3'!P47,'CF_4'!P47)</x:f>
      </x:c>
      <x:c r="Q18" s="117" t="n">
        <x:f>SUM('CF_1'!Q47,'CF_2'!Q47,'CF_3'!Q47,'CF_4'!Q47)</x:f>
      </x:c>
      <x:c r="R18" s="117" t="n">
        <x:f>SUM('CF_1'!R47,'CF_2'!R47,'CF_3'!R47,'CF_4'!R47)</x:f>
      </x:c>
      <x:c r="S18" s="117" t="n">
        <x:f>SUM('CF_1'!S47,'CF_2'!S47,'CF_3'!S47,'CF_4'!S47)</x:f>
      </x:c>
      <x:c r="T18" s="117" t="n">
        <x:f>SUM('CF_1'!T47,'CF_2'!T47,'CF_3'!T47,'CF_4'!T47)</x:f>
      </x:c>
      <x:c r="U18" s="117" t="n">
        <x:f>SUM('CF_1'!U47,'CF_2'!U47,'CF_3'!U47,'CF_4'!U47)</x:f>
      </x:c>
      <x:c r="V18" s="117" t="n">
        <x:f>SUM('CF_1'!V47,'CF_2'!V47,'CF_3'!V47,'CF_4'!V47)</x:f>
      </x:c>
      <x:c r="W18" s="117" t="n">
        <x:f>SUM('CF_1'!W47,'CF_2'!W47,'CF_3'!W47,'CF_4'!W47)</x:f>
      </x:c>
      <x:c r="X18" s="117" t="n">
        <x:f>SUM('CF_1'!X47,'CF_2'!X47,'CF_3'!X47,'CF_4'!X47)</x:f>
      </x:c>
      <x:c r="Y18" s="117" t="n">
        <x:f>SUM('CF_1'!Y47,'CF_2'!Y47,'CF_3'!Y47,'CF_4'!Y47)</x:f>
      </x:c>
      <x:c r="Z18" s="117" t="n">
        <x:f>SUM('CF_1'!Z47,'CF_2'!Z47,'CF_3'!Z47,'CF_4'!Z47)</x:f>
      </x:c>
      <x:c r="AA18" s="117" t="n">
        <x:f>SUM('CF_1'!AA47,'CF_2'!AA47,'CF_3'!AA47,'CF_4'!AA47)</x:f>
      </x:c>
      <x:c r="AB18" s="117" t="n">
        <x:f>SUM('CF_1'!AB47,'CF_2'!AB47,'CF_3'!AB47,'CF_4'!AB47)</x:f>
      </x:c>
      <x:c r="AC18" s="117" t="n">
        <x:f>SUM('CF_1'!AC47,'CF_2'!AC47,'CF_3'!AC47,'CF_4'!AC47)</x:f>
      </x:c>
      <x:c r="AD18" s="117" t="n">
        <x:f>SUM('CF_1'!AD47,'CF_2'!AD47,'CF_3'!AD47,'CF_4'!AD47)</x:f>
      </x:c>
      <x:c r="AE18" s="117" t="n">
        <x:f>SUM('CF_1'!AE47,'CF_2'!AE47,'CF_3'!AE47,'CF_4'!AE47)</x:f>
      </x:c>
      <x:c r="AF18" s="117" t="n">
        <x:f>SUM('CF_1'!AF47,'CF_2'!AF47,'CF_3'!AF47,'CF_4'!AF47)</x:f>
      </x:c>
      <x:c r="AG18" s="117" t="n">
        <x:f>SUM('CF_1'!AG47,'CF_2'!AG47,'CF_3'!AG47,'CF_4'!AG47)</x:f>
      </x:c>
      <x:c r="AH18" s="117" t="n">
        <x:f>SUM('CF_1'!AH47,'CF_2'!AH47,'CF_3'!AH47,'CF_4'!AH47)</x:f>
      </x:c>
      <x:c r="AI18" s="117" t="n">
        <x:f>SUM('CF_1'!AI47,'CF_2'!AI47,'CF_3'!AI47,'CF_4'!AI47)</x:f>
      </x:c>
      <x:c r="AJ18" s="117" t="n">
        <x:f>SUM('CF_1'!AJ47,'CF_2'!AJ47,'CF_3'!AJ47,'CF_4'!AJ47)</x:f>
      </x:c>
      <x:c r="AK18" s="117" t="n">
        <x:f>SUM('CF_1'!AK47,'CF_2'!AK47,'CF_3'!AK47,'CF_4'!AK47)</x:f>
      </x:c>
      <x:c r="AL18" s="117" t="n">
        <x:f>SUM('CF_1'!AL47,'CF_2'!AL47,'CF_3'!AL47,'CF_4'!AL47)</x:f>
      </x:c>
      <x:c r="AM18" s="117" t="n">
        <x:f>SUM('CF_1'!AM47,'CF_2'!AM47,'CF_3'!AM47,'CF_4'!AM47)</x:f>
      </x:c>
      <x:c r="AN18" s="117" t="n">
        <x:f>SUM('CF_1'!AN47,'CF_2'!AN47,'CF_3'!AN47,'CF_4'!AN47)</x:f>
      </x:c>
      <x:c r="AO18" s="117" t="n">
        <x:f>SUM('CF_1'!AO47,'CF_2'!AO47,'CF_3'!AO47,'CF_4'!AO47)</x:f>
      </x:c>
      <x:c r="AP18" s="117" t="n">
        <x:f>SUM('CF_1'!AP47,'CF_2'!AP47,'CF_3'!AP47,'CF_4'!AP47)</x:f>
      </x:c>
      <x:c r="AQ18" s="117" t="n">
        <x:f>SUM('CF_1'!AQ47,'CF_2'!AQ47,'CF_3'!AQ47,'CF_4'!AQ47)</x:f>
      </x:c>
      <x:c r="AR18" s="117" t="n">
        <x:f>SUM('CF_1'!AR47,'CF_2'!AR47,'CF_3'!AR47,'CF_4'!AR47)</x:f>
      </x:c>
      <x:c r="AS18" s="117" t="n">
        <x:f>SUM('CF_1'!AS47,'CF_2'!AS47,'CF_3'!AS47,'CF_4'!AS47)</x:f>
      </x:c>
      <x:c r="AT18" s="117" t="n">
        <x:f>SUM('CF_1'!AT47,'CF_2'!AT47,'CF_3'!AT47,'CF_4'!AT47)</x:f>
      </x:c>
      <x:c r="AU18" s="117" t="n">
        <x:f>SUM('CF_1'!AU47,'CF_2'!AU47,'CF_3'!AU47,'CF_4'!AU47)</x:f>
      </x:c>
      <x:c r="AV18" s="117" t="n">
        <x:f>SUM('CF_1'!AV47,'CF_2'!AV47,'CF_3'!AV47,'CF_4'!AV47)</x:f>
      </x:c>
      <x:c r="AW18" s="117" t="n">
        <x:f>SUM('CF_1'!AW47,'CF_2'!AW47,'CF_3'!AW47,'CF_4'!AW47)</x:f>
      </x:c>
      <x:c r="AX18" s="117" t="n">
        <x:f>SUM('CF_1'!AX47,'CF_2'!AX47,'CF_3'!AX47,'CF_4'!AX47)</x:f>
      </x:c>
      <x:c r="AY18" s="117" t="n">
        <x:f>SUM('CF_1'!AY47,'CF_2'!AY47,'CF_3'!AY47,'CF_4'!AY47)</x:f>
      </x:c>
      <x:c r="AZ18" s="117" t="n">
        <x:f>SUM('CF_1'!AZ47,'CF_2'!AZ47,'CF_3'!AZ47,'CF_4'!AZ47)</x:f>
      </x:c>
      <x:c r="BA18" s="117" t="n">
        <x:f>SUM('CF_1'!BA47,'CF_2'!BA47,'CF_3'!BA47,'CF_4'!BA47)</x:f>
      </x:c>
      <x:c r="BB18" s="117" t="n">
        <x:f>SUM('CF_1'!BB47,'CF_2'!BB47,'CF_3'!BB47,'CF_4'!BB47)</x:f>
      </x:c>
      <x:c r="BC18" s="117" t="n">
        <x:f>SUM('CF_1'!BC47,'CF_2'!BC47,'CF_3'!BC47,'CF_4'!BC47)</x:f>
      </x:c>
      <x:c r="BD18" s="117" t="n">
        <x:f>SUM('CF_1'!BD47,'CF_2'!BD47,'CF_3'!BD47,'CF_4'!BD47)</x:f>
      </x:c>
      <x:c r="BE18" s="117" t="n">
        <x:f>SUM('CF_1'!BE47,'CF_2'!BE47,'CF_3'!BE47,'CF_4'!BE47)</x:f>
      </x:c>
      <x:c r="BF18" s="117" t="n">
        <x:f>SUM('CF_1'!BF47,'CF_2'!BF47,'CF_3'!BF47,'CF_4'!BF47)</x:f>
      </x:c>
      <x:c r="BG18" s="117" t="n">
        <x:f>SUM('CF_1'!BG47,'CF_2'!BG47,'CF_3'!BG47,'CF_4'!BG47)</x:f>
      </x:c>
      <x:c r="BH18" s="117" t="n">
        <x:f>SUM('CF_1'!BH47,'CF_2'!BH47,'CF_3'!BH47,'CF_4'!BH47)</x:f>
      </x:c>
      <x:c r="BI18" s="117" t="n">
        <x:f>SUM('CF_1'!BI47,'CF_2'!BI47,'CF_3'!BI47,'CF_4'!BI47)</x:f>
      </x:c>
      <x:c r="BJ18" s="117" t="n">
        <x:f>SUM('CF_1'!BJ47,'CF_2'!BJ47,'CF_3'!BJ47,'CF_4'!BJ47)</x:f>
      </x:c>
      <x:c r="BK18" s="117" t="n">
        <x:f>SUM('CF_1'!BK47,'CF_2'!BK47,'CF_3'!BK47,'CF_4'!BK47)</x:f>
      </x:c>
      <x:c r="BL18" s="117" t="n">
        <x:f>SUM('CF_1'!BL47,'CF_2'!BL47,'CF_3'!BL47,'CF_4'!BL47)</x:f>
      </x:c>
      <x:c r="BM18" s="117" t="n">
        <x:f>SUM('CF_1'!BM47,'CF_2'!BM47,'CF_3'!BM47,'CF_4'!BM47)</x:f>
      </x:c>
      <x:c r="BN18" s="117" t="n">
        <x:f>SUM('CF_1'!BN47,'CF_2'!BN47,'CF_3'!BN47,'CF_4'!BN47)</x:f>
      </x:c>
      <x:c r="BO18" s="117" t="n">
        <x:f>SUM('CF_1'!BO47,'CF_2'!BO47,'CF_3'!BO47,'CF_4'!BO47)</x:f>
      </x:c>
      <x:c r="BP18" s="117" t="n">
        <x:f>SUM('CF_1'!BP47,'CF_2'!BP47,'CF_3'!BP47,'CF_4'!BP47)</x:f>
      </x:c>
      <x:c r="BQ18" s="117" t="n">
        <x:f>SUM('CF_1'!BQ47,'CF_2'!BQ47,'CF_3'!BQ47,'CF_4'!BQ47)</x:f>
      </x:c>
      <x:c r="BR18" s="117" t="n">
        <x:f>SUM('CF_1'!BR47,'CF_2'!BR47,'CF_3'!BR47,'CF_4'!BR47)</x:f>
      </x:c>
      <x:c r="BS18" s="117" t="n">
        <x:f>SUM('CF_1'!BS47,'CF_2'!BS47,'CF_3'!BS47,'CF_4'!BS47)</x:f>
      </x:c>
      <x:c r="BT18" s="117" t="n">
        <x:f>SUM('CF_1'!BT47,'CF_2'!BT47,'CF_3'!BT47,'CF_4'!BT47)</x:f>
      </x:c>
      <x:c r="BU18" s="117" t="n">
        <x:f>SUM('CF_1'!BU47,'CF_2'!BU47,'CF_3'!BU47,'CF_4'!BU47)</x:f>
      </x:c>
      <x:c r="BV18" s="117" t="n">
        <x:f>SUM('CF_1'!BV47,'CF_2'!BV47,'CF_3'!BV47,'CF_4'!BV47)</x:f>
      </x:c>
      <x:c r="BW18" s="117" t="n">
        <x:f>SUM('CF_1'!BW47,'CF_2'!BW47,'CF_3'!BW47,'CF_4'!BW47)</x:f>
      </x:c>
      <x:c r="BX18" s="117" t="n">
        <x:f>SUM('CF_1'!BX47,'CF_2'!BX47,'CF_3'!BX47,'CF_4'!BX47)</x:f>
      </x:c>
      <x:c r="BY18" s="117" t="n">
        <x:f>SUM('CF_1'!BY47,'CF_2'!BY47,'CF_3'!BY47,'CF_4'!BY47)</x:f>
      </x:c>
      <x:c r="BZ18" s="117" t="n">
        <x:f>SUM('CF_1'!BZ47,'CF_2'!BZ47,'CF_3'!BZ47,'CF_4'!BZ47)</x:f>
      </x:c>
      <x:c r="CA18" s="117" t="n">
        <x:f>SUM('CF_1'!CA47,'CF_2'!CA47,'CF_3'!CA47,'CF_4'!CA47)</x:f>
      </x:c>
      <x:c r="CB18" s="117" t="n">
        <x:f>SUM('CF_1'!CB47,'CF_2'!CB47,'CF_3'!CB47,'CF_4'!CB47)</x:f>
      </x:c>
      <x:c r="CC18" s="117" t="n">
        <x:f>SUM('CF_1'!CC47,'CF_2'!CC47,'CF_3'!CC47,'CF_4'!CC47)</x:f>
      </x:c>
      <x:c r="CD18" s="117" t="n">
        <x:f>SUM('CF_1'!CD47,'CF_2'!CD47,'CF_3'!CD47,'CF_4'!CD47)</x:f>
      </x:c>
      <x:c r="CE18" s="117" t="n">
        <x:f>SUM('CF_1'!CE47,'CF_2'!CE47,'CF_3'!CE47,'CF_4'!CE47)</x:f>
      </x:c>
      <x:c r="CF18" s="117" t="n">
        <x:f>SUM('CF_1'!CF47,'CF_2'!CF47,'CF_3'!CF47,'CF_4'!CF47)</x:f>
      </x:c>
      <x:c r="CG18" s="117" t="n">
        <x:f>SUM('CF_1'!CG47,'CF_2'!CG47,'CF_3'!CG47,'CF_4'!CG47)</x:f>
      </x:c>
      <x:c r="CH18" s="117" t="n">
        <x:f>SUM('CF_1'!CH47,'CF_2'!CH47,'CF_3'!CH47,'CF_4'!CH47)</x:f>
      </x:c>
      <x:c r="CI18" s="117" t="n">
        <x:f>SUM('CF_1'!CI47,'CF_2'!CI47,'CF_3'!CI47,'CF_4'!CI47)</x:f>
      </x:c>
      <x:c r="CJ18" s="117" t="n">
        <x:f>SUM('CF_1'!CJ47,'CF_2'!CJ47,'CF_3'!CJ47,'CF_4'!CJ47)</x:f>
      </x:c>
      <x:c r="CK18" s="117" t="n">
        <x:f>SUM('CF_1'!CK47,'CF_2'!CK47,'CF_3'!CK47,'CF_4'!CK47)</x:f>
      </x:c>
      <x:c r="CL18" s="117" t="n">
        <x:f>SUM('CF_1'!CL47,'CF_2'!CL47,'CF_3'!CL47,'CF_4'!CL47)</x:f>
      </x:c>
      <x:c r="CM18" s="117" t="n">
        <x:f>SUM('CF_1'!CM47,'CF_2'!CM47,'CF_3'!CM47,'CF_4'!CM47)</x:f>
      </x:c>
      <x:c r="CN18" s="117" t="n">
        <x:f>SUM('CF_1'!CN47,'CF_2'!CN47,'CF_3'!CN47,'CF_4'!CN47)</x:f>
      </x:c>
      <x:c r="CO18" s="117" t="n">
        <x:f>SUM('CF_1'!CO47,'CF_2'!CO47,'CF_3'!CO47,'CF_4'!CO47)</x:f>
      </x:c>
      <x:c r="CP18" s="117" t="n">
        <x:f>SUM('CF_1'!CP47,'CF_2'!CP47,'CF_3'!CP47,'CF_4'!CP47)</x:f>
      </x:c>
      <x:c r="CQ18" s="117" t="n">
        <x:f>SUM('CF_1'!CQ47,'CF_2'!CQ47,'CF_3'!CQ47,'CF_4'!CQ47)</x:f>
      </x:c>
      <x:c r="CR18" s="117" t="n">
        <x:f>SUM('CF_1'!CR47,'CF_2'!CR47,'CF_3'!CR47,'CF_4'!CR47)</x:f>
      </x:c>
      <x:c r="CS18" s="117" t="n">
        <x:f>SUM('CF_1'!CS47,'CF_2'!CS47,'CF_3'!CS47,'CF_4'!CS47)</x:f>
      </x:c>
      <x:c r="CT18" s="117" t="n">
        <x:f>SUM('CF_1'!CT47,'CF_2'!CT47,'CF_3'!CT47,'CF_4'!CT47)</x:f>
      </x:c>
      <x:c r="CU18" s="117" t="n">
        <x:f>SUM('CF_1'!CU47,'CF_2'!CU47,'CF_3'!CU47,'CF_4'!CU47)</x:f>
      </x:c>
      <x:c r="CV18" s="117" t="n">
        <x:f>SUM('CF_1'!CV47,'CF_2'!CV47,'CF_3'!CV47,'CF_4'!CV47)</x:f>
      </x:c>
      <x:c r="CW18" s="117" t="n">
        <x:f>SUM('CF_1'!CW47,'CF_2'!CW47,'CF_3'!CW47,'CF_4'!CW47)</x:f>
      </x:c>
      <x:c r="CX18" s="117" t="n">
        <x:f>SUM('CF_1'!CX47,'CF_2'!CX47,'CF_3'!CX47,'CF_4'!CX47)</x:f>
      </x:c>
      <x:c r="CY18" s="117" t="n">
        <x:f>SUM('CF_1'!CY47,'CF_2'!CY47,'CF_3'!CY47,'CF_4'!CY47)</x:f>
      </x:c>
      <x:c r="CZ18" s="117" t="n">
        <x:f>SUM('CF_1'!CZ47,'CF_2'!CZ47,'CF_3'!CZ47,'CF_4'!CZ47)</x:f>
      </x:c>
      <x:c r="DA18" s="117" t="n">
        <x:f>SUM('CF_1'!DA47,'CF_2'!DA47,'CF_3'!DA47,'CF_4'!DA47)</x:f>
      </x:c>
      <x:c r="DB18" s="117" t="n">
        <x:f>SUM('CF_1'!DB47,'CF_2'!DB47,'CF_3'!DB47,'CF_4'!DB47)</x:f>
      </x:c>
      <x:c r="DC18" s="117" t="n">
        <x:f>SUM('CF_1'!DC47,'CF_2'!DC47,'CF_3'!DC47,'CF_4'!DC47)</x:f>
      </x:c>
      <x:c r="DD18" s="117" t="n">
        <x:f>SUM('CF_1'!DD47,'CF_2'!DD47,'CF_3'!DD47,'CF_4'!DD47)</x:f>
      </x:c>
      <x:c r="DE18" s="117" t="n">
        <x:f>SUM('CF_1'!DE47,'CF_2'!DE47,'CF_3'!DE47,'CF_4'!DE47)</x:f>
      </x:c>
      <x:c r="DF18" s="117" t="n">
        <x:f>SUM('CF_1'!DF47,'CF_2'!DF47,'CF_3'!DF47,'CF_4'!DF47)</x:f>
      </x:c>
      <x:c r="DG18" s="117" t="n">
        <x:f>SUM('CF_1'!DG47,'CF_2'!DG47,'CF_3'!DG47,'CF_4'!DG47)</x:f>
      </x:c>
      <x:c r="DH18" s="117" t="n">
        <x:f>SUM('CF_1'!DH47,'CF_2'!DH47,'CF_3'!DH47,'CF_4'!DH47)</x:f>
      </x:c>
      <x:c r="DI18" s="117" t="n">
        <x:f>SUM('CF_1'!DI47,'CF_2'!DI47,'CF_3'!DI47,'CF_4'!DI47)</x:f>
      </x:c>
      <x:c r="DJ18" s="117" t="n">
        <x:f>SUM('CF_1'!DJ47,'CF_2'!DJ47,'CF_3'!DJ47,'CF_4'!DJ47)</x:f>
      </x:c>
      <x:c r="DK18" s="117" t="n">
        <x:f>SUM('CF_1'!DK47,'CF_2'!DK47,'CF_3'!DK47,'CF_4'!DK47)</x:f>
      </x:c>
      <x:c r="DL18" s="117" t="n">
        <x:f>SUM('CF_1'!DL47,'CF_2'!DL47,'CF_3'!DL47,'CF_4'!DL47)</x:f>
      </x:c>
      <x:c r="DM18" s="117" t="n">
        <x:f>SUM('CF_1'!DM47,'CF_2'!DM47,'CF_3'!DM47,'CF_4'!DM47)</x:f>
      </x:c>
      <x:c r="DN18" s="117" t="n">
        <x:f>SUM('CF_1'!DN47,'CF_2'!DN47,'CF_3'!DN47,'CF_4'!DN47)</x:f>
      </x:c>
      <x:c r="DO18" s="117" t="n">
        <x:f>SUM('CF_1'!DO47,'CF_2'!DO47,'CF_3'!DO47,'CF_4'!DO47)</x:f>
      </x:c>
      <x:c r="DP18" s="117" t="n">
        <x:f>SUM('CF_1'!DP47,'CF_2'!DP47,'CF_3'!DP47,'CF_4'!DP47)</x:f>
      </x:c>
      <x:c r="DQ18" s="117" t="n">
        <x:f>SUM('CF_1'!DQ47,'CF_2'!DQ47,'CF_3'!DQ47,'CF_4'!DQ47)</x:f>
      </x:c>
      <x:c r="DR18" s="117" t="n">
        <x:f>SUM('CF_1'!DR47,'CF_2'!DR47,'CF_3'!DR47,'CF_4'!DR47)</x:f>
      </x:c>
      <x:c r="DS18" s="117" t="n">
        <x:f>SUM('CF_1'!DS47,'CF_2'!DS47,'CF_3'!DS47,'CF_4'!DS47)</x:f>
      </x:c>
      <x:c r="DT18" s="117" t="n">
        <x:f>SUM('CF_1'!DT47,'CF_2'!DT47,'CF_3'!DT47,'CF_4'!DT47)</x:f>
      </x:c>
      <x:c r="DU18" s="117" t="n">
        <x:f>SUM('CF_1'!DU47,'CF_2'!DU47,'CF_3'!DU47,'CF_4'!DU47)</x:f>
      </x:c>
      <x:c r="DV18" s="117" t="n">
        <x:f>SUM('CF_1'!DV47,'CF_2'!DV47,'CF_3'!DV47,'CF_4'!DV47)</x:f>
      </x:c>
      <x:c r="DW18" s="117" t="n">
        <x:f>SUM('CF_1'!DW47,'CF_2'!DW47,'CF_3'!DW47,'CF_4'!DW47)</x:f>
      </x:c>
      <x:c r="DX18" s="117" t="n">
        <x:f>SUM('CF_1'!DX47,'CF_2'!DX47,'CF_3'!DX47,'CF_4'!DX47)</x:f>
      </x:c>
      <x:c r="DY18" s="117" t="n">
        <x:f>SUM('CF_1'!DY47,'CF_2'!DY47,'CF_3'!DY47,'CF_4'!DY47)</x:f>
      </x:c>
      <x:c r="DZ18" s="117" t="n">
        <x:f>SUM('CF_1'!DZ47,'CF_2'!DZ47,'CF_3'!DZ47,'CF_4'!DZ47)</x:f>
      </x:c>
      <x:c r="EA18" s="117" t="n">
        <x:f>SUM('CF_1'!EA47,'CF_2'!EA47,'CF_3'!EA47,'CF_4'!EA47)</x:f>
      </x:c>
      <x:c r="EB18" s="117" t="n">
        <x:f>SUM('CF_1'!EB47,'CF_2'!EB47,'CF_3'!EB47,'CF_4'!EB47)</x:f>
      </x:c>
      <x:c r="EC18" s="117" t="n">
        <x:f>SUM('CF_1'!EC47,'CF_2'!EC47,'CF_3'!EC47,'CF_4'!EC47)</x:f>
      </x:c>
      <x:c r="ED18" s="117" t="n">
        <x:f>SUM('CF_1'!ED47,'CF_2'!ED47,'CF_3'!ED47,'CF_4'!ED47)</x:f>
      </x:c>
      <x:c r="EE18" s="117" t="n">
        <x:f>SUM('CF_1'!EE47,'CF_2'!EE47,'CF_3'!EE47,'CF_4'!EE47)</x:f>
      </x:c>
      <x:c r="EF18" s="117" t="n">
        <x:f>SUM('CF_1'!EF47,'CF_2'!EF47,'CF_3'!EF47,'CF_4'!EF47)</x:f>
      </x:c>
      <x:c r="EG18" s="117" t="n">
        <x:f>SUM('CF_1'!EG47,'CF_2'!EG47,'CF_3'!EG47,'CF_4'!EG47)</x:f>
      </x:c>
      <x:c r="EH18" s="117" t="n">
        <x:f>SUM('CF_1'!EH47,'CF_2'!EH47,'CF_3'!EH47,'CF_4'!EH47)</x:f>
      </x:c>
      <x:c r="EI18" s="117" t="n">
        <x:f>SUM('CF_1'!EI47,'CF_2'!EI47,'CF_3'!EI47,'CF_4'!EI47)</x:f>
      </x:c>
      <x:c r="EJ18" s="117" t="n">
        <x:f>SUM('CF_1'!EJ47,'CF_2'!EJ47,'CF_3'!EJ47,'CF_4'!EJ47)</x:f>
      </x:c>
      <x:c r="EK18" s="117" t="n">
        <x:f>SUM('CF_1'!EK47,'CF_2'!EK47,'CF_3'!EK47,'CF_4'!EK47)</x:f>
      </x:c>
      <x:c r="EL18" s="117" t="n">
        <x:f>SUM('CF_1'!EL47,'CF_2'!EL47,'CF_3'!EL47,'CF_4'!EL47)</x:f>
      </x:c>
      <x:c r="EM18" s="117" t="n">
        <x:f>SUM('CF_1'!EM47,'CF_2'!EM47,'CF_3'!EM47,'CF_4'!EM47)</x:f>
      </x:c>
      <x:c r="EN18" s="117" t="n">
        <x:f>SUM('CF_1'!EN47,'CF_2'!EN47,'CF_3'!EN47,'CF_4'!EN47)</x:f>
      </x:c>
      <x:c r="EO18" s="117" t="n">
        <x:f>SUM('CF_1'!EO47,'CF_2'!EO47,'CF_3'!EO47,'CF_4'!EO47)</x:f>
      </x:c>
      <x:c r="EP18" s="117" t="n">
        <x:f>SUM('CF_1'!EP47,'CF_2'!EP47,'CF_3'!EP47,'CF_4'!EP47)</x:f>
      </x:c>
      <x:c r="EQ18" s="117" t="n">
        <x:f>SUM('CF_1'!EQ47,'CF_2'!EQ47,'CF_3'!EQ47,'CF_4'!EQ47)</x:f>
      </x:c>
      <x:c r="ER18" s="117" t="n">
        <x:f>SUM('CF_1'!ER47,'CF_2'!ER47,'CF_3'!ER47,'CF_4'!ER47)</x:f>
      </x:c>
      <x:c r="ES18" s="117" t="n">
        <x:f>SUM('CF_1'!ES47,'CF_2'!ES47,'CF_3'!ES47,'CF_4'!ES47)</x:f>
      </x:c>
      <x:c r="ET18" s="117" t="n">
        <x:f>SUM('CF_1'!ET47,'CF_2'!ET47,'CF_3'!ET47,'CF_4'!ET47)</x:f>
      </x:c>
      <x:c r="EU18" s="117" t="n">
        <x:f>SUM('CF_1'!EU47,'CF_2'!EU47,'CF_3'!EU47,'CF_4'!EU47)</x:f>
      </x:c>
      <x:c r="EV18" s="117" t="n">
        <x:f>SUM('CF_1'!EV47,'CF_2'!EV47,'CF_3'!EV47,'CF_4'!EV47)</x:f>
      </x:c>
      <x:c r="EW18" s="117" t="n">
        <x:f>SUM('CF_1'!EW47,'CF_2'!EW47,'CF_3'!EW47,'CF_4'!EW47)</x:f>
      </x:c>
      <x:c r="EX18" s="117" t="n">
        <x:f>SUM('CF_1'!EX47,'CF_2'!EX47,'CF_3'!EX47,'CF_4'!EX47)</x:f>
      </x:c>
      <x:c r="EY18" s="117" t="n">
        <x:f>SUM('CF_1'!EY47,'CF_2'!EY47,'CF_3'!EY47,'CF_4'!EY47)</x:f>
      </x:c>
      <x:c r="EZ18" s="117" t="n">
        <x:f>SUM('CF_1'!EZ47,'CF_2'!EZ47,'CF_3'!EZ47,'CF_4'!EZ47)</x:f>
      </x:c>
      <x:c r="FA18" s="117" t="n">
        <x:f>SUM('CF_1'!FA47,'CF_2'!FA47,'CF_3'!FA47,'CF_4'!FA47)</x:f>
      </x:c>
      <x:c r="FB18" s="117" t="n">
        <x:f>SUM('CF_1'!FB47,'CF_2'!FB47,'CF_3'!FB47,'CF_4'!FB47)</x:f>
      </x:c>
      <x:c r="FC18" s="117" t="n">
        <x:f>SUM('CF_1'!FC47,'CF_2'!FC47,'CF_3'!FC47,'CF_4'!FC47)</x:f>
      </x:c>
      <x:c r="FD18" s="117" t="n">
        <x:f>SUM('CF_1'!FD47,'CF_2'!FD47,'CF_3'!FD47,'CF_4'!FD47)</x:f>
      </x:c>
      <x:c r="FE18" s="117" t="n">
        <x:f>SUM('CF_1'!FE47,'CF_2'!FE47,'CF_3'!FE47,'CF_4'!FE47)</x:f>
      </x:c>
      <x:c r="FF18" s="117" t="n">
        <x:f>SUM('CF_1'!FF47,'CF_2'!FF47,'CF_3'!FF47,'CF_4'!FF47)</x:f>
      </x:c>
      <x:c r="FG18" s="117" t="n">
        <x:f>SUM('CF_1'!FG47,'CF_2'!FG47,'CF_3'!FG47,'CF_4'!FG47)</x:f>
      </x:c>
      <x:c r="FH18" s="117" t="n">
        <x:f>SUM('CF_1'!FH47,'CF_2'!FH47,'CF_3'!FH47,'CF_4'!FH47)</x:f>
      </x:c>
      <x:c r="FI18" s="117" t="n">
        <x:f>SUM('CF_1'!FI47,'CF_2'!FI47,'CF_3'!FI47,'CF_4'!FI47)</x:f>
      </x:c>
      <x:c r="FJ18" s="117" t="n">
        <x:f>SUM('CF_1'!FJ47,'CF_2'!FJ47,'CF_3'!FJ47,'CF_4'!FJ47)</x:f>
      </x:c>
      <x:c r="FK18" s="117" t="n">
        <x:f>SUM('CF_1'!FK47,'CF_2'!FK47,'CF_3'!FK47,'CF_4'!FK47)</x:f>
      </x:c>
      <x:c r="FL18" s="117" t="n">
        <x:f>SUM('CF_1'!FL47,'CF_2'!FL47,'CF_3'!FL47,'CF_4'!FL47)</x:f>
      </x:c>
      <x:c r="FM18" s="117" t="n">
        <x:f>SUM('CF_1'!FM47,'CF_2'!FM47,'CF_3'!FM47,'CF_4'!FM47)</x:f>
      </x:c>
      <x:c r="FN18" s="117" t="n">
        <x:f>SUM('CF_1'!FN47,'CF_2'!FN47,'CF_3'!FN47,'CF_4'!FN47)</x:f>
      </x:c>
      <x:c r="FO18" s="117" t="n">
        <x:f>SUM('CF_1'!FO47,'CF_2'!FO47,'CF_3'!FO47,'CF_4'!FO47)</x:f>
      </x:c>
      <x:c r="FP18" s="117" t="n">
        <x:f>SUM('CF_1'!FP47,'CF_2'!FP47,'CF_3'!FP47,'CF_4'!FP47)</x:f>
      </x:c>
      <x:c r="FQ18" s="117" t="n">
        <x:f>SUM('CF_1'!FQ47,'CF_2'!FQ47,'CF_3'!FQ47,'CF_4'!FQ47)</x:f>
      </x:c>
      <x:c r="FR18" s="117" t="n">
        <x:f>SUM('CF_1'!FR47,'CF_2'!FR47,'CF_3'!FR47,'CF_4'!FR47)</x:f>
      </x:c>
      <x:c r="FS18" s="117" t="n">
        <x:f>SUM('CF_1'!FS47,'CF_2'!FS47,'CF_3'!FS47,'CF_4'!FS47)</x:f>
      </x:c>
      <x:c r="FT18" s="117" t="n">
        <x:f>SUM('CF_1'!FT47,'CF_2'!FT47,'CF_3'!FT47,'CF_4'!FT47)</x:f>
      </x:c>
      <x:c r="FU18" s="117" t="n">
        <x:f>SUM('CF_1'!FU47,'CF_2'!FU47,'CF_3'!FU47,'CF_4'!FU47)</x:f>
      </x:c>
      <x:c r="FV18" s="117" t="n">
        <x:f>SUM('CF_1'!FV47,'CF_2'!FV47,'CF_3'!FV47,'CF_4'!FV47)</x:f>
      </x:c>
      <x:c r="FW18" s="117" t="n">
        <x:f>SUM('CF_1'!FW47,'CF_2'!FW47,'CF_3'!FW47,'CF_4'!FW47)</x:f>
      </x:c>
      <x:c r="FX18" s="117" t="n">
        <x:f>SUM('CF_1'!FX47,'CF_2'!FX47,'CF_3'!FX47,'CF_4'!FX47)</x:f>
      </x:c>
      <x:c r="FY18" s="117" t="n">
        <x:f>SUM('CF_1'!FY47,'CF_2'!FY47,'CF_3'!FY47,'CF_4'!FY47)</x:f>
      </x:c>
      <x:c r="FZ18" s="117" t="n">
        <x:f>SUM('CF_1'!FZ47,'CF_2'!FZ47,'CF_3'!FZ47,'CF_4'!FZ47)</x:f>
      </x:c>
      <x:c r="GA18" s="117" t="n">
        <x:f>SUM('CF_1'!GA47,'CF_2'!GA47,'CF_3'!GA47,'CF_4'!GA47)</x:f>
      </x:c>
    </x:row>
    <x:row r="19">
      <x:c r="A19" s="113" t="str">
        <x:v>Долг всего</x:v>
      </x:c>
      <x:c r="B19" s="113" t="n">
        <x:f>GA19</x:f>
      </x:c>
      <x:c r="C19" s="113" t="str">
        <x:v>млн ₽</x:v>
      </x:c>
      <x:c r="D19" s="120" t="n">
        <x:f>SUM(D17:D18)</x:f>
      </x:c>
      <x:c r="E19" s="120" t="n">
        <x:f>SUM(E17:E18)</x:f>
      </x:c>
      <x:c r="F19" s="120" t="n">
        <x:f>SUM(F17:F18)</x:f>
      </x:c>
      <x:c r="G19" s="120" t="n">
        <x:f>SUM(G17:G18)</x:f>
      </x:c>
      <x:c r="H19" s="120" t="n">
        <x:f>SUM(H17:H18)</x:f>
      </x:c>
      <x:c r="I19" s="120" t="n">
        <x:f>SUM(I17:I18)</x:f>
      </x:c>
      <x:c r="J19" s="120" t="n">
        <x:f>SUM(J17:J18)</x:f>
      </x:c>
      <x:c r="K19" s="120" t="n">
        <x:f>SUM(K17:K18)</x:f>
      </x:c>
      <x:c r="L19" s="120" t="n">
        <x:f>SUM(L17:L18)</x:f>
      </x:c>
      <x:c r="M19" s="120" t="n">
        <x:f>SUM(M17:M18)</x:f>
      </x:c>
      <x:c r="N19" s="120" t="n">
        <x:f>SUM(N17:N18)</x:f>
      </x:c>
      <x:c r="O19" s="120" t="n">
        <x:f>SUM(O17:O18)</x:f>
      </x:c>
      <x:c r="P19" s="120" t="n">
        <x:f>SUM(P17:P18)</x:f>
      </x:c>
      <x:c r="Q19" s="120" t="n">
        <x:f>SUM(Q17:Q18)</x:f>
      </x:c>
      <x:c r="R19" s="120" t="n">
        <x:f>SUM(R17:R18)</x:f>
      </x:c>
      <x:c r="S19" s="120" t="n">
        <x:f>SUM(S17:S18)</x:f>
      </x:c>
      <x:c r="T19" s="120" t="n">
        <x:f>SUM(T17:T18)</x:f>
      </x:c>
      <x:c r="U19" s="120" t="n">
        <x:f>SUM(U17:U18)</x:f>
      </x:c>
      <x:c r="V19" s="120" t="n">
        <x:f>SUM(V17:V18)</x:f>
      </x:c>
      <x:c r="W19" s="120" t="n">
        <x:f>SUM(W17:W18)</x:f>
      </x:c>
      <x:c r="X19" s="120" t="n">
        <x:f>SUM(X17:X18)</x:f>
      </x:c>
      <x:c r="Y19" s="120" t="n">
        <x:f>SUM(Y17:Y18)</x:f>
      </x:c>
      <x:c r="Z19" s="120" t="n">
        <x:f>SUM(Z17:Z18)</x:f>
      </x:c>
      <x:c r="AA19" s="120" t="n">
        <x:f>SUM(AA17:AA18)</x:f>
      </x:c>
      <x:c r="AB19" s="120" t="n">
        <x:f>SUM(AB17:AB18)</x:f>
      </x:c>
      <x:c r="AC19" s="120" t="n">
        <x:f>SUM(AC17:AC18)</x:f>
      </x:c>
      <x:c r="AD19" s="120" t="n">
        <x:f>SUM(AD17:AD18)</x:f>
      </x:c>
      <x:c r="AE19" s="120" t="n">
        <x:f>SUM(AE17:AE18)</x:f>
      </x:c>
      <x:c r="AF19" s="120" t="n">
        <x:f>SUM(AF17:AF18)</x:f>
      </x:c>
      <x:c r="AG19" s="120" t="n">
        <x:f>SUM(AG17:AG18)</x:f>
      </x:c>
      <x:c r="AH19" s="120" t="n">
        <x:f>SUM(AH17:AH18)</x:f>
      </x:c>
      <x:c r="AI19" s="120" t="n">
        <x:f>SUM(AI17:AI18)</x:f>
      </x:c>
      <x:c r="AJ19" s="120" t="n">
        <x:f>SUM(AJ17:AJ18)</x:f>
      </x:c>
      <x:c r="AK19" s="120" t="n">
        <x:f>SUM(AK17:AK18)</x:f>
      </x:c>
      <x:c r="AL19" s="120" t="n">
        <x:f>SUM(AL17:AL18)</x:f>
      </x:c>
      <x:c r="AM19" s="120" t="n">
        <x:f>SUM(AM17:AM18)</x:f>
      </x:c>
      <x:c r="AN19" s="120" t="n">
        <x:f>SUM(AN17:AN18)</x:f>
      </x:c>
      <x:c r="AO19" s="120" t="n">
        <x:f>SUM(AO17:AO18)</x:f>
      </x:c>
      <x:c r="AP19" s="120" t="n">
        <x:f>SUM(AP17:AP18)</x:f>
      </x:c>
      <x:c r="AQ19" s="120" t="n">
        <x:f>SUM(AQ17:AQ18)</x:f>
      </x:c>
      <x:c r="AR19" s="120" t="n">
        <x:f>SUM(AR17:AR18)</x:f>
      </x:c>
      <x:c r="AS19" s="120" t="n">
        <x:f>SUM(AS17:AS18)</x:f>
      </x:c>
      <x:c r="AT19" s="120" t="n">
        <x:f>SUM(AT17:AT18)</x:f>
      </x:c>
      <x:c r="AU19" s="120" t="n">
        <x:f>SUM(AU17:AU18)</x:f>
      </x:c>
      <x:c r="AV19" s="120" t="n">
        <x:f>SUM(AV17:AV18)</x:f>
      </x:c>
      <x:c r="AW19" s="120" t="n">
        <x:f>SUM(AW17:AW18)</x:f>
      </x:c>
      <x:c r="AX19" s="120" t="n">
        <x:f>SUM(AX17:AX18)</x:f>
      </x:c>
      <x:c r="AY19" s="120" t="n">
        <x:f>SUM(AY17:AY18)</x:f>
      </x:c>
      <x:c r="AZ19" s="120" t="n">
        <x:f>SUM(AZ17:AZ18)</x:f>
      </x:c>
      <x:c r="BA19" s="120" t="n">
        <x:f>SUM(BA17:BA18)</x:f>
      </x:c>
      <x:c r="BB19" s="120" t="n">
        <x:f>SUM(BB17:BB18)</x:f>
      </x:c>
      <x:c r="BC19" s="120" t="n">
        <x:f>SUM(BC17:BC18)</x:f>
      </x:c>
      <x:c r="BD19" s="120" t="n">
        <x:f>SUM(BD17:BD18)</x:f>
      </x:c>
      <x:c r="BE19" s="120" t="n">
        <x:f>SUM(BE17:BE18)</x:f>
      </x:c>
      <x:c r="BF19" s="120" t="n">
        <x:f>SUM(BF17:BF18)</x:f>
      </x:c>
      <x:c r="BG19" s="120" t="n">
        <x:f>SUM(BG17:BG18)</x:f>
      </x:c>
      <x:c r="BH19" s="120" t="n">
        <x:f>SUM(BH17:BH18)</x:f>
      </x:c>
      <x:c r="BI19" s="120" t="n">
        <x:f>SUM(BI17:BI18)</x:f>
      </x:c>
      <x:c r="BJ19" s="120" t="n">
        <x:f>SUM(BJ17:BJ18)</x:f>
      </x:c>
      <x:c r="BK19" s="120" t="n">
        <x:f>SUM(BK17:BK18)</x:f>
      </x:c>
      <x:c r="BL19" s="120" t="n">
        <x:f>SUM(BL17:BL18)</x:f>
      </x:c>
      <x:c r="BM19" s="120" t="n">
        <x:f>SUM(BM17:BM18)</x:f>
      </x:c>
      <x:c r="BN19" s="120" t="n">
        <x:f>SUM(BN17:BN18)</x:f>
      </x:c>
      <x:c r="BO19" s="120" t="n">
        <x:f>SUM(BO17:BO18)</x:f>
      </x:c>
      <x:c r="BP19" s="120" t="n">
        <x:f>SUM(BP17:BP18)</x:f>
      </x:c>
      <x:c r="BQ19" s="120" t="n">
        <x:f>SUM(BQ17:BQ18)</x:f>
      </x:c>
      <x:c r="BR19" s="120" t="n">
        <x:f>SUM(BR17:BR18)</x:f>
      </x:c>
      <x:c r="BS19" s="120" t="n">
        <x:f>SUM(BS17:BS18)</x:f>
      </x:c>
      <x:c r="BT19" s="120" t="n">
        <x:f>SUM(BT17:BT18)</x:f>
      </x:c>
      <x:c r="BU19" s="120" t="n">
        <x:f>SUM(BU17:BU18)</x:f>
      </x:c>
      <x:c r="BV19" s="120" t="n">
        <x:f>SUM(BV17:BV18)</x:f>
      </x:c>
      <x:c r="BW19" s="120" t="n">
        <x:f>SUM(BW17:BW18)</x:f>
      </x:c>
      <x:c r="BX19" s="120" t="n">
        <x:f>SUM(BX17:BX18)</x:f>
      </x:c>
      <x:c r="BY19" s="120" t="n">
        <x:f>SUM(BY17:BY18)</x:f>
      </x:c>
      <x:c r="BZ19" s="120" t="n">
        <x:f>SUM(BZ17:BZ18)</x:f>
      </x:c>
      <x:c r="CA19" s="120" t="n">
        <x:f>SUM(CA17:CA18)</x:f>
      </x:c>
      <x:c r="CB19" s="120" t="n">
        <x:f>SUM(CB17:CB18)</x:f>
      </x:c>
      <x:c r="CC19" s="120" t="n">
        <x:f>SUM(CC17:CC18)</x:f>
      </x:c>
      <x:c r="CD19" s="120" t="n">
        <x:f>SUM(CD17:CD18)</x:f>
      </x:c>
      <x:c r="CE19" s="120" t="n">
        <x:f>SUM(CE17:CE18)</x:f>
      </x:c>
      <x:c r="CF19" s="120" t="n">
        <x:f>SUM(CF17:CF18)</x:f>
      </x:c>
      <x:c r="CG19" s="120" t="n">
        <x:f>SUM(CG17:CG18)</x:f>
      </x:c>
      <x:c r="CH19" s="120" t="n">
        <x:f>SUM(CH17:CH18)</x:f>
      </x:c>
      <x:c r="CI19" s="120" t="n">
        <x:f>SUM(CI17:CI18)</x:f>
      </x:c>
      <x:c r="CJ19" s="120" t="n">
        <x:f>SUM(CJ17:CJ18)</x:f>
      </x:c>
      <x:c r="CK19" s="120" t="n">
        <x:f>SUM(CK17:CK18)</x:f>
      </x:c>
      <x:c r="CL19" s="120" t="n">
        <x:f>SUM(CL17:CL18)</x:f>
      </x:c>
      <x:c r="CM19" s="120" t="n">
        <x:f>SUM(CM17:CM18)</x:f>
      </x:c>
      <x:c r="CN19" s="120" t="n">
        <x:f>SUM(CN17:CN18)</x:f>
      </x:c>
      <x:c r="CO19" s="120" t="n">
        <x:f>SUM(CO17:CO18)</x:f>
      </x:c>
      <x:c r="CP19" s="120" t="n">
        <x:f>SUM(CP17:CP18)</x:f>
      </x:c>
      <x:c r="CQ19" s="120" t="n">
        <x:f>SUM(CQ17:CQ18)</x:f>
      </x:c>
      <x:c r="CR19" s="120" t="n">
        <x:f>SUM(CR17:CR18)</x:f>
      </x:c>
      <x:c r="CS19" s="120" t="n">
        <x:f>SUM(CS17:CS18)</x:f>
      </x:c>
      <x:c r="CT19" s="120" t="n">
        <x:f>SUM(CT17:CT18)</x:f>
      </x:c>
      <x:c r="CU19" s="120" t="n">
        <x:f>SUM(CU17:CU18)</x:f>
      </x:c>
      <x:c r="CV19" s="120" t="n">
        <x:f>SUM(CV17:CV18)</x:f>
      </x:c>
      <x:c r="CW19" s="120" t="n">
        <x:f>SUM(CW17:CW18)</x:f>
      </x:c>
      <x:c r="CX19" s="120" t="n">
        <x:f>SUM(CX17:CX18)</x:f>
      </x:c>
      <x:c r="CY19" s="120" t="n">
        <x:f>SUM(CY17:CY18)</x:f>
      </x:c>
      <x:c r="CZ19" s="120" t="n">
        <x:f>SUM(CZ17:CZ18)</x:f>
      </x:c>
      <x:c r="DA19" s="120" t="n">
        <x:f>SUM(DA17:DA18)</x:f>
      </x:c>
      <x:c r="DB19" s="120" t="n">
        <x:f>SUM(DB17:DB18)</x:f>
      </x:c>
      <x:c r="DC19" s="120" t="n">
        <x:f>SUM(DC17:DC18)</x:f>
      </x:c>
      <x:c r="DD19" s="120" t="n">
        <x:f>SUM(DD17:DD18)</x:f>
      </x:c>
      <x:c r="DE19" s="120" t="n">
        <x:f>SUM(DE17:DE18)</x:f>
      </x:c>
      <x:c r="DF19" s="120" t="n">
        <x:f>SUM(DF17:DF18)</x:f>
      </x:c>
      <x:c r="DG19" s="120" t="n">
        <x:f>SUM(DG17:DG18)</x:f>
      </x:c>
      <x:c r="DH19" s="120" t="n">
        <x:f>SUM(DH17:DH18)</x:f>
      </x:c>
      <x:c r="DI19" s="120" t="n">
        <x:f>SUM(DI17:DI18)</x:f>
      </x:c>
      <x:c r="DJ19" s="120" t="n">
        <x:f>SUM(DJ17:DJ18)</x:f>
      </x:c>
      <x:c r="DK19" s="120" t="n">
        <x:f>SUM(DK17:DK18)</x:f>
      </x:c>
      <x:c r="DL19" s="120" t="n">
        <x:f>SUM(DL17:DL18)</x:f>
      </x:c>
      <x:c r="DM19" s="120" t="n">
        <x:f>SUM(DM17:DM18)</x:f>
      </x:c>
      <x:c r="DN19" s="120" t="n">
        <x:f>SUM(DN17:DN18)</x:f>
      </x:c>
      <x:c r="DO19" s="120" t="n">
        <x:f>SUM(DO17:DO18)</x:f>
      </x:c>
      <x:c r="DP19" s="120" t="n">
        <x:f>SUM(DP17:DP18)</x:f>
      </x:c>
      <x:c r="DQ19" s="120" t="n">
        <x:f>SUM(DQ17:DQ18)</x:f>
      </x:c>
      <x:c r="DR19" s="120" t="n">
        <x:f>SUM(DR17:DR18)</x:f>
      </x:c>
      <x:c r="DS19" s="120" t="n">
        <x:f>SUM(DS17:DS18)</x:f>
      </x:c>
      <x:c r="DT19" s="120" t="n">
        <x:f>SUM(DT17:DT18)</x:f>
      </x:c>
      <x:c r="DU19" s="120" t="n">
        <x:f>SUM(DU17:DU18)</x:f>
      </x:c>
      <x:c r="DV19" s="120" t="n">
        <x:f>SUM(DV17:DV18)</x:f>
      </x:c>
      <x:c r="DW19" s="120" t="n">
        <x:f>SUM(DW17:DW18)</x:f>
      </x:c>
      <x:c r="DX19" s="120" t="n">
        <x:f>SUM(DX17:DX18)</x:f>
      </x:c>
      <x:c r="DY19" s="120" t="n">
        <x:f>SUM(DY17:DY18)</x:f>
      </x:c>
      <x:c r="DZ19" s="120" t="n">
        <x:f>SUM(DZ17:DZ18)</x:f>
      </x:c>
      <x:c r="EA19" s="120" t="n">
        <x:f>SUM(EA17:EA18)</x:f>
      </x:c>
      <x:c r="EB19" s="120" t="n">
        <x:f>SUM(EB17:EB18)</x:f>
      </x:c>
      <x:c r="EC19" s="120" t="n">
        <x:f>SUM(EC17:EC18)</x:f>
      </x:c>
      <x:c r="ED19" s="120" t="n">
        <x:f>SUM(ED17:ED18)</x:f>
      </x:c>
      <x:c r="EE19" s="120" t="n">
        <x:f>SUM(EE17:EE18)</x:f>
      </x:c>
      <x:c r="EF19" s="120" t="n">
        <x:f>SUM(EF17:EF18)</x:f>
      </x:c>
      <x:c r="EG19" s="120" t="n">
        <x:f>SUM(EG17:EG18)</x:f>
      </x:c>
      <x:c r="EH19" s="120" t="n">
        <x:f>SUM(EH17:EH18)</x:f>
      </x:c>
      <x:c r="EI19" s="120" t="n">
        <x:f>SUM(EI17:EI18)</x:f>
      </x:c>
      <x:c r="EJ19" s="120" t="n">
        <x:f>SUM(EJ17:EJ18)</x:f>
      </x:c>
      <x:c r="EK19" s="120" t="n">
        <x:f>SUM(EK17:EK18)</x:f>
      </x:c>
      <x:c r="EL19" s="120" t="n">
        <x:f>SUM(EL17:EL18)</x:f>
      </x:c>
      <x:c r="EM19" s="120" t="n">
        <x:f>SUM(EM17:EM18)</x:f>
      </x:c>
      <x:c r="EN19" s="120" t="n">
        <x:f>SUM(EN17:EN18)</x:f>
      </x:c>
      <x:c r="EO19" s="120" t="n">
        <x:f>SUM(EO17:EO18)</x:f>
      </x:c>
      <x:c r="EP19" s="120" t="n">
        <x:f>SUM(EP17:EP18)</x:f>
      </x:c>
      <x:c r="EQ19" s="120" t="n">
        <x:f>SUM(EQ17:EQ18)</x:f>
      </x:c>
      <x:c r="ER19" s="120" t="n">
        <x:f>SUM(ER17:ER18)</x:f>
      </x:c>
      <x:c r="ES19" s="120" t="n">
        <x:f>SUM(ES17:ES18)</x:f>
      </x:c>
      <x:c r="ET19" s="120" t="n">
        <x:f>SUM(ET17:ET18)</x:f>
      </x:c>
      <x:c r="EU19" s="120" t="n">
        <x:f>SUM(EU17:EU18)</x:f>
      </x:c>
      <x:c r="EV19" s="120" t="n">
        <x:f>SUM(EV17:EV18)</x:f>
      </x:c>
      <x:c r="EW19" s="120" t="n">
        <x:f>SUM(EW17:EW18)</x:f>
      </x:c>
      <x:c r="EX19" s="120" t="n">
        <x:f>SUM(EX17:EX18)</x:f>
      </x:c>
      <x:c r="EY19" s="120" t="n">
        <x:f>SUM(EY17:EY18)</x:f>
      </x:c>
      <x:c r="EZ19" s="120" t="n">
        <x:f>SUM(EZ17:EZ18)</x:f>
      </x:c>
      <x:c r="FA19" s="120" t="n">
        <x:f>SUM(FA17:FA18)</x:f>
      </x:c>
      <x:c r="FB19" s="120" t="n">
        <x:f>SUM(FB17:FB18)</x:f>
      </x:c>
      <x:c r="FC19" s="120" t="n">
        <x:f>SUM(FC17:FC18)</x:f>
      </x:c>
      <x:c r="FD19" s="120" t="n">
        <x:f>SUM(FD17:FD18)</x:f>
      </x:c>
      <x:c r="FE19" s="120" t="n">
        <x:f>SUM(FE17:FE18)</x:f>
      </x:c>
      <x:c r="FF19" s="120" t="n">
        <x:f>SUM(FF17:FF18)</x:f>
      </x:c>
      <x:c r="FG19" s="120" t="n">
        <x:f>SUM(FG17:FG18)</x:f>
      </x:c>
      <x:c r="FH19" s="120" t="n">
        <x:f>SUM(FH17:FH18)</x:f>
      </x:c>
      <x:c r="FI19" s="120" t="n">
        <x:f>SUM(FI17:FI18)</x:f>
      </x:c>
      <x:c r="FJ19" s="120" t="n">
        <x:f>SUM(FJ17:FJ18)</x:f>
      </x:c>
      <x:c r="FK19" s="120" t="n">
        <x:f>SUM(FK17:FK18)</x:f>
      </x:c>
      <x:c r="FL19" s="120" t="n">
        <x:f>SUM(FL17:FL18)</x:f>
      </x:c>
      <x:c r="FM19" s="120" t="n">
        <x:f>SUM(FM17:FM18)</x:f>
      </x:c>
      <x:c r="FN19" s="120" t="n">
        <x:f>SUM(FN17:FN18)</x:f>
      </x:c>
      <x:c r="FO19" s="120" t="n">
        <x:f>SUM(FO17:FO18)</x:f>
      </x:c>
      <x:c r="FP19" s="120" t="n">
        <x:f>SUM(FP17:FP18)</x:f>
      </x:c>
      <x:c r="FQ19" s="120" t="n">
        <x:f>SUM(FQ17:FQ18)</x:f>
      </x:c>
      <x:c r="FR19" s="120" t="n">
        <x:f>SUM(FR17:FR18)</x:f>
      </x:c>
      <x:c r="FS19" s="120" t="n">
        <x:f>SUM(FS17:FS18)</x:f>
      </x:c>
      <x:c r="FT19" s="120" t="n">
        <x:f>SUM(FT17:FT18)</x:f>
      </x:c>
      <x:c r="FU19" s="120" t="n">
        <x:f>SUM(FU17:FU18)</x:f>
      </x:c>
      <x:c r="FV19" s="120" t="n">
        <x:f>SUM(FV17:FV18)</x:f>
      </x:c>
      <x:c r="FW19" s="120" t="n">
        <x:f>SUM(FW17:FW18)</x:f>
      </x:c>
      <x:c r="FX19" s="120" t="n">
        <x:f>SUM(FX17:FX18)</x:f>
      </x:c>
      <x:c r="FY19" s="120" t="n">
        <x:f>SUM(FY17:FY18)</x:f>
      </x:c>
      <x:c r="FZ19" s="120" t="n">
        <x:f>SUM(FZ17:FZ18)</x:f>
      </x:c>
      <x:c r="GA19" s="120" t="n">
        <x:f>SUM(GA17:GA18)</x:f>
      </x:c>
    </x:row>
    <x:row r="20">
      <x:c r="A20" t="str">
        <x:v>Проценты</x:v>
      </x:c>
      <x:c r="B20" t="n">
        <x:f>SUM(D20:GA20)</x:f>
      </x:c>
      <x:c r="C20" t="str">
        <x:v>млн ₽</x:v>
      </x:c>
      <x:c r="D20" s="117" t="n">
        <x:f>SUM('CF_1'!D32+'CF_1'!D42,'CF_2'!D32+'CF_2'!D42,'CF_3'!D32+'CF_3'!D42,'CF_4'!D32+'CF_4'!D42)</x:f>
      </x:c>
      <x:c r="E20" s="117" t="n">
        <x:f>SUM('CF_1'!E32+'CF_1'!E42,'CF_2'!E32+'CF_2'!E42,'CF_3'!E32+'CF_3'!E42,'CF_4'!E32+'CF_4'!E42)</x:f>
      </x:c>
      <x:c r="F20" s="117" t="n">
        <x:f>SUM('CF_1'!F32+'CF_1'!F42,'CF_2'!F32+'CF_2'!F42,'CF_3'!F32+'CF_3'!F42,'CF_4'!F32+'CF_4'!F42)</x:f>
      </x:c>
      <x:c r="G20" s="117" t="n">
        <x:f>SUM('CF_1'!G32+'CF_1'!G42,'CF_2'!G32+'CF_2'!G42,'CF_3'!G32+'CF_3'!G42,'CF_4'!G32+'CF_4'!G42)</x:f>
      </x:c>
      <x:c r="H20" s="117" t="n">
        <x:f>SUM('CF_1'!H32+'CF_1'!H42,'CF_2'!H32+'CF_2'!H42,'CF_3'!H32+'CF_3'!H42,'CF_4'!H32+'CF_4'!H42)</x:f>
      </x:c>
      <x:c r="I20" s="117" t="n">
        <x:f>SUM('CF_1'!I32+'CF_1'!I42,'CF_2'!I32+'CF_2'!I42,'CF_3'!I32+'CF_3'!I42,'CF_4'!I32+'CF_4'!I42)</x:f>
      </x:c>
      <x:c r="J20" s="117" t="n">
        <x:f>SUM('CF_1'!J32+'CF_1'!J42,'CF_2'!J32+'CF_2'!J42,'CF_3'!J32+'CF_3'!J42,'CF_4'!J32+'CF_4'!J42)</x:f>
      </x:c>
      <x:c r="K20" s="117" t="n">
        <x:f>SUM('CF_1'!K32+'CF_1'!K42,'CF_2'!K32+'CF_2'!K42,'CF_3'!K32+'CF_3'!K42,'CF_4'!K32+'CF_4'!K42)</x:f>
      </x:c>
      <x:c r="L20" s="117" t="n">
        <x:f>SUM('CF_1'!L32+'CF_1'!L42,'CF_2'!L32+'CF_2'!L42,'CF_3'!L32+'CF_3'!L42,'CF_4'!L32+'CF_4'!L42)</x:f>
      </x:c>
      <x:c r="M20" s="117" t="n">
        <x:f>SUM('CF_1'!M32+'CF_1'!M42,'CF_2'!M32+'CF_2'!M42,'CF_3'!M32+'CF_3'!M42,'CF_4'!M32+'CF_4'!M42)</x:f>
      </x:c>
      <x:c r="N20" s="117" t="n">
        <x:f>SUM('CF_1'!N32+'CF_1'!N42,'CF_2'!N32+'CF_2'!N42,'CF_3'!N32+'CF_3'!N42,'CF_4'!N32+'CF_4'!N42)</x:f>
      </x:c>
      <x:c r="O20" s="117" t="n">
        <x:f>SUM('CF_1'!O32+'CF_1'!O42,'CF_2'!O32+'CF_2'!O42,'CF_3'!O32+'CF_3'!O42,'CF_4'!O32+'CF_4'!O42)</x:f>
      </x:c>
      <x:c r="P20" s="117" t="n">
        <x:f>SUM('CF_1'!P32+'CF_1'!P42,'CF_2'!P32+'CF_2'!P42,'CF_3'!P32+'CF_3'!P42,'CF_4'!P32+'CF_4'!P42)</x:f>
      </x:c>
      <x:c r="Q20" s="117" t="n">
        <x:f>SUM('CF_1'!Q32+'CF_1'!Q42,'CF_2'!Q32+'CF_2'!Q42,'CF_3'!Q32+'CF_3'!Q42,'CF_4'!Q32+'CF_4'!Q42)</x:f>
      </x:c>
      <x:c r="R20" s="117" t="n">
        <x:f>SUM('CF_1'!R32+'CF_1'!R42,'CF_2'!R32+'CF_2'!R42,'CF_3'!R32+'CF_3'!R42,'CF_4'!R32+'CF_4'!R42)</x:f>
      </x:c>
      <x:c r="S20" s="117" t="n">
        <x:f>SUM('CF_1'!S32+'CF_1'!S42,'CF_2'!S32+'CF_2'!S42,'CF_3'!S32+'CF_3'!S42,'CF_4'!S32+'CF_4'!S42)</x:f>
      </x:c>
      <x:c r="T20" s="117" t="n">
        <x:f>SUM('CF_1'!T32+'CF_1'!T42,'CF_2'!T32+'CF_2'!T42,'CF_3'!T32+'CF_3'!T42,'CF_4'!T32+'CF_4'!T42)</x:f>
      </x:c>
      <x:c r="U20" s="117" t="n">
        <x:f>SUM('CF_1'!U32+'CF_1'!U42,'CF_2'!U32+'CF_2'!U42,'CF_3'!U32+'CF_3'!U42,'CF_4'!U32+'CF_4'!U42)</x:f>
      </x:c>
      <x:c r="V20" s="117" t="n">
        <x:f>SUM('CF_1'!V32+'CF_1'!V42,'CF_2'!V32+'CF_2'!V42,'CF_3'!V32+'CF_3'!V42,'CF_4'!V32+'CF_4'!V42)</x:f>
      </x:c>
      <x:c r="W20" s="117" t="n">
        <x:f>SUM('CF_1'!W32+'CF_1'!W42,'CF_2'!W32+'CF_2'!W42,'CF_3'!W32+'CF_3'!W42,'CF_4'!W32+'CF_4'!W42)</x:f>
      </x:c>
      <x:c r="X20" s="117" t="n">
        <x:f>SUM('CF_1'!X32+'CF_1'!X42,'CF_2'!X32+'CF_2'!X42,'CF_3'!X32+'CF_3'!X42,'CF_4'!X32+'CF_4'!X42)</x:f>
      </x:c>
      <x:c r="Y20" s="117" t="n">
        <x:f>SUM('CF_1'!Y32+'CF_1'!Y42,'CF_2'!Y32+'CF_2'!Y42,'CF_3'!Y32+'CF_3'!Y42,'CF_4'!Y32+'CF_4'!Y42)</x:f>
      </x:c>
      <x:c r="Z20" s="117" t="n">
        <x:f>SUM('CF_1'!Z32+'CF_1'!Z42,'CF_2'!Z32+'CF_2'!Z42,'CF_3'!Z32+'CF_3'!Z42,'CF_4'!Z32+'CF_4'!Z42)</x:f>
      </x:c>
      <x:c r="AA20" s="117" t="n">
        <x:f>SUM('CF_1'!AA32+'CF_1'!AA42,'CF_2'!AA32+'CF_2'!AA42,'CF_3'!AA32+'CF_3'!AA42,'CF_4'!AA32+'CF_4'!AA42)</x:f>
      </x:c>
      <x:c r="AB20" s="117" t="n">
        <x:f>SUM('CF_1'!AB32+'CF_1'!AB42,'CF_2'!AB32+'CF_2'!AB42,'CF_3'!AB32+'CF_3'!AB42,'CF_4'!AB32+'CF_4'!AB42)</x:f>
      </x:c>
      <x:c r="AC20" s="117" t="n">
        <x:f>SUM('CF_1'!AC32+'CF_1'!AC42,'CF_2'!AC32+'CF_2'!AC42,'CF_3'!AC32+'CF_3'!AC42,'CF_4'!AC32+'CF_4'!AC42)</x:f>
      </x:c>
      <x:c r="AD20" s="117" t="n">
        <x:f>SUM('CF_1'!AD32+'CF_1'!AD42,'CF_2'!AD32+'CF_2'!AD42,'CF_3'!AD32+'CF_3'!AD42,'CF_4'!AD32+'CF_4'!AD42)</x:f>
      </x:c>
      <x:c r="AE20" s="117" t="n">
        <x:f>SUM('CF_1'!AE32+'CF_1'!AE42,'CF_2'!AE32+'CF_2'!AE42,'CF_3'!AE32+'CF_3'!AE42,'CF_4'!AE32+'CF_4'!AE42)</x:f>
      </x:c>
      <x:c r="AF20" s="117" t="n">
        <x:f>SUM('CF_1'!AF32+'CF_1'!AF42,'CF_2'!AF32+'CF_2'!AF42,'CF_3'!AF32+'CF_3'!AF42,'CF_4'!AF32+'CF_4'!AF42)</x:f>
      </x:c>
      <x:c r="AG20" s="117" t="n">
        <x:f>SUM('CF_1'!AG32+'CF_1'!AG42,'CF_2'!AG32+'CF_2'!AG42,'CF_3'!AG32+'CF_3'!AG42,'CF_4'!AG32+'CF_4'!AG42)</x:f>
      </x:c>
      <x:c r="AH20" s="117" t="n">
        <x:f>SUM('CF_1'!AH32+'CF_1'!AH42,'CF_2'!AH32+'CF_2'!AH42,'CF_3'!AH32+'CF_3'!AH42,'CF_4'!AH32+'CF_4'!AH42)</x:f>
      </x:c>
      <x:c r="AI20" s="117" t="n">
        <x:f>SUM('CF_1'!AI32+'CF_1'!AI42,'CF_2'!AI32+'CF_2'!AI42,'CF_3'!AI32+'CF_3'!AI42,'CF_4'!AI32+'CF_4'!AI42)</x:f>
      </x:c>
      <x:c r="AJ20" s="117" t="n">
        <x:f>SUM('CF_1'!AJ32+'CF_1'!AJ42,'CF_2'!AJ32+'CF_2'!AJ42,'CF_3'!AJ32+'CF_3'!AJ42,'CF_4'!AJ32+'CF_4'!AJ42)</x:f>
      </x:c>
      <x:c r="AK20" s="117" t="n">
        <x:f>SUM('CF_1'!AK32+'CF_1'!AK42,'CF_2'!AK32+'CF_2'!AK42,'CF_3'!AK32+'CF_3'!AK42,'CF_4'!AK32+'CF_4'!AK42)</x:f>
      </x:c>
      <x:c r="AL20" s="117" t="n">
        <x:f>SUM('CF_1'!AL32+'CF_1'!AL42,'CF_2'!AL32+'CF_2'!AL42,'CF_3'!AL32+'CF_3'!AL42,'CF_4'!AL32+'CF_4'!AL42)</x:f>
      </x:c>
      <x:c r="AM20" s="117" t="n">
        <x:f>SUM('CF_1'!AM32+'CF_1'!AM42,'CF_2'!AM32+'CF_2'!AM42,'CF_3'!AM32+'CF_3'!AM42,'CF_4'!AM32+'CF_4'!AM42)</x:f>
      </x:c>
      <x:c r="AN20" s="117" t="n">
        <x:f>SUM('CF_1'!AN32+'CF_1'!AN42,'CF_2'!AN32+'CF_2'!AN42,'CF_3'!AN32+'CF_3'!AN42,'CF_4'!AN32+'CF_4'!AN42)</x:f>
      </x:c>
      <x:c r="AO20" s="117" t="n">
        <x:f>SUM('CF_1'!AO32+'CF_1'!AO42,'CF_2'!AO32+'CF_2'!AO42,'CF_3'!AO32+'CF_3'!AO42,'CF_4'!AO32+'CF_4'!AO42)</x:f>
      </x:c>
      <x:c r="AP20" s="117" t="n">
        <x:f>SUM('CF_1'!AP32+'CF_1'!AP42,'CF_2'!AP32+'CF_2'!AP42,'CF_3'!AP32+'CF_3'!AP42,'CF_4'!AP32+'CF_4'!AP42)</x:f>
      </x:c>
      <x:c r="AQ20" s="117" t="n">
        <x:f>SUM('CF_1'!AQ32+'CF_1'!AQ42,'CF_2'!AQ32+'CF_2'!AQ42,'CF_3'!AQ32+'CF_3'!AQ42,'CF_4'!AQ32+'CF_4'!AQ42)</x:f>
      </x:c>
      <x:c r="AR20" s="117" t="n">
        <x:f>SUM('CF_1'!AR32+'CF_1'!AR42,'CF_2'!AR32+'CF_2'!AR42,'CF_3'!AR32+'CF_3'!AR42,'CF_4'!AR32+'CF_4'!AR42)</x:f>
      </x:c>
      <x:c r="AS20" s="117" t="n">
        <x:f>SUM('CF_1'!AS32+'CF_1'!AS42,'CF_2'!AS32+'CF_2'!AS42,'CF_3'!AS32+'CF_3'!AS42,'CF_4'!AS32+'CF_4'!AS42)</x:f>
      </x:c>
      <x:c r="AT20" s="117" t="n">
        <x:f>SUM('CF_1'!AT32+'CF_1'!AT42,'CF_2'!AT32+'CF_2'!AT42,'CF_3'!AT32+'CF_3'!AT42,'CF_4'!AT32+'CF_4'!AT42)</x:f>
      </x:c>
      <x:c r="AU20" s="117" t="n">
        <x:f>SUM('CF_1'!AU32+'CF_1'!AU42,'CF_2'!AU32+'CF_2'!AU42,'CF_3'!AU32+'CF_3'!AU42,'CF_4'!AU32+'CF_4'!AU42)</x:f>
      </x:c>
      <x:c r="AV20" s="117" t="n">
        <x:f>SUM('CF_1'!AV32+'CF_1'!AV42,'CF_2'!AV32+'CF_2'!AV42,'CF_3'!AV32+'CF_3'!AV42,'CF_4'!AV32+'CF_4'!AV42)</x:f>
      </x:c>
      <x:c r="AW20" s="117" t="n">
        <x:f>SUM('CF_1'!AW32+'CF_1'!AW42,'CF_2'!AW32+'CF_2'!AW42,'CF_3'!AW32+'CF_3'!AW42,'CF_4'!AW32+'CF_4'!AW42)</x:f>
      </x:c>
      <x:c r="AX20" s="117" t="n">
        <x:f>SUM('CF_1'!AX32+'CF_1'!AX42,'CF_2'!AX32+'CF_2'!AX42,'CF_3'!AX32+'CF_3'!AX42,'CF_4'!AX32+'CF_4'!AX42)</x:f>
      </x:c>
      <x:c r="AY20" s="117" t="n">
        <x:f>SUM('CF_1'!AY32+'CF_1'!AY42,'CF_2'!AY32+'CF_2'!AY42,'CF_3'!AY32+'CF_3'!AY42,'CF_4'!AY32+'CF_4'!AY42)</x:f>
      </x:c>
      <x:c r="AZ20" s="117" t="n">
        <x:f>SUM('CF_1'!AZ32+'CF_1'!AZ42,'CF_2'!AZ32+'CF_2'!AZ42,'CF_3'!AZ32+'CF_3'!AZ42,'CF_4'!AZ32+'CF_4'!AZ42)</x:f>
      </x:c>
      <x:c r="BA20" s="117" t="n">
        <x:f>SUM('CF_1'!BA32+'CF_1'!BA42,'CF_2'!BA32+'CF_2'!BA42,'CF_3'!BA32+'CF_3'!BA42,'CF_4'!BA32+'CF_4'!BA42)</x:f>
      </x:c>
      <x:c r="BB20" s="117" t="n">
        <x:f>SUM('CF_1'!BB32+'CF_1'!BB42,'CF_2'!BB32+'CF_2'!BB42,'CF_3'!BB32+'CF_3'!BB42,'CF_4'!BB32+'CF_4'!BB42)</x:f>
      </x:c>
      <x:c r="BC20" s="117" t="n">
        <x:f>SUM('CF_1'!BC32+'CF_1'!BC42,'CF_2'!BC32+'CF_2'!BC42,'CF_3'!BC32+'CF_3'!BC42,'CF_4'!BC32+'CF_4'!BC42)</x:f>
      </x:c>
      <x:c r="BD20" s="117" t="n">
        <x:f>SUM('CF_1'!BD32+'CF_1'!BD42,'CF_2'!BD32+'CF_2'!BD42,'CF_3'!BD32+'CF_3'!BD42,'CF_4'!BD32+'CF_4'!BD42)</x:f>
      </x:c>
      <x:c r="BE20" s="117" t="n">
        <x:f>SUM('CF_1'!BE32+'CF_1'!BE42,'CF_2'!BE32+'CF_2'!BE42,'CF_3'!BE32+'CF_3'!BE42,'CF_4'!BE32+'CF_4'!BE42)</x:f>
      </x:c>
      <x:c r="BF20" s="117" t="n">
        <x:f>SUM('CF_1'!BF32+'CF_1'!BF42,'CF_2'!BF32+'CF_2'!BF42,'CF_3'!BF32+'CF_3'!BF42,'CF_4'!BF32+'CF_4'!BF42)</x:f>
      </x:c>
      <x:c r="BG20" s="117" t="n">
        <x:f>SUM('CF_1'!BG32+'CF_1'!BG42,'CF_2'!BG32+'CF_2'!BG42,'CF_3'!BG32+'CF_3'!BG42,'CF_4'!BG32+'CF_4'!BG42)</x:f>
      </x:c>
      <x:c r="BH20" s="117" t="n">
        <x:f>SUM('CF_1'!BH32+'CF_1'!BH42,'CF_2'!BH32+'CF_2'!BH42,'CF_3'!BH32+'CF_3'!BH42,'CF_4'!BH32+'CF_4'!BH42)</x:f>
      </x:c>
      <x:c r="BI20" s="117" t="n">
        <x:f>SUM('CF_1'!BI32+'CF_1'!BI42,'CF_2'!BI32+'CF_2'!BI42,'CF_3'!BI32+'CF_3'!BI42,'CF_4'!BI32+'CF_4'!BI42)</x:f>
      </x:c>
      <x:c r="BJ20" s="117" t="n">
        <x:f>SUM('CF_1'!BJ32+'CF_1'!BJ42,'CF_2'!BJ32+'CF_2'!BJ42,'CF_3'!BJ32+'CF_3'!BJ42,'CF_4'!BJ32+'CF_4'!BJ42)</x:f>
      </x:c>
      <x:c r="BK20" s="117" t="n">
        <x:f>SUM('CF_1'!BK32+'CF_1'!BK42,'CF_2'!BK32+'CF_2'!BK42,'CF_3'!BK32+'CF_3'!BK42,'CF_4'!BK32+'CF_4'!BK42)</x:f>
      </x:c>
      <x:c r="BL20" s="117" t="n">
        <x:f>SUM('CF_1'!BL32+'CF_1'!BL42,'CF_2'!BL32+'CF_2'!BL42,'CF_3'!BL32+'CF_3'!BL42,'CF_4'!BL32+'CF_4'!BL42)</x:f>
      </x:c>
      <x:c r="BM20" s="117" t="n">
        <x:f>SUM('CF_1'!BM32+'CF_1'!BM42,'CF_2'!BM32+'CF_2'!BM42,'CF_3'!BM32+'CF_3'!BM42,'CF_4'!BM32+'CF_4'!BM42)</x:f>
      </x:c>
      <x:c r="BN20" s="117" t="n">
        <x:f>SUM('CF_1'!BN32+'CF_1'!BN42,'CF_2'!BN32+'CF_2'!BN42,'CF_3'!BN32+'CF_3'!BN42,'CF_4'!BN32+'CF_4'!BN42)</x:f>
      </x:c>
      <x:c r="BO20" s="117" t="n">
        <x:f>SUM('CF_1'!BO32+'CF_1'!BO42,'CF_2'!BO32+'CF_2'!BO42,'CF_3'!BO32+'CF_3'!BO42,'CF_4'!BO32+'CF_4'!BO42)</x:f>
      </x:c>
      <x:c r="BP20" s="117" t="n">
        <x:f>SUM('CF_1'!BP32+'CF_1'!BP42,'CF_2'!BP32+'CF_2'!BP42,'CF_3'!BP32+'CF_3'!BP42,'CF_4'!BP32+'CF_4'!BP42)</x:f>
      </x:c>
      <x:c r="BQ20" s="117" t="n">
        <x:f>SUM('CF_1'!BQ32+'CF_1'!BQ42,'CF_2'!BQ32+'CF_2'!BQ42,'CF_3'!BQ32+'CF_3'!BQ42,'CF_4'!BQ32+'CF_4'!BQ42)</x:f>
      </x:c>
      <x:c r="BR20" s="117" t="n">
        <x:f>SUM('CF_1'!BR32+'CF_1'!BR42,'CF_2'!BR32+'CF_2'!BR42,'CF_3'!BR32+'CF_3'!BR42,'CF_4'!BR32+'CF_4'!BR42)</x:f>
      </x:c>
      <x:c r="BS20" s="117" t="n">
        <x:f>SUM('CF_1'!BS32+'CF_1'!BS42,'CF_2'!BS32+'CF_2'!BS42,'CF_3'!BS32+'CF_3'!BS42,'CF_4'!BS32+'CF_4'!BS42)</x:f>
      </x:c>
      <x:c r="BT20" s="117" t="n">
        <x:f>SUM('CF_1'!BT32+'CF_1'!BT42,'CF_2'!BT32+'CF_2'!BT42,'CF_3'!BT32+'CF_3'!BT42,'CF_4'!BT32+'CF_4'!BT42)</x:f>
      </x:c>
      <x:c r="BU20" s="117" t="n">
        <x:f>SUM('CF_1'!BU32+'CF_1'!BU42,'CF_2'!BU32+'CF_2'!BU42,'CF_3'!BU32+'CF_3'!BU42,'CF_4'!BU32+'CF_4'!BU42)</x:f>
      </x:c>
      <x:c r="BV20" s="117" t="n">
        <x:f>SUM('CF_1'!BV32+'CF_1'!BV42,'CF_2'!BV32+'CF_2'!BV42,'CF_3'!BV32+'CF_3'!BV42,'CF_4'!BV32+'CF_4'!BV42)</x:f>
      </x:c>
      <x:c r="BW20" s="117" t="n">
        <x:f>SUM('CF_1'!BW32+'CF_1'!BW42,'CF_2'!BW32+'CF_2'!BW42,'CF_3'!BW32+'CF_3'!BW42,'CF_4'!BW32+'CF_4'!BW42)</x:f>
      </x:c>
      <x:c r="BX20" s="117" t="n">
        <x:f>SUM('CF_1'!BX32+'CF_1'!BX42,'CF_2'!BX32+'CF_2'!BX42,'CF_3'!BX32+'CF_3'!BX42,'CF_4'!BX32+'CF_4'!BX42)</x:f>
      </x:c>
      <x:c r="BY20" s="117" t="n">
        <x:f>SUM('CF_1'!BY32+'CF_1'!BY42,'CF_2'!BY32+'CF_2'!BY42,'CF_3'!BY32+'CF_3'!BY42,'CF_4'!BY32+'CF_4'!BY42)</x:f>
      </x:c>
      <x:c r="BZ20" s="117" t="n">
        <x:f>SUM('CF_1'!BZ32+'CF_1'!BZ42,'CF_2'!BZ32+'CF_2'!BZ42,'CF_3'!BZ32+'CF_3'!BZ42,'CF_4'!BZ32+'CF_4'!BZ42)</x:f>
      </x:c>
      <x:c r="CA20" s="117" t="n">
        <x:f>SUM('CF_1'!CA32+'CF_1'!CA42,'CF_2'!CA32+'CF_2'!CA42,'CF_3'!CA32+'CF_3'!CA42,'CF_4'!CA32+'CF_4'!CA42)</x:f>
      </x:c>
      <x:c r="CB20" s="117" t="n">
        <x:f>SUM('CF_1'!CB32+'CF_1'!CB42,'CF_2'!CB32+'CF_2'!CB42,'CF_3'!CB32+'CF_3'!CB42,'CF_4'!CB32+'CF_4'!CB42)</x:f>
      </x:c>
      <x:c r="CC20" s="117" t="n">
        <x:f>SUM('CF_1'!CC32+'CF_1'!CC42,'CF_2'!CC32+'CF_2'!CC42,'CF_3'!CC32+'CF_3'!CC42,'CF_4'!CC32+'CF_4'!CC42)</x:f>
      </x:c>
      <x:c r="CD20" s="117" t="n">
        <x:f>SUM('CF_1'!CD32+'CF_1'!CD42,'CF_2'!CD32+'CF_2'!CD42,'CF_3'!CD32+'CF_3'!CD42,'CF_4'!CD32+'CF_4'!CD42)</x:f>
      </x:c>
      <x:c r="CE20" s="117" t="n">
        <x:f>SUM('CF_1'!CE32+'CF_1'!CE42,'CF_2'!CE32+'CF_2'!CE42,'CF_3'!CE32+'CF_3'!CE42,'CF_4'!CE32+'CF_4'!CE42)</x:f>
      </x:c>
      <x:c r="CF20" s="117" t="n">
        <x:f>SUM('CF_1'!CF32+'CF_1'!CF42,'CF_2'!CF32+'CF_2'!CF42,'CF_3'!CF32+'CF_3'!CF42,'CF_4'!CF32+'CF_4'!CF42)</x:f>
      </x:c>
      <x:c r="CG20" s="117" t="n">
        <x:f>SUM('CF_1'!CG32+'CF_1'!CG42,'CF_2'!CG32+'CF_2'!CG42,'CF_3'!CG32+'CF_3'!CG42,'CF_4'!CG32+'CF_4'!CG42)</x:f>
      </x:c>
      <x:c r="CH20" s="117" t="n">
        <x:f>SUM('CF_1'!CH32+'CF_1'!CH42,'CF_2'!CH32+'CF_2'!CH42,'CF_3'!CH32+'CF_3'!CH42,'CF_4'!CH32+'CF_4'!CH42)</x:f>
      </x:c>
      <x:c r="CI20" s="117" t="n">
        <x:f>SUM('CF_1'!CI32+'CF_1'!CI42,'CF_2'!CI32+'CF_2'!CI42,'CF_3'!CI32+'CF_3'!CI42,'CF_4'!CI32+'CF_4'!CI42)</x:f>
      </x:c>
      <x:c r="CJ20" s="117" t="n">
        <x:f>SUM('CF_1'!CJ32+'CF_1'!CJ42,'CF_2'!CJ32+'CF_2'!CJ42,'CF_3'!CJ32+'CF_3'!CJ42,'CF_4'!CJ32+'CF_4'!CJ42)</x:f>
      </x:c>
      <x:c r="CK20" s="117" t="n">
        <x:f>SUM('CF_1'!CK32+'CF_1'!CK42,'CF_2'!CK32+'CF_2'!CK42,'CF_3'!CK32+'CF_3'!CK42,'CF_4'!CK32+'CF_4'!CK42)</x:f>
      </x:c>
      <x:c r="CL20" s="117" t="n">
        <x:f>SUM('CF_1'!CL32+'CF_1'!CL42,'CF_2'!CL32+'CF_2'!CL42,'CF_3'!CL32+'CF_3'!CL42,'CF_4'!CL32+'CF_4'!CL42)</x:f>
      </x:c>
      <x:c r="CM20" s="117" t="n">
        <x:f>SUM('CF_1'!CM32+'CF_1'!CM42,'CF_2'!CM32+'CF_2'!CM42,'CF_3'!CM32+'CF_3'!CM42,'CF_4'!CM32+'CF_4'!CM42)</x:f>
      </x:c>
      <x:c r="CN20" s="117" t="n">
        <x:f>SUM('CF_1'!CN32+'CF_1'!CN42,'CF_2'!CN32+'CF_2'!CN42,'CF_3'!CN32+'CF_3'!CN42,'CF_4'!CN32+'CF_4'!CN42)</x:f>
      </x:c>
      <x:c r="CO20" s="117" t="n">
        <x:f>SUM('CF_1'!CO32+'CF_1'!CO42,'CF_2'!CO32+'CF_2'!CO42,'CF_3'!CO32+'CF_3'!CO42,'CF_4'!CO32+'CF_4'!CO42)</x:f>
      </x:c>
      <x:c r="CP20" s="117" t="n">
        <x:f>SUM('CF_1'!CP32+'CF_1'!CP42,'CF_2'!CP32+'CF_2'!CP42,'CF_3'!CP32+'CF_3'!CP42,'CF_4'!CP32+'CF_4'!CP42)</x:f>
      </x:c>
      <x:c r="CQ20" s="117" t="n">
        <x:f>SUM('CF_1'!CQ32+'CF_1'!CQ42,'CF_2'!CQ32+'CF_2'!CQ42,'CF_3'!CQ32+'CF_3'!CQ42,'CF_4'!CQ32+'CF_4'!CQ42)</x:f>
      </x:c>
      <x:c r="CR20" s="117" t="n">
        <x:f>SUM('CF_1'!CR32+'CF_1'!CR42,'CF_2'!CR32+'CF_2'!CR42,'CF_3'!CR32+'CF_3'!CR42,'CF_4'!CR32+'CF_4'!CR42)</x:f>
      </x:c>
      <x:c r="CS20" s="117" t="n">
        <x:f>SUM('CF_1'!CS32+'CF_1'!CS42,'CF_2'!CS32+'CF_2'!CS42,'CF_3'!CS32+'CF_3'!CS42,'CF_4'!CS32+'CF_4'!CS42)</x:f>
      </x:c>
      <x:c r="CT20" s="117" t="n">
        <x:f>SUM('CF_1'!CT32+'CF_1'!CT42,'CF_2'!CT32+'CF_2'!CT42,'CF_3'!CT32+'CF_3'!CT42,'CF_4'!CT32+'CF_4'!CT42)</x:f>
      </x:c>
      <x:c r="CU20" s="117" t="n">
        <x:f>SUM('CF_1'!CU32+'CF_1'!CU42,'CF_2'!CU32+'CF_2'!CU42,'CF_3'!CU32+'CF_3'!CU42,'CF_4'!CU32+'CF_4'!CU42)</x:f>
      </x:c>
      <x:c r="CV20" s="117" t="n">
        <x:f>SUM('CF_1'!CV32+'CF_1'!CV42,'CF_2'!CV32+'CF_2'!CV42,'CF_3'!CV32+'CF_3'!CV42,'CF_4'!CV32+'CF_4'!CV42)</x:f>
      </x:c>
      <x:c r="CW20" s="117" t="n">
        <x:f>SUM('CF_1'!CW32+'CF_1'!CW42,'CF_2'!CW32+'CF_2'!CW42,'CF_3'!CW32+'CF_3'!CW42,'CF_4'!CW32+'CF_4'!CW42)</x:f>
      </x:c>
      <x:c r="CX20" s="117" t="n">
        <x:f>SUM('CF_1'!CX32+'CF_1'!CX42,'CF_2'!CX32+'CF_2'!CX42,'CF_3'!CX32+'CF_3'!CX42,'CF_4'!CX32+'CF_4'!CX42)</x:f>
      </x:c>
      <x:c r="CY20" s="117" t="n">
        <x:f>SUM('CF_1'!CY32+'CF_1'!CY42,'CF_2'!CY32+'CF_2'!CY42,'CF_3'!CY32+'CF_3'!CY42,'CF_4'!CY32+'CF_4'!CY42)</x:f>
      </x:c>
      <x:c r="CZ20" s="117" t="n">
        <x:f>SUM('CF_1'!CZ32+'CF_1'!CZ42,'CF_2'!CZ32+'CF_2'!CZ42,'CF_3'!CZ32+'CF_3'!CZ42,'CF_4'!CZ32+'CF_4'!CZ42)</x:f>
      </x:c>
      <x:c r="DA20" s="117" t="n">
        <x:f>SUM('CF_1'!DA32+'CF_1'!DA42,'CF_2'!DA32+'CF_2'!DA42,'CF_3'!DA32+'CF_3'!DA42,'CF_4'!DA32+'CF_4'!DA42)</x:f>
      </x:c>
      <x:c r="DB20" s="117" t="n">
        <x:f>SUM('CF_1'!DB32+'CF_1'!DB42,'CF_2'!DB32+'CF_2'!DB42,'CF_3'!DB32+'CF_3'!DB42,'CF_4'!DB32+'CF_4'!DB42)</x:f>
      </x:c>
      <x:c r="DC20" s="117" t="n">
        <x:f>SUM('CF_1'!DC32+'CF_1'!DC42,'CF_2'!DC32+'CF_2'!DC42,'CF_3'!DC32+'CF_3'!DC42,'CF_4'!DC32+'CF_4'!DC42)</x:f>
      </x:c>
      <x:c r="DD20" s="117" t="n">
        <x:f>SUM('CF_1'!DD32+'CF_1'!DD42,'CF_2'!DD32+'CF_2'!DD42,'CF_3'!DD32+'CF_3'!DD42,'CF_4'!DD32+'CF_4'!DD42)</x:f>
      </x:c>
      <x:c r="DE20" s="117" t="n">
        <x:f>SUM('CF_1'!DE32+'CF_1'!DE42,'CF_2'!DE32+'CF_2'!DE42,'CF_3'!DE32+'CF_3'!DE42,'CF_4'!DE32+'CF_4'!DE42)</x:f>
      </x:c>
      <x:c r="DF20" s="117" t="n">
        <x:f>SUM('CF_1'!DF32+'CF_1'!DF42,'CF_2'!DF32+'CF_2'!DF42,'CF_3'!DF32+'CF_3'!DF42,'CF_4'!DF32+'CF_4'!DF42)</x:f>
      </x:c>
      <x:c r="DG20" s="117" t="n">
        <x:f>SUM('CF_1'!DG32+'CF_1'!DG42,'CF_2'!DG32+'CF_2'!DG42,'CF_3'!DG32+'CF_3'!DG42,'CF_4'!DG32+'CF_4'!DG42)</x:f>
      </x:c>
      <x:c r="DH20" s="117" t="n">
        <x:f>SUM('CF_1'!DH32+'CF_1'!DH42,'CF_2'!DH32+'CF_2'!DH42,'CF_3'!DH32+'CF_3'!DH42,'CF_4'!DH32+'CF_4'!DH42)</x:f>
      </x:c>
      <x:c r="DI20" s="117" t="n">
        <x:f>SUM('CF_1'!DI32+'CF_1'!DI42,'CF_2'!DI32+'CF_2'!DI42,'CF_3'!DI32+'CF_3'!DI42,'CF_4'!DI32+'CF_4'!DI42)</x:f>
      </x:c>
      <x:c r="DJ20" s="117" t="n">
        <x:f>SUM('CF_1'!DJ32+'CF_1'!DJ42,'CF_2'!DJ32+'CF_2'!DJ42,'CF_3'!DJ32+'CF_3'!DJ42,'CF_4'!DJ32+'CF_4'!DJ42)</x:f>
      </x:c>
      <x:c r="DK20" s="117" t="n">
        <x:f>SUM('CF_1'!DK32+'CF_1'!DK42,'CF_2'!DK32+'CF_2'!DK42,'CF_3'!DK32+'CF_3'!DK42,'CF_4'!DK32+'CF_4'!DK42)</x:f>
      </x:c>
      <x:c r="DL20" s="117" t="n">
        <x:f>SUM('CF_1'!DL32+'CF_1'!DL42,'CF_2'!DL32+'CF_2'!DL42,'CF_3'!DL32+'CF_3'!DL42,'CF_4'!DL32+'CF_4'!DL42)</x:f>
      </x:c>
      <x:c r="DM20" s="117" t="n">
        <x:f>SUM('CF_1'!DM32+'CF_1'!DM42,'CF_2'!DM32+'CF_2'!DM42,'CF_3'!DM32+'CF_3'!DM42,'CF_4'!DM32+'CF_4'!DM42)</x:f>
      </x:c>
      <x:c r="DN20" s="117" t="n">
        <x:f>SUM('CF_1'!DN32+'CF_1'!DN42,'CF_2'!DN32+'CF_2'!DN42,'CF_3'!DN32+'CF_3'!DN42,'CF_4'!DN32+'CF_4'!DN42)</x:f>
      </x:c>
      <x:c r="DO20" s="117" t="n">
        <x:f>SUM('CF_1'!DO32+'CF_1'!DO42,'CF_2'!DO32+'CF_2'!DO42,'CF_3'!DO32+'CF_3'!DO42,'CF_4'!DO32+'CF_4'!DO42)</x:f>
      </x:c>
      <x:c r="DP20" s="117" t="n">
        <x:f>SUM('CF_1'!DP32+'CF_1'!DP42,'CF_2'!DP32+'CF_2'!DP42,'CF_3'!DP32+'CF_3'!DP42,'CF_4'!DP32+'CF_4'!DP42)</x:f>
      </x:c>
      <x:c r="DQ20" s="117" t="n">
        <x:f>SUM('CF_1'!DQ32+'CF_1'!DQ42,'CF_2'!DQ32+'CF_2'!DQ42,'CF_3'!DQ32+'CF_3'!DQ42,'CF_4'!DQ32+'CF_4'!DQ42)</x:f>
      </x:c>
      <x:c r="DR20" s="117" t="n">
        <x:f>SUM('CF_1'!DR32+'CF_1'!DR42,'CF_2'!DR32+'CF_2'!DR42,'CF_3'!DR32+'CF_3'!DR42,'CF_4'!DR32+'CF_4'!DR42)</x:f>
      </x:c>
      <x:c r="DS20" s="117" t="n">
        <x:f>SUM('CF_1'!DS32+'CF_1'!DS42,'CF_2'!DS32+'CF_2'!DS42,'CF_3'!DS32+'CF_3'!DS42,'CF_4'!DS32+'CF_4'!DS42)</x:f>
      </x:c>
      <x:c r="DT20" s="117" t="n">
        <x:f>SUM('CF_1'!DT32+'CF_1'!DT42,'CF_2'!DT32+'CF_2'!DT42,'CF_3'!DT32+'CF_3'!DT42,'CF_4'!DT32+'CF_4'!DT42)</x:f>
      </x:c>
      <x:c r="DU20" s="117" t="n">
        <x:f>SUM('CF_1'!DU32+'CF_1'!DU42,'CF_2'!DU32+'CF_2'!DU42,'CF_3'!DU32+'CF_3'!DU42,'CF_4'!DU32+'CF_4'!DU42)</x:f>
      </x:c>
      <x:c r="DV20" s="117" t="n">
        <x:f>SUM('CF_1'!DV32+'CF_1'!DV42,'CF_2'!DV32+'CF_2'!DV42,'CF_3'!DV32+'CF_3'!DV42,'CF_4'!DV32+'CF_4'!DV42)</x:f>
      </x:c>
      <x:c r="DW20" s="117" t="n">
        <x:f>SUM('CF_1'!DW32+'CF_1'!DW42,'CF_2'!DW32+'CF_2'!DW42,'CF_3'!DW32+'CF_3'!DW42,'CF_4'!DW32+'CF_4'!DW42)</x:f>
      </x:c>
      <x:c r="DX20" s="117" t="n">
        <x:f>SUM('CF_1'!DX32+'CF_1'!DX42,'CF_2'!DX32+'CF_2'!DX42,'CF_3'!DX32+'CF_3'!DX42,'CF_4'!DX32+'CF_4'!DX42)</x:f>
      </x:c>
      <x:c r="DY20" s="117" t="n">
        <x:f>SUM('CF_1'!DY32+'CF_1'!DY42,'CF_2'!DY32+'CF_2'!DY42,'CF_3'!DY32+'CF_3'!DY42,'CF_4'!DY32+'CF_4'!DY42)</x:f>
      </x:c>
      <x:c r="DZ20" s="117" t="n">
        <x:f>SUM('CF_1'!DZ32+'CF_1'!DZ42,'CF_2'!DZ32+'CF_2'!DZ42,'CF_3'!DZ32+'CF_3'!DZ42,'CF_4'!DZ32+'CF_4'!DZ42)</x:f>
      </x:c>
      <x:c r="EA20" s="117" t="n">
        <x:f>SUM('CF_1'!EA32+'CF_1'!EA42,'CF_2'!EA32+'CF_2'!EA42,'CF_3'!EA32+'CF_3'!EA42,'CF_4'!EA32+'CF_4'!EA42)</x:f>
      </x:c>
      <x:c r="EB20" s="117" t="n">
        <x:f>SUM('CF_1'!EB32+'CF_1'!EB42,'CF_2'!EB32+'CF_2'!EB42,'CF_3'!EB32+'CF_3'!EB42,'CF_4'!EB32+'CF_4'!EB42)</x:f>
      </x:c>
      <x:c r="EC20" s="117" t="n">
        <x:f>SUM('CF_1'!EC32+'CF_1'!EC42,'CF_2'!EC32+'CF_2'!EC42,'CF_3'!EC32+'CF_3'!EC42,'CF_4'!EC32+'CF_4'!EC42)</x:f>
      </x:c>
      <x:c r="ED20" s="117" t="n">
        <x:f>SUM('CF_1'!ED32+'CF_1'!ED42,'CF_2'!ED32+'CF_2'!ED42,'CF_3'!ED32+'CF_3'!ED42,'CF_4'!ED32+'CF_4'!ED42)</x:f>
      </x:c>
      <x:c r="EE20" s="117" t="n">
        <x:f>SUM('CF_1'!EE32+'CF_1'!EE42,'CF_2'!EE32+'CF_2'!EE42,'CF_3'!EE32+'CF_3'!EE42,'CF_4'!EE32+'CF_4'!EE42)</x:f>
      </x:c>
      <x:c r="EF20" s="117" t="n">
        <x:f>SUM('CF_1'!EF32+'CF_1'!EF42,'CF_2'!EF32+'CF_2'!EF42,'CF_3'!EF32+'CF_3'!EF42,'CF_4'!EF32+'CF_4'!EF42)</x:f>
      </x:c>
      <x:c r="EG20" s="117" t="n">
        <x:f>SUM('CF_1'!EG32+'CF_1'!EG42,'CF_2'!EG32+'CF_2'!EG42,'CF_3'!EG32+'CF_3'!EG42,'CF_4'!EG32+'CF_4'!EG42)</x:f>
      </x:c>
      <x:c r="EH20" s="117" t="n">
        <x:f>SUM('CF_1'!EH32+'CF_1'!EH42,'CF_2'!EH32+'CF_2'!EH42,'CF_3'!EH32+'CF_3'!EH42,'CF_4'!EH32+'CF_4'!EH42)</x:f>
      </x:c>
      <x:c r="EI20" s="117" t="n">
        <x:f>SUM('CF_1'!EI32+'CF_1'!EI42,'CF_2'!EI32+'CF_2'!EI42,'CF_3'!EI32+'CF_3'!EI42,'CF_4'!EI32+'CF_4'!EI42)</x:f>
      </x:c>
      <x:c r="EJ20" s="117" t="n">
        <x:f>SUM('CF_1'!EJ32+'CF_1'!EJ42,'CF_2'!EJ32+'CF_2'!EJ42,'CF_3'!EJ32+'CF_3'!EJ42,'CF_4'!EJ32+'CF_4'!EJ42)</x:f>
      </x:c>
      <x:c r="EK20" s="117" t="n">
        <x:f>SUM('CF_1'!EK32+'CF_1'!EK42,'CF_2'!EK32+'CF_2'!EK42,'CF_3'!EK32+'CF_3'!EK42,'CF_4'!EK32+'CF_4'!EK42)</x:f>
      </x:c>
      <x:c r="EL20" s="117" t="n">
        <x:f>SUM('CF_1'!EL32+'CF_1'!EL42,'CF_2'!EL32+'CF_2'!EL42,'CF_3'!EL32+'CF_3'!EL42,'CF_4'!EL32+'CF_4'!EL42)</x:f>
      </x:c>
      <x:c r="EM20" s="117" t="n">
        <x:f>SUM('CF_1'!EM32+'CF_1'!EM42,'CF_2'!EM32+'CF_2'!EM42,'CF_3'!EM32+'CF_3'!EM42,'CF_4'!EM32+'CF_4'!EM42)</x:f>
      </x:c>
      <x:c r="EN20" s="117" t="n">
        <x:f>SUM('CF_1'!EN32+'CF_1'!EN42,'CF_2'!EN32+'CF_2'!EN42,'CF_3'!EN32+'CF_3'!EN42,'CF_4'!EN32+'CF_4'!EN42)</x:f>
      </x:c>
      <x:c r="EO20" s="117" t="n">
        <x:f>SUM('CF_1'!EO32+'CF_1'!EO42,'CF_2'!EO32+'CF_2'!EO42,'CF_3'!EO32+'CF_3'!EO42,'CF_4'!EO32+'CF_4'!EO42)</x:f>
      </x:c>
      <x:c r="EP20" s="117" t="n">
        <x:f>SUM('CF_1'!EP32+'CF_1'!EP42,'CF_2'!EP32+'CF_2'!EP42,'CF_3'!EP32+'CF_3'!EP42,'CF_4'!EP32+'CF_4'!EP42)</x:f>
      </x:c>
      <x:c r="EQ20" s="117" t="n">
        <x:f>SUM('CF_1'!EQ32+'CF_1'!EQ42,'CF_2'!EQ32+'CF_2'!EQ42,'CF_3'!EQ32+'CF_3'!EQ42,'CF_4'!EQ32+'CF_4'!EQ42)</x:f>
      </x:c>
      <x:c r="ER20" s="117" t="n">
        <x:f>SUM('CF_1'!ER32+'CF_1'!ER42,'CF_2'!ER32+'CF_2'!ER42,'CF_3'!ER32+'CF_3'!ER42,'CF_4'!ER32+'CF_4'!ER42)</x:f>
      </x:c>
      <x:c r="ES20" s="117" t="n">
        <x:f>SUM('CF_1'!ES32+'CF_1'!ES42,'CF_2'!ES32+'CF_2'!ES42,'CF_3'!ES32+'CF_3'!ES42,'CF_4'!ES32+'CF_4'!ES42)</x:f>
      </x:c>
      <x:c r="ET20" s="117" t="n">
        <x:f>SUM('CF_1'!ET32+'CF_1'!ET42,'CF_2'!ET32+'CF_2'!ET42,'CF_3'!ET32+'CF_3'!ET42,'CF_4'!ET32+'CF_4'!ET42)</x:f>
      </x:c>
      <x:c r="EU20" s="117" t="n">
        <x:f>SUM('CF_1'!EU32+'CF_1'!EU42,'CF_2'!EU32+'CF_2'!EU42,'CF_3'!EU32+'CF_3'!EU42,'CF_4'!EU32+'CF_4'!EU42)</x:f>
      </x:c>
      <x:c r="EV20" s="117" t="n">
        <x:f>SUM('CF_1'!EV32+'CF_1'!EV42,'CF_2'!EV32+'CF_2'!EV42,'CF_3'!EV32+'CF_3'!EV42,'CF_4'!EV32+'CF_4'!EV42)</x:f>
      </x:c>
      <x:c r="EW20" s="117" t="n">
        <x:f>SUM('CF_1'!EW32+'CF_1'!EW42,'CF_2'!EW32+'CF_2'!EW42,'CF_3'!EW32+'CF_3'!EW42,'CF_4'!EW32+'CF_4'!EW42)</x:f>
      </x:c>
      <x:c r="EX20" s="117" t="n">
        <x:f>SUM('CF_1'!EX32+'CF_1'!EX42,'CF_2'!EX32+'CF_2'!EX42,'CF_3'!EX32+'CF_3'!EX42,'CF_4'!EX32+'CF_4'!EX42)</x:f>
      </x:c>
      <x:c r="EY20" s="117" t="n">
        <x:f>SUM('CF_1'!EY32+'CF_1'!EY42,'CF_2'!EY32+'CF_2'!EY42,'CF_3'!EY32+'CF_3'!EY42,'CF_4'!EY32+'CF_4'!EY42)</x:f>
      </x:c>
      <x:c r="EZ20" s="117" t="n">
        <x:f>SUM('CF_1'!EZ32+'CF_1'!EZ42,'CF_2'!EZ32+'CF_2'!EZ42,'CF_3'!EZ32+'CF_3'!EZ42,'CF_4'!EZ32+'CF_4'!EZ42)</x:f>
      </x:c>
      <x:c r="FA20" s="117" t="n">
        <x:f>SUM('CF_1'!FA32+'CF_1'!FA42,'CF_2'!FA32+'CF_2'!FA42,'CF_3'!FA32+'CF_3'!FA42,'CF_4'!FA32+'CF_4'!FA42)</x:f>
      </x:c>
      <x:c r="FB20" s="117" t="n">
        <x:f>SUM('CF_1'!FB32+'CF_1'!FB42,'CF_2'!FB32+'CF_2'!FB42,'CF_3'!FB32+'CF_3'!FB42,'CF_4'!FB32+'CF_4'!FB42)</x:f>
      </x:c>
      <x:c r="FC20" s="117" t="n">
        <x:f>SUM('CF_1'!FC32+'CF_1'!FC42,'CF_2'!FC32+'CF_2'!FC42,'CF_3'!FC32+'CF_3'!FC42,'CF_4'!FC32+'CF_4'!FC42)</x:f>
      </x:c>
      <x:c r="FD20" s="117" t="n">
        <x:f>SUM('CF_1'!FD32+'CF_1'!FD42,'CF_2'!FD32+'CF_2'!FD42,'CF_3'!FD32+'CF_3'!FD42,'CF_4'!FD32+'CF_4'!FD42)</x:f>
      </x:c>
      <x:c r="FE20" s="117" t="n">
        <x:f>SUM('CF_1'!FE32+'CF_1'!FE42,'CF_2'!FE32+'CF_2'!FE42,'CF_3'!FE32+'CF_3'!FE42,'CF_4'!FE32+'CF_4'!FE42)</x:f>
      </x:c>
      <x:c r="FF20" s="117" t="n">
        <x:f>SUM('CF_1'!FF32+'CF_1'!FF42,'CF_2'!FF32+'CF_2'!FF42,'CF_3'!FF32+'CF_3'!FF42,'CF_4'!FF32+'CF_4'!FF42)</x:f>
      </x:c>
      <x:c r="FG20" s="117" t="n">
        <x:f>SUM('CF_1'!FG32+'CF_1'!FG42,'CF_2'!FG32+'CF_2'!FG42,'CF_3'!FG32+'CF_3'!FG42,'CF_4'!FG32+'CF_4'!FG42)</x:f>
      </x:c>
      <x:c r="FH20" s="117" t="n">
        <x:f>SUM('CF_1'!FH32+'CF_1'!FH42,'CF_2'!FH32+'CF_2'!FH42,'CF_3'!FH32+'CF_3'!FH42,'CF_4'!FH32+'CF_4'!FH42)</x:f>
      </x:c>
      <x:c r="FI20" s="117" t="n">
        <x:f>SUM('CF_1'!FI32+'CF_1'!FI42,'CF_2'!FI32+'CF_2'!FI42,'CF_3'!FI32+'CF_3'!FI42,'CF_4'!FI32+'CF_4'!FI42)</x:f>
      </x:c>
      <x:c r="FJ20" s="117" t="n">
        <x:f>SUM('CF_1'!FJ32+'CF_1'!FJ42,'CF_2'!FJ32+'CF_2'!FJ42,'CF_3'!FJ32+'CF_3'!FJ42,'CF_4'!FJ32+'CF_4'!FJ42)</x:f>
      </x:c>
      <x:c r="FK20" s="117" t="n">
        <x:f>SUM('CF_1'!FK32+'CF_1'!FK42,'CF_2'!FK32+'CF_2'!FK42,'CF_3'!FK32+'CF_3'!FK42,'CF_4'!FK32+'CF_4'!FK42)</x:f>
      </x:c>
      <x:c r="FL20" s="117" t="n">
        <x:f>SUM('CF_1'!FL32+'CF_1'!FL42,'CF_2'!FL32+'CF_2'!FL42,'CF_3'!FL32+'CF_3'!FL42,'CF_4'!FL32+'CF_4'!FL42)</x:f>
      </x:c>
      <x:c r="FM20" s="117" t="n">
        <x:f>SUM('CF_1'!FM32+'CF_1'!FM42,'CF_2'!FM32+'CF_2'!FM42,'CF_3'!FM32+'CF_3'!FM42,'CF_4'!FM32+'CF_4'!FM42)</x:f>
      </x:c>
      <x:c r="FN20" s="117" t="n">
        <x:f>SUM('CF_1'!FN32+'CF_1'!FN42,'CF_2'!FN32+'CF_2'!FN42,'CF_3'!FN32+'CF_3'!FN42,'CF_4'!FN32+'CF_4'!FN42)</x:f>
      </x:c>
      <x:c r="FO20" s="117" t="n">
        <x:f>SUM('CF_1'!FO32+'CF_1'!FO42,'CF_2'!FO32+'CF_2'!FO42,'CF_3'!FO32+'CF_3'!FO42,'CF_4'!FO32+'CF_4'!FO42)</x:f>
      </x:c>
      <x:c r="FP20" s="117" t="n">
        <x:f>SUM('CF_1'!FP32+'CF_1'!FP42,'CF_2'!FP32+'CF_2'!FP42,'CF_3'!FP32+'CF_3'!FP42,'CF_4'!FP32+'CF_4'!FP42)</x:f>
      </x:c>
      <x:c r="FQ20" s="117" t="n">
        <x:f>SUM('CF_1'!FQ32+'CF_1'!FQ42,'CF_2'!FQ32+'CF_2'!FQ42,'CF_3'!FQ32+'CF_3'!FQ42,'CF_4'!FQ32+'CF_4'!FQ42)</x:f>
      </x:c>
      <x:c r="FR20" s="117" t="n">
        <x:f>SUM('CF_1'!FR32+'CF_1'!FR42,'CF_2'!FR32+'CF_2'!FR42,'CF_3'!FR32+'CF_3'!FR42,'CF_4'!FR32+'CF_4'!FR42)</x:f>
      </x:c>
      <x:c r="FS20" s="117" t="n">
        <x:f>SUM('CF_1'!FS32+'CF_1'!FS42,'CF_2'!FS32+'CF_2'!FS42,'CF_3'!FS32+'CF_3'!FS42,'CF_4'!FS32+'CF_4'!FS42)</x:f>
      </x:c>
      <x:c r="FT20" s="117" t="n">
        <x:f>SUM('CF_1'!FT32+'CF_1'!FT42,'CF_2'!FT32+'CF_2'!FT42,'CF_3'!FT32+'CF_3'!FT42,'CF_4'!FT32+'CF_4'!FT42)</x:f>
      </x:c>
      <x:c r="FU20" s="117" t="n">
        <x:f>SUM('CF_1'!FU32+'CF_1'!FU42,'CF_2'!FU32+'CF_2'!FU42,'CF_3'!FU32+'CF_3'!FU42,'CF_4'!FU32+'CF_4'!FU42)</x:f>
      </x:c>
      <x:c r="FV20" s="117" t="n">
        <x:f>SUM('CF_1'!FV32+'CF_1'!FV42,'CF_2'!FV32+'CF_2'!FV42,'CF_3'!FV32+'CF_3'!FV42,'CF_4'!FV32+'CF_4'!FV42)</x:f>
      </x:c>
      <x:c r="FW20" s="117" t="n">
        <x:f>SUM('CF_1'!FW32+'CF_1'!FW42,'CF_2'!FW32+'CF_2'!FW42,'CF_3'!FW32+'CF_3'!FW42,'CF_4'!FW32+'CF_4'!FW42)</x:f>
      </x:c>
      <x:c r="FX20" s="117" t="n">
        <x:f>SUM('CF_1'!FX32+'CF_1'!FX42,'CF_2'!FX32+'CF_2'!FX42,'CF_3'!FX32+'CF_3'!FX42,'CF_4'!FX32+'CF_4'!FX42)</x:f>
      </x:c>
      <x:c r="FY20" s="117" t="n">
        <x:f>SUM('CF_1'!FY32+'CF_1'!FY42,'CF_2'!FY32+'CF_2'!FY42,'CF_3'!FY32+'CF_3'!FY42,'CF_4'!FY32+'CF_4'!FY42)</x:f>
      </x:c>
      <x:c r="FZ20" s="117" t="n">
        <x:f>SUM('CF_1'!FZ32+'CF_1'!FZ42,'CF_2'!FZ32+'CF_2'!FZ42,'CF_3'!FZ32+'CF_3'!FZ42,'CF_4'!FZ32+'CF_4'!FZ42)</x:f>
      </x:c>
      <x:c r="GA20" s="117" t="n">
        <x:f>SUM('CF_1'!GA32+'CF_1'!GA42,'CF_2'!GA32+'CF_2'!GA42,'CF_3'!GA32+'CF_3'!GA42,'CF_4'!GA32+'CF_4'!GA42)</x:f>
      </x:c>
    </x:row>
    <x:row r="21">
      <x:c r="A21" t="str">
        <x:v>Комиссии</x:v>
      </x:c>
      <x:c r="B21" t="n">
        <x:f>SUM(D21:GA21)</x:f>
      </x:c>
      <x:c r="C21" t="str">
        <x:v>млн ₽</x:v>
      </x:c>
      <x:c r="D21" s="117" t="n">
        <x:f>SUM('CF_1'!D43,'CF_2'!D43,'CF_3'!D43,'CF_4'!D43,'CF_1'!D57,'CF_2'!D57,'CF_3'!D57,'CF_4'!D57)</x:f>
      </x:c>
      <x:c r="E21" s="117" t="n">
        <x:f>SUM('CF_1'!E43,'CF_2'!E43,'CF_3'!E43,'CF_4'!E43,'CF_1'!E57,'CF_2'!E57,'CF_3'!E57,'CF_4'!E57)</x:f>
      </x:c>
      <x:c r="F21" s="117" t="n">
        <x:f>SUM('CF_1'!F43,'CF_2'!F43,'CF_3'!F43,'CF_4'!F43,'CF_1'!F57,'CF_2'!F57,'CF_3'!F57,'CF_4'!F57)</x:f>
      </x:c>
      <x:c r="G21" s="117" t="n">
        <x:f>SUM('CF_1'!G43,'CF_2'!G43,'CF_3'!G43,'CF_4'!G43,'CF_1'!G57,'CF_2'!G57,'CF_3'!G57,'CF_4'!G57)</x:f>
      </x:c>
      <x:c r="H21" s="117" t="n">
        <x:f>SUM('CF_1'!H43,'CF_2'!H43,'CF_3'!H43,'CF_4'!H43,'CF_1'!H57,'CF_2'!H57,'CF_3'!H57,'CF_4'!H57)</x:f>
      </x:c>
      <x:c r="I21" s="117" t="n">
        <x:f>SUM('CF_1'!I43,'CF_2'!I43,'CF_3'!I43,'CF_4'!I43,'CF_1'!I57,'CF_2'!I57,'CF_3'!I57,'CF_4'!I57)</x:f>
      </x:c>
      <x:c r="J21" s="117" t="n">
        <x:f>SUM('CF_1'!J43,'CF_2'!J43,'CF_3'!J43,'CF_4'!J43,'CF_1'!J57,'CF_2'!J57,'CF_3'!J57,'CF_4'!J57)</x:f>
      </x:c>
      <x:c r="K21" s="117" t="n">
        <x:f>SUM('CF_1'!K43,'CF_2'!K43,'CF_3'!K43,'CF_4'!K43,'CF_1'!K57,'CF_2'!K57,'CF_3'!K57,'CF_4'!K57)</x:f>
      </x:c>
      <x:c r="L21" s="117" t="n">
        <x:f>SUM('CF_1'!L43,'CF_2'!L43,'CF_3'!L43,'CF_4'!L43,'CF_1'!L57,'CF_2'!L57,'CF_3'!L57,'CF_4'!L57)</x:f>
      </x:c>
      <x:c r="M21" s="117" t="n">
        <x:f>SUM('CF_1'!M43,'CF_2'!M43,'CF_3'!M43,'CF_4'!M43,'CF_1'!M57,'CF_2'!M57,'CF_3'!M57,'CF_4'!M57)</x:f>
      </x:c>
      <x:c r="N21" s="117" t="n">
        <x:f>SUM('CF_1'!N43,'CF_2'!N43,'CF_3'!N43,'CF_4'!N43,'CF_1'!N57,'CF_2'!N57,'CF_3'!N57,'CF_4'!N57)</x:f>
      </x:c>
      <x:c r="O21" s="117" t="n">
        <x:f>SUM('CF_1'!O43,'CF_2'!O43,'CF_3'!O43,'CF_4'!O43,'CF_1'!O57,'CF_2'!O57,'CF_3'!O57,'CF_4'!O57)</x:f>
      </x:c>
      <x:c r="P21" s="117" t="n">
        <x:f>SUM('CF_1'!P43,'CF_2'!P43,'CF_3'!P43,'CF_4'!P43,'CF_1'!P57,'CF_2'!P57,'CF_3'!P57,'CF_4'!P57)</x:f>
      </x:c>
      <x:c r="Q21" s="117" t="n">
        <x:f>SUM('CF_1'!Q43,'CF_2'!Q43,'CF_3'!Q43,'CF_4'!Q43,'CF_1'!Q57,'CF_2'!Q57,'CF_3'!Q57,'CF_4'!Q57)</x:f>
      </x:c>
      <x:c r="R21" s="117" t="n">
        <x:f>SUM('CF_1'!R43,'CF_2'!R43,'CF_3'!R43,'CF_4'!R43,'CF_1'!R57,'CF_2'!R57,'CF_3'!R57,'CF_4'!R57)</x:f>
      </x:c>
      <x:c r="S21" s="117" t="n">
        <x:f>SUM('CF_1'!S43,'CF_2'!S43,'CF_3'!S43,'CF_4'!S43,'CF_1'!S57,'CF_2'!S57,'CF_3'!S57,'CF_4'!S57)</x:f>
      </x:c>
      <x:c r="T21" s="117" t="n">
        <x:f>SUM('CF_1'!T43,'CF_2'!T43,'CF_3'!T43,'CF_4'!T43,'CF_1'!T57,'CF_2'!T57,'CF_3'!T57,'CF_4'!T57)</x:f>
      </x:c>
      <x:c r="U21" s="117" t="n">
        <x:f>SUM('CF_1'!U43,'CF_2'!U43,'CF_3'!U43,'CF_4'!U43,'CF_1'!U57,'CF_2'!U57,'CF_3'!U57,'CF_4'!U57)</x:f>
      </x:c>
      <x:c r="V21" s="117" t="n">
        <x:f>SUM('CF_1'!V43,'CF_2'!V43,'CF_3'!V43,'CF_4'!V43,'CF_1'!V57,'CF_2'!V57,'CF_3'!V57,'CF_4'!V57)</x:f>
      </x:c>
      <x:c r="W21" s="117" t="n">
        <x:f>SUM('CF_1'!W43,'CF_2'!W43,'CF_3'!W43,'CF_4'!W43,'CF_1'!W57,'CF_2'!W57,'CF_3'!W57,'CF_4'!W57)</x:f>
      </x:c>
      <x:c r="X21" s="117" t="n">
        <x:f>SUM('CF_1'!X43,'CF_2'!X43,'CF_3'!X43,'CF_4'!X43,'CF_1'!X57,'CF_2'!X57,'CF_3'!X57,'CF_4'!X57)</x:f>
      </x:c>
      <x:c r="Y21" s="117" t="n">
        <x:f>SUM('CF_1'!Y43,'CF_2'!Y43,'CF_3'!Y43,'CF_4'!Y43,'CF_1'!Y57,'CF_2'!Y57,'CF_3'!Y57,'CF_4'!Y57)</x:f>
      </x:c>
      <x:c r="Z21" s="117" t="n">
        <x:f>SUM('CF_1'!Z43,'CF_2'!Z43,'CF_3'!Z43,'CF_4'!Z43,'CF_1'!Z57,'CF_2'!Z57,'CF_3'!Z57,'CF_4'!Z57)</x:f>
      </x:c>
      <x:c r="AA21" s="117" t="n">
        <x:f>SUM('CF_1'!AA43,'CF_2'!AA43,'CF_3'!AA43,'CF_4'!AA43,'CF_1'!AA57,'CF_2'!AA57,'CF_3'!AA57,'CF_4'!AA57)</x:f>
      </x:c>
      <x:c r="AB21" s="117" t="n">
        <x:f>SUM('CF_1'!AB43,'CF_2'!AB43,'CF_3'!AB43,'CF_4'!AB43,'CF_1'!AB57,'CF_2'!AB57,'CF_3'!AB57,'CF_4'!AB57)</x:f>
      </x:c>
      <x:c r="AC21" s="117" t="n">
        <x:f>SUM('CF_1'!AC43,'CF_2'!AC43,'CF_3'!AC43,'CF_4'!AC43,'CF_1'!AC57,'CF_2'!AC57,'CF_3'!AC57,'CF_4'!AC57)</x:f>
      </x:c>
      <x:c r="AD21" s="117" t="n">
        <x:f>SUM('CF_1'!AD43,'CF_2'!AD43,'CF_3'!AD43,'CF_4'!AD43,'CF_1'!AD57,'CF_2'!AD57,'CF_3'!AD57,'CF_4'!AD57)</x:f>
      </x:c>
      <x:c r="AE21" s="117" t="n">
        <x:f>SUM('CF_1'!AE43,'CF_2'!AE43,'CF_3'!AE43,'CF_4'!AE43,'CF_1'!AE57,'CF_2'!AE57,'CF_3'!AE57,'CF_4'!AE57)</x:f>
      </x:c>
      <x:c r="AF21" s="117" t="n">
        <x:f>SUM('CF_1'!AF43,'CF_2'!AF43,'CF_3'!AF43,'CF_4'!AF43,'CF_1'!AF57,'CF_2'!AF57,'CF_3'!AF57,'CF_4'!AF57)</x:f>
      </x:c>
      <x:c r="AG21" s="117" t="n">
        <x:f>SUM('CF_1'!AG43,'CF_2'!AG43,'CF_3'!AG43,'CF_4'!AG43,'CF_1'!AG57,'CF_2'!AG57,'CF_3'!AG57,'CF_4'!AG57)</x:f>
      </x:c>
      <x:c r="AH21" s="117" t="n">
        <x:f>SUM('CF_1'!AH43,'CF_2'!AH43,'CF_3'!AH43,'CF_4'!AH43,'CF_1'!AH57,'CF_2'!AH57,'CF_3'!AH57,'CF_4'!AH57)</x:f>
      </x:c>
      <x:c r="AI21" s="117" t="n">
        <x:f>SUM('CF_1'!AI43,'CF_2'!AI43,'CF_3'!AI43,'CF_4'!AI43,'CF_1'!AI57,'CF_2'!AI57,'CF_3'!AI57,'CF_4'!AI57)</x:f>
      </x:c>
      <x:c r="AJ21" s="117" t="n">
        <x:f>SUM('CF_1'!AJ43,'CF_2'!AJ43,'CF_3'!AJ43,'CF_4'!AJ43,'CF_1'!AJ57,'CF_2'!AJ57,'CF_3'!AJ57,'CF_4'!AJ57)</x:f>
      </x:c>
      <x:c r="AK21" s="117" t="n">
        <x:f>SUM('CF_1'!AK43,'CF_2'!AK43,'CF_3'!AK43,'CF_4'!AK43,'CF_1'!AK57,'CF_2'!AK57,'CF_3'!AK57,'CF_4'!AK57)</x:f>
      </x:c>
      <x:c r="AL21" s="117" t="n">
        <x:f>SUM('CF_1'!AL43,'CF_2'!AL43,'CF_3'!AL43,'CF_4'!AL43,'CF_1'!AL57,'CF_2'!AL57,'CF_3'!AL57,'CF_4'!AL57)</x:f>
      </x:c>
      <x:c r="AM21" s="117" t="n">
        <x:f>SUM('CF_1'!AM43,'CF_2'!AM43,'CF_3'!AM43,'CF_4'!AM43,'CF_1'!AM57,'CF_2'!AM57,'CF_3'!AM57,'CF_4'!AM57)</x:f>
      </x:c>
      <x:c r="AN21" s="117" t="n">
        <x:f>SUM('CF_1'!AN43,'CF_2'!AN43,'CF_3'!AN43,'CF_4'!AN43,'CF_1'!AN57,'CF_2'!AN57,'CF_3'!AN57,'CF_4'!AN57)</x:f>
      </x:c>
      <x:c r="AO21" s="117" t="n">
        <x:f>SUM('CF_1'!AO43,'CF_2'!AO43,'CF_3'!AO43,'CF_4'!AO43,'CF_1'!AO57,'CF_2'!AO57,'CF_3'!AO57,'CF_4'!AO57)</x:f>
      </x:c>
      <x:c r="AP21" s="117" t="n">
        <x:f>SUM('CF_1'!AP43,'CF_2'!AP43,'CF_3'!AP43,'CF_4'!AP43,'CF_1'!AP57,'CF_2'!AP57,'CF_3'!AP57,'CF_4'!AP57)</x:f>
      </x:c>
      <x:c r="AQ21" s="117" t="n">
        <x:f>SUM('CF_1'!AQ43,'CF_2'!AQ43,'CF_3'!AQ43,'CF_4'!AQ43,'CF_1'!AQ57,'CF_2'!AQ57,'CF_3'!AQ57,'CF_4'!AQ57)</x:f>
      </x:c>
      <x:c r="AR21" s="117" t="n">
        <x:f>SUM('CF_1'!AR43,'CF_2'!AR43,'CF_3'!AR43,'CF_4'!AR43,'CF_1'!AR57,'CF_2'!AR57,'CF_3'!AR57,'CF_4'!AR57)</x:f>
      </x:c>
      <x:c r="AS21" s="117" t="n">
        <x:f>SUM('CF_1'!AS43,'CF_2'!AS43,'CF_3'!AS43,'CF_4'!AS43,'CF_1'!AS57,'CF_2'!AS57,'CF_3'!AS57,'CF_4'!AS57)</x:f>
      </x:c>
      <x:c r="AT21" s="117" t="n">
        <x:f>SUM('CF_1'!AT43,'CF_2'!AT43,'CF_3'!AT43,'CF_4'!AT43,'CF_1'!AT57,'CF_2'!AT57,'CF_3'!AT57,'CF_4'!AT57)</x:f>
      </x:c>
      <x:c r="AU21" s="117" t="n">
        <x:f>SUM('CF_1'!AU43,'CF_2'!AU43,'CF_3'!AU43,'CF_4'!AU43,'CF_1'!AU57,'CF_2'!AU57,'CF_3'!AU57,'CF_4'!AU57)</x:f>
      </x:c>
      <x:c r="AV21" s="117" t="n">
        <x:f>SUM('CF_1'!AV43,'CF_2'!AV43,'CF_3'!AV43,'CF_4'!AV43,'CF_1'!AV57,'CF_2'!AV57,'CF_3'!AV57,'CF_4'!AV57)</x:f>
      </x:c>
      <x:c r="AW21" s="117" t="n">
        <x:f>SUM('CF_1'!AW43,'CF_2'!AW43,'CF_3'!AW43,'CF_4'!AW43,'CF_1'!AW57,'CF_2'!AW57,'CF_3'!AW57,'CF_4'!AW57)</x:f>
      </x:c>
      <x:c r="AX21" s="117" t="n">
        <x:f>SUM('CF_1'!AX43,'CF_2'!AX43,'CF_3'!AX43,'CF_4'!AX43,'CF_1'!AX57,'CF_2'!AX57,'CF_3'!AX57,'CF_4'!AX57)</x:f>
      </x:c>
      <x:c r="AY21" s="117" t="n">
        <x:f>SUM('CF_1'!AY43,'CF_2'!AY43,'CF_3'!AY43,'CF_4'!AY43,'CF_1'!AY57,'CF_2'!AY57,'CF_3'!AY57,'CF_4'!AY57)</x:f>
      </x:c>
      <x:c r="AZ21" s="117" t="n">
        <x:f>SUM('CF_1'!AZ43,'CF_2'!AZ43,'CF_3'!AZ43,'CF_4'!AZ43,'CF_1'!AZ57,'CF_2'!AZ57,'CF_3'!AZ57,'CF_4'!AZ57)</x:f>
      </x:c>
      <x:c r="BA21" s="117" t="n">
        <x:f>SUM('CF_1'!BA43,'CF_2'!BA43,'CF_3'!BA43,'CF_4'!BA43,'CF_1'!BA57,'CF_2'!BA57,'CF_3'!BA57,'CF_4'!BA57)</x:f>
      </x:c>
      <x:c r="BB21" s="117" t="n">
        <x:f>SUM('CF_1'!BB43,'CF_2'!BB43,'CF_3'!BB43,'CF_4'!BB43,'CF_1'!BB57,'CF_2'!BB57,'CF_3'!BB57,'CF_4'!BB57)</x:f>
      </x:c>
      <x:c r="BC21" s="117" t="n">
        <x:f>SUM('CF_1'!BC43,'CF_2'!BC43,'CF_3'!BC43,'CF_4'!BC43,'CF_1'!BC57,'CF_2'!BC57,'CF_3'!BC57,'CF_4'!BC57)</x:f>
      </x:c>
      <x:c r="BD21" s="117" t="n">
        <x:f>SUM('CF_1'!BD43,'CF_2'!BD43,'CF_3'!BD43,'CF_4'!BD43,'CF_1'!BD57,'CF_2'!BD57,'CF_3'!BD57,'CF_4'!BD57)</x:f>
      </x:c>
      <x:c r="BE21" s="117" t="n">
        <x:f>SUM('CF_1'!BE43,'CF_2'!BE43,'CF_3'!BE43,'CF_4'!BE43,'CF_1'!BE57,'CF_2'!BE57,'CF_3'!BE57,'CF_4'!BE57)</x:f>
      </x:c>
      <x:c r="BF21" s="117" t="n">
        <x:f>SUM('CF_1'!BF43,'CF_2'!BF43,'CF_3'!BF43,'CF_4'!BF43,'CF_1'!BF57,'CF_2'!BF57,'CF_3'!BF57,'CF_4'!BF57)</x:f>
      </x:c>
      <x:c r="BG21" s="117" t="n">
        <x:f>SUM('CF_1'!BG43,'CF_2'!BG43,'CF_3'!BG43,'CF_4'!BG43,'CF_1'!BG57,'CF_2'!BG57,'CF_3'!BG57,'CF_4'!BG57)</x:f>
      </x:c>
      <x:c r="BH21" s="117" t="n">
        <x:f>SUM('CF_1'!BH43,'CF_2'!BH43,'CF_3'!BH43,'CF_4'!BH43,'CF_1'!BH57,'CF_2'!BH57,'CF_3'!BH57,'CF_4'!BH57)</x:f>
      </x:c>
      <x:c r="BI21" s="117" t="n">
        <x:f>SUM('CF_1'!BI43,'CF_2'!BI43,'CF_3'!BI43,'CF_4'!BI43,'CF_1'!BI57,'CF_2'!BI57,'CF_3'!BI57,'CF_4'!BI57)</x:f>
      </x:c>
      <x:c r="BJ21" s="117" t="n">
        <x:f>SUM('CF_1'!BJ43,'CF_2'!BJ43,'CF_3'!BJ43,'CF_4'!BJ43,'CF_1'!BJ57,'CF_2'!BJ57,'CF_3'!BJ57,'CF_4'!BJ57)</x:f>
      </x:c>
      <x:c r="BK21" s="117" t="n">
        <x:f>SUM('CF_1'!BK43,'CF_2'!BK43,'CF_3'!BK43,'CF_4'!BK43,'CF_1'!BK57,'CF_2'!BK57,'CF_3'!BK57,'CF_4'!BK57)</x:f>
      </x:c>
      <x:c r="BL21" s="117" t="n">
        <x:f>SUM('CF_1'!BL43,'CF_2'!BL43,'CF_3'!BL43,'CF_4'!BL43,'CF_1'!BL57,'CF_2'!BL57,'CF_3'!BL57,'CF_4'!BL57)</x:f>
      </x:c>
      <x:c r="BM21" s="117" t="n">
        <x:f>SUM('CF_1'!BM43,'CF_2'!BM43,'CF_3'!BM43,'CF_4'!BM43,'CF_1'!BM57,'CF_2'!BM57,'CF_3'!BM57,'CF_4'!BM57)</x:f>
      </x:c>
      <x:c r="BN21" s="117" t="n">
        <x:f>SUM('CF_1'!BN43,'CF_2'!BN43,'CF_3'!BN43,'CF_4'!BN43,'CF_1'!BN57,'CF_2'!BN57,'CF_3'!BN57,'CF_4'!BN57)</x:f>
      </x:c>
      <x:c r="BO21" s="117" t="n">
        <x:f>SUM('CF_1'!BO43,'CF_2'!BO43,'CF_3'!BO43,'CF_4'!BO43,'CF_1'!BO57,'CF_2'!BO57,'CF_3'!BO57,'CF_4'!BO57)</x:f>
      </x:c>
      <x:c r="BP21" s="117" t="n">
        <x:f>SUM('CF_1'!BP43,'CF_2'!BP43,'CF_3'!BP43,'CF_4'!BP43,'CF_1'!BP57,'CF_2'!BP57,'CF_3'!BP57,'CF_4'!BP57)</x:f>
      </x:c>
      <x:c r="BQ21" s="117" t="n">
        <x:f>SUM('CF_1'!BQ43,'CF_2'!BQ43,'CF_3'!BQ43,'CF_4'!BQ43,'CF_1'!BQ57,'CF_2'!BQ57,'CF_3'!BQ57,'CF_4'!BQ57)</x:f>
      </x:c>
      <x:c r="BR21" s="117" t="n">
        <x:f>SUM('CF_1'!BR43,'CF_2'!BR43,'CF_3'!BR43,'CF_4'!BR43,'CF_1'!BR57,'CF_2'!BR57,'CF_3'!BR57,'CF_4'!BR57)</x:f>
      </x:c>
      <x:c r="BS21" s="117" t="n">
        <x:f>SUM('CF_1'!BS43,'CF_2'!BS43,'CF_3'!BS43,'CF_4'!BS43,'CF_1'!BS57,'CF_2'!BS57,'CF_3'!BS57,'CF_4'!BS57)</x:f>
      </x:c>
      <x:c r="BT21" s="117" t="n">
        <x:f>SUM('CF_1'!BT43,'CF_2'!BT43,'CF_3'!BT43,'CF_4'!BT43,'CF_1'!BT57,'CF_2'!BT57,'CF_3'!BT57,'CF_4'!BT57)</x:f>
      </x:c>
      <x:c r="BU21" s="117" t="n">
        <x:f>SUM('CF_1'!BU43,'CF_2'!BU43,'CF_3'!BU43,'CF_4'!BU43,'CF_1'!BU57,'CF_2'!BU57,'CF_3'!BU57,'CF_4'!BU57)</x:f>
      </x:c>
      <x:c r="BV21" s="117" t="n">
        <x:f>SUM('CF_1'!BV43,'CF_2'!BV43,'CF_3'!BV43,'CF_4'!BV43,'CF_1'!BV57,'CF_2'!BV57,'CF_3'!BV57,'CF_4'!BV57)</x:f>
      </x:c>
      <x:c r="BW21" s="117" t="n">
        <x:f>SUM('CF_1'!BW43,'CF_2'!BW43,'CF_3'!BW43,'CF_4'!BW43,'CF_1'!BW57,'CF_2'!BW57,'CF_3'!BW57,'CF_4'!BW57)</x:f>
      </x:c>
      <x:c r="BX21" s="117" t="n">
        <x:f>SUM('CF_1'!BX43,'CF_2'!BX43,'CF_3'!BX43,'CF_4'!BX43,'CF_1'!BX57,'CF_2'!BX57,'CF_3'!BX57,'CF_4'!BX57)</x:f>
      </x:c>
      <x:c r="BY21" s="117" t="n">
        <x:f>SUM('CF_1'!BY43,'CF_2'!BY43,'CF_3'!BY43,'CF_4'!BY43,'CF_1'!BY57,'CF_2'!BY57,'CF_3'!BY57,'CF_4'!BY57)</x:f>
      </x:c>
      <x:c r="BZ21" s="117" t="n">
        <x:f>SUM('CF_1'!BZ43,'CF_2'!BZ43,'CF_3'!BZ43,'CF_4'!BZ43,'CF_1'!BZ57,'CF_2'!BZ57,'CF_3'!BZ57,'CF_4'!BZ57)</x:f>
      </x:c>
      <x:c r="CA21" s="117" t="n">
        <x:f>SUM('CF_1'!CA43,'CF_2'!CA43,'CF_3'!CA43,'CF_4'!CA43,'CF_1'!CA57,'CF_2'!CA57,'CF_3'!CA57,'CF_4'!CA57)</x:f>
      </x:c>
      <x:c r="CB21" s="117" t="n">
        <x:f>SUM('CF_1'!CB43,'CF_2'!CB43,'CF_3'!CB43,'CF_4'!CB43,'CF_1'!CB57,'CF_2'!CB57,'CF_3'!CB57,'CF_4'!CB57)</x:f>
      </x:c>
      <x:c r="CC21" s="117" t="n">
        <x:f>SUM('CF_1'!CC43,'CF_2'!CC43,'CF_3'!CC43,'CF_4'!CC43,'CF_1'!CC57,'CF_2'!CC57,'CF_3'!CC57,'CF_4'!CC57)</x:f>
      </x:c>
      <x:c r="CD21" s="117" t="n">
        <x:f>SUM('CF_1'!CD43,'CF_2'!CD43,'CF_3'!CD43,'CF_4'!CD43,'CF_1'!CD57,'CF_2'!CD57,'CF_3'!CD57,'CF_4'!CD57)</x:f>
      </x:c>
      <x:c r="CE21" s="117" t="n">
        <x:f>SUM('CF_1'!CE43,'CF_2'!CE43,'CF_3'!CE43,'CF_4'!CE43,'CF_1'!CE57,'CF_2'!CE57,'CF_3'!CE57,'CF_4'!CE57)</x:f>
      </x:c>
      <x:c r="CF21" s="117" t="n">
        <x:f>SUM('CF_1'!CF43,'CF_2'!CF43,'CF_3'!CF43,'CF_4'!CF43,'CF_1'!CF57,'CF_2'!CF57,'CF_3'!CF57,'CF_4'!CF57)</x:f>
      </x:c>
      <x:c r="CG21" s="117" t="n">
        <x:f>SUM('CF_1'!CG43,'CF_2'!CG43,'CF_3'!CG43,'CF_4'!CG43,'CF_1'!CG57,'CF_2'!CG57,'CF_3'!CG57,'CF_4'!CG57)</x:f>
      </x:c>
      <x:c r="CH21" s="117" t="n">
        <x:f>SUM('CF_1'!CH43,'CF_2'!CH43,'CF_3'!CH43,'CF_4'!CH43,'CF_1'!CH57,'CF_2'!CH57,'CF_3'!CH57,'CF_4'!CH57)</x:f>
      </x:c>
      <x:c r="CI21" s="117" t="n">
        <x:f>SUM('CF_1'!CI43,'CF_2'!CI43,'CF_3'!CI43,'CF_4'!CI43,'CF_1'!CI57,'CF_2'!CI57,'CF_3'!CI57,'CF_4'!CI57)</x:f>
      </x:c>
      <x:c r="CJ21" s="117" t="n">
        <x:f>SUM('CF_1'!CJ43,'CF_2'!CJ43,'CF_3'!CJ43,'CF_4'!CJ43,'CF_1'!CJ57,'CF_2'!CJ57,'CF_3'!CJ57,'CF_4'!CJ57)</x:f>
      </x:c>
      <x:c r="CK21" s="117" t="n">
        <x:f>SUM('CF_1'!CK43,'CF_2'!CK43,'CF_3'!CK43,'CF_4'!CK43,'CF_1'!CK57,'CF_2'!CK57,'CF_3'!CK57,'CF_4'!CK57)</x:f>
      </x:c>
      <x:c r="CL21" s="117" t="n">
        <x:f>SUM('CF_1'!CL43,'CF_2'!CL43,'CF_3'!CL43,'CF_4'!CL43,'CF_1'!CL57,'CF_2'!CL57,'CF_3'!CL57,'CF_4'!CL57)</x:f>
      </x:c>
      <x:c r="CM21" s="117" t="n">
        <x:f>SUM('CF_1'!CM43,'CF_2'!CM43,'CF_3'!CM43,'CF_4'!CM43,'CF_1'!CM57,'CF_2'!CM57,'CF_3'!CM57,'CF_4'!CM57)</x:f>
      </x:c>
      <x:c r="CN21" s="117" t="n">
        <x:f>SUM('CF_1'!CN43,'CF_2'!CN43,'CF_3'!CN43,'CF_4'!CN43,'CF_1'!CN57,'CF_2'!CN57,'CF_3'!CN57,'CF_4'!CN57)</x:f>
      </x:c>
      <x:c r="CO21" s="117" t="n">
        <x:f>SUM('CF_1'!CO43,'CF_2'!CO43,'CF_3'!CO43,'CF_4'!CO43,'CF_1'!CO57,'CF_2'!CO57,'CF_3'!CO57,'CF_4'!CO57)</x:f>
      </x:c>
      <x:c r="CP21" s="117" t="n">
        <x:f>SUM('CF_1'!CP43,'CF_2'!CP43,'CF_3'!CP43,'CF_4'!CP43,'CF_1'!CP57,'CF_2'!CP57,'CF_3'!CP57,'CF_4'!CP57)</x:f>
      </x:c>
      <x:c r="CQ21" s="117" t="n">
        <x:f>SUM('CF_1'!CQ43,'CF_2'!CQ43,'CF_3'!CQ43,'CF_4'!CQ43,'CF_1'!CQ57,'CF_2'!CQ57,'CF_3'!CQ57,'CF_4'!CQ57)</x:f>
      </x:c>
      <x:c r="CR21" s="117" t="n">
        <x:f>SUM('CF_1'!CR43,'CF_2'!CR43,'CF_3'!CR43,'CF_4'!CR43,'CF_1'!CR57,'CF_2'!CR57,'CF_3'!CR57,'CF_4'!CR57)</x:f>
      </x:c>
      <x:c r="CS21" s="117" t="n">
        <x:f>SUM('CF_1'!CS43,'CF_2'!CS43,'CF_3'!CS43,'CF_4'!CS43,'CF_1'!CS57,'CF_2'!CS57,'CF_3'!CS57,'CF_4'!CS57)</x:f>
      </x:c>
      <x:c r="CT21" s="117" t="n">
        <x:f>SUM('CF_1'!CT43,'CF_2'!CT43,'CF_3'!CT43,'CF_4'!CT43,'CF_1'!CT57,'CF_2'!CT57,'CF_3'!CT57,'CF_4'!CT57)</x:f>
      </x:c>
      <x:c r="CU21" s="117" t="n">
        <x:f>SUM('CF_1'!CU43,'CF_2'!CU43,'CF_3'!CU43,'CF_4'!CU43,'CF_1'!CU57,'CF_2'!CU57,'CF_3'!CU57,'CF_4'!CU57)</x:f>
      </x:c>
      <x:c r="CV21" s="117" t="n">
        <x:f>SUM('CF_1'!CV43,'CF_2'!CV43,'CF_3'!CV43,'CF_4'!CV43,'CF_1'!CV57,'CF_2'!CV57,'CF_3'!CV57,'CF_4'!CV57)</x:f>
      </x:c>
      <x:c r="CW21" s="117" t="n">
        <x:f>SUM('CF_1'!CW43,'CF_2'!CW43,'CF_3'!CW43,'CF_4'!CW43,'CF_1'!CW57,'CF_2'!CW57,'CF_3'!CW57,'CF_4'!CW57)</x:f>
      </x:c>
      <x:c r="CX21" s="117" t="n">
        <x:f>SUM('CF_1'!CX43,'CF_2'!CX43,'CF_3'!CX43,'CF_4'!CX43,'CF_1'!CX57,'CF_2'!CX57,'CF_3'!CX57,'CF_4'!CX57)</x:f>
      </x:c>
      <x:c r="CY21" s="117" t="n">
        <x:f>SUM('CF_1'!CY43,'CF_2'!CY43,'CF_3'!CY43,'CF_4'!CY43,'CF_1'!CY57,'CF_2'!CY57,'CF_3'!CY57,'CF_4'!CY57)</x:f>
      </x:c>
      <x:c r="CZ21" s="117" t="n">
        <x:f>SUM('CF_1'!CZ43,'CF_2'!CZ43,'CF_3'!CZ43,'CF_4'!CZ43,'CF_1'!CZ57,'CF_2'!CZ57,'CF_3'!CZ57,'CF_4'!CZ57)</x:f>
      </x:c>
      <x:c r="DA21" s="117" t="n">
        <x:f>SUM('CF_1'!DA43,'CF_2'!DA43,'CF_3'!DA43,'CF_4'!DA43,'CF_1'!DA57,'CF_2'!DA57,'CF_3'!DA57,'CF_4'!DA57)</x:f>
      </x:c>
      <x:c r="DB21" s="117" t="n">
        <x:f>SUM('CF_1'!DB43,'CF_2'!DB43,'CF_3'!DB43,'CF_4'!DB43,'CF_1'!DB57,'CF_2'!DB57,'CF_3'!DB57,'CF_4'!DB57)</x:f>
      </x:c>
      <x:c r="DC21" s="117" t="n">
        <x:f>SUM('CF_1'!DC43,'CF_2'!DC43,'CF_3'!DC43,'CF_4'!DC43,'CF_1'!DC57,'CF_2'!DC57,'CF_3'!DC57,'CF_4'!DC57)</x:f>
      </x:c>
      <x:c r="DD21" s="117" t="n">
        <x:f>SUM('CF_1'!DD43,'CF_2'!DD43,'CF_3'!DD43,'CF_4'!DD43,'CF_1'!DD57,'CF_2'!DD57,'CF_3'!DD57,'CF_4'!DD57)</x:f>
      </x:c>
      <x:c r="DE21" s="117" t="n">
        <x:f>SUM('CF_1'!DE43,'CF_2'!DE43,'CF_3'!DE43,'CF_4'!DE43,'CF_1'!DE57,'CF_2'!DE57,'CF_3'!DE57,'CF_4'!DE57)</x:f>
      </x:c>
      <x:c r="DF21" s="117" t="n">
        <x:f>SUM('CF_1'!DF43,'CF_2'!DF43,'CF_3'!DF43,'CF_4'!DF43,'CF_1'!DF57,'CF_2'!DF57,'CF_3'!DF57,'CF_4'!DF57)</x:f>
      </x:c>
      <x:c r="DG21" s="117" t="n">
        <x:f>SUM('CF_1'!DG43,'CF_2'!DG43,'CF_3'!DG43,'CF_4'!DG43,'CF_1'!DG57,'CF_2'!DG57,'CF_3'!DG57,'CF_4'!DG57)</x:f>
      </x:c>
      <x:c r="DH21" s="117" t="n">
        <x:f>SUM('CF_1'!DH43,'CF_2'!DH43,'CF_3'!DH43,'CF_4'!DH43,'CF_1'!DH57,'CF_2'!DH57,'CF_3'!DH57,'CF_4'!DH57)</x:f>
      </x:c>
      <x:c r="DI21" s="117" t="n">
        <x:f>SUM('CF_1'!DI43,'CF_2'!DI43,'CF_3'!DI43,'CF_4'!DI43,'CF_1'!DI57,'CF_2'!DI57,'CF_3'!DI57,'CF_4'!DI57)</x:f>
      </x:c>
      <x:c r="DJ21" s="117" t="n">
        <x:f>SUM('CF_1'!DJ43,'CF_2'!DJ43,'CF_3'!DJ43,'CF_4'!DJ43,'CF_1'!DJ57,'CF_2'!DJ57,'CF_3'!DJ57,'CF_4'!DJ57)</x:f>
      </x:c>
      <x:c r="DK21" s="117" t="n">
        <x:f>SUM('CF_1'!DK43,'CF_2'!DK43,'CF_3'!DK43,'CF_4'!DK43,'CF_1'!DK57,'CF_2'!DK57,'CF_3'!DK57,'CF_4'!DK57)</x:f>
      </x:c>
      <x:c r="DL21" s="117" t="n">
        <x:f>SUM('CF_1'!DL43,'CF_2'!DL43,'CF_3'!DL43,'CF_4'!DL43,'CF_1'!DL57,'CF_2'!DL57,'CF_3'!DL57,'CF_4'!DL57)</x:f>
      </x:c>
      <x:c r="DM21" s="117" t="n">
        <x:f>SUM('CF_1'!DM43,'CF_2'!DM43,'CF_3'!DM43,'CF_4'!DM43,'CF_1'!DM57,'CF_2'!DM57,'CF_3'!DM57,'CF_4'!DM57)</x:f>
      </x:c>
      <x:c r="DN21" s="117" t="n">
        <x:f>SUM('CF_1'!DN43,'CF_2'!DN43,'CF_3'!DN43,'CF_4'!DN43,'CF_1'!DN57,'CF_2'!DN57,'CF_3'!DN57,'CF_4'!DN57)</x:f>
      </x:c>
      <x:c r="DO21" s="117" t="n">
        <x:f>SUM('CF_1'!DO43,'CF_2'!DO43,'CF_3'!DO43,'CF_4'!DO43,'CF_1'!DO57,'CF_2'!DO57,'CF_3'!DO57,'CF_4'!DO57)</x:f>
      </x:c>
      <x:c r="DP21" s="117" t="n">
        <x:f>SUM('CF_1'!DP43,'CF_2'!DP43,'CF_3'!DP43,'CF_4'!DP43,'CF_1'!DP57,'CF_2'!DP57,'CF_3'!DP57,'CF_4'!DP57)</x:f>
      </x:c>
      <x:c r="DQ21" s="117" t="n">
        <x:f>SUM('CF_1'!DQ43,'CF_2'!DQ43,'CF_3'!DQ43,'CF_4'!DQ43,'CF_1'!DQ57,'CF_2'!DQ57,'CF_3'!DQ57,'CF_4'!DQ57)</x:f>
      </x:c>
      <x:c r="DR21" s="117" t="n">
        <x:f>SUM('CF_1'!DR43,'CF_2'!DR43,'CF_3'!DR43,'CF_4'!DR43,'CF_1'!DR57,'CF_2'!DR57,'CF_3'!DR57,'CF_4'!DR57)</x:f>
      </x:c>
      <x:c r="DS21" s="117" t="n">
        <x:f>SUM('CF_1'!DS43,'CF_2'!DS43,'CF_3'!DS43,'CF_4'!DS43,'CF_1'!DS57,'CF_2'!DS57,'CF_3'!DS57,'CF_4'!DS57)</x:f>
      </x:c>
      <x:c r="DT21" s="117" t="n">
        <x:f>SUM('CF_1'!DT43,'CF_2'!DT43,'CF_3'!DT43,'CF_4'!DT43,'CF_1'!DT57,'CF_2'!DT57,'CF_3'!DT57,'CF_4'!DT57)</x:f>
      </x:c>
      <x:c r="DU21" s="117" t="n">
        <x:f>SUM('CF_1'!DU43,'CF_2'!DU43,'CF_3'!DU43,'CF_4'!DU43,'CF_1'!DU57,'CF_2'!DU57,'CF_3'!DU57,'CF_4'!DU57)</x:f>
      </x:c>
      <x:c r="DV21" s="117" t="n">
        <x:f>SUM('CF_1'!DV43,'CF_2'!DV43,'CF_3'!DV43,'CF_4'!DV43,'CF_1'!DV57,'CF_2'!DV57,'CF_3'!DV57,'CF_4'!DV57)</x:f>
      </x:c>
      <x:c r="DW21" s="117" t="n">
        <x:f>SUM('CF_1'!DW43,'CF_2'!DW43,'CF_3'!DW43,'CF_4'!DW43,'CF_1'!DW57,'CF_2'!DW57,'CF_3'!DW57,'CF_4'!DW57)</x:f>
      </x:c>
      <x:c r="DX21" s="117" t="n">
        <x:f>SUM('CF_1'!DX43,'CF_2'!DX43,'CF_3'!DX43,'CF_4'!DX43,'CF_1'!DX57,'CF_2'!DX57,'CF_3'!DX57,'CF_4'!DX57)</x:f>
      </x:c>
      <x:c r="DY21" s="117" t="n">
        <x:f>SUM('CF_1'!DY43,'CF_2'!DY43,'CF_3'!DY43,'CF_4'!DY43,'CF_1'!DY57,'CF_2'!DY57,'CF_3'!DY57,'CF_4'!DY57)</x:f>
      </x:c>
      <x:c r="DZ21" s="117" t="n">
        <x:f>SUM('CF_1'!DZ43,'CF_2'!DZ43,'CF_3'!DZ43,'CF_4'!DZ43,'CF_1'!DZ57,'CF_2'!DZ57,'CF_3'!DZ57,'CF_4'!DZ57)</x:f>
      </x:c>
      <x:c r="EA21" s="117" t="n">
        <x:f>SUM('CF_1'!EA43,'CF_2'!EA43,'CF_3'!EA43,'CF_4'!EA43,'CF_1'!EA57,'CF_2'!EA57,'CF_3'!EA57,'CF_4'!EA57)</x:f>
      </x:c>
      <x:c r="EB21" s="117" t="n">
        <x:f>SUM('CF_1'!EB43,'CF_2'!EB43,'CF_3'!EB43,'CF_4'!EB43,'CF_1'!EB57,'CF_2'!EB57,'CF_3'!EB57,'CF_4'!EB57)</x:f>
      </x:c>
      <x:c r="EC21" s="117" t="n">
        <x:f>SUM('CF_1'!EC43,'CF_2'!EC43,'CF_3'!EC43,'CF_4'!EC43,'CF_1'!EC57,'CF_2'!EC57,'CF_3'!EC57,'CF_4'!EC57)</x:f>
      </x:c>
      <x:c r="ED21" s="117" t="n">
        <x:f>SUM('CF_1'!ED43,'CF_2'!ED43,'CF_3'!ED43,'CF_4'!ED43,'CF_1'!ED57,'CF_2'!ED57,'CF_3'!ED57,'CF_4'!ED57)</x:f>
      </x:c>
      <x:c r="EE21" s="117" t="n">
        <x:f>SUM('CF_1'!EE43,'CF_2'!EE43,'CF_3'!EE43,'CF_4'!EE43,'CF_1'!EE57,'CF_2'!EE57,'CF_3'!EE57,'CF_4'!EE57)</x:f>
      </x:c>
      <x:c r="EF21" s="117" t="n">
        <x:f>SUM('CF_1'!EF43,'CF_2'!EF43,'CF_3'!EF43,'CF_4'!EF43,'CF_1'!EF57,'CF_2'!EF57,'CF_3'!EF57,'CF_4'!EF57)</x:f>
      </x:c>
      <x:c r="EG21" s="117" t="n">
        <x:f>SUM('CF_1'!EG43,'CF_2'!EG43,'CF_3'!EG43,'CF_4'!EG43,'CF_1'!EG57,'CF_2'!EG57,'CF_3'!EG57,'CF_4'!EG57)</x:f>
      </x:c>
      <x:c r="EH21" s="117" t="n">
        <x:f>SUM('CF_1'!EH43,'CF_2'!EH43,'CF_3'!EH43,'CF_4'!EH43,'CF_1'!EH57,'CF_2'!EH57,'CF_3'!EH57,'CF_4'!EH57)</x:f>
      </x:c>
      <x:c r="EI21" s="117" t="n">
        <x:f>SUM('CF_1'!EI43,'CF_2'!EI43,'CF_3'!EI43,'CF_4'!EI43,'CF_1'!EI57,'CF_2'!EI57,'CF_3'!EI57,'CF_4'!EI57)</x:f>
      </x:c>
      <x:c r="EJ21" s="117" t="n">
        <x:f>SUM('CF_1'!EJ43,'CF_2'!EJ43,'CF_3'!EJ43,'CF_4'!EJ43,'CF_1'!EJ57,'CF_2'!EJ57,'CF_3'!EJ57,'CF_4'!EJ57)</x:f>
      </x:c>
      <x:c r="EK21" s="117" t="n">
        <x:f>SUM('CF_1'!EK43,'CF_2'!EK43,'CF_3'!EK43,'CF_4'!EK43,'CF_1'!EK57,'CF_2'!EK57,'CF_3'!EK57,'CF_4'!EK57)</x:f>
      </x:c>
      <x:c r="EL21" s="117" t="n">
        <x:f>SUM('CF_1'!EL43,'CF_2'!EL43,'CF_3'!EL43,'CF_4'!EL43,'CF_1'!EL57,'CF_2'!EL57,'CF_3'!EL57,'CF_4'!EL57)</x:f>
      </x:c>
      <x:c r="EM21" s="117" t="n">
        <x:f>SUM('CF_1'!EM43,'CF_2'!EM43,'CF_3'!EM43,'CF_4'!EM43,'CF_1'!EM57,'CF_2'!EM57,'CF_3'!EM57,'CF_4'!EM57)</x:f>
      </x:c>
      <x:c r="EN21" s="117" t="n">
        <x:f>SUM('CF_1'!EN43,'CF_2'!EN43,'CF_3'!EN43,'CF_4'!EN43,'CF_1'!EN57,'CF_2'!EN57,'CF_3'!EN57,'CF_4'!EN57)</x:f>
      </x:c>
      <x:c r="EO21" s="117" t="n">
        <x:f>SUM('CF_1'!EO43,'CF_2'!EO43,'CF_3'!EO43,'CF_4'!EO43,'CF_1'!EO57,'CF_2'!EO57,'CF_3'!EO57,'CF_4'!EO57)</x:f>
      </x:c>
      <x:c r="EP21" s="117" t="n">
        <x:f>SUM('CF_1'!EP43,'CF_2'!EP43,'CF_3'!EP43,'CF_4'!EP43,'CF_1'!EP57,'CF_2'!EP57,'CF_3'!EP57,'CF_4'!EP57)</x:f>
      </x:c>
      <x:c r="EQ21" s="117" t="n">
        <x:f>SUM('CF_1'!EQ43,'CF_2'!EQ43,'CF_3'!EQ43,'CF_4'!EQ43,'CF_1'!EQ57,'CF_2'!EQ57,'CF_3'!EQ57,'CF_4'!EQ57)</x:f>
      </x:c>
      <x:c r="ER21" s="117" t="n">
        <x:f>SUM('CF_1'!ER43,'CF_2'!ER43,'CF_3'!ER43,'CF_4'!ER43,'CF_1'!ER57,'CF_2'!ER57,'CF_3'!ER57,'CF_4'!ER57)</x:f>
      </x:c>
      <x:c r="ES21" s="117" t="n">
        <x:f>SUM('CF_1'!ES43,'CF_2'!ES43,'CF_3'!ES43,'CF_4'!ES43,'CF_1'!ES57,'CF_2'!ES57,'CF_3'!ES57,'CF_4'!ES57)</x:f>
      </x:c>
      <x:c r="ET21" s="117" t="n">
        <x:f>SUM('CF_1'!ET43,'CF_2'!ET43,'CF_3'!ET43,'CF_4'!ET43,'CF_1'!ET57,'CF_2'!ET57,'CF_3'!ET57,'CF_4'!ET57)</x:f>
      </x:c>
      <x:c r="EU21" s="117" t="n">
        <x:f>SUM('CF_1'!EU43,'CF_2'!EU43,'CF_3'!EU43,'CF_4'!EU43,'CF_1'!EU57,'CF_2'!EU57,'CF_3'!EU57,'CF_4'!EU57)</x:f>
      </x:c>
      <x:c r="EV21" s="117" t="n">
        <x:f>SUM('CF_1'!EV43,'CF_2'!EV43,'CF_3'!EV43,'CF_4'!EV43,'CF_1'!EV57,'CF_2'!EV57,'CF_3'!EV57,'CF_4'!EV57)</x:f>
      </x:c>
      <x:c r="EW21" s="117" t="n">
        <x:f>SUM('CF_1'!EW43,'CF_2'!EW43,'CF_3'!EW43,'CF_4'!EW43,'CF_1'!EW57,'CF_2'!EW57,'CF_3'!EW57,'CF_4'!EW57)</x:f>
      </x:c>
      <x:c r="EX21" s="117" t="n">
        <x:f>SUM('CF_1'!EX43,'CF_2'!EX43,'CF_3'!EX43,'CF_4'!EX43,'CF_1'!EX57,'CF_2'!EX57,'CF_3'!EX57,'CF_4'!EX57)</x:f>
      </x:c>
      <x:c r="EY21" s="117" t="n">
        <x:f>SUM('CF_1'!EY43,'CF_2'!EY43,'CF_3'!EY43,'CF_4'!EY43,'CF_1'!EY57,'CF_2'!EY57,'CF_3'!EY57,'CF_4'!EY57)</x:f>
      </x:c>
      <x:c r="EZ21" s="117" t="n">
        <x:f>SUM('CF_1'!EZ43,'CF_2'!EZ43,'CF_3'!EZ43,'CF_4'!EZ43,'CF_1'!EZ57,'CF_2'!EZ57,'CF_3'!EZ57,'CF_4'!EZ57)</x:f>
      </x:c>
      <x:c r="FA21" s="117" t="n">
        <x:f>SUM('CF_1'!FA43,'CF_2'!FA43,'CF_3'!FA43,'CF_4'!FA43,'CF_1'!FA57,'CF_2'!FA57,'CF_3'!FA57,'CF_4'!FA57)</x:f>
      </x:c>
      <x:c r="FB21" s="117" t="n">
        <x:f>SUM('CF_1'!FB43,'CF_2'!FB43,'CF_3'!FB43,'CF_4'!FB43,'CF_1'!FB57,'CF_2'!FB57,'CF_3'!FB57,'CF_4'!FB57)</x:f>
      </x:c>
      <x:c r="FC21" s="117" t="n">
        <x:f>SUM('CF_1'!FC43,'CF_2'!FC43,'CF_3'!FC43,'CF_4'!FC43,'CF_1'!FC57,'CF_2'!FC57,'CF_3'!FC57,'CF_4'!FC57)</x:f>
      </x:c>
      <x:c r="FD21" s="117" t="n">
        <x:f>SUM('CF_1'!FD43,'CF_2'!FD43,'CF_3'!FD43,'CF_4'!FD43,'CF_1'!FD57,'CF_2'!FD57,'CF_3'!FD57,'CF_4'!FD57)</x:f>
      </x:c>
      <x:c r="FE21" s="117" t="n">
        <x:f>SUM('CF_1'!FE43,'CF_2'!FE43,'CF_3'!FE43,'CF_4'!FE43,'CF_1'!FE57,'CF_2'!FE57,'CF_3'!FE57,'CF_4'!FE57)</x:f>
      </x:c>
      <x:c r="FF21" s="117" t="n">
        <x:f>SUM('CF_1'!FF43,'CF_2'!FF43,'CF_3'!FF43,'CF_4'!FF43,'CF_1'!FF57,'CF_2'!FF57,'CF_3'!FF57,'CF_4'!FF57)</x:f>
      </x:c>
      <x:c r="FG21" s="117" t="n">
        <x:f>SUM('CF_1'!FG43,'CF_2'!FG43,'CF_3'!FG43,'CF_4'!FG43,'CF_1'!FG57,'CF_2'!FG57,'CF_3'!FG57,'CF_4'!FG57)</x:f>
      </x:c>
      <x:c r="FH21" s="117" t="n">
        <x:f>SUM('CF_1'!FH43,'CF_2'!FH43,'CF_3'!FH43,'CF_4'!FH43,'CF_1'!FH57,'CF_2'!FH57,'CF_3'!FH57,'CF_4'!FH57)</x:f>
      </x:c>
      <x:c r="FI21" s="117" t="n">
        <x:f>SUM('CF_1'!FI43,'CF_2'!FI43,'CF_3'!FI43,'CF_4'!FI43,'CF_1'!FI57,'CF_2'!FI57,'CF_3'!FI57,'CF_4'!FI57)</x:f>
      </x:c>
      <x:c r="FJ21" s="117" t="n">
        <x:f>SUM('CF_1'!FJ43,'CF_2'!FJ43,'CF_3'!FJ43,'CF_4'!FJ43,'CF_1'!FJ57,'CF_2'!FJ57,'CF_3'!FJ57,'CF_4'!FJ57)</x:f>
      </x:c>
      <x:c r="FK21" s="117" t="n">
        <x:f>SUM('CF_1'!FK43,'CF_2'!FK43,'CF_3'!FK43,'CF_4'!FK43,'CF_1'!FK57,'CF_2'!FK57,'CF_3'!FK57,'CF_4'!FK57)</x:f>
      </x:c>
      <x:c r="FL21" s="117" t="n">
        <x:f>SUM('CF_1'!FL43,'CF_2'!FL43,'CF_3'!FL43,'CF_4'!FL43,'CF_1'!FL57,'CF_2'!FL57,'CF_3'!FL57,'CF_4'!FL57)</x:f>
      </x:c>
      <x:c r="FM21" s="117" t="n">
        <x:f>SUM('CF_1'!FM43,'CF_2'!FM43,'CF_3'!FM43,'CF_4'!FM43,'CF_1'!FM57,'CF_2'!FM57,'CF_3'!FM57,'CF_4'!FM57)</x:f>
      </x:c>
      <x:c r="FN21" s="117" t="n">
        <x:f>SUM('CF_1'!FN43,'CF_2'!FN43,'CF_3'!FN43,'CF_4'!FN43,'CF_1'!FN57,'CF_2'!FN57,'CF_3'!FN57,'CF_4'!FN57)</x:f>
      </x:c>
      <x:c r="FO21" s="117" t="n">
        <x:f>SUM('CF_1'!FO43,'CF_2'!FO43,'CF_3'!FO43,'CF_4'!FO43,'CF_1'!FO57,'CF_2'!FO57,'CF_3'!FO57,'CF_4'!FO57)</x:f>
      </x:c>
      <x:c r="FP21" s="117" t="n">
        <x:f>SUM('CF_1'!FP43,'CF_2'!FP43,'CF_3'!FP43,'CF_4'!FP43,'CF_1'!FP57,'CF_2'!FP57,'CF_3'!FP57,'CF_4'!FP57)</x:f>
      </x:c>
      <x:c r="FQ21" s="117" t="n">
        <x:f>SUM('CF_1'!FQ43,'CF_2'!FQ43,'CF_3'!FQ43,'CF_4'!FQ43,'CF_1'!FQ57,'CF_2'!FQ57,'CF_3'!FQ57,'CF_4'!FQ57)</x:f>
      </x:c>
      <x:c r="FR21" s="117" t="n">
        <x:f>SUM('CF_1'!FR43,'CF_2'!FR43,'CF_3'!FR43,'CF_4'!FR43,'CF_1'!FR57,'CF_2'!FR57,'CF_3'!FR57,'CF_4'!FR57)</x:f>
      </x:c>
      <x:c r="FS21" s="117" t="n">
        <x:f>SUM('CF_1'!FS43,'CF_2'!FS43,'CF_3'!FS43,'CF_4'!FS43,'CF_1'!FS57,'CF_2'!FS57,'CF_3'!FS57,'CF_4'!FS57)</x:f>
      </x:c>
      <x:c r="FT21" s="117" t="n">
        <x:f>SUM('CF_1'!FT43,'CF_2'!FT43,'CF_3'!FT43,'CF_4'!FT43,'CF_1'!FT57,'CF_2'!FT57,'CF_3'!FT57,'CF_4'!FT57)</x:f>
      </x:c>
      <x:c r="FU21" s="117" t="n">
        <x:f>SUM('CF_1'!FU43,'CF_2'!FU43,'CF_3'!FU43,'CF_4'!FU43,'CF_1'!FU57,'CF_2'!FU57,'CF_3'!FU57,'CF_4'!FU57)</x:f>
      </x:c>
      <x:c r="FV21" s="117" t="n">
        <x:f>SUM('CF_1'!FV43,'CF_2'!FV43,'CF_3'!FV43,'CF_4'!FV43,'CF_1'!FV57,'CF_2'!FV57,'CF_3'!FV57,'CF_4'!FV57)</x:f>
      </x:c>
      <x:c r="FW21" s="117" t="n">
        <x:f>SUM('CF_1'!FW43,'CF_2'!FW43,'CF_3'!FW43,'CF_4'!FW43,'CF_1'!FW57,'CF_2'!FW57,'CF_3'!FW57,'CF_4'!FW57)</x:f>
      </x:c>
      <x:c r="FX21" s="117" t="n">
        <x:f>SUM('CF_1'!FX43,'CF_2'!FX43,'CF_3'!FX43,'CF_4'!FX43,'CF_1'!FX57,'CF_2'!FX57,'CF_3'!FX57,'CF_4'!FX57)</x:f>
      </x:c>
      <x:c r="FY21" s="117" t="n">
        <x:f>SUM('CF_1'!FY43,'CF_2'!FY43,'CF_3'!FY43,'CF_4'!FY43,'CF_1'!FY57,'CF_2'!FY57,'CF_3'!FY57,'CF_4'!FY57)</x:f>
      </x:c>
      <x:c r="FZ21" s="117" t="n">
        <x:f>SUM('CF_1'!FZ43,'CF_2'!FZ43,'CF_3'!FZ43,'CF_4'!FZ43,'CF_1'!FZ57,'CF_2'!FZ57,'CF_3'!FZ57,'CF_4'!FZ57)</x:f>
      </x:c>
      <x:c r="GA21" s="117" t="n">
        <x:f>SUM('CF_1'!GA43,'CF_2'!GA43,'CF_3'!GA43,'CF_4'!GA43,'CF_1'!GA57,'CF_2'!GA57,'CF_3'!GA57,'CF_4'!GA57)</x:f>
      </x:c>
    </x:row>
    <x:row r="22">
      <x:c r="D22" s="117"/>
      <x:c r="E22" s="117"/>
      <x:c r="F22" s="117"/>
      <x:c r="G22" s="117"/>
      <x:c r="H22" s="117"/>
      <x:c r="I22" s="117"/>
      <x:c r="J22" s="117"/>
      <x:c r="K22" s="117"/>
      <x:c r="L22" s="117"/>
      <x:c r="M22" s="117"/>
      <x:c r="N22" s="117"/>
      <x:c r="O22" s="117"/>
      <x:c r="P22" s="117"/>
      <x:c r="Q22" s="117"/>
      <x:c r="R22" s="117"/>
      <x:c r="S22" s="117"/>
      <x:c r="T22" s="117"/>
      <x:c r="U22" s="117"/>
      <x:c r="V22" s="117"/>
      <x:c r="W22" s="117"/>
      <x:c r="X22" s="117"/>
      <x:c r="Y22" s="117"/>
      <x:c r="Z22" s="117"/>
      <x:c r="AA22" s="117"/>
      <x:c r="AB22" s="117"/>
      <x:c r="AC22" s="117"/>
      <x:c r="AD22" s="117"/>
      <x:c r="AE22" s="117"/>
      <x:c r="AF22" s="117"/>
      <x:c r="AG22" s="117"/>
      <x:c r="AH22" s="117"/>
      <x:c r="AI22" s="117"/>
      <x:c r="AJ22" s="117"/>
      <x:c r="AK22" s="117"/>
      <x:c r="AL22" s="117"/>
      <x:c r="AM22" s="117"/>
      <x:c r="AN22" s="117"/>
      <x:c r="AO22" s="117"/>
      <x:c r="AP22" s="117"/>
      <x:c r="AQ22" s="117"/>
      <x:c r="AR22" s="117"/>
      <x:c r="AS22" s="117"/>
      <x:c r="AT22" s="117"/>
      <x:c r="AU22" s="117"/>
      <x:c r="AV22" s="117"/>
      <x:c r="AW22" s="117"/>
      <x:c r="AX22" s="117"/>
      <x:c r="AY22" s="117"/>
      <x:c r="AZ22" s="117"/>
      <x:c r="BA22" s="117"/>
      <x:c r="BB22" s="117"/>
      <x:c r="BC22" s="117"/>
      <x:c r="BD22" s="117"/>
      <x:c r="BE22" s="117"/>
      <x:c r="BF22" s="117"/>
      <x:c r="BG22" s="117"/>
      <x:c r="BH22" s="117"/>
      <x:c r="BI22" s="117"/>
      <x:c r="BJ22" s="117"/>
      <x:c r="BK22" s="117"/>
      <x:c r="BL22" s="117"/>
      <x:c r="BM22" s="117"/>
      <x:c r="BN22" s="117"/>
      <x:c r="BO22" s="117"/>
      <x:c r="BP22" s="117"/>
      <x:c r="BQ22" s="117"/>
      <x:c r="BR22" s="117"/>
      <x:c r="BS22" s="117"/>
      <x:c r="BT22" s="117"/>
      <x:c r="BU22" s="117"/>
      <x:c r="BV22" s="117"/>
      <x:c r="BW22" s="117"/>
      <x:c r="BX22" s="117"/>
      <x:c r="BY22" s="117"/>
      <x:c r="BZ22" s="117"/>
      <x:c r="CA22" s="117"/>
      <x:c r="CB22" s="117"/>
      <x:c r="CC22" s="117"/>
      <x:c r="CD22" s="117"/>
      <x:c r="CE22" s="117"/>
      <x:c r="CF22" s="117"/>
      <x:c r="CG22" s="117"/>
      <x:c r="CH22" s="117"/>
      <x:c r="CI22" s="117"/>
      <x:c r="CJ22" s="117"/>
      <x:c r="CK22" s="117"/>
      <x:c r="CL22" s="117"/>
      <x:c r="CM22" s="117"/>
      <x:c r="CN22" s="117"/>
      <x:c r="CO22" s="117"/>
      <x:c r="CP22" s="117"/>
      <x:c r="CQ22" s="117"/>
      <x:c r="CR22" s="117"/>
      <x:c r="CS22" s="117"/>
      <x:c r="CT22" s="117"/>
      <x:c r="CU22" s="117"/>
      <x:c r="CV22" s="117"/>
      <x:c r="CW22" s="117"/>
      <x:c r="CX22" s="117"/>
      <x:c r="CY22" s="117"/>
      <x:c r="CZ22" s="117"/>
      <x:c r="DA22" s="117"/>
      <x:c r="DB22" s="117"/>
      <x:c r="DC22" s="117"/>
      <x:c r="DD22" s="117"/>
      <x:c r="DE22" s="117"/>
      <x:c r="DF22" s="117"/>
      <x:c r="DG22" s="117"/>
      <x:c r="DH22" s="117"/>
      <x:c r="DI22" s="117"/>
      <x:c r="DJ22" s="117"/>
      <x:c r="DK22" s="117"/>
      <x:c r="DL22" s="117"/>
      <x:c r="DM22" s="117"/>
      <x:c r="DN22" s="117"/>
      <x:c r="DO22" s="117"/>
      <x:c r="DP22" s="117"/>
      <x:c r="DQ22" s="117"/>
      <x:c r="DR22" s="117"/>
      <x:c r="DS22" s="117"/>
      <x:c r="DT22" s="117"/>
      <x:c r="DU22" s="117"/>
      <x:c r="DV22" s="117"/>
      <x:c r="DW22" s="117"/>
      <x:c r="DX22" s="117"/>
      <x:c r="DY22" s="117"/>
      <x:c r="DZ22" s="117"/>
      <x:c r="EA22" s="117"/>
      <x:c r="EB22" s="117"/>
      <x:c r="EC22" s="117"/>
      <x:c r="ED22" s="117"/>
      <x:c r="EE22" s="117"/>
      <x:c r="EF22" s="117"/>
      <x:c r="EG22" s="117"/>
      <x:c r="EH22" s="117"/>
      <x:c r="EI22" s="117"/>
      <x:c r="EJ22" s="117"/>
      <x:c r="EK22" s="117"/>
      <x:c r="EL22" s="117"/>
      <x:c r="EM22" s="117"/>
      <x:c r="EN22" s="117"/>
      <x:c r="EO22" s="117"/>
      <x:c r="EP22" s="117"/>
      <x:c r="EQ22" s="117"/>
      <x:c r="ER22" s="117"/>
      <x:c r="ES22" s="117"/>
      <x:c r="ET22" s="117"/>
      <x:c r="EU22" s="117"/>
      <x:c r="EV22" s="117"/>
      <x:c r="EW22" s="117"/>
      <x:c r="EX22" s="117"/>
      <x:c r="EY22" s="117"/>
      <x:c r="EZ22" s="117"/>
      <x:c r="FA22" s="117"/>
      <x:c r="FB22" s="117"/>
      <x:c r="FC22" s="117"/>
      <x:c r="FD22" s="117"/>
      <x:c r="FE22" s="117"/>
      <x:c r="FF22" s="117"/>
      <x:c r="FG22" s="117"/>
      <x:c r="FH22" s="117"/>
      <x:c r="FI22" s="117"/>
      <x:c r="FJ22" s="117"/>
      <x:c r="FK22" s="117"/>
      <x:c r="FL22" s="117"/>
      <x:c r="FM22" s="117"/>
      <x:c r="FN22" s="117"/>
      <x:c r="FO22" s="117"/>
      <x:c r="FP22" s="117"/>
      <x:c r="FQ22" s="117"/>
      <x:c r="FR22" s="117"/>
      <x:c r="FS22" s="117"/>
      <x:c r="FT22" s="117"/>
      <x:c r="FU22" s="117"/>
      <x:c r="FV22" s="117"/>
      <x:c r="FW22" s="117"/>
      <x:c r="FX22" s="117"/>
      <x:c r="FY22" s="117"/>
      <x:c r="FZ22" s="117"/>
      <x:c r="GA22" s="117"/>
    </x:row>
    <x:row r="23">
      <x:c r="A23" t="str">
        <x:v>Вклад собственного капитала</x:v>
      </x:c>
      <x:c r="B23" t="n">
        <x:f>SUM(D23:GA23)</x:f>
      </x:c>
      <x:c r="C23" t="str">
        <x:v>млн ₽</x:v>
      </x:c>
      <x:c r="D23" s="117" t="n">
        <x:f>SUM('CF_1'!D49,'CF_2'!D49,'CF_3'!D49,'CF_4'!D49)</x:f>
      </x:c>
      <x:c r="E23" s="117" t="n">
        <x:f>SUM('CF_1'!E49,'CF_2'!E49,'CF_3'!E49,'CF_4'!E49)</x:f>
      </x:c>
      <x:c r="F23" s="117" t="n">
        <x:f>SUM('CF_1'!F49,'CF_2'!F49,'CF_3'!F49,'CF_4'!F49)</x:f>
      </x:c>
      <x:c r="G23" s="117" t="n">
        <x:f>SUM('CF_1'!G49,'CF_2'!G49,'CF_3'!G49,'CF_4'!G49)</x:f>
      </x:c>
      <x:c r="H23" s="117" t="n">
        <x:f>SUM('CF_1'!H49,'CF_2'!H49,'CF_3'!H49,'CF_4'!H49)</x:f>
      </x:c>
      <x:c r="I23" s="117" t="n">
        <x:f>SUM('CF_1'!I49,'CF_2'!I49,'CF_3'!I49,'CF_4'!I49)</x:f>
      </x:c>
      <x:c r="J23" s="117" t="n">
        <x:f>SUM('CF_1'!J49,'CF_2'!J49,'CF_3'!J49,'CF_4'!J49)</x:f>
      </x:c>
      <x:c r="K23" s="117" t="n">
        <x:f>SUM('CF_1'!K49,'CF_2'!K49,'CF_3'!K49,'CF_4'!K49)</x:f>
      </x:c>
      <x:c r="L23" s="117" t="n">
        <x:f>SUM('CF_1'!L49,'CF_2'!L49,'CF_3'!L49,'CF_4'!L49)</x:f>
      </x:c>
      <x:c r="M23" s="117" t="n">
        <x:f>SUM('CF_1'!M49,'CF_2'!M49,'CF_3'!M49,'CF_4'!M49)</x:f>
      </x:c>
      <x:c r="N23" s="117" t="n">
        <x:f>SUM('CF_1'!N49,'CF_2'!N49,'CF_3'!N49,'CF_4'!N49)</x:f>
      </x:c>
      <x:c r="O23" s="117" t="n">
        <x:f>SUM('CF_1'!O49,'CF_2'!O49,'CF_3'!O49,'CF_4'!O49)</x:f>
      </x:c>
      <x:c r="P23" s="117" t="n">
        <x:f>SUM('CF_1'!P49,'CF_2'!P49,'CF_3'!P49,'CF_4'!P49)</x:f>
      </x:c>
      <x:c r="Q23" s="117" t="n">
        <x:f>SUM('CF_1'!Q49,'CF_2'!Q49,'CF_3'!Q49,'CF_4'!Q49)</x:f>
      </x:c>
      <x:c r="R23" s="117" t="n">
        <x:f>SUM('CF_1'!R49,'CF_2'!R49,'CF_3'!R49,'CF_4'!R49)</x:f>
      </x:c>
      <x:c r="S23" s="117" t="n">
        <x:f>SUM('CF_1'!S49,'CF_2'!S49,'CF_3'!S49,'CF_4'!S49)</x:f>
      </x:c>
      <x:c r="T23" s="117" t="n">
        <x:f>SUM('CF_1'!T49,'CF_2'!T49,'CF_3'!T49,'CF_4'!T49)</x:f>
      </x:c>
      <x:c r="U23" s="117" t="n">
        <x:f>SUM('CF_1'!U49,'CF_2'!U49,'CF_3'!U49,'CF_4'!U49)</x:f>
      </x:c>
      <x:c r="V23" s="117" t="n">
        <x:f>SUM('CF_1'!V49,'CF_2'!V49,'CF_3'!V49,'CF_4'!V49)</x:f>
      </x:c>
      <x:c r="W23" s="117" t="n">
        <x:f>SUM('CF_1'!W49,'CF_2'!W49,'CF_3'!W49,'CF_4'!W49)</x:f>
      </x:c>
      <x:c r="X23" s="117" t="n">
        <x:f>SUM('CF_1'!X49,'CF_2'!X49,'CF_3'!X49,'CF_4'!X49)</x:f>
      </x:c>
      <x:c r="Y23" s="117" t="n">
        <x:f>SUM('CF_1'!Y49,'CF_2'!Y49,'CF_3'!Y49,'CF_4'!Y49)</x:f>
      </x:c>
      <x:c r="Z23" s="117" t="n">
        <x:f>SUM('CF_1'!Z49,'CF_2'!Z49,'CF_3'!Z49,'CF_4'!Z49)</x:f>
      </x:c>
      <x:c r="AA23" s="117" t="n">
        <x:f>SUM('CF_1'!AA49,'CF_2'!AA49,'CF_3'!AA49,'CF_4'!AA49)</x:f>
      </x:c>
      <x:c r="AB23" s="117" t="n">
        <x:f>SUM('CF_1'!AB49,'CF_2'!AB49,'CF_3'!AB49,'CF_4'!AB49)</x:f>
      </x:c>
      <x:c r="AC23" s="117" t="n">
        <x:f>SUM('CF_1'!AC49,'CF_2'!AC49,'CF_3'!AC49,'CF_4'!AC49)</x:f>
      </x:c>
      <x:c r="AD23" s="117" t="n">
        <x:f>SUM('CF_1'!AD49,'CF_2'!AD49,'CF_3'!AD49,'CF_4'!AD49)</x:f>
      </x:c>
      <x:c r="AE23" s="117" t="n">
        <x:f>SUM('CF_1'!AE49,'CF_2'!AE49,'CF_3'!AE49,'CF_4'!AE49)</x:f>
      </x:c>
      <x:c r="AF23" s="117" t="n">
        <x:f>SUM('CF_1'!AF49,'CF_2'!AF49,'CF_3'!AF49,'CF_4'!AF49)</x:f>
      </x:c>
      <x:c r="AG23" s="117" t="n">
        <x:f>SUM('CF_1'!AG49,'CF_2'!AG49,'CF_3'!AG49,'CF_4'!AG49)</x:f>
      </x:c>
      <x:c r="AH23" s="117" t="n">
        <x:f>SUM('CF_1'!AH49,'CF_2'!AH49,'CF_3'!AH49,'CF_4'!AH49)</x:f>
      </x:c>
      <x:c r="AI23" s="117" t="n">
        <x:f>SUM('CF_1'!AI49,'CF_2'!AI49,'CF_3'!AI49,'CF_4'!AI49)</x:f>
      </x:c>
      <x:c r="AJ23" s="117" t="n">
        <x:f>SUM('CF_1'!AJ49,'CF_2'!AJ49,'CF_3'!AJ49,'CF_4'!AJ49)</x:f>
      </x:c>
      <x:c r="AK23" s="117" t="n">
        <x:f>SUM('CF_1'!AK49,'CF_2'!AK49,'CF_3'!AK49,'CF_4'!AK49)</x:f>
      </x:c>
      <x:c r="AL23" s="117" t="n">
        <x:f>SUM('CF_1'!AL49,'CF_2'!AL49,'CF_3'!AL49,'CF_4'!AL49)</x:f>
      </x:c>
      <x:c r="AM23" s="117" t="n">
        <x:f>SUM('CF_1'!AM49,'CF_2'!AM49,'CF_3'!AM49,'CF_4'!AM49)</x:f>
      </x:c>
      <x:c r="AN23" s="117" t="n">
        <x:f>SUM('CF_1'!AN49,'CF_2'!AN49,'CF_3'!AN49,'CF_4'!AN49)</x:f>
      </x:c>
      <x:c r="AO23" s="117" t="n">
        <x:f>SUM('CF_1'!AO49,'CF_2'!AO49,'CF_3'!AO49,'CF_4'!AO49)</x:f>
      </x:c>
      <x:c r="AP23" s="117" t="n">
        <x:f>SUM('CF_1'!AP49,'CF_2'!AP49,'CF_3'!AP49,'CF_4'!AP49)</x:f>
      </x:c>
      <x:c r="AQ23" s="117" t="n">
        <x:f>SUM('CF_1'!AQ49,'CF_2'!AQ49,'CF_3'!AQ49,'CF_4'!AQ49)</x:f>
      </x:c>
      <x:c r="AR23" s="117" t="n">
        <x:f>SUM('CF_1'!AR49,'CF_2'!AR49,'CF_3'!AR49,'CF_4'!AR49)</x:f>
      </x:c>
      <x:c r="AS23" s="117" t="n">
        <x:f>SUM('CF_1'!AS49,'CF_2'!AS49,'CF_3'!AS49,'CF_4'!AS49)</x:f>
      </x:c>
      <x:c r="AT23" s="117" t="n">
        <x:f>SUM('CF_1'!AT49,'CF_2'!AT49,'CF_3'!AT49,'CF_4'!AT49)</x:f>
      </x:c>
      <x:c r="AU23" s="117" t="n">
        <x:f>SUM('CF_1'!AU49,'CF_2'!AU49,'CF_3'!AU49,'CF_4'!AU49)</x:f>
      </x:c>
      <x:c r="AV23" s="117" t="n">
        <x:f>SUM('CF_1'!AV49,'CF_2'!AV49,'CF_3'!AV49,'CF_4'!AV49)</x:f>
      </x:c>
      <x:c r="AW23" s="117" t="n">
        <x:f>SUM('CF_1'!AW49,'CF_2'!AW49,'CF_3'!AW49,'CF_4'!AW49)</x:f>
      </x:c>
      <x:c r="AX23" s="117" t="n">
        <x:f>SUM('CF_1'!AX49,'CF_2'!AX49,'CF_3'!AX49,'CF_4'!AX49)</x:f>
      </x:c>
      <x:c r="AY23" s="117" t="n">
        <x:f>SUM('CF_1'!AY49,'CF_2'!AY49,'CF_3'!AY49,'CF_4'!AY49)</x:f>
      </x:c>
      <x:c r="AZ23" s="117" t="n">
        <x:f>SUM('CF_1'!AZ49,'CF_2'!AZ49,'CF_3'!AZ49,'CF_4'!AZ49)</x:f>
      </x:c>
      <x:c r="BA23" s="117" t="n">
        <x:f>SUM('CF_1'!BA49,'CF_2'!BA49,'CF_3'!BA49,'CF_4'!BA49)</x:f>
      </x:c>
      <x:c r="BB23" s="117" t="n">
        <x:f>SUM('CF_1'!BB49,'CF_2'!BB49,'CF_3'!BB49,'CF_4'!BB49)</x:f>
      </x:c>
      <x:c r="BC23" s="117" t="n">
        <x:f>SUM('CF_1'!BC49,'CF_2'!BC49,'CF_3'!BC49,'CF_4'!BC49)</x:f>
      </x:c>
      <x:c r="BD23" s="117" t="n">
        <x:f>SUM('CF_1'!BD49,'CF_2'!BD49,'CF_3'!BD49,'CF_4'!BD49)</x:f>
      </x:c>
      <x:c r="BE23" s="117" t="n">
        <x:f>SUM('CF_1'!BE49,'CF_2'!BE49,'CF_3'!BE49,'CF_4'!BE49)</x:f>
      </x:c>
      <x:c r="BF23" s="117" t="n">
        <x:f>SUM('CF_1'!BF49,'CF_2'!BF49,'CF_3'!BF49,'CF_4'!BF49)</x:f>
      </x:c>
      <x:c r="BG23" s="117" t="n">
        <x:f>SUM('CF_1'!BG49,'CF_2'!BG49,'CF_3'!BG49,'CF_4'!BG49)</x:f>
      </x:c>
      <x:c r="BH23" s="117" t="n">
        <x:f>SUM('CF_1'!BH49,'CF_2'!BH49,'CF_3'!BH49,'CF_4'!BH49)</x:f>
      </x:c>
      <x:c r="BI23" s="117" t="n">
        <x:f>SUM('CF_1'!BI49,'CF_2'!BI49,'CF_3'!BI49,'CF_4'!BI49)</x:f>
      </x:c>
      <x:c r="BJ23" s="117" t="n">
        <x:f>SUM('CF_1'!BJ49,'CF_2'!BJ49,'CF_3'!BJ49,'CF_4'!BJ49)</x:f>
      </x:c>
      <x:c r="BK23" s="117" t="n">
        <x:f>SUM('CF_1'!BK49,'CF_2'!BK49,'CF_3'!BK49,'CF_4'!BK49)</x:f>
      </x:c>
      <x:c r="BL23" s="117" t="n">
        <x:f>SUM('CF_1'!BL49,'CF_2'!BL49,'CF_3'!BL49,'CF_4'!BL49)</x:f>
      </x:c>
      <x:c r="BM23" s="117" t="n">
        <x:f>SUM('CF_1'!BM49,'CF_2'!BM49,'CF_3'!BM49,'CF_4'!BM49)</x:f>
      </x:c>
      <x:c r="BN23" s="117" t="n">
        <x:f>SUM('CF_1'!BN49,'CF_2'!BN49,'CF_3'!BN49,'CF_4'!BN49)</x:f>
      </x:c>
      <x:c r="BO23" s="117" t="n">
        <x:f>SUM('CF_1'!BO49,'CF_2'!BO49,'CF_3'!BO49,'CF_4'!BO49)</x:f>
      </x:c>
      <x:c r="BP23" s="117" t="n">
        <x:f>SUM('CF_1'!BP49,'CF_2'!BP49,'CF_3'!BP49,'CF_4'!BP49)</x:f>
      </x:c>
      <x:c r="BQ23" s="117" t="n">
        <x:f>SUM('CF_1'!BQ49,'CF_2'!BQ49,'CF_3'!BQ49,'CF_4'!BQ49)</x:f>
      </x:c>
      <x:c r="BR23" s="117" t="n">
        <x:f>SUM('CF_1'!BR49,'CF_2'!BR49,'CF_3'!BR49,'CF_4'!BR49)</x:f>
      </x:c>
      <x:c r="BS23" s="117" t="n">
        <x:f>SUM('CF_1'!BS49,'CF_2'!BS49,'CF_3'!BS49,'CF_4'!BS49)</x:f>
      </x:c>
      <x:c r="BT23" s="117" t="n">
        <x:f>SUM('CF_1'!BT49,'CF_2'!BT49,'CF_3'!BT49,'CF_4'!BT49)</x:f>
      </x:c>
      <x:c r="BU23" s="117" t="n">
        <x:f>SUM('CF_1'!BU49,'CF_2'!BU49,'CF_3'!BU49,'CF_4'!BU49)</x:f>
      </x:c>
      <x:c r="BV23" s="117" t="n">
        <x:f>SUM('CF_1'!BV49,'CF_2'!BV49,'CF_3'!BV49,'CF_4'!BV49)</x:f>
      </x:c>
      <x:c r="BW23" s="117" t="n">
        <x:f>SUM('CF_1'!BW49,'CF_2'!BW49,'CF_3'!BW49,'CF_4'!BW49)</x:f>
      </x:c>
      <x:c r="BX23" s="117" t="n">
        <x:f>SUM('CF_1'!BX49,'CF_2'!BX49,'CF_3'!BX49,'CF_4'!BX49)</x:f>
      </x:c>
      <x:c r="BY23" s="117" t="n">
        <x:f>SUM('CF_1'!BY49,'CF_2'!BY49,'CF_3'!BY49,'CF_4'!BY49)</x:f>
      </x:c>
      <x:c r="BZ23" s="117" t="n">
        <x:f>SUM('CF_1'!BZ49,'CF_2'!BZ49,'CF_3'!BZ49,'CF_4'!BZ49)</x:f>
      </x:c>
      <x:c r="CA23" s="117" t="n">
        <x:f>SUM('CF_1'!CA49,'CF_2'!CA49,'CF_3'!CA49,'CF_4'!CA49)</x:f>
      </x:c>
      <x:c r="CB23" s="117" t="n">
        <x:f>SUM('CF_1'!CB49,'CF_2'!CB49,'CF_3'!CB49,'CF_4'!CB49)</x:f>
      </x:c>
      <x:c r="CC23" s="117" t="n">
        <x:f>SUM('CF_1'!CC49,'CF_2'!CC49,'CF_3'!CC49,'CF_4'!CC49)</x:f>
      </x:c>
      <x:c r="CD23" s="117" t="n">
        <x:f>SUM('CF_1'!CD49,'CF_2'!CD49,'CF_3'!CD49,'CF_4'!CD49)</x:f>
      </x:c>
      <x:c r="CE23" s="117" t="n">
        <x:f>SUM('CF_1'!CE49,'CF_2'!CE49,'CF_3'!CE49,'CF_4'!CE49)</x:f>
      </x:c>
      <x:c r="CF23" s="117" t="n">
        <x:f>SUM('CF_1'!CF49,'CF_2'!CF49,'CF_3'!CF49,'CF_4'!CF49)</x:f>
      </x:c>
      <x:c r="CG23" s="117" t="n">
        <x:f>SUM('CF_1'!CG49,'CF_2'!CG49,'CF_3'!CG49,'CF_4'!CG49)</x:f>
      </x:c>
      <x:c r="CH23" s="117" t="n">
        <x:f>SUM('CF_1'!CH49,'CF_2'!CH49,'CF_3'!CH49,'CF_4'!CH49)</x:f>
      </x:c>
      <x:c r="CI23" s="117" t="n">
        <x:f>SUM('CF_1'!CI49,'CF_2'!CI49,'CF_3'!CI49,'CF_4'!CI49)</x:f>
      </x:c>
      <x:c r="CJ23" s="117" t="n">
        <x:f>SUM('CF_1'!CJ49,'CF_2'!CJ49,'CF_3'!CJ49,'CF_4'!CJ49)</x:f>
      </x:c>
      <x:c r="CK23" s="117" t="n">
        <x:f>SUM('CF_1'!CK49,'CF_2'!CK49,'CF_3'!CK49,'CF_4'!CK49)</x:f>
      </x:c>
      <x:c r="CL23" s="117" t="n">
        <x:f>SUM('CF_1'!CL49,'CF_2'!CL49,'CF_3'!CL49,'CF_4'!CL49)</x:f>
      </x:c>
      <x:c r="CM23" s="117" t="n">
        <x:f>SUM('CF_1'!CM49,'CF_2'!CM49,'CF_3'!CM49,'CF_4'!CM49)</x:f>
      </x:c>
      <x:c r="CN23" s="117" t="n">
        <x:f>SUM('CF_1'!CN49,'CF_2'!CN49,'CF_3'!CN49,'CF_4'!CN49)</x:f>
      </x:c>
      <x:c r="CO23" s="117" t="n">
        <x:f>SUM('CF_1'!CO49,'CF_2'!CO49,'CF_3'!CO49,'CF_4'!CO49)</x:f>
      </x:c>
      <x:c r="CP23" s="117" t="n">
        <x:f>SUM('CF_1'!CP49,'CF_2'!CP49,'CF_3'!CP49,'CF_4'!CP49)</x:f>
      </x:c>
      <x:c r="CQ23" s="117" t="n">
        <x:f>SUM('CF_1'!CQ49,'CF_2'!CQ49,'CF_3'!CQ49,'CF_4'!CQ49)</x:f>
      </x:c>
      <x:c r="CR23" s="117" t="n">
        <x:f>SUM('CF_1'!CR49,'CF_2'!CR49,'CF_3'!CR49,'CF_4'!CR49)</x:f>
      </x:c>
      <x:c r="CS23" s="117" t="n">
        <x:f>SUM('CF_1'!CS49,'CF_2'!CS49,'CF_3'!CS49,'CF_4'!CS49)</x:f>
      </x:c>
      <x:c r="CT23" s="117" t="n">
        <x:f>SUM('CF_1'!CT49,'CF_2'!CT49,'CF_3'!CT49,'CF_4'!CT49)</x:f>
      </x:c>
      <x:c r="CU23" s="117" t="n">
        <x:f>SUM('CF_1'!CU49,'CF_2'!CU49,'CF_3'!CU49,'CF_4'!CU49)</x:f>
      </x:c>
      <x:c r="CV23" s="117" t="n">
        <x:f>SUM('CF_1'!CV49,'CF_2'!CV49,'CF_3'!CV49,'CF_4'!CV49)</x:f>
      </x:c>
      <x:c r="CW23" s="117" t="n">
        <x:f>SUM('CF_1'!CW49,'CF_2'!CW49,'CF_3'!CW49,'CF_4'!CW49)</x:f>
      </x:c>
      <x:c r="CX23" s="117" t="n">
        <x:f>SUM('CF_1'!CX49,'CF_2'!CX49,'CF_3'!CX49,'CF_4'!CX49)</x:f>
      </x:c>
      <x:c r="CY23" s="117" t="n">
        <x:f>SUM('CF_1'!CY49,'CF_2'!CY49,'CF_3'!CY49,'CF_4'!CY49)</x:f>
      </x:c>
      <x:c r="CZ23" s="117" t="n">
        <x:f>SUM('CF_1'!CZ49,'CF_2'!CZ49,'CF_3'!CZ49,'CF_4'!CZ49)</x:f>
      </x:c>
      <x:c r="DA23" s="117" t="n">
        <x:f>SUM('CF_1'!DA49,'CF_2'!DA49,'CF_3'!DA49,'CF_4'!DA49)</x:f>
      </x:c>
      <x:c r="DB23" s="117" t="n">
        <x:f>SUM('CF_1'!DB49,'CF_2'!DB49,'CF_3'!DB49,'CF_4'!DB49)</x:f>
      </x:c>
      <x:c r="DC23" s="117" t="n">
        <x:f>SUM('CF_1'!DC49,'CF_2'!DC49,'CF_3'!DC49,'CF_4'!DC49)</x:f>
      </x:c>
      <x:c r="DD23" s="117" t="n">
        <x:f>SUM('CF_1'!DD49,'CF_2'!DD49,'CF_3'!DD49,'CF_4'!DD49)</x:f>
      </x:c>
      <x:c r="DE23" s="117" t="n">
        <x:f>SUM('CF_1'!DE49,'CF_2'!DE49,'CF_3'!DE49,'CF_4'!DE49)</x:f>
      </x:c>
      <x:c r="DF23" s="117" t="n">
        <x:f>SUM('CF_1'!DF49,'CF_2'!DF49,'CF_3'!DF49,'CF_4'!DF49)</x:f>
      </x:c>
      <x:c r="DG23" s="117" t="n">
        <x:f>SUM('CF_1'!DG49,'CF_2'!DG49,'CF_3'!DG49,'CF_4'!DG49)</x:f>
      </x:c>
      <x:c r="DH23" s="117" t="n">
        <x:f>SUM('CF_1'!DH49,'CF_2'!DH49,'CF_3'!DH49,'CF_4'!DH49)</x:f>
      </x:c>
      <x:c r="DI23" s="117" t="n">
        <x:f>SUM('CF_1'!DI49,'CF_2'!DI49,'CF_3'!DI49,'CF_4'!DI49)</x:f>
      </x:c>
      <x:c r="DJ23" s="117" t="n">
        <x:f>SUM('CF_1'!DJ49,'CF_2'!DJ49,'CF_3'!DJ49,'CF_4'!DJ49)</x:f>
      </x:c>
      <x:c r="DK23" s="117" t="n">
        <x:f>SUM('CF_1'!DK49,'CF_2'!DK49,'CF_3'!DK49,'CF_4'!DK49)</x:f>
      </x:c>
      <x:c r="DL23" s="117" t="n">
        <x:f>SUM('CF_1'!DL49,'CF_2'!DL49,'CF_3'!DL49,'CF_4'!DL49)</x:f>
      </x:c>
      <x:c r="DM23" s="117" t="n">
        <x:f>SUM('CF_1'!DM49,'CF_2'!DM49,'CF_3'!DM49,'CF_4'!DM49)</x:f>
      </x:c>
      <x:c r="DN23" s="117" t="n">
        <x:f>SUM('CF_1'!DN49,'CF_2'!DN49,'CF_3'!DN49,'CF_4'!DN49)</x:f>
      </x:c>
      <x:c r="DO23" s="117" t="n">
        <x:f>SUM('CF_1'!DO49,'CF_2'!DO49,'CF_3'!DO49,'CF_4'!DO49)</x:f>
      </x:c>
      <x:c r="DP23" s="117" t="n">
        <x:f>SUM('CF_1'!DP49,'CF_2'!DP49,'CF_3'!DP49,'CF_4'!DP49)</x:f>
      </x:c>
      <x:c r="DQ23" s="117" t="n">
        <x:f>SUM('CF_1'!DQ49,'CF_2'!DQ49,'CF_3'!DQ49,'CF_4'!DQ49)</x:f>
      </x:c>
      <x:c r="DR23" s="117" t="n">
        <x:f>SUM('CF_1'!DR49,'CF_2'!DR49,'CF_3'!DR49,'CF_4'!DR49)</x:f>
      </x:c>
      <x:c r="DS23" s="117" t="n">
        <x:f>SUM('CF_1'!DS49,'CF_2'!DS49,'CF_3'!DS49,'CF_4'!DS49)</x:f>
      </x:c>
      <x:c r="DT23" s="117" t="n">
        <x:f>SUM('CF_1'!DT49,'CF_2'!DT49,'CF_3'!DT49,'CF_4'!DT49)</x:f>
      </x:c>
      <x:c r="DU23" s="117" t="n">
        <x:f>SUM('CF_1'!DU49,'CF_2'!DU49,'CF_3'!DU49,'CF_4'!DU49)</x:f>
      </x:c>
      <x:c r="DV23" s="117" t="n">
        <x:f>SUM('CF_1'!DV49,'CF_2'!DV49,'CF_3'!DV49,'CF_4'!DV49)</x:f>
      </x:c>
      <x:c r="DW23" s="117" t="n">
        <x:f>SUM('CF_1'!DW49,'CF_2'!DW49,'CF_3'!DW49,'CF_4'!DW49)</x:f>
      </x:c>
      <x:c r="DX23" s="117" t="n">
        <x:f>SUM('CF_1'!DX49,'CF_2'!DX49,'CF_3'!DX49,'CF_4'!DX49)</x:f>
      </x:c>
      <x:c r="DY23" s="117" t="n">
        <x:f>SUM('CF_1'!DY49,'CF_2'!DY49,'CF_3'!DY49,'CF_4'!DY49)</x:f>
      </x:c>
      <x:c r="DZ23" s="117" t="n">
        <x:f>SUM('CF_1'!DZ49,'CF_2'!DZ49,'CF_3'!DZ49,'CF_4'!DZ49)</x:f>
      </x:c>
      <x:c r="EA23" s="117" t="n">
        <x:f>SUM('CF_1'!EA49,'CF_2'!EA49,'CF_3'!EA49,'CF_4'!EA49)</x:f>
      </x:c>
      <x:c r="EB23" s="117" t="n">
        <x:f>SUM('CF_1'!EB49,'CF_2'!EB49,'CF_3'!EB49,'CF_4'!EB49)</x:f>
      </x:c>
      <x:c r="EC23" s="117" t="n">
        <x:f>SUM('CF_1'!EC49,'CF_2'!EC49,'CF_3'!EC49,'CF_4'!EC49)</x:f>
      </x:c>
      <x:c r="ED23" s="117" t="n">
        <x:f>SUM('CF_1'!ED49,'CF_2'!ED49,'CF_3'!ED49,'CF_4'!ED49)</x:f>
      </x:c>
      <x:c r="EE23" s="117" t="n">
        <x:f>SUM('CF_1'!EE49,'CF_2'!EE49,'CF_3'!EE49,'CF_4'!EE49)</x:f>
      </x:c>
      <x:c r="EF23" s="117" t="n">
        <x:f>SUM('CF_1'!EF49,'CF_2'!EF49,'CF_3'!EF49,'CF_4'!EF49)</x:f>
      </x:c>
      <x:c r="EG23" s="117" t="n">
        <x:f>SUM('CF_1'!EG49,'CF_2'!EG49,'CF_3'!EG49,'CF_4'!EG49)</x:f>
      </x:c>
      <x:c r="EH23" s="117" t="n">
        <x:f>SUM('CF_1'!EH49,'CF_2'!EH49,'CF_3'!EH49,'CF_4'!EH49)</x:f>
      </x:c>
      <x:c r="EI23" s="117" t="n">
        <x:f>SUM('CF_1'!EI49,'CF_2'!EI49,'CF_3'!EI49,'CF_4'!EI49)</x:f>
      </x:c>
      <x:c r="EJ23" s="117" t="n">
        <x:f>SUM('CF_1'!EJ49,'CF_2'!EJ49,'CF_3'!EJ49,'CF_4'!EJ49)</x:f>
      </x:c>
      <x:c r="EK23" s="117" t="n">
        <x:f>SUM('CF_1'!EK49,'CF_2'!EK49,'CF_3'!EK49,'CF_4'!EK49)</x:f>
      </x:c>
      <x:c r="EL23" s="117" t="n">
        <x:f>SUM('CF_1'!EL49,'CF_2'!EL49,'CF_3'!EL49,'CF_4'!EL49)</x:f>
      </x:c>
      <x:c r="EM23" s="117" t="n">
        <x:f>SUM('CF_1'!EM49,'CF_2'!EM49,'CF_3'!EM49,'CF_4'!EM49)</x:f>
      </x:c>
      <x:c r="EN23" s="117" t="n">
        <x:f>SUM('CF_1'!EN49,'CF_2'!EN49,'CF_3'!EN49,'CF_4'!EN49)</x:f>
      </x:c>
      <x:c r="EO23" s="117" t="n">
        <x:f>SUM('CF_1'!EO49,'CF_2'!EO49,'CF_3'!EO49,'CF_4'!EO49)</x:f>
      </x:c>
      <x:c r="EP23" s="117" t="n">
        <x:f>SUM('CF_1'!EP49,'CF_2'!EP49,'CF_3'!EP49,'CF_4'!EP49)</x:f>
      </x:c>
      <x:c r="EQ23" s="117" t="n">
        <x:f>SUM('CF_1'!EQ49,'CF_2'!EQ49,'CF_3'!EQ49,'CF_4'!EQ49)</x:f>
      </x:c>
      <x:c r="ER23" s="117" t="n">
        <x:f>SUM('CF_1'!ER49,'CF_2'!ER49,'CF_3'!ER49,'CF_4'!ER49)</x:f>
      </x:c>
      <x:c r="ES23" s="117" t="n">
        <x:f>SUM('CF_1'!ES49,'CF_2'!ES49,'CF_3'!ES49,'CF_4'!ES49)</x:f>
      </x:c>
      <x:c r="ET23" s="117" t="n">
        <x:f>SUM('CF_1'!ET49,'CF_2'!ET49,'CF_3'!ET49,'CF_4'!ET49)</x:f>
      </x:c>
      <x:c r="EU23" s="117" t="n">
        <x:f>SUM('CF_1'!EU49,'CF_2'!EU49,'CF_3'!EU49,'CF_4'!EU49)</x:f>
      </x:c>
      <x:c r="EV23" s="117" t="n">
        <x:f>SUM('CF_1'!EV49,'CF_2'!EV49,'CF_3'!EV49,'CF_4'!EV49)</x:f>
      </x:c>
      <x:c r="EW23" s="117" t="n">
        <x:f>SUM('CF_1'!EW49,'CF_2'!EW49,'CF_3'!EW49,'CF_4'!EW49)</x:f>
      </x:c>
      <x:c r="EX23" s="117" t="n">
        <x:f>SUM('CF_1'!EX49,'CF_2'!EX49,'CF_3'!EX49,'CF_4'!EX49)</x:f>
      </x:c>
      <x:c r="EY23" s="117" t="n">
        <x:f>SUM('CF_1'!EY49,'CF_2'!EY49,'CF_3'!EY49,'CF_4'!EY49)</x:f>
      </x:c>
      <x:c r="EZ23" s="117" t="n">
        <x:f>SUM('CF_1'!EZ49,'CF_2'!EZ49,'CF_3'!EZ49,'CF_4'!EZ49)</x:f>
      </x:c>
      <x:c r="FA23" s="117" t="n">
        <x:f>SUM('CF_1'!FA49,'CF_2'!FA49,'CF_3'!FA49,'CF_4'!FA49)</x:f>
      </x:c>
      <x:c r="FB23" s="117" t="n">
        <x:f>SUM('CF_1'!FB49,'CF_2'!FB49,'CF_3'!FB49,'CF_4'!FB49)</x:f>
      </x:c>
      <x:c r="FC23" s="117" t="n">
        <x:f>SUM('CF_1'!FC49,'CF_2'!FC49,'CF_3'!FC49,'CF_4'!FC49)</x:f>
      </x:c>
      <x:c r="FD23" s="117" t="n">
        <x:f>SUM('CF_1'!FD49,'CF_2'!FD49,'CF_3'!FD49,'CF_4'!FD49)</x:f>
      </x:c>
      <x:c r="FE23" s="117" t="n">
        <x:f>SUM('CF_1'!FE49,'CF_2'!FE49,'CF_3'!FE49,'CF_4'!FE49)</x:f>
      </x:c>
      <x:c r="FF23" s="117" t="n">
        <x:f>SUM('CF_1'!FF49,'CF_2'!FF49,'CF_3'!FF49,'CF_4'!FF49)</x:f>
      </x:c>
      <x:c r="FG23" s="117" t="n">
        <x:f>SUM('CF_1'!FG49,'CF_2'!FG49,'CF_3'!FG49,'CF_4'!FG49)</x:f>
      </x:c>
      <x:c r="FH23" s="117" t="n">
        <x:f>SUM('CF_1'!FH49,'CF_2'!FH49,'CF_3'!FH49,'CF_4'!FH49)</x:f>
      </x:c>
      <x:c r="FI23" s="117" t="n">
        <x:f>SUM('CF_1'!FI49,'CF_2'!FI49,'CF_3'!FI49,'CF_4'!FI49)</x:f>
      </x:c>
      <x:c r="FJ23" s="117" t="n">
        <x:f>SUM('CF_1'!FJ49,'CF_2'!FJ49,'CF_3'!FJ49,'CF_4'!FJ49)</x:f>
      </x:c>
      <x:c r="FK23" s="117" t="n">
        <x:f>SUM('CF_1'!FK49,'CF_2'!FK49,'CF_3'!FK49,'CF_4'!FK49)</x:f>
      </x:c>
      <x:c r="FL23" s="117" t="n">
        <x:f>SUM('CF_1'!FL49,'CF_2'!FL49,'CF_3'!FL49,'CF_4'!FL49)</x:f>
      </x:c>
      <x:c r="FM23" s="117" t="n">
        <x:f>SUM('CF_1'!FM49,'CF_2'!FM49,'CF_3'!FM49,'CF_4'!FM49)</x:f>
      </x:c>
      <x:c r="FN23" s="117" t="n">
        <x:f>SUM('CF_1'!FN49,'CF_2'!FN49,'CF_3'!FN49,'CF_4'!FN49)</x:f>
      </x:c>
      <x:c r="FO23" s="117" t="n">
        <x:f>SUM('CF_1'!FO49,'CF_2'!FO49,'CF_3'!FO49,'CF_4'!FO49)</x:f>
      </x:c>
      <x:c r="FP23" s="117" t="n">
        <x:f>SUM('CF_1'!FP49,'CF_2'!FP49,'CF_3'!FP49,'CF_4'!FP49)</x:f>
      </x:c>
      <x:c r="FQ23" s="117" t="n">
        <x:f>SUM('CF_1'!FQ49,'CF_2'!FQ49,'CF_3'!FQ49,'CF_4'!FQ49)</x:f>
      </x:c>
      <x:c r="FR23" s="117" t="n">
        <x:f>SUM('CF_1'!FR49,'CF_2'!FR49,'CF_3'!FR49,'CF_4'!FR49)</x:f>
      </x:c>
      <x:c r="FS23" s="117" t="n">
        <x:f>SUM('CF_1'!FS49,'CF_2'!FS49,'CF_3'!FS49,'CF_4'!FS49)</x:f>
      </x:c>
      <x:c r="FT23" s="117" t="n">
        <x:f>SUM('CF_1'!FT49,'CF_2'!FT49,'CF_3'!FT49,'CF_4'!FT49)</x:f>
      </x:c>
      <x:c r="FU23" s="117" t="n">
        <x:f>SUM('CF_1'!FU49,'CF_2'!FU49,'CF_3'!FU49,'CF_4'!FU49)</x:f>
      </x:c>
      <x:c r="FV23" s="117" t="n">
        <x:f>SUM('CF_1'!FV49,'CF_2'!FV49,'CF_3'!FV49,'CF_4'!FV49)</x:f>
      </x:c>
      <x:c r="FW23" s="117" t="n">
        <x:f>SUM('CF_1'!FW49,'CF_2'!FW49,'CF_3'!FW49,'CF_4'!FW49)</x:f>
      </x:c>
      <x:c r="FX23" s="117" t="n">
        <x:f>SUM('CF_1'!FX49,'CF_2'!FX49,'CF_3'!FX49,'CF_4'!FX49)</x:f>
      </x:c>
      <x:c r="FY23" s="117" t="n">
        <x:f>SUM('CF_1'!FY49,'CF_2'!FY49,'CF_3'!FY49,'CF_4'!FY49)</x:f>
      </x:c>
      <x:c r="FZ23" s="117" t="n">
        <x:f>SUM('CF_1'!FZ49,'CF_2'!FZ49,'CF_3'!FZ49,'CF_4'!FZ49)</x:f>
      </x:c>
      <x:c r="GA23" s="117" t="n">
        <x:f>SUM('CF_1'!GA49,'CF_2'!GA49,'CF_3'!GA49,'CF_4'!GA49)</x:f>
      </x:c>
    </x:row>
    <x:row r="24">
      <x:c r="A24" t="str">
        <x:v>Распределение собственнику</x:v>
      </x:c>
      <x:c r="B24" t="n">
        <x:f>SUM(D24:GA24)</x:f>
      </x:c>
      <x:c r="C24" t="str">
        <x:v>млн ₽</x:v>
      </x:c>
      <x:c r="D24" s="117" t="n">
        <x:f>SUM('CF_1'!D50,'CF_2'!D50,'CF_3'!D50,'CF_4'!D50)</x:f>
      </x:c>
      <x:c r="E24" s="117" t="n">
        <x:f>SUM('CF_1'!E50,'CF_2'!E50,'CF_3'!E50,'CF_4'!E50)</x:f>
      </x:c>
      <x:c r="F24" s="117" t="n">
        <x:f>SUM('CF_1'!F50,'CF_2'!F50,'CF_3'!F50,'CF_4'!F50)</x:f>
      </x:c>
      <x:c r="G24" s="117" t="n">
        <x:f>SUM('CF_1'!G50,'CF_2'!G50,'CF_3'!G50,'CF_4'!G50)</x:f>
      </x:c>
      <x:c r="H24" s="117" t="n">
        <x:f>SUM('CF_1'!H50,'CF_2'!H50,'CF_3'!H50,'CF_4'!H50)</x:f>
      </x:c>
      <x:c r="I24" s="117" t="n">
        <x:f>SUM('CF_1'!I50,'CF_2'!I50,'CF_3'!I50,'CF_4'!I50)</x:f>
      </x:c>
      <x:c r="J24" s="117" t="n">
        <x:f>SUM('CF_1'!J50,'CF_2'!J50,'CF_3'!J50,'CF_4'!J50)</x:f>
      </x:c>
      <x:c r="K24" s="117" t="n">
        <x:f>SUM('CF_1'!K50,'CF_2'!K50,'CF_3'!K50,'CF_4'!K50)</x:f>
      </x:c>
      <x:c r="L24" s="117" t="n">
        <x:f>SUM('CF_1'!L50,'CF_2'!L50,'CF_3'!L50,'CF_4'!L50)</x:f>
      </x:c>
      <x:c r="M24" s="117" t="n">
        <x:f>SUM('CF_1'!M50,'CF_2'!M50,'CF_3'!M50,'CF_4'!M50)</x:f>
      </x:c>
      <x:c r="N24" s="117" t="n">
        <x:f>SUM('CF_1'!N50,'CF_2'!N50,'CF_3'!N50,'CF_4'!N50)</x:f>
      </x:c>
      <x:c r="O24" s="117" t="n">
        <x:f>SUM('CF_1'!O50,'CF_2'!O50,'CF_3'!O50,'CF_4'!O50)</x:f>
      </x:c>
      <x:c r="P24" s="117" t="n">
        <x:f>SUM('CF_1'!P50,'CF_2'!P50,'CF_3'!P50,'CF_4'!P50)</x:f>
      </x:c>
      <x:c r="Q24" s="117" t="n">
        <x:f>SUM('CF_1'!Q50,'CF_2'!Q50,'CF_3'!Q50,'CF_4'!Q50)</x:f>
      </x:c>
      <x:c r="R24" s="117" t="n">
        <x:f>SUM('CF_1'!R50,'CF_2'!R50,'CF_3'!R50,'CF_4'!R50)</x:f>
      </x:c>
      <x:c r="S24" s="117" t="n">
        <x:f>SUM('CF_1'!S50,'CF_2'!S50,'CF_3'!S50,'CF_4'!S50)</x:f>
      </x:c>
      <x:c r="T24" s="117" t="n">
        <x:f>SUM('CF_1'!T50,'CF_2'!T50,'CF_3'!T50,'CF_4'!T50)</x:f>
      </x:c>
      <x:c r="U24" s="117" t="n">
        <x:f>SUM('CF_1'!U50,'CF_2'!U50,'CF_3'!U50,'CF_4'!U50)</x:f>
      </x:c>
      <x:c r="V24" s="117" t="n">
        <x:f>SUM('CF_1'!V50,'CF_2'!V50,'CF_3'!V50,'CF_4'!V50)</x:f>
      </x:c>
      <x:c r="W24" s="117" t="n">
        <x:f>SUM('CF_1'!W50,'CF_2'!W50,'CF_3'!W50,'CF_4'!W50)</x:f>
      </x:c>
      <x:c r="X24" s="117" t="n">
        <x:f>SUM('CF_1'!X50,'CF_2'!X50,'CF_3'!X50,'CF_4'!X50)</x:f>
      </x:c>
      <x:c r="Y24" s="117" t="n">
        <x:f>SUM('CF_1'!Y50,'CF_2'!Y50,'CF_3'!Y50,'CF_4'!Y50)</x:f>
      </x:c>
      <x:c r="Z24" s="117" t="n">
        <x:f>SUM('CF_1'!Z50,'CF_2'!Z50,'CF_3'!Z50,'CF_4'!Z50)</x:f>
      </x:c>
      <x:c r="AA24" s="117" t="n">
        <x:f>SUM('CF_1'!AA50,'CF_2'!AA50,'CF_3'!AA50,'CF_4'!AA50)</x:f>
      </x:c>
      <x:c r="AB24" s="117" t="n">
        <x:f>SUM('CF_1'!AB50,'CF_2'!AB50,'CF_3'!AB50,'CF_4'!AB50)</x:f>
      </x:c>
      <x:c r="AC24" s="117" t="n">
        <x:f>SUM('CF_1'!AC50,'CF_2'!AC50,'CF_3'!AC50,'CF_4'!AC50)</x:f>
      </x:c>
      <x:c r="AD24" s="117" t="n">
        <x:f>SUM('CF_1'!AD50,'CF_2'!AD50,'CF_3'!AD50,'CF_4'!AD50)</x:f>
      </x:c>
      <x:c r="AE24" s="117" t="n">
        <x:f>SUM('CF_1'!AE50,'CF_2'!AE50,'CF_3'!AE50,'CF_4'!AE50)</x:f>
      </x:c>
      <x:c r="AF24" s="117" t="n">
        <x:f>SUM('CF_1'!AF50,'CF_2'!AF50,'CF_3'!AF50,'CF_4'!AF50)</x:f>
      </x:c>
      <x:c r="AG24" s="117" t="n">
        <x:f>SUM('CF_1'!AG50,'CF_2'!AG50,'CF_3'!AG50,'CF_4'!AG50)</x:f>
      </x:c>
      <x:c r="AH24" s="117" t="n">
        <x:f>SUM('CF_1'!AH50,'CF_2'!AH50,'CF_3'!AH50,'CF_4'!AH50)</x:f>
      </x:c>
      <x:c r="AI24" s="117" t="n">
        <x:f>SUM('CF_1'!AI50,'CF_2'!AI50,'CF_3'!AI50,'CF_4'!AI50)</x:f>
      </x:c>
      <x:c r="AJ24" s="117" t="n">
        <x:f>SUM('CF_1'!AJ50,'CF_2'!AJ50,'CF_3'!AJ50,'CF_4'!AJ50)</x:f>
      </x:c>
      <x:c r="AK24" s="117" t="n">
        <x:f>SUM('CF_1'!AK50,'CF_2'!AK50,'CF_3'!AK50,'CF_4'!AK50)</x:f>
      </x:c>
      <x:c r="AL24" s="117" t="n">
        <x:f>SUM('CF_1'!AL50,'CF_2'!AL50,'CF_3'!AL50,'CF_4'!AL50)</x:f>
      </x:c>
      <x:c r="AM24" s="117" t="n">
        <x:f>SUM('CF_1'!AM50,'CF_2'!AM50,'CF_3'!AM50,'CF_4'!AM50)</x:f>
      </x:c>
      <x:c r="AN24" s="117" t="n">
        <x:f>SUM('CF_1'!AN50,'CF_2'!AN50,'CF_3'!AN50,'CF_4'!AN50)</x:f>
      </x:c>
      <x:c r="AO24" s="117" t="n">
        <x:f>SUM('CF_1'!AO50,'CF_2'!AO50,'CF_3'!AO50,'CF_4'!AO50)</x:f>
      </x:c>
      <x:c r="AP24" s="117" t="n">
        <x:f>SUM('CF_1'!AP50,'CF_2'!AP50,'CF_3'!AP50,'CF_4'!AP50)</x:f>
      </x:c>
      <x:c r="AQ24" s="117" t="n">
        <x:f>SUM('CF_1'!AQ50,'CF_2'!AQ50,'CF_3'!AQ50,'CF_4'!AQ50)</x:f>
      </x:c>
      <x:c r="AR24" s="117" t="n">
        <x:f>SUM('CF_1'!AR50,'CF_2'!AR50,'CF_3'!AR50,'CF_4'!AR50)</x:f>
      </x:c>
      <x:c r="AS24" s="117" t="n">
        <x:f>SUM('CF_1'!AS50,'CF_2'!AS50,'CF_3'!AS50,'CF_4'!AS50)</x:f>
      </x:c>
      <x:c r="AT24" s="117" t="n">
        <x:f>SUM('CF_1'!AT50,'CF_2'!AT50,'CF_3'!AT50,'CF_4'!AT50)</x:f>
      </x:c>
      <x:c r="AU24" s="117" t="n">
        <x:f>SUM('CF_1'!AU50,'CF_2'!AU50,'CF_3'!AU50,'CF_4'!AU50)</x:f>
      </x:c>
      <x:c r="AV24" s="117" t="n">
        <x:f>SUM('CF_1'!AV50,'CF_2'!AV50,'CF_3'!AV50,'CF_4'!AV50)</x:f>
      </x:c>
      <x:c r="AW24" s="117" t="n">
        <x:f>SUM('CF_1'!AW50,'CF_2'!AW50,'CF_3'!AW50,'CF_4'!AW50)</x:f>
      </x:c>
      <x:c r="AX24" s="117" t="n">
        <x:f>SUM('CF_1'!AX50,'CF_2'!AX50,'CF_3'!AX50,'CF_4'!AX50)</x:f>
      </x:c>
      <x:c r="AY24" s="117" t="n">
        <x:f>SUM('CF_1'!AY50,'CF_2'!AY50,'CF_3'!AY50,'CF_4'!AY50)</x:f>
      </x:c>
      <x:c r="AZ24" s="117" t="n">
        <x:f>SUM('CF_1'!AZ50,'CF_2'!AZ50,'CF_3'!AZ50,'CF_4'!AZ50)</x:f>
      </x:c>
      <x:c r="BA24" s="117" t="n">
        <x:f>SUM('CF_1'!BA50,'CF_2'!BA50,'CF_3'!BA50,'CF_4'!BA50)</x:f>
      </x:c>
      <x:c r="BB24" s="117" t="n">
        <x:f>SUM('CF_1'!BB50,'CF_2'!BB50,'CF_3'!BB50,'CF_4'!BB50)</x:f>
      </x:c>
      <x:c r="BC24" s="117" t="n">
        <x:f>SUM('CF_1'!BC50,'CF_2'!BC50,'CF_3'!BC50,'CF_4'!BC50)</x:f>
      </x:c>
      <x:c r="BD24" s="117" t="n">
        <x:f>SUM('CF_1'!BD50,'CF_2'!BD50,'CF_3'!BD50,'CF_4'!BD50)</x:f>
      </x:c>
      <x:c r="BE24" s="117" t="n">
        <x:f>SUM('CF_1'!BE50,'CF_2'!BE50,'CF_3'!BE50,'CF_4'!BE50)</x:f>
      </x:c>
      <x:c r="BF24" s="117" t="n">
        <x:f>SUM('CF_1'!BF50,'CF_2'!BF50,'CF_3'!BF50,'CF_4'!BF50)</x:f>
      </x:c>
      <x:c r="BG24" s="117" t="n">
        <x:f>SUM('CF_1'!BG50,'CF_2'!BG50,'CF_3'!BG50,'CF_4'!BG50)</x:f>
      </x:c>
      <x:c r="BH24" s="117" t="n">
        <x:f>SUM('CF_1'!BH50,'CF_2'!BH50,'CF_3'!BH50,'CF_4'!BH50)</x:f>
      </x:c>
      <x:c r="BI24" s="117" t="n">
        <x:f>SUM('CF_1'!BI50,'CF_2'!BI50,'CF_3'!BI50,'CF_4'!BI50)</x:f>
      </x:c>
      <x:c r="BJ24" s="117" t="n">
        <x:f>SUM('CF_1'!BJ50,'CF_2'!BJ50,'CF_3'!BJ50,'CF_4'!BJ50)</x:f>
      </x:c>
      <x:c r="BK24" s="117" t="n">
        <x:f>SUM('CF_1'!BK50,'CF_2'!BK50,'CF_3'!BK50,'CF_4'!BK50)</x:f>
      </x:c>
      <x:c r="BL24" s="117" t="n">
        <x:f>SUM('CF_1'!BL50,'CF_2'!BL50,'CF_3'!BL50,'CF_4'!BL50)</x:f>
      </x:c>
      <x:c r="BM24" s="117" t="n">
        <x:f>SUM('CF_1'!BM50,'CF_2'!BM50,'CF_3'!BM50,'CF_4'!BM50)</x:f>
      </x:c>
      <x:c r="BN24" s="117" t="n">
        <x:f>SUM('CF_1'!BN50,'CF_2'!BN50,'CF_3'!BN50,'CF_4'!BN50)</x:f>
      </x:c>
      <x:c r="BO24" s="117" t="n">
        <x:f>SUM('CF_1'!BO50,'CF_2'!BO50,'CF_3'!BO50,'CF_4'!BO50)</x:f>
      </x:c>
      <x:c r="BP24" s="117" t="n">
        <x:f>SUM('CF_1'!BP50,'CF_2'!BP50,'CF_3'!BP50,'CF_4'!BP50)</x:f>
      </x:c>
      <x:c r="BQ24" s="117" t="n">
        <x:f>SUM('CF_1'!BQ50,'CF_2'!BQ50,'CF_3'!BQ50,'CF_4'!BQ50)</x:f>
      </x:c>
      <x:c r="BR24" s="117" t="n">
        <x:f>SUM('CF_1'!BR50,'CF_2'!BR50,'CF_3'!BR50,'CF_4'!BR50)</x:f>
      </x:c>
      <x:c r="BS24" s="117" t="n">
        <x:f>SUM('CF_1'!BS50,'CF_2'!BS50,'CF_3'!BS50,'CF_4'!BS50)</x:f>
      </x:c>
      <x:c r="BT24" s="117" t="n">
        <x:f>SUM('CF_1'!BT50,'CF_2'!BT50,'CF_3'!BT50,'CF_4'!BT50)</x:f>
      </x:c>
      <x:c r="BU24" s="117" t="n">
        <x:f>SUM('CF_1'!BU50,'CF_2'!BU50,'CF_3'!BU50,'CF_4'!BU50)</x:f>
      </x:c>
      <x:c r="BV24" s="117" t="n">
        <x:f>SUM('CF_1'!BV50,'CF_2'!BV50,'CF_3'!BV50,'CF_4'!BV50)</x:f>
      </x:c>
      <x:c r="BW24" s="117" t="n">
        <x:f>SUM('CF_1'!BW50,'CF_2'!BW50,'CF_3'!BW50,'CF_4'!BW50)</x:f>
      </x:c>
      <x:c r="BX24" s="117" t="n">
        <x:f>SUM('CF_1'!BX50,'CF_2'!BX50,'CF_3'!BX50,'CF_4'!BX50)</x:f>
      </x:c>
      <x:c r="BY24" s="117" t="n">
        <x:f>SUM('CF_1'!BY50,'CF_2'!BY50,'CF_3'!BY50,'CF_4'!BY50)</x:f>
      </x:c>
      <x:c r="BZ24" s="117" t="n">
        <x:f>SUM('CF_1'!BZ50,'CF_2'!BZ50,'CF_3'!BZ50,'CF_4'!BZ50)</x:f>
      </x:c>
      <x:c r="CA24" s="117" t="n">
        <x:f>SUM('CF_1'!CA50,'CF_2'!CA50,'CF_3'!CA50,'CF_4'!CA50)</x:f>
      </x:c>
      <x:c r="CB24" s="117" t="n">
        <x:f>SUM('CF_1'!CB50,'CF_2'!CB50,'CF_3'!CB50,'CF_4'!CB50)</x:f>
      </x:c>
      <x:c r="CC24" s="117" t="n">
        <x:f>SUM('CF_1'!CC50,'CF_2'!CC50,'CF_3'!CC50,'CF_4'!CC50)</x:f>
      </x:c>
      <x:c r="CD24" s="117" t="n">
        <x:f>SUM('CF_1'!CD50,'CF_2'!CD50,'CF_3'!CD50,'CF_4'!CD50)</x:f>
      </x:c>
      <x:c r="CE24" s="117" t="n">
        <x:f>SUM('CF_1'!CE50,'CF_2'!CE50,'CF_3'!CE50,'CF_4'!CE50)</x:f>
      </x:c>
      <x:c r="CF24" s="117" t="n">
        <x:f>SUM('CF_1'!CF50,'CF_2'!CF50,'CF_3'!CF50,'CF_4'!CF50)</x:f>
      </x:c>
      <x:c r="CG24" s="117" t="n">
        <x:f>SUM('CF_1'!CG50,'CF_2'!CG50,'CF_3'!CG50,'CF_4'!CG50)</x:f>
      </x:c>
      <x:c r="CH24" s="117" t="n">
        <x:f>SUM('CF_1'!CH50,'CF_2'!CH50,'CF_3'!CH50,'CF_4'!CH50)</x:f>
      </x:c>
      <x:c r="CI24" s="117" t="n">
        <x:f>SUM('CF_1'!CI50,'CF_2'!CI50,'CF_3'!CI50,'CF_4'!CI50)</x:f>
      </x:c>
      <x:c r="CJ24" s="117" t="n">
        <x:f>SUM('CF_1'!CJ50,'CF_2'!CJ50,'CF_3'!CJ50,'CF_4'!CJ50)</x:f>
      </x:c>
      <x:c r="CK24" s="117" t="n">
        <x:f>SUM('CF_1'!CK50,'CF_2'!CK50,'CF_3'!CK50,'CF_4'!CK50)</x:f>
      </x:c>
      <x:c r="CL24" s="117" t="n">
        <x:f>SUM('CF_1'!CL50,'CF_2'!CL50,'CF_3'!CL50,'CF_4'!CL50)</x:f>
      </x:c>
      <x:c r="CM24" s="117" t="n">
        <x:f>SUM('CF_1'!CM50,'CF_2'!CM50,'CF_3'!CM50,'CF_4'!CM50)</x:f>
      </x:c>
      <x:c r="CN24" s="117" t="n">
        <x:f>SUM('CF_1'!CN50,'CF_2'!CN50,'CF_3'!CN50,'CF_4'!CN50)</x:f>
      </x:c>
      <x:c r="CO24" s="117" t="n">
        <x:f>SUM('CF_1'!CO50,'CF_2'!CO50,'CF_3'!CO50,'CF_4'!CO50)</x:f>
      </x:c>
      <x:c r="CP24" s="117" t="n">
        <x:f>SUM('CF_1'!CP50,'CF_2'!CP50,'CF_3'!CP50,'CF_4'!CP50)</x:f>
      </x:c>
      <x:c r="CQ24" s="117" t="n">
        <x:f>SUM('CF_1'!CQ50,'CF_2'!CQ50,'CF_3'!CQ50,'CF_4'!CQ50)</x:f>
      </x:c>
      <x:c r="CR24" s="117" t="n">
        <x:f>SUM('CF_1'!CR50,'CF_2'!CR50,'CF_3'!CR50,'CF_4'!CR50)</x:f>
      </x:c>
      <x:c r="CS24" s="117" t="n">
        <x:f>SUM('CF_1'!CS50,'CF_2'!CS50,'CF_3'!CS50,'CF_4'!CS50)</x:f>
      </x:c>
      <x:c r="CT24" s="117" t="n">
        <x:f>SUM('CF_1'!CT50,'CF_2'!CT50,'CF_3'!CT50,'CF_4'!CT50)</x:f>
      </x:c>
      <x:c r="CU24" s="117" t="n">
        <x:f>SUM('CF_1'!CU50,'CF_2'!CU50,'CF_3'!CU50,'CF_4'!CU50)</x:f>
      </x:c>
      <x:c r="CV24" s="117" t="n">
        <x:f>SUM('CF_1'!CV50,'CF_2'!CV50,'CF_3'!CV50,'CF_4'!CV50)</x:f>
      </x:c>
      <x:c r="CW24" s="117" t="n">
        <x:f>SUM('CF_1'!CW50,'CF_2'!CW50,'CF_3'!CW50,'CF_4'!CW50)</x:f>
      </x:c>
      <x:c r="CX24" s="117" t="n">
        <x:f>SUM('CF_1'!CX50,'CF_2'!CX50,'CF_3'!CX50,'CF_4'!CX50)</x:f>
      </x:c>
      <x:c r="CY24" s="117" t="n">
        <x:f>SUM('CF_1'!CY50,'CF_2'!CY50,'CF_3'!CY50,'CF_4'!CY50)</x:f>
      </x:c>
      <x:c r="CZ24" s="117" t="n">
        <x:f>SUM('CF_1'!CZ50,'CF_2'!CZ50,'CF_3'!CZ50,'CF_4'!CZ50)</x:f>
      </x:c>
      <x:c r="DA24" s="117" t="n">
        <x:f>SUM('CF_1'!DA50,'CF_2'!DA50,'CF_3'!DA50,'CF_4'!DA50)</x:f>
      </x:c>
      <x:c r="DB24" s="117" t="n">
        <x:f>SUM('CF_1'!DB50,'CF_2'!DB50,'CF_3'!DB50,'CF_4'!DB50)</x:f>
      </x:c>
      <x:c r="DC24" s="117" t="n">
        <x:f>SUM('CF_1'!DC50,'CF_2'!DC50,'CF_3'!DC50,'CF_4'!DC50)</x:f>
      </x:c>
      <x:c r="DD24" s="117" t="n">
        <x:f>SUM('CF_1'!DD50,'CF_2'!DD50,'CF_3'!DD50,'CF_4'!DD50)</x:f>
      </x:c>
      <x:c r="DE24" s="117" t="n">
        <x:f>SUM('CF_1'!DE50,'CF_2'!DE50,'CF_3'!DE50,'CF_4'!DE50)</x:f>
      </x:c>
      <x:c r="DF24" s="117" t="n">
        <x:f>SUM('CF_1'!DF50,'CF_2'!DF50,'CF_3'!DF50,'CF_4'!DF50)</x:f>
      </x:c>
      <x:c r="DG24" s="117" t="n">
        <x:f>SUM('CF_1'!DG50,'CF_2'!DG50,'CF_3'!DG50,'CF_4'!DG50)</x:f>
      </x:c>
      <x:c r="DH24" s="117" t="n">
        <x:f>SUM('CF_1'!DH50,'CF_2'!DH50,'CF_3'!DH50,'CF_4'!DH50)</x:f>
      </x:c>
      <x:c r="DI24" s="117" t="n">
        <x:f>SUM('CF_1'!DI50,'CF_2'!DI50,'CF_3'!DI50,'CF_4'!DI50)</x:f>
      </x:c>
      <x:c r="DJ24" s="117" t="n">
        <x:f>SUM('CF_1'!DJ50,'CF_2'!DJ50,'CF_3'!DJ50,'CF_4'!DJ50)</x:f>
      </x:c>
      <x:c r="DK24" s="117" t="n">
        <x:f>SUM('CF_1'!DK50,'CF_2'!DK50,'CF_3'!DK50,'CF_4'!DK50)</x:f>
      </x:c>
      <x:c r="DL24" s="117" t="n">
        <x:f>SUM('CF_1'!DL50,'CF_2'!DL50,'CF_3'!DL50,'CF_4'!DL50)</x:f>
      </x:c>
      <x:c r="DM24" s="117" t="n">
        <x:f>SUM('CF_1'!DM50,'CF_2'!DM50,'CF_3'!DM50,'CF_4'!DM50)</x:f>
      </x:c>
      <x:c r="DN24" s="117" t="n">
        <x:f>SUM('CF_1'!DN50,'CF_2'!DN50,'CF_3'!DN50,'CF_4'!DN50)</x:f>
      </x:c>
      <x:c r="DO24" s="117" t="n">
        <x:f>SUM('CF_1'!DO50,'CF_2'!DO50,'CF_3'!DO50,'CF_4'!DO50)</x:f>
      </x:c>
      <x:c r="DP24" s="117" t="n">
        <x:f>SUM('CF_1'!DP50,'CF_2'!DP50,'CF_3'!DP50,'CF_4'!DP50)</x:f>
      </x:c>
      <x:c r="DQ24" s="117" t="n">
        <x:f>SUM('CF_1'!DQ50,'CF_2'!DQ50,'CF_3'!DQ50,'CF_4'!DQ50)</x:f>
      </x:c>
      <x:c r="DR24" s="117" t="n">
        <x:f>SUM('CF_1'!DR50,'CF_2'!DR50,'CF_3'!DR50,'CF_4'!DR50)</x:f>
      </x:c>
      <x:c r="DS24" s="117" t="n">
        <x:f>SUM('CF_1'!DS50,'CF_2'!DS50,'CF_3'!DS50,'CF_4'!DS50)</x:f>
      </x:c>
      <x:c r="DT24" s="117" t="n">
        <x:f>SUM('CF_1'!DT50,'CF_2'!DT50,'CF_3'!DT50,'CF_4'!DT50)</x:f>
      </x:c>
      <x:c r="DU24" s="117" t="n">
        <x:f>SUM('CF_1'!DU50,'CF_2'!DU50,'CF_3'!DU50,'CF_4'!DU50)</x:f>
      </x:c>
      <x:c r="DV24" s="117" t="n">
        <x:f>SUM('CF_1'!DV50,'CF_2'!DV50,'CF_3'!DV50,'CF_4'!DV50)</x:f>
      </x:c>
      <x:c r="DW24" s="117" t="n">
        <x:f>SUM('CF_1'!DW50,'CF_2'!DW50,'CF_3'!DW50,'CF_4'!DW50)</x:f>
      </x:c>
      <x:c r="DX24" s="117" t="n">
        <x:f>SUM('CF_1'!DX50,'CF_2'!DX50,'CF_3'!DX50,'CF_4'!DX50)</x:f>
      </x:c>
      <x:c r="DY24" s="117" t="n">
        <x:f>SUM('CF_1'!DY50,'CF_2'!DY50,'CF_3'!DY50,'CF_4'!DY50)</x:f>
      </x:c>
      <x:c r="DZ24" s="117" t="n">
        <x:f>SUM('CF_1'!DZ50,'CF_2'!DZ50,'CF_3'!DZ50,'CF_4'!DZ50)</x:f>
      </x:c>
      <x:c r="EA24" s="117" t="n">
        <x:f>SUM('CF_1'!EA50,'CF_2'!EA50,'CF_3'!EA50,'CF_4'!EA50)</x:f>
      </x:c>
      <x:c r="EB24" s="117" t="n">
        <x:f>SUM('CF_1'!EB50,'CF_2'!EB50,'CF_3'!EB50,'CF_4'!EB50)</x:f>
      </x:c>
      <x:c r="EC24" s="117" t="n">
        <x:f>SUM('CF_1'!EC50,'CF_2'!EC50,'CF_3'!EC50,'CF_4'!EC50)</x:f>
      </x:c>
      <x:c r="ED24" s="117" t="n">
        <x:f>SUM('CF_1'!ED50,'CF_2'!ED50,'CF_3'!ED50,'CF_4'!ED50)</x:f>
      </x:c>
      <x:c r="EE24" s="117" t="n">
        <x:f>SUM('CF_1'!EE50,'CF_2'!EE50,'CF_3'!EE50,'CF_4'!EE50)</x:f>
      </x:c>
      <x:c r="EF24" s="117" t="n">
        <x:f>SUM('CF_1'!EF50,'CF_2'!EF50,'CF_3'!EF50,'CF_4'!EF50)</x:f>
      </x:c>
      <x:c r="EG24" s="117" t="n">
        <x:f>SUM('CF_1'!EG50,'CF_2'!EG50,'CF_3'!EG50,'CF_4'!EG50)</x:f>
      </x:c>
      <x:c r="EH24" s="117" t="n">
        <x:f>SUM('CF_1'!EH50,'CF_2'!EH50,'CF_3'!EH50,'CF_4'!EH50)</x:f>
      </x:c>
      <x:c r="EI24" s="117" t="n">
        <x:f>SUM('CF_1'!EI50,'CF_2'!EI50,'CF_3'!EI50,'CF_4'!EI50)</x:f>
      </x:c>
      <x:c r="EJ24" s="117" t="n">
        <x:f>SUM('CF_1'!EJ50,'CF_2'!EJ50,'CF_3'!EJ50,'CF_4'!EJ50)</x:f>
      </x:c>
      <x:c r="EK24" s="117" t="n">
        <x:f>SUM('CF_1'!EK50,'CF_2'!EK50,'CF_3'!EK50,'CF_4'!EK50)</x:f>
      </x:c>
      <x:c r="EL24" s="117" t="n">
        <x:f>SUM('CF_1'!EL50,'CF_2'!EL50,'CF_3'!EL50,'CF_4'!EL50)</x:f>
      </x:c>
      <x:c r="EM24" s="117" t="n">
        <x:f>SUM('CF_1'!EM50,'CF_2'!EM50,'CF_3'!EM50,'CF_4'!EM50)</x:f>
      </x:c>
      <x:c r="EN24" s="117" t="n">
        <x:f>SUM('CF_1'!EN50,'CF_2'!EN50,'CF_3'!EN50,'CF_4'!EN50)</x:f>
      </x:c>
      <x:c r="EO24" s="117" t="n">
        <x:f>SUM('CF_1'!EO50,'CF_2'!EO50,'CF_3'!EO50,'CF_4'!EO50)</x:f>
      </x:c>
      <x:c r="EP24" s="117" t="n">
        <x:f>SUM('CF_1'!EP50,'CF_2'!EP50,'CF_3'!EP50,'CF_4'!EP50)</x:f>
      </x:c>
      <x:c r="EQ24" s="117" t="n">
        <x:f>SUM('CF_1'!EQ50,'CF_2'!EQ50,'CF_3'!EQ50,'CF_4'!EQ50)</x:f>
      </x:c>
      <x:c r="ER24" s="117" t="n">
        <x:f>SUM('CF_1'!ER50,'CF_2'!ER50,'CF_3'!ER50,'CF_4'!ER50)</x:f>
      </x:c>
      <x:c r="ES24" s="117" t="n">
        <x:f>SUM('CF_1'!ES50,'CF_2'!ES50,'CF_3'!ES50,'CF_4'!ES50)</x:f>
      </x:c>
      <x:c r="ET24" s="117" t="n">
        <x:f>SUM('CF_1'!ET50,'CF_2'!ET50,'CF_3'!ET50,'CF_4'!ET50)</x:f>
      </x:c>
      <x:c r="EU24" s="117" t="n">
        <x:f>SUM('CF_1'!EU50,'CF_2'!EU50,'CF_3'!EU50,'CF_4'!EU50)</x:f>
      </x:c>
      <x:c r="EV24" s="117" t="n">
        <x:f>SUM('CF_1'!EV50,'CF_2'!EV50,'CF_3'!EV50,'CF_4'!EV50)</x:f>
      </x:c>
      <x:c r="EW24" s="117" t="n">
        <x:f>SUM('CF_1'!EW50,'CF_2'!EW50,'CF_3'!EW50,'CF_4'!EW50)</x:f>
      </x:c>
      <x:c r="EX24" s="117" t="n">
        <x:f>SUM('CF_1'!EX50,'CF_2'!EX50,'CF_3'!EX50,'CF_4'!EX50)</x:f>
      </x:c>
      <x:c r="EY24" s="117" t="n">
        <x:f>SUM('CF_1'!EY50,'CF_2'!EY50,'CF_3'!EY50,'CF_4'!EY50)</x:f>
      </x:c>
      <x:c r="EZ24" s="117" t="n">
        <x:f>SUM('CF_1'!EZ50,'CF_2'!EZ50,'CF_3'!EZ50,'CF_4'!EZ50)</x:f>
      </x:c>
      <x:c r="FA24" s="117" t="n">
        <x:f>SUM('CF_1'!FA50,'CF_2'!FA50,'CF_3'!FA50,'CF_4'!FA50)</x:f>
      </x:c>
      <x:c r="FB24" s="117" t="n">
        <x:f>SUM('CF_1'!FB50,'CF_2'!FB50,'CF_3'!FB50,'CF_4'!FB50)</x:f>
      </x:c>
      <x:c r="FC24" s="117" t="n">
        <x:f>SUM('CF_1'!FC50,'CF_2'!FC50,'CF_3'!FC50,'CF_4'!FC50)</x:f>
      </x:c>
      <x:c r="FD24" s="117" t="n">
        <x:f>SUM('CF_1'!FD50,'CF_2'!FD50,'CF_3'!FD50,'CF_4'!FD50)</x:f>
      </x:c>
      <x:c r="FE24" s="117" t="n">
        <x:f>SUM('CF_1'!FE50,'CF_2'!FE50,'CF_3'!FE50,'CF_4'!FE50)</x:f>
      </x:c>
      <x:c r="FF24" s="117" t="n">
        <x:f>SUM('CF_1'!FF50,'CF_2'!FF50,'CF_3'!FF50,'CF_4'!FF50)</x:f>
      </x:c>
      <x:c r="FG24" s="117" t="n">
        <x:f>SUM('CF_1'!FG50,'CF_2'!FG50,'CF_3'!FG50,'CF_4'!FG50)</x:f>
      </x:c>
      <x:c r="FH24" s="117" t="n">
        <x:f>SUM('CF_1'!FH50,'CF_2'!FH50,'CF_3'!FH50,'CF_4'!FH50)</x:f>
      </x:c>
      <x:c r="FI24" s="117" t="n">
        <x:f>SUM('CF_1'!FI50,'CF_2'!FI50,'CF_3'!FI50,'CF_4'!FI50)</x:f>
      </x:c>
      <x:c r="FJ24" s="117" t="n">
        <x:f>SUM('CF_1'!FJ50,'CF_2'!FJ50,'CF_3'!FJ50,'CF_4'!FJ50)</x:f>
      </x:c>
      <x:c r="FK24" s="117" t="n">
        <x:f>SUM('CF_1'!FK50,'CF_2'!FK50,'CF_3'!FK50,'CF_4'!FK50)</x:f>
      </x:c>
      <x:c r="FL24" s="117" t="n">
        <x:f>SUM('CF_1'!FL50,'CF_2'!FL50,'CF_3'!FL50,'CF_4'!FL50)</x:f>
      </x:c>
      <x:c r="FM24" s="117" t="n">
        <x:f>SUM('CF_1'!FM50,'CF_2'!FM50,'CF_3'!FM50,'CF_4'!FM50)</x:f>
      </x:c>
      <x:c r="FN24" s="117" t="n">
        <x:f>SUM('CF_1'!FN50,'CF_2'!FN50,'CF_3'!FN50,'CF_4'!FN50)</x:f>
      </x:c>
      <x:c r="FO24" s="117" t="n">
        <x:f>SUM('CF_1'!FO50,'CF_2'!FO50,'CF_3'!FO50,'CF_4'!FO50)</x:f>
      </x:c>
      <x:c r="FP24" s="117" t="n">
        <x:f>SUM('CF_1'!FP50,'CF_2'!FP50,'CF_3'!FP50,'CF_4'!FP50)</x:f>
      </x:c>
      <x:c r="FQ24" s="117" t="n">
        <x:f>SUM('CF_1'!FQ50,'CF_2'!FQ50,'CF_3'!FQ50,'CF_4'!FQ50)</x:f>
      </x:c>
      <x:c r="FR24" s="117" t="n">
        <x:f>SUM('CF_1'!FR50,'CF_2'!FR50,'CF_3'!FR50,'CF_4'!FR50)</x:f>
      </x:c>
      <x:c r="FS24" s="117" t="n">
        <x:f>SUM('CF_1'!FS50,'CF_2'!FS50,'CF_3'!FS50,'CF_4'!FS50)</x:f>
      </x:c>
      <x:c r="FT24" s="117" t="n">
        <x:f>SUM('CF_1'!FT50,'CF_2'!FT50,'CF_3'!FT50,'CF_4'!FT50)</x:f>
      </x:c>
      <x:c r="FU24" s="117" t="n">
        <x:f>SUM('CF_1'!FU50,'CF_2'!FU50,'CF_3'!FU50,'CF_4'!FU50)</x:f>
      </x:c>
      <x:c r="FV24" s="117" t="n">
        <x:f>SUM('CF_1'!FV50,'CF_2'!FV50,'CF_3'!FV50,'CF_4'!FV50)</x:f>
      </x:c>
      <x:c r="FW24" s="117" t="n">
        <x:f>SUM('CF_1'!FW50,'CF_2'!FW50,'CF_3'!FW50,'CF_4'!FW50)</x:f>
      </x:c>
      <x:c r="FX24" s="117" t="n">
        <x:f>SUM('CF_1'!FX50,'CF_2'!FX50,'CF_3'!FX50,'CF_4'!FX50)</x:f>
      </x:c>
      <x:c r="FY24" s="117" t="n">
        <x:f>SUM('CF_1'!FY50,'CF_2'!FY50,'CF_3'!FY50,'CF_4'!FY50)</x:f>
      </x:c>
      <x:c r="FZ24" s="117" t="n">
        <x:f>SUM('CF_1'!FZ50,'CF_2'!FZ50,'CF_3'!FZ50,'CF_4'!FZ50)</x:f>
      </x:c>
      <x:c r="GA24" s="117" t="n">
        <x:f>SUM('CF_1'!GA50,'CF_2'!GA50,'CF_3'!GA50,'CF_4'!GA50)</x:f>
      </x:c>
    </x:row>
    <x:row r="25">
      <x:c r="A25" s="113" t="str">
        <x:v>Чистый CF собственного капитала</x:v>
      </x:c>
      <x:c r="B25" s="113" t="n">
        <x:f>SUM(D25:GA25)</x:f>
      </x:c>
      <x:c r="C25" s="113" t="str">
        <x:v>млн ₽</x:v>
      </x:c>
      <x:c r="D25" s="120" t="n">
        <x:f>SUM('CF_1'!D51,'CF_2'!D51,'CF_3'!D51,'CF_4'!D51)</x:f>
      </x:c>
      <x:c r="E25" s="120" t="n">
        <x:f>SUM('CF_1'!E51,'CF_2'!E51,'CF_3'!E51,'CF_4'!E51)</x:f>
      </x:c>
      <x:c r="F25" s="120" t="n">
        <x:f>SUM('CF_1'!F51,'CF_2'!F51,'CF_3'!F51,'CF_4'!F51)</x:f>
      </x:c>
      <x:c r="G25" s="120" t="n">
        <x:f>SUM('CF_1'!G51,'CF_2'!G51,'CF_3'!G51,'CF_4'!G51)</x:f>
      </x:c>
      <x:c r="H25" s="120" t="n">
        <x:f>SUM('CF_1'!H51,'CF_2'!H51,'CF_3'!H51,'CF_4'!H51)</x:f>
      </x:c>
      <x:c r="I25" s="120" t="n">
        <x:f>SUM('CF_1'!I51,'CF_2'!I51,'CF_3'!I51,'CF_4'!I51)</x:f>
      </x:c>
      <x:c r="J25" s="120" t="n">
        <x:f>SUM('CF_1'!J51,'CF_2'!J51,'CF_3'!J51,'CF_4'!J51)</x:f>
      </x:c>
      <x:c r="K25" s="120" t="n">
        <x:f>SUM('CF_1'!K51,'CF_2'!K51,'CF_3'!K51,'CF_4'!K51)</x:f>
      </x:c>
      <x:c r="L25" s="120" t="n">
        <x:f>SUM('CF_1'!L51,'CF_2'!L51,'CF_3'!L51,'CF_4'!L51)</x:f>
      </x:c>
      <x:c r="M25" s="120" t="n">
        <x:f>SUM('CF_1'!M51,'CF_2'!M51,'CF_3'!M51,'CF_4'!M51)</x:f>
      </x:c>
      <x:c r="N25" s="120" t="n">
        <x:f>SUM('CF_1'!N51,'CF_2'!N51,'CF_3'!N51,'CF_4'!N51)</x:f>
      </x:c>
      <x:c r="O25" s="120" t="n">
        <x:f>SUM('CF_1'!O51,'CF_2'!O51,'CF_3'!O51,'CF_4'!O51)</x:f>
      </x:c>
      <x:c r="P25" s="120" t="n">
        <x:f>SUM('CF_1'!P51,'CF_2'!P51,'CF_3'!P51,'CF_4'!P51)</x:f>
      </x:c>
      <x:c r="Q25" s="120" t="n">
        <x:f>SUM('CF_1'!Q51,'CF_2'!Q51,'CF_3'!Q51,'CF_4'!Q51)</x:f>
      </x:c>
      <x:c r="R25" s="120" t="n">
        <x:f>SUM('CF_1'!R51,'CF_2'!R51,'CF_3'!R51,'CF_4'!R51)</x:f>
      </x:c>
      <x:c r="S25" s="120" t="n">
        <x:f>SUM('CF_1'!S51,'CF_2'!S51,'CF_3'!S51,'CF_4'!S51)</x:f>
      </x:c>
      <x:c r="T25" s="120" t="n">
        <x:f>SUM('CF_1'!T51,'CF_2'!T51,'CF_3'!T51,'CF_4'!T51)</x:f>
      </x:c>
      <x:c r="U25" s="120" t="n">
        <x:f>SUM('CF_1'!U51,'CF_2'!U51,'CF_3'!U51,'CF_4'!U51)</x:f>
      </x:c>
      <x:c r="V25" s="120" t="n">
        <x:f>SUM('CF_1'!V51,'CF_2'!V51,'CF_3'!V51,'CF_4'!V51)</x:f>
      </x:c>
      <x:c r="W25" s="120" t="n">
        <x:f>SUM('CF_1'!W51,'CF_2'!W51,'CF_3'!W51,'CF_4'!W51)</x:f>
      </x:c>
      <x:c r="X25" s="120" t="n">
        <x:f>SUM('CF_1'!X51,'CF_2'!X51,'CF_3'!X51,'CF_4'!X51)</x:f>
      </x:c>
      <x:c r="Y25" s="120" t="n">
        <x:f>SUM('CF_1'!Y51,'CF_2'!Y51,'CF_3'!Y51,'CF_4'!Y51)</x:f>
      </x:c>
      <x:c r="Z25" s="120" t="n">
        <x:f>SUM('CF_1'!Z51,'CF_2'!Z51,'CF_3'!Z51,'CF_4'!Z51)</x:f>
      </x:c>
      <x:c r="AA25" s="120" t="n">
        <x:f>SUM('CF_1'!AA51,'CF_2'!AA51,'CF_3'!AA51,'CF_4'!AA51)</x:f>
      </x:c>
      <x:c r="AB25" s="120" t="n">
        <x:f>SUM('CF_1'!AB51,'CF_2'!AB51,'CF_3'!AB51,'CF_4'!AB51)</x:f>
      </x:c>
      <x:c r="AC25" s="120" t="n">
        <x:f>SUM('CF_1'!AC51,'CF_2'!AC51,'CF_3'!AC51,'CF_4'!AC51)</x:f>
      </x:c>
      <x:c r="AD25" s="120" t="n">
        <x:f>SUM('CF_1'!AD51,'CF_2'!AD51,'CF_3'!AD51,'CF_4'!AD51)</x:f>
      </x:c>
      <x:c r="AE25" s="120" t="n">
        <x:f>SUM('CF_1'!AE51,'CF_2'!AE51,'CF_3'!AE51,'CF_4'!AE51)</x:f>
      </x:c>
      <x:c r="AF25" s="120" t="n">
        <x:f>SUM('CF_1'!AF51,'CF_2'!AF51,'CF_3'!AF51,'CF_4'!AF51)</x:f>
      </x:c>
      <x:c r="AG25" s="120" t="n">
        <x:f>SUM('CF_1'!AG51,'CF_2'!AG51,'CF_3'!AG51,'CF_4'!AG51)</x:f>
      </x:c>
      <x:c r="AH25" s="120" t="n">
        <x:f>SUM('CF_1'!AH51,'CF_2'!AH51,'CF_3'!AH51,'CF_4'!AH51)</x:f>
      </x:c>
      <x:c r="AI25" s="120" t="n">
        <x:f>SUM('CF_1'!AI51,'CF_2'!AI51,'CF_3'!AI51,'CF_4'!AI51)</x:f>
      </x:c>
      <x:c r="AJ25" s="120" t="n">
        <x:f>SUM('CF_1'!AJ51,'CF_2'!AJ51,'CF_3'!AJ51,'CF_4'!AJ51)</x:f>
      </x:c>
      <x:c r="AK25" s="120" t="n">
        <x:f>SUM('CF_1'!AK51,'CF_2'!AK51,'CF_3'!AK51,'CF_4'!AK51)</x:f>
      </x:c>
      <x:c r="AL25" s="120" t="n">
        <x:f>SUM('CF_1'!AL51,'CF_2'!AL51,'CF_3'!AL51,'CF_4'!AL51)</x:f>
      </x:c>
      <x:c r="AM25" s="120" t="n">
        <x:f>SUM('CF_1'!AM51,'CF_2'!AM51,'CF_3'!AM51,'CF_4'!AM51)</x:f>
      </x:c>
      <x:c r="AN25" s="120" t="n">
        <x:f>SUM('CF_1'!AN51,'CF_2'!AN51,'CF_3'!AN51,'CF_4'!AN51)</x:f>
      </x:c>
      <x:c r="AO25" s="120" t="n">
        <x:f>SUM('CF_1'!AO51,'CF_2'!AO51,'CF_3'!AO51,'CF_4'!AO51)</x:f>
      </x:c>
      <x:c r="AP25" s="120" t="n">
        <x:f>SUM('CF_1'!AP51,'CF_2'!AP51,'CF_3'!AP51,'CF_4'!AP51)</x:f>
      </x:c>
      <x:c r="AQ25" s="120" t="n">
        <x:f>SUM('CF_1'!AQ51,'CF_2'!AQ51,'CF_3'!AQ51,'CF_4'!AQ51)</x:f>
      </x:c>
      <x:c r="AR25" s="120" t="n">
        <x:f>SUM('CF_1'!AR51,'CF_2'!AR51,'CF_3'!AR51,'CF_4'!AR51)</x:f>
      </x:c>
      <x:c r="AS25" s="120" t="n">
        <x:f>SUM('CF_1'!AS51,'CF_2'!AS51,'CF_3'!AS51,'CF_4'!AS51)</x:f>
      </x:c>
      <x:c r="AT25" s="120" t="n">
        <x:f>SUM('CF_1'!AT51,'CF_2'!AT51,'CF_3'!AT51,'CF_4'!AT51)</x:f>
      </x:c>
      <x:c r="AU25" s="120" t="n">
        <x:f>SUM('CF_1'!AU51,'CF_2'!AU51,'CF_3'!AU51,'CF_4'!AU51)</x:f>
      </x:c>
      <x:c r="AV25" s="120" t="n">
        <x:f>SUM('CF_1'!AV51,'CF_2'!AV51,'CF_3'!AV51,'CF_4'!AV51)</x:f>
      </x:c>
      <x:c r="AW25" s="120" t="n">
        <x:f>SUM('CF_1'!AW51,'CF_2'!AW51,'CF_3'!AW51,'CF_4'!AW51)</x:f>
      </x:c>
      <x:c r="AX25" s="120" t="n">
        <x:f>SUM('CF_1'!AX51,'CF_2'!AX51,'CF_3'!AX51,'CF_4'!AX51)</x:f>
      </x:c>
      <x:c r="AY25" s="120" t="n">
        <x:f>SUM('CF_1'!AY51,'CF_2'!AY51,'CF_3'!AY51,'CF_4'!AY51)</x:f>
      </x:c>
      <x:c r="AZ25" s="120" t="n">
        <x:f>SUM('CF_1'!AZ51,'CF_2'!AZ51,'CF_3'!AZ51,'CF_4'!AZ51)</x:f>
      </x:c>
      <x:c r="BA25" s="120" t="n">
        <x:f>SUM('CF_1'!BA51,'CF_2'!BA51,'CF_3'!BA51,'CF_4'!BA51)</x:f>
      </x:c>
      <x:c r="BB25" s="120" t="n">
        <x:f>SUM('CF_1'!BB51,'CF_2'!BB51,'CF_3'!BB51,'CF_4'!BB51)</x:f>
      </x:c>
      <x:c r="BC25" s="120" t="n">
        <x:f>SUM('CF_1'!BC51,'CF_2'!BC51,'CF_3'!BC51,'CF_4'!BC51)</x:f>
      </x:c>
      <x:c r="BD25" s="120" t="n">
        <x:f>SUM('CF_1'!BD51,'CF_2'!BD51,'CF_3'!BD51,'CF_4'!BD51)</x:f>
      </x:c>
      <x:c r="BE25" s="120" t="n">
        <x:f>SUM('CF_1'!BE51,'CF_2'!BE51,'CF_3'!BE51,'CF_4'!BE51)</x:f>
      </x:c>
      <x:c r="BF25" s="120" t="n">
        <x:f>SUM('CF_1'!BF51,'CF_2'!BF51,'CF_3'!BF51,'CF_4'!BF51)</x:f>
      </x:c>
      <x:c r="BG25" s="120" t="n">
        <x:f>SUM('CF_1'!BG51,'CF_2'!BG51,'CF_3'!BG51,'CF_4'!BG51)</x:f>
      </x:c>
      <x:c r="BH25" s="120" t="n">
        <x:f>SUM('CF_1'!BH51,'CF_2'!BH51,'CF_3'!BH51,'CF_4'!BH51)</x:f>
      </x:c>
      <x:c r="BI25" s="120" t="n">
        <x:f>SUM('CF_1'!BI51,'CF_2'!BI51,'CF_3'!BI51,'CF_4'!BI51)</x:f>
      </x:c>
      <x:c r="BJ25" s="120" t="n">
        <x:f>SUM('CF_1'!BJ51,'CF_2'!BJ51,'CF_3'!BJ51,'CF_4'!BJ51)</x:f>
      </x:c>
      <x:c r="BK25" s="120" t="n">
        <x:f>SUM('CF_1'!BK51,'CF_2'!BK51,'CF_3'!BK51,'CF_4'!BK51)</x:f>
      </x:c>
      <x:c r="BL25" s="120" t="n">
        <x:f>SUM('CF_1'!BL51,'CF_2'!BL51,'CF_3'!BL51,'CF_4'!BL51)</x:f>
      </x:c>
      <x:c r="BM25" s="120" t="n">
        <x:f>SUM('CF_1'!BM51,'CF_2'!BM51,'CF_3'!BM51,'CF_4'!BM51)</x:f>
      </x:c>
      <x:c r="BN25" s="120" t="n">
        <x:f>SUM('CF_1'!BN51,'CF_2'!BN51,'CF_3'!BN51,'CF_4'!BN51)</x:f>
      </x:c>
      <x:c r="BO25" s="120" t="n">
        <x:f>SUM('CF_1'!BO51,'CF_2'!BO51,'CF_3'!BO51,'CF_4'!BO51)</x:f>
      </x:c>
      <x:c r="BP25" s="120" t="n">
        <x:f>SUM('CF_1'!BP51,'CF_2'!BP51,'CF_3'!BP51,'CF_4'!BP51)</x:f>
      </x:c>
      <x:c r="BQ25" s="120" t="n">
        <x:f>SUM('CF_1'!BQ51,'CF_2'!BQ51,'CF_3'!BQ51,'CF_4'!BQ51)</x:f>
      </x:c>
      <x:c r="BR25" s="120" t="n">
        <x:f>SUM('CF_1'!BR51,'CF_2'!BR51,'CF_3'!BR51,'CF_4'!BR51)</x:f>
      </x:c>
      <x:c r="BS25" s="120" t="n">
        <x:f>SUM('CF_1'!BS51,'CF_2'!BS51,'CF_3'!BS51,'CF_4'!BS51)</x:f>
      </x:c>
      <x:c r="BT25" s="120" t="n">
        <x:f>SUM('CF_1'!BT51,'CF_2'!BT51,'CF_3'!BT51,'CF_4'!BT51)</x:f>
      </x:c>
      <x:c r="BU25" s="120" t="n">
        <x:f>SUM('CF_1'!BU51,'CF_2'!BU51,'CF_3'!BU51,'CF_4'!BU51)</x:f>
      </x:c>
      <x:c r="BV25" s="120" t="n">
        <x:f>SUM('CF_1'!BV51,'CF_2'!BV51,'CF_3'!BV51,'CF_4'!BV51)</x:f>
      </x:c>
      <x:c r="BW25" s="120" t="n">
        <x:f>SUM('CF_1'!BW51,'CF_2'!BW51,'CF_3'!BW51,'CF_4'!BW51)</x:f>
      </x:c>
      <x:c r="BX25" s="120" t="n">
        <x:f>SUM('CF_1'!BX51,'CF_2'!BX51,'CF_3'!BX51,'CF_4'!BX51)</x:f>
      </x:c>
      <x:c r="BY25" s="120" t="n">
        <x:f>SUM('CF_1'!BY51,'CF_2'!BY51,'CF_3'!BY51,'CF_4'!BY51)</x:f>
      </x:c>
      <x:c r="BZ25" s="120" t="n">
        <x:f>SUM('CF_1'!BZ51,'CF_2'!BZ51,'CF_3'!BZ51,'CF_4'!BZ51)</x:f>
      </x:c>
      <x:c r="CA25" s="120" t="n">
        <x:f>SUM('CF_1'!CA51,'CF_2'!CA51,'CF_3'!CA51,'CF_4'!CA51)</x:f>
      </x:c>
      <x:c r="CB25" s="120" t="n">
        <x:f>SUM('CF_1'!CB51,'CF_2'!CB51,'CF_3'!CB51,'CF_4'!CB51)</x:f>
      </x:c>
      <x:c r="CC25" s="120" t="n">
        <x:f>SUM('CF_1'!CC51,'CF_2'!CC51,'CF_3'!CC51,'CF_4'!CC51)</x:f>
      </x:c>
      <x:c r="CD25" s="120" t="n">
        <x:f>SUM('CF_1'!CD51,'CF_2'!CD51,'CF_3'!CD51,'CF_4'!CD51)</x:f>
      </x:c>
      <x:c r="CE25" s="120" t="n">
        <x:f>SUM('CF_1'!CE51,'CF_2'!CE51,'CF_3'!CE51,'CF_4'!CE51)</x:f>
      </x:c>
      <x:c r="CF25" s="120" t="n">
        <x:f>SUM('CF_1'!CF51,'CF_2'!CF51,'CF_3'!CF51,'CF_4'!CF51)</x:f>
      </x:c>
      <x:c r="CG25" s="120" t="n">
        <x:f>SUM('CF_1'!CG51,'CF_2'!CG51,'CF_3'!CG51,'CF_4'!CG51)</x:f>
      </x:c>
      <x:c r="CH25" s="120" t="n">
        <x:f>SUM('CF_1'!CH51,'CF_2'!CH51,'CF_3'!CH51,'CF_4'!CH51)</x:f>
      </x:c>
      <x:c r="CI25" s="120" t="n">
        <x:f>SUM('CF_1'!CI51,'CF_2'!CI51,'CF_3'!CI51,'CF_4'!CI51)</x:f>
      </x:c>
      <x:c r="CJ25" s="120" t="n">
        <x:f>SUM('CF_1'!CJ51,'CF_2'!CJ51,'CF_3'!CJ51,'CF_4'!CJ51)</x:f>
      </x:c>
      <x:c r="CK25" s="120" t="n">
        <x:f>SUM('CF_1'!CK51,'CF_2'!CK51,'CF_3'!CK51,'CF_4'!CK51)</x:f>
      </x:c>
      <x:c r="CL25" s="120" t="n">
        <x:f>SUM('CF_1'!CL51,'CF_2'!CL51,'CF_3'!CL51,'CF_4'!CL51)</x:f>
      </x:c>
      <x:c r="CM25" s="120" t="n">
        <x:f>SUM('CF_1'!CM51,'CF_2'!CM51,'CF_3'!CM51,'CF_4'!CM51)</x:f>
      </x:c>
      <x:c r="CN25" s="120" t="n">
        <x:f>SUM('CF_1'!CN51,'CF_2'!CN51,'CF_3'!CN51,'CF_4'!CN51)</x:f>
      </x:c>
      <x:c r="CO25" s="120" t="n">
        <x:f>SUM('CF_1'!CO51,'CF_2'!CO51,'CF_3'!CO51,'CF_4'!CO51)</x:f>
      </x:c>
      <x:c r="CP25" s="120" t="n">
        <x:f>SUM('CF_1'!CP51,'CF_2'!CP51,'CF_3'!CP51,'CF_4'!CP51)</x:f>
      </x:c>
      <x:c r="CQ25" s="120" t="n">
        <x:f>SUM('CF_1'!CQ51,'CF_2'!CQ51,'CF_3'!CQ51,'CF_4'!CQ51)</x:f>
      </x:c>
      <x:c r="CR25" s="120" t="n">
        <x:f>SUM('CF_1'!CR51,'CF_2'!CR51,'CF_3'!CR51,'CF_4'!CR51)</x:f>
      </x:c>
      <x:c r="CS25" s="120" t="n">
        <x:f>SUM('CF_1'!CS51,'CF_2'!CS51,'CF_3'!CS51,'CF_4'!CS51)</x:f>
      </x:c>
      <x:c r="CT25" s="120" t="n">
        <x:f>SUM('CF_1'!CT51,'CF_2'!CT51,'CF_3'!CT51,'CF_4'!CT51)</x:f>
      </x:c>
      <x:c r="CU25" s="120" t="n">
        <x:f>SUM('CF_1'!CU51,'CF_2'!CU51,'CF_3'!CU51,'CF_4'!CU51)</x:f>
      </x:c>
      <x:c r="CV25" s="120" t="n">
        <x:f>SUM('CF_1'!CV51,'CF_2'!CV51,'CF_3'!CV51,'CF_4'!CV51)</x:f>
      </x:c>
      <x:c r="CW25" s="120" t="n">
        <x:f>SUM('CF_1'!CW51,'CF_2'!CW51,'CF_3'!CW51,'CF_4'!CW51)</x:f>
      </x:c>
      <x:c r="CX25" s="120" t="n">
        <x:f>SUM('CF_1'!CX51,'CF_2'!CX51,'CF_3'!CX51,'CF_4'!CX51)</x:f>
      </x:c>
      <x:c r="CY25" s="120" t="n">
        <x:f>SUM('CF_1'!CY51,'CF_2'!CY51,'CF_3'!CY51,'CF_4'!CY51)</x:f>
      </x:c>
      <x:c r="CZ25" s="120" t="n">
        <x:f>SUM('CF_1'!CZ51,'CF_2'!CZ51,'CF_3'!CZ51,'CF_4'!CZ51)</x:f>
      </x:c>
      <x:c r="DA25" s="120" t="n">
        <x:f>SUM('CF_1'!DA51,'CF_2'!DA51,'CF_3'!DA51,'CF_4'!DA51)</x:f>
      </x:c>
      <x:c r="DB25" s="120" t="n">
        <x:f>SUM('CF_1'!DB51,'CF_2'!DB51,'CF_3'!DB51,'CF_4'!DB51)</x:f>
      </x:c>
      <x:c r="DC25" s="120" t="n">
        <x:f>SUM('CF_1'!DC51,'CF_2'!DC51,'CF_3'!DC51,'CF_4'!DC51)</x:f>
      </x:c>
      <x:c r="DD25" s="120" t="n">
        <x:f>SUM('CF_1'!DD51,'CF_2'!DD51,'CF_3'!DD51,'CF_4'!DD51)</x:f>
      </x:c>
      <x:c r="DE25" s="120" t="n">
        <x:f>SUM('CF_1'!DE51,'CF_2'!DE51,'CF_3'!DE51,'CF_4'!DE51)</x:f>
      </x:c>
      <x:c r="DF25" s="120" t="n">
        <x:f>SUM('CF_1'!DF51,'CF_2'!DF51,'CF_3'!DF51,'CF_4'!DF51)</x:f>
      </x:c>
      <x:c r="DG25" s="120" t="n">
        <x:f>SUM('CF_1'!DG51,'CF_2'!DG51,'CF_3'!DG51,'CF_4'!DG51)</x:f>
      </x:c>
      <x:c r="DH25" s="120" t="n">
        <x:f>SUM('CF_1'!DH51,'CF_2'!DH51,'CF_3'!DH51,'CF_4'!DH51)</x:f>
      </x:c>
      <x:c r="DI25" s="120" t="n">
        <x:f>SUM('CF_1'!DI51,'CF_2'!DI51,'CF_3'!DI51,'CF_4'!DI51)</x:f>
      </x:c>
      <x:c r="DJ25" s="120" t="n">
        <x:f>SUM('CF_1'!DJ51,'CF_2'!DJ51,'CF_3'!DJ51,'CF_4'!DJ51)</x:f>
      </x:c>
      <x:c r="DK25" s="120" t="n">
        <x:f>SUM('CF_1'!DK51,'CF_2'!DK51,'CF_3'!DK51,'CF_4'!DK51)</x:f>
      </x:c>
      <x:c r="DL25" s="120" t="n">
        <x:f>SUM('CF_1'!DL51,'CF_2'!DL51,'CF_3'!DL51,'CF_4'!DL51)</x:f>
      </x:c>
      <x:c r="DM25" s="120" t="n">
        <x:f>SUM('CF_1'!DM51,'CF_2'!DM51,'CF_3'!DM51,'CF_4'!DM51)</x:f>
      </x:c>
      <x:c r="DN25" s="120" t="n">
        <x:f>SUM('CF_1'!DN51,'CF_2'!DN51,'CF_3'!DN51,'CF_4'!DN51)</x:f>
      </x:c>
      <x:c r="DO25" s="120" t="n">
        <x:f>SUM('CF_1'!DO51,'CF_2'!DO51,'CF_3'!DO51,'CF_4'!DO51)</x:f>
      </x:c>
      <x:c r="DP25" s="120" t="n">
        <x:f>SUM('CF_1'!DP51,'CF_2'!DP51,'CF_3'!DP51,'CF_4'!DP51)</x:f>
      </x:c>
      <x:c r="DQ25" s="120" t="n">
        <x:f>SUM('CF_1'!DQ51,'CF_2'!DQ51,'CF_3'!DQ51,'CF_4'!DQ51)</x:f>
      </x:c>
      <x:c r="DR25" s="120" t="n">
        <x:f>SUM('CF_1'!DR51,'CF_2'!DR51,'CF_3'!DR51,'CF_4'!DR51)</x:f>
      </x:c>
      <x:c r="DS25" s="120" t="n">
        <x:f>SUM('CF_1'!DS51,'CF_2'!DS51,'CF_3'!DS51,'CF_4'!DS51)</x:f>
      </x:c>
      <x:c r="DT25" s="120" t="n">
        <x:f>SUM('CF_1'!DT51,'CF_2'!DT51,'CF_3'!DT51,'CF_4'!DT51)</x:f>
      </x:c>
      <x:c r="DU25" s="120" t="n">
        <x:f>SUM('CF_1'!DU51,'CF_2'!DU51,'CF_3'!DU51,'CF_4'!DU51)</x:f>
      </x:c>
      <x:c r="DV25" s="120" t="n">
        <x:f>SUM('CF_1'!DV51,'CF_2'!DV51,'CF_3'!DV51,'CF_4'!DV51)</x:f>
      </x:c>
      <x:c r="DW25" s="120" t="n">
        <x:f>SUM('CF_1'!DW51,'CF_2'!DW51,'CF_3'!DW51,'CF_4'!DW51)</x:f>
      </x:c>
      <x:c r="DX25" s="120" t="n">
        <x:f>SUM('CF_1'!DX51,'CF_2'!DX51,'CF_3'!DX51,'CF_4'!DX51)</x:f>
      </x:c>
      <x:c r="DY25" s="120" t="n">
        <x:f>SUM('CF_1'!DY51,'CF_2'!DY51,'CF_3'!DY51,'CF_4'!DY51)</x:f>
      </x:c>
      <x:c r="DZ25" s="120" t="n">
        <x:f>SUM('CF_1'!DZ51,'CF_2'!DZ51,'CF_3'!DZ51,'CF_4'!DZ51)</x:f>
      </x:c>
      <x:c r="EA25" s="120" t="n">
        <x:f>SUM('CF_1'!EA51,'CF_2'!EA51,'CF_3'!EA51,'CF_4'!EA51)</x:f>
      </x:c>
      <x:c r="EB25" s="120" t="n">
        <x:f>SUM('CF_1'!EB51,'CF_2'!EB51,'CF_3'!EB51,'CF_4'!EB51)</x:f>
      </x:c>
      <x:c r="EC25" s="120" t="n">
        <x:f>SUM('CF_1'!EC51,'CF_2'!EC51,'CF_3'!EC51,'CF_4'!EC51)</x:f>
      </x:c>
      <x:c r="ED25" s="120" t="n">
        <x:f>SUM('CF_1'!ED51,'CF_2'!ED51,'CF_3'!ED51,'CF_4'!ED51)</x:f>
      </x:c>
      <x:c r="EE25" s="120" t="n">
        <x:f>SUM('CF_1'!EE51,'CF_2'!EE51,'CF_3'!EE51,'CF_4'!EE51)</x:f>
      </x:c>
      <x:c r="EF25" s="120" t="n">
        <x:f>SUM('CF_1'!EF51,'CF_2'!EF51,'CF_3'!EF51,'CF_4'!EF51)</x:f>
      </x:c>
      <x:c r="EG25" s="120" t="n">
        <x:f>SUM('CF_1'!EG51,'CF_2'!EG51,'CF_3'!EG51,'CF_4'!EG51)</x:f>
      </x:c>
      <x:c r="EH25" s="120" t="n">
        <x:f>SUM('CF_1'!EH51,'CF_2'!EH51,'CF_3'!EH51,'CF_4'!EH51)</x:f>
      </x:c>
      <x:c r="EI25" s="120" t="n">
        <x:f>SUM('CF_1'!EI51,'CF_2'!EI51,'CF_3'!EI51,'CF_4'!EI51)</x:f>
      </x:c>
      <x:c r="EJ25" s="120" t="n">
        <x:f>SUM('CF_1'!EJ51,'CF_2'!EJ51,'CF_3'!EJ51,'CF_4'!EJ51)</x:f>
      </x:c>
      <x:c r="EK25" s="120" t="n">
        <x:f>SUM('CF_1'!EK51,'CF_2'!EK51,'CF_3'!EK51,'CF_4'!EK51)</x:f>
      </x:c>
      <x:c r="EL25" s="120" t="n">
        <x:f>SUM('CF_1'!EL51,'CF_2'!EL51,'CF_3'!EL51,'CF_4'!EL51)</x:f>
      </x:c>
      <x:c r="EM25" s="120" t="n">
        <x:f>SUM('CF_1'!EM51,'CF_2'!EM51,'CF_3'!EM51,'CF_4'!EM51)</x:f>
      </x:c>
      <x:c r="EN25" s="120" t="n">
        <x:f>SUM('CF_1'!EN51,'CF_2'!EN51,'CF_3'!EN51,'CF_4'!EN51)</x:f>
      </x:c>
      <x:c r="EO25" s="120" t="n">
        <x:f>SUM('CF_1'!EO51,'CF_2'!EO51,'CF_3'!EO51,'CF_4'!EO51)</x:f>
      </x:c>
      <x:c r="EP25" s="120" t="n">
        <x:f>SUM('CF_1'!EP51,'CF_2'!EP51,'CF_3'!EP51,'CF_4'!EP51)</x:f>
      </x:c>
      <x:c r="EQ25" s="120" t="n">
        <x:f>SUM('CF_1'!EQ51,'CF_2'!EQ51,'CF_3'!EQ51,'CF_4'!EQ51)</x:f>
      </x:c>
      <x:c r="ER25" s="120" t="n">
        <x:f>SUM('CF_1'!ER51,'CF_2'!ER51,'CF_3'!ER51,'CF_4'!ER51)</x:f>
      </x:c>
      <x:c r="ES25" s="120" t="n">
        <x:f>SUM('CF_1'!ES51,'CF_2'!ES51,'CF_3'!ES51,'CF_4'!ES51)</x:f>
      </x:c>
      <x:c r="ET25" s="120" t="n">
        <x:f>SUM('CF_1'!ET51,'CF_2'!ET51,'CF_3'!ET51,'CF_4'!ET51)</x:f>
      </x:c>
      <x:c r="EU25" s="120" t="n">
        <x:f>SUM('CF_1'!EU51,'CF_2'!EU51,'CF_3'!EU51,'CF_4'!EU51)</x:f>
      </x:c>
      <x:c r="EV25" s="120" t="n">
        <x:f>SUM('CF_1'!EV51,'CF_2'!EV51,'CF_3'!EV51,'CF_4'!EV51)</x:f>
      </x:c>
      <x:c r="EW25" s="120" t="n">
        <x:f>SUM('CF_1'!EW51,'CF_2'!EW51,'CF_3'!EW51,'CF_4'!EW51)</x:f>
      </x:c>
      <x:c r="EX25" s="120" t="n">
        <x:f>SUM('CF_1'!EX51,'CF_2'!EX51,'CF_3'!EX51,'CF_4'!EX51)</x:f>
      </x:c>
      <x:c r="EY25" s="120" t="n">
        <x:f>SUM('CF_1'!EY51,'CF_2'!EY51,'CF_3'!EY51,'CF_4'!EY51)</x:f>
      </x:c>
      <x:c r="EZ25" s="120" t="n">
        <x:f>SUM('CF_1'!EZ51,'CF_2'!EZ51,'CF_3'!EZ51,'CF_4'!EZ51)</x:f>
      </x:c>
      <x:c r="FA25" s="120" t="n">
        <x:f>SUM('CF_1'!FA51,'CF_2'!FA51,'CF_3'!FA51,'CF_4'!FA51)</x:f>
      </x:c>
      <x:c r="FB25" s="120" t="n">
        <x:f>SUM('CF_1'!FB51,'CF_2'!FB51,'CF_3'!FB51,'CF_4'!FB51)</x:f>
      </x:c>
      <x:c r="FC25" s="120" t="n">
        <x:f>SUM('CF_1'!FC51,'CF_2'!FC51,'CF_3'!FC51,'CF_4'!FC51)</x:f>
      </x:c>
      <x:c r="FD25" s="120" t="n">
        <x:f>SUM('CF_1'!FD51,'CF_2'!FD51,'CF_3'!FD51,'CF_4'!FD51)</x:f>
      </x:c>
      <x:c r="FE25" s="120" t="n">
        <x:f>SUM('CF_1'!FE51,'CF_2'!FE51,'CF_3'!FE51,'CF_4'!FE51)</x:f>
      </x:c>
      <x:c r="FF25" s="120" t="n">
        <x:f>SUM('CF_1'!FF51,'CF_2'!FF51,'CF_3'!FF51,'CF_4'!FF51)</x:f>
      </x:c>
      <x:c r="FG25" s="120" t="n">
        <x:f>SUM('CF_1'!FG51,'CF_2'!FG51,'CF_3'!FG51,'CF_4'!FG51)</x:f>
      </x:c>
      <x:c r="FH25" s="120" t="n">
        <x:f>SUM('CF_1'!FH51,'CF_2'!FH51,'CF_3'!FH51,'CF_4'!FH51)</x:f>
      </x:c>
      <x:c r="FI25" s="120" t="n">
        <x:f>SUM('CF_1'!FI51,'CF_2'!FI51,'CF_3'!FI51,'CF_4'!FI51)</x:f>
      </x:c>
      <x:c r="FJ25" s="120" t="n">
        <x:f>SUM('CF_1'!FJ51,'CF_2'!FJ51,'CF_3'!FJ51,'CF_4'!FJ51)</x:f>
      </x:c>
      <x:c r="FK25" s="120" t="n">
        <x:f>SUM('CF_1'!FK51,'CF_2'!FK51,'CF_3'!FK51,'CF_4'!FK51)</x:f>
      </x:c>
      <x:c r="FL25" s="120" t="n">
        <x:f>SUM('CF_1'!FL51,'CF_2'!FL51,'CF_3'!FL51,'CF_4'!FL51)</x:f>
      </x:c>
      <x:c r="FM25" s="120" t="n">
        <x:f>SUM('CF_1'!FM51,'CF_2'!FM51,'CF_3'!FM51,'CF_4'!FM51)</x:f>
      </x:c>
      <x:c r="FN25" s="120" t="n">
        <x:f>SUM('CF_1'!FN51,'CF_2'!FN51,'CF_3'!FN51,'CF_4'!FN51)</x:f>
      </x:c>
      <x:c r="FO25" s="120" t="n">
        <x:f>SUM('CF_1'!FO51,'CF_2'!FO51,'CF_3'!FO51,'CF_4'!FO51)</x:f>
      </x:c>
      <x:c r="FP25" s="120" t="n">
        <x:f>SUM('CF_1'!FP51,'CF_2'!FP51,'CF_3'!FP51,'CF_4'!FP51)</x:f>
      </x:c>
      <x:c r="FQ25" s="120" t="n">
        <x:f>SUM('CF_1'!FQ51,'CF_2'!FQ51,'CF_3'!FQ51,'CF_4'!FQ51)</x:f>
      </x:c>
      <x:c r="FR25" s="120" t="n">
        <x:f>SUM('CF_1'!FR51,'CF_2'!FR51,'CF_3'!FR51,'CF_4'!FR51)</x:f>
      </x:c>
      <x:c r="FS25" s="120" t="n">
        <x:f>SUM('CF_1'!FS51,'CF_2'!FS51,'CF_3'!FS51,'CF_4'!FS51)</x:f>
      </x:c>
      <x:c r="FT25" s="120" t="n">
        <x:f>SUM('CF_1'!FT51,'CF_2'!FT51,'CF_3'!FT51,'CF_4'!FT51)</x:f>
      </x:c>
      <x:c r="FU25" s="120" t="n">
        <x:f>SUM('CF_1'!FU51,'CF_2'!FU51,'CF_3'!FU51,'CF_4'!FU51)</x:f>
      </x:c>
      <x:c r="FV25" s="120" t="n">
        <x:f>SUM('CF_1'!FV51,'CF_2'!FV51,'CF_3'!FV51,'CF_4'!FV51)</x:f>
      </x:c>
      <x:c r="FW25" s="120" t="n">
        <x:f>SUM('CF_1'!FW51,'CF_2'!FW51,'CF_3'!FW51,'CF_4'!FW51)</x:f>
      </x:c>
      <x:c r="FX25" s="120" t="n">
        <x:f>SUM('CF_1'!FX51,'CF_2'!FX51,'CF_3'!FX51,'CF_4'!FX51)</x:f>
      </x:c>
      <x:c r="FY25" s="120" t="n">
        <x:f>SUM('CF_1'!FY51,'CF_2'!FY51,'CF_3'!FY51,'CF_4'!FY51)</x:f>
      </x:c>
      <x:c r="FZ25" s="120" t="n">
        <x:f>SUM('CF_1'!FZ51,'CF_2'!FZ51,'CF_3'!FZ51,'CF_4'!FZ51)</x:f>
      </x:c>
      <x:c r="GA25" s="120" t="n">
        <x:f>SUM('CF_1'!GA51,'CF_2'!GA51,'CF_3'!GA51,'CF_4'!GA51)</x:f>
      </x:c>
    </x:row>
    <x:row r="26">
      <x:c r="A26" t="str">
        <x:v>Накопленный CF капитала</x:v>
      </x:c>
      <x:c r="B26" t="n">
        <x:f>GA26</x:f>
      </x:c>
      <x:c r="C26" t="str">
        <x:v>млн ₽</x:v>
      </x:c>
      <x:c r="D26" s="117" t="n">
        <x:f>D25</x:f>
      </x:c>
      <x:c r="E26" s="117" t="n">
        <x:f>D26+E25</x:f>
      </x:c>
      <x:c r="F26" s="117" t="n">
        <x:f>E26+F25</x:f>
      </x:c>
      <x:c r="G26" s="117" t="n">
        <x:f>F26+G25</x:f>
      </x:c>
      <x:c r="H26" s="117" t="n">
        <x:f>G26+H25</x:f>
      </x:c>
      <x:c r="I26" s="117" t="n">
        <x:f>H26+I25</x:f>
      </x:c>
      <x:c r="J26" s="117" t="n">
        <x:f>I26+J25</x:f>
      </x:c>
      <x:c r="K26" s="117" t="n">
        <x:f>J26+K25</x:f>
      </x:c>
      <x:c r="L26" s="117" t="n">
        <x:f>K26+L25</x:f>
      </x:c>
      <x:c r="M26" s="117" t="n">
        <x:f>L26+M25</x:f>
      </x:c>
      <x:c r="N26" s="117" t="n">
        <x:f>M26+N25</x:f>
      </x:c>
      <x:c r="O26" s="117" t="n">
        <x:f>N26+O25</x:f>
      </x:c>
      <x:c r="P26" s="117" t="n">
        <x:f>O26+P25</x:f>
      </x:c>
      <x:c r="Q26" s="117" t="n">
        <x:f>P26+Q25</x:f>
      </x:c>
      <x:c r="R26" s="117" t="n">
        <x:f>Q26+R25</x:f>
      </x:c>
      <x:c r="S26" s="117" t="n">
        <x:f>R26+S25</x:f>
      </x:c>
      <x:c r="T26" s="117" t="n">
        <x:f>S26+T25</x:f>
      </x:c>
      <x:c r="U26" s="117" t="n">
        <x:f>T26+U25</x:f>
      </x:c>
      <x:c r="V26" s="117" t="n">
        <x:f>U26+V25</x:f>
      </x:c>
      <x:c r="W26" s="117" t="n">
        <x:f>V26+W25</x:f>
      </x:c>
      <x:c r="X26" s="117" t="n">
        <x:f>W26+X25</x:f>
      </x:c>
      <x:c r="Y26" s="117" t="n">
        <x:f>X26+Y25</x:f>
      </x:c>
      <x:c r="Z26" s="117" t="n">
        <x:f>Y26+Z25</x:f>
      </x:c>
      <x:c r="AA26" s="117" t="n">
        <x:f>Z26+AA25</x:f>
      </x:c>
      <x:c r="AB26" s="117" t="n">
        <x:f>AA26+AB25</x:f>
      </x:c>
      <x:c r="AC26" s="117" t="n">
        <x:f>AB26+AC25</x:f>
      </x:c>
      <x:c r="AD26" s="117" t="n">
        <x:f>AC26+AD25</x:f>
      </x:c>
      <x:c r="AE26" s="117" t="n">
        <x:f>AD26+AE25</x:f>
      </x:c>
      <x:c r="AF26" s="117" t="n">
        <x:f>AE26+AF25</x:f>
      </x:c>
      <x:c r="AG26" s="117" t="n">
        <x:f>AF26+AG25</x:f>
      </x:c>
      <x:c r="AH26" s="117" t="n">
        <x:f>AG26+AH25</x:f>
      </x:c>
      <x:c r="AI26" s="117" t="n">
        <x:f>AH26+AI25</x:f>
      </x:c>
      <x:c r="AJ26" s="117" t="n">
        <x:f>AI26+AJ25</x:f>
      </x:c>
      <x:c r="AK26" s="117" t="n">
        <x:f>AJ26+AK25</x:f>
      </x:c>
      <x:c r="AL26" s="117" t="n">
        <x:f>AK26+AL25</x:f>
      </x:c>
      <x:c r="AM26" s="117" t="n">
        <x:f>AL26+AM25</x:f>
      </x:c>
      <x:c r="AN26" s="117" t="n">
        <x:f>AM26+AN25</x:f>
      </x:c>
      <x:c r="AO26" s="117" t="n">
        <x:f>AN26+AO25</x:f>
      </x:c>
      <x:c r="AP26" s="117" t="n">
        <x:f>AO26+AP25</x:f>
      </x:c>
      <x:c r="AQ26" s="117" t="n">
        <x:f>AP26+AQ25</x:f>
      </x:c>
      <x:c r="AR26" s="117" t="n">
        <x:f>AQ26+AR25</x:f>
      </x:c>
      <x:c r="AS26" s="117" t="n">
        <x:f>AR26+AS25</x:f>
      </x:c>
      <x:c r="AT26" s="117" t="n">
        <x:f>AS26+AT25</x:f>
      </x:c>
      <x:c r="AU26" s="117" t="n">
        <x:f>AT26+AU25</x:f>
      </x:c>
      <x:c r="AV26" s="117" t="n">
        <x:f>AU26+AV25</x:f>
      </x:c>
      <x:c r="AW26" s="117" t="n">
        <x:f>AV26+AW25</x:f>
      </x:c>
      <x:c r="AX26" s="117" t="n">
        <x:f>AW26+AX25</x:f>
      </x:c>
      <x:c r="AY26" s="117" t="n">
        <x:f>AX26+AY25</x:f>
      </x:c>
      <x:c r="AZ26" s="117" t="n">
        <x:f>AY26+AZ25</x:f>
      </x:c>
      <x:c r="BA26" s="117" t="n">
        <x:f>AZ26+BA25</x:f>
      </x:c>
      <x:c r="BB26" s="117" t="n">
        <x:f>BA26+BB25</x:f>
      </x:c>
      <x:c r="BC26" s="117" t="n">
        <x:f>BB26+BC25</x:f>
      </x:c>
      <x:c r="BD26" s="117" t="n">
        <x:f>BC26+BD25</x:f>
      </x:c>
      <x:c r="BE26" s="117" t="n">
        <x:f>BD26+BE25</x:f>
      </x:c>
      <x:c r="BF26" s="117" t="n">
        <x:f>BE26+BF25</x:f>
      </x:c>
      <x:c r="BG26" s="117" t="n">
        <x:f>BF26+BG25</x:f>
      </x:c>
      <x:c r="BH26" s="117" t="n">
        <x:f>BG26+BH25</x:f>
      </x:c>
      <x:c r="BI26" s="117" t="n">
        <x:f>BH26+BI25</x:f>
      </x:c>
      <x:c r="BJ26" s="117" t="n">
        <x:f>BI26+BJ25</x:f>
      </x:c>
      <x:c r="BK26" s="117" t="n">
        <x:f>BJ26+BK25</x:f>
      </x:c>
      <x:c r="BL26" s="117" t="n">
        <x:f>BK26+BL25</x:f>
      </x:c>
      <x:c r="BM26" s="117" t="n">
        <x:f>BL26+BM25</x:f>
      </x:c>
      <x:c r="BN26" s="117" t="n">
        <x:f>BM26+BN25</x:f>
      </x:c>
      <x:c r="BO26" s="117" t="n">
        <x:f>BN26+BO25</x:f>
      </x:c>
      <x:c r="BP26" s="117" t="n">
        <x:f>BO26+BP25</x:f>
      </x:c>
      <x:c r="BQ26" s="117" t="n">
        <x:f>BP26+BQ25</x:f>
      </x:c>
      <x:c r="BR26" s="117" t="n">
        <x:f>BQ26+BR25</x:f>
      </x:c>
      <x:c r="BS26" s="117" t="n">
        <x:f>BR26+BS25</x:f>
      </x:c>
      <x:c r="BT26" s="117" t="n">
        <x:f>BS26+BT25</x:f>
      </x:c>
      <x:c r="BU26" s="117" t="n">
        <x:f>BT26+BU25</x:f>
      </x:c>
      <x:c r="BV26" s="117" t="n">
        <x:f>BU26+BV25</x:f>
      </x:c>
      <x:c r="BW26" s="117" t="n">
        <x:f>BV26+BW25</x:f>
      </x:c>
      <x:c r="BX26" s="117" t="n">
        <x:f>BW26+BX25</x:f>
      </x:c>
      <x:c r="BY26" s="117" t="n">
        <x:f>BX26+BY25</x:f>
      </x:c>
      <x:c r="BZ26" s="117" t="n">
        <x:f>BY26+BZ25</x:f>
      </x:c>
      <x:c r="CA26" s="117" t="n">
        <x:f>BZ26+CA25</x:f>
      </x:c>
      <x:c r="CB26" s="117" t="n">
        <x:f>CA26+CB25</x:f>
      </x:c>
      <x:c r="CC26" s="117" t="n">
        <x:f>CB26+CC25</x:f>
      </x:c>
      <x:c r="CD26" s="117" t="n">
        <x:f>CC26+CD25</x:f>
      </x:c>
      <x:c r="CE26" s="117" t="n">
        <x:f>CD26+CE25</x:f>
      </x:c>
      <x:c r="CF26" s="117" t="n">
        <x:f>CE26+CF25</x:f>
      </x:c>
      <x:c r="CG26" s="117" t="n">
        <x:f>CF26+CG25</x:f>
      </x:c>
      <x:c r="CH26" s="117" t="n">
        <x:f>CG26+CH25</x:f>
      </x:c>
      <x:c r="CI26" s="117" t="n">
        <x:f>CH26+CI25</x:f>
      </x:c>
      <x:c r="CJ26" s="117" t="n">
        <x:f>CI26+CJ25</x:f>
      </x:c>
      <x:c r="CK26" s="117" t="n">
        <x:f>CJ26+CK25</x:f>
      </x:c>
      <x:c r="CL26" s="117" t="n">
        <x:f>CK26+CL25</x:f>
      </x:c>
      <x:c r="CM26" s="117" t="n">
        <x:f>CL26+CM25</x:f>
      </x:c>
      <x:c r="CN26" s="117" t="n">
        <x:f>CM26+CN25</x:f>
      </x:c>
      <x:c r="CO26" s="117" t="n">
        <x:f>CN26+CO25</x:f>
      </x:c>
      <x:c r="CP26" s="117" t="n">
        <x:f>CO26+CP25</x:f>
      </x:c>
      <x:c r="CQ26" s="117" t="n">
        <x:f>CP26+CQ25</x:f>
      </x:c>
      <x:c r="CR26" s="117" t="n">
        <x:f>CQ26+CR25</x:f>
      </x:c>
      <x:c r="CS26" s="117" t="n">
        <x:f>CR26+CS25</x:f>
      </x:c>
      <x:c r="CT26" s="117" t="n">
        <x:f>CS26+CT25</x:f>
      </x:c>
      <x:c r="CU26" s="117" t="n">
        <x:f>CT26+CU25</x:f>
      </x:c>
      <x:c r="CV26" s="117" t="n">
        <x:f>CU26+CV25</x:f>
      </x:c>
      <x:c r="CW26" s="117" t="n">
        <x:f>CV26+CW25</x:f>
      </x:c>
      <x:c r="CX26" s="117" t="n">
        <x:f>CW26+CX25</x:f>
      </x:c>
      <x:c r="CY26" s="117" t="n">
        <x:f>CX26+CY25</x:f>
      </x:c>
      <x:c r="CZ26" s="117" t="n">
        <x:f>CY26+CZ25</x:f>
      </x:c>
      <x:c r="DA26" s="117" t="n">
        <x:f>CZ26+DA25</x:f>
      </x:c>
      <x:c r="DB26" s="117" t="n">
        <x:f>DA26+DB25</x:f>
      </x:c>
      <x:c r="DC26" s="117" t="n">
        <x:f>DB26+DC25</x:f>
      </x:c>
      <x:c r="DD26" s="117" t="n">
        <x:f>DC26+DD25</x:f>
      </x:c>
      <x:c r="DE26" s="117" t="n">
        <x:f>DD26+DE25</x:f>
      </x:c>
      <x:c r="DF26" s="117" t="n">
        <x:f>DE26+DF25</x:f>
      </x:c>
      <x:c r="DG26" s="117" t="n">
        <x:f>DF26+DG25</x:f>
      </x:c>
      <x:c r="DH26" s="117" t="n">
        <x:f>DG26+DH25</x:f>
      </x:c>
      <x:c r="DI26" s="117" t="n">
        <x:f>DH26+DI25</x:f>
      </x:c>
      <x:c r="DJ26" s="117" t="n">
        <x:f>DI26+DJ25</x:f>
      </x:c>
      <x:c r="DK26" s="117" t="n">
        <x:f>DJ26+DK25</x:f>
      </x:c>
      <x:c r="DL26" s="117" t="n">
        <x:f>DK26+DL25</x:f>
      </x:c>
      <x:c r="DM26" s="117" t="n">
        <x:f>DL26+DM25</x:f>
      </x:c>
      <x:c r="DN26" s="117" t="n">
        <x:f>DM26+DN25</x:f>
      </x:c>
      <x:c r="DO26" s="117" t="n">
        <x:f>DN26+DO25</x:f>
      </x:c>
      <x:c r="DP26" s="117" t="n">
        <x:f>DO26+DP25</x:f>
      </x:c>
      <x:c r="DQ26" s="117" t="n">
        <x:f>DP26+DQ25</x:f>
      </x:c>
      <x:c r="DR26" s="117" t="n">
        <x:f>DQ26+DR25</x:f>
      </x:c>
      <x:c r="DS26" s="117" t="n">
        <x:f>DR26+DS25</x:f>
      </x:c>
      <x:c r="DT26" s="117" t="n">
        <x:f>DS26+DT25</x:f>
      </x:c>
      <x:c r="DU26" s="117" t="n">
        <x:f>DT26+DU25</x:f>
      </x:c>
      <x:c r="DV26" s="117" t="n">
        <x:f>DU26+DV25</x:f>
      </x:c>
      <x:c r="DW26" s="117" t="n">
        <x:f>DV26+DW25</x:f>
      </x:c>
      <x:c r="DX26" s="117" t="n">
        <x:f>DW26+DX25</x:f>
      </x:c>
      <x:c r="DY26" s="117" t="n">
        <x:f>DX26+DY25</x:f>
      </x:c>
      <x:c r="DZ26" s="117" t="n">
        <x:f>DY26+DZ25</x:f>
      </x:c>
      <x:c r="EA26" s="117" t="n">
        <x:f>DZ26+EA25</x:f>
      </x:c>
      <x:c r="EB26" s="117" t="n">
        <x:f>EA26+EB25</x:f>
      </x:c>
      <x:c r="EC26" s="117" t="n">
        <x:f>EB26+EC25</x:f>
      </x:c>
      <x:c r="ED26" s="117" t="n">
        <x:f>EC26+ED25</x:f>
      </x:c>
      <x:c r="EE26" s="117" t="n">
        <x:f>ED26+EE25</x:f>
      </x:c>
      <x:c r="EF26" s="117" t="n">
        <x:f>EE26+EF25</x:f>
      </x:c>
      <x:c r="EG26" s="117" t="n">
        <x:f>EF26+EG25</x:f>
      </x:c>
      <x:c r="EH26" s="117" t="n">
        <x:f>EG26+EH25</x:f>
      </x:c>
      <x:c r="EI26" s="117" t="n">
        <x:f>EH26+EI25</x:f>
      </x:c>
      <x:c r="EJ26" s="117" t="n">
        <x:f>EI26+EJ25</x:f>
      </x:c>
      <x:c r="EK26" s="117" t="n">
        <x:f>EJ26+EK25</x:f>
      </x:c>
      <x:c r="EL26" s="117" t="n">
        <x:f>EK26+EL25</x:f>
      </x:c>
      <x:c r="EM26" s="117" t="n">
        <x:f>EL26+EM25</x:f>
      </x:c>
      <x:c r="EN26" s="117" t="n">
        <x:f>EM26+EN25</x:f>
      </x:c>
      <x:c r="EO26" s="117" t="n">
        <x:f>EN26+EO25</x:f>
      </x:c>
      <x:c r="EP26" s="117" t="n">
        <x:f>EO26+EP25</x:f>
      </x:c>
      <x:c r="EQ26" s="117" t="n">
        <x:f>EP26+EQ25</x:f>
      </x:c>
      <x:c r="ER26" s="117" t="n">
        <x:f>EQ26+ER25</x:f>
      </x:c>
      <x:c r="ES26" s="117" t="n">
        <x:f>ER26+ES25</x:f>
      </x:c>
      <x:c r="ET26" s="117" t="n">
        <x:f>ES26+ET25</x:f>
      </x:c>
      <x:c r="EU26" s="117" t="n">
        <x:f>ET26+EU25</x:f>
      </x:c>
      <x:c r="EV26" s="117" t="n">
        <x:f>EU26+EV25</x:f>
      </x:c>
      <x:c r="EW26" s="117" t="n">
        <x:f>EV26+EW25</x:f>
      </x:c>
      <x:c r="EX26" s="117" t="n">
        <x:f>EW26+EX25</x:f>
      </x:c>
      <x:c r="EY26" s="117" t="n">
        <x:f>EX26+EY25</x:f>
      </x:c>
      <x:c r="EZ26" s="117" t="n">
        <x:f>EY26+EZ25</x:f>
      </x:c>
      <x:c r="FA26" s="117" t="n">
        <x:f>EZ26+FA25</x:f>
      </x:c>
      <x:c r="FB26" s="117" t="n">
        <x:f>FA26+FB25</x:f>
      </x:c>
      <x:c r="FC26" s="117" t="n">
        <x:f>FB26+FC25</x:f>
      </x:c>
      <x:c r="FD26" s="117" t="n">
        <x:f>FC26+FD25</x:f>
      </x:c>
      <x:c r="FE26" s="117" t="n">
        <x:f>FD26+FE25</x:f>
      </x:c>
      <x:c r="FF26" s="117" t="n">
        <x:f>FE26+FF25</x:f>
      </x:c>
      <x:c r="FG26" s="117" t="n">
        <x:f>FF26+FG25</x:f>
      </x:c>
      <x:c r="FH26" s="117" t="n">
        <x:f>FG26+FH25</x:f>
      </x:c>
      <x:c r="FI26" s="117" t="n">
        <x:f>FH26+FI25</x:f>
      </x:c>
      <x:c r="FJ26" s="117" t="n">
        <x:f>FI26+FJ25</x:f>
      </x:c>
      <x:c r="FK26" s="117" t="n">
        <x:f>FJ26+FK25</x:f>
      </x:c>
      <x:c r="FL26" s="117" t="n">
        <x:f>FK26+FL25</x:f>
      </x:c>
      <x:c r="FM26" s="117" t="n">
        <x:f>FL26+FM25</x:f>
      </x:c>
      <x:c r="FN26" s="117" t="n">
        <x:f>FM26+FN25</x:f>
      </x:c>
      <x:c r="FO26" s="117" t="n">
        <x:f>FN26+FO25</x:f>
      </x:c>
      <x:c r="FP26" s="117" t="n">
        <x:f>FO26+FP25</x:f>
      </x:c>
      <x:c r="FQ26" s="117" t="n">
        <x:f>FP26+FQ25</x:f>
      </x:c>
      <x:c r="FR26" s="117" t="n">
        <x:f>FQ26+FR25</x:f>
      </x:c>
      <x:c r="FS26" s="117" t="n">
        <x:f>FR26+FS25</x:f>
      </x:c>
      <x:c r="FT26" s="117" t="n">
        <x:f>FS26+FT25</x:f>
      </x:c>
      <x:c r="FU26" s="117" t="n">
        <x:f>FT26+FU25</x:f>
      </x:c>
      <x:c r="FV26" s="117" t="n">
        <x:f>FU26+FV25</x:f>
      </x:c>
      <x:c r="FW26" s="117" t="n">
        <x:f>FV26+FW25</x:f>
      </x:c>
      <x:c r="FX26" s="117" t="n">
        <x:f>FW26+FX25</x:f>
      </x:c>
      <x:c r="FY26" s="117" t="n">
        <x:f>FX26+FY25</x:f>
      </x:c>
      <x:c r="FZ26" s="117" t="n">
        <x:f>FY26+FZ25</x:f>
      </x:c>
      <x:c r="GA26" s="117" t="n">
        <x:f>FZ26+GA25</x:f>
      </x:c>
    </x:row>
    <x:row r="27">
      <x:c r="D27" s="117"/>
      <x:c r="E27" s="117"/>
      <x:c r="F27" s="117"/>
      <x:c r="G27" s="117"/>
      <x:c r="H27" s="117"/>
      <x:c r="I27" s="117"/>
      <x:c r="J27" s="117"/>
      <x:c r="K27" s="117"/>
      <x:c r="L27" s="117"/>
      <x:c r="M27" s="117"/>
      <x:c r="N27" s="117"/>
      <x:c r="O27" s="117"/>
      <x:c r="P27" s="117"/>
      <x:c r="Q27" s="117"/>
      <x:c r="R27" s="117"/>
      <x:c r="S27" s="117"/>
      <x:c r="T27" s="117"/>
      <x:c r="U27" s="117"/>
      <x:c r="V27" s="117"/>
      <x:c r="W27" s="117"/>
      <x:c r="X27" s="117"/>
      <x:c r="Y27" s="117"/>
      <x:c r="Z27" s="117"/>
      <x:c r="AA27" s="117"/>
      <x:c r="AB27" s="117"/>
      <x:c r="AC27" s="117"/>
      <x:c r="AD27" s="117"/>
      <x:c r="AE27" s="117"/>
      <x:c r="AF27" s="117"/>
      <x:c r="AG27" s="117"/>
      <x:c r="AH27" s="117"/>
      <x:c r="AI27" s="117"/>
      <x:c r="AJ27" s="117"/>
      <x:c r="AK27" s="117"/>
      <x:c r="AL27" s="117"/>
      <x:c r="AM27" s="117"/>
      <x:c r="AN27" s="117"/>
      <x:c r="AO27" s="117"/>
      <x:c r="AP27" s="117"/>
      <x:c r="AQ27" s="117"/>
      <x:c r="AR27" s="117"/>
      <x:c r="AS27" s="117"/>
      <x:c r="AT27" s="117"/>
      <x:c r="AU27" s="117"/>
      <x:c r="AV27" s="117"/>
      <x:c r="AW27" s="117"/>
      <x:c r="AX27" s="117"/>
      <x:c r="AY27" s="117"/>
      <x:c r="AZ27" s="117"/>
      <x:c r="BA27" s="117"/>
      <x:c r="BB27" s="117"/>
      <x:c r="BC27" s="117"/>
      <x:c r="BD27" s="117"/>
      <x:c r="BE27" s="117"/>
      <x:c r="BF27" s="117"/>
      <x:c r="BG27" s="117"/>
      <x:c r="BH27" s="117"/>
      <x:c r="BI27" s="117"/>
      <x:c r="BJ27" s="117"/>
      <x:c r="BK27" s="117"/>
      <x:c r="BL27" s="117"/>
      <x:c r="BM27" s="117"/>
      <x:c r="BN27" s="117"/>
      <x:c r="BO27" s="117"/>
      <x:c r="BP27" s="117"/>
      <x:c r="BQ27" s="117"/>
      <x:c r="BR27" s="117"/>
      <x:c r="BS27" s="117"/>
      <x:c r="BT27" s="117"/>
      <x:c r="BU27" s="117"/>
      <x:c r="BV27" s="117"/>
      <x:c r="BW27" s="117"/>
      <x:c r="BX27" s="117"/>
      <x:c r="BY27" s="117"/>
      <x:c r="BZ27" s="117"/>
      <x:c r="CA27" s="117"/>
      <x:c r="CB27" s="117"/>
      <x:c r="CC27" s="117"/>
      <x:c r="CD27" s="117"/>
      <x:c r="CE27" s="117"/>
      <x:c r="CF27" s="117"/>
      <x:c r="CG27" s="117"/>
      <x:c r="CH27" s="117"/>
      <x:c r="CI27" s="117"/>
      <x:c r="CJ27" s="117"/>
      <x:c r="CK27" s="117"/>
      <x:c r="CL27" s="117"/>
      <x:c r="CM27" s="117"/>
      <x:c r="CN27" s="117"/>
      <x:c r="CO27" s="117"/>
      <x:c r="CP27" s="117"/>
      <x:c r="CQ27" s="117"/>
      <x:c r="CR27" s="117"/>
      <x:c r="CS27" s="117"/>
      <x:c r="CT27" s="117"/>
      <x:c r="CU27" s="117"/>
      <x:c r="CV27" s="117"/>
      <x:c r="CW27" s="117"/>
      <x:c r="CX27" s="117"/>
      <x:c r="CY27" s="117"/>
      <x:c r="CZ27" s="117"/>
      <x:c r="DA27" s="117"/>
      <x:c r="DB27" s="117"/>
      <x:c r="DC27" s="117"/>
      <x:c r="DD27" s="117"/>
      <x:c r="DE27" s="117"/>
      <x:c r="DF27" s="117"/>
      <x:c r="DG27" s="117"/>
      <x:c r="DH27" s="117"/>
      <x:c r="DI27" s="117"/>
      <x:c r="DJ27" s="117"/>
      <x:c r="DK27" s="117"/>
      <x:c r="DL27" s="117"/>
      <x:c r="DM27" s="117"/>
      <x:c r="DN27" s="117"/>
      <x:c r="DO27" s="117"/>
      <x:c r="DP27" s="117"/>
      <x:c r="DQ27" s="117"/>
      <x:c r="DR27" s="117"/>
      <x:c r="DS27" s="117"/>
      <x:c r="DT27" s="117"/>
      <x:c r="DU27" s="117"/>
      <x:c r="DV27" s="117"/>
      <x:c r="DW27" s="117"/>
      <x:c r="DX27" s="117"/>
      <x:c r="DY27" s="117"/>
      <x:c r="DZ27" s="117"/>
      <x:c r="EA27" s="117"/>
      <x:c r="EB27" s="117"/>
      <x:c r="EC27" s="117"/>
      <x:c r="ED27" s="117"/>
      <x:c r="EE27" s="117"/>
      <x:c r="EF27" s="117"/>
      <x:c r="EG27" s="117"/>
      <x:c r="EH27" s="117"/>
      <x:c r="EI27" s="117"/>
      <x:c r="EJ27" s="117"/>
      <x:c r="EK27" s="117"/>
      <x:c r="EL27" s="117"/>
      <x:c r="EM27" s="117"/>
      <x:c r="EN27" s="117"/>
      <x:c r="EO27" s="117"/>
      <x:c r="EP27" s="117"/>
      <x:c r="EQ27" s="117"/>
      <x:c r="ER27" s="117"/>
      <x:c r="ES27" s="117"/>
      <x:c r="ET27" s="117"/>
      <x:c r="EU27" s="117"/>
      <x:c r="EV27" s="117"/>
      <x:c r="EW27" s="117"/>
      <x:c r="EX27" s="117"/>
      <x:c r="EY27" s="117"/>
      <x:c r="EZ27" s="117"/>
      <x:c r="FA27" s="117"/>
      <x:c r="FB27" s="117"/>
      <x:c r="FC27" s="117"/>
      <x:c r="FD27" s="117"/>
      <x:c r="FE27" s="117"/>
      <x:c r="FF27" s="117"/>
      <x:c r="FG27" s="117"/>
      <x:c r="FH27" s="117"/>
      <x:c r="FI27" s="117"/>
      <x:c r="FJ27" s="117"/>
      <x:c r="FK27" s="117"/>
      <x:c r="FL27" s="117"/>
      <x:c r="FM27" s="117"/>
      <x:c r="FN27" s="117"/>
      <x:c r="FO27" s="117"/>
      <x:c r="FP27" s="117"/>
      <x:c r="FQ27" s="117"/>
      <x:c r="FR27" s="117"/>
      <x:c r="FS27" s="117"/>
      <x:c r="FT27" s="117"/>
      <x:c r="FU27" s="117"/>
      <x:c r="FV27" s="117"/>
      <x:c r="FW27" s="117"/>
      <x:c r="FX27" s="117"/>
      <x:c r="FY27" s="117"/>
      <x:c r="FZ27" s="117"/>
      <x:c r="GA27" s="117"/>
    </x:row>
    <x:row r="28">
      <x:c r="A28" s="113" t="str">
        <x:v>Проектный CF до финансирования</x:v>
      </x:c>
      <x:c r="B28" s="113" t="n">
        <x:f>SUM(D28:GA28)</x:f>
      </x:c>
      <x:c r="C28" s="113" t="str">
        <x:v>млн ₽</x:v>
      </x:c>
      <x:c r="D28" s="120" t="n">
        <x:f>SUM('CF_1'!D54,'CF_2'!D54,'CF_3'!D54,'CF_4'!D54)</x:f>
      </x:c>
      <x:c r="E28" s="120" t="n">
        <x:f>SUM('CF_1'!E54,'CF_2'!E54,'CF_3'!E54,'CF_4'!E54)</x:f>
      </x:c>
      <x:c r="F28" s="120" t="n">
        <x:f>SUM('CF_1'!F54,'CF_2'!F54,'CF_3'!F54,'CF_4'!F54)</x:f>
      </x:c>
      <x:c r="G28" s="120" t="n">
        <x:f>SUM('CF_1'!G54,'CF_2'!G54,'CF_3'!G54,'CF_4'!G54)</x:f>
      </x:c>
      <x:c r="H28" s="120" t="n">
        <x:f>SUM('CF_1'!H54,'CF_2'!H54,'CF_3'!H54,'CF_4'!H54)</x:f>
      </x:c>
      <x:c r="I28" s="120" t="n">
        <x:f>SUM('CF_1'!I54,'CF_2'!I54,'CF_3'!I54,'CF_4'!I54)</x:f>
      </x:c>
      <x:c r="J28" s="120" t="n">
        <x:f>SUM('CF_1'!J54,'CF_2'!J54,'CF_3'!J54,'CF_4'!J54)</x:f>
      </x:c>
      <x:c r="K28" s="120" t="n">
        <x:f>SUM('CF_1'!K54,'CF_2'!K54,'CF_3'!K54,'CF_4'!K54)</x:f>
      </x:c>
      <x:c r="L28" s="120" t="n">
        <x:f>SUM('CF_1'!L54,'CF_2'!L54,'CF_3'!L54,'CF_4'!L54)</x:f>
      </x:c>
      <x:c r="M28" s="120" t="n">
        <x:f>SUM('CF_1'!M54,'CF_2'!M54,'CF_3'!M54,'CF_4'!M54)</x:f>
      </x:c>
      <x:c r="N28" s="120" t="n">
        <x:f>SUM('CF_1'!N54,'CF_2'!N54,'CF_3'!N54,'CF_4'!N54)</x:f>
      </x:c>
      <x:c r="O28" s="120" t="n">
        <x:f>SUM('CF_1'!O54,'CF_2'!O54,'CF_3'!O54,'CF_4'!O54)</x:f>
      </x:c>
      <x:c r="P28" s="120" t="n">
        <x:f>SUM('CF_1'!P54,'CF_2'!P54,'CF_3'!P54,'CF_4'!P54)</x:f>
      </x:c>
      <x:c r="Q28" s="120" t="n">
        <x:f>SUM('CF_1'!Q54,'CF_2'!Q54,'CF_3'!Q54,'CF_4'!Q54)</x:f>
      </x:c>
      <x:c r="R28" s="120" t="n">
        <x:f>SUM('CF_1'!R54,'CF_2'!R54,'CF_3'!R54,'CF_4'!R54)</x:f>
      </x:c>
      <x:c r="S28" s="120" t="n">
        <x:f>SUM('CF_1'!S54,'CF_2'!S54,'CF_3'!S54,'CF_4'!S54)</x:f>
      </x:c>
      <x:c r="T28" s="120" t="n">
        <x:f>SUM('CF_1'!T54,'CF_2'!T54,'CF_3'!T54,'CF_4'!T54)</x:f>
      </x:c>
      <x:c r="U28" s="120" t="n">
        <x:f>SUM('CF_1'!U54,'CF_2'!U54,'CF_3'!U54,'CF_4'!U54)</x:f>
      </x:c>
      <x:c r="V28" s="120" t="n">
        <x:f>SUM('CF_1'!V54,'CF_2'!V54,'CF_3'!V54,'CF_4'!V54)</x:f>
      </x:c>
      <x:c r="W28" s="120" t="n">
        <x:f>SUM('CF_1'!W54,'CF_2'!W54,'CF_3'!W54,'CF_4'!W54)</x:f>
      </x:c>
      <x:c r="X28" s="120" t="n">
        <x:f>SUM('CF_1'!X54,'CF_2'!X54,'CF_3'!X54,'CF_4'!X54)</x:f>
      </x:c>
      <x:c r="Y28" s="120" t="n">
        <x:f>SUM('CF_1'!Y54,'CF_2'!Y54,'CF_3'!Y54,'CF_4'!Y54)</x:f>
      </x:c>
      <x:c r="Z28" s="120" t="n">
        <x:f>SUM('CF_1'!Z54,'CF_2'!Z54,'CF_3'!Z54,'CF_4'!Z54)</x:f>
      </x:c>
      <x:c r="AA28" s="120" t="n">
        <x:f>SUM('CF_1'!AA54,'CF_2'!AA54,'CF_3'!AA54,'CF_4'!AA54)</x:f>
      </x:c>
      <x:c r="AB28" s="120" t="n">
        <x:f>SUM('CF_1'!AB54,'CF_2'!AB54,'CF_3'!AB54,'CF_4'!AB54)</x:f>
      </x:c>
      <x:c r="AC28" s="120" t="n">
        <x:f>SUM('CF_1'!AC54,'CF_2'!AC54,'CF_3'!AC54,'CF_4'!AC54)</x:f>
      </x:c>
      <x:c r="AD28" s="120" t="n">
        <x:f>SUM('CF_1'!AD54,'CF_2'!AD54,'CF_3'!AD54,'CF_4'!AD54)</x:f>
      </x:c>
      <x:c r="AE28" s="120" t="n">
        <x:f>SUM('CF_1'!AE54,'CF_2'!AE54,'CF_3'!AE54,'CF_4'!AE54)</x:f>
      </x:c>
      <x:c r="AF28" s="120" t="n">
        <x:f>SUM('CF_1'!AF54,'CF_2'!AF54,'CF_3'!AF54,'CF_4'!AF54)</x:f>
      </x:c>
      <x:c r="AG28" s="120" t="n">
        <x:f>SUM('CF_1'!AG54,'CF_2'!AG54,'CF_3'!AG54,'CF_4'!AG54)</x:f>
      </x:c>
      <x:c r="AH28" s="120" t="n">
        <x:f>SUM('CF_1'!AH54,'CF_2'!AH54,'CF_3'!AH54,'CF_4'!AH54)</x:f>
      </x:c>
      <x:c r="AI28" s="120" t="n">
        <x:f>SUM('CF_1'!AI54,'CF_2'!AI54,'CF_3'!AI54,'CF_4'!AI54)</x:f>
      </x:c>
      <x:c r="AJ28" s="120" t="n">
        <x:f>SUM('CF_1'!AJ54,'CF_2'!AJ54,'CF_3'!AJ54,'CF_4'!AJ54)</x:f>
      </x:c>
      <x:c r="AK28" s="120" t="n">
        <x:f>SUM('CF_1'!AK54,'CF_2'!AK54,'CF_3'!AK54,'CF_4'!AK54)</x:f>
      </x:c>
      <x:c r="AL28" s="120" t="n">
        <x:f>SUM('CF_1'!AL54,'CF_2'!AL54,'CF_3'!AL54,'CF_4'!AL54)</x:f>
      </x:c>
      <x:c r="AM28" s="120" t="n">
        <x:f>SUM('CF_1'!AM54,'CF_2'!AM54,'CF_3'!AM54,'CF_4'!AM54)</x:f>
      </x:c>
      <x:c r="AN28" s="120" t="n">
        <x:f>SUM('CF_1'!AN54,'CF_2'!AN54,'CF_3'!AN54,'CF_4'!AN54)</x:f>
      </x:c>
      <x:c r="AO28" s="120" t="n">
        <x:f>SUM('CF_1'!AO54,'CF_2'!AO54,'CF_3'!AO54,'CF_4'!AO54)</x:f>
      </x:c>
      <x:c r="AP28" s="120" t="n">
        <x:f>SUM('CF_1'!AP54,'CF_2'!AP54,'CF_3'!AP54,'CF_4'!AP54)</x:f>
      </x:c>
      <x:c r="AQ28" s="120" t="n">
        <x:f>SUM('CF_1'!AQ54,'CF_2'!AQ54,'CF_3'!AQ54,'CF_4'!AQ54)</x:f>
      </x:c>
      <x:c r="AR28" s="120" t="n">
        <x:f>SUM('CF_1'!AR54,'CF_2'!AR54,'CF_3'!AR54,'CF_4'!AR54)</x:f>
      </x:c>
      <x:c r="AS28" s="120" t="n">
        <x:f>SUM('CF_1'!AS54,'CF_2'!AS54,'CF_3'!AS54,'CF_4'!AS54)</x:f>
      </x:c>
      <x:c r="AT28" s="120" t="n">
        <x:f>SUM('CF_1'!AT54,'CF_2'!AT54,'CF_3'!AT54,'CF_4'!AT54)</x:f>
      </x:c>
      <x:c r="AU28" s="120" t="n">
        <x:f>SUM('CF_1'!AU54,'CF_2'!AU54,'CF_3'!AU54,'CF_4'!AU54)</x:f>
      </x:c>
      <x:c r="AV28" s="120" t="n">
        <x:f>SUM('CF_1'!AV54,'CF_2'!AV54,'CF_3'!AV54,'CF_4'!AV54)</x:f>
      </x:c>
      <x:c r="AW28" s="120" t="n">
        <x:f>SUM('CF_1'!AW54,'CF_2'!AW54,'CF_3'!AW54,'CF_4'!AW54)</x:f>
      </x:c>
      <x:c r="AX28" s="120" t="n">
        <x:f>SUM('CF_1'!AX54,'CF_2'!AX54,'CF_3'!AX54,'CF_4'!AX54)</x:f>
      </x:c>
      <x:c r="AY28" s="120" t="n">
        <x:f>SUM('CF_1'!AY54,'CF_2'!AY54,'CF_3'!AY54,'CF_4'!AY54)</x:f>
      </x:c>
      <x:c r="AZ28" s="120" t="n">
        <x:f>SUM('CF_1'!AZ54,'CF_2'!AZ54,'CF_3'!AZ54,'CF_4'!AZ54)</x:f>
      </x:c>
      <x:c r="BA28" s="120" t="n">
        <x:f>SUM('CF_1'!BA54,'CF_2'!BA54,'CF_3'!BA54,'CF_4'!BA54)</x:f>
      </x:c>
      <x:c r="BB28" s="120" t="n">
        <x:f>SUM('CF_1'!BB54,'CF_2'!BB54,'CF_3'!BB54,'CF_4'!BB54)</x:f>
      </x:c>
      <x:c r="BC28" s="120" t="n">
        <x:f>SUM('CF_1'!BC54,'CF_2'!BC54,'CF_3'!BC54,'CF_4'!BC54)</x:f>
      </x:c>
      <x:c r="BD28" s="120" t="n">
        <x:f>SUM('CF_1'!BD54,'CF_2'!BD54,'CF_3'!BD54,'CF_4'!BD54)</x:f>
      </x:c>
      <x:c r="BE28" s="120" t="n">
        <x:f>SUM('CF_1'!BE54,'CF_2'!BE54,'CF_3'!BE54,'CF_4'!BE54)</x:f>
      </x:c>
      <x:c r="BF28" s="120" t="n">
        <x:f>SUM('CF_1'!BF54,'CF_2'!BF54,'CF_3'!BF54,'CF_4'!BF54)</x:f>
      </x:c>
      <x:c r="BG28" s="120" t="n">
        <x:f>SUM('CF_1'!BG54,'CF_2'!BG54,'CF_3'!BG54,'CF_4'!BG54)</x:f>
      </x:c>
      <x:c r="BH28" s="120" t="n">
        <x:f>SUM('CF_1'!BH54,'CF_2'!BH54,'CF_3'!BH54,'CF_4'!BH54)</x:f>
      </x:c>
      <x:c r="BI28" s="120" t="n">
        <x:f>SUM('CF_1'!BI54,'CF_2'!BI54,'CF_3'!BI54,'CF_4'!BI54)</x:f>
      </x:c>
      <x:c r="BJ28" s="120" t="n">
        <x:f>SUM('CF_1'!BJ54,'CF_2'!BJ54,'CF_3'!BJ54,'CF_4'!BJ54)</x:f>
      </x:c>
      <x:c r="BK28" s="120" t="n">
        <x:f>SUM('CF_1'!BK54,'CF_2'!BK54,'CF_3'!BK54,'CF_4'!BK54)</x:f>
      </x:c>
      <x:c r="BL28" s="120" t="n">
        <x:f>SUM('CF_1'!BL54,'CF_2'!BL54,'CF_3'!BL54,'CF_4'!BL54)</x:f>
      </x:c>
      <x:c r="BM28" s="120" t="n">
        <x:f>SUM('CF_1'!BM54,'CF_2'!BM54,'CF_3'!BM54,'CF_4'!BM54)</x:f>
      </x:c>
      <x:c r="BN28" s="120" t="n">
        <x:f>SUM('CF_1'!BN54,'CF_2'!BN54,'CF_3'!BN54,'CF_4'!BN54)</x:f>
      </x:c>
      <x:c r="BO28" s="120" t="n">
        <x:f>SUM('CF_1'!BO54,'CF_2'!BO54,'CF_3'!BO54,'CF_4'!BO54)</x:f>
      </x:c>
      <x:c r="BP28" s="120" t="n">
        <x:f>SUM('CF_1'!BP54,'CF_2'!BP54,'CF_3'!BP54,'CF_4'!BP54)</x:f>
      </x:c>
      <x:c r="BQ28" s="120" t="n">
        <x:f>SUM('CF_1'!BQ54,'CF_2'!BQ54,'CF_3'!BQ54,'CF_4'!BQ54)</x:f>
      </x:c>
      <x:c r="BR28" s="120" t="n">
        <x:f>SUM('CF_1'!BR54,'CF_2'!BR54,'CF_3'!BR54,'CF_4'!BR54)</x:f>
      </x:c>
      <x:c r="BS28" s="120" t="n">
        <x:f>SUM('CF_1'!BS54,'CF_2'!BS54,'CF_3'!BS54,'CF_4'!BS54)</x:f>
      </x:c>
      <x:c r="BT28" s="120" t="n">
        <x:f>SUM('CF_1'!BT54,'CF_2'!BT54,'CF_3'!BT54,'CF_4'!BT54)</x:f>
      </x:c>
      <x:c r="BU28" s="120" t="n">
        <x:f>SUM('CF_1'!BU54,'CF_2'!BU54,'CF_3'!BU54,'CF_4'!BU54)</x:f>
      </x:c>
      <x:c r="BV28" s="120" t="n">
        <x:f>SUM('CF_1'!BV54,'CF_2'!BV54,'CF_3'!BV54,'CF_4'!BV54)</x:f>
      </x:c>
      <x:c r="BW28" s="120" t="n">
        <x:f>SUM('CF_1'!BW54,'CF_2'!BW54,'CF_3'!BW54,'CF_4'!BW54)</x:f>
      </x:c>
      <x:c r="BX28" s="120" t="n">
        <x:f>SUM('CF_1'!BX54,'CF_2'!BX54,'CF_3'!BX54,'CF_4'!BX54)</x:f>
      </x:c>
      <x:c r="BY28" s="120" t="n">
        <x:f>SUM('CF_1'!BY54,'CF_2'!BY54,'CF_3'!BY54,'CF_4'!BY54)</x:f>
      </x:c>
      <x:c r="BZ28" s="120" t="n">
        <x:f>SUM('CF_1'!BZ54,'CF_2'!BZ54,'CF_3'!BZ54,'CF_4'!BZ54)</x:f>
      </x:c>
      <x:c r="CA28" s="120" t="n">
        <x:f>SUM('CF_1'!CA54,'CF_2'!CA54,'CF_3'!CA54,'CF_4'!CA54)</x:f>
      </x:c>
      <x:c r="CB28" s="120" t="n">
        <x:f>SUM('CF_1'!CB54,'CF_2'!CB54,'CF_3'!CB54,'CF_4'!CB54)</x:f>
      </x:c>
      <x:c r="CC28" s="120" t="n">
        <x:f>SUM('CF_1'!CC54,'CF_2'!CC54,'CF_3'!CC54,'CF_4'!CC54)</x:f>
      </x:c>
      <x:c r="CD28" s="120" t="n">
        <x:f>SUM('CF_1'!CD54,'CF_2'!CD54,'CF_3'!CD54,'CF_4'!CD54)</x:f>
      </x:c>
      <x:c r="CE28" s="120" t="n">
        <x:f>SUM('CF_1'!CE54,'CF_2'!CE54,'CF_3'!CE54,'CF_4'!CE54)</x:f>
      </x:c>
      <x:c r="CF28" s="120" t="n">
        <x:f>SUM('CF_1'!CF54,'CF_2'!CF54,'CF_3'!CF54,'CF_4'!CF54)</x:f>
      </x:c>
      <x:c r="CG28" s="120" t="n">
        <x:f>SUM('CF_1'!CG54,'CF_2'!CG54,'CF_3'!CG54,'CF_4'!CG54)</x:f>
      </x:c>
      <x:c r="CH28" s="120" t="n">
        <x:f>SUM('CF_1'!CH54,'CF_2'!CH54,'CF_3'!CH54,'CF_4'!CH54)</x:f>
      </x:c>
      <x:c r="CI28" s="120" t="n">
        <x:f>SUM('CF_1'!CI54,'CF_2'!CI54,'CF_3'!CI54,'CF_4'!CI54)</x:f>
      </x:c>
      <x:c r="CJ28" s="120" t="n">
        <x:f>SUM('CF_1'!CJ54,'CF_2'!CJ54,'CF_3'!CJ54,'CF_4'!CJ54)</x:f>
      </x:c>
      <x:c r="CK28" s="120" t="n">
        <x:f>SUM('CF_1'!CK54,'CF_2'!CK54,'CF_3'!CK54,'CF_4'!CK54)</x:f>
      </x:c>
      <x:c r="CL28" s="120" t="n">
        <x:f>SUM('CF_1'!CL54,'CF_2'!CL54,'CF_3'!CL54,'CF_4'!CL54)</x:f>
      </x:c>
      <x:c r="CM28" s="120" t="n">
        <x:f>SUM('CF_1'!CM54,'CF_2'!CM54,'CF_3'!CM54,'CF_4'!CM54)</x:f>
      </x:c>
      <x:c r="CN28" s="120" t="n">
        <x:f>SUM('CF_1'!CN54,'CF_2'!CN54,'CF_3'!CN54,'CF_4'!CN54)</x:f>
      </x:c>
      <x:c r="CO28" s="120" t="n">
        <x:f>SUM('CF_1'!CO54,'CF_2'!CO54,'CF_3'!CO54,'CF_4'!CO54)</x:f>
      </x:c>
      <x:c r="CP28" s="120" t="n">
        <x:f>SUM('CF_1'!CP54,'CF_2'!CP54,'CF_3'!CP54,'CF_4'!CP54)</x:f>
      </x:c>
      <x:c r="CQ28" s="120" t="n">
        <x:f>SUM('CF_1'!CQ54,'CF_2'!CQ54,'CF_3'!CQ54,'CF_4'!CQ54)</x:f>
      </x:c>
      <x:c r="CR28" s="120" t="n">
        <x:f>SUM('CF_1'!CR54,'CF_2'!CR54,'CF_3'!CR54,'CF_4'!CR54)</x:f>
      </x:c>
      <x:c r="CS28" s="120" t="n">
        <x:f>SUM('CF_1'!CS54,'CF_2'!CS54,'CF_3'!CS54,'CF_4'!CS54)</x:f>
      </x:c>
      <x:c r="CT28" s="120" t="n">
        <x:f>SUM('CF_1'!CT54,'CF_2'!CT54,'CF_3'!CT54,'CF_4'!CT54)</x:f>
      </x:c>
      <x:c r="CU28" s="120" t="n">
        <x:f>SUM('CF_1'!CU54,'CF_2'!CU54,'CF_3'!CU54,'CF_4'!CU54)</x:f>
      </x:c>
      <x:c r="CV28" s="120" t="n">
        <x:f>SUM('CF_1'!CV54,'CF_2'!CV54,'CF_3'!CV54,'CF_4'!CV54)</x:f>
      </x:c>
      <x:c r="CW28" s="120" t="n">
        <x:f>SUM('CF_1'!CW54,'CF_2'!CW54,'CF_3'!CW54,'CF_4'!CW54)</x:f>
      </x:c>
      <x:c r="CX28" s="120" t="n">
        <x:f>SUM('CF_1'!CX54,'CF_2'!CX54,'CF_3'!CX54,'CF_4'!CX54)</x:f>
      </x:c>
      <x:c r="CY28" s="120" t="n">
        <x:f>SUM('CF_1'!CY54,'CF_2'!CY54,'CF_3'!CY54,'CF_4'!CY54)</x:f>
      </x:c>
      <x:c r="CZ28" s="120" t="n">
        <x:f>SUM('CF_1'!CZ54,'CF_2'!CZ54,'CF_3'!CZ54,'CF_4'!CZ54)</x:f>
      </x:c>
      <x:c r="DA28" s="120" t="n">
        <x:f>SUM('CF_1'!DA54,'CF_2'!DA54,'CF_3'!DA54,'CF_4'!DA54)</x:f>
      </x:c>
      <x:c r="DB28" s="120" t="n">
        <x:f>SUM('CF_1'!DB54,'CF_2'!DB54,'CF_3'!DB54,'CF_4'!DB54)</x:f>
      </x:c>
      <x:c r="DC28" s="120" t="n">
        <x:f>SUM('CF_1'!DC54,'CF_2'!DC54,'CF_3'!DC54,'CF_4'!DC54)</x:f>
      </x:c>
      <x:c r="DD28" s="120" t="n">
        <x:f>SUM('CF_1'!DD54,'CF_2'!DD54,'CF_3'!DD54,'CF_4'!DD54)</x:f>
      </x:c>
      <x:c r="DE28" s="120" t="n">
        <x:f>SUM('CF_1'!DE54,'CF_2'!DE54,'CF_3'!DE54,'CF_4'!DE54)</x:f>
      </x:c>
      <x:c r="DF28" s="120" t="n">
        <x:f>SUM('CF_1'!DF54,'CF_2'!DF54,'CF_3'!DF54,'CF_4'!DF54)</x:f>
      </x:c>
      <x:c r="DG28" s="120" t="n">
        <x:f>SUM('CF_1'!DG54,'CF_2'!DG54,'CF_3'!DG54,'CF_4'!DG54)</x:f>
      </x:c>
      <x:c r="DH28" s="120" t="n">
        <x:f>SUM('CF_1'!DH54,'CF_2'!DH54,'CF_3'!DH54,'CF_4'!DH54)</x:f>
      </x:c>
      <x:c r="DI28" s="120" t="n">
        <x:f>SUM('CF_1'!DI54,'CF_2'!DI54,'CF_3'!DI54,'CF_4'!DI54)</x:f>
      </x:c>
      <x:c r="DJ28" s="120" t="n">
        <x:f>SUM('CF_1'!DJ54,'CF_2'!DJ54,'CF_3'!DJ54,'CF_4'!DJ54)</x:f>
      </x:c>
      <x:c r="DK28" s="120" t="n">
        <x:f>SUM('CF_1'!DK54,'CF_2'!DK54,'CF_3'!DK54,'CF_4'!DK54)</x:f>
      </x:c>
      <x:c r="DL28" s="120" t="n">
        <x:f>SUM('CF_1'!DL54,'CF_2'!DL54,'CF_3'!DL54,'CF_4'!DL54)</x:f>
      </x:c>
      <x:c r="DM28" s="120" t="n">
        <x:f>SUM('CF_1'!DM54,'CF_2'!DM54,'CF_3'!DM54,'CF_4'!DM54)</x:f>
      </x:c>
      <x:c r="DN28" s="120" t="n">
        <x:f>SUM('CF_1'!DN54,'CF_2'!DN54,'CF_3'!DN54,'CF_4'!DN54)</x:f>
      </x:c>
      <x:c r="DO28" s="120" t="n">
        <x:f>SUM('CF_1'!DO54,'CF_2'!DO54,'CF_3'!DO54,'CF_4'!DO54)</x:f>
      </x:c>
      <x:c r="DP28" s="120" t="n">
        <x:f>SUM('CF_1'!DP54,'CF_2'!DP54,'CF_3'!DP54,'CF_4'!DP54)</x:f>
      </x:c>
      <x:c r="DQ28" s="120" t="n">
        <x:f>SUM('CF_1'!DQ54,'CF_2'!DQ54,'CF_3'!DQ54,'CF_4'!DQ54)</x:f>
      </x:c>
      <x:c r="DR28" s="120" t="n">
        <x:f>SUM('CF_1'!DR54,'CF_2'!DR54,'CF_3'!DR54,'CF_4'!DR54)</x:f>
      </x:c>
      <x:c r="DS28" s="120" t="n">
        <x:f>SUM('CF_1'!DS54,'CF_2'!DS54,'CF_3'!DS54,'CF_4'!DS54)</x:f>
      </x:c>
      <x:c r="DT28" s="120" t="n">
        <x:f>SUM('CF_1'!DT54,'CF_2'!DT54,'CF_3'!DT54,'CF_4'!DT54)</x:f>
      </x:c>
      <x:c r="DU28" s="120" t="n">
        <x:f>SUM('CF_1'!DU54,'CF_2'!DU54,'CF_3'!DU54,'CF_4'!DU54)</x:f>
      </x:c>
      <x:c r="DV28" s="120" t="n">
        <x:f>SUM('CF_1'!DV54,'CF_2'!DV54,'CF_3'!DV54,'CF_4'!DV54)</x:f>
      </x:c>
      <x:c r="DW28" s="120" t="n">
        <x:f>SUM('CF_1'!DW54,'CF_2'!DW54,'CF_3'!DW54,'CF_4'!DW54)</x:f>
      </x:c>
      <x:c r="DX28" s="120" t="n">
        <x:f>SUM('CF_1'!DX54,'CF_2'!DX54,'CF_3'!DX54,'CF_4'!DX54)</x:f>
      </x:c>
      <x:c r="DY28" s="120" t="n">
        <x:f>SUM('CF_1'!DY54,'CF_2'!DY54,'CF_3'!DY54,'CF_4'!DY54)</x:f>
      </x:c>
      <x:c r="DZ28" s="120" t="n">
        <x:f>SUM('CF_1'!DZ54,'CF_2'!DZ54,'CF_3'!DZ54,'CF_4'!DZ54)</x:f>
      </x:c>
      <x:c r="EA28" s="120" t="n">
        <x:f>SUM('CF_1'!EA54,'CF_2'!EA54,'CF_3'!EA54,'CF_4'!EA54)</x:f>
      </x:c>
      <x:c r="EB28" s="120" t="n">
        <x:f>SUM('CF_1'!EB54,'CF_2'!EB54,'CF_3'!EB54,'CF_4'!EB54)</x:f>
      </x:c>
      <x:c r="EC28" s="120" t="n">
        <x:f>SUM('CF_1'!EC54,'CF_2'!EC54,'CF_3'!EC54,'CF_4'!EC54)</x:f>
      </x:c>
      <x:c r="ED28" s="120" t="n">
        <x:f>SUM('CF_1'!ED54,'CF_2'!ED54,'CF_3'!ED54,'CF_4'!ED54)</x:f>
      </x:c>
      <x:c r="EE28" s="120" t="n">
        <x:f>SUM('CF_1'!EE54,'CF_2'!EE54,'CF_3'!EE54,'CF_4'!EE54)</x:f>
      </x:c>
      <x:c r="EF28" s="120" t="n">
        <x:f>SUM('CF_1'!EF54,'CF_2'!EF54,'CF_3'!EF54,'CF_4'!EF54)</x:f>
      </x:c>
      <x:c r="EG28" s="120" t="n">
        <x:f>SUM('CF_1'!EG54,'CF_2'!EG54,'CF_3'!EG54,'CF_4'!EG54)</x:f>
      </x:c>
      <x:c r="EH28" s="120" t="n">
        <x:f>SUM('CF_1'!EH54,'CF_2'!EH54,'CF_3'!EH54,'CF_4'!EH54)</x:f>
      </x:c>
      <x:c r="EI28" s="120" t="n">
        <x:f>SUM('CF_1'!EI54,'CF_2'!EI54,'CF_3'!EI54,'CF_4'!EI54)</x:f>
      </x:c>
      <x:c r="EJ28" s="120" t="n">
        <x:f>SUM('CF_1'!EJ54,'CF_2'!EJ54,'CF_3'!EJ54,'CF_4'!EJ54)</x:f>
      </x:c>
      <x:c r="EK28" s="120" t="n">
        <x:f>SUM('CF_1'!EK54,'CF_2'!EK54,'CF_3'!EK54,'CF_4'!EK54)</x:f>
      </x:c>
      <x:c r="EL28" s="120" t="n">
        <x:f>SUM('CF_1'!EL54,'CF_2'!EL54,'CF_3'!EL54,'CF_4'!EL54)</x:f>
      </x:c>
      <x:c r="EM28" s="120" t="n">
        <x:f>SUM('CF_1'!EM54,'CF_2'!EM54,'CF_3'!EM54,'CF_4'!EM54)</x:f>
      </x:c>
      <x:c r="EN28" s="120" t="n">
        <x:f>SUM('CF_1'!EN54,'CF_2'!EN54,'CF_3'!EN54,'CF_4'!EN54)</x:f>
      </x:c>
      <x:c r="EO28" s="120" t="n">
        <x:f>SUM('CF_1'!EO54,'CF_2'!EO54,'CF_3'!EO54,'CF_4'!EO54)</x:f>
      </x:c>
      <x:c r="EP28" s="120" t="n">
        <x:f>SUM('CF_1'!EP54,'CF_2'!EP54,'CF_3'!EP54,'CF_4'!EP54)</x:f>
      </x:c>
      <x:c r="EQ28" s="120" t="n">
        <x:f>SUM('CF_1'!EQ54,'CF_2'!EQ54,'CF_3'!EQ54,'CF_4'!EQ54)</x:f>
      </x:c>
      <x:c r="ER28" s="120" t="n">
        <x:f>SUM('CF_1'!ER54,'CF_2'!ER54,'CF_3'!ER54,'CF_4'!ER54)</x:f>
      </x:c>
      <x:c r="ES28" s="120" t="n">
        <x:f>SUM('CF_1'!ES54,'CF_2'!ES54,'CF_3'!ES54,'CF_4'!ES54)</x:f>
      </x:c>
      <x:c r="ET28" s="120" t="n">
        <x:f>SUM('CF_1'!ET54,'CF_2'!ET54,'CF_3'!ET54,'CF_4'!ET54)</x:f>
      </x:c>
      <x:c r="EU28" s="120" t="n">
        <x:f>SUM('CF_1'!EU54,'CF_2'!EU54,'CF_3'!EU54,'CF_4'!EU54)</x:f>
      </x:c>
      <x:c r="EV28" s="120" t="n">
        <x:f>SUM('CF_1'!EV54,'CF_2'!EV54,'CF_3'!EV54,'CF_4'!EV54)</x:f>
      </x:c>
      <x:c r="EW28" s="120" t="n">
        <x:f>SUM('CF_1'!EW54,'CF_2'!EW54,'CF_3'!EW54,'CF_4'!EW54)</x:f>
      </x:c>
      <x:c r="EX28" s="120" t="n">
        <x:f>SUM('CF_1'!EX54,'CF_2'!EX54,'CF_3'!EX54,'CF_4'!EX54)</x:f>
      </x:c>
      <x:c r="EY28" s="120" t="n">
        <x:f>SUM('CF_1'!EY54,'CF_2'!EY54,'CF_3'!EY54,'CF_4'!EY54)</x:f>
      </x:c>
      <x:c r="EZ28" s="120" t="n">
        <x:f>SUM('CF_1'!EZ54,'CF_2'!EZ54,'CF_3'!EZ54,'CF_4'!EZ54)</x:f>
      </x:c>
      <x:c r="FA28" s="120" t="n">
        <x:f>SUM('CF_1'!FA54,'CF_2'!FA54,'CF_3'!FA54,'CF_4'!FA54)</x:f>
      </x:c>
      <x:c r="FB28" s="120" t="n">
        <x:f>SUM('CF_1'!FB54,'CF_2'!FB54,'CF_3'!FB54,'CF_4'!FB54)</x:f>
      </x:c>
      <x:c r="FC28" s="120" t="n">
        <x:f>SUM('CF_1'!FC54,'CF_2'!FC54,'CF_3'!FC54,'CF_4'!FC54)</x:f>
      </x:c>
      <x:c r="FD28" s="120" t="n">
        <x:f>SUM('CF_1'!FD54,'CF_2'!FD54,'CF_3'!FD54,'CF_4'!FD54)</x:f>
      </x:c>
      <x:c r="FE28" s="120" t="n">
        <x:f>SUM('CF_1'!FE54,'CF_2'!FE54,'CF_3'!FE54,'CF_4'!FE54)</x:f>
      </x:c>
      <x:c r="FF28" s="120" t="n">
        <x:f>SUM('CF_1'!FF54,'CF_2'!FF54,'CF_3'!FF54,'CF_4'!FF54)</x:f>
      </x:c>
      <x:c r="FG28" s="120" t="n">
        <x:f>SUM('CF_1'!FG54,'CF_2'!FG54,'CF_3'!FG54,'CF_4'!FG54)</x:f>
      </x:c>
      <x:c r="FH28" s="120" t="n">
        <x:f>SUM('CF_1'!FH54,'CF_2'!FH54,'CF_3'!FH54,'CF_4'!FH54)</x:f>
      </x:c>
      <x:c r="FI28" s="120" t="n">
        <x:f>SUM('CF_1'!FI54,'CF_2'!FI54,'CF_3'!FI54,'CF_4'!FI54)</x:f>
      </x:c>
      <x:c r="FJ28" s="120" t="n">
        <x:f>SUM('CF_1'!FJ54,'CF_2'!FJ54,'CF_3'!FJ54,'CF_4'!FJ54)</x:f>
      </x:c>
      <x:c r="FK28" s="120" t="n">
        <x:f>SUM('CF_1'!FK54,'CF_2'!FK54,'CF_3'!FK54,'CF_4'!FK54)</x:f>
      </x:c>
      <x:c r="FL28" s="120" t="n">
        <x:f>SUM('CF_1'!FL54,'CF_2'!FL54,'CF_3'!FL54,'CF_4'!FL54)</x:f>
      </x:c>
      <x:c r="FM28" s="120" t="n">
        <x:f>SUM('CF_1'!FM54,'CF_2'!FM54,'CF_3'!FM54,'CF_4'!FM54)</x:f>
      </x:c>
      <x:c r="FN28" s="120" t="n">
        <x:f>SUM('CF_1'!FN54,'CF_2'!FN54,'CF_3'!FN54,'CF_4'!FN54)</x:f>
      </x:c>
      <x:c r="FO28" s="120" t="n">
        <x:f>SUM('CF_1'!FO54,'CF_2'!FO54,'CF_3'!FO54,'CF_4'!FO54)</x:f>
      </x:c>
      <x:c r="FP28" s="120" t="n">
        <x:f>SUM('CF_1'!FP54,'CF_2'!FP54,'CF_3'!FP54,'CF_4'!FP54)</x:f>
      </x:c>
      <x:c r="FQ28" s="120" t="n">
        <x:f>SUM('CF_1'!FQ54,'CF_2'!FQ54,'CF_3'!FQ54,'CF_4'!FQ54)</x:f>
      </x:c>
      <x:c r="FR28" s="120" t="n">
        <x:f>SUM('CF_1'!FR54,'CF_2'!FR54,'CF_3'!FR54,'CF_4'!FR54)</x:f>
      </x:c>
      <x:c r="FS28" s="120" t="n">
        <x:f>SUM('CF_1'!FS54,'CF_2'!FS54,'CF_3'!FS54,'CF_4'!FS54)</x:f>
      </x:c>
      <x:c r="FT28" s="120" t="n">
        <x:f>SUM('CF_1'!FT54,'CF_2'!FT54,'CF_3'!FT54,'CF_4'!FT54)</x:f>
      </x:c>
      <x:c r="FU28" s="120" t="n">
        <x:f>SUM('CF_1'!FU54,'CF_2'!FU54,'CF_3'!FU54,'CF_4'!FU54)</x:f>
      </x:c>
      <x:c r="FV28" s="120" t="n">
        <x:f>SUM('CF_1'!FV54,'CF_2'!FV54,'CF_3'!FV54,'CF_4'!FV54)</x:f>
      </x:c>
      <x:c r="FW28" s="120" t="n">
        <x:f>SUM('CF_1'!FW54,'CF_2'!FW54,'CF_3'!FW54,'CF_4'!FW54)</x:f>
      </x:c>
      <x:c r="FX28" s="120" t="n">
        <x:f>SUM('CF_1'!FX54,'CF_2'!FX54,'CF_3'!FX54,'CF_4'!FX54)</x:f>
      </x:c>
      <x:c r="FY28" s="120" t="n">
        <x:f>SUM('CF_1'!FY54,'CF_2'!FY54,'CF_3'!FY54,'CF_4'!FY54)</x:f>
      </x:c>
      <x:c r="FZ28" s="120" t="n">
        <x:f>SUM('CF_1'!FZ54,'CF_2'!FZ54,'CF_3'!FZ54,'CF_4'!FZ54)</x:f>
      </x:c>
      <x:c r="GA28" s="120" t="n">
        <x:f>SUM('CF_1'!GA54,'CF_2'!GA54,'CF_3'!GA54,'CF_4'!GA54)</x:f>
      </x:c>
    </x:row>
    <x:row r="29">
      <x:c r="A29" t="inlineStr">
        <x:is>
          <x:t/>
        </x:is>
      </x:c>
      <x:c r="B29"/>
      <x:c r="C29" t="str">
        <x:v>млн ₽</x:v>
      </x:c>
      <x:c r="D29" s="117"/>
      <x:c r="E29" s="117"/>
      <x:c r="F29" s="117"/>
      <x:c r="G29" s="117"/>
      <x:c r="H29" s="117"/>
      <x:c r="I29" s="117"/>
      <x:c r="J29" s="117"/>
      <x:c r="K29" s="117"/>
      <x:c r="L29" s="117"/>
      <x:c r="M29" s="117"/>
      <x:c r="N29" s="117"/>
      <x:c r="O29" s="117"/>
      <x:c r="P29" s="117"/>
      <x:c r="Q29" s="117"/>
      <x:c r="R29" s="117"/>
      <x:c r="S29" s="117"/>
      <x:c r="T29" s="117"/>
      <x:c r="U29" s="117"/>
      <x:c r="V29" s="117"/>
      <x:c r="W29" s="117"/>
      <x:c r="X29" s="117"/>
      <x:c r="Y29" s="117"/>
      <x:c r="Z29" s="117"/>
      <x:c r="AA29" s="117"/>
      <x:c r="AB29" s="117"/>
      <x:c r="AC29" s="117"/>
      <x:c r="AD29" s="117"/>
      <x:c r="AE29" s="117"/>
      <x:c r="AF29" s="117"/>
      <x:c r="AG29" s="117"/>
      <x:c r="AH29" s="117"/>
      <x:c r="AI29" s="117"/>
      <x:c r="AJ29" s="117"/>
      <x:c r="AK29" s="117"/>
      <x:c r="AL29" s="117"/>
      <x:c r="AM29" s="117"/>
      <x:c r="AN29" s="117"/>
      <x:c r="AO29" s="117"/>
      <x:c r="AP29" s="117"/>
      <x:c r="AQ29" s="117"/>
      <x:c r="AR29" s="117"/>
      <x:c r="AS29" s="117"/>
      <x:c r="AT29" s="117"/>
      <x:c r="AU29" s="117"/>
      <x:c r="AV29" s="117"/>
      <x:c r="AW29" s="117"/>
      <x:c r="AX29" s="117"/>
      <x:c r="AY29" s="117"/>
      <x:c r="AZ29" s="117"/>
      <x:c r="BA29" s="117"/>
      <x:c r="BB29" s="117"/>
      <x:c r="BC29" s="117"/>
      <x:c r="BD29" s="117"/>
      <x:c r="BE29" s="117"/>
      <x:c r="BF29" s="117"/>
      <x:c r="BG29" s="117"/>
      <x:c r="BH29" s="117"/>
      <x:c r="BI29" s="117"/>
      <x:c r="BJ29" s="117"/>
      <x:c r="BK29" s="117"/>
      <x:c r="BL29" s="117"/>
      <x:c r="BM29" s="117"/>
      <x:c r="BN29" s="117"/>
      <x:c r="BO29" s="117"/>
      <x:c r="BP29" s="117"/>
      <x:c r="BQ29" s="117"/>
      <x:c r="BR29" s="117"/>
      <x:c r="BS29" s="117"/>
      <x:c r="BT29" s="117"/>
      <x:c r="BU29" s="117"/>
      <x:c r="BV29" s="117"/>
      <x:c r="BW29" s="117"/>
      <x:c r="BX29" s="117"/>
      <x:c r="BY29" s="117"/>
      <x:c r="BZ29" s="117"/>
      <x:c r="CA29" s="117"/>
      <x:c r="CB29" s="117"/>
      <x:c r="CC29" s="117"/>
      <x:c r="CD29" s="117"/>
      <x:c r="CE29" s="117"/>
      <x:c r="CF29" s="117"/>
      <x:c r="CG29" s="117"/>
      <x:c r="CH29" s="117"/>
      <x:c r="CI29" s="117"/>
      <x:c r="CJ29" s="117"/>
      <x:c r="CK29" s="117"/>
      <x:c r="CL29" s="117"/>
      <x:c r="CM29" s="117"/>
      <x:c r="CN29" s="117"/>
      <x:c r="CO29" s="117"/>
      <x:c r="CP29" s="117"/>
      <x:c r="CQ29" s="117"/>
      <x:c r="CR29" s="117"/>
      <x:c r="CS29" s="117"/>
      <x:c r="CT29" s="117"/>
      <x:c r="CU29" s="117"/>
      <x:c r="CV29" s="117"/>
      <x:c r="CW29" s="117"/>
      <x:c r="CX29" s="117"/>
      <x:c r="CY29" s="117"/>
      <x:c r="CZ29" s="117"/>
      <x:c r="DA29" s="117"/>
      <x:c r="DB29" s="117"/>
      <x:c r="DC29" s="117"/>
      <x:c r="DD29" s="117"/>
      <x:c r="DE29" s="117"/>
      <x:c r="DF29" s="117"/>
      <x:c r="DG29" s="117"/>
      <x:c r="DH29" s="117"/>
      <x:c r="DI29" s="117"/>
      <x:c r="DJ29" s="117"/>
      <x:c r="DK29" s="117"/>
      <x:c r="DL29" s="117"/>
      <x:c r="DM29" s="117"/>
      <x:c r="DN29" s="117"/>
      <x:c r="DO29" s="117"/>
      <x:c r="DP29" s="117"/>
      <x:c r="DQ29" s="117"/>
      <x:c r="DR29" s="117"/>
      <x:c r="DS29" s="117"/>
      <x:c r="DT29" s="117"/>
      <x:c r="DU29" s="117"/>
      <x:c r="DV29" s="117"/>
      <x:c r="DW29" s="117"/>
      <x:c r="DX29" s="117"/>
      <x:c r="DY29" s="117"/>
      <x:c r="DZ29" s="117"/>
      <x:c r="EA29" s="117"/>
      <x:c r="EB29" s="117"/>
      <x:c r="EC29" s="117"/>
      <x:c r="ED29" s="117"/>
      <x:c r="EE29" s="117"/>
      <x:c r="EF29" s="117"/>
      <x:c r="EG29" s="117"/>
      <x:c r="EH29" s="117"/>
      <x:c r="EI29" s="117"/>
      <x:c r="EJ29" s="117"/>
      <x:c r="EK29" s="117"/>
      <x:c r="EL29" s="117"/>
      <x:c r="EM29" s="117"/>
      <x:c r="EN29" s="117"/>
      <x:c r="EO29" s="117"/>
      <x:c r="EP29" s="117"/>
      <x:c r="EQ29" s="117"/>
      <x:c r="ER29" s="117"/>
      <x:c r="ES29" s="117"/>
      <x:c r="ET29" s="117"/>
      <x:c r="EU29" s="117"/>
      <x:c r="EV29" s="117"/>
      <x:c r="EW29" s="117"/>
      <x:c r="EX29" s="117"/>
      <x:c r="EY29" s="117"/>
      <x:c r="EZ29" s="117"/>
      <x:c r="FA29" s="117"/>
      <x:c r="FB29" s="117"/>
      <x:c r="FC29" s="117"/>
      <x:c r="FD29" s="117"/>
      <x:c r="FE29" s="117"/>
      <x:c r="FF29" s="117"/>
      <x:c r="FG29" s="117"/>
      <x:c r="FH29" s="117"/>
      <x:c r="FI29" s="117"/>
      <x:c r="FJ29" s="117"/>
      <x:c r="FK29" s="117"/>
      <x:c r="FL29" s="117"/>
      <x:c r="FM29" s="117"/>
      <x:c r="FN29" s="117"/>
      <x:c r="FO29" s="117"/>
      <x:c r="FP29" s="117"/>
      <x:c r="FQ29" s="117"/>
      <x:c r="FR29" s="117"/>
      <x:c r="FS29" s="117"/>
      <x:c r="FT29" s="117"/>
      <x:c r="FU29" s="117"/>
      <x:c r="FV29" s="117"/>
      <x:c r="FW29" s="117"/>
      <x:c r="FX29" s="117"/>
      <x:c r="FY29" s="117"/>
      <x:c r="FZ29" s="117"/>
      <x:c r="GA29" s="117"/>
    </x:row>
    <x:row r="30">
      <x:c r="A30" t="inlineStr">
        <x:is>
          <x:t>LLCR проекта (за весь срок, методика DevelopAid)</x:t>
        </x:is>
      </x:c>
      <x:c r="B30" s="126" t="n">
        <x:f>IFERROR((SUM(D6:GA6)-SUM(D11:GA11)-SUM(D12:GA12)-SUM(D14:GA14)-SUM('CF_1'!D21:GA21,'CF_2'!D21:GA21,'CF_3'!D21:GA21,'CF_4'!D21:GA21)+SUM('CF_1'!D45:GA45,'CF_2'!D45:GA45,'CF_3'!D45:GA45,'CF_4'!D45:GA45))/(SUM('CF_1'!D45:GA45,'CF_2'!D45:GA45,'CF_3'!D45:GA45,'CF_4'!D45:GA45)+SUM('CF_1'!B74,'CF_2'!B74,'CF_3'!B74,'CF_4'!B74)),0)</x:f>
      </x:c>
      <x:c r="C30" s="126" t="str">
        <x:v>×</x:v>
      </x:c>
      <x:c r="D30" s="125"/>
      <x:c r="E30" s="125"/>
      <x:c r="F30" s="125"/>
      <x:c r="G30" s="125"/>
      <x:c r="H30" s="125"/>
      <x:c r="I30" s="125"/>
      <x:c r="J30" s="125"/>
      <x:c r="K30" s="125"/>
      <x:c r="L30" s="125"/>
      <x:c r="M30" s="125"/>
      <x:c r="N30" s="125"/>
      <x:c r="O30" s="125"/>
      <x:c r="P30" s="125"/>
      <x:c r="Q30" s="125"/>
      <x:c r="R30" s="125"/>
      <x:c r="S30" s="125"/>
      <x:c r="T30" s="125"/>
      <x:c r="U30" s="125"/>
      <x:c r="V30" s="125"/>
      <x:c r="W30" s="125"/>
      <x:c r="X30" s="125"/>
      <x:c r="Y30" s="125"/>
      <x:c r="Z30" s="125"/>
      <x:c r="AA30" s="125"/>
      <x:c r="AB30" s="125"/>
      <x:c r="AC30" s="125"/>
      <x:c r="AD30" s="125"/>
      <x:c r="AE30" s="125"/>
      <x:c r="AF30" s="125"/>
      <x:c r="AG30" s="125"/>
      <x:c r="AH30" s="125"/>
      <x:c r="AI30" s="125"/>
      <x:c r="AJ30" s="125"/>
      <x:c r="AK30" s="125"/>
      <x:c r="AL30" s="125"/>
      <x:c r="AM30" s="125"/>
      <x:c r="AN30" s="125"/>
      <x:c r="AO30" s="125"/>
      <x:c r="AP30" s="125"/>
      <x:c r="AQ30" s="125"/>
      <x:c r="AR30" s="125"/>
      <x:c r="AS30" s="125"/>
      <x:c r="AT30" s="125"/>
      <x:c r="AU30" s="125"/>
      <x:c r="AV30" s="125"/>
      <x:c r="AW30" s="125"/>
      <x:c r="AX30" s="125"/>
      <x:c r="AY30" s="125"/>
      <x:c r="AZ30" s="125"/>
      <x:c r="BA30" s="125"/>
      <x:c r="BB30" s="125"/>
      <x:c r="BC30" s="125"/>
      <x:c r="BD30" s="125"/>
      <x:c r="BE30" s="125"/>
      <x:c r="BF30" s="125"/>
      <x:c r="BG30" s="125"/>
      <x:c r="BH30" s="125"/>
      <x:c r="BI30" s="125"/>
      <x:c r="BJ30" s="125"/>
      <x:c r="BK30" s="125"/>
      <x:c r="BL30" s="125"/>
      <x:c r="BM30" s="125"/>
      <x:c r="BN30" s="125"/>
      <x:c r="BO30" s="125"/>
      <x:c r="BP30" s="125"/>
      <x:c r="BQ30" s="125"/>
      <x:c r="BR30" s="125"/>
      <x:c r="BS30" s="125"/>
      <x:c r="BT30" s="125"/>
      <x:c r="BU30" s="125"/>
      <x:c r="BV30" s="125"/>
      <x:c r="BW30" s="125"/>
      <x:c r="BX30" s="125"/>
      <x:c r="BY30" s="125"/>
      <x:c r="BZ30" s="125"/>
      <x:c r="CA30" s="125"/>
      <x:c r="CB30" s="125"/>
      <x:c r="CC30" s="125"/>
      <x:c r="CD30" s="125"/>
      <x:c r="CE30" s="125"/>
      <x:c r="CF30" s="125"/>
      <x:c r="CG30" s="125"/>
      <x:c r="CH30" s="125"/>
      <x:c r="CI30" s="125"/>
      <x:c r="CJ30" s="125"/>
      <x:c r="CK30" s="125"/>
      <x:c r="CL30" s="125"/>
      <x:c r="CM30" s="125"/>
      <x:c r="CN30" s="125"/>
      <x:c r="CO30" s="125"/>
      <x:c r="CP30" s="125"/>
      <x:c r="CQ30" s="125"/>
      <x:c r="CR30" s="125"/>
      <x:c r="CS30" s="125"/>
      <x:c r="CT30" s="125"/>
      <x:c r="CU30" s="125"/>
      <x:c r="CV30" s="125"/>
      <x:c r="CW30" s="125"/>
      <x:c r="CX30" s="125"/>
      <x:c r="CY30" s="125"/>
      <x:c r="CZ30" s="125"/>
      <x:c r="DA30" s="125"/>
      <x:c r="DB30" s="125"/>
      <x:c r="DC30" s="125"/>
      <x:c r="DD30" s="125"/>
      <x:c r="DE30" s="125"/>
      <x:c r="DF30" s="125"/>
      <x:c r="DG30" s="125"/>
      <x:c r="DH30" s="125"/>
      <x:c r="DI30" s="125"/>
      <x:c r="DJ30" s="125"/>
      <x:c r="DK30" s="125"/>
      <x:c r="DL30" s="125"/>
      <x:c r="DM30" s="125"/>
      <x:c r="DN30" s="125"/>
      <x:c r="DO30" s="125"/>
      <x:c r="DP30" s="125"/>
      <x:c r="DQ30" s="125"/>
      <x:c r="DR30" s="125"/>
      <x:c r="DS30" s="125"/>
      <x:c r="DT30" s="125"/>
      <x:c r="DU30" s="125"/>
      <x:c r="DV30" s="125"/>
      <x:c r="DW30" s="125"/>
      <x:c r="DX30" s="125"/>
      <x:c r="DY30" s="125"/>
      <x:c r="DZ30" s="125"/>
      <x:c r="EA30" s="125"/>
      <x:c r="EB30" s="125"/>
      <x:c r="EC30" s="125"/>
      <x:c r="ED30" s="125"/>
      <x:c r="EE30" s="125"/>
      <x:c r="EF30" s="125"/>
      <x:c r="EG30" s="125"/>
      <x:c r="EH30" s="125"/>
      <x:c r="EI30" s="125"/>
      <x:c r="EJ30" s="125"/>
      <x:c r="EK30" s="125"/>
      <x:c r="EL30" s="125"/>
      <x:c r="EM30" s="125"/>
      <x:c r="EN30" s="125"/>
      <x:c r="EO30" s="125"/>
      <x:c r="EP30" s="125"/>
      <x:c r="EQ30" s="125"/>
      <x:c r="ER30" s="125"/>
      <x:c r="ES30" s="125"/>
      <x:c r="ET30" s="125"/>
      <x:c r="EU30" s="125"/>
      <x:c r="EV30" s="125"/>
      <x:c r="EW30" s="125"/>
      <x:c r="EX30" s="125"/>
      <x:c r="EY30" s="125"/>
      <x:c r="EZ30" s="125"/>
      <x:c r="FA30" s="125"/>
      <x:c r="FB30" s="125"/>
      <x:c r="FC30" s="125"/>
      <x:c r="FD30" s="125"/>
      <x:c r="FE30" s="125"/>
      <x:c r="FF30" s="125"/>
      <x:c r="FG30" s="125"/>
      <x:c r="FH30" s="125"/>
      <x:c r="FI30" s="125"/>
      <x:c r="FJ30" s="125"/>
      <x:c r="FK30" s="125"/>
      <x:c r="FL30" s="125"/>
      <x:c r="FM30" s="125"/>
      <x:c r="FN30" s="125"/>
      <x:c r="FO30" s="125"/>
      <x:c r="FP30" s="125"/>
      <x:c r="FQ30" s="125"/>
      <x:c r="FR30" s="125"/>
      <x:c r="FS30" s="125"/>
      <x:c r="FT30" s="125"/>
      <x:c r="FU30" s="125"/>
      <x:c r="FV30" s="125"/>
      <x:c r="FW30" s="125"/>
      <x:c r="FX30" s="125"/>
      <x:c r="FY30" s="125"/>
      <x:c r="FZ30" s="125"/>
      <x:c r="GA30" s="125"/>
    </x:row>
    <x:row r="31">
      <x:c r="A31" t="inlineStr">
        <x:is>
          <x:t>Первый облагаемый месяц (самый ранний РВЭ)</x:t>
        </x:is>
      </x:c>
      <x:c r="B31">
        <x:f>MIN(IF('Вводные'!$B$88="Да",'CF_1'!$B$8,99999),IF('Вводные'!$B$89="Да",'CF_2'!$B$8,99999),IF('Вводные'!$B$90="Да",'CF_3'!$B$8,99999),IF('Вводные'!$B$91="Да",'CF_4'!$B$8,99999))</x:f>
      </x:c>
    </x:row>
    <x:row r="32">
      <x:c r="A32" t="inlineStr">
        <x:is>
          <x:t>Налоговый результат месяца (свод)</x:t>
        </x:is>
      </x:c>
      <x:c r="B32">
        <x:f>SUM(D32:GA32)</x:f>
      </x:c>
      <x:c r="D32">
        <x:f>SUM('CF_1'!D22,'CF_2'!D22,'CF_3'!D22,'CF_4'!D22)</x:f>
      </x:c>
      <x:c r="E32">
        <x:f>SUM('CF_1'!E22,'CF_2'!E22,'CF_3'!E22,'CF_4'!E22)</x:f>
      </x:c>
      <x:c r="F32">
        <x:f>SUM('CF_1'!F22,'CF_2'!F22,'CF_3'!F22,'CF_4'!F22)</x:f>
      </x:c>
      <x:c r="G32">
        <x:f>SUM('CF_1'!G22,'CF_2'!G22,'CF_3'!G22,'CF_4'!G22)</x:f>
      </x:c>
      <x:c r="H32">
        <x:f>SUM('CF_1'!H22,'CF_2'!H22,'CF_3'!H22,'CF_4'!H22)</x:f>
      </x:c>
      <x:c r="I32">
        <x:f>SUM('CF_1'!I22,'CF_2'!I22,'CF_3'!I22,'CF_4'!I22)</x:f>
      </x:c>
      <x:c r="J32">
        <x:f>SUM('CF_1'!J22,'CF_2'!J22,'CF_3'!J22,'CF_4'!J22)</x:f>
      </x:c>
      <x:c r="K32">
        <x:f>SUM('CF_1'!K22,'CF_2'!K22,'CF_3'!K22,'CF_4'!K22)</x:f>
      </x:c>
      <x:c r="L32">
        <x:f>SUM('CF_1'!L22,'CF_2'!L22,'CF_3'!L22,'CF_4'!L22)</x:f>
      </x:c>
      <x:c r="M32">
        <x:f>SUM('CF_1'!M22,'CF_2'!M22,'CF_3'!M22,'CF_4'!M22)</x:f>
      </x:c>
      <x:c r="N32">
        <x:f>SUM('CF_1'!N22,'CF_2'!N22,'CF_3'!N22,'CF_4'!N22)</x:f>
      </x:c>
      <x:c r="O32">
        <x:f>SUM('CF_1'!O22,'CF_2'!O22,'CF_3'!O22,'CF_4'!O22)</x:f>
      </x:c>
      <x:c r="P32">
        <x:f>SUM('CF_1'!P22,'CF_2'!P22,'CF_3'!P22,'CF_4'!P22)</x:f>
      </x:c>
      <x:c r="Q32">
        <x:f>SUM('CF_1'!Q22,'CF_2'!Q22,'CF_3'!Q22,'CF_4'!Q22)</x:f>
      </x:c>
      <x:c r="R32">
        <x:f>SUM('CF_1'!R22,'CF_2'!R22,'CF_3'!R22,'CF_4'!R22)</x:f>
      </x:c>
      <x:c r="S32">
        <x:f>SUM('CF_1'!S22,'CF_2'!S22,'CF_3'!S22,'CF_4'!S22)</x:f>
      </x:c>
      <x:c r="T32">
        <x:f>SUM('CF_1'!T22,'CF_2'!T22,'CF_3'!T22,'CF_4'!T22)</x:f>
      </x:c>
      <x:c r="U32">
        <x:f>SUM('CF_1'!U22,'CF_2'!U22,'CF_3'!U22,'CF_4'!U22)</x:f>
      </x:c>
      <x:c r="V32">
        <x:f>SUM('CF_1'!V22,'CF_2'!V22,'CF_3'!V22,'CF_4'!V22)</x:f>
      </x:c>
      <x:c r="W32">
        <x:f>SUM('CF_1'!W22,'CF_2'!W22,'CF_3'!W22,'CF_4'!W22)</x:f>
      </x:c>
      <x:c r="X32">
        <x:f>SUM('CF_1'!X22,'CF_2'!X22,'CF_3'!X22,'CF_4'!X22)</x:f>
      </x:c>
      <x:c r="Y32">
        <x:f>SUM('CF_1'!Y22,'CF_2'!Y22,'CF_3'!Y22,'CF_4'!Y22)</x:f>
      </x:c>
      <x:c r="Z32">
        <x:f>SUM('CF_1'!Z22,'CF_2'!Z22,'CF_3'!Z22,'CF_4'!Z22)</x:f>
      </x:c>
      <x:c r="AA32">
        <x:f>SUM('CF_1'!AA22,'CF_2'!AA22,'CF_3'!AA22,'CF_4'!AA22)</x:f>
      </x:c>
      <x:c r="AB32">
        <x:f>SUM('CF_1'!AB22,'CF_2'!AB22,'CF_3'!AB22,'CF_4'!AB22)</x:f>
      </x:c>
      <x:c r="AC32">
        <x:f>SUM('CF_1'!AC22,'CF_2'!AC22,'CF_3'!AC22,'CF_4'!AC22)</x:f>
      </x:c>
      <x:c r="AD32">
        <x:f>SUM('CF_1'!AD22,'CF_2'!AD22,'CF_3'!AD22,'CF_4'!AD22)</x:f>
      </x:c>
      <x:c r="AE32">
        <x:f>SUM('CF_1'!AE22,'CF_2'!AE22,'CF_3'!AE22,'CF_4'!AE22)</x:f>
      </x:c>
      <x:c r="AF32">
        <x:f>SUM('CF_1'!AF22,'CF_2'!AF22,'CF_3'!AF22,'CF_4'!AF22)</x:f>
      </x:c>
      <x:c r="AG32">
        <x:f>SUM('CF_1'!AG22,'CF_2'!AG22,'CF_3'!AG22,'CF_4'!AG22)</x:f>
      </x:c>
      <x:c r="AH32">
        <x:f>SUM('CF_1'!AH22,'CF_2'!AH22,'CF_3'!AH22,'CF_4'!AH22)</x:f>
      </x:c>
      <x:c r="AI32">
        <x:f>SUM('CF_1'!AI22,'CF_2'!AI22,'CF_3'!AI22,'CF_4'!AI22)</x:f>
      </x:c>
      <x:c r="AJ32">
        <x:f>SUM('CF_1'!AJ22,'CF_2'!AJ22,'CF_3'!AJ22,'CF_4'!AJ22)</x:f>
      </x:c>
      <x:c r="AK32">
        <x:f>SUM('CF_1'!AK22,'CF_2'!AK22,'CF_3'!AK22,'CF_4'!AK22)</x:f>
      </x:c>
      <x:c r="AL32">
        <x:f>SUM('CF_1'!AL22,'CF_2'!AL22,'CF_3'!AL22,'CF_4'!AL22)</x:f>
      </x:c>
      <x:c r="AM32">
        <x:f>SUM('CF_1'!AM22,'CF_2'!AM22,'CF_3'!AM22,'CF_4'!AM22)</x:f>
      </x:c>
      <x:c r="AN32">
        <x:f>SUM('CF_1'!AN22,'CF_2'!AN22,'CF_3'!AN22,'CF_4'!AN22)</x:f>
      </x:c>
      <x:c r="AO32">
        <x:f>SUM('CF_1'!AO22,'CF_2'!AO22,'CF_3'!AO22,'CF_4'!AO22)</x:f>
      </x:c>
      <x:c r="AP32">
        <x:f>SUM('CF_1'!AP22,'CF_2'!AP22,'CF_3'!AP22,'CF_4'!AP22)</x:f>
      </x:c>
      <x:c r="AQ32">
        <x:f>SUM('CF_1'!AQ22,'CF_2'!AQ22,'CF_3'!AQ22,'CF_4'!AQ22)</x:f>
      </x:c>
      <x:c r="AR32">
        <x:f>SUM('CF_1'!AR22,'CF_2'!AR22,'CF_3'!AR22,'CF_4'!AR22)</x:f>
      </x:c>
      <x:c r="AS32">
        <x:f>SUM('CF_1'!AS22,'CF_2'!AS22,'CF_3'!AS22,'CF_4'!AS22)</x:f>
      </x:c>
      <x:c r="AT32">
        <x:f>SUM('CF_1'!AT22,'CF_2'!AT22,'CF_3'!AT22,'CF_4'!AT22)</x:f>
      </x:c>
      <x:c r="AU32">
        <x:f>SUM('CF_1'!AU22,'CF_2'!AU22,'CF_3'!AU22,'CF_4'!AU22)</x:f>
      </x:c>
      <x:c r="AV32">
        <x:f>SUM('CF_1'!AV22,'CF_2'!AV22,'CF_3'!AV22,'CF_4'!AV22)</x:f>
      </x:c>
      <x:c r="AW32">
        <x:f>SUM('CF_1'!AW22,'CF_2'!AW22,'CF_3'!AW22,'CF_4'!AW22)</x:f>
      </x:c>
      <x:c r="AX32">
        <x:f>SUM('CF_1'!AX22,'CF_2'!AX22,'CF_3'!AX22,'CF_4'!AX22)</x:f>
      </x:c>
      <x:c r="AY32">
        <x:f>SUM('CF_1'!AY22,'CF_2'!AY22,'CF_3'!AY22,'CF_4'!AY22)</x:f>
      </x:c>
      <x:c r="AZ32">
        <x:f>SUM('CF_1'!AZ22,'CF_2'!AZ22,'CF_3'!AZ22,'CF_4'!AZ22)</x:f>
      </x:c>
      <x:c r="BA32">
        <x:f>SUM('CF_1'!BA22,'CF_2'!BA22,'CF_3'!BA22,'CF_4'!BA22)</x:f>
      </x:c>
      <x:c r="BB32">
        <x:f>SUM('CF_1'!BB22,'CF_2'!BB22,'CF_3'!BB22,'CF_4'!BB22)</x:f>
      </x:c>
      <x:c r="BC32">
        <x:f>SUM('CF_1'!BC22,'CF_2'!BC22,'CF_3'!BC22,'CF_4'!BC22)</x:f>
      </x:c>
      <x:c r="BD32">
        <x:f>SUM('CF_1'!BD22,'CF_2'!BD22,'CF_3'!BD22,'CF_4'!BD22)</x:f>
      </x:c>
      <x:c r="BE32">
        <x:f>SUM('CF_1'!BE22,'CF_2'!BE22,'CF_3'!BE22,'CF_4'!BE22)</x:f>
      </x:c>
      <x:c r="BF32">
        <x:f>SUM('CF_1'!BF22,'CF_2'!BF22,'CF_3'!BF22,'CF_4'!BF22)</x:f>
      </x:c>
      <x:c r="BG32">
        <x:f>SUM('CF_1'!BG22,'CF_2'!BG22,'CF_3'!BG22,'CF_4'!BG22)</x:f>
      </x:c>
      <x:c r="BH32">
        <x:f>SUM('CF_1'!BH22,'CF_2'!BH22,'CF_3'!BH22,'CF_4'!BH22)</x:f>
      </x:c>
      <x:c r="BI32">
        <x:f>SUM('CF_1'!BI22,'CF_2'!BI22,'CF_3'!BI22,'CF_4'!BI22)</x:f>
      </x:c>
      <x:c r="BJ32">
        <x:f>SUM('CF_1'!BJ22,'CF_2'!BJ22,'CF_3'!BJ22,'CF_4'!BJ22)</x:f>
      </x:c>
      <x:c r="BK32">
        <x:f>SUM('CF_1'!BK22,'CF_2'!BK22,'CF_3'!BK22,'CF_4'!BK22)</x:f>
      </x:c>
      <x:c r="BL32">
        <x:f>SUM('CF_1'!BL22,'CF_2'!BL22,'CF_3'!BL22,'CF_4'!BL22)</x:f>
      </x:c>
      <x:c r="BM32">
        <x:f>SUM('CF_1'!BM22,'CF_2'!BM22,'CF_3'!BM22,'CF_4'!BM22)</x:f>
      </x:c>
      <x:c r="BN32">
        <x:f>SUM('CF_1'!BN22,'CF_2'!BN22,'CF_3'!BN22,'CF_4'!BN22)</x:f>
      </x:c>
      <x:c r="BO32">
        <x:f>SUM('CF_1'!BO22,'CF_2'!BO22,'CF_3'!BO22,'CF_4'!BO22)</x:f>
      </x:c>
      <x:c r="BP32">
        <x:f>SUM('CF_1'!BP22,'CF_2'!BP22,'CF_3'!BP22,'CF_4'!BP22)</x:f>
      </x:c>
      <x:c r="BQ32">
        <x:f>SUM('CF_1'!BQ22,'CF_2'!BQ22,'CF_3'!BQ22,'CF_4'!BQ22)</x:f>
      </x:c>
      <x:c r="BR32">
        <x:f>SUM('CF_1'!BR22,'CF_2'!BR22,'CF_3'!BR22,'CF_4'!BR22)</x:f>
      </x:c>
      <x:c r="BS32">
        <x:f>SUM('CF_1'!BS22,'CF_2'!BS22,'CF_3'!BS22,'CF_4'!BS22)</x:f>
      </x:c>
      <x:c r="BT32">
        <x:f>SUM('CF_1'!BT22,'CF_2'!BT22,'CF_3'!BT22,'CF_4'!BT22)</x:f>
      </x:c>
      <x:c r="BU32">
        <x:f>SUM('CF_1'!BU22,'CF_2'!BU22,'CF_3'!BU22,'CF_4'!BU22)</x:f>
      </x:c>
      <x:c r="BV32">
        <x:f>SUM('CF_1'!BV22,'CF_2'!BV22,'CF_3'!BV22,'CF_4'!BV22)</x:f>
      </x:c>
      <x:c r="BW32">
        <x:f>SUM('CF_1'!BW22,'CF_2'!BW22,'CF_3'!BW22,'CF_4'!BW22)</x:f>
      </x:c>
      <x:c r="BX32">
        <x:f>SUM('CF_1'!BX22,'CF_2'!BX22,'CF_3'!BX22,'CF_4'!BX22)</x:f>
      </x:c>
      <x:c r="BY32">
        <x:f>SUM('CF_1'!BY22,'CF_2'!BY22,'CF_3'!BY22,'CF_4'!BY22)</x:f>
      </x:c>
      <x:c r="BZ32">
        <x:f>SUM('CF_1'!BZ22,'CF_2'!BZ22,'CF_3'!BZ22,'CF_4'!BZ22)</x:f>
      </x:c>
      <x:c r="CA32">
        <x:f>SUM('CF_1'!CA22,'CF_2'!CA22,'CF_3'!CA22,'CF_4'!CA22)</x:f>
      </x:c>
      <x:c r="CB32">
        <x:f>SUM('CF_1'!CB22,'CF_2'!CB22,'CF_3'!CB22,'CF_4'!CB22)</x:f>
      </x:c>
      <x:c r="CC32">
        <x:f>SUM('CF_1'!CC22,'CF_2'!CC22,'CF_3'!CC22,'CF_4'!CC22)</x:f>
      </x:c>
      <x:c r="CD32">
        <x:f>SUM('CF_1'!CD22,'CF_2'!CD22,'CF_3'!CD22,'CF_4'!CD22)</x:f>
      </x:c>
      <x:c r="CE32">
        <x:f>SUM('CF_1'!CE22,'CF_2'!CE22,'CF_3'!CE22,'CF_4'!CE22)</x:f>
      </x:c>
      <x:c r="CF32">
        <x:f>SUM('CF_1'!CF22,'CF_2'!CF22,'CF_3'!CF22,'CF_4'!CF22)</x:f>
      </x:c>
      <x:c r="CG32">
        <x:f>SUM('CF_1'!CG22,'CF_2'!CG22,'CF_3'!CG22,'CF_4'!CG22)</x:f>
      </x:c>
      <x:c r="CH32">
        <x:f>SUM('CF_1'!CH22,'CF_2'!CH22,'CF_3'!CH22,'CF_4'!CH22)</x:f>
      </x:c>
      <x:c r="CI32">
        <x:f>SUM('CF_1'!CI22,'CF_2'!CI22,'CF_3'!CI22,'CF_4'!CI22)</x:f>
      </x:c>
      <x:c r="CJ32">
        <x:f>SUM('CF_1'!CJ22,'CF_2'!CJ22,'CF_3'!CJ22,'CF_4'!CJ22)</x:f>
      </x:c>
      <x:c r="CK32">
        <x:f>SUM('CF_1'!CK22,'CF_2'!CK22,'CF_3'!CK22,'CF_4'!CK22)</x:f>
      </x:c>
      <x:c r="CL32">
        <x:f>SUM('CF_1'!CL22,'CF_2'!CL22,'CF_3'!CL22,'CF_4'!CL22)</x:f>
      </x:c>
      <x:c r="CM32">
        <x:f>SUM('CF_1'!CM22,'CF_2'!CM22,'CF_3'!CM22,'CF_4'!CM22)</x:f>
      </x:c>
      <x:c r="CN32">
        <x:f>SUM('CF_1'!CN22,'CF_2'!CN22,'CF_3'!CN22,'CF_4'!CN22)</x:f>
      </x:c>
      <x:c r="CO32">
        <x:f>SUM('CF_1'!CO22,'CF_2'!CO22,'CF_3'!CO22,'CF_4'!CO22)</x:f>
      </x:c>
      <x:c r="CP32">
        <x:f>SUM('CF_1'!CP22,'CF_2'!CP22,'CF_3'!CP22,'CF_4'!CP22)</x:f>
      </x:c>
      <x:c r="CQ32">
        <x:f>SUM('CF_1'!CQ22,'CF_2'!CQ22,'CF_3'!CQ22,'CF_4'!CQ22)</x:f>
      </x:c>
      <x:c r="CR32">
        <x:f>SUM('CF_1'!CR22,'CF_2'!CR22,'CF_3'!CR22,'CF_4'!CR22)</x:f>
      </x:c>
      <x:c r="CS32">
        <x:f>SUM('CF_1'!CS22,'CF_2'!CS22,'CF_3'!CS22,'CF_4'!CS22)</x:f>
      </x:c>
      <x:c r="CT32">
        <x:f>SUM('CF_1'!CT22,'CF_2'!CT22,'CF_3'!CT22,'CF_4'!CT22)</x:f>
      </x:c>
      <x:c r="CU32">
        <x:f>SUM('CF_1'!CU22,'CF_2'!CU22,'CF_3'!CU22,'CF_4'!CU22)</x:f>
      </x:c>
      <x:c r="CV32">
        <x:f>SUM('CF_1'!CV22,'CF_2'!CV22,'CF_3'!CV22,'CF_4'!CV22)</x:f>
      </x:c>
      <x:c r="CW32">
        <x:f>SUM('CF_1'!CW22,'CF_2'!CW22,'CF_3'!CW22,'CF_4'!CW22)</x:f>
      </x:c>
      <x:c r="CX32">
        <x:f>SUM('CF_1'!CX22,'CF_2'!CX22,'CF_3'!CX22,'CF_4'!CX22)</x:f>
      </x:c>
      <x:c r="CY32">
        <x:f>SUM('CF_1'!CY22,'CF_2'!CY22,'CF_3'!CY22,'CF_4'!CY22)</x:f>
      </x:c>
      <x:c r="CZ32">
        <x:f>SUM('CF_1'!CZ22,'CF_2'!CZ22,'CF_3'!CZ22,'CF_4'!CZ22)</x:f>
      </x:c>
      <x:c r="DA32">
        <x:f>SUM('CF_1'!DA22,'CF_2'!DA22,'CF_3'!DA22,'CF_4'!DA22)</x:f>
      </x:c>
      <x:c r="DB32">
        <x:f>SUM('CF_1'!DB22,'CF_2'!DB22,'CF_3'!DB22,'CF_4'!DB22)</x:f>
      </x:c>
      <x:c r="DC32">
        <x:f>SUM('CF_1'!DC22,'CF_2'!DC22,'CF_3'!DC22,'CF_4'!DC22)</x:f>
      </x:c>
      <x:c r="DD32">
        <x:f>SUM('CF_1'!DD22,'CF_2'!DD22,'CF_3'!DD22,'CF_4'!DD22)</x:f>
      </x:c>
      <x:c r="DE32">
        <x:f>SUM('CF_1'!DE22,'CF_2'!DE22,'CF_3'!DE22,'CF_4'!DE22)</x:f>
      </x:c>
      <x:c r="DF32">
        <x:f>SUM('CF_1'!DF22,'CF_2'!DF22,'CF_3'!DF22,'CF_4'!DF22)</x:f>
      </x:c>
      <x:c r="DG32">
        <x:f>SUM('CF_1'!DG22,'CF_2'!DG22,'CF_3'!DG22,'CF_4'!DG22)</x:f>
      </x:c>
      <x:c r="DH32">
        <x:f>SUM('CF_1'!DH22,'CF_2'!DH22,'CF_3'!DH22,'CF_4'!DH22)</x:f>
      </x:c>
      <x:c r="DI32">
        <x:f>SUM('CF_1'!DI22,'CF_2'!DI22,'CF_3'!DI22,'CF_4'!DI22)</x:f>
      </x:c>
      <x:c r="DJ32">
        <x:f>SUM('CF_1'!DJ22,'CF_2'!DJ22,'CF_3'!DJ22,'CF_4'!DJ22)</x:f>
      </x:c>
      <x:c r="DK32">
        <x:f>SUM('CF_1'!DK22,'CF_2'!DK22,'CF_3'!DK22,'CF_4'!DK22)</x:f>
      </x:c>
      <x:c r="DL32">
        <x:f>SUM('CF_1'!DL22,'CF_2'!DL22,'CF_3'!DL22,'CF_4'!DL22)</x:f>
      </x:c>
      <x:c r="DM32">
        <x:f>SUM('CF_1'!DM22,'CF_2'!DM22,'CF_3'!DM22,'CF_4'!DM22)</x:f>
      </x:c>
      <x:c r="DN32">
        <x:f>SUM('CF_1'!DN22,'CF_2'!DN22,'CF_3'!DN22,'CF_4'!DN22)</x:f>
      </x:c>
      <x:c r="DO32">
        <x:f>SUM('CF_1'!DO22,'CF_2'!DO22,'CF_3'!DO22,'CF_4'!DO22)</x:f>
      </x:c>
      <x:c r="DP32">
        <x:f>SUM('CF_1'!DP22,'CF_2'!DP22,'CF_3'!DP22,'CF_4'!DP22)</x:f>
      </x:c>
      <x:c r="DQ32">
        <x:f>SUM('CF_1'!DQ22,'CF_2'!DQ22,'CF_3'!DQ22,'CF_4'!DQ22)</x:f>
      </x:c>
      <x:c r="DR32">
        <x:f>SUM('CF_1'!DR22,'CF_2'!DR22,'CF_3'!DR22,'CF_4'!DR22)</x:f>
      </x:c>
      <x:c r="DS32">
        <x:f>SUM('CF_1'!DS22,'CF_2'!DS22,'CF_3'!DS22,'CF_4'!DS22)</x:f>
      </x:c>
      <x:c r="DT32">
        <x:f>SUM('CF_1'!DT22,'CF_2'!DT22,'CF_3'!DT22,'CF_4'!DT22)</x:f>
      </x:c>
      <x:c r="DU32">
        <x:f>SUM('CF_1'!DU22,'CF_2'!DU22,'CF_3'!DU22,'CF_4'!DU22)</x:f>
      </x:c>
      <x:c r="DV32">
        <x:f>SUM('CF_1'!DV22,'CF_2'!DV22,'CF_3'!DV22,'CF_4'!DV22)</x:f>
      </x:c>
      <x:c r="DW32">
        <x:f>SUM('CF_1'!DW22,'CF_2'!DW22,'CF_3'!DW22,'CF_4'!DW22)</x:f>
      </x:c>
      <x:c r="DX32">
        <x:f>SUM('CF_1'!DX22,'CF_2'!DX22,'CF_3'!DX22,'CF_4'!DX22)</x:f>
      </x:c>
      <x:c r="DY32">
        <x:f>SUM('CF_1'!DY22,'CF_2'!DY22,'CF_3'!DY22,'CF_4'!DY22)</x:f>
      </x:c>
      <x:c r="DZ32">
        <x:f>SUM('CF_1'!DZ22,'CF_2'!DZ22,'CF_3'!DZ22,'CF_4'!DZ22)</x:f>
      </x:c>
      <x:c r="EA32">
        <x:f>SUM('CF_1'!EA22,'CF_2'!EA22,'CF_3'!EA22,'CF_4'!EA22)</x:f>
      </x:c>
      <x:c r="EB32">
        <x:f>SUM('CF_1'!EB22,'CF_2'!EB22,'CF_3'!EB22,'CF_4'!EB22)</x:f>
      </x:c>
      <x:c r="EC32">
        <x:f>SUM('CF_1'!EC22,'CF_2'!EC22,'CF_3'!EC22,'CF_4'!EC22)</x:f>
      </x:c>
      <x:c r="ED32">
        <x:f>SUM('CF_1'!ED22,'CF_2'!ED22,'CF_3'!ED22,'CF_4'!ED22)</x:f>
      </x:c>
      <x:c r="EE32">
        <x:f>SUM('CF_1'!EE22,'CF_2'!EE22,'CF_3'!EE22,'CF_4'!EE22)</x:f>
      </x:c>
      <x:c r="EF32">
        <x:f>SUM('CF_1'!EF22,'CF_2'!EF22,'CF_3'!EF22,'CF_4'!EF22)</x:f>
      </x:c>
      <x:c r="EG32">
        <x:f>SUM('CF_1'!EG22,'CF_2'!EG22,'CF_3'!EG22,'CF_4'!EG22)</x:f>
      </x:c>
      <x:c r="EH32">
        <x:f>SUM('CF_1'!EH22,'CF_2'!EH22,'CF_3'!EH22,'CF_4'!EH22)</x:f>
      </x:c>
      <x:c r="EI32">
        <x:f>SUM('CF_1'!EI22,'CF_2'!EI22,'CF_3'!EI22,'CF_4'!EI22)</x:f>
      </x:c>
      <x:c r="EJ32">
        <x:f>SUM('CF_1'!EJ22,'CF_2'!EJ22,'CF_3'!EJ22,'CF_4'!EJ22)</x:f>
      </x:c>
      <x:c r="EK32">
        <x:f>SUM('CF_1'!EK22,'CF_2'!EK22,'CF_3'!EK22,'CF_4'!EK22)</x:f>
      </x:c>
      <x:c r="EL32">
        <x:f>SUM('CF_1'!EL22,'CF_2'!EL22,'CF_3'!EL22,'CF_4'!EL22)</x:f>
      </x:c>
      <x:c r="EM32">
        <x:f>SUM('CF_1'!EM22,'CF_2'!EM22,'CF_3'!EM22,'CF_4'!EM22)</x:f>
      </x:c>
      <x:c r="EN32">
        <x:f>SUM('CF_1'!EN22,'CF_2'!EN22,'CF_3'!EN22,'CF_4'!EN22)</x:f>
      </x:c>
      <x:c r="EO32">
        <x:f>SUM('CF_1'!EO22,'CF_2'!EO22,'CF_3'!EO22,'CF_4'!EO22)</x:f>
      </x:c>
      <x:c r="EP32">
        <x:f>SUM('CF_1'!EP22,'CF_2'!EP22,'CF_3'!EP22,'CF_4'!EP22)</x:f>
      </x:c>
      <x:c r="EQ32">
        <x:f>SUM('CF_1'!EQ22,'CF_2'!EQ22,'CF_3'!EQ22,'CF_4'!EQ22)</x:f>
      </x:c>
      <x:c r="ER32">
        <x:f>SUM('CF_1'!ER22,'CF_2'!ER22,'CF_3'!ER22,'CF_4'!ER22)</x:f>
      </x:c>
      <x:c r="ES32">
        <x:f>SUM('CF_1'!ES22,'CF_2'!ES22,'CF_3'!ES22,'CF_4'!ES22)</x:f>
      </x:c>
      <x:c r="ET32">
        <x:f>SUM('CF_1'!ET22,'CF_2'!ET22,'CF_3'!ET22,'CF_4'!ET22)</x:f>
      </x:c>
      <x:c r="EU32">
        <x:f>SUM('CF_1'!EU22,'CF_2'!EU22,'CF_3'!EU22,'CF_4'!EU22)</x:f>
      </x:c>
      <x:c r="EV32">
        <x:f>SUM('CF_1'!EV22,'CF_2'!EV22,'CF_3'!EV22,'CF_4'!EV22)</x:f>
      </x:c>
      <x:c r="EW32">
        <x:f>SUM('CF_1'!EW22,'CF_2'!EW22,'CF_3'!EW22,'CF_4'!EW22)</x:f>
      </x:c>
      <x:c r="EX32">
        <x:f>SUM('CF_1'!EX22,'CF_2'!EX22,'CF_3'!EX22,'CF_4'!EX22)</x:f>
      </x:c>
      <x:c r="EY32">
        <x:f>SUM('CF_1'!EY22,'CF_2'!EY22,'CF_3'!EY22,'CF_4'!EY22)</x:f>
      </x:c>
      <x:c r="EZ32">
        <x:f>SUM('CF_1'!EZ22,'CF_2'!EZ22,'CF_3'!EZ22,'CF_4'!EZ22)</x:f>
      </x:c>
      <x:c r="FA32">
        <x:f>SUM('CF_1'!FA22,'CF_2'!FA22,'CF_3'!FA22,'CF_4'!FA22)</x:f>
      </x:c>
      <x:c r="FB32">
        <x:f>SUM('CF_1'!FB22,'CF_2'!FB22,'CF_3'!FB22,'CF_4'!FB22)</x:f>
      </x:c>
      <x:c r="FC32">
        <x:f>SUM('CF_1'!FC22,'CF_2'!FC22,'CF_3'!FC22,'CF_4'!FC22)</x:f>
      </x:c>
      <x:c r="FD32">
        <x:f>SUM('CF_1'!FD22,'CF_2'!FD22,'CF_3'!FD22,'CF_4'!FD22)</x:f>
      </x:c>
      <x:c r="FE32">
        <x:f>SUM('CF_1'!FE22,'CF_2'!FE22,'CF_3'!FE22,'CF_4'!FE22)</x:f>
      </x:c>
      <x:c r="FF32">
        <x:f>SUM('CF_1'!FF22,'CF_2'!FF22,'CF_3'!FF22,'CF_4'!FF22)</x:f>
      </x:c>
      <x:c r="FG32">
        <x:f>SUM('CF_1'!FG22,'CF_2'!FG22,'CF_3'!FG22,'CF_4'!FG22)</x:f>
      </x:c>
      <x:c r="FH32">
        <x:f>SUM('CF_1'!FH22,'CF_2'!FH22,'CF_3'!FH22,'CF_4'!FH22)</x:f>
      </x:c>
      <x:c r="FI32">
        <x:f>SUM('CF_1'!FI22,'CF_2'!FI22,'CF_3'!FI22,'CF_4'!FI22)</x:f>
      </x:c>
      <x:c r="FJ32">
        <x:f>SUM('CF_1'!FJ22,'CF_2'!FJ22,'CF_3'!FJ22,'CF_4'!FJ22)</x:f>
      </x:c>
      <x:c r="FK32">
        <x:f>SUM('CF_1'!FK22,'CF_2'!FK22,'CF_3'!FK22,'CF_4'!FK22)</x:f>
      </x:c>
      <x:c r="FL32">
        <x:f>SUM('CF_1'!FL22,'CF_2'!FL22,'CF_3'!FL22,'CF_4'!FL22)</x:f>
      </x:c>
      <x:c r="FM32">
        <x:f>SUM('CF_1'!FM22,'CF_2'!FM22,'CF_3'!FM22,'CF_4'!FM22)</x:f>
      </x:c>
      <x:c r="FN32">
        <x:f>SUM('CF_1'!FN22,'CF_2'!FN22,'CF_3'!FN22,'CF_4'!FN22)</x:f>
      </x:c>
      <x:c r="FO32">
        <x:f>SUM('CF_1'!FO22,'CF_2'!FO22,'CF_3'!FO22,'CF_4'!FO22)</x:f>
      </x:c>
      <x:c r="FP32">
        <x:f>SUM('CF_1'!FP22,'CF_2'!FP22,'CF_3'!FP22,'CF_4'!FP22)</x:f>
      </x:c>
      <x:c r="FQ32">
        <x:f>SUM('CF_1'!FQ22,'CF_2'!FQ22,'CF_3'!FQ22,'CF_4'!FQ22)</x:f>
      </x:c>
      <x:c r="FR32">
        <x:f>SUM('CF_1'!FR22,'CF_2'!FR22,'CF_3'!FR22,'CF_4'!FR22)</x:f>
      </x:c>
      <x:c r="FS32">
        <x:f>SUM('CF_1'!FS22,'CF_2'!FS22,'CF_3'!FS22,'CF_4'!FS22)</x:f>
      </x:c>
      <x:c r="FT32">
        <x:f>SUM('CF_1'!FT22,'CF_2'!FT22,'CF_3'!FT22,'CF_4'!FT22)</x:f>
      </x:c>
      <x:c r="FU32">
        <x:f>SUM('CF_1'!FU22,'CF_2'!FU22,'CF_3'!FU22,'CF_4'!FU22)</x:f>
      </x:c>
      <x:c r="FV32">
        <x:f>SUM('CF_1'!FV22,'CF_2'!FV22,'CF_3'!FV22,'CF_4'!FV22)</x:f>
      </x:c>
      <x:c r="FW32">
        <x:f>SUM('CF_1'!FW22,'CF_2'!FW22,'CF_3'!FW22,'CF_4'!FW22)</x:f>
      </x:c>
      <x:c r="FX32">
        <x:f>SUM('CF_1'!FX22,'CF_2'!FX22,'CF_3'!FX22,'CF_4'!FX22)</x:f>
      </x:c>
      <x:c r="FY32">
        <x:f>SUM('CF_1'!FY22,'CF_2'!FY22,'CF_3'!FY22,'CF_4'!FY22)</x:f>
      </x:c>
      <x:c r="FZ32">
        <x:f>SUM('CF_1'!FZ22,'CF_2'!FZ22,'CF_3'!FZ22,'CF_4'!FZ22)</x:f>
      </x:c>
      <x:c r="GA32">
        <x:f>SUM('CF_1'!GA22,'CF_2'!GA22,'CF_3'!GA22,'CF_4'!GA22)</x:f>
      </x:c>
    </x:row>
    <x:row r="33">
      <x:c r="A33" t="inlineStr">
        <x:is>
          <x:t>Результат года нарастающим</x:t>
        </x:is>
      </x:c>
      <x:c r="D33">
        <x:f>D32</x:f>
      </x:c>
      <x:c r="E33">
        <x:f>IF(AND(E$3&gt;=$B$31,D$3&gt;=$B$31),IF(YEAR(E$3)=YEAR(D$3),D33+E32,E32),D33+E32)</x:f>
      </x:c>
      <x:c r="F33">
        <x:f>IF(AND(F$3&gt;=$B$31,E$3&gt;=$B$31),IF(YEAR(F$3)=YEAR(E$3),E33+F32,F32),E33+F32)</x:f>
      </x:c>
      <x:c r="G33">
        <x:f>IF(AND(G$3&gt;=$B$31,F$3&gt;=$B$31),IF(YEAR(G$3)=YEAR(F$3),F33+G32,G32),F33+G32)</x:f>
      </x:c>
      <x:c r="H33">
        <x:f>IF(AND(H$3&gt;=$B$31,G$3&gt;=$B$31),IF(YEAR(H$3)=YEAR(G$3),G33+H32,H32),G33+H32)</x:f>
      </x:c>
      <x:c r="I33">
        <x:f>IF(AND(I$3&gt;=$B$31,H$3&gt;=$B$31),IF(YEAR(I$3)=YEAR(H$3),H33+I32,I32),H33+I32)</x:f>
      </x:c>
      <x:c r="J33">
        <x:f>IF(AND(J$3&gt;=$B$31,I$3&gt;=$B$31),IF(YEAR(J$3)=YEAR(I$3),I33+J32,J32),I33+J32)</x:f>
      </x:c>
      <x:c r="K33">
        <x:f>IF(AND(K$3&gt;=$B$31,J$3&gt;=$B$31),IF(YEAR(K$3)=YEAR(J$3),J33+K32,K32),J33+K32)</x:f>
      </x:c>
      <x:c r="L33">
        <x:f>IF(AND(L$3&gt;=$B$31,K$3&gt;=$B$31),IF(YEAR(L$3)=YEAR(K$3),K33+L32,L32),K33+L32)</x:f>
      </x:c>
      <x:c r="M33">
        <x:f>IF(AND(M$3&gt;=$B$31,L$3&gt;=$B$31),IF(YEAR(M$3)=YEAR(L$3),L33+M32,M32),L33+M32)</x:f>
      </x:c>
      <x:c r="N33">
        <x:f>IF(AND(N$3&gt;=$B$31,M$3&gt;=$B$31),IF(YEAR(N$3)=YEAR(M$3),M33+N32,N32),M33+N32)</x:f>
      </x:c>
      <x:c r="O33">
        <x:f>IF(AND(O$3&gt;=$B$31,N$3&gt;=$B$31),IF(YEAR(O$3)=YEAR(N$3),N33+O32,O32),N33+O32)</x:f>
      </x:c>
      <x:c r="P33">
        <x:f>IF(AND(P$3&gt;=$B$31,O$3&gt;=$B$31),IF(YEAR(P$3)=YEAR(O$3),O33+P32,P32),O33+P32)</x:f>
      </x:c>
      <x:c r="Q33">
        <x:f>IF(AND(Q$3&gt;=$B$31,P$3&gt;=$B$31),IF(YEAR(Q$3)=YEAR(P$3),P33+Q32,Q32),P33+Q32)</x:f>
      </x:c>
      <x:c r="R33">
        <x:f>IF(AND(R$3&gt;=$B$31,Q$3&gt;=$B$31),IF(YEAR(R$3)=YEAR(Q$3),Q33+R32,R32),Q33+R32)</x:f>
      </x:c>
      <x:c r="S33">
        <x:f>IF(AND(S$3&gt;=$B$31,R$3&gt;=$B$31),IF(YEAR(S$3)=YEAR(R$3),R33+S32,S32),R33+S32)</x:f>
      </x:c>
      <x:c r="T33">
        <x:f>IF(AND(T$3&gt;=$B$31,S$3&gt;=$B$31),IF(YEAR(T$3)=YEAR(S$3),S33+T32,T32),S33+T32)</x:f>
      </x:c>
      <x:c r="U33">
        <x:f>IF(AND(U$3&gt;=$B$31,T$3&gt;=$B$31),IF(YEAR(U$3)=YEAR(T$3),T33+U32,U32),T33+U32)</x:f>
      </x:c>
      <x:c r="V33">
        <x:f>IF(AND(V$3&gt;=$B$31,U$3&gt;=$B$31),IF(YEAR(V$3)=YEAR(U$3),U33+V32,V32),U33+V32)</x:f>
      </x:c>
      <x:c r="W33">
        <x:f>IF(AND(W$3&gt;=$B$31,V$3&gt;=$B$31),IF(YEAR(W$3)=YEAR(V$3),V33+W32,W32),V33+W32)</x:f>
      </x:c>
      <x:c r="X33">
        <x:f>IF(AND(X$3&gt;=$B$31,W$3&gt;=$B$31),IF(YEAR(X$3)=YEAR(W$3),W33+X32,X32),W33+X32)</x:f>
      </x:c>
      <x:c r="Y33">
        <x:f>IF(AND(Y$3&gt;=$B$31,X$3&gt;=$B$31),IF(YEAR(Y$3)=YEAR(X$3),X33+Y32,Y32),X33+Y32)</x:f>
      </x:c>
      <x:c r="Z33">
        <x:f>IF(AND(Z$3&gt;=$B$31,Y$3&gt;=$B$31),IF(YEAR(Z$3)=YEAR(Y$3),Y33+Z32,Z32),Y33+Z32)</x:f>
      </x:c>
      <x:c r="AA33">
        <x:f>IF(AND(AA$3&gt;=$B$31,Z$3&gt;=$B$31),IF(YEAR(AA$3)=YEAR(Z$3),Z33+AA32,AA32),Z33+AA32)</x:f>
      </x:c>
      <x:c r="AB33">
        <x:f>IF(AND(AB$3&gt;=$B$31,AA$3&gt;=$B$31),IF(YEAR(AB$3)=YEAR(AA$3),AA33+AB32,AB32),AA33+AB32)</x:f>
      </x:c>
      <x:c r="AC33">
        <x:f>IF(AND(AC$3&gt;=$B$31,AB$3&gt;=$B$31),IF(YEAR(AC$3)=YEAR(AB$3),AB33+AC32,AC32),AB33+AC32)</x:f>
      </x:c>
      <x:c r="AD33">
        <x:f>IF(AND(AD$3&gt;=$B$31,AC$3&gt;=$B$31),IF(YEAR(AD$3)=YEAR(AC$3),AC33+AD32,AD32),AC33+AD32)</x:f>
      </x:c>
      <x:c r="AE33">
        <x:f>IF(AND(AE$3&gt;=$B$31,AD$3&gt;=$B$31),IF(YEAR(AE$3)=YEAR(AD$3),AD33+AE32,AE32),AD33+AE32)</x:f>
      </x:c>
      <x:c r="AF33">
        <x:f>IF(AND(AF$3&gt;=$B$31,AE$3&gt;=$B$31),IF(YEAR(AF$3)=YEAR(AE$3),AE33+AF32,AF32),AE33+AF32)</x:f>
      </x:c>
      <x:c r="AG33">
        <x:f>IF(AND(AG$3&gt;=$B$31,AF$3&gt;=$B$31),IF(YEAR(AG$3)=YEAR(AF$3),AF33+AG32,AG32),AF33+AG32)</x:f>
      </x:c>
      <x:c r="AH33">
        <x:f>IF(AND(AH$3&gt;=$B$31,AG$3&gt;=$B$31),IF(YEAR(AH$3)=YEAR(AG$3),AG33+AH32,AH32),AG33+AH32)</x:f>
      </x:c>
      <x:c r="AI33">
        <x:f>IF(AND(AI$3&gt;=$B$31,AH$3&gt;=$B$31),IF(YEAR(AI$3)=YEAR(AH$3),AH33+AI32,AI32),AH33+AI32)</x:f>
      </x:c>
      <x:c r="AJ33">
        <x:f>IF(AND(AJ$3&gt;=$B$31,AI$3&gt;=$B$31),IF(YEAR(AJ$3)=YEAR(AI$3),AI33+AJ32,AJ32),AI33+AJ32)</x:f>
      </x:c>
      <x:c r="AK33">
        <x:f>IF(AND(AK$3&gt;=$B$31,AJ$3&gt;=$B$31),IF(YEAR(AK$3)=YEAR(AJ$3),AJ33+AK32,AK32),AJ33+AK32)</x:f>
      </x:c>
      <x:c r="AL33">
        <x:f>IF(AND(AL$3&gt;=$B$31,AK$3&gt;=$B$31),IF(YEAR(AL$3)=YEAR(AK$3),AK33+AL32,AL32),AK33+AL32)</x:f>
      </x:c>
      <x:c r="AM33">
        <x:f>IF(AND(AM$3&gt;=$B$31,AL$3&gt;=$B$31),IF(YEAR(AM$3)=YEAR(AL$3),AL33+AM32,AM32),AL33+AM32)</x:f>
      </x:c>
      <x:c r="AN33">
        <x:f>IF(AND(AN$3&gt;=$B$31,AM$3&gt;=$B$31),IF(YEAR(AN$3)=YEAR(AM$3),AM33+AN32,AN32),AM33+AN32)</x:f>
      </x:c>
      <x:c r="AO33">
        <x:f>IF(AND(AO$3&gt;=$B$31,AN$3&gt;=$B$31),IF(YEAR(AO$3)=YEAR(AN$3),AN33+AO32,AO32),AN33+AO32)</x:f>
      </x:c>
      <x:c r="AP33">
        <x:f>IF(AND(AP$3&gt;=$B$31,AO$3&gt;=$B$31),IF(YEAR(AP$3)=YEAR(AO$3),AO33+AP32,AP32),AO33+AP32)</x:f>
      </x:c>
      <x:c r="AQ33">
        <x:f>IF(AND(AQ$3&gt;=$B$31,AP$3&gt;=$B$31),IF(YEAR(AQ$3)=YEAR(AP$3),AP33+AQ32,AQ32),AP33+AQ32)</x:f>
      </x:c>
      <x:c r="AR33">
        <x:f>IF(AND(AR$3&gt;=$B$31,AQ$3&gt;=$B$31),IF(YEAR(AR$3)=YEAR(AQ$3),AQ33+AR32,AR32),AQ33+AR32)</x:f>
      </x:c>
      <x:c r="AS33">
        <x:f>IF(AND(AS$3&gt;=$B$31,AR$3&gt;=$B$31),IF(YEAR(AS$3)=YEAR(AR$3),AR33+AS32,AS32),AR33+AS32)</x:f>
      </x:c>
      <x:c r="AT33">
        <x:f>IF(AND(AT$3&gt;=$B$31,AS$3&gt;=$B$31),IF(YEAR(AT$3)=YEAR(AS$3),AS33+AT32,AT32),AS33+AT32)</x:f>
      </x:c>
      <x:c r="AU33">
        <x:f>IF(AND(AU$3&gt;=$B$31,AT$3&gt;=$B$31),IF(YEAR(AU$3)=YEAR(AT$3),AT33+AU32,AU32),AT33+AU32)</x:f>
      </x:c>
      <x:c r="AV33">
        <x:f>IF(AND(AV$3&gt;=$B$31,AU$3&gt;=$B$31),IF(YEAR(AV$3)=YEAR(AU$3),AU33+AV32,AV32),AU33+AV32)</x:f>
      </x:c>
      <x:c r="AW33">
        <x:f>IF(AND(AW$3&gt;=$B$31,AV$3&gt;=$B$31),IF(YEAR(AW$3)=YEAR(AV$3),AV33+AW32,AW32),AV33+AW32)</x:f>
      </x:c>
      <x:c r="AX33">
        <x:f>IF(AND(AX$3&gt;=$B$31,AW$3&gt;=$B$31),IF(YEAR(AX$3)=YEAR(AW$3),AW33+AX32,AX32),AW33+AX32)</x:f>
      </x:c>
      <x:c r="AY33">
        <x:f>IF(AND(AY$3&gt;=$B$31,AX$3&gt;=$B$31),IF(YEAR(AY$3)=YEAR(AX$3),AX33+AY32,AY32),AX33+AY32)</x:f>
      </x:c>
      <x:c r="AZ33">
        <x:f>IF(AND(AZ$3&gt;=$B$31,AY$3&gt;=$B$31),IF(YEAR(AZ$3)=YEAR(AY$3),AY33+AZ32,AZ32),AY33+AZ32)</x:f>
      </x:c>
      <x:c r="BA33">
        <x:f>IF(AND(BA$3&gt;=$B$31,AZ$3&gt;=$B$31),IF(YEAR(BA$3)=YEAR(AZ$3),AZ33+BA32,BA32),AZ33+BA32)</x:f>
      </x:c>
      <x:c r="BB33">
        <x:f>IF(AND(BB$3&gt;=$B$31,BA$3&gt;=$B$31),IF(YEAR(BB$3)=YEAR(BA$3),BA33+BB32,BB32),BA33+BB32)</x:f>
      </x:c>
      <x:c r="BC33">
        <x:f>IF(AND(BC$3&gt;=$B$31,BB$3&gt;=$B$31),IF(YEAR(BC$3)=YEAR(BB$3),BB33+BC32,BC32),BB33+BC32)</x:f>
      </x:c>
      <x:c r="BD33">
        <x:f>IF(AND(BD$3&gt;=$B$31,BC$3&gt;=$B$31),IF(YEAR(BD$3)=YEAR(BC$3),BC33+BD32,BD32),BC33+BD32)</x:f>
      </x:c>
      <x:c r="BE33">
        <x:f>IF(AND(BE$3&gt;=$B$31,BD$3&gt;=$B$31),IF(YEAR(BE$3)=YEAR(BD$3),BD33+BE32,BE32),BD33+BE32)</x:f>
      </x:c>
      <x:c r="BF33">
        <x:f>IF(AND(BF$3&gt;=$B$31,BE$3&gt;=$B$31),IF(YEAR(BF$3)=YEAR(BE$3),BE33+BF32,BF32),BE33+BF32)</x:f>
      </x:c>
      <x:c r="BG33">
        <x:f>IF(AND(BG$3&gt;=$B$31,BF$3&gt;=$B$31),IF(YEAR(BG$3)=YEAR(BF$3),BF33+BG32,BG32),BF33+BG32)</x:f>
      </x:c>
      <x:c r="BH33">
        <x:f>IF(AND(BH$3&gt;=$B$31,BG$3&gt;=$B$31),IF(YEAR(BH$3)=YEAR(BG$3),BG33+BH32,BH32),BG33+BH32)</x:f>
      </x:c>
      <x:c r="BI33">
        <x:f>IF(AND(BI$3&gt;=$B$31,BH$3&gt;=$B$31),IF(YEAR(BI$3)=YEAR(BH$3),BH33+BI32,BI32),BH33+BI32)</x:f>
      </x:c>
      <x:c r="BJ33">
        <x:f>IF(AND(BJ$3&gt;=$B$31,BI$3&gt;=$B$31),IF(YEAR(BJ$3)=YEAR(BI$3),BI33+BJ32,BJ32),BI33+BJ32)</x:f>
      </x:c>
      <x:c r="BK33">
        <x:f>IF(AND(BK$3&gt;=$B$31,BJ$3&gt;=$B$31),IF(YEAR(BK$3)=YEAR(BJ$3),BJ33+BK32,BK32),BJ33+BK32)</x:f>
      </x:c>
      <x:c r="BL33">
        <x:f>IF(AND(BL$3&gt;=$B$31,BK$3&gt;=$B$31),IF(YEAR(BL$3)=YEAR(BK$3),BK33+BL32,BL32),BK33+BL32)</x:f>
      </x:c>
      <x:c r="BM33">
        <x:f>IF(AND(BM$3&gt;=$B$31,BL$3&gt;=$B$31),IF(YEAR(BM$3)=YEAR(BL$3),BL33+BM32,BM32),BL33+BM32)</x:f>
      </x:c>
      <x:c r="BN33">
        <x:f>IF(AND(BN$3&gt;=$B$31,BM$3&gt;=$B$31),IF(YEAR(BN$3)=YEAR(BM$3),BM33+BN32,BN32),BM33+BN32)</x:f>
      </x:c>
      <x:c r="BO33">
        <x:f>IF(AND(BO$3&gt;=$B$31,BN$3&gt;=$B$31),IF(YEAR(BO$3)=YEAR(BN$3),BN33+BO32,BO32),BN33+BO32)</x:f>
      </x:c>
      <x:c r="BP33">
        <x:f>IF(AND(BP$3&gt;=$B$31,BO$3&gt;=$B$31),IF(YEAR(BP$3)=YEAR(BO$3),BO33+BP32,BP32),BO33+BP32)</x:f>
      </x:c>
      <x:c r="BQ33">
        <x:f>IF(AND(BQ$3&gt;=$B$31,BP$3&gt;=$B$31),IF(YEAR(BQ$3)=YEAR(BP$3),BP33+BQ32,BQ32),BP33+BQ32)</x:f>
      </x:c>
      <x:c r="BR33">
        <x:f>IF(AND(BR$3&gt;=$B$31,BQ$3&gt;=$B$31),IF(YEAR(BR$3)=YEAR(BQ$3),BQ33+BR32,BR32),BQ33+BR32)</x:f>
      </x:c>
      <x:c r="BS33">
        <x:f>IF(AND(BS$3&gt;=$B$31,BR$3&gt;=$B$31),IF(YEAR(BS$3)=YEAR(BR$3),BR33+BS32,BS32),BR33+BS32)</x:f>
      </x:c>
      <x:c r="BT33">
        <x:f>IF(AND(BT$3&gt;=$B$31,BS$3&gt;=$B$31),IF(YEAR(BT$3)=YEAR(BS$3),BS33+BT32,BT32),BS33+BT32)</x:f>
      </x:c>
      <x:c r="BU33">
        <x:f>IF(AND(BU$3&gt;=$B$31,BT$3&gt;=$B$31),IF(YEAR(BU$3)=YEAR(BT$3),BT33+BU32,BU32),BT33+BU32)</x:f>
      </x:c>
      <x:c r="BV33">
        <x:f>IF(AND(BV$3&gt;=$B$31,BU$3&gt;=$B$31),IF(YEAR(BV$3)=YEAR(BU$3),BU33+BV32,BV32),BU33+BV32)</x:f>
      </x:c>
      <x:c r="BW33">
        <x:f>IF(AND(BW$3&gt;=$B$31,BV$3&gt;=$B$31),IF(YEAR(BW$3)=YEAR(BV$3),BV33+BW32,BW32),BV33+BW32)</x:f>
      </x:c>
      <x:c r="BX33">
        <x:f>IF(AND(BX$3&gt;=$B$31,BW$3&gt;=$B$31),IF(YEAR(BX$3)=YEAR(BW$3),BW33+BX32,BX32),BW33+BX32)</x:f>
      </x:c>
      <x:c r="BY33">
        <x:f>IF(AND(BY$3&gt;=$B$31,BX$3&gt;=$B$31),IF(YEAR(BY$3)=YEAR(BX$3),BX33+BY32,BY32),BX33+BY32)</x:f>
      </x:c>
      <x:c r="BZ33">
        <x:f>IF(AND(BZ$3&gt;=$B$31,BY$3&gt;=$B$31),IF(YEAR(BZ$3)=YEAR(BY$3),BY33+BZ32,BZ32),BY33+BZ32)</x:f>
      </x:c>
      <x:c r="CA33">
        <x:f>IF(AND(CA$3&gt;=$B$31,BZ$3&gt;=$B$31),IF(YEAR(CA$3)=YEAR(BZ$3),BZ33+CA32,CA32),BZ33+CA32)</x:f>
      </x:c>
      <x:c r="CB33">
        <x:f>IF(AND(CB$3&gt;=$B$31,CA$3&gt;=$B$31),IF(YEAR(CB$3)=YEAR(CA$3),CA33+CB32,CB32),CA33+CB32)</x:f>
      </x:c>
      <x:c r="CC33">
        <x:f>IF(AND(CC$3&gt;=$B$31,CB$3&gt;=$B$31),IF(YEAR(CC$3)=YEAR(CB$3),CB33+CC32,CC32),CB33+CC32)</x:f>
      </x:c>
      <x:c r="CD33">
        <x:f>IF(AND(CD$3&gt;=$B$31,CC$3&gt;=$B$31),IF(YEAR(CD$3)=YEAR(CC$3),CC33+CD32,CD32),CC33+CD32)</x:f>
      </x:c>
      <x:c r="CE33">
        <x:f>IF(AND(CE$3&gt;=$B$31,CD$3&gt;=$B$31),IF(YEAR(CE$3)=YEAR(CD$3),CD33+CE32,CE32),CD33+CE32)</x:f>
      </x:c>
      <x:c r="CF33">
        <x:f>IF(AND(CF$3&gt;=$B$31,CE$3&gt;=$B$31),IF(YEAR(CF$3)=YEAR(CE$3),CE33+CF32,CF32),CE33+CF32)</x:f>
      </x:c>
      <x:c r="CG33">
        <x:f>IF(AND(CG$3&gt;=$B$31,CF$3&gt;=$B$31),IF(YEAR(CG$3)=YEAR(CF$3),CF33+CG32,CG32),CF33+CG32)</x:f>
      </x:c>
      <x:c r="CH33">
        <x:f>IF(AND(CH$3&gt;=$B$31,CG$3&gt;=$B$31),IF(YEAR(CH$3)=YEAR(CG$3),CG33+CH32,CH32),CG33+CH32)</x:f>
      </x:c>
      <x:c r="CI33">
        <x:f>IF(AND(CI$3&gt;=$B$31,CH$3&gt;=$B$31),IF(YEAR(CI$3)=YEAR(CH$3),CH33+CI32,CI32),CH33+CI32)</x:f>
      </x:c>
      <x:c r="CJ33">
        <x:f>IF(AND(CJ$3&gt;=$B$31,CI$3&gt;=$B$31),IF(YEAR(CJ$3)=YEAR(CI$3),CI33+CJ32,CJ32),CI33+CJ32)</x:f>
      </x:c>
      <x:c r="CK33">
        <x:f>IF(AND(CK$3&gt;=$B$31,CJ$3&gt;=$B$31),IF(YEAR(CK$3)=YEAR(CJ$3),CJ33+CK32,CK32),CJ33+CK32)</x:f>
      </x:c>
      <x:c r="CL33">
        <x:f>IF(AND(CL$3&gt;=$B$31,CK$3&gt;=$B$31),IF(YEAR(CL$3)=YEAR(CK$3),CK33+CL32,CL32),CK33+CL32)</x:f>
      </x:c>
      <x:c r="CM33">
        <x:f>IF(AND(CM$3&gt;=$B$31,CL$3&gt;=$B$31),IF(YEAR(CM$3)=YEAR(CL$3),CL33+CM32,CM32),CL33+CM32)</x:f>
      </x:c>
      <x:c r="CN33">
        <x:f>IF(AND(CN$3&gt;=$B$31,CM$3&gt;=$B$31),IF(YEAR(CN$3)=YEAR(CM$3),CM33+CN32,CN32),CM33+CN32)</x:f>
      </x:c>
      <x:c r="CO33">
        <x:f>IF(AND(CO$3&gt;=$B$31,CN$3&gt;=$B$31),IF(YEAR(CO$3)=YEAR(CN$3),CN33+CO32,CO32),CN33+CO32)</x:f>
      </x:c>
      <x:c r="CP33">
        <x:f>IF(AND(CP$3&gt;=$B$31,CO$3&gt;=$B$31),IF(YEAR(CP$3)=YEAR(CO$3),CO33+CP32,CP32),CO33+CP32)</x:f>
      </x:c>
      <x:c r="CQ33">
        <x:f>IF(AND(CQ$3&gt;=$B$31,CP$3&gt;=$B$31),IF(YEAR(CQ$3)=YEAR(CP$3),CP33+CQ32,CQ32),CP33+CQ32)</x:f>
      </x:c>
      <x:c r="CR33">
        <x:f>IF(AND(CR$3&gt;=$B$31,CQ$3&gt;=$B$31),IF(YEAR(CR$3)=YEAR(CQ$3),CQ33+CR32,CR32),CQ33+CR32)</x:f>
      </x:c>
      <x:c r="CS33">
        <x:f>IF(AND(CS$3&gt;=$B$31,CR$3&gt;=$B$31),IF(YEAR(CS$3)=YEAR(CR$3),CR33+CS32,CS32),CR33+CS32)</x:f>
      </x:c>
      <x:c r="CT33">
        <x:f>IF(AND(CT$3&gt;=$B$31,CS$3&gt;=$B$31),IF(YEAR(CT$3)=YEAR(CS$3),CS33+CT32,CT32),CS33+CT32)</x:f>
      </x:c>
      <x:c r="CU33">
        <x:f>IF(AND(CU$3&gt;=$B$31,CT$3&gt;=$B$31),IF(YEAR(CU$3)=YEAR(CT$3),CT33+CU32,CU32),CT33+CU32)</x:f>
      </x:c>
      <x:c r="CV33">
        <x:f>IF(AND(CV$3&gt;=$B$31,CU$3&gt;=$B$31),IF(YEAR(CV$3)=YEAR(CU$3),CU33+CV32,CV32),CU33+CV32)</x:f>
      </x:c>
      <x:c r="CW33">
        <x:f>IF(AND(CW$3&gt;=$B$31,CV$3&gt;=$B$31),IF(YEAR(CW$3)=YEAR(CV$3),CV33+CW32,CW32),CV33+CW32)</x:f>
      </x:c>
      <x:c r="CX33">
        <x:f>IF(AND(CX$3&gt;=$B$31,CW$3&gt;=$B$31),IF(YEAR(CX$3)=YEAR(CW$3),CW33+CX32,CX32),CW33+CX32)</x:f>
      </x:c>
      <x:c r="CY33">
        <x:f>IF(AND(CY$3&gt;=$B$31,CX$3&gt;=$B$31),IF(YEAR(CY$3)=YEAR(CX$3),CX33+CY32,CY32),CX33+CY32)</x:f>
      </x:c>
      <x:c r="CZ33">
        <x:f>IF(AND(CZ$3&gt;=$B$31,CY$3&gt;=$B$31),IF(YEAR(CZ$3)=YEAR(CY$3),CY33+CZ32,CZ32),CY33+CZ32)</x:f>
      </x:c>
      <x:c r="DA33">
        <x:f>IF(AND(DA$3&gt;=$B$31,CZ$3&gt;=$B$31),IF(YEAR(DA$3)=YEAR(CZ$3),CZ33+DA32,DA32),CZ33+DA32)</x:f>
      </x:c>
      <x:c r="DB33">
        <x:f>IF(AND(DB$3&gt;=$B$31,DA$3&gt;=$B$31),IF(YEAR(DB$3)=YEAR(DA$3),DA33+DB32,DB32),DA33+DB32)</x:f>
      </x:c>
      <x:c r="DC33">
        <x:f>IF(AND(DC$3&gt;=$B$31,DB$3&gt;=$B$31),IF(YEAR(DC$3)=YEAR(DB$3),DB33+DC32,DC32),DB33+DC32)</x:f>
      </x:c>
      <x:c r="DD33">
        <x:f>IF(AND(DD$3&gt;=$B$31,DC$3&gt;=$B$31),IF(YEAR(DD$3)=YEAR(DC$3),DC33+DD32,DD32),DC33+DD32)</x:f>
      </x:c>
      <x:c r="DE33">
        <x:f>IF(AND(DE$3&gt;=$B$31,DD$3&gt;=$B$31),IF(YEAR(DE$3)=YEAR(DD$3),DD33+DE32,DE32),DD33+DE32)</x:f>
      </x:c>
      <x:c r="DF33">
        <x:f>IF(AND(DF$3&gt;=$B$31,DE$3&gt;=$B$31),IF(YEAR(DF$3)=YEAR(DE$3),DE33+DF32,DF32),DE33+DF32)</x:f>
      </x:c>
      <x:c r="DG33">
        <x:f>IF(AND(DG$3&gt;=$B$31,DF$3&gt;=$B$31),IF(YEAR(DG$3)=YEAR(DF$3),DF33+DG32,DG32),DF33+DG32)</x:f>
      </x:c>
      <x:c r="DH33">
        <x:f>IF(AND(DH$3&gt;=$B$31,DG$3&gt;=$B$31),IF(YEAR(DH$3)=YEAR(DG$3),DG33+DH32,DH32),DG33+DH32)</x:f>
      </x:c>
      <x:c r="DI33">
        <x:f>IF(AND(DI$3&gt;=$B$31,DH$3&gt;=$B$31),IF(YEAR(DI$3)=YEAR(DH$3),DH33+DI32,DI32),DH33+DI32)</x:f>
      </x:c>
      <x:c r="DJ33">
        <x:f>IF(AND(DJ$3&gt;=$B$31,DI$3&gt;=$B$31),IF(YEAR(DJ$3)=YEAR(DI$3),DI33+DJ32,DJ32),DI33+DJ32)</x:f>
      </x:c>
      <x:c r="DK33">
        <x:f>IF(AND(DK$3&gt;=$B$31,DJ$3&gt;=$B$31),IF(YEAR(DK$3)=YEAR(DJ$3),DJ33+DK32,DK32),DJ33+DK32)</x:f>
      </x:c>
      <x:c r="DL33">
        <x:f>IF(AND(DL$3&gt;=$B$31,DK$3&gt;=$B$31),IF(YEAR(DL$3)=YEAR(DK$3),DK33+DL32,DL32),DK33+DL32)</x:f>
      </x:c>
      <x:c r="DM33">
        <x:f>IF(AND(DM$3&gt;=$B$31,DL$3&gt;=$B$31),IF(YEAR(DM$3)=YEAR(DL$3),DL33+DM32,DM32),DL33+DM32)</x:f>
      </x:c>
      <x:c r="DN33">
        <x:f>IF(AND(DN$3&gt;=$B$31,DM$3&gt;=$B$31),IF(YEAR(DN$3)=YEAR(DM$3),DM33+DN32,DN32),DM33+DN32)</x:f>
      </x:c>
      <x:c r="DO33">
        <x:f>IF(AND(DO$3&gt;=$B$31,DN$3&gt;=$B$31),IF(YEAR(DO$3)=YEAR(DN$3),DN33+DO32,DO32),DN33+DO32)</x:f>
      </x:c>
      <x:c r="DP33">
        <x:f>IF(AND(DP$3&gt;=$B$31,DO$3&gt;=$B$31),IF(YEAR(DP$3)=YEAR(DO$3),DO33+DP32,DP32),DO33+DP32)</x:f>
      </x:c>
      <x:c r="DQ33">
        <x:f>IF(AND(DQ$3&gt;=$B$31,DP$3&gt;=$B$31),IF(YEAR(DQ$3)=YEAR(DP$3),DP33+DQ32,DQ32),DP33+DQ32)</x:f>
      </x:c>
      <x:c r="DR33">
        <x:f>IF(AND(DR$3&gt;=$B$31,DQ$3&gt;=$B$31),IF(YEAR(DR$3)=YEAR(DQ$3),DQ33+DR32,DR32),DQ33+DR32)</x:f>
      </x:c>
      <x:c r="DS33">
        <x:f>IF(AND(DS$3&gt;=$B$31,DR$3&gt;=$B$31),IF(YEAR(DS$3)=YEAR(DR$3),DR33+DS32,DS32),DR33+DS32)</x:f>
      </x:c>
      <x:c r="DT33">
        <x:f>IF(AND(DT$3&gt;=$B$31,DS$3&gt;=$B$31),IF(YEAR(DT$3)=YEAR(DS$3),DS33+DT32,DT32),DS33+DT32)</x:f>
      </x:c>
      <x:c r="DU33">
        <x:f>IF(AND(DU$3&gt;=$B$31,DT$3&gt;=$B$31),IF(YEAR(DU$3)=YEAR(DT$3),DT33+DU32,DU32),DT33+DU32)</x:f>
      </x:c>
      <x:c r="DV33">
        <x:f>IF(AND(DV$3&gt;=$B$31,DU$3&gt;=$B$31),IF(YEAR(DV$3)=YEAR(DU$3),DU33+DV32,DV32),DU33+DV32)</x:f>
      </x:c>
      <x:c r="DW33">
        <x:f>IF(AND(DW$3&gt;=$B$31,DV$3&gt;=$B$31),IF(YEAR(DW$3)=YEAR(DV$3),DV33+DW32,DW32),DV33+DW32)</x:f>
      </x:c>
      <x:c r="DX33">
        <x:f>IF(AND(DX$3&gt;=$B$31,DW$3&gt;=$B$31),IF(YEAR(DX$3)=YEAR(DW$3),DW33+DX32,DX32),DW33+DX32)</x:f>
      </x:c>
      <x:c r="DY33">
        <x:f>IF(AND(DY$3&gt;=$B$31,DX$3&gt;=$B$31),IF(YEAR(DY$3)=YEAR(DX$3),DX33+DY32,DY32),DX33+DY32)</x:f>
      </x:c>
      <x:c r="DZ33">
        <x:f>IF(AND(DZ$3&gt;=$B$31,DY$3&gt;=$B$31),IF(YEAR(DZ$3)=YEAR(DY$3),DY33+DZ32,DZ32),DY33+DZ32)</x:f>
      </x:c>
      <x:c r="EA33">
        <x:f>IF(AND(EA$3&gt;=$B$31,DZ$3&gt;=$B$31),IF(YEAR(EA$3)=YEAR(DZ$3),DZ33+EA32,EA32),DZ33+EA32)</x:f>
      </x:c>
      <x:c r="EB33">
        <x:f>IF(AND(EB$3&gt;=$B$31,EA$3&gt;=$B$31),IF(YEAR(EB$3)=YEAR(EA$3),EA33+EB32,EB32),EA33+EB32)</x:f>
      </x:c>
      <x:c r="EC33">
        <x:f>IF(AND(EC$3&gt;=$B$31,EB$3&gt;=$B$31),IF(YEAR(EC$3)=YEAR(EB$3),EB33+EC32,EC32),EB33+EC32)</x:f>
      </x:c>
      <x:c r="ED33">
        <x:f>IF(AND(ED$3&gt;=$B$31,EC$3&gt;=$B$31),IF(YEAR(ED$3)=YEAR(EC$3),EC33+ED32,ED32),EC33+ED32)</x:f>
      </x:c>
      <x:c r="EE33">
        <x:f>IF(AND(EE$3&gt;=$B$31,ED$3&gt;=$B$31),IF(YEAR(EE$3)=YEAR(ED$3),ED33+EE32,EE32),ED33+EE32)</x:f>
      </x:c>
      <x:c r="EF33">
        <x:f>IF(AND(EF$3&gt;=$B$31,EE$3&gt;=$B$31),IF(YEAR(EF$3)=YEAR(EE$3),EE33+EF32,EF32),EE33+EF32)</x:f>
      </x:c>
      <x:c r="EG33">
        <x:f>IF(AND(EG$3&gt;=$B$31,EF$3&gt;=$B$31),IF(YEAR(EG$3)=YEAR(EF$3),EF33+EG32,EG32),EF33+EG32)</x:f>
      </x:c>
      <x:c r="EH33">
        <x:f>IF(AND(EH$3&gt;=$B$31,EG$3&gt;=$B$31),IF(YEAR(EH$3)=YEAR(EG$3),EG33+EH32,EH32),EG33+EH32)</x:f>
      </x:c>
      <x:c r="EI33">
        <x:f>IF(AND(EI$3&gt;=$B$31,EH$3&gt;=$B$31),IF(YEAR(EI$3)=YEAR(EH$3),EH33+EI32,EI32),EH33+EI32)</x:f>
      </x:c>
      <x:c r="EJ33">
        <x:f>IF(AND(EJ$3&gt;=$B$31,EI$3&gt;=$B$31),IF(YEAR(EJ$3)=YEAR(EI$3),EI33+EJ32,EJ32),EI33+EJ32)</x:f>
      </x:c>
      <x:c r="EK33">
        <x:f>IF(AND(EK$3&gt;=$B$31,EJ$3&gt;=$B$31),IF(YEAR(EK$3)=YEAR(EJ$3),EJ33+EK32,EK32),EJ33+EK32)</x:f>
      </x:c>
      <x:c r="EL33">
        <x:f>IF(AND(EL$3&gt;=$B$31,EK$3&gt;=$B$31),IF(YEAR(EL$3)=YEAR(EK$3),EK33+EL32,EL32),EK33+EL32)</x:f>
      </x:c>
      <x:c r="EM33">
        <x:f>IF(AND(EM$3&gt;=$B$31,EL$3&gt;=$B$31),IF(YEAR(EM$3)=YEAR(EL$3),EL33+EM32,EM32),EL33+EM32)</x:f>
      </x:c>
      <x:c r="EN33">
        <x:f>IF(AND(EN$3&gt;=$B$31,EM$3&gt;=$B$31),IF(YEAR(EN$3)=YEAR(EM$3),EM33+EN32,EN32),EM33+EN32)</x:f>
      </x:c>
      <x:c r="EO33">
        <x:f>IF(AND(EO$3&gt;=$B$31,EN$3&gt;=$B$31),IF(YEAR(EO$3)=YEAR(EN$3),EN33+EO32,EO32),EN33+EO32)</x:f>
      </x:c>
      <x:c r="EP33">
        <x:f>IF(AND(EP$3&gt;=$B$31,EO$3&gt;=$B$31),IF(YEAR(EP$3)=YEAR(EO$3),EO33+EP32,EP32),EO33+EP32)</x:f>
      </x:c>
      <x:c r="EQ33">
        <x:f>IF(AND(EQ$3&gt;=$B$31,EP$3&gt;=$B$31),IF(YEAR(EQ$3)=YEAR(EP$3),EP33+EQ32,EQ32),EP33+EQ32)</x:f>
      </x:c>
      <x:c r="ER33">
        <x:f>IF(AND(ER$3&gt;=$B$31,EQ$3&gt;=$B$31),IF(YEAR(ER$3)=YEAR(EQ$3),EQ33+ER32,ER32),EQ33+ER32)</x:f>
      </x:c>
      <x:c r="ES33">
        <x:f>IF(AND(ES$3&gt;=$B$31,ER$3&gt;=$B$31),IF(YEAR(ES$3)=YEAR(ER$3),ER33+ES32,ES32),ER33+ES32)</x:f>
      </x:c>
      <x:c r="ET33">
        <x:f>IF(AND(ET$3&gt;=$B$31,ES$3&gt;=$B$31),IF(YEAR(ET$3)=YEAR(ES$3),ES33+ET32,ET32),ES33+ET32)</x:f>
      </x:c>
      <x:c r="EU33">
        <x:f>IF(AND(EU$3&gt;=$B$31,ET$3&gt;=$B$31),IF(YEAR(EU$3)=YEAR(ET$3),ET33+EU32,EU32),ET33+EU32)</x:f>
      </x:c>
      <x:c r="EV33">
        <x:f>IF(AND(EV$3&gt;=$B$31,EU$3&gt;=$B$31),IF(YEAR(EV$3)=YEAR(EU$3),EU33+EV32,EV32),EU33+EV32)</x:f>
      </x:c>
      <x:c r="EW33">
        <x:f>IF(AND(EW$3&gt;=$B$31,EV$3&gt;=$B$31),IF(YEAR(EW$3)=YEAR(EV$3),EV33+EW32,EW32),EV33+EW32)</x:f>
      </x:c>
      <x:c r="EX33">
        <x:f>IF(AND(EX$3&gt;=$B$31,EW$3&gt;=$B$31),IF(YEAR(EX$3)=YEAR(EW$3),EW33+EX32,EX32),EW33+EX32)</x:f>
      </x:c>
      <x:c r="EY33">
        <x:f>IF(AND(EY$3&gt;=$B$31,EX$3&gt;=$B$31),IF(YEAR(EY$3)=YEAR(EX$3),EX33+EY32,EY32),EX33+EY32)</x:f>
      </x:c>
      <x:c r="EZ33">
        <x:f>IF(AND(EZ$3&gt;=$B$31,EY$3&gt;=$B$31),IF(YEAR(EZ$3)=YEAR(EY$3),EY33+EZ32,EZ32),EY33+EZ32)</x:f>
      </x:c>
      <x:c r="FA33">
        <x:f>IF(AND(FA$3&gt;=$B$31,EZ$3&gt;=$B$31),IF(YEAR(FA$3)=YEAR(EZ$3),EZ33+FA32,FA32),EZ33+FA32)</x:f>
      </x:c>
      <x:c r="FB33">
        <x:f>IF(AND(FB$3&gt;=$B$31,FA$3&gt;=$B$31),IF(YEAR(FB$3)=YEAR(FA$3),FA33+FB32,FB32),FA33+FB32)</x:f>
      </x:c>
      <x:c r="FC33">
        <x:f>IF(AND(FC$3&gt;=$B$31,FB$3&gt;=$B$31),IF(YEAR(FC$3)=YEAR(FB$3),FB33+FC32,FC32),FB33+FC32)</x:f>
      </x:c>
      <x:c r="FD33">
        <x:f>IF(AND(FD$3&gt;=$B$31,FC$3&gt;=$B$31),IF(YEAR(FD$3)=YEAR(FC$3),FC33+FD32,FD32),FC33+FD32)</x:f>
      </x:c>
      <x:c r="FE33">
        <x:f>IF(AND(FE$3&gt;=$B$31,FD$3&gt;=$B$31),IF(YEAR(FE$3)=YEAR(FD$3),FD33+FE32,FE32),FD33+FE32)</x:f>
      </x:c>
      <x:c r="FF33">
        <x:f>IF(AND(FF$3&gt;=$B$31,FE$3&gt;=$B$31),IF(YEAR(FF$3)=YEAR(FE$3),FE33+FF32,FF32),FE33+FF32)</x:f>
      </x:c>
      <x:c r="FG33">
        <x:f>IF(AND(FG$3&gt;=$B$31,FF$3&gt;=$B$31),IF(YEAR(FG$3)=YEAR(FF$3),FF33+FG32,FG32),FF33+FG32)</x:f>
      </x:c>
      <x:c r="FH33">
        <x:f>IF(AND(FH$3&gt;=$B$31,FG$3&gt;=$B$31),IF(YEAR(FH$3)=YEAR(FG$3),FG33+FH32,FH32),FG33+FH32)</x:f>
      </x:c>
      <x:c r="FI33">
        <x:f>IF(AND(FI$3&gt;=$B$31,FH$3&gt;=$B$31),IF(YEAR(FI$3)=YEAR(FH$3),FH33+FI32,FI32),FH33+FI32)</x:f>
      </x:c>
      <x:c r="FJ33">
        <x:f>IF(AND(FJ$3&gt;=$B$31,FI$3&gt;=$B$31),IF(YEAR(FJ$3)=YEAR(FI$3),FI33+FJ32,FJ32),FI33+FJ32)</x:f>
      </x:c>
      <x:c r="FK33">
        <x:f>IF(AND(FK$3&gt;=$B$31,FJ$3&gt;=$B$31),IF(YEAR(FK$3)=YEAR(FJ$3),FJ33+FK32,FK32),FJ33+FK32)</x:f>
      </x:c>
      <x:c r="FL33">
        <x:f>IF(AND(FL$3&gt;=$B$31,FK$3&gt;=$B$31),IF(YEAR(FL$3)=YEAR(FK$3),FK33+FL32,FL32),FK33+FL32)</x:f>
      </x:c>
      <x:c r="FM33">
        <x:f>IF(AND(FM$3&gt;=$B$31,FL$3&gt;=$B$31),IF(YEAR(FM$3)=YEAR(FL$3),FL33+FM32,FM32),FL33+FM32)</x:f>
      </x:c>
      <x:c r="FN33">
        <x:f>IF(AND(FN$3&gt;=$B$31,FM$3&gt;=$B$31),IF(YEAR(FN$3)=YEAR(FM$3),FM33+FN32,FN32),FM33+FN32)</x:f>
      </x:c>
      <x:c r="FO33">
        <x:f>IF(AND(FO$3&gt;=$B$31,FN$3&gt;=$B$31),IF(YEAR(FO$3)=YEAR(FN$3),FN33+FO32,FO32),FN33+FO32)</x:f>
      </x:c>
      <x:c r="FP33">
        <x:f>IF(AND(FP$3&gt;=$B$31,FO$3&gt;=$B$31),IF(YEAR(FP$3)=YEAR(FO$3),FO33+FP32,FP32),FO33+FP32)</x:f>
      </x:c>
      <x:c r="FQ33">
        <x:f>IF(AND(FQ$3&gt;=$B$31,FP$3&gt;=$B$31),IF(YEAR(FQ$3)=YEAR(FP$3),FP33+FQ32,FQ32),FP33+FQ32)</x:f>
      </x:c>
      <x:c r="FR33">
        <x:f>IF(AND(FR$3&gt;=$B$31,FQ$3&gt;=$B$31),IF(YEAR(FR$3)=YEAR(FQ$3),FQ33+FR32,FR32),FQ33+FR32)</x:f>
      </x:c>
      <x:c r="FS33">
        <x:f>IF(AND(FS$3&gt;=$B$31,FR$3&gt;=$B$31),IF(YEAR(FS$3)=YEAR(FR$3),FR33+FS32,FS32),FR33+FS32)</x:f>
      </x:c>
      <x:c r="FT33">
        <x:f>IF(AND(FT$3&gt;=$B$31,FS$3&gt;=$B$31),IF(YEAR(FT$3)=YEAR(FS$3),FS33+FT32,FT32),FS33+FT32)</x:f>
      </x:c>
      <x:c r="FU33">
        <x:f>IF(AND(FU$3&gt;=$B$31,FT$3&gt;=$B$31),IF(YEAR(FU$3)=YEAR(FT$3),FT33+FU32,FU32),FT33+FU32)</x:f>
      </x:c>
      <x:c r="FV33">
        <x:f>IF(AND(FV$3&gt;=$B$31,FU$3&gt;=$B$31),IF(YEAR(FV$3)=YEAR(FU$3),FU33+FV32,FV32),FU33+FV32)</x:f>
      </x:c>
      <x:c r="FW33">
        <x:f>IF(AND(FW$3&gt;=$B$31,FV$3&gt;=$B$31),IF(YEAR(FW$3)=YEAR(FV$3),FV33+FW32,FW32),FV33+FW32)</x:f>
      </x:c>
      <x:c r="FX33">
        <x:f>IF(AND(FX$3&gt;=$B$31,FW$3&gt;=$B$31),IF(YEAR(FX$3)=YEAR(FW$3),FW33+FX32,FX32),FW33+FX32)</x:f>
      </x:c>
      <x:c r="FY33">
        <x:f>IF(AND(FY$3&gt;=$B$31,FX$3&gt;=$B$31),IF(YEAR(FY$3)=YEAR(FX$3),FX33+FY32,FY32),FX33+FY32)</x:f>
      </x:c>
      <x:c r="FZ33">
        <x:f>IF(AND(FZ$3&gt;=$B$31,FY$3&gt;=$B$31),IF(YEAR(FZ$3)=YEAR(FY$3),FY33+FZ32,FZ32),FY33+FZ32)</x:f>
      </x:c>
      <x:c r="GA33">
        <x:f>IF(AND(GA$3&gt;=$B$31,FZ$3&gt;=$B$31),IF(YEAR(GA$3)=YEAR(FZ$3),FZ33+GA32,GA32),FZ33+GA32)</x:f>
      </x:c>
    </x:row>
    <x:row r="34">
      <x:c r="A34" t="inlineStr">
        <x:is>
          <x:t>Убыток прошлых лет к зачёту</x:t>
        </x:is>
      </x:c>
      <x:c r="D34">
        <x:v>0</x:v>
      </x:c>
      <x:c r="E34">
        <x:f>IF(AND(E$3&gt;=$B$31,D$3&gt;=$B$31),IF(YEAR(E$3)=YEAR(D$3),D34,D34+MAX(-D33,0)-IF(D33&gt;0,D35,0)),D34)</x:f>
      </x:c>
      <x:c r="F34">
        <x:f>IF(AND(F$3&gt;=$B$31,E$3&gt;=$B$31),IF(YEAR(F$3)=YEAR(E$3),E34,E34+MAX(-E33,0)-IF(E33&gt;0,E35,0)),E34)</x:f>
      </x:c>
      <x:c r="G34">
        <x:f>IF(AND(G$3&gt;=$B$31,F$3&gt;=$B$31),IF(YEAR(G$3)=YEAR(F$3),F34,F34+MAX(-F33,0)-IF(F33&gt;0,F35,0)),F34)</x:f>
      </x:c>
      <x:c r="H34">
        <x:f>IF(AND(H$3&gt;=$B$31,G$3&gt;=$B$31),IF(YEAR(H$3)=YEAR(G$3),G34,G34+MAX(-G33,0)-IF(G33&gt;0,G35,0)),G34)</x:f>
      </x:c>
      <x:c r="I34">
        <x:f>IF(AND(I$3&gt;=$B$31,H$3&gt;=$B$31),IF(YEAR(I$3)=YEAR(H$3),H34,H34+MAX(-H33,0)-IF(H33&gt;0,H35,0)),H34)</x:f>
      </x:c>
      <x:c r="J34">
        <x:f>IF(AND(J$3&gt;=$B$31,I$3&gt;=$B$31),IF(YEAR(J$3)=YEAR(I$3),I34,I34+MAX(-I33,0)-IF(I33&gt;0,I35,0)),I34)</x:f>
      </x:c>
      <x:c r="K34">
        <x:f>IF(AND(K$3&gt;=$B$31,J$3&gt;=$B$31),IF(YEAR(K$3)=YEAR(J$3),J34,J34+MAX(-J33,0)-IF(J33&gt;0,J35,0)),J34)</x:f>
      </x:c>
      <x:c r="L34">
        <x:f>IF(AND(L$3&gt;=$B$31,K$3&gt;=$B$31),IF(YEAR(L$3)=YEAR(K$3),K34,K34+MAX(-K33,0)-IF(K33&gt;0,K35,0)),K34)</x:f>
      </x:c>
      <x:c r="M34">
        <x:f>IF(AND(M$3&gt;=$B$31,L$3&gt;=$B$31),IF(YEAR(M$3)=YEAR(L$3),L34,L34+MAX(-L33,0)-IF(L33&gt;0,L35,0)),L34)</x:f>
      </x:c>
      <x:c r="N34">
        <x:f>IF(AND(N$3&gt;=$B$31,M$3&gt;=$B$31),IF(YEAR(N$3)=YEAR(M$3),M34,M34+MAX(-M33,0)-IF(M33&gt;0,M35,0)),M34)</x:f>
      </x:c>
      <x:c r="O34">
        <x:f>IF(AND(O$3&gt;=$B$31,N$3&gt;=$B$31),IF(YEAR(O$3)=YEAR(N$3),N34,N34+MAX(-N33,0)-IF(N33&gt;0,N35,0)),N34)</x:f>
      </x:c>
      <x:c r="P34">
        <x:f>IF(AND(P$3&gt;=$B$31,O$3&gt;=$B$31),IF(YEAR(P$3)=YEAR(O$3),O34,O34+MAX(-O33,0)-IF(O33&gt;0,O35,0)),O34)</x:f>
      </x:c>
      <x:c r="Q34">
        <x:f>IF(AND(Q$3&gt;=$B$31,P$3&gt;=$B$31),IF(YEAR(Q$3)=YEAR(P$3),P34,P34+MAX(-P33,0)-IF(P33&gt;0,P35,0)),P34)</x:f>
      </x:c>
      <x:c r="R34">
        <x:f>IF(AND(R$3&gt;=$B$31,Q$3&gt;=$B$31),IF(YEAR(R$3)=YEAR(Q$3),Q34,Q34+MAX(-Q33,0)-IF(Q33&gt;0,Q35,0)),Q34)</x:f>
      </x:c>
      <x:c r="S34">
        <x:f>IF(AND(S$3&gt;=$B$31,R$3&gt;=$B$31),IF(YEAR(S$3)=YEAR(R$3),R34,R34+MAX(-R33,0)-IF(R33&gt;0,R35,0)),R34)</x:f>
      </x:c>
      <x:c r="T34">
        <x:f>IF(AND(T$3&gt;=$B$31,S$3&gt;=$B$31),IF(YEAR(T$3)=YEAR(S$3),S34,S34+MAX(-S33,0)-IF(S33&gt;0,S35,0)),S34)</x:f>
      </x:c>
      <x:c r="U34">
        <x:f>IF(AND(U$3&gt;=$B$31,T$3&gt;=$B$31),IF(YEAR(U$3)=YEAR(T$3),T34,T34+MAX(-T33,0)-IF(T33&gt;0,T35,0)),T34)</x:f>
      </x:c>
      <x:c r="V34">
        <x:f>IF(AND(V$3&gt;=$B$31,U$3&gt;=$B$31),IF(YEAR(V$3)=YEAR(U$3),U34,U34+MAX(-U33,0)-IF(U33&gt;0,U35,0)),U34)</x:f>
      </x:c>
      <x:c r="W34">
        <x:f>IF(AND(W$3&gt;=$B$31,V$3&gt;=$B$31),IF(YEAR(W$3)=YEAR(V$3),V34,V34+MAX(-V33,0)-IF(V33&gt;0,V35,0)),V34)</x:f>
      </x:c>
      <x:c r="X34">
        <x:f>IF(AND(X$3&gt;=$B$31,W$3&gt;=$B$31),IF(YEAR(X$3)=YEAR(W$3),W34,W34+MAX(-W33,0)-IF(W33&gt;0,W35,0)),W34)</x:f>
      </x:c>
      <x:c r="Y34">
        <x:f>IF(AND(Y$3&gt;=$B$31,X$3&gt;=$B$31),IF(YEAR(Y$3)=YEAR(X$3),X34,X34+MAX(-X33,0)-IF(X33&gt;0,X35,0)),X34)</x:f>
      </x:c>
      <x:c r="Z34">
        <x:f>IF(AND(Z$3&gt;=$B$31,Y$3&gt;=$B$31),IF(YEAR(Z$3)=YEAR(Y$3),Y34,Y34+MAX(-Y33,0)-IF(Y33&gt;0,Y35,0)),Y34)</x:f>
      </x:c>
      <x:c r="AA34">
        <x:f>IF(AND(AA$3&gt;=$B$31,Z$3&gt;=$B$31),IF(YEAR(AA$3)=YEAR(Z$3),Z34,Z34+MAX(-Z33,0)-IF(Z33&gt;0,Z35,0)),Z34)</x:f>
      </x:c>
      <x:c r="AB34">
        <x:f>IF(AND(AB$3&gt;=$B$31,AA$3&gt;=$B$31),IF(YEAR(AB$3)=YEAR(AA$3),AA34,AA34+MAX(-AA33,0)-IF(AA33&gt;0,AA35,0)),AA34)</x:f>
      </x:c>
      <x:c r="AC34">
        <x:f>IF(AND(AC$3&gt;=$B$31,AB$3&gt;=$B$31),IF(YEAR(AC$3)=YEAR(AB$3),AB34,AB34+MAX(-AB33,0)-IF(AB33&gt;0,AB35,0)),AB34)</x:f>
      </x:c>
      <x:c r="AD34">
        <x:f>IF(AND(AD$3&gt;=$B$31,AC$3&gt;=$B$31),IF(YEAR(AD$3)=YEAR(AC$3),AC34,AC34+MAX(-AC33,0)-IF(AC33&gt;0,AC35,0)),AC34)</x:f>
      </x:c>
      <x:c r="AE34">
        <x:f>IF(AND(AE$3&gt;=$B$31,AD$3&gt;=$B$31),IF(YEAR(AE$3)=YEAR(AD$3),AD34,AD34+MAX(-AD33,0)-IF(AD33&gt;0,AD35,0)),AD34)</x:f>
      </x:c>
      <x:c r="AF34">
        <x:f>IF(AND(AF$3&gt;=$B$31,AE$3&gt;=$B$31),IF(YEAR(AF$3)=YEAR(AE$3),AE34,AE34+MAX(-AE33,0)-IF(AE33&gt;0,AE35,0)),AE34)</x:f>
      </x:c>
      <x:c r="AG34">
        <x:f>IF(AND(AG$3&gt;=$B$31,AF$3&gt;=$B$31),IF(YEAR(AG$3)=YEAR(AF$3),AF34,AF34+MAX(-AF33,0)-IF(AF33&gt;0,AF35,0)),AF34)</x:f>
      </x:c>
      <x:c r="AH34">
        <x:f>IF(AND(AH$3&gt;=$B$31,AG$3&gt;=$B$31),IF(YEAR(AH$3)=YEAR(AG$3),AG34,AG34+MAX(-AG33,0)-IF(AG33&gt;0,AG35,0)),AG34)</x:f>
      </x:c>
      <x:c r="AI34">
        <x:f>IF(AND(AI$3&gt;=$B$31,AH$3&gt;=$B$31),IF(YEAR(AI$3)=YEAR(AH$3),AH34,AH34+MAX(-AH33,0)-IF(AH33&gt;0,AH35,0)),AH34)</x:f>
      </x:c>
      <x:c r="AJ34">
        <x:f>IF(AND(AJ$3&gt;=$B$31,AI$3&gt;=$B$31),IF(YEAR(AJ$3)=YEAR(AI$3),AI34,AI34+MAX(-AI33,0)-IF(AI33&gt;0,AI35,0)),AI34)</x:f>
      </x:c>
      <x:c r="AK34">
        <x:f>IF(AND(AK$3&gt;=$B$31,AJ$3&gt;=$B$31),IF(YEAR(AK$3)=YEAR(AJ$3),AJ34,AJ34+MAX(-AJ33,0)-IF(AJ33&gt;0,AJ35,0)),AJ34)</x:f>
      </x:c>
      <x:c r="AL34">
        <x:f>IF(AND(AL$3&gt;=$B$31,AK$3&gt;=$B$31),IF(YEAR(AL$3)=YEAR(AK$3),AK34,AK34+MAX(-AK33,0)-IF(AK33&gt;0,AK35,0)),AK34)</x:f>
      </x:c>
      <x:c r="AM34">
        <x:f>IF(AND(AM$3&gt;=$B$31,AL$3&gt;=$B$31),IF(YEAR(AM$3)=YEAR(AL$3),AL34,AL34+MAX(-AL33,0)-IF(AL33&gt;0,AL35,0)),AL34)</x:f>
      </x:c>
      <x:c r="AN34">
        <x:f>IF(AND(AN$3&gt;=$B$31,AM$3&gt;=$B$31),IF(YEAR(AN$3)=YEAR(AM$3),AM34,AM34+MAX(-AM33,0)-IF(AM33&gt;0,AM35,0)),AM34)</x:f>
      </x:c>
      <x:c r="AO34">
        <x:f>IF(AND(AO$3&gt;=$B$31,AN$3&gt;=$B$31),IF(YEAR(AO$3)=YEAR(AN$3),AN34,AN34+MAX(-AN33,0)-IF(AN33&gt;0,AN35,0)),AN34)</x:f>
      </x:c>
      <x:c r="AP34">
        <x:f>IF(AND(AP$3&gt;=$B$31,AO$3&gt;=$B$31),IF(YEAR(AP$3)=YEAR(AO$3),AO34,AO34+MAX(-AO33,0)-IF(AO33&gt;0,AO35,0)),AO34)</x:f>
      </x:c>
      <x:c r="AQ34">
        <x:f>IF(AND(AQ$3&gt;=$B$31,AP$3&gt;=$B$31),IF(YEAR(AQ$3)=YEAR(AP$3),AP34,AP34+MAX(-AP33,0)-IF(AP33&gt;0,AP35,0)),AP34)</x:f>
      </x:c>
      <x:c r="AR34">
        <x:f>IF(AND(AR$3&gt;=$B$31,AQ$3&gt;=$B$31),IF(YEAR(AR$3)=YEAR(AQ$3),AQ34,AQ34+MAX(-AQ33,0)-IF(AQ33&gt;0,AQ35,0)),AQ34)</x:f>
      </x:c>
      <x:c r="AS34">
        <x:f>IF(AND(AS$3&gt;=$B$31,AR$3&gt;=$B$31),IF(YEAR(AS$3)=YEAR(AR$3),AR34,AR34+MAX(-AR33,0)-IF(AR33&gt;0,AR35,0)),AR34)</x:f>
      </x:c>
      <x:c r="AT34">
        <x:f>IF(AND(AT$3&gt;=$B$31,AS$3&gt;=$B$31),IF(YEAR(AT$3)=YEAR(AS$3),AS34,AS34+MAX(-AS33,0)-IF(AS33&gt;0,AS35,0)),AS34)</x:f>
      </x:c>
      <x:c r="AU34">
        <x:f>IF(AND(AU$3&gt;=$B$31,AT$3&gt;=$B$31),IF(YEAR(AU$3)=YEAR(AT$3),AT34,AT34+MAX(-AT33,0)-IF(AT33&gt;0,AT35,0)),AT34)</x:f>
      </x:c>
      <x:c r="AV34">
        <x:f>IF(AND(AV$3&gt;=$B$31,AU$3&gt;=$B$31),IF(YEAR(AV$3)=YEAR(AU$3),AU34,AU34+MAX(-AU33,0)-IF(AU33&gt;0,AU35,0)),AU34)</x:f>
      </x:c>
      <x:c r="AW34">
        <x:f>IF(AND(AW$3&gt;=$B$31,AV$3&gt;=$B$31),IF(YEAR(AW$3)=YEAR(AV$3),AV34,AV34+MAX(-AV33,0)-IF(AV33&gt;0,AV35,0)),AV34)</x:f>
      </x:c>
      <x:c r="AX34">
        <x:f>IF(AND(AX$3&gt;=$B$31,AW$3&gt;=$B$31),IF(YEAR(AX$3)=YEAR(AW$3),AW34,AW34+MAX(-AW33,0)-IF(AW33&gt;0,AW35,0)),AW34)</x:f>
      </x:c>
      <x:c r="AY34">
        <x:f>IF(AND(AY$3&gt;=$B$31,AX$3&gt;=$B$31),IF(YEAR(AY$3)=YEAR(AX$3),AX34,AX34+MAX(-AX33,0)-IF(AX33&gt;0,AX35,0)),AX34)</x:f>
      </x:c>
      <x:c r="AZ34">
        <x:f>IF(AND(AZ$3&gt;=$B$31,AY$3&gt;=$B$31),IF(YEAR(AZ$3)=YEAR(AY$3),AY34,AY34+MAX(-AY33,0)-IF(AY33&gt;0,AY35,0)),AY34)</x:f>
      </x:c>
      <x:c r="BA34">
        <x:f>IF(AND(BA$3&gt;=$B$31,AZ$3&gt;=$B$31),IF(YEAR(BA$3)=YEAR(AZ$3),AZ34,AZ34+MAX(-AZ33,0)-IF(AZ33&gt;0,AZ35,0)),AZ34)</x:f>
      </x:c>
      <x:c r="BB34">
        <x:f>IF(AND(BB$3&gt;=$B$31,BA$3&gt;=$B$31),IF(YEAR(BB$3)=YEAR(BA$3),BA34,BA34+MAX(-BA33,0)-IF(BA33&gt;0,BA35,0)),BA34)</x:f>
      </x:c>
      <x:c r="BC34">
        <x:f>IF(AND(BC$3&gt;=$B$31,BB$3&gt;=$B$31),IF(YEAR(BC$3)=YEAR(BB$3),BB34,BB34+MAX(-BB33,0)-IF(BB33&gt;0,BB35,0)),BB34)</x:f>
      </x:c>
      <x:c r="BD34">
        <x:f>IF(AND(BD$3&gt;=$B$31,BC$3&gt;=$B$31),IF(YEAR(BD$3)=YEAR(BC$3),BC34,BC34+MAX(-BC33,0)-IF(BC33&gt;0,BC35,0)),BC34)</x:f>
      </x:c>
      <x:c r="BE34">
        <x:f>IF(AND(BE$3&gt;=$B$31,BD$3&gt;=$B$31),IF(YEAR(BE$3)=YEAR(BD$3),BD34,BD34+MAX(-BD33,0)-IF(BD33&gt;0,BD35,0)),BD34)</x:f>
      </x:c>
      <x:c r="BF34">
        <x:f>IF(AND(BF$3&gt;=$B$31,BE$3&gt;=$B$31),IF(YEAR(BF$3)=YEAR(BE$3),BE34,BE34+MAX(-BE33,0)-IF(BE33&gt;0,BE35,0)),BE34)</x:f>
      </x:c>
      <x:c r="BG34">
        <x:f>IF(AND(BG$3&gt;=$B$31,BF$3&gt;=$B$31),IF(YEAR(BG$3)=YEAR(BF$3),BF34,BF34+MAX(-BF33,0)-IF(BF33&gt;0,BF35,0)),BF34)</x:f>
      </x:c>
      <x:c r="BH34">
        <x:f>IF(AND(BH$3&gt;=$B$31,BG$3&gt;=$B$31),IF(YEAR(BH$3)=YEAR(BG$3),BG34,BG34+MAX(-BG33,0)-IF(BG33&gt;0,BG35,0)),BG34)</x:f>
      </x:c>
      <x:c r="BI34">
        <x:f>IF(AND(BI$3&gt;=$B$31,BH$3&gt;=$B$31),IF(YEAR(BI$3)=YEAR(BH$3),BH34,BH34+MAX(-BH33,0)-IF(BH33&gt;0,BH35,0)),BH34)</x:f>
      </x:c>
      <x:c r="BJ34">
        <x:f>IF(AND(BJ$3&gt;=$B$31,BI$3&gt;=$B$31),IF(YEAR(BJ$3)=YEAR(BI$3),BI34,BI34+MAX(-BI33,0)-IF(BI33&gt;0,BI35,0)),BI34)</x:f>
      </x:c>
      <x:c r="BK34">
        <x:f>IF(AND(BK$3&gt;=$B$31,BJ$3&gt;=$B$31),IF(YEAR(BK$3)=YEAR(BJ$3),BJ34,BJ34+MAX(-BJ33,0)-IF(BJ33&gt;0,BJ35,0)),BJ34)</x:f>
      </x:c>
      <x:c r="BL34">
        <x:f>IF(AND(BL$3&gt;=$B$31,BK$3&gt;=$B$31),IF(YEAR(BL$3)=YEAR(BK$3),BK34,BK34+MAX(-BK33,0)-IF(BK33&gt;0,BK35,0)),BK34)</x:f>
      </x:c>
      <x:c r="BM34">
        <x:f>IF(AND(BM$3&gt;=$B$31,BL$3&gt;=$B$31),IF(YEAR(BM$3)=YEAR(BL$3),BL34,BL34+MAX(-BL33,0)-IF(BL33&gt;0,BL35,0)),BL34)</x:f>
      </x:c>
      <x:c r="BN34">
        <x:f>IF(AND(BN$3&gt;=$B$31,BM$3&gt;=$B$31),IF(YEAR(BN$3)=YEAR(BM$3),BM34,BM34+MAX(-BM33,0)-IF(BM33&gt;0,BM35,0)),BM34)</x:f>
      </x:c>
      <x:c r="BO34">
        <x:f>IF(AND(BO$3&gt;=$B$31,BN$3&gt;=$B$31),IF(YEAR(BO$3)=YEAR(BN$3),BN34,BN34+MAX(-BN33,0)-IF(BN33&gt;0,BN35,0)),BN34)</x:f>
      </x:c>
      <x:c r="BP34">
        <x:f>IF(AND(BP$3&gt;=$B$31,BO$3&gt;=$B$31),IF(YEAR(BP$3)=YEAR(BO$3),BO34,BO34+MAX(-BO33,0)-IF(BO33&gt;0,BO35,0)),BO34)</x:f>
      </x:c>
      <x:c r="BQ34">
        <x:f>IF(AND(BQ$3&gt;=$B$31,BP$3&gt;=$B$31),IF(YEAR(BQ$3)=YEAR(BP$3),BP34,BP34+MAX(-BP33,0)-IF(BP33&gt;0,BP35,0)),BP34)</x:f>
      </x:c>
      <x:c r="BR34">
        <x:f>IF(AND(BR$3&gt;=$B$31,BQ$3&gt;=$B$31),IF(YEAR(BR$3)=YEAR(BQ$3),BQ34,BQ34+MAX(-BQ33,0)-IF(BQ33&gt;0,BQ35,0)),BQ34)</x:f>
      </x:c>
      <x:c r="BS34">
        <x:f>IF(AND(BS$3&gt;=$B$31,BR$3&gt;=$B$31),IF(YEAR(BS$3)=YEAR(BR$3),BR34,BR34+MAX(-BR33,0)-IF(BR33&gt;0,BR35,0)),BR34)</x:f>
      </x:c>
      <x:c r="BT34">
        <x:f>IF(AND(BT$3&gt;=$B$31,BS$3&gt;=$B$31),IF(YEAR(BT$3)=YEAR(BS$3),BS34,BS34+MAX(-BS33,0)-IF(BS33&gt;0,BS35,0)),BS34)</x:f>
      </x:c>
      <x:c r="BU34">
        <x:f>IF(AND(BU$3&gt;=$B$31,BT$3&gt;=$B$31),IF(YEAR(BU$3)=YEAR(BT$3),BT34,BT34+MAX(-BT33,0)-IF(BT33&gt;0,BT35,0)),BT34)</x:f>
      </x:c>
      <x:c r="BV34">
        <x:f>IF(AND(BV$3&gt;=$B$31,BU$3&gt;=$B$31),IF(YEAR(BV$3)=YEAR(BU$3),BU34,BU34+MAX(-BU33,0)-IF(BU33&gt;0,BU35,0)),BU34)</x:f>
      </x:c>
      <x:c r="BW34">
        <x:f>IF(AND(BW$3&gt;=$B$31,BV$3&gt;=$B$31),IF(YEAR(BW$3)=YEAR(BV$3),BV34,BV34+MAX(-BV33,0)-IF(BV33&gt;0,BV35,0)),BV34)</x:f>
      </x:c>
      <x:c r="BX34">
        <x:f>IF(AND(BX$3&gt;=$B$31,BW$3&gt;=$B$31),IF(YEAR(BX$3)=YEAR(BW$3),BW34,BW34+MAX(-BW33,0)-IF(BW33&gt;0,BW35,0)),BW34)</x:f>
      </x:c>
      <x:c r="BY34">
        <x:f>IF(AND(BY$3&gt;=$B$31,BX$3&gt;=$B$31),IF(YEAR(BY$3)=YEAR(BX$3),BX34,BX34+MAX(-BX33,0)-IF(BX33&gt;0,BX35,0)),BX34)</x:f>
      </x:c>
      <x:c r="BZ34">
        <x:f>IF(AND(BZ$3&gt;=$B$31,BY$3&gt;=$B$31),IF(YEAR(BZ$3)=YEAR(BY$3),BY34,BY34+MAX(-BY33,0)-IF(BY33&gt;0,BY35,0)),BY34)</x:f>
      </x:c>
      <x:c r="CA34">
        <x:f>IF(AND(CA$3&gt;=$B$31,BZ$3&gt;=$B$31),IF(YEAR(CA$3)=YEAR(BZ$3),BZ34,BZ34+MAX(-BZ33,0)-IF(BZ33&gt;0,BZ35,0)),BZ34)</x:f>
      </x:c>
      <x:c r="CB34">
        <x:f>IF(AND(CB$3&gt;=$B$31,CA$3&gt;=$B$31),IF(YEAR(CB$3)=YEAR(CA$3),CA34,CA34+MAX(-CA33,0)-IF(CA33&gt;0,CA35,0)),CA34)</x:f>
      </x:c>
      <x:c r="CC34">
        <x:f>IF(AND(CC$3&gt;=$B$31,CB$3&gt;=$B$31),IF(YEAR(CC$3)=YEAR(CB$3),CB34,CB34+MAX(-CB33,0)-IF(CB33&gt;0,CB35,0)),CB34)</x:f>
      </x:c>
      <x:c r="CD34">
        <x:f>IF(AND(CD$3&gt;=$B$31,CC$3&gt;=$B$31),IF(YEAR(CD$3)=YEAR(CC$3),CC34,CC34+MAX(-CC33,0)-IF(CC33&gt;0,CC35,0)),CC34)</x:f>
      </x:c>
      <x:c r="CE34">
        <x:f>IF(AND(CE$3&gt;=$B$31,CD$3&gt;=$B$31),IF(YEAR(CE$3)=YEAR(CD$3),CD34,CD34+MAX(-CD33,0)-IF(CD33&gt;0,CD35,0)),CD34)</x:f>
      </x:c>
      <x:c r="CF34">
        <x:f>IF(AND(CF$3&gt;=$B$31,CE$3&gt;=$B$31),IF(YEAR(CF$3)=YEAR(CE$3),CE34,CE34+MAX(-CE33,0)-IF(CE33&gt;0,CE35,0)),CE34)</x:f>
      </x:c>
      <x:c r="CG34">
        <x:f>IF(AND(CG$3&gt;=$B$31,CF$3&gt;=$B$31),IF(YEAR(CG$3)=YEAR(CF$3),CF34,CF34+MAX(-CF33,0)-IF(CF33&gt;0,CF35,0)),CF34)</x:f>
      </x:c>
      <x:c r="CH34">
        <x:f>IF(AND(CH$3&gt;=$B$31,CG$3&gt;=$B$31),IF(YEAR(CH$3)=YEAR(CG$3),CG34,CG34+MAX(-CG33,0)-IF(CG33&gt;0,CG35,0)),CG34)</x:f>
      </x:c>
      <x:c r="CI34">
        <x:f>IF(AND(CI$3&gt;=$B$31,CH$3&gt;=$B$31),IF(YEAR(CI$3)=YEAR(CH$3),CH34,CH34+MAX(-CH33,0)-IF(CH33&gt;0,CH35,0)),CH34)</x:f>
      </x:c>
      <x:c r="CJ34">
        <x:f>IF(AND(CJ$3&gt;=$B$31,CI$3&gt;=$B$31),IF(YEAR(CJ$3)=YEAR(CI$3),CI34,CI34+MAX(-CI33,0)-IF(CI33&gt;0,CI35,0)),CI34)</x:f>
      </x:c>
      <x:c r="CK34">
        <x:f>IF(AND(CK$3&gt;=$B$31,CJ$3&gt;=$B$31),IF(YEAR(CK$3)=YEAR(CJ$3),CJ34,CJ34+MAX(-CJ33,0)-IF(CJ33&gt;0,CJ35,0)),CJ34)</x:f>
      </x:c>
      <x:c r="CL34">
        <x:f>IF(AND(CL$3&gt;=$B$31,CK$3&gt;=$B$31),IF(YEAR(CL$3)=YEAR(CK$3),CK34,CK34+MAX(-CK33,0)-IF(CK33&gt;0,CK35,0)),CK34)</x:f>
      </x:c>
      <x:c r="CM34">
        <x:f>IF(AND(CM$3&gt;=$B$31,CL$3&gt;=$B$31),IF(YEAR(CM$3)=YEAR(CL$3),CL34,CL34+MAX(-CL33,0)-IF(CL33&gt;0,CL35,0)),CL34)</x:f>
      </x:c>
      <x:c r="CN34">
        <x:f>IF(AND(CN$3&gt;=$B$31,CM$3&gt;=$B$31),IF(YEAR(CN$3)=YEAR(CM$3),CM34,CM34+MAX(-CM33,0)-IF(CM33&gt;0,CM35,0)),CM34)</x:f>
      </x:c>
      <x:c r="CO34">
        <x:f>IF(AND(CO$3&gt;=$B$31,CN$3&gt;=$B$31),IF(YEAR(CO$3)=YEAR(CN$3),CN34,CN34+MAX(-CN33,0)-IF(CN33&gt;0,CN35,0)),CN34)</x:f>
      </x:c>
      <x:c r="CP34">
        <x:f>IF(AND(CP$3&gt;=$B$31,CO$3&gt;=$B$31),IF(YEAR(CP$3)=YEAR(CO$3),CO34,CO34+MAX(-CO33,0)-IF(CO33&gt;0,CO35,0)),CO34)</x:f>
      </x:c>
      <x:c r="CQ34">
        <x:f>IF(AND(CQ$3&gt;=$B$31,CP$3&gt;=$B$31),IF(YEAR(CQ$3)=YEAR(CP$3),CP34,CP34+MAX(-CP33,0)-IF(CP33&gt;0,CP35,0)),CP34)</x:f>
      </x:c>
      <x:c r="CR34">
        <x:f>IF(AND(CR$3&gt;=$B$31,CQ$3&gt;=$B$31),IF(YEAR(CR$3)=YEAR(CQ$3),CQ34,CQ34+MAX(-CQ33,0)-IF(CQ33&gt;0,CQ35,0)),CQ34)</x:f>
      </x:c>
      <x:c r="CS34">
        <x:f>IF(AND(CS$3&gt;=$B$31,CR$3&gt;=$B$31),IF(YEAR(CS$3)=YEAR(CR$3),CR34,CR34+MAX(-CR33,0)-IF(CR33&gt;0,CR35,0)),CR34)</x:f>
      </x:c>
      <x:c r="CT34">
        <x:f>IF(AND(CT$3&gt;=$B$31,CS$3&gt;=$B$31),IF(YEAR(CT$3)=YEAR(CS$3),CS34,CS34+MAX(-CS33,0)-IF(CS33&gt;0,CS35,0)),CS34)</x:f>
      </x:c>
      <x:c r="CU34">
        <x:f>IF(AND(CU$3&gt;=$B$31,CT$3&gt;=$B$31),IF(YEAR(CU$3)=YEAR(CT$3),CT34,CT34+MAX(-CT33,0)-IF(CT33&gt;0,CT35,0)),CT34)</x:f>
      </x:c>
      <x:c r="CV34">
        <x:f>IF(AND(CV$3&gt;=$B$31,CU$3&gt;=$B$31),IF(YEAR(CV$3)=YEAR(CU$3),CU34,CU34+MAX(-CU33,0)-IF(CU33&gt;0,CU35,0)),CU34)</x:f>
      </x:c>
      <x:c r="CW34">
        <x:f>IF(AND(CW$3&gt;=$B$31,CV$3&gt;=$B$31),IF(YEAR(CW$3)=YEAR(CV$3),CV34,CV34+MAX(-CV33,0)-IF(CV33&gt;0,CV35,0)),CV34)</x:f>
      </x:c>
      <x:c r="CX34">
        <x:f>IF(AND(CX$3&gt;=$B$31,CW$3&gt;=$B$31),IF(YEAR(CX$3)=YEAR(CW$3),CW34,CW34+MAX(-CW33,0)-IF(CW33&gt;0,CW35,0)),CW34)</x:f>
      </x:c>
      <x:c r="CY34">
        <x:f>IF(AND(CY$3&gt;=$B$31,CX$3&gt;=$B$31),IF(YEAR(CY$3)=YEAR(CX$3),CX34,CX34+MAX(-CX33,0)-IF(CX33&gt;0,CX35,0)),CX34)</x:f>
      </x:c>
      <x:c r="CZ34">
        <x:f>IF(AND(CZ$3&gt;=$B$31,CY$3&gt;=$B$31),IF(YEAR(CZ$3)=YEAR(CY$3),CY34,CY34+MAX(-CY33,0)-IF(CY33&gt;0,CY35,0)),CY34)</x:f>
      </x:c>
      <x:c r="DA34">
        <x:f>IF(AND(DA$3&gt;=$B$31,CZ$3&gt;=$B$31),IF(YEAR(DA$3)=YEAR(CZ$3),CZ34,CZ34+MAX(-CZ33,0)-IF(CZ33&gt;0,CZ35,0)),CZ34)</x:f>
      </x:c>
      <x:c r="DB34">
        <x:f>IF(AND(DB$3&gt;=$B$31,DA$3&gt;=$B$31),IF(YEAR(DB$3)=YEAR(DA$3),DA34,DA34+MAX(-DA33,0)-IF(DA33&gt;0,DA35,0)),DA34)</x:f>
      </x:c>
      <x:c r="DC34">
        <x:f>IF(AND(DC$3&gt;=$B$31,DB$3&gt;=$B$31),IF(YEAR(DC$3)=YEAR(DB$3),DB34,DB34+MAX(-DB33,0)-IF(DB33&gt;0,DB35,0)),DB34)</x:f>
      </x:c>
      <x:c r="DD34">
        <x:f>IF(AND(DD$3&gt;=$B$31,DC$3&gt;=$B$31),IF(YEAR(DD$3)=YEAR(DC$3),DC34,DC34+MAX(-DC33,0)-IF(DC33&gt;0,DC35,0)),DC34)</x:f>
      </x:c>
      <x:c r="DE34">
        <x:f>IF(AND(DE$3&gt;=$B$31,DD$3&gt;=$B$31),IF(YEAR(DE$3)=YEAR(DD$3),DD34,DD34+MAX(-DD33,0)-IF(DD33&gt;0,DD35,0)),DD34)</x:f>
      </x:c>
      <x:c r="DF34">
        <x:f>IF(AND(DF$3&gt;=$B$31,DE$3&gt;=$B$31),IF(YEAR(DF$3)=YEAR(DE$3),DE34,DE34+MAX(-DE33,0)-IF(DE33&gt;0,DE35,0)),DE34)</x:f>
      </x:c>
      <x:c r="DG34">
        <x:f>IF(AND(DG$3&gt;=$B$31,DF$3&gt;=$B$31),IF(YEAR(DG$3)=YEAR(DF$3),DF34,DF34+MAX(-DF33,0)-IF(DF33&gt;0,DF35,0)),DF34)</x:f>
      </x:c>
      <x:c r="DH34">
        <x:f>IF(AND(DH$3&gt;=$B$31,DG$3&gt;=$B$31),IF(YEAR(DH$3)=YEAR(DG$3),DG34,DG34+MAX(-DG33,0)-IF(DG33&gt;0,DG35,0)),DG34)</x:f>
      </x:c>
      <x:c r="DI34">
        <x:f>IF(AND(DI$3&gt;=$B$31,DH$3&gt;=$B$31),IF(YEAR(DI$3)=YEAR(DH$3),DH34,DH34+MAX(-DH33,0)-IF(DH33&gt;0,DH35,0)),DH34)</x:f>
      </x:c>
      <x:c r="DJ34">
        <x:f>IF(AND(DJ$3&gt;=$B$31,DI$3&gt;=$B$31),IF(YEAR(DJ$3)=YEAR(DI$3),DI34,DI34+MAX(-DI33,0)-IF(DI33&gt;0,DI35,0)),DI34)</x:f>
      </x:c>
      <x:c r="DK34">
        <x:f>IF(AND(DK$3&gt;=$B$31,DJ$3&gt;=$B$31),IF(YEAR(DK$3)=YEAR(DJ$3),DJ34,DJ34+MAX(-DJ33,0)-IF(DJ33&gt;0,DJ35,0)),DJ34)</x:f>
      </x:c>
      <x:c r="DL34">
        <x:f>IF(AND(DL$3&gt;=$B$31,DK$3&gt;=$B$31),IF(YEAR(DL$3)=YEAR(DK$3),DK34,DK34+MAX(-DK33,0)-IF(DK33&gt;0,DK35,0)),DK34)</x:f>
      </x:c>
      <x:c r="DM34">
        <x:f>IF(AND(DM$3&gt;=$B$31,DL$3&gt;=$B$31),IF(YEAR(DM$3)=YEAR(DL$3),DL34,DL34+MAX(-DL33,0)-IF(DL33&gt;0,DL35,0)),DL34)</x:f>
      </x:c>
      <x:c r="DN34">
        <x:f>IF(AND(DN$3&gt;=$B$31,DM$3&gt;=$B$31),IF(YEAR(DN$3)=YEAR(DM$3),DM34,DM34+MAX(-DM33,0)-IF(DM33&gt;0,DM35,0)),DM34)</x:f>
      </x:c>
      <x:c r="DO34">
        <x:f>IF(AND(DO$3&gt;=$B$31,DN$3&gt;=$B$31),IF(YEAR(DO$3)=YEAR(DN$3),DN34,DN34+MAX(-DN33,0)-IF(DN33&gt;0,DN35,0)),DN34)</x:f>
      </x:c>
      <x:c r="DP34">
        <x:f>IF(AND(DP$3&gt;=$B$31,DO$3&gt;=$B$31),IF(YEAR(DP$3)=YEAR(DO$3),DO34,DO34+MAX(-DO33,0)-IF(DO33&gt;0,DO35,0)),DO34)</x:f>
      </x:c>
      <x:c r="DQ34">
        <x:f>IF(AND(DQ$3&gt;=$B$31,DP$3&gt;=$B$31),IF(YEAR(DQ$3)=YEAR(DP$3),DP34,DP34+MAX(-DP33,0)-IF(DP33&gt;0,DP35,0)),DP34)</x:f>
      </x:c>
      <x:c r="DR34">
        <x:f>IF(AND(DR$3&gt;=$B$31,DQ$3&gt;=$B$31),IF(YEAR(DR$3)=YEAR(DQ$3),DQ34,DQ34+MAX(-DQ33,0)-IF(DQ33&gt;0,DQ35,0)),DQ34)</x:f>
      </x:c>
      <x:c r="DS34">
        <x:f>IF(AND(DS$3&gt;=$B$31,DR$3&gt;=$B$31),IF(YEAR(DS$3)=YEAR(DR$3),DR34,DR34+MAX(-DR33,0)-IF(DR33&gt;0,DR35,0)),DR34)</x:f>
      </x:c>
      <x:c r="DT34">
        <x:f>IF(AND(DT$3&gt;=$B$31,DS$3&gt;=$B$31),IF(YEAR(DT$3)=YEAR(DS$3),DS34,DS34+MAX(-DS33,0)-IF(DS33&gt;0,DS35,0)),DS34)</x:f>
      </x:c>
      <x:c r="DU34">
        <x:f>IF(AND(DU$3&gt;=$B$31,DT$3&gt;=$B$31),IF(YEAR(DU$3)=YEAR(DT$3),DT34,DT34+MAX(-DT33,0)-IF(DT33&gt;0,DT35,0)),DT34)</x:f>
      </x:c>
      <x:c r="DV34">
        <x:f>IF(AND(DV$3&gt;=$B$31,DU$3&gt;=$B$31),IF(YEAR(DV$3)=YEAR(DU$3),DU34,DU34+MAX(-DU33,0)-IF(DU33&gt;0,DU35,0)),DU34)</x:f>
      </x:c>
      <x:c r="DW34">
        <x:f>IF(AND(DW$3&gt;=$B$31,DV$3&gt;=$B$31),IF(YEAR(DW$3)=YEAR(DV$3),DV34,DV34+MAX(-DV33,0)-IF(DV33&gt;0,DV35,0)),DV34)</x:f>
      </x:c>
      <x:c r="DX34">
        <x:f>IF(AND(DX$3&gt;=$B$31,DW$3&gt;=$B$31),IF(YEAR(DX$3)=YEAR(DW$3),DW34,DW34+MAX(-DW33,0)-IF(DW33&gt;0,DW35,0)),DW34)</x:f>
      </x:c>
      <x:c r="DY34">
        <x:f>IF(AND(DY$3&gt;=$B$31,DX$3&gt;=$B$31),IF(YEAR(DY$3)=YEAR(DX$3),DX34,DX34+MAX(-DX33,0)-IF(DX33&gt;0,DX35,0)),DX34)</x:f>
      </x:c>
      <x:c r="DZ34">
        <x:f>IF(AND(DZ$3&gt;=$B$31,DY$3&gt;=$B$31),IF(YEAR(DZ$3)=YEAR(DY$3),DY34,DY34+MAX(-DY33,0)-IF(DY33&gt;0,DY35,0)),DY34)</x:f>
      </x:c>
      <x:c r="EA34">
        <x:f>IF(AND(EA$3&gt;=$B$31,DZ$3&gt;=$B$31),IF(YEAR(EA$3)=YEAR(DZ$3),DZ34,DZ34+MAX(-DZ33,0)-IF(DZ33&gt;0,DZ35,0)),DZ34)</x:f>
      </x:c>
      <x:c r="EB34">
        <x:f>IF(AND(EB$3&gt;=$B$31,EA$3&gt;=$B$31),IF(YEAR(EB$3)=YEAR(EA$3),EA34,EA34+MAX(-EA33,0)-IF(EA33&gt;0,EA35,0)),EA34)</x:f>
      </x:c>
      <x:c r="EC34">
        <x:f>IF(AND(EC$3&gt;=$B$31,EB$3&gt;=$B$31),IF(YEAR(EC$3)=YEAR(EB$3),EB34,EB34+MAX(-EB33,0)-IF(EB33&gt;0,EB35,0)),EB34)</x:f>
      </x:c>
      <x:c r="ED34">
        <x:f>IF(AND(ED$3&gt;=$B$31,EC$3&gt;=$B$31),IF(YEAR(ED$3)=YEAR(EC$3),EC34,EC34+MAX(-EC33,0)-IF(EC33&gt;0,EC35,0)),EC34)</x:f>
      </x:c>
      <x:c r="EE34">
        <x:f>IF(AND(EE$3&gt;=$B$31,ED$3&gt;=$B$31),IF(YEAR(EE$3)=YEAR(ED$3),ED34,ED34+MAX(-ED33,0)-IF(ED33&gt;0,ED35,0)),ED34)</x:f>
      </x:c>
      <x:c r="EF34">
        <x:f>IF(AND(EF$3&gt;=$B$31,EE$3&gt;=$B$31),IF(YEAR(EF$3)=YEAR(EE$3),EE34,EE34+MAX(-EE33,0)-IF(EE33&gt;0,EE35,0)),EE34)</x:f>
      </x:c>
      <x:c r="EG34">
        <x:f>IF(AND(EG$3&gt;=$B$31,EF$3&gt;=$B$31),IF(YEAR(EG$3)=YEAR(EF$3),EF34,EF34+MAX(-EF33,0)-IF(EF33&gt;0,EF35,0)),EF34)</x:f>
      </x:c>
      <x:c r="EH34">
        <x:f>IF(AND(EH$3&gt;=$B$31,EG$3&gt;=$B$31),IF(YEAR(EH$3)=YEAR(EG$3),EG34,EG34+MAX(-EG33,0)-IF(EG33&gt;0,EG35,0)),EG34)</x:f>
      </x:c>
      <x:c r="EI34">
        <x:f>IF(AND(EI$3&gt;=$B$31,EH$3&gt;=$B$31),IF(YEAR(EI$3)=YEAR(EH$3),EH34,EH34+MAX(-EH33,0)-IF(EH33&gt;0,EH35,0)),EH34)</x:f>
      </x:c>
      <x:c r="EJ34">
        <x:f>IF(AND(EJ$3&gt;=$B$31,EI$3&gt;=$B$31),IF(YEAR(EJ$3)=YEAR(EI$3),EI34,EI34+MAX(-EI33,0)-IF(EI33&gt;0,EI35,0)),EI34)</x:f>
      </x:c>
      <x:c r="EK34">
        <x:f>IF(AND(EK$3&gt;=$B$31,EJ$3&gt;=$B$31),IF(YEAR(EK$3)=YEAR(EJ$3),EJ34,EJ34+MAX(-EJ33,0)-IF(EJ33&gt;0,EJ35,0)),EJ34)</x:f>
      </x:c>
      <x:c r="EL34">
        <x:f>IF(AND(EL$3&gt;=$B$31,EK$3&gt;=$B$31),IF(YEAR(EL$3)=YEAR(EK$3),EK34,EK34+MAX(-EK33,0)-IF(EK33&gt;0,EK35,0)),EK34)</x:f>
      </x:c>
      <x:c r="EM34">
        <x:f>IF(AND(EM$3&gt;=$B$31,EL$3&gt;=$B$31),IF(YEAR(EM$3)=YEAR(EL$3),EL34,EL34+MAX(-EL33,0)-IF(EL33&gt;0,EL35,0)),EL34)</x:f>
      </x:c>
      <x:c r="EN34">
        <x:f>IF(AND(EN$3&gt;=$B$31,EM$3&gt;=$B$31),IF(YEAR(EN$3)=YEAR(EM$3),EM34,EM34+MAX(-EM33,0)-IF(EM33&gt;0,EM35,0)),EM34)</x:f>
      </x:c>
      <x:c r="EO34">
        <x:f>IF(AND(EO$3&gt;=$B$31,EN$3&gt;=$B$31),IF(YEAR(EO$3)=YEAR(EN$3),EN34,EN34+MAX(-EN33,0)-IF(EN33&gt;0,EN35,0)),EN34)</x:f>
      </x:c>
      <x:c r="EP34">
        <x:f>IF(AND(EP$3&gt;=$B$31,EO$3&gt;=$B$31),IF(YEAR(EP$3)=YEAR(EO$3),EO34,EO34+MAX(-EO33,0)-IF(EO33&gt;0,EO35,0)),EO34)</x:f>
      </x:c>
      <x:c r="EQ34">
        <x:f>IF(AND(EQ$3&gt;=$B$31,EP$3&gt;=$B$31),IF(YEAR(EQ$3)=YEAR(EP$3),EP34,EP34+MAX(-EP33,0)-IF(EP33&gt;0,EP35,0)),EP34)</x:f>
      </x:c>
      <x:c r="ER34">
        <x:f>IF(AND(ER$3&gt;=$B$31,EQ$3&gt;=$B$31),IF(YEAR(ER$3)=YEAR(EQ$3),EQ34,EQ34+MAX(-EQ33,0)-IF(EQ33&gt;0,EQ35,0)),EQ34)</x:f>
      </x:c>
      <x:c r="ES34">
        <x:f>IF(AND(ES$3&gt;=$B$31,ER$3&gt;=$B$31),IF(YEAR(ES$3)=YEAR(ER$3),ER34,ER34+MAX(-ER33,0)-IF(ER33&gt;0,ER35,0)),ER34)</x:f>
      </x:c>
      <x:c r="ET34">
        <x:f>IF(AND(ET$3&gt;=$B$31,ES$3&gt;=$B$31),IF(YEAR(ET$3)=YEAR(ES$3),ES34,ES34+MAX(-ES33,0)-IF(ES33&gt;0,ES35,0)),ES34)</x:f>
      </x:c>
      <x:c r="EU34">
        <x:f>IF(AND(EU$3&gt;=$B$31,ET$3&gt;=$B$31),IF(YEAR(EU$3)=YEAR(ET$3),ET34,ET34+MAX(-ET33,0)-IF(ET33&gt;0,ET35,0)),ET34)</x:f>
      </x:c>
      <x:c r="EV34">
        <x:f>IF(AND(EV$3&gt;=$B$31,EU$3&gt;=$B$31),IF(YEAR(EV$3)=YEAR(EU$3),EU34,EU34+MAX(-EU33,0)-IF(EU33&gt;0,EU35,0)),EU34)</x:f>
      </x:c>
      <x:c r="EW34">
        <x:f>IF(AND(EW$3&gt;=$B$31,EV$3&gt;=$B$31),IF(YEAR(EW$3)=YEAR(EV$3),EV34,EV34+MAX(-EV33,0)-IF(EV33&gt;0,EV35,0)),EV34)</x:f>
      </x:c>
      <x:c r="EX34">
        <x:f>IF(AND(EX$3&gt;=$B$31,EW$3&gt;=$B$31),IF(YEAR(EX$3)=YEAR(EW$3),EW34,EW34+MAX(-EW33,0)-IF(EW33&gt;0,EW35,0)),EW34)</x:f>
      </x:c>
      <x:c r="EY34">
        <x:f>IF(AND(EY$3&gt;=$B$31,EX$3&gt;=$B$31),IF(YEAR(EY$3)=YEAR(EX$3),EX34,EX34+MAX(-EX33,0)-IF(EX33&gt;0,EX35,0)),EX34)</x:f>
      </x:c>
      <x:c r="EZ34">
        <x:f>IF(AND(EZ$3&gt;=$B$31,EY$3&gt;=$B$31),IF(YEAR(EZ$3)=YEAR(EY$3),EY34,EY34+MAX(-EY33,0)-IF(EY33&gt;0,EY35,0)),EY34)</x:f>
      </x:c>
      <x:c r="FA34">
        <x:f>IF(AND(FA$3&gt;=$B$31,EZ$3&gt;=$B$31),IF(YEAR(FA$3)=YEAR(EZ$3),EZ34,EZ34+MAX(-EZ33,0)-IF(EZ33&gt;0,EZ35,0)),EZ34)</x:f>
      </x:c>
      <x:c r="FB34">
        <x:f>IF(AND(FB$3&gt;=$B$31,FA$3&gt;=$B$31),IF(YEAR(FB$3)=YEAR(FA$3),FA34,FA34+MAX(-FA33,0)-IF(FA33&gt;0,FA35,0)),FA34)</x:f>
      </x:c>
      <x:c r="FC34">
        <x:f>IF(AND(FC$3&gt;=$B$31,FB$3&gt;=$B$31),IF(YEAR(FC$3)=YEAR(FB$3),FB34,FB34+MAX(-FB33,0)-IF(FB33&gt;0,FB35,0)),FB34)</x:f>
      </x:c>
      <x:c r="FD34">
        <x:f>IF(AND(FD$3&gt;=$B$31,FC$3&gt;=$B$31),IF(YEAR(FD$3)=YEAR(FC$3),FC34,FC34+MAX(-FC33,0)-IF(FC33&gt;0,FC35,0)),FC34)</x:f>
      </x:c>
      <x:c r="FE34">
        <x:f>IF(AND(FE$3&gt;=$B$31,FD$3&gt;=$B$31),IF(YEAR(FE$3)=YEAR(FD$3),FD34,FD34+MAX(-FD33,0)-IF(FD33&gt;0,FD35,0)),FD34)</x:f>
      </x:c>
      <x:c r="FF34">
        <x:f>IF(AND(FF$3&gt;=$B$31,FE$3&gt;=$B$31),IF(YEAR(FF$3)=YEAR(FE$3),FE34,FE34+MAX(-FE33,0)-IF(FE33&gt;0,FE35,0)),FE34)</x:f>
      </x:c>
      <x:c r="FG34">
        <x:f>IF(AND(FG$3&gt;=$B$31,FF$3&gt;=$B$31),IF(YEAR(FG$3)=YEAR(FF$3),FF34,FF34+MAX(-FF33,0)-IF(FF33&gt;0,FF35,0)),FF34)</x:f>
      </x:c>
      <x:c r="FH34">
        <x:f>IF(AND(FH$3&gt;=$B$31,FG$3&gt;=$B$31),IF(YEAR(FH$3)=YEAR(FG$3),FG34,FG34+MAX(-FG33,0)-IF(FG33&gt;0,FG35,0)),FG34)</x:f>
      </x:c>
      <x:c r="FI34">
        <x:f>IF(AND(FI$3&gt;=$B$31,FH$3&gt;=$B$31),IF(YEAR(FI$3)=YEAR(FH$3),FH34,FH34+MAX(-FH33,0)-IF(FH33&gt;0,FH35,0)),FH34)</x:f>
      </x:c>
      <x:c r="FJ34">
        <x:f>IF(AND(FJ$3&gt;=$B$31,FI$3&gt;=$B$31),IF(YEAR(FJ$3)=YEAR(FI$3),FI34,FI34+MAX(-FI33,0)-IF(FI33&gt;0,FI35,0)),FI34)</x:f>
      </x:c>
      <x:c r="FK34">
        <x:f>IF(AND(FK$3&gt;=$B$31,FJ$3&gt;=$B$31),IF(YEAR(FK$3)=YEAR(FJ$3),FJ34,FJ34+MAX(-FJ33,0)-IF(FJ33&gt;0,FJ35,0)),FJ34)</x:f>
      </x:c>
      <x:c r="FL34">
        <x:f>IF(AND(FL$3&gt;=$B$31,FK$3&gt;=$B$31),IF(YEAR(FL$3)=YEAR(FK$3),FK34,FK34+MAX(-FK33,0)-IF(FK33&gt;0,FK35,0)),FK34)</x:f>
      </x:c>
      <x:c r="FM34">
        <x:f>IF(AND(FM$3&gt;=$B$31,FL$3&gt;=$B$31),IF(YEAR(FM$3)=YEAR(FL$3),FL34,FL34+MAX(-FL33,0)-IF(FL33&gt;0,FL35,0)),FL34)</x:f>
      </x:c>
      <x:c r="FN34">
        <x:f>IF(AND(FN$3&gt;=$B$31,FM$3&gt;=$B$31),IF(YEAR(FN$3)=YEAR(FM$3),FM34,FM34+MAX(-FM33,0)-IF(FM33&gt;0,FM35,0)),FM34)</x:f>
      </x:c>
      <x:c r="FO34">
        <x:f>IF(AND(FO$3&gt;=$B$31,FN$3&gt;=$B$31),IF(YEAR(FO$3)=YEAR(FN$3),FN34,FN34+MAX(-FN33,0)-IF(FN33&gt;0,FN35,0)),FN34)</x:f>
      </x:c>
      <x:c r="FP34">
        <x:f>IF(AND(FP$3&gt;=$B$31,FO$3&gt;=$B$31),IF(YEAR(FP$3)=YEAR(FO$3),FO34,FO34+MAX(-FO33,0)-IF(FO33&gt;0,FO35,0)),FO34)</x:f>
      </x:c>
      <x:c r="FQ34">
        <x:f>IF(AND(FQ$3&gt;=$B$31,FP$3&gt;=$B$31),IF(YEAR(FQ$3)=YEAR(FP$3),FP34,FP34+MAX(-FP33,0)-IF(FP33&gt;0,FP35,0)),FP34)</x:f>
      </x:c>
      <x:c r="FR34">
        <x:f>IF(AND(FR$3&gt;=$B$31,FQ$3&gt;=$B$31),IF(YEAR(FR$3)=YEAR(FQ$3),FQ34,FQ34+MAX(-FQ33,0)-IF(FQ33&gt;0,FQ35,0)),FQ34)</x:f>
      </x:c>
      <x:c r="FS34">
        <x:f>IF(AND(FS$3&gt;=$B$31,FR$3&gt;=$B$31),IF(YEAR(FS$3)=YEAR(FR$3),FR34,FR34+MAX(-FR33,0)-IF(FR33&gt;0,FR35,0)),FR34)</x:f>
      </x:c>
      <x:c r="FT34">
        <x:f>IF(AND(FT$3&gt;=$B$31,FS$3&gt;=$B$31),IF(YEAR(FT$3)=YEAR(FS$3),FS34,FS34+MAX(-FS33,0)-IF(FS33&gt;0,FS35,0)),FS34)</x:f>
      </x:c>
      <x:c r="FU34">
        <x:f>IF(AND(FU$3&gt;=$B$31,FT$3&gt;=$B$31),IF(YEAR(FU$3)=YEAR(FT$3),FT34,FT34+MAX(-FT33,0)-IF(FT33&gt;0,FT35,0)),FT34)</x:f>
      </x:c>
      <x:c r="FV34">
        <x:f>IF(AND(FV$3&gt;=$B$31,FU$3&gt;=$B$31),IF(YEAR(FV$3)=YEAR(FU$3),FU34,FU34+MAX(-FU33,0)-IF(FU33&gt;0,FU35,0)),FU34)</x:f>
      </x:c>
      <x:c r="FW34">
        <x:f>IF(AND(FW$3&gt;=$B$31,FV$3&gt;=$B$31),IF(YEAR(FW$3)=YEAR(FV$3),FV34,FV34+MAX(-FV33,0)-IF(FV33&gt;0,FV35,0)),FV34)</x:f>
      </x:c>
      <x:c r="FX34">
        <x:f>IF(AND(FX$3&gt;=$B$31,FW$3&gt;=$B$31),IF(YEAR(FX$3)=YEAR(FW$3),FW34,FW34+MAX(-FW33,0)-IF(FW33&gt;0,FW35,0)),FW34)</x:f>
      </x:c>
      <x:c r="FY34">
        <x:f>IF(AND(FY$3&gt;=$B$31,FX$3&gt;=$B$31),IF(YEAR(FY$3)=YEAR(FX$3),FX34,FX34+MAX(-FX33,0)-IF(FX33&gt;0,FX35,0)),FX34)</x:f>
      </x:c>
      <x:c r="FZ34">
        <x:f>IF(AND(FZ$3&gt;=$B$31,FY$3&gt;=$B$31),IF(YEAR(FZ$3)=YEAR(FY$3),FY34,FY34+MAX(-FY33,0)-IF(FY33&gt;0,FY35,0)),FY34)</x:f>
      </x:c>
      <x:c r="GA34">
        <x:f>IF(AND(GA$3&gt;=$B$31,FZ$3&gt;=$B$31),IF(YEAR(GA$3)=YEAR(FZ$3),FZ34,FZ34+MAX(-FZ33,0)-IF(FZ33&gt;0,FZ35,0)),FZ34)</x:f>
      </x:c>
    </x:row>
    <x:row r="35">
      <x:c r="A35" t="inlineStr">
        <x:is>
          <x:t>Зачтено убытка в этом году</x:t>
        </x:is>
      </x:c>
      <x:c r="D35">
        <x:f>IF(AND(D$3&gt;=$B$31,D33&gt;0,D34&gt;0),MIN(D34,D33*0.5),0)</x:f>
      </x:c>
      <x:c r="E35">
        <x:f>IF(AND(E$3&gt;=$B$31,E33&gt;0,E34&gt;0),MIN(E34,E33*0.5),0)</x:f>
      </x:c>
      <x:c r="F35">
        <x:f>IF(AND(F$3&gt;=$B$31,F33&gt;0,F34&gt;0),MIN(F34,F33*0.5),0)</x:f>
      </x:c>
      <x:c r="G35">
        <x:f>IF(AND(G$3&gt;=$B$31,G33&gt;0,G34&gt;0),MIN(G34,G33*0.5),0)</x:f>
      </x:c>
      <x:c r="H35">
        <x:f>IF(AND(H$3&gt;=$B$31,H33&gt;0,H34&gt;0),MIN(H34,H33*0.5),0)</x:f>
      </x:c>
      <x:c r="I35">
        <x:f>IF(AND(I$3&gt;=$B$31,I33&gt;0,I34&gt;0),MIN(I34,I33*0.5),0)</x:f>
      </x:c>
      <x:c r="J35">
        <x:f>IF(AND(J$3&gt;=$B$31,J33&gt;0,J34&gt;0),MIN(J34,J33*0.5),0)</x:f>
      </x:c>
      <x:c r="K35">
        <x:f>IF(AND(K$3&gt;=$B$31,K33&gt;0,K34&gt;0),MIN(K34,K33*0.5),0)</x:f>
      </x:c>
      <x:c r="L35">
        <x:f>IF(AND(L$3&gt;=$B$31,L33&gt;0,L34&gt;0),MIN(L34,L33*0.5),0)</x:f>
      </x:c>
      <x:c r="M35">
        <x:f>IF(AND(M$3&gt;=$B$31,M33&gt;0,M34&gt;0),MIN(M34,M33*0.5),0)</x:f>
      </x:c>
      <x:c r="N35">
        <x:f>IF(AND(N$3&gt;=$B$31,N33&gt;0,N34&gt;0),MIN(N34,N33*0.5),0)</x:f>
      </x:c>
      <x:c r="O35">
        <x:f>IF(AND(O$3&gt;=$B$31,O33&gt;0,O34&gt;0),MIN(O34,O33*0.5),0)</x:f>
      </x:c>
      <x:c r="P35">
        <x:f>IF(AND(P$3&gt;=$B$31,P33&gt;0,P34&gt;0),MIN(P34,P33*0.5),0)</x:f>
      </x:c>
      <x:c r="Q35">
        <x:f>IF(AND(Q$3&gt;=$B$31,Q33&gt;0,Q34&gt;0),MIN(Q34,Q33*0.5),0)</x:f>
      </x:c>
      <x:c r="R35">
        <x:f>IF(AND(R$3&gt;=$B$31,R33&gt;0,R34&gt;0),MIN(R34,R33*0.5),0)</x:f>
      </x:c>
      <x:c r="S35">
        <x:f>IF(AND(S$3&gt;=$B$31,S33&gt;0,S34&gt;0),MIN(S34,S33*0.5),0)</x:f>
      </x:c>
      <x:c r="T35">
        <x:f>IF(AND(T$3&gt;=$B$31,T33&gt;0,T34&gt;0),MIN(T34,T33*0.5),0)</x:f>
      </x:c>
      <x:c r="U35">
        <x:f>IF(AND(U$3&gt;=$B$31,U33&gt;0,U34&gt;0),MIN(U34,U33*0.5),0)</x:f>
      </x:c>
      <x:c r="V35">
        <x:f>IF(AND(V$3&gt;=$B$31,V33&gt;0,V34&gt;0),MIN(V34,V33*0.5),0)</x:f>
      </x:c>
      <x:c r="W35">
        <x:f>IF(AND(W$3&gt;=$B$31,W33&gt;0,W34&gt;0),MIN(W34,W33*0.5),0)</x:f>
      </x:c>
      <x:c r="X35">
        <x:f>IF(AND(X$3&gt;=$B$31,X33&gt;0,X34&gt;0),MIN(X34,X33*0.5),0)</x:f>
      </x:c>
      <x:c r="Y35">
        <x:f>IF(AND(Y$3&gt;=$B$31,Y33&gt;0,Y34&gt;0),MIN(Y34,Y33*0.5),0)</x:f>
      </x:c>
      <x:c r="Z35">
        <x:f>IF(AND(Z$3&gt;=$B$31,Z33&gt;0,Z34&gt;0),MIN(Z34,Z33*0.5),0)</x:f>
      </x:c>
      <x:c r="AA35">
        <x:f>IF(AND(AA$3&gt;=$B$31,AA33&gt;0,AA34&gt;0),MIN(AA34,AA33*0.5),0)</x:f>
      </x:c>
      <x:c r="AB35">
        <x:f>IF(AND(AB$3&gt;=$B$31,AB33&gt;0,AB34&gt;0),MIN(AB34,AB33*0.5),0)</x:f>
      </x:c>
      <x:c r="AC35">
        <x:f>IF(AND(AC$3&gt;=$B$31,AC33&gt;0,AC34&gt;0),MIN(AC34,AC33*0.5),0)</x:f>
      </x:c>
      <x:c r="AD35">
        <x:f>IF(AND(AD$3&gt;=$B$31,AD33&gt;0,AD34&gt;0),MIN(AD34,AD33*0.5),0)</x:f>
      </x:c>
      <x:c r="AE35">
        <x:f>IF(AND(AE$3&gt;=$B$31,AE33&gt;0,AE34&gt;0),MIN(AE34,AE33*0.5),0)</x:f>
      </x:c>
      <x:c r="AF35">
        <x:f>IF(AND(AF$3&gt;=$B$31,AF33&gt;0,AF34&gt;0),MIN(AF34,AF33*0.5),0)</x:f>
      </x:c>
      <x:c r="AG35">
        <x:f>IF(AND(AG$3&gt;=$B$31,AG33&gt;0,AG34&gt;0),MIN(AG34,AG33*0.5),0)</x:f>
      </x:c>
      <x:c r="AH35">
        <x:f>IF(AND(AH$3&gt;=$B$31,AH33&gt;0,AH34&gt;0),MIN(AH34,AH33*0.5),0)</x:f>
      </x:c>
      <x:c r="AI35">
        <x:f>IF(AND(AI$3&gt;=$B$31,AI33&gt;0,AI34&gt;0),MIN(AI34,AI33*0.5),0)</x:f>
      </x:c>
      <x:c r="AJ35">
        <x:f>IF(AND(AJ$3&gt;=$B$31,AJ33&gt;0,AJ34&gt;0),MIN(AJ34,AJ33*0.5),0)</x:f>
      </x:c>
      <x:c r="AK35">
        <x:f>IF(AND(AK$3&gt;=$B$31,AK33&gt;0,AK34&gt;0),MIN(AK34,AK33*0.5),0)</x:f>
      </x:c>
      <x:c r="AL35">
        <x:f>IF(AND(AL$3&gt;=$B$31,AL33&gt;0,AL34&gt;0),MIN(AL34,AL33*0.5),0)</x:f>
      </x:c>
      <x:c r="AM35">
        <x:f>IF(AND(AM$3&gt;=$B$31,AM33&gt;0,AM34&gt;0),MIN(AM34,AM33*0.5),0)</x:f>
      </x:c>
      <x:c r="AN35">
        <x:f>IF(AND(AN$3&gt;=$B$31,AN33&gt;0,AN34&gt;0),MIN(AN34,AN33*0.5),0)</x:f>
      </x:c>
      <x:c r="AO35">
        <x:f>IF(AND(AO$3&gt;=$B$31,AO33&gt;0,AO34&gt;0),MIN(AO34,AO33*0.5),0)</x:f>
      </x:c>
      <x:c r="AP35">
        <x:f>IF(AND(AP$3&gt;=$B$31,AP33&gt;0,AP34&gt;0),MIN(AP34,AP33*0.5),0)</x:f>
      </x:c>
      <x:c r="AQ35">
        <x:f>IF(AND(AQ$3&gt;=$B$31,AQ33&gt;0,AQ34&gt;0),MIN(AQ34,AQ33*0.5),0)</x:f>
      </x:c>
      <x:c r="AR35">
        <x:f>IF(AND(AR$3&gt;=$B$31,AR33&gt;0,AR34&gt;0),MIN(AR34,AR33*0.5),0)</x:f>
      </x:c>
      <x:c r="AS35">
        <x:f>IF(AND(AS$3&gt;=$B$31,AS33&gt;0,AS34&gt;0),MIN(AS34,AS33*0.5),0)</x:f>
      </x:c>
      <x:c r="AT35">
        <x:f>IF(AND(AT$3&gt;=$B$31,AT33&gt;0,AT34&gt;0),MIN(AT34,AT33*0.5),0)</x:f>
      </x:c>
      <x:c r="AU35">
        <x:f>IF(AND(AU$3&gt;=$B$31,AU33&gt;0,AU34&gt;0),MIN(AU34,AU33*0.5),0)</x:f>
      </x:c>
      <x:c r="AV35">
        <x:f>IF(AND(AV$3&gt;=$B$31,AV33&gt;0,AV34&gt;0),MIN(AV34,AV33*0.5),0)</x:f>
      </x:c>
      <x:c r="AW35">
        <x:f>IF(AND(AW$3&gt;=$B$31,AW33&gt;0,AW34&gt;0),MIN(AW34,AW33*0.5),0)</x:f>
      </x:c>
      <x:c r="AX35">
        <x:f>IF(AND(AX$3&gt;=$B$31,AX33&gt;0,AX34&gt;0),MIN(AX34,AX33*0.5),0)</x:f>
      </x:c>
      <x:c r="AY35">
        <x:f>IF(AND(AY$3&gt;=$B$31,AY33&gt;0,AY34&gt;0),MIN(AY34,AY33*0.5),0)</x:f>
      </x:c>
      <x:c r="AZ35">
        <x:f>IF(AND(AZ$3&gt;=$B$31,AZ33&gt;0,AZ34&gt;0),MIN(AZ34,AZ33*0.5),0)</x:f>
      </x:c>
      <x:c r="BA35">
        <x:f>IF(AND(BA$3&gt;=$B$31,BA33&gt;0,BA34&gt;0),MIN(BA34,BA33*0.5),0)</x:f>
      </x:c>
      <x:c r="BB35">
        <x:f>IF(AND(BB$3&gt;=$B$31,BB33&gt;0,BB34&gt;0),MIN(BB34,BB33*0.5),0)</x:f>
      </x:c>
      <x:c r="BC35">
        <x:f>IF(AND(BC$3&gt;=$B$31,BC33&gt;0,BC34&gt;0),MIN(BC34,BC33*0.5),0)</x:f>
      </x:c>
      <x:c r="BD35">
        <x:f>IF(AND(BD$3&gt;=$B$31,BD33&gt;0,BD34&gt;0),MIN(BD34,BD33*0.5),0)</x:f>
      </x:c>
      <x:c r="BE35">
        <x:f>IF(AND(BE$3&gt;=$B$31,BE33&gt;0,BE34&gt;0),MIN(BE34,BE33*0.5),0)</x:f>
      </x:c>
      <x:c r="BF35">
        <x:f>IF(AND(BF$3&gt;=$B$31,BF33&gt;0,BF34&gt;0),MIN(BF34,BF33*0.5),0)</x:f>
      </x:c>
      <x:c r="BG35">
        <x:f>IF(AND(BG$3&gt;=$B$31,BG33&gt;0,BG34&gt;0),MIN(BG34,BG33*0.5),0)</x:f>
      </x:c>
      <x:c r="BH35">
        <x:f>IF(AND(BH$3&gt;=$B$31,BH33&gt;0,BH34&gt;0),MIN(BH34,BH33*0.5),0)</x:f>
      </x:c>
      <x:c r="BI35">
        <x:f>IF(AND(BI$3&gt;=$B$31,BI33&gt;0,BI34&gt;0),MIN(BI34,BI33*0.5),0)</x:f>
      </x:c>
      <x:c r="BJ35">
        <x:f>IF(AND(BJ$3&gt;=$B$31,BJ33&gt;0,BJ34&gt;0),MIN(BJ34,BJ33*0.5),0)</x:f>
      </x:c>
      <x:c r="BK35">
        <x:f>IF(AND(BK$3&gt;=$B$31,BK33&gt;0,BK34&gt;0),MIN(BK34,BK33*0.5),0)</x:f>
      </x:c>
      <x:c r="BL35">
        <x:f>IF(AND(BL$3&gt;=$B$31,BL33&gt;0,BL34&gt;0),MIN(BL34,BL33*0.5),0)</x:f>
      </x:c>
      <x:c r="BM35">
        <x:f>IF(AND(BM$3&gt;=$B$31,BM33&gt;0,BM34&gt;0),MIN(BM34,BM33*0.5),0)</x:f>
      </x:c>
      <x:c r="BN35">
        <x:f>IF(AND(BN$3&gt;=$B$31,BN33&gt;0,BN34&gt;0),MIN(BN34,BN33*0.5),0)</x:f>
      </x:c>
      <x:c r="BO35">
        <x:f>IF(AND(BO$3&gt;=$B$31,BO33&gt;0,BO34&gt;0),MIN(BO34,BO33*0.5),0)</x:f>
      </x:c>
      <x:c r="BP35">
        <x:f>IF(AND(BP$3&gt;=$B$31,BP33&gt;0,BP34&gt;0),MIN(BP34,BP33*0.5),0)</x:f>
      </x:c>
      <x:c r="BQ35">
        <x:f>IF(AND(BQ$3&gt;=$B$31,BQ33&gt;0,BQ34&gt;0),MIN(BQ34,BQ33*0.5),0)</x:f>
      </x:c>
      <x:c r="BR35">
        <x:f>IF(AND(BR$3&gt;=$B$31,BR33&gt;0,BR34&gt;0),MIN(BR34,BR33*0.5),0)</x:f>
      </x:c>
      <x:c r="BS35">
        <x:f>IF(AND(BS$3&gt;=$B$31,BS33&gt;0,BS34&gt;0),MIN(BS34,BS33*0.5),0)</x:f>
      </x:c>
      <x:c r="BT35">
        <x:f>IF(AND(BT$3&gt;=$B$31,BT33&gt;0,BT34&gt;0),MIN(BT34,BT33*0.5),0)</x:f>
      </x:c>
      <x:c r="BU35">
        <x:f>IF(AND(BU$3&gt;=$B$31,BU33&gt;0,BU34&gt;0),MIN(BU34,BU33*0.5),0)</x:f>
      </x:c>
      <x:c r="BV35">
        <x:f>IF(AND(BV$3&gt;=$B$31,BV33&gt;0,BV34&gt;0),MIN(BV34,BV33*0.5),0)</x:f>
      </x:c>
      <x:c r="BW35">
        <x:f>IF(AND(BW$3&gt;=$B$31,BW33&gt;0,BW34&gt;0),MIN(BW34,BW33*0.5),0)</x:f>
      </x:c>
      <x:c r="BX35">
        <x:f>IF(AND(BX$3&gt;=$B$31,BX33&gt;0,BX34&gt;0),MIN(BX34,BX33*0.5),0)</x:f>
      </x:c>
      <x:c r="BY35">
        <x:f>IF(AND(BY$3&gt;=$B$31,BY33&gt;0,BY34&gt;0),MIN(BY34,BY33*0.5),0)</x:f>
      </x:c>
      <x:c r="BZ35">
        <x:f>IF(AND(BZ$3&gt;=$B$31,BZ33&gt;0,BZ34&gt;0),MIN(BZ34,BZ33*0.5),0)</x:f>
      </x:c>
      <x:c r="CA35">
        <x:f>IF(AND(CA$3&gt;=$B$31,CA33&gt;0,CA34&gt;0),MIN(CA34,CA33*0.5),0)</x:f>
      </x:c>
      <x:c r="CB35">
        <x:f>IF(AND(CB$3&gt;=$B$31,CB33&gt;0,CB34&gt;0),MIN(CB34,CB33*0.5),0)</x:f>
      </x:c>
      <x:c r="CC35">
        <x:f>IF(AND(CC$3&gt;=$B$31,CC33&gt;0,CC34&gt;0),MIN(CC34,CC33*0.5),0)</x:f>
      </x:c>
      <x:c r="CD35">
        <x:f>IF(AND(CD$3&gt;=$B$31,CD33&gt;0,CD34&gt;0),MIN(CD34,CD33*0.5),0)</x:f>
      </x:c>
      <x:c r="CE35">
        <x:f>IF(AND(CE$3&gt;=$B$31,CE33&gt;0,CE34&gt;0),MIN(CE34,CE33*0.5),0)</x:f>
      </x:c>
      <x:c r="CF35">
        <x:f>IF(AND(CF$3&gt;=$B$31,CF33&gt;0,CF34&gt;0),MIN(CF34,CF33*0.5),0)</x:f>
      </x:c>
      <x:c r="CG35">
        <x:f>IF(AND(CG$3&gt;=$B$31,CG33&gt;0,CG34&gt;0),MIN(CG34,CG33*0.5),0)</x:f>
      </x:c>
      <x:c r="CH35">
        <x:f>IF(AND(CH$3&gt;=$B$31,CH33&gt;0,CH34&gt;0),MIN(CH34,CH33*0.5),0)</x:f>
      </x:c>
      <x:c r="CI35">
        <x:f>IF(AND(CI$3&gt;=$B$31,CI33&gt;0,CI34&gt;0),MIN(CI34,CI33*0.5),0)</x:f>
      </x:c>
      <x:c r="CJ35">
        <x:f>IF(AND(CJ$3&gt;=$B$31,CJ33&gt;0,CJ34&gt;0),MIN(CJ34,CJ33*0.5),0)</x:f>
      </x:c>
      <x:c r="CK35">
        <x:f>IF(AND(CK$3&gt;=$B$31,CK33&gt;0,CK34&gt;0),MIN(CK34,CK33*0.5),0)</x:f>
      </x:c>
      <x:c r="CL35">
        <x:f>IF(AND(CL$3&gt;=$B$31,CL33&gt;0,CL34&gt;0),MIN(CL34,CL33*0.5),0)</x:f>
      </x:c>
      <x:c r="CM35">
        <x:f>IF(AND(CM$3&gt;=$B$31,CM33&gt;0,CM34&gt;0),MIN(CM34,CM33*0.5),0)</x:f>
      </x:c>
      <x:c r="CN35">
        <x:f>IF(AND(CN$3&gt;=$B$31,CN33&gt;0,CN34&gt;0),MIN(CN34,CN33*0.5),0)</x:f>
      </x:c>
      <x:c r="CO35">
        <x:f>IF(AND(CO$3&gt;=$B$31,CO33&gt;0,CO34&gt;0),MIN(CO34,CO33*0.5),0)</x:f>
      </x:c>
      <x:c r="CP35">
        <x:f>IF(AND(CP$3&gt;=$B$31,CP33&gt;0,CP34&gt;0),MIN(CP34,CP33*0.5),0)</x:f>
      </x:c>
      <x:c r="CQ35">
        <x:f>IF(AND(CQ$3&gt;=$B$31,CQ33&gt;0,CQ34&gt;0),MIN(CQ34,CQ33*0.5),0)</x:f>
      </x:c>
      <x:c r="CR35">
        <x:f>IF(AND(CR$3&gt;=$B$31,CR33&gt;0,CR34&gt;0),MIN(CR34,CR33*0.5),0)</x:f>
      </x:c>
      <x:c r="CS35">
        <x:f>IF(AND(CS$3&gt;=$B$31,CS33&gt;0,CS34&gt;0),MIN(CS34,CS33*0.5),0)</x:f>
      </x:c>
      <x:c r="CT35">
        <x:f>IF(AND(CT$3&gt;=$B$31,CT33&gt;0,CT34&gt;0),MIN(CT34,CT33*0.5),0)</x:f>
      </x:c>
      <x:c r="CU35">
        <x:f>IF(AND(CU$3&gt;=$B$31,CU33&gt;0,CU34&gt;0),MIN(CU34,CU33*0.5),0)</x:f>
      </x:c>
      <x:c r="CV35">
        <x:f>IF(AND(CV$3&gt;=$B$31,CV33&gt;0,CV34&gt;0),MIN(CV34,CV33*0.5),0)</x:f>
      </x:c>
      <x:c r="CW35">
        <x:f>IF(AND(CW$3&gt;=$B$31,CW33&gt;0,CW34&gt;0),MIN(CW34,CW33*0.5),0)</x:f>
      </x:c>
      <x:c r="CX35">
        <x:f>IF(AND(CX$3&gt;=$B$31,CX33&gt;0,CX34&gt;0),MIN(CX34,CX33*0.5),0)</x:f>
      </x:c>
      <x:c r="CY35">
        <x:f>IF(AND(CY$3&gt;=$B$31,CY33&gt;0,CY34&gt;0),MIN(CY34,CY33*0.5),0)</x:f>
      </x:c>
      <x:c r="CZ35">
        <x:f>IF(AND(CZ$3&gt;=$B$31,CZ33&gt;0,CZ34&gt;0),MIN(CZ34,CZ33*0.5),0)</x:f>
      </x:c>
      <x:c r="DA35">
        <x:f>IF(AND(DA$3&gt;=$B$31,DA33&gt;0,DA34&gt;0),MIN(DA34,DA33*0.5),0)</x:f>
      </x:c>
      <x:c r="DB35">
        <x:f>IF(AND(DB$3&gt;=$B$31,DB33&gt;0,DB34&gt;0),MIN(DB34,DB33*0.5),0)</x:f>
      </x:c>
      <x:c r="DC35">
        <x:f>IF(AND(DC$3&gt;=$B$31,DC33&gt;0,DC34&gt;0),MIN(DC34,DC33*0.5),0)</x:f>
      </x:c>
      <x:c r="DD35">
        <x:f>IF(AND(DD$3&gt;=$B$31,DD33&gt;0,DD34&gt;0),MIN(DD34,DD33*0.5),0)</x:f>
      </x:c>
      <x:c r="DE35">
        <x:f>IF(AND(DE$3&gt;=$B$31,DE33&gt;0,DE34&gt;0),MIN(DE34,DE33*0.5),0)</x:f>
      </x:c>
      <x:c r="DF35">
        <x:f>IF(AND(DF$3&gt;=$B$31,DF33&gt;0,DF34&gt;0),MIN(DF34,DF33*0.5),0)</x:f>
      </x:c>
      <x:c r="DG35">
        <x:f>IF(AND(DG$3&gt;=$B$31,DG33&gt;0,DG34&gt;0),MIN(DG34,DG33*0.5),0)</x:f>
      </x:c>
      <x:c r="DH35">
        <x:f>IF(AND(DH$3&gt;=$B$31,DH33&gt;0,DH34&gt;0),MIN(DH34,DH33*0.5),0)</x:f>
      </x:c>
      <x:c r="DI35">
        <x:f>IF(AND(DI$3&gt;=$B$31,DI33&gt;0,DI34&gt;0),MIN(DI34,DI33*0.5),0)</x:f>
      </x:c>
      <x:c r="DJ35">
        <x:f>IF(AND(DJ$3&gt;=$B$31,DJ33&gt;0,DJ34&gt;0),MIN(DJ34,DJ33*0.5),0)</x:f>
      </x:c>
      <x:c r="DK35">
        <x:f>IF(AND(DK$3&gt;=$B$31,DK33&gt;0,DK34&gt;0),MIN(DK34,DK33*0.5),0)</x:f>
      </x:c>
      <x:c r="DL35">
        <x:f>IF(AND(DL$3&gt;=$B$31,DL33&gt;0,DL34&gt;0),MIN(DL34,DL33*0.5),0)</x:f>
      </x:c>
      <x:c r="DM35">
        <x:f>IF(AND(DM$3&gt;=$B$31,DM33&gt;0,DM34&gt;0),MIN(DM34,DM33*0.5),0)</x:f>
      </x:c>
      <x:c r="DN35">
        <x:f>IF(AND(DN$3&gt;=$B$31,DN33&gt;0,DN34&gt;0),MIN(DN34,DN33*0.5),0)</x:f>
      </x:c>
      <x:c r="DO35">
        <x:f>IF(AND(DO$3&gt;=$B$31,DO33&gt;0,DO34&gt;0),MIN(DO34,DO33*0.5),0)</x:f>
      </x:c>
      <x:c r="DP35">
        <x:f>IF(AND(DP$3&gt;=$B$31,DP33&gt;0,DP34&gt;0),MIN(DP34,DP33*0.5),0)</x:f>
      </x:c>
      <x:c r="DQ35">
        <x:f>IF(AND(DQ$3&gt;=$B$31,DQ33&gt;0,DQ34&gt;0),MIN(DQ34,DQ33*0.5),0)</x:f>
      </x:c>
      <x:c r="DR35">
        <x:f>IF(AND(DR$3&gt;=$B$31,DR33&gt;0,DR34&gt;0),MIN(DR34,DR33*0.5),0)</x:f>
      </x:c>
      <x:c r="DS35">
        <x:f>IF(AND(DS$3&gt;=$B$31,DS33&gt;0,DS34&gt;0),MIN(DS34,DS33*0.5),0)</x:f>
      </x:c>
      <x:c r="DT35">
        <x:f>IF(AND(DT$3&gt;=$B$31,DT33&gt;0,DT34&gt;0),MIN(DT34,DT33*0.5),0)</x:f>
      </x:c>
      <x:c r="DU35">
        <x:f>IF(AND(DU$3&gt;=$B$31,DU33&gt;0,DU34&gt;0),MIN(DU34,DU33*0.5),0)</x:f>
      </x:c>
      <x:c r="DV35">
        <x:f>IF(AND(DV$3&gt;=$B$31,DV33&gt;0,DV34&gt;0),MIN(DV34,DV33*0.5),0)</x:f>
      </x:c>
      <x:c r="DW35">
        <x:f>IF(AND(DW$3&gt;=$B$31,DW33&gt;0,DW34&gt;0),MIN(DW34,DW33*0.5),0)</x:f>
      </x:c>
      <x:c r="DX35">
        <x:f>IF(AND(DX$3&gt;=$B$31,DX33&gt;0,DX34&gt;0),MIN(DX34,DX33*0.5),0)</x:f>
      </x:c>
      <x:c r="DY35">
        <x:f>IF(AND(DY$3&gt;=$B$31,DY33&gt;0,DY34&gt;0),MIN(DY34,DY33*0.5),0)</x:f>
      </x:c>
      <x:c r="DZ35">
        <x:f>IF(AND(DZ$3&gt;=$B$31,DZ33&gt;0,DZ34&gt;0),MIN(DZ34,DZ33*0.5),0)</x:f>
      </x:c>
      <x:c r="EA35">
        <x:f>IF(AND(EA$3&gt;=$B$31,EA33&gt;0,EA34&gt;0),MIN(EA34,EA33*0.5),0)</x:f>
      </x:c>
      <x:c r="EB35">
        <x:f>IF(AND(EB$3&gt;=$B$31,EB33&gt;0,EB34&gt;0),MIN(EB34,EB33*0.5),0)</x:f>
      </x:c>
      <x:c r="EC35">
        <x:f>IF(AND(EC$3&gt;=$B$31,EC33&gt;0,EC34&gt;0),MIN(EC34,EC33*0.5),0)</x:f>
      </x:c>
      <x:c r="ED35">
        <x:f>IF(AND(ED$3&gt;=$B$31,ED33&gt;0,ED34&gt;0),MIN(ED34,ED33*0.5),0)</x:f>
      </x:c>
      <x:c r="EE35">
        <x:f>IF(AND(EE$3&gt;=$B$31,EE33&gt;0,EE34&gt;0),MIN(EE34,EE33*0.5),0)</x:f>
      </x:c>
      <x:c r="EF35">
        <x:f>IF(AND(EF$3&gt;=$B$31,EF33&gt;0,EF34&gt;0),MIN(EF34,EF33*0.5),0)</x:f>
      </x:c>
      <x:c r="EG35">
        <x:f>IF(AND(EG$3&gt;=$B$31,EG33&gt;0,EG34&gt;0),MIN(EG34,EG33*0.5),0)</x:f>
      </x:c>
      <x:c r="EH35">
        <x:f>IF(AND(EH$3&gt;=$B$31,EH33&gt;0,EH34&gt;0),MIN(EH34,EH33*0.5),0)</x:f>
      </x:c>
      <x:c r="EI35">
        <x:f>IF(AND(EI$3&gt;=$B$31,EI33&gt;0,EI34&gt;0),MIN(EI34,EI33*0.5),0)</x:f>
      </x:c>
      <x:c r="EJ35">
        <x:f>IF(AND(EJ$3&gt;=$B$31,EJ33&gt;0,EJ34&gt;0),MIN(EJ34,EJ33*0.5),0)</x:f>
      </x:c>
      <x:c r="EK35">
        <x:f>IF(AND(EK$3&gt;=$B$31,EK33&gt;0,EK34&gt;0),MIN(EK34,EK33*0.5),0)</x:f>
      </x:c>
      <x:c r="EL35">
        <x:f>IF(AND(EL$3&gt;=$B$31,EL33&gt;0,EL34&gt;0),MIN(EL34,EL33*0.5),0)</x:f>
      </x:c>
      <x:c r="EM35">
        <x:f>IF(AND(EM$3&gt;=$B$31,EM33&gt;0,EM34&gt;0),MIN(EM34,EM33*0.5),0)</x:f>
      </x:c>
      <x:c r="EN35">
        <x:f>IF(AND(EN$3&gt;=$B$31,EN33&gt;0,EN34&gt;0),MIN(EN34,EN33*0.5),0)</x:f>
      </x:c>
      <x:c r="EO35">
        <x:f>IF(AND(EO$3&gt;=$B$31,EO33&gt;0,EO34&gt;0),MIN(EO34,EO33*0.5),0)</x:f>
      </x:c>
      <x:c r="EP35">
        <x:f>IF(AND(EP$3&gt;=$B$31,EP33&gt;0,EP34&gt;0),MIN(EP34,EP33*0.5),0)</x:f>
      </x:c>
      <x:c r="EQ35">
        <x:f>IF(AND(EQ$3&gt;=$B$31,EQ33&gt;0,EQ34&gt;0),MIN(EQ34,EQ33*0.5),0)</x:f>
      </x:c>
      <x:c r="ER35">
        <x:f>IF(AND(ER$3&gt;=$B$31,ER33&gt;0,ER34&gt;0),MIN(ER34,ER33*0.5),0)</x:f>
      </x:c>
      <x:c r="ES35">
        <x:f>IF(AND(ES$3&gt;=$B$31,ES33&gt;0,ES34&gt;0),MIN(ES34,ES33*0.5),0)</x:f>
      </x:c>
      <x:c r="ET35">
        <x:f>IF(AND(ET$3&gt;=$B$31,ET33&gt;0,ET34&gt;0),MIN(ET34,ET33*0.5),0)</x:f>
      </x:c>
      <x:c r="EU35">
        <x:f>IF(AND(EU$3&gt;=$B$31,EU33&gt;0,EU34&gt;0),MIN(EU34,EU33*0.5),0)</x:f>
      </x:c>
      <x:c r="EV35">
        <x:f>IF(AND(EV$3&gt;=$B$31,EV33&gt;0,EV34&gt;0),MIN(EV34,EV33*0.5),0)</x:f>
      </x:c>
      <x:c r="EW35">
        <x:f>IF(AND(EW$3&gt;=$B$31,EW33&gt;0,EW34&gt;0),MIN(EW34,EW33*0.5),0)</x:f>
      </x:c>
      <x:c r="EX35">
        <x:f>IF(AND(EX$3&gt;=$B$31,EX33&gt;0,EX34&gt;0),MIN(EX34,EX33*0.5),0)</x:f>
      </x:c>
      <x:c r="EY35">
        <x:f>IF(AND(EY$3&gt;=$B$31,EY33&gt;0,EY34&gt;0),MIN(EY34,EY33*0.5),0)</x:f>
      </x:c>
      <x:c r="EZ35">
        <x:f>IF(AND(EZ$3&gt;=$B$31,EZ33&gt;0,EZ34&gt;0),MIN(EZ34,EZ33*0.5),0)</x:f>
      </x:c>
      <x:c r="FA35">
        <x:f>IF(AND(FA$3&gt;=$B$31,FA33&gt;0,FA34&gt;0),MIN(FA34,FA33*0.5),0)</x:f>
      </x:c>
      <x:c r="FB35">
        <x:f>IF(AND(FB$3&gt;=$B$31,FB33&gt;0,FB34&gt;0),MIN(FB34,FB33*0.5),0)</x:f>
      </x:c>
      <x:c r="FC35">
        <x:f>IF(AND(FC$3&gt;=$B$31,FC33&gt;0,FC34&gt;0),MIN(FC34,FC33*0.5),0)</x:f>
      </x:c>
      <x:c r="FD35">
        <x:f>IF(AND(FD$3&gt;=$B$31,FD33&gt;0,FD34&gt;0),MIN(FD34,FD33*0.5),0)</x:f>
      </x:c>
      <x:c r="FE35">
        <x:f>IF(AND(FE$3&gt;=$B$31,FE33&gt;0,FE34&gt;0),MIN(FE34,FE33*0.5),0)</x:f>
      </x:c>
      <x:c r="FF35">
        <x:f>IF(AND(FF$3&gt;=$B$31,FF33&gt;0,FF34&gt;0),MIN(FF34,FF33*0.5),0)</x:f>
      </x:c>
      <x:c r="FG35">
        <x:f>IF(AND(FG$3&gt;=$B$31,FG33&gt;0,FG34&gt;0),MIN(FG34,FG33*0.5),0)</x:f>
      </x:c>
      <x:c r="FH35">
        <x:f>IF(AND(FH$3&gt;=$B$31,FH33&gt;0,FH34&gt;0),MIN(FH34,FH33*0.5),0)</x:f>
      </x:c>
      <x:c r="FI35">
        <x:f>IF(AND(FI$3&gt;=$B$31,FI33&gt;0,FI34&gt;0),MIN(FI34,FI33*0.5),0)</x:f>
      </x:c>
      <x:c r="FJ35">
        <x:f>IF(AND(FJ$3&gt;=$B$31,FJ33&gt;0,FJ34&gt;0),MIN(FJ34,FJ33*0.5),0)</x:f>
      </x:c>
      <x:c r="FK35">
        <x:f>IF(AND(FK$3&gt;=$B$31,FK33&gt;0,FK34&gt;0),MIN(FK34,FK33*0.5),0)</x:f>
      </x:c>
      <x:c r="FL35">
        <x:f>IF(AND(FL$3&gt;=$B$31,FL33&gt;0,FL34&gt;0),MIN(FL34,FL33*0.5),0)</x:f>
      </x:c>
      <x:c r="FM35">
        <x:f>IF(AND(FM$3&gt;=$B$31,FM33&gt;0,FM34&gt;0),MIN(FM34,FM33*0.5),0)</x:f>
      </x:c>
      <x:c r="FN35">
        <x:f>IF(AND(FN$3&gt;=$B$31,FN33&gt;0,FN34&gt;0),MIN(FN34,FN33*0.5),0)</x:f>
      </x:c>
      <x:c r="FO35">
        <x:f>IF(AND(FO$3&gt;=$B$31,FO33&gt;0,FO34&gt;0),MIN(FO34,FO33*0.5),0)</x:f>
      </x:c>
      <x:c r="FP35">
        <x:f>IF(AND(FP$3&gt;=$B$31,FP33&gt;0,FP34&gt;0),MIN(FP34,FP33*0.5),0)</x:f>
      </x:c>
      <x:c r="FQ35">
        <x:f>IF(AND(FQ$3&gt;=$B$31,FQ33&gt;0,FQ34&gt;0),MIN(FQ34,FQ33*0.5),0)</x:f>
      </x:c>
      <x:c r="FR35">
        <x:f>IF(AND(FR$3&gt;=$B$31,FR33&gt;0,FR34&gt;0),MIN(FR34,FR33*0.5),0)</x:f>
      </x:c>
      <x:c r="FS35">
        <x:f>IF(AND(FS$3&gt;=$B$31,FS33&gt;0,FS34&gt;0),MIN(FS34,FS33*0.5),0)</x:f>
      </x:c>
      <x:c r="FT35">
        <x:f>IF(AND(FT$3&gt;=$B$31,FT33&gt;0,FT34&gt;0),MIN(FT34,FT33*0.5),0)</x:f>
      </x:c>
      <x:c r="FU35">
        <x:f>IF(AND(FU$3&gt;=$B$31,FU33&gt;0,FU34&gt;0),MIN(FU34,FU33*0.5),0)</x:f>
      </x:c>
      <x:c r="FV35">
        <x:f>IF(AND(FV$3&gt;=$B$31,FV33&gt;0,FV34&gt;0),MIN(FV34,FV33*0.5),0)</x:f>
      </x:c>
      <x:c r="FW35">
        <x:f>IF(AND(FW$3&gt;=$B$31,FW33&gt;0,FW34&gt;0),MIN(FW34,FW33*0.5),0)</x:f>
      </x:c>
      <x:c r="FX35">
        <x:f>IF(AND(FX$3&gt;=$B$31,FX33&gt;0,FX34&gt;0),MIN(FX34,FX33*0.5),0)</x:f>
      </x:c>
      <x:c r="FY35">
        <x:f>IF(AND(FY$3&gt;=$B$31,FY33&gt;0,FY34&gt;0),MIN(FY34,FY33*0.5),0)</x:f>
      </x:c>
      <x:c r="FZ35">
        <x:f>IF(AND(FZ$3&gt;=$B$31,FZ33&gt;0,FZ34&gt;0),MIN(FZ34,FZ33*0.5),0)</x:f>
      </x:c>
      <x:c r="GA35">
        <x:f>IF(AND(GA$3&gt;=$B$31,GA33&gt;0,GA34&gt;0),MIN(GA34,GA33*0.5),0)</x:f>
      </x:c>
    </x:row>
    <x:row r="36">
      <x:c r="A36" t="inlineStr">
        <x:is>
          <x:t>Налог года нарастающим</x:t>
        </x:is>
      </x:c>
      <x:c r="D36">
        <x:f>D37</x:f>
      </x:c>
      <x:c r="E36">
        <x:f>IF(AND(E$3&gt;=$B$31,D$3&gt;=$B$31),IF(YEAR(E$3)=YEAR(D$3),D36+E37,E37),E37)</x:f>
      </x:c>
      <x:c r="F36">
        <x:f>IF(AND(F$3&gt;=$B$31,E$3&gt;=$B$31),IF(YEAR(F$3)=YEAR(E$3),E36+F37,F37),F37)</x:f>
      </x:c>
      <x:c r="G36">
        <x:f>IF(AND(G$3&gt;=$B$31,F$3&gt;=$B$31),IF(YEAR(G$3)=YEAR(F$3),F36+G37,G37),G37)</x:f>
      </x:c>
      <x:c r="H36">
        <x:f>IF(AND(H$3&gt;=$B$31,G$3&gt;=$B$31),IF(YEAR(H$3)=YEAR(G$3),G36+H37,H37),H37)</x:f>
      </x:c>
      <x:c r="I36">
        <x:f>IF(AND(I$3&gt;=$B$31,H$3&gt;=$B$31),IF(YEAR(I$3)=YEAR(H$3),H36+I37,I37),I37)</x:f>
      </x:c>
      <x:c r="J36">
        <x:f>IF(AND(J$3&gt;=$B$31,I$3&gt;=$B$31),IF(YEAR(J$3)=YEAR(I$3),I36+J37,J37),J37)</x:f>
      </x:c>
      <x:c r="K36">
        <x:f>IF(AND(K$3&gt;=$B$31,J$3&gt;=$B$31),IF(YEAR(K$3)=YEAR(J$3),J36+K37,K37),K37)</x:f>
      </x:c>
      <x:c r="L36">
        <x:f>IF(AND(L$3&gt;=$B$31,K$3&gt;=$B$31),IF(YEAR(L$3)=YEAR(K$3),K36+L37,L37),L37)</x:f>
      </x:c>
      <x:c r="M36">
        <x:f>IF(AND(M$3&gt;=$B$31,L$3&gt;=$B$31),IF(YEAR(M$3)=YEAR(L$3),L36+M37,M37),M37)</x:f>
      </x:c>
      <x:c r="N36">
        <x:f>IF(AND(N$3&gt;=$B$31,M$3&gt;=$B$31),IF(YEAR(N$3)=YEAR(M$3),M36+N37,N37),N37)</x:f>
      </x:c>
      <x:c r="O36">
        <x:f>IF(AND(O$3&gt;=$B$31,N$3&gt;=$B$31),IF(YEAR(O$3)=YEAR(N$3),N36+O37,O37),O37)</x:f>
      </x:c>
      <x:c r="P36">
        <x:f>IF(AND(P$3&gt;=$B$31,O$3&gt;=$B$31),IF(YEAR(P$3)=YEAR(O$3),O36+P37,P37),P37)</x:f>
      </x:c>
      <x:c r="Q36">
        <x:f>IF(AND(Q$3&gt;=$B$31,P$3&gt;=$B$31),IF(YEAR(Q$3)=YEAR(P$3),P36+Q37,Q37),Q37)</x:f>
      </x:c>
      <x:c r="R36">
        <x:f>IF(AND(R$3&gt;=$B$31,Q$3&gt;=$B$31),IF(YEAR(R$3)=YEAR(Q$3),Q36+R37,R37),R37)</x:f>
      </x:c>
      <x:c r="S36">
        <x:f>IF(AND(S$3&gt;=$B$31,R$3&gt;=$B$31),IF(YEAR(S$3)=YEAR(R$3),R36+S37,S37),S37)</x:f>
      </x:c>
      <x:c r="T36">
        <x:f>IF(AND(T$3&gt;=$B$31,S$3&gt;=$B$31),IF(YEAR(T$3)=YEAR(S$3),S36+T37,T37),T37)</x:f>
      </x:c>
      <x:c r="U36">
        <x:f>IF(AND(U$3&gt;=$B$31,T$3&gt;=$B$31),IF(YEAR(U$3)=YEAR(T$3),T36+U37,U37),U37)</x:f>
      </x:c>
      <x:c r="V36">
        <x:f>IF(AND(V$3&gt;=$B$31,U$3&gt;=$B$31),IF(YEAR(V$3)=YEAR(U$3),U36+V37,V37),V37)</x:f>
      </x:c>
      <x:c r="W36">
        <x:f>IF(AND(W$3&gt;=$B$31,V$3&gt;=$B$31),IF(YEAR(W$3)=YEAR(V$3),V36+W37,W37),W37)</x:f>
      </x:c>
      <x:c r="X36">
        <x:f>IF(AND(X$3&gt;=$B$31,W$3&gt;=$B$31),IF(YEAR(X$3)=YEAR(W$3),W36+X37,X37),X37)</x:f>
      </x:c>
      <x:c r="Y36">
        <x:f>IF(AND(Y$3&gt;=$B$31,X$3&gt;=$B$31),IF(YEAR(Y$3)=YEAR(X$3),X36+Y37,Y37),Y37)</x:f>
      </x:c>
      <x:c r="Z36">
        <x:f>IF(AND(Z$3&gt;=$B$31,Y$3&gt;=$B$31),IF(YEAR(Z$3)=YEAR(Y$3),Y36+Z37,Z37),Z37)</x:f>
      </x:c>
      <x:c r="AA36">
        <x:f>IF(AND(AA$3&gt;=$B$31,Z$3&gt;=$B$31),IF(YEAR(AA$3)=YEAR(Z$3),Z36+AA37,AA37),AA37)</x:f>
      </x:c>
      <x:c r="AB36">
        <x:f>IF(AND(AB$3&gt;=$B$31,AA$3&gt;=$B$31),IF(YEAR(AB$3)=YEAR(AA$3),AA36+AB37,AB37),AB37)</x:f>
      </x:c>
      <x:c r="AC36">
        <x:f>IF(AND(AC$3&gt;=$B$31,AB$3&gt;=$B$31),IF(YEAR(AC$3)=YEAR(AB$3),AB36+AC37,AC37),AC37)</x:f>
      </x:c>
      <x:c r="AD36">
        <x:f>IF(AND(AD$3&gt;=$B$31,AC$3&gt;=$B$31),IF(YEAR(AD$3)=YEAR(AC$3),AC36+AD37,AD37),AD37)</x:f>
      </x:c>
      <x:c r="AE36">
        <x:f>IF(AND(AE$3&gt;=$B$31,AD$3&gt;=$B$31),IF(YEAR(AE$3)=YEAR(AD$3),AD36+AE37,AE37),AE37)</x:f>
      </x:c>
      <x:c r="AF36">
        <x:f>IF(AND(AF$3&gt;=$B$31,AE$3&gt;=$B$31),IF(YEAR(AF$3)=YEAR(AE$3),AE36+AF37,AF37),AF37)</x:f>
      </x:c>
      <x:c r="AG36">
        <x:f>IF(AND(AG$3&gt;=$B$31,AF$3&gt;=$B$31),IF(YEAR(AG$3)=YEAR(AF$3),AF36+AG37,AG37),AG37)</x:f>
      </x:c>
      <x:c r="AH36">
        <x:f>IF(AND(AH$3&gt;=$B$31,AG$3&gt;=$B$31),IF(YEAR(AH$3)=YEAR(AG$3),AG36+AH37,AH37),AH37)</x:f>
      </x:c>
      <x:c r="AI36">
        <x:f>IF(AND(AI$3&gt;=$B$31,AH$3&gt;=$B$31),IF(YEAR(AI$3)=YEAR(AH$3),AH36+AI37,AI37),AI37)</x:f>
      </x:c>
      <x:c r="AJ36">
        <x:f>IF(AND(AJ$3&gt;=$B$31,AI$3&gt;=$B$31),IF(YEAR(AJ$3)=YEAR(AI$3),AI36+AJ37,AJ37),AJ37)</x:f>
      </x:c>
      <x:c r="AK36">
        <x:f>IF(AND(AK$3&gt;=$B$31,AJ$3&gt;=$B$31),IF(YEAR(AK$3)=YEAR(AJ$3),AJ36+AK37,AK37),AK37)</x:f>
      </x:c>
      <x:c r="AL36">
        <x:f>IF(AND(AL$3&gt;=$B$31,AK$3&gt;=$B$31),IF(YEAR(AL$3)=YEAR(AK$3),AK36+AL37,AL37),AL37)</x:f>
      </x:c>
      <x:c r="AM36">
        <x:f>IF(AND(AM$3&gt;=$B$31,AL$3&gt;=$B$31),IF(YEAR(AM$3)=YEAR(AL$3),AL36+AM37,AM37),AM37)</x:f>
      </x:c>
      <x:c r="AN36">
        <x:f>IF(AND(AN$3&gt;=$B$31,AM$3&gt;=$B$31),IF(YEAR(AN$3)=YEAR(AM$3),AM36+AN37,AN37),AN37)</x:f>
      </x:c>
      <x:c r="AO36">
        <x:f>IF(AND(AO$3&gt;=$B$31,AN$3&gt;=$B$31),IF(YEAR(AO$3)=YEAR(AN$3),AN36+AO37,AO37),AO37)</x:f>
      </x:c>
      <x:c r="AP36">
        <x:f>IF(AND(AP$3&gt;=$B$31,AO$3&gt;=$B$31),IF(YEAR(AP$3)=YEAR(AO$3),AO36+AP37,AP37),AP37)</x:f>
      </x:c>
      <x:c r="AQ36">
        <x:f>IF(AND(AQ$3&gt;=$B$31,AP$3&gt;=$B$31),IF(YEAR(AQ$3)=YEAR(AP$3),AP36+AQ37,AQ37),AQ37)</x:f>
      </x:c>
      <x:c r="AR36">
        <x:f>IF(AND(AR$3&gt;=$B$31,AQ$3&gt;=$B$31),IF(YEAR(AR$3)=YEAR(AQ$3),AQ36+AR37,AR37),AR37)</x:f>
      </x:c>
      <x:c r="AS36">
        <x:f>IF(AND(AS$3&gt;=$B$31,AR$3&gt;=$B$31),IF(YEAR(AS$3)=YEAR(AR$3),AR36+AS37,AS37),AS37)</x:f>
      </x:c>
      <x:c r="AT36">
        <x:f>IF(AND(AT$3&gt;=$B$31,AS$3&gt;=$B$31),IF(YEAR(AT$3)=YEAR(AS$3),AS36+AT37,AT37),AT37)</x:f>
      </x:c>
      <x:c r="AU36">
        <x:f>IF(AND(AU$3&gt;=$B$31,AT$3&gt;=$B$31),IF(YEAR(AU$3)=YEAR(AT$3),AT36+AU37,AU37),AU37)</x:f>
      </x:c>
      <x:c r="AV36">
        <x:f>IF(AND(AV$3&gt;=$B$31,AU$3&gt;=$B$31),IF(YEAR(AV$3)=YEAR(AU$3),AU36+AV37,AV37),AV37)</x:f>
      </x:c>
      <x:c r="AW36">
        <x:f>IF(AND(AW$3&gt;=$B$31,AV$3&gt;=$B$31),IF(YEAR(AW$3)=YEAR(AV$3),AV36+AW37,AW37),AW37)</x:f>
      </x:c>
      <x:c r="AX36">
        <x:f>IF(AND(AX$3&gt;=$B$31,AW$3&gt;=$B$31),IF(YEAR(AX$3)=YEAR(AW$3),AW36+AX37,AX37),AX37)</x:f>
      </x:c>
      <x:c r="AY36">
        <x:f>IF(AND(AY$3&gt;=$B$31,AX$3&gt;=$B$31),IF(YEAR(AY$3)=YEAR(AX$3),AX36+AY37,AY37),AY37)</x:f>
      </x:c>
      <x:c r="AZ36">
        <x:f>IF(AND(AZ$3&gt;=$B$31,AY$3&gt;=$B$31),IF(YEAR(AZ$3)=YEAR(AY$3),AY36+AZ37,AZ37),AZ37)</x:f>
      </x:c>
      <x:c r="BA36">
        <x:f>IF(AND(BA$3&gt;=$B$31,AZ$3&gt;=$B$31),IF(YEAR(BA$3)=YEAR(AZ$3),AZ36+BA37,BA37),BA37)</x:f>
      </x:c>
      <x:c r="BB36">
        <x:f>IF(AND(BB$3&gt;=$B$31,BA$3&gt;=$B$31),IF(YEAR(BB$3)=YEAR(BA$3),BA36+BB37,BB37),BB37)</x:f>
      </x:c>
      <x:c r="BC36">
        <x:f>IF(AND(BC$3&gt;=$B$31,BB$3&gt;=$B$31),IF(YEAR(BC$3)=YEAR(BB$3),BB36+BC37,BC37),BC37)</x:f>
      </x:c>
      <x:c r="BD36">
        <x:f>IF(AND(BD$3&gt;=$B$31,BC$3&gt;=$B$31),IF(YEAR(BD$3)=YEAR(BC$3),BC36+BD37,BD37),BD37)</x:f>
      </x:c>
      <x:c r="BE36">
        <x:f>IF(AND(BE$3&gt;=$B$31,BD$3&gt;=$B$31),IF(YEAR(BE$3)=YEAR(BD$3),BD36+BE37,BE37),BE37)</x:f>
      </x:c>
      <x:c r="BF36">
        <x:f>IF(AND(BF$3&gt;=$B$31,BE$3&gt;=$B$31),IF(YEAR(BF$3)=YEAR(BE$3),BE36+BF37,BF37),BF37)</x:f>
      </x:c>
      <x:c r="BG36">
        <x:f>IF(AND(BG$3&gt;=$B$31,BF$3&gt;=$B$31),IF(YEAR(BG$3)=YEAR(BF$3),BF36+BG37,BG37),BG37)</x:f>
      </x:c>
      <x:c r="BH36">
        <x:f>IF(AND(BH$3&gt;=$B$31,BG$3&gt;=$B$31),IF(YEAR(BH$3)=YEAR(BG$3),BG36+BH37,BH37),BH37)</x:f>
      </x:c>
      <x:c r="BI36">
        <x:f>IF(AND(BI$3&gt;=$B$31,BH$3&gt;=$B$31),IF(YEAR(BI$3)=YEAR(BH$3),BH36+BI37,BI37),BI37)</x:f>
      </x:c>
      <x:c r="BJ36">
        <x:f>IF(AND(BJ$3&gt;=$B$31,BI$3&gt;=$B$31),IF(YEAR(BJ$3)=YEAR(BI$3),BI36+BJ37,BJ37),BJ37)</x:f>
      </x:c>
      <x:c r="BK36">
        <x:f>IF(AND(BK$3&gt;=$B$31,BJ$3&gt;=$B$31),IF(YEAR(BK$3)=YEAR(BJ$3),BJ36+BK37,BK37),BK37)</x:f>
      </x:c>
      <x:c r="BL36">
        <x:f>IF(AND(BL$3&gt;=$B$31,BK$3&gt;=$B$31),IF(YEAR(BL$3)=YEAR(BK$3),BK36+BL37,BL37),BL37)</x:f>
      </x:c>
      <x:c r="BM36">
        <x:f>IF(AND(BM$3&gt;=$B$31,BL$3&gt;=$B$31),IF(YEAR(BM$3)=YEAR(BL$3),BL36+BM37,BM37),BM37)</x:f>
      </x:c>
      <x:c r="BN36">
        <x:f>IF(AND(BN$3&gt;=$B$31,BM$3&gt;=$B$31),IF(YEAR(BN$3)=YEAR(BM$3),BM36+BN37,BN37),BN37)</x:f>
      </x:c>
      <x:c r="BO36">
        <x:f>IF(AND(BO$3&gt;=$B$31,BN$3&gt;=$B$31),IF(YEAR(BO$3)=YEAR(BN$3),BN36+BO37,BO37),BO37)</x:f>
      </x:c>
      <x:c r="BP36">
        <x:f>IF(AND(BP$3&gt;=$B$31,BO$3&gt;=$B$31),IF(YEAR(BP$3)=YEAR(BO$3),BO36+BP37,BP37),BP37)</x:f>
      </x:c>
      <x:c r="BQ36">
        <x:f>IF(AND(BQ$3&gt;=$B$31,BP$3&gt;=$B$31),IF(YEAR(BQ$3)=YEAR(BP$3),BP36+BQ37,BQ37),BQ37)</x:f>
      </x:c>
      <x:c r="BR36">
        <x:f>IF(AND(BR$3&gt;=$B$31,BQ$3&gt;=$B$31),IF(YEAR(BR$3)=YEAR(BQ$3),BQ36+BR37,BR37),BR37)</x:f>
      </x:c>
      <x:c r="BS36">
        <x:f>IF(AND(BS$3&gt;=$B$31,BR$3&gt;=$B$31),IF(YEAR(BS$3)=YEAR(BR$3),BR36+BS37,BS37),BS37)</x:f>
      </x:c>
      <x:c r="BT36">
        <x:f>IF(AND(BT$3&gt;=$B$31,BS$3&gt;=$B$31),IF(YEAR(BT$3)=YEAR(BS$3),BS36+BT37,BT37),BT37)</x:f>
      </x:c>
      <x:c r="BU36">
        <x:f>IF(AND(BU$3&gt;=$B$31,BT$3&gt;=$B$31),IF(YEAR(BU$3)=YEAR(BT$3),BT36+BU37,BU37),BU37)</x:f>
      </x:c>
      <x:c r="BV36">
        <x:f>IF(AND(BV$3&gt;=$B$31,BU$3&gt;=$B$31),IF(YEAR(BV$3)=YEAR(BU$3),BU36+BV37,BV37),BV37)</x:f>
      </x:c>
      <x:c r="BW36">
        <x:f>IF(AND(BW$3&gt;=$B$31,BV$3&gt;=$B$31),IF(YEAR(BW$3)=YEAR(BV$3),BV36+BW37,BW37),BW37)</x:f>
      </x:c>
      <x:c r="BX36">
        <x:f>IF(AND(BX$3&gt;=$B$31,BW$3&gt;=$B$31),IF(YEAR(BX$3)=YEAR(BW$3),BW36+BX37,BX37),BX37)</x:f>
      </x:c>
      <x:c r="BY36">
        <x:f>IF(AND(BY$3&gt;=$B$31,BX$3&gt;=$B$31),IF(YEAR(BY$3)=YEAR(BX$3),BX36+BY37,BY37),BY37)</x:f>
      </x:c>
      <x:c r="BZ36">
        <x:f>IF(AND(BZ$3&gt;=$B$31,BY$3&gt;=$B$31),IF(YEAR(BZ$3)=YEAR(BY$3),BY36+BZ37,BZ37),BZ37)</x:f>
      </x:c>
      <x:c r="CA36">
        <x:f>IF(AND(CA$3&gt;=$B$31,BZ$3&gt;=$B$31),IF(YEAR(CA$3)=YEAR(BZ$3),BZ36+CA37,CA37),CA37)</x:f>
      </x:c>
      <x:c r="CB36">
        <x:f>IF(AND(CB$3&gt;=$B$31,CA$3&gt;=$B$31),IF(YEAR(CB$3)=YEAR(CA$3),CA36+CB37,CB37),CB37)</x:f>
      </x:c>
      <x:c r="CC36">
        <x:f>IF(AND(CC$3&gt;=$B$31,CB$3&gt;=$B$31),IF(YEAR(CC$3)=YEAR(CB$3),CB36+CC37,CC37),CC37)</x:f>
      </x:c>
      <x:c r="CD36">
        <x:f>IF(AND(CD$3&gt;=$B$31,CC$3&gt;=$B$31),IF(YEAR(CD$3)=YEAR(CC$3),CC36+CD37,CD37),CD37)</x:f>
      </x:c>
      <x:c r="CE36">
        <x:f>IF(AND(CE$3&gt;=$B$31,CD$3&gt;=$B$31),IF(YEAR(CE$3)=YEAR(CD$3),CD36+CE37,CE37),CE37)</x:f>
      </x:c>
      <x:c r="CF36">
        <x:f>IF(AND(CF$3&gt;=$B$31,CE$3&gt;=$B$31),IF(YEAR(CF$3)=YEAR(CE$3),CE36+CF37,CF37),CF37)</x:f>
      </x:c>
      <x:c r="CG36">
        <x:f>IF(AND(CG$3&gt;=$B$31,CF$3&gt;=$B$31),IF(YEAR(CG$3)=YEAR(CF$3),CF36+CG37,CG37),CG37)</x:f>
      </x:c>
      <x:c r="CH36">
        <x:f>IF(AND(CH$3&gt;=$B$31,CG$3&gt;=$B$31),IF(YEAR(CH$3)=YEAR(CG$3),CG36+CH37,CH37),CH37)</x:f>
      </x:c>
      <x:c r="CI36">
        <x:f>IF(AND(CI$3&gt;=$B$31,CH$3&gt;=$B$31),IF(YEAR(CI$3)=YEAR(CH$3),CH36+CI37,CI37),CI37)</x:f>
      </x:c>
      <x:c r="CJ36">
        <x:f>IF(AND(CJ$3&gt;=$B$31,CI$3&gt;=$B$31),IF(YEAR(CJ$3)=YEAR(CI$3),CI36+CJ37,CJ37),CJ37)</x:f>
      </x:c>
      <x:c r="CK36">
        <x:f>IF(AND(CK$3&gt;=$B$31,CJ$3&gt;=$B$31),IF(YEAR(CK$3)=YEAR(CJ$3),CJ36+CK37,CK37),CK37)</x:f>
      </x:c>
      <x:c r="CL36">
        <x:f>IF(AND(CL$3&gt;=$B$31,CK$3&gt;=$B$31),IF(YEAR(CL$3)=YEAR(CK$3),CK36+CL37,CL37),CL37)</x:f>
      </x:c>
      <x:c r="CM36">
        <x:f>IF(AND(CM$3&gt;=$B$31,CL$3&gt;=$B$31),IF(YEAR(CM$3)=YEAR(CL$3),CL36+CM37,CM37),CM37)</x:f>
      </x:c>
      <x:c r="CN36">
        <x:f>IF(AND(CN$3&gt;=$B$31,CM$3&gt;=$B$31),IF(YEAR(CN$3)=YEAR(CM$3),CM36+CN37,CN37),CN37)</x:f>
      </x:c>
      <x:c r="CO36">
        <x:f>IF(AND(CO$3&gt;=$B$31,CN$3&gt;=$B$31),IF(YEAR(CO$3)=YEAR(CN$3),CN36+CO37,CO37),CO37)</x:f>
      </x:c>
      <x:c r="CP36">
        <x:f>IF(AND(CP$3&gt;=$B$31,CO$3&gt;=$B$31),IF(YEAR(CP$3)=YEAR(CO$3),CO36+CP37,CP37),CP37)</x:f>
      </x:c>
      <x:c r="CQ36">
        <x:f>IF(AND(CQ$3&gt;=$B$31,CP$3&gt;=$B$31),IF(YEAR(CQ$3)=YEAR(CP$3),CP36+CQ37,CQ37),CQ37)</x:f>
      </x:c>
      <x:c r="CR36">
        <x:f>IF(AND(CR$3&gt;=$B$31,CQ$3&gt;=$B$31),IF(YEAR(CR$3)=YEAR(CQ$3),CQ36+CR37,CR37),CR37)</x:f>
      </x:c>
      <x:c r="CS36">
        <x:f>IF(AND(CS$3&gt;=$B$31,CR$3&gt;=$B$31),IF(YEAR(CS$3)=YEAR(CR$3),CR36+CS37,CS37),CS37)</x:f>
      </x:c>
      <x:c r="CT36">
        <x:f>IF(AND(CT$3&gt;=$B$31,CS$3&gt;=$B$31),IF(YEAR(CT$3)=YEAR(CS$3),CS36+CT37,CT37),CT37)</x:f>
      </x:c>
      <x:c r="CU36">
        <x:f>IF(AND(CU$3&gt;=$B$31,CT$3&gt;=$B$31),IF(YEAR(CU$3)=YEAR(CT$3),CT36+CU37,CU37),CU37)</x:f>
      </x:c>
      <x:c r="CV36">
        <x:f>IF(AND(CV$3&gt;=$B$31,CU$3&gt;=$B$31),IF(YEAR(CV$3)=YEAR(CU$3),CU36+CV37,CV37),CV37)</x:f>
      </x:c>
      <x:c r="CW36">
        <x:f>IF(AND(CW$3&gt;=$B$31,CV$3&gt;=$B$31),IF(YEAR(CW$3)=YEAR(CV$3),CV36+CW37,CW37),CW37)</x:f>
      </x:c>
      <x:c r="CX36">
        <x:f>IF(AND(CX$3&gt;=$B$31,CW$3&gt;=$B$31),IF(YEAR(CX$3)=YEAR(CW$3),CW36+CX37,CX37),CX37)</x:f>
      </x:c>
      <x:c r="CY36">
        <x:f>IF(AND(CY$3&gt;=$B$31,CX$3&gt;=$B$31),IF(YEAR(CY$3)=YEAR(CX$3),CX36+CY37,CY37),CY37)</x:f>
      </x:c>
      <x:c r="CZ36">
        <x:f>IF(AND(CZ$3&gt;=$B$31,CY$3&gt;=$B$31),IF(YEAR(CZ$3)=YEAR(CY$3),CY36+CZ37,CZ37),CZ37)</x:f>
      </x:c>
      <x:c r="DA36">
        <x:f>IF(AND(DA$3&gt;=$B$31,CZ$3&gt;=$B$31),IF(YEAR(DA$3)=YEAR(CZ$3),CZ36+DA37,DA37),DA37)</x:f>
      </x:c>
      <x:c r="DB36">
        <x:f>IF(AND(DB$3&gt;=$B$31,DA$3&gt;=$B$31),IF(YEAR(DB$3)=YEAR(DA$3),DA36+DB37,DB37),DB37)</x:f>
      </x:c>
      <x:c r="DC36">
        <x:f>IF(AND(DC$3&gt;=$B$31,DB$3&gt;=$B$31),IF(YEAR(DC$3)=YEAR(DB$3),DB36+DC37,DC37),DC37)</x:f>
      </x:c>
      <x:c r="DD36">
        <x:f>IF(AND(DD$3&gt;=$B$31,DC$3&gt;=$B$31),IF(YEAR(DD$3)=YEAR(DC$3),DC36+DD37,DD37),DD37)</x:f>
      </x:c>
      <x:c r="DE36">
        <x:f>IF(AND(DE$3&gt;=$B$31,DD$3&gt;=$B$31),IF(YEAR(DE$3)=YEAR(DD$3),DD36+DE37,DE37),DE37)</x:f>
      </x:c>
      <x:c r="DF36">
        <x:f>IF(AND(DF$3&gt;=$B$31,DE$3&gt;=$B$31),IF(YEAR(DF$3)=YEAR(DE$3),DE36+DF37,DF37),DF37)</x:f>
      </x:c>
      <x:c r="DG36">
        <x:f>IF(AND(DG$3&gt;=$B$31,DF$3&gt;=$B$31),IF(YEAR(DG$3)=YEAR(DF$3),DF36+DG37,DG37),DG37)</x:f>
      </x:c>
      <x:c r="DH36">
        <x:f>IF(AND(DH$3&gt;=$B$31,DG$3&gt;=$B$31),IF(YEAR(DH$3)=YEAR(DG$3),DG36+DH37,DH37),DH37)</x:f>
      </x:c>
      <x:c r="DI36">
        <x:f>IF(AND(DI$3&gt;=$B$31,DH$3&gt;=$B$31),IF(YEAR(DI$3)=YEAR(DH$3),DH36+DI37,DI37),DI37)</x:f>
      </x:c>
      <x:c r="DJ36">
        <x:f>IF(AND(DJ$3&gt;=$B$31,DI$3&gt;=$B$31),IF(YEAR(DJ$3)=YEAR(DI$3),DI36+DJ37,DJ37),DJ37)</x:f>
      </x:c>
      <x:c r="DK36">
        <x:f>IF(AND(DK$3&gt;=$B$31,DJ$3&gt;=$B$31),IF(YEAR(DK$3)=YEAR(DJ$3),DJ36+DK37,DK37),DK37)</x:f>
      </x:c>
      <x:c r="DL36">
        <x:f>IF(AND(DL$3&gt;=$B$31,DK$3&gt;=$B$31),IF(YEAR(DL$3)=YEAR(DK$3),DK36+DL37,DL37),DL37)</x:f>
      </x:c>
      <x:c r="DM36">
        <x:f>IF(AND(DM$3&gt;=$B$31,DL$3&gt;=$B$31),IF(YEAR(DM$3)=YEAR(DL$3),DL36+DM37,DM37),DM37)</x:f>
      </x:c>
      <x:c r="DN36">
        <x:f>IF(AND(DN$3&gt;=$B$31,DM$3&gt;=$B$31),IF(YEAR(DN$3)=YEAR(DM$3),DM36+DN37,DN37),DN37)</x:f>
      </x:c>
      <x:c r="DO36">
        <x:f>IF(AND(DO$3&gt;=$B$31,DN$3&gt;=$B$31),IF(YEAR(DO$3)=YEAR(DN$3),DN36+DO37,DO37),DO37)</x:f>
      </x:c>
      <x:c r="DP36">
        <x:f>IF(AND(DP$3&gt;=$B$31,DO$3&gt;=$B$31),IF(YEAR(DP$3)=YEAR(DO$3),DO36+DP37,DP37),DP37)</x:f>
      </x:c>
      <x:c r="DQ36">
        <x:f>IF(AND(DQ$3&gt;=$B$31,DP$3&gt;=$B$31),IF(YEAR(DQ$3)=YEAR(DP$3),DP36+DQ37,DQ37),DQ37)</x:f>
      </x:c>
      <x:c r="DR36">
        <x:f>IF(AND(DR$3&gt;=$B$31,DQ$3&gt;=$B$31),IF(YEAR(DR$3)=YEAR(DQ$3),DQ36+DR37,DR37),DR37)</x:f>
      </x:c>
      <x:c r="DS36">
        <x:f>IF(AND(DS$3&gt;=$B$31,DR$3&gt;=$B$31),IF(YEAR(DS$3)=YEAR(DR$3),DR36+DS37,DS37),DS37)</x:f>
      </x:c>
      <x:c r="DT36">
        <x:f>IF(AND(DT$3&gt;=$B$31,DS$3&gt;=$B$31),IF(YEAR(DT$3)=YEAR(DS$3),DS36+DT37,DT37),DT37)</x:f>
      </x:c>
      <x:c r="DU36">
        <x:f>IF(AND(DU$3&gt;=$B$31,DT$3&gt;=$B$31),IF(YEAR(DU$3)=YEAR(DT$3),DT36+DU37,DU37),DU37)</x:f>
      </x:c>
      <x:c r="DV36">
        <x:f>IF(AND(DV$3&gt;=$B$31,DU$3&gt;=$B$31),IF(YEAR(DV$3)=YEAR(DU$3),DU36+DV37,DV37),DV37)</x:f>
      </x:c>
      <x:c r="DW36">
        <x:f>IF(AND(DW$3&gt;=$B$31,DV$3&gt;=$B$31),IF(YEAR(DW$3)=YEAR(DV$3),DV36+DW37,DW37),DW37)</x:f>
      </x:c>
      <x:c r="DX36">
        <x:f>IF(AND(DX$3&gt;=$B$31,DW$3&gt;=$B$31),IF(YEAR(DX$3)=YEAR(DW$3),DW36+DX37,DX37),DX37)</x:f>
      </x:c>
      <x:c r="DY36">
        <x:f>IF(AND(DY$3&gt;=$B$31,DX$3&gt;=$B$31),IF(YEAR(DY$3)=YEAR(DX$3),DX36+DY37,DY37),DY37)</x:f>
      </x:c>
      <x:c r="DZ36">
        <x:f>IF(AND(DZ$3&gt;=$B$31,DY$3&gt;=$B$31),IF(YEAR(DZ$3)=YEAR(DY$3),DY36+DZ37,DZ37),DZ37)</x:f>
      </x:c>
      <x:c r="EA36">
        <x:f>IF(AND(EA$3&gt;=$B$31,DZ$3&gt;=$B$31),IF(YEAR(EA$3)=YEAR(DZ$3),DZ36+EA37,EA37),EA37)</x:f>
      </x:c>
      <x:c r="EB36">
        <x:f>IF(AND(EB$3&gt;=$B$31,EA$3&gt;=$B$31),IF(YEAR(EB$3)=YEAR(EA$3),EA36+EB37,EB37),EB37)</x:f>
      </x:c>
      <x:c r="EC36">
        <x:f>IF(AND(EC$3&gt;=$B$31,EB$3&gt;=$B$31),IF(YEAR(EC$3)=YEAR(EB$3),EB36+EC37,EC37),EC37)</x:f>
      </x:c>
      <x:c r="ED36">
        <x:f>IF(AND(ED$3&gt;=$B$31,EC$3&gt;=$B$31),IF(YEAR(ED$3)=YEAR(EC$3),EC36+ED37,ED37),ED37)</x:f>
      </x:c>
      <x:c r="EE36">
        <x:f>IF(AND(EE$3&gt;=$B$31,ED$3&gt;=$B$31),IF(YEAR(EE$3)=YEAR(ED$3),ED36+EE37,EE37),EE37)</x:f>
      </x:c>
      <x:c r="EF36">
        <x:f>IF(AND(EF$3&gt;=$B$31,EE$3&gt;=$B$31),IF(YEAR(EF$3)=YEAR(EE$3),EE36+EF37,EF37),EF37)</x:f>
      </x:c>
      <x:c r="EG36">
        <x:f>IF(AND(EG$3&gt;=$B$31,EF$3&gt;=$B$31),IF(YEAR(EG$3)=YEAR(EF$3),EF36+EG37,EG37),EG37)</x:f>
      </x:c>
      <x:c r="EH36">
        <x:f>IF(AND(EH$3&gt;=$B$31,EG$3&gt;=$B$31),IF(YEAR(EH$3)=YEAR(EG$3),EG36+EH37,EH37),EH37)</x:f>
      </x:c>
      <x:c r="EI36">
        <x:f>IF(AND(EI$3&gt;=$B$31,EH$3&gt;=$B$31),IF(YEAR(EI$3)=YEAR(EH$3),EH36+EI37,EI37),EI37)</x:f>
      </x:c>
      <x:c r="EJ36">
        <x:f>IF(AND(EJ$3&gt;=$B$31,EI$3&gt;=$B$31),IF(YEAR(EJ$3)=YEAR(EI$3),EI36+EJ37,EJ37),EJ37)</x:f>
      </x:c>
      <x:c r="EK36">
        <x:f>IF(AND(EK$3&gt;=$B$31,EJ$3&gt;=$B$31),IF(YEAR(EK$3)=YEAR(EJ$3),EJ36+EK37,EK37),EK37)</x:f>
      </x:c>
      <x:c r="EL36">
        <x:f>IF(AND(EL$3&gt;=$B$31,EK$3&gt;=$B$31),IF(YEAR(EL$3)=YEAR(EK$3),EK36+EL37,EL37),EL37)</x:f>
      </x:c>
      <x:c r="EM36">
        <x:f>IF(AND(EM$3&gt;=$B$31,EL$3&gt;=$B$31),IF(YEAR(EM$3)=YEAR(EL$3),EL36+EM37,EM37),EM37)</x:f>
      </x:c>
      <x:c r="EN36">
        <x:f>IF(AND(EN$3&gt;=$B$31,EM$3&gt;=$B$31),IF(YEAR(EN$3)=YEAR(EM$3),EM36+EN37,EN37),EN37)</x:f>
      </x:c>
      <x:c r="EO36">
        <x:f>IF(AND(EO$3&gt;=$B$31,EN$3&gt;=$B$31),IF(YEAR(EO$3)=YEAR(EN$3),EN36+EO37,EO37),EO37)</x:f>
      </x:c>
      <x:c r="EP36">
        <x:f>IF(AND(EP$3&gt;=$B$31,EO$3&gt;=$B$31),IF(YEAR(EP$3)=YEAR(EO$3),EO36+EP37,EP37),EP37)</x:f>
      </x:c>
      <x:c r="EQ36">
        <x:f>IF(AND(EQ$3&gt;=$B$31,EP$3&gt;=$B$31),IF(YEAR(EQ$3)=YEAR(EP$3),EP36+EQ37,EQ37),EQ37)</x:f>
      </x:c>
      <x:c r="ER36">
        <x:f>IF(AND(ER$3&gt;=$B$31,EQ$3&gt;=$B$31),IF(YEAR(ER$3)=YEAR(EQ$3),EQ36+ER37,ER37),ER37)</x:f>
      </x:c>
      <x:c r="ES36">
        <x:f>IF(AND(ES$3&gt;=$B$31,ER$3&gt;=$B$31),IF(YEAR(ES$3)=YEAR(ER$3),ER36+ES37,ES37),ES37)</x:f>
      </x:c>
      <x:c r="ET36">
        <x:f>IF(AND(ET$3&gt;=$B$31,ES$3&gt;=$B$31),IF(YEAR(ET$3)=YEAR(ES$3),ES36+ET37,ET37),ET37)</x:f>
      </x:c>
      <x:c r="EU36">
        <x:f>IF(AND(EU$3&gt;=$B$31,ET$3&gt;=$B$31),IF(YEAR(EU$3)=YEAR(ET$3),ET36+EU37,EU37),EU37)</x:f>
      </x:c>
      <x:c r="EV36">
        <x:f>IF(AND(EV$3&gt;=$B$31,EU$3&gt;=$B$31),IF(YEAR(EV$3)=YEAR(EU$3),EU36+EV37,EV37),EV37)</x:f>
      </x:c>
      <x:c r="EW36">
        <x:f>IF(AND(EW$3&gt;=$B$31,EV$3&gt;=$B$31),IF(YEAR(EW$3)=YEAR(EV$3),EV36+EW37,EW37),EW37)</x:f>
      </x:c>
      <x:c r="EX36">
        <x:f>IF(AND(EX$3&gt;=$B$31,EW$3&gt;=$B$31),IF(YEAR(EX$3)=YEAR(EW$3),EW36+EX37,EX37),EX37)</x:f>
      </x:c>
      <x:c r="EY36">
        <x:f>IF(AND(EY$3&gt;=$B$31,EX$3&gt;=$B$31),IF(YEAR(EY$3)=YEAR(EX$3),EX36+EY37,EY37),EY37)</x:f>
      </x:c>
      <x:c r="EZ36">
        <x:f>IF(AND(EZ$3&gt;=$B$31,EY$3&gt;=$B$31),IF(YEAR(EZ$3)=YEAR(EY$3),EY36+EZ37,EZ37),EZ37)</x:f>
      </x:c>
      <x:c r="FA36">
        <x:f>IF(AND(FA$3&gt;=$B$31,EZ$3&gt;=$B$31),IF(YEAR(FA$3)=YEAR(EZ$3),EZ36+FA37,FA37),FA37)</x:f>
      </x:c>
      <x:c r="FB36">
        <x:f>IF(AND(FB$3&gt;=$B$31,FA$3&gt;=$B$31),IF(YEAR(FB$3)=YEAR(FA$3),FA36+FB37,FB37),FB37)</x:f>
      </x:c>
      <x:c r="FC36">
        <x:f>IF(AND(FC$3&gt;=$B$31,FB$3&gt;=$B$31),IF(YEAR(FC$3)=YEAR(FB$3),FB36+FC37,FC37),FC37)</x:f>
      </x:c>
      <x:c r="FD36">
        <x:f>IF(AND(FD$3&gt;=$B$31,FC$3&gt;=$B$31),IF(YEAR(FD$3)=YEAR(FC$3),FC36+FD37,FD37),FD37)</x:f>
      </x:c>
      <x:c r="FE36">
        <x:f>IF(AND(FE$3&gt;=$B$31,FD$3&gt;=$B$31),IF(YEAR(FE$3)=YEAR(FD$3),FD36+FE37,FE37),FE37)</x:f>
      </x:c>
      <x:c r="FF36">
        <x:f>IF(AND(FF$3&gt;=$B$31,FE$3&gt;=$B$31),IF(YEAR(FF$3)=YEAR(FE$3),FE36+FF37,FF37),FF37)</x:f>
      </x:c>
      <x:c r="FG36">
        <x:f>IF(AND(FG$3&gt;=$B$31,FF$3&gt;=$B$31),IF(YEAR(FG$3)=YEAR(FF$3),FF36+FG37,FG37),FG37)</x:f>
      </x:c>
      <x:c r="FH36">
        <x:f>IF(AND(FH$3&gt;=$B$31,FG$3&gt;=$B$31),IF(YEAR(FH$3)=YEAR(FG$3),FG36+FH37,FH37),FH37)</x:f>
      </x:c>
      <x:c r="FI36">
        <x:f>IF(AND(FI$3&gt;=$B$31,FH$3&gt;=$B$31),IF(YEAR(FI$3)=YEAR(FH$3),FH36+FI37,FI37),FI37)</x:f>
      </x:c>
      <x:c r="FJ36">
        <x:f>IF(AND(FJ$3&gt;=$B$31,FI$3&gt;=$B$31),IF(YEAR(FJ$3)=YEAR(FI$3),FI36+FJ37,FJ37),FJ37)</x:f>
      </x:c>
      <x:c r="FK36">
        <x:f>IF(AND(FK$3&gt;=$B$31,FJ$3&gt;=$B$31),IF(YEAR(FK$3)=YEAR(FJ$3),FJ36+FK37,FK37),FK37)</x:f>
      </x:c>
      <x:c r="FL36">
        <x:f>IF(AND(FL$3&gt;=$B$31,FK$3&gt;=$B$31),IF(YEAR(FL$3)=YEAR(FK$3),FK36+FL37,FL37),FL37)</x:f>
      </x:c>
      <x:c r="FM36">
        <x:f>IF(AND(FM$3&gt;=$B$31,FL$3&gt;=$B$31),IF(YEAR(FM$3)=YEAR(FL$3),FL36+FM37,FM37),FM37)</x:f>
      </x:c>
      <x:c r="FN36">
        <x:f>IF(AND(FN$3&gt;=$B$31,FM$3&gt;=$B$31),IF(YEAR(FN$3)=YEAR(FM$3),FM36+FN37,FN37),FN37)</x:f>
      </x:c>
      <x:c r="FO36">
        <x:f>IF(AND(FO$3&gt;=$B$31,FN$3&gt;=$B$31),IF(YEAR(FO$3)=YEAR(FN$3),FN36+FO37,FO37),FO37)</x:f>
      </x:c>
      <x:c r="FP36">
        <x:f>IF(AND(FP$3&gt;=$B$31,FO$3&gt;=$B$31),IF(YEAR(FP$3)=YEAR(FO$3),FO36+FP37,FP37),FP37)</x:f>
      </x:c>
      <x:c r="FQ36">
        <x:f>IF(AND(FQ$3&gt;=$B$31,FP$3&gt;=$B$31),IF(YEAR(FQ$3)=YEAR(FP$3),FP36+FQ37,FQ37),FQ37)</x:f>
      </x:c>
      <x:c r="FR36">
        <x:f>IF(AND(FR$3&gt;=$B$31,FQ$3&gt;=$B$31),IF(YEAR(FR$3)=YEAR(FQ$3),FQ36+FR37,FR37),FR37)</x:f>
      </x:c>
      <x:c r="FS36">
        <x:f>IF(AND(FS$3&gt;=$B$31,FR$3&gt;=$B$31),IF(YEAR(FS$3)=YEAR(FR$3),FR36+FS37,FS37),FS37)</x:f>
      </x:c>
      <x:c r="FT36">
        <x:f>IF(AND(FT$3&gt;=$B$31,FS$3&gt;=$B$31),IF(YEAR(FT$3)=YEAR(FS$3),FS36+FT37,FT37),FT37)</x:f>
      </x:c>
      <x:c r="FU36">
        <x:f>IF(AND(FU$3&gt;=$B$31,FT$3&gt;=$B$31),IF(YEAR(FU$3)=YEAR(FT$3),FT36+FU37,FU37),FU37)</x:f>
      </x:c>
      <x:c r="FV36">
        <x:f>IF(AND(FV$3&gt;=$B$31,FU$3&gt;=$B$31),IF(YEAR(FV$3)=YEAR(FU$3),FU36+FV37,FV37),FV37)</x:f>
      </x:c>
      <x:c r="FW36">
        <x:f>IF(AND(FW$3&gt;=$B$31,FV$3&gt;=$B$31),IF(YEAR(FW$3)=YEAR(FV$3),FV36+FW37,FW37),FW37)</x:f>
      </x:c>
      <x:c r="FX36">
        <x:f>IF(AND(FX$3&gt;=$B$31,FW$3&gt;=$B$31),IF(YEAR(FX$3)=YEAR(FW$3),FW36+FX37,FX37),FX37)</x:f>
      </x:c>
      <x:c r="FY36">
        <x:f>IF(AND(FY$3&gt;=$B$31,FX$3&gt;=$B$31),IF(YEAR(FY$3)=YEAR(FX$3),FX36+FY37,FY37),FY37)</x:f>
      </x:c>
      <x:c r="FZ36">
        <x:f>IF(AND(FZ$3&gt;=$B$31,FY$3&gt;=$B$31),IF(YEAR(FZ$3)=YEAR(FY$3),FY36+FZ37,FZ37),FZ37)</x:f>
      </x:c>
      <x:c r="GA36">
        <x:f>IF(AND(GA$3&gt;=$B$31,FZ$3&gt;=$B$31),IF(YEAR(GA$3)=YEAR(FZ$3),FZ36+GA37,GA37),GA37)</x:f>
      </x:c>
    </x:row>
    <x:row r="37">
      <x:c r="A37" t="inlineStr">
        <x:is>
          <x:t>Налог на прибыль (свод)</x:t>
        </x:is>
      </x:c>
      <x:c r="B37">
        <x:f>SUM(D37:GA37)</x:f>
      </x:c>
      <x:c r="D37">
        <x:f>IF(D$3&gt;=$B$31,MAX(0,MAX(D33-D35,0)*'Вводные'!$B$21),0)</x:f>
      </x:c>
      <x:c r="E37">
        <x:f>IF(E$3&gt;=$B$31,MAX(0,MAX(E33-E35,0)*'Вводные'!$B$21-IF(AND(D$3&gt;=$B$31,YEAR(E$3)=YEAR(D$3)),D36,0)),0)</x:f>
      </x:c>
      <x:c r="F37">
        <x:f>IF(F$3&gt;=$B$31,MAX(0,MAX(F33-F35,0)*'Вводные'!$B$21-IF(AND(E$3&gt;=$B$31,YEAR(F$3)=YEAR(E$3)),E36,0)),0)</x:f>
      </x:c>
      <x:c r="G37">
        <x:f>IF(G$3&gt;=$B$31,MAX(0,MAX(G33-G35,0)*'Вводные'!$B$21-IF(AND(F$3&gt;=$B$31,YEAR(G$3)=YEAR(F$3)),F36,0)),0)</x:f>
      </x:c>
      <x:c r="H37">
        <x:f>IF(H$3&gt;=$B$31,MAX(0,MAX(H33-H35,0)*'Вводные'!$B$21-IF(AND(G$3&gt;=$B$31,YEAR(H$3)=YEAR(G$3)),G36,0)),0)</x:f>
      </x:c>
      <x:c r="I37">
        <x:f>IF(I$3&gt;=$B$31,MAX(0,MAX(I33-I35,0)*'Вводные'!$B$21-IF(AND(H$3&gt;=$B$31,YEAR(I$3)=YEAR(H$3)),H36,0)),0)</x:f>
      </x:c>
      <x:c r="J37">
        <x:f>IF(J$3&gt;=$B$31,MAX(0,MAX(J33-J35,0)*'Вводные'!$B$21-IF(AND(I$3&gt;=$B$31,YEAR(J$3)=YEAR(I$3)),I36,0)),0)</x:f>
      </x:c>
      <x:c r="K37">
        <x:f>IF(K$3&gt;=$B$31,MAX(0,MAX(K33-K35,0)*'Вводные'!$B$21-IF(AND(J$3&gt;=$B$31,YEAR(K$3)=YEAR(J$3)),J36,0)),0)</x:f>
      </x:c>
      <x:c r="L37">
        <x:f>IF(L$3&gt;=$B$31,MAX(0,MAX(L33-L35,0)*'Вводные'!$B$21-IF(AND(K$3&gt;=$B$31,YEAR(L$3)=YEAR(K$3)),K36,0)),0)</x:f>
      </x:c>
      <x:c r="M37">
        <x:f>IF(M$3&gt;=$B$31,MAX(0,MAX(M33-M35,0)*'Вводные'!$B$21-IF(AND(L$3&gt;=$B$31,YEAR(M$3)=YEAR(L$3)),L36,0)),0)</x:f>
      </x:c>
      <x:c r="N37">
        <x:f>IF(N$3&gt;=$B$31,MAX(0,MAX(N33-N35,0)*'Вводные'!$B$21-IF(AND(M$3&gt;=$B$31,YEAR(N$3)=YEAR(M$3)),M36,0)),0)</x:f>
      </x:c>
      <x:c r="O37">
        <x:f>IF(O$3&gt;=$B$31,MAX(0,MAX(O33-O35,0)*'Вводные'!$B$21-IF(AND(N$3&gt;=$B$31,YEAR(O$3)=YEAR(N$3)),N36,0)),0)</x:f>
      </x:c>
      <x:c r="P37">
        <x:f>IF(P$3&gt;=$B$31,MAX(0,MAX(P33-P35,0)*'Вводные'!$B$21-IF(AND(O$3&gt;=$B$31,YEAR(P$3)=YEAR(O$3)),O36,0)),0)</x:f>
      </x:c>
      <x:c r="Q37">
        <x:f>IF(Q$3&gt;=$B$31,MAX(0,MAX(Q33-Q35,0)*'Вводные'!$B$21-IF(AND(P$3&gt;=$B$31,YEAR(Q$3)=YEAR(P$3)),P36,0)),0)</x:f>
      </x:c>
      <x:c r="R37">
        <x:f>IF(R$3&gt;=$B$31,MAX(0,MAX(R33-R35,0)*'Вводные'!$B$21-IF(AND(Q$3&gt;=$B$31,YEAR(R$3)=YEAR(Q$3)),Q36,0)),0)</x:f>
      </x:c>
      <x:c r="S37">
        <x:f>IF(S$3&gt;=$B$31,MAX(0,MAX(S33-S35,0)*'Вводные'!$B$21-IF(AND(R$3&gt;=$B$31,YEAR(S$3)=YEAR(R$3)),R36,0)),0)</x:f>
      </x:c>
      <x:c r="T37">
        <x:f>IF(T$3&gt;=$B$31,MAX(0,MAX(T33-T35,0)*'Вводные'!$B$21-IF(AND(S$3&gt;=$B$31,YEAR(T$3)=YEAR(S$3)),S36,0)),0)</x:f>
      </x:c>
      <x:c r="U37">
        <x:f>IF(U$3&gt;=$B$31,MAX(0,MAX(U33-U35,0)*'Вводные'!$B$21-IF(AND(T$3&gt;=$B$31,YEAR(U$3)=YEAR(T$3)),T36,0)),0)</x:f>
      </x:c>
      <x:c r="V37">
        <x:f>IF(V$3&gt;=$B$31,MAX(0,MAX(V33-V35,0)*'Вводные'!$B$21-IF(AND(U$3&gt;=$B$31,YEAR(V$3)=YEAR(U$3)),U36,0)),0)</x:f>
      </x:c>
      <x:c r="W37">
        <x:f>IF(W$3&gt;=$B$31,MAX(0,MAX(W33-W35,0)*'Вводные'!$B$21-IF(AND(V$3&gt;=$B$31,YEAR(W$3)=YEAR(V$3)),V36,0)),0)</x:f>
      </x:c>
      <x:c r="X37">
        <x:f>IF(X$3&gt;=$B$31,MAX(0,MAX(X33-X35,0)*'Вводные'!$B$21-IF(AND(W$3&gt;=$B$31,YEAR(X$3)=YEAR(W$3)),W36,0)),0)</x:f>
      </x:c>
      <x:c r="Y37">
        <x:f>IF(Y$3&gt;=$B$31,MAX(0,MAX(Y33-Y35,0)*'Вводные'!$B$21-IF(AND(X$3&gt;=$B$31,YEAR(Y$3)=YEAR(X$3)),X36,0)),0)</x:f>
      </x:c>
      <x:c r="Z37">
        <x:f>IF(Z$3&gt;=$B$31,MAX(0,MAX(Z33-Z35,0)*'Вводные'!$B$21-IF(AND(Y$3&gt;=$B$31,YEAR(Z$3)=YEAR(Y$3)),Y36,0)),0)</x:f>
      </x:c>
      <x:c r="AA37">
        <x:f>IF(AA$3&gt;=$B$31,MAX(0,MAX(AA33-AA35,0)*'Вводные'!$B$21-IF(AND(Z$3&gt;=$B$31,YEAR(AA$3)=YEAR(Z$3)),Z36,0)),0)</x:f>
      </x:c>
      <x:c r="AB37">
        <x:f>IF(AB$3&gt;=$B$31,MAX(0,MAX(AB33-AB35,0)*'Вводные'!$B$21-IF(AND(AA$3&gt;=$B$31,YEAR(AB$3)=YEAR(AA$3)),AA36,0)),0)</x:f>
      </x:c>
      <x:c r="AC37">
        <x:f>IF(AC$3&gt;=$B$31,MAX(0,MAX(AC33-AC35,0)*'Вводные'!$B$21-IF(AND(AB$3&gt;=$B$31,YEAR(AC$3)=YEAR(AB$3)),AB36,0)),0)</x:f>
      </x:c>
      <x:c r="AD37">
        <x:f>IF(AD$3&gt;=$B$31,MAX(0,MAX(AD33-AD35,0)*'Вводные'!$B$21-IF(AND(AC$3&gt;=$B$31,YEAR(AD$3)=YEAR(AC$3)),AC36,0)),0)</x:f>
      </x:c>
      <x:c r="AE37">
        <x:f>IF(AE$3&gt;=$B$31,MAX(0,MAX(AE33-AE35,0)*'Вводные'!$B$21-IF(AND(AD$3&gt;=$B$31,YEAR(AE$3)=YEAR(AD$3)),AD36,0)),0)</x:f>
      </x:c>
      <x:c r="AF37">
        <x:f>IF(AF$3&gt;=$B$31,MAX(0,MAX(AF33-AF35,0)*'Вводные'!$B$21-IF(AND(AE$3&gt;=$B$31,YEAR(AF$3)=YEAR(AE$3)),AE36,0)),0)</x:f>
      </x:c>
      <x:c r="AG37">
        <x:f>IF(AG$3&gt;=$B$31,MAX(0,MAX(AG33-AG35,0)*'Вводные'!$B$21-IF(AND(AF$3&gt;=$B$31,YEAR(AG$3)=YEAR(AF$3)),AF36,0)),0)</x:f>
      </x:c>
      <x:c r="AH37">
        <x:f>IF(AH$3&gt;=$B$31,MAX(0,MAX(AH33-AH35,0)*'Вводные'!$B$21-IF(AND(AG$3&gt;=$B$31,YEAR(AH$3)=YEAR(AG$3)),AG36,0)),0)</x:f>
      </x:c>
      <x:c r="AI37">
        <x:f>IF(AI$3&gt;=$B$31,MAX(0,MAX(AI33-AI35,0)*'Вводные'!$B$21-IF(AND(AH$3&gt;=$B$31,YEAR(AI$3)=YEAR(AH$3)),AH36,0)),0)</x:f>
      </x:c>
      <x:c r="AJ37">
        <x:f>IF(AJ$3&gt;=$B$31,MAX(0,MAX(AJ33-AJ35,0)*'Вводные'!$B$21-IF(AND(AI$3&gt;=$B$31,YEAR(AJ$3)=YEAR(AI$3)),AI36,0)),0)</x:f>
      </x:c>
      <x:c r="AK37">
        <x:f>IF(AK$3&gt;=$B$31,MAX(0,MAX(AK33-AK35,0)*'Вводные'!$B$21-IF(AND(AJ$3&gt;=$B$31,YEAR(AK$3)=YEAR(AJ$3)),AJ36,0)),0)</x:f>
      </x:c>
      <x:c r="AL37">
        <x:f>IF(AL$3&gt;=$B$31,MAX(0,MAX(AL33-AL35,0)*'Вводные'!$B$21-IF(AND(AK$3&gt;=$B$31,YEAR(AL$3)=YEAR(AK$3)),AK36,0)),0)</x:f>
      </x:c>
      <x:c r="AM37">
        <x:f>IF(AM$3&gt;=$B$31,MAX(0,MAX(AM33-AM35,0)*'Вводные'!$B$21-IF(AND(AL$3&gt;=$B$31,YEAR(AM$3)=YEAR(AL$3)),AL36,0)),0)</x:f>
      </x:c>
      <x:c r="AN37">
        <x:f>IF(AN$3&gt;=$B$31,MAX(0,MAX(AN33-AN35,0)*'Вводные'!$B$21-IF(AND(AM$3&gt;=$B$31,YEAR(AN$3)=YEAR(AM$3)),AM36,0)),0)</x:f>
      </x:c>
      <x:c r="AO37">
        <x:f>IF(AO$3&gt;=$B$31,MAX(0,MAX(AO33-AO35,0)*'Вводные'!$B$21-IF(AND(AN$3&gt;=$B$31,YEAR(AO$3)=YEAR(AN$3)),AN36,0)),0)</x:f>
      </x:c>
      <x:c r="AP37">
        <x:f>IF(AP$3&gt;=$B$31,MAX(0,MAX(AP33-AP35,0)*'Вводные'!$B$21-IF(AND(AO$3&gt;=$B$31,YEAR(AP$3)=YEAR(AO$3)),AO36,0)),0)</x:f>
      </x:c>
      <x:c r="AQ37">
        <x:f>IF(AQ$3&gt;=$B$31,MAX(0,MAX(AQ33-AQ35,0)*'Вводные'!$B$21-IF(AND(AP$3&gt;=$B$31,YEAR(AQ$3)=YEAR(AP$3)),AP36,0)),0)</x:f>
      </x:c>
      <x:c r="AR37">
        <x:f>IF(AR$3&gt;=$B$31,MAX(0,MAX(AR33-AR35,0)*'Вводные'!$B$21-IF(AND(AQ$3&gt;=$B$31,YEAR(AR$3)=YEAR(AQ$3)),AQ36,0)),0)</x:f>
      </x:c>
      <x:c r="AS37">
        <x:f>IF(AS$3&gt;=$B$31,MAX(0,MAX(AS33-AS35,0)*'Вводные'!$B$21-IF(AND(AR$3&gt;=$B$31,YEAR(AS$3)=YEAR(AR$3)),AR36,0)),0)</x:f>
      </x:c>
      <x:c r="AT37">
        <x:f>IF(AT$3&gt;=$B$31,MAX(0,MAX(AT33-AT35,0)*'Вводные'!$B$21-IF(AND(AS$3&gt;=$B$31,YEAR(AT$3)=YEAR(AS$3)),AS36,0)),0)</x:f>
      </x:c>
      <x:c r="AU37">
        <x:f>IF(AU$3&gt;=$B$31,MAX(0,MAX(AU33-AU35,0)*'Вводные'!$B$21-IF(AND(AT$3&gt;=$B$31,YEAR(AU$3)=YEAR(AT$3)),AT36,0)),0)</x:f>
      </x:c>
      <x:c r="AV37">
        <x:f>IF(AV$3&gt;=$B$31,MAX(0,MAX(AV33-AV35,0)*'Вводные'!$B$21-IF(AND(AU$3&gt;=$B$31,YEAR(AV$3)=YEAR(AU$3)),AU36,0)),0)</x:f>
      </x:c>
      <x:c r="AW37">
        <x:f>IF(AW$3&gt;=$B$31,MAX(0,MAX(AW33-AW35,0)*'Вводные'!$B$21-IF(AND(AV$3&gt;=$B$31,YEAR(AW$3)=YEAR(AV$3)),AV36,0)),0)</x:f>
      </x:c>
      <x:c r="AX37">
        <x:f>IF(AX$3&gt;=$B$31,MAX(0,MAX(AX33-AX35,0)*'Вводные'!$B$21-IF(AND(AW$3&gt;=$B$31,YEAR(AX$3)=YEAR(AW$3)),AW36,0)),0)</x:f>
      </x:c>
      <x:c r="AY37">
        <x:f>IF(AY$3&gt;=$B$31,MAX(0,MAX(AY33-AY35,0)*'Вводные'!$B$21-IF(AND(AX$3&gt;=$B$31,YEAR(AY$3)=YEAR(AX$3)),AX36,0)),0)</x:f>
      </x:c>
      <x:c r="AZ37">
        <x:f>IF(AZ$3&gt;=$B$31,MAX(0,MAX(AZ33-AZ35,0)*'Вводные'!$B$21-IF(AND(AY$3&gt;=$B$31,YEAR(AZ$3)=YEAR(AY$3)),AY36,0)),0)</x:f>
      </x:c>
      <x:c r="BA37">
        <x:f>IF(BA$3&gt;=$B$31,MAX(0,MAX(BA33-BA35,0)*'Вводные'!$B$21-IF(AND(AZ$3&gt;=$B$31,YEAR(BA$3)=YEAR(AZ$3)),AZ36,0)),0)</x:f>
      </x:c>
      <x:c r="BB37">
        <x:f>IF(BB$3&gt;=$B$31,MAX(0,MAX(BB33-BB35,0)*'Вводные'!$B$21-IF(AND(BA$3&gt;=$B$31,YEAR(BB$3)=YEAR(BA$3)),BA36,0)),0)</x:f>
      </x:c>
      <x:c r="BC37">
        <x:f>IF(BC$3&gt;=$B$31,MAX(0,MAX(BC33-BC35,0)*'Вводные'!$B$21-IF(AND(BB$3&gt;=$B$31,YEAR(BC$3)=YEAR(BB$3)),BB36,0)),0)</x:f>
      </x:c>
      <x:c r="BD37">
        <x:f>IF(BD$3&gt;=$B$31,MAX(0,MAX(BD33-BD35,0)*'Вводные'!$B$21-IF(AND(BC$3&gt;=$B$31,YEAR(BD$3)=YEAR(BC$3)),BC36,0)),0)</x:f>
      </x:c>
      <x:c r="BE37">
        <x:f>IF(BE$3&gt;=$B$31,MAX(0,MAX(BE33-BE35,0)*'Вводные'!$B$21-IF(AND(BD$3&gt;=$B$31,YEAR(BE$3)=YEAR(BD$3)),BD36,0)),0)</x:f>
      </x:c>
      <x:c r="BF37">
        <x:f>IF(BF$3&gt;=$B$31,MAX(0,MAX(BF33-BF35,0)*'Вводные'!$B$21-IF(AND(BE$3&gt;=$B$31,YEAR(BF$3)=YEAR(BE$3)),BE36,0)),0)</x:f>
      </x:c>
      <x:c r="BG37">
        <x:f>IF(BG$3&gt;=$B$31,MAX(0,MAX(BG33-BG35,0)*'Вводные'!$B$21-IF(AND(BF$3&gt;=$B$31,YEAR(BG$3)=YEAR(BF$3)),BF36,0)),0)</x:f>
      </x:c>
      <x:c r="BH37">
        <x:f>IF(BH$3&gt;=$B$31,MAX(0,MAX(BH33-BH35,0)*'Вводные'!$B$21-IF(AND(BG$3&gt;=$B$31,YEAR(BH$3)=YEAR(BG$3)),BG36,0)),0)</x:f>
      </x:c>
      <x:c r="BI37">
        <x:f>IF(BI$3&gt;=$B$31,MAX(0,MAX(BI33-BI35,0)*'Вводные'!$B$21-IF(AND(BH$3&gt;=$B$31,YEAR(BI$3)=YEAR(BH$3)),BH36,0)),0)</x:f>
      </x:c>
      <x:c r="BJ37">
        <x:f>IF(BJ$3&gt;=$B$31,MAX(0,MAX(BJ33-BJ35,0)*'Вводные'!$B$21-IF(AND(BI$3&gt;=$B$31,YEAR(BJ$3)=YEAR(BI$3)),BI36,0)),0)</x:f>
      </x:c>
      <x:c r="BK37">
        <x:f>IF(BK$3&gt;=$B$31,MAX(0,MAX(BK33-BK35,0)*'Вводные'!$B$21-IF(AND(BJ$3&gt;=$B$31,YEAR(BK$3)=YEAR(BJ$3)),BJ36,0)),0)</x:f>
      </x:c>
      <x:c r="BL37">
        <x:f>IF(BL$3&gt;=$B$31,MAX(0,MAX(BL33-BL35,0)*'Вводные'!$B$21-IF(AND(BK$3&gt;=$B$31,YEAR(BL$3)=YEAR(BK$3)),BK36,0)),0)</x:f>
      </x:c>
      <x:c r="BM37">
        <x:f>IF(BM$3&gt;=$B$31,MAX(0,MAX(BM33-BM35,0)*'Вводные'!$B$21-IF(AND(BL$3&gt;=$B$31,YEAR(BM$3)=YEAR(BL$3)),BL36,0)),0)</x:f>
      </x:c>
      <x:c r="BN37">
        <x:f>IF(BN$3&gt;=$B$31,MAX(0,MAX(BN33-BN35,0)*'Вводные'!$B$21-IF(AND(BM$3&gt;=$B$31,YEAR(BN$3)=YEAR(BM$3)),BM36,0)),0)</x:f>
      </x:c>
      <x:c r="BO37">
        <x:f>IF(BO$3&gt;=$B$31,MAX(0,MAX(BO33-BO35,0)*'Вводные'!$B$21-IF(AND(BN$3&gt;=$B$31,YEAR(BO$3)=YEAR(BN$3)),BN36,0)),0)</x:f>
      </x:c>
      <x:c r="BP37">
        <x:f>IF(BP$3&gt;=$B$31,MAX(0,MAX(BP33-BP35,0)*'Вводные'!$B$21-IF(AND(BO$3&gt;=$B$31,YEAR(BP$3)=YEAR(BO$3)),BO36,0)),0)</x:f>
      </x:c>
      <x:c r="BQ37">
        <x:f>IF(BQ$3&gt;=$B$31,MAX(0,MAX(BQ33-BQ35,0)*'Вводные'!$B$21-IF(AND(BP$3&gt;=$B$31,YEAR(BQ$3)=YEAR(BP$3)),BP36,0)),0)</x:f>
      </x:c>
      <x:c r="BR37">
        <x:f>IF(BR$3&gt;=$B$31,MAX(0,MAX(BR33-BR35,0)*'Вводные'!$B$21-IF(AND(BQ$3&gt;=$B$31,YEAR(BR$3)=YEAR(BQ$3)),BQ36,0)),0)</x:f>
      </x:c>
      <x:c r="BS37">
        <x:f>IF(BS$3&gt;=$B$31,MAX(0,MAX(BS33-BS35,0)*'Вводные'!$B$21-IF(AND(BR$3&gt;=$B$31,YEAR(BS$3)=YEAR(BR$3)),BR36,0)),0)</x:f>
      </x:c>
      <x:c r="BT37">
        <x:f>IF(BT$3&gt;=$B$31,MAX(0,MAX(BT33-BT35,0)*'Вводные'!$B$21-IF(AND(BS$3&gt;=$B$31,YEAR(BT$3)=YEAR(BS$3)),BS36,0)),0)</x:f>
      </x:c>
      <x:c r="BU37">
        <x:f>IF(BU$3&gt;=$B$31,MAX(0,MAX(BU33-BU35,0)*'Вводные'!$B$21-IF(AND(BT$3&gt;=$B$31,YEAR(BU$3)=YEAR(BT$3)),BT36,0)),0)</x:f>
      </x:c>
      <x:c r="BV37">
        <x:f>IF(BV$3&gt;=$B$31,MAX(0,MAX(BV33-BV35,0)*'Вводные'!$B$21-IF(AND(BU$3&gt;=$B$31,YEAR(BV$3)=YEAR(BU$3)),BU36,0)),0)</x:f>
      </x:c>
      <x:c r="BW37">
        <x:f>IF(BW$3&gt;=$B$31,MAX(0,MAX(BW33-BW35,0)*'Вводные'!$B$21-IF(AND(BV$3&gt;=$B$31,YEAR(BW$3)=YEAR(BV$3)),BV36,0)),0)</x:f>
      </x:c>
      <x:c r="BX37">
        <x:f>IF(BX$3&gt;=$B$31,MAX(0,MAX(BX33-BX35,0)*'Вводные'!$B$21-IF(AND(BW$3&gt;=$B$31,YEAR(BX$3)=YEAR(BW$3)),BW36,0)),0)</x:f>
      </x:c>
      <x:c r="BY37">
        <x:f>IF(BY$3&gt;=$B$31,MAX(0,MAX(BY33-BY35,0)*'Вводные'!$B$21-IF(AND(BX$3&gt;=$B$31,YEAR(BY$3)=YEAR(BX$3)),BX36,0)),0)</x:f>
      </x:c>
      <x:c r="BZ37">
        <x:f>IF(BZ$3&gt;=$B$31,MAX(0,MAX(BZ33-BZ35,0)*'Вводные'!$B$21-IF(AND(BY$3&gt;=$B$31,YEAR(BZ$3)=YEAR(BY$3)),BY36,0)),0)</x:f>
      </x:c>
      <x:c r="CA37">
        <x:f>IF(CA$3&gt;=$B$31,MAX(0,MAX(CA33-CA35,0)*'Вводные'!$B$21-IF(AND(BZ$3&gt;=$B$31,YEAR(CA$3)=YEAR(BZ$3)),BZ36,0)),0)</x:f>
      </x:c>
      <x:c r="CB37">
        <x:f>IF(CB$3&gt;=$B$31,MAX(0,MAX(CB33-CB35,0)*'Вводные'!$B$21-IF(AND(CA$3&gt;=$B$31,YEAR(CB$3)=YEAR(CA$3)),CA36,0)),0)</x:f>
      </x:c>
      <x:c r="CC37">
        <x:f>IF(CC$3&gt;=$B$31,MAX(0,MAX(CC33-CC35,0)*'Вводные'!$B$21-IF(AND(CB$3&gt;=$B$31,YEAR(CC$3)=YEAR(CB$3)),CB36,0)),0)</x:f>
      </x:c>
      <x:c r="CD37">
        <x:f>IF(CD$3&gt;=$B$31,MAX(0,MAX(CD33-CD35,0)*'Вводные'!$B$21-IF(AND(CC$3&gt;=$B$31,YEAR(CD$3)=YEAR(CC$3)),CC36,0)),0)</x:f>
      </x:c>
      <x:c r="CE37">
        <x:f>IF(CE$3&gt;=$B$31,MAX(0,MAX(CE33-CE35,0)*'Вводные'!$B$21-IF(AND(CD$3&gt;=$B$31,YEAR(CE$3)=YEAR(CD$3)),CD36,0)),0)</x:f>
      </x:c>
      <x:c r="CF37">
        <x:f>IF(CF$3&gt;=$B$31,MAX(0,MAX(CF33-CF35,0)*'Вводные'!$B$21-IF(AND(CE$3&gt;=$B$31,YEAR(CF$3)=YEAR(CE$3)),CE36,0)),0)</x:f>
      </x:c>
      <x:c r="CG37">
        <x:f>IF(CG$3&gt;=$B$31,MAX(0,MAX(CG33-CG35,0)*'Вводные'!$B$21-IF(AND(CF$3&gt;=$B$31,YEAR(CG$3)=YEAR(CF$3)),CF36,0)),0)</x:f>
      </x:c>
      <x:c r="CH37">
        <x:f>IF(CH$3&gt;=$B$31,MAX(0,MAX(CH33-CH35,0)*'Вводные'!$B$21-IF(AND(CG$3&gt;=$B$31,YEAR(CH$3)=YEAR(CG$3)),CG36,0)),0)</x:f>
      </x:c>
      <x:c r="CI37">
        <x:f>IF(CI$3&gt;=$B$31,MAX(0,MAX(CI33-CI35,0)*'Вводные'!$B$21-IF(AND(CH$3&gt;=$B$31,YEAR(CI$3)=YEAR(CH$3)),CH36,0)),0)</x:f>
      </x:c>
      <x:c r="CJ37">
        <x:f>IF(CJ$3&gt;=$B$31,MAX(0,MAX(CJ33-CJ35,0)*'Вводные'!$B$21-IF(AND(CI$3&gt;=$B$31,YEAR(CJ$3)=YEAR(CI$3)),CI36,0)),0)</x:f>
      </x:c>
      <x:c r="CK37">
        <x:f>IF(CK$3&gt;=$B$31,MAX(0,MAX(CK33-CK35,0)*'Вводные'!$B$21-IF(AND(CJ$3&gt;=$B$31,YEAR(CK$3)=YEAR(CJ$3)),CJ36,0)),0)</x:f>
      </x:c>
      <x:c r="CL37">
        <x:f>IF(CL$3&gt;=$B$31,MAX(0,MAX(CL33-CL35,0)*'Вводные'!$B$21-IF(AND(CK$3&gt;=$B$31,YEAR(CL$3)=YEAR(CK$3)),CK36,0)),0)</x:f>
      </x:c>
      <x:c r="CM37">
        <x:f>IF(CM$3&gt;=$B$31,MAX(0,MAX(CM33-CM35,0)*'Вводные'!$B$21-IF(AND(CL$3&gt;=$B$31,YEAR(CM$3)=YEAR(CL$3)),CL36,0)),0)</x:f>
      </x:c>
      <x:c r="CN37">
        <x:f>IF(CN$3&gt;=$B$31,MAX(0,MAX(CN33-CN35,0)*'Вводные'!$B$21-IF(AND(CM$3&gt;=$B$31,YEAR(CN$3)=YEAR(CM$3)),CM36,0)),0)</x:f>
      </x:c>
      <x:c r="CO37">
        <x:f>IF(CO$3&gt;=$B$31,MAX(0,MAX(CO33-CO35,0)*'Вводные'!$B$21-IF(AND(CN$3&gt;=$B$31,YEAR(CO$3)=YEAR(CN$3)),CN36,0)),0)</x:f>
      </x:c>
      <x:c r="CP37">
        <x:f>IF(CP$3&gt;=$B$31,MAX(0,MAX(CP33-CP35,0)*'Вводные'!$B$21-IF(AND(CO$3&gt;=$B$31,YEAR(CP$3)=YEAR(CO$3)),CO36,0)),0)</x:f>
      </x:c>
      <x:c r="CQ37">
        <x:f>IF(CQ$3&gt;=$B$31,MAX(0,MAX(CQ33-CQ35,0)*'Вводные'!$B$21-IF(AND(CP$3&gt;=$B$31,YEAR(CQ$3)=YEAR(CP$3)),CP36,0)),0)</x:f>
      </x:c>
      <x:c r="CR37">
        <x:f>IF(CR$3&gt;=$B$31,MAX(0,MAX(CR33-CR35,0)*'Вводные'!$B$21-IF(AND(CQ$3&gt;=$B$31,YEAR(CR$3)=YEAR(CQ$3)),CQ36,0)),0)</x:f>
      </x:c>
      <x:c r="CS37">
        <x:f>IF(CS$3&gt;=$B$31,MAX(0,MAX(CS33-CS35,0)*'Вводные'!$B$21-IF(AND(CR$3&gt;=$B$31,YEAR(CS$3)=YEAR(CR$3)),CR36,0)),0)</x:f>
      </x:c>
      <x:c r="CT37">
        <x:f>IF(CT$3&gt;=$B$31,MAX(0,MAX(CT33-CT35,0)*'Вводные'!$B$21-IF(AND(CS$3&gt;=$B$31,YEAR(CT$3)=YEAR(CS$3)),CS36,0)),0)</x:f>
      </x:c>
      <x:c r="CU37">
        <x:f>IF(CU$3&gt;=$B$31,MAX(0,MAX(CU33-CU35,0)*'Вводные'!$B$21-IF(AND(CT$3&gt;=$B$31,YEAR(CU$3)=YEAR(CT$3)),CT36,0)),0)</x:f>
      </x:c>
      <x:c r="CV37">
        <x:f>IF(CV$3&gt;=$B$31,MAX(0,MAX(CV33-CV35,0)*'Вводные'!$B$21-IF(AND(CU$3&gt;=$B$31,YEAR(CV$3)=YEAR(CU$3)),CU36,0)),0)</x:f>
      </x:c>
      <x:c r="CW37">
        <x:f>IF(CW$3&gt;=$B$31,MAX(0,MAX(CW33-CW35,0)*'Вводные'!$B$21-IF(AND(CV$3&gt;=$B$31,YEAR(CW$3)=YEAR(CV$3)),CV36,0)),0)</x:f>
      </x:c>
      <x:c r="CX37">
        <x:f>IF(CX$3&gt;=$B$31,MAX(0,MAX(CX33-CX35,0)*'Вводные'!$B$21-IF(AND(CW$3&gt;=$B$31,YEAR(CX$3)=YEAR(CW$3)),CW36,0)),0)</x:f>
      </x:c>
      <x:c r="CY37">
        <x:f>IF(CY$3&gt;=$B$31,MAX(0,MAX(CY33-CY35,0)*'Вводные'!$B$21-IF(AND(CX$3&gt;=$B$31,YEAR(CY$3)=YEAR(CX$3)),CX36,0)),0)</x:f>
      </x:c>
      <x:c r="CZ37">
        <x:f>IF(CZ$3&gt;=$B$31,MAX(0,MAX(CZ33-CZ35,0)*'Вводные'!$B$21-IF(AND(CY$3&gt;=$B$31,YEAR(CZ$3)=YEAR(CY$3)),CY36,0)),0)</x:f>
      </x:c>
      <x:c r="DA37">
        <x:f>IF(DA$3&gt;=$B$31,MAX(0,MAX(DA33-DA35,0)*'Вводные'!$B$21-IF(AND(CZ$3&gt;=$B$31,YEAR(DA$3)=YEAR(CZ$3)),CZ36,0)),0)</x:f>
      </x:c>
      <x:c r="DB37">
        <x:f>IF(DB$3&gt;=$B$31,MAX(0,MAX(DB33-DB35,0)*'Вводные'!$B$21-IF(AND(DA$3&gt;=$B$31,YEAR(DB$3)=YEAR(DA$3)),DA36,0)),0)</x:f>
      </x:c>
      <x:c r="DC37">
        <x:f>IF(DC$3&gt;=$B$31,MAX(0,MAX(DC33-DC35,0)*'Вводные'!$B$21-IF(AND(DB$3&gt;=$B$31,YEAR(DC$3)=YEAR(DB$3)),DB36,0)),0)</x:f>
      </x:c>
      <x:c r="DD37">
        <x:f>IF(DD$3&gt;=$B$31,MAX(0,MAX(DD33-DD35,0)*'Вводные'!$B$21-IF(AND(DC$3&gt;=$B$31,YEAR(DD$3)=YEAR(DC$3)),DC36,0)),0)</x:f>
      </x:c>
      <x:c r="DE37">
        <x:f>IF(DE$3&gt;=$B$31,MAX(0,MAX(DE33-DE35,0)*'Вводные'!$B$21-IF(AND(DD$3&gt;=$B$31,YEAR(DE$3)=YEAR(DD$3)),DD36,0)),0)</x:f>
      </x:c>
      <x:c r="DF37">
        <x:f>IF(DF$3&gt;=$B$31,MAX(0,MAX(DF33-DF35,0)*'Вводные'!$B$21-IF(AND(DE$3&gt;=$B$31,YEAR(DF$3)=YEAR(DE$3)),DE36,0)),0)</x:f>
      </x:c>
      <x:c r="DG37">
        <x:f>IF(DG$3&gt;=$B$31,MAX(0,MAX(DG33-DG35,0)*'Вводные'!$B$21-IF(AND(DF$3&gt;=$B$31,YEAR(DG$3)=YEAR(DF$3)),DF36,0)),0)</x:f>
      </x:c>
      <x:c r="DH37">
        <x:f>IF(DH$3&gt;=$B$31,MAX(0,MAX(DH33-DH35,0)*'Вводные'!$B$21-IF(AND(DG$3&gt;=$B$31,YEAR(DH$3)=YEAR(DG$3)),DG36,0)),0)</x:f>
      </x:c>
      <x:c r="DI37">
        <x:f>IF(DI$3&gt;=$B$31,MAX(0,MAX(DI33-DI35,0)*'Вводные'!$B$21-IF(AND(DH$3&gt;=$B$31,YEAR(DI$3)=YEAR(DH$3)),DH36,0)),0)</x:f>
      </x:c>
      <x:c r="DJ37">
        <x:f>IF(DJ$3&gt;=$B$31,MAX(0,MAX(DJ33-DJ35,0)*'Вводные'!$B$21-IF(AND(DI$3&gt;=$B$31,YEAR(DJ$3)=YEAR(DI$3)),DI36,0)),0)</x:f>
      </x:c>
      <x:c r="DK37">
        <x:f>IF(DK$3&gt;=$B$31,MAX(0,MAX(DK33-DK35,0)*'Вводные'!$B$21-IF(AND(DJ$3&gt;=$B$31,YEAR(DK$3)=YEAR(DJ$3)),DJ36,0)),0)</x:f>
      </x:c>
      <x:c r="DL37">
        <x:f>IF(DL$3&gt;=$B$31,MAX(0,MAX(DL33-DL35,0)*'Вводные'!$B$21-IF(AND(DK$3&gt;=$B$31,YEAR(DL$3)=YEAR(DK$3)),DK36,0)),0)</x:f>
      </x:c>
      <x:c r="DM37">
        <x:f>IF(DM$3&gt;=$B$31,MAX(0,MAX(DM33-DM35,0)*'Вводные'!$B$21-IF(AND(DL$3&gt;=$B$31,YEAR(DM$3)=YEAR(DL$3)),DL36,0)),0)</x:f>
      </x:c>
      <x:c r="DN37">
        <x:f>IF(DN$3&gt;=$B$31,MAX(0,MAX(DN33-DN35,0)*'Вводные'!$B$21-IF(AND(DM$3&gt;=$B$31,YEAR(DN$3)=YEAR(DM$3)),DM36,0)),0)</x:f>
      </x:c>
      <x:c r="DO37">
        <x:f>IF(DO$3&gt;=$B$31,MAX(0,MAX(DO33-DO35,0)*'Вводные'!$B$21-IF(AND(DN$3&gt;=$B$31,YEAR(DO$3)=YEAR(DN$3)),DN36,0)),0)</x:f>
      </x:c>
      <x:c r="DP37">
        <x:f>IF(DP$3&gt;=$B$31,MAX(0,MAX(DP33-DP35,0)*'Вводные'!$B$21-IF(AND(DO$3&gt;=$B$31,YEAR(DP$3)=YEAR(DO$3)),DO36,0)),0)</x:f>
      </x:c>
      <x:c r="DQ37">
        <x:f>IF(DQ$3&gt;=$B$31,MAX(0,MAX(DQ33-DQ35,0)*'Вводные'!$B$21-IF(AND(DP$3&gt;=$B$31,YEAR(DQ$3)=YEAR(DP$3)),DP36,0)),0)</x:f>
      </x:c>
      <x:c r="DR37">
        <x:f>IF(DR$3&gt;=$B$31,MAX(0,MAX(DR33-DR35,0)*'Вводные'!$B$21-IF(AND(DQ$3&gt;=$B$31,YEAR(DR$3)=YEAR(DQ$3)),DQ36,0)),0)</x:f>
      </x:c>
      <x:c r="DS37">
        <x:f>IF(DS$3&gt;=$B$31,MAX(0,MAX(DS33-DS35,0)*'Вводные'!$B$21-IF(AND(DR$3&gt;=$B$31,YEAR(DS$3)=YEAR(DR$3)),DR36,0)),0)</x:f>
      </x:c>
      <x:c r="DT37">
        <x:f>IF(DT$3&gt;=$B$31,MAX(0,MAX(DT33-DT35,0)*'Вводные'!$B$21-IF(AND(DS$3&gt;=$B$31,YEAR(DT$3)=YEAR(DS$3)),DS36,0)),0)</x:f>
      </x:c>
      <x:c r="DU37">
        <x:f>IF(DU$3&gt;=$B$31,MAX(0,MAX(DU33-DU35,0)*'Вводные'!$B$21-IF(AND(DT$3&gt;=$B$31,YEAR(DU$3)=YEAR(DT$3)),DT36,0)),0)</x:f>
      </x:c>
      <x:c r="DV37">
        <x:f>IF(DV$3&gt;=$B$31,MAX(0,MAX(DV33-DV35,0)*'Вводные'!$B$21-IF(AND(DU$3&gt;=$B$31,YEAR(DV$3)=YEAR(DU$3)),DU36,0)),0)</x:f>
      </x:c>
      <x:c r="DW37">
        <x:f>IF(DW$3&gt;=$B$31,MAX(0,MAX(DW33-DW35,0)*'Вводные'!$B$21-IF(AND(DV$3&gt;=$B$31,YEAR(DW$3)=YEAR(DV$3)),DV36,0)),0)</x:f>
      </x:c>
      <x:c r="DX37">
        <x:f>IF(DX$3&gt;=$B$31,MAX(0,MAX(DX33-DX35,0)*'Вводные'!$B$21-IF(AND(DW$3&gt;=$B$31,YEAR(DX$3)=YEAR(DW$3)),DW36,0)),0)</x:f>
      </x:c>
      <x:c r="DY37">
        <x:f>IF(DY$3&gt;=$B$31,MAX(0,MAX(DY33-DY35,0)*'Вводные'!$B$21-IF(AND(DX$3&gt;=$B$31,YEAR(DY$3)=YEAR(DX$3)),DX36,0)),0)</x:f>
      </x:c>
      <x:c r="DZ37">
        <x:f>IF(DZ$3&gt;=$B$31,MAX(0,MAX(DZ33-DZ35,0)*'Вводные'!$B$21-IF(AND(DY$3&gt;=$B$31,YEAR(DZ$3)=YEAR(DY$3)),DY36,0)),0)</x:f>
      </x:c>
      <x:c r="EA37">
        <x:f>IF(EA$3&gt;=$B$31,MAX(0,MAX(EA33-EA35,0)*'Вводные'!$B$21-IF(AND(DZ$3&gt;=$B$31,YEAR(EA$3)=YEAR(DZ$3)),DZ36,0)),0)</x:f>
      </x:c>
      <x:c r="EB37">
        <x:f>IF(EB$3&gt;=$B$31,MAX(0,MAX(EB33-EB35,0)*'Вводные'!$B$21-IF(AND(EA$3&gt;=$B$31,YEAR(EB$3)=YEAR(EA$3)),EA36,0)),0)</x:f>
      </x:c>
      <x:c r="EC37">
        <x:f>IF(EC$3&gt;=$B$31,MAX(0,MAX(EC33-EC35,0)*'Вводные'!$B$21-IF(AND(EB$3&gt;=$B$31,YEAR(EC$3)=YEAR(EB$3)),EB36,0)),0)</x:f>
      </x:c>
      <x:c r="ED37">
        <x:f>IF(ED$3&gt;=$B$31,MAX(0,MAX(ED33-ED35,0)*'Вводные'!$B$21-IF(AND(EC$3&gt;=$B$31,YEAR(ED$3)=YEAR(EC$3)),EC36,0)),0)</x:f>
      </x:c>
      <x:c r="EE37">
        <x:f>IF(EE$3&gt;=$B$31,MAX(0,MAX(EE33-EE35,0)*'Вводные'!$B$21-IF(AND(ED$3&gt;=$B$31,YEAR(EE$3)=YEAR(ED$3)),ED36,0)),0)</x:f>
      </x:c>
      <x:c r="EF37">
        <x:f>IF(EF$3&gt;=$B$31,MAX(0,MAX(EF33-EF35,0)*'Вводные'!$B$21-IF(AND(EE$3&gt;=$B$31,YEAR(EF$3)=YEAR(EE$3)),EE36,0)),0)</x:f>
      </x:c>
      <x:c r="EG37">
        <x:f>IF(EG$3&gt;=$B$31,MAX(0,MAX(EG33-EG35,0)*'Вводные'!$B$21-IF(AND(EF$3&gt;=$B$31,YEAR(EG$3)=YEAR(EF$3)),EF36,0)),0)</x:f>
      </x:c>
      <x:c r="EH37">
        <x:f>IF(EH$3&gt;=$B$31,MAX(0,MAX(EH33-EH35,0)*'Вводные'!$B$21-IF(AND(EG$3&gt;=$B$31,YEAR(EH$3)=YEAR(EG$3)),EG36,0)),0)</x:f>
      </x:c>
      <x:c r="EI37">
        <x:f>IF(EI$3&gt;=$B$31,MAX(0,MAX(EI33-EI35,0)*'Вводные'!$B$21-IF(AND(EH$3&gt;=$B$31,YEAR(EI$3)=YEAR(EH$3)),EH36,0)),0)</x:f>
      </x:c>
      <x:c r="EJ37">
        <x:f>IF(EJ$3&gt;=$B$31,MAX(0,MAX(EJ33-EJ35,0)*'Вводные'!$B$21-IF(AND(EI$3&gt;=$B$31,YEAR(EJ$3)=YEAR(EI$3)),EI36,0)),0)</x:f>
      </x:c>
      <x:c r="EK37">
        <x:f>IF(EK$3&gt;=$B$31,MAX(0,MAX(EK33-EK35,0)*'Вводные'!$B$21-IF(AND(EJ$3&gt;=$B$31,YEAR(EK$3)=YEAR(EJ$3)),EJ36,0)),0)</x:f>
      </x:c>
      <x:c r="EL37">
        <x:f>IF(EL$3&gt;=$B$31,MAX(0,MAX(EL33-EL35,0)*'Вводные'!$B$21-IF(AND(EK$3&gt;=$B$31,YEAR(EL$3)=YEAR(EK$3)),EK36,0)),0)</x:f>
      </x:c>
      <x:c r="EM37">
        <x:f>IF(EM$3&gt;=$B$31,MAX(0,MAX(EM33-EM35,0)*'Вводные'!$B$21-IF(AND(EL$3&gt;=$B$31,YEAR(EM$3)=YEAR(EL$3)),EL36,0)),0)</x:f>
      </x:c>
      <x:c r="EN37">
        <x:f>IF(EN$3&gt;=$B$31,MAX(0,MAX(EN33-EN35,0)*'Вводные'!$B$21-IF(AND(EM$3&gt;=$B$31,YEAR(EN$3)=YEAR(EM$3)),EM36,0)),0)</x:f>
      </x:c>
      <x:c r="EO37">
        <x:f>IF(EO$3&gt;=$B$31,MAX(0,MAX(EO33-EO35,0)*'Вводные'!$B$21-IF(AND(EN$3&gt;=$B$31,YEAR(EO$3)=YEAR(EN$3)),EN36,0)),0)</x:f>
      </x:c>
      <x:c r="EP37">
        <x:f>IF(EP$3&gt;=$B$31,MAX(0,MAX(EP33-EP35,0)*'Вводные'!$B$21-IF(AND(EO$3&gt;=$B$31,YEAR(EP$3)=YEAR(EO$3)),EO36,0)),0)</x:f>
      </x:c>
      <x:c r="EQ37">
        <x:f>IF(EQ$3&gt;=$B$31,MAX(0,MAX(EQ33-EQ35,0)*'Вводные'!$B$21-IF(AND(EP$3&gt;=$B$31,YEAR(EQ$3)=YEAR(EP$3)),EP36,0)),0)</x:f>
      </x:c>
      <x:c r="ER37">
        <x:f>IF(ER$3&gt;=$B$31,MAX(0,MAX(ER33-ER35,0)*'Вводные'!$B$21-IF(AND(EQ$3&gt;=$B$31,YEAR(ER$3)=YEAR(EQ$3)),EQ36,0)),0)</x:f>
      </x:c>
      <x:c r="ES37">
        <x:f>IF(ES$3&gt;=$B$31,MAX(0,MAX(ES33-ES35,0)*'Вводные'!$B$21-IF(AND(ER$3&gt;=$B$31,YEAR(ES$3)=YEAR(ER$3)),ER36,0)),0)</x:f>
      </x:c>
      <x:c r="ET37">
        <x:f>IF(ET$3&gt;=$B$31,MAX(0,MAX(ET33-ET35,0)*'Вводные'!$B$21-IF(AND(ES$3&gt;=$B$31,YEAR(ET$3)=YEAR(ES$3)),ES36,0)),0)</x:f>
      </x:c>
      <x:c r="EU37">
        <x:f>IF(EU$3&gt;=$B$31,MAX(0,MAX(EU33-EU35,0)*'Вводные'!$B$21-IF(AND(ET$3&gt;=$B$31,YEAR(EU$3)=YEAR(ET$3)),ET36,0)),0)</x:f>
      </x:c>
      <x:c r="EV37">
        <x:f>IF(EV$3&gt;=$B$31,MAX(0,MAX(EV33-EV35,0)*'Вводные'!$B$21-IF(AND(EU$3&gt;=$B$31,YEAR(EV$3)=YEAR(EU$3)),EU36,0)),0)</x:f>
      </x:c>
      <x:c r="EW37">
        <x:f>IF(EW$3&gt;=$B$31,MAX(0,MAX(EW33-EW35,0)*'Вводные'!$B$21-IF(AND(EV$3&gt;=$B$31,YEAR(EW$3)=YEAR(EV$3)),EV36,0)),0)</x:f>
      </x:c>
      <x:c r="EX37">
        <x:f>IF(EX$3&gt;=$B$31,MAX(0,MAX(EX33-EX35,0)*'Вводные'!$B$21-IF(AND(EW$3&gt;=$B$31,YEAR(EX$3)=YEAR(EW$3)),EW36,0)),0)</x:f>
      </x:c>
      <x:c r="EY37">
        <x:f>IF(EY$3&gt;=$B$31,MAX(0,MAX(EY33-EY35,0)*'Вводные'!$B$21-IF(AND(EX$3&gt;=$B$31,YEAR(EY$3)=YEAR(EX$3)),EX36,0)),0)</x:f>
      </x:c>
      <x:c r="EZ37">
        <x:f>IF(EZ$3&gt;=$B$31,MAX(0,MAX(EZ33-EZ35,0)*'Вводные'!$B$21-IF(AND(EY$3&gt;=$B$31,YEAR(EZ$3)=YEAR(EY$3)),EY36,0)),0)</x:f>
      </x:c>
      <x:c r="FA37">
        <x:f>IF(FA$3&gt;=$B$31,MAX(0,MAX(FA33-FA35,0)*'Вводные'!$B$21-IF(AND(EZ$3&gt;=$B$31,YEAR(FA$3)=YEAR(EZ$3)),EZ36,0)),0)</x:f>
      </x:c>
      <x:c r="FB37">
        <x:f>IF(FB$3&gt;=$B$31,MAX(0,MAX(FB33-FB35,0)*'Вводные'!$B$21-IF(AND(FA$3&gt;=$B$31,YEAR(FB$3)=YEAR(FA$3)),FA36,0)),0)</x:f>
      </x:c>
      <x:c r="FC37">
        <x:f>IF(FC$3&gt;=$B$31,MAX(0,MAX(FC33-FC35,0)*'Вводные'!$B$21-IF(AND(FB$3&gt;=$B$31,YEAR(FC$3)=YEAR(FB$3)),FB36,0)),0)</x:f>
      </x:c>
      <x:c r="FD37">
        <x:f>IF(FD$3&gt;=$B$31,MAX(0,MAX(FD33-FD35,0)*'Вводные'!$B$21-IF(AND(FC$3&gt;=$B$31,YEAR(FD$3)=YEAR(FC$3)),FC36,0)),0)</x:f>
      </x:c>
      <x:c r="FE37">
        <x:f>IF(FE$3&gt;=$B$31,MAX(0,MAX(FE33-FE35,0)*'Вводные'!$B$21-IF(AND(FD$3&gt;=$B$31,YEAR(FE$3)=YEAR(FD$3)),FD36,0)),0)</x:f>
      </x:c>
      <x:c r="FF37">
        <x:f>IF(FF$3&gt;=$B$31,MAX(0,MAX(FF33-FF35,0)*'Вводные'!$B$21-IF(AND(FE$3&gt;=$B$31,YEAR(FF$3)=YEAR(FE$3)),FE36,0)),0)</x:f>
      </x:c>
      <x:c r="FG37">
        <x:f>IF(FG$3&gt;=$B$31,MAX(0,MAX(FG33-FG35,0)*'Вводные'!$B$21-IF(AND(FF$3&gt;=$B$31,YEAR(FG$3)=YEAR(FF$3)),FF36,0)),0)</x:f>
      </x:c>
      <x:c r="FH37">
        <x:f>IF(FH$3&gt;=$B$31,MAX(0,MAX(FH33-FH35,0)*'Вводные'!$B$21-IF(AND(FG$3&gt;=$B$31,YEAR(FH$3)=YEAR(FG$3)),FG36,0)),0)</x:f>
      </x:c>
      <x:c r="FI37">
        <x:f>IF(FI$3&gt;=$B$31,MAX(0,MAX(FI33-FI35,0)*'Вводные'!$B$21-IF(AND(FH$3&gt;=$B$31,YEAR(FI$3)=YEAR(FH$3)),FH36,0)),0)</x:f>
      </x:c>
      <x:c r="FJ37">
        <x:f>IF(FJ$3&gt;=$B$31,MAX(0,MAX(FJ33-FJ35,0)*'Вводные'!$B$21-IF(AND(FI$3&gt;=$B$31,YEAR(FJ$3)=YEAR(FI$3)),FI36,0)),0)</x:f>
      </x:c>
      <x:c r="FK37">
        <x:f>IF(FK$3&gt;=$B$31,MAX(0,MAX(FK33-FK35,0)*'Вводные'!$B$21-IF(AND(FJ$3&gt;=$B$31,YEAR(FK$3)=YEAR(FJ$3)),FJ36,0)),0)</x:f>
      </x:c>
      <x:c r="FL37">
        <x:f>IF(FL$3&gt;=$B$31,MAX(0,MAX(FL33-FL35,0)*'Вводные'!$B$21-IF(AND(FK$3&gt;=$B$31,YEAR(FL$3)=YEAR(FK$3)),FK36,0)),0)</x:f>
      </x:c>
      <x:c r="FM37">
        <x:f>IF(FM$3&gt;=$B$31,MAX(0,MAX(FM33-FM35,0)*'Вводные'!$B$21-IF(AND(FL$3&gt;=$B$31,YEAR(FM$3)=YEAR(FL$3)),FL36,0)),0)</x:f>
      </x:c>
      <x:c r="FN37">
        <x:f>IF(FN$3&gt;=$B$31,MAX(0,MAX(FN33-FN35,0)*'Вводные'!$B$21-IF(AND(FM$3&gt;=$B$31,YEAR(FN$3)=YEAR(FM$3)),FM36,0)),0)</x:f>
      </x:c>
      <x:c r="FO37">
        <x:f>IF(FO$3&gt;=$B$31,MAX(0,MAX(FO33-FO35,0)*'Вводные'!$B$21-IF(AND(FN$3&gt;=$B$31,YEAR(FO$3)=YEAR(FN$3)),FN36,0)),0)</x:f>
      </x:c>
      <x:c r="FP37">
        <x:f>IF(FP$3&gt;=$B$31,MAX(0,MAX(FP33-FP35,0)*'Вводные'!$B$21-IF(AND(FO$3&gt;=$B$31,YEAR(FP$3)=YEAR(FO$3)),FO36,0)),0)</x:f>
      </x:c>
      <x:c r="FQ37">
        <x:f>IF(FQ$3&gt;=$B$31,MAX(0,MAX(FQ33-FQ35,0)*'Вводные'!$B$21-IF(AND(FP$3&gt;=$B$31,YEAR(FQ$3)=YEAR(FP$3)),FP36,0)),0)</x:f>
      </x:c>
      <x:c r="FR37">
        <x:f>IF(FR$3&gt;=$B$31,MAX(0,MAX(FR33-FR35,0)*'Вводные'!$B$21-IF(AND(FQ$3&gt;=$B$31,YEAR(FR$3)=YEAR(FQ$3)),FQ36,0)),0)</x:f>
      </x:c>
      <x:c r="FS37">
        <x:f>IF(FS$3&gt;=$B$31,MAX(0,MAX(FS33-FS35,0)*'Вводные'!$B$21-IF(AND(FR$3&gt;=$B$31,YEAR(FS$3)=YEAR(FR$3)),FR36,0)),0)</x:f>
      </x:c>
      <x:c r="FT37">
        <x:f>IF(FT$3&gt;=$B$31,MAX(0,MAX(FT33-FT35,0)*'Вводные'!$B$21-IF(AND(FS$3&gt;=$B$31,YEAR(FT$3)=YEAR(FS$3)),FS36,0)),0)</x:f>
      </x:c>
      <x:c r="FU37">
        <x:f>IF(FU$3&gt;=$B$31,MAX(0,MAX(FU33-FU35,0)*'Вводные'!$B$21-IF(AND(FT$3&gt;=$B$31,YEAR(FU$3)=YEAR(FT$3)),FT36,0)),0)</x:f>
      </x:c>
      <x:c r="FV37">
        <x:f>IF(FV$3&gt;=$B$31,MAX(0,MAX(FV33-FV35,0)*'Вводные'!$B$21-IF(AND(FU$3&gt;=$B$31,YEAR(FV$3)=YEAR(FU$3)),FU36,0)),0)</x:f>
      </x:c>
      <x:c r="FW37">
        <x:f>IF(FW$3&gt;=$B$31,MAX(0,MAX(FW33-FW35,0)*'Вводные'!$B$21-IF(AND(FV$3&gt;=$B$31,YEAR(FW$3)=YEAR(FV$3)),FV36,0)),0)</x:f>
      </x:c>
      <x:c r="FX37">
        <x:f>IF(FX$3&gt;=$B$31,MAX(0,MAX(FX33-FX35,0)*'Вводные'!$B$21-IF(AND(FW$3&gt;=$B$31,YEAR(FX$3)=YEAR(FW$3)),FW36,0)),0)</x:f>
      </x:c>
      <x:c r="FY37">
        <x:f>IF(FY$3&gt;=$B$31,MAX(0,MAX(FY33-FY35,0)*'Вводные'!$B$21-IF(AND(FX$3&gt;=$B$31,YEAR(FY$3)=YEAR(FX$3)),FX36,0)),0)</x:f>
      </x:c>
      <x:c r="FZ37">
        <x:f>IF(FZ$3&gt;=$B$31,MAX(0,MAX(FZ33-FZ35,0)*'Вводные'!$B$21-IF(AND(FY$3&gt;=$B$31,YEAR(FZ$3)=YEAR(FY$3)),FY36,0)),0)</x:f>
      </x:c>
      <x:c r="GA37">
        <x:f>IF(GA$3&gt;=$B$31,MAX(0,MAX(GA33-GA35,0)*'Вводные'!$B$21-IF(AND(FZ$3&gt;=$B$31,YEAR(GA$3)=YEAR(FZ$3)),FZ36,0)),0)</x:f>
      </x:c>
    </x:row>
  </x:sheetData>
  <x:mergeCells>
    <x:mergeCell ref="A1:GA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5" hidden="0" customWidth="1"/>
    <x:col min="3" max="3" width="12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  <x:col min="45" max="45" width="11" hidden="0" customWidth="1"/>
    <x:col min="46" max="46" width="11" hidden="0" customWidth="1"/>
    <x:col min="47" max="47" width="11" hidden="0" customWidth="1"/>
    <x:col min="48" max="48" width="11" hidden="0" customWidth="1"/>
    <x:col min="49" max="49" width="11" hidden="0" customWidth="1"/>
    <x:col min="50" max="50" width="11" hidden="0" customWidth="1"/>
    <x:col min="51" max="51" width="11" hidden="0" customWidth="1"/>
    <x:col min="52" max="52" width="11" hidden="0" customWidth="1"/>
    <x:col min="53" max="53" width="11" hidden="0" customWidth="1"/>
    <x:col min="54" max="54" width="11" hidden="0" customWidth="1"/>
    <x:col min="55" max="55" width="11" hidden="0" customWidth="1"/>
    <x:col min="56" max="56" width="11" hidden="0" customWidth="1"/>
    <x:col min="57" max="57" width="11" hidden="0" customWidth="1"/>
    <x:col min="58" max="58" width="11" hidden="0" customWidth="1"/>
    <x:col min="59" max="59" width="11" hidden="0" customWidth="1"/>
    <x:col min="60" max="60" width="11" hidden="0" customWidth="1"/>
    <x:col min="61" max="61" width="11" hidden="0" customWidth="1"/>
    <x:col min="62" max="62" width="11" hidden="0" customWidth="1"/>
    <x:col min="63" max="63" width="11" hidden="0" customWidth="1"/>
    <x:col min="64" max="64" width="11" hidden="0" customWidth="1"/>
    <x:col min="65" max="65" width="11" hidden="0" customWidth="1"/>
    <x:col min="66" max="66" width="11" hidden="0" customWidth="1"/>
    <x:col min="67" max="67" width="11" hidden="0" customWidth="1"/>
    <x:col min="68" max="68" width="11" hidden="0" customWidth="1"/>
    <x:col min="69" max="69" width="11" hidden="0" customWidth="1"/>
    <x:col min="70" max="70" width="11" hidden="0" customWidth="1"/>
    <x:col min="71" max="71" width="11" hidden="0" customWidth="1"/>
    <x:col min="72" max="72" width="11" hidden="0" customWidth="1"/>
    <x:col min="73" max="73" width="11" hidden="0" customWidth="1"/>
    <x:col min="74" max="74" width="11" hidden="0" customWidth="1"/>
    <x:col min="75" max="75" width="11" hidden="0" customWidth="1"/>
    <x:col min="76" max="76" width="11" hidden="0" customWidth="1"/>
    <x:col min="77" max="77" width="11" hidden="0" customWidth="1"/>
    <x:col min="78" max="78" width="11" hidden="0" customWidth="1"/>
    <x:col min="79" max="79" width="11" hidden="0" customWidth="1"/>
    <x:col min="80" max="80" width="11" hidden="0" customWidth="1"/>
    <x:col min="81" max="81" width="11" hidden="0" customWidth="1"/>
    <x:col min="82" max="82" width="11" hidden="0" customWidth="1"/>
    <x:col min="83" max="83" width="11" hidden="0" customWidth="1"/>
    <x:col min="84" max="84" width="11" hidden="0" customWidth="1"/>
    <x:col min="85" max="85" width="11" hidden="0" customWidth="1"/>
    <x:col min="86" max="86" width="11" hidden="0" customWidth="1"/>
    <x:col min="87" max="87" width="11" hidden="0" customWidth="1"/>
    <x:col min="88" max="88" width="11" hidden="0" customWidth="1"/>
    <x:col min="89" max="89" width="11" hidden="0" customWidth="1"/>
    <x:col min="90" max="90" width="11" hidden="0" customWidth="1"/>
    <x:col min="91" max="91" width="11" hidden="0" customWidth="1"/>
    <x:col min="92" max="92" width="11" hidden="0" customWidth="1"/>
    <x:col min="93" max="93" width="11" hidden="0" customWidth="1"/>
    <x:col min="94" max="94" width="11" hidden="0" customWidth="1"/>
    <x:col min="95" max="95" width="11" hidden="0" customWidth="1"/>
    <x:col min="96" max="96" width="11" hidden="0" customWidth="1"/>
    <x:col min="97" max="97" width="11" hidden="0" customWidth="1"/>
    <x:col min="98" max="98" width="11" hidden="0" customWidth="1"/>
    <x:col min="99" max="99" width="11" hidden="0" customWidth="1"/>
    <x:col min="100" max="100" width="11" hidden="0" customWidth="1"/>
    <x:col min="101" max="101" width="11" hidden="0" customWidth="1"/>
    <x:col min="102" max="102" width="11" hidden="0" customWidth="1"/>
    <x:col min="103" max="103" width="11" hidden="0" customWidth="1"/>
    <x:col min="104" max="104" width="11" hidden="0" customWidth="1"/>
    <x:col min="105" max="105" width="11" hidden="0" customWidth="1"/>
    <x:col min="106" max="106" width="11" hidden="0" customWidth="1"/>
    <x:col min="107" max="107" width="11" hidden="0" customWidth="1"/>
    <x:col min="108" max="108" width="11" hidden="0" customWidth="1"/>
    <x:col min="109" max="109" width="11" hidden="0" customWidth="1"/>
    <x:col min="110" max="110" width="11" hidden="0" customWidth="1"/>
    <x:col min="111" max="111" width="11" hidden="0" customWidth="1"/>
    <x:col min="112" max="112" width="11" hidden="0" customWidth="1"/>
    <x:col min="113" max="113" width="11" hidden="0" customWidth="1"/>
    <x:col min="114" max="114" width="11" hidden="0" customWidth="1"/>
    <x:col min="115" max="115" width="11" hidden="0" customWidth="1"/>
    <x:col min="116" max="116" width="11" hidden="0" customWidth="1"/>
    <x:col min="117" max="117" width="11" hidden="0" customWidth="1"/>
    <x:col min="118" max="118" width="11" hidden="0" customWidth="1"/>
    <x:col min="119" max="119" width="11" hidden="0" customWidth="1"/>
    <x:col min="120" max="120" width="11" hidden="0" customWidth="1"/>
    <x:col min="121" max="121" width="11" hidden="0" customWidth="1"/>
    <x:col min="122" max="122" width="11" hidden="0" customWidth="1"/>
    <x:col min="123" max="123" width="11" hidden="0" customWidth="1"/>
    <x:col min="124" max="124" width="11" hidden="0" customWidth="1"/>
    <x:col min="125" max="125" width="11" hidden="0" customWidth="1"/>
    <x:col min="126" max="126" width="11" hidden="0" customWidth="1"/>
    <x:col min="127" max="127" width="11" hidden="0" customWidth="1"/>
    <x:col min="128" max="128" width="11" hidden="0" customWidth="1"/>
    <x:col min="129" max="129" width="11" hidden="0" customWidth="1"/>
    <x:col min="130" max="130" width="11" hidden="0" customWidth="1"/>
    <x:col min="131" max="131" width="11" hidden="0" customWidth="1"/>
    <x:col min="132" max="132" width="11" hidden="0" customWidth="1"/>
    <x:col min="133" max="133" width="11" hidden="0" customWidth="1"/>
    <x:col min="134" max="134" width="11" hidden="0" customWidth="1"/>
    <x:col min="135" max="135" width="11" hidden="0" customWidth="1"/>
    <x:col min="136" max="136" width="11" hidden="0" customWidth="1"/>
    <x:col min="137" max="137" width="11" hidden="0" customWidth="1"/>
    <x:col min="138" max="138" width="11" hidden="0" customWidth="1"/>
    <x:col min="139" max="139" width="11" hidden="0" customWidth="1"/>
    <x:col min="140" max="140" width="11" hidden="0" customWidth="1"/>
    <x:col min="141" max="141" width="11" hidden="0" customWidth="1"/>
    <x:col min="142" max="142" width="11" hidden="0" customWidth="1"/>
    <x:col min="143" max="143" width="11" hidden="0" customWidth="1"/>
    <x:col min="144" max="144" width="11" hidden="0" customWidth="1"/>
    <x:col min="145" max="145" width="11" hidden="0" customWidth="1"/>
    <x:col min="146" max="146" width="11" hidden="0" customWidth="1"/>
    <x:col min="147" max="147" width="11" hidden="0" customWidth="1"/>
    <x:col min="148" max="148" width="11" hidden="0" customWidth="1"/>
    <x:col min="149" max="149" width="11" hidden="0" customWidth="1"/>
    <x:col min="150" max="150" width="11" hidden="0" customWidth="1"/>
    <x:col min="151" max="151" width="11" hidden="0" customWidth="1"/>
    <x:col min="152" max="152" width="11" hidden="0" customWidth="1"/>
    <x:col min="153" max="153" width="11" hidden="0" customWidth="1"/>
    <x:col min="154" max="154" width="11" hidden="0" customWidth="1"/>
    <x:col min="155" max="155" width="11" hidden="0" customWidth="1"/>
    <x:col min="156" max="156" width="11" hidden="0" customWidth="1"/>
    <x:col min="157" max="157" width="11" hidden="0" customWidth="1"/>
    <x:col min="158" max="158" width="11" hidden="0" customWidth="1"/>
    <x:col min="159" max="159" width="11" hidden="0" customWidth="1"/>
    <x:col min="160" max="160" width="11" hidden="0" customWidth="1"/>
    <x:col min="161" max="161" width="11" hidden="0" customWidth="1"/>
    <x:col min="162" max="162" width="11" hidden="0" customWidth="1"/>
    <x:col min="163" max="163" width="11" hidden="0" customWidth="1"/>
    <x:col min="164" max="164" width="11" hidden="0" customWidth="1"/>
    <x:col min="165" max="165" width="11" hidden="0" customWidth="1"/>
    <x:col min="166" max="166" width="11" hidden="0" customWidth="1"/>
    <x:col min="167" max="167" width="11" hidden="0" customWidth="1"/>
    <x:col min="168" max="168" width="11" hidden="0" customWidth="1"/>
    <x:col min="169" max="169" width="11" hidden="0" customWidth="1"/>
    <x:col min="170" max="170" width="11" hidden="0" customWidth="1"/>
    <x:col min="171" max="171" width="11" hidden="0" customWidth="1"/>
    <x:col min="172" max="172" width="11" hidden="0" customWidth="1"/>
    <x:col min="173" max="173" width="11" hidden="0" customWidth="1"/>
    <x:col min="174" max="174" width="11" hidden="0" customWidth="1"/>
    <x:col min="175" max="175" width="11" hidden="0" customWidth="1"/>
    <x:col min="176" max="176" width="11" hidden="0" customWidth="1"/>
    <x:col min="177" max="177" width="11" hidden="0" customWidth="1"/>
    <x:col min="178" max="178" width="11" hidden="0" customWidth="1"/>
    <x:col min="179" max="179" width="11" hidden="0" customWidth="1"/>
    <x:col min="180" max="180" width="11" hidden="0" customWidth="1"/>
    <x:col min="181" max="181" width="11" hidden="0" customWidth="1"/>
    <x:col min="182" max="182" width="11" hidden="0" customWidth="1"/>
    <x:col min="183" max="183" width="11" hidden="0" customWidth="1"/>
  </x:cols>
  <x:sheetData>
    <x:row r="1" ht="28" customHeight="1">
      <x:c r="A1" s="4" t="str">
        <x:v>КРЕДИТЫ · БРИДЖ, ПРОЕКТНОЕ ФИНАНСИРОВАНИЕ И ЭСКРОУ</x:v>
      </x:c>
      <x:c r="B1" s="4" t="str">
        <x:v>КРЕДИТЫ · БРИДЖ, ПРОЕКТНОЕ ФИНАНСИРОВАНИЕ И ЭСКРОУ</x:v>
      </x:c>
      <x:c r="C1" s="4" t="str">
        <x:v>КРЕДИТЫ · БРИДЖ, ПРОЕКТНОЕ ФИНАНСИРОВАНИЕ И ЭСКРОУ</x:v>
      </x:c>
      <x:c r="D1" s="4" t="str">
        <x:v>КРЕДИТЫ · БРИДЖ, ПРОЕКТНОЕ ФИНАНСИРОВАНИЕ И ЭСКРОУ</x:v>
      </x:c>
      <x:c r="E1" s="4" t="str">
        <x:v>КРЕДИТЫ · БРИДЖ, ПРОЕКТНОЕ ФИНАНСИРОВАНИЕ И ЭСКРОУ</x:v>
      </x:c>
      <x:c r="F1" s="4" t="str">
        <x:v>КРЕДИТЫ · БРИДЖ, ПРОЕКТНОЕ ФИНАНСИРОВАНИЕ И ЭСКРОУ</x:v>
      </x:c>
      <x:c r="G1" s="4" t="str">
        <x:v>КРЕДИТЫ · БРИДЖ, ПРОЕКТНОЕ ФИНАНСИРОВАНИЕ И ЭСКРОУ</x:v>
      </x:c>
      <x:c r="H1" s="4" t="str">
        <x:v>КРЕДИТЫ · БРИДЖ, ПРОЕКТНОЕ ФИНАНСИРОВАНИЕ И ЭСКРОУ</x:v>
      </x:c>
      <x:c r="I1" s="4" t="str">
        <x:v>КРЕДИТЫ · БРИДЖ, ПРОЕКТНОЕ ФИНАНСИРОВАНИЕ И ЭСКРОУ</x:v>
      </x:c>
      <x:c r="J1" s="4" t="str">
        <x:v>КРЕДИТЫ · БРИДЖ, ПРОЕКТНОЕ ФИНАНСИРОВАНИЕ И ЭСКРОУ</x:v>
      </x:c>
      <x:c r="K1" s="4" t="str">
        <x:v>КРЕДИТЫ · БРИДЖ, ПРОЕКТНОЕ ФИНАНСИРОВАНИЕ И ЭСКРОУ</x:v>
      </x:c>
      <x:c r="L1" s="4" t="str">
        <x:v>КРЕДИТЫ · БРИДЖ, ПРОЕКТНОЕ ФИНАНСИРОВАНИЕ И ЭСКРОУ</x:v>
      </x:c>
      <x:c r="M1" s="4" t="str">
        <x:v>КРЕДИТЫ · БРИДЖ, ПРОЕКТНОЕ ФИНАНСИРОВАНИЕ И ЭСКРОУ</x:v>
      </x:c>
      <x:c r="N1" s="4" t="str">
        <x:v>КРЕДИТЫ · БРИДЖ, ПРОЕКТНОЕ ФИНАНСИРОВАНИЕ И ЭСКРОУ</x:v>
      </x:c>
      <x:c r="O1" s="4" t="str">
        <x:v>КРЕДИТЫ · БРИДЖ, ПРОЕКТНОЕ ФИНАНСИРОВАНИЕ И ЭСКРОУ</x:v>
      </x:c>
      <x:c r="P1" s="4" t="str">
        <x:v>КРЕДИТЫ · БРИДЖ, ПРОЕКТНОЕ ФИНАНСИРОВАНИЕ И ЭСКРОУ</x:v>
      </x:c>
      <x:c r="Q1" s="4" t="str">
        <x:v>КРЕДИТЫ · БРИДЖ, ПРОЕКТНОЕ ФИНАНСИРОВАНИЕ И ЭСКРОУ</x:v>
      </x:c>
      <x:c r="R1" s="4" t="str">
        <x:v>КРЕДИТЫ · БРИДЖ, ПРОЕКТНОЕ ФИНАНСИРОВАНИЕ И ЭСКРОУ</x:v>
      </x:c>
      <x:c r="S1" s="4" t="str">
        <x:v>КРЕДИТЫ · БРИДЖ, ПРОЕКТНОЕ ФИНАНСИРОВАНИЕ И ЭСКРОУ</x:v>
      </x:c>
      <x:c r="T1" s="4" t="str">
        <x:v>КРЕДИТЫ · БРИДЖ, ПРОЕКТНОЕ ФИНАНСИРОВАНИЕ И ЭСКРОУ</x:v>
      </x:c>
      <x:c r="U1" s="4" t="str">
        <x:v>КРЕДИТЫ · БРИДЖ, ПРОЕКТНОЕ ФИНАНСИРОВАНИЕ И ЭСКРОУ</x:v>
      </x:c>
      <x:c r="V1" s="4" t="str">
        <x:v>КРЕДИТЫ · БРИДЖ, ПРОЕКТНОЕ ФИНАНСИРОВАНИЕ И ЭСКРОУ</x:v>
      </x:c>
      <x:c r="W1" s="4" t="str">
        <x:v>КРЕДИТЫ · БРИДЖ, ПРОЕКТНОЕ ФИНАНСИРОВАНИЕ И ЭСКРОУ</x:v>
      </x:c>
      <x:c r="X1" s="4" t="str">
        <x:v>КРЕДИТЫ · БРИДЖ, ПРОЕКТНОЕ ФИНАНСИРОВАНИЕ И ЭСКРОУ</x:v>
      </x:c>
      <x:c r="Y1" s="4" t="str">
        <x:v>КРЕДИТЫ · БРИДЖ, ПРОЕКТНОЕ ФИНАНСИРОВАНИЕ И ЭСКРОУ</x:v>
      </x:c>
      <x:c r="Z1" s="4" t="str">
        <x:v>КРЕДИТЫ · БРИДЖ, ПРОЕКТНОЕ ФИНАНСИРОВАНИЕ И ЭСКРОУ</x:v>
      </x:c>
      <x:c r="AA1" s="4" t="str">
        <x:v>КРЕДИТЫ · БРИДЖ, ПРОЕКТНОЕ ФИНАНСИРОВАНИЕ И ЭСКРОУ</x:v>
      </x:c>
      <x:c r="AB1" s="4" t="str">
        <x:v>КРЕДИТЫ · БРИДЖ, ПРОЕКТНОЕ ФИНАНСИРОВАНИЕ И ЭСКРОУ</x:v>
      </x:c>
      <x:c r="AC1" s="4" t="str">
        <x:v>КРЕДИТЫ · БРИДЖ, ПРОЕКТНОЕ ФИНАНСИРОВАНИЕ И ЭСКРОУ</x:v>
      </x:c>
      <x:c r="AD1" s="4" t="str">
        <x:v>КРЕДИТЫ · БРИДЖ, ПРОЕКТНОЕ ФИНАНСИРОВАНИЕ И ЭСКРОУ</x:v>
      </x:c>
      <x:c r="AE1" s="4" t="str">
        <x:v>КРЕДИТЫ · БРИДЖ, ПРОЕКТНОЕ ФИНАНСИРОВАНИЕ И ЭСКРОУ</x:v>
      </x:c>
      <x:c r="AF1" s="4" t="str">
        <x:v>КРЕДИТЫ · БРИДЖ, ПРОЕКТНОЕ ФИНАНСИРОВАНИЕ И ЭСКРОУ</x:v>
      </x:c>
      <x:c r="AG1" s="4" t="str">
        <x:v>КРЕДИТЫ · БРИДЖ, ПРОЕКТНОЕ ФИНАНСИРОВАНИЕ И ЭСКРОУ</x:v>
      </x:c>
      <x:c r="AH1" s="4" t="str">
        <x:v>КРЕДИТЫ · БРИДЖ, ПРОЕКТНОЕ ФИНАНСИРОВАНИЕ И ЭСКРОУ</x:v>
      </x:c>
      <x:c r="AI1" s="4" t="str">
        <x:v>КРЕДИТЫ · БРИДЖ, ПРОЕКТНОЕ ФИНАНСИРОВАНИЕ И ЭСКРОУ</x:v>
      </x:c>
      <x:c r="AJ1" s="4" t="str">
        <x:v>КРЕДИТЫ · БРИДЖ, ПРОЕКТНОЕ ФИНАНСИРОВАНИЕ И ЭСКРОУ</x:v>
      </x:c>
      <x:c r="AK1" s="4" t="str">
        <x:v>КРЕДИТЫ · БРИДЖ, ПРОЕКТНОЕ ФИНАНСИРОВАНИЕ И ЭСКРОУ</x:v>
      </x:c>
      <x:c r="AL1" s="4" t="str">
        <x:v>КРЕДИТЫ · БРИДЖ, ПРОЕКТНОЕ ФИНАНСИРОВАНИЕ И ЭСКРОУ</x:v>
      </x:c>
      <x:c r="AM1" s="4" t="str">
        <x:v>КРЕДИТЫ · БРИДЖ, ПРОЕКТНОЕ ФИНАНСИРОВАНИЕ И ЭСКРОУ</x:v>
      </x:c>
      <x:c r="AN1" s="4" t="str">
        <x:v>КРЕДИТЫ · БРИДЖ, ПРОЕКТНОЕ ФИНАНСИРОВАНИЕ И ЭСКРОУ</x:v>
      </x:c>
      <x:c r="AO1" s="4" t="str">
        <x:v>КРЕДИТЫ · БРИДЖ, ПРОЕКТНОЕ ФИНАНСИРОВАНИЕ И ЭСКРОУ</x:v>
      </x:c>
      <x:c r="AP1" s="4" t="str">
        <x:v>КРЕДИТЫ · БРИДЖ, ПРОЕКТНОЕ ФИНАНСИРОВАНИЕ И ЭСКРОУ</x:v>
      </x:c>
      <x:c r="AQ1" s="4" t="str">
        <x:v>КРЕДИТЫ · БРИДЖ, ПРОЕКТНОЕ ФИНАНСИРОВАНИЕ И ЭСКРОУ</x:v>
      </x:c>
      <x:c r="AR1" s="4" t="str">
        <x:v>КРЕДИТЫ · БРИДЖ, ПРОЕКТНОЕ ФИНАНСИРОВАНИЕ И ЭСКРОУ</x:v>
      </x:c>
      <x:c r="AS1" s="4" t="str">
        <x:v>КРЕДИТЫ · БРИДЖ, ПРОЕКТНОЕ ФИНАНСИРОВАНИЕ И ЭСКРОУ</x:v>
      </x:c>
      <x:c r="AT1" s="4" t="str">
        <x:v>КРЕДИТЫ · БРИДЖ, ПРОЕКТНОЕ ФИНАНСИРОВАНИЕ И ЭСКРОУ</x:v>
      </x:c>
      <x:c r="AU1" s="4" t="str">
        <x:v>КРЕДИТЫ · БРИДЖ, ПРОЕКТНОЕ ФИНАНСИРОВАНИЕ И ЭСКРОУ</x:v>
      </x:c>
      <x:c r="AV1" s="4" t="str">
        <x:v>КРЕДИТЫ · БРИДЖ, ПРОЕКТНОЕ ФИНАНСИРОВАНИЕ И ЭСКРОУ</x:v>
      </x:c>
      <x:c r="AW1" s="4" t="str">
        <x:v>КРЕДИТЫ · БРИДЖ, ПРОЕКТНОЕ ФИНАНСИРОВАНИЕ И ЭСКРОУ</x:v>
      </x:c>
      <x:c r="AX1" s="4" t="str">
        <x:v>КРЕДИТЫ · БРИДЖ, ПРОЕКТНОЕ ФИНАНСИРОВАНИЕ И ЭСКРОУ</x:v>
      </x:c>
      <x:c r="AY1" s="4" t="str">
        <x:v>КРЕДИТЫ · БРИДЖ, ПРОЕКТНОЕ ФИНАНСИРОВАНИЕ И ЭСКРОУ</x:v>
      </x:c>
      <x:c r="AZ1" s="4" t="str">
        <x:v>КРЕДИТЫ · БРИДЖ, ПРОЕКТНОЕ ФИНАНСИРОВАНИЕ И ЭСКРОУ</x:v>
      </x:c>
      <x:c r="BA1" s="4" t="str">
        <x:v>КРЕДИТЫ · БРИДЖ, ПРОЕКТНОЕ ФИНАНСИРОВАНИЕ И ЭСКРОУ</x:v>
      </x:c>
      <x:c r="BB1" s="4" t="str">
        <x:v>КРЕДИТЫ · БРИДЖ, ПРОЕКТНОЕ ФИНАНСИРОВАНИЕ И ЭСКРОУ</x:v>
      </x:c>
      <x:c r="BC1" s="4" t="str">
        <x:v>КРЕДИТЫ · БРИДЖ, ПРОЕКТНОЕ ФИНАНСИРОВАНИЕ И ЭСКРОУ</x:v>
      </x:c>
      <x:c r="BD1" s="4" t="str">
        <x:v>КРЕДИТЫ · БРИДЖ, ПРОЕКТНОЕ ФИНАНСИРОВАНИЕ И ЭСКРОУ</x:v>
      </x:c>
      <x:c r="BE1" s="4" t="str">
        <x:v>КРЕДИТЫ · БРИДЖ, ПРОЕКТНОЕ ФИНАНСИРОВАНИЕ И ЭСКРОУ</x:v>
      </x:c>
      <x:c r="BF1" s="4" t="str">
        <x:v>КРЕДИТЫ · БРИДЖ, ПРОЕКТНОЕ ФИНАНСИРОВАНИЕ И ЭСКРОУ</x:v>
      </x:c>
      <x:c r="BG1" s="4" t="str">
        <x:v>КРЕДИТЫ · БРИДЖ, ПРОЕКТНОЕ ФИНАНСИРОВАНИЕ И ЭСКРОУ</x:v>
      </x:c>
      <x:c r="BH1" s="4" t="str">
        <x:v>КРЕДИТЫ · БРИДЖ, ПРОЕКТНОЕ ФИНАНСИРОВАНИЕ И ЭСКРОУ</x:v>
      </x:c>
      <x:c r="BI1" s="4" t="str">
        <x:v>КРЕДИТЫ · БРИДЖ, ПРОЕКТНОЕ ФИНАНСИРОВАНИЕ И ЭСКРОУ</x:v>
      </x:c>
      <x:c r="BJ1" s="4" t="str">
        <x:v>КРЕДИТЫ · БРИДЖ, ПРОЕКТНОЕ ФИНАНСИРОВАНИЕ И ЭСКРОУ</x:v>
      </x:c>
      <x:c r="BK1" s="4" t="str">
        <x:v>КРЕДИТЫ · БРИДЖ, ПРОЕКТНОЕ ФИНАНСИРОВАНИЕ И ЭСКРОУ</x:v>
      </x:c>
      <x:c r="BL1" s="4" t="str">
        <x:v>КРЕДИТЫ · БРИДЖ, ПРОЕКТНОЕ ФИНАНСИРОВАНИЕ И ЭСКРОУ</x:v>
      </x:c>
      <x:c r="BM1" s="4" t="str">
        <x:v>КРЕДИТЫ · БРИДЖ, ПРОЕКТНОЕ ФИНАНСИРОВАНИЕ И ЭСКРОУ</x:v>
      </x:c>
      <x:c r="BN1" s="4" t="str">
        <x:v>КРЕДИТЫ · БРИДЖ, ПРОЕКТНОЕ ФИНАНСИРОВАНИЕ И ЭСКРОУ</x:v>
      </x:c>
      <x:c r="BO1" s="4" t="str">
        <x:v>КРЕДИТЫ · БРИДЖ, ПРОЕКТНОЕ ФИНАНСИРОВАНИЕ И ЭСКРОУ</x:v>
      </x:c>
      <x:c r="BP1" s="4" t="str">
        <x:v>КРЕДИТЫ · БРИДЖ, ПРОЕКТНОЕ ФИНАНСИРОВАНИЕ И ЭСКРОУ</x:v>
      </x:c>
      <x:c r="BQ1" s="4" t="str">
        <x:v>КРЕДИТЫ · БРИДЖ, ПРОЕКТНОЕ ФИНАНСИРОВАНИЕ И ЭСКРОУ</x:v>
      </x:c>
      <x:c r="BR1" s="4" t="str">
        <x:v>КРЕДИТЫ · БРИДЖ, ПРОЕКТНОЕ ФИНАНСИРОВАНИЕ И ЭСКРОУ</x:v>
      </x:c>
      <x:c r="BS1" s="4" t="str">
        <x:v>КРЕДИТЫ · БРИДЖ, ПРОЕКТНОЕ ФИНАНСИРОВАНИЕ И ЭСКРОУ</x:v>
      </x:c>
      <x:c r="BT1" s="4" t="str">
        <x:v>КРЕДИТЫ · БРИДЖ, ПРОЕКТНОЕ ФИНАНСИРОВАНИЕ И ЭСКРОУ</x:v>
      </x:c>
      <x:c r="BU1" s="4" t="str">
        <x:v>КРЕДИТЫ · БРИДЖ, ПРОЕКТНОЕ ФИНАНСИРОВАНИЕ И ЭСКРОУ</x:v>
      </x:c>
      <x:c r="BV1" s="4" t="str">
        <x:v>КРЕДИТЫ · БРИДЖ, ПРОЕКТНОЕ ФИНАНСИРОВАНИЕ И ЭСКРОУ</x:v>
      </x:c>
      <x:c r="BW1" s="4" t="str">
        <x:v>КРЕДИТЫ · БРИДЖ, ПРОЕКТНОЕ ФИНАНСИРОВАНИЕ И ЭСКРОУ</x:v>
      </x:c>
      <x:c r="BX1" s="4" t="str">
        <x:v>КРЕДИТЫ · БРИДЖ, ПРОЕКТНОЕ ФИНАНСИРОВАНИЕ И ЭСКРОУ</x:v>
      </x:c>
      <x:c r="BY1" s="4" t="str">
        <x:v>КРЕДИТЫ · БРИДЖ, ПРОЕКТНОЕ ФИНАНСИРОВАНИЕ И ЭСКРОУ</x:v>
      </x:c>
      <x:c r="BZ1" s="4" t="str">
        <x:v>КРЕДИТЫ · БРИДЖ, ПРОЕКТНОЕ ФИНАНСИРОВАНИЕ И ЭСКРОУ</x:v>
      </x:c>
      <x:c r="CA1" s="4" t="str">
        <x:v>КРЕДИТЫ · БРИДЖ, ПРОЕКТНОЕ ФИНАНСИРОВАНИЕ И ЭСКРОУ</x:v>
      </x:c>
      <x:c r="CB1" s="4" t="str">
        <x:v>КРЕДИТЫ · БРИДЖ, ПРОЕКТНОЕ ФИНАНСИРОВАНИЕ И ЭСКРОУ</x:v>
      </x:c>
      <x:c r="CC1" s="4" t="str">
        <x:v>КРЕДИТЫ · БРИДЖ, ПРОЕКТНОЕ ФИНАНСИРОВАНИЕ И ЭСКРОУ</x:v>
      </x:c>
      <x:c r="CD1" s="4" t="str">
        <x:v>КРЕДИТЫ · БРИДЖ, ПРОЕКТНОЕ ФИНАНСИРОВАНИЕ И ЭСКРОУ</x:v>
      </x:c>
      <x:c r="CE1" s="4" t="str">
        <x:v>КРЕДИТЫ · БРИДЖ, ПРОЕКТНОЕ ФИНАНСИРОВАНИЕ И ЭСКРОУ</x:v>
      </x:c>
      <x:c r="CF1" s="4" t="str">
        <x:v>КРЕДИТЫ · БРИДЖ, ПРОЕКТНОЕ ФИНАНСИРОВАНИЕ И ЭСКРОУ</x:v>
      </x:c>
      <x:c r="CG1" s="4" t="str">
        <x:v>КРЕДИТЫ · БРИДЖ, ПРОЕКТНОЕ ФИНАНСИРОВАНИЕ И ЭСКРОУ</x:v>
      </x:c>
      <x:c r="CH1" s="4" t="str">
        <x:v>КРЕДИТЫ · БРИДЖ, ПРОЕКТНОЕ ФИНАНСИРОВАНИЕ И ЭСКРОУ</x:v>
      </x:c>
      <x:c r="CI1" s="4" t="str">
        <x:v>КРЕДИТЫ · БРИДЖ, ПРОЕКТНОЕ ФИНАНСИРОВАНИЕ И ЭСКРОУ</x:v>
      </x:c>
      <x:c r="CJ1" s="4" t="str">
        <x:v>КРЕДИТЫ · БРИДЖ, ПРОЕКТНОЕ ФИНАНСИРОВАНИЕ И ЭСКРОУ</x:v>
      </x:c>
      <x:c r="CK1" s="4" t="str">
        <x:v>КРЕДИТЫ · БРИДЖ, ПРОЕКТНОЕ ФИНАНСИРОВАНИЕ И ЭСКРОУ</x:v>
      </x:c>
      <x:c r="CL1" s="4" t="str">
        <x:v>КРЕДИТЫ · БРИДЖ, ПРОЕКТНОЕ ФИНАНСИРОВАНИЕ И ЭСКРОУ</x:v>
      </x:c>
      <x:c r="CM1" s="4" t="str">
        <x:v>КРЕДИТЫ · БРИДЖ, ПРОЕКТНОЕ ФИНАНСИРОВАНИЕ И ЭСКРОУ</x:v>
      </x:c>
      <x:c r="CN1" s="4" t="str">
        <x:v>КРЕДИТЫ · БРИДЖ, ПРОЕКТНОЕ ФИНАНСИРОВАНИЕ И ЭСКРОУ</x:v>
      </x:c>
      <x:c r="CO1" s="4" t="str">
        <x:v>КРЕДИТЫ · БРИДЖ, ПРОЕКТНОЕ ФИНАНСИРОВАНИЕ И ЭСКРОУ</x:v>
      </x:c>
      <x:c r="CP1" s="4" t="str">
        <x:v>КРЕДИТЫ · БРИДЖ, ПРОЕКТНОЕ ФИНАНСИРОВАНИЕ И ЭСКРОУ</x:v>
      </x:c>
      <x:c r="CQ1" s="4" t="str">
        <x:v>КРЕДИТЫ · БРИДЖ, ПРОЕКТНОЕ ФИНАНСИРОВАНИЕ И ЭСКРОУ</x:v>
      </x:c>
      <x:c r="CR1" s="4" t="str">
        <x:v>КРЕДИТЫ · БРИДЖ, ПРОЕКТНОЕ ФИНАНСИРОВАНИЕ И ЭСКРОУ</x:v>
      </x:c>
      <x:c r="CS1" s="4" t="str">
        <x:v>КРЕДИТЫ · БРИДЖ, ПРОЕКТНОЕ ФИНАНСИРОВАНИЕ И ЭСКРОУ</x:v>
      </x:c>
      <x:c r="CT1" s="4" t="str">
        <x:v>КРЕДИТЫ · БРИДЖ, ПРОЕКТНОЕ ФИНАНСИРОВАНИЕ И ЭСКРОУ</x:v>
      </x:c>
      <x:c r="CU1" s="4" t="str">
        <x:v>КРЕДИТЫ · БРИДЖ, ПРОЕКТНОЕ ФИНАНСИРОВАНИЕ И ЭСКРОУ</x:v>
      </x:c>
      <x:c r="CV1" s="4" t="str">
        <x:v>КРЕДИТЫ · БРИДЖ, ПРОЕКТНОЕ ФИНАНСИРОВАНИЕ И ЭСКРОУ</x:v>
      </x:c>
      <x:c r="CW1" s="4" t="str">
        <x:v>КРЕДИТЫ · БРИДЖ, ПРОЕКТНОЕ ФИНАНСИРОВАНИЕ И ЭСКРОУ</x:v>
      </x:c>
      <x:c r="CX1" s="4" t="str">
        <x:v>КРЕДИТЫ · БРИДЖ, ПРОЕКТНОЕ ФИНАНСИРОВАНИЕ И ЭСКРОУ</x:v>
      </x:c>
      <x:c r="CY1" s="4" t="str">
        <x:v>КРЕДИТЫ · БРИДЖ, ПРОЕКТНОЕ ФИНАНСИРОВАНИЕ И ЭСКРОУ</x:v>
      </x:c>
      <x:c r="CZ1" s="4" t="str">
        <x:v>КРЕДИТЫ · БРИДЖ, ПРОЕКТНОЕ ФИНАНСИРОВАНИЕ И ЭСКРОУ</x:v>
      </x:c>
      <x:c r="DA1" s="4" t="str">
        <x:v>КРЕДИТЫ · БРИДЖ, ПРОЕКТНОЕ ФИНАНСИРОВАНИЕ И ЭСКРОУ</x:v>
      </x:c>
      <x:c r="DB1" s="4" t="str">
        <x:v>КРЕДИТЫ · БРИДЖ, ПРОЕКТНОЕ ФИНАНСИРОВАНИЕ И ЭСКРОУ</x:v>
      </x:c>
      <x:c r="DC1" s="4" t="str">
        <x:v>КРЕДИТЫ · БРИДЖ, ПРОЕКТНОЕ ФИНАНСИРОВАНИЕ И ЭСКРОУ</x:v>
      </x:c>
      <x:c r="DD1" s="4" t="str">
        <x:v>КРЕДИТЫ · БРИДЖ, ПРОЕКТНОЕ ФИНАНСИРОВАНИЕ И ЭСКРОУ</x:v>
      </x:c>
      <x:c r="DE1" s="4" t="str">
        <x:v>КРЕДИТЫ · БРИДЖ, ПРОЕКТНОЕ ФИНАНСИРОВАНИЕ И ЭСКРОУ</x:v>
      </x:c>
      <x:c r="DF1" s="4" t="str">
        <x:v>КРЕДИТЫ · БРИДЖ, ПРОЕКТНОЕ ФИНАНСИРОВАНИЕ И ЭСКРОУ</x:v>
      </x:c>
      <x:c r="DG1" s="4" t="str">
        <x:v>КРЕДИТЫ · БРИДЖ, ПРОЕКТНОЕ ФИНАНСИРОВАНИЕ И ЭСКРОУ</x:v>
      </x:c>
      <x:c r="DH1" s="4" t="str">
        <x:v>КРЕДИТЫ · БРИДЖ, ПРОЕКТНОЕ ФИНАНСИРОВАНИЕ И ЭСКРОУ</x:v>
      </x:c>
      <x:c r="DI1" s="4" t="str">
        <x:v>КРЕДИТЫ · БРИДЖ, ПРОЕКТНОЕ ФИНАНСИРОВАНИЕ И ЭСКРОУ</x:v>
      </x:c>
      <x:c r="DJ1" s="4" t="str">
        <x:v>КРЕДИТЫ · БРИДЖ, ПРОЕКТНОЕ ФИНАНСИРОВАНИЕ И ЭСКРОУ</x:v>
      </x:c>
      <x:c r="DK1" s="4" t="str">
        <x:v>КРЕДИТЫ · БРИДЖ, ПРОЕКТНОЕ ФИНАНСИРОВАНИЕ И ЭСКРОУ</x:v>
      </x:c>
      <x:c r="DL1" s="4" t="str">
        <x:v>КРЕДИТЫ · БРИДЖ, ПРОЕКТНОЕ ФИНАНСИРОВАНИЕ И ЭСКРОУ</x:v>
      </x:c>
      <x:c r="DM1" s="4" t="str">
        <x:v>КРЕДИТЫ · БРИДЖ, ПРОЕКТНОЕ ФИНАНСИРОВАНИЕ И ЭСКРОУ</x:v>
      </x:c>
      <x:c r="DN1" s="4" t="str">
        <x:v>КРЕДИТЫ · БРИДЖ, ПРОЕКТНОЕ ФИНАНСИРОВАНИЕ И ЭСКРОУ</x:v>
      </x:c>
      <x:c r="DO1" s="4" t="str">
        <x:v>КРЕДИТЫ · БРИДЖ, ПРОЕКТНОЕ ФИНАНСИРОВАНИЕ И ЭСКРОУ</x:v>
      </x:c>
      <x:c r="DP1" s="4" t="str">
        <x:v>КРЕДИТЫ · БРИДЖ, ПРОЕКТНОЕ ФИНАНСИРОВАНИЕ И ЭСКРОУ</x:v>
      </x:c>
      <x:c r="DQ1" s="4" t="str">
        <x:v>КРЕДИТЫ · БРИДЖ, ПРОЕКТНОЕ ФИНАНСИРОВАНИЕ И ЭСКРОУ</x:v>
      </x:c>
      <x:c r="DR1" s="4" t="str">
        <x:v>КРЕДИТЫ · БРИДЖ, ПРОЕКТНОЕ ФИНАНСИРОВАНИЕ И ЭСКРОУ</x:v>
      </x:c>
      <x:c r="DS1" s="4" t="str">
        <x:v>КРЕДИТЫ · БРИДЖ, ПРОЕКТНОЕ ФИНАНСИРОВАНИЕ И ЭСКРОУ</x:v>
      </x:c>
      <x:c r="DT1" s="4" t="str"/>
      <x:c r="DU1" s="4" t="str"/>
      <x:c r="DV1" s="4" t="str"/>
      <x:c r="DW1" s="4" t="str"/>
      <x:c r="DX1" s="4" t="str"/>
      <x:c r="DY1" s="4" t="str"/>
      <x:c r="DZ1" s="4" t="str"/>
      <x:c r="EA1" s="4" t="str"/>
      <x:c r="EB1" s="4" t="str"/>
      <x:c r="EC1" s="4" t="str"/>
      <x:c r="ED1" s="4" t="str"/>
      <x:c r="EE1" s="4" t="str"/>
      <x:c r="EF1" s="4" t="str"/>
      <x:c r="EG1" s="4" t="str"/>
      <x:c r="EH1" s="4" t="str"/>
      <x:c r="EI1" s="4" t="str"/>
      <x:c r="EJ1" s="4" t="str"/>
      <x:c r="EK1" s="4" t="str"/>
      <x:c r="EL1" s="4" t="str"/>
      <x:c r="EM1" s="4" t="str"/>
      <x:c r="EN1" s="4" t="str"/>
      <x:c r="EO1" s="4" t="str"/>
      <x:c r="EP1" s="4" t="str"/>
      <x:c r="EQ1" s="4" t="str"/>
      <x:c r="ER1" s="4" t="str"/>
      <x:c r="ES1" s="4" t="str"/>
      <x:c r="ET1" s="4" t="str"/>
      <x:c r="EU1" s="4" t="str"/>
      <x:c r="EV1" s="4" t="str"/>
      <x:c r="EW1" s="4" t="str"/>
      <x:c r="EX1" s="4" t="str"/>
      <x:c r="EY1" s="4" t="str"/>
      <x:c r="EZ1" s="4" t="str"/>
      <x:c r="FA1" s="4" t="str"/>
      <x:c r="FB1" s="4" t="str"/>
      <x:c r="FC1" s="4" t="str"/>
      <x:c r="FD1" s="4" t="str"/>
      <x:c r="FE1" s="4" t="str"/>
      <x:c r="FF1" s="4" t="str"/>
      <x:c r="FG1" s="4" t="str"/>
      <x:c r="FH1" s="4" t="str"/>
      <x:c r="FI1" s="4" t="str"/>
      <x:c r="FJ1" s="4" t="str"/>
      <x:c r="FK1" s="4" t="str"/>
      <x:c r="FL1" s="4" t="str"/>
      <x:c r="FM1" s="4" t="str"/>
      <x:c r="FN1" s="4" t="str"/>
      <x:c r="FO1" s="4" t="str"/>
      <x:c r="FP1" s="4" t="str"/>
      <x:c r="FQ1" s="4" t="str"/>
      <x:c r="FR1" s="4" t="str"/>
      <x:c r="FS1" s="4" t="str"/>
      <x:c r="FT1" s="4" t="str"/>
      <x:c r="FU1" s="4" t="str"/>
      <x:c r="FV1" s="4" t="str"/>
      <x:c r="FW1" s="4" t="str"/>
      <x:c r="FX1" s="4" t="str"/>
      <x:c r="FY1" s="4" t="str"/>
      <x:c r="FZ1" s="4" t="str"/>
      <x:c r="GA1" s="4" t="str"/>
    </x:row>
    <x:row r="3">
      <x:c r="A3" s="23" t="str">
        <x:v>Показатель</x:v>
      </x:c>
      <x:c r="B3" s="23" t="str">
        <x:v>Максимум / сумма</x:v>
      </x:c>
      <x:c r="C3" s="23" t="str">
        <x:v>Ед.</x:v>
      </x:c>
      <x:c r="D3" s="102" t="n">
        <x:f>'Ставки'!$D$3</x:f>
      </x:c>
      <x:c r="E3" s="102" t="n">
        <x:f>'Ставки'!$E$3</x:f>
      </x:c>
      <x:c r="F3" s="102" t="n">
        <x:f>'Ставки'!$F$3</x:f>
      </x:c>
      <x:c r="G3" s="102" t="n">
        <x:f>'Ставки'!$G$3</x:f>
      </x:c>
      <x:c r="H3" s="102" t="n">
        <x:f>'Ставки'!$H$3</x:f>
      </x:c>
      <x:c r="I3" s="102" t="n">
        <x:f>'Ставки'!$I$3</x:f>
      </x:c>
      <x:c r="J3" s="102" t="n">
        <x:f>'Ставки'!$J$3</x:f>
      </x:c>
      <x:c r="K3" s="102" t="n">
        <x:f>'Ставки'!$K$3</x:f>
      </x:c>
      <x:c r="L3" s="102" t="n">
        <x:f>'Ставки'!$L$3</x:f>
      </x:c>
      <x:c r="M3" s="102" t="n">
        <x:f>'Ставки'!$M$3</x:f>
      </x:c>
      <x:c r="N3" s="102" t="n">
        <x:f>'Ставки'!$N$3</x:f>
      </x:c>
      <x:c r="O3" s="102" t="n">
        <x:f>'Ставки'!$O$3</x:f>
      </x:c>
      <x:c r="P3" s="102" t="n">
        <x:f>'Ставки'!$P$3</x:f>
      </x:c>
      <x:c r="Q3" s="102" t="n">
        <x:f>'Ставки'!$Q$3</x:f>
      </x:c>
      <x:c r="R3" s="102" t="n">
        <x:f>'Ставки'!$R$3</x:f>
      </x:c>
      <x:c r="S3" s="102" t="n">
        <x:f>'Ставки'!$S$3</x:f>
      </x:c>
      <x:c r="T3" s="102" t="n">
        <x:f>'Ставки'!$T$3</x:f>
      </x:c>
      <x:c r="U3" s="102" t="n">
        <x:f>'Ставки'!$U$3</x:f>
      </x:c>
      <x:c r="V3" s="102" t="n">
        <x:f>'Ставки'!$V$3</x:f>
      </x:c>
      <x:c r="W3" s="102" t="n">
        <x:f>'Ставки'!$W$3</x:f>
      </x:c>
      <x:c r="X3" s="102" t="n">
        <x:f>'Ставки'!$X$3</x:f>
      </x:c>
      <x:c r="Y3" s="102" t="n">
        <x:f>'Ставки'!$Y$3</x:f>
      </x:c>
      <x:c r="Z3" s="102" t="n">
        <x:f>'Ставки'!$Z$3</x:f>
      </x:c>
      <x:c r="AA3" s="102" t="n">
        <x:f>'Ставки'!$AA$3</x:f>
      </x:c>
      <x:c r="AB3" s="102" t="n">
        <x:f>'Ставки'!$AB$3</x:f>
      </x:c>
      <x:c r="AC3" s="102" t="n">
        <x:f>'Ставки'!$AC$3</x:f>
      </x:c>
      <x:c r="AD3" s="102" t="n">
        <x:f>'Ставки'!$AD$3</x:f>
      </x:c>
      <x:c r="AE3" s="102" t="n">
        <x:f>'Ставки'!$AE$3</x:f>
      </x:c>
      <x:c r="AF3" s="102" t="n">
        <x:f>'Ставки'!$AF$3</x:f>
      </x:c>
      <x:c r="AG3" s="102" t="n">
        <x:f>'Ставки'!$AG$3</x:f>
      </x:c>
      <x:c r="AH3" s="102" t="n">
        <x:f>'Ставки'!$AH$3</x:f>
      </x:c>
      <x:c r="AI3" s="102" t="n">
        <x:f>'Ставки'!$AI$3</x:f>
      </x:c>
      <x:c r="AJ3" s="102" t="n">
        <x:f>'Ставки'!$AJ$3</x:f>
      </x:c>
      <x:c r="AK3" s="102" t="n">
        <x:f>'Ставки'!$AK$3</x:f>
      </x:c>
      <x:c r="AL3" s="102" t="n">
        <x:f>'Ставки'!$AL$3</x:f>
      </x:c>
      <x:c r="AM3" s="102" t="n">
        <x:f>'Ставки'!$AM$3</x:f>
      </x:c>
      <x:c r="AN3" s="102" t="n">
        <x:f>'Ставки'!$AN$3</x:f>
      </x:c>
      <x:c r="AO3" s="102" t="n">
        <x:f>'Ставки'!$AO$3</x:f>
      </x:c>
      <x:c r="AP3" s="102" t="n">
        <x:f>'Ставки'!$AP$3</x:f>
      </x:c>
      <x:c r="AQ3" s="102" t="n">
        <x:f>'Ставки'!$AQ$3</x:f>
      </x:c>
      <x:c r="AR3" s="102" t="n">
        <x:f>'Ставки'!$AR$3</x:f>
      </x:c>
      <x:c r="AS3" s="102" t="n">
        <x:f>'Ставки'!$AS$3</x:f>
      </x:c>
      <x:c r="AT3" s="102" t="n">
        <x:f>'Ставки'!$AT$3</x:f>
      </x:c>
      <x:c r="AU3" s="102" t="n">
        <x:f>'Ставки'!$AU$3</x:f>
      </x:c>
      <x:c r="AV3" s="102" t="n">
        <x:f>'Ставки'!$AV$3</x:f>
      </x:c>
      <x:c r="AW3" s="102" t="n">
        <x:f>'Ставки'!$AW$3</x:f>
      </x:c>
      <x:c r="AX3" s="102" t="n">
        <x:f>'Ставки'!$AX$3</x:f>
      </x:c>
      <x:c r="AY3" s="102" t="n">
        <x:f>'Ставки'!$AY$3</x:f>
      </x:c>
      <x:c r="AZ3" s="102" t="n">
        <x:f>'Ставки'!$AZ$3</x:f>
      </x:c>
      <x:c r="BA3" s="102" t="n">
        <x:f>'Ставки'!$BA$3</x:f>
      </x:c>
      <x:c r="BB3" s="102" t="n">
        <x:f>'Ставки'!$BB$3</x:f>
      </x:c>
      <x:c r="BC3" s="102" t="n">
        <x:f>'Ставки'!$BC$3</x:f>
      </x:c>
      <x:c r="BD3" s="102" t="n">
        <x:f>'Ставки'!$BD$3</x:f>
      </x:c>
      <x:c r="BE3" s="102" t="n">
        <x:f>'Ставки'!$BE$3</x:f>
      </x:c>
      <x:c r="BF3" s="102" t="n">
        <x:f>'Ставки'!$BF$3</x:f>
      </x:c>
      <x:c r="BG3" s="102" t="n">
        <x:f>'Ставки'!$BG$3</x:f>
      </x:c>
      <x:c r="BH3" s="102" t="n">
        <x:f>'Ставки'!$BH$3</x:f>
      </x:c>
      <x:c r="BI3" s="102" t="n">
        <x:f>'Ставки'!$BI$3</x:f>
      </x:c>
      <x:c r="BJ3" s="102" t="n">
        <x:f>'Ставки'!$BJ$3</x:f>
      </x:c>
      <x:c r="BK3" s="102" t="n">
        <x:f>'Ставки'!$BK$3</x:f>
      </x:c>
      <x:c r="BL3" s="102" t="n">
        <x:f>'Ставки'!$BL$3</x:f>
      </x:c>
      <x:c r="BM3" s="102" t="n">
        <x:f>'Ставки'!$BM$3</x:f>
      </x:c>
      <x:c r="BN3" s="102" t="n">
        <x:f>'Ставки'!$BN$3</x:f>
      </x:c>
      <x:c r="BO3" s="102" t="n">
        <x:f>'Ставки'!$BO$3</x:f>
      </x:c>
      <x:c r="BP3" s="102" t="n">
        <x:f>'Ставки'!$BP$3</x:f>
      </x:c>
      <x:c r="BQ3" s="102" t="n">
        <x:f>'Ставки'!$BQ$3</x:f>
      </x:c>
      <x:c r="BR3" s="102" t="n">
        <x:f>'Ставки'!$BR$3</x:f>
      </x:c>
      <x:c r="BS3" s="102" t="n">
        <x:f>'Ставки'!$BS$3</x:f>
      </x:c>
      <x:c r="BT3" s="102" t="n">
        <x:f>'Ставки'!$BT$3</x:f>
      </x:c>
      <x:c r="BU3" s="102" t="n">
        <x:f>'Ставки'!$BU$3</x:f>
      </x:c>
      <x:c r="BV3" s="102" t="n">
        <x:f>'Ставки'!$BV$3</x:f>
      </x:c>
      <x:c r="BW3" s="102" t="n">
        <x:f>'Ставки'!$BW$3</x:f>
      </x:c>
      <x:c r="BX3" s="102" t="n">
        <x:f>'Ставки'!$BX$3</x:f>
      </x:c>
      <x:c r="BY3" s="102" t="n">
        <x:f>'Ставки'!$BY$3</x:f>
      </x:c>
      <x:c r="BZ3" s="102" t="n">
        <x:f>'Ставки'!$BZ$3</x:f>
      </x:c>
      <x:c r="CA3" s="102" t="n">
        <x:f>'Ставки'!$CA$3</x:f>
      </x:c>
      <x:c r="CB3" s="102" t="n">
        <x:f>'Ставки'!$CB$3</x:f>
      </x:c>
      <x:c r="CC3" s="102" t="n">
        <x:f>'Ставки'!$CC$3</x:f>
      </x:c>
      <x:c r="CD3" s="102" t="n">
        <x:f>'Ставки'!$CD$3</x:f>
      </x:c>
      <x:c r="CE3" s="102" t="n">
        <x:f>'Ставки'!$CE$3</x:f>
      </x:c>
      <x:c r="CF3" s="102" t="n">
        <x:f>'Ставки'!$CF$3</x:f>
      </x:c>
      <x:c r="CG3" s="102" t="n">
        <x:f>'Ставки'!$CG$3</x:f>
      </x:c>
      <x:c r="CH3" s="102" t="n">
        <x:f>'Ставки'!$CH$3</x:f>
      </x:c>
      <x:c r="CI3" s="102" t="n">
        <x:f>'Ставки'!$CI$3</x:f>
      </x:c>
      <x:c r="CJ3" s="102" t="n">
        <x:f>'Ставки'!$CJ$3</x:f>
      </x:c>
      <x:c r="CK3" s="102" t="n">
        <x:f>'Ставки'!$CK$3</x:f>
      </x:c>
      <x:c r="CL3" s="102" t="n">
        <x:f>'Ставки'!$CL$3</x:f>
      </x:c>
      <x:c r="CM3" s="102" t="n">
        <x:f>'Ставки'!$CM$3</x:f>
      </x:c>
      <x:c r="CN3" s="102" t="n">
        <x:f>'Ставки'!$CN$3</x:f>
      </x:c>
      <x:c r="CO3" s="102" t="n">
        <x:f>'Ставки'!$CO$3</x:f>
      </x:c>
      <x:c r="CP3" s="102" t="n">
        <x:f>'Ставки'!$CP$3</x:f>
      </x:c>
      <x:c r="CQ3" s="102" t="n">
        <x:f>'Ставки'!$CQ$3</x:f>
      </x:c>
      <x:c r="CR3" s="102" t="n">
        <x:f>'Ставки'!$CR$3</x:f>
      </x:c>
      <x:c r="CS3" s="102" t="n">
        <x:f>'Ставки'!$CS$3</x:f>
      </x:c>
      <x:c r="CT3" s="102" t="n">
        <x:f>'Ставки'!$CT$3</x:f>
      </x:c>
      <x:c r="CU3" s="102" t="n">
        <x:f>'Ставки'!$CU$3</x:f>
      </x:c>
      <x:c r="CV3" s="102" t="n">
        <x:f>'Ставки'!$CV$3</x:f>
      </x:c>
      <x:c r="CW3" s="102" t="n">
        <x:f>'Ставки'!$CW$3</x:f>
      </x:c>
      <x:c r="CX3" s="102" t="n">
        <x:f>'Ставки'!$CX$3</x:f>
      </x:c>
      <x:c r="CY3" s="102" t="n">
        <x:f>'Ставки'!$CY$3</x:f>
      </x:c>
      <x:c r="CZ3" s="102" t="n">
        <x:f>'Ставки'!$CZ$3</x:f>
      </x:c>
      <x:c r="DA3" s="102" t="n">
        <x:f>'Ставки'!$DA$3</x:f>
      </x:c>
      <x:c r="DB3" s="102" t="n">
        <x:f>'Ставки'!$DB$3</x:f>
      </x:c>
      <x:c r="DC3" s="102" t="n">
        <x:f>'Ставки'!$DC$3</x:f>
      </x:c>
      <x:c r="DD3" s="102" t="n">
        <x:f>'Ставки'!$DD$3</x:f>
      </x:c>
      <x:c r="DE3" s="102" t="n">
        <x:f>'Ставки'!$DE$3</x:f>
      </x:c>
      <x:c r="DF3" s="102" t="n">
        <x:f>'Ставки'!$DF$3</x:f>
      </x:c>
      <x:c r="DG3" s="102" t="n">
        <x:f>'Ставки'!$DG$3</x:f>
      </x:c>
      <x:c r="DH3" s="102" t="n">
        <x:f>'Ставки'!$DH$3</x:f>
      </x:c>
      <x:c r="DI3" s="102" t="n">
        <x:f>'Ставки'!$DI$3</x:f>
      </x:c>
      <x:c r="DJ3" s="102" t="n">
        <x:f>'Ставки'!$DJ$3</x:f>
      </x:c>
      <x:c r="DK3" s="102" t="n">
        <x:f>'Ставки'!$DK$3</x:f>
      </x:c>
      <x:c r="DL3" s="102" t="n">
        <x:f>'Ставки'!$DL$3</x:f>
      </x:c>
      <x:c r="DM3" s="102" t="n">
        <x:f>'Ставки'!$DM$3</x:f>
      </x:c>
      <x:c r="DN3" s="102" t="n">
        <x:f>'Ставки'!$DN$3</x:f>
      </x:c>
      <x:c r="DO3" s="102" t="n">
        <x:f>'Ставки'!$DO$3</x:f>
      </x:c>
      <x:c r="DP3" s="102" t="n">
        <x:f>'Ставки'!$DP$3</x:f>
      </x:c>
      <x:c r="DQ3" s="102" t="n">
        <x:f>'Ставки'!$DQ$3</x:f>
      </x:c>
      <x:c r="DR3" s="102" t="n">
        <x:f>'Ставки'!$DR$3</x:f>
      </x:c>
      <x:c r="DS3" s="102" t="n">
        <x:f>'Ставки'!$DS$3</x:f>
      </x:c>
      <x:c r="DT3" s="102" t="n">
        <x:f>'Ставки'!$DT$3</x:f>
      </x:c>
      <x:c r="DU3" s="102" t="n">
        <x:f>'Ставки'!$DU$3</x:f>
      </x:c>
      <x:c r="DV3" s="102" t="n">
        <x:f>'Ставки'!$DV$3</x:f>
      </x:c>
      <x:c r="DW3" s="102" t="n">
        <x:f>'Ставки'!$DW$3</x:f>
      </x:c>
      <x:c r="DX3" s="102" t="n">
        <x:f>'Ставки'!$DX$3</x:f>
      </x:c>
      <x:c r="DY3" s="102" t="n">
        <x:f>'Ставки'!$DY$3</x:f>
      </x:c>
      <x:c r="DZ3" s="102" t="n">
        <x:f>'Ставки'!$DZ$3</x:f>
      </x:c>
      <x:c r="EA3" s="102" t="n">
        <x:f>'Ставки'!$EA$3</x:f>
      </x:c>
      <x:c r="EB3" s="102" t="n">
        <x:f>'Ставки'!$EB$3</x:f>
      </x:c>
      <x:c r="EC3" s="102" t="n">
        <x:f>'Ставки'!$EC$3</x:f>
      </x:c>
      <x:c r="ED3" s="102" t="n">
        <x:f>'Ставки'!$ED$3</x:f>
      </x:c>
      <x:c r="EE3" s="102" t="n">
        <x:f>'Ставки'!$EE$3</x:f>
      </x:c>
      <x:c r="EF3" s="102" t="n">
        <x:f>'Ставки'!$EF$3</x:f>
      </x:c>
      <x:c r="EG3" s="102" t="n">
        <x:f>'Ставки'!$EG$3</x:f>
      </x:c>
      <x:c r="EH3" s="102" t="n">
        <x:f>'Ставки'!$EH$3</x:f>
      </x:c>
      <x:c r="EI3" s="102" t="n">
        <x:f>'Ставки'!$EI$3</x:f>
      </x:c>
      <x:c r="EJ3" s="102" t="n">
        <x:f>'Ставки'!$EJ$3</x:f>
      </x:c>
      <x:c r="EK3" s="102" t="n">
        <x:f>'Ставки'!$EK$3</x:f>
      </x:c>
      <x:c r="EL3" s="102" t="n">
        <x:f>'Ставки'!$EL$3</x:f>
      </x:c>
      <x:c r="EM3" s="102" t="n">
        <x:f>'Ставки'!$EM$3</x:f>
      </x:c>
      <x:c r="EN3" s="102" t="n">
        <x:f>'Ставки'!$EN$3</x:f>
      </x:c>
      <x:c r="EO3" s="102" t="n">
        <x:f>'Ставки'!$EO$3</x:f>
      </x:c>
      <x:c r="EP3" s="102" t="n">
        <x:f>'Ставки'!$EP$3</x:f>
      </x:c>
      <x:c r="EQ3" s="102" t="n">
        <x:f>'Ставки'!$EQ$3</x:f>
      </x:c>
      <x:c r="ER3" s="102" t="n">
        <x:f>'Ставки'!$ER$3</x:f>
      </x:c>
      <x:c r="ES3" s="102" t="n">
        <x:f>'Ставки'!$ES$3</x:f>
      </x:c>
      <x:c r="ET3" s="102" t="n">
        <x:f>'Ставки'!$ET$3</x:f>
      </x:c>
      <x:c r="EU3" s="102" t="n">
        <x:f>'Ставки'!$EU$3</x:f>
      </x:c>
      <x:c r="EV3" s="102" t="n">
        <x:f>'Ставки'!$EV$3</x:f>
      </x:c>
      <x:c r="EW3" s="102" t="n">
        <x:f>'Ставки'!$EW$3</x:f>
      </x:c>
      <x:c r="EX3" s="102" t="n">
        <x:f>'Ставки'!$EX$3</x:f>
      </x:c>
      <x:c r="EY3" s="102" t="n">
        <x:f>'Ставки'!$EY$3</x:f>
      </x:c>
      <x:c r="EZ3" s="102" t="n">
        <x:f>'Ставки'!$EZ$3</x:f>
      </x:c>
      <x:c r="FA3" s="102" t="n">
        <x:f>'Ставки'!$FA$3</x:f>
      </x:c>
      <x:c r="FB3" s="102" t="n">
        <x:f>'Ставки'!$FB$3</x:f>
      </x:c>
      <x:c r="FC3" s="102" t="n">
        <x:f>'Ставки'!$FC$3</x:f>
      </x:c>
      <x:c r="FD3" s="102" t="n">
        <x:f>'Ставки'!$FD$3</x:f>
      </x:c>
      <x:c r="FE3" s="102" t="n">
        <x:f>'Ставки'!$FE$3</x:f>
      </x:c>
      <x:c r="FF3" s="102" t="n">
        <x:f>'Ставки'!$FF$3</x:f>
      </x:c>
      <x:c r="FG3" s="102" t="n">
        <x:f>'Ставки'!$FG$3</x:f>
      </x:c>
      <x:c r="FH3" s="102" t="n">
        <x:f>'Ставки'!$FH$3</x:f>
      </x:c>
      <x:c r="FI3" s="102" t="n">
        <x:f>'Ставки'!$FI$3</x:f>
      </x:c>
      <x:c r="FJ3" s="102" t="n">
        <x:f>'Ставки'!$FJ$3</x:f>
      </x:c>
      <x:c r="FK3" s="102" t="n">
        <x:f>'Ставки'!$FK$3</x:f>
      </x:c>
      <x:c r="FL3" s="102" t="n">
        <x:f>'Ставки'!$FL$3</x:f>
      </x:c>
      <x:c r="FM3" s="102" t="n">
        <x:f>'Ставки'!$FM$3</x:f>
      </x:c>
      <x:c r="FN3" s="102" t="n">
        <x:f>'Ставки'!$FN$3</x:f>
      </x:c>
      <x:c r="FO3" s="102" t="n">
        <x:f>'Ставки'!$FO$3</x:f>
      </x:c>
      <x:c r="FP3" s="102" t="n">
        <x:f>'Ставки'!$FP$3</x:f>
      </x:c>
      <x:c r="FQ3" s="102" t="n">
        <x:f>'Ставки'!$FQ$3</x:f>
      </x:c>
      <x:c r="FR3" s="102" t="n">
        <x:f>'Ставки'!$FR$3</x:f>
      </x:c>
      <x:c r="FS3" s="102" t="n">
        <x:f>'Ставки'!$FS$3</x:f>
      </x:c>
      <x:c r="FT3" s="102" t="n">
        <x:f>'Ставки'!$FT$3</x:f>
      </x:c>
      <x:c r="FU3" s="102" t="n">
        <x:f>'Ставки'!$FU$3</x:f>
      </x:c>
      <x:c r="FV3" s="102" t="n">
        <x:f>'Ставки'!$FV$3</x:f>
      </x:c>
      <x:c r="FW3" s="102" t="n">
        <x:f>'Ставки'!$FW$3</x:f>
      </x:c>
      <x:c r="FX3" s="102" t="n">
        <x:f>'Ставки'!$FX$3</x:f>
      </x:c>
      <x:c r="FY3" s="102" t="n">
        <x:f>'Ставки'!$FY$3</x:f>
      </x:c>
      <x:c r="FZ3" s="102" t="n">
        <x:f>'Ставки'!$FZ$3</x:f>
      </x:c>
      <x:c r="GA3" s="102" t="n">
        <x:f>'Ставки'!$GA$3</x:f>
      </x:c>
    </x:row>
    <x:row r="4">
      <x:c r="A4" t="str">
        <x:v>Период</x:v>
      </x:c>
      <x:c r="B4"/>
      <x:c r="C4" t="str">
        <x:v>№</x:v>
      </x:c>
      <x:c r="D4" s="104" t="n">
        <x:f>1</x:f>
      </x:c>
      <x:c r="E4" s="104" t="n">
        <x:f>2</x:f>
      </x:c>
      <x:c r="F4" s="104" t="n">
        <x:f>3</x:f>
      </x:c>
      <x:c r="G4" s="104" t="n">
        <x:f>4</x:f>
      </x:c>
      <x:c r="H4" s="104" t="n">
        <x:f>5</x:f>
      </x:c>
      <x:c r="I4" s="104" t="n">
        <x:f>6</x:f>
      </x:c>
      <x:c r="J4" s="104" t="n">
        <x:f>7</x:f>
      </x:c>
      <x:c r="K4" s="104" t="n">
        <x:f>8</x:f>
      </x:c>
      <x:c r="L4" s="104" t="n">
        <x:f>9</x:f>
      </x:c>
      <x:c r="M4" s="104" t="n">
        <x:f>10</x:f>
      </x:c>
      <x:c r="N4" s="104" t="n">
        <x:f>11</x:f>
      </x:c>
      <x:c r="O4" s="104" t="n">
        <x:f>12</x:f>
      </x:c>
      <x:c r="P4" s="104" t="n">
        <x:f>13</x:f>
      </x:c>
      <x:c r="Q4" s="104" t="n">
        <x:f>14</x:f>
      </x:c>
      <x:c r="R4" s="104" t="n">
        <x:f>15</x:f>
      </x:c>
      <x:c r="S4" s="104" t="n">
        <x:f>16</x:f>
      </x:c>
      <x:c r="T4" s="104" t="n">
        <x:f>17</x:f>
      </x:c>
      <x:c r="U4" s="104" t="n">
        <x:f>18</x:f>
      </x:c>
      <x:c r="V4" s="104" t="n">
        <x:f>19</x:f>
      </x:c>
      <x:c r="W4" s="104" t="n">
        <x:f>20</x:f>
      </x:c>
      <x:c r="X4" s="104" t="n">
        <x:f>21</x:f>
      </x:c>
      <x:c r="Y4" s="104" t="n">
        <x:f>22</x:f>
      </x:c>
      <x:c r="Z4" s="104" t="n">
        <x:f>23</x:f>
      </x:c>
      <x:c r="AA4" s="104" t="n">
        <x:f>24</x:f>
      </x:c>
      <x:c r="AB4" s="104" t="n">
        <x:f>25</x:f>
      </x:c>
      <x:c r="AC4" s="104" t="n">
        <x:f>26</x:f>
      </x:c>
      <x:c r="AD4" s="104" t="n">
        <x:f>27</x:f>
      </x:c>
      <x:c r="AE4" s="104" t="n">
        <x:f>28</x:f>
      </x:c>
      <x:c r="AF4" s="104" t="n">
        <x:f>29</x:f>
      </x:c>
      <x:c r="AG4" s="104" t="n">
        <x:f>30</x:f>
      </x:c>
      <x:c r="AH4" s="104" t="n">
        <x:f>31</x:f>
      </x:c>
      <x:c r="AI4" s="104" t="n">
        <x:f>32</x:f>
      </x:c>
      <x:c r="AJ4" s="104" t="n">
        <x:f>33</x:f>
      </x:c>
      <x:c r="AK4" s="104" t="n">
        <x:f>34</x:f>
      </x:c>
      <x:c r="AL4" s="104" t="n">
        <x:f>35</x:f>
      </x:c>
      <x:c r="AM4" s="104" t="n">
        <x:f>36</x:f>
      </x:c>
      <x:c r="AN4" s="104" t="n">
        <x:f>37</x:f>
      </x:c>
      <x:c r="AO4" s="104" t="n">
        <x:f>38</x:f>
      </x:c>
      <x:c r="AP4" s="104" t="n">
        <x:f>39</x:f>
      </x:c>
      <x:c r="AQ4" s="104" t="n">
        <x:f>40</x:f>
      </x:c>
      <x:c r="AR4" s="104" t="n">
        <x:f>41</x:f>
      </x:c>
      <x:c r="AS4" s="104" t="n">
        <x:f>42</x:f>
      </x:c>
      <x:c r="AT4" s="104" t="n">
        <x:f>43</x:f>
      </x:c>
      <x:c r="AU4" s="104" t="n">
        <x:f>44</x:f>
      </x:c>
      <x:c r="AV4" s="104" t="n">
        <x:f>45</x:f>
      </x:c>
      <x:c r="AW4" s="104" t="n">
        <x:f>46</x:f>
      </x:c>
      <x:c r="AX4" s="104" t="n">
        <x:f>47</x:f>
      </x:c>
      <x:c r="AY4" s="104" t="n">
        <x:f>48</x:f>
      </x:c>
      <x:c r="AZ4" s="104" t="n">
        <x:f>49</x:f>
      </x:c>
      <x:c r="BA4" s="104" t="n">
        <x:f>50</x:f>
      </x:c>
      <x:c r="BB4" s="104" t="n">
        <x:f>51</x:f>
      </x:c>
      <x:c r="BC4" s="104" t="n">
        <x:f>52</x:f>
      </x:c>
      <x:c r="BD4" s="104" t="n">
        <x:f>53</x:f>
      </x:c>
      <x:c r="BE4" s="104" t="n">
        <x:f>54</x:f>
      </x:c>
      <x:c r="BF4" s="104" t="n">
        <x:f>55</x:f>
      </x:c>
      <x:c r="BG4" s="104" t="n">
        <x:f>56</x:f>
      </x:c>
      <x:c r="BH4" s="104" t="n">
        <x:f>57</x:f>
      </x:c>
      <x:c r="BI4" s="104" t="n">
        <x:f>58</x:f>
      </x:c>
      <x:c r="BJ4" s="104" t="n">
        <x:f>59</x:f>
      </x:c>
      <x:c r="BK4" s="104" t="n">
        <x:f>60</x:f>
      </x:c>
      <x:c r="BL4" s="104" t="n">
        <x:f>61</x:f>
      </x:c>
      <x:c r="BM4" s="104" t="n">
        <x:f>62</x:f>
      </x:c>
      <x:c r="BN4" s="104" t="n">
        <x:f>63</x:f>
      </x:c>
      <x:c r="BO4" s="104" t="n">
        <x:f>64</x:f>
      </x:c>
      <x:c r="BP4" s="104" t="n">
        <x:f>65</x:f>
      </x:c>
      <x:c r="BQ4" s="104" t="n">
        <x:f>66</x:f>
      </x:c>
      <x:c r="BR4" s="104" t="n">
        <x:f>67</x:f>
      </x:c>
      <x:c r="BS4" s="104" t="n">
        <x:f>68</x:f>
      </x:c>
      <x:c r="BT4" s="104" t="n">
        <x:f>69</x:f>
      </x:c>
      <x:c r="BU4" s="104" t="n">
        <x:f>70</x:f>
      </x:c>
      <x:c r="BV4" s="104" t="n">
        <x:f>71</x:f>
      </x:c>
      <x:c r="BW4" s="104" t="n">
        <x:f>72</x:f>
      </x:c>
      <x:c r="BX4" s="104" t="n">
        <x:f>73</x:f>
      </x:c>
      <x:c r="BY4" s="104" t="n">
        <x:f>74</x:f>
      </x:c>
      <x:c r="BZ4" s="104" t="n">
        <x:f>75</x:f>
      </x:c>
      <x:c r="CA4" s="104" t="n">
        <x:f>76</x:f>
      </x:c>
      <x:c r="CB4" s="104" t="n">
        <x:f>77</x:f>
      </x:c>
      <x:c r="CC4" s="104" t="n">
        <x:f>78</x:f>
      </x:c>
      <x:c r="CD4" s="104" t="n">
        <x:f>79</x:f>
      </x:c>
      <x:c r="CE4" s="104" t="n">
        <x:f>80</x:f>
      </x:c>
      <x:c r="CF4" s="104" t="n">
        <x:f>81</x:f>
      </x:c>
      <x:c r="CG4" s="104" t="n">
        <x:f>82</x:f>
      </x:c>
      <x:c r="CH4" s="104" t="n">
        <x:f>83</x:f>
      </x:c>
      <x:c r="CI4" s="104" t="n">
        <x:f>84</x:f>
      </x:c>
      <x:c r="CJ4" s="104" t="n">
        <x:f>85</x:f>
      </x:c>
      <x:c r="CK4" s="104" t="n">
        <x:f>86</x:f>
      </x:c>
      <x:c r="CL4" s="104" t="n">
        <x:f>87</x:f>
      </x:c>
      <x:c r="CM4" s="104" t="n">
        <x:f>88</x:f>
      </x:c>
      <x:c r="CN4" s="104" t="n">
        <x:f>89</x:f>
      </x:c>
      <x:c r="CO4" s="104" t="n">
        <x:f>90</x:f>
      </x:c>
      <x:c r="CP4" s="104" t="n">
        <x:f>91</x:f>
      </x:c>
      <x:c r="CQ4" s="104" t="n">
        <x:f>92</x:f>
      </x:c>
      <x:c r="CR4" s="104" t="n">
        <x:f>93</x:f>
      </x:c>
      <x:c r="CS4" s="104" t="n">
        <x:f>94</x:f>
      </x:c>
      <x:c r="CT4" s="104" t="n">
        <x:f>95</x:f>
      </x:c>
      <x:c r="CU4" s="104" t="n">
        <x:f>96</x:f>
      </x:c>
      <x:c r="CV4" s="104" t="n">
        <x:f>97</x:f>
      </x:c>
      <x:c r="CW4" s="104" t="n">
        <x:f>98</x:f>
      </x:c>
      <x:c r="CX4" s="104" t="n">
        <x:f>99</x:f>
      </x:c>
      <x:c r="CY4" s="104" t="n">
        <x:f>100</x:f>
      </x:c>
      <x:c r="CZ4" s="104" t="n">
        <x:f>101</x:f>
      </x:c>
      <x:c r="DA4" s="104" t="n">
        <x:f>102</x:f>
      </x:c>
      <x:c r="DB4" s="104" t="n">
        <x:f>103</x:f>
      </x:c>
      <x:c r="DC4" s="104" t="n">
        <x:f>104</x:f>
      </x:c>
      <x:c r="DD4" s="104" t="n">
        <x:f>105</x:f>
      </x:c>
      <x:c r="DE4" s="104" t="n">
        <x:f>106</x:f>
      </x:c>
      <x:c r="DF4" s="104" t="n">
        <x:f>107</x:f>
      </x:c>
      <x:c r="DG4" s="104" t="n">
        <x:f>108</x:f>
      </x:c>
      <x:c r="DH4" s="104" t="n">
        <x:f>109</x:f>
      </x:c>
      <x:c r="DI4" s="104" t="n">
        <x:f>110</x:f>
      </x:c>
      <x:c r="DJ4" s="104" t="n">
        <x:f>111</x:f>
      </x:c>
      <x:c r="DK4" s="104" t="n">
        <x:f>112</x:f>
      </x:c>
      <x:c r="DL4" s="104" t="n">
        <x:f>113</x:f>
      </x:c>
      <x:c r="DM4" s="104" t="n">
        <x:f>114</x:f>
      </x:c>
      <x:c r="DN4" s="104" t="n">
        <x:f>115</x:f>
      </x:c>
      <x:c r="DO4" s="104" t="n">
        <x:f>116</x:f>
      </x:c>
      <x:c r="DP4" s="104" t="n">
        <x:f>117</x:f>
      </x:c>
      <x:c r="DQ4" s="104" t="n">
        <x:f>118</x:f>
      </x:c>
      <x:c r="DR4" s="104" t="n">
        <x:f>119</x:f>
      </x:c>
      <x:c r="DS4" s="104" t="n">
        <x:f>120</x:f>
      </x:c>
      <x:c r="DT4" s="104" t="n">
        <x:f>121</x:f>
      </x:c>
      <x:c r="DU4" s="104" t="n">
        <x:f>122</x:f>
      </x:c>
      <x:c r="DV4" s="104" t="n">
        <x:f>123</x:f>
      </x:c>
      <x:c r="DW4" s="104" t="n">
        <x:f>124</x:f>
      </x:c>
      <x:c r="DX4" s="104" t="n">
        <x:f>125</x:f>
      </x:c>
      <x:c r="DY4" s="104" t="n">
        <x:f>126</x:f>
      </x:c>
      <x:c r="DZ4" s="104" t="n">
        <x:f>127</x:f>
      </x:c>
      <x:c r="EA4" s="104" t="n">
        <x:f>128</x:f>
      </x:c>
      <x:c r="EB4" s="104" t="n">
        <x:f>129</x:f>
      </x:c>
      <x:c r="EC4" s="104" t="n">
        <x:f>130</x:f>
      </x:c>
      <x:c r="ED4" s="104" t="n">
        <x:f>131</x:f>
      </x:c>
      <x:c r="EE4" s="104" t="n">
        <x:f>132</x:f>
      </x:c>
      <x:c r="EF4" s="104" t="n">
        <x:f>133</x:f>
      </x:c>
      <x:c r="EG4" s="104" t="n">
        <x:f>134</x:f>
      </x:c>
      <x:c r="EH4" s="104" t="n">
        <x:f>135</x:f>
      </x:c>
      <x:c r="EI4" s="104" t="n">
        <x:f>136</x:f>
      </x:c>
      <x:c r="EJ4" s="104" t="n">
        <x:f>137</x:f>
      </x:c>
      <x:c r="EK4" s="104" t="n">
        <x:f>138</x:f>
      </x:c>
      <x:c r="EL4" s="104" t="n">
        <x:f>139</x:f>
      </x:c>
      <x:c r="EM4" s="104" t="n">
        <x:f>140</x:f>
      </x:c>
      <x:c r="EN4" s="104" t="n">
        <x:f>141</x:f>
      </x:c>
      <x:c r="EO4" s="104" t="n">
        <x:f>142</x:f>
      </x:c>
      <x:c r="EP4" s="104" t="n">
        <x:f>143</x:f>
      </x:c>
      <x:c r="EQ4" s="104" t="n">
        <x:f>144</x:f>
      </x:c>
      <x:c r="ER4" s="104" t="n">
        <x:f>145</x:f>
      </x:c>
      <x:c r="ES4" s="104" t="n">
        <x:f>146</x:f>
      </x:c>
      <x:c r="ET4" s="104" t="n">
        <x:f>147</x:f>
      </x:c>
      <x:c r="EU4" s="104" t="n">
        <x:f>148</x:f>
      </x:c>
      <x:c r="EV4" s="104" t="n">
        <x:f>149</x:f>
      </x:c>
      <x:c r="EW4" s="104" t="n">
        <x:f>150</x:f>
      </x:c>
      <x:c r="EX4" s="104" t="n">
        <x:f>151</x:f>
      </x:c>
      <x:c r="EY4" s="104" t="n">
        <x:f>152</x:f>
      </x:c>
      <x:c r="EZ4" s="104" t="n">
        <x:f>153</x:f>
      </x:c>
      <x:c r="FA4" s="104" t="n">
        <x:f>154</x:f>
      </x:c>
      <x:c r="FB4" s="104" t="n">
        <x:f>155</x:f>
      </x:c>
      <x:c r="FC4" s="104" t="n">
        <x:f>156</x:f>
      </x:c>
      <x:c r="FD4" s="104" t="n">
        <x:f>157</x:f>
      </x:c>
      <x:c r="FE4" s="104" t="n">
        <x:f>158</x:f>
      </x:c>
      <x:c r="FF4" s="104" t="n">
        <x:f>159</x:f>
      </x:c>
      <x:c r="FG4" s="104" t="n">
        <x:f>160</x:f>
      </x:c>
      <x:c r="FH4" s="104" t="n">
        <x:f>161</x:f>
      </x:c>
      <x:c r="FI4" s="104" t="n">
        <x:f>162</x:f>
      </x:c>
      <x:c r="FJ4" s="104" t="n">
        <x:f>163</x:f>
      </x:c>
      <x:c r="FK4" s="104" t="n">
        <x:f>164</x:f>
      </x:c>
      <x:c r="FL4" s="104" t="n">
        <x:f>165</x:f>
      </x:c>
      <x:c r="FM4" s="104" t="n">
        <x:f>166</x:f>
      </x:c>
      <x:c r="FN4" s="104" t="n">
        <x:f>167</x:f>
      </x:c>
      <x:c r="FO4" s="104" t="n">
        <x:f>168</x:f>
      </x:c>
      <x:c r="FP4" s="104" t="n">
        <x:f>169</x:f>
      </x:c>
      <x:c r="FQ4" s="104" t="n">
        <x:f>170</x:f>
      </x:c>
      <x:c r="FR4" s="104" t="n">
        <x:f>171</x:f>
      </x:c>
      <x:c r="FS4" s="104" t="n">
        <x:f>172</x:f>
      </x:c>
      <x:c r="FT4" s="104" t="n">
        <x:f>173</x:f>
      </x:c>
      <x:c r="FU4" s="104" t="n">
        <x:f>174</x:f>
      </x:c>
      <x:c r="FV4" s="104" t="n">
        <x:f>175</x:f>
      </x:c>
      <x:c r="FW4" s="104" t="n">
        <x:f>176</x:f>
      </x:c>
      <x:c r="FX4" s="104" t="n">
        <x:f>177</x:f>
      </x:c>
      <x:c r="FY4" s="104" t="n">
        <x:f>178</x:f>
      </x:c>
      <x:c r="FZ4" s="104" t="n">
        <x:f>179</x:f>
      </x:c>
      <x:c r="GA4" s="104" t="n">
        <x:f>180</x:f>
      </x:c>
    </x:row>
    <x:row r="6">
      <x:c r="A6" t="str">
        <x:v>БРИДЖ — выборка</x:v>
      </x:c>
      <x:c r="B6" s="107" t="n">
        <x:f>SUM(D6:GA6)</x:f>
      </x:c>
      <x:c r="C6" t="str">
        <x:v>млн ₽</x:v>
      </x:c>
      <x:c r="D6" s="117" t="n">
        <x:f>SUM('CF_1'!D34,'CF_2'!D34,'CF_3'!D34,'CF_4'!D34)</x:f>
      </x:c>
      <x:c r="E6" s="117" t="n">
        <x:f>SUM('CF_1'!E34,'CF_2'!E34,'CF_3'!E34,'CF_4'!E34)</x:f>
      </x:c>
      <x:c r="F6" s="117" t="n">
        <x:f>SUM('CF_1'!F34,'CF_2'!F34,'CF_3'!F34,'CF_4'!F34)</x:f>
      </x:c>
      <x:c r="G6" s="117" t="n">
        <x:f>SUM('CF_1'!G34,'CF_2'!G34,'CF_3'!G34,'CF_4'!G34)</x:f>
      </x:c>
      <x:c r="H6" s="117" t="n">
        <x:f>SUM('CF_1'!H34,'CF_2'!H34,'CF_3'!H34,'CF_4'!H34)</x:f>
      </x:c>
      <x:c r="I6" s="117" t="n">
        <x:f>SUM('CF_1'!I34,'CF_2'!I34,'CF_3'!I34,'CF_4'!I34)</x:f>
      </x:c>
      <x:c r="J6" s="117" t="n">
        <x:f>SUM('CF_1'!J34,'CF_2'!J34,'CF_3'!J34,'CF_4'!J34)</x:f>
      </x:c>
      <x:c r="K6" s="117" t="n">
        <x:f>SUM('CF_1'!K34,'CF_2'!K34,'CF_3'!K34,'CF_4'!K34)</x:f>
      </x:c>
      <x:c r="L6" s="117" t="n">
        <x:f>SUM('CF_1'!L34,'CF_2'!L34,'CF_3'!L34,'CF_4'!L34)</x:f>
      </x:c>
      <x:c r="M6" s="117" t="n">
        <x:f>SUM('CF_1'!M34,'CF_2'!M34,'CF_3'!M34,'CF_4'!M34)</x:f>
      </x:c>
      <x:c r="N6" s="117" t="n">
        <x:f>SUM('CF_1'!N34,'CF_2'!N34,'CF_3'!N34,'CF_4'!N34)</x:f>
      </x:c>
      <x:c r="O6" s="117" t="n">
        <x:f>SUM('CF_1'!O34,'CF_2'!O34,'CF_3'!O34,'CF_4'!O34)</x:f>
      </x:c>
      <x:c r="P6" s="117" t="n">
        <x:f>SUM('CF_1'!P34,'CF_2'!P34,'CF_3'!P34,'CF_4'!P34)</x:f>
      </x:c>
      <x:c r="Q6" s="117" t="n">
        <x:f>SUM('CF_1'!Q34,'CF_2'!Q34,'CF_3'!Q34,'CF_4'!Q34)</x:f>
      </x:c>
      <x:c r="R6" s="117" t="n">
        <x:f>SUM('CF_1'!R34,'CF_2'!R34,'CF_3'!R34,'CF_4'!R34)</x:f>
      </x:c>
      <x:c r="S6" s="117" t="n">
        <x:f>SUM('CF_1'!S34,'CF_2'!S34,'CF_3'!S34,'CF_4'!S34)</x:f>
      </x:c>
      <x:c r="T6" s="117" t="n">
        <x:f>SUM('CF_1'!T34,'CF_2'!T34,'CF_3'!T34,'CF_4'!T34)</x:f>
      </x:c>
      <x:c r="U6" s="117" t="n">
        <x:f>SUM('CF_1'!U34,'CF_2'!U34,'CF_3'!U34,'CF_4'!U34)</x:f>
      </x:c>
      <x:c r="V6" s="117" t="n">
        <x:f>SUM('CF_1'!V34,'CF_2'!V34,'CF_3'!V34,'CF_4'!V34)</x:f>
      </x:c>
      <x:c r="W6" s="117" t="n">
        <x:f>SUM('CF_1'!W34,'CF_2'!W34,'CF_3'!W34,'CF_4'!W34)</x:f>
      </x:c>
      <x:c r="X6" s="117" t="n">
        <x:f>SUM('CF_1'!X34,'CF_2'!X34,'CF_3'!X34,'CF_4'!X34)</x:f>
      </x:c>
      <x:c r="Y6" s="117" t="n">
        <x:f>SUM('CF_1'!Y34,'CF_2'!Y34,'CF_3'!Y34,'CF_4'!Y34)</x:f>
      </x:c>
      <x:c r="Z6" s="117" t="n">
        <x:f>SUM('CF_1'!Z34,'CF_2'!Z34,'CF_3'!Z34,'CF_4'!Z34)</x:f>
      </x:c>
      <x:c r="AA6" s="117" t="n">
        <x:f>SUM('CF_1'!AA34,'CF_2'!AA34,'CF_3'!AA34,'CF_4'!AA34)</x:f>
      </x:c>
      <x:c r="AB6" s="117" t="n">
        <x:f>SUM('CF_1'!AB34,'CF_2'!AB34,'CF_3'!AB34,'CF_4'!AB34)</x:f>
      </x:c>
      <x:c r="AC6" s="117" t="n">
        <x:f>SUM('CF_1'!AC34,'CF_2'!AC34,'CF_3'!AC34,'CF_4'!AC34)</x:f>
      </x:c>
      <x:c r="AD6" s="117" t="n">
        <x:f>SUM('CF_1'!AD34,'CF_2'!AD34,'CF_3'!AD34,'CF_4'!AD34)</x:f>
      </x:c>
      <x:c r="AE6" s="117" t="n">
        <x:f>SUM('CF_1'!AE34,'CF_2'!AE34,'CF_3'!AE34,'CF_4'!AE34)</x:f>
      </x:c>
      <x:c r="AF6" s="117" t="n">
        <x:f>SUM('CF_1'!AF34,'CF_2'!AF34,'CF_3'!AF34,'CF_4'!AF34)</x:f>
      </x:c>
      <x:c r="AG6" s="117" t="n">
        <x:f>SUM('CF_1'!AG34,'CF_2'!AG34,'CF_3'!AG34,'CF_4'!AG34)</x:f>
      </x:c>
      <x:c r="AH6" s="117" t="n">
        <x:f>SUM('CF_1'!AH34,'CF_2'!AH34,'CF_3'!AH34,'CF_4'!AH34)</x:f>
      </x:c>
      <x:c r="AI6" s="117" t="n">
        <x:f>SUM('CF_1'!AI34,'CF_2'!AI34,'CF_3'!AI34,'CF_4'!AI34)</x:f>
      </x:c>
      <x:c r="AJ6" s="117" t="n">
        <x:f>SUM('CF_1'!AJ34,'CF_2'!AJ34,'CF_3'!AJ34,'CF_4'!AJ34)</x:f>
      </x:c>
      <x:c r="AK6" s="117" t="n">
        <x:f>SUM('CF_1'!AK34,'CF_2'!AK34,'CF_3'!AK34,'CF_4'!AK34)</x:f>
      </x:c>
      <x:c r="AL6" s="117" t="n">
        <x:f>SUM('CF_1'!AL34,'CF_2'!AL34,'CF_3'!AL34,'CF_4'!AL34)</x:f>
      </x:c>
      <x:c r="AM6" s="117" t="n">
        <x:f>SUM('CF_1'!AM34,'CF_2'!AM34,'CF_3'!AM34,'CF_4'!AM34)</x:f>
      </x:c>
      <x:c r="AN6" s="117" t="n">
        <x:f>SUM('CF_1'!AN34,'CF_2'!AN34,'CF_3'!AN34,'CF_4'!AN34)</x:f>
      </x:c>
      <x:c r="AO6" s="117" t="n">
        <x:f>SUM('CF_1'!AO34,'CF_2'!AO34,'CF_3'!AO34,'CF_4'!AO34)</x:f>
      </x:c>
      <x:c r="AP6" s="117" t="n">
        <x:f>SUM('CF_1'!AP34,'CF_2'!AP34,'CF_3'!AP34,'CF_4'!AP34)</x:f>
      </x:c>
      <x:c r="AQ6" s="117" t="n">
        <x:f>SUM('CF_1'!AQ34,'CF_2'!AQ34,'CF_3'!AQ34,'CF_4'!AQ34)</x:f>
      </x:c>
      <x:c r="AR6" s="117" t="n">
        <x:f>SUM('CF_1'!AR34,'CF_2'!AR34,'CF_3'!AR34,'CF_4'!AR34)</x:f>
      </x:c>
      <x:c r="AS6" s="117" t="n">
        <x:f>SUM('CF_1'!AS34,'CF_2'!AS34,'CF_3'!AS34,'CF_4'!AS34)</x:f>
      </x:c>
      <x:c r="AT6" s="117" t="n">
        <x:f>SUM('CF_1'!AT34,'CF_2'!AT34,'CF_3'!AT34,'CF_4'!AT34)</x:f>
      </x:c>
      <x:c r="AU6" s="117" t="n">
        <x:f>SUM('CF_1'!AU34,'CF_2'!AU34,'CF_3'!AU34,'CF_4'!AU34)</x:f>
      </x:c>
      <x:c r="AV6" s="117" t="n">
        <x:f>SUM('CF_1'!AV34,'CF_2'!AV34,'CF_3'!AV34,'CF_4'!AV34)</x:f>
      </x:c>
      <x:c r="AW6" s="117" t="n">
        <x:f>SUM('CF_1'!AW34,'CF_2'!AW34,'CF_3'!AW34,'CF_4'!AW34)</x:f>
      </x:c>
      <x:c r="AX6" s="117" t="n">
        <x:f>SUM('CF_1'!AX34,'CF_2'!AX34,'CF_3'!AX34,'CF_4'!AX34)</x:f>
      </x:c>
      <x:c r="AY6" s="117" t="n">
        <x:f>SUM('CF_1'!AY34,'CF_2'!AY34,'CF_3'!AY34,'CF_4'!AY34)</x:f>
      </x:c>
      <x:c r="AZ6" s="117" t="n">
        <x:f>SUM('CF_1'!AZ34,'CF_2'!AZ34,'CF_3'!AZ34,'CF_4'!AZ34)</x:f>
      </x:c>
      <x:c r="BA6" s="117" t="n">
        <x:f>SUM('CF_1'!BA34,'CF_2'!BA34,'CF_3'!BA34,'CF_4'!BA34)</x:f>
      </x:c>
      <x:c r="BB6" s="117" t="n">
        <x:f>SUM('CF_1'!BB34,'CF_2'!BB34,'CF_3'!BB34,'CF_4'!BB34)</x:f>
      </x:c>
      <x:c r="BC6" s="117" t="n">
        <x:f>SUM('CF_1'!BC34,'CF_2'!BC34,'CF_3'!BC34,'CF_4'!BC34)</x:f>
      </x:c>
      <x:c r="BD6" s="117" t="n">
        <x:f>SUM('CF_1'!BD34,'CF_2'!BD34,'CF_3'!BD34,'CF_4'!BD34)</x:f>
      </x:c>
      <x:c r="BE6" s="117" t="n">
        <x:f>SUM('CF_1'!BE34,'CF_2'!BE34,'CF_3'!BE34,'CF_4'!BE34)</x:f>
      </x:c>
      <x:c r="BF6" s="117" t="n">
        <x:f>SUM('CF_1'!BF34,'CF_2'!BF34,'CF_3'!BF34,'CF_4'!BF34)</x:f>
      </x:c>
      <x:c r="BG6" s="117" t="n">
        <x:f>SUM('CF_1'!BG34,'CF_2'!BG34,'CF_3'!BG34,'CF_4'!BG34)</x:f>
      </x:c>
      <x:c r="BH6" s="117" t="n">
        <x:f>SUM('CF_1'!BH34,'CF_2'!BH34,'CF_3'!BH34,'CF_4'!BH34)</x:f>
      </x:c>
      <x:c r="BI6" s="117" t="n">
        <x:f>SUM('CF_1'!BI34,'CF_2'!BI34,'CF_3'!BI34,'CF_4'!BI34)</x:f>
      </x:c>
      <x:c r="BJ6" s="117" t="n">
        <x:f>SUM('CF_1'!BJ34,'CF_2'!BJ34,'CF_3'!BJ34,'CF_4'!BJ34)</x:f>
      </x:c>
      <x:c r="BK6" s="117" t="n">
        <x:f>SUM('CF_1'!BK34,'CF_2'!BK34,'CF_3'!BK34,'CF_4'!BK34)</x:f>
      </x:c>
      <x:c r="BL6" s="117" t="n">
        <x:f>SUM('CF_1'!BL34,'CF_2'!BL34,'CF_3'!BL34,'CF_4'!BL34)</x:f>
      </x:c>
      <x:c r="BM6" s="117" t="n">
        <x:f>SUM('CF_1'!BM34,'CF_2'!BM34,'CF_3'!BM34,'CF_4'!BM34)</x:f>
      </x:c>
      <x:c r="BN6" s="117" t="n">
        <x:f>SUM('CF_1'!BN34,'CF_2'!BN34,'CF_3'!BN34,'CF_4'!BN34)</x:f>
      </x:c>
      <x:c r="BO6" s="117" t="n">
        <x:f>SUM('CF_1'!BO34,'CF_2'!BO34,'CF_3'!BO34,'CF_4'!BO34)</x:f>
      </x:c>
      <x:c r="BP6" s="117" t="n">
        <x:f>SUM('CF_1'!BP34,'CF_2'!BP34,'CF_3'!BP34,'CF_4'!BP34)</x:f>
      </x:c>
      <x:c r="BQ6" s="117" t="n">
        <x:f>SUM('CF_1'!BQ34,'CF_2'!BQ34,'CF_3'!BQ34,'CF_4'!BQ34)</x:f>
      </x:c>
      <x:c r="BR6" s="117" t="n">
        <x:f>SUM('CF_1'!BR34,'CF_2'!BR34,'CF_3'!BR34,'CF_4'!BR34)</x:f>
      </x:c>
      <x:c r="BS6" s="117" t="n">
        <x:f>SUM('CF_1'!BS34,'CF_2'!BS34,'CF_3'!BS34,'CF_4'!BS34)</x:f>
      </x:c>
      <x:c r="BT6" s="117" t="n">
        <x:f>SUM('CF_1'!BT34,'CF_2'!BT34,'CF_3'!BT34,'CF_4'!BT34)</x:f>
      </x:c>
      <x:c r="BU6" s="117" t="n">
        <x:f>SUM('CF_1'!BU34,'CF_2'!BU34,'CF_3'!BU34,'CF_4'!BU34)</x:f>
      </x:c>
      <x:c r="BV6" s="117" t="n">
        <x:f>SUM('CF_1'!BV34,'CF_2'!BV34,'CF_3'!BV34,'CF_4'!BV34)</x:f>
      </x:c>
      <x:c r="BW6" s="117" t="n">
        <x:f>SUM('CF_1'!BW34,'CF_2'!BW34,'CF_3'!BW34,'CF_4'!BW34)</x:f>
      </x:c>
      <x:c r="BX6" s="117" t="n">
        <x:f>SUM('CF_1'!BX34,'CF_2'!BX34,'CF_3'!BX34,'CF_4'!BX34)</x:f>
      </x:c>
      <x:c r="BY6" s="117" t="n">
        <x:f>SUM('CF_1'!BY34,'CF_2'!BY34,'CF_3'!BY34,'CF_4'!BY34)</x:f>
      </x:c>
      <x:c r="BZ6" s="117" t="n">
        <x:f>SUM('CF_1'!BZ34,'CF_2'!BZ34,'CF_3'!BZ34,'CF_4'!BZ34)</x:f>
      </x:c>
      <x:c r="CA6" s="117" t="n">
        <x:f>SUM('CF_1'!CA34,'CF_2'!CA34,'CF_3'!CA34,'CF_4'!CA34)</x:f>
      </x:c>
      <x:c r="CB6" s="117" t="n">
        <x:f>SUM('CF_1'!CB34,'CF_2'!CB34,'CF_3'!CB34,'CF_4'!CB34)</x:f>
      </x:c>
      <x:c r="CC6" s="117" t="n">
        <x:f>SUM('CF_1'!CC34,'CF_2'!CC34,'CF_3'!CC34,'CF_4'!CC34)</x:f>
      </x:c>
      <x:c r="CD6" s="117" t="n">
        <x:f>SUM('CF_1'!CD34,'CF_2'!CD34,'CF_3'!CD34,'CF_4'!CD34)</x:f>
      </x:c>
      <x:c r="CE6" s="117" t="n">
        <x:f>SUM('CF_1'!CE34,'CF_2'!CE34,'CF_3'!CE34,'CF_4'!CE34)</x:f>
      </x:c>
      <x:c r="CF6" s="117" t="n">
        <x:f>SUM('CF_1'!CF34,'CF_2'!CF34,'CF_3'!CF34,'CF_4'!CF34)</x:f>
      </x:c>
      <x:c r="CG6" s="117" t="n">
        <x:f>SUM('CF_1'!CG34,'CF_2'!CG34,'CF_3'!CG34,'CF_4'!CG34)</x:f>
      </x:c>
      <x:c r="CH6" s="117" t="n">
        <x:f>SUM('CF_1'!CH34,'CF_2'!CH34,'CF_3'!CH34,'CF_4'!CH34)</x:f>
      </x:c>
      <x:c r="CI6" s="117" t="n">
        <x:f>SUM('CF_1'!CI34,'CF_2'!CI34,'CF_3'!CI34,'CF_4'!CI34)</x:f>
      </x:c>
      <x:c r="CJ6" s="117" t="n">
        <x:f>SUM('CF_1'!CJ34,'CF_2'!CJ34,'CF_3'!CJ34,'CF_4'!CJ34)</x:f>
      </x:c>
      <x:c r="CK6" s="117" t="n">
        <x:f>SUM('CF_1'!CK34,'CF_2'!CK34,'CF_3'!CK34,'CF_4'!CK34)</x:f>
      </x:c>
      <x:c r="CL6" s="117" t="n">
        <x:f>SUM('CF_1'!CL34,'CF_2'!CL34,'CF_3'!CL34,'CF_4'!CL34)</x:f>
      </x:c>
      <x:c r="CM6" s="117" t="n">
        <x:f>SUM('CF_1'!CM34,'CF_2'!CM34,'CF_3'!CM34,'CF_4'!CM34)</x:f>
      </x:c>
      <x:c r="CN6" s="117" t="n">
        <x:f>SUM('CF_1'!CN34,'CF_2'!CN34,'CF_3'!CN34,'CF_4'!CN34)</x:f>
      </x:c>
      <x:c r="CO6" s="117" t="n">
        <x:f>SUM('CF_1'!CO34,'CF_2'!CO34,'CF_3'!CO34,'CF_4'!CO34)</x:f>
      </x:c>
      <x:c r="CP6" s="117" t="n">
        <x:f>SUM('CF_1'!CP34,'CF_2'!CP34,'CF_3'!CP34,'CF_4'!CP34)</x:f>
      </x:c>
      <x:c r="CQ6" s="117" t="n">
        <x:f>SUM('CF_1'!CQ34,'CF_2'!CQ34,'CF_3'!CQ34,'CF_4'!CQ34)</x:f>
      </x:c>
      <x:c r="CR6" s="117" t="n">
        <x:f>SUM('CF_1'!CR34,'CF_2'!CR34,'CF_3'!CR34,'CF_4'!CR34)</x:f>
      </x:c>
      <x:c r="CS6" s="117" t="n">
        <x:f>SUM('CF_1'!CS34,'CF_2'!CS34,'CF_3'!CS34,'CF_4'!CS34)</x:f>
      </x:c>
      <x:c r="CT6" s="117" t="n">
        <x:f>SUM('CF_1'!CT34,'CF_2'!CT34,'CF_3'!CT34,'CF_4'!CT34)</x:f>
      </x:c>
      <x:c r="CU6" s="117" t="n">
        <x:f>SUM('CF_1'!CU34,'CF_2'!CU34,'CF_3'!CU34,'CF_4'!CU34)</x:f>
      </x:c>
      <x:c r="CV6" s="117" t="n">
        <x:f>SUM('CF_1'!CV34,'CF_2'!CV34,'CF_3'!CV34,'CF_4'!CV34)</x:f>
      </x:c>
      <x:c r="CW6" s="117" t="n">
        <x:f>SUM('CF_1'!CW34,'CF_2'!CW34,'CF_3'!CW34,'CF_4'!CW34)</x:f>
      </x:c>
      <x:c r="CX6" s="117" t="n">
        <x:f>SUM('CF_1'!CX34,'CF_2'!CX34,'CF_3'!CX34,'CF_4'!CX34)</x:f>
      </x:c>
      <x:c r="CY6" s="117" t="n">
        <x:f>SUM('CF_1'!CY34,'CF_2'!CY34,'CF_3'!CY34,'CF_4'!CY34)</x:f>
      </x:c>
      <x:c r="CZ6" s="117" t="n">
        <x:f>SUM('CF_1'!CZ34,'CF_2'!CZ34,'CF_3'!CZ34,'CF_4'!CZ34)</x:f>
      </x:c>
      <x:c r="DA6" s="117" t="n">
        <x:f>SUM('CF_1'!DA34,'CF_2'!DA34,'CF_3'!DA34,'CF_4'!DA34)</x:f>
      </x:c>
      <x:c r="DB6" s="117" t="n">
        <x:f>SUM('CF_1'!DB34,'CF_2'!DB34,'CF_3'!DB34,'CF_4'!DB34)</x:f>
      </x:c>
      <x:c r="DC6" s="117" t="n">
        <x:f>SUM('CF_1'!DC34,'CF_2'!DC34,'CF_3'!DC34,'CF_4'!DC34)</x:f>
      </x:c>
      <x:c r="DD6" s="117" t="n">
        <x:f>SUM('CF_1'!DD34,'CF_2'!DD34,'CF_3'!DD34,'CF_4'!DD34)</x:f>
      </x:c>
      <x:c r="DE6" s="117" t="n">
        <x:f>SUM('CF_1'!DE34,'CF_2'!DE34,'CF_3'!DE34,'CF_4'!DE34)</x:f>
      </x:c>
      <x:c r="DF6" s="117" t="n">
        <x:f>SUM('CF_1'!DF34,'CF_2'!DF34,'CF_3'!DF34,'CF_4'!DF34)</x:f>
      </x:c>
      <x:c r="DG6" s="117" t="n">
        <x:f>SUM('CF_1'!DG34,'CF_2'!DG34,'CF_3'!DG34,'CF_4'!DG34)</x:f>
      </x:c>
      <x:c r="DH6" s="117" t="n">
        <x:f>SUM('CF_1'!DH34,'CF_2'!DH34,'CF_3'!DH34,'CF_4'!DH34)</x:f>
      </x:c>
      <x:c r="DI6" s="117" t="n">
        <x:f>SUM('CF_1'!DI34,'CF_2'!DI34,'CF_3'!DI34,'CF_4'!DI34)</x:f>
      </x:c>
      <x:c r="DJ6" s="117" t="n">
        <x:f>SUM('CF_1'!DJ34,'CF_2'!DJ34,'CF_3'!DJ34,'CF_4'!DJ34)</x:f>
      </x:c>
      <x:c r="DK6" s="117" t="n">
        <x:f>SUM('CF_1'!DK34,'CF_2'!DK34,'CF_3'!DK34,'CF_4'!DK34)</x:f>
      </x:c>
      <x:c r="DL6" s="117" t="n">
        <x:f>SUM('CF_1'!DL34,'CF_2'!DL34,'CF_3'!DL34,'CF_4'!DL34)</x:f>
      </x:c>
      <x:c r="DM6" s="117" t="n">
        <x:f>SUM('CF_1'!DM34,'CF_2'!DM34,'CF_3'!DM34,'CF_4'!DM34)</x:f>
      </x:c>
      <x:c r="DN6" s="117" t="n">
        <x:f>SUM('CF_1'!DN34,'CF_2'!DN34,'CF_3'!DN34,'CF_4'!DN34)</x:f>
      </x:c>
      <x:c r="DO6" s="117" t="n">
        <x:f>SUM('CF_1'!DO34,'CF_2'!DO34,'CF_3'!DO34,'CF_4'!DO34)</x:f>
      </x:c>
      <x:c r="DP6" s="117" t="n">
        <x:f>SUM('CF_1'!DP34,'CF_2'!DP34,'CF_3'!DP34,'CF_4'!DP34)</x:f>
      </x:c>
      <x:c r="DQ6" s="117" t="n">
        <x:f>SUM('CF_1'!DQ34,'CF_2'!DQ34,'CF_3'!DQ34,'CF_4'!DQ34)</x:f>
      </x:c>
      <x:c r="DR6" s="117" t="n">
        <x:f>SUM('CF_1'!DR34,'CF_2'!DR34,'CF_3'!DR34,'CF_4'!DR34)</x:f>
      </x:c>
      <x:c r="DS6" s="117" t="n">
        <x:f>SUM('CF_1'!DS34,'CF_2'!DS34,'CF_3'!DS34,'CF_4'!DS34)</x:f>
      </x:c>
      <x:c r="DT6" s="117" t="n">
        <x:f>SUM('CF_1'!DT34,'CF_2'!DT34,'CF_3'!DT34,'CF_4'!DT34)</x:f>
      </x:c>
      <x:c r="DU6" s="117" t="n">
        <x:f>SUM('CF_1'!DU34,'CF_2'!DU34,'CF_3'!DU34,'CF_4'!DU34)</x:f>
      </x:c>
      <x:c r="DV6" s="117" t="n">
        <x:f>SUM('CF_1'!DV34,'CF_2'!DV34,'CF_3'!DV34,'CF_4'!DV34)</x:f>
      </x:c>
      <x:c r="DW6" s="117" t="n">
        <x:f>SUM('CF_1'!DW34,'CF_2'!DW34,'CF_3'!DW34,'CF_4'!DW34)</x:f>
      </x:c>
      <x:c r="DX6" s="117" t="n">
        <x:f>SUM('CF_1'!DX34,'CF_2'!DX34,'CF_3'!DX34,'CF_4'!DX34)</x:f>
      </x:c>
      <x:c r="DY6" s="117" t="n">
        <x:f>SUM('CF_1'!DY34,'CF_2'!DY34,'CF_3'!DY34,'CF_4'!DY34)</x:f>
      </x:c>
      <x:c r="DZ6" s="117" t="n">
        <x:f>SUM('CF_1'!DZ34,'CF_2'!DZ34,'CF_3'!DZ34,'CF_4'!DZ34)</x:f>
      </x:c>
      <x:c r="EA6" s="117" t="n">
        <x:f>SUM('CF_1'!EA34,'CF_2'!EA34,'CF_3'!EA34,'CF_4'!EA34)</x:f>
      </x:c>
      <x:c r="EB6" s="117" t="n">
        <x:f>SUM('CF_1'!EB34,'CF_2'!EB34,'CF_3'!EB34,'CF_4'!EB34)</x:f>
      </x:c>
      <x:c r="EC6" s="117" t="n">
        <x:f>SUM('CF_1'!EC34,'CF_2'!EC34,'CF_3'!EC34,'CF_4'!EC34)</x:f>
      </x:c>
      <x:c r="ED6" s="117" t="n">
        <x:f>SUM('CF_1'!ED34,'CF_2'!ED34,'CF_3'!ED34,'CF_4'!ED34)</x:f>
      </x:c>
      <x:c r="EE6" s="117" t="n">
        <x:f>SUM('CF_1'!EE34,'CF_2'!EE34,'CF_3'!EE34,'CF_4'!EE34)</x:f>
      </x:c>
      <x:c r="EF6" s="117" t="n">
        <x:f>SUM('CF_1'!EF34,'CF_2'!EF34,'CF_3'!EF34,'CF_4'!EF34)</x:f>
      </x:c>
      <x:c r="EG6" s="117" t="n">
        <x:f>SUM('CF_1'!EG34,'CF_2'!EG34,'CF_3'!EG34,'CF_4'!EG34)</x:f>
      </x:c>
      <x:c r="EH6" s="117" t="n">
        <x:f>SUM('CF_1'!EH34,'CF_2'!EH34,'CF_3'!EH34,'CF_4'!EH34)</x:f>
      </x:c>
      <x:c r="EI6" s="117" t="n">
        <x:f>SUM('CF_1'!EI34,'CF_2'!EI34,'CF_3'!EI34,'CF_4'!EI34)</x:f>
      </x:c>
      <x:c r="EJ6" s="117" t="n">
        <x:f>SUM('CF_1'!EJ34,'CF_2'!EJ34,'CF_3'!EJ34,'CF_4'!EJ34)</x:f>
      </x:c>
      <x:c r="EK6" s="117" t="n">
        <x:f>SUM('CF_1'!EK34,'CF_2'!EK34,'CF_3'!EK34,'CF_4'!EK34)</x:f>
      </x:c>
      <x:c r="EL6" s="117" t="n">
        <x:f>SUM('CF_1'!EL34,'CF_2'!EL34,'CF_3'!EL34,'CF_4'!EL34)</x:f>
      </x:c>
      <x:c r="EM6" s="117" t="n">
        <x:f>SUM('CF_1'!EM34,'CF_2'!EM34,'CF_3'!EM34,'CF_4'!EM34)</x:f>
      </x:c>
      <x:c r="EN6" s="117" t="n">
        <x:f>SUM('CF_1'!EN34,'CF_2'!EN34,'CF_3'!EN34,'CF_4'!EN34)</x:f>
      </x:c>
      <x:c r="EO6" s="117" t="n">
        <x:f>SUM('CF_1'!EO34,'CF_2'!EO34,'CF_3'!EO34,'CF_4'!EO34)</x:f>
      </x:c>
      <x:c r="EP6" s="117" t="n">
        <x:f>SUM('CF_1'!EP34,'CF_2'!EP34,'CF_3'!EP34,'CF_4'!EP34)</x:f>
      </x:c>
      <x:c r="EQ6" s="117" t="n">
        <x:f>SUM('CF_1'!EQ34,'CF_2'!EQ34,'CF_3'!EQ34,'CF_4'!EQ34)</x:f>
      </x:c>
      <x:c r="ER6" s="117" t="n">
        <x:f>SUM('CF_1'!ER34,'CF_2'!ER34,'CF_3'!ER34,'CF_4'!ER34)</x:f>
      </x:c>
      <x:c r="ES6" s="117" t="n">
        <x:f>SUM('CF_1'!ES34,'CF_2'!ES34,'CF_3'!ES34,'CF_4'!ES34)</x:f>
      </x:c>
      <x:c r="ET6" s="117" t="n">
        <x:f>SUM('CF_1'!ET34,'CF_2'!ET34,'CF_3'!ET34,'CF_4'!ET34)</x:f>
      </x:c>
      <x:c r="EU6" s="117" t="n">
        <x:f>SUM('CF_1'!EU34,'CF_2'!EU34,'CF_3'!EU34,'CF_4'!EU34)</x:f>
      </x:c>
      <x:c r="EV6" s="117" t="n">
        <x:f>SUM('CF_1'!EV34,'CF_2'!EV34,'CF_3'!EV34,'CF_4'!EV34)</x:f>
      </x:c>
      <x:c r="EW6" s="117" t="n">
        <x:f>SUM('CF_1'!EW34,'CF_2'!EW34,'CF_3'!EW34,'CF_4'!EW34)</x:f>
      </x:c>
      <x:c r="EX6" s="117" t="n">
        <x:f>SUM('CF_1'!EX34,'CF_2'!EX34,'CF_3'!EX34,'CF_4'!EX34)</x:f>
      </x:c>
      <x:c r="EY6" s="117" t="n">
        <x:f>SUM('CF_1'!EY34,'CF_2'!EY34,'CF_3'!EY34,'CF_4'!EY34)</x:f>
      </x:c>
      <x:c r="EZ6" s="117" t="n">
        <x:f>SUM('CF_1'!EZ34,'CF_2'!EZ34,'CF_3'!EZ34,'CF_4'!EZ34)</x:f>
      </x:c>
      <x:c r="FA6" s="117" t="n">
        <x:f>SUM('CF_1'!FA34,'CF_2'!FA34,'CF_3'!FA34,'CF_4'!FA34)</x:f>
      </x:c>
      <x:c r="FB6" s="117" t="n">
        <x:f>SUM('CF_1'!FB34,'CF_2'!FB34,'CF_3'!FB34,'CF_4'!FB34)</x:f>
      </x:c>
      <x:c r="FC6" s="117" t="n">
        <x:f>SUM('CF_1'!FC34,'CF_2'!FC34,'CF_3'!FC34,'CF_4'!FC34)</x:f>
      </x:c>
      <x:c r="FD6" s="117" t="n">
        <x:f>SUM('CF_1'!FD34,'CF_2'!FD34,'CF_3'!FD34,'CF_4'!FD34)</x:f>
      </x:c>
      <x:c r="FE6" s="117" t="n">
        <x:f>SUM('CF_1'!FE34,'CF_2'!FE34,'CF_3'!FE34,'CF_4'!FE34)</x:f>
      </x:c>
      <x:c r="FF6" s="117" t="n">
        <x:f>SUM('CF_1'!FF34,'CF_2'!FF34,'CF_3'!FF34,'CF_4'!FF34)</x:f>
      </x:c>
      <x:c r="FG6" s="117" t="n">
        <x:f>SUM('CF_1'!FG34,'CF_2'!FG34,'CF_3'!FG34,'CF_4'!FG34)</x:f>
      </x:c>
      <x:c r="FH6" s="117" t="n">
        <x:f>SUM('CF_1'!FH34,'CF_2'!FH34,'CF_3'!FH34,'CF_4'!FH34)</x:f>
      </x:c>
      <x:c r="FI6" s="117" t="n">
        <x:f>SUM('CF_1'!FI34,'CF_2'!FI34,'CF_3'!FI34,'CF_4'!FI34)</x:f>
      </x:c>
      <x:c r="FJ6" s="117" t="n">
        <x:f>SUM('CF_1'!FJ34,'CF_2'!FJ34,'CF_3'!FJ34,'CF_4'!FJ34)</x:f>
      </x:c>
      <x:c r="FK6" s="117" t="n">
        <x:f>SUM('CF_1'!FK34,'CF_2'!FK34,'CF_3'!FK34,'CF_4'!FK34)</x:f>
      </x:c>
      <x:c r="FL6" s="117" t="n">
        <x:f>SUM('CF_1'!FL34,'CF_2'!FL34,'CF_3'!FL34,'CF_4'!FL34)</x:f>
      </x:c>
      <x:c r="FM6" s="117" t="n">
        <x:f>SUM('CF_1'!FM34,'CF_2'!FM34,'CF_3'!FM34,'CF_4'!FM34)</x:f>
      </x:c>
      <x:c r="FN6" s="117" t="n">
        <x:f>SUM('CF_1'!FN34,'CF_2'!FN34,'CF_3'!FN34,'CF_4'!FN34)</x:f>
      </x:c>
      <x:c r="FO6" s="117" t="n">
        <x:f>SUM('CF_1'!FO34,'CF_2'!FO34,'CF_3'!FO34,'CF_4'!FO34)</x:f>
      </x:c>
      <x:c r="FP6" s="117" t="n">
        <x:f>SUM('CF_1'!FP34,'CF_2'!FP34,'CF_3'!FP34,'CF_4'!FP34)</x:f>
      </x:c>
      <x:c r="FQ6" s="117" t="n">
        <x:f>SUM('CF_1'!FQ34,'CF_2'!FQ34,'CF_3'!FQ34,'CF_4'!FQ34)</x:f>
      </x:c>
      <x:c r="FR6" s="117" t="n">
        <x:f>SUM('CF_1'!FR34,'CF_2'!FR34,'CF_3'!FR34,'CF_4'!FR34)</x:f>
      </x:c>
      <x:c r="FS6" s="117" t="n">
        <x:f>SUM('CF_1'!FS34,'CF_2'!FS34,'CF_3'!FS34,'CF_4'!FS34)</x:f>
      </x:c>
      <x:c r="FT6" s="117" t="n">
        <x:f>SUM('CF_1'!FT34,'CF_2'!FT34,'CF_3'!FT34,'CF_4'!FT34)</x:f>
      </x:c>
      <x:c r="FU6" s="117" t="n">
        <x:f>SUM('CF_1'!FU34,'CF_2'!FU34,'CF_3'!FU34,'CF_4'!FU34)</x:f>
      </x:c>
      <x:c r="FV6" s="117" t="n">
        <x:f>SUM('CF_1'!FV34,'CF_2'!FV34,'CF_3'!FV34,'CF_4'!FV34)</x:f>
      </x:c>
      <x:c r="FW6" s="117" t="n">
        <x:f>SUM('CF_1'!FW34,'CF_2'!FW34,'CF_3'!FW34,'CF_4'!FW34)</x:f>
      </x:c>
      <x:c r="FX6" s="117" t="n">
        <x:f>SUM('CF_1'!FX34,'CF_2'!FX34,'CF_3'!FX34,'CF_4'!FX34)</x:f>
      </x:c>
      <x:c r="FY6" s="117" t="n">
        <x:f>SUM('CF_1'!FY34,'CF_2'!FY34,'CF_3'!FY34,'CF_4'!FY34)</x:f>
      </x:c>
      <x:c r="FZ6" s="117" t="n">
        <x:f>SUM('CF_1'!FZ34,'CF_2'!FZ34,'CF_3'!FZ34,'CF_4'!FZ34)</x:f>
      </x:c>
      <x:c r="GA6" s="117" t="n">
        <x:f>SUM('CF_1'!GA34,'CF_2'!GA34,'CF_3'!GA34,'CF_4'!GA34)</x:f>
      </x:c>
    </x:row>
    <x:row r="7">
      <x:c r="A7" t="str">
        <x:v>БРИДЖ — проценты</x:v>
      </x:c>
      <x:c r="B7" s="107" t="n">
        <x:f>SUM(D7:GA7)</x:f>
      </x:c>
      <x:c r="C7" t="str">
        <x:v>млн ₽</x:v>
      </x:c>
      <x:c r="D7" s="117" t="n">
        <x:f>SUM('CF_1'!D32,'CF_2'!D32,'CF_3'!D32,'CF_4'!D32)</x:f>
      </x:c>
      <x:c r="E7" s="117" t="n">
        <x:f>SUM('CF_1'!E32,'CF_2'!E32,'CF_3'!E32,'CF_4'!E32)</x:f>
      </x:c>
      <x:c r="F7" s="117" t="n">
        <x:f>SUM('CF_1'!F32,'CF_2'!F32,'CF_3'!F32,'CF_4'!F32)</x:f>
      </x:c>
      <x:c r="G7" s="117" t="n">
        <x:f>SUM('CF_1'!G32,'CF_2'!G32,'CF_3'!G32,'CF_4'!G32)</x:f>
      </x:c>
      <x:c r="H7" s="117" t="n">
        <x:f>SUM('CF_1'!H32,'CF_2'!H32,'CF_3'!H32,'CF_4'!H32)</x:f>
      </x:c>
      <x:c r="I7" s="117" t="n">
        <x:f>SUM('CF_1'!I32,'CF_2'!I32,'CF_3'!I32,'CF_4'!I32)</x:f>
      </x:c>
      <x:c r="J7" s="117" t="n">
        <x:f>SUM('CF_1'!J32,'CF_2'!J32,'CF_3'!J32,'CF_4'!J32)</x:f>
      </x:c>
      <x:c r="K7" s="117" t="n">
        <x:f>SUM('CF_1'!K32,'CF_2'!K32,'CF_3'!K32,'CF_4'!K32)</x:f>
      </x:c>
      <x:c r="L7" s="117" t="n">
        <x:f>SUM('CF_1'!L32,'CF_2'!L32,'CF_3'!L32,'CF_4'!L32)</x:f>
      </x:c>
      <x:c r="M7" s="117" t="n">
        <x:f>SUM('CF_1'!M32,'CF_2'!M32,'CF_3'!M32,'CF_4'!M32)</x:f>
      </x:c>
      <x:c r="N7" s="117" t="n">
        <x:f>SUM('CF_1'!N32,'CF_2'!N32,'CF_3'!N32,'CF_4'!N32)</x:f>
      </x:c>
      <x:c r="O7" s="117" t="n">
        <x:f>SUM('CF_1'!O32,'CF_2'!O32,'CF_3'!O32,'CF_4'!O32)</x:f>
      </x:c>
      <x:c r="P7" s="117" t="n">
        <x:f>SUM('CF_1'!P32,'CF_2'!P32,'CF_3'!P32,'CF_4'!P32)</x:f>
      </x:c>
      <x:c r="Q7" s="117" t="n">
        <x:f>SUM('CF_1'!Q32,'CF_2'!Q32,'CF_3'!Q32,'CF_4'!Q32)</x:f>
      </x:c>
      <x:c r="R7" s="117" t="n">
        <x:f>SUM('CF_1'!R32,'CF_2'!R32,'CF_3'!R32,'CF_4'!R32)</x:f>
      </x:c>
      <x:c r="S7" s="117" t="n">
        <x:f>SUM('CF_1'!S32,'CF_2'!S32,'CF_3'!S32,'CF_4'!S32)</x:f>
      </x:c>
      <x:c r="T7" s="117" t="n">
        <x:f>SUM('CF_1'!T32,'CF_2'!T32,'CF_3'!T32,'CF_4'!T32)</x:f>
      </x:c>
      <x:c r="U7" s="117" t="n">
        <x:f>SUM('CF_1'!U32,'CF_2'!U32,'CF_3'!U32,'CF_4'!U32)</x:f>
      </x:c>
      <x:c r="V7" s="117" t="n">
        <x:f>SUM('CF_1'!V32,'CF_2'!V32,'CF_3'!V32,'CF_4'!V32)</x:f>
      </x:c>
      <x:c r="W7" s="117" t="n">
        <x:f>SUM('CF_1'!W32,'CF_2'!W32,'CF_3'!W32,'CF_4'!W32)</x:f>
      </x:c>
      <x:c r="X7" s="117" t="n">
        <x:f>SUM('CF_1'!X32,'CF_2'!X32,'CF_3'!X32,'CF_4'!X32)</x:f>
      </x:c>
      <x:c r="Y7" s="117" t="n">
        <x:f>SUM('CF_1'!Y32,'CF_2'!Y32,'CF_3'!Y32,'CF_4'!Y32)</x:f>
      </x:c>
      <x:c r="Z7" s="117" t="n">
        <x:f>SUM('CF_1'!Z32,'CF_2'!Z32,'CF_3'!Z32,'CF_4'!Z32)</x:f>
      </x:c>
      <x:c r="AA7" s="117" t="n">
        <x:f>SUM('CF_1'!AA32,'CF_2'!AA32,'CF_3'!AA32,'CF_4'!AA32)</x:f>
      </x:c>
      <x:c r="AB7" s="117" t="n">
        <x:f>SUM('CF_1'!AB32,'CF_2'!AB32,'CF_3'!AB32,'CF_4'!AB32)</x:f>
      </x:c>
      <x:c r="AC7" s="117" t="n">
        <x:f>SUM('CF_1'!AC32,'CF_2'!AC32,'CF_3'!AC32,'CF_4'!AC32)</x:f>
      </x:c>
      <x:c r="AD7" s="117" t="n">
        <x:f>SUM('CF_1'!AD32,'CF_2'!AD32,'CF_3'!AD32,'CF_4'!AD32)</x:f>
      </x:c>
      <x:c r="AE7" s="117" t="n">
        <x:f>SUM('CF_1'!AE32,'CF_2'!AE32,'CF_3'!AE32,'CF_4'!AE32)</x:f>
      </x:c>
      <x:c r="AF7" s="117" t="n">
        <x:f>SUM('CF_1'!AF32,'CF_2'!AF32,'CF_3'!AF32,'CF_4'!AF32)</x:f>
      </x:c>
      <x:c r="AG7" s="117" t="n">
        <x:f>SUM('CF_1'!AG32,'CF_2'!AG32,'CF_3'!AG32,'CF_4'!AG32)</x:f>
      </x:c>
      <x:c r="AH7" s="117" t="n">
        <x:f>SUM('CF_1'!AH32,'CF_2'!AH32,'CF_3'!AH32,'CF_4'!AH32)</x:f>
      </x:c>
      <x:c r="AI7" s="117" t="n">
        <x:f>SUM('CF_1'!AI32,'CF_2'!AI32,'CF_3'!AI32,'CF_4'!AI32)</x:f>
      </x:c>
      <x:c r="AJ7" s="117" t="n">
        <x:f>SUM('CF_1'!AJ32,'CF_2'!AJ32,'CF_3'!AJ32,'CF_4'!AJ32)</x:f>
      </x:c>
      <x:c r="AK7" s="117" t="n">
        <x:f>SUM('CF_1'!AK32,'CF_2'!AK32,'CF_3'!AK32,'CF_4'!AK32)</x:f>
      </x:c>
      <x:c r="AL7" s="117" t="n">
        <x:f>SUM('CF_1'!AL32,'CF_2'!AL32,'CF_3'!AL32,'CF_4'!AL32)</x:f>
      </x:c>
      <x:c r="AM7" s="117" t="n">
        <x:f>SUM('CF_1'!AM32,'CF_2'!AM32,'CF_3'!AM32,'CF_4'!AM32)</x:f>
      </x:c>
      <x:c r="AN7" s="117" t="n">
        <x:f>SUM('CF_1'!AN32,'CF_2'!AN32,'CF_3'!AN32,'CF_4'!AN32)</x:f>
      </x:c>
      <x:c r="AO7" s="117" t="n">
        <x:f>SUM('CF_1'!AO32,'CF_2'!AO32,'CF_3'!AO32,'CF_4'!AO32)</x:f>
      </x:c>
      <x:c r="AP7" s="117" t="n">
        <x:f>SUM('CF_1'!AP32,'CF_2'!AP32,'CF_3'!AP32,'CF_4'!AP32)</x:f>
      </x:c>
      <x:c r="AQ7" s="117" t="n">
        <x:f>SUM('CF_1'!AQ32,'CF_2'!AQ32,'CF_3'!AQ32,'CF_4'!AQ32)</x:f>
      </x:c>
      <x:c r="AR7" s="117" t="n">
        <x:f>SUM('CF_1'!AR32,'CF_2'!AR32,'CF_3'!AR32,'CF_4'!AR32)</x:f>
      </x:c>
      <x:c r="AS7" s="117" t="n">
        <x:f>SUM('CF_1'!AS32,'CF_2'!AS32,'CF_3'!AS32,'CF_4'!AS32)</x:f>
      </x:c>
      <x:c r="AT7" s="117" t="n">
        <x:f>SUM('CF_1'!AT32,'CF_2'!AT32,'CF_3'!AT32,'CF_4'!AT32)</x:f>
      </x:c>
      <x:c r="AU7" s="117" t="n">
        <x:f>SUM('CF_1'!AU32,'CF_2'!AU32,'CF_3'!AU32,'CF_4'!AU32)</x:f>
      </x:c>
      <x:c r="AV7" s="117" t="n">
        <x:f>SUM('CF_1'!AV32,'CF_2'!AV32,'CF_3'!AV32,'CF_4'!AV32)</x:f>
      </x:c>
      <x:c r="AW7" s="117" t="n">
        <x:f>SUM('CF_1'!AW32,'CF_2'!AW32,'CF_3'!AW32,'CF_4'!AW32)</x:f>
      </x:c>
      <x:c r="AX7" s="117" t="n">
        <x:f>SUM('CF_1'!AX32,'CF_2'!AX32,'CF_3'!AX32,'CF_4'!AX32)</x:f>
      </x:c>
      <x:c r="AY7" s="117" t="n">
        <x:f>SUM('CF_1'!AY32,'CF_2'!AY32,'CF_3'!AY32,'CF_4'!AY32)</x:f>
      </x:c>
      <x:c r="AZ7" s="117" t="n">
        <x:f>SUM('CF_1'!AZ32,'CF_2'!AZ32,'CF_3'!AZ32,'CF_4'!AZ32)</x:f>
      </x:c>
      <x:c r="BA7" s="117" t="n">
        <x:f>SUM('CF_1'!BA32,'CF_2'!BA32,'CF_3'!BA32,'CF_4'!BA32)</x:f>
      </x:c>
      <x:c r="BB7" s="117" t="n">
        <x:f>SUM('CF_1'!BB32,'CF_2'!BB32,'CF_3'!BB32,'CF_4'!BB32)</x:f>
      </x:c>
      <x:c r="BC7" s="117" t="n">
        <x:f>SUM('CF_1'!BC32,'CF_2'!BC32,'CF_3'!BC32,'CF_4'!BC32)</x:f>
      </x:c>
      <x:c r="BD7" s="117" t="n">
        <x:f>SUM('CF_1'!BD32,'CF_2'!BD32,'CF_3'!BD32,'CF_4'!BD32)</x:f>
      </x:c>
      <x:c r="BE7" s="117" t="n">
        <x:f>SUM('CF_1'!BE32,'CF_2'!BE32,'CF_3'!BE32,'CF_4'!BE32)</x:f>
      </x:c>
      <x:c r="BF7" s="117" t="n">
        <x:f>SUM('CF_1'!BF32,'CF_2'!BF32,'CF_3'!BF32,'CF_4'!BF32)</x:f>
      </x:c>
      <x:c r="BG7" s="117" t="n">
        <x:f>SUM('CF_1'!BG32,'CF_2'!BG32,'CF_3'!BG32,'CF_4'!BG32)</x:f>
      </x:c>
      <x:c r="BH7" s="117" t="n">
        <x:f>SUM('CF_1'!BH32,'CF_2'!BH32,'CF_3'!BH32,'CF_4'!BH32)</x:f>
      </x:c>
      <x:c r="BI7" s="117" t="n">
        <x:f>SUM('CF_1'!BI32,'CF_2'!BI32,'CF_3'!BI32,'CF_4'!BI32)</x:f>
      </x:c>
      <x:c r="BJ7" s="117" t="n">
        <x:f>SUM('CF_1'!BJ32,'CF_2'!BJ32,'CF_3'!BJ32,'CF_4'!BJ32)</x:f>
      </x:c>
      <x:c r="BK7" s="117" t="n">
        <x:f>SUM('CF_1'!BK32,'CF_2'!BK32,'CF_3'!BK32,'CF_4'!BK32)</x:f>
      </x:c>
      <x:c r="BL7" s="117" t="n">
        <x:f>SUM('CF_1'!BL32,'CF_2'!BL32,'CF_3'!BL32,'CF_4'!BL32)</x:f>
      </x:c>
      <x:c r="BM7" s="117" t="n">
        <x:f>SUM('CF_1'!BM32,'CF_2'!BM32,'CF_3'!BM32,'CF_4'!BM32)</x:f>
      </x:c>
      <x:c r="BN7" s="117" t="n">
        <x:f>SUM('CF_1'!BN32,'CF_2'!BN32,'CF_3'!BN32,'CF_4'!BN32)</x:f>
      </x:c>
      <x:c r="BO7" s="117" t="n">
        <x:f>SUM('CF_1'!BO32,'CF_2'!BO32,'CF_3'!BO32,'CF_4'!BO32)</x:f>
      </x:c>
      <x:c r="BP7" s="117" t="n">
        <x:f>SUM('CF_1'!BP32,'CF_2'!BP32,'CF_3'!BP32,'CF_4'!BP32)</x:f>
      </x:c>
      <x:c r="BQ7" s="117" t="n">
        <x:f>SUM('CF_1'!BQ32,'CF_2'!BQ32,'CF_3'!BQ32,'CF_4'!BQ32)</x:f>
      </x:c>
      <x:c r="BR7" s="117" t="n">
        <x:f>SUM('CF_1'!BR32,'CF_2'!BR32,'CF_3'!BR32,'CF_4'!BR32)</x:f>
      </x:c>
      <x:c r="BS7" s="117" t="n">
        <x:f>SUM('CF_1'!BS32,'CF_2'!BS32,'CF_3'!BS32,'CF_4'!BS32)</x:f>
      </x:c>
      <x:c r="BT7" s="117" t="n">
        <x:f>SUM('CF_1'!BT32,'CF_2'!BT32,'CF_3'!BT32,'CF_4'!BT32)</x:f>
      </x:c>
      <x:c r="BU7" s="117" t="n">
        <x:f>SUM('CF_1'!BU32,'CF_2'!BU32,'CF_3'!BU32,'CF_4'!BU32)</x:f>
      </x:c>
      <x:c r="BV7" s="117" t="n">
        <x:f>SUM('CF_1'!BV32,'CF_2'!BV32,'CF_3'!BV32,'CF_4'!BV32)</x:f>
      </x:c>
      <x:c r="BW7" s="117" t="n">
        <x:f>SUM('CF_1'!BW32,'CF_2'!BW32,'CF_3'!BW32,'CF_4'!BW32)</x:f>
      </x:c>
      <x:c r="BX7" s="117" t="n">
        <x:f>SUM('CF_1'!BX32,'CF_2'!BX32,'CF_3'!BX32,'CF_4'!BX32)</x:f>
      </x:c>
      <x:c r="BY7" s="117" t="n">
        <x:f>SUM('CF_1'!BY32,'CF_2'!BY32,'CF_3'!BY32,'CF_4'!BY32)</x:f>
      </x:c>
      <x:c r="BZ7" s="117" t="n">
        <x:f>SUM('CF_1'!BZ32,'CF_2'!BZ32,'CF_3'!BZ32,'CF_4'!BZ32)</x:f>
      </x:c>
      <x:c r="CA7" s="117" t="n">
        <x:f>SUM('CF_1'!CA32,'CF_2'!CA32,'CF_3'!CA32,'CF_4'!CA32)</x:f>
      </x:c>
      <x:c r="CB7" s="117" t="n">
        <x:f>SUM('CF_1'!CB32,'CF_2'!CB32,'CF_3'!CB32,'CF_4'!CB32)</x:f>
      </x:c>
      <x:c r="CC7" s="117" t="n">
        <x:f>SUM('CF_1'!CC32,'CF_2'!CC32,'CF_3'!CC32,'CF_4'!CC32)</x:f>
      </x:c>
      <x:c r="CD7" s="117" t="n">
        <x:f>SUM('CF_1'!CD32,'CF_2'!CD32,'CF_3'!CD32,'CF_4'!CD32)</x:f>
      </x:c>
      <x:c r="CE7" s="117" t="n">
        <x:f>SUM('CF_1'!CE32,'CF_2'!CE32,'CF_3'!CE32,'CF_4'!CE32)</x:f>
      </x:c>
      <x:c r="CF7" s="117" t="n">
        <x:f>SUM('CF_1'!CF32,'CF_2'!CF32,'CF_3'!CF32,'CF_4'!CF32)</x:f>
      </x:c>
      <x:c r="CG7" s="117" t="n">
        <x:f>SUM('CF_1'!CG32,'CF_2'!CG32,'CF_3'!CG32,'CF_4'!CG32)</x:f>
      </x:c>
      <x:c r="CH7" s="117" t="n">
        <x:f>SUM('CF_1'!CH32,'CF_2'!CH32,'CF_3'!CH32,'CF_4'!CH32)</x:f>
      </x:c>
      <x:c r="CI7" s="117" t="n">
        <x:f>SUM('CF_1'!CI32,'CF_2'!CI32,'CF_3'!CI32,'CF_4'!CI32)</x:f>
      </x:c>
      <x:c r="CJ7" s="117" t="n">
        <x:f>SUM('CF_1'!CJ32,'CF_2'!CJ32,'CF_3'!CJ32,'CF_4'!CJ32)</x:f>
      </x:c>
      <x:c r="CK7" s="117" t="n">
        <x:f>SUM('CF_1'!CK32,'CF_2'!CK32,'CF_3'!CK32,'CF_4'!CK32)</x:f>
      </x:c>
      <x:c r="CL7" s="117" t="n">
        <x:f>SUM('CF_1'!CL32,'CF_2'!CL32,'CF_3'!CL32,'CF_4'!CL32)</x:f>
      </x:c>
      <x:c r="CM7" s="117" t="n">
        <x:f>SUM('CF_1'!CM32,'CF_2'!CM32,'CF_3'!CM32,'CF_4'!CM32)</x:f>
      </x:c>
      <x:c r="CN7" s="117" t="n">
        <x:f>SUM('CF_1'!CN32,'CF_2'!CN32,'CF_3'!CN32,'CF_4'!CN32)</x:f>
      </x:c>
      <x:c r="CO7" s="117" t="n">
        <x:f>SUM('CF_1'!CO32,'CF_2'!CO32,'CF_3'!CO32,'CF_4'!CO32)</x:f>
      </x:c>
      <x:c r="CP7" s="117" t="n">
        <x:f>SUM('CF_1'!CP32,'CF_2'!CP32,'CF_3'!CP32,'CF_4'!CP32)</x:f>
      </x:c>
      <x:c r="CQ7" s="117" t="n">
        <x:f>SUM('CF_1'!CQ32,'CF_2'!CQ32,'CF_3'!CQ32,'CF_4'!CQ32)</x:f>
      </x:c>
      <x:c r="CR7" s="117" t="n">
        <x:f>SUM('CF_1'!CR32,'CF_2'!CR32,'CF_3'!CR32,'CF_4'!CR32)</x:f>
      </x:c>
      <x:c r="CS7" s="117" t="n">
        <x:f>SUM('CF_1'!CS32,'CF_2'!CS32,'CF_3'!CS32,'CF_4'!CS32)</x:f>
      </x:c>
      <x:c r="CT7" s="117" t="n">
        <x:f>SUM('CF_1'!CT32,'CF_2'!CT32,'CF_3'!CT32,'CF_4'!CT32)</x:f>
      </x:c>
      <x:c r="CU7" s="117" t="n">
        <x:f>SUM('CF_1'!CU32,'CF_2'!CU32,'CF_3'!CU32,'CF_4'!CU32)</x:f>
      </x:c>
      <x:c r="CV7" s="117" t="n">
        <x:f>SUM('CF_1'!CV32,'CF_2'!CV32,'CF_3'!CV32,'CF_4'!CV32)</x:f>
      </x:c>
      <x:c r="CW7" s="117" t="n">
        <x:f>SUM('CF_1'!CW32,'CF_2'!CW32,'CF_3'!CW32,'CF_4'!CW32)</x:f>
      </x:c>
      <x:c r="CX7" s="117" t="n">
        <x:f>SUM('CF_1'!CX32,'CF_2'!CX32,'CF_3'!CX32,'CF_4'!CX32)</x:f>
      </x:c>
      <x:c r="CY7" s="117" t="n">
        <x:f>SUM('CF_1'!CY32,'CF_2'!CY32,'CF_3'!CY32,'CF_4'!CY32)</x:f>
      </x:c>
      <x:c r="CZ7" s="117" t="n">
        <x:f>SUM('CF_1'!CZ32,'CF_2'!CZ32,'CF_3'!CZ32,'CF_4'!CZ32)</x:f>
      </x:c>
      <x:c r="DA7" s="117" t="n">
        <x:f>SUM('CF_1'!DA32,'CF_2'!DA32,'CF_3'!DA32,'CF_4'!DA32)</x:f>
      </x:c>
      <x:c r="DB7" s="117" t="n">
        <x:f>SUM('CF_1'!DB32,'CF_2'!DB32,'CF_3'!DB32,'CF_4'!DB32)</x:f>
      </x:c>
      <x:c r="DC7" s="117" t="n">
        <x:f>SUM('CF_1'!DC32,'CF_2'!DC32,'CF_3'!DC32,'CF_4'!DC32)</x:f>
      </x:c>
      <x:c r="DD7" s="117" t="n">
        <x:f>SUM('CF_1'!DD32,'CF_2'!DD32,'CF_3'!DD32,'CF_4'!DD32)</x:f>
      </x:c>
      <x:c r="DE7" s="117" t="n">
        <x:f>SUM('CF_1'!DE32,'CF_2'!DE32,'CF_3'!DE32,'CF_4'!DE32)</x:f>
      </x:c>
      <x:c r="DF7" s="117" t="n">
        <x:f>SUM('CF_1'!DF32,'CF_2'!DF32,'CF_3'!DF32,'CF_4'!DF32)</x:f>
      </x:c>
      <x:c r="DG7" s="117" t="n">
        <x:f>SUM('CF_1'!DG32,'CF_2'!DG32,'CF_3'!DG32,'CF_4'!DG32)</x:f>
      </x:c>
      <x:c r="DH7" s="117" t="n">
        <x:f>SUM('CF_1'!DH32,'CF_2'!DH32,'CF_3'!DH32,'CF_4'!DH32)</x:f>
      </x:c>
      <x:c r="DI7" s="117" t="n">
        <x:f>SUM('CF_1'!DI32,'CF_2'!DI32,'CF_3'!DI32,'CF_4'!DI32)</x:f>
      </x:c>
      <x:c r="DJ7" s="117" t="n">
        <x:f>SUM('CF_1'!DJ32,'CF_2'!DJ32,'CF_3'!DJ32,'CF_4'!DJ32)</x:f>
      </x:c>
      <x:c r="DK7" s="117" t="n">
        <x:f>SUM('CF_1'!DK32,'CF_2'!DK32,'CF_3'!DK32,'CF_4'!DK32)</x:f>
      </x:c>
      <x:c r="DL7" s="117" t="n">
        <x:f>SUM('CF_1'!DL32,'CF_2'!DL32,'CF_3'!DL32,'CF_4'!DL32)</x:f>
      </x:c>
      <x:c r="DM7" s="117" t="n">
        <x:f>SUM('CF_1'!DM32,'CF_2'!DM32,'CF_3'!DM32,'CF_4'!DM32)</x:f>
      </x:c>
      <x:c r="DN7" s="117" t="n">
        <x:f>SUM('CF_1'!DN32,'CF_2'!DN32,'CF_3'!DN32,'CF_4'!DN32)</x:f>
      </x:c>
      <x:c r="DO7" s="117" t="n">
        <x:f>SUM('CF_1'!DO32,'CF_2'!DO32,'CF_3'!DO32,'CF_4'!DO32)</x:f>
      </x:c>
      <x:c r="DP7" s="117" t="n">
        <x:f>SUM('CF_1'!DP32,'CF_2'!DP32,'CF_3'!DP32,'CF_4'!DP32)</x:f>
      </x:c>
      <x:c r="DQ7" s="117" t="n">
        <x:f>SUM('CF_1'!DQ32,'CF_2'!DQ32,'CF_3'!DQ32,'CF_4'!DQ32)</x:f>
      </x:c>
      <x:c r="DR7" s="117" t="n">
        <x:f>SUM('CF_1'!DR32,'CF_2'!DR32,'CF_3'!DR32,'CF_4'!DR32)</x:f>
      </x:c>
      <x:c r="DS7" s="117" t="n">
        <x:f>SUM('CF_1'!DS32,'CF_2'!DS32,'CF_3'!DS32,'CF_4'!DS32)</x:f>
      </x:c>
      <x:c r="DT7" s="117" t="n">
        <x:f>SUM('CF_1'!DT32,'CF_2'!DT32,'CF_3'!DT32,'CF_4'!DT32)</x:f>
      </x:c>
      <x:c r="DU7" s="117" t="n">
        <x:f>SUM('CF_1'!DU32,'CF_2'!DU32,'CF_3'!DU32,'CF_4'!DU32)</x:f>
      </x:c>
      <x:c r="DV7" s="117" t="n">
        <x:f>SUM('CF_1'!DV32,'CF_2'!DV32,'CF_3'!DV32,'CF_4'!DV32)</x:f>
      </x:c>
      <x:c r="DW7" s="117" t="n">
        <x:f>SUM('CF_1'!DW32,'CF_2'!DW32,'CF_3'!DW32,'CF_4'!DW32)</x:f>
      </x:c>
      <x:c r="DX7" s="117" t="n">
        <x:f>SUM('CF_1'!DX32,'CF_2'!DX32,'CF_3'!DX32,'CF_4'!DX32)</x:f>
      </x:c>
      <x:c r="DY7" s="117" t="n">
        <x:f>SUM('CF_1'!DY32,'CF_2'!DY32,'CF_3'!DY32,'CF_4'!DY32)</x:f>
      </x:c>
      <x:c r="DZ7" s="117" t="n">
        <x:f>SUM('CF_1'!DZ32,'CF_2'!DZ32,'CF_3'!DZ32,'CF_4'!DZ32)</x:f>
      </x:c>
      <x:c r="EA7" s="117" t="n">
        <x:f>SUM('CF_1'!EA32,'CF_2'!EA32,'CF_3'!EA32,'CF_4'!EA32)</x:f>
      </x:c>
      <x:c r="EB7" s="117" t="n">
        <x:f>SUM('CF_1'!EB32,'CF_2'!EB32,'CF_3'!EB32,'CF_4'!EB32)</x:f>
      </x:c>
      <x:c r="EC7" s="117" t="n">
        <x:f>SUM('CF_1'!EC32,'CF_2'!EC32,'CF_3'!EC32,'CF_4'!EC32)</x:f>
      </x:c>
      <x:c r="ED7" s="117" t="n">
        <x:f>SUM('CF_1'!ED32,'CF_2'!ED32,'CF_3'!ED32,'CF_4'!ED32)</x:f>
      </x:c>
      <x:c r="EE7" s="117" t="n">
        <x:f>SUM('CF_1'!EE32,'CF_2'!EE32,'CF_3'!EE32,'CF_4'!EE32)</x:f>
      </x:c>
      <x:c r="EF7" s="117" t="n">
        <x:f>SUM('CF_1'!EF32,'CF_2'!EF32,'CF_3'!EF32,'CF_4'!EF32)</x:f>
      </x:c>
      <x:c r="EG7" s="117" t="n">
        <x:f>SUM('CF_1'!EG32,'CF_2'!EG32,'CF_3'!EG32,'CF_4'!EG32)</x:f>
      </x:c>
      <x:c r="EH7" s="117" t="n">
        <x:f>SUM('CF_1'!EH32,'CF_2'!EH32,'CF_3'!EH32,'CF_4'!EH32)</x:f>
      </x:c>
      <x:c r="EI7" s="117" t="n">
        <x:f>SUM('CF_1'!EI32,'CF_2'!EI32,'CF_3'!EI32,'CF_4'!EI32)</x:f>
      </x:c>
      <x:c r="EJ7" s="117" t="n">
        <x:f>SUM('CF_1'!EJ32,'CF_2'!EJ32,'CF_3'!EJ32,'CF_4'!EJ32)</x:f>
      </x:c>
      <x:c r="EK7" s="117" t="n">
        <x:f>SUM('CF_1'!EK32,'CF_2'!EK32,'CF_3'!EK32,'CF_4'!EK32)</x:f>
      </x:c>
      <x:c r="EL7" s="117" t="n">
        <x:f>SUM('CF_1'!EL32,'CF_2'!EL32,'CF_3'!EL32,'CF_4'!EL32)</x:f>
      </x:c>
      <x:c r="EM7" s="117" t="n">
        <x:f>SUM('CF_1'!EM32,'CF_2'!EM32,'CF_3'!EM32,'CF_4'!EM32)</x:f>
      </x:c>
      <x:c r="EN7" s="117" t="n">
        <x:f>SUM('CF_1'!EN32,'CF_2'!EN32,'CF_3'!EN32,'CF_4'!EN32)</x:f>
      </x:c>
      <x:c r="EO7" s="117" t="n">
        <x:f>SUM('CF_1'!EO32,'CF_2'!EO32,'CF_3'!EO32,'CF_4'!EO32)</x:f>
      </x:c>
      <x:c r="EP7" s="117" t="n">
        <x:f>SUM('CF_1'!EP32,'CF_2'!EP32,'CF_3'!EP32,'CF_4'!EP32)</x:f>
      </x:c>
      <x:c r="EQ7" s="117" t="n">
        <x:f>SUM('CF_1'!EQ32,'CF_2'!EQ32,'CF_3'!EQ32,'CF_4'!EQ32)</x:f>
      </x:c>
      <x:c r="ER7" s="117" t="n">
        <x:f>SUM('CF_1'!ER32,'CF_2'!ER32,'CF_3'!ER32,'CF_4'!ER32)</x:f>
      </x:c>
      <x:c r="ES7" s="117" t="n">
        <x:f>SUM('CF_1'!ES32,'CF_2'!ES32,'CF_3'!ES32,'CF_4'!ES32)</x:f>
      </x:c>
      <x:c r="ET7" s="117" t="n">
        <x:f>SUM('CF_1'!ET32,'CF_2'!ET32,'CF_3'!ET32,'CF_4'!ET32)</x:f>
      </x:c>
      <x:c r="EU7" s="117" t="n">
        <x:f>SUM('CF_1'!EU32,'CF_2'!EU32,'CF_3'!EU32,'CF_4'!EU32)</x:f>
      </x:c>
      <x:c r="EV7" s="117" t="n">
        <x:f>SUM('CF_1'!EV32,'CF_2'!EV32,'CF_3'!EV32,'CF_4'!EV32)</x:f>
      </x:c>
      <x:c r="EW7" s="117" t="n">
        <x:f>SUM('CF_1'!EW32,'CF_2'!EW32,'CF_3'!EW32,'CF_4'!EW32)</x:f>
      </x:c>
      <x:c r="EX7" s="117" t="n">
        <x:f>SUM('CF_1'!EX32,'CF_2'!EX32,'CF_3'!EX32,'CF_4'!EX32)</x:f>
      </x:c>
      <x:c r="EY7" s="117" t="n">
        <x:f>SUM('CF_1'!EY32,'CF_2'!EY32,'CF_3'!EY32,'CF_4'!EY32)</x:f>
      </x:c>
      <x:c r="EZ7" s="117" t="n">
        <x:f>SUM('CF_1'!EZ32,'CF_2'!EZ32,'CF_3'!EZ32,'CF_4'!EZ32)</x:f>
      </x:c>
      <x:c r="FA7" s="117" t="n">
        <x:f>SUM('CF_1'!FA32,'CF_2'!FA32,'CF_3'!FA32,'CF_4'!FA32)</x:f>
      </x:c>
      <x:c r="FB7" s="117" t="n">
        <x:f>SUM('CF_1'!FB32,'CF_2'!FB32,'CF_3'!FB32,'CF_4'!FB32)</x:f>
      </x:c>
      <x:c r="FC7" s="117" t="n">
        <x:f>SUM('CF_1'!FC32,'CF_2'!FC32,'CF_3'!FC32,'CF_4'!FC32)</x:f>
      </x:c>
      <x:c r="FD7" s="117" t="n">
        <x:f>SUM('CF_1'!FD32,'CF_2'!FD32,'CF_3'!FD32,'CF_4'!FD32)</x:f>
      </x:c>
      <x:c r="FE7" s="117" t="n">
        <x:f>SUM('CF_1'!FE32,'CF_2'!FE32,'CF_3'!FE32,'CF_4'!FE32)</x:f>
      </x:c>
      <x:c r="FF7" s="117" t="n">
        <x:f>SUM('CF_1'!FF32,'CF_2'!FF32,'CF_3'!FF32,'CF_4'!FF32)</x:f>
      </x:c>
      <x:c r="FG7" s="117" t="n">
        <x:f>SUM('CF_1'!FG32,'CF_2'!FG32,'CF_3'!FG32,'CF_4'!FG32)</x:f>
      </x:c>
      <x:c r="FH7" s="117" t="n">
        <x:f>SUM('CF_1'!FH32,'CF_2'!FH32,'CF_3'!FH32,'CF_4'!FH32)</x:f>
      </x:c>
      <x:c r="FI7" s="117" t="n">
        <x:f>SUM('CF_1'!FI32,'CF_2'!FI32,'CF_3'!FI32,'CF_4'!FI32)</x:f>
      </x:c>
      <x:c r="FJ7" s="117" t="n">
        <x:f>SUM('CF_1'!FJ32,'CF_2'!FJ32,'CF_3'!FJ32,'CF_4'!FJ32)</x:f>
      </x:c>
      <x:c r="FK7" s="117" t="n">
        <x:f>SUM('CF_1'!FK32,'CF_2'!FK32,'CF_3'!FK32,'CF_4'!FK32)</x:f>
      </x:c>
      <x:c r="FL7" s="117" t="n">
        <x:f>SUM('CF_1'!FL32,'CF_2'!FL32,'CF_3'!FL32,'CF_4'!FL32)</x:f>
      </x:c>
      <x:c r="FM7" s="117" t="n">
        <x:f>SUM('CF_1'!FM32,'CF_2'!FM32,'CF_3'!FM32,'CF_4'!FM32)</x:f>
      </x:c>
      <x:c r="FN7" s="117" t="n">
        <x:f>SUM('CF_1'!FN32,'CF_2'!FN32,'CF_3'!FN32,'CF_4'!FN32)</x:f>
      </x:c>
      <x:c r="FO7" s="117" t="n">
        <x:f>SUM('CF_1'!FO32,'CF_2'!FO32,'CF_3'!FO32,'CF_4'!FO32)</x:f>
      </x:c>
      <x:c r="FP7" s="117" t="n">
        <x:f>SUM('CF_1'!FP32,'CF_2'!FP32,'CF_3'!FP32,'CF_4'!FP32)</x:f>
      </x:c>
      <x:c r="FQ7" s="117" t="n">
        <x:f>SUM('CF_1'!FQ32,'CF_2'!FQ32,'CF_3'!FQ32,'CF_4'!FQ32)</x:f>
      </x:c>
      <x:c r="FR7" s="117" t="n">
        <x:f>SUM('CF_1'!FR32,'CF_2'!FR32,'CF_3'!FR32,'CF_4'!FR32)</x:f>
      </x:c>
      <x:c r="FS7" s="117" t="n">
        <x:f>SUM('CF_1'!FS32,'CF_2'!FS32,'CF_3'!FS32,'CF_4'!FS32)</x:f>
      </x:c>
      <x:c r="FT7" s="117" t="n">
        <x:f>SUM('CF_1'!FT32,'CF_2'!FT32,'CF_3'!FT32,'CF_4'!FT32)</x:f>
      </x:c>
      <x:c r="FU7" s="117" t="n">
        <x:f>SUM('CF_1'!FU32,'CF_2'!FU32,'CF_3'!FU32,'CF_4'!FU32)</x:f>
      </x:c>
      <x:c r="FV7" s="117" t="n">
        <x:f>SUM('CF_1'!FV32,'CF_2'!FV32,'CF_3'!FV32,'CF_4'!FV32)</x:f>
      </x:c>
      <x:c r="FW7" s="117" t="n">
        <x:f>SUM('CF_1'!FW32,'CF_2'!FW32,'CF_3'!FW32,'CF_4'!FW32)</x:f>
      </x:c>
      <x:c r="FX7" s="117" t="n">
        <x:f>SUM('CF_1'!FX32,'CF_2'!FX32,'CF_3'!FX32,'CF_4'!FX32)</x:f>
      </x:c>
      <x:c r="FY7" s="117" t="n">
        <x:f>SUM('CF_1'!FY32,'CF_2'!FY32,'CF_3'!FY32,'CF_4'!FY32)</x:f>
      </x:c>
      <x:c r="FZ7" s="117" t="n">
        <x:f>SUM('CF_1'!FZ32,'CF_2'!FZ32,'CF_3'!FZ32,'CF_4'!FZ32)</x:f>
      </x:c>
      <x:c r="GA7" s="117" t="n">
        <x:f>SUM('CF_1'!GA32,'CF_2'!GA32,'CF_3'!GA32,'CF_4'!GA32)</x:f>
      </x:c>
    </x:row>
    <x:row r="8">
      <x:c r="A8" t="str">
        <x:v>БРИДЖ — погашение</x:v>
      </x:c>
      <x:c r="B8" s="107" t="n">
        <x:f>SUM(D8:GA8)</x:f>
      </x:c>
      <x:c r="C8" t="str">
        <x:v>млн ₽</x:v>
      </x:c>
      <x:c r="D8" s="117" t="n">
        <x:f>SUM('CF_1'!D35,'CF_2'!D35,'CF_3'!D35,'CF_4'!D35)</x:f>
      </x:c>
      <x:c r="E8" s="117" t="n">
        <x:f>SUM('CF_1'!E35,'CF_2'!E35,'CF_3'!E35,'CF_4'!E35)</x:f>
      </x:c>
      <x:c r="F8" s="117" t="n">
        <x:f>SUM('CF_1'!F35,'CF_2'!F35,'CF_3'!F35,'CF_4'!F35)</x:f>
      </x:c>
      <x:c r="G8" s="117" t="n">
        <x:f>SUM('CF_1'!G35,'CF_2'!G35,'CF_3'!G35,'CF_4'!G35)</x:f>
      </x:c>
      <x:c r="H8" s="117" t="n">
        <x:f>SUM('CF_1'!H35,'CF_2'!H35,'CF_3'!H35,'CF_4'!H35)</x:f>
      </x:c>
      <x:c r="I8" s="117" t="n">
        <x:f>SUM('CF_1'!I35,'CF_2'!I35,'CF_3'!I35,'CF_4'!I35)</x:f>
      </x:c>
      <x:c r="J8" s="117" t="n">
        <x:f>SUM('CF_1'!J35,'CF_2'!J35,'CF_3'!J35,'CF_4'!J35)</x:f>
      </x:c>
      <x:c r="K8" s="117" t="n">
        <x:f>SUM('CF_1'!K35,'CF_2'!K35,'CF_3'!K35,'CF_4'!K35)</x:f>
      </x:c>
      <x:c r="L8" s="117" t="n">
        <x:f>SUM('CF_1'!L35,'CF_2'!L35,'CF_3'!L35,'CF_4'!L35)</x:f>
      </x:c>
      <x:c r="M8" s="117" t="n">
        <x:f>SUM('CF_1'!M35,'CF_2'!M35,'CF_3'!M35,'CF_4'!M35)</x:f>
      </x:c>
      <x:c r="N8" s="117" t="n">
        <x:f>SUM('CF_1'!N35,'CF_2'!N35,'CF_3'!N35,'CF_4'!N35)</x:f>
      </x:c>
      <x:c r="O8" s="117" t="n">
        <x:f>SUM('CF_1'!O35,'CF_2'!O35,'CF_3'!O35,'CF_4'!O35)</x:f>
      </x:c>
      <x:c r="P8" s="117" t="n">
        <x:f>SUM('CF_1'!P35,'CF_2'!P35,'CF_3'!P35,'CF_4'!P35)</x:f>
      </x:c>
      <x:c r="Q8" s="117" t="n">
        <x:f>SUM('CF_1'!Q35,'CF_2'!Q35,'CF_3'!Q35,'CF_4'!Q35)</x:f>
      </x:c>
      <x:c r="R8" s="117" t="n">
        <x:f>SUM('CF_1'!R35,'CF_2'!R35,'CF_3'!R35,'CF_4'!R35)</x:f>
      </x:c>
      <x:c r="S8" s="117" t="n">
        <x:f>SUM('CF_1'!S35,'CF_2'!S35,'CF_3'!S35,'CF_4'!S35)</x:f>
      </x:c>
      <x:c r="T8" s="117" t="n">
        <x:f>SUM('CF_1'!T35,'CF_2'!T35,'CF_3'!T35,'CF_4'!T35)</x:f>
      </x:c>
      <x:c r="U8" s="117" t="n">
        <x:f>SUM('CF_1'!U35,'CF_2'!U35,'CF_3'!U35,'CF_4'!U35)</x:f>
      </x:c>
      <x:c r="V8" s="117" t="n">
        <x:f>SUM('CF_1'!V35,'CF_2'!V35,'CF_3'!V35,'CF_4'!V35)</x:f>
      </x:c>
      <x:c r="W8" s="117" t="n">
        <x:f>SUM('CF_1'!W35,'CF_2'!W35,'CF_3'!W35,'CF_4'!W35)</x:f>
      </x:c>
      <x:c r="X8" s="117" t="n">
        <x:f>SUM('CF_1'!X35,'CF_2'!X35,'CF_3'!X35,'CF_4'!X35)</x:f>
      </x:c>
      <x:c r="Y8" s="117" t="n">
        <x:f>SUM('CF_1'!Y35,'CF_2'!Y35,'CF_3'!Y35,'CF_4'!Y35)</x:f>
      </x:c>
      <x:c r="Z8" s="117" t="n">
        <x:f>SUM('CF_1'!Z35,'CF_2'!Z35,'CF_3'!Z35,'CF_4'!Z35)</x:f>
      </x:c>
      <x:c r="AA8" s="117" t="n">
        <x:f>SUM('CF_1'!AA35,'CF_2'!AA35,'CF_3'!AA35,'CF_4'!AA35)</x:f>
      </x:c>
      <x:c r="AB8" s="117" t="n">
        <x:f>SUM('CF_1'!AB35,'CF_2'!AB35,'CF_3'!AB35,'CF_4'!AB35)</x:f>
      </x:c>
      <x:c r="AC8" s="117" t="n">
        <x:f>SUM('CF_1'!AC35,'CF_2'!AC35,'CF_3'!AC35,'CF_4'!AC35)</x:f>
      </x:c>
      <x:c r="AD8" s="117" t="n">
        <x:f>SUM('CF_1'!AD35,'CF_2'!AD35,'CF_3'!AD35,'CF_4'!AD35)</x:f>
      </x:c>
      <x:c r="AE8" s="117" t="n">
        <x:f>SUM('CF_1'!AE35,'CF_2'!AE35,'CF_3'!AE35,'CF_4'!AE35)</x:f>
      </x:c>
      <x:c r="AF8" s="117" t="n">
        <x:f>SUM('CF_1'!AF35,'CF_2'!AF35,'CF_3'!AF35,'CF_4'!AF35)</x:f>
      </x:c>
      <x:c r="AG8" s="117" t="n">
        <x:f>SUM('CF_1'!AG35,'CF_2'!AG35,'CF_3'!AG35,'CF_4'!AG35)</x:f>
      </x:c>
      <x:c r="AH8" s="117" t="n">
        <x:f>SUM('CF_1'!AH35,'CF_2'!AH35,'CF_3'!AH35,'CF_4'!AH35)</x:f>
      </x:c>
      <x:c r="AI8" s="117" t="n">
        <x:f>SUM('CF_1'!AI35,'CF_2'!AI35,'CF_3'!AI35,'CF_4'!AI35)</x:f>
      </x:c>
      <x:c r="AJ8" s="117" t="n">
        <x:f>SUM('CF_1'!AJ35,'CF_2'!AJ35,'CF_3'!AJ35,'CF_4'!AJ35)</x:f>
      </x:c>
      <x:c r="AK8" s="117" t="n">
        <x:f>SUM('CF_1'!AK35,'CF_2'!AK35,'CF_3'!AK35,'CF_4'!AK35)</x:f>
      </x:c>
      <x:c r="AL8" s="117" t="n">
        <x:f>SUM('CF_1'!AL35,'CF_2'!AL35,'CF_3'!AL35,'CF_4'!AL35)</x:f>
      </x:c>
      <x:c r="AM8" s="117" t="n">
        <x:f>SUM('CF_1'!AM35,'CF_2'!AM35,'CF_3'!AM35,'CF_4'!AM35)</x:f>
      </x:c>
      <x:c r="AN8" s="117" t="n">
        <x:f>SUM('CF_1'!AN35,'CF_2'!AN35,'CF_3'!AN35,'CF_4'!AN35)</x:f>
      </x:c>
      <x:c r="AO8" s="117" t="n">
        <x:f>SUM('CF_1'!AO35,'CF_2'!AO35,'CF_3'!AO35,'CF_4'!AO35)</x:f>
      </x:c>
      <x:c r="AP8" s="117" t="n">
        <x:f>SUM('CF_1'!AP35,'CF_2'!AP35,'CF_3'!AP35,'CF_4'!AP35)</x:f>
      </x:c>
      <x:c r="AQ8" s="117" t="n">
        <x:f>SUM('CF_1'!AQ35,'CF_2'!AQ35,'CF_3'!AQ35,'CF_4'!AQ35)</x:f>
      </x:c>
      <x:c r="AR8" s="117" t="n">
        <x:f>SUM('CF_1'!AR35,'CF_2'!AR35,'CF_3'!AR35,'CF_4'!AR35)</x:f>
      </x:c>
      <x:c r="AS8" s="117" t="n">
        <x:f>SUM('CF_1'!AS35,'CF_2'!AS35,'CF_3'!AS35,'CF_4'!AS35)</x:f>
      </x:c>
      <x:c r="AT8" s="117" t="n">
        <x:f>SUM('CF_1'!AT35,'CF_2'!AT35,'CF_3'!AT35,'CF_4'!AT35)</x:f>
      </x:c>
      <x:c r="AU8" s="117" t="n">
        <x:f>SUM('CF_1'!AU35,'CF_2'!AU35,'CF_3'!AU35,'CF_4'!AU35)</x:f>
      </x:c>
      <x:c r="AV8" s="117" t="n">
        <x:f>SUM('CF_1'!AV35,'CF_2'!AV35,'CF_3'!AV35,'CF_4'!AV35)</x:f>
      </x:c>
      <x:c r="AW8" s="117" t="n">
        <x:f>SUM('CF_1'!AW35,'CF_2'!AW35,'CF_3'!AW35,'CF_4'!AW35)</x:f>
      </x:c>
      <x:c r="AX8" s="117" t="n">
        <x:f>SUM('CF_1'!AX35,'CF_2'!AX35,'CF_3'!AX35,'CF_4'!AX35)</x:f>
      </x:c>
      <x:c r="AY8" s="117" t="n">
        <x:f>SUM('CF_1'!AY35,'CF_2'!AY35,'CF_3'!AY35,'CF_4'!AY35)</x:f>
      </x:c>
      <x:c r="AZ8" s="117" t="n">
        <x:f>SUM('CF_1'!AZ35,'CF_2'!AZ35,'CF_3'!AZ35,'CF_4'!AZ35)</x:f>
      </x:c>
      <x:c r="BA8" s="117" t="n">
        <x:f>SUM('CF_1'!BA35,'CF_2'!BA35,'CF_3'!BA35,'CF_4'!BA35)</x:f>
      </x:c>
      <x:c r="BB8" s="117" t="n">
        <x:f>SUM('CF_1'!BB35,'CF_2'!BB35,'CF_3'!BB35,'CF_4'!BB35)</x:f>
      </x:c>
      <x:c r="BC8" s="117" t="n">
        <x:f>SUM('CF_1'!BC35,'CF_2'!BC35,'CF_3'!BC35,'CF_4'!BC35)</x:f>
      </x:c>
      <x:c r="BD8" s="117" t="n">
        <x:f>SUM('CF_1'!BD35,'CF_2'!BD35,'CF_3'!BD35,'CF_4'!BD35)</x:f>
      </x:c>
      <x:c r="BE8" s="117" t="n">
        <x:f>SUM('CF_1'!BE35,'CF_2'!BE35,'CF_3'!BE35,'CF_4'!BE35)</x:f>
      </x:c>
      <x:c r="BF8" s="117" t="n">
        <x:f>SUM('CF_1'!BF35,'CF_2'!BF35,'CF_3'!BF35,'CF_4'!BF35)</x:f>
      </x:c>
      <x:c r="BG8" s="117" t="n">
        <x:f>SUM('CF_1'!BG35,'CF_2'!BG35,'CF_3'!BG35,'CF_4'!BG35)</x:f>
      </x:c>
      <x:c r="BH8" s="117" t="n">
        <x:f>SUM('CF_1'!BH35,'CF_2'!BH35,'CF_3'!BH35,'CF_4'!BH35)</x:f>
      </x:c>
      <x:c r="BI8" s="117" t="n">
        <x:f>SUM('CF_1'!BI35,'CF_2'!BI35,'CF_3'!BI35,'CF_4'!BI35)</x:f>
      </x:c>
      <x:c r="BJ8" s="117" t="n">
        <x:f>SUM('CF_1'!BJ35,'CF_2'!BJ35,'CF_3'!BJ35,'CF_4'!BJ35)</x:f>
      </x:c>
      <x:c r="BK8" s="117" t="n">
        <x:f>SUM('CF_1'!BK35,'CF_2'!BK35,'CF_3'!BK35,'CF_4'!BK35)</x:f>
      </x:c>
      <x:c r="BL8" s="117" t="n">
        <x:f>SUM('CF_1'!BL35,'CF_2'!BL35,'CF_3'!BL35,'CF_4'!BL35)</x:f>
      </x:c>
      <x:c r="BM8" s="117" t="n">
        <x:f>SUM('CF_1'!BM35,'CF_2'!BM35,'CF_3'!BM35,'CF_4'!BM35)</x:f>
      </x:c>
      <x:c r="BN8" s="117" t="n">
        <x:f>SUM('CF_1'!BN35,'CF_2'!BN35,'CF_3'!BN35,'CF_4'!BN35)</x:f>
      </x:c>
      <x:c r="BO8" s="117" t="n">
        <x:f>SUM('CF_1'!BO35,'CF_2'!BO35,'CF_3'!BO35,'CF_4'!BO35)</x:f>
      </x:c>
      <x:c r="BP8" s="117" t="n">
        <x:f>SUM('CF_1'!BP35,'CF_2'!BP35,'CF_3'!BP35,'CF_4'!BP35)</x:f>
      </x:c>
      <x:c r="BQ8" s="117" t="n">
        <x:f>SUM('CF_1'!BQ35,'CF_2'!BQ35,'CF_3'!BQ35,'CF_4'!BQ35)</x:f>
      </x:c>
      <x:c r="BR8" s="117" t="n">
        <x:f>SUM('CF_1'!BR35,'CF_2'!BR35,'CF_3'!BR35,'CF_4'!BR35)</x:f>
      </x:c>
      <x:c r="BS8" s="117" t="n">
        <x:f>SUM('CF_1'!BS35,'CF_2'!BS35,'CF_3'!BS35,'CF_4'!BS35)</x:f>
      </x:c>
      <x:c r="BT8" s="117" t="n">
        <x:f>SUM('CF_1'!BT35,'CF_2'!BT35,'CF_3'!BT35,'CF_4'!BT35)</x:f>
      </x:c>
      <x:c r="BU8" s="117" t="n">
        <x:f>SUM('CF_1'!BU35,'CF_2'!BU35,'CF_3'!BU35,'CF_4'!BU35)</x:f>
      </x:c>
      <x:c r="BV8" s="117" t="n">
        <x:f>SUM('CF_1'!BV35,'CF_2'!BV35,'CF_3'!BV35,'CF_4'!BV35)</x:f>
      </x:c>
      <x:c r="BW8" s="117" t="n">
        <x:f>SUM('CF_1'!BW35,'CF_2'!BW35,'CF_3'!BW35,'CF_4'!BW35)</x:f>
      </x:c>
      <x:c r="BX8" s="117" t="n">
        <x:f>SUM('CF_1'!BX35,'CF_2'!BX35,'CF_3'!BX35,'CF_4'!BX35)</x:f>
      </x:c>
      <x:c r="BY8" s="117" t="n">
        <x:f>SUM('CF_1'!BY35,'CF_2'!BY35,'CF_3'!BY35,'CF_4'!BY35)</x:f>
      </x:c>
      <x:c r="BZ8" s="117" t="n">
        <x:f>SUM('CF_1'!BZ35,'CF_2'!BZ35,'CF_3'!BZ35,'CF_4'!BZ35)</x:f>
      </x:c>
      <x:c r="CA8" s="117" t="n">
        <x:f>SUM('CF_1'!CA35,'CF_2'!CA35,'CF_3'!CA35,'CF_4'!CA35)</x:f>
      </x:c>
      <x:c r="CB8" s="117" t="n">
        <x:f>SUM('CF_1'!CB35,'CF_2'!CB35,'CF_3'!CB35,'CF_4'!CB35)</x:f>
      </x:c>
      <x:c r="CC8" s="117" t="n">
        <x:f>SUM('CF_1'!CC35,'CF_2'!CC35,'CF_3'!CC35,'CF_4'!CC35)</x:f>
      </x:c>
      <x:c r="CD8" s="117" t="n">
        <x:f>SUM('CF_1'!CD35,'CF_2'!CD35,'CF_3'!CD35,'CF_4'!CD35)</x:f>
      </x:c>
      <x:c r="CE8" s="117" t="n">
        <x:f>SUM('CF_1'!CE35,'CF_2'!CE35,'CF_3'!CE35,'CF_4'!CE35)</x:f>
      </x:c>
      <x:c r="CF8" s="117" t="n">
        <x:f>SUM('CF_1'!CF35,'CF_2'!CF35,'CF_3'!CF35,'CF_4'!CF35)</x:f>
      </x:c>
      <x:c r="CG8" s="117" t="n">
        <x:f>SUM('CF_1'!CG35,'CF_2'!CG35,'CF_3'!CG35,'CF_4'!CG35)</x:f>
      </x:c>
      <x:c r="CH8" s="117" t="n">
        <x:f>SUM('CF_1'!CH35,'CF_2'!CH35,'CF_3'!CH35,'CF_4'!CH35)</x:f>
      </x:c>
      <x:c r="CI8" s="117" t="n">
        <x:f>SUM('CF_1'!CI35,'CF_2'!CI35,'CF_3'!CI35,'CF_4'!CI35)</x:f>
      </x:c>
      <x:c r="CJ8" s="117" t="n">
        <x:f>SUM('CF_1'!CJ35,'CF_2'!CJ35,'CF_3'!CJ35,'CF_4'!CJ35)</x:f>
      </x:c>
      <x:c r="CK8" s="117" t="n">
        <x:f>SUM('CF_1'!CK35,'CF_2'!CK35,'CF_3'!CK35,'CF_4'!CK35)</x:f>
      </x:c>
      <x:c r="CL8" s="117" t="n">
        <x:f>SUM('CF_1'!CL35,'CF_2'!CL35,'CF_3'!CL35,'CF_4'!CL35)</x:f>
      </x:c>
      <x:c r="CM8" s="117" t="n">
        <x:f>SUM('CF_1'!CM35,'CF_2'!CM35,'CF_3'!CM35,'CF_4'!CM35)</x:f>
      </x:c>
      <x:c r="CN8" s="117" t="n">
        <x:f>SUM('CF_1'!CN35,'CF_2'!CN35,'CF_3'!CN35,'CF_4'!CN35)</x:f>
      </x:c>
      <x:c r="CO8" s="117" t="n">
        <x:f>SUM('CF_1'!CO35,'CF_2'!CO35,'CF_3'!CO35,'CF_4'!CO35)</x:f>
      </x:c>
      <x:c r="CP8" s="117" t="n">
        <x:f>SUM('CF_1'!CP35,'CF_2'!CP35,'CF_3'!CP35,'CF_4'!CP35)</x:f>
      </x:c>
      <x:c r="CQ8" s="117" t="n">
        <x:f>SUM('CF_1'!CQ35,'CF_2'!CQ35,'CF_3'!CQ35,'CF_4'!CQ35)</x:f>
      </x:c>
      <x:c r="CR8" s="117" t="n">
        <x:f>SUM('CF_1'!CR35,'CF_2'!CR35,'CF_3'!CR35,'CF_4'!CR35)</x:f>
      </x:c>
      <x:c r="CS8" s="117" t="n">
        <x:f>SUM('CF_1'!CS35,'CF_2'!CS35,'CF_3'!CS35,'CF_4'!CS35)</x:f>
      </x:c>
      <x:c r="CT8" s="117" t="n">
        <x:f>SUM('CF_1'!CT35,'CF_2'!CT35,'CF_3'!CT35,'CF_4'!CT35)</x:f>
      </x:c>
      <x:c r="CU8" s="117" t="n">
        <x:f>SUM('CF_1'!CU35,'CF_2'!CU35,'CF_3'!CU35,'CF_4'!CU35)</x:f>
      </x:c>
      <x:c r="CV8" s="117" t="n">
        <x:f>SUM('CF_1'!CV35,'CF_2'!CV35,'CF_3'!CV35,'CF_4'!CV35)</x:f>
      </x:c>
      <x:c r="CW8" s="117" t="n">
        <x:f>SUM('CF_1'!CW35,'CF_2'!CW35,'CF_3'!CW35,'CF_4'!CW35)</x:f>
      </x:c>
      <x:c r="CX8" s="117" t="n">
        <x:f>SUM('CF_1'!CX35,'CF_2'!CX35,'CF_3'!CX35,'CF_4'!CX35)</x:f>
      </x:c>
      <x:c r="CY8" s="117" t="n">
        <x:f>SUM('CF_1'!CY35,'CF_2'!CY35,'CF_3'!CY35,'CF_4'!CY35)</x:f>
      </x:c>
      <x:c r="CZ8" s="117" t="n">
        <x:f>SUM('CF_1'!CZ35,'CF_2'!CZ35,'CF_3'!CZ35,'CF_4'!CZ35)</x:f>
      </x:c>
      <x:c r="DA8" s="117" t="n">
        <x:f>SUM('CF_1'!DA35,'CF_2'!DA35,'CF_3'!DA35,'CF_4'!DA35)</x:f>
      </x:c>
      <x:c r="DB8" s="117" t="n">
        <x:f>SUM('CF_1'!DB35,'CF_2'!DB35,'CF_3'!DB35,'CF_4'!DB35)</x:f>
      </x:c>
      <x:c r="DC8" s="117" t="n">
        <x:f>SUM('CF_1'!DC35,'CF_2'!DC35,'CF_3'!DC35,'CF_4'!DC35)</x:f>
      </x:c>
      <x:c r="DD8" s="117" t="n">
        <x:f>SUM('CF_1'!DD35,'CF_2'!DD35,'CF_3'!DD35,'CF_4'!DD35)</x:f>
      </x:c>
      <x:c r="DE8" s="117" t="n">
        <x:f>SUM('CF_1'!DE35,'CF_2'!DE35,'CF_3'!DE35,'CF_4'!DE35)</x:f>
      </x:c>
      <x:c r="DF8" s="117" t="n">
        <x:f>SUM('CF_1'!DF35,'CF_2'!DF35,'CF_3'!DF35,'CF_4'!DF35)</x:f>
      </x:c>
      <x:c r="DG8" s="117" t="n">
        <x:f>SUM('CF_1'!DG35,'CF_2'!DG35,'CF_3'!DG35,'CF_4'!DG35)</x:f>
      </x:c>
      <x:c r="DH8" s="117" t="n">
        <x:f>SUM('CF_1'!DH35,'CF_2'!DH35,'CF_3'!DH35,'CF_4'!DH35)</x:f>
      </x:c>
      <x:c r="DI8" s="117" t="n">
        <x:f>SUM('CF_1'!DI35,'CF_2'!DI35,'CF_3'!DI35,'CF_4'!DI35)</x:f>
      </x:c>
      <x:c r="DJ8" s="117" t="n">
        <x:f>SUM('CF_1'!DJ35,'CF_2'!DJ35,'CF_3'!DJ35,'CF_4'!DJ35)</x:f>
      </x:c>
      <x:c r="DK8" s="117" t="n">
        <x:f>SUM('CF_1'!DK35,'CF_2'!DK35,'CF_3'!DK35,'CF_4'!DK35)</x:f>
      </x:c>
      <x:c r="DL8" s="117" t="n">
        <x:f>SUM('CF_1'!DL35,'CF_2'!DL35,'CF_3'!DL35,'CF_4'!DL35)</x:f>
      </x:c>
      <x:c r="DM8" s="117" t="n">
        <x:f>SUM('CF_1'!DM35,'CF_2'!DM35,'CF_3'!DM35,'CF_4'!DM35)</x:f>
      </x:c>
      <x:c r="DN8" s="117" t="n">
        <x:f>SUM('CF_1'!DN35,'CF_2'!DN35,'CF_3'!DN35,'CF_4'!DN35)</x:f>
      </x:c>
      <x:c r="DO8" s="117" t="n">
        <x:f>SUM('CF_1'!DO35,'CF_2'!DO35,'CF_3'!DO35,'CF_4'!DO35)</x:f>
      </x:c>
      <x:c r="DP8" s="117" t="n">
        <x:f>SUM('CF_1'!DP35,'CF_2'!DP35,'CF_3'!DP35,'CF_4'!DP35)</x:f>
      </x:c>
      <x:c r="DQ8" s="117" t="n">
        <x:f>SUM('CF_1'!DQ35,'CF_2'!DQ35,'CF_3'!DQ35,'CF_4'!DQ35)</x:f>
      </x:c>
      <x:c r="DR8" s="117" t="n">
        <x:f>SUM('CF_1'!DR35,'CF_2'!DR35,'CF_3'!DR35,'CF_4'!DR35)</x:f>
      </x:c>
      <x:c r="DS8" s="117" t="n">
        <x:f>SUM('CF_1'!DS35,'CF_2'!DS35,'CF_3'!DS35,'CF_4'!DS35)</x:f>
      </x:c>
      <x:c r="DT8" s="117" t="n">
        <x:f>SUM('CF_1'!DT35,'CF_2'!DT35,'CF_3'!DT35,'CF_4'!DT35)</x:f>
      </x:c>
      <x:c r="DU8" s="117" t="n">
        <x:f>SUM('CF_1'!DU35,'CF_2'!DU35,'CF_3'!DU35,'CF_4'!DU35)</x:f>
      </x:c>
      <x:c r="DV8" s="117" t="n">
        <x:f>SUM('CF_1'!DV35,'CF_2'!DV35,'CF_3'!DV35,'CF_4'!DV35)</x:f>
      </x:c>
      <x:c r="DW8" s="117" t="n">
        <x:f>SUM('CF_1'!DW35,'CF_2'!DW35,'CF_3'!DW35,'CF_4'!DW35)</x:f>
      </x:c>
      <x:c r="DX8" s="117" t="n">
        <x:f>SUM('CF_1'!DX35,'CF_2'!DX35,'CF_3'!DX35,'CF_4'!DX35)</x:f>
      </x:c>
      <x:c r="DY8" s="117" t="n">
        <x:f>SUM('CF_1'!DY35,'CF_2'!DY35,'CF_3'!DY35,'CF_4'!DY35)</x:f>
      </x:c>
      <x:c r="DZ8" s="117" t="n">
        <x:f>SUM('CF_1'!DZ35,'CF_2'!DZ35,'CF_3'!DZ35,'CF_4'!DZ35)</x:f>
      </x:c>
      <x:c r="EA8" s="117" t="n">
        <x:f>SUM('CF_1'!EA35,'CF_2'!EA35,'CF_3'!EA35,'CF_4'!EA35)</x:f>
      </x:c>
      <x:c r="EB8" s="117" t="n">
        <x:f>SUM('CF_1'!EB35,'CF_2'!EB35,'CF_3'!EB35,'CF_4'!EB35)</x:f>
      </x:c>
      <x:c r="EC8" s="117" t="n">
        <x:f>SUM('CF_1'!EC35,'CF_2'!EC35,'CF_3'!EC35,'CF_4'!EC35)</x:f>
      </x:c>
      <x:c r="ED8" s="117" t="n">
        <x:f>SUM('CF_1'!ED35,'CF_2'!ED35,'CF_3'!ED35,'CF_4'!ED35)</x:f>
      </x:c>
      <x:c r="EE8" s="117" t="n">
        <x:f>SUM('CF_1'!EE35,'CF_2'!EE35,'CF_3'!EE35,'CF_4'!EE35)</x:f>
      </x:c>
      <x:c r="EF8" s="117" t="n">
        <x:f>SUM('CF_1'!EF35,'CF_2'!EF35,'CF_3'!EF35,'CF_4'!EF35)</x:f>
      </x:c>
      <x:c r="EG8" s="117" t="n">
        <x:f>SUM('CF_1'!EG35,'CF_2'!EG35,'CF_3'!EG35,'CF_4'!EG35)</x:f>
      </x:c>
      <x:c r="EH8" s="117" t="n">
        <x:f>SUM('CF_1'!EH35,'CF_2'!EH35,'CF_3'!EH35,'CF_4'!EH35)</x:f>
      </x:c>
      <x:c r="EI8" s="117" t="n">
        <x:f>SUM('CF_1'!EI35,'CF_2'!EI35,'CF_3'!EI35,'CF_4'!EI35)</x:f>
      </x:c>
      <x:c r="EJ8" s="117" t="n">
        <x:f>SUM('CF_1'!EJ35,'CF_2'!EJ35,'CF_3'!EJ35,'CF_4'!EJ35)</x:f>
      </x:c>
      <x:c r="EK8" s="117" t="n">
        <x:f>SUM('CF_1'!EK35,'CF_2'!EK35,'CF_3'!EK35,'CF_4'!EK35)</x:f>
      </x:c>
      <x:c r="EL8" s="117" t="n">
        <x:f>SUM('CF_1'!EL35,'CF_2'!EL35,'CF_3'!EL35,'CF_4'!EL35)</x:f>
      </x:c>
      <x:c r="EM8" s="117" t="n">
        <x:f>SUM('CF_1'!EM35,'CF_2'!EM35,'CF_3'!EM35,'CF_4'!EM35)</x:f>
      </x:c>
      <x:c r="EN8" s="117" t="n">
        <x:f>SUM('CF_1'!EN35,'CF_2'!EN35,'CF_3'!EN35,'CF_4'!EN35)</x:f>
      </x:c>
      <x:c r="EO8" s="117" t="n">
        <x:f>SUM('CF_1'!EO35,'CF_2'!EO35,'CF_3'!EO35,'CF_4'!EO35)</x:f>
      </x:c>
      <x:c r="EP8" s="117" t="n">
        <x:f>SUM('CF_1'!EP35,'CF_2'!EP35,'CF_3'!EP35,'CF_4'!EP35)</x:f>
      </x:c>
      <x:c r="EQ8" s="117" t="n">
        <x:f>SUM('CF_1'!EQ35,'CF_2'!EQ35,'CF_3'!EQ35,'CF_4'!EQ35)</x:f>
      </x:c>
      <x:c r="ER8" s="117" t="n">
        <x:f>SUM('CF_1'!ER35,'CF_2'!ER35,'CF_3'!ER35,'CF_4'!ER35)</x:f>
      </x:c>
      <x:c r="ES8" s="117" t="n">
        <x:f>SUM('CF_1'!ES35,'CF_2'!ES35,'CF_3'!ES35,'CF_4'!ES35)</x:f>
      </x:c>
      <x:c r="ET8" s="117" t="n">
        <x:f>SUM('CF_1'!ET35,'CF_2'!ET35,'CF_3'!ET35,'CF_4'!ET35)</x:f>
      </x:c>
      <x:c r="EU8" s="117" t="n">
        <x:f>SUM('CF_1'!EU35,'CF_2'!EU35,'CF_3'!EU35,'CF_4'!EU35)</x:f>
      </x:c>
      <x:c r="EV8" s="117" t="n">
        <x:f>SUM('CF_1'!EV35,'CF_2'!EV35,'CF_3'!EV35,'CF_4'!EV35)</x:f>
      </x:c>
      <x:c r="EW8" s="117" t="n">
        <x:f>SUM('CF_1'!EW35,'CF_2'!EW35,'CF_3'!EW35,'CF_4'!EW35)</x:f>
      </x:c>
      <x:c r="EX8" s="117" t="n">
        <x:f>SUM('CF_1'!EX35,'CF_2'!EX35,'CF_3'!EX35,'CF_4'!EX35)</x:f>
      </x:c>
      <x:c r="EY8" s="117" t="n">
        <x:f>SUM('CF_1'!EY35,'CF_2'!EY35,'CF_3'!EY35,'CF_4'!EY35)</x:f>
      </x:c>
      <x:c r="EZ8" s="117" t="n">
        <x:f>SUM('CF_1'!EZ35,'CF_2'!EZ35,'CF_3'!EZ35,'CF_4'!EZ35)</x:f>
      </x:c>
      <x:c r="FA8" s="117" t="n">
        <x:f>SUM('CF_1'!FA35,'CF_2'!FA35,'CF_3'!FA35,'CF_4'!FA35)</x:f>
      </x:c>
      <x:c r="FB8" s="117" t="n">
        <x:f>SUM('CF_1'!FB35,'CF_2'!FB35,'CF_3'!FB35,'CF_4'!FB35)</x:f>
      </x:c>
      <x:c r="FC8" s="117" t="n">
        <x:f>SUM('CF_1'!FC35,'CF_2'!FC35,'CF_3'!FC35,'CF_4'!FC35)</x:f>
      </x:c>
      <x:c r="FD8" s="117" t="n">
        <x:f>SUM('CF_1'!FD35,'CF_2'!FD35,'CF_3'!FD35,'CF_4'!FD35)</x:f>
      </x:c>
      <x:c r="FE8" s="117" t="n">
        <x:f>SUM('CF_1'!FE35,'CF_2'!FE35,'CF_3'!FE35,'CF_4'!FE35)</x:f>
      </x:c>
      <x:c r="FF8" s="117" t="n">
        <x:f>SUM('CF_1'!FF35,'CF_2'!FF35,'CF_3'!FF35,'CF_4'!FF35)</x:f>
      </x:c>
      <x:c r="FG8" s="117" t="n">
        <x:f>SUM('CF_1'!FG35,'CF_2'!FG35,'CF_3'!FG35,'CF_4'!FG35)</x:f>
      </x:c>
      <x:c r="FH8" s="117" t="n">
        <x:f>SUM('CF_1'!FH35,'CF_2'!FH35,'CF_3'!FH35,'CF_4'!FH35)</x:f>
      </x:c>
      <x:c r="FI8" s="117" t="n">
        <x:f>SUM('CF_1'!FI35,'CF_2'!FI35,'CF_3'!FI35,'CF_4'!FI35)</x:f>
      </x:c>
      <x:c r="FJ8" s="117" t="n">
        <x:f>SUM('CF_1'!FJ35,'CF_2'!FJ35,'CF_3'!FJ35,'CF_4'!FJ35)</x:f>
      </x:c>
      <x:c r="FK8" s="117" t="n">
        <x:f>SUM('CF_1'!FK35,'CF_2'!FK35,'CF_3'!FK35,'CF_4'!FK35)</x:f>
      </x:c>
      <x:c r="FL8" s="117" t="n">
        <x:f>SUM('CF_1'!FL35,'CF_2'!FL35,'CF_3'!FL35,'CF_4'!FL35)</x:f>
      </x:c>
      <x:c r="FM8" s="117" t="n">
        <x:f>SUM('CF_1'!FM35,'CF_2'!FM35,'CF_3'!FM35,'CF_4'!FM35)</x:f>
      </x:c>
      <x:c r="FN8" s="117" t="n">
        <x:f>SUM('CF_1'!FN35,'CF_2'!FN35,'CF_3'!FN35,'CF_4'!FN35)</x:f>
      </x:c>
      <x:c r="FO8" s="117" t="n">
        <x:f>SUM('CF_1'!FO35,'CF_2'!FO35,'CF_3'!FO35,'CF_4'!FO35)</x:f>
      </x:c>
      <x:c r="FP8" s="117" t="n">
        <x:f>SUM('CF_1'!FP35,'CF_2'!FP35,'CF_3'!FP35,'CF_4'!FP35)</x:f>
      </x:c>
      <x:c r="FQ8" s="117" t="n">
        <x:f>SUM('CF_1'!FQ35,'CF_2'!FQ35,'CF_3'!FQ35,'CF_4'!FQ35)</x:f>
      </x:c>
      <x:c r="FR8" s="117" t="n">
        <x:f>SUM('CF_1'!FR35,'CF_2'!FR35,'CF_3'!FR35,'CF_4'!FR35)</x:f>
      </x:c>
      <x:c r="FS8" s="117" t="n">
        <x:f>SUM('CF_1'!FS35,'CF_2'!FS35,'CF_3'!FS35,'CF_4'!FS35)</x:f>
      </x:c>
      <x:c r="FT8" s="117" t="n">
        <x:f>SUM('CF_1'!FT35,'CF_2'!FT35,'CF_3'!FT35,'CF_4'!FT35)</x:f>
      </x:c>
      <x:c r="FU8" s="117" t="n">
        <x:f>SUM('CF_1'!FU35,'CF_2'!FU35,'CF_3'!FU35,'CF_4'!FU35)</x:f>
      </x:c>
      <x:c r="FV8" s="117" t="n">
        <x:f>SUM('CF_1'!FV35,'CF_2'!FV35,'CF_3'!FV35,'CF_4'!FV35)</x:f>
      </x:c>
      <x:c r="FW8" s="117" t="n">
        <x:f>SUM('CF_1'!FW35,'CF_2'!FW35,'CF_3'!FW35,'CF_4'!FW35)</x:f>
      </x:c>
      <x:c r="FX8" s="117" t="n">
        <x:f>SUM('CF_1'!FX35,'CF_2'!FX35,'CF_3'!FX35,'CF_4'!FX35)</x:f>
      </x:c>
      <x:c r="FY8" s="117" t="n">
        <x:f>SUM('CF_1'!FY35,'CF_2'!FY35,'CF_3'!FY35,'CF_4'!FY35)</x:f>
      </x:c>
      <x:c r="FZ8" s="117" t="n">
        <x:f>SUM('CF_1'!FZ35,'CF_2'!FZ35,'CF_3'!FZ35,'CF_4'!FZ35)</x:f>
      </x:c>
      <x:c r="GA8" s="117" t="n">
        <x:f>SUM('CF_1'!GA35,'CF_2'!GA35,'CF_3'!GA35,'CF_4'!GA35)</x:f>
      </x:c>
    </x:row>
    <x:row r="9">
      <x:c r="A9" t="str">
        <x:v>БРИДЖ — долг</x:v>
      </x:c>
      <x:c r="B9" s="107" t="n">
        <x:f>MAX(D9:GA9)</x:f>
      </x:c>
      <x:c r="C9" t="str">
        <x:v>млн ₽</x:v>
      </x:c>
      <x:c r="D9" s="117" t="n">
        <x:f>SUM('CF_1'!D36,'CF_2'!D36,'CF_3'!D36,'CF_4'!D36)</x:f>
      </x:c>
      <x:c r="E9" s="117" t="n">
        <x:f>SUM('CF_1'!E36,'CF_2'!E36,'CF_3'!E36,'CF_4'!E36)</x:f>
      </x:c>
      <x:c r="F9" s="117" t="n">
        <x:f>SUM('CF_1'!F36,'CF_2'!F36,'CF_3'!F36,'CF_4'!F36)</x:f>
      </x:c>
      <x:c r="G9" s="117" t="n">
        <x:f>SUM('CF_1'!G36,'CF_2'!G36,'CF_3'!G36,'CF_4'!G36)</x:f>
      </x:c>
      <x:c r="H9" s="117" t="n">
        <x:f>SUM('CF_1'!H36,'CF_2'!H36,'CF_3'!H36,'CF_4'!H36)</x:f>
      </x:c>
      <x:c r="I9" s="117" t="n">
        <x:f>SUM('CF_1'!I36,'CF_2'!I36,'CF_3'!I36,'CF_4'!I36)</x:f>
      </x:c>
      <x:c r="J9" s="117" t="n">
        <x:f>SUM('CF_1'!J36,'CF_2'!J36,'CF_3'!J36,'CF_4'!J36)</x:f>
      </x:c>
      <x:c r="K9" s="117" t="n">
        <x:f>SUM('CF_1'!K36,'CF_2'!K36,'CF_3'!K36,'CF_4'!K36)</x:f>
      </x:c>
      <x:c r="L9" s="117" t="n">
        <x:f>SUM('CF_1'!L36,'CF_2'!L36,'CF_3'!L36,'CF_4'!L36)</x:f>
      </x:c>
      <x:c r="M9" s="117" t="n">
        <x:f>SUM('CF_1'!M36,'CF_2'!M36,'CF_3'!M36,'CF_4'!M36)</x:f>
      </x:c>
      <x:c r="N9" s="117" t="n">
        <x:f>SUM('CF_1'!N36,'CF_2'!N36,'CF_3'!N36,'CF_4'!N36)</x:f>
      </x:c>
      <x:c r="O9" s="117" t="n">
        <x:f>SUM('CF_1'!O36,'CF_2'!O36,'CF_3'!O36,'CF_4'!O36)</x:f>
      </x:c>
      <x:c r="P9" s="117" t="n">
        <x:f>SUM('CF_1'!P36,'CF_2'!P36,'CF_3'!P36,'CF_4'!P36)</x:f>
      </x:c>
      <x:c r="Q9" s="117" t="n">
        <x:f>SUM('CF_1'!Q36,'CF_2'!Q36,'CF_3'!Q36,'CF_4'!Q36)</x:f>
      </x:c>
      <x:c r="R9" s="117" t="n">
        <x:f>SUM('CF_1'!R36,'CF_2'!R36,'CF_3'!R36,'CF_4'!R36)</x:f>
      </x:c>
      <x:c r="S9" s="117" t="n">
        <x:f>SUM('CF_1'!S36,'CF_2'!S36,'CF_3'!S36,'CF_4'!S36)</x:f>
      </x:c>
      <x:c r="T9" s="117" t="n">
        <x:f>SUM('CF_1'!T36,'CF_2'!T36,'CF_3'!T36,'CF_4'!T36)</x:f>
      </x:c>
      <x:c r="U9" s="117" t="n">
        <x:f>SUM('CF_1'!U36,'CF_2'!U36,'CF_3'!U36,'CF_4'!U36)</x:f>
      </x:c>
      <x:c r="V9" s="117" t="n">
        <x:f>SUM('CF_1'!V36,'CF_2'!V36,'CF_3'!V36,'CF_4'!V36)</x:f>
      </x:c>
      <x:c r="W9" s="117" t="n">
        <x:f>SUM('CF_1'!W36,'CF_2'!W36,'CF_3'!W36,'CF_4'!W36)</x:f>
      </x:c>
      <x:c r="X9" s="117" t="n">
        <x:f>SUM('CF_1'!X36,'CF_2'!X36,'CF_3'!X36,'CF_4'!X36)</x:f>
      </x:c>
      <x:c r="Y9" s="117" t="n">
        <x:f>SUM('CF_1'!Y36,'CF_2'!Y36,'CF_3'!Y36,'CF_4'!Y36)</x:f>
      </x:c>
      <x:c r="Z9" s="117" t="n">
        <x:f>SUM('CF_1'!Z36,'CF_2'!Z36,'CF_3'!Z36,'CF_4'!Z36)</x:f>
      </x:c>
      <x:c r="AA9" s="117" t="n">
        <x:f>SUM('CF_1'!AA36,'CF_2'!AA36,'CF_3'!AA36,'CF_4'!AA36)</x:f>
      </x:c>
      <x:c r="AB9" s="117" t="n">
        <x:f>SUM('CF_1'!AB36,'CF_2'!AB36,'CF_3'!AB36,'CF_4'!AB36)</x:f>
      </x:c>
      <x:c r="AC9" s="117" t="n">
        <x:f>SUM('CF_1'!AC36,'CF_2'!AC36,'CF_3'!AC36,'CF_4'!AC36)</x:f>
      </x:c>
      <x:c r="AD9" s="117" t="n">
        <x:f>SUM('CF_1'!AD36,'CF_2'!AD36,'CF_3'!AD36,'CF_4'!AD36)</x:f>
      </x:c>
      <x:c r="AE9" s="117" t="n">
        <x:f>SUM('CF_1'!AE36,'CF_2'!AE36,'CF_3'!AE36,'CF_4'!AE36)</x:f>
      </x:c>
      <x:c r="AF9" s="117" t="n">
        <x:f>SUM('CF_1'!AF36,'CF_2'!AF36,'CF_3'!AF36,'CF_4'!AF36)</x:f>
      </x:c>
      <x:c r="AG9" s="117" t="n">
        <x:f>SUM('CF_1'!AG36,'CF_2'!AG36,'CF_3'!AG36,'CF_4'!AG36)</x:f>
      </x:c>
      <x:c r="AH9" s="117" t="n">
        <x:f>SUM('CF_1'!AH36,'CF_2'!AH36,'CF_3'!AH36,'CF_4'!AH36)</x:f>
      </x:c>
      <x:c r="AI9" s="117" t="n">
        <x:f>SUM('CF_1'!AI36,'CF_2'!AI36,'CF_3'!AI36,'CF_4'!AI36)</x:f>
      </x:c>
      <x:c r="AJ9" s="117" t="n">
        <x:f>SUM('CF_1'!AJ36,'CF_2'!AJ36,'CF_3'!AJ36,'CF_4'!AJ36)</x:f>
      </x:c>
      <x:c r="AK9" s="117" t="n">
        <x:f>SUM('CF_1'!AK36,'CF_2'!AK36,'CF_3'!AK36,'CF_4'!AK36)</x:f>
      </x:c>
      <x:c r="AL9" s="117" t="n">
        <x:f>SUM('CF_1'!AL36,'CF_2'!AL36,'CF_3'!AL36,'CF_4'!AL36)</x:f>
      </x:c>
      <x:c r="AM9" s="117" t="n">
        <x:f>SUM('CF_1'!AM36,'CF_2'!AM36,'CF_3'!AM36,'CF_4'!AM36)</x:f>
      </x:c>
      <x:c r="AN9" s="117" t="n">
        <x:f>SUM('CF_1'!AN36,'CF_2'!AN36,'CF_3'!AN36,'CF_4'!AN36)</x:f>
      </x:c>
      <x:c r="AO9" s="117" t="n">
        <x:f>SUM('CF_1'!AO36,'CF_2'!AO36,'CF_3'!AO36,'CF_4'!AO36)</x:f>
      </x:c>
      <x:c r="AP9" s="117" t="n">
        <x:f>SUM('CF_1'!AP36,'CF_2'!AP36,'CF_3'!AP36,'CF_4'!AP36)</x:f>
      </x:c>
      <x:c r="AQ9" s="117" t="n">
        <x:f>SUM('CF_1'!AQ36,'CF_2'!AQ36,'CF_3'!AQ36,'CF_4'!AQ36)</x:f>
      </x:c>
      <x:c r="AR9" s="117" t="n">
        <x:f>SUM('CF_1'!AR36,'CF_2'!AR36,'CF_3'!AR36,'CF_4'!AR36)</x:f>
      </x:c>
      <x:c r="AS9" s="117" t="n">
        <x:f>SUM('CF_1'!AS36,'CF_2'!AS36,'CF_3'!AS36,'CF_4'!AS36)</x:f>
      </x:c>
      <x:c r="AT9" s="117" t="n">
        <x:f>SUM('CF_1'!AT36,'CF_2'!AT36,'CF_3'!AT36,'CF_4'!AT36)</x:f>
      </x:c>
      <x:c r="AU9" s="117" t="n">
        <x:f>SUM('CF_1'!AU36,'CF_2'!AU36,'CF_3'!AU36,'CF_4'!AU36)</x:f>
      </x:c>
      <x:c r="AV9" s="117" t="n">
        <x:f>SUM('CF_1'!AV36,'CF_2'!AV36,'CF_3'!AV36,'CF_4'!AV36)</x:f>
      </x:c>
      <x:c r="AW9" s="117" t="n">
        <x:f>SUM('CF_1'!AW36,'CF_2'!AW36,'CF_3'!AW36,'CF_4'!AW36)</x:f>
      </x:c>
      <x:c r="AX9" s="117" t="n">
        <x:f>SUM('CF_1'!AX36,'CF_2'!AX36,'CF_3'!AX36,'CF_4'!AX36)</x:f>
      </x:c>
      <x:c r="AY9" s="117" t="n">
        <x:f>SUM('CF_1'!AY36,'CF_2'!AY36,'CF_3'!AY36,'CF_4'!AY36)</x:f>
      </x:c>
      <x:c r="AZ9" s="117" t="n">
        <x:f>SUM('CF_1'!AZ36,'CF_2'!AZ36,'CF_3'!AZ36,'CF_4'!AZ36)</x:f>
      </x:c>
      <x:c r="BA9" s="117" t="n">
        <x:f>SUM('CF_1'!BA36,'CF_2'!BA36,'CF_3'!BA36,'CF_4'!BA36)</x:f>
      </x:c>
      <x:c r="BB9" s="117" t="n">
        <x:f>SUM('CF_1'!BB36,'CF_2'!BB36,'CF_3'!BB36,'CF_4'!BB36)</x:f>
      </x:c>
      <x:c r="BC9" s="117" t="n">
        <x:f>SUM('CF_1'!BC36,'CF_2'!BC36,'CF_3'!BC36,'CF_4'!BC36)</x:f>
      </x:c>
      <x:c r="BD9" s="117" t="n">
        <x:f>SUM('CF_1'!BD36,'CF_2'!BD36,'CF_3'!BD36,'CF_4'!BD36)</x:f>
      </x:c>
      <x:c r="BE9" s="117" t="n">
        <x:f>SUM('CF_1'!BE36,'CF_2'!BE36,'CF_3'!BE36,'CF_4'!BE36)</x:f>
      </x:c>
      <x:c r="BF9" s="117" t="n">
        <x:f>SUM('CF_1'!BF36,'CF_2'!BF36,'CF_3'!BF36,'CF_4'!BF36)</x:f>
      </x:c>
      <x:c r="BG9" s="117" t="n">
        <x:f>SUM('CF_1'!BG36,'CF_2'!BG36,'CF_3'!BG36,'CF_4'!BG36)</x:f>
      </x:c>
      <x:c r="BH9" s="117" t="n">
        <x:f>SUM('CF_1'!BH36,'CF_2'!BH36,'CF_3'!BH36,'CF_4'!BH36)</x:f>
      </x:c>
      <x:c r="BI9" s="117" t="n">
        <x:f>SUM('CF_1'!BI36,'CF_2'!BI36,'CF_3'!BI36,'CF_4'!BI36)</x:f>
      </x:c>
      <x:c r="BJ9" s="117" t="n">
        <x:f>SUM('CF_1'!BJ36,'CF_2'!BJ36,'CF_3'!BJ36,'CF_4'!BJ36)</x:f>
      </x:c>
      <x:c r="BK9" s="117" t="n">
        <x:f>SUM('CF_1'!BK36,'CF_2'!BK36,'CF_3'!BK36,'CF_4'!BK36)</x:f>
      </x:c>
      <x:c r="BL9" s="117" t="n">
        <x:f>SUM('CF_1'!BL36,'CF_2'!BL36,'CF_3'!BL36,'CF_4'!BL36)</x:f>
      </x:c>
      <x:c r="BM9" s="117" t="n">
        <x:f>SUM('CF_1'!BM36,'CF_2'!BM36,'CF_3'!BM36,'CF_4'!BM36)</x:f>
      </x:c>
      <x:c r="BN9" s="117" t="n">
        <x:f>SUM('CF_1'!BN36,'CF_2'!BN36,'CF_3'!BN36,'CF_4'!BN36)</x:f>
      </x:c>
      <x:c r="BO9" s="117" t="n">
        <x:f>SUM('CF_1'!BO36,'CF_2'!BO36,'CF_3'!BO36,'CF_4'!BO36)</x:f>
      </x:c>
      <x:c r="BP9" s="117" t="n">
        <x:f>SUM('CF_1'!BP36,'CF_2'!BP36,'CF_3'!BP36,'CF_4'!BP36)</x:f>
      </x:c>
      <x:c r="BQ9" s="117" t="n">
        <x:f>SUM('CF_1'!BQ36,'CF_2'!BQ36,'CF_3'!BQ36,'CF_4'!BQ36)</x:f>
      </x:c>
      <x:c r="BR9" s="117" t="n">
        <x:f>SUM('CF_1'!BR36,'CF_2'!BR36,'CF_3'!BR36,'CF_4'!BR36)</x:f>
      </x:c>
      <x:c r="BS9" s="117" t="n">
        <x:f>SUM('CF_1'!BS36,'CF_2'!BS36,'CF_3'!BS36,'CF_4'!BS36)</x:f>
      </x:c>
      <x:c r="BT9" s="117" t="n">
        <x:f>SUM('CF_1'!BT36,'CF_2'!BT36,'CF_3'!BT36,'CF_4'!BT36)</x:f>
      </x:c>
      <x:c r="BU9" s="117" t="n">
        <x:f>SUM('CF_1'!BU36,'CF_2'!BU36,'CF_3'!BU36,'CF_4'!BU36)</x:f>
      </x:c>
      <x:c r="BV9" s="117" t="n">
        <x:f>SUM('CF_1'!BV36,'CF_2'!BV36,'CF_3'!BV36,'CF_4'!BV36)</x:f>
      </x:c>
      <x:c r="BW9" s="117" t="n">
        <x:f>SUM('CF_1'!BW36,'CF_2'!BW36,'CF_3'!BW36,'CF_4'!BW36)</x:f>
      </x:c>
      <x:c r="BX9" s="117" t="n">
        <x:f>SUM('CF_1'!BX36,'CF_2'!BX36,'CF_3'!BX36,'CF_4'!BX36)</x:f>
      </x:c>
      <x:c r="BY9" s="117" t="n">
        <x:f>SUM('CF_1'!BY36,'CF_2'!BY36,'CF_3'!BY36,'CF_4'!BY36)</x:f>
      </x:c>
      <x:c r="BZ9" s="117" t="n">
        <x:f>SUM('CF_1'!BZ36,'CF_2'!BZ36,'CF_3'!BZ36,'CF_4'!BZ36)</x:f>
      </x:c>
      <x:c r="CA9" s="117" t="n">
        <x:f>SUM('CF_1'!CA36,'CF_2'!CA36,'CF_3'!CA36,'CF_4'!CA36)</x:f>
      </x:c>
      <x:c r="CB9" s="117" t="n">
        <x:f>SUM('CF_1'!CB36,'CF_2'!CB36,'CF_3'!CB36,'CF_4'!CB36)</x:f>
      </x:c>
      <x:c r="CC9" s="117" t="n">
        <x:f>SUM('CF_1'!CC36,'CF_2'!CC36,'CF_3'!CC36,'CF_4'!CC36)</x:f>
      </x:c>
      <x:c r="CD9" s="117" t="n">
        <x:f>SUM('CF_1'!CD36,'CF_2'!CD36,'CF_3'!CD36,'CF_4'!CD36)</x:f>
      </x:c>
      <x:c r="CE9" s="117" t="n">
        <x:f>SUM('CF_1'!CE36,'CF_2'!CE36,'CF_3'!CE36,'CF_4'!CE36)</x:f>
      </x:c>
      <x:c r="CF9" s="117" t="n">
        <x:f>SUM('CF_1'!CF36,'CF_2'!CF36,'CF_3'!CF36,'CF_4'!CF36)</x:f>
      </x:c>
      <x:c r="CG9" s="117" t="n">
        <x:f>SUM('CF_1'!CG36,'CF_2'!CG36,'CF_3'!CG36,'CF_4'!CG36)</x:f>
      </x:c>
      <x:c r="CH9" s="117" t="n">
        <x:f>SUM('CF_1'!CH36,'CF_2'!CH36,'CF_3'!CH36,'CF_4'!CH36)</x:f>
      </x:c>
      <x:c r="CI9" s="117" t="n">
        <x:f>SUM('CF_1'!CI36,'CF_2'!CI36,'CF_3'!CI36,'CF_4'!CI36)</x:f>
      </x:c>
      <x:c r="CJ9" s="117" t="n">
        <x:f>SUM('CF_1'!CJ36,'CF_2'!CJ36,'CF_3'!CJ36,'CF_4'!CJ36)</x:f>
      </x:c>
      <x:c r="CK9" s="117" t="n">
        <x:f>SUM('CF_1'!CK36,'CF_2'!CK36,'CF_3'!CK36,'CF_4'!CK36)</x:f>
      </x:c>
      <x:c r="CL9" s="117" t="n">
        <x:f>SUM('CF_1'!CL36,'CF_2'!CL36,'CF_3'!CL36,'CF_4'!CL36)</x:f>
      </x:c>
      <x:c r="CM9" s="117" t="n">
        <x:f>SUM('CF_1'!CM36,'CF_2'!CM36,'CF_3'!CM36,'CF_4'!CM36)</x:f>
      </x:c>
      <x:c r="CN9" s="117" t="n">
        <x:f>SUM('CF_1'!CN36,'CF_2'!CN36,'CF_3'!CN36,'CF_4'!CN36)</x:f>
      </x:c>
      <x:c r="CO9" s="117" t="n">
        <x:f>SUM('CF_1'!CO36,'CF_2'!CO36,'CF_3'!CO36,'CF_4'!CO36)</x:f>
      </x:c>
      <x:c r="CP9" s="117" t="n">
        <x:f>SUM('CF_1'!CP36,'CF_2'!CP36,'CF_3'!CP36,'CF_4'!CP36)</x:f>
      </x:c>
      <x:c r="CQ9" s="117" t="n">
        <x:f>SUM('CF_1'!CQ36,'CF_2'!CQ36,'CF_3'!CQ36,'CF_4'!CQ36)</x:f>
      </x:c>
      <x:c r="CR9" s="117" t="n">
        <x:f>SUM('CF_1'!CR36,'CF_2'!CR36,'CF_3'!CR36,'CF_4'!CR36)</x:f>
      </x:c>
      <x:c r="CS9" s="117" t="n">
        <x:f>SUM('CF_1'!CS36,'CF_2'!CS36,'CF_3'!CS36,'CF_4'!CS36)</x:f>
      </x:c>
      <x:c r="CT9" s="117" t="n">
        <x:f>SUM('CF_1'!CT36,'CF_2'!CT36,'CF_3'!CT36,'CF_4'!CT36)</x:f>
      </x:c>
      <x:c r="CU9" s="117" t="n">
        <x:f>SUM('CF_1'!CU36,'CF_2'!CU36,'CF_3'!CU36,'CF_4'!CU36)</x:f>
      </x:c>
      <x:c r="CV9" s="117" t="n">
        <x:f>SUM('CF_1'!CV36,'CF_2'!CV36,'CF_3'!CV36,'CF_4'!CV36)</x:f>
      </x:c>
      <x:c r="CW9" s="117" t="n">
        <x:f>SUM('CF_1'!CW36,'CF_2'!CW36,'CF_3'!CW36,'CF_4'!CW36)</x:f>
      </x:c>
      <x:c r="CX9" s="117" t="n">
        <x:f>SUM('CF_1'!CX36,'CF_2'!CX36,'CF_3'!CX36,'CF_4'!CX36)</x:f>
      </x:c>
      <x:c r="CY9" s="117" t="n">
        <x:f>SUM('CF_1'!CY36,'CF_2'!CY36,'CF_3'!CY36,'CF_4'!CY36)</x:f>
      </x:c>
      <x:c r="CZ9" s="117" t="n">
        <x:f>SUM('CF_1'!CZ36,'CF_2'!CZ36,'CF_3'!CZ36,'CF_4'!CZ36)</x:f>
      </x:c>
      <x:c r="DA9" s="117" t="n">
        <x:f>SUM('CF_1'!DA36,'CF_2'!DA36,'CF_3'!DA36,'CF_4'!DA36)</x:f>
      </x:c>
      <x:c r="DB9" s="117" t="n">
        <x:f>SUM('CF_1'!DB36,'CF_2'!DB36,'CF_3'!DB36,'CF_4'!DB36)</x:f>
      </x:c>
      <x:c r="DC9" s="117" t="n">
        <x:f>SUM('CF_1'!DC36,'CF_2'!DC36,'CF_3'!DC36,'CF_4'!DC36)</x:f>
      </x:c>
      <x:c r="DD9" s="117" t="n">
        <x:f>SUM('CF_1'!DD36,'CF_2'!DD36,'CF_3'!DD36,'CF_4'!DD36)</x:f>
      </x:c>
      <x:c r="DE9" s="117" t="n">
        <x:f>SUM('CF_1'!DE36,'CF_2'!DE36,'CF_3'!DE36,'CF_4'!DE36)</x:f>
      </x:c>
      <x:c r="DF9" s="117" t="n">
        <x:f>SUM('CF_1'!DF36,'CF_2'!DF36,'CF_3'!DF36,'CF_4'!DF36)</x:f>
      </x:c>
      <x:c r="DG9" s="117" t="n">
        <x:f>SUM('CF_1'!DG36,'CF_2'!DG36,'CF_3'!DG36,'CF_4'!DG36)</x:f>
      </x:c>
      <x:c r="DH9" s="117" t="n">
        <x:f>SUM('CF_1'!DH36,'CF_2'!DH36,'CF_3'!DH36,'CF_4'!DH36)</x:f>
      </x:c>
      <x:c r="DI9" s="117" t="n">
        <x:f>SUM('CF_1'!DI36,'CF_2'!DI36,'CF_3'!DI36,'CF_4'!DI36)</x:f>
      </x:c>
      <x:c r="DJ9" s="117" t="n">
        <x:f>SUM('CF_1'!DJ36,'CF_2'!DJ36,'CF_3'!DJ36,'CF_4'!DJ36)</x:f>
      </x:c>
      <x:c r="DK9" s="117" t="n">
        <x:f>SUM('CF_1'!DK36,'CF_2'!DK36,'CF_3'!DK36,'CF_4'!DK36)</x:f>
      </x:c>
      <x:c r="DL9" s="117" t="n">
        <x:f>SUM('CF_1'!DL36,'CF_2'!DL36,'CF_3'!DL36,'CF_4'!DL36)</x:f>
      </x:c>
      <x:c r="DM9" s="117" t="n">
        <x:f>SUM('CF_1'!DM36,'CF_2'!DM36,'CF_3'!DM36,'CF_4'!DM36)</x:f>
      </x:c>
      <x:c r="DN9" s="117" t="n">
        <x:f>SUM('CF_1'!DN36,'CF_2'!DN36,'CF_3'!DN36,'CF_4'!DN36)</x:f>
      </x:c>
      <x:c r="DO9" s="117" t="n">
        <x:f>SUM('CF_1'!DO36,'CF_2'!DO36,'CF_3'!DO36,'CF_4'!DO36)</x:f>
      </x:c>
      <x:c r="DP9" s="117" t="n">
        <x:f>SUM('CF_1'!DP36,'CF_2'!DP36,'CF_3'!DP36,'CF_4'!DP36)</x:f>
      </x:c>
      <x:c r="DQ9" s="117" t="n">
        <x:f>SUM('CF_1'!DQ36,'CF_2'!DQ36,'CF_3'!DQ36,'CF_4'!DQ36)</x:f>
      </x:c>
      <x:c r="DR9" s="117" t="n">
        <x:f>SUM('CF_1'!DR36,'CF_2'!DR36,'CF_3'!DR36,'CF_4'!DR36)</x:f>
      </x:c>
      <x:c r="DS9" s="117" t="n">
        <x:f>SUM('CF_1'!DS36,'CF_2'!DS36,'CF_3'!DS36,'CF_4'!DS36)</x:f>
      </x:c>
      <x:c r="DT9" s="117" t="n">
        <x:f>SUM('CF_1'!DT36,'CF_2'!DT36,'CF_3'!DT36,'CF_4'!DT36)</x:f>
      </x:c>
      <x:c r="DU9" s="117" t="n">
        <x:f>SUM('CF_1'!DU36,'CF_2'!DU36,'CF_3'!DU36,'CF_4'!DU36)</x:f>
      </x:c>
      <x:c r="DV9" s="117" t="n">
        <x:f>SUM('CF_1'!DV36,'CF_2'!DV36,'CF_3'!DV36,'CF_4'!DV36)</x:f>
      </x:c>
      <x:c r="DW9" s="117" t="n">
        <x:f>SUM('CF_1'!DW36,'CF_2'!DW36,'CF_3'!DW36,'CF_4'!DW36)</x:f>
      </x:c>
      <x:c r="DX9" s="117" t="n">
        <x:f>SUM('CF_1'!DX36,'CF_2'!DX36,'CF_3'!DX36,'CF_4'!DX36)</x:f>
      </x:c>
      <x:c r="DY9" s="117" t="n">
        <x:f>SUM('CF_1'!DY36,'CF_2'!DY36,'CF_3'!DY36,'CF_4'!DY36)</x:f>
      </x:c>
      <x:c r="DZ9" s="117" t="n">
        <x:f>SUM('CF_1'!DZ36,'CF_2'!DZ36,'CF_3'!DZ36,'CF_4'!DZ36)</x:f>
      </x:c>
      <x:c r="EA9" s="117" t="n">
        <x:f>SUM('CF_1'!EA36,'CF_2'!EA36,'CF_3'!EA36,'CF_4'!EA36)</x:f>
      </x:c>
      <x:c r="EB9" s="117" t="n">
        <x:f>SUM('CF_1'!EB36,'CF_2'!EB36,'CF_3'!EB36,'CF_4'!EB36)</x:f>
      </x:c>
      <x:c r="EC9" s="117" t="n">
        <x:f>SUM('CF_1'!EC36,'CF_2'!EC36,'CF_3'!EC36,'CF_4'!EC36)</x:f>
      </x:c>
      <x:c r="ED9" s="117" t="n">
        <x:f>SUM('CF_1'!ED36,'CF_2'!ED36,'CF_3'!ED36,'CF_4'!ED36)</x:f>
      </x:c>
      <x:c r="EE9" s="117" t="n">
        <x:f>SUM('CF_1'!EE36,'CF_2'!EE36,'CF_3'!EE36,'CF_4'!EE36)</x:f>
      </x:c>
      <x:c r="EF9" s="117" t="n">
        <x:f>SUM('CF_1'!EF36,'CF_2'!EF36,'CF_3'!EF36,'CF_4'!EF36)</x:f>
      </x:c>
      <x:c r="EG9" s="117" t="n">
        <x:f>SUM('CF_1'!EG36,'CF_2'!EG36,'CF_3'!EG36,'CF_4'!EG36)</x:f>
      </x:c>
      <x:c r="EH9" s="117" t="n">
        <x:f>SUM('CF_1'!EH36,'CF_2'!EH36,'CF_3'!EH36,'CF_4'!EH36)</x:f>
      </x:c>
      <x:c r="EI9" s="117" t="n">
        <x:f>SUM('CF_1'!EI36,'CF_2'!EI36,'CF_3'!EI36,'CF_4'!EI36)</x:f>
      </x:c>
      <x:c r="EJ9" s="117" t="n">
        <x:f>SUM('CF_1'!EJ36,'CF_2'!EJ36,'CF_3'!EJ36,'CF_4'!EJ36)</x:f>
      </x:c>
      <x:c r="EK9" s="117" t="n">
        <x:f>SUM('CF_1'!EK36,'CF_2'!EK36,'CF_3'!EK36,'CF_4'!EK36)</x:f>
      </x:c>
      <x:c r="EL9" s="117" t="n">
        <x:f>SUM('CF_1'!EL36,'CF_2'!EL36,'CF_3'!EL36,'CF_4'!EL36)</x:f>
      </x:c>
      <x:c r="EM9" s="117" t="n">
        <x:f>SUM('CF_1'!EM36,'CF_2'!EM36,'CF_3'!EM36,'CF_4'!EM36)</x:f>
      </x:c>
      <x:c r="EN9" s="117" t="n">
        <x:f>SUM('CF_1'!EN36,'CF_2'!EN36,'CF_3'!EN36,'CF_4'!EN36)</x:f>
      </x:c>
      <x:c r="EO9" s="117" t="n">
        <x:f>SUM('CF_1'!EO36,'CF_2'!EO36,'CF_3'!EO36,'CF_4'!EO36)</x:f>
      </x:c>
      <x:c r="EP9" s="117" t="n">
        <x:f>SUM('CF_1'!EP36,'CF_2'!EP36,'CF_3'!EP36,'CF_4'!EP36)</x:f>
      </x:c>
      <x:c r="EQ9" s="117" t="n">
        <x:f>SUM('CF_1'!EQ36,'CF_2'!EQ36,'CF_3'!EQ36,'CF_4'!EQ36)</x:f>
      </x:c>
      <x:c r="ER9" s="117" t="n">
        <x:f>SUM('CF_1'!ER36,'CF_2'!ER36,'CF_3'!ER36,'CF_4'!ER36)</x:f>
      </x:c>
      <x:c r="ES9" s="117" t="n">
        <x:f>SUM('CF_1'!ES36,'CF_2'!ES36,'CF_3'!ES36,'CF_4'!ES36)</x:f>
      </x:c>
      <x:c r="ET9" s="117" t="n">
        <x:f>SUM('CF_1'!ET36,'CF_2'!ET36,'CF_3'!ET36,'CF_4'!ET36)</x:f>
      </x:c>
      <x:c r="EU9" s="117" t="n">
        <x:f>SUM('CF_1'!EU36,'CF_2'!EU36,'CF_3'!EU36,'CF_4'!EU36)</x:f>
      </x:c>
      <x:c r="EV9" s="117" t="n">
        <x:f>SUM('CF_1'!EV36,'CF_2'!EV36,'CF_3'!EV36,'CF_4'!EV36)</x:f>
      </x:c>
      <x:c r="EW9" s="117" t="n">
        <x:f>SUM('CF_1'!EW36,'CF_2'!EW36,'CF_3'!EW36,'CF_4'!EW36)</x:f>
      </x:c>
      <x:c r="EX9" s="117" t="n">
        <x:f>SUM('CF_1'!EX36,'CF_2'!EX36,'CF_3'!EX36,'CF_4'!EX36)</x:f>
      </x:c>
      <x:c r="EY9" s="117" t="n">
        <x:f>SUM('CF_1'!EY36,'CF_2'!EY36,'CF_3'!EY36,'CF_4'!EY36)</x:f>
      </x:c>
      <x:c r="EZ9" s="117" t="n">
        <x:f>SUM('CF_1'!EZ36,'CF_2'!EZ36,'CF_3'!EZ36,'CF_4'!EZ36)</x:f>
      </x:c>
      <x:c r="FA9" s="117" t="n">
        <x:f>SUM('CF_1'!FA36,'CF_2'!FA36,'CF_3'!FA36,'CF_4'!FA36)</x:f>
      </x:c>
      <x:c r="FB9" s="117" t="n">
        <x:f>SUM('CF_1'!FB36,'CF_2'!FB36,'CF_3'!FB36,'CF_4'!FB36)</x:f>
      </x:c>
      <x:c r="FC9" s="117" t="n">
        <x:f>SUM('CF_1'!FC36,'CF_2'!FC36,'CF_3'!FC36,'CF_4'!FC36)</x:f>
      </x:c>
      <x:c r="FD9" s="117" t="n">
        <x:f>SUM('CF_1'!FD36,'CF_2'!FD36,'CF_3'!FD36,'CF_4'!FD36)</x:f>
      </x:c>
      <x:c r="FE9" s="117" t="n">
        <x:f>SUM('CF_1'!FE36,'CF_2'!FE36,'CF_3'!FE36,'CF_4'!FE36)</x:f>
      </x:c>
      <x:c r="FF9" s="117" t="n">
        <x:f>SUM('CF_1'!FF36,'CF_2'!FF36,'CF_3'!FF36,'CF_4'!FF36)</x:f>
      </x:c>
      <x:c r="FG9" s="117" t="n">
        <x:f>SUM('CF_1'!FG36,'CF_2'!FG36,'CF_3'!FG36,'CF_4'!FG36)</x:f>
      </x:c>
      <x:c r="FH9" s="117" t="n">
        <x:f>SUM('CF_1'!FH36,'CF_2'!FH36,'CF_3'!FH36,'CF_4'!FH36)</x:f>
      </x:c>
      <x:c r="FI9" s="117" t="n">
        <x:f>SUM('CF_1'!FI36,'CF_2'!FI36,'CF_3'!FI36,'CF_4'!FI36)</x:f>
      </x:c>
      <x:c r="FJ9" s="117" t="n">
        <x:f>SUM('CF_1'!FJ36,'CF_2'!FJ36,'CF_3'!FJ36,'CF_4'!FJ36)</x:f>
      </x:c>
      <x:c r="FK9" s="117" t="n">
        <x:f>SUM('CF_1'!FK36,'CF_2'!FK36,'CF_3'!FK36,'CF_4'!FK36)</x:f>
      </x:c>
      <x:c r="FL9" s="117" t="n">
        <x:f>SUM('CF_1'!FL36,'CF_2'!FL36,'CF_3'!FL36,'CF_4'!FL36)</x:f>
      </x:c>
      <x:c r="FM9" s="117" t="n">
        <x:f>SUM('CF_1'!FM36,'CF_2'!FM36,'CF_3'!FM36,'CF_4'!FM36)</x:f>
      </x:c>
      <x:c r="FN9" s="117" t="n">
        <x:f>SUM('CF_1'!FN36,'CF_2'!FN36,'CF_3'!FN36,'CF_4'!FN36)</x:f>
      </x:c>
      <x:c r="FO9" s="117" t="n">
        <x:f>SUM('CF_1'!FO36,'CF_2'!FO36,'CF_3'!FO36,'CF_4'!FO36)</x:f>
      </x:c>
      <x:c r="FP9" s="117" t="n">
        <x:f>SUM('CF_1'!FP36,'CF_2'!FP36,'CF_3'!FP36,'CF_4'!FP36)</x:f>
      </x:c>
      <x:c r="FQ9" s="117" t="n">
        <x:f>SUM('CF_1'!FQ36,'CF_2'!FQ36,'CF_3'!FQ36,'CF_4'!FQ36)</x:f>
      </x:c>
      <x:c r="FR9" s="117" t="n">
        <x:f>SUM('CF_1'!FR36,'CF_2'!FR36,'CF_3'!FR36,'CF_4'!FR36)</x:f>
      </x:c>
      <x:c r="FS9" s="117" t="n">
        <x:f>SUM('CF_1'!FS36,'CF_2'!FS36,'CF_3'!FS36,'CF_4'!FS36)</x:f>
      </x:c>
      <x:c r="FT9" s="117" t="n">
        <x:f>SUM('CF_1'!FT36,'CF_2'!FT36,'CF_3'!FT36,'CF_4'!FT36)</x:f>
      </x:c>
      <x:c r="FU9" s="117" t="n">
        <x:f>SUM('CF_1'!FU36,'CF_2'!FU36,'CF_3'!FU36,'CF_4'!FU36)</x:f>
      </x:c>
      <x:c r="FV9" s="117" t="n">
        <x:f>SUM('CF_1'!FV36,'CF_2'!FV36,'CF_3'!FV36,'CF_4'!FV36)</x:f>
      </x:c>
      <x:c r="FW9" s="117" t="n">
        <x:f>SUM('CF_1'!FW36,'CF_2'!FW36,'CF_3'!FW36,'CF_4'!FW36)</x:f>
      </x:c>
      <x:c r="FX9" s="117" t="n">
        <x:f>SUM('CF_1'!FX36,'CF_2'!FX36,'CF_3'!FX36,'CF_4'!FX36)</x:f>
      </x:c>
      <x:c r="FY9" s="117" t="n">
        <x:f>SUM('CF_1'!FY36,'CF_2'!FY36,'CF_3'!FY36,'CF_4'!FY36)</x:f>
      </x:c>
      <x:c r="FZ9" s="117" t="n">
        <x:f>SUM('CF_1'!FZ36,'CF_2'!FZ36,'CF_3'!FZ36,'CF_4'!FZ36)</x:f>
      </x:c>
      <x:c r="GA9" s="117" t="n">
        <x:f>SUM('CF_1'!GA36,'CF_2'!GA36,'CF_3'!GA36,'CF_4'!GA36)</x:f>
      </x:c>
    </x:row>
    <x:row r="10">
      <x:c r="A10" t="str">
        <x:v>ПФ — выборка</x:v>
      </x:c>
      <x:c r="B10" s="107" t="n">
        <x:f>SUM(D10:GA10)</x:f>
      </x:c>
      <x:c r="C10" t="str">
        <x:v>млн ₽</x:v>
      </x:c>
      <x:c r="D10" s="117" t="n">
        <x:f>SUM('CF_1'!D45,'CF_2'!D45,'CF_3'!D45,'CF_4'!D45)</x:f>
      </x:c>
      <x:c r="E10" s="117" t="n">
        <x:f>SUM('CF_1'!E45,'CF_2'!E45,'CF_3'!E45,'CF_4'!E45)</x:f>
      </x:c>
      <x:c r="F10" s="117" t="n">
        <x:f>SUM('CF_1'!F45,'CF_2'!F45,'CF_3'!F45,'CF_4'!F45)</x:f>
      </x:c>
      <x:c r="G10" s="117" t="n">
        <x:f>SUM('CF_1'!G45,'CF_2'!G45,'CF_3'!G45,'CF_4'!G45)</x:f>
      </x:c>
      <x:c r="H10" s="117" t="n">
        <x:f>SUM('CF_1'!H45,'CF_2'!H45,'CF_3'!H45,'CF_4'!H45)</x:f>
      </x:c>
      <x:c r="I10" s="117" t="n">
        <x:f>SUM('CF_1'!I45,'CF_2'!I45,'CF_3'!I45,'CF_4'!I45)</x:f>
      </x:c>
      <x:c r="J10" s="117" t="n">
        <x:f>SUM('CF_1'!J45,'CF_2'!J45,'CF_3'!J45,'CF_4'!J45)</x:f>
      </x:c>
      <x:c r="K10" s="117" t="n">
        <x:f>SUM('CF_1'!K45,'CF_2'!K45,'CF_3'!K45,'CF_4'!K45)</x:f>
      </x:c>
      <x:c r="L10" s="117" t="n">
        <x:f>SUM('CF_1'!L45,'CF_2'!L45,'CF_3'!L45,'CF_4'!L45)</x:f>
      </x:c>
      <x:c r="M10" s="117" t="n">
        <x:f>SUM('CF_1'!M45,'CF_2'!M45,'CF_3'!M45,'CF_4'!M45)</x:f>
      </x:c>
      <x:c r="N10" s="117" t="n">
        <x:f>SUM('CF_1'!N45,'CF_2'!N45,'CF_3'!N45,'CF_4'!N45)</x:f>
      </x:c>
      <x:c r="O10" s="117" t="n">
        <x:f>SUM('CF_1'!O45,'CF_2'!O45,'CF_3'!O45,'CF_4'!O45)</x:f>
      </x:c>
      <x:c r="P10" s="117" t="n">
        <x:f>SUM('CF_1'!P45,'CF_2'!P45,'CF_3'!P45,'CF_4'!P45)</x:f>
      </x:c>
      <x:c r="Q10" s="117" t="n">
        <x:f>SUM('CF_1'!Q45,'CF_2'!Q45,'CF_3'!Q45,'CF_4'!Q45)</x:f>
      </x:c>
      <x:c r="R10" s="117" t="n">
        <x:f>SUM('CF_1'!R45,'CF_2'!R45,'CF_3'!R45,'CF_4'!R45)</x:f>
      </x:c>
      <x:c r="S10" s="117" t="n">
        <x:f>SUM('CF_1'!S45,'CF_2'!S45,'CF_3'!S45,'CF_4'!S45)</x:f>
      </x:c>
      <x:c r="T10" s="117" t="n">
        <x:f>SUM('CF_1'!T45,'CF_2'!T45,'CF_3'!T45,'CF_4'!T45)</x:f>
      </x:c>
      <x:c r="U10" s="117" t="n">
        <x:f>SUM('CF_1'!U45,'CF_2'!U45,'CF_3'!U45,'CF_4'!U45)</x:f>
      </x:c>
      <x:c r="V10" s="117" t="n">
        <x:f>SUM('CF_1'!V45,'CF_2'!V45,'CF_3'!V45,'CF_4'!V45)</x:f>
      </x:c>
      <x:c r="W10" s="117" t="n">
        <x:f>SUM('CF_1'!W45,'CF_2'!W45,'CF_3'!W45,'CF_4'!W45)</x:f>
      </x:c>
      <x:c r="X10" s="117" t="n">
        <x:f>SUM('CF_1'!X45,'CF_2'!X45,'CF_3'!X45,'CF_4'!X45)</x:f>
      </x:c>
      <x:c r="Y10" s="117" t="n">
        <x:f>SUM('CF_1'!Y45,'CF_2'!Y45,'CF_3'!Y45,'CF_4'!Y45)</x:f>
      </x:c>
      <x:c r="Z10" s="117" t="n">
        <x:f>SUM('CF_1'!Z45,'CF_2'!Z45,'CF_3'!Z45,'CF_4'!Z45)</x:f>
      </x:c>
      <x:c r="AA10" s="117" t="n">
        <x:f>SUM('CF_1'!AA45,'CF_2'!AA45,'CF_3'!AA45,'CF_4'!AA45)</x:f>
      </x:c>
      <x:c r="AB10" s="117" t="n">
        <x:f>SUM('CF_1'!AB45,'CF_2'!AB45,'CF_3'!AB45,'CF_4'!AB45)</x:f>
      </x:c>
      <x:c r="AC10" s="117" t="n">
        <x:f>SUM('CF_1'!AC45,'CF_2'!AC45,'CF_3'!AC45,'CF_4'!AC45)</x:f>
      </x:c>
      <x:c r="AD10" s="117" t="n">
        <x:f>SUM('CF_1'!AD45,'CF_2'!AD45,'CF_3'!AD45,'CF_4'!AD45)</x:f>
      </x:c>
      <x:c r="AE10" s="117" t="n">
        <x:f>SUM('CF_1'!AE45,'CF_2'!AE45,'CF_3'!AE45,'CF_4'!AE45)</x:f>
      </x:c>
      <x:c r="AF10" s="117" t="n">
        <x:f>SUM('CF_1'!AF45,'CF_2'!AF45,'CF_3'!AF45,'CF_4'!AF45)</x:f>
      </x:c>
      <x:c r="AG10" s="117" t="n">
        <x:f>SUM('CF_1'!AG45,'CF_2'!AG45,'CF_3'!AG45,'CF_4'!AG45)</x:f>
      </x:c>
      <x:c r="AH10" s="117" t="n">
        <x:f>SUM('CF_1'!AH45,'CF_2'!AH45,'CF_3'!AH45,'CF_4'!AH45)</x:f>
      </x:c>
      <x:c r="AI10" s="117" t="n">
        <x:f>SUM('CF_1'!AI45,'CF_2'!AI45,'CF_3'!AI45,'CF_4'!AI45)</x:f>
      </x:c>
      <x:c r="AJ10" s="117" t="n">
        <x:f>SUM('CF_1'!AJ45,'CF_2'!AJ45,'CF_3'!AJ45,'CF_4'!AJ45)</x:f>
      </x:c>
      <x:c r="AK10" s="117" t="n">
        <x:f>SUM('CF_1'!AK45,'CF_2'!AK45,'CF_3'!AK45,'CF_4'!AK45)</x:f>
      </x:c>
      <x:c r="AL10" s="117" t="n">
        <x:f>SUM('CF_1'!AL45,'CF_2'!AL45,'CF_3'!AL45,'CF_4'!AL45)</x:f>
      </x:c>
      <x:c r="AM10" s="117" t="n">
        <x:f>SUM('CF_1'!AM45,'CF_2'!AM45,'CF_3'!AM45,'CF_4'!AM45)</x:f>
      </x:c>
      <x:c r="AN10" s="117" t="n">
        <x:f>SUM('CF_1'!AN45,'CF_2'!AN45,'CF_3'!AN45,'CF_4'!AN45)</x:f>
      </x:c>
      <x:c r="AO10" s="117" t="n">
        <x:f>SUM('CF_1'!AO45,'CF_2'!AO45,'CF_3'!AO45,'CF_4'!AO45)</x:f>
      </x:c>
      <x:c r="AP10" s="117" t="n">
        <x:f>SUM('CF_1'!AP45,'CF_2'!AP45,'CF_3'!AP45,'CF_4'!AP45)</x:f>
      </x:c>
      <x:c r="AQ10" s="117" t="n">
        <x:f>SUM('CF_1'!AQ45,'CF_2'!AQ45,'CF_3'!AQ45,'CF_4'!AQ45)</x:f>
      </x:c>
      <x:c r="AR10" s="117" t="n">
        <x:f>SUM('CF_1'!AR45,'CF_2'!AR45,'CF_3'!AR45,'CF_4'!AR45)</x:f>
      </x:c>
      <x:c r="AS10" s="117" t="n">
        <x:f>SUM('CF_1'!AS45,'CF_2'!AS45,'CF_3'!AS45,'CF_4'!AS45)</x:f>
      </x:c>
      <x:c r="AT10" s="117" t="n">
        <x:f>SUM('CF_1'!AT45,'CF_2'!AT45,'CF_3'!AT45,'CF_4'!AT45)</x:f>
      </x:c>
      <x:c r="AU10" s="117" t="n">
        <x:f>SUM('CF_1'!AU45,'CF_2'!AU45,'CF_3'!AU45,'CF_4'!AU45)</x:f>
      </x:c>
      <x:c r="AV10" s="117" t="n">
        <x:f>SUM('CF_1'!AV45,'CF_2'!AV45,'CF_3'!AV45,'CF_4'!AV45)</x:f>
      </x:c>
      <x:c r="AW10" s="117" t="n">
        <x:f>SUM('CF_1'!AW45,'CF_2'!AW45,'CF_3'!AW45,'CF_4'!AW45)</x:f>
      </x:c>
      <x:c r="AX10" s="117" t="n">
        <x:f>SUM('CF_1'!AX45,'CF_2'!AX45,'CF_3'!AX45,'CF_4'!AX45)</x:f>
      </x:c>
      <x:c r="AY10" s="117" t="n">
        <x:f>SUM('CF_1'!AY45,'CF_2'!AY45,'CF_3'!AY45,'CF_4'!AY45)</x:f>
      </x:c>
      <x:c r="AZ10" s="117" t="n">
        <x:f>SUM('CF_1'!AZ45,'CF_2'!AZ45,'CF_3'!AZ45,'CF_4'!AZ45)</x:f>
      </x:c>
      <x:c r="BA10" s="117" t="n">
        <x:f>SUM('CF_1'!BA45,'CF_2'!BA45,'CF_3'!BA45,'CF_4'!BA45)</x:f>
      </x:c>
      <x:c r="BB10" s="117" t="n">
        <x:f>SUM('CF_1'!BB45,'CF_2'!BB45,'CF_3'!BB45,'CF_4'!BB45)</x:f>
      </x:c>
      <x:c r="BC10" s="117" t="n">
        <x:f>SUM('CF_1'!BC45,'CF_2'!BC45,'CF_3'!BC45,'CF_4'!BC45)</x:f>
      </x:c>
      <x:c r="BD10" s="117" t="n">
        <x:f>SUM('CF_1'!BD45,'CF_2'!BD45,'CF_3'!BD45,'CF_4'!BD45)</x:f>
      </x:c>
      <x:c r="BE10" s="117" t="n">
        <x:f>SUM('CF_1'!BE45,'CF_2'!BE45,'CF_3'!BE45,'CF_4'!BE45)</x:f>
      </x:c>
      <x:c r="BF10" s="117" t="n">
        <x:f>SUM('CF_1'!BF45,'CF_2'!BF45,'CF_3'!BF45,'CF_4'!BF45)</x:f>
      </x:c>
      <x:c r="BG10" s="117" t="n">
        <x:f>SUM('CF_1'!BG45,'CF_2'!BG45,'CF_3'!BG45,'CF_4'!BG45)</x:f>
      </x:c>
      <x:c r="BH10" s="117" t="n">
        <x:f>SUM('CF_1'!BH45,'CF_2'!BH45,'CF_3'!BH45,'CF_4'!BH45)</x:f>
      </x:c>
      <x:c r="BI10" s="117" t="n">
        <x:f>SUM('CF_1'!BI45,'CF_2'!BI45,'CF_3'!BI45,'CF_4'!BI45)</x:f>
      </x:c>
      <x:c r="BJ10" s="117" t="n">
        <x:f>SUM('CF_1'!BJ45,'CF_2'!BJ45,'CF_3'!BJ45,'CF_4'!BJ45)</x:f>
      </x:c>
      <x:c r="BK10" s="117" t="n">
        <x:f>SUM('CF_1'!BK45,'CF_2'!BK45,'CF_3'!BK45,'CF_4'!BK45)</x:f>
      </x:c>
      <x:c r="BL10" s="117" t="n">
        <x:f>SUM('CF_1'!BL45,'CF_2'!BL45,'CF_3'!BL45,'CF_4'!BL45)</x:f>
      </x:c>
      <x:c r="BM10" s="117" t="n">
        <x:f>SUM('CF_1'!BM45,'CF_2'!BM45,'CF_3'!BM45,'CF_4'!BM45)</x:f>
      </x:c>
      <x:c r="BN10" s="117" t="n">
        <x:f>SUM('CF_1'!BN45,'CF_2'!BN45,'CF_3'!BN45,'CF_4'!BN45)</x:f>
      </x:c>
      <x:c r="BO10" s="117" t="n">
        <x:f>SUM('CF_1'!BO45,'CF_2'!BO45,'CF_3'!BO45,'CF_4'!BO45)</x:f>
      </x:c>
      <x:c r="BP10" s="117" t="n">
        <x:f>SUM('CF_1'!BP45,'CF_2'!BP45,'CF_3'!BP45,'CF_4'!BP45)</x:f>
      </x:c>
      <x:c r="BQ10" s="117" t="n">
        <x:f>SUM('CF_1'!BQ45,'CF_2'!BQ45,'CF_3'!BQ45,'CF_4'!BQ45)</x:f>
      </x:c>
      <x:c r="BR10" s="117" t="n">
        <x:f>SUM('CF_1'!BR45,'CF_2'!BR45,'CF_3'!BR45,'CF_4'!BR45)</x:f>
      </x:c>
      <x:c r="BS10" s="117" t="n">
        <x:f>SUM('CF_1'!BS45,'CF_2'!BS45,'CF_3'!BS45,'CF_4'!BS45)</x:f>
      </x:c>
      <x:c r="BT10" s="117" t="n">
        <x:f>SUM('CF_1'!BT45,'CF_2'!BT45,'CF_3'!BT45,'CF_4'!BT45)</x:f>
      </x:c>
      <x:c r="BU10" s="117" t="n">
        <x:f>SUM('CF_1'!BU45,'CF_2'!BU45,'CF_3'!BU45,'CF_4'!BU45)</x:f>
      </x:c>
      <x:c r="BV10" s="117" t="n">
        <x:f>SUM('CF_1'!BV45,'CF_2'!BV45,'CF_3'!BV45,'CF_4'!BV45)</x:f>
      </x:c>
      <x:c r="BW10" s="117" t="n">
        <x:f>SUM('CF_1'!BW45,'CF_2'!BW45,'CF_3'!BW45,'CF_4'!BW45)</x:f>
      </x:c>
      <x:c r="BX10" s="117" t="n">
        <x:f>SUM('CF_1'!BX45,'CF_2'!BX45,'CF_3'!BX45,'CF_4'!BX45)</x:f>
      </x:c>
      <x:c r="BY10" s="117" t="n">
        <x:f>SUM('CF_1'!BY45,'CF_2'!BY45,'CF_3'!BY45,'CF_4'!BY45)</x:f>
      </x:c>
      <x:c r="BZ10" s="117" t="n">
        <x:f>SUM('CF_1'!BZ45,'CF_2'!BZ45,'CF_3'!BZ45,'CF_4'!BZ45)</x:f>
      </x:c>
      <x:c r="CA10" s="117" t="n">
        <x:f>SUM('CF_1'!CA45,'CF_2'!CA45,'CF_3'!CA45,'CF_4'!CA45)</x:f>
      </x:c>
      <x:c r="CB10" s="117" t="n">
        <x:f>SUM('CF_1'!CB45,'CF_2'!CB45,'CF_3'!CB45,'CF_4'!CB45)</x:f>
      </x:c>
      <x:c r="CC10" s="117" t="n">
        <x:f>SUM('CF_1'!CC45,'CF_2'!CC45,'CF_3'!CC45,'CF_4'!CC45)</x:f>
      </x:c>
      <x:c r="CD10" s="117" t="n">
        <x:f>SUM('CF_1'!CD45,'CF_2'!CD45,'CF_3'!CD45,'CF_4'!CD45)</x:f>
      </x:c>
      <x:c r="CE10" s="117" t="n">
        <x:f>SUM('CF_1'!CE45,'CF_2'!CE45,'CF_3'!CE45,'CF_4'!CE45)</x:f>
      </x:c>
      <x:c r="CF10" s="117" t="n">
        <x:f>SUM('CF_1'!CF45,'CF_2'!CF45,'CF_3'!CF45,'CF_4'!CF45)</x:f>
      </x:c>
      <x:c r="CG10" s="117" t="n">
        <x:f>SUM('CF_1'!CG45,'CF_2'!CG45,'CF_3'!CG45,'CF_4'!CG45)</x:f>
      </x:c>
      <x:c r="CH10" s="117" t="n">
        <x:f>SUM('CF_1'!CH45,'CF_2'!CH45,'CF_3'!CH45,'CF_4'!CH45)</x:f>
      </x:c>
      <x:c r="CI10" s="117" t="n">
        <x:f>SUM('CF_1'!CI45,'CF_2'!CI45,'CF_3'!CI45,'CF_4'!CI45)</x:f>
      </x:c>
      <x:c r="CJ10" s="117" t="n">
        <x:f>SUM('CF_1'!CJ45,'CF_2'!CJ45,'CF_3'!CJ45,'CF_4'!CJ45)</x:f>
      </x:c>
      <x:c r="CK10" s="117" t="n">
        <x:f>SUM('CF_1'!CK45,'CF_2'!CK45,'CF_3'!CK45,'CF_4'!CK45)</x:f>
      </x:c>
      <x:c r="CL10" s="117" t="n">
        <x:f>SUM('CF_1'!CL45,'CF_2'!CL45,'CF_3'!CL45,'CF_4'!CL45)</x:f>
      </x:c>
      <x:c r="CM10" s="117" t="n">
        <x:f>SUM('CF_1'!CM45,'CF_2'!CM45,'CF_3'!CM45,'CF_4'!CM45)</x:f>
      </x:c>
      <x:c r="CN10" s="117" t="n">
        <x:f>SUM('CF_1'!CN45,'CF_2'!CN45,'CF_3'!CN45,'CF_4'!CN45)</x:f>
      </x:c>
      <x:c r="CO10" s="117" t="n">
        <x:f>SUM('CF_1'!CO45,'CF_2'!CO45,'CF_3'!CO45,'CF_4'!CO45)</x:f>
      </x:c>
      <x:c r="CP10" s="117" t="n">
        <x:f>SUM('CF_1'!CP45,'CF_2'!CP45,'CF_3'!CP45,'CF_4'!CP45)</x:f>
      </x:c>
      <x:c r="CQ10" s="117" t="n">
        <x:f>SUM('CF_1'!CQ45,'CF_2'!CQ45,'CF_3'!CQ45,'CF_4'!CQ45)</x:f>
      </x:c>
      <x:c r="CR10" s="117" t="n">
        <x:f>SUM('CF_1'!CR45,'CF_2'!CR45,'CF_3'!CR45,'CF_4'!CR45)</x:f>
      </x:c>
      <x:c r="CS10" s="117" t="n">
        <x:f>SUM('CF_1'!CS45,'CF_2'!CS45,'CF_3'!CS45,'CF_4'!CS45)</x:f>
      </x:c>
      <x:c r="CT10" s="117" t="n">
        <x:f>SUM('CF_1'!CT45,'CF_2'!CT45,'CF_3'!CT45,'CF_4'!CT45)</x:f>
      </x:c>
      <x:c r="CU10" s="117" t="n">
        <x:f>SUM('CF_1'!CU45,'CF_2'!CU45,'CF_3'!CU45,'CF_4'!CU45)</x:f>
      </x:c>
      <x:c r="CV10" s="117" t="n">
        <x:f>SUM('CF_1'!CV45,'CF_2'!CV45,'CF_3'!CV45,'CF_4'!CV45)</x:f>
      </x:c>
      <x:c r="CW10" s="117" t="n">
        <x:f>SUM('CF_1'!CW45,'CF_2'!CW45,'CF_3'!CW45,'CF_4'!CW45)</x:f>
      </x:c>
      <x:c r="CX10" s="117" t="n">
        <x:f>SUM('CF_1'!CX45,'CF_2'!CX45,'CF_3'!CX45,'CF_4'!CX45)</x:f>
      </x:c>
      <x:c r="CY10" s="117" t="n">
        <x:f>SUM('CF_1'!CY45,'CF_2'!CY45,'CF_3'!CY45,'CF_4'!CY45)</x:f>
      </x:c>
      <x:c r="CZ10" s="117" t="n">
        <x:f>SUM('CF_1'!CZ45,'CF_2'!CZ45,'CF_3'!CZ45,'CF_4'!CZ45)</x:f>
      </x:c>
      <x:c r="DA10" s="117" t="n">
        <x:f>SUM('CF_1'!DA45,'CF_2'!DA45,'CF_3'!DA45,'CF_4'!DA45)</x:f>
      </x:c>
      <x:c r="DB10" s="117" t="n">
        <x:f>SUM('CF_1'!DB45,'CF_2'!DB45,'CF_3'!DB45,'CF_4'!DB45)</x:f>
      </x:c>
      <x:c r="DC10" s="117" t="n">
        <x:f>SUM('CF_1'!DC45,'CF_2'!DC45,'CF_3'!DC45,'CF_4'!DC45)</x:f>
      </x:c>
      <x:c r="DD10" s="117" t="n">
        <x:f>SUM('CF_1'!DD45,'CF_2'!DD45,'CF_3'!DD45,'CF_4'!DD45)</x:f>
      </x:c>
      <x:c r="DE10" s="117" t="n">
        <x:f>SUM('CF_1'!DE45,'CF_2'!DE45,'CF_3'!DE45,'CF_4'!DE45)</x:f>
      </x:c>
      <x:c r="DF10" s="117" t="n">
        <x:f>SUM('CF_1'!DF45,'CF_2'!DF45,'CF_3'!DF45,'CF_4'!DF45)</x:f>
      </x:c>
      <x:c r="DG10" s="117" t="n">
        <x:f>SUM('CF_1'!DG45,'CF_2'!DG45,'CF_3'!DG45,'CF_4'!DG45)</x:f>
      </x:c>
      <x:c r="DH10" s="117" t="n">
        <x:f>SUM('CF_1'!DH45,'CF_2'!DH45,'CF_3'!DH45,'CF_4'!DH45)</x:f>
      </x:c>
      <x:c r="DI10" s="117" t="n">
        <x:f>SUM('CF_1'!DI45,'CF_2'!DI45,'CF_3'!DI45,'CF_4'!DI45)</x:f>
      </x:c>
      <x:c r="DJ10" s="117" t="n">
        <x:f>SUM('CF_1'!DJ45,'CF_2'!DJ45,'CF_3'!DJ45,'CF_4'!DJ45)</x:f>
      </x:c>
      <x:c r="DK10" s="117" t="n">
        <x:f>SUM('CF_1'!DK45,'CF_2'!DK45,'CF_3'!DK45,'CF_4'!DK45)</x:f>
      </x:c>
      <x:c r="DL10" s="117" t="n">
        <x:f>SUM('CF_1'!DL45,'CF_2'!DL45,'CF_3'!DL45,'CF_4'!DL45)</x:f>
      </x:c>
      <x:c r="DM10" s="117" t="n">
        <x:f>SUM('CF_1'!DM45,'CF_2'!DM45,'CF_3'!DM45,'CF_4'!DM45)</x:f>
      </x:c>
      <x:c r="DN10" s="117" t="n">
        <x:f>SUM('CF_1'!DN45,'CF_2'!DN45,'CF_3'!DN45,'CF_4'!DN45)</x:f>
      </x:c>
      <x:c r="DO10" s="117" t="n">
        <x:f>SUM('CF_1'!DO45,'CF_2'!DO45,'CF_3'!DO45,'CF_4'!DO45)</x:f>
      </x:c>
      <x:c r="DP10" s="117" t="n">
        <x:f>SUM('CF_1'!DP45,'CF_2'!DP45,'CF_3'!DP45,'CF_4'!DP45)</x:f>
      </x:c>
      <x:c r="DQ10" s="117" t="n">
        <x:f>SUM('CF_1'!DQ45,'CF_2'!DQ45,'CF_3'!DQ45,'CF_4'!DQ45)</x:f>
      </x:c>
      <x:c r="DR10" s="117" t="n">
        <x:f>SUM('CF_1'!DR45,'CF_2'!DR45,'CF_3'!DR45,'CF_4'!DR45)</x:f>
      </x:c>
      <x:c r="DS10" s="117" t="n">
        <x:f>SUM('CF_1'!DS45,'CF_2'!DS45,'CF_3'!DS45,'CF_4'!DS45)</x:f>
      </x:c>
      <x:c r="DT10" s="117" t="n">
        <x:f>SUM('CF_1'!DT45,'CF_2'!DT45,'CF_3'!DT45,'CF_4'!DT45)</x:f>
      </x:c>
      <x:c r="DU10" s="117" t="n">
        <x:f>SUM('CF_1'!DU45,'CF_2'!DU45,'CF_3'!DU45,'CF_4'!DU45)</x:f>
      </x:c>
      <x:c r="DV10" s="117" t="n">
        <x:f>SUM('CF_1'!DV45,'CF_2'!DV45,'CF_3'!DV45,'CF_4'!DV45)</x:f>
      </x:c>
      <x:c r="DW10" s="117" t="n">
        <x:f>SUM('CF_1'!DW45,'CF_2'!DW45,'CF_3'!DW45,'CF_4'!DW45)</x:f>
      </x:c>
      <x:c r="DX10" s="117" t="n">
        <x:f>SUM('CF_1'!DX45,'CF_2'!DX45,'CF_3'!DX45,'CF_4'!DX45)</x:f>
      </x:c>
      <x:c r="DY10" s="117" t="n">
        <x:f>SUM('CF_1'!DY45,'CF_2'!DY45,'CF_3'!DY45,'CF_4'!DY45)</x:f>
      </x:c>
      <x:c r="DZ10" s="117" t="n">
        <x:f>SUM('CF_1'!DZ45,'CF_2'!DZ45,'CF_3'!DZ45,'CF_4'!DZ45)</x:f>
      </x:c>
      <x:c r="EA10" s="117" t="n">
        <x:f>SUM('CF_1'!EA45,'CF_2'!EA45,'CF_3'!EA45,'CF_4'!EA45)</x:f>
      </x:c>
      <x:c r="EB10" s="117" t="n">
        <x:f>SUM('CF_1'!EB45,'CF_2'!EB45,'CF_3'!EB45,'CF_4'!EB45)</x:f>
      </x:c>
      <x:c r="EC10" s="117" t="n">
        <x:f>SUM('CF_1'!EC45,'CF_2'!EC45,'CF_3'!EC45,'CF_4'!EC45)</x:f>
      </x:c>
      <x:c r="ED10" s="117" t="n">
        <x:f>SUM('CF_1'!ED45,'CF_2'!ED45,'CF_3'!ED45,'CF_4'!ED45)</x:f>
      </x:c>
      <x:c r="EE10" s="117" t="n">
        <x:f>SUM('CF_1'!EE45,'CF_2'!EE45,'CF_3'!EE45,'CF_4'!EE45)</x:f>
      </x:c>
      <x:c r="EF10" s="117" t="n">
        <x:f>SUM('CF_1'!EF45,'CF_2'!EF45,'CF_3'!EF45,'CF_4'!EF45)</x:f>
      </x:c>
      <x:c r="EG10" s="117" t="n">
        <x:f>SUM('CF_1'!EG45,'CF_2'!EG45,'CF_3'!EG45,'CF_4'!EG45)</x:f>
      </x:c>
      <x:c r="EH10" s="117" t="n">
        <x:f>SUM('CF_1'!EH45,'CF_2'!EH45,'CF_3'!EH45,'CF_4'!EH45)</x:f>
      </x:c>
      <x:c r="EI10" s="117" t="n">
        <x:f>SUM('CF_1'!EI45,'CF_2'!EI45,'CF_3'!EI45,'CF_4'!EI45)</x:f>
      </x:c>
      <x:c r="EJ10" s="117" t="n">
        <x:f>SUM('CF_1'!EJ45,'CF_2'!EJ45,'CF_3'!EJ45,'CF_4'!EJ45)</x:f>
      </x:c>
      <x:c r="EK10" s="117" t="n">
        <x:f>SUM('CF_1'!EK45,'CF_2'!EK45,'CF_3'!EK45,'CF_4'!EK45)</x:f>
      </x:c>
      <x:c r="EL10" s="117" t="n">
        <x:f>SUM('CF_1'!EL45,'CF_2'!EL45,'CF_3'!EL45,'CF_4'!EL45)</x:f>
      </x:c>
      <x:c r="EM10" s="117" t="n">
        <x:f>SUM('CF_1'!EM45,'CF_2'!EM45,'CF_3'!EM45,'CF_4'!EM45)</x:f>
      </x:c>
      <x:c r="EN10" s="117" t="n">
        <x:f>SUM('CF_1'!EN45,'CF_2'!EN45,'CF_3'!EN45,'CF_4'!EN45)</x:f>
      </x:c>
      <x:c r="EO10" s="117" t="n">
        <x:f>SUM('CF_1'!EO45,'CF_2'!EO45,'CF_3'!EO45,'CF_4'!EO45)</x:f>
      </x:c>
      <x:c r="EP10" s="117" t="n">
        <x:f>SUM('CF_1'!EP45,'CF_2'!EP45,'CF_3'!EP45,'CF_4'!EP45)</x:f>
      </x:c>
      <x:c r="EQ10" s="117" t="n">
        <x:f>SUM('CF_1'!EQ45,'CF_2'!EQ45,'CF_3'!EQ45,'CF_4'!EQ45)</x:f>
      </x:c>
      <x:c r="ER10" s="117" t="n">
        <x:f>SUM('CF_1'!ER45,'CF_2'!ER45,'CF_3'!ER45,'CF_4'!ER45)</x:f>
      </x:c>
      <x:c r="ES10" s="117" t="n">
        <x:f>SUM('CF_1'!ES45,'CF_2'!ES45,'CF_3'!ES45,'CF_4'!ES45)</x:f>
      </x:c>
      <x:c r="ET10" s="117" t="n">
        <x:f>SUM('CF_1'!ET45,'CF_2'!ET45,'CF_3'!ET45,'CF_4'!ET45)</x:f>
      </x:c>
      <x:c r="EU10" s="117" t="n">
        <x:f>SUM('CF_1'!EU45,'CF_2'!EU45,'CF_3'!EU45,'CF_4'!EU45)</x:f>
      </x:c>
      <x:c r="EV10" s="117" t="n">
        <x:f>SUM('CF_1'!EV45,'CF_2'!EV45,'CF_3'!EV45,'CF_4'!EV45)</x:f>
      </x:c>
      <x:c r="EW10" s="117" t="n">
        <x:f>SUM('CF_1'!EW45,'CF_2'!EW45,'CF_3'!EW45,'CF_4'!EW45)</x:f>
      </x:c>
      <x:c r="EX10" s="117" t="n">
        <x:f>SUM('CF_1'!EX45,'CF_2'!EX45,'CF_3'!EX45,'CF_4'!EX45)</x:f>
      </x:c>
      <x:c r="EY10" s="117" t="n">
        <x:f>SUM('CF_1'!EY45,'CF_2'!EY45,'CF_3'!EY45,'CF_4'!EY45)</x:f>
      </x:c>
      <x:c r="EZ10" s="117" t="n">
        <x:f>SUM('CF_1'!EZ45,'CF_2'!EZ45,'CF_3'!EZ45,'CF_4'!EZ45)</x:f>
      </x:c>
      <x:c r="FA10" s="117" t="n">
        <x:f>SUM('CF_1'!FA45,'CF_2'!FA45,'CF_3'!FA45,'CF_4'!FA45)</x:f>
      </x:c>
      <x:c r="FB10" s="117" t="n">
        <x:f>SUM('CF_1'!FB45,'CF_2'!FB45,'CF_3'!FB45,'CF_4'!FB45)</x:f>
      </x:c>
      <x:c r="FC10" s="117" t="n">
        <x:f>SUM('CF_1'!FC45,'CF_2'!FC45,'CF_3'!FC45,'CF_4'!FC45)</x:f>
      </x:c>
      <x:c r="FD10" s="117" t="n">
        <x:f>SUM('CF_1'!FD45,'CF_2'!FD45,'CF_3'!FD45,'CF_4'!FD45)</x:f>
      </x:c>
      <x:c r="FE10" s="117" t="n">
        <x:f>SUM('CF_1'!FE45,'CF_2'!FE45,'CF_3'!FE45,'CF_4'!FE45)</x:f>
      </x:c>
      <x:c r="FF10" s="117" t="n">
        <x:f>SUM('CF_1'!FF45,'CF_2'!FF45,'CF_3'!FF45,'CF_4'!FF45)</x:f>
      </x:c>
      <x:c r="FG10" s="117" t="n">
        <x:f>SUM('CF_1'!FG45,'CF_2'!FG45,'CF_3'!FG45,'CF_4'!FG45)</x:f>
      </x:c>
      <x:c r="FH10" s="117" t="n">
        <x:f>SUM('CF_1'!FH45,'CF_2'!FH45,'CF_3'!FH45,'CF_4'!FH45)</x:f>
      </x:c>
      <x:c r="FI10" s="117" t="n">
        <x:f>SUM('CF_1'!FI45,'CF_2'!FI45,'CF_3'!FI45,'CF_4'!FI45)</x:f>
      </x:c>
      <x:c r="FJ10" s="117" t="n">
        <x:f>SUM('CF_1'!FJ45,'CF_2'!FJ45,'CF_3'!FJ45,'CF_4'!FJ45)</x:f>
      </x:c>
      <x:c r="FK10" s="117" t="n">
        <x:f>SUM('CF_1'!FK45,'CF_2'!FK45,'CF_3'!FK45,'CF_4'!FK45)</x:f>
      </x:c>
      <x:c r="FL10" s="117" t="n">
        <x:f>SUM('CF_1'!FL45,'CF_2'!FL45,'CF_3'!FL45,'CF_4'!FL45)</x:f>
      </x:c>
      <x:c r="FM10" s="117" t="n">
        <x:f>SUM('CF_1'!FM45,'CF_2'!FM45,'CF_3'!FM45,'CF_4'!FM45)</x:f>
      </x:c>
      <x:c r="FN10" s="117" t="n">
        <x:f>SUM('CF_1'!FN45,'CF_2'!FN45,'CF_3'!FN45,'CF_4'!FN45)</x:f>
      </x:c>
      <x:c r="FO10" s="117" t="n">
        <x:f>SUM('CF_1'!FO45,'CF_2'!FO45,'CF_3'!FO45,'CF_4'!FO45)</x:f>
      </x:c>
      <x:c r="FP10" s="117" t="n">
        <x:f>SUM('CF_1'!FP45,'CF_2'!FP45,'CF_3'!FP45,'CF_4'!FP45)</x:f>
      </x:c>
      <x:c r="FQ10" s="117" t="n">
        <x:f>SUM('CF_1'!FQ45,'CF_2'!FQ45,'CF_3'!FQ45,'CF_4'!FQ45)</x:f>
      </x:c>
      <x:c r="FR10" s="117" t="n">
        <x:f>SUM('CF_1'!FR45,'CF_2'!FR45,'CF_3'!FR45,'CF_4'!FR45)</x:f>
      </x:c>
      <x:c r="FS10" s="117" t="n">
        <x:f>SUM('CF_1'!FS45,'CF_2'!FS45,'CF_3'!FS45,'CF_4'!FS45)</x:f>
      </x:c>
      <x:c r="FT10" s="117" t="n">
        <x:f>SUM('CF_1'!FT45,'CF_2'!FT45,'CF_3'!FT45,'CF_4'!FT45)</x:f>
      </x:c>
      <x:c r="FU10" s="117" t="n">
        <x:f>SUM('CF_1'!FU45,'CF_2'!FU45,'CF_3'!FU45,'CF_4'!FU45)</x:f>
      </x:c>
      <x:c r="FV10" s="117" t="n">
        <x:f>SUM('CF_1'!FV45,'CF_2'!FV45,'CF_3'!FV45,'CF_4'!FV45)</x:f>
      </x:c>
      <x:c r="FW10" s="117" t="n">
        <x:f>SUM('CF_1'!FW45,'CF_2'!FW45,'CF_3'!FW45,'CF_4'!FW45)</x:f>
      </x:c>
      <x:c r="FX10" s="117" t="n">
        <x:f>SUM('CF_1'!FX45,'CF_2'!FX45,'CF_3'!FX45,'CF_4'!FX45)</x:f>
      </x:c>
      <x:c r="FY10" s="117" t="n">
        <x:f>SUM('CF_1'!FY45,'CF_2'!FY45,'CF_3'!FY45,'CF_4'!FY45)</x:f>
      </x:c>
      <x:c r="FZ10" s="117" t="n">
        <x:f>SUM('CF_1'!FZ45,'CF_2'!FZ45,'CF_3'!FZ45,'CF_4'!FZ45)</x:f>
      </x:c>
      <x:c r="GA10" s="117" t="n">
        <x:f>SUM('CF_1'!GA45,'CF_2'!GA45,'CF_3'!GA45,'CF_4'!GA45)</x:f>
      </x:c>
    </x:row>
    <x:row r="11">
      <x:c r="A11" t="str">
        <x:v>ПФ — проценты</x:v>
      </x:c>
      <x:c r="B11" s="107" t="n">
        <x:f>SUM(D11:GA11)</x:f>
      </x:c>
      <x:c r="C11" t="str">
        <x:v>млн ₽</x:v>
      </x:c>
      <x:c r="D11" s="117" t="n">
        <x:f>SUM('CF_1'!D42,'CF_2'!D42,'CF_3'!D42,'CF_4'!D42)</x:f>
      </x:c>
      <x:c r="E11" s="117" t="n">
        <x:f>SUM('CF_1'!E42,'CF_2'!E42,'CF_3'!E42,'CF_4'!E42)</x:f>
      </x:c>
      <x:c r="F11" s="117" t="n">
        <x:f>SUM('CF_1'!F42,'CF_2'!F42,'CF_3'!F42,'CF_4'!F42)</x:f>
      </x:c>
      <x:c r="G11" s="117" t="n">
        <x:f>SUM('CF_1'!G42,'CF_2'!G42,'CF_3'!G42,'CF_4'!G42)</x:f>
      </x:c>
      <x:c r="H11" s="117" t="n">
        <x:f>SUM('CF_1'!H42,'CF_2'!H42,'CF_3'!H42,'CF_4'!H42)</x:f>
      </x:c>
      <x:c r="I11" s="117" t="n">
        <x:f>SUM('CF_1'!I42,'CF_2'!I42,'CF_3'!I42,'CF_4'!I42)</x:f>
      </x:c>
      <x:c r="J11" s="117" t="n">
        <x:f>SUM('CF_1'!J42,'CF_2'!J42,'CF_3'!J42,'CF_4'!J42)</x:f>
      </x:c>
      <x:c r="K11" s="117" t="n">
        <x:f>SUM('CF_1'!K42,'CF_2'!K42,'CF_3'!K42,'CF_4'!K42)</x:f>
      </x:c>
      <x:c r="L11" s="117" t="n">
        <x:f>SUM('CF_1'!L42,'CF_2'!L42,'CF_3'!L42,'CF_4'!L42)</x:f>
      </x:c>
      <x:c r="M11" s="117" t="n">
        <x:f>SUM('CF_1'!M42,'CF_2'!M42,'CF_3'!M42,'CF_4'!M42)</x:f>
      </x:c>
      <x:c r="N11" s="117" t="n">
        <x:f>SUM('CF_1'!N42,'CF_2'!N42,'CF_3'!N42,'CF_4'!N42)</x:f>
      </x:c>
      <x:c r="O11" s="117" t="n">
        <x:f>SUM('CF_1'!O42,'CF_2'!O42,'CF_3'!O42,'CF_4'!O42)</x:f>
      </x:c>
      <x:c r="P11" s="117" t="n">
        <x:f>SUM('CF_1'!P42,'CF_2'!P42,'CF_3'!P42,'CF_4'!P42)</x:f>
      </x:c>
      <x:c r="Q11" s="117" t="n">
        <x:f>SUM('CF_1'!Q42,'CF_2'!Q42,'CF_3'!Q42,'CF_4'!Q42)</x:f>
      </x:c>
      <x:c r="R11" s="117" t="n">
        <x:f>SUM('CF_1'!R42,'CF_2'!R42,'CF_3'!R42,'CF_4'!R42)</x:f>
      </x:c>
      <x:c r="S11" s="117" t="n">
        <x:f>SUM('CF_1'!S42,'CF_2'!S42,'CF_3'!S42,'CF_4'!S42)</x:f>
      </x:c>
      <x:c r="T11" s="117" t="n">
        <x:f>SUM('CF_1'!T42,'CF_2'!T42,'CF_3'!T42,'CF_4'!T42)</x:f>
      </x:c>
      <x:c r="U11" s="117" t="n">
        <x:f>SUM('CF_1'!U42,'CF_2'!U42,'CF_3'!U42,'CF_4'!U42)</x:f>
      </x:c>
      <x:c r="V11" s="117" t="n">
        <x:f>SUM('CF_1'!V42,'CF_2'!V42,'CF_3'!V42,'CF_4'!V42)</x:f>
      </x:c>
      <x:c r="W11" s="117" t="n">
        <x:f>SUM('CF_1'!W42,'CF_2'!W42,'CF_3'!W42,'CF_4'!W42)</x:f>
      </x:c>
      <x:c r="X11" s="117" t="n">
        <x:f>SUM('CF_1'!X42,'CF_2'!X42,'CF_3'!X42,'CF_4'!X42)</x:f>
      </x:c>
      <x:c r="Y11" s="117" t="n">
        <x:f>SUM('CF_1'!Y42,'CF_2'!Y42,'CF_3'!Y42,'CF_4'!Y42)</x:f>
      </x:c>
      <x:c r="Z11" s="117" t="n">
        <x:f>SUM('CF_1'!Z42,'CF_2'!Z42,'CF_3'!Z42,'CF_4'!Z42)</x:f>
      </x:c>
      <x:c r="AA11" s="117" t="n">
        <x:f>SUM('CF_1'!AA42,'CF_2'!AA42,'CF_3'!AA42,'CF_4'!AA42)</x:f>
      </x:c>
      <x:c r="AB11" s="117" t="n">
        <x:f>SUM('CF_1'!AB42,'CF_2'!AB42,'CF_3'!AB42,'CF_4'!AB42)</x:f>
      </x:c>
      <x:c r="AC11" s="117" t="n">
        <x:f>SUM('CF_1'!AC42,'CF_2'!AC42,'CF_3'!AC42,'CF_4'!AC42)</x:f>
      </x:c>
      <x:c r="AD11" s="117" t="n">
        <x:f>SUM('CF_1'!AD42,'CF_2'!AD42,'CF_3'!AD42,'CF_4'!AD42)</x:f>
      </x:c>
      <x:c r="AE11" s="117" t="n">
        <x:f>SUM('CF_1'!AE42,'CF_2'!AE42,'CF_3'!AE42,'CF_4'!AE42)</x:f>
      </x:c>
      <x:c r="AF11" s="117" t="n">
        <x:f>SUM('CF_1'!AF42,'CF_2'!AF42,'CF_3'!AF42,'CF_4'!AF42)</x:f>
      </x:c>
      <x:c r="AG11" s="117" t="n">
        <x:f>SUM('CF_1'!AG42,'CF_2'!AG42,'CF_3'!AG42,'CF_4'!AG42)</x:f>
      </x:c>
      <x:c r="AH11" s="117" t="n">
        <x:f>SUM('CF_1'!AH42,'CF_2'!AH42,'CF_3'!AH42,'CF_4'!AH42)</x:f>
      </x:c>
      <x:c r="AI11" s="117" t="n">
        <x:f>SUM('CF_1'!AI42,'CF_2'!AI42,'CF_3'!AI42,'CF_4'!AI42)</x:f>
      </x:c>
      <x:c r="AJ11" s="117" t="n">
        <x:f>SUM('CF_1'!AJ42,'CF_2'!AJ42,'CF_3'!AJ42,'CF_4'!AJ42)</x:f>
      </x:c>
      <x:c r="AK11" s="117" t="n">
        <x:f>SUM('CF_1'!AK42,'CF_2'!AK42,'CF_3'!AK42,'CF_4'!AK42)</x:f>
      </x:c>
      <x:c r="AL11" s="117" t="n">
        <x:f>SUM('CF_1'!AL42,'CF_2'!AL42,'CF_3'!AL42,'CF_4'!AL42)</x:f>
      </x:c>
      <x:c r="AM11" s="117" t="n">
        <x:f>SUM('CF_1'!AM42,'CF_2'!AM42,'CF_3'!AM42,'CF_4'!AM42)</x:f>
      </x:c>
      <x:c r="AN11" s="117" t="n">
        <x:f>SUM('CF_1'!AN42,'CF_2'!AN42,'CF_3'!AN42,'CF_4'!AN42)</x:f>
      </x:c>
      <x:c r="AO11" s="117" t="n">
        <x:f>SUM('CF_1'!AO42,'CF_2'!AO42,'CF_3'!AO42,'CF_4'!AO42)</x:f>
      </x:c>
      <x:c r="AP11" s="117" t="n">
        <x:f>SUM('CF_1'!AP42,'CF_2'!AP42,'CF_3'!AP42,'CF_4'!AP42)</x:f>
      </x:c>
      <x:c r="AQ11" s="117" t="n">
        <x:f>SUM('CF_1'!AQ42,'CF_2'!AQ42,'CF_3'!AQ42,'CF_4'!AQ42)</x:f>
      </x:c>
      <x:c r="AR11" s="117" t="n">
        <x:f>SUM('CF_1'!AR42,'CF_2'!AR42,'CF_3'!AR42,'CF_4'!AR42)</x:f>
      </x:c>
      <x:c r="AS11" s="117" t="n">
        <x:f>SUM('CF_1'!AS42,'CF_2'!AS42,'CF_3'!AS42,'CF_4'!AS42)</x:f>
      </x:c>
      <x:c r="AT11" s="117" t="n">
        <x:f>SUM('CF_1'!AT42,'CF_2'!AT42,'CF_3'!AT42,'CF_4'!AT42)</x:f>
      </x:c>
      <x:c r="AU11" s="117" t="n">
        <x:f>SUM('CF_1'!AU42,'CF_2'!AU42,'CF_3'!AU42,'CF_4'!AU42)</x:f>
      </x:c>
      <x:c r="AV11" s="117" t="n">
        <x:f>SUM('CF_1'!AV42,'CF_2'!AV42,'CF_3'!AV42,'CF_4'!AV42)</x:f>
      </x:c>
      <x:c r="AW11" s="117" t="n">
        <x:f>SUM('CF_1'!AW42,'CF_2'!AW42,'CF_3'!AW42,'CF_4'!AW42)</x:f>
      </x:c>
      <x:c r="AX11" s="117" t="n">
        <x:f>SUM('CF_1'!AX42,'CF_2'!AX42,'CF_3'!AX42,'CF_4'!AX42)</x:f>
      </x:c>
      <x:c r="AY11" s="117" t="n">
        <x:f>SUM('CF_1'!AY42,'CF_2'!AY42,'CF_3'!AY42,'CF_4'!AY42)</x:f>
      </x:c>
      <x:c r="AZ11" s="117" t="n">
        <x:f>SUM('CF_1'!AZ42,'CF_2'!AZ42,'CF_3'!AZ42,'CF_4'!AZ42)</x:f>
      </x:c>
      <x:c r="BA11" s="117" t="n">
        <x:f>SUM('CF_1'!BA42,'CF_2'!BA42,'CF_3'!BA42,'CF_4'!BA42)</x:f>
      </x:c>
      <x:c r="BB11" s="117" t="n">
        <x:f>SUM('CF_1'!BB42,'CF_2'!BB42,'CF_3'!BB42,'CF_4'!BB42)</x:f>
      </x:c>
      <x:c r="BC11" s="117" t="n">
        <x:f>SUM('CF_1'!BC42,'CF_2'!BC42,'CF_3'!BC42,'CF_4'!BC42)</x:f>
      </x:c>
      <x:c r="BD11" s="117" t="n">
        <x:f>SUM('CF_1'!BD42,'CF_2'!BD42,'CF_3'!BD42,'CF_4'!BD42)</x:f>
      </x:c>
      <x:c r="BE11" s="117" t="n">
        <x:f>SUM('CF_1'!BE42,'CF_2'!BE42,'CF_3'!BE42,'CF_4'!BE42)</x:f>
      </x:c>
      <x:c r="BF11" s="117" t="n">
        <x:f>SUM('CF_1'!BF42,'CF_2'!BF42,'CF_3'!BF42,'CF_4'!BF42)</x:f>
      </x:c>
      <x:c r="BG11" s="117" t="n">
        <x:f>SUM('CF_1'!BG42,'CF_2'!BG42,'CF_3'!BG42,'CF_4'!BG42)</x:f>
      </x:c>
      <x:c r="BH11" s="117" t="n">
        <x:f>SUM('CF_1'!BH42,'CF_2'!BH42,'CF_3'!BH42,'CF_4'!BH42)</x:f>
      </x:c>
      <x:c r="BI11" s="117" t="n">
        <x:f>SUM('CF_1'!BI42,'CF_2'!BI42,'CF_3'!BI42,'CF_4'!BI42)</x:f>
      </x:c>
      <x:c r="BJ11" s="117" t="n">
        <x:f>SUM('CF_1'!BJ42,'CF_2'!BJ42,'CF_3'!BJ42,'CF_4'!BJ42)</x:f>
      </x:c>
      <x:c r="BK11" s="117" t="n">
        <x:f>SUM('CF_1'!BK42,'CF_2'!BK42,'CF_3'!BK42,'CF_4'!BK42)</x:f>
      </x:c>
      <x:c r="BL11" s="117" t="n">
        <x:f>SUM('CF_1'!BL42,'CF_2'!BL42,'CF_3'!BL42,'CF_4'!BL42)</x:f>
      </x:c>
      <x:c r="BM11" s="117" t="n">
        <x:f>SUM('CF_1'!BM42,'CF_2'!BM42,'CF_3'!BM42,'CF_4'!BM42)</x:f>
      </x:c>
      <x:c r="BN11" s="117" t="n">
        <x:f>SUM('CF_1'!BN42,'CF_2'!BN42,'CF_3'!BN42,'CF_4'!BN42)</x:f>
      </x:c>
      <x:c r="BO11" s="117" t="n">
        <x:f>SUM('CF_1'!BO42,'CF_2'!BO42,'CF_3'!BO42,'CF_4'!BO42)</x:f>
      </x:c>
      <x:c r="BP11" s="117" t="n">
        <x:f>SUM('CF_1'!BP42,'CF_2'!BP42,'CF_3'!BP42,'CF_4'!BP42)</x:f>
      </x:c>
      <x:c r="BQ11" s="117" t="n">
        <x:f>SUM('CF_1'!BQ42,'CF_2'!BQ42,'CF_3'!BQ42,'CF_4'!BQ42)</x:f>
      </x:c>
      <x:c r="BR11" s="117" t="n">
        <x:f>SUM('CF_1'!BR42,'CF_2'!BR42,'CF_3'!BR42,'CF_4'!BR42)</x:f>
      </x:c>
      <x:c r="BS11" s="117" t="n">
        <x:f>SUM('CF_1'!BS42,'CF_2'!BS42,'CF_3'!BS42,'CF_4'!BS42)</x:f>
      </x:c>
      <x:c r="BT11" s="117" t="n">
        <x:f>SUM('CF_1'!BT42,'CF_2'!BT42,'CF_3'!BT42,'CF_4'!BT42)</x:f>
      </x:c>
      <x:c r="BU11" s="117" t="n">
        <x:f>SUM('CF_1'!BU42,'CF_2'!BU42,'CF_3'!BU42,'CF_4'!BU42)</x:f>
      </x:c>
      <x:c r="BV11" s="117" t="n">
        <x:f>SUM('CF_1'!BV42,'CF_2'!BV42,'CF_3'!BV42,'CF_4'!BV42)</x:f>
      </x:c>
      <x:c r="BW11" s="117" t="n">
        <x:f>SUM('CF_1'!BW42,'CF_2'!BW42,'CF_3'!BW42,'CF_4'!BW42)</x:f>
      </x:c>
      <x:c r="BX11" s="117" t="n">
        <x:f>SUM('CF_1'!BX42,'CF_2'!BX42,'CF_3'!BX42,'CF_4'!BX42)</x:f>
      </x:c>
      <x:c r="BY11" s="117" t="n">
        <x:f>SUM('CF_1'!BY42,'CF_2'!BY42,'CF_3'!BY42,'CF_4'!BY42)</x:f>
      </x:c>
      <x:c r="BZ11" s="117" t="n">
        <x:f>SUM('CF_1'!BZ42,'CF_2'!BZ42,'CF_3'!BZ42,'CF_4'!BZ42)</x:f>
      </x:c>
      <x:c r="CA11" s="117" t="n">
        <x:f>SUM('CF_1'!CA42,'CF_2'!CA42,'CF_3'!CA42,'CF_4'!CA42)</x:f>
      </x:c>
      <x:c r="CB11" s="117" t="n">
        <x:f>SUM('CF_1'!CB42,'CF_2'!CB42,'CF_3'!CB42,'CF_4'!CB42)</x:f>
      </x:c>
      <x:c r="CC11" s="117" t="n">
        <x:f>SUM('CF_1'!CC42,'CF_2'!CC42,'CF_3'!CC42,'CF_4'!CC42)</x:f>
      </x:c>
      <x:c r="CD11" s="117" t="n">
        <x:f>SUM('CF_1'!CD42,'CF_2'!CD42,'CF_3'!CD42,'CF_4'!CD42)</x:f>
      </x:c>
      <x:c r="CE11" s="117" t="n">
        <x:f>SUM('CF_1'!CE42,'CF_2'!CE42,'CF_3'!CE42,'CF_4'!CE42)</x:f>
      </x:c>
      <x:c r="CF11" s="117" t="n">
        <x:f>SUM('CF_1'!CF42,'CF_2'!CF42,'CF_3'!CF42,'CF_4'!CF42)</x:f>
      </x:c>
      <x:c r="CG11" s="117" t="n">
        <x:f>SUM('CF_1'!CG42,'CF_2'!CG42,'CF_3'!CG42,'CF_4'!CG42)</x:f>
      </x:c>
      <x:c r="CH11" s="117" t="n">
        <x:f>SUM('CF_1'!CH42,'CF_2'!CH42,'CF_3'!CH42,'CF_4'!CH42)</x:f>
      </x:c>
      <x:c r="CI11" s="117" t="n">
        <x:f>SUM('CF_1'!CI42,'CF_2'!CI42,'CF_3'!CI42,'CF_4'!CI42)</x:f>
      </x:c>
      <x:c r="CJ11" s="117" t="n">
        <x:f>SUM('CF_1'!CJ42,'CF_2'!CJ42,'CF_3'!CJ42,'CF_4'!CJ42)</x:f>
      </x:c>
      <x:c r="CK11" s="117" t="n">
        <x:f>SUM('CF_1'!CK42,'CF_2'!CK42,'CF_3'!CK42,'CF_4'!CK42)</x:f>
      </x:c>
      <x:c r="CL11" s="117" t="n">
        <x:f>SUM('CF_1'!CL42,'CF_2'!CL42,'CF_3'!CL42,'CF_4'!CL42)</x:f>
      </x:c>
      <x:c r="CM11" s="117" t="n">
        <x:f>SUM('CF_1'!CM42,'CF_2'!CM42,'CF_3'!CM42,'CF_4'!CM42)</x:f>
      </x:c>
      <x:c r="CN11" s="117" t="n">
        <x:f>SUM('CF_1'!CN42,'CF_2'!CN42,'CF_3'!CN42,'CF_4'!CN42)</x:f>
      </x:c>
      <x:c r="CO11" s="117" t="n">
        <x:f>SUM('CF_1'!CO42,'CF_2'!CO42,'CF_3'!CO42,'CF_4'!CO42)</x:f>
      </x:c>
      <x:c r="CP11" s="117" t="n">
        <x:f>SUM('CF_1'!CP42,'CF_2'!CP42,'CF_3'!CP42,'CF_4'!CP42)</x:f>
      </x:c>
      <x:c r="CQ11" s="117" t="n">
        <x:f>SUM('CF_1'!CQ42,'CF_2'!CQ42,'CF_3'!CQ42,'CF_4'!CQ42)</x:f>
      </x:c>
      <x:c r="CR11" s="117" t="n">
        <x:f>SUM('CF_1'!CR42,'CF_2'!CR42,'CF_3'!CR42,'CF_4'!CR42)</x:f>
      </x:c>
      <x:c r="CS11" s="117" t="n">
        <x:f>SUM('CF_1'!CS42,'CF_2'!CS42,'CF_3'!CS42,'CF_4'!CS42)</x:f>
      </x:c>
      <x:c r="CT11" s="117" t="n">
        <x:f>SUM('CF_1'!CT42,'CF_2'!CT42,'CF_3'!CT42,'CF_4'!CT42)</x:f>
      </x:c>
      <x:c r="CU11" s="117" t="n">
        <x:f>SUM('CF_1'!CU42,'CF_2'!CU42,'CF_3'!CU42,'CF_4'!CU42)</x:f>
      </x:c>
      <x:c r="CV11" s="117" t="n">
        <x:f>SUM('CF_1'!CV42,'CF_2'!CV42,'CF_3'!CV42,'CF_4'!CV42)</x:f>
      </x:c>
      <x:c r="CW11" s="117" t="n">
        <x:f>SUM('CF_1'!CW42,'CF_2'!CW42,'CF_3'!CW42,'CF_4'!CW42)</x:f>
      </x:c>
      <x:c r="CX11" s="117" t="n">
        <x:f>SUM('CF_1'!CX42,'CF_2'!CX42,'CF_3'!CX42,'CF_4'!CX42)</x:f>
      </x:c>
      <x:c r="CY11" s="117" t="n">
        <x:f>SUM('CF_1'!CY42,'CF_2'!CY42,'CF_3'!CY42,'CF_4'!CY42)</x:f>
      </x:c>
      <x:c r="CZ11" s="117" t="n">
        <x:f>SUM('CF_1'!CZ42,'CF_2'!CZ42,'CF_3'!CZ42,'CF_4'!CZ42)</x:f>
      </x:c>
      <x:c r="DA11" s="117" t="n">
        <x:f>SUM('CF_1'!DA42,'CF_2'!DA42,'CF_3'!DA42,'CF_4'!DA42)</x:f>
      </x:c>
      <x:c r="DB11" s="117" t="n">
        <x:f>SUM('CF_1'!DB42,'CF_2'!DB42,'CF_3'!DB42,'CF_4'!DB42)</x:f>
      </x:c>
      <x:c r="DC11" s="117" t="n">
        <x:f>SUM('CF_1'!DC42,'CF_2'!DC42,'CF_3'!DC42,'CF_4'!DC42)</x:f>
      </x:c>
      <x:c r="DD11" s="117" t="n">
        <x:f>SUM('CF_1'!DD42,'CF_2'!DD42,'CF_3'!DD42,'CF_4'!DD42)</x:f>
      </x:c>
      <x:c r="DE11" s="117" t="n">
        <x:f>SUM('CF_1'!DE42,'CF_2'!DE42,'CF_3'!DE42,'CF_4'!DE42)</x:f>
      </x:c>
      <x:c r="DF11" s="117" t="n">
        <x:f>SUM('CF_1'!DF42,'CF_2'!DF42,'CF_3'!DF42,'CF_4'!DF42)</x:f>
      </x:c>
      <x:c r="DG11" s="117" t="n">
        <x:f>SUM('CF_1'!DG42,'CF_2'!DG42,'CF_3'!DG42,'CF_4'!DG42)</x:f>
      </x:c>
      <x:c r="DH11" s="117" t="n">
        <x:f>SUM('CF_1'!DH42,'CF_2'!DH42,'CF_3'!DH42,'CF_4'!DH42)</x:f>
      </x:c>
      <x:c r="DI11" s="117" t="n">
        <x:f>SUM('CF_1'!DI42,'CF_2'!DI42,'CF_3'!DI42,'CF_4'!DI42)</x:f>
      </x:c>
      <x:c r="DJ11" s="117" t="n">
        <x:f>SUM('CF_1'!DJ42,'CF_2'!DJ42,'CF_3'!DJ42,'CF_4'!DJ42)</x:f>
      </x:c>
      <x:c r="DK11" s="117" t="n">
        <x:f>SUM('CF_1'!DK42,'CF_2'!DK42,'CF_3'!DK42,'CF_4'!DK42)</x:f>
      </x:c>
      <x:c r="DL11" s="117" t="n">
        <x:f>SUM('CF_1'!DL42,'CF_2'!DL42,'CF_3'!DL42,'CF_4'!DL42)</x:f>
      </x:c>
      <x:c r="DM11" s="117" t="n">
        <x:f>SUM('CF_1'!DM42,'CF_2'!DM42,'CF_3'!DM42,'CF_4'!DM42)</x:f>
      </x:c>
      <x:c r="DN11" s="117" t="n">
        <x:f>SUM('CF_1'!DN42,'CF_2'!DN42,'CF_3'!DN42,'CF_4'!DN42)</x:f>
      </x:c>
      <x:c r="DO11" s="117" t="n">
        <x:f>SUM('CF_1'!DO42,'CF_2'!DO42,'CF_3'!DO42,'CF_4'!DO42)</x:f>
      </x:c>
      <x:c r="DP11" s="117" t="n">
        <x:f>SUM('CF_1'!DP42,'CF_2'!DP42,'CF_3'!DP42,'CF_4'!DP42)</x:f>
      </x:c>
      <x:c r="DQ11" s="117" t="n">
        <x:f>SUM('CF_1'!DQ42,'CF_2'!DQ42,'CF_3'!DQ42,'CF_4'!DQ42)</x:f>
      </x:c>
      <x:c r="DR11" s="117" t="n">
        <x:f>SUM('CF_1'!DR42,'CF_2'!DR42,'CF_3'!DR42,'CF_4'!DR42)</x:f>
      </x:c>
      <x:c r="DS11" s="117" t="n">
        <x:f>SUM('CF_1'!DS42,'CF_2'!DS42,'CF_3'!DS42,'CF_4'!DS42)</x:f>
      </x:c>
      <x:c r="DT11" s="117" t="n">
        <x:f>SUM('CF_1'!DT42,'CF_2'!DT42,'CF_3'!DT42,'CF_4'!DT42)</x:f>
      </x:c>
      <x:c r="DU11" s="117" t="n">
        <x:f>SUM('CF_1'!DU42,'CF_2'!DU42,'CF_3'!DU42,'CF_4'!DU42)</x:f>
      </x:c>
      <x:c r="DV11" s="117" t="n">
        <x:f>SUM('CF_1'!DV42,'CF_2'!DV42,'CF_3'!DV42,'CF_4'!DV42)</x:f>
      </x:c>
      <x:c r="DW11" s="117" t="n">
        <x:f>SUM('CF_1'!DW42,'CF_2'!DW42,'CF_3'!DW42,'CF_4'!DW42)</x:f>
      </x:c>
      <x:c r="DX11" s="117" t="n">
        <x:f>SUM('CF_1'!DX42,'CF_2'!DX42,'CF_3'!DX42,'CF_4'!DX42)</x:f>
      </x:c>
      <x:c r="DY11" s="117" t="n">
        <x:f>SUM('CF_1'!DY42,'CF_2'!DY42,'CF_3'!DY42,'CF_4'!DY42)</x:f>
      </x:c>
      <x:c r="DZ11" s="117" t="n">
        <x:f>SUM('CF_1'!DZ42,'CF_2'!DZ42,'CF_3'!DZ42,'CF_4'!DZ42)</x:f>
      </x:c>
      <x:c r="EA11" s="117" t="n">
        <x:f>SUM('CF_1'!EA42,'CF_2'!EA42,'CF_3'!EA42,'CF_4'!EA42)</x:f>
      </x:c>
      <x:c r="EB11" s="117" t="n">
        <x:f>SUM('CF_1'!EB42,'CF_2'!EB42,'CF_3'!EB42,'CF_4'!EB42)</x:f>
      </x:c>
      <x:c r="EC11" s="117" t="n">
        <x:f>SUM('CF_1'!EC42,'CF_2'!EC42,'CF_3'!EC42,'CF_4'!EC42)</x:f>
      </x:c>
      <x:c r="ED11" s="117" t="n">
        <x:f>SUM('CF_1'!ED42,'CF_2'!ED42,'CF_3'!ED42,'CF_4'!ED42)</x:f>
      </x:c>
      <x:c r="EE11" s="117" t="n">
        <x:f>SUM('CF_1'!EE42,'CF_2'!EE42,'CF_3'!EE42,'CF_4'!EE42)</x:f>
      </x:c>
      <x:c r="EF11" s="117" t="n">
        <x:f>SUM('CF_1'!EF42,'CF_2'!EF42,'CF_3'!EF42,'CF_4'!EF42)</x:f>
      </x:c>
      <x:c r="EG11" s="117" t="n">
        <x:f>SUM('CF_1'!EG42,'CF_2'!EG42,'CF_3'!EG42,'CF_4'!EG42)</x:f>
      </x:c>
      <x:c r="EH11" s="117" t="n">
        <x:f>SUM('CF_1'!EH42,'CF_2'!EH42,'CF_3'!EH42,'CF_4'!EH42)</x:f>
      </x:c>
      <x:c r="EI11" s="117" t="n">
        <x:f>SUM('CF_1'!EI42,'CF_2'!EI42,'CF_3'!EI42,'CF_4'!EI42)</x:f>
      </x:c>
      <x:c r="EJ11" s="117" t="n">
        <x:f>SUM('CF_1'!EJ42,'CF_2'!EJ42,'CF_3'!EJ42,'CF_4'!EJ42)</x:f>
      </x:c>
      <x:c r="EK11" s="117" t="n">
        <x:f>SUM('CF_1'!EK42,'CF_2'!EK42,'CF_3'!EK42,'CF_4'!EK42)</x:f>
      </x:c>
      <x:c r="EL11" s="117" t="n">
        <x:f>SUM('CF_1'!EL42,'CF_2'!EL42,'CF_3'!EL42,'CF_4'!EL42)</x:f>
      </x:c>
      <x:c r="EM11" s="117" t="n">
        <x:f>SUM('CF_1'!EM42,'CF_2'!EM42,'CF_3'!EM42,'CF_4'!EM42)</x:f>
      </x:c>
      <x:c r="EN11" s="117" t="n">
        <x:f>SUM('CF_1'!EN42,'CF_2'!EN42,'CF_3'!EN42,'CF_4'!EN42)</x:f>
      </x:c>
      <x:c r="EO11" s="117" t="n">
        <x:f>SUM('CF_1'!EO42,'CF_2'!EO42,'CF_3'!EO42,'CF_4'!EO42)</x:f>
      </x:c>
      <x:c r="EP11" s="117" t="n">
        <x:f>SUM('CF_1'!EP42,'CF_2'!EP42,'CF_3'!EP42,'CF_4'!EP42)</x:f>
      </x:c>
      <x:c r="EQ11" s="117" t="n">
        <x:f>SUM('CF_1'!EQ42,'CF_2'!EQ42,'CF_3'!EQ42,'CF_4'!EQ42)</x:f>
      </x:c>
      <x:c r="ER11" s="117" t="n">
        <x:f>SUM('CF_1'!ER42,'CF_2'!ER42,'CF_3'!ER42,'CF_4'!ER42)</x:f>
      </x:c>
      <x:c r="ES11" s="117" t="n">
        <x:f>SUM('CF_1'!ES42,'CF_2'!ES42,'CF_3'!ES42,'CF_4'!ES42)</x:f>
      </x:c>
      <x:c r="ET11" s="117" t="n">
        <x:f>SUM('CF_1'!ET42,'CF_2'!ET42,'CF_3'!ET42,'CF_4'!ET42)</x:f>
      </x:c>
      <x:c r="EU11" s="117" t="n">
        <x:f>SUM('CF_1'!EU42,'CF_2'!EU42,'CF_3'!EU42,'CF_4'!EU42)</x:f>
      </x:c>
      <x:c r="EV11" s="117" t="n">
        <x:f>SUM('CF_1'!EV42,'CF_2'!EV42,'CF_3'!EV42,'CF_4'!EV42)</x:f>
      </x:c>
      <x:c r="EW11" s="117" t="n">
        <x:f>SUM('CF_1'!EW42,'CF_2'!EW42,'CF_3'!EW42,'CF_4'!EW42)</x:f>
      </x:c>
      <x:c r="EX11" s="117" t="n">
        <x:f>SUM('CF_1'!EX42,'CF_2'!EX42,'CF_3'!EX42,'CF_4'!EX42)</x:f>
      </x:c>
      <x:c r="EY11" s="117" t="n">
        <x:f>SUM('CF_1'!EY42,'CF_2'!EY42,'CF_3'!EY42,'CF_4'!EY42)</x:f>
      </x:c>
      <x:c r="EZ11" s="117" t="n">
        <x:f>SUM('CF_1'!EZ42,'CF_2'!EZ42,'CF_3'!EZ42,'CF_4'!EZ42)</x:f>
      </x:c>
      <x:c r="FA11" s="117" t="n">
        <x:f>SUM('CF_1'!FA42,'CF_2'!FA42,'CF_3'!FA42,'CF_4'!FA42)</x:f>
      </x:c>
      <x:c r="FB11" s="117" t="n">
        <x:f>SUM('CF_1'!FB42,'CF_2'!FB42,'CF_3'!FB42,'CF_4'!FB42)</x:f>
      </x:c>
      <x:c r="FC11" s="117" t="n">
        <x:f>SUM('CF_1'!FC42,'CF_2'!FC42,'CF_3'!FC42,'CF_4'!FC42)</x:f>
      </x:c>
      <x:c r="FD11" s="117" t="n">
        <x:f>SUM('CF_1'!FD42,'CF_2'!FD42,'CF_3'!FD42,'CF_4'!FD42)</x:f>
      </x:c>
      <x:c r="FE11" s="117" t="n">
        <x:f>SUM('CF_1'!FE42,'CF_2'!FE42,'CF_3'!FE42,'CF_4'!FE42)</x:f>
      </x:c>
      <x:c r="FF11" s="117" t="n">
        <x:f>SUM('CF_1'!FF42,'CF_2'!FF42,'CF_3'!FF42,'CF_4'!FF42)</x:f>
      </x:c>
      <x:c r="FG11" s="117" t="n">
        <x:f>SUM('CF_1'!FG42,'CF_2'!FG42,'CF_3'!FG42,'CF_4'!FG42)</x:f>
      </x:c>
      <x:c r="FH11" s="117" t="n">
        <x:f>SUM('CF_1'!FH42,'CF_2'!FH42,'CF_3'!FH42,'CF_4'!FH42)</x:f>
      </x:c>
      <x:c r="FI11" s="117" t="n">
        <x:f>SUM('CF_1'!FI42,'CF_2'!FI42,'CF_3'!FI42,'CF_4'!FI42)</x:f>
      </x:c>
      <x:c r="FJ11" s="117" t="n">
        <x:f>SUM('CF_1'!FJ42,'CF_2'!FJ42,'CF_3'!FJ42,'CF_4'!FJ42)</x:f>
      </x:c>
      <x:c r="FK11" s="117" t="n">
        <x:f>SUM('CF_1'!FK42,'CF_2'!FK42,'CF_3'!FK42,'CF_4'!FK42)</x:f>
      </x:c>
      <x:c r="FL11" s="117" t="n">
        <x:f>SUM('CF_1'!FL42,'CF_2'!FL42,'CF_3'!FL42,'CF_4'!FL42)</x:f>
      </x:c>
      <x:c r="FM11" s="117" t="n">
        <x:f>SUM('CF_1'!FM42,'CF_2'!FM42,'CF_3'!FM42,'CF_4'!FM42)</x:f>
      </x:c>
      <x:c r="FN11" s="117" t="n">
        <x:f>SUM('CF_1'!FN42,'CF_2'!FN42,'CF_3'!FN42,'CF_4'!FN42)</x:f>
      </x:c>
      <x:c r="FO11" s="117" t="n">
        <x:f>SUM('CF_1'!FO42,'CF_2'!FO42,'CF_3'!FO42,'CF_4'!FO42)</x:f>
      </x:c>
      <x:c r="FP11" s="117" t="n">
        <x:f>SUM('CF_1'!FP42,'CF_2'!FP42,'CF_3'!FP42,'CF_4'!FP42)</x:f>
      </x:c>
      <x:c r="FQ11" s="117" t="n">
        <x:f>SUM('CF_1'!FQ42,'CF_2'!FQ42,'CF_3'!FQ42,'CF_4'!FQ42)</x:f>
      </x:c>
      <x:c r="FR11" s="117" t="n">
        <x:f>SUM('CF_1'!FR42,'CF_2'!FR42,'CF_3'!FR42,'CF_4'!FR42)</x:f>
      </x:c>
      <x:c r="FS11" s="117" t="n">
        <x:f>SUM('CF_1'!FS42,'CF_2'!FS42,'CF_3'!FS42,'CF_4'!FS42)</x:f>
      </x:c>
      <x:c r="FT11" s="117" t="n">
        <x:f>SUM('CF_1'!FT42,'CF_2'!FT42,'CF_3'!FT42,'CF_4'!FT42)</x:f>
      </x:c>
      <x:c r="FU11" s="117" t="n">
        <x:f>SUM('CF_1'!FU42,'CF_2'!FU42,'CF_3'!FU42,'CF_4'!FU42)</x:f>
      </x:c>
      <x:c r="FV11" s="117" t="n">
        <x:f>SUM('CF_1'!FV42,'CF_2'!FV42,'CF_3'!FV42,'CF_4'!FV42)</x:f>
      </x:c>
      <x:c r="FW11" s="117" t="n">
        <x:f>SUM('CF_1'!FW42,'CF_2'!FW42,'CF_3'!FW42,'CF_4'!FW42)</x:f>
      </x:c>
      <x:c r="FX11" s="117" t="n">
        <x:f>SUM('CF_1'!FX42,'CF_2'!FX42,'CF_3'!FX42,'CF_4'!FX42)</x:f>
      </x:c>
      <x:c r="FY11" s="117" t="n">
        <x:f>SUM('CF_1'!FY42,'CF_2'!FY42,'CF_3'!FY42,'CF_4'!FY42)</x:f>
      </x:c>
      <x:c r="FZ11" s="117" t="n">
        <x:f>SUM('CF_1'!FZ42,'CF_2'!FZ42,'CF_3'!FZ42,'CF_4'!FZ42)</x:f>
      </x:c>
      <x:c r="GA11" s="117" t="n">
        <x:f>SUM('CF_1'!GA42,'CF_2'!GA42,'CF_3'!GA42,'CF_4'!GA42)</x:f>
      </x:c>
    </x:row>
    <x:row r="12">
      <x:c r="A12" t="str">
        <x:v>ПФ — комиссия за лимит</x:v>
      </x:c>
      <x:c r="B12" s="107" t="n">
        <x:f>SUM(D12:GA12)</x:f>
      </x:c>
      <x:c r="C12" t="str">
        <x:v>млн ₽</x:v>
      </x:c>
      <x:c r="D12" s="117" t="n">
        <x:f>SUM('CF_1'!D43,'CF_2'!D43,'CF_3'!D43,'CF_4'!D43)</x:f>
      </x:c>
      <x:c r="E12" s="117" t="n">
        <x:f>SUM('CF_1'!E43,'CF_2'!E43,'CF_3'!E43,'CF_4'!E43)</x:f>
      </x:c>
      <x:c r="F12" s="117" t="n">
        <x:f>SUM('CF_1'!F43,'CF_2'!F43,'CF_3'!F43,'CF_4'!F43)</x:f>
      </x:c>
      <x:c r="G12" s="117" t="n">
        <x:f>SUM('CF_1'!G43,'CF_2'!G43,'CF_3'!G43,'CF_4'!G43)</x:f>
      </x:c>
      <x:c r="H12" s="117" t="n">
        <x:f>SUM('CF_1'!H43,'CF_2'!H43,'CF_3'!H43,'CF_4'!H43)</x:f>
      </x:c>
      <x:c r="I12" s="117" t="n">
        <x:f>SUM('CF_1'!I43,'CF_2'!I43,'CF_3'!I43,'CF_4'!I43)</x:f>
      </x:c>
      <x:c r="J12" s="117" t="n">
        <x:f>SUM('CF_1'!J43,'CF_2'!J43,'CF_3'!J43,'CF_4'!J43)</x:f>
      </x:c>
      <x:c r="K12" s="117" t="n">
        <x:f>SUM('CF_1'!K43,'CF_2'!K43,'CF_3'!K43,'CF_4'!K43)</x:f>
      </x:c>
      <x:c r="L12" s="117" t="n">
        <x:f>SUM('CF_1'!L43,'CF_2'!L43,'CF_3'!L43,'CF_4'!L43)</x:f>
      </x:c>
      <x:c r="M12" s="117" t="n">
        <x:f>SUM('CF_1'!M43,'CF_2'!M43,'CF_3'!M43,'CF_4'!M43)</x:f>
      </x:c>
      <x:c r="N12" s="117" t="n">
        <x:f>SUM('CF_1'!N43,'CF_2'!N43,'CF_3'!N43,'CF_4'!N43)</x:f>
      </x:c>
      <x:c r="O12" s="117" t="n">
        <x:f>SUM('CF_1'!O43,'CF_2'!O43,'CF_3'!O43,'CF_4'!O43)</x:f>
      </x:c>
      <x:c r="P12" s="117" t="n">
        <x:f>SUM('CF_1'!P43,'CF_2'!P43,'CF_3'!P43,'CF_4'!P43)</x:f>
      </x:c>
      <x:c r="Q12" s="117" t="n">
        <x:f>SUM('CF_1'!Q43,'CF_2'!Q43,'CF_3'!Q43,'CF_4'!Q43)</x:f>
      </x:c>
      <x:c r="R12" s="117" t="n">
        <x:f>SUM('CF_1'!R43,'CF_2'!R43,'CF_3'!R43,'CF_4'!R43)</x:f>
      </x:c>
      <x:c r="S12" s="117" t="n">
        <x:f>SUM('CF_1'!S43,'CF_2'!S43,'CF_3'!S43,'CF_4'!S43)</x:f>
      </x:c>
      <x:c r="T12" s="117" t="n">
        <x:f>SUM('CF_1'!T43,'CF_2'!T43,'CF_3'!T43,'CF_4'!T43)</x:f>
      </x:c>
      <x:c r="U12" s="117" t="n">
        <x:f>SUM('CF_1'!U43,'CF_2'!U43,'CF_3'!U43,'CF_4'!U43)</x:f>
      </x:c>
      <x:c r="V12" s="117" t="n">
        <x:f>SUM('CF_1'!V43,'CF_2'!V43,'CF_3'!V43,'CF_4'!V43)</x:f>
      </x:c>
      <x:c r="W12" s="117" t="n">
        <x:f>SUM('CF_1'!W43,'CF_2'!W43,'CF_3'!W43,'CF_4'!W43)</x:f>
      </x:c>
      <x:c r="X12" s="117" t="n">
        <x:f>SUM('CF_1'!X43,'CF_2'!X43,'CF_3'!X43,'CF_4'!X43)</x:f>
      </x:c>
      <x:c r="Y12" s="117" t="n">
        <x:f>SUM('CF_1'!Y43,'CF_2'!Y43,'CF_3'!Y43,'CF_4'!Y43)</x:f>
      </x:c>
      <x:c r="Z12" s="117" t="n">
        <x:f>SUM('CF_1'!Z43,'CF_2'!Z43,'CF_3'!Z43,'CF_4'!Z43)</x:f>
      </x:c>
      <x:c r="AA12" s="117" t="n">
        <x:f>SUM('CF_1'!AA43,'CF_2'!AA43,'CF_3'!AA43,'CF_4'!AA43)</x:f>
      </x:c>
      <x:c r="AB12" s="117" t="n">
        <x:f>SUM('CF_1'!AB43,'CF_2'!AB43,'CF_3'!AB43,'CF_4'!AB43)</x:f>
      </x:c>
      <x:c r="AC12" s="117" t="n">
        <x:f>SUM('CF_1'!AC43,'CF_2'!AC43,'CF_3'!AC43,'CF_4'!AC43)</x:f>
      </x:c>
      <x:c r="AD12" s="117" t="n">
        <x:f>SUM('CF_1'!AD43,'CF_2'!AD43,'CF_3'!AD43,'CF_4'!AD43)</x:f>
      </x:c>
      <x:c r="AE12" s="117" t="n">
        <x:f>SUM('CF_1'!AE43,'CF_2'!AE43,'CF_3'!AE43,'CF_4'!AE43)</x:f>
      </x:c>
      <x:c r="AF12" s="117" t="n">
        <x:f>SUM('CF_1'!AF43,'CF_2'!AF43,'CF_3'!AF43,'CF_4'!AF43)</x:f>
      </x:c>
      <x:c r="AG12" s="117" t="n">
        <x:f>SUM('CF_1'!AG43,'CF_2'!AG43,'CF_3'!AG43,'CF_4'!AG43)</x:f>
      </x:c>
      <x:c r="AH12" s="117" t="n">
        <x:f>SUM('CF_1'!AH43,'CF_2'!AH43,'CF_3'!AH43,'CF_4'!AH43)</x:f>
      </x:c>
      <x:c r="AI12" s="117" t="n">
        <x:f>SUM('CF_1'!AI43,'CF_2'!AI43,'CF_3'!AI43,'CF_4'!AI43)</x:f>
      </x:c>
      <x:c r="AJ12" s="117" t="n">
        <x:f>SUM('CF_1'!AJ43,'CF_2'!AJ43,'CF_3'!AJ43,'CF_4'!AJ43)</x:f>
      </x:c>
      <x:c r="AK12" s="117" t="n">
        <x:f>SUM('CF_1'!AK43,'CF_2'!AK43,'CF_3'!AK43,'CF_4'!AK43)</x:f>
      </x:c>
      <x:c r="AL12" s="117" t="n">
        <x:f>SUM('CF_1'!AL43,'CF_2'!AL43,'CF_3'!AL43,'CF_4'!AL43)</x:f>
      </x:c>
      <x:c r="AM12" s="117" t="n">
        <x:f>SUM('CF_1'!AM43,'CF_2'!AM43,'CF_3'!AM43,'CF_4'!AM43)</x:f>
      </x:c>
      <x:c r="AN12" s="117" t="n">
        <x:f>SUM('CF_1'!AN43,'CF_2'!AN43,'CF_3'!AN43,'CF_4'!AN43)</x:f>
      </x:c>
      <x:c r="AO12" s="117" t="n">
        <x:f>SUM('CF_1'!AO43,'CF_2'!AO43,'CF_3'!AO43,'CF_4'!AO43)</x:f>
      </x:c>
      <x:c r="AP12" s="117" t="n">
        <x:f>SUM('CF_1'!AP43,'CF_2'!AP43,'CF_3'!AP43,'CF_4'!AP43)</x:f>
      </x:c>
      <x:c r="AQ12" s="117" t="n">
        <x:f>SUM('CF_1'!AQ43,'CF_2'!AQ43,'CF_3'!AQ43,'CF_4'!AQ43)</x:f>
      </x:c>
      <x:c r="AR12" s="117" t="n">
        <x:f>SUM('CF_1'!AR43,'CF_2'!AR43,'CF_3'!AR43,'CF_4'!AR43)</x:f>
      </x:c>
      <x:c r="AS12" s="117" t="n">
        <x:f>SUM('CF_1'!AS43,'CF_2'!AS43,'CF_3'!AS43,'CF_4'!AS43)</x:f>
      </x:c>
      <x:c r="AT12" s="117" t="n">
        <x:f>SUM('CF_1'!AT43,'CF_2'!AT43,'CF_3'!AT43,'CF_4'!AT43)</x:f>
      </x:c>
      <x:c r="AU12" s="117" t="n">
        <x:f>SUM('CF_1'!AU43,'CF_2'!AU43,'CF_3'!AU43,'CF_4'!AU43)</x:f>
      </x:c>
      <x:c r="AV12" s="117" t="n">
        <x:f>SUM('CF_1'!AV43,'CF_2'!AV43,'CF_3'!AV43,'CF_4'!AV43)</x:f>
      </x:c>
      <x:c r="AW12" s="117" t="n">
        <x:f>SUM('CF_1'!AW43,'CF_2'!AW43,'CF_3'!AW43,'CF_4'!AW43)</x:f>
      </x:c>
      <x:c r="AX12" s="117" t="n">
        <x:f>SUM('CF_1'!AX43,'CF_2'!AX43,'CF_3'!AX43,'CF_4'!AX43)</x:f>
      </x:c>
      <x:c r="AY12" s="117" t="n">
        <x:f>SUM('CF_1'!AY43,'CF_2'!AY43,'CF_3'!AY43,'CF_4'!AY43)</x:f>
      </x:c>
      <x:c r="AZ12" s="117" t="n">
        <x:f>SUM('CF_1'!AZ43,'CF_2'!AZ43,'CF_3'!AZ43,'CF_4'!AZ43)</x:f>
      </x:c>
      <x:c r="BA12" s="117" t="n">
        <x:f>SUM('CF_1'!BA43,'CF_2'!BA43,'CF_3'!BA43,'CF_4'!BA43)</x:f>
      </x:c>
      <x:c r="BB12" s="117" t="n">
        <x:f>SUM('CF_1'!BB43,'CF_2'!BB43,'CF_3'!BB43,'CF_4'!BB43)</x:f>
      </x:c>
      <x:c r="BC12" s="117" t="n">
        <x:f>SUM('CF_1'!BC43,'CF_2'!BC43,'CF_3'!BC43,'CF_4'!BC43)</x:f>
      </x:c>
      <x:c r="BD12" s="117" t="n">
        <x:f>SUM('CF_1'!BD43,'CF_2'!BD43,'CF_3'!BD43,'CF_4'!BD43)</x:f>
      </x:c>
      <x:c r="BE12" s="117" t="n">
        <x:f>SUM('CF_1'!BE43,'CF_2'!BE43,'CF_3'!BE43,'CF_4'!BE43)</x:f>
      </x:c>
      <x:c r="BF12" s="117" t="n">
        <x:f>SUM('CF_1'!BF43,'CF_2'!BF43,'CF_3'!BF43,'CF_4'!BF43)</x:f>
      </x:c>
      <x:c r="BG12" s="117" t="n">
        <x:f>SUM('CF_1'!BG43,'CF_2'!BG43,'CF_3'!BG43,'CF_4'!BG43)</x:f>
      </x:c>
      <x:c r="BH12" s="117" t="n">
        <x:f>SUM('CF_1'!BH43,'CF_2'!BH43,'CF_3'!BH43,'CF_4'!BH43)</x:f>
      </x:c>
      <x:c r="BI12" s="117" t="n">
        <x:f>SUM('CF_1'!BI43,'CF_2'!BI43,'CF_3'!BI43,'CF_4'!BI43)</x:f>
      </x:c>
      <x:c r="BJ12" s="117" t="n">
        <x:f>SUM('CF_1'!BJ43,'CF_2'!BJ43,'CF_3'!BJ43,'CF_4'!BJ43)</x:f>
      </x:c>
      <x:c r="BK12" s="117" t="n">
        <x:f>SUM('CF_1'!BK43,'CF_2'!BK43,'CF_3'!BK43,'CF_4'!BK43)</x:f>
      </x:c>
      <x:c r="BL12" s="117" t="n">
        <x:f>SUM('CF_1'!BL43,'CF_2'!BL43,'CF_3'!BL43,'CF_4'!BL43)</x:f>
      </x:c>
      <x:c r="BM12" s="117" t="n">
        <x:f>SUM('CF_1'!BM43,'CF_2'!BM43,'CF_3'!BM43,'CF_4'!BM43)</x:f>
      </x:c>
      <x:c r="BN12" s="117" t="n">
        <x:f>SUM('CF_1'!BN43,'CF_2'!BN43,'CF_3'!BN43,'CF_4'!BN43)</x:f>
      </x:c>
      <x:c r="BO12" s="117" t="n">
        <x:f>SUM('CF_1'!BO43,'CF_2'!BO43,'CF_3'!BO43,'CF_4'!BO43)</x:f>
      </x:c>
      <x:c r="BP12" s="117" t="n">
        <x:f>SUM('CF_1'!BP43,'CF_2'!BP43,'CF_3'!BP43,'CF_4'!BP43)</x:f>
      </x:c>
      <x:c r="BQ12" s="117" t="n">
        <x:f>SUM('CF_1'!BQ43,'CF_2'!BQ43,'CF_3'!BQ43,'CF_4'!BQ43)</x:f>
      </x:c>
      <x:c r="BR12" s="117" t="n">
        <x:f>SUM('CF_1'!BR43,'CF_2'!BR43,'CF_3'!BR43,'CF_4'!BR43)</x:f>
      </x:c>
      <x:c r="BS12" s="117" t="n">
        <x:f>SUM('CF_1'!BS43,'CF_2'!BS43,'CF_3'!BS43,'CF_4'!BS43)</x:f>
      </x:c>
      <x:c r="BT12" s="117" t="n">
        <x:f>SUM('CF_1'!BT43,'CF_2'!BT43,'CF_3'!BT43,'CF_4'!BT43)</x:f>
      </x:c>
      <x:c r="BU12" s="117" t="n">
        <x:f>SUM('CF_1'!BU43,'CF_2'!BU43,'CF_3'!BU43,'CF_4'!BU43)</x:f>
      </x:c>
      <x:c r="BV12" s="117" t="n">
        <x:f>SUM('CF_1'!BV43,'CF_2'!BV43,'CF_3'!BV43,'CF_4'!BV43)</x:f>
      </x:c>
      <x:c r="BW12" s="117" t="n">
        <x:f>SUM('CF_1'!BW43,'CF_2'!BW43,'CF_3'!BW43,'CF_4'!BW43)</x:f>
      </x:c>
      <x:c r="BX12" s="117" t="n">
        <x:f>SUM('CF_1'!BX43,'CF_2'!BX43,'CF_3'!BX43,'CF_4'!BX43)</x:f>
      </x:c>
      <x:c r="BY12" s="117" t="n">
        <x:f>SUM('CF_1'!BY43,'CF_2'!BY43,'CF_3'!BY43,'CF_4'!BY43)</x:f>
      </x:c>
      <x:c r="BZ12" s="117" t="n">
        <x:f>SUM('CF_1'!BZ43,'CF_2'!BZ43,'CF_3'!BZ43,'CF_4'!BZ43)</x:f>
      </x:c>
      <x:c r="CA12" s="117" t="n">
        <x:f>SUM('CF_1'!CA43,'CF_2'!CA43,'CF_3'!CA43,'CF_4'!CA43)</x:f>
      </x:c>
      <x:c r="CB12" s="117" t="n">
        <x:f>SUM('CF_1'!CB43,'CF_2'!CB43,'CF_3'!CB43,'CF_4'!CB43)</x:f>
      </x:c>
      <x:c r="CC12" s="117" t="n">
        <x:f>SUM('CF_1'!CC43,'CF_2'!CC43,'CF_3'!CC43,'CF_4'!CC43)</x:f>
      </x:c>
      <x:c r="CD12" s="117" t="n">
        <x:f>SUM('CF_1'!CD43,'CF_2'!CD43,'CF_3'!CD43,'CF_4'!CD43)</x:f>
      </x:c>
      <x:c r="CE12" s="117" t="n">
        <x:f>SUM('CF_1'!CE43,'CF_2'!CE43,'CF_3'!CE43,'CF_4'!CE43)</x:f>
      </x:c>
      <x:c r="CF12" s="117" t="n">
        <x:f>SUM('CF_1'!CF43,'CF_2'!CF43,'CF_3'!CF43,'CF_4'!CF43)</x:f>
      </x:c>
      <x:c r="CG12" s="117" t="n">
        <x:f>SUM('CF_1'!CG43,'CF_2'!CG43,'CF_3'!CG43,'CF_4'!CG43)</x:f>
      </x:c>
      <x:c r="CH12" s="117" t="n">
        <x:f>SUM('CF_1'!CH43,'CF_2'!CH43,'CF_3'!CH43,'CF_4'!CH43)</x:f>
      </x:c>
      <x:c r="CI12" s="117" t="n">
        <x:f>SUM('CF_1'!CI43,'CF_2'!CI43,'CF_3'!CI43,'CF_4'!CI43)</x:f>
      </x:c>
      <x:c r="CJ12" s="117" t="n">
        <x:f>SUM('CF_1'!CJ43,'CF_2'!CJ43,'CF_3'!CJ43,'CF_4'!CJ43)</x:f>
      </x:c>
      <x:c r="CK12" s="117" t="n">
        <x:f>SUM('CF_1'!CK43,'CF_2'!CK43,'CF_3'!CK43,'CF_4'!CK43)</x:f>
      </x:c>
      <x:c r="CL12" s="117" t="n">
        <x:f>SUM('CF_1'!CL43,'CF_2'!CL43,'CF_3'!CL43,'CF_4'!CL43)</x:f>
      </x:c>
      <x:c r="CM12" s="117" t="n">
        <x:f>SUM('CF_1'!CM43,'CF_2'!CM43,'CF_3'!CM43,'CF_4'!CM43)</x:f>
      </x:c>
      <x:c r="CN12" s="117" t="n">
        <x:f>SUM('CF_1'!CN43,'CF_2'!CN43,'CF_3'!CN43,'CF_4'!CN43)</x:f>
      </x:c>
      <x:c r="CO12" s="117" t="n">
        <x:f>SUM('CF_1'!CO43,'CF_2'!CO43,'CF_3'!CO43,'CF_4'!CO43)</x:f>
      </x:c>
      <x:c r="CP12" s="117" t="n">
        <x:f>SUM('CF_1'!CP43,'CF_2'!CP43,'CF_3'!CP43,'CF_4'!CP43)</x:f>
      </x:c>
      <x:c r="CQ12" s="117" t="n">
        <x:f>SUM('CF_1'!CQ43,'CF_2'!CQ43,'CF_3'!CQ43,'CF_4'!CQ43)</x:f>
      </x:c>
      <x:c r="CR12" s="117" t="n">
        <x:f>SUM('CF_1'!CR43,'CF_2'!CR43,'CF_3'!CR43,'CF_4'!CR43)</x:f>
      </x:c>
      <x:c r="CS12" s="117" t="n">
        <x:f>SUM('CF_1'!CS43,'CF_2'!CS43,'CF_3'!CS43,'CF_4'!CS43)</x:f>
      </x:c>
      <x:c r="CT12" s="117" t="n">
        <x:f>SUM('CF_1'!CT43,'CF_2'!CT43,'CF_3'!CT43,'CF_4'!CT43)</x:f>
      </x:c>
      <x:c r="CU12" s="117" t="n">
        <x:f>SUM('CF_1'!CU43,'CF_2'!CU43,'CF_3'!CU43,'CF_4'!CU43)</x:f>
      </x:c>
      <x:c r="CV12" s="117" t="n">
        <x:f>SUM('CF_1'!CV43,'CF_2'!CV43,'CF_3'!CV43,'CF_4'!CV43)</x:f>
      </x:c>
      <x:c r="CW12" s="117" t="n">
        <x:f>SUM('CF_1'!CW43,'CF_2'!CW43,'CF_3'!CW43,'CF_4'!CW43)</x:f>
      </x:c>
      <x:c r="CX12" s="117" t="n">
        <x:f>SUM('CF_1'!CX43,'CF_2'!CX43,'CF_3'!CX43,'CF_4'!CX43)</x:f>
      </x:c>
      <x:c r="CY12" s="117" t="n">
        <x:f>SUM('CF_1'!CY43,'CF_2'!CY43,'CF_3'!CY43,'CF_4'!CY43)</x:f>
      </x:c>
      <x:c r="CZ12" s="117" t="n">
        <x:f>SUM('CF_1'!CZ43,'CF_2'!CZ43,'CF_3'!CZ43,'CF_4'!CZ43)</x:f>
      </x:c>
      <x:c r="DA12" s="117" t="n">
        <x:f>SUM('CF_1'!DA43,'CF_2'!DA43,'CF_3'!DA43,'CF_4'!DA43)</x:f>
      </x:c>
      <x:c r="DB12" s="117" t="n">
        <x:f>SUM('CF_1'!DB43,'CF_2'!DB43,'CF_3'!DB43,'CF_4'!DB43)</x:f>
      </x:c>
      <x:c r="DC12" s="117" t="n">
        <x:f>SUM('CF_1'!DC43,'CF_2'!DC43,'CF_3'!DC43,'CF_4'!DC43)</x:f>
      </x:c>
      <x:c r="DD12" s="117" t="n">
        <x:f>SUM('CF_1'!DD43,'CF_2'!DD43,'CF_3'!DD43,'CF_4'!DD43)</x:f>
      </x:c>
      <x:c r="DE12" s="117" t="n">
        <x:f>SUM('CF_1'!DE43,'CF_2'!DE43,'CF_3'!DE43,'CF_4'!DE43)</x:f>
      </x:c>
      <x:c r="DF12" s="117" t="n">
        <x:f>SUM('CF_1'!DF43,'CF_2'!DF43,'CF_3'!DF43,'CF_4'!DF43)</x:f>
      </x:c>
      <x:c r="DG12" s="117" t="n">
        <x:f>SUM('CF_1'!DG43,'CF_2'!DG43,'CF_3'!DG43,'CF_4'!DG43)</x:f>
      </x:c>
      <x:c r="DH12" s="117" t="n">
        <x:f>SUM('CF_1'!DH43,'CF_2'!DH43,'CF_3'!DH43,'CF_4'!DH43)</x:f>
      </x:c>
      <x:c r="DI12" s="117" t="n">
        <x:f>SUM('CF_1'!DI43,'CF_2'!DI43,'CF_3'!DI43,'CF_4'!DI43)</x:f>
      </x:c>
      <x:c r="DJ12" s="117" t="n">
        <x:f>SUM('CF_1'!DJ43,'CF_2'!DJ43,'CF_3'!DJ43,'CF_4'!DJ43)</x:f>
      </x:c>
      <x:c r="DK12" s="117" t="n">
        <x:f>SUM('CF_1'!DK43,'CF_2'!DK43,'CF_3'!DK43,'CF_4'!DK43)</x:f>
      </x:c>
      <x:c r="DL12" s="117" t="n">
        <x:f>SUM('CF_1'!DL43,'CF_2'!DL43,'CF_3'!DL43,'CF_4'!DL43)</x:f>
      </x:c>
      <x:c r="DM12" s="117" t="n">
        <x:f>SUM('CF_1'!DM43,'CF_2'!DM43,'CF_3'!DM43,'CF_4'!DM43)</x:f>
      </x:c>
      <x:c r="DN12" s="117" t="n">
        <x:f>SUM('CF_1'!DN43,'CF_2'!DN43,'CF_3'!DN43,'CF_4'!DN43)</x:f>
      </x:c>
      <x:c r="DO12" s="117" t="n">
        <x:f>SUM('CF_1'!DO43,'CF_2'!DO43,'CF_3'!DO43,'CF_4'!DO43)</x:f>
      </x:c>
      <x:c r="DP12" s="117" t="n">
        <x:f>SUM('CF_1'!DP43,'CF_2'!DP43,'CF_3'!DP43,'CF_4'!DP43)</x:f>
      </x:c>
      <x:c r="DQ12" s="117" t="n">
        <x:f>SUM('CF_1'!DQ43,'CF_2'!DQ43,'CF_3'!DQ43,'CF_4'!DQ43)</x:f>
      </x:c>
      <x:c r="DR12" s="117" t="n">
        <x:f>SUM('CF_1'!DR43,'CF_2'!DR43,'CF_3'!DR43,'CF_4'!DR43)</x:f>
      </x:c>
      <x:c r="DS12" s="117" t="n">
        <x:f>SUM('CF_1'!DS43,'CF_2'!DS43,'CF_3'!DS43,'CF_4'!DS43)</x:f>
      </x:c>
      <x:c r="DT12" s="117" t="n">
        <x:f>SUM('CF_1'!DT43,'CF_2'!DT43,'CF_3'!DT43,'CF_4'!DT43)</x:f>
      </x:c>
      <x:c r="DU12" s="117" t="n">
        <x:f>SUM('CF_1'!DU43,'CF_2'!DU43,'CF_3'!DU43,'CF_4'!DU43)</x:f>
      </x:c>
      <x:c r="DV12" s="117" t="n">
        <x:f>SUM('CF_1'!DV43,'CF_2'!DV43,'CF_3'!DV43,'CF_4'!DV43)</x:f>
      </x:c>
      <x:c r="DW12" s="117" t="n">
        <x:f>SUM('CF_1'!DW43,'CF_2'!DW43,'CF_3'!DW43,'CF_4'!DW43)</x:f>
      </x:c>
      <x:c r="DX12" s="117" t="n">
        <x:f>SUM('CF_1'!DX43,'CF_2'!DX43,'CF_3'!DX43,'CF_4'!DX43)</x:f>
      </x:c>
      <x:c r="DY12" s="117" t="n">
        <x:f>SUM('CF_1'!DY43,'CF_2'!DY43,'CF_3'!DY43,'CF_4'!DY43)</x:f>
      </x:c>
      <x:c r="DZ12" s="117" t="n">
        <x:f>SUM('CF_1'!DZ43,'CF_2'!DZ43,'CF_3'!DZ43,'CF_4'!DZ43)</x:f>
      </x:c>
      <x:c r="EA12" s="117" t="n">
        <x:f>SUM('CF_1'!EA43,'CF_2'!EA43,'CF_3'!EA43,'CF_4'!EA43)</x:f>
      </x:c>
      <x:c r="EB12" s="117" t="n">
        <x:f>SUM('CF_1'!EB43,'CF_2'!EB43,'CF_3'!EB43,'CF_4'!EB43)</x:f>
      </x:c>
      <x:c r="EC12" s="117" t="n">
        <x:f>SUM('CF_1'!EC43,'CF_2'!EC43,'CF_3'!EC43,'CF_4'!EC43)</x:f>
      </x:c>
      <x:c r="ED12" s="117" t="n">
        <x:f>SUM('CF_1'!ED43,'CF_2'!ED43,'CF_3'!ED43,'CF_4'!ED43)</x:f>
      </x:c>
      <x:c r="EE12" s="117" t="n">
        <x:f>SUM('CF_1'!EE43,'CF_2'!EE43,'CF_3'!EE43,'CF_4'!EE43)</x:f>
      </x:c>
      <x:c r="EF12" s="117" t="n">
        <x:f>SUM('CF_1'!EF43,'CF_2'!EF43,'CF_3'!EF43,'CF_4'!EF43)</x:f>
      </x:c>
      <x:c r="EG12" s="117" t="n">
        <x:f>SUM('CF_1'!EG43,'CF_2'!EG43,'CF_3'!EG43,'CF_4'!EG43)</x:f>
      </x:c>
      <x:c r="EH12" s="117" t="n">
        <x:f>SUM('CF_1'!EH43,'CF_2'!EH43,'CF_3'!EH43,'CF_4'!EH43)</x:f>
      </x:c>
      <x:c r="EI12" s="117" t="n">
        <x:f>SUM('CF_1'!EI43,'CF_2'!EI43,'CF_3'!EI43,'CF_4'!EI43)</x:f>
      </x:c>
      <x:c r="EJ12" s="117" t="n">
        <x:f>SUM('CF_1'!EJ43,'CF_2'!EJ43,'CF_3'!EJ43,'CF_4'!EJ43)</x:f>
      </x:c>
      <x:c r="EK12" s="117" t="n">
        <x:f>SUM('CF_1'!EK43,'CF_2'!EK43,'CF_3'!EK43,'CF_4'!EK43)</x:f>
      </x:c>
      <x:c r="EL12" s="117" t="n">
        <x:f>SUM('CF_1'!EL43,'CF_2'!EL43,'CF_3'!EL43,'CF_4'!EL43)</x:f>
      </x:c>
      <x:c r="EM12" s="117" t="n">
        <x:f>SUM('CF_1'!EM43,'CF_2'!EM43,'CF_3'!EM43,'CF_4'!EM43)</x:f>
      </x:c>
      <x:c r="EN12" s="117" t="n">
        <x:f>SUM('CF_1'!EN43,'CF_2'!EN43,'CF_3'!EN43,'CF_4'!EN43)</x:f>
      </x:c>
      <x:c r="EO12" s="117" t="n">
        <x:f>SUM('CF_1'!EO43,'CF_2'!EO43,'CF_3'!EO43,'CF_4'!EO43)</x:f>
      </x:c>
      <x:c r="EP12" s="117" t="n">
        <x:f>SUM('CF_1'!EP43,'CF_2'!EP43,'CF_3'!EP43,'CF_4'!EP43)</x:f>
      </x:c>
      <x:c r="EQ12" s="117" t="n">
        <x:f>SUM('CF_1'!EQ43,'CF_2'!EQ43,'CF_3'!EQ43,'CF_4'!EQ43)</x:f>
      </x:c>
      <x:c r="ER12" s="117" t="n">
        <x:f>SUM('CF_1'!ER43,'CF_2'!ER43,'CF_3'!ER43,'CF_4'!ER43)</x:f>
      </x:c>
      <x:c r="ES12" s="117" t="n">
        <x:f>SUM('CF_1'!ES43,'CF_2'!ES43,'CF_3'!ES43,'CF_4'!ES43)</x:f>
      </x:c>
      <x:c r="ET12" s="117" t="n">
        <x:f>SUM('CF_1'!ET43,'CF_2'!ET43,'CF_3'!ET43,'CF_4'!ET43)</x:f>
      </x:c>
      <x:c r="EU12" s="117" t="n">
        <x:f>SUM('CF_1'!EU43,'CF_2'!EU43,'CF_3'!EU43,'CF_4'!EU43)</x:f>
      </x:c>
      <x:c r="EV12" s="117" t="n">
        <x:f>SUM('CF_1'!EV43,'CF_2'!EV43,'CF_3'!EV43,'CF_4'!EV43)</x:f>
      </x:c>
      <x:c r="EW12" s="117" t="n">
        <x:f>SUM('CF_1'!EW43,'CF_2'!EW43,'CF_3'!EW43,'CF_4'!EW43)</x:f>
      </x:c>
      <x:c r="EX12" s="117" t="n">
        <x:f>SUM('CF_1'!EX43,'CF_2'!EX43,'CF_3'!EX43,'CF_4'!EX43)</x:f>
      </x:c>
      <x:c r="EY12" s="117" t="n">
        <x:f>SUM('CF_1'!EY43,'CF_2'!EY43,'CF_3'!EY43,'CF_4'!EY43)</x:f>
      </x:c>
      <x:c r="EZ12" s="117" t="n">
        <x:f>SUM('CF_1'!EZ43,'CF_2'!EZ43,'CF_3'!EZ43,'CF_4'!EZ43)</x:f>
      </x:c>
      <x:c r="FA12" s="117" t="n">
        <x:f>SUM('CF_1'!FA43,'CF_2'!FA43,'CF_3'!FA43,'CF_4'!FA43)</x:f>
      </x:c>
      <x:c r="FB12" s="117" t="n">
        <x:f>SUM('CF_1'!FB43,'CF_2'!FB43,'CF_3'!FB43,'CF_4'!FB43)</x:f>
      </x:c>
      <x:c r="FC12" s="117" t="n">
        <x:f>SUM('CF_1'!FC43,'CF_2'!FC43,'CF_3'!FC43,'CF_4'!FC43)</x:f>
      </x:c>
      <x:c r="FD12" s="117" t="n">
        <x:f>SUM('CF_1'!FD43,'CF_2'!FD43,'CF_3'!FD43,'CF_4'!FD43)</x:f>
      </x:c>
      <x:c r="FE12" s="117" t="n">
        <x:f>SUM('CF_1'!FE43,'CF_2'!FE43,'CF_3'!FE43,'CF_4'!FE43)</x:f>
      </x:c>
      <x:c r="FF12" s="117" t="n">
        <x:f>SUM('CF_1'!FF43,'CF_2'!FF43,'CF_3'!FF43,'CF_4'!FF43)</x:f>
      </x:c>
      <x:c r="FG12" s="117" t="n">
        <x:f>SUM('CF_1'!FG43,'CF_2'!FG43,'CF_3'!FG43,'CF_4'!FG43)</x:f>
      </x:c>
      <x:c r="FH12" s="117" t="n">
        <x:f>SUM('CF_1'!FH43,'CF_2'!FH43,'CF_3'!FH43,'CF_4'!FH43)</x:f>
      </x:c>
      <x:c r="FI12" s="117" t="n">
        <x:f>SUM('CF_1'!FI43,'CF_2'!FI43,'CF_3'!FI43,'CF_4'!FI43)</x:f>
      </x:c>
      <x:c r="FJ12" s="117" t="n">
        <x:f>SUM('CF_1'!FJ43,'CF_2'!FJ43,'CF_3'!FJ43,'CF_4'!FJ43)</x:f>
      </x:c>
      <x:c r="FK12" s="117" t="n">
        <x:f>SUM('CF_1'!FK43,'CF_2'!FK43,'CF_3'!FK43,'CF_4'!FK43)</x:f>
      </x:c>
      <x:c r="FL12" s="117" t="n">
        <x:f>SUM('CF_1'!FL43,'CF_2'!FL43,'CF_3'!FL43,'CF_4'!FL43)</x:f>
      </x:c>
      <x:c r="FM12" s="117" t="n">
        <x:f>SUM('CF_1'!FM43,'CF_2'!FM43,'CF_3'!FM43,'CF_4'!FM43)</x:f>
      </x:c>
      <x:c r="FN12" s="117" t="n">
        <x:f>SUM('CF_1'!FN43,'CF_2'!FN43,'CF_3'!FN43,'CF_4'!FN43)</x:f>
      </x:c>
      <x:c r="FO12" s="117" t="n">
        <x:f>SUM('CF_1'!FO43,'CF_2'!FO43,'CF_3'!FO43,'CF_4'!FO43)</x:f>
      </x:c>
      <x:c r="FP12" s="117" t="n">
        <x:f>SUM('CF_1'!FP43,'CF_2'!FP43,'CF_3'!FP43,'CF_4'!FP43)</x:f>
      </x:c>
      <x:c r="FQ12" s="117" t="n">
        <x:f>SUM('CF_1'!FQ43,'CF_2'!FQ43,'CF_3'!FQ43,'CF_4'!FQ43)</x:f>
      </x:c>
      <x:c r="FR12" s="117" t="n">
        <x:f>SUM('CF_1'!FR43,'CF_2'!FR43,'CF_3'!FR43,'CF_4'!FR43)</x:f>
      </x:c>
      <x:c r="FS12" s="117" t="n">
        <x:f>SUM('CF_1'!FS43,'CF_2'!FS43,'CF_3'!FS43,'CF_4'!FS43)</x:f>
      </x:c>
      <x:c r="FT12" s="117" t="n">
        <x:f>SUM('CF_1'!FT43,'CF_2'!FT43,'CF_3'!FT43,'CF_4'!FT43)</x:f>
      </x:c>
      <x:c r="FU12" s="117" t="n">
        <x:f>SUM('CF_1'!FU43,'CF_2'!FU43,'CF_3'!FU43,'CF_4'!FU43)</x:f>
      </x:c>
      <x:c r="FV12" s="117" t="n">
        <x:f>SUM('CF_1'!FV43,'CF_2'!FV43,'CF_3'!FV43,'CF_4'!FV43)</x:f>
      </x:c>
      <x:c r="FW12" s="117" t="n">
        <x:f>SUM('CF_1'!FW43,'CF_2'!FW43,'CF_3'!FW43,'CF_4'!FW43)</x:f>
      </x:c>
      <x:c r="FX12" s="117" t="n">
        <x:f>SUM('CF_1'!FX43,'CF_2'!FX43,'CF_3'!FX43,'CF_4'!FX43)</x:f>
      </x:c>
      <x:c r="FY12" s="117" t="n">
        <x:f>SUM('CF_1'!FY43,'CF_2'!FY43,'CF_3'!FY43,'CF_4'!FY43)</x:f>
      </x:c>
      <x:c r="FZ12" s="117" t="n">
        <x:f>SUM('CF_1'!FZ43,'CF_2'!FZ43,'CF_3'!FZ43,'CF_4'!FZ43)</x:f>
      </x:c>
      <x:c r="GA12" s="117" t="n">
        <x:f>SUM('CF_1'!GA43,'CF_2'!GA43,'CF_3'!GA43,'CF_4'!GA43)</x:f>
      </x:c>
    </x:row>
    <x:row r="13">
      <x:c r="A13" t="str">
        <x:v>ПФ — погашение</x:v>
      </x:c>
      <x:c r="B13" s="107" t="n">
        <x:f>SUM(D13:GA13)</x:f>
      </x:c>
      <x:c r="C13" t="str">
        <x:v>млн ₽</x:v>
      </x:c>
      <x:c r="D13" s="117" t="n">
        <x:f>SUM('CF_1'!D46,'CF_2'!D46,'CF_3'!D46,'CF_4'!D46)</x:f>
      </x:c>
      <x:c r="E13" s="117" t="n">
        <x:f>SUM('CF_1'!E46,'CF_2'!E46,'CF_3'!E46,'CF_4'!E46)</x:f>
      </x:c>
      <x:c r="F13" s="117" t="n">
        <x:f>SUM('CF_1'!F46,'CF_2'!F46,'CF_3'!F46,'CF_4'!F46)</x:f>
      </x:c>
      <x:c r="G13" s="117" t="n">
        <x:f>SUM('CF_1'!G46,'CF_2'!G46,'CF_3'!G46,'CF_4'!G46)</x:f>
      </x:c>
      <x:c r="H13" s="117" t="n">
        <x:f>SUM('CF_1'!H46,'CF_2'!H46,'CF_3'!H46,'CF_4'!H46)</x:f>
      </x:c>
      <x:c r="I13" s="117" t="n">
        <x:f>SUM('CF_1'!I46,'CF_2'!I46,'CF_3'!I46,'CF_4'!I46)</x:f>
      </x:c>
      <x:c r="J13" s="117" t="n">
        <x:f>SUM('CF_1'!J46,'CF_2'!J46,'CF_3'!J46,'CF_4'!J46)</x:f>
      </x:c>
      <x:c r="K13" s="117" t="n">
        <x:f>SUM('CF_1'!K46,'CF_2'!K46,'CF_3'!K46,'CF_4'!K46)</x:f>
      </x:c>
      <x:c r="L13" s="117" t="n">
        <x:f>SUM('CF_1'!L46,'CF_2'!L46,'CF_3'!L46,'CF_4'!L46)</x:f>
      </x:c>
      <x:c r="M13" s="117" t="n">
        <x:f>SUM('CF_1'!M46,'CF_2'!M46,'CF_3'!M46,'CF_4'!M46)</x:f>
      </x:c>
      <x:c r="N13" s="117" t="n">
        <x:f>SUM('CF_1'!N46,'CF_2'!N46,'CF_3'!N46,'CF_4'!N46)</x:f>
      </x:c>
      <x:c r="O13" s="117" t="n">
        <x:f>SUM('CF_1'!O46,'CF_2'!O46,'CF_3'!O46,'CF_4'!O46)</x:f>
      </x:c>
      <x:c r="P13" s="117" t="n">
        <x:f>SUM('CF_1'!P46,'CF_2'!P46,'CF_3'!P46,'CF_4'!P46)</x:f>
      </x:c>
      <x:c r="Q13" s="117" t="n">
        <x:f>SUM('CF_1'!Q46,'CF_2'!Q46,'CF_3'!Q46,'CF_4'!Q46)</x:f>
      </x:c>
      <x:c r="R13" s="117" t="n">
        <x:f>SUM('CF_1'!R46,'CF_2'!R46,'CF_3'!R46,'CF_4'!R46)</x:f>
      </x:c>
      <x:c r="S13" s="117" t="n">
        <x:f>SUM('CF_1'!S46,'CF_2'!S46,'CF_3'!S46,'CF_4'!S46)</x:f>
      </x:c>
      <x:c r="T13" s="117" t="n">
        <x:f>SUM('CF_1'!T46,'CF_2'!T46,'CF_3'!T46,'CF_4'!T46)</x:f>
      </x:c>
      <x:c r="U13" s="117" t="n">
        <x:f>SUM('CF_1'!U46,'CF_2'!U46,'CF_3'!U46,'CF_4'!U46)</x:f>
      </x:c>
      <x:c r="V13" s="117" t="n">
        <x:f>SUM('CF_1'!V46,'CF_2'!V46,'CF_3'!V46,'CF_4'!V46)</x:f>
      </x:c>
      <x:c r="W13" s="117" t="n">
        <x:f>SUM('CF_1'!W46,'CF_2'!W46,'CF_3'!W46,'CF_4'!W46)</x:f>
      </x:c>
      <x:c r="X13" s="117" t="n">
        <x:f>SUM('CF_1'!X46,'CF_2'!X46,'CF_3'!X46,'CF_4'!X46)</x:f>
      </x:c>
      <x:c r="Y13" s="117" t="n">
        <x:f>SUM('CF_1'!Y46,'CF_2'!Y46,'CF_3'!Y46,'CF_4'!Y46)</x:f>
      </x:c>
      <x:c r="Z13" s="117" t="n">
        <x:f>SUM('CF_1'!Z46,'CF_2'!Z46,'CF_3'!Z46,'CF_4'!Z46)</x:f>
      </x:c>
      <x:c r="AA13" s="117" t="n">
        <x:f>SUM('CF_1'!AA46,'CF_2'!AA46,'CF_3'!AA46,'CF_4'!AA46)</x:f>
      </x:c>
      <x:c r="AB13" s="117" t="n">
        <x:f>SUM('CF_1'!AB46,'CF_2'!AB46,'CF_3'!AB46,'CF_4'!AB46)</x:f>
      </x:c>
      <x:c r="AC13" s="117" t="n">
        <x:f>SUM('CF_1'!AC46,'CF_2'!AC46,'CF_3'!AC46,'CF_4'!AC46)</x:f>
      </x:c>
      <x:c r="AD13" s="117" t="n">
        <x:f>SUM('CF_1'!AD46,'CF_2'!AD46,'CF_3'!AD46,'CF_4'!AD46)</x:f>
      </x:c>
      <x:c r="AE13" s="117" t="n">
        <x:f>SUM('CF_1'!AE46,'CF_2'!AE46,'CF_3'!AE46,'CF_4'!AE46)</x:f>
      </x:c>
      <x:c r="AF13" s="117" t="n">
        <x:f>SUM('CF_1'!AF46,'CF_2'!AF46,'CF_3'!AF46,'CF_4'!AF46)</x:f>
      </x:c>
      <x:c r="AG13" s="117" t="n">
        <x:f>SUM('CF_1'!AG46,'CF_2'!AG46,'CF_3'!AG46,'CF_4'!AG46)</x:f>
      </x:c>
      <x:c r="AH13" s="117" t="n">
        <x:f>SUM('CF_1'!AH46,'CF_2'!AH46,'CF_3'!AH46,'CF_4'!AH46)</x:f>
      </x:c>
      <x:c r="AI13" s="117" t="n">
        <x:f>SUM('CF_1'!AI46,'CF_2'!AI46,'CF_3'!AI46,'CF_4'!AI46)</x:f>
      </x:c>
      <x:c r="AJ13" s="117" t="n">
        <x:f>SUM('CF_1'!AJ46,'CF_2'!AJ46,'CF_3'!AJ46,'CF_4'!AJ46)</x:f>
      </x:c>
      <x:c r="AK13" s="117" t="n">
        <x:f>SUM('CF_1'!AK46,'CF_2'!AK46,'CF_3'!AK46,'CF_4'!AK46)</x:f>
      </x:c>
      <x:c r="AL13" s="117" t="n">
        <x:f>SUM('CF_1'!AL46,'CF_2'!AL46,'CF_3'!AL46,'CF_4'!AL46)</x:f>
      </x:c>
      <x:c r="AM13" s="117" t="n">
        <x:f>SUM('CF_1'!AM46,'CF_2'!AM46,'CF_3'!AM46,'CF_4'!AM46)</x:f>
      </x:c>
      <x:c r="AN13" s="117" t="n">
        <x:f>SUM('CF_1'!AN46,'CF_2'!AN46,'CF_3'!AN46,'CF_4'!AN46)</x:f>
      </x:c>
      <x:c r="AO13" s="117" t="n">
        <x:f>SUM('CF_1'!AO46,'CF_2'!AO46,'CF_3'!AO46,'CF_4'!AO46)</x:f>
      </x:c>
      <x:c r="AP13" s="117" t="n">
        <x:f>SUM('CF_1'!AP46,'CF_2'!AP46,'CF_3'!AP46,'CF_4'!AP46)</x:f>
      </x:c>
      <x:c r="AQ13" s="117" t="n">
        <x:f>SUM('CF_1'!AQ46,'CF_2'!AQ46,'CF_3'!AQ46,'CF_4'!AQ46)</x:f>
      </x:c>
      <x:c r="AR13" s="117" t="n">
        <x:f>SUM('CF_1'!AR46,'CF_2'!AR46,'CF_3'!AR46,'CF_4'!AR46)</x:f>
      </x:c>
      <x:c r="AS13" s="117" t="n">
        <x:f>SUM('CF_1'!AS46,'CF_2'!AS46,'CF_3'!AS46,'CF_4'!AS46)</x:f>
      </x:c>
      <x:c r="AT13" s="117" t="n">
        <x:f>SUM('CF_1'!AT46,'CF_2'!AT46,'CF_3'!AT46,'CF_4'!AT46)</x:f>
      </x:c>
      <x:c r="AU13" s="117" t="n">
        <x:f>SUM('CF_1'!AU46,'CF_2'!AU46,'CF_3'!AU46,'CF_4'!AU46)</x:f>
      </x:c>
      <x:c r="AV13" s="117" t="n">
        <x:f>SUM('CF_1'!AV46,'CF_2'!AV46,'CF_3'!AV46,'CF_4'!AV46)</x:f>
      </x:c>
      <x:c r="AW13" s="117" t="n">
        <x:f>SUM('CF_1'!AW46,'CF_2'!AW46,'CF_3'!AW46,'CF_4'!AW46)</x:f>
      </x:c>
      <x:c r="AX13" s="117" t="n">
        <x:f>SUM('CF_1'!AX46,'CF_2'!AX46,'CF_3'!AX46,'CF_4'!AX46)</x:f>
      </x:c>
      <x:c r="AY13" s="117" t="n">
        <x:f>SUM('CF_1'!AY46,'CF_2'!AY46,'CF_3'!AY46,'CF_4'!AY46)</x:f>
      </x:c>
      <x:c r="AZ13" s="117" t="n">
        <x:f>SUM('CF_1'!AZ46,'CF_2'!AZ46,'CF_3'!AZ46,'CF_4'!AZ46)</x:f>
      </x:c>
      <x:c r="BA13" s="117" t="n">
        <x:f>SUM('CF_1'!BA46,'CF_2'!BA46,'CF_3'!BA46,'CF_4'!BA46)</x:f>
      </x:c>
      <x:c r="BB13" s="117" t="n">
        <x:f>SUM('CF_1'!BB46,'CF_2'!BB46,'CF_3'!BB46,'CF_4'!BB46)</x:f>
      </x:c>
      <x:c r="BC13" s="117" t="n">
        <x:f>SUM('CF_1'!BC46,'CF_2'!BC46,'CF_3'!BC46,'CF_4'!BC46)</x:f>
      </x:c>
      <x:c r="BD13" s="117" t="n">
        <x:f>SUM('CF_1'!BD46,'CF_2'!BD46,'CF_3'!BD46,'CF_4'!BD46)</x:f>
      </x:c>
      <x:c r="BE13" s="117" t="n">
        <x:f>SUM('CF_1'!BE46,'CF_2'!BE46,'CF_3'!BE46,'CF_4'!BE46)</x:f>
      </x:c>
      <x:c r="BF13" s="117" t="n">
        <x:f>SUM('CF_1'!BF46,'CF_2'!BF46,'CF_3'!BF46,'CF_4'!BF46)</x:f>
      </x:c>
      <x:c r="BG13" s="117" t="n">
        <x:f>SUM('CF_1'!BG46,'CF_2'!BG46,'CF_3'!BG46,'CF_4'!BG46)</x:f>
      </x:c>
      <x:c r="BH13" s="117" t="n">
        <x:f>SUM('CF_1'!BH46,'CF_2'!BH46,'CF_3'!BH46,'CF_4'!BH46)</x:f>
      </x:c>
      <x:c r="BI13" s="117" t="n">
        <x:f>SUM('CF_1'!BI46,'CF_2'!BI46,'CF_3'!BI46,'CF_4'!BI46)</x:f>
      </x:c>
      <x:c r="BJ13" s="117" t="n">
        <x:f>SUM('CF_1'!BJ46,'CF_2'!BJ46,'CF_3'!BJ46,'CF_4'!BJ46)</x:f>
      </x:c>
      <x:c r="BK13" s="117" t="n">
        <x:f>SUM('CF_1'!BK46,'CF_2'!BK46,'CF_3'!BK46,'CF_4'!BK46)</x:f>
      </x:c>
      <x:c r="BL13" s="117" t="n">
        <x:f>SUM('CF_1'!BL46,'CF_2'!BL46,'CF_3'!BL46,'CF_4'!BL46)</x:f>
      </x:c>
      <x:c r="BM13" s="117" t="n">
        <x:f>SUM('CF_1'!BM46,'CF_2'!BM46,'CF_3'!BM46,'CF_4'!BM46)</x:f>
      </x:c>
      <x:c r="BN13" s="117" t="n">
        <x:f>SUM('CF_1'!BN46,'CF_2'!BN46,'CF_3'!BN46,'CF_4'!BN46)</x:f>
      </x:c>
      <x:c r="BO13" s="117" t="n">
        <x:f>SUM('CF_1'!BO46,'CF_2'!BO46,'CF_3'!BO46,'CF_4'!BO46)</x:f>
      </x:c>
      <x:c r="BP13" s="117" t="n">
        <x:f>SUM('CF_1'!BP46,'CF_2'!BP46,'CF_3'!BP46,'CF_4'!BP46)</x:f>
      </x:c>
      <x:c r="BQ13" s="117" t="n">
        <x:f>SUM('CF_1'!BQ46,'CF_2'!BQ46,'CF_3'!BQ46,'CF_4'!BQ46)</x:f>
      </x:c>
      <x:c r="BR13" s="117" t="n">
        <x:f>SUM('CF_1'!BR46,'CF_2'!BR46,'CF_3'!BR46,'CF_4'!BR46)</x:f>
      </x:c>
      <x:c r="BS13" s="117" t="n">
        <x:f>SUM('CF_1'!BS46,'CF_2'!BS46,'CF_3'!BS46,'CF_4'!BS46)</x:f>
      </x:c>
      <x:c r="BT13" s="117" t="n">
        <x:f>SUM('CF_1'!BT46,'CF_2'!BT46,'CF_3'!BT46,'CF_4'!BT46)</x:f>
      </x:c>
      <x:c r="BU13" s="117" t="n">
        <x:f>SUM('CF_1'!BU46,'CF_2'!BU46,'CF_3'!BU46,'CF_4'!BU46)</x:f>
      </x:c>
      <x:c r="BV13" s="117" t="n">
        <x:f>SUM('CF_1'!BV46,'CF_2'!BV46,'CF_3'!BV46,'CF_4'!BV46)</x:f>
      </x:c>
      <x:c r="BW13" s="117" t="n">
        <x:f>SUM('CF_1'!BW46,'CF_2'!BW46,'CF_3'!BW46,'CF_4'!BW46)</x:f>
      </x:c>
      <x:c r="BX13" s="117" t="n">
        <x:f>SUM('CF_1'!BX46,'CF_2'!BX46,'CF_3'!BX46,'CF_4'!BX46)</x:f>
      </x:c>
      <x:c r="BY13" s="117" t="n">
        <x:f>SUM('CF_1'!BY46,'CF_2'!BY46,'CF_3'!BY46,'CF_4'!BY46)</x:f>
      </x:c>
      <x:c r="BZ13" s="117" t="n">
        <x:f>SUM('CF_1'!BZ46,'CF_2'!BZ46,'CF_3'!BZ46,'CF_4'!BZ46)</x:f>
      </x:c>
      <x:c r="CA13" s="117" t="n">
        <x:f>SUM('CF_1'!CA46,'CF_2'!CA46,'CF_3'!CA46,'CF_4'!CA46)</x:f>
      </x:c>
      <x:c r="CB13" s="117" t="n">
        <x:f>SUM('CF_1'!CB46,'CF_2'!CB46,'CF_3'!CB46,'CF_4'!CB46)</x:f>
      </x:c>
      <x:c r="CC13" s="117" t="n">
        <x:f>SUM('CF_1'!CC46,'CF_2'!CC46,'CF_3'!CC46,'CF_4'!CC46)</x:f>
      </x:c>
      <x:c r="CD13" s="117" t="n">
        <x:f>SUM('CF_1'!CD46,'CF_2'!CD46,'CF_3'!CD46,'CF_4'!CD46)</x:f>
      </x:c>
      <x:c r="CE13" s="117" t="n">
        <x:f>SUM('CF_1'!CE46,'CF_2'!CE46,'CF_3'!CE46,'CF_4'!CE46)</x:f>
      </x:c>
      <x:c r="CF13" s="117" t="n">
        <x:f>SUM('CF_1'!CF46,'CF_2'!CF46,'CF_3'!CF46,'CF_4'!CF46)</x:f>
      </x:c>
      <x:c r="CG13" s="117" t="n">
        <x:f>SUM('CF_1'!CG46,'CF_2'!CG46,'CF_3'!CG46,'CF_4'!CG46)</x:f>
      </x:c>
      <x:c r="CH13" s="117" t="n">
        <x:f>SUM('CF_1'!CH46,'CF_2'!CH46,'CF_3'!CH46,'CF_4'!CH46)</x:f>
      </x:c>
      <x:c r="CI13" s="117" t="n">
        <x:f>SUM('CF_1'!CI46,'CF_2'!CI46,'CF_3'!CI46,'CF_4'!CI46)</x:f>
      </x:c>
      <x:c r="CJ13" s="117" t="n">
        <x:f>SUM('CF_1'!CJ46,'CF_2'!CJ46,'CF_3'!CJ46,'CF_4'!CJ46)</x:f>
      </x:c>
      <x:c r="CK13" s="117" t="n">
        <x:f>SUM('CF_1'!CK46,'CF_2'!CK46,'CF_3'!CK46,'CF_4'!CK46)</x:f>
      </x:c>
      <x:c r="CL13" s="117" t="n">
        <x:f>SUM('CF_1'!CL46,'CF_2'!CL46,'CF_3'!CL46,'CF_4'!CL46)</x:f>
      </x:c>
      <x:c r="CM13" s="117" t="n">
        <x:f>SUM('CF_1'!CM46,'CF_2'!CM46,'CF_3'!CM46,'CF_4'!CM46)</x:f>
      </x:c>
      <x:c r="CN13" s="117" t="n">
        <x:f>SUM('CF_1'!CN46,'CF_2'!CN46,'CF_3'!CN46,'CF_4'!CN46)</x:f>
      </x:c>
      <x:c r="CO13" s="117" t="n">
        <x:f>SUM('CF_1'!CO46,'CF_2'!CO46,'CF_3'!CO46,'CF_4'!CO46)</x:f>
      </x:c>
      <x:c r="CP13" s="117" t="n">
        <x:f>SUM('CF_1'!CP46,'CF_2'!CP46,'CF_3'!CP46,'CF_4'!CP46)</x:f>
      </x:c>
      <x:c r="CQ13" s="117" t="n">
        <x:f>SUM('CF_1'!CQ46,'CF_2'!CQ46,'CF_3'!CQ46,'CF_4'!CQ46)</x:f>
      </x:c>
      <x:c r="CR13" s="117" t="n">
        <x:f>SUM('CF_1'!CR46,'CF_2'!CR46,'CF_3'!CR46,'CF_4'!CR46)</x:f>
      </x:c>
      <x:c r="CS13" s="117" t="n">
        <x:f>SUM('CF_1'!CS46,'CF_2'!CS46,'CF_3'!CS46,'CF_4'!CS46)</x:f>
      </x:c>
      <x:c r="CT13" s="117" t="n">
        <x:f>SUM('CF_1'!CT46,'CF_2'!CT46,'CF_3'!CT46,'CF_4'!CT46)</x:f>
      </x:c>
      <x:c r="CU13" s="117" t="n">
        <x:f>SUM('CF_1'!CU46,'CF_2'!CU46,'CF_3'!CU46,'CF_4'!CU46)</x:f>
      </x:c>
      <x:c r="CV13" s="117" t="n">
        <x:f>SUM('CF_1'!CV46,'CF_2'!CV46,'CF_3'!CV46,'CF_4'!CV46)</x:f>
      </x:c>
      <x:c r="CW13" s="117" t="n">
        <x:f>SUM('CF_1'!CW46,'CF_2'!CW46,'CF_3'!CW46,'CF_4'!CW46)</x:f>
      </x:c>
      <x:c r="CX13" s="117" t="n">
        <x:f>SUM('CF_1'!CX46,'CF_2'!CX46,'CF_3'!CX46,'CF_4'!CX46)</x:f>
      </x:c>
      <x:c r="CY13" s="117" t="n">
        <x:f>SUM('CF_1'!CY46,'CF_2'!CY46,'CF_3'!CY46,'CF_4'!CY46)</x:f>
      </x:c>
      <x:c r="CZ13" s="117" t="n">
        <x:f>SUM('CF_1'!CZ46,'CF_2'!CZ46,'CF_3'!CZ46,'CF_4'!CZ46)</x:f>
      </x:c>
      <x:c r="DA13" s="117" t="n">
        <x:f>SUM('CF_1'!DA46,'CF_2'!DA46,'CF_3'!DA46,'CF_4'!DA46)</x:f>
      </x:c>
      <x:c r="DB13" s="117" t="n">
        <x:f>SUM('CF_1'!DB46,'CF_2'!DB46,'CF_3'!DB46,'CF_4'!DB46)</x:f>
      </x:c>
      <x:c r="DC13" s="117" t="n">
        <x:f>SUM('CF_1'!DC46,'CF_2'!DC46,'CF_3'!DC46,'CF_4'!DC46)</x:f>
      </x:c>
      <x:c r="DD13" s="117" t="n">
        <x:f>SUM('CF_1'!DD46,'CF_2'!DD46,'CF_3'!DD46,'CF_4'!DD46)</x:f>
      </x:c>
      <x:c r="DE13" s="117" t="n">
        <x:f>SUM('CF_1'!DE46,'CF_2'!DE46,'CF_3'!DE46,'CF_4'!DE46)</x:f>
      </x:c>
      <x:c r="DF13" s="117" t="n">
        <x:f>SUM('CF_1'!DF46,'CF_2'!DF46,'CF_3'!DF46,'CF_4'!DF46)</x:f>
      </x:c>
      <x:c r="DG13" s="117" t="n">
        <x:f>SUM('CF_1'!DG46,'CF_2'!DG46,'CF_3'!DG46,'CF_4'!DG46)</x:f>
      </x:c>
      <x:c r="DH13" s="117" t="n">
        <x:f>SUM('CF_1'!DH46,'CF_2'!DH46,'CF_3'!DH46,'CF_4'!DH46)</x:f>
      </x:c>
      <x:c r="DI13" s="117" t="n">
        <x:f>SUM('CF_1'!DI46,'CF_2'!DI46,'CF_3'!DI46,'CF_4'!DI46)</x:f>
      </x:c>
      <x:c r="DJ13" s="117" t="n">
        <x:f>SUM('CF_1'!DJ46,'CF_2'!DJ46,'CF_3'!DJ46,'CF_4'!DJ46)</x:f>
      </x:c>
      <x:c r="DK13" s="117" t="n">
        <x:f>SUM('CF_1'!DK46,'CF_2'!DK46,'CF_3'!DK46,'CF_4'!DK46)</x:f>
      </x:c>
      <x:c r="DL13" s="117" t="n">
        <x:f>SUM('CF_1'!DL46,'CF_2'!DL46,'CF_3'!DL46,'CF_4'!DL46)</x:f>
      </x:c>
      <x:c r="DM13" s="117" t="n">
        <x:f>SUM('CF_1'!DM46,'CF_2'!DM46,'CF_3'!DM46,'CF_4'!DM46)</x:f>
      </x:c>
      <x:c r="DN13" s="117" t="n">
        <x:f>SUM('CF_1'!DN46,'CF_2'!DN46,'CF_3'!DN46,'CF_4'!DN46)</x:f>
      </x:c>
      <x:c r="DO13" s="117" t="n">
        <x:f>SUM('CF_1'!DO46,'CF_2'!DO46,'CF_3'!DO46,'CF_4'!DO46)</x:f>
      </x:c>
      <x:c r="DP13" s="117" t="n">
        <x:f>SUM('CF_1'!DP46,'CF_2'!DP46,'CF_3'!DP46,'CF_4'!DP46)</x:f>
      </x:c>
      <x:c r="DQ13" s="117" t="n">
        <x:f>SUM('CF_1'!DQ46,'CF_2'!DQ46,'CF_3'!DQ46,'CF_4'!DQ46)</x:f>
      </x:c>
      <x:c r="DR13" s="117" t="n">
        <x:f>SUM('CF_1'!DR46,'CF_2'!DR46,'CF_3'!DR46,'CF_4'!DR46)</x:f>
      </x:c>
      <x:c r="DS13" s="117" t="n">
        <x:f>SUM('CF_1'!DS46,'CF_2'!DS46,'CF_3'!DS46,'CF_4'!DS46)</x:f>
      </x:c>
      <x:c r="DT13" s="117" t="n">
        <x:f>SUM('CF_1'!DT46,'CF_2'!DT46,'CF_3'!DT46,'CF_4'!DT46)</x:f>
      </x:c>
      <x:c r="DU13" s="117" t="n">
        <x:f>SUM('CF_1'!DU46,'CF_2'!DU46,'CF_3'!DU46,'CF_4'!DU46)</x:f>
      </x:c>
      <x:c r="DV13" s="117" t="n">
        <x:f>SUM('CF_1'!DV46,'CF_2'!DV46,'CF_3'!DV46,'CF_4'!DV46)</x:f>
      </x:c>
      <x:c r="DW13" s="117" t="n">
        <x:f>SUM('CF_1'!DW46,'CF_2'!DW46,'CF_3'!DW46,'CF_4'!DW46)</x:f>
      </x:c>
      <x:c r="DX13" s="117" t="n">
        <x:f>SUM('CF_1'!DX46,'CF_2'!DX46,'CF_3'!DX46,'CF_4'!DX46)</x:f>
      </x:c>
      <x:c r="DY13" s="117" t="n">
        <x:f>SUM('CF_1'!DY46,'CF_2'!DY46,'CF_3'!DY46,'CF_4'!DY46)</x:f>
      </x:c>
      <x:c r="DZ13" s="117" t="n">
        <x:f>SUM('CF_1'!DZ46,'CF_2'!DZ46,'CF_3'!DZ46,'CF_4'!DZ46)</x:f>
      </x:c>
      <x:c r="EA13" s="117" t="n">
        <x:f>SUM('CF_1'!EA46,'CF_2'!EA46,'CF_3'!EA46,'CF_4'!EA46)</x:f>
      </x:c>
      <x:c r="EB13" s="117" t="n">
        <x:f>SUM('CF_1'!EB46,'CF_2'!EB46,'CF_3'!EB46,'CF_4'!EB46)</x:f>
      </x:c>
      <x:c r="EC13" s="117" t="n">
        <x:f>SUM('CF_1'!EC46,'CF_2'!EC46,'CF_3'!EC46,'CF_4'!EC46)</x:f>
      </x:c>
      <x:c r="ED13" s="117" t="n">
        <x:f>SUM('CF_1'!ED46,'CF_2'!ED46,'CF_3'!ED46,'CF_4'!ED46)</x:f>
      </x:c>
      <x:c r="EE13" s="117" t="n">
        <x:f>SUM('CF_1'!EE46,'CF_2'!EE46,'CF_3'!EE46,'CF_4'!EE46)</x:f>
      </x:c>
      <x:c r="EF13" s="117" t="n">
        <x:f>SUM('CF_1'!EF46,'CF_2'!EF46,'CF_3'!EF46,'CF_4'!EF46)</x:f>
      </x:c>
      <x:c r="EG13" s="117" t="n">
        <x:f>SUM('CF_1'!EG46,'CF_2'!EG46,'CF_3'!EG46,'CF_4'!EG46)</x:f>
      </x:c>
      <x:c r="EH13" s="117" t="n">
        <x:f>SUM('CF_1'!EH46,'CF_2'!EH46,'CF_3'!EH46,'CF_4'!EH46)</x:f>
      </x:c>
      <x:c r="EI13" s="117" t="n">
        <x:f>SUM('CF_1'!EI46,'CF_2'!EI46,'CF_3'!EI46,'CF_4'!EI46)</x:f>
      </x:c>
      <x:c r="EJ13" s="117" t="n">
        <x:f>SUM('CF_1'!EJ46,'CF_2'!EJ46,'CF_3'!EJ46,'CF_4'!EJ46)</x:f>
      </x:c>
      <x:c r="EK13" s="117" t="n">
        <x:f>SUM('CF_1'!EK46,'CF_2'!EK46,'CF_3'!EK46,'CF_4'!EK46)</x:f>
      </x:c>
      <x:c r="EL13" s="117" t="n">
        <x:f>SUM('CF_1'!EL46,'CF_2'!EL46,'CF_3'!EL46,'CF_4'!EL46)</x:f>
      </x:c>
      <x:c r="EM13" s="117" t="n">
        <x:f>SUM('CF_1'!EM46,'CF_2'!EM46,'CF_3'!EM46,'CF_4'!EM46)</x:f>
      </x:c>
      <x:c r="EN13" s="117" t="n">
        <x:f>SUM('CF_1'!EN46,'CF_2'!EN46,'CF_3'!EN46,'CF_4'!EN46)</x:f>
      </x:c>
      <x:c r="EO13" s="117" t="n">
        <x:f>SUM('CF_1'!EO46,'CF_2'!EO46,'CF_3'!EO46,'CF_4'!EO46)</x:f>
      </x:c>
      <x:c r="EP13" s="117" t="n">
        <x:f>SUM('CF_1'!EP46,'CF_2'!EP46,'CF_3'!EP46,'CF_4'!EP46)</x:f>
      </x:c>
      <x:c r="EQ13" s="117" t="n">
        <x:f>SUM('CF_1'!EQ46,'CF_2'!EQ46,'CF_3'!EQ46,'CF_4'!EQ46)</x:f>
      </x:c>
      <x:c r="ER13" s="117" t="n">
        <x:f>SUM('CF_1'!ER46,'CF_2'!ER46,'CF_3'!ER46,'CF_4'!ER46)</x:f>
      </x:c>
      <x:c r="ES13" s="117" t="n">
        <x:f>SUM('CF_1'!ES46,'CF_2'!ES46,'CF_3'!ES46,'CF_4'!ES46)</x:f>
      </x:c>
      <x:c r="ET13" s="117" t="n">
        <x:f>SUM('CF_1'!ET46,'CF_2'!ET46,'CF_3'!ET46,'CF_4'!ET46)</x:f>
      </x:c>
      <x:c r="EU13" s="117" t="n">
        <x:f>SUM('CF_1'!EU46,'CF_2'!EU46,'CF_3'!EU46,'CF_4'!EU46)</x:f>
      </x:c>
      <x:c r="EV13" s="117" t="n">
        <x:f>SUM('CF_1'!EV46,'CF_2'!EV46,'CF_3'!EV46,'CF_4'!EV46)</x:f>
      </x:c>
      <x:c r="EW13" s="117" t="n">
        <x:f>SUM('CF_1'!EW46,'CF_2'!EW46,'CF_3'!EW46,'CF_4'!EW46)</x:f>
      </x:c>
      <x:c r="EX13" s="117" t="n">
        <x:f>SUM('CF_1'!EX46,'CF_2'!EX46,'CF_3'!EX46,'CF_4'!EX46)</x:f>
      </x:c>
      <x:c r="EY13" s="117" t="n">
        <x:f>SUM('CF_1'!EY46,'CF_2'!EY46,'CF_3'!EY46,'CF_4'!EY46)</x:f>
      </x:c>
      <x:c r="EZ13" s="117" t="n">
        <x:f>SUM('CF_1'!EZ46,'CF_2'!EZ46,'CF_3'!EZ46,'CF_4'!EZ46)</x:f>
      </x:c>
      <x:c r="FA13" s="117" t="n">
        <x:f>SUM('CF_1'!FA46,'CF_2'!FA46,'CF_3'!FA46,'CF_4'!FA46)</x:f>
      </x:c>
      <x:c r="FB13" s="117" t="n">
        <x:f>SUM('CF_1'!FB46,'CF_2'!FB46,'CF_3'!FB46,'CF_4'!FB46)</x:f>
      </x:c>
      <x:c r="FC13" s="117" t="n">
        <x:f>SUM('CF_1'!FC46,'CF_2'!FC46,'CF_3'!FC46,'CF_4'!FC46)</x:f>
      </x:c>
      <x:c r="FD13" s="117" t="n">
        <x:f>SUM('CF_1'!FD46,'CF_2'!FD46,'CF_3'!FD46,'CF_4'!FD46)</x:f>
      </x:c>
      <x:c r="FE13" s="117" t="n">
        <x:f>SUM('CF_1'!FE46,'CF_2'!FE46,'CF_3'!FE46,'CF_4'!FE46)</x:f>
      </x:c>
      <x:c r="FF13" s="117" t="n">
        <x:f>SUM('CF_1'!FF46,'CF_2'!FF46,'CF_3'!FF46,'CF_4'!FF46)</x:f>
      </x:c>
      <x:c r="FG13" s="117" t="n">
        <x:f>SUM('CF_1'!FG46,'CF_2'!FG46,'CF_3'!FG46,'CF_4'!FG46)</x:f>
      </x:c>
      <x:c r="FH13" s="117" t="n">
        <x:f>SUM('CF_1'!FH46,'CF_2'!FH46,'CF_3'!FH46,'CF_4'!FH46)</x:f>
      </x:c>
      <x:c r="FI13" s="117" t="n">
        <x:f>SUM('CF_1'!FI46,'CF_2'!FI46,'CF_3'!FI46,'CF_4'!FI46)</x:f>
      </x:c>
      <x:c r="FJ13" s="117" t="n">
        <x:f>SUM('CF_1'!FJ46,'CF_2'!FJ46,'CF_3'!FJ46,'CF_4'!FJ46)</x:f>
      </x:c>
      <x:c r="FK13" s="117" t="n">
        <x:f>SUM('CF_1'!FK46,'CF_2'!FK46,'CF_3'!FK46,'CF_4'!FK46)</x:f>
      </x:c>
      <x:c r="FL13" s="117" t="n">
        <x:f>SUM('CF_1'!FL46,'CF_2'!FL46,'CF_3'!FL46,'CF_4'!FL46)</x:f>
      </x:c>
      <x:c r="FM13" s="117" t="n">
        <x:f>SUM('CF_1'!FM46,'CF_2'!FM46,'CF_3'!FM46,'CF_4'!FM46)</x:f>
      </x:c>
      <x:c r="FN13" s="117" t="n">
        <x:f>SUM('CF_1'!FN46,'CF_2'!FN46,'CF_3'!FN46,'CF_4'!FN46)</x:f>
      </x:c>
      <x:c r="FO13" s="117" t="n">
        <x:f>SUM('CF_1'!FO46,'CF_2'!FO46,'CF_3'!FO46,'CF_4'!FO46)</x:f>
      </x:c>
      <x:c r="FP13" s="117" t="n">
        <x:f>SUM('CF_1'!FP46,'CF_2'!FP46,'CF_3'!FP46,'CF_4'!FP46)</x:f>
      </x:c>
      <x:c r="FQ13" s="117" t="n">
        <x:f>SUM('CF_1'!FQ46,'CF_2'!FQ46,'CF_3'!FQ46,'CF_4'!FQ46)</x:f>
      </x:c>
      <x:c r="FR13" s="117" t="n">
        <x:f>SUM('CF_1'!FR46,'CF_2'!FR46,'CF_3'!FR46,'CF_4'!FR46)</x:f>
      </x:c>
      <x:c r="FS13" s="117" t="n">
        <x:f>SUM('CF_1'!FS46,'CF_2'!FS46,'CF_3'!FS46,'CF_4'!FS46)</x:f>
      </x:c>
      <x:c r="FT13" s="117" t="n">
        <x:f>SUM('CF_1'!FT46,'CF_2'!FT46,'CF_3'!FT46,'CF_4'!FT46)</x:f>
      </x:c>
      <x:c r="FU13" s="117" t="n">
        <x:f>SUM('CF_1'!FU46,'CF_2'!FU46,'CF_3'!FU46,'CF_4'!FU46)</x:f>
      </x:c>
      <x:c r="FV13" s="117" t="n">
        <x:f>SUM('CF_1'!FV46,'CF_2'!FV46,'CF_3'!FV46,'CF_4'!FV46)</x:f>
      </x:c>
      <x:c r="FW13" s="117" t="n">
        <x:f>SUM('CF_1'!FW46,'CF_2'!FW46,'CF_3'!FW46,'CF_4'!FW46)</x:f>
      </x:c>
      <x:c r="FX13" s="117" t="n">
        <x:f>SUM('CF_1'!FX46,'CF_2'!FX46,'CF_3'!FX46,'CF_4'!FX46)</x:f>
      </x:c>
      <x:c r="FY13" s="117" t="n">
        <x:f>SUM('CF_1'!FY46,'CF_2'!FY46,'CF_3'!FY46,'CF_4'!FY46)</x:f>
      </x:c>
      <x:c r="FZ13" s="117" t="n">
        <x:f>SUM('CF_1'!FZ46,'CF_2'!FZ46,'CF_3'!FZ46,'CF_4'!FZ46)</x:f>
      </x:c>
      <x:c r="GA13" s="117" t="n">
        <x:f>SUM('CF_1'!GA46,'CF_2'!GA46,'CF_3'!GA46,'CF_4'!GA46)</x:f>
      </x:c>
    </x:row>
    <x:row r="14">
      <x:c r="A14" t="str">
        <x:v>ПФ — долг</x:v>
      </x:c>
      <x:c r="B14" s="107" t="n">
        <x:f>MAX(D14:GA14)</x:f>
      </x:c>
      <x:c r="C14" t="str">
        <x:v>млн ₽</x:v>
      </x:c>
      <x:c r="D14" s="117" t="n">
        <x:f>SUM('CF_1'!D47,'CF_2'!D47,'CF_3'!D47,'CF_4'!D47)</x:f>
      </x:c>
      <x:c r="E14" s="117" t="n">
        <x:f>SUM('CF_1'!E47,'CF_2'!E47,'CF_3'!E47,'CF_4'!E47)</x:f>
      </x:c>
      <x:c r="F14" s="117" t="n">
        <x:f>SUM('CF_1'!F47,'CF_2'!F47,'CF_3'!F47,'CF_4'!F47)</x:f>
      </x:c>
      <x:c r="G14" s="117" t="n">
        <x:f>SUM('CF_1'!G47,'CF_2'!G47,'CF_3'!G47,'CF_4'!G47)</x:f>
      </x:c>
      <x:c r="H14" s="117" t="n">
        <x:f>SUM('CF_1'!H47,'CF_2'!H47,'CF_3'!H47,'CF_4'!H47)</x:f>
      </x:c>
      <x:c r="I14" s="117" t="n">
        <x:f>SUM('CF_1'!I47,'CF_2'!I47,'CF_3'!I47,'CF_4'!I47)</x:f>
      </x:c>
      <x:c r="J14" s="117" t="n">
        <x:f>SUM('CF_1'!J47,'CF_2'!J47,'CF_3'!J47,'CF_4'!J47)</x:f>
      </x:c>
      <x:c r="K14" s="117" t="n">
        <x:f>SUM('CF_1'!K47,'CF_2'!K47,'CF_3'!K47,'CF_4'!K47)</x:f>
      </x:c>
      <x:c r="L14" s="117" t="n">
        <x:f>SUM('CF_1'!L47,'CF_2'!L47,'CF_3'!L47,'CF_4'!L47)</x:f>
      </x:c>
      <x:c r="M14" s="117" t="n">
        <x:f>SUM('CF_1'!M47,'CF_2'!M47,'CF_3'!M47,'CF_4'!M47)</x:f>
      </x:c>
      <x:c r="N14" s="117" t="n">
        <x:f>SUM('CF_1'!N47,'CF_2'!N47,'CF_3'!N47,'CF_4'!N47)</x:f>
      </x:c>
      <x:c r="O14" s="117" t="n">
        <x:f>SUM('CF_1'!O47,'CF_2'!O47,'CF_3'!O47,'CF_4'!O47)</x:f>
      </x:c>
      <x:c r="P14" s="117" t="n">
        <x:f>SUM('CF_1'!P47,'CF_2'!P47,'CF_3'!P47,'CF_4'!P47)</x:f>
      </x:c>
      <x:c r="Q14" s="117" t="n">
        <x:f>SUM('CF_1'!Q47,'CF_2'!Q47,'CF_3'!Q47,'CF_4'!Q47)</x:f>
      </x:c>
      <x:c r="R14" s="117" t="n">
        <x:f>SUM('CF_1'!R47,'CF_2'!R47,'CF_3'!R47,'CF_4'!R47)</x:f>
      </x:c>
      <x:c r="S14" s="117" t="n">
        <x:f>SUM('CF_1'!S47,'CF_2'!S47,'CF_3'!S47,'CF_4'!S47)</x:f>
      </x:c>
      <x:c r="T14" s="117" t="n">
        <x:f>SUM('CF_1'!T47,'CF_2'!T47,'CF_3'!T47,'CF_4'!T47)</x:f>
      </x:c>
      <x:c r="U14" s="117" t="n">
        <x:f>SUM('CF_1'!U47,'CF_2'!U47,'CF_3'!U47,'CF_4'!U47)</x:f>
      </x:c>
      <x:c r="V14" s="117" t="n">
        <x:f>SUM('CF_1'!V47,'CF_2'!V47,'CF_3'!V47,'CF_4'!V47)</x:f>
      </x:c>
      <x:c r="W14" s="117" t="n">
        <x:f>SUM('CF_1'!W47,'CF_2'!W47,'CF_3'!W47,'CF_4'!W47)</x:f>
      </x:c>
      <x:c r="X14" s="117" t="n">
        <x:f>SUM('CF_1'!X47,'CF_2'!X47,'CF_3'!X47,'CF_4'!X47)</x:f>
      </x:c>
      <x:c r="Y14" s="117" t="n">
        <x:f>SUM('CF_1'!Y47,'CF_2'!Y47,'CF_3'!Y47,'CF_4'!Y47)</x:f>
      </x:c>
      <x:c r="Z14" s="117" t="n">
        <x:f>SUM('CF_1'!Z47,'CF_2'!Z47,'CF_3'!Z47,'CF_4'!Z47)</x:f>
      </x:c>
      <x:c r="AA14" s="117" t="n">
        <x:f>SUM('CF_1'!AA47,'CF_2'!AA47,'CF_3'!AA47,'CF_4'!AA47)</x:f>
      </x:c>
      <x:c r="AB14" s="117" t="n">
        <x:f>SUM('CF_1'!AB47,'CF_2'!AB47,'CF_3'!AB47,'CF_4'!AB47)</x:f>
      </x:c>
      <x:c r="AC14" s="117" t="n">
        <x:f>SUM('CF_1'!AC47,'CF_2'!AC47,'CF_3'!AC47,'CF_4'!AC47)</x:f>
      </x:c>
      <x:c r="AD14" s="117" t="n">
        <x:f>SUM('CF_1'!AD47,'CF_2'!AD47,'CF_3'!AD47,'CF_4'!AD47)</x:f>
      </x:c>
      <x:c r="AE14" s="117" t="n">
        <x:f>SUM('CF_1'!AE47,'CF_2'!AE47,'CF_3'!AE47,'CF_4'!AE47)</x:f>
      </x:c>
      <x:c r="AF14" s="117" t="n">
        <x:f>SUM('CF_1'!AF47,'CF_2'!AF47,'CF_3'!AF47,'CF_4'!AF47)</x:f>
      </x:c>
      <x:c r="AG14" s="117" t="n">
        <x:f>SUM('CF_1'!AG47,'CF_2'!AG47,'CF_3'!AG47,'CF_4'!AG47)</x:f>
      </x:c>
      <x:c r="AH14" s="117" t="n">
        <x:f>SUM('CF_1'!AH47,'CF_2'!AH47,'CF_3'!AH47,'CF_4'!AH47)</x:f>
      </x:c>
      <x:c r="AI14" s="117" t="n">
        <x:f>SUM('CF_1'!AI47,'CF_2'!AI47,'CF_3'!AI47,'CF_4'!AI47)</x:f>
      </x:c>
      <x:c r="AJ14" s="117" t="n">
        <x:f>SUM('CF_1'!AJ47,'CF_2'!AJ47,'CF_3'!AJ47,'CF_4'!AJ47)</x:f>
      </x:c>
      <x:c r="AK14" s="117" t="n">
        <x:f>SUM('CF_1'!AK47,'CF_2'!AK47,'CF_3'!AK47,'CF_4'!AK47)</x:f>
      </x:c>
      <x:c r="AL14" s="117" t="n">
        <x:f>SUM('CF_1'!AL47,'CF_2'!AL47,'CF_3'!AL47,'CF_4'!AL47)</x:f>
      </x:c>
      <x:c r="AM14" s="117" t="n">
        <x:f>SUM('CF_1'!AM47,'CF_2'!AM47,'CF_3'!AM47,'CF_4'!AM47)</x:f>
      </x:c>
      <x:c r="AN14" s="117" t="n">
        <x:f>SUM('CF_1'!AN47,'CF_2'!AN47,'CF_3'!AN47,'CF_4'!AN47)</x:f>
      </x:c>
      <x:c r="AO14" s="117" t="n">
        <x:f>SUM('CF_1'!AO47,'CF_2'!AO47,'CF_3'!AO47,'CF_4'!AO47)</x:f>
      </x:c>
      <x:c r="AP14" s="117" t="n">
        <x:f>SUM('CF_1'!AP47,'CF_2'!AP47,'CF_3'!AP47,'CF_4'!AP47)</x:f>
      </x:c>
      <x:c r="AQ14" s="117" t="n">
        <x:f>SUM('CF_1'!AQ47,'CF_2'!AQ47,'CF_3'!AQ47,'CF_4'!AQ47)</x:f>
      </x:c>
      <x:c r="AR14" s="117" t="n">
        <x:f>SUM('CF_1'!AR47,'CF_2'!AR47,'CF_3'!AR47,'CF_4'!AR47)</x:f>
      </x:c>
      <x:c r="AS14" s="117" t="n">
        <x:f>SUM('CF_1'!AS47,'CF_2'!AS47,'CF_3'!AS47,'CF_4'!AS47)</x:f>
      </x:c>
      <x:c r="AT14" s="117" t="n">
        <x:f>SUM('CF_1'!AT47,'CF_2'!AT47,'CF_3'!AT47,'CF_4'!AT47)</x:f>
      </x:c>
      <x:c r="AU14" s="117" t="n">
        <x:f>SUM('CF_1'!AU47,'CF_2'!AU47,'CF_3'!AU47,'CF_4'!AU47)</x:f>
      </x:c>
      <x:c r="AV14" s="117" t="n">
        <x:f>SUM('CF_1'!AV47,'CF_2'!AV47,'CF_3'!AV47,'CF_4'!AV47)</x:f>
      </x:c>
      <x:c r="AW14" s="117" t="n">
        <x:f>SUM('CF_1'!AW47,'CF_2'!AW47,'CF_3'!AW47,'CF_4'!AW47)</x:f>
      </x:c>
      <x:c r="AX14" s="117" t="n">
        <x:f>SUM('CF_1'!AX47,'CF_2'!AX47,'CF_3'!AX47,'CF_4'!AX47)</x:f>
      </x:c>
      <x:c r="AY14" s="117" t="n">
        <x:f>SUM('CF_1'!AY47,'CF_2'!AY47,'CF_3'!AY47,'CF_4'!AY47)</x:f>
      </x:c>
      <x:c r="AZ14" s="117" t="n">
        <x:f>SUM('CF_1'!AZ47,'CF_2'!AZ47,'CF_3'!AZ47,'CF_4'!AZ47)</x:f>
      </x:c>
      <x:c r="BA14" s="117" t="n">
        <x:f>SUM('CF_1'!BA47,'CF_2'!BA47,'CF_3'!BA47,'CF_4'!BA47)</x:f>
      </x:c>
      <x:c r="BB14" s="117" t="n">
        <x:f>SUM('CF_1'!BB47,'CF_2'!BB47,'CF_3'!BB47,'CF_4'!BB47)</x:f>
      </x:c>
      <x:c r="BC14" s="117" t="n">
        <x:f>SUM('CF_1'!BC47,'CF_2'!BC47,'CF_3'!BC47,'CF_4'!BC47)</x:f>
      </x:c>
      <x:c r="BD14" s="117" t="n">
        <x:f>SUM('CF_1'!BD47,'CF_2'!BD47,'CF_3'!BD47,'CF_4'!BD47)</x:f>
      </x:c>
      <x:c r="BE14" s="117" t="n">
        <x:f>SUM('CF_1'!BE47,'CF_2'!BE47,'CF_3'!BE47,'CF_4'!BE47)</x:f>
      </x:c>
      <x:c r="BF14" s="117" t="n">
        <x:f>SUM('CF_1'!BF47,'CF_2'!BF47,'CF_3'!BF47,'CF_4'!BF47)</x:f>
      </x:c>
      <x:c r="BG14" s="117" t="n">
        <x:f>SUM('CF_1'!BG47,'CF_2'!BG47,'CF_3'!BG47,'CF_4'!BG47)</x:f>
      </x:c>
      <x:c r="BH14" s="117" t="n">
        <x:f>SUM('CF_1'!BH47,'CF_2'!BH47,'CF_3'!BH47,'CF_4'!BH47)</x:f>
      </x:c>
      <x:c r="BI14" s="117" t="n">
        <x:f>SUM('CF_1'!BI47,'CF_2'!BI47,'CF_3'!BI47,'CF_4'!BI47)</x:f>
      </x:c>
      <x:c r="BJ14" s="117" t="n">
        <x:f>SUM('CF_1'!BJ47,'CF_2'!BJ47,'CF_3'!BJ47,'CF_4'!BJ47)</x:f>
      </x:c>
      <x:c r="BK14" s="117" t="n">
        <x:f>SUM('CF_1'!BK47,'CF_2'!BK47,'CF_3'!BK47,'CF_4'!BK47)</x:f>
      </x:c>
      <x:c r="BL14" s="117" t="n">
        <x:f>SUM('CF_1'!BL47,'CF_2'!BL47,'CF_3'!BL47,'CF_4'!BL47)</x:f>
      </x:c>
      <x:c r="BM14" s="117" t="n">
        <x:f>SUM('CF_1'!BM47,'CF_2'!BM47,'CF_3'!BM47,'CF_4'!BM47)</x:f>
      </x:c>
      <x:c r="BN14" s="117" t="n">
        <x:f>SUM('CF_1'!BN47,'CF_2'!BN47,'CF_3'!BN47,'CF_4'!BN47)</x:f>
      </x:c>
      <x:c r="BO14" s="117" t="n">
        <x:f>SUM('CF_1'!BO47,'CF_2'!BO47,'CF_3'!BO47,'CF_4'!BO47)</x:f>
      </x:c>
      <x:c r="BP14" s="117" t="n">
        <x:f>SUM('CF_1'!BP47,'CF_2'!BP47,'CF_3'!BP47,'CF_4'!BP47)</x:f>
      </x:c>
      <x:c r="BQ14" s="117" t="n">
        <x:f>SUM('CF_1'!BQ47,'CF_2'!BQ47,'CF_3'!BQ47,'CF_4'!BQ47)</x:f>
      </x:c>
      <x:c r="BR14" s="117" t="n">
        <x:f>SUM('CF_1'!BR47,'CF_2'!BR47,'CF_3'!BR47,'CF_4'!BR47)</x:f>
      </x:c>
      <x:c r="BS14" s="117" t="n">
        <x:f>SUM('CF_1'!BS47,'CF_2'!BS47,'CF_3'!BS47,'CF_4'!BS47)</x:f>
      </x:c>
      <x:c r="BT14" s="117" t="n">
        <x:f>SUM('CF_1'!BT47,'CF_2'!BT47,'CF_3'!BT47,'CF_4'!BT47)</x:f>
      </x:c>
      <x:c r="BU14" s="117" t="n">
        <x:f>SUM('CF_1'!BU47,'CF_2'!BU47,'CF_3'!BU47,'CF_4'!BU47)</x:f>
      </x:c>
      <x:c r="BV14" s="117" t="n">
        <x:f>SUM('CF_1'!BV47,'CF_2'!BV47,'CF_3'!BV47,'CF_4'!BV47)</x:f>
      </x:c>
      <x:c r="BW14" s="117" t="n">
        <x:f>SUM('CF_1'!BW47,'CF_2'!BW47,'CF_3'!BW47,'CF_4'!BW47)</x:f>
      </x:c>
      <x:c r="BX14" s="117" t="n">
        <x:f>SUM('CF_1'!BX47,'CF_2'!BX47,'CF_3'!BX47,'CF_4'!BX47)</x:f>
      </x:c>
      <x:c r="BY14" s="117" t="n">
        <x:f>SUM('CF_1'!BY47,'CF_2'!BY47,'CF_3'!BY47,'CF_4'!BY47)</x:f>
      </x:c>
      <x:c r="BZ14" s="117" t="n">
        <x:f>SUM('CF_1'!BZ47,'CF_2'!BZ47,'CF_3'!BZ47,'CF_4'!BZ47)</x:f>
      </x:c>
      <x:c r="CA14" s="117" t="n">
        <x:f>SUM('CF_1'!CA47,'CF_2'!CA47,'CF_3'!CA47,'CF_4'!CA47)</x:f>
      </x:c>
      <x:c r="CB14" s="117" t="n">
        <x:f>SUM('CF_1'!CB47,'CF_2'!CB47,'CF_3'!CB47,'CF_4'!CB47)</x:f>
      </x:c>
      <x:c r="CC14" s="117" t="n">
        <x:f>SUM('CF_1'!CC47,'CF_2'!CC47,'CF_3'!CC47,'CF_4'!CC47)</x:f>
      </x:c>
      <x:c r="CD14" s="117" t="n">
        <x:f>SUM('CF_1'!CD47,'CF_2'!CD47,'CF_3'!CD47,'CF_4'!CD47)</x:f>
      </x:c>
      <x:c r="CE14" s="117" t="n">
        <x:f>SUM('CF_1'!CE47,'CF_2'!CE47,'CF_3'!CE47,'CF_4'!CE47)</x:f>
      </x:c>
      <x:c r="CF14" s="117" t="n">
        <x:f>SUM('CF_1'!CF47,'CF_2'!CF47,'CF_3'!CF47,'CF_4'!CF47)</x:f>
      </x:c>
      <x:c r="CG14" s="117" t="n">
        <x:f>SUM('CF_1'!CG47,'CF_2'!CG47,'CF_3'!CG47,'CF_4'!CG47)</x:f>
      </x:c>
      <x:c r="CH14" s="117" t="n">
        <x:f>SUM('CF_1'!CH47,'CF_2'!CH47,'CF_3'!CH47,'CF_4'!CH47)</x:f>
      </x:c>
      <x:c r="CI14" s="117" t="n">
        <x:f>SUM('CF_1'!CI47,'CF_2'!CI47,'CF_3'!CI47,'CF_4'!CI47)</x:f>
      </x:c>
      <x:c r="CJ14" s="117" t="n">
        <x:f>SUM('CF_1'!CJ47,'CF_2'!CJ47,'CF_3'!CJ47,'CF_4'!CJ47)</x:f>
      </x:c>
      <x:c r="CK14" s="117" t="n">
        <x:f>SUM('CF_1'!CK47,'CF_2'!CK47,'CF_3'!CK47,'CF_4'!CK47)</x:f>
      </x:c>
      <x:c r="CL14" s="117" t="n">
        <x:f>SUM('CF_1'!CL47,'CF_2'!CL47,'CF_3'!CL47,'CF_4'!CL47)</x:f>
      </x:c>
      <x:c r="CM14" s="117" t="n">
        <x:f>SUM('CF_1'!CM47,'CF_2'!CM47,'CF_3'!CM47,'CF_4'!CM47)</x:f>
      </x:c>
      <x:c r="CN14" s="117" t="n">
        <x:f>SUM('CF_1'!CN47,'CF_2'!CN47,'CF_3'!CN47,'CF_4'!CN47)</x:f>
      </x:c>
      <x:c r="CO14" s="117" t="n">
        <x:f>SUM('CF_1'!CO47,'CF_2'!CO47,'CF_3'!CO47,'CF_4'!CO47)</x:f>
      </x:c>
      <x:c r="CP14" s="117" t="n">
        <x:f>SUM('CF_1'!CP47,'CF_2'!CP47,'CF_3'!CP47,'CF_4'!CP47)</x:f>
      </x:c>
      <x:c r="CQ14" s="117" t="n">
        <x:f>SUM('CF_1'!CQ47,'CF_2'!CQ47,'CF_3'!CQ47,'CF_4'!CQ47)</x:f>
      </x:c>
      <x:c r="CR14" s="117" t="n">
        <x:f>SUM('CF_1'!CR47,'CF_2'!CR47,'CF_3'!CR47,'CF_4'!CR47)</x:f>
      </x:c>
      <x:c r="CS14" s="117" t="n">
        <x:f>SUM('CF_1'!CS47,'CF_2'!CS47,'CF_3'!CS47,'CF_4'!CS47)</x:f>
      </x:c>
      <x:c r="CT14" s="117" t="n">
        <x:f>SUM('CF_1'!CT47,'CF_2'!CT47,'CF_3'!CT47,'CF_4'!CT47)</x:f>
      </x:c>
      <x:c r="CU14" s="117" t="n">
        <x:f>SUM('CF_1'!CU47,'CF_2'!CU47,'CF_3'!CU47,'CF_4'!CU47)</x:f>
      </x:c>
      <x:c r="CV14" s="117" t="n">
        <x:f>SUM('CF_1'!CV47,'CF_2'!CV47,'CF_3'!CV47,'CF_4'!CV47)</x:f>
      </x:c>
      <x:c r="CW14" s="117" t="n">
        <x:f>SUM('CF_1'!CW47,'CF_2'!CW47,'CF_3'!CW47,'CF_4'!CW47)</x:f>
      </x:c>
      <x:c r="CX14" s="117" t="n">
        <x:f>SUM('CF_1'!CX47,'CF_2'!CX47,'CF_3'!CX47,'CF_4'!CX47)</x:f>
      </x:c>
      <x:c r="CY14" s="117" t="n">
        <x:f>SUM('CF_1'!CY47,'CF_2'!CY47,'CF_3'!CY47,'CF_4'!CY47)</x:f>
      </x:c>
      <x:c r="CZ14" s="117" t="n">
        <x:f>SUM('CF_1'!CZ47,'CF_2'!CZ47,'CF_3'!CZ47,'CF_4'!CZ47)</x:f>
      </x:c>
      <x:c r="DA14" s="117" t="n">
        <x:f>SUM('CF_1'!DA47,'CF_2'!DA47,'CF_3'!DA47,'CF_4'!DA47)</x:f>
      </x:c>
      <x:c r="DB14" s="117" t="n">
        <x:f>SUM('CF_1'!DB47,'CF_2'!DB47,'CF_3'!DB47,'CF_4'!DB47)</x:f>
      </x:c>
      <x:c r="DC14" s="117" t="n">
        <x:f>SUM('CF_1'!DC47,'CF_2'!DC47,'CF_3'!DC47,'CF_4'!DC47)</x:f>
      </x:c>
      <x:c r="DD14" s="117" t="n">
        <x:f>SUM('CF_1'!DD47,'CF_2'!DD47,'CF_3'!DD47,'CF_4'!DD47)</x:f>
      </x:c>
      <x:c r="DE14" s="117" t="n">
        <x:f>SUM('CF_1'!DE47,'CF_2'!DE47,'CF_3'!DE47,'CF_4'!DE47)</x:f>
      </x:c>
      <x:c r="DF14" s="117" t="n">
        <x:f>SUM('CF_1'!DF47,'CF_2'!DF47,'CF_3'!DF47,'CF_4'!DF47)</x:f>
      </x:c>
      <x:c r="DG14" s="117" t="n">
        <x:f>SUM('CF_1'!DG47,'CF_2'!DG47,'CF_3'!DG47,'CF_4'!DG47)</x:f>
      </x:c>
      <x:c r="DH14" s="117" t="n">
        <x:f>SUM('CF_1'!DH47,'CF_2'!DH47,'CF_3'!DH47,'CF_4'!DH47)</x:f>
      </x:c>
      <x:c r="DI14" s="117" t="n">
        <x:f>SUM('CF_1'!DI47,'CF_2'!DI47,'CF_3'!DI47,'CF_4'!DI47)</x:f>
      </x:c>
      <x:c r="DJ14" s="117" t="n">
        <x:f>SUM('CF_1'!DJ47,'CF_2'!DJ47,'CF_3'!DJ47,'CF_4'!DJ47)</x:f>
      </x:c>
      <x:c r="DK14" s="117" t="n">
        <x:f>SUM('CF_1'!DK47,'CF_2'!DK47,'CF_3'!DK47,'CF_4'!DK47)</x:f>
      </x:c>
      <x:c r="DL14" s="117" t="n">
        <x:f>SUM('CF_1'!DL47,'CF_2'!DL47,'CF_3'!DL47,'CF_4'!DL47)</x:f>
      </x:c>
      <x:c r="DM14" s="117" t="n">
        <x:f>SUM('CF_1'!DM47,'CF_2'!DM47,'CF_3'!DM47,'CF_4'!DM47)</x:f>
      </x:c>
      <x:c r="DN14" s="117" t="n">
        <x:f>SUM('CF_1'!DN47,'CF_2'!DN47,'CF_3'!DN47,'CF_4'!DN47)</x:f>
      </x:c>
      <x:c r="DO14" s="117" t="n">
        <x:f>SUM('CF_1'!DO47,'CF_2'!DO47,'CF_3'!DO47,'CF_4'!DO47)</x:f>
      </x:c>
      <x:c r="DP14" s="117" t="n">
        <x:f>SUM('CF_1'!DP47,'CF_2'!DP47,'CF_3'!DP47,'CF_4'!DP47)</x:f>
      </x:c>
      <x:c r="DQ14" s="117" t="n">
        <x:f>SUM('CF_1'!DQ47,'CF_2'!DQ47,'CF_3'!DQ47,'CF_4'!DQ47)</x:f>
      </x:c>
      <x:c r="DR14" s="117" t="n">
        <x:f>SUM('CF_1'!DR47,'CF_2'!DR47,'CF_3'!DR47,'CF_4'!DR47)</x:f>
      </x:c>
      <x:c r="DS14" s="117" t="n">
        <x:f>SUM('CF_1'!DS47,'CF_2'!DS47,'CF_3'!DS47,'CF_4'!DS47)</x:f>
      </x:c>
      <x:c r="DT14" s="117" t="n">
        <x:f>SUM('CF_1'!DT47,'CF_2'!DT47,'CF_3'!DT47,'CF_4'!DT47)</x:f>
      </x:c>
      <x:c r="DU14" s="117" t="n">
        <x:f>SUM('CF_1'!DU47,'CF_2'!DU47,'CF_3'!DU47,'CF_4'!DU47)</x:f>
      </x:c>
      <x:c r="DV14" s="117" t="n">
        <x:f>SUM('CF_1'!DV47,'CF_2'!DV47,'CF_3'!DV47,'CF_4'!DV47)</x:f>
      </x:c>
      <x:c r="DW14" s="117" t="n">
        <x:f>SUM('CF_1'!DW47,'CF_2'!DW47,'CF_3'!DW47,'CF_4'!DW47)</x:f>
      </x:c>
      <x:c r="DX14" s="117" t="n">
        <x:f>SUM('CF_1'!DX47,'CF_2'!DX47,'CF_3'!DX47,'CF_4'!DX47)</x:f>
      </x:c>
      <x:c r="DY14" s="117" t="n">
        <x:f>SUM('CF_1'!DY47,'CF_2'!DY47,'CF_3'!DY47,'CF_4'!DY47)</x:f>
      </x:c>
      <x:c r="DZ14" s="117" t="n">
        <x:f>SUM('CF_1'!DZ47,'CF_2'!DZ47,'CF_3'!DZ47,'CF_4'!DZ47)</x:f>
      </x:c>
      <x:c r="EA14" s="117" t="n">
        <x:f>SUM('CF_1'!EA47,'CF_2'!EA47,'CF_3'!EA47,'CF_4'!EA47)</x:f>
      </x:c>
      <x:c r="EB14" s="117" t="n">
        <x:f>SUM('CF_1'!EB47,'CF_2'!EB47,'CF_3'!EB47,'CF_4'!EB47)</x:f>
      </x:c>
      <x:c r="EC14" s="117" t="n">
        <x:f>SUM('CF_1'!EC47,'CF_2'!EC47,'CF_3'!EC47,'CF_4'!EC47)</x:f>
      </x:c>
      <x:c r="ED14" s="117" t="n">
        <x:f>SUM('CF_1'!ED47,'CF_2'!ED47,'CF_3'!ED47,'CF_4'!ED47)</x:f>
      </x:c>
      <x:c r="EE14" s="117" t="n">
        <x:f>SUM('CF_1'!EE47,'CF_2'!EE47,'CF_3'!EE47,'CF_4'!EE47)</x:f>
      </x:c>
      <x:c r="EF14" s="117" t="n">
        <x:f>SUM('CF_1'!EF47,'CF_2'!EF47,'CF_3'!EF47,'CF_4'!EF47)</x:f>
      </x:c>
      <x:c r="EG14" s="117" t="n">
        <x:f>SUM('CF_1'!EG47,'CF_2'!EG47,'CF_3'!EG47,'CF_4'!EG47)</x:f>
      </x:c>
      <x:c r="EH14" s="117" t="n">
        <x:f>SUM('CF_1'!EH47,'CF_2'!EH47,'CF_3'!EH47,'CF_4'!EH47)</x:f>
      </x:c>
      <x:c r="EI14" s="117" t="n">
        <x:f>SUM('CF_1'!EI47,'CF_2'!EI47,'CF_3'!EI47,'CF_4'!EI47)</x:f>
      </x:c>
      <x:c r="EJ14" s="117" t="n">
        <x:f>SUM('CF_1'!EJ47,'CF_2'!EJ47,'CF_3'!EJ47,'CF_4'!EJ47)</x:f>
      </x:c>
      <x:c r="EK14" s="117" t="n">
        <x:f>SUM('CF_1'!EK47,'CF_2'!EK47,'CF_3'!EK47,'CF_4'!EK47)</x:f>
      </x:c>
      <x:c r="EL14" s="117" t="n">
        <x:f>SUM('CF_1'!EL47,'CF_2'!EL47,'CF_3'!EL47,'CF_4'!EL47)</x:f>
      </x:c>
      <x:c r="EM14" s="117" t="n">
        <x:f>SUM('CF_1'!EM47,'CF_2'!EM47,'CF_3'!EM47,'CF_4'!EM47)</x:f>
      </x:c>
      <x:c r="EN14" s="117" t="n">
        <x:f>SUM('CF_1'!EN47,'CF_2'!EN47,'CF_3'!EN47,'CF_4'!EN47)</x:f>
      </x:c>
      <x:c r="EO14" s="117" t="n">
        <x:f>SUM('CF_1'!EO47,'CF_2'!EO47,'CF_3'!EO47,'CF_4'!EO47)</x:f>
      </x:c>
      <x:c r="EP14" s="117" t="n">
        <x:f>SUM('CF_1'!EP47,'CF_2'!EP47,'CF_3'!EP47,'CF_4'!EP47)</x:f>
      </x:c>
      <x:c r="EQ14" s="117" t="n">
        <x:f>SUM('CF_1'!EQ47,'CF_2'!EQ47,'CF_3'!EQ47,'CF_4'!EQ47)</x:f>
      </x:c>
      <x:c r="ER14" s="117" t="n">
        <x:f>SUM('CF_1'!ER47,'CF_2'!ER47,'CF_3'!ER47,'CF_4'!ER47)</x:f>
      </x:c>
      <x:c r="ES14" s="117" t="n">
        <x:f>SUM('CF_1'!ES47,'CF_2'!ES47,'CF_3'!ES47,'CF_4'!ES47)</x:f>
      </x:c>
      <x:c r="ET14" s="117" t="n">
        <x:f>SUM('CF_1'!ET47,'CF_2'!ET47,'CF_3'!ET47,'CF_4'!ET47)</x:f>
      </x:c>
      <x:c r="EU14" s="117" t="n">
        <x:f>SUM('CF_1'!EU47,'CF_2'!EU47,'CF_3'!EU47,'CF_4'!EU47)</x:f>
      </x:c>
      <x:c r="EV14" s="117" t="n">
        <x:f>SUM('CF_1'!EV47,'CF_2'!EV47,'CF_3'!EV47,'CF_4'!EV47)</x:f>
      </x:c>
      <x:c r="EW14" s="117" t="n">
        <x:f>SUM('CF_1'!EW47,'CF_2'!EW47,'CF_3'!EW47,'CF_4'!EW47)</x:f>
      </x:c>
      <x:c r="EX14" s="117" t="n">
        <x:f>SUM('CF_1'!EX47,'CF_2'!EX47,'CF_3'!EX47,'CF_4'!EX47)</x:f>
      </x:c>
      <x:c r="EY14" s="117" t="n">
        <x:f>SUM('CF_1'!EY47,'CF_2'!EY47,'CF_3'!EY47,'CF_4'!EY47)</x:f>
      </x:c>
      <x:c r="EZ14" s="117" t="n">
        <x:f>SUM('CF_1'!EZ47,'CF_2'!EZ47,'CF_3'!EZ47,'CF_4'!EZ47)</x:f>
      </x:c>
      <x:c r="FA14" s="117" t="n">
        <x:f>SUM('CF_1'!FA47,'CF_2'!FA47,'CF_3'!FA47,'CF_4'!FA47)</x:f>
      </x:c>
      <x:c r="FB14" s="117" t="n">
        <x:f>SUM('CF_1'!FB47,'CF_2'!FB47,'CF_3'!FB47,'CF_4'!FB47)</x:f>
      </x:c>
      <x:c r="FC14" s="117" t="n">
        <x:f>SUM('CF_1'!FC47,'CF_2'!FC47,'CF_3'!FC47,'CF_4'!FC47)</x:f>
      </x:c>
      <x:c r="FD14" s="117" t="n">
        <x:f>SUM('CF_1'!FD47,'CF_2'!FD47,'CF_3'!FD47,'CF_4'!FD47)</x:f>
      </x:c>
      <x:c r="FE14" s="117" t="n">
        <x:f>SUM('CF_1'!FE47,'CF_2'!FE47,'CF_3'!FE47,'CF_4'!FE47)</x:f>
      </x:c>
      <x:c r="FF14" s="117" t="n">
        <x:f>SUM('CF_1'!FF47,'CF_2'!FF47,'CF_3'!FF47,'CF_4'!FF47)</x:f>
      </x:c>
      <x:c r="FG14" s="117" t="n">
        <x:f>SUM('CF_1'!FG47,'CF_2'!FG47,'CF_3'!FG47,'CF_4'!FG47)</x:f>
      </x:c>
      <x:c r="FH14" s="117" t="n">
        <x:f>SUM('CF_1'!FH47,'CF_2'!FH47,'CF_3'!FH47,'CF_4'!FH47)</x:f>
      </x:c>
      <x:c r="FI14" s="117" t="n">
        <x:f>SUM('CF_1'!FI47,'CF_2'!FI47,'CF_3'!FI47,'CF_4'!FI47)</x:f>
      </x:c>
      <x:c r="FJ14" s="117" t="n">
        <x:f>SUM('CF_1'!FJ47,'CF_2'!FJ47,'CF_3'!FJ47,'CF_4'!FJ47)</x:f>
      </x:c>
      <x:c r="FK14" s="117" t="n">
        <x:f>SUM('CF_1'!FK47,'CF_2'!FK47,'CF_3'!FK47,'CF_4'!FK47)</x:f>
      </x:c>
      <x:c r="FL14" s="117" t="n">
        <x:f>SUM('CF_1'!FL47,'CF_2'!FL47,'CF_3'!FL47,'CF_4'!FL47)</x:f>
      </x:c>
      <x:c r="FM14" s="117" t="n">
        <x:f>SUM('CF_1'!FM47,'CF_2'!FM47,'CF_3'!FM47,'CF_4'!FM47)</x:f>
      </x:c>
      <x:c r="FN14" s="117" t="n">
        <x:f>SUM('CF_1'!FN47,'CF_2'!FN47,'CF_3'!FN47,'CF_4'!FN47)</x:f>
      </x:c>
      <x:c r="FO14" s="117" t="n">
        <x:f>SUM('CF_1'!FO47,'CF_2'!FO47,'CF_3'!FO47,'CF_4'!FO47)</x:f>
      </x:c>
      <x:c r="FP14" s="117" t="n">
        <x:f>SUM('CF_1'!FP47,'CF_2'!FP47,'CF_3'!FP47,'CF_4'!FP47)</x:f>
      </x:c>
      <x:c r="FQ14" s="117" t="n">
        <x:f>SUM('CF_1'!FQ47,'CF_2'!FQ47,'CF_3'!FQ47,'CF_4'!FQ47)</x:f>
      </x:c>
      <x:c r="FR14" s="117" t="n">
        <x:f>SUM('CF_1'!FR47,'CF_2'!FR47,'CF_3'!FR47,'CF_4'!FR47)</x:f>
      </x:c>
      <x:c r="FS14" s="117" t="n">
        <x:f>SUM('CF_1'!FS47,'CF_2'!FS47,'CF_3'!FS47,'CF_4'!FS47)</x:f>
      </x:c>
      <x:c r="FT14" s="117" t="n">
        <x:f>SUM('CF_1'!FT47,'CF_2'!FT47,'CF_3'!FT47,'CF_4'!FT47)</x:f>
      </x:c>
      <x:c r="FU14" s="117" t="n">
        <x:f>SUM('CF_1'!FU47,'CF_2'!FU47,'CF_3'!FU47,'CF_4'!FU47)</x:f>
      </x:c>
      <x:c r="FV14" s="117" t="n">
        <x:f>SUM('CF_1'!FV47,'CF_2'!FV47,'CF_3'!FV47,'CF_4'!FV47)</x:f>
      </x:c>
      <x:c r="FW14" s="117" t="n">
        <x:f>SUM('CF_1'!FW47,'CF_2'!FW47,'CF_3'!FW47,'CF_4'!FW47)</x:f>
      </x:c>
      <x:c r="FX14" s="117" t="n">
        <x:f>SUM('CF_1'!FX47,'CF_2'!FX47,'CF_3'!FX47,'CF_4'!FX47)</x:f>
      </x:c>
      <x:c r="FY14" s="117" t="n">
        <x:f>SUM('CF_1'!FY47,'CF_2'!FY47,'CF_3'!FY47,'CF_4'!FY47)</x:f>
      </x:c>
      <x:c r="FZ14" s="117" t="n">
        <x:f>SUM('CF_1'!FZ47,'CF_2'!FZ47,'CF_3'!FZ47,'CF_4'!FZ47)</x:f>
      </x:c>
      <x:c r="GA14" s="117" t="n">
        <x:f>SUM('CF_1'!GA47,'CF_2'!GA47,'CF_3'!GA47,'CF_4'!GA47)</x:f>
      </x:c>
    </x:row>
    <x:row r="15">
      <x:c r="A15" t="str">
        <x:v>Эскроу</x:v>
      </x:c>
      <x:c r="B15" s="107" t="n">
        <x:f>MAX(D15:GA15)</x:f>
      </x:c>
      <x:c r="C15" t="str">
        <x:v>млн ₽</x:v>
      </x:c>
      <x:c r="D15" s="117" t="n">
        <x:f>SUM('CF_1'!D15,'CF_2'!D15,'CF_3'!D15,'CF_4'!D15)</x:f>
      </x:c>
      <x:c r="E15" s="117" t="n">
        <x:f>SUM('CF_1'!E15,'CF_2'!E15,'CF_3'!E15,'CF_4'!E15)</x:f>
      </x:c>
      <x:c r="F15" s="117" t="n">
        <x:f>SUM('CF_1'!F15,'CF_2'!F15,'CF_3'!F15,'CF_4'!F15)</x:f>
      </x:c>
      <x:c r="G15" s="117" t="n">
        <x:f>SUM('CF_1'!G15,'CF_2'!G15,'CF_3'!G15,'CF_4'!G15)</x:f>
      </x:c>
      <x:c r="H15" s="117" t="n">
        <x:f>SUM('CF_1'!H15,'CF_2'!H15,'CF_3'!H15,'CF_4'!H15)</x:f>
      </x:c>
      <x:c r="I15" s="117" t="n">
        <x:f>SUM('CF_1'!I15,'CF_2'!I15,'CF_3'!I15,'CF_4'!I15)</x:f>
      </x:c>
      <x:c r="J15" s="117" t="n">
        <x:f>SUM('CF_1'!J15,'CF_2'!J15,'CF_3'!J15,'CF_4'!J15)</x:f>
      </x:c>
      <x:c r="K15" s="117" t="n">
        <x:f>SUM('CF_1'!K15,'CF_2'!K15,'CF_3'!K15,'CF_4'!K15)</x:f>
      </x:c>
      <x:c r="L15" s="117" t="n">
        <x:f>SUM('CF_1'!L15,'CF_2'!L15,'CF_3'!L15,'CF_4'!L15)</x:f>
      </x:c>
      <x:c r="M15" s="117" t="n">
        <x:f>SUM('CF_1'!M15,'CF_2'!M15,'CF_3'!M15,'CF_4'!M15)</x:f>
      </x:c>
      <x:c r="N15" s="117" t="n">
        <x:f>SUM('CF_1'!N15,'CF_2'!N15,'CF_3'!N15,'CF_4'!N15)</x:f>
      </x:c>
      <x:c r="O15" s="117" t="n">
        <x:f>SUM('CF_1'!O15,'CF_2'!O15,'CF_3'!O15,'CF_4'!O15)</x:f>
      </x:c>
      <x:c r="P15" s="117" t="n">
        <x:f>SUM('CF_1'!P15,'CF_2'!P15,'CF_3'!P15,'CF_4'!P15)</x:f>
      </x:c>
      <x:c r="Q15" s="117" t="n">
        <x:f>SUM('CF_1'!Q15,'CF_2'!Q15,'CF_3'!Q15,'CF_4'!Q15)</x:f>
      </x:c>
      <x:c r="R15" s="117" t="n">
        <x:f>SUM('CF_1'!R15,'CF_2'!R15,'CF_3'!R15,'CF_4'!R15)</x:f>
      </x:c>
      <x:c r="S15" s="117" t="n">
        <x:f>SUM('CF_1'!S15,'CF_2'!S15,'CF_3'!S15,'CF_4'!S15)</x:f>
      </x:c>
      <x:c r="T15" s="117" t="n">
        <x:f>SUM('CF_1'!T15,'CF_2'!T15,'CF_3'!T15,'CF_4'!T15)</x:f>
      </x:c>
      <x:c r="U15" s="117" t="n">
        <x:f>SUM('CF_1'!U15,'CF_2'!U15,'CF_3'!U15,'CF_4'!U15)</x:f>
      </x:c>
      <x:c r="V15" s="117" t="n">
        <x:f>SUM('CF_1'!V15,'CF_2'!V15,'CF_3'!V15,'CF_4'!V15)</x:f>
      </x:c>
      <x:c r="W15" s="117" t="n">
        <x:f>SUM('CF_1'!W15,'CF_2'!W15,'CF_3'!W15,'CF_4'!W15)</x:f>
      </x:c>
      <x:c r="X15" s="117" t="n">
        <x:f>SUM('CF_1'!X15,'CF_2'!X15,'CF_3'!X15,'CF_4'!X15)</x:f>
      </x:c>
      <x:c r="Y15" s="117" t="n">
        <x:f>SUM('CF_1'!Y15,'CF_2'!Y15,'CF_3'!Y15,'CF_4'!Y15)</x:f>
      </x:c>
      <x:c r="Z15" s="117" t="n">
        <x:f>SUM('CF_1'!Z15,'CF_2'!Z15,'CF_3'!Z15,'CF_4'!Z15)</x:f>
      </x:c>
      <x:c r="AA15" s="117" t="n">
        <x:f>SUM('CF_1'!AA15,'CF_2'!AA15,'CF_3'!AA15,'CF_4'!AA15)</x:f>
      </x:c>
      <x:c r="AB15" s="117" t="n">
        <x:f>SUM('CF_1'!AB15,'CF_2'!AB15,'CF_3'!AB15,'CF_4'!AB15)</x:f>
      </x:c>
      <x:c r="AC15" s="117" t="n">
        <x:f>SUM('CF_1'!AC15,'CF_2'!AC15,'CF_3'!AC15,'CF_4'!AC15)</x:f>
      </x:c>
      <x:c r="AD15" s="117" t="n">
        <x:f>SUM('CF_1'!AD15,'CF_2'!AD15,'CF_3'!AD15,'CF_4'!AD15)</x:f>
      </x:c>
      <x:c r="AE15" s="117" t="n">
        <x:f>SUM('CF_1'!AE15,'CF_2'!AE15,'CF_3'!AE15,'CF_4'!AE15)</x:f>
      </x:c>
      <x:c r="AF15" s="117" t="n">
        <x:f>SUM('CF_1'!AF15,'CF_2'!AF15,'CF_3'!AF15,'CF_4'!AF15)</x:f>
      </x:c>
      <x:c r="AG15" s="117" t="n">
        <x:f>SUM('CF_1'!AG15,'CF_2'!AG15,'CF_3'!AG15,'CF_4'!AG15)</x:f>
      </x:c>
      <x:c r="AH15" s="117" t="n">
        <x:f>SUM('CF_1'!AH15,'CF_2'!AH15,'CF_3'!AH15,'CF_4'!AH15)</x:f>
      </x:c>
      <x:c r="AI15" s="117" t="n">
        <x:f>SUM('CF_1'!AI15,'CF_2'!AI15,'CF_3'!AI15,'CF_4'!AI15)</x:f>
      </x:c>
      <x:c r="AJ15" s="117" t="n">
        <x:f>SUM('CF_1'!AJ15,'CF_2'!AJ15,'CF_3'!AJ15,'CF_4'!AJ15)</x:f>
      </x:c>
      <x:c r="AK15" s="117" t="n">
        <x:f>SUM('CF_1'!AK15,'CF_2'!AK15,'CF_3'!AK15,'CF_4'!AK15)</x:f>
      </x:c>
      <x:c r="AL15" s="117" t="n">
        <x:f>SUM('CF_1'!AL15,'CF_2'!AL15,'CF_3'!AL15,'CF_4'!AL15)</x:f>
      </x:c>
      <x:c r="AM15" s="117" t="n">
        <x:f>SUM('CF_1'!AM15,'CF_2'!AM15,'CF_3'!AM15,'CF_4'!AM15)</x:f>
      </x:c>
      <x:c r="AN15" s="117" t="n">
        <x:f>SUM('CF_1'!AN15,'CF_2'!AN15,'CF_3'!AN15,'CF_4'!AN15)</x:f>
      </x:c>
      <x:c r="AO15" s="117" t="n">
        <x:f>SUM('CF_1'!AO15,'CF_2'!AO15,'CF_3'!AO15,'CF_4'!AO15)</x:f>
      </x:c>
      <x:c r="AP15" s="117" t="n">
        <x:f>SUM('CF_1'!AP15,'CF_2'!AP15,'CF_3'!AP15,'CF_4'!AP15)</x:f>
      </x:c>
      <x:c r="AQ15" s="117" t="n">
        <x:f>SUM('CF_1'!AQ15,'CF_2'!AQ15,'CF_3'!AQ15,'CF_4'!AQ15)</x:f>
      </x:c>
      <x:c r="AR15" s="117" t="n">
        <x:f>SUM('CF_1'!AR15,'CF_2'!AR15,'CF_3'!AR15,'CF_4'!AR15)</x:f>
      </x:c>
      <x:c r="AS15" s="117" t="n">
        <x:f>SUM('CF_1'!AS15,'CF_2'!AS15,'CF_3'!AS15,'CF_4'!AS15)</x:f>
      </x:c>
      <x:c r="AT15" s="117" t="n">
        <x:f>SUM('CF_1'!AT15,'CF_2'!AT15,'CF_3'!AT15,'CF_4'!AT15)</x:f>
      </x:c>
      <x:c r="AU15" s="117" t="n">
        <x:f>SUM('CF_1'!AU15,'CF_2'!AU15,'CF_3'!AU15,'CF_4'!AU15)</x:f>
      </x:c>
      <x:c r="AV15" s="117" t="n">
        <x:f>SUM('CF_1'!AV15,'CF_2'!AV15,'CF_3'!AV15,'CF_4'!AV15)</x:f>
      </x:c>
      <x:c r="AW15" s="117" t="n">
        <x:f>SUM('CF_1'!AW15,'CF_2'!AW15,'CF_3'!AW15,'CF_4'!AW15)</x:f>
      </x:c>
      <x:c r="AX15" s="117" t="n">
        <x:f>SUM('CF_1'!AX15,'CF_2'!AX15,'CF_3'!AX15,'CF_4'!AX15)</x:f>
      </x:c>
      <x:c r="AY15" s="117" t="n">
        <x:f>SUM('CF_1'!AY15,'CF_2'!AY15,'CF_3'!AY15,'CF_4'!AY15)</x:f>
      </x:c>
      <x:c r="AZ15" s="117" t="n">
        <x:f>SUM('CF_1'!AZ15,'CF_2'!AZ15,'CF_3'!AZ15,'CF_4'!AZ15)</x:f>
      </x:c>
      <x:c r="BA15" s="117" t="n">
        <x:f>SUM('CF_1'!BA15,'CF_2'!BA15,'CF_3'!BA15,'CF_4'!BA15)</x:f>
      </x:c>
      <x:c r="BB15" s="117" t="n">
        <x:f>SUM('CF_1'!BB15,'CF_2'!BB15,'CF_3'!BB15,'CF_4'!BB15)</x:f>
      </x:c>
      <x:c r="BC15" s="117" t="n">
        <x:f>SUM('CF_1'!BC15,'CF_2'!BC15,'CF_3'!BC15,'CF_4'!BC15)</x:f>
      </x:c>
      <x:c r="BD15" s="117" t="n">
        <x:f>SUM('CF_1'!BD15,'CF_2'!BD15,'CF_3'!BD15,'CF_4'!BD15)</x:f>
      </x:c>
      <x:c r="BE15" s="117" t="n">
        <x:f>SUM('CF_1'!BE15,'CF_2'!BE15,'CF_3'!BE15,'CF_4'!BE15)</x:f>
      </x:c>
      <x:c r="BF15" s="117" t="n">
        <x:f>SUM('CF_1'!BF15,'CF_2'!BF15,'CF_3'!BF15,'CF_4'!BF15)</x:f>
      </x:c>
      <x:c r="BG15" s="117" t="n">
        <x:f>SUM('CF_1'!BG15,'CF_2'!BG15,'CF_3'!BG15,'CF_4'!BG15)</x:f>
      </x:c>
      <x:c r="BH15" s="117" t="n">
        <x:f>SUM('CF_1'!BH15,'CF_2'!BH15,'CF_3'!BH15,'CF_4'!BH15)</x:f>
      </x:c>
      <x:c r="BI15" s="117" t="n">
        <x:f>SUM('CF_1'!BI15,'CF_2'!BI15,'CF_3'!BI15,'CF_4'!BI15)</x:f>
      </x:c>
      <x:c r="BJ15" s="117" t="n">
        <x:f>SUM('CF_1'!BJ15,'CF_2'!BJ15,'CF_3'!BJ15,'CF_4'!BJ15)</x:f>
      </x:c>
      <x:c r="BK15" s="117" t="n">
        <x:f>SUM('CF_1'!BK15,'CF_2'!BK15,'CF_3'!BK15,'CF_4'!BK15)</x:f>
      </x:c>
      <x:c r="BL15" s="117" t="n">
        <x:f>SUM('CF_1'!BL15,'CF_2'!BL15,'CF_3'!BL15,'CF_4'!BL15)</x:f>
      </x:c>
      <x:c r="BM15" s="117" t="n">
        <x:f>SUM('CF_1'!BM15,'CF_2'!BM15,'CF_3'!BM15,'CF_4'!BM15)</x:f>
      </x:c>
      <x:c r="BN15" s="117" t="n">
        <x:f>SUM('CF_1'!BN15,'CF_2'!BN15,'CF_3'!BN15,'CF_4'!BN15)</x:f>
      </x:c>
      <x:c r="BO15" s="117" t="n">
        <x:f>SUM('CF_1'!BO15,'CF_2'!BO15,'CF_3'!BO15,'CF_4'!BO15)</x:f>
      </x:c>
      <x:c r="BP15" s="117" t="n">
        <x:f>SUM('CF_1'!BP15,'CF_2'!BP15,'CF_3'!BP15,'CF_4'!BP15)</x:f>
      </x:c>
      <x:c r="BQ15" s="117" t="n">
        <x:f>SUM('CF_1'!BQ15,'CF_2'!BQ15,'CF_3'!BQ15,'CF_4'!BQ15)</x:f>
      </x:c>
      <x:c r="BR15" s="117" t="n">
        <x:f>SUM('CF_1'!BR15,'CF_2'!BR15,'CF_3'!BR15,'CF_4'!BR15)</x:f>
      </x:c>
      <x:c r="BS15" s="117" t="n">
        <x:f>SUM('CF_1'!BS15,'CF_2'!BS15,'CF_3'!BS15,'CF_4'!BS15)</x:f>
      </x:c>
      <x:c r="BT15" s="117" t="n">
        <x:f>SUM('CF_1'!BT15,'CF_2'!BT15,'CF_3'!BT15,'CF_4'!BT15)</x:f>
      </x:c>
      <x:c r="BU15" s="117" t="n">
        <x:f>SUM('CF_1'!BU15,'CF_2'!BU15,'CF_3'!BU15,'CF_4'!BU15)</x:f>
      </x:c>
      <x:c r="BV15" s="117" t="n">
        <x:f>SUM('CF_1'!BV15,'CF_2'!BV15,'CF_3'!BV15,'CF_4'!BV15)</x:f>
      </x:c>
      <x:c r="BW15" s="117" t="n">
        <x:f>SUM('CF_1'!BW15,'CF_2'!BW15,'CF_3'!BW15,'CF_4'!BW15)</x:f>
      </x:c>
      <x:c r="BX15" s="117" t="n">
        <x:f>SUM('CF_1'!BX15,'CF_2'!BX15,'CF_3'!BX15,'CF_4'!BX15)</x:f>
      </x:c>
      <x:c r="BY15" s="117" t="n">
        <x:f>SUM('CF_1'!BY15,'CF_2'!BY15,'CF_3'!BY15,'CF_4'!BY15)</x:f>
      </x:c>
      <x:c r="BZ15" s="117" t="n">
        <x:f>SUM('CF_1'!BZ15,'CF_2'!BZ15,'CF_3'!BZ15,'CF_4'!BZ15)</x:f>
      </x:c>
      <x:c r="CA15" s="117" t="n">
        <x:f>SUM('CF_1'!CA15,'CF_2'!CA15,'CF_3'!CA15,'CF_4'!CA15)</x:f>
      </x:c>
      <x:c r="CB15" s="117" t="n">
        <x:f>SUM('CF_1'!CB15,'CF_2'!CB15,'CF_3'!CB15,'CF_4'!CB15)</x:f>
      </x:c>
      <x:c r="CC15" s="117" t="n">
        <x:f>SUM('CF_1'!CC15,'CF_2'!CC15,'CF_3'!CC15,'CF_4'!CC15)</x:f>
      </x:c>
      <x:c r="CD15" s="117" t="n">
        <x:f>SUM('CF_1'!CD15,'CF_2'!CD15,'CF_3'!CD15,'CF_4'!CD15)</x:f>
      </x:c>
      <x:c r="CE15" s="117" t="n">
        <x:f>SUM('CF_1'!CE15,'CF_2'!CE15,'CF_3'!CE15,'CF_4'!CE15)</x:f>
      </x:c>
      <x:c r="CF15" s="117" t="n">
        <x:f>SUM('CF_1'!CF15,'CF_2'!CF15,'CF_3'!CF15,'CF_4'!CF15)</x:f>
      </x:c>
      <x:c r="CG15" s="117" t="n">
        <x:f>SUM('CF_1'!CG15,'CF_2'!CG15,'CF_3'!CG15,'CF_4'!CG15)</x:f>
      </x:c>
      <x:c r="CH15" s="117" t="n">
        <x:f>SUM('CF_1'!CH15,'CF_2'!CH15,'CF_3'!CH15,'CF_4'!CH15)</x:f>
      </x:c>
      <x:c r="CI15" s="117" t="n">
        <x:f>SUM('CF_1'!CI15,'CF_2'!CI15,'CF_3'!CI15,'CF_4'!CI15)</x:f>
      </x:c>
      <x:c r="CJ15" s="117" t="n">
        <x:f>SUM('CF_1'!CJ15,'CF_2'!CJ15,'CF_3'!CJ15,'CF_4'!CJ15)</x:f>
      </x:c>
      <x:c r="CK15" s="117" t="n">
        <x:f>SUM('CF_1'!CK15,'CF_2'!CK15,'CF_3'!CK15,'CF_4'!CK15)</x:f>
      </x:c>
      <x:c r="CL15" s="117" t="n">
        <x:f>SUM('CF_1'!CL15,'CF_2'!CL15,'CF_3'!CL15,'CF_4'!CL15)</x:f>
      </x:c>
      <x:c r="CM15" s="117" t="n">
        <x:f>SUM('CF_1'!CM15,'CF_2'!CM15,'CF_3'!CM15,'CF_4'!CM15)</x:f>
      </x:c>
      <x:c r="CN15" s="117" t="n">
        <x:f>SUM('CF_1'!CN15,'CF_2'!CN15,'CF_3'!CN15,'CF_4'!CN15)</x:f>
      </x:c>
      <x:c r="CO15" s="117" t="n">
        <x:f>SUM('CF_1'!CO15,'CF_2'!CO15,'CF_3'!CO15,'CF_4'!CO15)</x:f>
      </x:c>
      <x:c r="CP15" s="117" t="n">
        <x:f>SUM('CF_1'!CP15,'CF_2'!CP15,'CF_3'!CP15,'CF_4'!CP15)</x:f>
      </x:c>
      <x:c r="CQ15" s="117" t="n">
        <x:f>SUM('CF_1'!CQ15,'CF_2'!CQ15,'CF_3'!CQ15,'CF_4'!CQ15)</x:f>
      </x:c>
      <x:c r="CR15" s="117" t="n">
        <x:f>SUM('CF_1'!CR15,'CF_2'!CR15,'CF_3'!CR15,'CF_4'!CR15)</x:f>
      </x:c>
      <x:c r="CS15" s="117" t="n">
        <x:f>SUM('CF_1'!CS15,'CF_2'!CS15,'CF_3'!CS15,'CF_4'!CS15)</x:f>
      </x:c>
      <x:c r="CT15" s="117" t="n">
        <x:f>SUM('CF_1'!CT15,'CF_2'!CT15,'CF_3'!CT15,'CF_4'!CT15)</x:f>
      </x:c>
      <x:c r="CU15" s="117" t="n">
        <x:f>SUM('CF_1'!CU15,'CF_2'!CU15,'CF_3'!CU15,'CF_4'!CU15)</x:f>
      </x:c>
      <x:c r="CV15" s="117" t="n">
        <x:f>SUM('CF_1'!CV15,'CF_2'!CV15,'CF_3'!CV15,'CF_4'!CV15)</x:f>
      </x:c>
      <x:c r="CW15" s="117" t="n">
        <x:f>SUM('CF_1'!CW15,'CF_2'!CW15,'CF_3'!CW15,'CF_4'!CW15)</x:f>
      </x:c>
      <x:c r="CX15" s="117" t="n">
        <x:f>SUM('CF_1'!CX15,'CF_2'!CX15,'CF_3'!CX15,'CF_4'!CX15)</x:f>
      </x:c>
      <x:c r="CY15" s="117" t="n">
        <x:f>SUM('CF_1'!CY15,'CF_2'!CY15,'CF_3'!CY15,'CF_4'!CY15)</x:f>
      </x:c>
      <x:c r="CZ15" s="117" t="n">
        <x:f>SUM('CF_1'!CZ15,'CF_2'!CZ15,'CF_3'!CZ15,'CF_4'!CZ15)</x:f>
      </x:c>
      <x:c r="DA15" s="117" t="n">
        <x:f>SUM('CF_1'!DA15,'CF_2'!DA15,'CF_3'!DA15,'CF_4'!DA15)</x:f>
      </x:c>
      <x:c r="DB15" s="117" t="n">
        <x:f>SUM('CF_1'!DB15,'CF_2'!DB15,'CF_3'!DB15,'CF_4'!DB15)</x:f>
      </x:c>
      <x:c r="DC15" s="117" t="n">
        <x:f>SUM('CF_1'!DC15,'CF_2'!DC15,'CF_3'!DC15,'CF_4'!DC15)</x:f>
      </x:c>
      <x:c r="DD15" s="117" t="n">
        <x:f>SUM('CF_1'!DD15,'CF_2'!DD15,'CF_3'!DD15,'CF_4'!DD15)</x:f>
      </x:c>
      <x:c r="DE15" s="117" t="n">
        <x:f>SUM('CF_1'!DE15,'CF_2'!DE15,'CF_3'!DE15,'CF_4'!DE15)</x:f>
      </x:c>
      <x:c r="DF15" s="117" t="n">
        <x:f>SUM('CF_1'!DF15,'CF_2'!DF15,'CF_3'!DF15,'CF_4'!DF15)</x:f>
      </x:c>
      <x:c r="DG15" s="117" t="n">
        <x:f>SUM('CF_1'!DG15,'CF_2'!DG15,'CF_3'!DG15,'CF_4'!DG15)</x:f>
      </x:c>
      <x:c r="DH15" s="117" t="n">
        <x:f>SUM('CF_1'!DH15,'CF_2'!DH15,'CF_3'!DH15,'CF_4'!DH15)</x:f>
      </x:c>
      <x:c r="DI15" s="117" t="n">
        <x:f>SUM('CF_1'!DI15,'CF_2'!DI15,'CF_3'!DI15,'CF_4'!DI15)</x:f>
      </x:c>
      <x:c r="DJ15" s="117" t="n">
        <x:f>SUM('CF_1'!DJ15,'CF_2'!DJ15,'CF_3'!DJ15,'CF_4'!DJ15)</x:f>
      </x:c>
      <x:c r="DK15" s="117" t="n">
        <x:f>SUM('CF_1'!DK15,'CF_2'!DK15,'CF_3'!DK15,'CF_4'!DK15)</x:f>
      </x:c>
      <x:c r="DL15" s="117" t="n">
        <x:f>SUM('CF_1'!DL15,'CF_2'!DL15,'CF_3'!DL15,'CF_4'!DL15)</x:f>
      </x:c>
      <x:c r="DM15" s="117" t="n">
        <x:f>SUM('CF_1'!DM15,'CF_2'!DM15,'CF_3'!DM15,'CF_4'!DM15)</x:f>
      </x:c>
      <x:c r="DN15" s="117" t="n">
        <x:f>SUM('CF_1'!DN15,'CF_2'!DN15,'CF_3'!DN15,'CF_4'!DN15)</x:f>
      </x:c>
      <x:c r="DO15" s="117" t="n">
        <x:f>SUM('CF_1'!DO15,'CF_2'!DO15,'CF_3'!DO15,'CF_4'!DO15)</x:f>
      </x:c>
      <x:c r="DP15" s="117" t="n">
        <x:f>SUM('CF_1'!DP15,'CF_2'!DP15,'CF_3'!DP15,'CF_4'!DP15)</x:f>
      </x:c>
      <x:c r="DQ15" s="117" t="n">
        <x:f>SUM('CF_1'!DQ15,'CF_2'!DQ15,'CF_3'!DQ15,'CF_4'!DQ15)</x:f>
      </x:c>
      <x:c r="DR15" s="117" t="n">
        <x:f>SUM('CF_1'!DR15,'CF_2'!DR15,'CF_3'!DR15,'CF_4'!DR15)</x:f>
      </x:c>
      <x:c r="DS15" s="117" t="n">
        <x:f>SUM('CF_1'!DS15,'CF_2'!DS15,'CF_3'!DS15,'CF_4'!DS15)</x:f>
      </x:c>
      <x:c r="DT15" s="117" t="n">
        <x:f>SUM('CF_1'!DT15,'CF_2'!DT15,'CF_3'!DT15,'CF_4'!DT15)</x:f>
      </x:c>
      <x:c r="DU15" s="117" t="n">
        <x:f>SUM('CF_1'!DU15,'CF_2'!DU15,'CF_3'!DU15,'CF_4'!DU15)</x:f>
      </x:c>
      <x:c r="DV15" s="117" t="n">
        <x:f>SUM('CF_1'!DV15,'CF_2'!DV15,'CF_3'!DV15,'CF_4'!DV15)</x:f>
      </x:c>
      <x:c r="DW15" s="117" t="n">
        <x:f>SUM('CF_1'!DW15,'CF_2'!DW15,'CF_3'!DW15,'CF_4'!DW15)</x:f>
      </x:c>
      <x:c r="DX15" s="117" t="n">
        <x:f>SUM('CF_1'!DX15,'CF_2'!DX15,'CF_3'!DX15,'CF_4'!DX15)</x:f>
      </x:c>
      <x:c r="DY15" s="117" t="n">
        <x:f>SUM('CF_1'!DY15,'CF_2'!DY15,'CF_3'!DY15,'CF_4'!DY15)</x:f>
      </x:c>
      <x:c r="DZ15" s="117" t="n">
        <x:f>SUM('CF_1'!DZ15,'CF_2'!DZ15,'CF_3'!DZ15,'CF_4'!DZ15)</x:f>
      </x:c>
      <x:c r="EA15" s="117" t="n">
        <x:f>SUM('CF_1'!EA15,'CF_2'!EA15,'CF_3'!EA15,'CF_4'!EA15)</x:f>
      </x:c>
      <x:c r="EB15" s="117" t="n">
        <x:f>SUM('CF_1'!EB15,'CF_2'!EB15,'CF_3'!EB15,'CF_4'!EB15)</x:f>
      </x:c>
      <x:c r="EC15" s="117" t="n">
        <x:f>SUM('CF_1'!EC15,'CF_2'!EC15,'CF_3'!EC15,'CF_4'!EC15)</x:f>
      </x:c>
      <x:c r="ED15" s="117" t="n">
        <x:f>SUM('CF_1'!ED15,'CF_2'!ED15,'CF_3'!ED15,'CF_4'!ED15)</x:f>
      </x:c>
      <x:c r="EE15" s="117" t="n">
        <x:f>SUM('CF_1'!EE15,'CF_2'!EE15,'CF_3'!EE15,'CF_4'!EE15)</x:f>
      </x:c>
      <x:c r="EF15" s="117" t="n">
        <x:f>SUM('CF_1'!EF15,'CF_2'!EF15,'CF_3'!EF15,'CF_4'!EF15)</x:f>
      </x:c>
      <x:c r="EG15" s="117" t="n">
        <x:f>SUM('CF_1'!EG15,'CF_2'!EG15,'CF_3'!EG15,'CF_4'!EG15)</x:f>
      </x:c>
      <x:c r="EH15" s="117" t="n">
        <x:f>SUM('CF_1'!EH15,'CF_2'!EH15,'CF_3'!EH15,'CF_4'!EH15)</x:f>
      </x:c>
      <x:c r="EI15" s="117" t="n">
        <x:f>SUM('CF_1'!EI15,'CF_2'!EI15,'CF_3'!EI15,'CF_4'!EI15)</x:f>
      </x:c>
      <x:c r="EJ15" s="117" t="n">
        <x:f>SUM('CF_1'!EJ15,'CF_2'!EJ15,'CF_3'!EJ15,'CF_4'!EJ15)</x:f>
      </x:c>
      <x:c r="EK15" s="117" t="n">
        <x:f>SUM('CF_1'!EK15,'CF_2'!EK15,'CF_3'!EK15,'CF_4'!EK15)</x:f>
      </x:c>
      <x:c r="EL15" s="117" t="n">
        <x:f>SUM('CF_1'!EL15,'CF_2'!EL15,'CF_3'!EL15,'CF_4'!EL15)</x:f>
      </x:c>
      <x:c r="EM15" s="117" t="n">
        <x:f>SUM('CF_1'!EM15,'CF_2'!EM15,'CF_3'!EM15,'CF_4'!EM15)</x:f>
      </x:c>
      <x:c r="EN15" s="117" t="n">
        <x:f>SUM('CF_1'!EN15,'CF_2'!EN15,'CF_3'!EN15,'CF_4'!EN15)</x:f>
      </x:c>
      <x:c r="EO15" s="117" t="n">
        <x:f>SUM('CF_1'!EO15,'CF_2'!EO15,'CF_3'!EO15,'CF_4'!EO15)</x:f>
      </x:c>
      <x:c r="EP15" s="117" t="n">
        <x:f>SUM('CF_1'!EP15,'CF_2'!EP15,'CF_3'!EP15,'CF_4'!EP15)</x:f>
      </x:c>
      <x:c r="EQ15" s="117" t="n">
        <x:f>SUM('CF_1'!EQ15,'CF_2'!EQ15,'CF_3'!EQ15,'CF_4'!EQ15)</x:f>
      </x:c>
      <x:c r="ER15" s="117" t="n">
        <x:f>SUM('CF_1'!ER15,'CF_2'!ER15,'CF_3'!ER15,'CF_4'!ER15)</x:f>
      </x:c>
      <x:c r="ES15" s="117" t="n">
        <x:f>SUM('CF_1'!ES15,'CF_2'!ES15,'CF_3'!ES15,'CF_4'!ES15)</x:f>
      </x:c>
      <x:c r="ET15" s="117" t="n">
        <x:f>SUM('CF_1'!ET15,'CF_2'!ET15,'CF_3'!ET15,'CF_4'!ET15)</x:f>
      </x:c>
      <x:c r="EU15" s="117" t="n">
        <x:f>SUM('CF_1'!EU15,'CF_2'!EU15,'CF_3'!EU15,'CF_4'!EU15)</x:f>
      </x:c>
      <x:c r="EV15" s="117" t="n">
        <x:f>SUM('CF_1'!EV15,'CF_2'!EV15,'CF_3'!EV15,'CF_4'!EV15)</x:f>
      </x:c>
      <x:c r="EW15" s="117" t="n">
        <x:f>SUM('CF_1'!EW15,'CF_2'!EW15,'CF_3'!EW15,'CF_4'!EW15)</x:f>
      </x:c>
      <x:c r="EX15" s="117" t="n">
        <x:f>SUM('CF_1'!EX15,'CF_2'!EX15,'CF_3'!EX15,'CF_4'!EX15)</x:f>
      </x:c>
      <x:c r="EY15" s="117" t="n">
        <x:f>SUM('CF_1'!EY15,'CF_2'!EY15,'CF_3'!EY15,'CF_4'!EY15)</x:f>
      </x:c>
      <x:c r="EZ15" s="117" t="n">
        <x:f>SUM('CF_1'!EZ15,'CF_2'!EZ15,'CF_3'!EZ15,'CF_4'!EZ15)</x:f>
      </x:c>
      <x:c r="FA15" s="117" t="n">
        <x:f>SUM('CF_1'!FA15,'CF_2'!FA15,'CF_3'!FA15,'CF_4'!FA15)</x:f>
      </x:c>
      <x:c r="FB15" s="117" t="n">
        <x:f>SUM('CF_1'!FB15,'CF_2'!FB15,'CF_3'!FB15,'CF_4'!FB15)</x:f>
      </x:c>
      <x:c r="FC15" s="117" t="n">
        <x:f>SUM('CF_1'!FC15,'CF_2'!FC15,'CF_3'!FC15,'CF_4'!FC15)</x:f>
      </x:c>
      <x:c r="FD15" s="117" t="n">
        <x:f>SUM('CF_1'!FD15,'CF_2'!FD15,'CF_3'!FD15,'CF_4'!FD15)</x:f>
      </x:c>
      <x:c r="FE15" s="117" t="n">
        <x:f>SUM('CF_1'!FE15,'CF_2'!FE15,'CF_3'!FE15,'CF_4'!FE15)</x:f>
      </x:c>
      <x:c r="FF15" s="117" t="n">
        <x:f>SUM('CF_1'!FF15,'CF_2'!FF15,'CF_3'!FF15,'CF_4'!FF15)</x:f>
      </x:c>
      <x:c r="FG15" s="117" t="n">
        <x:f>SUM('CF_1'!FG15,'CF_2'!FG15,'CF_3'!FG15,'CF_4'!FG15)</x:f>
      </x:c>
      <x:c r="FH15" s="117" t="n">
        <x:f>SUM('CF_1'!FH15,'CF_2'!FH15,'CF_3'!FH15,'CF_4'!FH15)</x:f>
      </x:c>
      <x:c r="FI15" s="117" t="n">
        <x:f>SUM('CF_1'!FI15,'CF_2'!FI15,'CF_3'!FI15,'CF_4'!FI15)</x:f>
      </x:c>
      <x:c r="FJ15" s="117" t="n">
        <x:f>SUM('CF_1'!FJ15,'CF_2'!FJ15,'CF_3'!FJ15,'CF_4'!FJ15)</x:f>
      </x:c>
      <x:c r="FK15" s="117" t="n">
        <x:f>SUM('CF_1'!FK15,'CF_2'!FK15,'CF_3'!FK15,'CF_4'!FK15)</x:f>
      </x:c>
      <x:c r="FL15" s="117" t="n">
        <x:f>SUM('CF_1'!FL15,'CF_2'!FL15,'CF_3'!FL15,'CF_4'!FL15)</x:f>
      </x:c>
      <x:c r="FM15" s="117" t="n">
        <x:f>SUM('CF_1'!FM15,'CF_2'!FM15,'CF_3'!FM15,'CF_4'!FM15)</x:f>
      </x:c>
      <x:c r="FN15" s="117" t="n">
        <x:f>SUM('CF_1'!FN15,'CF_2'!FN15,'CF_3'!FN15,'CF_4'!FN15)</x:f>
      </x:c>
      <x:c r="FO15" s="117" t="n">
        <x:f>SUM('CF_1'!FO15,'CF_2'!FO15,'CF_3'!FO15,'CF_4'!FO15)</x:f>
      </x:c>
      <x:c r="FP15" s="117" t="n">
        <x:f>SUM('CF_1'!FP15,'CF_2'!FP15,'CF_3'!FP15,'CF_4'!FP15)</x:f>
      </x:c>
      <x:c r="FQ15" s="117" t="n">
        <x:f>SUM('CF_1'!FQ15,'CF_2'!FQ15,'CF_3'!FQ15,'CF_4'!FQ15)</x:f>
      </x:c>
      <x:c r="FR15" s="117" t="n">
        <x:f>SUM('CF_1'!FR15,'CF_2'!FR15,'CF_3'!FR15,'CF_4'!FR15)</x:f>
      </x:c>
      <x:c r="FS15" s="117" t="n">
        <x:f>SUM('CF_1'!FS15,'CF_2'!FS15,'CF_3'!FS15,'CF_4'!FS15)</x:f>
      </x:c>
      <x:c r="FT15" s="117" t="n">
        <x:f>SUM('CF_1'!FT15,'CF_2'!FT15,'CF_3'!FT15,'CF_4'!FT15)</x:f>
      </x:c>
      <x:c r="FU15" s="117" t="n">
        <x:f>SUM('CF_1'!FU15,'CF_2'!FU15,'CF_3'!FU15,'CF_4'!FU15)</x:f>
      </x:c>
      <x:c r="FV15" s="117" t="n">
        <x:f>SUM('CF_1'!FV15,'CF_2'!FV15,'CF_3'!FV15,'CF_4'!FV15)</x:f>
      </x:c>
      <x:c r="FW15" s="117" t="n">
        <x:f>SUM('CF_1'!FW15,'CF_2'!FW15,'CF_3'!FW15,'CF_4'!FW15)</x:f>
      </x:c>
      <x:c r="FX15" s="117" t="n">
        <x:f>SUM('CF_1'!FX15,'CF_2'!FX15,'CF_3'!FX15,'CF_4'!FX15)</x:f>
      </x:c>
      <x:c r="FY15" s="117" t="n">
        <x:f>SUM('CF_1'!FY15,'CF_2'!FY15,'CF_3'!FY15,'CF_4'!FY15)</x:f>
      </x:c>
      <x:c r="FZ15" s="117" t="n">
        <x:f>SUM('CF_1'!FZ15,'CF_2'!FZ15,'CF_3'!FZ15,'CF_4'!FZ15)</x:f>
      </x:c>
      <x:c r="GA15" s="117" t="n">
        <x:f>SUM('CF_1'!GA15,'CF_2'!GA15,'CF_3'!GA15,'CF_4'!GA15)</x:f>
      </x:c>
    </x:row>
    <x:row r="16">
      <x:c r="A16" s="113" t="str">
        <x:v>Долг всего</x:v>
      </x:c>
      <x:c r="B16" s="113" t="n">
        <x:f>MAX(D16:GA16)</x:f>
      </x:c>
      <x:c r="C16" s="113" t="str">
        <x:v>млн ₽</x:v>
      </x:c>
      <x:c r="D16" s="120" t="n">
        <x:f>SUM(D9,D14)</x:f>
      </x:c>
      <x:c r="E16" s="120" t="n">
        <x:f>SUM(E9,E14)</x:f>
      </x:c>
      <x:c r="F16" s="120" t="n">
        <x:f>SUM(F9,F14)</x:f>
      </x:c>
      <x:c r="G16" s="120" t="n">
        <x:f>SUM(G9,G14)</x:f>
      </x:c>
      <x:c r="H16" s="120" t="n">
        <x:f>SUM(H9,H14)</x:f>
      </x:c>
      <x:c r="I16" s="120" t="n">
        <x:f>SUM(I9,I14)</x:f>
      </x:c>
      <x:c r="J16" s="120" t="n">
        <x:f>SUM(J9,J14)</x:f>
      </x:c>
      <x:c r="K16" s="120" t="n">
        <x:f>SUM(K9,K14)</x:f>
      </x:c>
      <x:c r="L16" s="120" t="n">
        <x:f>SUM(L9,L14)</x:f>
      </x:c>
      <x:c r="M16" s="120" t="n">
        <x:f>SUM(M9,M14)</x:f>
      </x:c>
      <x:c r="N16" s="120" t="n">
        <x:f>SUM(N9,N14)</x:f>
      </x:c>
      <x:c r="O16" s="120" t="n">
        <x:f>SUM(O9,O14)</x:f>
      </x:c>
      <x:c r="P16" s="120" t="n">
        <x:f>SUM(P9,P14)</x:f>
      </x:c>
      <x:c r="Q16" s="120" t="n">
        <x:f>SUM(Q9,Q14)</x:f>
      </x:c>
      <x:c r="R16" s="120" t="n">
        <x:f>SUM(R9,R14)</x:f>
      </x:c>
      <x:c r="S16" s="120" t="n">
        <x:f>SUM(S9,S14)</x:f>
      </x:c>
      <x:c r="T16" s="120" t="n">
        <x:f>SUM(T9,T14)</x:f>
      </x:c>
      <x:c r="U16" s="120" t="n">
        <x:f>SUM(U9,U14)</x:f>
      </x:c>
      <x:c r="V16" s="120" t="n">
        <x:f>SUM(V9,V14)</x:f>
      </x:c>
      <x:c r="W16" s="120" t="n">
        <x:f>SUM(W9,W14)</x:f>
      </x:c>
      <x:c r="X16" s="120" t="n">
        <x:f>SUM(X9,X14)</x:f>
      </x:c>
      <x:c r="Y16" s="120" t="n">
        <x:f>SUM(Y9,Y14)</x:f>
      </x:c>
      <x:c r="Z16" s="120" t="n">
        <x:f>SUM(Z9,Z14)</x:f>
      </x:c>
      <x:c r="AA16" s="120" t="n">
        <x:f>SUM(AA9,AA14)</x:f>
      </x:c>
      <x:c r="AB16" s="120" t="n">
        <x:f>SUM(AB9,AB14)</x:f>
      </x:c>
      <x:c r="AC16" s="120" t="n">
        <x:f>SUM(AC9,AC14)</x:f>
      </x:c>
      <x:c r="AD16" s="120" t="n">
        <x:f>SUM(AD9,AD14)</x:f>
      </x:c>
      <x:c r="AE16" s="120" t="n">
        <x:f>SUM(AE9,AE14)</x:f>
      </x:c>
      <x:c r="AF16" s="120" t="n">
        <x:f>SUM(AF9,AF14)</x:f>
      </x:c>
      <x:c r="AG16" s="120" t="n">
        <x:f>SUM(AG9,AG14)</x:f>
      </x:c>
      <x:c r="AH16" s="120" t="n">
        <x:f>SUM(AH9,AH14)</x:f>
      </x:c>
      <x:c r="AI16" s="120" t="n">
        <x:f>SUM(AI9,AI14)</x:f>
      </x:c>
      <x:c r="AJ16" s="120" t="n">
        <x:f>SUM(AJ9,AJ14)</x:f>
      </x:c>
      <x:c r="AK16" s="120" t="n">
        <x:f>SUM(AK9,AK14)</x:f>
      </x:c>
      <x:c r="AL16" s="120" t="n">
        <x:f>SUM(AL9,AL14)</x:f>
      </x:c>
      <x:c r="AM16" s="120" t="n">
        <x:f>SUM(AM9,AM14)</x:f>
      </x:c>
      <x:c r="AN16" s="120" t="n">
        <x:f>SUM(AN9,AN14)</x:f>
      </x:c>
      <x:c r="AO16" s="120" t="n">
        <x:f>SUM(AO9,AO14)</x:f>
      </x:c>
      <x:c r="AP16" s="120" t="n">
        <x:f>SUM(AP9,AP14)</x:f>
      </x:c>
      <x:c r="AQ16" s="120" t="n">
        <x:f>SUM(AQ9,AQ14)</x:f>
      </x:c>
      <x:c r="AR16" s="120" t="n">
        <x:f>SUM(AR9,AR14)</x:f>
      </x:c>
      <x:c r="AS16" s="120" t="n">
        <x:f>SUM(AS9,AS14)</x:f>
      </x:c>
      <x:c r="AT16" s="120" t="n">
        <x:f>SUM(AT9,AT14)</x:f>
      </x:c>
      <x:c r="AU16" s="120" t="n">
        <x:f>SUM(AU9,AU14)</x:f>
      </x:c>
      <x:c r="AV16" s="120" t="n">
        <x:f>SUM(AV9,AV14)</x:f>
      </x:c>
      <x:c r="AW16" s="120" t="n">
        <x:f>SUM(AW9,AW14)</x:f>
      </x:c>
      <x:c r="AX16" s="120" t="n">
        <x:f>SUM(AX9,AX14)</x:f>
      </x:c>
      <x:c r="AY16" s="120" t="n">
        <x:f>SUM(AY9,AY14)</x:f>
      </x:c>
      <x:c r="AZ16" s="120" t="n">
        <x:f>SUM(AZ9,AZ14)</x:f>
      </x:c>
      <x:c r="BA16" s="120" t="n">
        <x:f>SUM(BA9,BA14)</x:f>
      </x:c>
      <x:c r="BB16" s="120" t="n">
        <x:f>SUM(BB9,BB14)</x:f>
      </x:c>
      <x:c r="BC16" s="120" t="n">
        <x:f>SUM(BC9,BC14)</x:f>
      </x:c>
      <x:c r="BD16" s="120" t="n">
        <x:f>SUM(BD9,BD14)</x:f>
      </x:c>
      <x:c r="BE16" s="120" t="n">
        <x:f>SUM(BE9,BE14)</x:f>
      </x:c>
      <x:c r="BF16" s="120" t="n">
        <x:f>SUM(BF9,BF14)</x:f>
      </x:c>
      <x:c r="BG16" s="120" t="n">
        <x:f>SUM(BG9,BG14)</x:f>
      </x:c>
      <x:c r="BH16" s="120" t="n">
        <x:f>SUM(BH9,BH14)</x:f>
      </x:c>
      <x:c r="BI16" s="120" t="n">
        <x:f>SUM(BI9,BI14)</x:f>
      </x:c>
      <x:c r="BJ16" s="120" t="n">
        <x:f>SUM(BJ9,BJ14)</x:f>
      </x:c>
      <x:c r="BK16" s="120" t="n">
        <x:f>SUM(BK9,BK14)</x:f>
      </x:c>
      <x:c r="BL16" s="120" t="n">
        <x:f>SUM(BL9,BL14)</x:f>
      </x:c>
      <x:c r="BM16" s="120" t="n">
        <x:f>SUM(BM9,BM14)</x:f>
      </x:c>
      <x:c r="BN16" s="120" t="n">
        <x:f>SUM(BN9,BN14)</x:f>
      </x:c>
      <x:c r="BO16" s="120" t="n">
        <x:f>SUM(BO9,BO14)</x:f>
      </x:c>
      <x:c r="BP16" s="120" t="n">
        <x:f>SUM(BP9,BP14)</x:f>
      </x:c>
      <x:c r="BQ16" s="120" t="n">
        <x:f>SUM(BQ9,BQ14)</x:f>
      </x:c>
      <x:c r="BR16" s="120" t="n">
        <x:f>SUM(BR9,BR14)</x:f>
      </x:c>
      <x:c r="BS16" s="120" t="n">
        <x:f>SUM(BS9,BS14)</x:f>
      </x:c>
      <x:c r="BT16" s="120" t="n">
        <x:f>SUM(BT9,BT14)</x:f>
      </x:c>
      <x:c r="BU16" s="120" t="n">
        <x:f>SUM(BU9,BU14)</x:f>
      </x:c>
      <x:c r="BV16" s="120" t="n">
        <x:f>SUM(BV9,BV14)</x:f>
      </x:c>
      <x:c r="BW16" s="120" t="n">
        <x:f>SUM(BW9,BW14)</x:f>
      </x:c>
      <x:c r="BX16" s="120" t="n">
        <x:f>SUM(BX9,BX14)</x:f>
      </x:c>
      <x:c r="BY16" s="120" t="n">
        <x:f>SUM(BY9,BY14)</x:f>
      </x:c>
      <x:c r="BZ16" s="120" t="n">
        <x:f>SUM(BZ9,BZ14)</x:f>
      </x:c>
      <x:c r="CA16" s="120" t="n">
        <x:f>SUM(CA9,CA14)</x:f>
      </x:c>
      <x:c r="CB16" s="120" t="n">
        <x:f>SUM(CB9,CB14)</x:f>
      </x:c>
      <x:c r="CC16" s="120" t="n">
        <x:f>SUM(CC9,CC14)</x:f>
      </x:c>
      <x:c r="CD16" s="120" t="n">
        <x:f>SUM(CD9,CD14)</x:f>
      </x:c>
      <x:c r="CE16" s="120" t="n">
        <x:f>SUM(CE9,CE14)</x:f>
      </x:c>
      <x:c r="CF16" s="120" t="n">
        <x:f>SUM(CF9,CF14)</x:f>
      </x:c>
      <x:c r="CG16" s="120" t="n">
        <x:f>SUM(CG9,CG14)</x:f>
      </x:c>
      <x:c r="CH16" s="120" t="n">
        <x:f>SUM(CH9,CH14)</x:f>
      </x:c>
      <x:c r="CI16" s="120" t="n">
        <x:f>SUM(CI9,CI14)</x:f>
      </x:c>
      <x:c r="CJ16" s="120" t="n">
        <x:f>SUM(CJ9,CJ14)</x:f>
      </x:c>
      <x:c r="CK16" s="120" t="n">
        <x:f>SUM(CK9,CK14)</x:f>
      </x:c>
      <x:c r="CL16" s="120" t="n">
        <x:f>SUM(CL9,CL14)</x:f>
      </x:c>
      <x:c r="CM16" s="120" t="n">
        <x:f>SUM(CM9,CM14)</x:f>
      </x:c>
      <x:c r="CN16" s="120" t="n">
        <x:f>SUM(CN9,CN14)</x:f>
      </x:c>
      <x:c r="CO16" s="120" t="n">
        <x:f>SUM(CO9,CO14)</x:f>
      </x:c>
      <x:c r="CP16" s="120" t="n">
        <x:f>SUM(CP9,CP14)</x:f>
      </x:c>
      <x:c r="CQ16" s="120" t="n">
        <x:f>SUM(CQ9,CQ14)</x:f>
      </x:c>
      <x:c r="CR16" s="120" t="n">
        <x:f>SUM(CR9,CR14)</x:f>
      </x:c>
      <x:c r="CS16" s="120" t="n">
        <x:f>SUM(CS9,CS14)</x:f>
      </x:c>
      <x:c r="CT16" s="120" t="n">
        <x:f>SUM(CT9,CT14)</x:f>
      </x:c>
      <x:c r="CU16" s="120" t="n">
        <x:f>SUM(CU9,CU14)</x:f>
      </x:c>
      <x:c r="CV16" s="120" t="n">
        <x:f>SUM(CV9,CV14)</x:f>
      </x:c>
      <x:c r="CW16" s="120" t="n">
        <x:f>SUM(CW9,CW14)</x:f>
      </x:c>
      <x:c r="CX16" s="120" t="n">
        <x:f>SUM(CX9,CX14)</x:f>
      </x:c>
      <x:c r="CY16" s="120" t="n">
        <x:f>SUM(CY9,CY14)</x:f>
      </x:c>
      <x:c r="CZ16" s="120" t="n">
        <x:f>SUM(CZ9,CZ14)</x:f>
      </x:c>
      <x:c r="DA16" s="120" t="n">
        <x:f>SUM(DA9,DA14)</x:f>
      </x:c>
      <x:c r="DB16" s="120" t="n">
        <x:f>SUM(DB9,DB14)</x:f>
      </x:c>
      <x:c r="DC16" s="120" t="n">
        <x:f>SUM(DC9,DC14)</x:f>
      </x:c>
      <x:c r="DD16" s="120" t="n">
        <x:f>SUM(DD9,DD14)</x:f>
      </x:c>
      <x:c r="DE16" s="120" t="n">
        <x:f>SUM(DE9,DE14)</x:f>
      </x:c>
      <x:c r="DF16" s="120" t="n">
        <x:f>SUM(DF9,DF14)</x:f>
      </x:c>
      <x:c r="DG16" s="120" t="n">
        <x:f>SUM(DG9,DG14)</x:f>
      </x:c>
      <x:c r="DH16" s="120" t="n">
        <x:f>SUM(DH9,DH14)</x:f>
      </x:c>
      <x:c r="DI16" s="120" t="n">
        <x:f>SUM(DI9,DI14)</x:f>
      </x:c>
      <x:c r="DJ16" s="120" t="n">
        <x:f>SUM(DJ9,DJ14)</x:f>
      </x:c>
      <x:c r="DK16" s="120" t="n">
        <x:f>SUM(DK9,DK14)</x:f>
      </x:c>
      <x:c r="DL16" s="120" t="n">
        <x:f>SUM(DL9,DL14)</x:f>
      </x:c>
      <x:c r="DM16" s="120" t="n">
        <x:f>SUM(DM9,DM14)</x:f>
      </x:c>
      <x:c r="DN16" s="120" t="n">
        <x:f>SUM(DN9,DN14)</x:f>
      </x:c>
      <x:c r="DO16" s="120" t="n">
        <x:f>SUM(DO9,DO14)</x:f>
      </x:c>
      <x:c r="DP16" s="120" t="n">
        <x:f>SUM(DP9,DP14)</x:f>
      </x:c>
      <x:c r="DQ16" s="120" t="n">
        <x:f>SUM(DQ9,DQ14)</x:f>
      </x:c>
      <x:c r="DR16" s="120" t="n">
        <x:f>SUM(DR9,DR14)</x:f>
      </x:c>
      <x:c r="DS16" s="120" t="n">
        <x:f>SUM(DS9,DS14)</x:f>
      </x:c>
      <x:c r="DT16" s="120" t="n">
        <x:f>SUM(DT9,DT14)</x:f>
      </x:c>
      <x:c r="DU16" s="120" t="n">
        <x:f>SUM(DU9,DU14)</x:f>
      </x:c>
      <x:c r="DV16" s="120" t="n">
        <x:f>SUM(DV9,DV14)</x:f>
      </x:c>
      <x:c r="DW16" s="120" t="n">
        <x:f>SUM(DW9,DW14)</x:f>
      </x:c>
      <x:c r="DX16" s="120" t="n">
        <x:f>SUM(DX9,DX14)</x:f>
      </x:c>
      <x:c r="DY16" s="120" t="n">
        <x:f>SUM(DY9,DY14)</x:f>
      </x:c>
      <x:c r="DZ16" s="120" t="n">
        <x:f>SUM(DZ9,DZ14)</x:f>
      </x:c>
      <x:c r="EA16" s="120" t="n">
        <x:f>SUM(EA9,EA14)</x:f>
      </x:c>
      <x:c r="EB16" s="120" t="n">
        <x:f>SUM(EB9,EB14)</x:f>
      </x:c>
      <x:c r="EC16" s="120" t="n">
        <x:f>SUM(EC9,EC14)</x:f>
      </x:c>
      <x:c r="ED16" s="120" t="n">
        <x:f>SUM(ED9,ED14)</x:f>
      </x:c>
      <x:c r="EE16" s="120" t="n">
        <x:f>SUM(EE9,EE14)</x:f>
      </x:c>
      <x:c r="EF16" s="120" t="n">
        <x:f>SUM(EF9,EF14)</x:f>
      </x:c>
      <x:c r="EG16" s="120" t="n">
        <x:f>SUM(EG9,EG14)</x:f>
      </x:c>
      <x:c r="EH16" s="120" t="n">
        <x:f>SUM(EH9,EH14)</x:f>
      </x:c>
      <x:c r="EI16" s="120" t="n">
        <x:f>SUM(EI9,EI14)</x:f>
      </x:c>
      <x:c r="EJ16" s="120" t="n">
        <x:f>SUM(EJ9,EJ14)</x:f>
      </x:c>
      <x:c r="EK16" s="120" t="n">
        <x:f>SUM(EK9,EK14)</x:f>
      </x:c>
      <x:c r="EL16" s="120" t="n">
        <x:f>SUM(EL9,EL14)</x:f>
      </x:c>
      <x:c r="EM16" s="120" t="n">
        <x:f>SUM(EM9,EM14)</x:f>
      </x:c>
      <x:c r="EN16" s="120" t="n">
        <x:f>SUM(EN9,EN14)</x:f>
      </x:c>
      <x:c r="EO16" s="120" t="n">
        <x:f>SUM(EO9,EO14)</x:f>
      </x:c>
      <x:c r="EP16" s="120" t="n">
        <x:f>SUM(EP9,EP14)</x:f>
      </x:c>
      <x:c r="EQ16" s="120" t="n">
        <x:f>SUM(EQ9,EQ14)</x:f>
      </x:c>
      <x:c r="ER16" s="120" t="n">
        <x:f>SUM(ER9,ER14)</x:f>
      </x:c>
      <x:c r="ES16" s="120" t="n">
        <x:f>SUM(ES9,ES14)</x:f>
      </x:c>
      <x:c r="ET16" s="120" t="n">
        <x:f>SUM(ET9,ET14)</x:f>
      </x:c>
      <x:c r="EU16" s="120" t="n">
        <x:f>SUM(EU9,EU14)</x:f>
      </x:c>
      <x:c r="EV16" s="120" t="n">
        <x:f>SUM(EV9,EV14)</x:f>
      </x:c>
      <x:c r="EW16" s="120" t="n">
        <x:f>SUM(EW9,EW14)</x:f>
      </x:c>
      <x:c r="EX16" s="120" t="n">
        <x:f>SUM(EX9,EX14)</x:f>
      </x:c>
      <x:c r="EY16" s="120" t="n">
        <x:f>SUM(EY9,EY14)</x:f>
      </x:c>
      <x:c r="EZ16" s="120" t="n">
        <x:f>SUM(EZ9,EZ14)</x:f>
      </x:c>
      <x:c r="FA16" s="120" t="n">
        <x:f>SUM(FA9,FA14)</x:f>
      </x:c>
      <x:c r="FB16" s="120" t="n">
        <x:f>SUM(FB9,FB14)</x:f>
      </x:c>
      <x:c r="FC16" s="120" t="n">
        <x:f>SUM(FC9,FC14)</x:f>
      </x:c>
      <x:c r="FD16" s="120" t="n">
        <x:f>SUM(FD9,FD14)</x:f>
      </x:c>
      <x:c r="FE16" s="120" t="n">
        <x:f>SUM(FE9,FE14)</x:f>
      </x:c>
      <x:c r="FF16" s="120" t="n">
        <x:f>SUM(FF9,FF14)</x:f>
      </x:c>
      <x:c r="FG16" s="120" t="n">
        <x:f>SUM(FG9,FG14)</x:f>
      </x:c>
      <x:c r="FH16" s="120" t="n">
        <x:f>SUM(FH9,FH14)</x:f>
      </x:c>
      <x:c r="FI16" s="120" t="n">
        <x:f>SUM(FI9,FI14)</x:f>
      </x:c>
      <x:c r="FJ16" s="120" t="n">
        <x:f>SUM(FJ9,FJ14)</x:f>
      </x:c>
      <x:c r="FK16" s="120" t="n">
        <x:f>SUM(FK9,FK14)</x:f>
      </x:c>
      <x:c r="FL16" s="120" t="n">
        <x:f>SUM(FL9,FL14)</x:f>
      </x:c>
      <x:c r="FM16" s="120" t="n">
        <x:f>SUM(FM9,FM14)</x:f>
      </x:c>
      <x:c r="FN16" s="120" t="n">
        <x:f>SUM(FN9,FN14)</x:f>
      </x:c>
      <x:c r="FO16" s="120" t="n">
        <x:f>SUM(FO9,FO14)</x:f>
      </x:c>
      <x:c r="FP16" s="120" t="n">
        <x:f>SUM(FP9,FP14)</x:f>
      </x:c>
      <x:c r="FQ16" s="120" t="n">
        <x:f>SUM(FQ9,FQ14)</x:f>
      </x:c>
      <x:c r="FR16" s="120" t="n">
        <x:f>SUM(FR9,FR14)</x:f>
      </x:c>
      <x:c r="FS16" s="120" t="n">
        <x:f>SUM(FS9,FS14)</x:f>
      </x:c>
      <x:c r="FT16" s="120" t="n">
        <x:f>SUM(FT9,FT14)</x:f>
      </x:c>
      <x:c r="FU16" s="120" t="n">
        <x:f>SUM(FU9,FU14)</x:f>
      </x:c>
      <x:c r="FV16" s="120" t="n">
        <x:f>SUM(FV9,FV14)</x:f>
      </x:c>
      <x:c r="FW16" s="120" t="n">
        <x:f>SUM(FW9,FW14)</x:f>
      </x:c>
      <x:c r="FX16" s="120" t="n">
        <x:f>SUM(FX9,FX14)</x:f>
      </x:c>
      <x:c r="FY16" s="120" t="n">
        <x:f>SUM(FY9,FY14)</x:f>
      </x:c>
      <x:c r="FZ16" s="120" t="n">
        <x:f>SUM(FZ9,FZ14)</x:f>
      </x:c>
      <x:c r="GA16" s="120" t="n">
        <x:f>SUM(GA9,GA14)</x:f>
      </x:c>
    </x:row>
    <x:row r="17">
      <x:c r="A17" t="str">
        <x:v>Покрытие эскроу</x:v>
      </x:c>
      <x:c r="B17" s="129" t="n">
        <x:f>MAX(D17:GA17)</x:f>
      </x:c>
      <x:c r="C17" t="str">
        <x:v>×</x:v>
      </x:c>
      <x:c r="D17" s="129" t="n">
        <x:f>IFERROR(D15/MAX(1,D14),0)</x:f>
      </x:c>
      <x:c r="E17" s="129" t="n">
        <x:f>IFERROR(E15/MAX(1,E14),0)</x:f>
      </x:c>
      <x:c r="F17" s="129" t="n">
        <x:f>IFERROR(F15/MAX(1,F14),0)</x:f>
      </x:c>
      <x:c r="G17" s="129" t="n">
        <x:f>IFERROR(G15/MAX(1,G14),0)</x:f>
      </x:c>
      <x:c r="H17" s="129" t="n">
        <x:f>IFERROR(H15/MAX(1,H14),0)</x:f>
      </x:c>
      <x:c r="I17" s="129" t="n">
        <x:f>IFERROR(I15/MAX(1,I14),0)</x:f>
      </x:c>
      <x:c r="J17" s="129" t="n">
        <x:f>IFERROR(J15/MAX(1,J14),0)</x:f>
      </x:c>
      <x:c r="K17" s="129" t="n">
        <x:f>IFERROR(K15/MAX(1,K14),0)</x:f>
      </x:c>
      <x:c r="L17" s="129" t="n">
        <x:f>IFERROR(L15/MAX(1,L14),0)</x:f>
      </x:c>
      <x:c r="M17" s="129" t="n">
        <x:f>IFERROR(M15/MAX(1,M14),0)</x:f>
      </x:c>
      <x:c r="N17" s="129" t="n">
        <x:f>IFERROR(N15/MAX(1,N14),0)</x:f>
      </x:c>
      <x:c r="O17" s="129" t="n">
        <x:f>IFERROR(O15/MAX(1,O14),0)</x:f>
      </x:c>
      <x:c r="P17" s="129" t="n">
        <x:f>IFERROR(P15/MAX(1,P14),0)</x:f>
      </x:c>
      <x:c r="Q17" s="129" t="n">
        <x:f>IFERROR(Q15/MAX(1,Q14),0)</x:f>
      </x:c>
      <x:c r="R17" s="129" t="n">
        <x:f>IFERROR(R15/MAX(1,R14),0)</x:f>
      </x:c>
      <x:c r="S17" s="129" t="n">
        <x:f>IFERROR(S15/MAX(1,S14),0)</x:f>
      </x:c>
      <x:c r="T17" s="129" t="n">
        <x:f>IFERROR(T15/MAX(1,T14),0)</x:f>
      </x:c>
      <x:c r="U17" s="129" t="n">
        <x:f>IFERROR(U15/MAX(1,U14),0)</x:f>
      </x:c>
      <x:c r="V17" s="129" t="n">
        <x:f>IFERROR(V15/MAX(1,V14),0)</x:f>
      </x:c>
      <x:c r="W17" s="129" t="n">
        <x:f>IFERROR(W15/MAX(1,W14),0)</x:f>
      </x:c>
      <x:c r="X17" s="129" t="n">
        <x:f>IFERROR(X15/MAX(1,X14),0)</x:f>
      </x:c>
      <x:c r="Y17" s="129" t="n">
        <x:f>IFERROR(Y15/MAX(1,Y14),0)</x:f>
      </x:c>
      <x:c r="Z17" s="129" t="n">
        <x:f>IFERROR(Z15/MAX(1,Z14),0)</x:f>
      </x:c>
      <x:c r="AA17" s="129" t="n">
        <x:f>IFERROR(AA15/MAX(1,AA14),0)</x:f>
      </x:c>
      <x:c r="AB17" s="129" t="n">
        <x:f>IFERROR(AB15/MAX(1,AB14),0)</x:f>
      </x:c>
      <x:c r="AC17" s="129" t="n">
        <x:f>IFERROR(AC15/MAX(1,AC14),0)</x:f>
      </x:c>
      <x:c r="AD17" s="129" t="n">
        <x:f>IFERROR(AD15/MAX(1,AD14),0)</x:f>
      </x:c>
      <x:c r="AE17" s="129" t="n">
        <x:f>IFERROR(AE15/MAX(1,AE14),0)</x:f>
      </x:c>
      <x:c r="AF17" s="129" t="n">
        <x:f>IFERROR(AF15/MAX(1,AF14),0)</x:f>
      </x:c>
      <x:c r="AG17" s="129" t="n">
        <x:f>IFERROR(AG15/MAX(1,AG14),0)</x:f>
      </x:c>
      <x:c r="AH17" s="129" t="n">
        <x:f>IFERROR(AH15/MAX(1,AH14),0)</x:f>
      </x:c>
      <x:c r="AI17" s="129" t="n">
        <x:f>IFERROR(AI15/MAX(1,AI14),0)</x:f>
      </x:c>
      <x:c r="AJ17" s="129" t="n">
        <x:f>IFERROR(AJ15/MAX(1,AJ14),0)</x:f>
      </x:c>
      <x:c r="AK17" s="129" t="n">
        <x:f>IFERROR(AK15/MAX(1,AK14),0)</x:f>
      </x:c>
      <x:c r="AL17" s="129" t="n">
        <x:f>IFERROR(AL15/MAX(1,AL14),0)</x:f>
      </x:c>
      <x:c r="AM17" s="129" t="n">
        <x:f>IFERROR(AM15/MAX(1,AM14),0)</x:f>
      </x:c>
      <x:c r="AN17" s="129" t="n">
        <x:f>IFERROR(AN15/MAX(1,AN14),0)</x:f>
      </x:c>
      <x:c r="AO17" s="129" t="n">
        <x:f>IFERROR(AO15/MAX(1,AO14),0)</x:f>
      </x:c>
      <x:c r="AP17" s="129" t="n">
        <x:f>IFERROR(AP15/MAX(1,AP14),0)</x:f>
      </x:c>
      <x:c r="AQ17" s="129" t="n">
        <x:f>IFERROR(AQ15/MAX(1,AQ14),0)</x:f>
      </x:c>
      <x:c r="AR17" s="129" t="n">
        <x:f>IFERROR(AR15/MAX(1,AR14),0)</x:f>
      </x:c>
      <x:c r="AS17" s="129" t="n">
        <x:f>IFERROR(AS15/MAX(1,AS14),0)</x:f>
      </x:c>
      <x:c r="AT17" s="129" t="n">
        <x:f>IFERROR(AT15/MAX(1,AT14),0)</x:f>
      </x:c>
      <x:c r="AU17" s="129" t="n">
        <x:f>IFERROR(AU15/MAX(1,AU14),0)</x:f>
      </x:c>
      <x:c r="AV17" s="129" t="n">
        <x:f>IFERROR(AV15/MAX(1,AV14),0)</x:f>
      </x:c>
      <x:c r="AW17" s="129" t="n">
        <x:f>IFERROR(AW15/MAX(1,AW14),0)</x:f>
      </x:c>
      <x:c r="AX17" s="129" t="n">
        <x:f>IFERROR(AX15/MAX(1,AX14),0)</x:f>
      </x:c>
      <x:c r="AY17" s="129" t="n">
        <x:f>IFERROR(AY15/MAX(1,AY14),0)</x:f>
      </x:c>
      <x:c r="AZ17" s="129" t="n">
        <x:f>IFERROR(AZ15/MAX(1,AZ14),0)</x:f>
      </x:c>
      <x:c r="BA17" s="129" t="n">
        <x:f>IFERROR(BA15/MAX(1,BA14),0)</x:f>
      </x:c>
      <x:c r="BB17" s="129" t="n">
        <x:f>IFERROR(BB15/MAX(1,BB14),0)</x:f>
      </x:c>
      <x:c r="BC17" s="129" t="n">
        <x:f>IFERROR(BC15/MAX(1,BC14),0)</x:f>
      </x:c>
      <x:c r="BD17" s="129" t="n">
        <x:f>IFERROR(BD15/MAX(1,BD14),0)</x:f>
      </x:c>
      <x:c r="BE17" s="129" t="n">
        <x:f>IFERROR(BE15/MAX(1,BE14),0)</x:f>
      </x:c>
      <x:c r="BF17" s="129" t="n">
        <x:f>IFERROR(BF15/MAX(1,BF14),0)</x:f>
      </x:c>
      <x:c r="BG17" s="129" t="n">
        <x:f>IFERROR(BG15/MAX(1,BG14),0)</x:f>
      </x:c>
      <x:c r="BH17" s="129" t="n">
        <x:f>IFERROR(BH15/MAX(1,BH14),0)</x:f>
      </x:c>
      <x:c r="BI17" s="129" t="n">
        <x:f>IFERROR(BI15/MAX(1,BI14),0)</x:f>
      </x:c>
      <x:c r="BJ17" s="129" t="n">
        <x:f>IFERROR(BJ15/MAX(1,BJ14),0)</x:f>
      </x:c>
      <x:c r="BK17" s="129" t="n">
        <x:f>IFERROR(BK15/MAX(1,BK14),0)</x:f>
      </x:c>
      <x:c r="BL17" s="129" t="n">
        <x:f>IFERROR(BL15/MAX(1,BL14),0)</x:f>
      </x:c>
      <x:c r="BM17" s="129" t="n">
        <x:f>IFERROR(BM15/MAX(1,BM14),0)</x:f>
      </x:c>
      <x:c r="BN17" s="129" t="n">
        <x:f>IFERROR(BN15/MAX(1,BN14),0)</x:f>
      </x:c>
      <x:c r="BO17" s="129" t="n">
        <x:f>IFERROR(BO15/MAX(1,BO14),0)</x:f>
      </x:c>
      <x:c r="BP17" s="129" t="n">
        <x:f>IFERROR(BP15/MAX(1,BP14),0)</x:f>
      </x:c>
      <x:c r="BQ17" s="129" t="n">
        <x:f>IFERROR(BQ15/MAX(1,BQ14),0)</x:f>
      </x:c>
      <x:c r="BR17" s="129" t="n">
        <x:f>IFERROR(BR15/MAX(1,BR14),0)</x:f>
      </x:c>
      <x:c r="BS17" s="129" t="n">
        <x:f>IFERROR(BS15/MAX(1,BS14),0)</x:f>
      </x:c>
      <x:c r="BT17" s="129" t="n">
        <x:f>IFERROR(BT15/MAX(1,BT14),0)</x:f>
      </x:c>
      <x:c r="BU17" s="129" t="n">
        <x:f>IFERROR(BU15/MAX(1,BU14),0)</x:f>
      </x:c>
      <x:c r="BV17" s="129" t="n">
        <x:f>IFERROR(BV15/MAX(1,BV14),0)</x:f>
      </x:c>
      <x:c r="BW17" s="129" t="n">
        <x:f>IFERROR(BW15/MAX(1,BW14),0)</x:f>
      </x:c>
      <x:c r="BX17" s="129" t="n">
        <x:f>IFERROR(BX15/MAX(1,BX14),0)</x:f>
      </x:c>
      <x:c r="BY17" s="129" t="n">
        <x:f>IFERROR(BY15/MAX(1,BY14),0)</x:f>
      </x:c>
      <x:c r="BZ17" s="129" t="n">
        <x:f>IFERROR(BZ15/MAX(1,BZ14),0)</x:f>
      </x:c>
      <x:c r="CA17" s="129" t="n">
        <x:f>IFERROR(CA15/MAX(1,CA14),0)</x:f>
      </x:c>
      <x:c r="CB17" s="129" t="n">
        <x:f>IFERROR(CB15/MAX(1,CB14),0)</x:f>
      </x:c>
      <x:c r="CC17" s="129" t="n">
        <x:f>IFERROR(CC15/MAX(1,CC14),0)</x:f>
      </x:c>
      <x:c r="CD17" s="129" t="n">
        <x:f>IFERROR(CD15/MAX(1,CD14),0)</x:f>
      </x:c>
      <x:c r="CE17" s="129" t="n">
        <x:f>IFERROR(CE15/MAX(1,CE14),0)</x:f>
      </x:c>
      <x:c r="CF17" s="129" t="n">
        <x:f>IFERROR(CF15/MAX(1,CF14),0)</x:f>
      </x:c>
      <x:c r="CG17" s="129" t="n">
        <x:f>IFERROR(CG15/MAX(1,CG14),0)</x:f>
      </x:c>
      <x:c r="CH17" s="129" t="n">
        <x:f>IFERROR(CH15/MAX(1,CH14),0)</x:f>
      </x:c>
      <x:c r="CI17" s="129" t="n">
        <x:f>IFERROR(CI15/MAX(1,CI14),0)</x:f>
      </x:c>
      <x:c r="CJ17" s="129" t="n">
        <x:f>IFERROR(CJ15/MAX(1,CJ14),0)</x:f>
      </x:c>
      <x:c r="CK17" s="129" t="n">
        <x:f>IFERROR(CK15/MAX(1,CK14),0)</x:f>
      </x:c>
      <x:c r="CL17" s="129" t="n">
        <x:f>IFERROR(CL15/MAX(1,CL14),0)</x:f>
      </x:c>
      <x:c r="CM17" s="129" t="n">
        <x:f>IFERROR(CM15/MAX(1,CM14),0)</x:f>
      </x:c>
      <x:c r="CN17" s="129" t="n">
        <x:f>IFERROR(CN15/MAX(1,CN14),0)</x:f>
      </x:c>
      <x:c r="CO17" s="129" t="n">
        <x:f>IFERROR(CO15/MAX(1,CO14),0)</x:f>
      </x:c>
      <x:c r="CP17" s="129" t="n">
        <x:f>IFERROR(CP15/MAX(1,CP14),0)</x:f>
      </x:c>
      <x:c r="CQ17" s="129" t="n">
        <x:f>IFERROR(CQ15/MAX(1,CQ14),0)</x:f>
      </x:c>
      <x:c r="CR17" s="129" t="n">
        <x:f>IFERROR(CR15/MAX(1,CR14),0)</x:f>
      </x:c>
      <x:c r="CS17" s="129" t="n">
        <x:f>IFERROR(CS15/MAX(1,CS14),0)</x:f>
      </x:c>
      <x:c r="CT17" s="129" t="n">
        <x:f>IFERROR(CT15/MAX(1,CT14),0)</x:f>
      </x:c>
      <x:c r="CU17" s="129" t="n">
        <x:f>IFERROR(CU15/MAX(1,CU14),0)</x:f>
      </x:c>
      <x:c r="CV17" s="129" t="n">
        <x:f>IFERROR(CV15/MAX(1,CV14),0)</x:f>
      </x:c>
      <x:c r="CW17" s="129" t="n">
        <x:f>IFERROR(CW15/MAX(1,CW14),0)</x:f>
      </x:c>
      <x:c r="CX17" s="129" t="n">
        <x:f>IFERROR(CX15/MAX(1,CX14),0)</x:f>
      </x:c>
      <x:c r="CY17" s="129" t="n">
        <x:f>IFERROR(CY15/MAX(1,CY14),0)</x:f>
      </x:c>
      <x:c r="CZ17" s="129" t="n">
        <x:f>IFERROR(CZ15/MAX(1,CZ14),0)</x:f>
      </x:c>
      <x:c r="DA17" s="129" t="n">
        <x:f>IFERROR(DA15/MAX(1,DA14),0)</x:f>
      </x:c>
      <x:c r="DB17" s="129" t="n">
        <x:f>IFERROR(DB15/MAX(1,DB14),0)</x:f>
      </x:c>
      <x:c r="DC17" s="129" t="n">
        <x:f>IFERROR(DC15/MAX(1,DC14),0)</x:f>
      </x:c>
      <x:c r="DD17" s="129" t="n">
        <x:f>IFERROR(DD15/MAX(1,DD14),0)</x:f>
      </x:c>
      <x:c r="DE17" s="129" t="n">
        <x:f>IFERROR(DE15/MAX(1,DE14),0)</x:f>
      </x:c>
      <x:c r="DF17" s="129" t="n">
        <x:f>IFERROR(DF15/MAX(1,DF14),0)</x:f>
      </x:c>
      <x:c r="DG17" s="129" t="n">
        <x:f>IFERROR(DG15/MAX(1,DG14),0)</x:f>
      </x:c>
      <x:c r="DH17" s="129" t="n">
        <x:f>IFERROR(DH15/MAX(1,DH14),0)</x:f>
      </x:c>
      <x:c r="DI17" s="129" t="n">
        <x:f>IFERROR(DI15/MAX(1,DI14),0)</x:f>
      </x:c>
      <x:c r="DJ17" s="129" t="n">
        <x:f>IFERROR(DJ15/MAX(1,DJ14),0)</x:f>
      </x:c>
      <x:c r="DK17" s="129" t="n">
        <x:f>IFERROR(DK15/MAX(1,DK14),0)</x:f>
      </x:c>
      <x:c r="DL17" s="129" t="n">
        <x:f>IFERROR(DL15/MAX(1,DL14),0)</x:f>
      </x:c>
      <x:c r="DM17" s="129" t="n">
        <x:f>IFERROR(DM15/MAX(1,DM14),0)</x:f>
      </x:c>
      <x:c r="DN17" s="129" t="n">
        <x:f>IFERROR(DN15/MAX(1,DN14),0)</x:f>
      </x:c>
      <x:c r="DO17" s="129" t="n">
        <x:f>IFERROR(DO15/MAX(1,DO14),0)</x:f>
      </x:c>
      <x:c r="DP17" s="129" t="n">
        <x:f>IFERROR(DP15/MAX(1,DP14),0)</x:f>
      </x:c>
      <x:c r="DQ17" s="129" t="n">
        <x:f>IFERROR(DQ15/MAX(1,DQ14),0)</x:f>
      </x:c>
      <x:c r="DR17" s="129" t="n">
        <x:f>IFERROR(DR15/MAX(1,DR14),0)</x:f>
      </x:c>
      <x:c r="DS17" s="129" t="n">
        <x:f>IFERROR(DS15/MAX(1,DS14),0)</x:f>
      </x:c>
      <x:c r="DT17" s="129" t="n">
        <x:f>IFERROR(DT15/MAX(1,DT14),0)</x:f>
      </x:c>
      <x:c r="DU17" s="129" t="n">
        <x:f>IFERROR(DU15/MAX(1,DU14),0)</x:f>
      </x:c>
      <x:c r="DV17" s="129" t="n">
        <x:f>IFERROR(DV15/MAX(1,DV14),0)</x:f>
      </x:c>
      <x:c r="DW17" s="129" t="n">
        <x:f>IFERROR(DW15/MAX(1,DW14),0)</x:f>
      </x:c>
      <x:c r="DX17" s="129" t="n">
        <x:f>IFERROR(DX15/MAX(1,DX14),0)</x:f>
      </x:c>
      <x:c r="DY17" s="129" t="n">
        <x:f>IFERROR(DY15/MAX(1,DY14),0)</x:f>
      </x:c>
      <x:c r="DZ17" s="129" t="n">
        <x:f>IFERROR(DZ15/MAX(1,DZ14),0)</x:f>
      </x:c>
      <x:c r="EA17" s="129" t="n">
        <x:f>IFERROR(EA15/MAX(1,EA14),0)</x:f>
      </x:c>
      <x:c r="EB17" s="129" t="n">
        <x:f>IFERROR(EB15/MAX(1,EB14),0)</x:f>
      </x:c>
      <x:c r="EC17" s="129" t="n">
        <x:f>IFERROR(EC15/MAX(1,EC14),0)</x:f>
      </x:c>
      <x:c r="ED17" s="129" t="n">
        <x:f>IFERROR(ED15/MAX(1,ED14),0)</x:f>
      </x:c>
      <x:c r="EE17" s="129" t="n">
        <x:f>IFERROR(EE15/MAX(1,EE14),0)</x:f>
      </x:c>
      <x:c r="EF17" s="129" t="n">
        <x:f>IFERROR(EF15/MAX(1,EF14),0)</x:f>
      </x:c>
      <x:c r="EG17" s="129" t="n">
        <x:f>IFERROR(EG15/MAX(1,EG14),0)</x:f>
      </x:c>
      <x:c r="EH17" s="129" t="n">
        <x:f>IFERROR(EH15/MAX(1,EH14),0)</x:f>
      </x:c>
      <x:c r="EI17" s="129" t="n">
        <x:f>IFERROR(EI15/MAX(1,EI14),0)</x:f>
      </x:c>
      <x:c r="EJ17" s="129" t="n">
        <x:f>IFERROR(EJ15/MAX(1,EJ14),0)</x:f>
      </x:c>
      <x:c r="EK17" s="129" t="n">
        <x:f>IFERROR(EK15/MAX(1,EK14),0)</x:f>
      </x:c>
      <x:c r="EL17" s="129" t="n">
        <x:f>IFERROR(EL15/MAX(1,EL14),0)</x:f>
      </x:c>
      <x:c r="EM17" s="129" t="n">
        <x:f>IFERROR(EM15/MAX(1,EM14),0)</x:f>
      </x:c>
      <x:c r="EN17" s="129" t="n">
        <x:f>IFERROR(EN15/MAX(1,EN14),0)</x:f>
      </x:c>
      <x:c r="EO17" s="129" t="n">
        <x:f>IFERROR(EO15/MAX(1,EO14),0)</x:f>
      </x:c>
      <x:c r="EP17" s="129" t="n">
        <x:f>IFERROR(EP15/MAX(1,EP14),0)</x:f>
      </x:c>
      <x:c r="EQ17" s="129" t="n">
        <x:f>IFERROR(EQ15/MAX(1,EQ14),0)</x:f>
      </x:c>
      <x:c r="ER17" s="129" t="n">
        <x:f>IFERROR(ER15/MAX(1,ER14),0)</x:f>
      </x:c>
      <x:c r="ES17" s="129" t="n">
        <x:f>IFERROR(ES15/MAX(1,ES14),0)</x:f>
      </x:c>
      <x:c r="ET17" s="129" t="n">
        <x:f>IFERROR(ET15/MAX(1,ET14),0)</x:f>
      </x:c>
      <x:c r="EU17" s="129" t="n">
        <x:f>IFERROR(EU15/MAX(1,EU14),0)</x:f>
      </x:c>
      <x:c r="EV17" s="129" t="n">
        <x:f>IFERROR(EV15/MAX(1,EV14),0)</x:f>
      </x:c>
      <x:c r="EW17" s="129" t="n">
        <x:f>IFERROR(EW15/MAX(1,EW14),0)</x:f>
      </x:c>
      <x:c r="EX17" s="129" t="n">
        <x:f>IFERROR(EX15/MAX(1,EX14),0)</x:f>
      </x:c>
      <x:c r="EY17" s="129" t="n">
        <x:f>IFERROR(EY15/MAX(1,EY14),0)</x:f>
      </x:c>
      <x:c r="EZ17" s="129" t="n">
        <x:f>IFERROR(EZ15/MAX(1,EZ14),0)</x:f>
      </x:c>
      <x:c r="FA17" s="129" t="n">
        <x:f>IFERROR(FA15/MAX(1,FA14),0)</x:f>
      </x:c>
      <x:c r="FB17" s="129" t="n">
        <x:f>IFERROR(FB15/MAX(1,FB14),0)</x:f>
      </x:c>
      <x:c r="FC17" s="129" t="n">
        <x:f>IFERROR(FC15/MAX(1,FC14),0)</x:f>
      </x:c>
      <x:c r="FD17" s="129" t="n">
        <x:f>IFERROR(FD15/MAX(1,FD14),0)</x:f>
      </x:c>
      <x:c r="FE17" s="129" t="n">
        <x:f>IFERROR(FE15/MAX(1,FE14),0)</x:f>
      </x:c>
      <x:c r="FF17" s="129" t="n">
        <x:f>IFERROR(FF15/MAX(1,FF14),0)</x:f>
      </x:c>
      <x:c r="FG17" s="129" t="n">
        <x:f>IFERROR(FG15/MAX(1,FG14),0)</x:f>
      </x:c>
      <x:c r="FH17" s="129" t="n">
        <x:f>IFERROR(FH15/MAX(1,FH14),0)</x:f>
      </x:c>
      <x:c r="FI17" s="129" t="n">
        <x:f>IFERROR(FI15/MAX(1,FI14),0)</x:f>
      </x:c>
      <x:c r="FJ17" s="129" t="n">
        <x:f>IFERROR(FJ15/MAX(1,FJ14),0)</x:f>
      </x:c>
      <x:c r="FK17" s="129" t="n">
        <x:f>IFERROR(FK15/MAX(1,FK14),0)</x:f>
      </x:c>
      <x:c r="FL17" s="129" t="n">
        <x:f>IFERROR(FL15/MAX(1,FL14),0)</x:f>
      </x:c>
      <x:c r="FM17" s="129" t="n">
        <x:f>IFERROR(FM15/MAX(1,FM14),0)</x:f>
      </x:c>
      <x:c r="FN17" s="129" t="n">
        <x:f>IFERROR(FN15/MAX(1,FN14),0)</x:f>
      </x:c>
      <x:c r="FO17" s="129" t="n">
        <x:f>IFERROR(FO15/MAX(1,FO14),0)</x:f>
      </x:c>
      <x:c r="FP17" s="129" t="n">
        <x:f>IFERROR(FP15/MAX(1,FP14),0)</x:f>
      </x:c>
      <x:c r="FQ17" s="129" t="n">
        <x:f>IFERROR(FQ15/MAX(1,FQ14),0)</x:f>
      </x:c>
      <x:c r="FR17" s="129" t="n">
        <x:f>IFERROR(FR15/MAX(1,FR14),0)</x:f>
      </x:c>
      <x:c r="FS17" s="129" t="n">
        <x:f>IFERROR(FS15/MAX(1,FS14),0)</x:f>
      </x:c>
      <x:c r="FT17" s="129" t="n">
        <x:f>IFERROR(FT15/MAX(1,FT14),0)</x:f>
      </x:c>
      <x:c r="FU17" s="129" t="n">
        <x:f>IFERROR(FU15/MAX(1,FU14),0)</x:f>
      </x:c>
      <x:c r="FV17" s="129" t="n">
        <x:f>IFERROR(FV15/MAX(1,FV14),0)</x:f>
      </x:c>
      <x:c r="FW17" s="129" t="n">
        <x:f>IFERROR(FW15/MAX(1,FW14),0)</x:f>
      </x:c>
      <x:c r="FX17" s="129" t="n">
        <x:f>IFERROR(FX15/MAX(1,FX14),0)</x:f>
      </x:c>
      <x:c r="FY17" s="129" t="n">
        <x:f>IFERROR(FY15/MAX(1,FY14),0)</x:f>
      </x:c>
      <x:c r="FZ17" s="129" t="n">
        <x:f>IFERROR(FZ15/MAX(1,FZ14),0)</x:f>
      </x:c>
      <x:c r="GA17" s="129" t="n">
        <x:f>IFERROR(GA15/MAX(1,GA14),0)</x:f>
      </x:c>
    </x:row>
  </x:sheetData>
  <x:mergeCells>
    <x:mergeCell ref="A1:GA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28" customHeight="1">
      <x:c r="A1" s="4" t="str">
        <x:v>КОНСОЛИДАТОР ОЧЕРЕДЕЙ</x:v>
      </x:c>
      <x:c r="B1" s="4" t="str">
        <x:v>КОНСОЛИДАТОР ОЧЕРЕДЕЙ</x:v>
      </x:c>
      <x:c r="C1" s="4" t="str">
        <x:v>КОНСОЛИДАТОР ОЧЕРЕДЕЙ</x:v>
      </x:c>
      <x:c r="D1" s="4" t="str">
        <x:v>КОНСОЛИДАТОР ОЧЕРЕДЕЙ</x:v>
      </x:c>
      <x:c r="E1" s="4" t="str">
        <x:v>КОНСОЛИДАТОР ОЧЕРЕДЕЙ</x:v>
      </x:c>
      <x:c r="F1" s="4" t="str">
        <x:v>КОНСОЛИДАТОР ОЧЕРЕДЕЙ</x:v>
      </x:c>
      <x:c r="G1" s="4" t="str">
        <x:v>КОНСОЛИДАТОР ОЧЕРЕДЕЙ</x:v>
      </x:c>
      <x:c r="H1" s="4" t="str">
        <x:v>КОНСОЛИДАТОР ОЧЕРЕДЕЙ</x:v>
      </x:c>
      <x:c r="I1" s="4" t="str">
        <x:v>КОНСОЛИДАТОР ОЧЕРЕДЕЙ</x:v>
      </x:c>
      <x:c r="J1" s="4" t="str">
        <x:v>КОНСОЛИДАТОР ОЧЕРЕДЕЙ</x:v>
      </x:c>
      <x:c r="K1" s="4" t="str">
        <x:v>КОНСОЛИДАТОР ОЧЕРЕДЕЙ</x:v>
      </x:c>
      <x:c r="L1" s="4" t="str">
        <x:v>КОНСОЛИДАТОР ОЧЕРЕДЕЙ</x:v>
      </x:c>
      <x:c r="M1" s="4" t="str">
        <x:v>КОНСОЛИДАТОР ОЧЕРЕДЕЙ</x:v>
      </x:c>
      <x:c r="N1" s="4" t="str">
        <x:v>КОНСОЛИДАТОР ОЧЕРЕДЕЙ</x:v>
      </x:c>
      <x:c r="O1" s="4" t="str">
        <x:v>КОНСОЛИДАТОР ОЧЕРЕДЕЙ</x:v>
      </x:c>
      <x:c r="P1" s="4" t="str">
        <x:v>КОНСОЛИДАТОР ОЧЕРЕДЕЙ</x:v>
      </x:c>
    </x:row>
    <x:row r="3">
      <x:c r="A3" s="23" t="str">
        <x:v>Очередь</x:v>
      </x:c>
      <x:c r="B3" s="23" t="str">
        <x:v>Вкл.</x:v>
      </x:c>
      <x:c r="C3" s="23" t="str">
        <x:v>Старт</x:v>
      </x:c>
      <x:c r="D3" s="23" t="str">
        <x:v>РнС</x:v>
      </x:c>
      <x:c r="E3" s="23" t="str">
        <x:v>РВЭ</x:v>
      </x:c>
      <x:c r="F3" s="23" t="str">
        <x:v>Прод. площадь</x:v>
      </x:c>
      <x:c r="G3" s="23" t="str">
        <x:v>Выручка</x:v>
      </x:c>
      <x:c r="H3" s="23" t="str">
        <x:v>CAPEX</x:v>
      </x:c>
      <x:c r="I3" s="23" t="str">
        <x:v>EBITDA</x:v>
      </x:c>
      <x:c r="J3" s="23" t="str">
        <x:v>Финансирование</x:v>
      </x:c>
      <x:c r="K3" s="23" t="str">
        <x:v>Налог</x:v>
      </x:c>
      <x:c r="L3" s="23" t="str">
        <x:v>Чистая прибыль (кассовая)</x:v>
      </x:c>
      <x:c r="M3" s="23" t="str">
        <x:v>Equity</x:v>
      </x:c>
      <x:c r="N3" s="23" t="str">
        <x:v>IRR</x:v>
      </x:c>
      <x:c r="O3" s="23" t="str">
        <x:v>NPV</x:v>
      </x:c>
      <x:c r="P3" s="23" t="str">
        <x:v>Min LLCR</x:v>
      </x:c>
    </x:row>
    <x:row r="4">
      <x:c r="A4" t="str">
        <x:f>'Вводные'!$C$88</x:f>
      </x:c>
      <x:c r="B4" t="str">
        <x:f>'Вводные'!$B$88</x:f>
      </x:c>
      <x:c r="C4" s="92" t="n">
        <x:f>IF('Вводные'!$B$88="Да",'CF_1'!B6,"")</x:f>
      </x:c>
      <x:c r="D4" s="92" t="n">
        <x:f>IF('Вводные'!$B$88="Да",'CF_1'!B7,"")</x:f>
      </x:c>
      <x:c r="E4" s="92" t="n">
        <x:f>IF('Вводные'!$B$88="Да",'CF_1'!B8,"")</x:f>
      </x:c>
      <x:c r="F4" s="107" t="n">
        <x:f>'Вводные'!$L$88+'Вводные'!$M$88+IF(AND('Вводные'!$K$21=1,'Вводные'!$B$88="Да"),'Вводные'!$K$26,0)+IF(AND('Вводные'!$K$41=1,'Вводные'!$B$88="Да"),'Вводные'!$K$46,0)</x:f>
      </x:c>
      <x:c r="G4" s="107" t="n">
        <x:f>'CF_1'!B67</x:f>
      </x:c>
      <x:c r="H4" s="107" t="n">
        <x:f>'CF_1'!B68</x:f>
      </x:c>
      <x:c r="I4" s="107" t="n">
        <x:f>'CF_1'!B70</x:f>
      </x:c>
      <x:c r="J4" s="107" t="n">
        <x:f>'CF_1'!B74</x:f>
      </x:c>
      <x:c r="K4" s="107" t="n">
        <x:f>$K$8*$C$30</x:f>
      </x:c>
      <x:c r="L4" s="107" t="n">
        <x:f>'CF_1'!B77+'CF_1'!B76-K4</x:f>
      </x:c>
      <x:c r="M4" s="107" t="n">
        <x:f>'CF_1'!B78</x:f>
      </x:c>
      <x:c r="N4" s="35" t="n">
        <x:f>'CF_1'!B80</x:f>
      </x:c>
      <x:c r="O4" s="107" t="n">
        <x:f>'CF_1'!B81</x:f>
      </x:c>
      <x:c r="P4" s="129" t="n">
        <x:f>'CF_1'!B85</x:f>
      </x:c>
    </x:row>
    <x:row r="5">
      <x:c r="A5" t="str">
        <x:f>'Вводные'!$C$89</x:f>
      </x:c>
      <x:c r="B5" t="str">
        <x:f>'Вводные'!$B$89</x:f>
      </x:c>
      <x:c r="C5" s="92" t="n">
        <x:f>IF('Вводные'!$B$89="Да",'CF_2'!B6,"")</x:f>
      </x:c>
      <x:c r="D5" s="92" t="n">
        <x:f>IF('Вводные'!$B$89="Да",'CF_2'!B7,"")</x:f>
      </x:c>
      <x:c r="E5" s="92" t="n">
        <x:f>IF('Вводные'!$B$89="Да",'CF_2'!B8,"")</x:f>
      </x:c>
      <x:c r="F5" s="107" t="n">
        <x:f>'Вводные'!$L$89+'Вводные'!$M$89+IF(AND('Вводные'!$K$21=2,'Вводные'!$B$89="Да"),'Вводные'!$K$26,0)+IF(AND('Вводные'!$K$41=2,'Вводные'!$B$89="Да"),'Вводные'!$K$46,0)</x:f>
      </x:c>
      <x:c r="G5" s="107" t="n">
        <x:f>'CF_2'!B67</x:f>
      </x:c>
      <x:c r="H5" s="107" t="n">
        <x:f>'CF_2'!B68</x:f>
      </x:c>
      <x:c r="I5" s="107" t="n">
        <x:f>'CF_2'!B70</x:f>
      </x:c>
      <x:c r="J5" s="107" t="n">
        <x:f>'CF_2'!B74</x:f>
      </x:c>
      <x:c r="K5" s="107" t="n">
        <x:f>$K$8*$C$31</x:f>
      </x:c>
      <x:c r="L5" s="107" t="n">
        <x:f>'CF_2'!B77+'CF_2'!B76-K5</x:f>
      </x:c>
      <x:c r="M5" s="107" t="n">
        <x:f>'CF_2'!B78</x:f>
      </x:c>
      <x:c r="N5" s="35" t="str">
        <x:f>'CF_2'!B80</x:f>
      </x:c>
      <x:c r="O5" s="107" t="n">
        <x:f>'CF_2'!B81</x:f>
      </x:c>
      <x:c r="P5" s="129" t="n">
        <x:f>'CF_2'!B85</x:f>
      </x:c>
    </x:row>
    <x:row r="6">
      <x:c r="A6" t="str">
        <x:f>'Вводные'!$C$90</x:f>
      </x:c>
      <x:c r="B6" t="str">
        <x:f>'Вводные'!$B$90</x:f>
      </x:c>
      <x:c r="C6" s="92" t="n">
        <x:f>IF('Вводные'!$B$90="Да",'CF_3'!B6,"")</x:f>
      </x:c>
      <x:c r="D6" s="92" t="n">
        <x:f>IF('Вводные'!$B$90="Да",'CF_3'!B7,"")</x:f>
      </x:c>
      <x:c r="E6" s="92" t="n">
        <x:f>IF('Вводные'!$B$90="Да",'CF_3'!B8,"")</x:f>
      </x:c>
      <x:c r="F6" s="107" t="n">
        <x:f>'Вводные'!$L$90+'Вводные'!$M$90+IF(AND('Вводные'!$K$21=3,'Вводные'!$B$90="Да"),'Вводные'!$K$26,0)+IF(AND('Вводные'!$K$41=3,'Вводные'!$B$90="Да"),'Вводные'!$K$46,0)</x:f>
      </x:c>
      <x:c r="G6" s="107" t="n">
        <x:f>'CF_3'!B67</x:f>
      </x:c>
      <x:c r="H6" s="107" t="n">
        <x:f>'CF_3'!B68</x:f>
      </x:c>
      <x:c r="I6" s="107" t="n">
        <x:f>'CF_3'!B70</x:f>
      </x:c>
      <x:c r="J6" s="107" t="n">
        <x:f>'CF_3'!B74</x:f>
      </x:c>
      <x:c r="K6" s="107" t="n">
        <x:f>$K$8*$C$32</x:f>
      </x:c>
      <x:c r="L6" s="107" t="n">
        <x:f>'CF_3'!B77+'CF_3'!B76-K6</x:f>
      </x:c>
      <x:c r="M6" s="107" t="n">
        <x:f>'CF_3'!B78</x:f>
      </x:c>
      <x:c r="N6" s="35" t="str">
        <x:f>'CF_3'!B80</x:f>
      </x:c>
      <x:c r="O6" s="107" t="n">
        <x:f>'CF_3'!B81</x:f>
      </x:c>
      <x:c r="P6" s="129" t="n">
        <x:f>'CF_3'!B85</x:f>
      </x:c>
    </x:row>
    <x:row r="7">
      <x:c r="A7" t="str">
        <x:f>'Вводные'!$C$91</x:f>
      </x:c>
      <x:c r="B7" t="str">
        <x:f>'Вводные'!$B$91</x:f>
      </x:c>
      <x:c r="C7" s="92" t="n">
        <x:f>IF('Вводные'!$B$91="Да",'CF_4'!B6,"")</x:f>
      </x:c>
      <x:c r="D7" s="92" t="n">
        <x:f>IF('Вводные'!$B$91="Да",'CF_4'!B7,"")</x:f>
      </x:c>
      <x:c r="E7" s="92" t="n">
        <x:f>IF('Вводные'!$B$91="Да",'CF_4'!B8,"")</x:f>
      </x:c>
      <x:c r="F7" s="107" t="n">
        <x:f>'Вводные'!$L$91+'Вводные'!$M$91+IF(AND('Вводные'!$K$21=4,'Вводные'!$B$91="Да"),'Вводные'!$K$26,0)+IF(AND('Вводные'!$K$41=4,'Вводные'!$B$91="Да"),'Вводные'!$K$46,0)</x:f>
      </x:c>
      <x:c r="G7" s="107" t="n">
        <x:f>'CF_4'!B67</x:f>
      </x:c>
      <x:c r="H7" s="107" t="n">
        <x:f>'CF_4'!B68</x:f>
      </x:c>
      <x:c r="I7" s="107" t="n">
        <x:f>'CF_4'!B70</x:f>
      </x:c>
      <x:c r="J7" s="107" t="n">
        <x:f>'CF_4'!B74</x:f>
      </x:c>
      <x:c r="K7" s="107" t="n">
        <x:f>$K$8*$C$33</x:f>
      </x:c>
      <x:c r="L7" s="107" t="n">
        <x:f>'CF_4'!B77+'CF_4'!B76-K7</x:f>
      </x:c>
      <x:c r="M7" s="107" t="n">
        <x:f>'CF_4'!B78</x:f>
      </x:c>
      <x:c r="N7" s="35" t="str">
        <x:f>'CF_4'!B80</x:f>
      </x:c>
      <x:c r="O7" s="107" t="n">
        <x:f>'CF_4'!B81</x:f>
      </x:c>
      <x:c r="P7" s="129" t="n">
        <x:f>'CF_4'!B85</x:f>
      </x:c>
    </x:row>
    <x:row r="8">
      <x:c r="A8" s="112" t="str">
        <x:v>КОНСОЛИДИРОВАНО</x:v>
      </x:c>
      <x:c r="B8" s="112" t="str">
        <x:v>—</x:v>
      </x:c>
      <x:c r="C8" s="142" t="n">
        <x:f>MIN(C4:C7)</x:f>
      </x:c>
      <x:c r="D8" s="142" t="n">
        <x:f>MIN(D4:D7)</x:f>
      </x:c>
      <x:c r="E8" s="142" t="n">
        <x:f>MAX(E4:E7)</x:f>
      </x:c>
      <x:c r="F8" s="113" t="n">
        <x:f>SUM(F4:F7)</x:f>
      </x:c>
      <x:c r="G8" s="113" t="n">
        <x:f>SUM(G4:G7)</x:f>
      </x:c>
      <x:c r="H8" s="113" t="n">
        <x:f>SUM(H4:H7)</x:f>
      </x:c>
      <x:c r="I8" s="113" t="n">
        <x:f>SUM(I4:I7)</x:f>
      </x:c>
      <x:c r="J8" s="113" t="n">
        <x:f>SUM(J4:J7)</x:f>
      </x:c>
      <x:c r="K8" s="113" t="n">
        <x:f>SUM('CF'!$D$37:$GA$37)</x:f>
      </x:c>
      <x:c r="L8" s="113" t="n">
        <x:f>SUM(L4:L7)</x:f>
      </x:c>
      <x:c r="M8" s="113" t="n">
        <x:f>SUM(M4:M7)</x:f>
      </x:c>
      <x:c r="N8" s="143" t="n">
        <x:f>IF('CF'!B19&gt;0.5,"N/A (долг не погашен)",IF(AND(MIN('CF'!D25:GA25)&lt;0,MAX('CF'!D25:GA25)&gt;0),IFERROR(XIRR('CF'!D25:GA25,'CF'!D3:GA3,0.1),IFERROR(XIRR('CF'!D25:GA25,'CF'!D3:GA3,1),IFERROR(XIRR('CF'!D25:GA25,'CF'!D3:GA3,5),""))),""))</x:f>
      </x:c>
      <x:c r="O8" s="113" t="n">
        <x:f>IF('CF'!B19&gt;0.5,"N/A (долг не погашен)",'CF'!D25+NPV('Вводные'!$B$23/12,'CF'!E25:GA25))</x:f>
      </x:c>
      <x:c r="P8" s="126" t="n">
        <x:f>'CF'!B30</x:f>
      </x:c>
    </x:row>
    <x:row r="11" ht="21" customHeight="1">
      <x:c r="A11" s="52" t="str">
        <x:v>КОНСОЛИДИРОВАННЫЕ ПОТОКИ</x:v>
      </x:c>
      <x:c r="B11" s="53" t="str">
        <x:v>КОНСОЛИДИРОВАННЫЕ ПОТОКИ</x:v>
      </x:c>
      <x:c r="C11" s="53" t="str">
        <x:v>КОНСОЛИДИРОВАННЫЕ ПОТОКИ</x:v>
      </x:c>
      <x:c r="D11" s="53" t="str">
        <x:v>КОНСОЛИДИРОВАННЫЕ ПОТОКИ</x:v>
      </x:c>
      <x:c r="E11" s="53" t="str">
        <x:v>КОНСОЛИДИРОВАННЫЕ ПОТОКИ</x:v>
      </x:c>
      <x:c r="F11" s="53" t="str">
        <x:v>КОНСОЛИДИРОВАННЫЕ ПОТОКИ</x:v>
      </x:c>
      <x:c r="G11" s="53" t="str">
        <x:v>КОНСОЛИДИРОВАННЫЕ ПОТОКИ</x:v>
      </x:c>
      <x:c r="H11" s="53" t="str">
        <x:v>КОНСОЛИДИРОВАННЫЕ ПОТОКИ</x:v>
      </x:c>
      <x:c r="I11" s="53" t="str">
        <x:v>КОНСОЛИДИРОВАННЫЕ ПОТОКИ</x:v>
      </x:c>
      <x:c r="J11" s="53" t="str">
        <x:v>КОНСОЛИДИРОВАННЫЕ ПОТОКИ</x:v>
      </x:c>
      <x:c r="K11" s="53" t="str">
        <x:v>КОНСОЛИДИРОВАННЫЕ ПОТОКИ</x:v>
      </x:c>
      <x:c r="L11" s="53" t="str">
        <x:v>КОНСОЛИДИРОВАННЫЕ ПОТОКИ</x:v>
      </x:c>
      <x:c r="M11" s="53" t="str">
        <x:v>КОНСОЛИДИРОВАННЫЕ ПОТОКИ</x:v>
      </x:c>
      <x:c r="N11" s="53" t="str">
        <x:v>КОНСОЛИДИРОВАННЫЕ ПОТОКИ</x:v>
      </x:c>
      <x:c r="O11" s="53" t="str">
        <x:v>КОНСОЛИДИРОВАННЫЕ ПОТОКИ</x:v>
      </x:c>
      <x:c r="P11" s="54" t="str">
        <x:v>КОНСОЛИДИРОВАННЫЕ ПОТОКИ</x:v>
      </x:c>
    </x:row>
    <x:row r="12">
      <x:c r="A12" s="23" t="str">
        <x:v>Показатель</x:v>
      </x:c>
      <x:c r="B12" s="23" t="str">
        <x:v>Итого</x:v>
      </x:c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</x:row>
    <x:row r="13">
      <x:c r="A13" t="str">
        <x:v>Выручка</x:v>
      </x:c>
      <x:c r="B13" s="107" t="n">
        <x:f>G8</x:f>
      </x:c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</x:row>
    <x:row r="14">
      <x:c r="A14" t="str">
        <x:v>CAPEX</x:v>
      </x:c>
      <x:c r="B14" s="107" t="n">
        <x:f>H8</x:f>
      </x:c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</x:row>
    <x:row r="15">
      <x:c r="A15" t="str">
        <x:v>Стоимость финансирования</x:v>
      </x:c>
      <x:c r="B15" s="107" t="n">
        <x:f>J8</x:f>
      </x:c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</x:row>
    <x:row r="16">
      <x:c r="A16" t="str">
        <x:v>Чистая прибыль</x:v>
      </x:c>
      <x:c r="B16" s="107" t="n">
        <x:f>L8</x:f>
      </x:c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</x:row>
    <x:row r="17">
      <x:c r="A17" t="str">
        <x:v>Пиковый долг</x:v>
      </x:c>
      <x:c r="B17" s="107" t="n">
        <x:f>MAX('CF'!D19:GA19)</x:f>
      </x:c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</x:row>
    <x:row r="18">
      <x:c r="A18" t="inlineStr">
        <x:is>
          <x:t>LLCR проекта (за весь срок)</x:t>
        </x:is>
      </x:c>
      <x:c r="B18" s="129" t="n">
        <x:f>P8</x:f>
      </x:c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</x:row>
    <x:row r="21" ht="21" customHeight="1">
      <x:c r="A21" s="281" t="str">
        <x:v>ОТДЕЛЬНО СТОЯЩИЕ КОММЕРЧЕСКИЕ ОБЪЕКТЫ</x:v>
      </x:c>
      <x:c r="B21" s="282" t="str">
        <x:v>ОТДЕЛЬНО СТОЯЩИЕ КОММЕРЧЕСКИЕ ОБЪЕКТЫ</x:v>
      </x:c>
      <x:c r="C21" s="282" t="str">
        <x:v>ОТДЕЛЬНО СТОЯЩИЕ КОММЕРЧЕСКИЕ ОБЪЕКТЫ</x:v>
      </x:c>
      <x:c r="D21" s="282" t="str">
        <x:v>ОТДЕЛЬНО СТОЯЩИЕ КОММЕРЧЕСКИЕ ОБЪЕКТЫ</x:v>
      </x:c>
      <x:c r="E21" s="282" t="str">
        <x:v>ОТДЕЛЬНО СТОЯЩИЕ КОММЕРЧЕСКИЕ ОБЪЕКТЫ</x:v>
      </x:c>
      <x:c r="F21" s="282" t="str">
        <x:v>ОТДЕЛЬНО СТОЯЩИЕ КОММЕРЧЕСКИЕ ОБЪЕКТЫ</x:v>
      </x:c>
      <x:c r="G21" s="282" t="str">
        <x:v>ОТДЕЛЬНО СТОЯЩИЕ КОММЕРЧЕСКИЕ ОБЪЕКТЫ</x:v>
      </x:c>
      <x:c r="H21" s="282" t="str">
        <x:v>ОТДЕЛЬНО СТОЯЩИЕ КОММЕРЧЕСКИЕ ОБЪЕКТЫ</x:v>
      </x:c>
      <x:c r="I21" s="282" t="str">
        <x:v>ОТДЕЛЬНО СТОЯЩИЕ КОММЕРЧЕСКИЕ ОБЪЕКТЫ</x:v>
      </x:c>
      <x:c r="J21" s="282" t="str">
        <x:v>ОТДЕЛЬНО СТОЯЩИЕ КОММЕРЧЕСКИЕ ОБЪЕКТЫ</x:v>
      </x:c>
      <x:c r="K21" s="282" t="str">
        <x:v>ОТДЕЛЬНО СТОЯЩИЕ КОММЕРЧЕСКИЕ ОБЪЕКТЫ</x:v>
      </x:c>
      <x:c r="L21" s="282" t="str">
        <x:v>ОТДЕЛЬНО СТОЯЩИЕ КОММЕРЧЕСКИЕ ОБЪЕКТЫ</x:v>
      </x:c>
      <x:c r="M21" s="282" t="str">
        <x:v>ОТДЕЛЬНО СТОЯЩИЕ КОММЕРЧЕСКИЕ ОБЪЕКТЫ</x:v>
      </x:c>
      <x:c r="N21" s="282" t="str">
        <x:v>ОТДЕЛЬНО СТОЯЩИЕ КОММЕРЧЕСКИЕ ОБЪЕКТЫ</x:v>
      </x:c>
      <x:c r="O21" s="282" t="str">
        <x:v>ОТДЕЛЬНО СТОЯЩИЕ КОММЕРЧЕСКИЕ ОБЪЕКТЫ</x:v>
      </x:c>
      <x:c r="P21" s="283" t="str">
        <x:v>ОТДЕЛЬНО СТОЯЩИЕ КОММЕРЧЕСКИЕ ОБЪЕКТЫ</x:v>
      </x:c>
    </x:row>
    <x:row r="22">
      <x:c r="A22" s="289" t="str">
        <x:v>Объект</x:v>
      </x:c>
      <x:c r="B22" s="289" t="str">
        <x:v>Вкл.</x:v>
      </x:c>
      <x:c r="C22" s="289" t="str">
        <x:v>Очередь</x:v>
      </x:c>
      <x:c r="D22" s="289" t="str">
        <x:v>GBA</x:v>
      </x:c>
      <x:c r="E22" s="289" t="str">
        <x:v>Прод. площадь / места</x:v>
      </x:c>
      <x:c r="F22" s="289" t="str">
        <x:v>Выручка</x:v>
      </x:c>
      <x:c r="G22" s="289" t="str">
        <x:v>CAPEX</x:v>
      </x:c>
      <x:c r="H22" s="289" t="str">
        <x:v>Маржа до финансирования</x:v>
      </x:c>
    </x:row>
    <x:row r="23">
      <x:c r="A23" t="str">
        <x:v>МФОЦ / офисный центр</x:v>
      </x:c>
      <x:c r="B23" t="str">
        <x:f>'Вводные'!$K$20</x:f>
      </x:c>
      <x:c r="C23" t="n">
        <x:f>'Вводные'!$K$21</x:f>
      </x:c>
      <x:c r="D23" s="132" t="n">
        <x:f>'Вводные'!$K$25</x:f>
      </x:c>
      <x:c r="E23" s="132" t="n">
        <x:f>'Вводные'!$K$26</x:f>
      </x:c>
      <x:c r="F23" s="107" t="n">
        <x:f>'ОБЪЕКТЫ'!B24</x:f>
      </x:c>
      <x:c r="G23" s="107" t="n">
        <x:f>'ОБЪЕКТЫ'!B28</x:f>
      </x:c>
      <x:c r="H23" s="107" t="n">
        <x:f>'ОБЪЕКТЫ'!B24-'ОБЪЕКТЫ'!B31</x:f>
      </x:c>
    </x:row>
    <x:row r="24">
      <x:c r="A24" t="str">
        <x:v>Торговый центр / коммерция ОСЗ</x:v>
      </x:c>
      <x:c r="B24" t="str">
        <x:f>'Вводные'!$K$40</x:f>
      </x:c>
      <x:c r="C24" t="n">
        <x:f>'Вводные'!$K$41</x:f>
      </x:c>
      <x:c r="D24" s="132" t="n">
        <x:f>'Вводные'!$K$45</x:f>
      </x:c>
      <x:c r="E24" s="132" t="n">
        <x:f>'Вводные'!$K$46</x:f>
      </x:c>
      <x:c r="F24" s="107" t="n">
        <x:f>'ОБЪЕКТЫ'!B52</x:f>
      </x:c>
      <x:c r="G24" s="107" t="n">
        <x:f>'ОБЪЕКТЫ'!B56</x:f>
      </x:c>
      <x:c r="H24" s="107" t="n">
        <x:f>'ОБЪЕКТЫ'!B52-'ОБЪЕКТЫ'!B59</x:f>
      </x:c>
    </x:row>
    <x:row r="25">
      <x:c r="A25" t="str">
        <x:v>Наземный многоэтажный паркинг</x:v>
      </x:c>
      <x:c r="B25" t="str">
        <x:f>'Вводные'!$K$60</x:f>
      </x:c>
      <x:c r="C25" t="n">
        <x:f>'Вводные'!$K$61</x:f>
      </x:c>
      <x:c r="D25" s="132" t="n">
        <x:f>'Вводные'!$K$66</x:f>
      </x:c>
      <x:c r="E25" s="132" t="n">
        <x:f>'Вводные'!$K$65</x:f>
      </x:c>
      <x:c r="F25" s="107" t="n">
        <x:f>'ОБЪЕКТЫ'!B80</x:f>
      </x:c>
      <x:c r="G25" s="107" t="n">
        <x:f>'ОБЪЕКТЫ'!B84</x:f>
      </x:c>
      <x:c r="H25" s="107" t="n">
        <x:f>'ОБЪЕКТЫ'!B80-'ОБЪЕКТЫ'!B87</x:f>
      </x:c>
    </x:row>
    <x:row r="26">
      <x:c r="A26" s="348" t="str">
        <x:v>ИТОГО ОБЪЕКТЫ</x:v>
      </x:c>
      <x:c r="B26" s="348"/>
      <x:c r="C26" s="348"/>
      <x:c r="D26" s="351" t="n">
        <x:f>SUM(D23:D25)</x:f>
      </x:c>
      <x:c r="E26" s="351" t="n">
        <x:f>SUM(E23:E25)</x:f>
      </x:c>
      <x:c r="F26" s="348" t="n">
        <x:f>SUM(F23:F25)</x:f>
      </x:c>
      <x:c r="G26" s="348" t="n">
        <x:f>SUM(G23:G25)</x:f>
      </x:c>
      <x:c r="H26" s="348" t="n">
        <x:f>SUM(H23:H25)</x:f>
      </x:c>
    </x:row>
    <x:row r="28">
      <x:c r="A28" t="inlineStr">
        <x:is>
          <x:t>РАЗДАЧА СВОДНОГО НАЛОГА ПО ОЧЕРЕДЯМ</x:t>
        </x:is>
      </x:c>
    </x:row>
    <x:row r="29">
      <x:c r="A29" t="inlineStr">
        <x:is>
          <x:t>Очередь</x:t>
        </x:is>
      </x:c>
      <x:c r="B29" t="inlineStr">
        <x:is>
          <x:t>Положительная база</x:t>
        </x:is>
      </x:c>
      <x:c r="C29" t="inlineStr">
        <x:is>
          <x:t>Доля</x:t>
        </x:is>
      </x:c>
    </x:row>
    <x:row r="30">
      <x:c r="A30" t="inlineStr">
        <x:is>
          <x:t>Очередь 1</x:t>
        </x:is>
      </x:c>
      <x:c r="B30">
        <x:f>MAX(SUM('CF_1'!$D$22:$GA$22),0)</x:f>
      </x:c>
      <x:c r="C30">
        <x:f>IF($B$34=0,0,B30/$B$34)</x:f>
      </x:c>
    </x:row>
    <x:row r="31">
      <x:c r="A31" t="inlineStr">
        <x:is>
          <x:t>Очередь 2</x:t>
        </x:is>
      </x:c>
      <x:c r="B31">
        <x:f>MAX(SUM('CF_2'!$D$22:$GA$22),0)</x:f>
      </x:c>
      <x:c r="C31">
        <x:f>IF($B$34=0,0,B31/$B$34)</x:f>
      </x:c>
    </x:row>
    <x:row r="32">
      <x:c r="A32" t="inlineStr">
        <x:is>
          <x:t>Очередь 3</x:t>
        </x:is>
      </x:c>
      <x:c r="B32">
        <x:f>MAX(SUM('CF_3'!$D$22:$GA$22),0)</x:f>
      </x:c>
      <x:c r="C32">
        <x:f>IF($B$34=0,0,B32/$B$34)</x:f>
      </x:c>
    </x:row>
    <x:row r="33">
      <x:c r="A33" t="inlineStr">
        <x:is>
          <x:t>Очередь 4</x:t>
        </x:is>
      </x:c>
      <x:c r="B33">
        <x:f>MAX(SUM('CF_4'!$D$22:$GA$22),0)</x:f>
      </x:c>
      <x:c r="C33">
        <x:f>IF($B$34=0,0,B33/$B$34)</x:f>
      </x:c>
    </x:row>
    <x:row r="34">
      <x:c r="A34" t="inlineStr">
        <x:is>
          <x:t>Итого</x:t>
        </x:is>
      </x:c>
      <x:c r="B34">
        <x:f>SUM(B30:B33)</x:f>
      </x:c>
      <x:c r="C34">
        <x:f>SUM(C30:C33)</x:f>
      </x:c>
    </x:row>
  </x:sheetData>
  <x:mergeCells>
    <x:mergeCell ref="A1:P1"/>
    <x:mergeCell ref="A11:P11"/>
    <x:mergeCell ref="A21:P2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5" hidden="0" customWidth="1"/>
    <x:col min="3" max="3" width="15" hidden="0" customWidth="1"/>
    <x:col min="4" max="4" width="15" hidden="0" customWidth="1"/>
    <x:col min="6" max="6" width="30" hidden="0" customWidth="1"/>
    <x:col min="7" max="7" width="42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5" max="5" width="15" hidden="0" customWidth="1"/>
  </x:cols>
  <x:sheetData>
    <x:row r="1" ht="28" customHeight="1">
      <x:c r="A1" s="4" t="str">
        <x:v>ИНВЕСТИЦИОННЫЙ ОТЧЁТ</x:v>
      </x:c>
      <x:c r="B1" s="4" t="str">
        <x:v>ИНВЕСТИЦИОННЫЙ ОТЧЁТ</x:v>
      </x:c>
      <x:c r="C1" s="4" t="str">
        <x:v>ИНВЕСТИЦИОННЫЙ ОТЧЁТ</x:v>
      </x:c>
      <x:c r="D1" s="4" t="str">
        <x:v>ИНВЕСТИЦИОННЫЙ ОТЧЁТ</x:v>
      </x:c>
      <x:c r="E1" s="4" t="str">
        <x:v>ИНВЕСТИЦИОННЫЙ ОТЧЁТ</x:v>
      </x:c>
      <x:c r="F1" s="4" t="str">
        <x:v>ИНВЕСТИЦИОННЫЙ ОТЧЁТ</x:v>
      </x:c>
      <x:c r="G1" s="4" t="str">
        <x:v>ИНВЕСТИЦИОННЫЙ ОТЧЁТ</x:v>
      </x:c>
      <x:c r="H1" s="4" t="str">
        <x:v>ИНВЕСТИЦИОННЫЙ ОТЧЁТ</x:v>
      </x:c>
      <x:c r="I1" s="4" t="str">
        <x:v>ИНВЕСТИЦИОННЫЙ ОТЧЁТ</x:v>
      </x:c>
      <x:c r="J1" s="4" t="str">
        <x:v>ИНВЕСТИЦИОННЫЙ ОТЧЁТ</x:v>
      </x:c>
      <x:c r="K1" s="4" t="str">
        <x:v>ИНВЕСТИЦИОННЫЙ ОТЧЁТ</x:v>
      </x:c>
      <x:c r="L1" s="4" t="str">
        <x:v>ИНВЕСТИЦИОННЫЙ ОТЧЁТ</x:v>
      </x:c>
      <x:c r="M1" s="4" t="str">
        <x:v>ИНВЕСТИЦИОННЫЙ ОТЧЁТ</x:v>
      </x:c>
      <x:c r="N1" s="4" t="str">
        <x:v>ИНВЕСТИЦИОННЫЙ ОТЧЁТ</x:v>
      </x:c>
    </x:row>
    <x:row r="2">
      <x:c r="A2" s="5" t="str">
        <x:f>"Проект: "&amp;'Вводные'!$B$4&amp;" | Сценарий: "&amp;'Вводные'!$B$6&amp;" | Версия: "&amp;'Вводные'!$B$5</x:f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4" ht="21" customHeight="1">
      <x:c r="A4" s="52" t="str">
        <x:v>КЛЮЧЕВЫЕ ПОКАЗАТЕЛИ</x:v>
      </x:c>
      <x:c r="B4" s="53" t="str">
        <x:v>КЛЮЧЕВЫЕ ПОКАЗАТЕЛИ</x:v>
      </x:c>
      <x:c r="C4" s="53" t="str">
        <x:v>КЛЮЧЕВЫЕ ПОКАЗАТЕЛИ</x:v>
      </x:c>
      <x:c r="D4" s="54" t="str">
        <x:v>КЛЮЧЕВЫЕ ПОКАЗАТЕЛИ</x:v>
      </x:c>
      <x:c r="F4" s="52" t="str">
        <x:v>ЮНИТ-ЭКОНОМИКА И ФИНАНСИРОВАНИЕ</x:v>
      </x:c>
      <x:c r="G4" s="53" t="str">
        <x:v>ЮНИТ-ЭКОНОМИКА И ФИНАНСИРОВАНИЕ</x:v>
      </x:c>
      <x:c r="H4" s="53" t="str">
        <x:v>ЮНИТ-ЭКОНОМИКА И ФИНАНСИРОВАНИЕ</x:v>
      </x:c>
      <x:c r="I4" s="53" t="str">
        <x:v>ЮНИТ-ЭКОНОМИКА И ФИНАНСИРОВАНИЕ</x:v>
      </x:c>
      <x:c r="J4" s="53" t="str">
        <x:v>ЮНИТ-ЭКОНОМИКА И ФИНАНСИРОВАНИЕ</x:v>
      </x:c>
      <x:c r="K4" s="53" t="str">
        <x:v>ЮНИТ-ЭКОНОМИКА И ФИНАНСИРОВАНИЕ</x:v>
      </x:c>
      <x:c r="L4" s="53" t="str">
        <x:v>ЮНИТ-ЭКОНОМИКА И ФИНАНСИРОВАНИЕ</x:v>
      </x:c>
      <x:c r="M4" s="53" t="str">
        <x:v>ЮНИТ-ЭКОНОМИКА И ФИНАНСИРОВАНИЕ</x:v>
      </x:c>
      <x:c r="N4" s="54" t="str">
        <x:v>ЮНИТ-ЭКОНОМИКА И ФИНАНСИРОВАНИЕ</x:v>
      </x:c>
    </x:row>
    <x:row r="5">
      <x:c r="A5" s="7" t="str">
        <x:v>Выручка</x:v>
      </x:c>
      <x:c r="B5" s="107" t="n">
        <x:f>'КОНСОЛИДАТОР'!G8</x:f>
      </x:c>
      <x:c r="C5" t="str">
        <x:v>млн ₽</x:v>
      </x:c>
      <x:c r="D5" t="str"/>
      <x:c r="F5" s="23" t="str">
        <x:v>Показатель</x:v>
      </x:c>
      <x:c r="G5" s="23" t="str">
        <x:v>Значение</x:v>
      </x:c>
      <x:c r="H5" s="23" t="str">
        <x:v>Ед.</x:v>
      </x:c>
      <x:c r="I5" s="23" t="str"/>
    </x:row>
    <x:row r="6">
      <x:c r="A6" s="7" t="str">
        <x:v>CAPEX</x:v>
      </x:c>
      <x:c r="B6" s="107" t="n">
        <x:f>'КОНСОЛИДАТОР'!H8</x:f>
      </x:c>
      <x:c r="C6" t="str">
        <x:v>млн ₽</x:v>
      </x:c>
      <x:c r="D6" t="str"/>
      <x:c r="F6" t="str">
        <x:v>ГНС</x:v>
      </x:c>
      <x:c r="G6" s="132" t="n">
        <x:f>'ТЭП'!C36</x:f>
      </x:c>
      <x:c r="H6" t="str">
        <x:v>м²</x:v>
      </x:c>
      <x:c r="I6" t="str"/>
    </x:row>
    <x:row r="7">
      <x:c r="A7" s="7" t="str">
        <x:v>Коммерческие расходы</x:v>
      </x:c>
      <x:c r="B7" s="107" t="n">
        <x:f>'CF'!B12</x:f>
      </x:c>
      <x:c r="C7" t="str">
        <x:v>млн ₽</x:v>
      </x:c>
      <x:c r="D7" t="str"/>
      <x:c r="F7" t="str">
        <x:v>Продаваемая площадь</x:v>
      </x:c>
      <x:c r="G7" s="132" t="n">
        <x:f>'ТЭП'!D36</x:f>
      </x:c>
      <x:c r="H7" t="str">
        <x:v>м²</x:v>
      </x:c>
      <x:c r="I7" t="str"/>
    </x:row>
    <x:row r="8" ht="24" customHeight="1">
      <x:c r="A8" s="7" t="str">
        <x:v>EBITDA</x:v>
      </x:c>
      <x:c r="B8" s="107" t="n">
        <x:f>B5-B6-B7</x:f>
      </x:c>
      <x:c r="C8" t="str">
        <x:v>млн ₽</x:v>
      </x:c>
      <x:c r="D8" t="str"/>
      <x:c r="F8" s="93" t="str">
        <x:v>Средняя цена реализации</x:v>
      </x:c>
      <x:c r="G8" s="107" t="n">
        <x:f>F60</x:f>
      </x:c>
      <x:c r="H8" t="str">
        <x:v>тыс. ₽/м²</x:v>
      </x:c>
      <x:c r="I8" t="str"/>
    </x:row>
    <x:row r="9" ht="24" customHeight="1">
      <x:c r="A9" s="7" t="str">
        <x:v>Стоимость финансирования</x:v>
      </x:c>
      <x:c r="B9" s="107" t="n">
        <x:f>'КОНСОЛИДАТОР'!J8</x:f>
      </x:c>
      <x:c r="C9" t="str">
        <x:v>млн ₽</x:v>
      </x:c>
      <x:c r="D9" t="str"/>
      <x:c r="F9" s="93" t="str">
        <x:v>CAPEX на м² GBA</x:v>
      </x:c>
      <x:c r="G9" s="107" t="n">
        <x:f>F62</x:f>
      </x:c>
      <x:c r="H9" t="str">
        <x:v>тыс. ₽/м²</x:v>
      </x:c>
      <x:c r="I9" t="str"/>
    </x:row>
    <x:row r="10" ht="24" customHeight="1">
      <x:c r="A10" s="7" t="str">
        <x:v>Прибыль до налога</x:v>
      </x:c>
      <x:c r="B10" s="107" t="n">
        <x:f>B8-B9</x:f>
      </x:c>
      <x:c r="C10" t="str">
        <x:v>млн ₽</x:v>
      </x:c>
      <x:c r="D10" t="str"/>
      <x:c r="F10" s="93" t="str">
        <x:v>Полные расходы на м² продаж</x:v>
      </x:c>
      <x:c r="G10" s="107" t="n">
        <x:f>F63</x:f>
      </x:c>
      <x:c r="H10" t="str">
        <x:v>тыс. ₽/м²</x:v>
      </x:c>
      <x:c r="I10" t="str"/>
    </x:row>
    <x:row r="11" ht="24" customHeight="1">
      <x:c r="A11" s="7" t="str">
        <x:v>Налог на прибыль</x:v>
      </x:c>
      <x:c r="B11" s="107" t="n">
        <x:f>'КОНСОЛИДАТОР'!K8</x:f>
      </x:c>
      <x:c r="C11" t="str">
        <x:v>млн ₽</x:v>
      </x:c>
      <x:c r="D11" t="str"/>
      <x:c r="F11" s="93" t="str">
        <x:v>Пиковый БРИДЖ</x:v>
      </x:c>
      <x:c r="G11" s="107" t="n">
        <x:f>MAX('CF'!D17:GA17)</x:f>
      </x:c>
      <x:c r="H11" t="str">
        <x:v>млн ₽</x:v>
      </x:c>
      <x:c r="I11" t="str"/>
    </x:row>
    <x:row r="12" ht="24" customHeight="1">
      <x:c r="A12" s="7" t="str">
        <x:v>Чистая прибыль</x:v>
      </x:c>
      <x:c r="B12" s="107" t="n">
        <x:f>'КОНСОЛИДАТОР'!L8</x:f>
      </x:c>
      <x:c r="C12" t="str">
        <x:v>млн ₽</x:v>
      </x:c>
      <x:c r="D12" t="str"/>
      <x:c r="F12" s="93" t="str">
        <x:v>Пиковый ПФ</x:v>
      </x:c>
      <x:c r="G12" s="107" t="n">
        <x:f>MAX('CF'!D18:GA18)</x:f>
      </x:c>
      <x:c r="H12" t="str">
        <x:v>млн ₽</x:v>
      </x:c>
      <x:c r="I12" t="str"/>
    </x:row>
    <x:row r="13" ht="24" customHeight="1">
      <x:c r="A13" s="7" t="str">
        <x:v>Маржинальность</x:v>
      </x:c>
      <x:c r="B13" s="35" t="n">
        <x:f>IFERROR(B12/B5,0)</x:f>
      </x:c>
      <x:c r="C13" t="str">
        <x:v>%</x:v>
      </x:c>
      <x:c r="D13" t="str"/>
      <x:c r="F13" s="93" t="str">
        <x:v>Проценты БРИДЖ</x:v>
      </x:c>
      <x:c r="G13" s="107" t="n">
        <x:f>SUM('CF_1'!B32,'CF_2'!B32,'CF_3'!B32,'CF_4'!B32)</x:f>
      </x:c>
      <x:c r="H13" t="str">
        <x:v>млн ₽</x:v>
      </x:c>
      <x:c r="I13" t="str"/>
    </x:row>
    <x:row r="14" ht="24" customHeight="1">
      <x:c r="A14" s="7" t="str">
        <x:v>IRR собственного капитала</x:v>
      </x:c>
      <x:c r="B14" s="35" t="n">
        <x:f>'КОНСОЛИДАТОР'!N8</x:f>
      </x:c>
      <x:c r="C14" t="str">
        <x:v>% год</x:v>
      </x:c>
      <x:c r="D14" t="str"/>
      <x:c r="F14" s="93" t="str">
        <x:v>Проценты ПФ</x:v>
      </x:c>
      <x:c r="G14" s="107" t="n">
        <x:f>SUM('CF_1'!B42,'CF_2'!B42,'CF_3'!B42,'CF_4'!B42)</x:f>
      </x:c>
      <x:c r="H14" t="str">
        <x:v>млн ₽</x:v>
      </x:c>
      <x:c r="I14" t="str"/>
    </x:row>
    <x:row r="15" ht="24" customHeight="1">
      <x:c r="A15" s="7" t="str">
        <x:v>NPV собственного капитала</x:v>
      </x:c>
      <x:c r="B15" s="107" t="n">
        <x:f>'КОНСОЛИДАТОР'!O8</x:f>
      </x:c>
      <x:c r="C15" t="str">
        <x:v>млн ₽</x:v>
      </x:c>
      <x:c r="D15" t="str"/>
      <x:c r="F15" s="93" t="str">
        <x:v>Комиссии</x:v>
      </x:c>
      <x:c r="G15" s="107" t="n">
        <x:f>'CF'!B21</x:f>
      </x:c>
      <x:c r="H15" t="str">
        <x:v>млн ₽</x:v>
      </x:c>
      <x:c r="I15" t="str"/>
    </x:row>
    <x:row r="16" ht="24" customHeight="1">
      <x:c r="A16" s="7" t="str">
        <x:v>Вложено собственного капитала</x:v>
      </x:c>
      <x:c r="B16" s="107" t="n">
        <x:f>'КОНСОЛИДАТОР'!M8</x:f>
      </x:c>
      <x:c r="C16" t="str">
        <x:v>млн ₽</x:v>
      </x:c>
      <x:c r="D16" t="str"/>
      <x:c r="F16" s="93" t="str">
        <x:v>Ковенант LLCR</x:v>
      </x:c>
      <x:c r="G16" s="129" t="n">
        <x:f>'Вводные'!$B$32</x:f>
      </x:c>
      <x:c r="H16" t="str">
        <x:v>×</x:v>
      </x:c>
      <x:c r="I16" t="str"/>
    </x:row>
    <x:row r="17" ht="24" customHeight="1">
      <x:c r="A17" s="7" t="str">
        <x:v>Пиковый долг</x:v>
      </x:c>
      <x:c r="B17" s="107" t="n">
        <x:f>MAX('CF'!D19:GA19)</x:f>
      </x:c>
      <x:c r="C17" t="str">
        <x:v>млн ₽</x:v>
      </x:c>
      <x:c r="D17" t="str"/>
      <x:c r="F17" s="93" t="str">
        <x:v>Цена безубыточности площади</x:v>
      </x:c>
      <x:c r="G17" s="107" t="n">
        <x:f>F64</x:f>
      </x:c>
      <x:c r="H17" t="str">
        <x:v>тыс. ₽/м²</x:v>
      </x:c>
    </x:row>
    <x:row r="18" ht="24" customHeight="1">
      <x:c r="A18" s="7" t="str">
        <x:v>Пиковый эскроу</x:v>
      </x:c>
      <x:c r="B18" s="107" t="n">
        <x:f>MAX('CF'!D9:GA9)</x:f>
      </x:c>
      <x:c r="C18" t="str">
        <x:v>млн ₽</x:v>
      </x:c>
      <x:c r="D18" t="str"/>
      <x:c r="F18" s="93" t="str">
        <x:v>Средняя ставка ПФ без эскроу</x:v>
      </x:c>
      <x:c r="G18" s="352" t="n">
        <x:f>F71</x:f>
      </x:c>
      <x:c r="H18" t="str">
        <x:v>% год</x:v>
      </x:c>
    </x:row>
    <x:row r="19" ht="24" customHeight="1">
      <x:c r="A19" t="inlineStr">
        <x:is>
          <x:t>LLCR проекта (за весь срок)</x:t>
        </x:is>
      </x:c>
      <x:c r="B19" s="129" t="n">
        <x:f>'КОНСОЛИДАТОР'!P8</x:f>
      </x:c>
      <x:c r="C19" t="str">
        <x:v>×</x:v>
      </x:c>
      <x:c r="D19" t="str"/>
      <x:c r="F19" s="93" t="str">
        <x:v>Средняя фактическая ставка ПФ</x:v>
      </x:c>
      <x:c r="G19" s="352" t="n">
        <x:f>F72</x:f>
      </x:c>
      <x:c r="H19" t="str">
        <x:v>% год</x:v>
      </x:c>
    </x:row>
    <x:row r="20" ht="24" customHeight="1">
      <x:c r="A20" s="7" t="str">
        <x:v>Статус модели</x:v>
      </x:c>
      <x:c r="B20" t="str">
        <x:f>'ПРОВЕРКИ'!B3</x:f>
      </x:c>
      <x:c r="C20" t="str"/>
      <x:c r="D20" t="str"/>
      <x:c r="F20" s="93" t="str">
        <x:v>Темп продаж площади</x:v>
      </x:c>
      <x:c r="G20" s="107" t="n">
        <x:f>F67</x:f>
      </x:c>
      <x:c r="H20" t="str">
        <x:v>м²/мес.</x:v>
      </x:c>
    </x:row>
    <x:row r="21" ht="24" customHeight="1">
      <x:c r="A21"/>
      <x:c r="B21"/>
      <x:c r="C21"/>
      <x:c r="F21" s="93" t="str">
        <x:v>Темп продаж в штуках</x:v>
      </x:c>
      <x:c r="G21" s="107" t="n">
        <x:f>F70</x:f>
      </x:c>
      <x:c r="H21" t="str">
        <x:v>шт./мес.</x:v>
      </x:c>
    </x:row>
    <x:row r="22">
      <x:c r="A22" s="7" t="inlineStr">
        <x:is>
          <x:t>Непогашенный долг на конец проекта (дефолт, если &gt; 0)</x:t>
        </x:is>
      </x:c>
      <x:c r="B22" s="107">
        <x:f>'CF'!B19</x:f>
      </x:c>
    </x:row>
    <x:row r="23" ht="21" customHeight="1">
      <x:c r="A23" s="52" t="str">
        <x:v>СРАВНЕНИЕ ОЧЕРЕДЕЙ</x:v>
      </x:c>
      <x:c r="B23" s="53" t="str">
        <x:v>СРАВНЕНИЕ ОЧЕРЕДЕЙ</x:v>
      </x:c>
      <x:c r="C23" s="53" t="str">
        <x:v>СРАВНЕНИЕ ОЧЕРЕДЕЙ</x:v>
      </x:c>
      <x:c r="D23" s="53" t="str">
        <x:v>СРАВНЕНИЕ ОЧЕРЕДЕЙ</x:v>
      </x:c>
      <x:c r="E23" s="53" t="str">
        <x:v>СРАВНЕНИЕ ОЧЕРЕДЕЙ</x:v>
      </x:c>
      <x:c r="F23" s="53" t="str">
        <x:v>СРАВНЕНИЕ ОЧЕРЕДЕЙ</x:v>
      </x:c>
      <x:c r="G23" s="53" t="str">
        <x:v>СРАВНЕНИЕ ОЧЕРЕДЕЙ</x:v>
      </x:c>
      <x:c r="H23" s="53" t="str">
        <x:v>СРАВНЕНИЕ ОЧЕРЕДЕЙ</x:v>
      </x:c>
      <x:c r="I23" s="53" t="str">
        <x:v>СРАВНЕНИЕ ОЧЕРЕДЕЙ</x:v>
      </x:c>
      <x:c r="J23" s="53" t="str">
        <x:v>СРАВНЕНИЕ ОЧЕРЕДЕЙ</x:v>
      </x:c>
      <x:c r="K23" s="53" t="str">
        <x:v>СРАВНЕНИЕ ОЧЕРЕДЕЙ</x:v>
      </x:c>
      <x:c r="L23" s="53" t="str">
        <x:v>СРАВНЕНИЕ ОЧЕРЕДЕЙ</x:v>
      </x:c>
      <x:c r="M23" s="53" t="str">
        <x:v>СРАВНЕНИЕ ОЧЕРЕДЕЙ</x:v>
      </x:c>
      <x:c r="N23" s="54" t="str">
        <x:v>СРАВНЕНИЕ ОЧЕРЕДЕЙ</x:v>
      </x:c>
    </x:row>
    <x:row r="24">
      <x:c r="A24" s="23" t="str">
        <x:f>'КОНСОЛИДАТОР'!A3</x:f>
      </x:c>
      <x:c r="B24" s="23" t="str">
        <x:f>'КОНСОЛИДАТОР'!B3</x:f>
      </x:c>
      <x:c r="C24" s="23" t="str">
        <x:f>'КОНСОЛИДАТОР'!C3</x:f>
      </x:c>
      <x:c r="D24" s="23" t="str">
        <x:f>'КОНСОЛИДАТОР'!D3</x:f>
      </x:c>
      <x:c r="E24" s="23" t="str">
        <x:f>'КОНСОЛИДАТОР'!E3</x:f>
      </x:c>
      <x:c r="F24" s="23" t="str">
        <x:f>'КОНСОЛИДАТОР'!F3</x:f>
      </x:c>
      <x:c r="G24" s="23" t="str">
        <x:f>'КОНСОЛИДАТОР'!G3</x:f>
      </x:c>
      <x:c r="H24" s="23" t="str">
        <x:f>'КОНСОЛИДАТОР'!H3</x:f>
      </x:c>
      <x:c r="I24" s="23" t="str">
        <x:f>'КОНСОЛИДАТОР'!I3</x:f>
      </x:c>
      <x:c r="J24" s="23" t="str">
        <x:f>'КОНСОЛИДАТОР'!J3</x:f>
      </x:c>
      <x:c r="K24" s="23" t="str">
        <x:f>'КОНСОЛИДАТОР'!K3</x:f>
      </x:c>
      <x:c r="L24" s="23" t="str">
        <x:f>'КОНСОЛИДАТОР'!L3</x:f>
      </x:c>
      <x:c r="M24" s="23" t="str">
        <x:f>'КОНСОЛИДАТОР'!M3</x:f>
      </x:c>
      <x:c r="N24" s="23" t="str">
        <x:f>'КОНСОЛИДАТОР'!N3</x:f>
      </x:c>
    </x:row>
    <x:row r="25">
      <x:c r="A25" t="str">
        <x:f>'КОНСОЛИДАТОР'!A4</x:f>
      </x:c>
      <x:c r="B25" t="str">
        <x:f>'КОНСОЛИДАТОР'!B4</x:f>
      </x:c>
      <x:c r="C25" s="92" t="n">
        <x:f>'КОНСОЛИДАТОР'!C4</x:f>
      </x:c>
      <x:c r="D25" s="92" t="n">
        <x:f>'КОНСОЛИДАТОР'!D4</x:f>
      </x:c>
      <x:c r="E25" s="92" t="n">
        <x:f>'КОНСОЛИДАТОР'!E4</x:f>
      </x:c>
      <x:c r="F25" s="107" t="n">
        <x:f>'КОНСОЛИДАТОР'!F4</x:f>
      </x:c>
      <x:c r="G25" s="107" t="n">
        <x:f>'КОНСОЛИДАТОР'!G4</x:f>
      </x:c>
      <x:c r="H25" s="107" t="n">
        <x:f>'КОНСОЛИДАТОР'!H4</x:f>
      </x:c>
      <x:c r="I25" s="107" t="n">
        <x:f>'КОНСОЛИДАТОР'!I4</x:f>
      </x:c>
      <x:c r="J25" s="107" t="n">
        <x:f>'КОНСОЛИДАТОР'!J4</x:f>
      </x:c>
      <x:c r="K25" s="107" t="n">
        <x:f>'КОНСОЛИДАТОР'!K4</x:f>
      </x:c>
      <x:c r="L25" s="107" t="n">
        <x:f>'КОНСОЛИДАТОР'!L4</x:f>
      </x:c>
      <x:c r="M25" s="107" t="n">
        <x:f>'КОНСОЛИДАТОР'!M4</x:f>
      </x:c>
      <x:c r="N25" s="35" t="n">
        <x:f>'КОНСОЛИДАТОР'!N4</x:f>
      </x:c>
    </x:row>
    <x:row r="26">
      <x:c r="A26" t="str">
        <x:f>'КОНСОЛИДАТОР'!A5</x:f>
      </x:c>
      <x:c r="B26" t="str">
        <x:f>'КОНСОЛИДАТОР'!B5</x:f>
      </x:c>
      <x:c r="C26" s="92" t="n">
        <x:f>'КОНСОЛИДАТОР'!C5</x:f>
      </x:c>
      <x:c r="D26" s="92" t="n">
        <x:f>'КОНСОЛИДАТОР'!D5</x:f>
      </x:c>
      <x:c r="E26" s="92" t="n">
        <x:f>'КОНСОЛИДАТОР'!E5</x:f>
      </x:c>
      <x:c r="F26" s="107" t="n">
        <x:f>'КОНСОЛИДАТОР'!F5</x:f>
      </x:c>
      <x:c r="G26" s="107" t="n">
        <x:f>'КОНСОЛИДАТОР'!G5</x:f>
      </x:c>
      <x:c r="H26" s="107" t="n">
        <x:f>'КОНСОЛИДАТОР'!H5</x:f>
      </x:c>
      <x:c r="I26" s="107" t="n">
        <x:f>'КОНСОЛИДАТОР'!I5</x:f>
      </x:c>
      <x:c r="J26" s="107" t="n">
        <x:f>'КОНСОЛИДАТОР'!J5</x:f>
      </x:c>
      <x:c r="K26" s="107" t="n">
        <x:f>'КОНСОЛИДАТОР'!K5</x:f>
      </x:c>
      <x:c r="L26" s="107" t="n">
        <x:f>'КОНСОЛИДАТОР'!L5</x:f>
      </x:c>
      <x:c r="M26" s="107" t="n">
        <x:f>'КОНСОЛИДАТОР'!M5</x:f>
      </x:c>
      <x:c r="N26" s="35" t="str">
        <x:f>'КОНСОЛИДАТОР'!N5</x:f>
      </x:c>
    </x:row>
    <x:row r="27">
      <x:c r="A27" t="str">
        <x:f>'КОНСОЛИДАТОР'!A6</x:f>
      </x:c>
      <x:c r="B27" t="str">
        <x:f>'КОНСОЛИДАТОР'!B6</x:f>
      </x:c>
      <x:c r="C27" s="92" t="n">
        <x:f>'КОНСОЛИДАТОР'!C6</x:f>
      </x:c>
      <x:c r="D27" s="92" t="n">
        <x:f>'КОНСОЛИДАТОР'!D6</x:f>
      </x:c>
      <x:c r="E27" s="92" t="n">
        <x:f>'КОНСОЛИДАТОР'!E6</x:f>
      </x:c>
      <x:c r="F27" s="107" t="n">
        <x:f>'КОНСОЛИДАТОР'!F6</x:f>
      </x:c>
      <x:c r="G27" s="107" t="n">
        <x:f>'КОНСОЛИДАТОР'!G6</x:f>
      </x:c>
      <x:c r="H27" s="107" t="n">
        <x:f>'КОНСОЛИДАТОР'!H6</x:f>
      </x:c>
      <x:c r="I27" s="107" t="n">
        <x:f>'КОНСОЛИДАТОР'!I6</x:f>
      </x:c>
      <x:c r="J27" s="107" t="n">
        <x:f>'КОНСОЛИДАТОР'!J6</x:f>
      </x:c>
      <x:c r="K27" s="107" t="n">
        <x:f>'КОНСОЛИДАТОР'!K6</x:f>
      </x:c>
      <x:c r="L27" s="107" t="n">
        <x:f>'КОНСОЛИДАТОР'!L6</x:f>
      </x:c>
      <x:c r="M27" s="107" t="n">
        <x:f>'КОНСОЛИДАТОР'!M6</x:f>
      </x:c>
      <x:c r="N27" s="35" t="str">
        <x:f>'КОНСОЛИДАТОР'!N6</x:f>
      </x:c>
    </x:row>
    <x:row r="28">
      <x:c r="A28" t="str">
        <x:f>'КОНСОЛИДАТОР'!A7</x:f>
      </x:c>
      <x:c r="B28" t="str">
        <x:f>'КОНСОЛИДАТОР'!B7</x:f>
      </x:c>
      <x:c r="C28" s="92" t="n">
        <x:f>'КОНСОЛИДАТОР'!C7</x:f>
      </x:c>
      <x:c r="D28" s="92" t="n">
        <x:f>'КОНСОЛИДАТОР'!D7</x:f>
      </x:c>
      <x:c r="E28" s="92" t="n">
        <x:f>'КОНСОЛИДАТОР'!E7</x:f>
      </x:c>
      <x:c r="F28" s="107" t="n">
        <x:f>'КОНСОЛИДАТОР'!F7</x:f>
      </x:c>
      <x:c r="G28" s="107" t="n">
        <x:f>'КОНСОЛИДАТОР'!G7</x:f>
      </x:c>
      <x:c r="H28" s="107" t="n">
        <x:f>'КОНСОЛИДАТОР'!H7</x:f>
      </x:c>
      <x:c r="I28" s="107" t="n">
        <x:f>'КОНСОЛИДАТОР'!I7</x:f>
      </x:c>
      <x:c r="J28" s="107" t="n">
        <x:f>'КОНСОЛИДАТОР'!J7</x:f>
      </x:c>
      <x:c r="K28" s="107" t="n">
        <x:f>'КОНСОЛИДАТОР'!K7</x:f>
      </x:c>
      <x:c r="L28" s="107" t="n">
        <x:f>'КОНСОЛИДАТОР'!L7</x:f>
      </x:c>
      <x:c r="M28" s="107" t="n">
        <x:f>'КОНСОЛИДАТОР'!M7</x:f>
      </x:c>
      <x:c r="N28" s="35" t="n">
        <x:f>'КОНСОЛИДАТОР'!N7</x:f>
      </x:c>
    </x:row>
    <x:row r="29">
      <x:c r="A29" t="str">
        <x:f>'КОНСОЛИДАТОР'!A8</x:f>
      </x:c>
      <x:c r="B29" t="str">
        <x:f>'КОНСОЛИДАТОР'!B8</x:f>
      </x:c>
      <x:c r="C29" s="92" t="n">
        <x:f>'КОНСОЛИДАТОР'!C8</x:f>
      </x:c>
      <x:c r="D29" s="92" t="n">
        <x:f>'КОНСОЛИДАТОР'!D8</x:f>
      </x:c>
      <x:c r="E29" s="92" t="n">
        <x:f>'КОНСОЛИДАТОР'!E8</x:f>
      </x:c>
      <x:c r="F29" s="107" t="n">
        <x:f>'КОНСОЛИДАТОР'!F8</x:f>
      </x:c>
      <x:c r="G29" s="107" t="n">
        <x:f>'КОНСОЛИДАТОР'!G8</x:f>
      </x:c>
      <x:c r="H29" s="107" t="n">
        <x:f>'КОНСОЛИДАТОР'!H8</x:f>
      </x:c>
      <x:c r="I29" s="107" t="n">
        <x:f>'КОНСОЛИДАТОР'!I8</x:f>
      </x:c>
      <x:c r="J29" s="107" t="n">
        <x:f>'КОНСОЛИДАТОР'!J8</x:f>
      </x:c>
      <x:c r="K29" s="107" t="n">
        <x:f>'КОНСОЛИДАТОР'!K8</x:f>
      </x:c>
      <x:c r="L29" s="107" t="n">
        <x:f>'КОНСОЛИДАТОР'!L8</x:f>
      </x:c>
      <x:c r="M29" s="107" t="n">
        <x:f>'КОНСОЛИДАТОР'!M8</x:f>
      </x:c>
      <x:c r="N29" s="35" t="n">
        <x:f>'КОНСОЛИДАТОР'!N8</x:f>
      </x:c>
    </x:row>
    <x:row r="31" ht="21" customHeight="1">
      <x:c r="A31" s="52" t="str">
        <x:v>СТРУКТУРА РАСХОДОВ</x:v>
      </x:c>
      <x:c r="B31" s="53" t="str">
        <x:v>СТРУКТУРА РАСХОДОВ</x:v>
      </x:c>
      <x:c r="C31" s="53" t="str">
        <x:v>СТРУКТУРА РАСХОДОВ</x:v>
      </x:c>
      <x:c r="D31" s="53" t="str">
        <x:v>СТРУКТУРА РАСХОДОВ</x:v>
      </x:c>
      <x:c r="E31" s="53" t="str">
        <x:v>СТРУКТУРА РАСХОДОВ</x:v>
      </x:c>
      <x:c r="F31" s="53" t="str">
        <x:v>СТРУКТУРА РАСХОДОВ</x:v>
      </x:c>
      <x:c r="G31" s="53" t="str">
        <x:v>СТРУКТУРА РАСХОДОВ</x:v>
      </x:c>
      <x:c r="H31" s="53" t="str">
        <x:v>СТРУКТУРА РАСХОДОВ</x:v>
      </x:c>
      <x:c r="I31" s="53" t="str">
        <x:v>СТРУКТУРА РАСХОДОВ</x:v>
      </x:c>
      <x:c r="J31" s="53" t="str">
        <x:v>СТРУКТУРА РАСХОДОВ</x:v>
      </x:c>
      <x:c r="K31" s="53" t="str">
        <x:v>СТРУКТУРА РАСХОДОВ</x:v>
      </x:c>
      <x:c r="L31" s="53" t="str">
        <x:v>СТРУКТУРА РАСХОДОВ</x:v>
      </x:c>
      <x:c r="M31" s="53" t="str">
        <x:v>СТРУКТУРА РАСХОДОВ</x:v>
      </x:c>
      <x:c r="N31" s="54" t="str">
        <x:v>СТРУКТУРА РАСХОДОВ</x:v>
      </x:c>
    </x:row>
    <x:row r="32">
      <x:c r="A32" s="23" t="str">
        <x:v>Статья</x:v>
      </x:c>
      <x:c r="B32" s="23" t="str">
        <x:v>Сумма, млн ₽</x:v>
      </x:c>
      <x:c r="C32" s="23" t="str">
        <x:v>Доля</x:v>
      </x:c>
      <x:c r="E32" t="inlineStr">
        <x:is>
          <x:t>Объект</x:t>
        </x:is>
      </x:c>
      <x:c r="F32" t="inlineStr">
        <x:is>
          <x:t>Мест</x:t>
        </x:is>
      </x:c>
      <x:c r="G32" t="inlineStr">
        <x:is>
          <x:t>Очередь</x:t>
        </x:is>
      </x:c>
      <x:c r="H32" t="inlineStr">
        <x:is>
          <x:t>Сумма, млн ₽</x:t>
        </x:is>
      </x:c>
    </x:row>
    <x:row r="33">
      <x:c r="A33" t="str">
        <x:v>Покупка</x:v>
      </x:c>
      <x:c r="B33" s="107" t="n">
        <x:f>'Вводные'!$B$15</x:f>
      </x:c>
      <x:c r="C33" s="35" t="n">
        <x:f>IFERROR(B33/$B$40,0)</x:f>
      </x:c>
      <x:c r="E33" t="inlineStr">
        <x:is>
          <x:t>ДОО</x:t>
        </x:is>
      </x:c>
      <x:c r="F33">
        <x:v>0</x:v>
      </x:c>
      <x:c r="G33" t="inlineStr">
        <x:is>
          <x:t>—</x:t>
        </x:is>
      </x:c>
      <x:c r="H33">
        <x:v>0</x:v>
      </x:c>
    </x:row>
    <x:row r="34">
      <x:c r="A34" t="str">
        <x:v>ВРИ</x:v>
      </x:c>
      <x:c r="B34" s="107" t="n">
        <x:f>'Вводные'!$B$16-'Вводные'!$B$82</x:f>
      </x:c>
      <x:c r="C34" s="35" t="n">
        <x:f>IFERROR(B34/$B$40,0)</x:f>
      </x:c>
      <x:c r="E34" t="inlineStr">
        <x:is>
          <x:t>СОШ</x:t>
        </x:is>
      </x:c>
      <x:c r="F34">
        <x:v>0</x:v>
      </x:c>
      <x:c r="G34" t="inlineStr">
        <x:is>
          <x:t>—</x:t>
        </x:is>
      </x:c>
      <x:c r="H34">
        <x:v>0</x:v>
      </x:c>
    </x:row>
    <x:row r="35">
      <x:c r="A35" t="str">
        <x:v>Строительство и управление</x:v>
      </x:c>
      <x:c r="B35" s="107" t="n">
        <x:f>MAX(0,B6-B33-B34-B36)</x:f>
      </x:c>
      <x:c r="C35" s="35" t="n">
        <x:f>IFERROR(B35/$B$40,0)</x:f>
      </x:c>
      <x:c r="E35" t="inlineStr">
        <x:is>
          <x:t>Поликлиника</x:t>
        </x:is>
      </x:c>
      <x:c r="F35">
        <x:v>0</x:v>
      </x:c>
      <x:c r="G35" t="inlineStr">
        <x:is>
          <x:t>—</x:t>
        </x:is>
      </x:c>
      <x:c r="H35">
        <x:v>0</x:v>
      </x:c>
    </x:row>
    <x:row r="36">
      <x:c r="A36" t="str">
        <x:v>Социальная нагрузка</x:v>
      </x:c>
      <x:c r="B36" s="107" t="n">
        <x:f>'Вводные'!$B$17</x:f>
      </x:c>
      <x:c r="C36" s="35" t="n">
        <x:f>IFERROR(B36/$B$40,0)</x:f>
      </x:c>
      <x:c r="E36" t="inlineStr">
        <x:is>
          <x:t>Денежная компенсация</x:t>
        </x:is>
      </x:c>
      <x:c r="G36" t="inlineStr">
        <x:is>
          <x:t>—</x:t>
        </x:is>
      </x:c>
      <x:c r="H36">
        <x:v>0</x:v>
      </x:c>
    </x:row>
    <x:row r="37">
      <x:c r="A37" t="str">
        <x:v>Маркетинг и продажи</x:v>
      </x:c>
      <x:c r="B37" s="107" t="n">
        <x:f>B7</x:f>
      </x:c>
      <x:c r="C37" s="35" t="n">
        <x:f>IFERROR(B37/$B$40,0)</x:f>
      </x:c>
      <x:c r="E37" t="inlineStr">
        <x:is>
          <x:t>ИТОГО (= Вводные!B17)</x:t>
        </x:is>
      </x:c>
      <x:c r="H37">
        <x:f>SUM(H33:H36)</x:f>
      </x:c>
    </x:row>
    <x:row r="38">
      <x:c r="A38" t="str">
        <x:v>Проценты и комиссии</x:v>
      </x:c>
      <x:c r="B38" s="107" t="n">
        <x:f>B9</x:f>
      </x:c>
      <x:c r="C38" s="35" t="n">
        <x:f>IFERROR(B38/$B$40,0)</x:f>
      </x:c>
    </x:row>
    <x:row r="39">
      <x:c r="A39" t="str">
        <x:v>Налог на прибыль</x:v>
      </x:c>
      <x:c r="B39" s="107" t="n">
        <x:f>B11</x:f>
      </x:c>
      <x:c r="C39" s="35" t="n">
        <x:f>IFERROR(B39/$B$40,0)</x:f>
      </x:c>
    </x:row>
    <x:row r="40">
      <x:c r="A40" s="113" t="str">
        <x:v>Итого</x:v>
      </x:c>
      <x:c r="B40" s="113" t="n">
        <x:f>SUM(B33:B39)</x:f>
      </x:c>
      <x:c r="C40" s="113" t="n">
        <x:f>SUM(C33:C39)</x:f>
      </x:c>
    </x:row>
    <x:row r="41">
      <x:c r="A41"/>
      <x:c r="B41" s="107"/>
      <x:c r="C41"/>
    </x:row>
    <x:row r="42">
      <x:c r="A42" t="str">
        <x:v>Контроль</x:v>
      </x:c>
      <x:c r="B42" s="107" t="n">
        <x:f>B40-(B6+B7+B9+B11)</x:f>
      </x:c>
      <x:c r="C42"/>
    </x:row>
    <x:row r="44" ht="21" customHeight="1">
      <x:c r="A44" s="281" t="str">
        <x:v>СТРУКТУРА ПРОДУКТА</x:v>
      </x:c>
      <x:c r="B44" s="282" t="str">
        <x:v>СТРУКТУРА ПРОДУКТА</x:v>
      </x:c>
      <x:c r="C44" s="282" t="str">
        <x:v>СТРУКТУРА ПРОДУКТА</x:v>
      </x:c>
      <x:c r="D44" s="282" t="str">
        <x:v>СТРУКТУРА ПРОДУКТА</x:v>
      </x:c>
      <x:c r="E44" s="282" t="str">
        <x:v>СТРУКТУРА ПРОДУКТА</x:v>
      </x:c>
      <x:c r="F44" s="282" t="str">
        <x:v>СТРУКТУРА ПРОДУКТА</x:v>
      </x:c>
      <x:c r="G44" s="282" t="str">
        <x:v>СТРУКТУРА ПРОДУКТА</x:v>
      </x:c>
      <x:c r="H44" s="282" t="str">
        <x:v>СТРУКТУРА ПРОДУКТА</x:v>
      </x:c>
      <x:c r="I44" s="282" t="str">
        <x:v>СТРУКТУРА ПРОДУКТА</x:v>
      </x:c>
      <x:c r="J44" s="282" t="str">
        <x:v>СТРУКТУРА ПРОДУКТА</x:v>
      </x:c>
      <x:c r="K44" s="282" t="str">
        <x:v>СТРУКТУРА ПРОДУКТА</x:v>
      </x:c>
      <x:c r="L44" s="282" t="str">
        <x:v>СТРУКТУРА ПРОДУКТА</x:v>
      </x:c>
      <x:c r="M44" s="282" t="str">
        <x:v>СТРУКТУРА ПРОДУКТА</x:v>
      </x:c>
      <x:c r="N44" s="283" t="str">
        <x:v>СТРУКТУРА ПРОДУКТА</x:v>
      </x:c>
    </x:row>
    <x:row r="45">
      <x:c r="A45" s="289" t="str">
        <x:v>Продукт</x:v>
      </x:c>
      <x:c r="B45" s="289" t="str">
        <x:v>ГНС, м²</x:v>
      </x:c>
      <x:c r="C45" s="289" t="str">
        <x:v>Прод. площадь, м²</x:v>
      </x:c>
      <x:c r="D45" s="289" t="str">
        <x:v>Единицы, шт.</x:v>
      </x:c>
      <x:c r="E45" s="289" t="str">
        <x:v>Выручка, млн ₽</x:v>
      </x:c>
      <x:c r="F45" s="289" t="str">
        <x:v>Статус</x:v>
      </x:c>
    </x:row>
    <x:row r="46">
      <x:c r="A46" t="str">
        <x:v>Квартиры</x:v>
      </x:c>
      <x:c r="B46" s="132" t="n">
        <x:f>SUM('Вводные'!I88:I91)</x:f>
      </x:c>
      <x:c r="C46" s="132" t="n">
        <x:f>SUM('Вводные'!L88:L91)</x:f>
      </x:c>
      <x:c r="D46" s="132"/>
      <x:c r="E46" s="107" t="n">
        <x:f>SUM('Продажи'!B16,'Продажи'!B39,'Продажи'!B62,'Продажи'!B85)</x:f>
      </x:c>
      <x:c r="F46" t="str">
        <x:v>Очереди</x:v>
      </x:c>
    </x:row>
    <x:row r="47">
      <x:c r="A47" t="str">
        <x:v>Коммерция первого этажа</x:v>
      </x:c>
      <x:c r="B47" s="132" t="n">
        <x:f>SUM('Вводные'!J88:J91)</x:f>
      </x:c>
      <x:c r="C47" s="132" t="n">
        <x:f>SUM('Вводные'!M88:M91)</x:f>
      </x:c>
      <x:c r="D47" s="132"/>
      <x:c r="E47" s="107" t="n">
        <x:f>SUM('Продажи'!B19,'Продажи'!B42,'Продажи'!B65,'Продажи'!B88)</x:f>
      </x:c>
      <x:c r="F47" t="str">
        <x:v>Очереди</x:v>
      </x:c>
    </x:row>
    <x:row r="48">
      <x:c r="A48" t="str">
        <x:v>Подземный паркинг</x:v>
      </x:c>
      <x:c r="B48" s="132" t="n">
        <x:f>SUM('Вводные'!K88:K91)</x:f>
      </x:c>
      <x:c r="C48" s="132"/>
      <x:c r="D48" s="132" t="n">
        <x:f>SUM('Вводные'!N88:N91)</x:f>
      </x:c>
      <x:c r="E48" s="107" t="n">
        <x:f>SUM('Продажи'!B22,'Продажи'!B45,'Продажи'!B68,'Продажи'!B91)</x:f>
      </x:c>
      <x:c r="F48" t="str">
        <x:v>Очереди</x:v>
      </x:c>
    </x:row>
    <x:row r="49">
      <x:c r="A49" t="str">
        <x:v>Кладовые</x:v>
      </x:c>
      <x:c r="B49" s="132"/>
      <x:c r="C49" s="132"/>
      <x:c r="D49" s="132" t="n">
        <x:f>SUM('Вводные'!O88:O91)</x:f>
      </x:c>
      <x:c r="E49" s="107" t="n">
        <x:f>SUM('Продажи'!B25,'Продажи'!B48,'Продажи'!B71,'Продажи'!B94)</x:f>
      </x:c>
      <x:c r="F49" t="str">
        <x:v>Очереди</x:v>
      </x:c>
    </x:row>
    <x:row r="50">
      <x:c r="A50" t="str">
        <x:v>МФОЦ / офисный центр</x:v>
      </x:c>
      <x:c r="B50" s="132" t="n">
        <x:f>'Вводные'!K25</x:f>
      </x:c>
      <x:c r="C50" s="132" t="n">
        <x:f>'Вводные'!K26</x:f>
      </x:c>
      <x:c r="D50" s="132"/>
      <x:c r="E50" s="107" t="n">
        <x:f>'ОБЪЕКТЫ'!B24</x:f>
      </x:c>
      <x:c r="F50" t="str">
        <x:v>Отдельный объект</x:v>
      </x:c>
    </x:row>
    <x:row r="51">
      <x:c r="A51" t="str">
        <x:v>Торговый центр / ОСЗ</x:v>
      </x:c>
      <x:c r="B51" s="132" t="n">
        <x:f>'Вводные'!K45</x:f>
      </x:c>
      <x:c r="C51" s="132" t="n">
        <x:f>'Вводные'!K46</x:f>
      </x:c>
      <x:c r="D51" s="132"/>
      <x:c r="E51" s="107" t="n">
        <x:f>'ОБЪЕКТЫ'!B52</x:f>
      </x:c>
      <x:c r="F51" t="str">
        <x:v>Отдельный объект</x:v>
      </x:c>
    </x:row>
    <x:row r="52">
      <x:c r="A52" t="str">
        <x:v>Наземный паркинг</x:v>
      </x:c>
      <x:c r="B52" s="132" t="n">
        <x:f>'Вводные'!K66</x:f>
      </x:c>
      <x:c r="C52" s="132"/>
      <x:c r="D52" s="132" t="n">
        <x:f>'Вводные'!K65</x:f>
      </x:c>
      <x:c r="E52" s="107" t="n">
        <x:f>'ОБЪЕКТЫ'!B80</x:f>
      </x:c>
      <x:c r="F52" t="str">
        <x:v>Отдельный объект</x:v>
      </x:c>
    </x:row>
    <x:row r="53">
      <x:c r="A53" s="348" t="str">
        <x:v>ИТОГО ПРОЕКТ</x:v>
      </x:c>
      <x:c r="B53" s="351" t="n">
        <x:f>SUM(B46:B52)</x:f>
      </x:c>
      <x:c r="C53" s="351" t="n">
        <x:f>SUM(C46:C52)</x:f>
      </x:c>
      <x:c r="D53" s="351" t="n">
        <x:f>SUM(D46:D52)</x:f>
      </x:c>
      <x:c r="E53" s="348" t="n">
        <x:f>SUM(E46:E52)</x:f>
      </x:c>
      <x:c r="F53" s="348"/>
    </x:row>
    <x:row r="55" ht="21" customHeight="1">
      <x:c r="A55" s="281" t="str">
        <x:v>УДЕЛЬНЫЕ ПОКАЗАТЕЛИ, СТАВКИ И ТЕМПЫ ПРОДАЖ</x:v>
      </x:c>
      <x:c r="B55" s="282" t="str">
        <x:v>УДЕЛЬНЫЕ ПОКАЗАТЕЛИ, СТАВКИ И ТЕМПЫ ПРОДАЖ</x:v>
      </x:c>
      <x:c r="C55" s="282" t="str">
        <x:v>УДЕЛЬНЫЕ ПОКАЗАТЕЛИ, СТАВКИ И ТЕМПЫ ПРОДАЖ</x:v>
      </x:c>
      <x:c r="D55" s="282" t="str">
        <x:v>УДЕЛЬНЫЕ ПОКАЗАТЕЛИ, СТАВКИ И ТЕМПЫ ПРОДАЖ</x:v>
      </x:c>
      <x:c r="E55" s="282" t="str">
        <x:v>УДЕЛЬНЫЕ ПОКАЗАТЕЛИ, СТАВКИ И ТЕМПЫ ПРОДАЖ</x:v>
      </x:c>
      <x:c r="F55" s="282" t="str">
        <x:v>УДЕЛЬНЫЕ ПОКАЗАТЕЛИ, СТАВКИ И ТЕМПЫ ПРОДАЖ</x:v>
      </x:c>
      <x:c r="G55" s="283" t="str">
        <x:v>УДЕЛЬНЫЕ ПОКАЗАТЕЛИ, СТАВКИ И ТЕМПЫ ПРОДАЖ</x:v>
      </x:c>
    </x:row>
    <x:row r="56">
      <x:c r="A56" s="289" t="str">
        <x:v>Показатель</x:v>
      </x:c>
      <x:c r="B56" s="289" t="str">
        <x:v>Очередь 1</x:v>
      </x:c>
      <x:c r="C56" s="289" t="str">
        <x:v>Очередь 2</x:v>
      </x:c>
      <x:c r="D56" s="289" t="str">
        <x:v>Очередь 3</x:v>
      </x:c>
      <x:c r="E56" s="289" t="inlineStr">
        <x:is>
          <x:t>Очередь 4</x:t>
        </x:is>
      </x:c>
      <x:c r="F56" s="289" t="str">
        <x:v>Проект</x:v>
      </x:c>
      <x:c r="G56" s="289" t="str">
        <x:v>Ед.</x:v>
      </x:c>
      <x:c r="H56" s="289" t="str">
        <x:v>Комментарий</x:v>
      </x:c>
    </x:row>
    <x:row r="57">
      <x:c r="A57" t="str">
        <x:v>Продаваемая площадь</x:v>
      </x:c>
      <x:c r="B57" s="132" t="n">
        <x:f>'КОНСОЛИДАТОР'!F4</x:f>
      </x:c>
      <x:c r="C57" s="132" t="n">
        <x:f>'КОНСОЛИДАТОР'!F5</x:f>
      </x:c>
      <x:c r="D57" s="132" t="n">
        <x:f>'КОНСОЛИДАТОР'!F6</x:f>
      </x:c>
      <x:c r="E57" s="132" t="n">
        <x:f>'КОНСОЛИДАТОР'!F7</x:f>
      </x:c>
      <x:c r="F57" s="132" t="n">
        <x:f>SUM(B57:$E$57)</x:f>
      </x:c>
      <x:c r="G57" t="str">
        <x:v>м²</x:v>
      </x:c>
      <x:c r="H57" s="93" t="str">
        <x:v>Площадные продукты; парковки и кладовые не смешиваются с м²</x:v>
      </x:c>
    </x:row>
    <x:row r="58">
      <x:c r="A58" t="str">
        <x:v>Общая площадь (GBA)</x:v>
      </x:c>
      <x:c r="B58" s="132" t="n">
        <x:f>SUM('Вводные'!$I$88:$K$88,IF('ОБЪЕКТЫ'!$B$8=1,'ОБЪЕКТЫ'!$B$12,0),IF('ОБЪЕКТЫ'!$B$36=1,'ОБЪЕКТЫ'!$B$40,0),IF('ОБЪЕКТЫ'!$B$64=1,'ОБЪЕКТЫ'!$B$68,0))</x:f>
      </x:c>
      <x:c r="C58" s="132" t="n">
        <x:f>SUM('Вводные'!$I$89:$K$89,IF('ОБЪЕКТЫ'!$B$8=2,'ОБЪЕКТЫ'!$B$12,0),IF('ОБЪЕКТЫ'!$B$36=2,'ОБЪЕКТЫ'!$B$40,0),IF('ОБЪЕКТЫ'!$B$64=2,'ОБЪЕКТЫ'!$B$68,0))</x:f>
      </x:c>
      <x:c r="D58" s="132" t="n">
        <x:f>SUM('Вводные'!$I$90:$K$90,IF('ОБЪЕКТЫ'!$B$8=3,'ОБЪЕКТЫ'!$B$12,0),IF('ОБЪЕКТЫ'!$B$36=3,'ОБЪЕКТЫ'!$B$40,0),IF('ОБЪЕКТЫ'!$B$64=3,'ОБЪЕКТЫ'!$B$68,0))</x:f>
      </x:c>
      <x:c r="E58" s="132" t="n">
        <x:f>SUM('Вводные'!$I$91:$K$91,IF('ОБЪЕКТЫ'!$B$8=4,'ОБЪЕКТЫ'!$B$12,0),IF('ОБЪЕКТЫ'!$B$36=4,'ОБЪЕКТЫ'!$B$40,0),IF('ОБЪЕКТЫ'!$B$64=4,'ОБЪЕКТЫ'!$B$68,0))</x:f>
      </x:c>
      <x:c r="F58" s="132" t="n">
        <x:f>SUM(B58:$E$58)</x:f>
      </x:c>
      <x:c r="G58" t="str">
        <x:v>м²</x:v>
      </x:c>
      <x:c r="H58" s="93" t="str">
        <x:v>Жилые очереди и отдельно стоящие объекты</x:v>
      </x:c>
    </x:row>
    <x:row r="59">
      <x:c r="A59" t="str">
        <x:v>Выручка площадных продуктов</x:v>
      </x:c>
      <x:c r="B59" s="107" t="n">
        <x:f>SUM('Продажи'!$B$16,'Продажи'!$B$19,IF('ОБЪЕКТЫ'!$B$8=1,'ОБЪЕКТЫ'!$B$24,0),IF('ОБЪЕКТЫ'!$B$36=1,'ОБЪЕКТЫ'!$B$52,0))</x:f>
      </x:c>
      <x:c r="C59" s="107" t="n">
        <x:f>SUM('Продажи'!$B$39,'Продажи'!$B$42,IF('ОБЪЕКТЫ'!$B$8=2,'ОБЪЕКТЫ'!$B$24,0),IF('ОБЪЕКТЫ'!$B$36=2,'ОБЪЕКТЫ'!$B$52,0))</x:f>
      </x:c>
      <x:c r="D59" s="107" t="n">
        <x:f>SUM('Продажи'!$B$62,'Продажи'!$B$65,IF('ОБЪЕКТЫ'!$B$8=3,'ОБЪЕКТЫ'!$B$24,0),IF('ОБЪЕКТЫ'!$B$36=3,'ОБЪЕКТЫ'!$B$52,0))</x:f>
      </x:c>
      <x:c r="E59" s="107" t="n">
        <x:f>SUM('Продажи'!$B$85,'Продажи'!$B$88,IF('ОБЪЕКТЫ'!$B$8=4,'ОБЪЕКТЫ'!$B$24,0),IF('ОБЪЕКТЫ'!$B$36=4,'ОБЪЕКТЫ'!$B$52,0))</x:f>
      </x:c>
      <x:c r="F59" s="107" t="n">
        <x:f>SUM(B59:$E$59)</x:f>
      </x:c>
      <x:c r="G59" t="str">
        <x:v>млн ₽</x:v>
      </x:c>
      <x:c r="H59" s="93" t="str">
        <x:v>Квартиры, коммерция, офисы и ТЦ; без парковок и кладовых</x:v>
      </x:c>
    </x:row>
    <x:row r="60">
      <x:c r="A60" t="str">
        <x:v>Средняя цена реализации</x:v>
      </x:c>
      <x:c r="B60" s="107" t="n">
        <x:f>IFERROR(B59*1000/B57,0)</x:f>
      </x:c>
      <x:c r="C60" s="107" t="n">
        <x:f>IFERROR(C59*1000/C57,0)</x:f>
      </x:c>
      <x:c r="D60" s="107" t="n">
        <x:f>IFERROR(D59*1000/D57,0)</x:f>
      </x:c>
      <x:c r="E60" s="107" t="n">
        <x:f>IFERROR(E59*1000/E57,0)</x:f>
      </x:c>
      <x:c r="F60" s="107" t="n">
        <x:f>IFERROR(F59*1000/F57,0)</x:f>
      </x:c>
      <x:c r="G60" t="str">
        <x:v>тыс. ₽/м²</x:v>
      </x:c>
      <x:c r="H60" s="93" t="str">
        <x:v>Выручка площадных продуктов / продаваемая площадь</x:v>
      </x:c>
    </x:row>
    <x:row r="61">
      <x:c r="A61" t="inlineStr">
        <x:is>
          <x:t>в т.ч. квартиры</x:t>
        </x:is>
      </x:c>
      <x:c r="B61" s="107">
        <x:f>IFERROR('Продажи'!B16*1000/'Вводные'!$L$88,0)</x:f>
      </x:c>
      <x:c r="C61" s="107">
        <x:f>IFERROR('Продажи'!B39*1000/'Вводные'!$L$89,0)</x:f>
      </x:c>
      <x:c r="D61" s="107">
        <x:f>IFERROR('Продажи'!B62*1000/'Вводные'!$L$90,0)</x:f>
      </x:c>
      <x:c r="E61" s="107">
        <x:f>IFERROR('Продажи'!B85*1000/'Вводные'!$L$91,0)</x:f>
      </x:c>
      <x:c r="F61" s="107">
        <x:f>IFERROR(SUM('Продажи'!B16,'Продажи'!B39,'Продажи'!B62,'Продажи'!B85)*1000/SUM('Вводные'!$L$88:$L$91),0)</x:f>
      </x:c>
      <x:c r="G61" t="inlineStr">
        <x:is>
          <x:t>тыс. ₽/м²</x:t>
        </x:is>
      </x:c>
      <x:c r="H61" t="inlineStr">
        <x:is>
          <x:t>Только квартиры на м² их продаваемой — колонка «в т.ч. квартиры» PDF-отчёта</x:t>
        </x:is>
      </x:c>
    </x:row>
    <x:row r="62">
      <x:c r="A62" t="str">
        <x:v>CAPEX на м² GBA</x:v>
      </x:c>
      <x:c r="B62" s="107" t="n">
        <x:f>IFERROR('CF_1'!$B$68*1000/B58,0)</x:f>
      </x:c>
      <x:c r="C62" s="107" t="n">
        <x:f>IFERROR('CF_2'!$B$68*1000/C58,0)</x:f>
      </x:c>
      <x:c r="D62" s="107" t="n">
        <x:f>IFERROR('CF_3'!$B$68*1000/D58,0)</x:f>
      </x:c>
      <x:c r="E62" s="107" t="n">
        <x:f>IFERROR('CF_4'!$B$68*1000/E58,0)</x:f>
      </x:c>
      <x:c r="F62" s="107" t="n">
        <x:f>IFERROR($B$6*1000/F58,0)</x:f>
      </x:c>
      <x:c r="G62" t="str">
        <x:v>тыс. ₽/м²</x:v>
      </x:c>
      <x:c r="H62" s="93" t="str">
        <x:v>CAPEX очереди / общая площадь</x:v>
      </x:c>
    </x:row>
    <x:row r="63">
      <x:c r="A63" t="str">
        <x:v>Полные расходы на м² продаж</x:v>
      </x:c>
      <x:c r="B63" s="107" t="n">
        <x:f>IFERROR(SUM('CF_1'!$B$68,'CF_1'!$B$69,'CF_1'!$B$74,'CF_1'!$B$76)*1000/B57,0)</x:f>
      </x:c>
      <x:c r="C63" s="107" t="n">
        <x:f>IFERROR(SUM('CF_2'!$B$68,'CF_2'!$B$69,'CF_2'!$B$74,'CF_2'!$B$76)*1000/C57,0)</x:f>
      </x:c>
      <x:c r="D63" s="107" t="n">
        <x:f>IFERROR(SUM('CF_3'!$B$68,'CF_3'!$B$69,'CF_3'!$B$74,'CF_3'!$B$76)*1000/D57,0)</x:f>
      </x:c>
      <x:c r="E63" s="107" t="n">
        <x:f>IFERROR(SUM('CF_4'!$B$68,'CF_4'!$B$69,'CF_4'!$B$74,'CF_4'!$B$76)*1000/E57,0)</x:f>
      </x:c>
      <x:c r="F63" s="107" t="n">
        <x:f>IFERROR(SUM($B$6,$B$7,$B$9,$B$11)*1000/F57,0)</x:f>
      </x:c>
      <x:c r="G63" t="str">
        <x:v>тыс. ₽/м²</x:v>
      </x:c>
      <x:c r="H63" s="93" t="str">
        <x:v>CAPEX, коммерческие расходы, финансирование и налог</x:v>
      </x:c>
    </x:row>
    <x:row r="64">
      <x:c r="A64" t="str">
        <x:v>Цена безубыточности площади</x:v>
      </x:c>
      <x:c r="B64" s="107" t="n">
        <x:f>IFERROR(MAX(0,(SUM('CF_1'!$B$68,'CF_1'!$B$69,'CF_1'!$B$74,'CF_1'!$B$76)-('CF_1'!$B$67-B59))*1000/B57),0)</x:f>
      </x:c>
      <x:c r="C64" s="107" t="n">
        <x:f>IFERROR(MAX(0,(SUM('CF_2'!$B$68,'CF_2'!$B$69,'CF_2'!$B$74,'CF_2'!$B$76)-('CF_2'!$B$67-C59))*1000/C57),0)</x:f>
      </x:c>
      <x:c r="D64" s="107" t="n">
        <x:f>IFERROR(MAX(0,(SUM('CF_3'!$B$68,'CF_3'!$B$69,'CF_3'!$B$74,'CF_3'!$B$76)-('CF_3'!$B$67-D59))*1000/D57),0)</x:f>
      </x:c>
      <x:c r="E64" s="107" t="n">
        <x:f>IFERROR(MAX(0,(SUM('CF_4'!$B$68,'CF_4'!$B$69,'CF_4'!$B$74,'CF_4'!$B$76)-('CF_4'!$B$67-E59))*1000/E57),0)</x:f>
      </x:c>
      <x:c r="F64" s="107" t="n">
        <x:f>IFERROR(MAX(0,(SUM($B$6,$B$7,$B$9,$B$11)-($B$5-F59))*1000/F57),0)</x:f>
      </x:c>
      <x:c r="G64" t="str">
        <x:v>тыс. ₽/м²</x:v>
      </x:c>
      <x:c r="H64" s="93" t="str">
        <x:v>Полные расходы минус выручка штучных продуктов</x:v>
      </x:c>
    </x:row>
    <x:row r="65">
      <x:c r="A65" t="str">
        <x:v>Темп продаж до РВЭ — площадь</x:v>
      </x:c>
      <x:c r="B65" s="107" t="n">
        <x:f>IFERROR(SUMPRODUCT((('Продажи'!$D$14:$GA$14+'Продажи'!$D$17:$GA$17)*'Продажи'!$D$9:$GA$9)+--('ОБЪЕКТЫ'!$B$8=1)*'ОБЪЕКТЫ'!$D$22:$GA$22*'ОБЪЕКТЫ'!$D$17:$GA$17+--('ОБЪЕКТЫ'!$B$36=1)*'ОБЪЕКТЫ'!$D$50:$GA$50*'ОБЪЕКТЫ'!$D$45:$GA$45)/SUMPRODUCT(--(((('Продажи'!$D$14:$GA$14+'Продажи'!$D$17:$GA$17)*'Продажи'!$D$9:$GA$9)+--('ОБЪЕКТЫ'!$B$8=1)*'ОБЪЕКТЫ'!$D$22:$GA$22*'ОБЪЕКТЫ'!$D$17:$GA$17+--('ОБЪЕКТЫ'!$B$36=1)*'ОБЪЕКТЫ'!$D$50:$GA$50*'ОБЪЕКТЫ'!$D$45:$GA$45)&gt;0)),0)</x:f>
      </x:c>
      <x:c r="C65" s="107" t="n">
        <x:f>IFERROR(SUMPRODUCT((('Продажи'!$D$37:$GA$37+'Продажи'!$D$40:$GA$40)*'Продажи'!$D$32:$GA$32)+--('ОБЪЕКТЫ'!$B$8=2)*'ОБЪЕКТЫ'!$D$22:$GA$22*'ОБЪЕКТЫ'!$D$17:$GA$17+--('ОБЪЕКТЫ'!$B$36=2)*'ОБЪЕКТЫ'!$D$50:$GA$50*'ОБЪЕКТЫ'!$D$45:$GA$45)/SUMPRODUCT(--(((('Продажи'!$D$37:$GA$37+'Продажи'!$D$40:$GA$40)*'Продажи'!$D$32:$GA$32)+--('ОБЪЕКТЫ'!$B$8=2)*'ОБЪЕКТЫ'!$D$22:$GA$22*'ОБЪЕКТЫ'!$D$17:$GA$17+--('ОБЪЕКТЫ'!$B$36=2)*'ОБЪЕКТЫ'!$D$50:$GA$50*'ОБЪЕКТЫ'!$D$45:$GA$45)&gt;0)),0)</x:f>
      </x:c>
      <x:c r="D65" s="107" t="n">
        <x:f>IFERROR(SUMPRODUCT((('Продажи'!$D$60:$GA$60+'Продажи'!$D$63:$GA$63)*'Продажи'!$D$55:$GA$55)+--('ОБЪЕКТЫ'!$B$8=3)*'ОБЪЕКТЫ'!$D$22:$GA$22*'ОБЪЕКТЫ'!$D$17:$GA$17+--('ОБЪЕКТЫ'!$B$36=3)*'ОБЪЕКТЫ'!$D$50:$GA$50*'ОБЪЕКТЫ'!$D$45:$GA$45)/SUMPRODUCT(--(((('Продажи'!$D$60:$GA$60+'Продажи'!$D$63:$GA$63)*'Продажи'!$D$55:$GA$55)+--('ОБЪЕКТЫ'!$B$8=3)*'ОБЪЕКТЫ'!$D$22:$GA$22*'ОБЪЕКТЫ'!$D$17:$GA$17+--('ОБЪЕКТЫ'!$B$36=3)*'ОБЪЕКТЫ'!$D$50:$GA$50*'ОБЪЕКТЫ'!$D$45:$GA$45)&gt;0)),0)</x:f>
      </x:c>
      <x:c r="E65" s="107" t="n">
        <x:f>IFERROR(SUMPRODUCT((('Продажи'!$D$83:$GA$83+'Продажи'!$D$86:$GA$86)*'Продажи'!$D$78:$GA$78)+--('ОБЪЕКТЫ'!$B$8=4)*'ОБЪЕКТЫ'!$D$22:$GA$22*'ОБЪЕКТЫ'!$D$17:$GA$17+--('ОБЪЕКТЫ'!$B$36=4)*'ОБЪЕКТЫ'!$D$50:$GA$50*'ОБЪЕКТЫ'!$D$45:$GA$45)/SUMPRODUCT(--(((('Продажи'!$D$83:$GA$83+'Продажи'!$D$86:$GA$86)*'Продажи'!$D$78:$GA$78)+--('ОБЪЕКТЫ'!$B$8=4)*'ОБЪЕКТЫ'!$D$22:$GA$22*'ОБЪЕКТЫ'!$D$17:$GA$17+--('ОБЪЕКТЫ'!$B$36=4)*'ОБЪЕКТЫ'!$D$50:$GA$50*'ОБЪЕКТЫ'!$D$45:$GA$45)&gt;0)),0)</x:f>
      </x:c>
      <x:c r="F65" s="107" t="n">
        <x:f>IFERROR(SUMPRODUCT(((('Продажи'!$D$14:$GA$14+'Продажи'!$D$17:$GA$17)*'Продажи'!$D$9:$GA$9)+--('ОБЪЕКТЫ'!$B$8=1)*'ОБЪЕКТЫ'!$D$22:$GA$22*'ОБЪЕКТЫ'!$D$17:$GA$17+--('ОБЪЕКТЫ'!$B$36=1)*'ОБЪЕКТЫ'!$D$50:$GA$50*'ОБЪЕКТЫ'!$D$45:$GA$45)+((('Продажи'!$D$37:$GA$37+'Продажи'!$D$40:$GA$40)*'Продажи'!$D$32:$GA$32)+--('ОБЪЕКТЫ'!$B$8=2)*'ОБЪЕКТЫ'!$D$22:$GA$22*'ОБЪЕКТЫ'!$D$17:$GA$17+--('ОБЪЕКТЫ'!$B$36=2)*'ОБЪЕКТЫ'!$D$50:$GA$50*'ОБЪЕКТЫ'!$D$45:$GA$45)+((('Продажи'!$D$60:$GA$60+'Продажи'!$D$63:$GA$63)*'Продажи'!$D$55:$GA$55)+--('ОБЪЕКТЫ'!$B$8=3)*'ОБЪЕКТЫ'!$D$22:$GA$22*'ОБЪЕКТЫ'!$D$17:$GA$17+--('ОБЪЕКТЫ'!$B$36=3)*'ОБЪЕКТЫ'!$D$50:$GA$50*'ОБЪЕКТЫ'!$D$45:$GA$45)+((('Продажи'!$D$83:$GA$83+'Продажи'!$D$86:$GA$86)*'Продажи'!$D$78:$GA$78)+--('ОБЪЕКТЫ'!$B$8=4)*'ОБЪЕКТЫ'!$D$22:$GA$22*'ОБЪЕКТЫ'!$D$17:$GA$17+--('ОБЪЕКТЫ'!$B$36=4)*'ОБЪЕКТЫ'!$D$50:$GA$50*'ОБЪЕКТЫ'!$D$45:$GA$45))/SUMPRODUCT(--((((('Продажи'!$D$14:$GA$14+'Продажи'!$D$17:$GA$17)*'Продажи'!$D$9:$GA$9)+--('ОБЪЕКТЫ'!$B$8=1)*'ОБЪЕКТЫ'!$D$22:$GA$22*'ОБЪЕКТЫ'!$D$17:$GA$17+--('ОБЪЕКТЫ'!$B$36=1)*'ОБЪЕКТЫ'!$D$50:$GA$50*'ОБЪЕКТЫ'!$D$45:$GA$45)+((('Продажи'!$D$37:$GA$37+'Продажи'!$D$40:$GA$40)*'Продажи'!$D$32:$GA$32)+--('ОБЪЕКТЫ'!$B$8=2)*'ОБЪЕКТЫ'!$D$22:$GA$22*'ОБЪЕКТЫ'!$D$17:$GA$17+--('ОБЪЕКТЫ'!$B$36=2)*'ОБЪЕКТЫ'!$D$50:$GA$50*'ОБЪЕКТЫ'!$D$45:$GA$45)+((('Продажи'!$D$60:$GA$60+'Продажи'!$D$63:$GA$63)*'Продажи'!$D$55:$GA$55)+--('ОБЪЕКТЫ'!$B$8=3)*'ОБЪЕКТЫ'!$D$22:$GA$22*'ОБЪЕКТЫ'!$D$17:$GA$17+--('ОБЪЕКТЫ'!$B$36=3)*'ОБЪЕКТЫ'!$D$50:$GA$50*'ОБЪЕКТЫ'!$D$45:$GA$45)+((('Продажи'!$D$83:$GA$83+'Продажи'!$D$86:$GA$86)*'Продажи'!$D$78:$GA$78)+--('ОБЪЕКТЫ'!$B$8=4)*'ОБЪЕКТЫ'!$D$22:$GA$22*'ОБЪЕКТЫ'!$D$17:$GA$17+--('ОБЪЕКТЫ'!$B$36=4)*'ОБЪЕКТЫ'!$D$50:$GA$50*'ОБЪЕКТЫ'!$D$45:$GA$45))&gt;0)),0)</x:f>
      </x:c>
      <x:c r="G65" t="str">
        <x:v>м²/мес.</x:v>
      </x:c>
      <x:c r="H65" s="93" t="str">
        <x:v>Средний фактический объём в активные месяцы</x:v>
      </x:c>
    </x:row>
    <x:row r="66">
      <x:c r="A66" t="str">
        <x:v>Темп продаж после РВЭ — площадь</x:v>
      </x:c>
      <x:c r="B66" s="107" t="n">
        <x:f>IFERROR(SUMPRODUCT((('Продажи'!$D$14:$GA$14+'Продажи'!$D$17:$GA$17)*'Продажи'!$D$12:$GA$12)+--('ОБЪЕКТЫ'!$B$8=1)*'ОБЪЕКТЫ'!$D$22:$GA$22*'ОБЪЕКТЫ'!$D$20:$GA$20+--('ОБЪЕКТЫ'!$B$36=1)*'ОБЪЕКТЫ'!$D$50:$GA$50*'ОБЪЕКТЫ'!$D$48:$GA$48)/SUMPRODUCT(--(((('Продажи'!$D$14:$GA$14+'Продажи'!$D$17:$GA$17)*'Продажи'!$D$12:$GA$12)+--('ОБЪЕКТЫ'!$B$8=1)*'ОБЪЕКТЫ'!$D$22:$GA$22*'ОБЪЕКТЫ'!$D$20:$GA$20+--('ОБЪЕКТЫ'!$B$36=1)*'ОБЪЕКТЫ'!$D$50:$GA$50*'ОБЪЕКТЫ'!$D$48:$GA$48)&gt;0)),0)</x:f>
      </x:c>
      <x:c r="C66" s="107" t="n">
        <x:f>IFERROR(SUMPRODUCT((('Продажи'!$D$37:$GA$37+'Продажи'!$D$40:$GA$40)*'Продажи'!$D$35:$GA$35)+--('ОБЪЕКТЫ'!$B$8=2)*'ОБЪЕКТЫ'!$D$22:$GA$22*'ОБЪЕКТЫ'!$D$20:$GA$20+--('ОБЪЕКТЫ'!$B$36=2)*'ОБЪЕКТЫ'!$D$50:$GA$50*'ОБЪЕКТЫ'!$D$48:$GA$48)/SUMPRODUCT(--(((('Продажи'!$D$37:$GA$37+'Продажи'!$D$40:$GA$40)*'Продажи'!$D$35:$GA$35)+--('ОБЪЕКТЫ'!$B$8=2)*'ОБЪЕКТЫ'!$D$22:$GA$22*'ОБЪЕКТЫ'!$D$20:$GA$20+--('ОБЪЕКТЫ'!$B$36=2)*'ОБЪЕКТЫ'!$D$50:$GA$50*'ОБЪЕКТЫ'!$D$48:$GA$48)&gt;0)),0)</x:f>
      </x:c>
      <x:c r="D66" s="107" t="n">
        <x:f>IFERROR(SUMPRODUCT((('Продажи'!$D$60:$GA$60+'Продажи'!$D$63:$GA$63)*'Продажи'!$D$58:$GA$58)+--('ОБЪЕКТЫ'!$B$8=3)*'ОБЪЕКТЫ'!$D$22:$GA$22*'ОБЪЕКТЫ'!$D$20:$GA$20+--('ОБЪЕКТЫ'!$B$36=3)*'ОБЪЕКТЫ'!$D$50:$GA$50*'ОБЪЕКТЫ'!$D$48:$GA$48)/SUMPRODUCT(--(((('Продажи'!$D$60:$GA$60+'Продажи'!$D$63:$GA$63)*'Продажи'!$D$58:$GA$58)+--('ОБЪЕКТЫ'!$B$8=3)*'ОБЪЕКТЫ'!$D$22:$GA$22*'ОБЪЕКТЫ'!$D$20:$GA$20+--('ОБЪЕКТЫ'!$B$36=3)*'ОБЪЕКТЫ'!$D$50:$GA$50*'ОБЪЕКТЫ'!$D$48:$GA$48)&gt;0)),0)</x:f>
      </x:c>
      <x:c r="E66" s="107" t="n">
        <x:f>IFERROR(SUMPRODUCT((('Продажи'!$D$83:$GA$83+'Продажи'!$D$86:$GA$86)*'Продажи'!$D$81:$GA$81)+--('ОБЪЕКТЫ'!$B$8=4)*'ОБЪЕКТЫ'!$D$22:$GA$22*'ОБЪЕКТЫ'!$D$20:$GA$20+--('ОБЪЕКТЫ'!$B$36=4)*'ОБЪЕКТЫ'!$D$50:$GA$50*'ОБЪЕКТЫ'!$D$48:$GA$48)/SUMPRODUCT(--(((('Продажи'!$D$83:$GA$83+'Продажи'!$D$86:$GA$86)*'Продажи'!$D$81:$GA$81)+--('ОБЪЕКТЫ'!$B$8=4)*'ОБЪЕКТЫ'!$D$22:$GA$22*'ОБЪЕКТЫ'!$D$20:$GA$20+--('ОБЪЕКТЫ'!$B$36=4)*'ОБЪЕКТЫ'!$D$50:$GA$50*'ОБЪЕКТЫ'!$D$48:$GA$48)&gt;0)),0)</x:f>
      </x:c>
      <x:c r="F66" s="107" t="n">
        <x:f>IFERROR(SUMPRODUCT(((('Продажи'!$D$14:$GA$14+'Продажи'!$D$17:$GA$17)*'Продажи'!$D$12:$GA$12)+--('ОБЪЕКТЫ'!$B$8=1)*'ОБЪЕКТЫ'!$D$22:$GA$22*'ОБЪЕКТЫ'!$D$20:$GA$20+--('ОБЪЕКТЫ'!$B$36=1)*'ОБЪЕКТЫ'!$D$50:$GA$50*'ОБЪЕКТЫ'!$D$48:$GA$48)+((('Продажи'!$D$37:$GA$37+'Продажи'!$D$40:$GA$40)*'Продажи'!$D$35:$GA$35)+--('ОБЪЕКТЫ'!$B$8=2)*'ОБЪЕКТЫ'!$D$22:$GA$22*'ОБЪЕКТЫ'!$D$20:$GA$20+--('ОБЪЕКТЫ'!$B$36=2)*'ОБЪЕКТЫ'!$D$50:$GA$50*'ОБЪЕКТЫ'!$D$48:$GA$48)+((('Продажи'!$D$60:$GA$60+'Продажи'!$D$63:$GA$63)*'Продажи'!$D$58:$GA$58)+--('ОБЪЕКТЫ'!$B$8=3)*'ОБЪЕКТЫ'!$D$22:$GA$22*'ОБЪЕКТЫ'!$D$20:$GA$20+--('ОБЪЕКТЫ'!$B$36=3)*'ОБЪЕКТЫ'!$D$50:$GA$50*'ОБЪЕКТЫ'!$D$48:$GA$48)+((('Продажи'!$D$83:$GA$83+'Продажи'!$D$86:$GA$86)*'Продажи'!$D$81:$GA$81)+--('ОБЪЕКТЫ'!$B$8=4)*'ОБЪЕКТЫ'!$D$22:$GA$22*'ОБЪЕКТЫ'!$D$20:$GA$20+--('ОБЪЕКТЫ'!$B$36=4)*'ОБЪЕКТЫ'!$D$50:$GA$50*'ОБЪЕКТЫ'!$D$48:$GA$48))/SUMPRODUCT(--((((('Продажи'!$D$14:$GA$14+'Продажи'!$D$17:$GA$17)*'Продажи'!$D$12:$GA$12)+--('ОБЪЕКТЫ'!$B$8=1)*'ОБЪЕКТЫ'!$D$22:$GA$22*'ОБЪЕКТЫ'!$D$20:$GA$20+--('ОБЪЕКТЫ'!$B$36=1)*'ОБЪЕКТЫ'!$D$50:$GA$50*'ОБЪЕКТЫ'!$D$48:$GA$48)+((('Продажи'!$D$37:$GA$37+'Продажи'!$D$40:$GA$40)*'Продажи'!$D$35:$GA$35)+--('ОБЪЕКТЫ'!$B$8=2)*'ОБЪЕКТЫ'!$D$22:$GA$22*'ОБЪЕКТЫ'!$D$20:$GA$20+--('ОБЪЕКТЫ'!$B$36=2)*'ОБЪЕКТЫ'!$D$50:$GA$50*'ОБЪЕКТЫ'!$D$48:$GA$48)+((('Продажи'!$D$60:$GA$60+'Продажи'!$D$63:$GA$63)*'Продажи'!$D$58:$GA$58)+--('ОБЪЕКТЫ'!$B$8=3)*'ОБЪЕКТЫ'!$D$22:$GA$22*'ОБЪЕКТЫ'!$D$20:$GA$20+--('ОБЪЕКТЫ'!$B$36=3)*'ОБЪЕКТЫ'!$D$50:$GA$50*'ОБЪЕКТЫ'!$D$48:$GA$48)+((('Продажи'!$D$83:$GA$83+'Продажи'!$D$86:$GA$86)*'Продажи'!$D$81:$GA$81)+--('ОБЪЕКТЫ'!$B$8=4)*'ОБЪЕКТЫ'!$D$22:$GA$22*'ОБЪЕКТЫ'!$D$20:$GA$20+--('ОБЪЕКТЫ'!$B$36=4)*'ОБЪЕКТЫ'!$D$50:$GA$50*'ОБЪЕКТЫ'!$D$48:$GA$48))&gt;0)),0)</x:f>
      </x:c>
      <x:c r="G66" t="str">
        <x:v>м²/мес.</x:v>
      </x:c>
      <x:c r="H66" s="93" t="str">
        <x:v>Средний фактический объём в активные месяцы</x:v>
      </x:c>
    </x:row>
    <x:row r="67">
      <x:c r="A67" t="str">
        <x:v>Темп продаж всего — площадь</x:v>
      </x:c>
      <x:c r="B67" s="107" t="n">
        <x:f>IFERROR(SUMPRODUCT(('Продажи'!$D$14:$GA$14+'Продажи'!$D$17:$GA$17)+--('ОБЪЕКТЫ'!$B$8=1)*'ОБЪЕКТЫ'!$D$22:$GA$22+--('ОБЪЕКТЫ'!$B$36=1)*'ОБЪЕКТЫ'!$D$50:$GA$50)/SUMPRODUCT(--((('Продажи'!$D$14:$GA$14+'Продажи'!$D$17:$GA$17)+--('ОБЪЕКТЫ'!$B$8=1)*'ОБЪЕКТЫ'!$D$22:$GA$22+--('ОБЪЕКТЫ'!$B$36=1)*'ОБЪЕКТЫ'!$D$50:$GA$50)&gt;0)),0)</x:f>
      </x:c>
      <x:c r="C67" s="107" t="n">
        <x:f>IFERROR(SUMPRODUCT(('Продажи'!$D$37:$GA$37+'Продажи'!$D$40:$GA$40)+--('ОБЪЕКТЫ'!$B$8=2)*'ОБЪЕКТЫ'!$D$22:$GA$22+--('ОБЪЕКТЫ'!$B$36=2)*'ОБЪЕКТЫ'!$D$50:$GA$50)/SUMPRODUCT(--((('Продажи'!$D$37:$GA$37+'Продажи'!$D$40:$GA$40)+--('ОБЪЕКТЫ'!$B$8=2)*'ОБЪЕКТЫ'!$D$22:$GA$22+--('ОБЪЕКТЫ'!$B$36=2)*'ОБЪЕКТЫ'!$D$50:$GA$50)&gt;0)),0)</x:f>
      </x:c>
      <x:c r="D67" s="107" t="n">
        <x:f>IFERROR(SUMPRODUCT(('Продажи'!$D$60:$GA$60+'Продажи'!$D$63:$GA$63)+--('ОБЪЕКТЫ'!$B$8=3)*'ОБЪЕКТЫ'!$D$22:$GA$22+--('ОБЪЕКТЫ'!$B$36=3)*'ОБЪЕКТЫ'!$D$50:$GA$50)/SUMPRODUCT(--((('Продажи'!$D$60:$GA$60+'Продажи'!$D$63:$GA$63)+--('ОБЪЕКТЫ'!$B$8=3)*'ОБЪЕКТЫ'!$D$22:$GA$22+--('ОБЪЕКТЫ'!$B$36=3)*'ОБЪЕКТЫ'!$D$50:$GA$50)&gt;0)),0)</x:f>
      </x:c>
      <x:c r="E67" s="107" t="n">
        <x:f>IFERROR(SUMPRODUCT(('Продажи'!$D$83:$GA$83+'Продажи'!$D$86:$GA$86)+--('ОБЪЕКТЫ'!$B$8=4)*'ОБЪЕКТЫ'!$D$22:$GA$22+--('ОБЪЕКТЫ'!$B$36=4)*'ОБЪЕКТЫ'!$D$50:$GA$50)/SUMPRODUCT(--((('Продажи'!$D$83:$GA$83+'Продажи'!$D$86:$GA$86)+--('ОБЪЕКТЫ'!$B$8=4)*'ОБЪЕКТЫ'!$D$22:$GA$22+--('ОБЪЕКТЫ'!$B$36=4)*'ОБЪЕКТЫ'!$D$50:$GA$50)&gt;0)),0)</x:f>
      </x:c>
      <x:c r="F67" s="107" t="n">
        <x:f>IFERROR(SUMPRODUCT((('Продажи'!$D$14:$GA$14+'Продажи'!$D$17:$GA$17)+--('ОБЪЕКТЫ'!$B$8=1)*'ОБЪЕКТЫ'!$D$22:$GA$22+--('ОБЪЕКТЫ'!$B$36=1)*'ОБЪЕКТЫ'!$D$50:$GA$50)+(('Продажи'!$D$37:$GA$37+'Продажи'!$D$40:$GA$40)+--('ОБЪЕКТЫ'!$B$8=2)*'ОБЪЕКТЫ'!$D$22:$GA$22+--('ОБЪЕКТЫ'!$B$36=2)*'ОБЪЕКТЫ'!$D$50:$GA$50)+(('Продажи'!$D$60:$GA$60+'Продажи'!$D$63:$GA$63)+--('ОБЪЕКТЫ'!$B$8=3)*'ОБЪЕКТЫ'!$D$22:$GA$22+--('ОБЪЕКТЫ'!$B$36=3)*'ОБЪЕКТЫ'!$D$50:$GA$50)+(('Продажи'!$D$83:$GA$83+'Продажи'!$D$86:$GA$86)+--('ОБЪЕКТЫ'!$B$8=4)*'ОБЪЕКТЫ'!$D$22:$GA$22+--('ОБЪЕКТЫ'!$B$36=4)*'ОБЪЕКТЫ'!$D$50:$GA$50))/SUMPRODUCT(--(((('Продажи'!$D$14:$GA$14+'Продажи'!$D$17:$GA$17)+--('ОБЪЕКТЫ'!$B$8=1)*'ОБЪЕКТЫ'!$D$22:$GA$22+--('ОБЪЕКТЫ'!$B$36=1)*'ОБЪЕКТЫ'!$D$50:$GA$50)+(('Продажи'!$D$37:$GA$37+'Продажи'!$D$40:$GA$40)+--('ОБЪЕКТЫ'!$B$8=2)*'ОБЪЕКТЫ'!$D$22:$GA$22+--('ОБЪЕКТЫ'!$B$36=2)*'ОБЪЕКТЫ'!$D$50:$GA$50)+(('Продажи'!$D$60:$GA$60+'Продажи'!$D$63:$GA$63)+--('ОБЪЕКТЫ'!$B$8=3)*'ОБЪЕКТЫ'!$D$22:$GA$22+--('ОБЪЕКТЫ'!$B$36=3)*'ОБЪЕКТЫ'!$D$50:$GA$50)+(('Продажи'!$D$83:$GA$83+'Продажи'!$D$86:$GA$86)+--('ОБЪЕКТЫ'!$B$8=4)*'ОБЪЕКТЫ'!$D$22:$GA$22+--('ОБЪЕКТЫ'!$B$36=4)*'ОБЪЕКТЫ'!$D$50:$GA$50))&gt;0)),0)</x:f>
      </x:c>
      <x:c r="G67" t="str">
        <x:v>м²/мес.</x:v>
      </x:c>
      <x:c r="H67" s="93" t="str">
        <x:v>Средний фактический объём по полному сроку продаж</x:v>
      </x:c>
    </x:row>
    <x:row r="68">
      <x:c r="A68" t="str">
        <x:v>Темп продаж до РВЭ — штуки</x:v>
      </x:c>
      <x:c r="B68" s="107" t="n">
        <x:f>IFERROR(SUMPRODUCT((('Продажи'!$D$20:$GA$20+'Продажи'!$D$23:$GA$23)*'Продажи'!$D$9:$GA$9)+--('ОБЪЕКТЫ'!$B$64=1)*'ОБЪЕКТЫ'!$D$78:$GA$79*'ОБЪЕКТЫ'!$D$73:$GA$74)/SUMPRODUCT(--(((('Продажи'!$D$20:$GA$20+'Продажи'!$D$23:$GA$23)*'Продажи'!$D$9:$GA$9)+--('ОБЪЕКТЫ'!$B$64=1)*'ОБЪЕКТЫ'!$D$78:$GA$79*'ОБЪЕКТЫ'!$D$73:$GA$74)&gt;0)),0)</x:f>
      </x:c>
      <x:c r="C68" s="107" t="n">
        <x:f>IFERROR(SUMPRODUCT((('Продажи'!$D$43:$GA$43+'Продажи'!$D$46:$GA$46)*'Продажи'!$D$32:$GA$32)+--('ОБЪЕКТЫ'!$B$64=2)*'ОБЪЕКТЫ'!$D$78:$GA$79*'ОБЪЕКТЫ'!$D$73:$GA$74)/SUMPRODUCT(--(((('Продажи'!$D$43:$GA$43+'Продажи'!$D$46:$GA$46)*'Продажи'!$D$32:$GA$32)+--('ОБЪЕКТЫ'!$B$64=2)*'ОБЪЕКТЫ'!$D$78:$GA$79*'ОБЪЕКТЫ'!$D$73:$GA$74)&gt;0)),0)</x:f>
      </x:c>
      <x:c r="D68" s="107" t="n">
        <x:f>IFERROR(SUMPRODUCT((('Продажи'!$D$66:$GA$66+'Продажи'!$D$69:$GA$69)*'Продажи'!$D$55:$GA$55)+--('ОБЪЕКТЫ'!$B$64=3)*'ОБЪЕКТЫ'!$D$78:$GA$79*'ОБЪЕКТЫ'!$D$73:$GA$74)/SUMPRODUCT(--(((('Продажи'!$D$66:$GA$66+'Продажи'!$D$69:$GA$69)*'Продажи'!$D$55:$GA$55)+--('ОБЪЕКТЫ'!$B$64=3)*'ОБЪЕКТЫ'!$D$78:$GA$79*'ОБЪЕКТЫ'!$D$73:$GA$74)&gt;0)),0)</x:f>
      </x:c>
      <x:c r="E68" s="107" t="n">
        <x:f>IFERROR(SUMPRODUCT((('Продажи'!$D$89:$GA$89+'Продажи'!$D$92:$GA$92)*'Продажи'!$D$78:$GA$78)+--('ОБЪЕКТЫ'!$B$64=4)*'ОБЪЕКТЫ'!$D$78:$GA$79*'ОБЪЕКТЫ'!$D$73:$GA$74)/SUMPRODUCT(--(((('Продажи'!$D$89:$GA$89+'Продажи'!$D$92:$GA$92)*'Продажи'!$D$78:$GA$78)+--('ОБЪЕКТЫ'!$B$64=4)*'ОБЪЕКТЫ'!$D$78:$GA$79*'ОБЪЕКТЫ'!$D$73:$GA$74)&gt;0)),0)</x:f>
      </x:c>
      <x:c r="F68" s="107" t="n">
        <x:f>IFERROR(SUMPRODUCT(((('Продажи'!$D$20:$GA$20+'Продажи'!$D$23:$GA$23)*'Продажи'!$D$9:$GA$9)+--('ОБЪЕКТЫ'!$B$64=1)*'ОБЪЕКТЫ'!$D$78:$GA$79*'ОБЪЕКТЫ'!$D$73:$GA$74)+((('Продажи'!$D$43:$GA$43+'Продажи'!$D$46:$GA$46)*'Продажи'!$D$32:$GA$32)+--('ОБЪЕКТЫ'!$B$64=2)*'ОБЪЕКТЫ'!$D$78:$GA$79*'ОБЪЕКТЫ'!$D$73:$GA$74)+((('Продажи'!$D$66:$GA$66+'Продажи'!$D$69:$GA$69)*'Продажи'!$D$55:$GA$55)+--('ОБЪЕКТЫ'!$B$64=3)*'ОБЪЕКТЫ'!$D$78:$GA$79*'ОБЪЕКТЫ'!$D$73:$GA$74)+((('Продажи'!$D$89:$GA$89+'Продажи'!$D$92:$GA$92)*'Продажи'!$D$78:$GA$78)+--('ОБЪЕКТЫ'!$B$64=4)*'ОБЪЕКТЫ'!$D$78:$GA$79*'ОБЪЕКТЫ'!$D$73:$GA$74))/SUMPRODUCT(--((((('Продажи'!$D$20:$GA$20+'Продажи'!$D$23:$GA$23)*'Продажи'!$D$9:$GA$9)+--('ОБЪЕКТЫ'!$B$64=1)*'ОБЪЕКТЫ'!$D$78:$GA$79*'ОБЪЕКТЫ'!$D$73:$GA$74)+((('Продажи'!$D$43:$GA$43+'Продажи'!$D$46:$GA$46)*'Продажи'!$D$32:$GA$32)+--('ОБЪЕКТЫ'!$B$64=2)*'ОБЪЕКТЫ'!$D$78:$GA$79*'ОБЪЕКТЫ'!$D$73:$GA$74)+((('Продажи'!$D$66:$GA$66+'Продажи'!$D$69:$GA$69)*'Продажи'!$D$55:$GA$55)+--('ОБЪЕКТЫ'!$B$64=3)*'ОБЪЕКТЫ'!$D$78:$GA$79*'ОБЪЕКТЫ'!$D$73:$GA$74)+((('Продажи'!$D$89:$GA$89+'Продажи'!$D$92:$GA$92)*'Продажи'!$D$78:$GA$78)+--('ОБЪЕКТЫ'!$B$64=4)*'ОБЪЕКТЫ'!$D$78:$GA$79*'ОБЪЕКТЫ'!$D$73:$GA$74))&gt;0)),0)</x:f>
      </x:c>
      <x:c r="G68" t="str">
        <x:v>шт./мес.</x:v>
      </x:c>
      <x:c r="H68" s="93" t="str">
        <x:v>Паркинги и кладовые</x:v>
      </x:c>
    </x:row>
    <x:row r="69">
      <x:c r="A69" t="str">
        <x:v>Темп продаж после РВЭ — штуки</x:v>
      </x:c>
      <x:c r="B69" s="107" t="n">
        <x:f>IFERROR(SUMPRODUCT((('Продажи'!$D$20:$GA$20+'Продажи'!$D$23:$GA$23)*'Продажи'!$D$12:$GA$12)+--('ОБЪЕКТЫ'!$B$64=1)*'ОБЪЕКТЫ'!$D$78:$GA$79*'ОБЪЕКТЫ'!$D$76:$GA$77)/SUMPRODUCT(--(((('Продажи'!$D$20:$GA$20+'Продажи'!$D$23:$GA$23)*'Продажи'!$D$12:$GA$12)+--('ОБЪЕКТЫ'!$B$64=1)*'ОБЪЕКТЫ'!$D$78:$GA$79*'ОБЪЕКТЫ'!$D$76:$GA$77)&gt;0)),0)</x:f>
      </x:c>
      <x:c r="C69" s="107" t="n">
        <x:f>IFERROR(SUMPRODUCT((('Продажи'!$D$43:$GA$43+'Продажи'!$D$46:$GA$46)*'Продажи'!$D$35:$GA$35)+--('ОБЪЕКТЫ'!$B$64=2)*'ОБЪЕКТЫ'!$D$78:$GA$79*'ОБЪЕКТЫ'!$D$76:$GA$77)/SUMPRODUCT(--(((('Продажи'!$D$43:$GA$43+'Продажи'!$D$46:$GA$46)*'Продажи'!$D$35:$GA$35)+--('ОБЪЕКТЫ'!$B$64=2)*'ОБЪЕКТЫ'!$D$78:$GA$79*'ОБЪЕКТЫ'!$D$76:$GA$77)&gt;0)),0)</x:f>
      </x:c>
      <x:c r="D69" s="107" t="n">
        <x:f>IFERROR(SUMPRODUCT((('Продажи'!$D$66:$GA$66+'Продажи'!$D$69:$GA$69)*'Продажи'!$D$58:$GA$58)+--('ОБЪЕКТЫ'!$B$64=3)*'ОБЪЕКТЫ'!$D$78:$GA$79*'ОБЪЕКТЫ'!$D$76:$GA$77)/SUMPRODUCT(--(((('Продажи'!$D$66:$GA$66+'Продажи'!$D$69:$GA$69)*'Продажи'!$D$58:$GA$58)+--('ОБЪЕКТЫ'!$B$64=3)*'ОБЪЕКТЫ'!$D$78:$GA$79*'ОБЪЕКТЫ'!$D$76:$GA$77)&gt;0)),0)</x:f>
      </x:c>
      <x:c r="E69" s="107" t="n">
        <x:f>IFERROR(SUMPRODUCT((('Продажи'!$D$89:$GA$89+'Продажи'!$D$92:$GA$92)*'Продажи'!$D$81:$GA$81)+--('ОБЪЕКТЫ'!$B$64=4)*'ОБЪЕКТЫ'!$D$78:$GA$79*'ОБЪЕКТЫ'!$D$76:$GA$77)/SUMPRODUCT(--(((('Продажи'!$D$89:$GA$89+'Продажи'!$D$92:$GA$92)*'Продажи'!$D$81:$GA$81)+--('ОБЪЕКТЫ'!$B$64=4)*'ОБЪЕКТЫ'!$D$78:$GA$79*'ОБЪЕКТЫ'!$D$76:$GA$77)&gt;0)),0)</x:f>
      </x:c>
      <x:c r="F69" s="107" t="n">
        <x:f>IFERROR(SUMPRODUCT(((('Продажи'!$D$20:$GA$20+'Продажи'!$D$23:$GA$23)*'Продажи'!$D$12:$GA$12)+--('ОБЪЕКТЫ'!$B$64=1)*'ОБЪЕКТЫ'!$D$78:$GA$79*'ОБЪЕКТЫ'!$D$76:$GA$77)+((('Продажи'!$D$43:$GA$43+'Продажи'!$D$46:$GA$46)*'Продажи'!$D$35:$GA$35)+--('ОБЪЕКТЫ'!$B$64=2)*'ОБЪЕКТЫ'!$D$78:$GA$79*'ОБЪЕКТЫ'!$D$76:$GA$77)+((('Продажи'!$D$66:$GA$66+'Продажи'!$D$69:$GA$69)*'Продажи'!$D$58:$GA$58)+--('ОБЪЕКТЫ'!$B$64=3)*'ОБЪЕКТЫ'!$D$78:$GA$79*'ОБЪЕКТЫ'!$D$76:$GA$77)+((('Продажи'!$D$89:$GA$89+'Продажи'!$D$92:$GA$92)*'Продажи'!$D$81:$GA$81)+--('ОБЪЕКТЫ'!$B$64=4)*'ОБЪЕКТЫ'!$D$78:$GA$79*'ОБЪЕКТЫ'!$D$76:$GA$77))/SUMPRODUCT(--((((('Продажи'!$D$20:$GA$20+'Продажи'!$D$23:$GA$23)*'Продажи'!$D$12:$GA$12)+--('ОБЪЕКТЫ'!$B$64=1)*'ОБЪЕКТЫ'!$D$78:$GA$79*'ОБЪЕКТЫ'!$D$76:$GA$77)+((('Продажи'!$D$43:$GA$43+'Продажи'!$D$46:$GA$46)*'Продажи'!$D$35:$GA$35)+--('ОБЪЕКТЫ'!$B$64=2)*'ОБЪЕКТЫ'!$D$78:$GA$79*'ОБЪЕКТЫ'!$D$76:$GA$77)+((('Продажи'!$D$66:$GA$66+'Продажи'!$D$69:$GA$69)*'Продажи'!$D$58:$GA$58)+--('ОБЪЕКТЫ'!$B$64=3)*'ОБЪЕКТЫ'!$D$78:$GA$79*'ОБЪЕКТЫ'!$D$76:$GA$77)+((('Продажи'!$D$89:$GA$89+'Продажи'!$D$92:$GA$92)*'Продажи'!$D$81:$GA$81)+--('ОБЪЕКТЫ'!$B$64=4)*'ОБЪЕКТЫ'!$D$78:$GA$79*'ОБЪЕКТЫ'!$D$76:$GA$77))&gt;0)),0)</x:f>
      </x:c>
      <x:c r="G69" t="str">
        <x:v>шт./мес.</x:v>
      </x:c>
      <x:c r="H69" s="93" t="str">
        <x:v>Паркинги и кладовые</x:v>
      </x:c>
    </x:row>
    <x:row r="70">
      <x:c r="A70" t="str">
        <x:v>Темп продаж всего — штуки</x:v>
      </x:c>
      <x:c r="B70" s="107" t="n">
        <x:f>IFERROR(SUMPRODUCT(('Продажи'!$D$20:$GA$20+'Продажи'!$D$23:$GA$23)+--('ОБЪЕКТЫ'!$B$64=1)*'ОБЪЕКТЫ'!$D$78:$GA$79)/SUMPRODUCT(--((('Продажи'!$D$20:$GA$20+'Продажи'!$D$23:$GA$23)+--('ОБЪЕКТЫ'!$B$64=1)*'ОБЪЕКТЫ'!$D$78:$GA$79)&gt;0)),0)</x:f>
      </x:c>
      <x:c r="C70" s="107" t="n">
        <x:f>IFERROR(SUMPRODUCT(('Продажи'!$D$43:$GA$43+'Продажи'!$D$46:$GA$46)+--('ОБЪЕКТЫ'!$B$64=2)*'ОБЪЕКТЫ'!$D$78:$GA$79)/SUMPRODUCT(--((('Продажи'!$D$43:$GA$43+'Продажи'!$D$46:$GA$46)+--('ОБЪЕКТЫ'!$B$64=2)*'ОБЪЕКТЫ'!$D$78:$GA$79)&gt;0)),0)</x:f>
      </x:c>
      <x:c r="D70" s="107" t="n">
        <x:f>IFERROR(SUMPRODUCT(('Продажи'!$D$66:$GA$66+'Продажи'!$D$69:$GA$69)+--('ОБЪЕКТЫ'!$B$64=3)*'ОБЪЕКТЫ'!$D$78:$GA$79)/SUMPRODUCT(--((('Продажи'!$D$66:$GA$66+'Продажи'!$D$69:$GA$69)+--('ОБЪЕКТЫ'!$B$64=3)*'ОБЪЕКТЫ'!$D$78:$GA$79)&gt;0)),0)</x:f>
      </x:c>
      <x:c r="E70" s="107" t="n">
        <x:f>IFERROR(SUMPRODUCT(('Продажи'!$D$89:$GA$89+'Продажи'!$D$92:$GA$92)+--('ОБЪЕКТЫ'!$B$64=4)*'ОБЪЕКТЫ'!$D$78:$GA$79)/SUMPRODUCT(--((('Продажи'!$D$89:$GA$89+'Продажи'!$D$92:$GA$92)+--('ОБЪЕКТЫ'!$B$64=4)*'ОБЪЕКТЫ'!$D$78:$GA$79)&gt;0)),0)</x:f>
      </x:c>
      <x:c r="F70" s="107" t="n">
        <x:f>IFERROR(SUMPRODUCT((('Продажи'!$D$20:$GA$20+'Продажи'!$D$23:$GA$23)+--('ОБЪЕКТЫ'!$B$64=1)*'ОБЪЕКТЫ'!$D$78:$GA$79)+(('Продажи'!$D$43:$GA$43+'Продажи'!$D$46:$GA$46)+--('ОБЪЕКТЫ'!$B$64=2)*'ОБЪЕКТЫ'!$D$78:$GA$79)+(('Продажи'!$D$66:$GA$66+'Продажи'!$D$69:$GA$69)+--('ОБЪЕКТЫ'!$B$64=3)*'ОБЪЕКТЫ'!$D$78:$GA$79)+(('Продажи'!$D$89:$GA$89+'Продажи'!$D$92:$GA$92)+--('ОБЪЕКТЫ'!$B$64=4)*'ОБЪЕКТЫ'!$D$78:$GA$79))/SUMPRODUCT(--(((('Продажи'!$D$20:$GA$20+'Продажи'!$D$23:$GA$23)+--('ОБЪЕКТЫ'!$B$64=1)*'ОБЪЕКТЫ'!$D$78:$GA$79)+(('Продажи'!$D$43:$GA$43+'Продажи'!$D$46:$GA$46)+--('ОБЪЕКТЫ'!$B$64=2)*'ОБЪЕКТЫ'!$D$78:$GA$79)+(('Продажи'!$D$66:$GA$66+'Продажи'!$D$69:$GA$69)+--('ОБЪЕКТЫ'!$B$64=3)*'ОБЪЕКТЫ'!$D$78:$GA$79)+(('Продажи'!$D$89:$GA$89+'Продажи'!$D$92:$GA$92)+--('ОБЪЕКТЫ'!$B$64=4)*'ОБЪЕКТЫ'!$D$78:$GA$79))&gt;0)),0)</x:f>
      </x:c>
      <x:c r="G70" t="str">
        <x:v>шт./мес.</x:v>
      </x:c>
      <x:c r="H70" s="93" t="str">
        <x:v>Паркинги и кладовые</x:v>
      </x:c>
    </x:row>
    <x:row r="71">
      <x:c r="A71" t="str">
        <x:v>Средняя ставка ПФ без эффекта эскроу</x:v>
      </x:c>
      <x:c r="B71" s="352" t="n">
        <x:f>IFERROR(SUMPRODUCT('CF_1'!$D$38:$GA$38,'CF_1'!$D$39:$GA$39)/SUM('CF_1'!$D$38:$GA$38),0)</x:f>
      </x:c>
      <x:c r="C71" s="352" t="n">
        <x:f>IFERROR(SUMPRODUCT('CF_2'!$D$38:$GA$38,'CF_2'!$D$39:$GA$39)/SUM('CF_2'!$D$38:$GA$38),0)</x:f>
      </x:c>
      <x:c r="D71" s="352" t="n">
        <x:f>IFERROR(SUMPRODUCT('CF_3'!$D$38:$GA$38,'CF_3'!$D$39:$GA$39)/SUM('CF_3'!$D$38:$GA$38),0)</x:f>
      </x:c>
      <x:c r="E71" s="352" t="n">
        <x:f>IFERROR(SUMPRODUCT('CF_4'!$D$38:$GA$38,'CF_4'!$D$39:$GA$39)/SUM('CF_4'!$D$38:$GA$38),0)</x:f>
      </x:c>
      <x:c r="F71" s="352" t="n">
        <x:f>IFERROR((SUMPRODUCT('CF_1'!$D$38:$GA$38,'CF_1'!$D$39:$GA$39)+SUMPRODUCT('CF_2'!$D$38:$GA$38,'CF_2'!$D$39:$GA$39)+SUMPRODUCT('CF_3'!$D$38:$GA$38,'CF_3'!$D$39:$GA$39)+SUMPRODUCT('CF_4'!$D$38:$GA$38,'CF_4'!$D$39:$GA$39))/(SUM('CF_1'!$D$38:$GA$38)+SUM('CF_2'!$D$38:$GA$38)+SUM('CF_3'!$D$38:$GA$38,'CF_4'!$D$38:$GA$38)),0)</x:f>
      </x:c>
      <x:c r="G71" t="str">
        <x:v>% год</x:v>
      </x:c>
      <x:c r="H71" s="93" t="str">
        <x:v>Средневзвешенная по остатку ПФ</x:v>
      </x:c>
    </x:row>
    <x:row r="72">
      <x:c r="A72" t="str">
        <x:v>Средняя фактическая ставка ПФ</x:v>
      </x:c>
      <x:c r="B72" s="352" t="n">
        <x:f>IFERROR(SUMPRODUCT('CF_1'!$D$38:$GA$38,'CF_1'!$D$41:$GA$41)/SUM('CF_1'!$D$38:$GA$38),0)</x:f>
      </x:c>
      <x:c r="C72" s="352" t="n">
        <x:f>IFERROR(SUMPRODUCT('CF_2'!$D$38:$GA$38,'CF_2'!$D$41:$GA$41)/SUM('CF_2'!$D$38:$GA$38),0)</x:f>
      </x:c>
      <x:c r="D72" s="352" t="n">
        <x:f>IFERROR(SUMPRODUCT('CF_3'!$D$38:$GA$38,'CF_3'!$D$41:$GA$41)/SUM('CF_3'!$D$38:$GA$38),0)</x:f>
      </x:c>
      <x:c r="E72" s="352" t="n">
        <x:f>IFERROR(SUMPRODUCT('CF_4'!$D$38:$GA$38,'CF_4'!$D$41:$GA$41)/SUM('CF_4'!$D$38:$GA$38),0)</x:f>
      </x:c>
      <x:c r="F72" s="352" t="n">
        <x:f>IFERROR((SUMPRODUCT('CF_1'!$D$38:$GA$38,'CF_1'!$D$41:$GA$41)+SUMPRODUCT('CF_2'!$D$38:$GA$38,'CF_2'!$D$41:$GA$41)+SUMPRODUCT('CF_3'!$D$38:$GA$38,'CF_3'!$D$41:$GA$41)+SUMPRODUCT('CF_4'!$D$38:$GA$38,'CF_4'!$D$41:$GA$41))/(SUM('CF_1'!$D$38:$GA$38)+SUM('CF_2'!$D$38:$GA$38)+SUM('CF_3'!$D$38:$GA$38,'CF_4'!$D$38:$GA$38)),0)</x:f>
      </x:c>
      <x:c r="G72" t="str">
        <x:v>% год</x:v>
      </x:c>
      <x:c r="H72" s="93" t="str">
        <x:v>Средневзвешенная по остатку ПФ после эффекта эскроу</x:v>
      </x:c>
    </x:row>
    <x:row r="73">
      <x:c r="A73" t="inlineStr">
        <x:is>
          <x:t>Выручка вся на м² прод. — как в PDF-отчёте</x:t>
        </x:is>
      </x:c>
      <x:c r="B73">
        <x:f>IFERROR('КОНСОЛИДАТОР'!G4*1000/B57,0)</x:f>
      </x:c>
      <x:c r="C73">
        <x:f>IFERROR('КОНСОЛИДАТОР'!G5*1000/C57,0)</x:f>
      </x:c>
      <x:c r="D73">
        <x:f>IFERROR('КОНСОЛИДАТОР'!G6*1000/D57,0)</x:f>
      </x:c>
      <x:c r="E73">
        <x:f>IFERROR('КОНСОЛИДАТОР'!G7*1000/E57,0)</x:f>
      </x:c>
      <x:c r="F73">
        <x:f>IFERROR('КОНСОЛИДАТОР'!G8*1000/F57,0)</x:f>
      </x:c>
      <x:c r="G73" t="inlineStr">
        <x:is>
          <x:t>тыс. ₽/м²</x:t>
        </x:is>
      </x:c>
      <x:c r="H73" t="inlineStr">
        <x:is>
          <x:t>Вся выручка очереди, включая паркинг и кладовые; сравнивать с «Выручка на м² прод.» PDF</x:t>
        </x:is>
      </x:c>
    </x:row>
    <x:row r="74">
      <x:c r="A74" s="52" t="inlineStr">
        <x:is>
          <x:t>ЮНИТ-ЭКОНОМИКА ПРОЕКТА</x:t>
        </x:is>
      </x:c>
    </x:row>
    <x:row r="75">
      <x:c r="A75" s="52" t="inlineStr">
        <x:is>
          <x:t>Показатель</x:t>
        </x:is>
      </x:c>
      <x:c r="B75" s="52" t="inlineStr">
        <x:is>
          <x:t>Всего, млн ₽</x:t>
        </x:is>
      </x:c>
      <x:c r="C75" s="52" t="inlineStr">
        <x:is>
          <x:t>на м² GBA, тыс. ₽</x:t>
        </x:is>
      </x:c>
      <x:c r="D75" s="52" t="inlineStr">
        <x:is>
          <x:t>на м² продаваемой, тыс. ₽</x:t>
        </x:is>
      </x:c>
    </x:row>
    <x:row r="76">
      <x:c r="A76" s="52" t="inlineStr">
        <x:is>
          <x:t>Выручка</x:t>
        </x:is>
      </x:c>
      <x:c r="B76" s="107" t="n">
        <x:f>B5</x:f>
      </x:c>
      <x:c r="C76" s="107" t="n">
        <x:f>IFERROR((B5)*1000/$G$6,0)</x:f>
      </x:c>
      <x:c r="D76" s="107" t="n">
        <x:f>IFERROR((B5)*1000/$G$7,0)</x:f>
      </x:c>
    </x:row>
    <x:row r="77">
      <x:c r="A77" s="52" t="inlineStr">
        <x:is>
          <x:t>CAPEX</x:t>
        </x:is>
      </x:c>
      <x:c r="B77" s="107" t="n">
        <x:f>B6</x:f>
      </x:c>
      <x:c r="C77" s="107" t="n">
        <x:f>IFERROR((B6)*1000/$G$6,0)</x:f>
      </x:c>
      <x:c r="D77" s="107" t="n">
        <x:f>IFERROR((B6)*1000/$G$7,0)</x:f>
      </x:c>
    </x:row>
    <x:row r="78">
      <x:c r="A78" s="52" t="inlineStr">
        <x:is>
          <x:t>Коммерческие расходы</x:t>
        </x:is>
      </x:c>
      <x:c r="B78" s="107" t="n">
        <x:f>B7</x:f>
      </x:c>
      <x:c r="C78" s="107" t="n">
        <x:f>IFERROR((B7)*1000/$G$6,0)</x:f>
      </x:c>
      <x:c r="D78" s="107" t="n">
        <x:f>IFERROR((B7)*1000/$G$7,0)</x:f>
      </x:c>
    </x:row>
    <x:row r="79">
      <x:c r="A79" s="52" t="inlineStr">
        <x:is>
          <x:t>EBITDA</x:t>
        </x:is>
      </x:c>
      <x:c r="B79" s="107" t="n">
        <x:f>B8</x:f>
      </x:c>
      <x:c r="C79" s="107" t="n">
        <x:f>IFERROR((B8)*1000/$G$6,0)</x:f>
      </x:c>
      <x:c r="D79" s="107" t="n">
        <x:f>IFERROR((B8)*1000/$G$7,0)</x:f>
      </x:c>
    </x:row>
    <x:row r="80">
      <x:c r="A80" s="52" t="inlineStr">
        <x:is>
          <x:t>Проценты и комиссии</x:t>
        </x:is>
      </x:c>
      <x:c r="B80" s="107" t="n">
        <x:f>B9</x:f>
      </x:c>
      <x:c r="C80" s="107" t="n">
        <x:f>IFERROR((B9)*1000/$G$6,0)</x:f>
      </x:c>
      <x:c r="D80" s="107" t="n">
        <x:f>IFERROR((B9)*1000/$G$7,0)</x:f>
      </x:c>
    </x:row>
    <x:row r="81">
      <x:c r="A81" s="52" t="inlineStr">
        <x:is>
          <x:t>Налог на прибыль</x:t>
        </x:is>
      </x:c>
      <x:c r="B81" s="107" t="n">
        <x:f>B11</x:f>
      </x:c>
      <x:c r="C81" s="107" t="n">
        <x:f>IFERROR((B11)*1000/$G$6,0)</x:f>
      </x:c>
      <x:c r="D81" s="107" t="n">
        <x:f>IFERROR((B11)*1000/$G$7,0)</x:f>
      </x:c>
    </x:row>
    <x:row r="82">
      <x:c r="A82" s="52" t="inlineStr">
        <x:is>
          <x:t>Полные расходы</x:t>
        </x:is>
      </x:c>
      <x:c r="B82" s="107" t="n">
        <x:f>B6+B7+B9+B11</x:f>
      </x:c>
      <x:c r="C82" s="107" t="n">
        <x:f>IFERROR((B6+B7+B9+B11)*1000/$G$6,0)</x:f>
      </x:c>
      <x:c r="D82" s="107" t="n">
        <x:f>IFERROR((B6+B7+B9+B11)*1000/$G$7,0)</x:f>
      </x:c>
    </x:row>
    <x:row r="83">
      <x:c r="A83" s="52" t="inlineStr">
        <x:is>
          <x:t>Чистая прибыль</x:t>
        </x:is>
      </x:c>
      <x:c r="B83" s="107" t="n">
        <x:f>B12</x:f>
      </x:c>
      <x:c r="C83" s="107" t="n">
        <x:f>IFERROR((B12)*1000/$G$6,0)</x:f>
      </x:c>
      <x:c r="D83" s="107" t="n">
        <x:f>IFERROR((B12)*1000/$G$7,0)</x:f>
      </x:c>
    </x:row>
    <x:row r="85">
      <x:c r="A85" s="52" t="inlineStr">
        <x:is>
          <x:t>ТЕМПЫ ПРОДАЖ ПО ПРОДУКТАМ (проект)</x:t>
        </x:is>
      </x:c>
    </x:row>
    <x:row r="86">
      <x:c r="A86" s="52" t="inlineStr">
        <x:is>
          <x:t>Продукт</x:t>
        </x:is>
      </x:c>
      <x:c r="B86" s="52" t="inlineStr">
        <x:is>
          <x:t>до РВЭ</x:t>
        </x:is>
      </x:c>
      <x:c r="C86" s="52" t="inlineStr">
        <x:is>
          <x:t>после РВЭ</x:t>
        </x:is>
      </x:c>
      <x:c r="D86" s="52" t="inlineStr">
        <x:is>
          <x:t>всего</x:t>
        </x:is>
      </x:c>
      <x:c r="E86" s="52" t="inlineStr">
        <x:is>
          <x:t>Ед.</x:t>
        </x:is>
      </x:c>
    </x:row>
    <x:row r="87">
      <x:c r="A87" s="52" t="inlineStr">
        <x:is>
          <x:t>Квартиры</x:t>
        </x:is>
      </x:c>
      <x:c r="B87" s="107" t="n">
        <x:f>IFERROR((SUMPRODUCT('Продажи'!$D$14:$GA$14,'Продажи'!$D$9:$GA$9)+SUMPRODUCT('Продажи'!$D$37:$GA$37,'Продажи'!$D$32:$GA$32)+SUMPRODUCT('Продажи'!$D$60:$GA$60,'Продажи'!$D$55:$GA$55)+SUMPRODUCT('Продажи'!$D$83:$GA$83,'Продажи'!$D$78:$GA$78))/MAX(1,SUM('Продажи'!$D$9:$GA$9)+SUM('Продажи'!$D$32:$GA$32)+SUM('Продажи'!$D$55:$GA$55)+SUM('Продажи'!$D$78:$GA$78)),0)</x:f>
      </x:c>
      <x:c r="C87" s="107" t="n">
        <x:f>IFERROR((SUMPRODUCT('Продажи'!$D$14:$GA$14,'Продажи'!$D$12:$GA$12)+SUMPRODUCT('Продажи'!$D$37:$GA$37,'Продажи'!$D$35:$GA$35)+SUMPRODUCT('Продажи'!$D$60:$GA$60,'Продажи'!$D$58:$GA$58)+SUMPRODUCT('Продажи'!$D$83:$GA$83,'Продажи'!$D$81:$GA$81))/MAX(1,SUM('Продажи'!$D$12:$GA$12)+SUM('Продажи'!$D$35:$GA$35)+SUM('Продажи'!$D$58:$GA$58)+SUM('Продажи'!$D$81:$GA$81)),0)</x:f>
      </x:c>
      <x:c r="D87" s="107" t="n">
        <x:f>IFERROR(SUM('Продажи'!$B$14,'Продажи'!$B$37,'Продажи'!$B$60,'Продажи'!$B$83)/MAX(1,SUM('Продажи'!$D$9:$GA$9)+SUM('Продажи'!$D$32:$GA$32)+SUM('Продажи'!$D$55:$GA$55)+SUM('Продажи'!$D$78:$GA$78)+SUM('Продажи'!$D$12:$GA$12)+SUM('Продажи'!$D$35:$GA$35)+SUM('Продажи'!$D$58:$GA$58)+SUM('Продажи'!$D$81:$GA$81)),0)</x:f>
      </x:c>
      <x:c r="E87" s="52" t="inlineStr">
        <x:is>
          <x:t>м²/мес.</x:t>
        </x:is>
      </x:c>
    </x:row>
    <x:row r="88">
      <x:c r="A88" s="52" t="inlineStr">
        <x:is>
          <x:t>Коммерция 1 этажа</x:t>
        </x:is>
      </x:c>
      <x:c r="B88" s="107" t="n">
        <x:f>IFERROR((SUMPRODUCT('Продажи'!$D$17:$GA$17,'Продажи'!$D$9:$GA$9)+SUMPRODUCT('Продажи'!$D$40:$GA$40,'Продажи'!$D$32:$GA$32)+SUMPRODUCT('Продажи'!$D$63:$GA$63,'Продажи'!$D$55:$GA$55)+SUMPRODUCT('Продажи'!$D$86:$GA$86,'Продажи'!$D$78:$GA$78))/MAX(1,SUM('Продажи'!$D$9:$GA$9)+SUM('Продажи'!$D$32:$GA$32)+SUM('Продажи'!$D$55:$GA$55)+SUM('Продажи'!$D$78:$GA$78)),0)</x:f>
      </x:c>
      <x:c r="C88" s="107" t="n">
        <x:f>IFERROR((SUMPRODUCT('Продажи'!$D$17:$GA$17,'Продажи'!$D$12:$GA$12)+SUMPRODUCT('Продажи'!$D$40:$GA$40,'Продажи'!$D$35:$GA$35)+SUMPRODUCT('Продажи'!$D$63:$GA$63,'Продажи'!$D$58:$GA$58)+SUMPRODUCT('Продажи'!$D$86:$GA$86,'Продажи'!$D$81:$GA$81))/MAX(1,SUM('Продажи'!$D$12:$GA$12)+SUM('Продажи'!$D$35:$GA$35)+SUM('Продажи'!$D$58:$GA$58)+SUM('Продажи'!$D$81:$GA$81)),0)</x:f>
      </x:c>
      <x:c r="D88" s="107" t="n">
        <x:f>IFERROR(SUM('Продажи'!$B$17,'Продажи'!$B$40,'Продажи'!$B$63,'Продажи'!$B$86)/MAX(1,SUM('Продажи'!$D$9:$GA$9)+SUM('Продажи'!$D$32:$GA$32)+SUM('Продажи'!$D$55:$GA$55)+SUM('Продажи'!$D$78:$GA$78)+SUM('Продажи'!$D$12:$GA$12)+SUM('Продажи'!$D$35:$GA$35)+SUM('Продажи'!$D$58:$GA$58)+SUM('Продажи'!$D$81:$GA$81)),0)</x:f>
      </x:c>
      <x:c r="E88" s="52" t="inlineStr">
        <x:is>
          <x:t>м²/мес.</x:t>
        </x:is>
      </x:c>
    </x:row>
    <x:row r="89">
      <x:c r="A89" s="52" t="inlineStr">
        <x:is>
          <x:t>Подземный паркинг</x:t>
        </x:is>
      </x:c>
      <x:c r="B89" s="107" t="n">
        <x:f>IFERROR((SUMPRODUCT('Продажи'!$D$20:$GA$20,'Продажи'!$D$9:$GA$9)+SUMPRODUCT('Продажи'!$D$43:$GA$43,'Продажи'!$D$32:$GA$32)+SUMPRODUCT('Продажи'!$D$66:$GA$66,'Продажи'!$D$55:$GA$55)+SUMPRODUCT('Продажи'!$D$89:$GA$89,'Продажи'!$D$78:$GA$78))/MAX(1,SUM('Продажи'!$D$9:$GA$9)+SUM('Продажи'!$D$32:$GA$32)+SUM('Продажи'!$D$55:$GA$55)+SUM('Продажи'!$D$78:$GA$78)),0)</x:f>
      </x:c>
      <x:c r="C89" s="107" t="n">
        <x:f>IFERROR((SUMPRODUCT('Продажи'!$D$20:$GA$20,'Продажи'!$D$12:$GA$12)+SUMPRODUCT('Продажи'!$D$43:$GA$43,'Продажи'!$D$35:$GA$35)+SUMPRODUCT('Продажи'!$D$66:$GA$66,'Продажи'!$D$58:$GA$58)+SUMPRODUCT('Продажи'!$D$89:$GA$89,'Продажи'!$D$81:$GA$81))/MAX(1,SUM('Продажи'!$D$12:$GA$12)+SUM('Продажи'!$D$35:$GA$35)+SUM('Продажи'!$D$58:$GA$58)+SUM('Продажи'!$D$81:$GA$81)),0)</x:f>
      </x:c>
      <x:c r="D89" s="107" t="n">
        <x:f>IFERROR(SUM('Продажи'!$B$20,'Продажи'!$B$43,'Продажи'!$B$66,'Продажи'!$B$89)/MAX(1,SUM('Продажи'!$D$9:$GA$9)+SUM('Продажи'!$D$32:$GA$32)+SUM('Продажи'!$D$55:$GA$55)+SUM('Продажи'!$D$78:$GA$78)+SUM('Продажи'!$D$12:$GA$12)+SUM('Продажи'!$D$35:$GA$35)+SUM('Продажи'!$D$58:$GA$58)+SUM('Продажи'!$D$81:$GA$81)),0)</x:f>
      </x:c>
      <x:c r="E89" s="52" t="inlineStr">
        <x:is>
          <x:t>шт./мес.</x:t>
        </x:is>
      </x:c>
    </x:row>
    <x:row r="90">
      <x:c r="A90" s="52" t="inlineStr">
        <x:is>
          <x:t>Кладовые</x:t>
        </x:is>
      </x:c>
      <x:c r="B90" s="107" t="n">
        <x:f>IFERROR((SUMPRODUCT('Продажи'!$D$23:$GA$23,'Продажи'!$D$9:$GA$9)+SUMPRODUCT('Продажи'!$D$46:$GA$46,'Продажи'!$D$32:$GA$32)+SUMPRODUCT('Продажи'!$D$69:$GA$69,'Продажи'!$D$55:$GA$55)+SUMPRODUCT('Продажи'!$D$92:$GA$92,'Продажи'!$D$78:$GA$78))/MAX(1,SUM('Продажи'!$D$9:$GA$9)+SUM('Продажи'!$D$32:$GA$32)+SUM('Продажи'!$D$55:$GA$55)+SUM('Продажи'!$D$78:$GA$78)),0)</x:f>
      </x:c>
      <x:c r="C90" s="107" t="n">
        <x:f>IFERROR((SUMPRODUCT('Продажи'!$D$23:$GA$23,'Продажи'!$D$12:$GA$12)+SUMPRODUCT('Продажи'!$D$46:$GA$46,'Продажи'!$D$35:$GA$35)+SUMPRODUCT('Продажи'!$D$69:$GA$69,'Продажи'!$D$58:$GA$58)+SUMPRODUCT('Продажи'!$D$92:$GA$92,'Продажи'!$D$81:$GA$81))/MAX(1,SUM('Продажи'!$D$12:$GA$12)+SUM('Продажи'!$D$35:$GA$35)+SUM('Продажи'!$D$58:$GA$58)+SUM('Продажи'!$D$81:$GA$81)),0)</x:f>
      </x:c>
      <x:c r="D90" s="107" t="n">
        <x:f>IFERROR(SUM('Продажи'!$B$23,'Продажи'!$B$46,'Продажи'!$B$69,'Продажи'!$B$92)/MAX(1,SUM('Продажи'!$D$9:$GA$9)+SUM('Продажи'!$D$32:$GA$32)+SUM('Продажи'!$D$55:$GA$55)+SUM('Продажи'!$D$78:$GA$78)+SUM('Продажи'!$D$12:$GA$12)+SUM('Продажи'!$D$35:$GA$35)+SUM('Продажи'!$D$58:$GA$58)+SUM('Продажи'!$D$81:$GA$81)),0)</x:f>
      </x:c>
      <x:c r="E90" s="52" t="inlineStr">
        <x:is>
          <x:t>шт./мес.</x:t>
        </x:is>
      </x:c>
    </x:row>
    <x:row r="91">
      <x:c r="A91" s="52" t="inlineStr">
        <x:is>
          <x:t>МФОЦ / офисный центр</x:t>
        </x:is>
      </x:c>
      <x:c r="B91" s="107" t="n">
        <x:f>IFERROR(SUMPRODUCT('ОБЪЕКТЫ'!$D$22:$GA$22,'ОБЪЕКТЫ'!$D$17:$GA$17)/MAX(1,SUM('ОБЪЕКТЫ'!$D$17:$GA$17)),0)</x:f>
      </x:c>
      <x:c r="C91" s="107" t="n">
        <x:f>IFERROR(SUMPRODUCT('ОБЪЕКТЫ'!$D$22:$GA$22,'ОБЪЕКТЫ'!$D$20:$GA$20)/MAX(1,SUM('ОБЪЕКТЫ'!$D$20:$GA$20)),0)</x:f>
      </x:c>
      <x:c r="D91" s="107" t="n">
        <x:f>IFERROR('ОБЪЕКТЫ'!$B$22/MAX(1,SUM('ОБЪЕКТЫ'!$D$17:$GA$17)+SUM('ОБЪЕКТЫ'!$D$20:$GA$20)),0)</x:f>
      </x:c>
      <x:c r="E91" s="52" t="inlineStr">
        <x:is>
          <x:t>м²/мес.</x:t>
        </x:is>
      </x:c>
    </x:row>
    <x:row r="92">
      <x:c r="A92" s="52" t="inlineStr">
        <x:is>
          <x:t>Торговый центр / ОСЗ</x:t>
        </x:is>
      </x:c>
      <x:c r="B92" s="107" t="n">
        <x:f>IFERROR(SUMPRODUCT('ОБЪЕКТЫ'!$D$50:$GA$50,'ОБЪЕКТЫ'!$D$45:$GA$45)/MAX(1,SUM('ОБЪЕКТЫ'!$D$45:$GA$45)),0)</x:f>
      </x:c>
      <x:c r="C92" s="107" t="n">
        <x:f>IFERROR(SUMPRODUCT('ОБЪЕКТЫ'!$D$50:$GA$50,'ОБЪЕКТЫ'!$D$48:$GA$48)/MAX(1,SUM('ОБЪЕКТЫ'!$D$48:$GA$48)),0)</x:f>
      </x:c>
      <x:c r="D92" s="107" t="n">
        <x:f>IFERROR('ОБЪЕКТЫ'!$B$50/MAX(1,SUM('ОБЪЕКТЫ'!$D$45:$GA$45)+SUM('ОБЪЕКТЫ'!$D$48:$GA$48)),0)</x:f>
      </x:c>
      <x:c r="E92" s="52" t="inlineStr">
        <x:is>
          <x:t>м²/мес.</x:t>
        </x:is>
      </x:c>
    </x:row>
    <x:row r="93">
      <x:c r="A93" s="52" t="inlineStr">
        <x:is>
          <x:t>Наземный паркинг</x:t>
        </x:is>
      </x:c>
      <x:c r="B93" s="107" t="n">
        <x:f>IFERROR(SUMPRODUCT('ОБЪЕКТЫ'!$D$78:$GA$79,'ОБЪЕКТЫ'!$D$73:$GA$74)/MAX(1,SUM('ОБЪЕКТЫ'!$D$73:$GA$74)),0)</x:f>
      </x:c>
      <x:c r="C93" s="107" t="n">
        <x:f>IFERROR(SUMPRODUCT('ОБЪЕКТЫ'!$D$78:$GA$79,'ОБЪЕКТЫ'!$D$76:$GA$77)/MAX(1,SUM('ОБЪЕКТЫ'!$D$76:$GA$77)),0)</x:f>
      </x:c>
      <x:c r="D93" s="107" t="n">
        <x:f>IFERROR('ОБЪЕКТЫ'!$B$78/MAX(1,SUM('ОБЪЕКТЫ'!$D$73:$GA$74)+SUM('ОБЪЕКТЫ'!$D$76:$GA$77)),0)</x:f>
      </x:c>
      <x:c r="E93" s="52" t="inlineStr">
        <x:is>
          <x:t>шт./мес.</x:t>
        </x:is>
      </x:c>
    </x:row>
  </x:sheetData>
  <x:mergeCells>
    <x:mergeCell ref="A1:N1"/>
    <x:mergeCell ref="A2:N2"/>
    <x:mergeCell ref="A4:D4"/>
    <x:mergeCell ref="F4:N4"/>
    <x:mergeCell ref="A23:N23"/>
    <x:mergeCell ref="A31:N31"/>
    <x:mergeCell ref="A44:N44"/>
    <x:mergeCell ref="A55:G55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8" max="18" width="2.5" hidden="0" customWidth="1"/>
    <x:col min="19" max="19" width="2.5" hidden="0" customWidth="1"/>
    <x:col min="20" max="20" width="2.5" hidden="0" customWidth="1"/>
    <x:col min="21" max="21" width="2.5" hidden="0" customWidth="1"/>
    <x:col min="22" max="22" width="2.5" hidden="0" customWidth="1"/>
    <x:col min="23" max="23" width="2.5" hidden="0" customWidth="1"/>
    <x:col min="24" max="24" width="2.5" hidden="0" customWidth="1"/>
    <x:col min="25" max="25" width="2.5" hidden="0" customWidth="1"/>
    <x:col min="26" max="26" width="2.5" hidden="0" customWidth="1"/>
    <x:col min="27" max="27" width="2.5" hidden="0" customWidth="1"/>
    <x:col min="28" max="28" width="2.5" hidden="0" customWidth="1"/>
    <x:col min="29" max="29" width="2.5" hidden="0" customWidth="1"/>
    <x:col min="30" max="30" width="2.5" hidden="0" customWidth="1"/>
    <x:col min="31" max="31" width="2.5" hidden="0" customWidth="1"/>
    <x:col min="32" max="32" width="2.5" hidden="0" customWidth="1"/>
  </x:cols>
  <x:sheetData>
    <x:row r="1" ht="28" customHeight="1">
      <x:c r="A1" s="4" t="str">
        <x:v>DEVELOPAID · ИНВЕСТИЦИОННЫЙ ДАШБОРД</x:v>
      </x:c>
      <x:c r="B1" s="4" t="str">
        <x:v>DEVELOPAID · ИНВЕСТИЦИОННЫЙ ДАШБОРД</x:v>
      </x:c>
      <x:c r="C1" s="4" t="str">
        <x:v>DEVELOPAID · ИНВЕСТИЦИОННЫЙ ДАШБОРД</x:v>
      </x:c>
      <x:c r="D1" s="4" t="str">
        <x:v>DEVELOPAID · ИНВЕСТИЦИОННЫЙ ДАШБОРД</x:v>
      </x:c>
      <x:c r="E1" s="4" t="str">
        <x:v>DEVELOPAID · ИНВЕСТИЦИОННЫЙ ДАШБОРД</x:v>
      </x:c>
      <x:c r="F1" s="4" t="str">
        <x:v>DEVELOPAID · ИНВЕСТИЦИОННЫЙ ДАШБОРД</x:v>
      </x:c>
      <x:c r="G1" s="4" t="str">
        <x:v>DEVELOPAID · ИНВЕСТИЦИОННЫЙ ДАШБОРД</x:v>
      </x:c>
      <x:c r="H1" s="4" t="str">
        <x:v>DEVELOPAID · ИНВЕСТИЦИОННЫЙ ДАШБОРД</x:v>
      </x:c>
      <x:c r="I1" s="4" t="str">
        <x:v>DEVELOPAID · ИНВЕСТИЦИОННЫЙ ДАШБОРД</x:v>
      </x:c>
      <x:c r="J1" s="4" t="str">
        <x:v>DEVELOPAID · ИНВЕСТИЦИОННЫЙ ДАШБОРД</x:v>
      </x:c>
      <x:c r="K1" s="4" t="str">
        <x:v>DEVELOPAID · ИНВЕСТИЦИОННЫЙ ДАШБОРД</x:v>
      </x:c>
      <x:c r="L1" s="4" t="str">
        <x:v>DEVELOPAID · ИНВЕСТИЦИОННЫЙ ДАШБОРД</x:v>
      </x:c>
      <x:c r="M1" s="4" t="str">
        <x:v>DEVELOPAID · ИНВЕСТИЦИОННЫЙ ДАШБОРД</x:v>
      </x:c>
      <x:c r="N1" s="4" t="str">
        <x:v>DEVELOPAID · ИНВЕСТИЦИОННЫЙ ДАШБОРД</x:v>
      </x:c>
      <x:c r="O1" s="4" t="str">
        <x:v>DEVELOPAID · ИНВЕСТИЦИОННЫЙ ДАШБОРД</x:v>
      </x:c>
      <x:c r="P1" s="4" t="str">
        <x:v>DEVELOPAID · ИНВЕСТИЦИОННЫЙ ДАШБОРД</x:v>
      </x:c>
      <x:c r="R1" s="267"/>
      <x:c r="S1" s="267"/>
      <x:c r="T1" s="267"/>
      <x:c r="U1" s="267"/>
      <x:c r="V1" s="267"/>
      <x:c r="W1" s="267"/>
      <x:c r="X1" s="267"/>
      <x:c r="Y1" s="267"/>
      <x:c r="Z1" s="267"/>
      <x:c r="AA1" s="267"/>
      <x:c r="AB1" s="267"/>
      <x:c r="AC1" s="267"/>
      <x:c r="AD1" s="267"/>
      <x:c r="AE1" s="267"/>
      <x:c r="AF1" s="267"/>
    </x:row>
    <x:row r="2">
      <x:c r="A2" s="149" t="str">
        <x:f>'ОТЧЕТ'!A2</x:f>
      </x:c>
      <x:c r="B2" s="149"/>
      <x:c r="C2" s="149"/>
      <x:c r="D2" s="149"/>
      <x:c r="E2" s="149"/>
      <x:c r="F2" s="149"/>
      <x:c r="G2" s="149"/>
      <x:c r="H2" s="149"/>
      <x:c r="I2" s="149"/>
      <x:c r="J2" s="149"/>
      <x:c r="K2" s="149"/>
      <x:c r="L2" s="149"/>
      <x:c r="M2" s="149"/>
      <x:c r="N2" s="149"/>
      <x:c r="O2" s="149"/>
      <x:c r="P2" s="149"/>
      <x:c r="R2" s="267"/>
      <x:c r="S2" s="267"/>
      <x:c r="T2" s="267"/>
      <x:c r="U2" s="267"/>
      <x:c r="V2" s="267"/>
      <x:c r="W2" s="267"/>
      <x:c r="X2" s="267"/>
      <x:c r="Y2" s="267"/>
      <x:c r="Z2" s="267"/>
      <x:c r="AA2" s="267"/>
      <x:c r="AB2" s="267"/>
      <x:c r="AC2" s="267"/>
      <x:c r="AD2" s="267"/>
      <x:c r="AE2" s="267"/>
      <x:c r="AF2" s="267"/>
    </x:row>
    <x:row r="3">
      <x:c r="R3" s="267" t="str">
        <x:v>Квартал</x:v>
      </x:c>
      <x:c r="S3" s="267" t="str">
        <x:v>Выручка</x:v>
      </x:c>
      <x:c r="T3" s="267" t="str">
        <x:v>Расходы</x:v>
      </x:c>
      <x:c r="U3" s="267" t="str">
        <x:v>Долг</x:v>
      </x:c>
      <x:c r="V3" s="267" t="str">
        <x:v>Эскроу</x:v>
      </x:c>
      <x:c r="W3" s="267"/>
      <x:c r="X3" s="267" t="str">
        <x:v>Статья</x:v>
      </x:c>
      <x:c r="Y3" s="267" t="str">
        <x:v>Сумма</x:v>
      </x:c>
      <x:c r="Z3" s="267"/>
      <x:c r="AA3" s="267" t="str">
        <x:v>Очередь</x:v>
      </x:c>
      <x:c r="AB3" s="267" t="str">
        <x:v>Чистая прибыль</x:v>
      </x:c>
      <x:c r="AC3" s="267"/>
      <x:c r="AD3" s="267" t="str">
        <x:f>R3</x:f>
      </x:c>
      <x:c r="AE3" s="267" t="str">
        <x:f>U3</x:f>
      </x:c>
      <x:c r="AF3" s="267" t="str">
        <x:f>V3</x:f>
      </x:c>
    </x:row>
    <x:row r="4">
      <x:c r="A4" s="150" t="str">
        <x:v>Выручка</x:v>
      </x:c>
      <x:c r="B4" s="150" t="str">
        <x:v>Выручка</x:v>
      </x:c>
      <x:c r="C4" s="150" t="str">
        <x:v>Выручка</x:v>
      </x:c>
      <x:c r="D4" s="150" t="str">
        <x:v>Выручка</x:v>
      </x:c>
      <x:c r="E4" s="150" t="str">
        <x:v>Чистая прибыль</x:v>
      </x:c>
      <x:c r="F4" s="150" t="str">
        <x:v>Чистая прибыль</x:v>
      </x:c>
      <x:c r="G4" s="150" t="str">
        <x:v>Чистая прибыль</x:v>
      </x:c>
      <x:c r="H4" s="150" t="str">
        <x:v>Чистая прибыль</x:v>
      </x:c>
      <x:c r="I4" s="150" t="str">
        <x:v>IRR капитала</x:v>
      </x:c>
      <x:c r="J4" s="150" t="str">
        <x:v>IRR капитала</x:v>
      </x:c>
      <x:c r="K4" s="150" t="str">
        <x:v>IRR капитала</x:v>
      </x:c>
      <x:c r="L4" s="150" t="str">
        <x:v>IRR капитала</x:v>
      </x:c>
      <x:c r="M4" t="inlineStr">
        <x:is>
          <x:t>LLCR проекта</x:t>
        </x:is>
      </x:c>
      <x:c r="N4" s="150" t="str">
        <x:v>Минимальный LLCR</x:v>
      </x:c>
      <x:c r="O4" s="150" t="str">
        <x:v>Минимальный LLCR</x:v>
      </x:c>
      <x:c r="P4" s="150" t="str">
        <x:v>Минимальный LLCR</x:v>
      </x:c>
      <x:c r="R4" s="267" t="str">
        <x:f>TEXT('CF'!D3,"yyyy")&amp;" Q"&amp;ROUNDUP(MONTH('CF'!D3)/3,0)</x:f>
      </x:c>
      <x:c r="S4" s="267" t="n">
        <x:f>SUM('CF'!D6:'CF'!F6)</x:f>
      </x:c>
      <x:c r="T4" s="267" t="n">
        <x:f>SUM('CF'!D13:'CF'!F13)</x:f>
      </x:c>
      <x:c r="U4" s="267" t="n">
        <x:f>MAX('CF'!D19:'CF'!F19)</x:f>
      </x:c>
      <x:c r="V4" s="267" t="n">
        <x:f>MAX('CF'!D9:'CF'!F9)</x:f>
      </x:c>
      <x:c r="W4" s="267"/>
      <x:c r="X4" s="267" t="str">
        <x:v>Покупка</x:v>
      </x:c>
      <x:c r="Y4" s="267" t="n">
        <x:f>'ОТЧЕТ'!B33</x:f>
      </x:c>
      <x:c r="Z4" s="267"/>
      <x:c r="AA4" s="267" t="str">
        <x:f>'КОНСОЛИДАТОР'!A4</x:f>
      </x:c>
      <x:c r="AB4" s="267" t="n">
        <x:f>'КОНСОЛИДАТОР'!L4</x:f>
      </x:c>
      <x:c r="AC4" s="267"/>
      <x:c r="AD4" s="267" t="str">
        <x:f>R4</x:f>
      </x:c>
      <x:c r="AE4" s="267" t="n">
        <x:f>U4</x:f>
      </x:c>
      <x:c r="AF4" s="267" t="n">
        <x:f>V4</x:f>
      </x:c>
    </x:row>
    <x:row r="5">
      <x:c r="A5" s="177" t="n">
        <x:f>'ОТЧЕТ'!B5</x:f>
      </x:c>
      <x:c r="B5" s="178"/>
      <x:c r="C5" s="178"/>
      <x:c r="D5" s="179"/>
      <x:c r="E5" s="177" t="n">
        <x:f>'ОТЧЕТ'!B12</x:f>
      </x:c>
      <x:c r="F5" s="178"/>
      <x:c r="G5" s="178"/>
      <x:c r="H5" s="179"/>
      <x:c r="I5" s="204" t="n">
        <x:f>'ОТЧЕТ'!B14</x:f>
      </x:c>
      <x:c r="J5" s="205"/>
      <x:c r="K5" s="205"/>
      <x:c r="L5" s="206"/>
      <x:c r="M5" s="231" t="n">
        <x:f>'ОТЧЕТ'!B19</x:f>
      </x:c>
      <x:c r="N5" s="232"/>
      <x:c r="O5" s="232"/>
      <x:c r="P5" s="233"/>
      <x:c r="R5" s="267" t="str">
        <x:f>TEXT('CF'!G3,"yyyy")&amp;" Q"&amp;ROUNDUP(MONTH('CF'!G3)/3,0)</x:f>
      </x:c>
      <x:c r="S5" s="267" t="n">
        <x:f>SUM('CF'!G6:'CF'!I6)</x:f>
      </x:c>
      <x:c r="T5" s="267" t="n">
        <x:f>SUM('CF'!G13:'CF'!I13)</x:f>
      </x:c>
      <x:c r="U5" s="267" t="n">
        <x:f>MAX('CF'!G19:'CF'!I19)</x:f>
      </x:c>
      <x:c r="V5" s="267" t="n">
        <x:f>MAX('CF'!G9:'CF'!I9)</x:f>
      </x:c>
      <x:c r="W5" s="267"/>
      <x:c r="X5" s="267" t="str">
        <x:v>ВРИ</x:v>
      </x:c>
      <x:c r="Y5" s="267" t="n">
        <x:f>'ОТЧЕТ'!B34</x:f>
      </x:c>
      <x:c r="Z5" s="267"/>
      <x:c r="AA5" s="267" t="str">
        <x:f>'КОНСОЛИДАТОР'!A5</x:f>
      </x:c>
      <x:c r="AB5" s="267" t="n">
        <x:f>'КОНСОЛИДАТОР'!L5</x:f>
      </x:c>
      <x:c r="AC5" s="267"/>
      <x:c r="AD5" s="267" t="str">
        <x:f>R5</x:f>
      </x:c>
      <x:c r="AE5" s="267" t="n">
        <x:f>U5</x:f>
      </x:c>
      <x:c r="AF5" s="267" t="n">
        <x:f>V5</x:f>
      </x:c>
    </x:row>
    <x:row r="6">
      <x:c r="A6" s="180"/>
      <x:c r="B6" s="181"/>
      <x:c r="C6" s="181"/>
      <x:c r="D6" s="182"/>
      <x:c r="E6" s="180"/>
      <x:c r="F6" s="181"/>
      <x:c r="G6" s="181"/>
      <x:c r="H6" s="182"/>
      <x:c r="I6" s="207"/>
      <x:c r="J6" s="208"/>
      <x:c r="K6" s="208"/>
      <x:c r="L6" s="209"/>
      <x:c r="M6" s="234"/>
      <x:c r="N6" s="235"/>
      <x:c r="O6" s="235"/>
      <x:c r="P6" s="236"/>
      <x:c r="R6" s="267" t="str">
        <x:f>TEXT('CF'!J3,"yyyy")&amp;" Q"&amp;ROUNDUP(MONTH('CF'!J3)/3,0)</x:f>
      </x:c>
      <x:c r="S6" s="267" t="n">
        <x:f>SUM('CF'!J6:'CF'!L6)</x:f>
      </x:c>
      <x:c r="T6" s="267" t="n">
        <x:f>SUM('CF'!J13:'CF'!L13)</x:f>
      </x:c>
      <x:c r="U6" s="267" t="n">
        <x:f>MAX('CF'!J19:'CF'!L19)</x:f>
      </x:c>
      <x:c r="V6" s="267" t="n">
        <x:f>MAX('CF'!J9:'CF'!L9)</x:f>
      </x:c>
      <x:c r="W6" s="267"/>
      <x:c r="X6" s="267" t="str">
        <x:v>Строительство</x:v>
      </x:c>
      <x:c r="Y6" s="267" t="n">
        <x:f>'ОТЧЕТ'!B35</x:f>
      </x:c>
      <x:c r="Z6" s="267"/>
      <x:c r="AA6" s="267" t="str">
        <x:f>'КОНСОЛИДАТОР'!A6</x:f>
      </x:c>
      <x:c r="AB6" s="267" t="n">
        <x:f>'КОНСОЛИДАТОР'!L6</x:f>
      </x:c>
      <x:c r="AC6" s="267"/>
      <x:c r="AD6" s="267" t="str">
        <x:f>R6</x:f>
      </x:c>
      <x:c r="AE6" s="267" t="n">
        <x:f>U6</x:f>
      </x:c>
      <x:c r="AF6" s="267" t="n">
        <x:f>V6</x:f>
      </x:c>
    </x:row>
    <x:row r="7">
      <x:c r="A7" s="183"/>
      <x:c r="B7" s="184"/>
      <x:c r="C7" s="184"/>
      <x:c r="D7" s="185"/>
      <x:c r="E7" s="183"/>
      <x:c r="F7" s="184"/>
      <x:c r="G7" s="184"/>
      <x:c r="H7" s="185"/>
      <x:c r="I7" s="210"/>
      <x:c r="J7" s="211"/>
      <x:c r="K7" s="211"/>
      <x:c r="L7" s="212"/>
      <x:c r="M7" s="237"/>
      <x:c r="N7" s="238"/>
      <x:c r="O7" s="238"/>
      <x:c r="P7" s="239"/>
      <x:c r="R7" s="267" t="str">
        <x:f>TEXT('CF'!M3,"yyyy")&amp;" Q"&amp;ROUNDUP(MONTH('CF'!M3)/3,0)</x:f>
      </x:c>
      <x:c r="S7" s="267" t="n">
        <x:f>SUM('CF'!M6:'CF'!O6)</x:f>
      </x:c>
      <x:c r="T7" s="267" t="n">
        <x:f>SUM('CF'!M13:'CF'!O13)</x:f>
      </x:c>
      <x:c r="U7" s="267" t="n">
        <x:f>MAX('CF'!M19:'CF'!O19)</x:f>
      </x:c>
      <x:c r="V7" s="267" t="n">
        <x:f>MAX('CF'!M9:'CF'!O9)</x:f>
      </x:c>
      <x:c r="W7" s="267"/>
      <x:c r="X7" s="267" t="str">
        <x:v>Соцнагрузка</x:v>
      </x:c>
      <x:c r="Y7" s="267" t="n">
        <x:f>'ОТЧЕТ'!B36</x:f>
      </x:c>
      <x:c r="Z7" s="267"/>
      <x:c r="AA7" s="267" t="str">
        <x:v>Консолидировано</x:v>
      </x:c>
      <x:c r="AB7" s="267" t="n">
        <x:f>'КОНСОЛИДАТОР'!L8</x:f>
      </x:c>
      <x:c r="AC7" s="267"/>
      <x:c r="AD7" s="267" t="str">
        <x:f>R7</x:f>
      </x:c>
      <x:c r="AE7" s="267" t="n">
        <x:f>U7</x:f>
      </x:c>
      <x:c r="AF7" s="267" t="n">
        <x:f>V7</x:f>
      </x:c>
    </x:row>
    <x:row r="8">
      <x:c r="R8" s="267" t="str">
        <x:f>TEXT('CF'!P3,"yyyy")&amp;" Q"&amp;ROUNDUP(MONTH('CF'!P3)/3,0)</x:f>
      </x:c>
      <x:c r="S8" s="267" t="n">
        <x:f>SUM('CF'!P6:'CF'!R6)</x:f>
      </x:c>
      <x:c r="T8" s="267" t="n">
        <x:f>SUM('CF'!P13:'CF'!R13)</x:f>
      </x:c>
      <x:c r="U8" s="267" t="n">
        <x:f>MAX('CF'!P19:'CF'!R19)</x:f>
      </x:c>
      <x:c r="V8" s="267" t="n">
        <x:f>MAX('CF'!P9:'CF'!R9)</x:f>
      </x:c>
      <x:c r="W8" s="267"/>
      <x:c r="X8" s="267" t="str">
        <x:v>Маркетинг и продажи</x:v>
      </x:c>
      <x:c r="Y8" s="267" t="n">
        <x:f>'ОТЧЕТ'!B37</x:f>
      </x:c>
      <x:c r="Z8" s="267"/>
      <x:c r="AA8" s="267"/>
      <x:c r="AB8" s="267"/>
      <x:c r="AC8" s="267"/>
      <x:c r="AD8" s="267" t="str">
        <x:f>R8</x:f>
      </x:c>
      <x:c r="AE8" s="267" t="n">
        <x:f>U8</x:f>
      </x:c>
      <x:c r="AF8" s="267" t="n">
        <x:f>V8</x:f>
      </x:c>
    </x:row>
    <x:row r="9">
      <x:c r="A9" s="150" t="str">
        <x:v>CAPEX</x:v>
      </x:c>
      <x:c r="B9" s="150" t="str">
        <x:v>CAPEX</x:v>
      </x:c>
      <x:c r="C9" s="150" t="str">
        <x:v>CAPEX</x:v>
      </x:c>
      <x:c r="D9" s="150" t="str">
        <x:v>CAPEX</x:v>
      </x:c>
      <x:c r="E9" s="150" t="str">
        <x:v>Пиковый долг</x:v>
      </x:c>
      <x:c r="F9" s="150" t="str">
        <x:v>Пиковый долг</x:v>
      </x:c>
      <x:c r="G9" s="150" t="str">
        <x:v>Пиковый долг</x:v>
      </x:c>
      <x:c r="H9" s="150" t="str">
        <x:v>Пиковый долг</x:v>
      </x:c>
      <x:c r="I9" s="150" t="str">
        <x:v>NPV</x:v>
      </x:c>
      <x:c r="J9" s="150" t="str">
        <x:v>NPV</x:v>
      </x:c>
      <x:c r="K9" s="150" t="str">
        <x:v>NPV</x:v>
      </x:c>
      <x:c r="L9" s="150" t="str">
        <x:v>NPV</x:v>
      </x:c>
      <x:c r="M9" s="150" t="str">
        <x:v>Статус модели</x:v>
      </x:c>
      <x:c r="N9" s="150" t="str">
        <x:v>Статус модели</x:v>
      </x:c>
      <x:c r="O9" s="150" t="str">
        <x:v>Статус модели</x:v>
      </x:c>
      <x:c r="P9" s="150" t="str">
        <x:v>Статус модели</x:v>
      </x:c>
      <x:c r="R9" s="267" t="str">
        <x:f>TEXT('CF'!S3,"yyyy")&amp;" Q"&amp;ROUNDUP(MONTH('CF'!S3)/3,0)</x:f>
      </x:c>
      <x:c r="S9" s="267" t="n">
        <x:f>SUM('CF'!S6:'CF'!U6)</x:f>
      </x:c>
      <x:c r="T9" s="267" t="n">
        <x:f>SUM('CF'!S13:'CF'!U13)</x:f>
      </x:c>
      <x:c r="U9" s="267" t="n">
        <x:f>MAX('CF'!S19:'CF'!U19)</x:f>
      </x:c>
      <x:c r="V9" s="267" t="n">
        <x:f>MAX('CF'!S9:'CF'!U9)</x:f>
      </x:c>
      <x:c r="W9" s="267"/>
      <x:c r="X9" s="267" t="str">
        <x:v>Финансирование</x:v>
      </x:c>
      <x:c r="Y9" s="267" t="n">
        <x:f>'ОТЧЕТ'!B38</x:f>
      </x:c>
      <x:c r="Z9" s="267"/>
      <x:c r="AA9" s="267"/>
      <x:c r="AB9" s="267"/>
      <x:c r="AC9" s="267"/>
      <x:c r="AD9" s="267" t="str">
        <x:f>R9</x:f>
      </x:c>
      <x:c r="AE9" s="267" t="n">
        <x:f>U9</x:f>
      </x:c>
      <x:c r="AF9" s="267" t="n">
        <x:f>V9</x:f>
      </x:c>
    </x:row>
    <x:row r="10">
      <x:c r="A10" s="177" t="n">
        <x:f>'ОТЧЕТ'!B6</x:f>
      </x:c>
      <x:c r="B10" s="178"/>
      <x:c r="C10" s="178"/>
      <x:c r="D10" s="179"/>
      <x:c r="E10" s="177" t="n">
        <x:f>'ОТЧЕТ'!B17</x:f>
      </x:c>
      <x:c r="F10" s="178"/>
      <x:c r="G10" s="178"/>
      <x:c r="H10" s="179"/>
      <x:c r="I10" s="177" t="n">
        <x:f>'ОТЧЕТ'!B15</x:f>
      </x:c>
      <x:c r="J10" s="178"/>
      <x:c r="K10" s="178"/>
      <x:c r="L10" s="179"/>
      <x:c r="M10" s="258" t="str">
        <x:f>'ОТЧЕТ'!B20</x:f>
      </x:c>
      <x:c r="N10" s="259"/>
      <x:c r="O10" s="259"/>
      <x:c r="P10" s="260"/>
      <x:c r="R10" s="267" t="str">
        <x:f>TEXT('CF'!V3,"yyyy")&amp;" Q"&amp;ROUNDUP(MONTH('CF'!V3)/3,0)</x:f>
      </x:c>
      <x:c r="S10" s="267" t="n">
        <x:f>SUM('CF'!V6:'CF'!X6)</x:f>
      </x:c>
      <x:c r="T10" s="267" t="n">
        <x:f>SUM('CF'!V13:'CF'!X13)</x:f>
      </x:c>
      <x:c r="U10" s="267" t="n">
        <x:f>MAX('CF'!V19:'CF'!X19)</x:f>
      </x:c>
      <x:c r="V10" s="267" t="n">
        <x:f>MAX('CF'!V9:'CF'!X9)</x:f>
      </x:c>
      <x:c r="W10" s="267"/>
      <x:c r="X10" s="267" t="str">
        <x:v>Налог</x:v>
      </x:c>
      <x:c r="Y10" s="267" t="n">
        <x:f>'ОТЧЕТ'!B39</x:f>
      </x:c>
      <x:c r="Z10" s="267"/>
      <x:c r="AA10" s="267"/>
      <x:c r="AB10" s="267"/>
      <x:c r="AC10" s="267"/>
      <x:c r="AD10" s="267" t="str">
        <x:f>R10</x:f>
      </x:c>
      <x:c r="AE10" s="267" t="n">
        <x:f>U10</x:f>
      </x:c>
      <x:c r="AF10" s="267" t="n">
        <x:f>V10</x:f>
      </x:c>
    </x:row>
    <x:row r="11">
      <x:c r="A11" s="180"/>
      <x:c r="B11" s="181"/>
      <x:c r="C11" s="181"/>
      <x:c r="D11" s="182"/>
      <x:c r="E11" s="180"/>
      <x:c r="F11" s="181"/>
      <x:c r="G11" s="181"/>
      <x:c r="H11" s="182"/>
      <x:c r="I11" s="180"/>
      <x:c r="J11" s="181"/>
      <x:c r="K11" s="181"/>
      <x:c r="L11" s="182"/>
      <x:c r="M11" s="261"/>
      <x:c r="N11" s="262"/>
      <x:c r="O11" s="262"/>
      <x:c r="P11" s="263"/>
      <x:c r="R11" s="267" t="str">
        <x:f>TEXT('CF'!Y3,"yyyy")&amp;" Q"&amp;ROUNDUP(MONTH('CF'!Y3)/3,0)</x:f>
      </x:c>
      <x:c r="S11" s="267" t="n">
        <x:f>SUM('CF'!Y6:'CF'!AA6)</x:f>
      </x:c>
      <x:c r="T11" s="267" t="n">
        <x:f>SUM('CF'!Y13:'CF'!AA13)</x:f>
      </x:c>
      <x:c r="U11" s="267" t="n">
        <x:f>MAX('CF'!Y19:'CF'!AA19)</x:f>
      </x:c>
      <x:c r="V11" s="267" t="n">
        <x:f>MAX('CF'!Y9:'CF'!AA9)</x:f>
      </x:c>
      <x:c r="W11" s="267"/>
      <x:c r="X11" s="267"/>
      <x:c r="Y11" s="267"/>
      <x:c r="Z11" s="267"/>
      <x:c r="AA11" s="267"/>
      <x:c r="AB11" s="267"/>
      <x:c r="AC11" s="267"/>
      <x:c r="AD11" s="267" t="str">
        <x:f>R11</x:f>
      </x:c>
      <x:c r="AE11" s="267" t="n">
        <x:f>U11</x:f>
      </x:c>
      <x:c r="AF11" s="267" t="n">
        <x:f>V11</x:f>
      </x:c>
    </x:row>
    <x:row r="12">
      <x:c r="A12" s="183"/>
      <x:c r="B12" s="184"/>
      <x:c r="C12" s="184"/>
      <x:c r="D12" s="185"/>
      <x:c r="E12" s="183"/>
      <x:c r="F12" s="184"/>
      <x:c r="G12" s="184"/>
      <x:c r="H12" s="185"/>
      <x:c r="I12" s="183"/>
      <x:c r="J12" s="184"/>
      <x:c r="K12" s="184"/>
      <x:c r="L12" s="185"/>
      <x:c r="M12" s="264"/>
      <x:c r="N12" s="265"/>
      <x:c r="O12" s="265"/>
      <x:c r="P12" s="266"/>
      <x:c r="R12" s="267" t="str">
        <x:f>TEXT('CF'!AB3,"yyyy")&amp;" Q"&amp;ROUNDUP(MONTH('CF'!AB3)/3,0)</x:f>
      </x:c>
      <x:c r="S12" s="267" t="n">
        <x:f>SUM('CF'!AB6:'CF'!AD6)</x:f>
      </x:c>
      <x:c r="T12" s="267" t="n">
        <x:f>SUM('CF'!AB13:'CF'!AD13)</x:f>
      </x:c>
      <x:c r="U12" s="267" t="n">
        <x:f>MAX('CF'!AB19:'CF'!AD19)</x:f>
      </x:c>
      <x:c r="V12" s="267" t="n">
        <x:f>MAX('CF'!AB9:'CF'!AD9)</x:f>
      </x:c>
      <x:c r="W12" s="267"/>
      <x:c r="X12" s="267"/>
      <x:c r="Y12" s="267"/>
      <x:c r="Z12" s="267"/>
      <x:c r="AA12" s="267"/>
      <x:c r="AB12" s="267"/>
      <x:c r="AC12" s="267"/>
      <x:c r="AD12" s="267" t="str">
        <x:f>R12</x:f>
      </x:c>
      <x:c r="AE12" s="267" t="n">
        <x:f>U12</x:f>
      </x:c>
      <x:c r="AF12" s="267" t="n">
        <x:f>V12</x:f>
      </x:c>
    </x:row>
    <x:row r="13">
      <x:c r="R13" s="267" t="str">
        <x:f>TEXT('CF'!AE3,"yyyy")&amp;" Q"&amp;ROUNDUP(MONTH('CF'!AE3)/3,0)</x:f>
      </x:c>
      <x:c r="S13" s="267" t="n">
        <x:f>SUM('CF'!AE6:'CF'!AG6)</x:f>
      </x:c>
      <x:c r="T13" s="267" t="n">
        <x:f>SUM('CF'!AE13:'CF'!AG13)</x:f>
      </x:c>
      <x:c r="U13" s="267" t="n">
        <x:f>MAX('CF'!AE19:'CF'!AG19)</x:f>
      </x:c>
      <x:c r="V13" s="267" t="n">
        <x:f>MAX('CF'!AE9:'CF'!AG9)</x:f>
      </x:c>
      <x:c r="W13" s="267"/>
      <x:c r="X13" s="267"/>
      <x:c r="Y13" s="267"/>
      <x:c r="Z13" s="267"/>
      <x:c r="AA13" s="267"/>
      <x:c r="AB13" s="267"/>
      <x:c r="AC13" s="267"/>
      <x:c r="AD13" s="267" t="str">
        <x:f>R13</x:f>
      </x:c>
      <x:c r="AE13" s="267" t="n">
        <x:f>U13</x:f>
      </x:c>
      <x:c r="AF13" s="267" t="n">
        <x:f>V13</x:f>
      </x:c>
    </x:row>
    <x:row r="14">
      <x:c r="R14" s="267" t="str">
        <x:f>TEXT('CF'!AH3,"yyyy")&amp;" Q"&amp;ROUNDUP(MONTH('CF'!AH3)/3,0)</x:f>
      </x:c>
      <x:c r="S14" s="267" t="n">
        <x:f>SUM('CF'!AH6:'CF'!AJ6)</x:f>
      </x:c>
      <x:c r="T14" s="267" t="n">
        <x:f>SUM('CF'!AH13:'CF'!AJ13)</x:f>
      </x:c>
      <x:c r="U14" s="267" t="n">
        <x:f>MAX('CF'!AH19:'CF'!AJ19)</x:f>
      </x:c>
      <x:c r="V14" s="267" t="n">
        <x:f>MAX('CF'!AH9:'CF'!AJ9)</x:f>
      </x:c>
      <x:c r="W14" s="267"/>
      <x:c r="X14" s="267"/>
      <x:c r="Y14" s="267"/>
      <x:c r="Z14" s="267"/>
      <x:c r="AA14" s="267"/>
      <x:c r="AB14" s="267"/>
      <x:c r="AC14" s="267"/>
      <x:c r="AD14" s="267" t="str">
        <x:f>R14</x:f>
      </x:c>
      <x:c r="AE14" s="267" t="n">
        <x:f>U14</x:f>
      </x:c>
      <x:c r="AF14" s="267" t="n">
        <x:f>V14</x:f>
      </x:c>
    </x:row>
    <x:row r="15" ht="21" customHeight="1">
      <x:c r="A15" s="52" t="str">
        <x:v>ДИНАМИКА ПРОЕКТА</x:v>
      </x:c>
      <x:c r="B15" s="53" t="str">
        <x:v>ДИНАМИКА ПРОЕКТА</x:v>
      </x:c>
      <x:c r="C15" s="53" t="str">
        <x:v>ДИНАМИКА ПРОЕКТА</x:v>
      </x:c>
      <x:c r="D15" s="53" t="str">
        <x:v>ДИНАМИКА ПРОЕКТА</x:v>
      </x:c>
      <x:c r="E15" s="53" t="str">
        <x:v>ДИНАМИКА ПРОЕКТА</x:v>
      </x:c>
      <x:c r="F15" s="53" t="str">
        <x:v>ДИНАМИКА ПРОЕКТА</x:v>
      </x:c>
      <x:c r="G15" s="53" t="str">
        <x:v>ДИНАМИКА ПРОЕКТА</x:v>
      </x:c>
      <x:c r="H15" s="53" t="str">
        <x:v>ДИНАМИКА ПРОЕКТА</x:v>
      </x:c>
      <x:c r="I15" s="53" t="str">
        <x:v>ДИНАМИКА ПРОЕКТА</x:v>
      </x:c>
      <x:c r="J15" s="53" t="str">
        <x:v>ДИНАМИКА ПРОЕКТА</x:v>
      </x:c>
      <x:c r="K15" s="53" t="str">
        <x:v>ДИНАМИКА ПРОЕКТА</x:v>
      </x:c>
      <x:c r="L15" s="53" t="str">
        <x:v>ДИНАМИКА ПРОЕКТА</x:v>
      </x:c>
      <x:c r="M15" s="53" t="str">
        <x:v>ДИНАМИКА ПРОЕКТА</x:v>
      </x:c>
      <x:c r="N15" s="53" t="str">
        <x:v>ДИНАМИКА ПРОЕКТА</x:v>
      </x:c>
      <x:c r="O15" s="53" t="str">
        <x:v>ДИНАМИКА ПРОЕКТА</x:v>
      </x:c>
      <x:c r="P15" s="54" t="str">
        <x:v>ДИНАМИКА ПРОЕКТА</x:v>
      </x:c>
      <x:c r="R15" s="267" t="str">
        <x:f>TEXT('CF'!AK3,"yyyy")&amp;" Q"&amp;ROUNDUP(MONTH('CF'!AK3)/3,0)</x:f>
      </x:c>
      <x:c r="S15" s="267" t="n">
        <x:f>SUM('CF'!AK6:'CF'!AM6)</x:f>
      </x:c>
      <x:c r="T15" s="267" t="n">
        <x:f>SUM('CF'!AK13:'CF'!AM13)</x:f>
      </x:c>
      <x:c r="U15" s="267" t="n">
        <x:f>MAX('CF'!AK19:'CF'!AM19)</x:f>
      </x:c>
      <x:c r="V15" s="267" t="n">
        <x:f>MAX('CF'!AK9:'CF'!AM9)</x:f>
      </x:c>
      <x:c r="W15" s="267"/>
      <x:c r="X15" s="267"/>
      <x:c r="Y15" s="267"/>
      <x:c r="Z15" s="267"/>
      <x:c r="AA15" s="267"/>
      <x:c r="AB15" s="267"/>
      <x:c r="AC15" s="267"/>
      <x:c r="AD15" s="267" t="str">
        <x:f>R15</x:f>
      </x:c>
      <x:c r="AE15" s="267" t="n">
        <x:f>U15</x:f>
      </x:c>
      <x:c r="AF15" s="267" t="n">
        <x:f>V15</x:f>
      </x:c>
    </x:row>
    <x:row r="16">
      <x:c r="R16" s="267" t="str">
        <x:f>TEXT('CF'!AN3,"yyyy")&amp;" Q"&amp;ROUNDUP(MONTH('CF'!AN3)/3,0)</x:f>
      </x:c>
      <x:c r="S16" s="267" t="n">
        <x:f>SUM('CF'!AN6:'CF'!AP6)</x:f>
      </x:c>
      <x:c r="T16" s="267" t="n">
        <x:f>SUM('CF'!AN13:'CF'!AP13)</x:f>
      </x:c>
      <x:c r="U16" s="267" t="n">
        <x:f>MAX('CF'!AN19:'CF'!AP19)</x:f>
      </x:c>
      <x:c r="V16" s="267" t="n">
        <x:f>MAX('CF'!AN9:'CF'!AP9)</x:f>
      </x:c>
      <x:c r="W16" s="267"/>
      <x:c r="X16" s="267"/>
      <x:c r="Y16" s="267"/>
      <x:c r="Z16" s="267"/>
      <x:c r="AA16" s="267"/>
      <x:c r="AB16" s="267"/>
      <x:c r="AC16" s="267"/>
      <x:c r="AD16" s="267" t="str">
        <x:f>R16</x:f>
      </x:c>
      <x:c r="AE16" s="267" t="n">
        <x:f>U16</x:f>
      </x:c>
      <x:c r="AF16" s="267" t="n">
        <x:f>V16</x:f>
      </x:c>
    </x:row>
    <x:row r="17">
      <x:c r="R17" s="267" t="str">
        <x:f>TEXT('CF'!AQ3,"yyyy")&amp;" Q"&amp;ROUNDUP(MONTH('CF'!AQ3)/3,0)</x:f>
      </x:c>
      <x:c r="S17" s="267" t="n">
        <x:f>SUM('CF'!AQ6:'CF'!AS6)</x:f>
      </x:c>
      <x:c r="T17" s="267" t="n">
        <x:f>SUM('CF'!AQ13:'CF'!AS13)</x:f>
      </x:c>
      <x:c r="U17" s="267" t="n">
        <x:f>MAX('CF'!AQ19:'CF'!AS19)</x:f>
      </x:c>
      <x:c r="V17" s="267" t="n">
        <x:f>MAX('CF'!AQ9:'CF'!AS9)</x:f>
      </x:c>
      <x:c r="W17" s="267"/>
      <x:c r="X17" s="267"/>
      <x:c r="Y17" s="267"/>
      <x:c r="Z17" s="267"/>
      <x:c r="AA17" s="267"/>
      <x:c r="AB17" s="267"/>
      <x:c r="AC17" s="267"/>
      <x:c r="AD17" s="267" t="str">
        <x:f>R17</x:f>
      </x:c>
      <x:c r="AE17" s="267" t="n">
        <x:f>U17</x:f>
      </x:c>
      <x:c r="AF17" s="267" t="n">
        <x:f>V17</x:f>
      </x:c>
    </x:row>
    <x:row r="18">
      <x:c r="R18" s="267" t="str">
        <x:f>TEXT('CF'!AT3,"yyyy")&amp;" Q"&amp;ROUNDUP(MONTH('CF'!AT3)/3,0)</x:f>
      </x:c>
      <x:c r="S18" s="267" t="n">
        <x:f>SUM('CF'!AT6:'CF'!AV6)</x:f>
      </x:c>
      <x:c r="T18" s="267" t="n">
        <x:f>SUM('CF'!AT13:'CF'!AV13)</x:f>
      </x:c>
      <x:c r="U18" s="267" t="n">
        <x:f>MAX('CF'!AT19:'CF'!AV19)</x:f>
      </x:c>
      <x:c r="V18" s="267" t="n">
        <x:f>MAX('CF'!AT9:'CF'!AV9)</x:f>
      </x:c>
      <x:c r="W18" s="267"/>
      <x:c r="X18" s="267"/>
      <x:c r="Y18" s="267"/>
      <x:c r="Z18" s="267"/>
      <x:c r="AA18" s="267"/>
      <x:c r="AB18" s="267"/>
      <x:c r="AC18" s="267"/>
      <x:c r="AD18" s="267" t="str">
        <x:f>R18</x:f>
      </x:c>
      <x:c r="AE18" s="267" t="n">
        <x:f>U18</x:f>
      </x:c>
      <x:c r="AF18" s="267" t="n">
        <x:f>V18</x:f>
      </x:c>
    </x:row>
    <x:row r="19">
      <x:c r="R19" s="267" t="str">
        <x:f>TEXT('CF'!AW3,"yyyy")&amp;" Q"&amp;ROUNDUP(MONTH('CF'!AW3)/3,0)</x:f>
      </x:c>
      <x:c r="S19" s="267" t="n">
        <x:f>SUM('CF'!AW6:'CF'!AY6)</x:f>
      </x:c>
      <x:c r="T19" s="267" t="n">
        <x:f>SUM('CF'!AW13:'CF'!AY13)</x:f>
      </x:c>
      <x:c r="U19" s="267" t="n">
        <x:f>MAX('CF'!AW19:'CF'!AY19)</x:f>
      </x:c>
      <x:c r="V19" s="267" t="n">
        <x:f>MAX('CF'!AW9:'CF'!AY9)</x:f>
      </x:c>
      <x:c r="W19" s="267"/>
      <x:c r="X19" s="267"/>
      <x:c r="Y19" s="267"/>
      <x:c r="Z19" s="267"/>
      <x:c r="AA19" s="267"/>
      <x:c r="AB19" s="267"/>
      <x:c r="AC19" s="267"/>
      <x:c r="AD19" s="267" t="str">
        <x:f>R19</x:f>
      </x:c>
      <x:c r="AE19" s="267" t="n">
        <x:f>U19</x:f>
      </x:c>
      <x:c r="AF19" s="267" t="n">
        <x:f>V19</x:f>
      </x:c>
    </x:row>
    <x:row r="20">
      <x:c r="R20" s="267" t="str">
        <x:f>TEXT('CF'!AZ3,"yyyy")&amp;" Q"&amp;ROUNDUP(MONTH('CF'!AZ3)/3,0)</x:f>
      </x:c>
      <x:c r="S20" s="267" t="n">
        <x:f>SUM('CF'!AZ6:'CF'!BB6)</x:f>
      </x:c>
      <x:c r="T20" s="267" t="n">
        <x:f>SUM('CF'!AZ13:'CF'!BB13)</x:f>
      </x:c>
      <x:c r="U20" s="267" t="n">
        <x:f>MAX('CF'!AZ19:'CF'!BB19)</x:f>
      </x:c>
      <x:c r="V20" s="267" t="n">
        <x:f>MAX('CF'!AZ9:'CF'!BB9)</x:f>
      </x:c>
      <x:c r="W20" s="267"/>
      <x:c r="X20" s="267"/>
      <x:c r="Y20" s="267"/>
      <x:c r="Z20" s="267"/>
      <x:c r="AA20" s="267"/>
      <x:c r="AB20" s="267"/>
      <x:c r="AC20" s="267"/>
      <x:c r="AD20" s="267" t="str">
        <x:f>R20</x:f>
      </x:c>
      <x:c r="AE20" s="267" t="n">
        <x:f>U20</x:f>
      </x:c>
      <x:c r="AF20" s="267" t="n">
        <x:f>V20</x:f>
      </x:c>
    </x:row>
    <x:row r="21">
      <x:c r="R21" s="267" t="str">
        <x:f>TEXT('CF'!BC3,"yyyy")&amp;" Q"&amp;ROUNDUP(MONTH('CF'!BC3)/3,0)</x:f>
      </x:c>
      <x:c r="S21" s="267" t="n">
        <x:f>SUM('CF'!BC6:'CF'!BE6)</x:f>
      </x:c>
      <x:c r="T21" s="267" t="n">
        <x:f>SUM('CF'!BC13:'CF'!BE13)</x:f>
      </x:c>
      <x:c r="U21" s="267" t="n">
        <x:f>MAX('CF'!BC19:'CF'!BE19)</x:f>
      </x:c>
      <x:c r="V21" s="267" t="n">
        <x:f>MAX('CF'!BC9:'CF'!BE9)</x:f>
      </x:c>
      <x:c r="W21" s="267"/>
      <x:c r="X21" s="267"/>
      <x:c r="Y21" s="267"/>
      <x:c r="Z21" s="267"/>
      <x:c r="AA21" s="267"/>
      <x:c r="AB21" s="267"/>
      <x:c r="AC21" s="267"/>
      <x:c r="AD21" s="267" t="str">
        <x:f>R21</x:f>
      </x:c>
      <x:c r="AE21" s="267" t="n">
        <x:f>U21</x:f>
      </x:c>
      <x:c r="AF21" s="267" t="n">
        <x:f>V21</x:f>
      </x:c>
    </x:row>
    <x:row r="22">
      <x:c r="R22" s="267" t="str">
        <x:f>TEXT('CF'!BF3,"yyyy")&amp;" Q"&amp;ROUNDUP(MONTH('CF'!BF3)/3,0)</x:f>
      </x:c>
      <x:c r="S22" s="267" t="n">
        <x:f>SUM('CF'!BF6:'CF'!BH6)</x:f>
      </x:c>
      <x:c r="T22" s="267" t="n">
        <x:f>SUM('CF'!BF13:'CF'!BH13)</x:f>
      </x:c>
      <x:c r="U22" s="267" t="n">
        <x:f>MAX('CF'!BF19:'CF'!BH19)</x:f>
      </x:c>
      <x:c r="V22" s="267" t="n">
        <x:f>MAX('CF'!BF9:'CF'!BH9)</x:f>
      </x:c>
      <x:c r="W22" s="267"/>
      <x:c r="X22" s="267"/>
      <x:c r="Y22" s="267"/>
      <x:c r="Z22" s="267"/>
      <x:c r="AA22" s="267"/>
      <x:c r="AB22" s="267"/>
      <x:c r="AC22" s="267"/>
      <x:c r="AD22" s="267" t="str">
        <x:f>R22</x:f>
      </x:c>
      <x:c r="AE22" s="267" t="n">
        <x:f>U22</x:f>
      </x:c>
      <x:c r="AF22" s="267" t="n">
        <x:f>V22</x:f>
      </x:c>
    </x:row>
    <x:row r="23">
      <x:c r="R23" s="267" t="str">
        <x:f>TEXT('CF'!BI3,"yyyy")&amp;" Q"&amp;ROUNDUP(MONTH('CF'!BI3)/3,0)</x:f>
      </x:c>
      <x:c r="S23" s="267" t="n">
        <x:f>SUM('CF'!BI6:'CF'!BK6)</x:f>
      </x:c>
      <x:c r="T23" s="267" t="n">
        <x:f>SUM('CF'!BI13:'CF'!BK13)</x:f>
      </x:c>
      <x:c r="U23" s="267" t="n">
        <x:f>MAX('CF'!BI19:'CF'!BK19)</x:f>
      </x:c>
      <x:c r="V23" s="267" t="n">
        <x:f>MAX('CF'!BI9:'CF'!BK9)</x:f>
      </x:c>
      <x:c r="W23" s="267"/>
      <x:c r="X23" s="267"/>
      <x:c r="Y23" s="267"/>
      <x:c r="Z23" s="267"/>
      <x:c r="AA23" s="267"/>
      <x:c r="AB23" s="267"/>
      <x:c r="AC23" s="267"/>
      <x:c r="AD23" s="267" t="str">
        <x:f>R23</x:f>
      </x:c>
      <x:c r="AE23" s="267" t="n">
        <x:f>U23</x:f>
      </x:c>
      <x:c r="AF23" s="267" t="n">
        <x:f>V23</x:f>
      </x:c>
    </x:row>
    <x:row r="24">
      <x:c r="R24" s="267" t="str">
        <x:f>TEXT('CF'!BL3,"yyyy")&amp;" Q"&amp;ROUNDUP(MONTH('CF'!BL3)/3,0)</x:f>
      </x:c>
      <x:c r="S24" s="267" t="n">
        <x:f>SUM('CF'!BL6:'CF'!BN6)</x:f>
      </x:c>
      <x:c r="T24" s="267" t="n">
        <x:f>SUM('CF'!BL13:'CF'!BN13)</x:f>
      </x:c>
      <x:c r="U24" s="267" t="n">
        <x:f>MAX('CF'!BL19:'CF'!BN19)</x:f>
      </x:c>
      <x:c r="V24" s="267" t="n">
        <x:f>MAX('CF'!BL9:'CF'!BN9)</x:f>
      </x:c>
      <x:c r="W24" s="267"/>
      <x:c r="X24" s="267"/>
      <x:c r="Y24" s="267"/>
      <x:c r="Z24" s="267"/>
      <x:c r="AA24" s="267"/>
      <x:c r="AB24" s="267"/>
      <x:c r="AC24" s="267"/>
      <x:c r="AD24" s="267" t="str">
        <x:f>R24</x:f>
      </x:c>
      <x:c r="AE24" s="267" t="n">
        <x:f>U24</x:f>
      </x:c>
      <x:c r="AF24" s="267" t="n">
        <x:f>V24</x:f>
      </x:c>
    </x:row>
    <x:row r="25">
      <x:c r="R25" s="267" t="str">
        <x:f>TEXT('CF'!BO3,"yyyy")&amp;" Q"&amp;ROUNDUP(MONTH('CF'!BO3)/3,0)</x:f>
      </x:c>
      <x:c r="S25" s="267" t="n">
        <x:f>SUM('CF'!BO6:'CF'!BQ6)</x:f>
      </x:c>
      <x:c r="T25" s="267" t="n">
        <x:f>SUM('CF'!BO13:'CF'!BQ13)</x:f>
      </x:c>
      <x:c r="U25" s="267" t="n">
        <x:f>MAX('CF'!BO19:'CF'!BQ19)</x:f>
      </x:c>
      <x:c r="V25" s="267" t="n">
        <x:f>MAX('CF'!BO9:'CF'!BQ9)</x:f>
      </x:c>
      <x:c r="W25" s="267"/>
      <x:c r="X25" s="267"/>
      <x:c r="Y25" s="267"/>
      <x:c r="Z25" s="267"/>
      <x:c r="AA25" s="267"/>
      <x:c r="AB25" s="267"/>
      <x:c r="AC25" s="267"/>
      <x:c r="AD25" s="267" t="str">
        <x:f>R25</x:f>
      </x:c>
      <x:c r="AE25" s="267" t="n">
        <x:f>U25</x:f>
      </x:c>
      <x:c r="AF25" s="267" t="n">
        <x:f>V25</x:f>
      </x:c>
    </x:row>
    <x:row r="26">
      <x:c r="R26" s="267" t="str">
        <x:f>TEXT('CF'!BR3,"yyyy")&amp;" Q"&amp;ROUNDUP(MONTH('CF'!BR3)/3,0)</x:f>
      </x:c>
      <x:c r="S26" s="267" t="n">
        <x:f>SUM('CF'!BR6:'CF'!BT6)</x:f>
      </x:c>
      <x:c r="T26" s="267" t="n">
        <x:f>SUM('CF'!BR13:'CF'!BT13)</x:f>
      </x:c>
      <x:c r="U26" s="267" t="n">
        <x:f>MAX('CF'!BR19:'CF'!BT19)</x:f>
      </x:c>
      <x:c r="V26" s="267" t="n">
        <x:f>MAX('CF'!BR9:'CF'!BT9)</x:f>
      </x:c>
      <x:c r="W26" s="267"/>
      <x:c r="X26" s="267"/>
      <x:c r="Y26" s="267"/>
      <x:c r="Z26" s="267"/>
      <x:c r="AA26" s="267"/>
      <x:c r="AB26" s="267"/>
      <x:c r="AC26" s="267"/>
      <x:c r="AD26" s="267" t="str">
        <x:f>R26</x:f>
      </x:c>
      <x:c r="AE26" s="267" t="n">
        <x:f>U26</x:f>
      </x:c>
      <x:c r="AF26" s="267" t="n">
        <x:f>V26</x:f>
      </x:c>
    </x:row>
    <x:row r="27">
      <x:c r="R27" s="267" t="str">
        <x:f>TEXT('CF'!BU3,"yyyy")&amp;" Q"&amp;ROUNDUP(MONTH('CF'!BU3)/3,0)</x:f>
      </x:c>
      <x:c r="S27" s="267" t="n">
        <x:f>SUM('CF'!BU6:'CF'!BW6)</x:f>
      </x:c>
      <x:c r="T27" s="267" t="n">
        <x:f>SUM('CF'!BU13:'CF'!BW13)</x:f>
      </x:c>
      <x:c r="U27" s="267" t="n">
        <x:f>MAX('CF'!BU19:'CF'!BW19)</x:f>
      </x:c>
      <x:c r="V27" s="267" t="n">
        <x:f>MAX('CF'!BU9:'CF'!BW9)</x:f>
      </x:c>
      <x:c r="W27" s="267"/>
      <x:c r="X27" s="267"/>
      <x:c r="Y27" s="267"/>
      <x:c r="Z27" s="267"/>
      <x:c r="AA27" s="267"/>
      <x:c r="AB27" s="267"/>
      <x:c r="AC27" s="267"/>
      <x:c r="AD27" s="267" t="str">
        <x:f>R27</x:f>
      </x:c>
      <x:c r="AE27" s="267" t="n">
        <x:f>U27</x:f>
      </x:c>
      <x:c r="AF27" s="267" t="n">
        <x:f>V27</x:f>
      </x:c>
    </x:row>
    <x:row r="28">
      <x:c r="R28" s="267" t="str">
        <x:f>TEXT('CF'!BX3,"yyyy")&amp;" Q"&amp;ROUNDUP(MONTH('CF'!BX3)/3,0)</x:f>
      </x:c>
      <x:c r="S28" s="267" t="n">
        <x:f>SUM('CF'!BX6:'CF'!BZ6)</x:f>
      </x:c>
      <x:c r="T28" s="267" t="n">
        <x:f>SUM('CF'!BX13:'CF'!BZ13)</x:f>
      </x:c>
      <x:c r="U28" s="267" t="n">
        <x:f>MAX('CF'!BX19:'CF'!BZ19)</x:f>
      </x:c>
      <x:c r="V28" s="267" t="n">
        <x:f>MAX('CF'!BX9:'CF'!BZ9)</x:f>
      </x:c>
      <x:c r="W28" s="267"/>
      <x:c r="X28" s="267"/>
      <x:c r="Y28" s="267"/>
      <x:c r="Z28" s="267"/>
      <x:c r="AA28" s="267"/>
      <x:c r="AB28" s="267"/>
      <x:c r="AC28" s="267"/>
      <x:c r="AD28" s="267" t="str">
        <x:f>R28</x:f>
      </x:c>
      <x:c r="AE28" s="267" t="n">
        <x:f>U28</x:f>
      </x:c>
      <x:c r="AF28" s="267" t="n">
        <x:f>V28</x:f>
      </x:c>
    </x:row>
    <x:row r="29">
      <x:c r="R29" s="267" t="str">
        <x:f>TEXT('CF'!CA3,"yyyy")&amp;" Q"&amp;ROUNDUP(MONTH('CF'!CA3)/3,0)</x:f>
      </x:c>
      <x:c r="S29" s="267" t="n">
        <x:f>SUM('CF'!CA6:'CF'!CC6)</x:f>
      </x:c>
      <x:c r="T29" s="267" t="n">
        <x:f>SUM('CF'!CA13:'CF'!CC13)</x:f>
      </x:c>
      <x:c r="U29" s="267" t="n">
        <x:f>MAX('CF'!CA19:'CF'!CC19)</x:f>
      </x:c>
      <x:c r="V29" s="267" t="n">
        <x:f>MAX('CF'!CA9:'CF'!CC9)</x:f>
      </x:c>
      <x:c r="W29" s="267"/>
      <x:c r="X29" s="267"/>
      <x:c r="Y29" s="267"/>
      <x:c r="Z29" s="267"/>
      <x:c r="AA29" s="267"/>
      <x:c r="AB29" s="267"/>
      <x:c r="AC29" s="267"/>
      <x:c r="AD29" s="267" t="str">
        <x:f>R29</x:f>
      </x:c>
      <x:c r="AE29" s="267" t="n">
        <x:f>U29</x:f>
      </x:c>
      <x:c r="AF29" s="267" t="n">
        <x:f>V29</x:f>
      </x:c>
    </x:row>
    <x:row r="30">
      <x:c r="R30" s="267" t="str">
        <x:f>TEXT('CF'!CD3,"yyyy")&amp;" Q"&amp;ROUNDUP(MONTH('CF'!CD3)/3,0)</x:f>
      </x:c>
      <x:c r="S30" s="267" t="n">
        <x:f>SUM('CF'!CD6:'CF'!CF6)</x:f>
      </x:c>
      <x:c r="T30" s="267" t="n">
        <x:f>SUM('CF'!CD13:'CF'!CF13)</x:f>
      </x:c>
      <x:c r="U30" s="267" t="n">
        <x:f>MAX('CF'!CD19:'CF'!CF19)</x:f>
      </x:c>
      <x:c r="V30" s="267" t="n">
        <x:f>MAX('CF'!CD9:'CF'!CF9)</x:f>
      </x:c>
      <x:c r="W30" s="267"/>
      <x:c r="X30" s="267"/>
      <x:c r="Y30" s="267"/>
      <x:c r="Z30" s="267"/>
      <x:c r="AA30" s="267"/>
      <x:c r="AB30" s="267"/>
      <x:c r="AC30" s="267"/>
      <x:c r="AD30" s="267" t="str">
        <x:f>R30</x:f>
      </x:c>
      <x:c r="AE30" s="267" t="n">
        <x:f>U30</x:f>
      </x:c>
      <x:c r="AF30" s="267" t="n">
        <x:f>V30</x:f>
      </x:c>
    </x:row>
    <x:row r="31">
      <x:c r="R31" s="267" t="str">
        <x:f>TEXT('CF'!CG3,"yyyy")&amp;" Q"&amp;ROUNDUP(MONTH('CF'!CG3)/3,0)</x:f>
      </x:c>
      <x:c r="S31" s="267" t="n">
        <x:f>SUM('CF'!CG6:'CF'!CI6)</x:f>
      </x:c>
      <x:c r="T31" s="267" t="n">
        <x:f>SUM('CF'!CG13:'CF'!CI13)</x:f>
      </x:c>
      <x:c r="U31" s="267" t="n">
        <x:f>MAX('CF'!CG19:'CF'!CI19)</x:f>
      </x:c>
      <x:c r="V31" s="267" t="n">
        <x:f>MAX('CF'!CG9:'CF'!CI9)</x:f>
      </x:c>
      <x:c r="W31" s="267"/>
      <x:c r="X31" s="267"/>
      <x:c r="Y31" s="267"/>
      <x:c r="Z31" s="267"/>
      <x:c r="AA31" s="267"/>
      <x:c r="AB31" s="267"/>
      <x:c r="AC31" s="267"/>
      <x:c r="AD31" s="267" t="str">
        <x:f>R31</x:f>
      </x:c>
      <x:c r="AE31" s="267" t="n">
        <x:f>U31</x:f>
      </x:c>
      <x:c r="AF31" s="267" t="n">
        <x:f>V31</x:f>
      </x:c>
    </x:row>
    <x:row r="32">
      <x:c r="R32" s="267" t="str">
        <x:f>TEXT('CF'!CJ3,"yyyy")&amp;" Q"&amp;ROUNDUP(MONTH('CF'!CJ3)/3,0)</x:f>
      </x:c>
      <x:c r="S32" s="267" t="n">
        <x:f>SUM('CF'!CJ6:'CF'!CL6)</x:f>
      </x:c>
      <x:c r="T32" s="267" t="n">
        <x:f>SUM('CF'!CJ13:'CF'!CL13)</x:f>
      </x:c>
      <x:c r="U32" s="267" t="n">
        <x:f>MAX('CF'!CJ19:'CF'!CL19)</x:f>
      </x:c>
      <x:c r="V32" s="267" t="n">
        <x:f>MAX('CF'!CJ9:'CF'!CL9)</x:f>
      </x:c>
      <x:c r="W32" s="267"/>
      <x:c r="X32" s="267"/>
      <x:c r="Y32" s="267"/>
      <x:c r="Z32" s="267"/>
      <x:c r="AA32" s="267"/>
      <x:c r="AB32" s="267"/>
      <x:c r="AC32" s="267"/>
      <x:c r="AD32" s="267" t="str">
        <x:f>R32</x:f>
      </x:c>
      <x:c r="AE32" s="267" t="n">
        <x:f>U32</x:f>
      </x:c>
      <x:c r="AF32" s="267" t="n">
        <x:f>V32</x:f>
      </x:c>
    </x:row>
    <x:row r="33">
      <x:c r="R33" s="267" t="str">
        <x:f>TEXT('CF'!CM3,"yyyy")&amp;" Q"&amp;ROUNDUP(MONTH('CF'!CM3)/3,0)</x:f>
      </x:c>
      <x:c r="S33" s="267" t="n">
        <x:f>SUM('CF'!CM6:'CF'!CO6)</x:f>
      </x:c>
      <x:c r="T33" s="267" t="n">
        <x:f>SUM('CF'!CM13:'CF'!CO13)</x:f>
      </x:c>
      <x:c r="U33" s="267" t="n">
        <x:f>MAX('CF'!CM19:'CF'!CO19)</x:f>
      </x:c>
      <x:c r="V33" s="267" t="n">
        <x:f>MAX('CF'!CM9:'CF'!CO9)</x:f>
      </x:c>
      <x:c r="W33" s="267"/>
      <x:c r="X33" s="267"/>
      <x:c r="Y33" s="267"/>
      <x:c r="Z33" s="267"/>
      <x:c r="AA33" s="267"/>
      <x:c r="AB33" s="267"/>
      <x:c r="AC33" s="267"/>
      <x:c r="AD33" s="267" t="str">
        <x:f>R33</x:f>
      </x:c>
      <x:c r="AE33" s="267" t="n">
        <x:f>U33</x:f>
      </x:c>
      <x:c r="AF33" s="267" t="n">
        <x:f>V33</x:f>
      </x:c>
    </x:row>
    <x:row r="34">
      <x:c r="R34" s="267" t="str">
        <x:f>TEXT('CF'!CP3,"yyyy")&amp;" Q"&amp;ROUNDUP(MONTH('CF'!CP3)/3,0)</x:f>
      </x:c>
      <x:c r="S34" s="267" t="n">
        <x:f>SUM('CF'!CP6:'CF'!CR6)</x:f>
      </x:c>
      <x:c r="T34" s="267" t="n">
        <x:f>SUM('CF'!CP13:'CF'!CR13)</x:f>
      </x:c>
      <x:c r="U34" s="267" t="n">
        <x:f>MAX('CF'!CP19:'CF'!CR19)</x:f>
      </x:c>
      <x:c r="V34" s="267" t="n">
        <x:f>MAX('CF'!CP9:'CF'!CR9)</x:f>
      </x:c>
      <x:c r="W34" s="267"/>
      <x:c r="X34" s="267"/>
      <x:c r="Y34" s="267"/>
      <x:c r="Z34" s="267"/>
      <x:c r="AA34" s="267"/>
      <x:c r="AB34" s="267"/>
      <x:c r="AC34" s="267"/>
      <x:c r="AD34" s="267" t="str">
        <x:f>R34</x:f>
      </x:c>
      <x:c r="AE34" s="267" t="n">
        <x:f>U34</x:f>
      </x:c>
      <x:c r="AF34" s="267" t="n">
        <x:f>V34</x:f>
      </x:c>
    </x:row>
    <x:row r="35">
      <x:c r="R35" s="267" t="str">
        <x:f>TEXT('CF'!CS3,"yyyy")&amp;" Q"&amp;ROUNDUP(MONTH('CF'!CS3)/3,0)</x:f>
      </x:c>
      <x:c r="S35" s="267" t="n">
        <x:f>SUM('CF'!CS6:'CF'!CU6)</x:f>
      </x:c>
      <x:c r="T35" s="267" t="n">
        <x:f>SUM('CF'!CS13:'CF'!CU13)</x:f>
      </x:c>
      <x:c r="U35" s="267" t="n">
        <x:f>MAX('CF'!CS19:'CF'!CU19)</x:f>
      </x:c>
      <x:c r="V35" s="267" t="n">
        <x:f>MAX('CF'!CS9:'CF'!CU9)</x:f>
      </x:c>
      <x:c r="W35" s="267"/>
      <x:c r="X35" s="267"/>
      <x:c r="Y35" s="267"/>
      <x:c r="Z35" s="267"/>
      <x:c r="AA35" s="267"/>
      <x:c r="AB35" s="267"/>
      <x:c r="AC35" s="267"/>
      <x:c r="AD35" s="267" t="str">
        <x:f>R35</x:f>
      </x:c>
      <x:c r="AE35" s="267" t="n">
        <x:f>U35</x:f>
      </x:c>
      <x:c r="AF35" s="267" t="n">
        <x:f>V35</x:f>
      </x:c>
    </x:row>
    <x:row r="36">
      <x:c r="R36" s="267" t="str">
        <x:f>TEXT('CF'!CV3,"yyyy")&amp;" Q"&amp;ROUNDUP(MONTH('CF'!CV3)/3,0)</x:f>
      </x:c>
      <x:c r="S36" s="267" t="n">
        <x:f>SUM('CF'!CV6:'CF'!CX6)</x:f>
      </x:c>
      <x:c r="T36" s="267" t="n">
        <x:f>SUM('CF'!CV13:'CF'!CX13)</x:f>
      </x:c>
      <x:c r="U36" s="267" t="n">
        <x:f>MAX('CF'!CV19:'CF'!CX19)</x:f>
      </x:c>
      <x:c r="V36" s="267" t="n">
        <x:f>MAX('CF'!CV9:'CF'!CX9)</x:f>
      </x:c>
      <x:c r="W36" s="267"/>
      <x:c r="X36" s="267"/>
      <x:c r="Y36" s="267"/>
      <x:c r="Z36" s="267"/>
      <x:c r="AA36" s="267"/>
      <x:c r="AB36" s="267"/>
      <x:c r="AC36" s="267"/>
      <x:c r="AD36" s="267" t="str">
        <x:f>R36</x:f>
      </x:c>
      <x:c r="AE36" s="267" t="n">
        <x:f>U36</x:f>
      </x:c>
      <x:c r="AF36" s="267" t="n">
        <x:f>V36</x:f>
      </x:c>
    </x:row>
    <x:row r="37">
      <x:c r="R37" s="267" t="str">
        <x:f>TEXT('CF'!CY3,"yyyy")&amp;" Q"&amp;ROUNDUP(MONTH('CF'!CY3)/3,0)</x:f>
      </x:c>
      <x:c r="S37" s="267" t="n">
        <x:f>SUM('CF'!CY6:'CF'!DA6)</x:f>
      </x:c>
      <x:c r="T37" s="267" t="n">
        <x:f>SUM('CF'!CY13:'CF'!DA13)</x:f>
      </x:c>
      <x:c r="U37" s="267" t="n">
        <x:f>MAX('CF'!CY19:'CF'!DA19)</x:f>
      </x:c>
      <x:c r="V37" s="267" t="n">
        <x:f>MAX('CF'!CY9:'CF'!DA9)</x:f>
      </x:c>
      <x:c r="W37" s="267"/>
      <x:c r="X37" s="267"/>
      <x:c r="Y37" s="267"/>
      <x:c r="Z37" s="267"/>
      <x:c r="AA37" s="267"/>
      <x:c r="AB37" s="267"/>
      <x:c r="AC37" s="267"/>
      <x:c r="AD37" s="267" t="str">
        <x:f>R37</x:f>
      </x:c>
      <x:c r="AE37" s="267" t="n">
        <x:f>U37</x:f>
      </x:c>
      <x:c r="AF37" s="267" t="n">
        <x:f>V37</x:f>
      </x:c>
    </x:row>
    <x:row r="38">
      <x:c r="R38" s="267" t="str">
        <x:f>TEXT('CF'!DB3,"yyyy")&amp;" Q"&amp;ROUNDUP(MONTH('CF'!DB3)/3,0)</x:f>
      </x:c>
      <x:c r="S38" s="267" t="n">
        <x:f>SUM('CF'!DB6:'CF'!DD6)</x:f>
      </x:c>
      <x:c r="T38" s="267" t="n">
        <x:f>SUM('CF'!DB13:'CF'!DD13)</x:f>
      </x:c>
      <x:c r="U38" s="267" t="n">
        <x:f>MAX('CF'!DB19:'CF'!DD19)</x:f>
      </x:c>
      <x:c r="V38" s="267" t="n">
        <x:f>MAX('CF'!DB9:'CF'!DD9)</x:f>
      </x:c>
      <x:c r="W38" s="267"/>
      <x:c r="X38" s="267"/>
      <x:c r="Y38" s="267"/>
      <x:c r="Z38" s="267"/>
      <x:c r="AA38" s="267"/>
      <x:c r="AB38" s="267"/>
      <x:c r="AC38" s="267"/>
      <x:c r="AD38" s="267" t="str">
        <x:f>R38</x:f>
      </x:c>
      <x:c r="AE38" s="267" t="n">
        <x:f>U38</x:f>
      </x:c>
      <x:c r="AF38" s="267" t="n">
        <x:f>V38</x:f>
      </x:c>
    </x:row>
    <x:row r="39">
      <x:c r="R39" s="267" t="str">
        <x:f>TEXT('CF'!DE3,"yyyy")&amp;" Q"&amp;ROUNDUP(MONTH('CF'!DE3)/3,0)</x:f>
      </x:c>
      <x:c r="S39" s="267" t="n">
        <x:f>SUM('CF'!DE6:'CF'!DG6)</x:f>
      </x:c>
      <x:c r="T39" s="267" t="n">
        <x:f>SUM('CF'!DE13:'CF'!DG13)</x:f>
      </x:c>
      <x:c r="U39" s="267" t="n">
        <x:f>MAX('CF'!DE19:'CF'!DG19)</x:f>
      </x:c>
      <x:c r="V39" s="267" t="n">
        <x:f>MAX('CF'!DE9:'CF'!DG9)</x:f>
      </x:c>
      <x:c r="W39" s="267"/>
      <x:c r="X39" s="267"/>
      <x:c r="Y39" s="267"/>
      <x:c r="Z39" s="267"/>
      <x:c r="AA39" s="267"/>
      <x:c r="AB39" s="267"/>
      <x:c r="AC39" s="267"/>
      <x:c r="AD39" s="267" t="str">
        <x:f>R39</x:f>
      </x:c>
      <x:c r="AE39" s="267" t="n">
        <x:f>U39</x:f>
      </x:c>
      <x:c r="AF39" s="267" t="n">
        <x:f>V39</x:f>
      </x:c>
    </x:row>
    <x:row r="40">
      <x:c r="R40" s="267" t="str">
        <x:f>TEXT('CF'!DH3,"yyyy")&amp;" Q"&amp;ROUNDUP(MONTH('CF'!DH3)/3,0)</x:f>
      </x:c>
      <x:c r="S40" s="267" t="n">
        <x:f>SUM('CF'!DH6:'CF'!DJ6)</x:f>
      </x:c>
      <x:c r="T40" s="267" t="n">
        <x:f>SUM('CF'!DH13:'CF'!DJ13)</x:f>
      </x:c>
      <x:c r="U40" s="267" t="n">
        <x:f>MAX('CF'!DH19:'CF'!DJ19)</x:f>
      </x:c>
      <x:c r="V40" s="267" t="n">
        <x:f>MAX('CF'!DH9:'CF'!DJ9)</x:f>
      </x:c>
      <x:c r="W40" s="267"/>
      <x:c r="X40" s="267"/>
      <x:c r="Y40" s="267"/>
      <x:c r="Z40" s="267"/>
      <x:c r="AA40" s="267"/>
      <x:c r="AB40" s="267"/>
      <x:c r="AC40" s="267"/>
      <x:c r="AD40" s="267" t="str">
        <x:f>R40</x:f>
      </x:c>
      <x:c r="AE40" s="267" t="n">
        <x:f>U40</x:f>
      </x:c>
      <x:c r="AF40" s="267" t="n">
        <x:f>V40</x:f>
      </x:c>
    </x:row>
    <x:row r="41">
      <x:c r="R41" s="267" t="str">
        <x:f>TEXT('CF'!DK3,"yyyy")&amp;" Q"&amp;ROUNDUP(MONTH('CF'!DK3)/3,0)</x:f>
      </x:c>
      <x:c r="S41" s="267" t="n">
        <x:f>SUM('CF'!DK6:'CF'!DM6)</x:f>
      </x:c>
      <x:c r="T41" s="267" t="n">
        <x:f>SUM('CF'!DK13:'CF'!DM13)</x:f>
      </x:c>
      <x:c r="U41" s="267" t="n">
        <x:f>MAX('CF'!DK19:'CF'!DM19)</x:f>
      </x:c>
      <x:c r="V41" s="267" t="n">
        <x:f>MAX('CF'!DK9:'CF'!DM9)</x:f>
      </x:c>
      <x:c r="W41" s="267"/>
      <x:c r="X41" s="267"/>
      <x:c r="Y41" s="267"/>
      <x:c r="Z41" s="267"/>
      <x:c r="AA41" s="267"/>
      <x:c r="AB41" s="267"/>
      <x:c r="AC41" s="267"/>
      <x:c r="AD41" s="267" t="str">
        <x:f>R41</x:f>
      </x:c>
      <x:c r="AE41" s="267" t="n">
        <x:f>U41</x:f>
      </x:c>
      <x:c r="AF41" s="267" t="n">
        <x:f>V41</x:f>
      </x:c>
    </x:row>
    <x:row r="42">
      <x:c r="R42" s="267" t="str">
        <x:f>TEXT('CF'!DN3,"yyyy")&amp;" Q"&amp;ROUNDUP(MONTH('CF'!DN3)/3,0)</x:f>
      </x:c>
      <x:c r="S42" s="267" t="n">
        <x:f>SUM('CF'!DN6:'CF'!DP6)</x:f>
      </x:c>
      <x:c r="T42" s="267" t="n">
        <x:f>SUM('CF'!DN13:'CF'!DP13)</x:f>
      </x:c>
      <x:c r="U42" s="267" t="n">
        <x:f>MAX('CF'!DN19:'CF'!DP19)</x:f>
      </x:c>
      <x:c r="V42" s="267" t="n">
        <x:f>MAX('CF'!DN9:'CF'!DP9)</x:f>
      </x:c>
      <x:c r="W42" s="267"/>
      <x:c r="X42" s="267"/>
      <x:c r="Y42" s="267"/>
      <x:c r="Z42" s="267"/>
      <x:c r="AA42" s="267"/>
      <x:c r="AB42" s="267"/>
      <x:c r="AC42" s="267"/>
      <x:c r="AD42" s="267" t="str">
        <x:f>R42</x:f>
      </x:c>
      <x:c r="AE42" s="267" t="n">
        <x:f>U42</x:f>
      </x:c>
      <x:c r="AF42" s="267" t="n">
        <x:f>V42</x:f>
      </x:c>
    </x:row>
    <x:row r="43">
      <x:c r="R43" s="267" t="str">
        <x:f>TEXT('CF'!DQ3,"yyyy")&amp;" Q"&amp;ROUNDUP(MONTH('CF'!DQ3)/3,0)</x:f>
      </x:c>
      <x:c r="S43" s="267" t="n">
        <x:f>SUM('CF'!FY6:'CF'!GA6)</x:f>
      </x:c>
      <x:c r="T43" s="267" t="n">
        <x:f>SUM('CF'!FY13:'CF'!GA13)</x:f>
      </x:c>
      <x:c r="U43" s="267" t="n">
        <x:f>MAX('CF'!FY19:'CF'!GA19)</x:f>
      </x:c>
      <x:c r="V43" s="267" t="n">
        <x:f>MAX('CF'!FY9:'CF'!GA9)</x:f>
      </x:c>
      <x:c r="W43" s="267"/>
      <x:c r="X43" s="267"/>
      <x:c r="Y43" s="267"/>
      <x:c r="Z43" s="267"/>
      <x:c r="AA43" s="267"/>
      <x:c r="AB43" s="267"/>
      <x:c r="AC43" s="267"/>
      <x:c r="AD43" s="267" t="str">
        <x:f>R43</x:f>
      </x:c>
      <x:c r="AE43" s="267" t="n">
        <x:f>U43</x:f>
      </x:c>
      <x:c r="AF43" s="267" t="n">
        <x:f>V43</x:f>
      </x:c>
    </x:row>
    <x:row r="44">
      <x:c r="R44" s="267"/>
      <x:c r="S44" s="267"/>
      <x:c r="T44" s="267"/>
      <x:c r="U44" s="267"/>
      <x:c r="V44" s="267"/>
      <x:c r="W44" s="267"/>
      <x:c r="X44" s="267"/>
      <x:c r="Y44" s="267"/>
      <x:c r="Z44" s="267"/>
      <x:c r="AA44" s="267"/>
      <x:c r="AB44" s="267"/>
      <x:c r="AC44" s="267"/>
      <x:c r="AD44" s="267"/>
      <x:c r="AE44" s="267"/>
      <x:c r="AF44" s="267"/>
    </x:row>
    <x:row r="45">
      <x:c r="R45" s="267"/>
      <x:c r="S45" s="267"/>
      <x:c r="T45" s="267"/>
      <x:c r="U45" s="267"/>
      <x:c r="V45" s="267"/>
      <x:c r="W45" s="267"/>
      <x:c r="X45" s="267"/>
      <x:c r="Y45" s="267"/>
      <x:c r="Z45" s="267"/>
      <x:c r="AA45" s="267"/>
      <x:c r="AB45" s="267"/>
      <x:c r="AC45" s="267"/>
      <x:c r="AD45" s="267"/>
      <x:c r="AE45" s="267"/>
      <x:c r="AF45" s="267"/>
    </x:row>
    <x:row r="46">
      <x:c r="R46" s="267"/>
      <x:c r="S46" s="267"/>
      <x:c r="T46" s="267"/>
      <x:c r="U46" s="267"/>
      <x:c r="V46" s="267"/>
      <x:c r="W46" s="267"/>
      <x:c r="X46" s="267"/>
      <x:c r="Y46" s="267"/>
      <x:c r="Z46" s="267"/>
      <x:c r="AA46" s="267"/>
      <x:c r="AB46" s="267"/>
      <x:c r="AC46" s="267"/>
      <x:c r="AD46" s="267"/>
      <x:c r="AE46" s="267"/>
      <x:c r="AF46" s="267"/>
    </x:row>
    <x:row r="47">
      <x:c r="R47" s="267"/>
      <x:c r="S47" s="267"/>
      <x:c r="T47" s="267"/>
      <x:c r="U47" s="267"/>
      <x:c r="V47" s="267"/>
      <x:c r="W47" s="267"/>
      <x:c r="X47" s="267"/>
      <x:c r="Y47" s="267"/>
      <x:c r="Z47" s="267"/>
      <x:c r="AA47" s="267"/>
      <x:c r="AB47" s="267"/>
      <x:c r="AC47" s="267"/>
      <x:c r="AD47" s="267"/>
      <x:c r="AE47" s="267"/>
      <x:c r="AF47" s="267"/>
    </x:row>
    <x:row r="48">
      <x:c r="R48" s="267"/>
      <x:c r="S48" s="267"/>
      <x:c r="T48" s="267"/>
      <x:c r="U48" s="267"/>
      <x:c r="V48" s="267"/>
      <x:c r="W48" s="267"/>
      <x:c r="X48" s="267"/>
      <x:c r="Y48" s="267"/>
      <x:c r="Z48" s="267"/>
      <x:c r="AA48" s="267"/>
      <x:c r="AB48" s="267"/>
      <x:c r="AC48" s="267"/>
      <x:c r="AD48" s="267"/>
      <x:c r="AE48" s="267"/>
      <x:c r="AF48" s="267"/>
    </x:row>
    <x:row r="49">
      <x:c r="R49" s="267"/>
      <x:c r="S49" s="267"/>
      <x:c r="T49" s="267"/>
      <x:c r="U49" s="267"/>
      <x:c r="V49" s="267"/>
      <x:c r="W49" s="267"/>
      <x:c r="X49" s="267"/>
      <x:c r="Y49" s="267"/>
      <x:c r="Z49" s="267"/>
      <x:c r="AA49" s="267"/>
      <x:c r="AB49" s="267"/>
      <x:c r="AC49" s="267"/>
      <x:c r="AD49" s="267"/>
      <x:c r="AE49" s="267"/>
      <x:c r="AF49" s="267"/>
    </x:row>
    <x:row r="50">
      <x:c r="R50" s="267"/>
      <x:c r="S50" s="267"/>
      <x:c r="T50" s="267"/>
      <x:c r="U50" s="267"/>
      <x:c r="V50" s="267"/>
      <x:c r="W50" s="267"/>
      <x:c r="X50" s="267"/>
      <x:c r="Y50" s="267"/>
      <x:c r="Z50" s="267"/>
      <x:c r="AA50" s="267"/>
      <x:c r="AB50" s="267"/>
      <x:c r="AC50" s="267"/>
      <x:c r="AD50" s="267"/>
      <x:c r="AE50" s="267"/>
      <x:c r="AF50" s="267"/>
    </x:row>
    <x:row r="51">
      <x:c r="R51" s="267"/>
      <x:c r="S51" s="267"/>
      <x:c r="T51" s="267"/>
      <x:c r="U51" s="267"/>
      <x:c r="V51" s="267"/>
      <x:c r="W51" s="267"/>
      <x:c r="X51" s="267"/>
      <x:c r="Y51" s="267"/>
      <x:c r="Z51" s="267"/>
      <x:c r="AA51" s="267"/>
      <x:c r="AB51" s="267"/>
      <x:c r="AC51" s="267"/>
      <x:c r="AD51" s="267"/>
      <x:c r="AE51" s="267"/>
      <x:c r="AF51" s="267"/>
    </x:row>
    <x:row r="52">
      <x:c r="R52" s="267"/>
      <x:c r="S52" s="267"/>
      <x:c r="T52" s="267"/>
      <x:c r="U52" s="267"/>
      <x:c r="V52" s="267"/>
      <x:c r="W52" s="267"/>
      <x:c r="X52" s="267"/>
      <x:c r="Y52" s="267"/>
      <x:c r="Z52" s="267"/>
      <x:c r="AA52" s="267"/>
      <x:c r="AB52" s="267"/>
      <x:c r="AC52" s="267"/>
      <x:c r="AD52" s="267"/>
      <x:c r="AE52" s="267"/>
      <x:c r="AF52" s="267"/>
    </x:row>
    <x:row r="53">
      <x:c r="R53" s="267"/>
      <x:c r="S53" s="267"/>
      <x:c r="T53" s="267"/>
      <x:c r="U53" s="267"/>
      <x:c r="V53" s="267"/>
      <x:c r="W53" s="267"/>
      <x:c r="X53" s="267"/>
      <x:c r="Y53" s="267"/>
      <x:c r="Z53" s="267"/>
      <x:c r="AA53" s="267"/>
      <x:c r="AB53" s="267"/>
      <x:c r="AC53" s="267"/>
      <x:c r="AD53" s="267"/>
      <x:c r="AE53" s="267"/>
      <x:c r="AF53" s="267"/>
    </x:row>
    <x:row r="54">
      <x:c r="R54" s="267"/>
      <x:c r="S54" s="267"/>
      <x:c r="T54" s="267"/>
      <x:c r="U54" s="267"/>
      <x:c r="V54" s="267"/>
      <x:c r="W54" s="267"/>
      <x:c r="X54" s="267"/>
      <x:c r="Y54" s="267"/>
      <x:c r="Z54" s="267"/>
      <x:c r="AA54" s="267"/>
      <x:c r="AB54" s="267"/>
      <x:c r="AC54" s="267"/>
      <x:c r="AD54" s="267"/>
      <x:c r="AE54" s="267"/>
      <x:c r="AF54" s="267"/>
    </x:row>
    <x:row r="55">
      <x:c r="R55" s="267"/>
      <x:c r="S55" s="267"/>
      <x:c r="T55" s="267"/>
      <x:c r="U55" s="267"/>
      <x:c r="V55" s="267"/>
      <x:c r="W55" s="267"/>
      <x:c r="X55" s="267"/>
      <x:c r="Y55" s="267"/>
      <x:c r="Z55" s="267"/>
      <x:c r="AA55" s="267"/>
      <x:c r="AB55" s="267"/>
      <x:c r="AC55" s="267"/>
      <x:c r="AD55" s="267"/>
      <x:c r="AE55" s="267"/>
      <x:c r="AF55" s="267"/>
    </x:row>
    <x:row r="56">
      <x:c r="R56" s="267"/>
      <x:c r="S56" s="267"/>
      <x:c r="T56" s="267"/>
      <x:c r="U56" s="267"/>
      <x:c r="V56" s="267"/>
      <x:c r="W56" s="267"/>
      <x:c r="X56" s="267"/>
      <x:c r="Y56" s="267"/>
      <x:c r="Z56" s="267"/>
      <x:c r="AA56" s="267"/>
      <x:c r="AB56" s="267"/>
      <x:c r="AC56" s="267"/>
      <x:c r="AD56" s="267"/>
      <x:c r="AE56" s="267"/>
      <x:c r="AF56" s="267"/>
    </x:row>
    <x:row r="57">
      <x:c r="R57" s="267"/>
      <x:c r="S57" s="267"/>
      <x:c r="T57" s="267"/>
      <x:c r="U57" s="267"/>
      <x:c r="V57" s="267"/>
      <x:c r="W57" s="267"/>
      <x:c r="X57" s="267"/>
      <x:c r="Y57" s="267"/>
      <x:c r="Z57" s="267"/>
      <x:c r="AA57" s="267"/>
      <x:c r="AB57" s="267"/>
      <x:c r="AC57" s="267"/>
      <x:c r="AD57" s="267"/>
      <x:c r="AE57" s="267"/>
      <x:c r="AF57" s="267"/>
    </x:row>
    <x:row r="58">
      <x:c r="R58" s="267"/>
      <x:c r="S58" s="267"/>
      <x:c r="T58" s="267"/>
      <x:c r="U58" s="267"/>
      <x:c r="V58" s="267"/>
      <x:c r="W58" s="267"/>
      <x:c r="X58" s="267"/>
      <x:c r="Y58" s="267"/>
      <x:c r="Z58" s="267"/>
      <x:c r="AA58" s="267"/>
      <x:c r="AB58" s="267"/>
      <x:c r="AC58" s="267"/>
      <x:c r="AD58" s="267"/>
      <x:c r="AE58" s="267"/>
      <x:c r="AF58" s="267"/>
    </x:row>
    <x:row r="59">
      <x:c r="R59" s="267"/>
      <x:c r="S59" s="267"/>
      <x:c r="T59" s="267"/>
      <x:c r="U59" s="267"/>
      <x:c r="V59" s="267"/>
      <x:c r="W59" s="267"/>
      <x:c r="X59" s="267"/>
      <x:c r="Y59" s="267"/>
      <x:c r="Z59" s="267"/>
      <x:c r="AA59" s="267"/>
      <x:c r="AB59" s="267"/>
      <x:c r="AC59" s="267"/>
      <x:c r="AD59" s="267"/>
      <x:c r="AE59" s="267"/>
      <x:c r="AF59" s="267"/>
    </x:row>
    <x:row r="60">
      <x:c r="R60" s="267"/>
      <x:c r="S60" s="267"/>
      <x:c r="T60" s="267"/>
      <x:c r="U60" s="267"/>
      <x:c r="V60" s="267"/>
      <x:c r="W60" s="267"/>
      <x:c r="X60" s="267"/>
      <x:c r="Y60" s="267"/>
      <x:c r="Z60" s="267"/>
      <x:c r="AA60" s="267"/>
      <x:c r="AB60" s="267"/>
      <x:c r="AC60" s="267"/>
      <x:c r="AD60" s="267"/>
      <x:c r="AE60" s="267"/>
      <x:c r="AF60" s="267"/>
    </x:row>
  </x:sheetData>
  <x:mergeCells>
    <x:mergeCell ref="A1:P1"/>
    <x:mergeCell ref="A2:P2"/>
    <x:mergeCell ref="A4:D4"/>
    <x:mergeCell ref="A5:D7"/>
    <x:mergeCell ref="E4:H4"/>
    <x:mergeCell ref="E5:H7"/>
    <x:mergeCell ref="I4:L4"/>
    <x:mergeCell ref="I5:L7"/>
    <x:mergeCell ref="M4:P4"/>
    <x:mergeCell ref="M5:P7"/>
    <x:mergeCell ref="A9:D9"/>
    <x:mergeCell ref="A10:D12"/>
    <x:mergeCell ref="E9:H9"/>
    <x:mergeCell ref="E10:H12"/>
    <x:mergeCell ref="I9:L9"/>
    <x:mergeCell ref="I10:L12"/>
    <x:mergeCell ref="M9:P9"/>
    <x:mergeCell ref="M10:P12"/>
    <x:mergeCell ref="A15:P15"/>
  </x:mergeCells>
  <x:pageMargins left="0.7" right="0.7" top="0.75" bottom="0.75" header="0.3" footer="0.3"/>
  <x:drawing xmlns:r="http://schemas.openxmlformats.org/officeDocument/2006/relationships" r:id="R3995f2a1ad5b43e6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30" hidden="0" customWidth="1"/>
    <x:col min="8" max="8" width="34" hidden="0" customWidth="1"/>
  </x:cols>
  <x:sheetData>
    <x:row r="1" ht="28" customHeight="1">
      <x:c r="A1" s="4" t="str">
        <x:v>ПРОВЕРКИ И КОНТРОЛИ МОДЕЛИ</x:v>
      </x:c>
      <x:c r="B1" s="4" t="str">
        <x:v>ПРОВЕРКИ И КОНТРОЛИ МОДЕЛИ</x:v>
      </x:c>
      <x:c r="C1" s="4" t="str">
        <x:v>ПРОВЕРКИ И КОНТРОЛИ МОДЕЛИ</x:v>
      </x:c>
      <x:c r="D1" s="4" t="str">
        <x:v>ПРОВЕРКИ И КОНТРОЛИ МОДЕЛИ</x:v>
      </x:c>
      <x:c r="E1" s="4" t="str">
        <x:v>ПРОВЕРКИ И КОНТРОЛИ МОДЕЛИ</x:v>
      </x:c>
      <x:c r="F1" s="4" t="str">
        <x:v>ПРОВЕРКИ И КОНТРОЛИ МОДЕЛИ</x:v>
      </x:c>
      <x:c r="G1" s="4" t="str">
        <x:v>ПРОВЕРКИ И КОНТРОЛИ МОДЕЛИ</x:v>
      </x:c>
      <x:c r="H1" s="4" t="str">
        <x:v>ПРОВЕРКИ И КОНТРОЛИ МОДЕЛИ</x:v>
      </x:c>
    </x:row>
    <x:row r="3">
      <x:c r="A3" s="2" t="str">
        <x:v>MODEL STATUS</x:v>
      </x:c>
      <x:c r="B3" s="147" t="str">
        <x:f>IF(COUNTIF(F6:F84,"FAIL")&gt;0,"СБОЙ",IF(COUNTIF(F6:F84,"WARN")&gt;0,"ПРОЙДЕНО С ПРЕДУПРЕЖДЕНИЯМИ","ПРОЙДЕНО"))</x:f>
      </x:c>
      <x:c r="C3" s="147"/>
      <x:c r="D3" s="147"/>
      <x:c r="E3" s="147"/>
      <x:c r="F3" s="147"/>
      <x:c r="G3" s="147"/>
      <x:c r="H3" s="147"/>
    </x:row>
    <x:row r="5">
      <x:c r="A5" s="23" t="str">
        <x:v>Проверка</x:v>
      </x:c>
      <x:c r="B5" s="23" t="str">
        <x:v>Факт</x:v>
      </x:c>
      <x:c r="C5" s="23" t="str">
        <x:v>Ожидание</x:v>
      </x:c>
      <x:c r="D5" s="23" t="str">
        <x:v>Разница</x:v>
      </x:c>
      <x:c r="E5" s="23" t="str">
        <x:v>Допуск</x:v>
      </x:c>
      <x:c r="F5" s="23" t="str">
        <x:v>Статус</x:v>
      </x:c>
      <x:c r="G5" s="23" t="str">
        <x:v>Где исправить</x:v>
      </x:c>
      <x:c r="H5" s="23" t="str">
        <x:v>Комментарий</x:v>
      </x:c>
    </x:row>
    <x:row r="6">
      <x:c r="A6" t="str">
        <x:v>Очередь 1: объём квартир</x:v>
      </x:c>
      <x:c r="B6" s="148" t="n">
        <x:f>'Продажи'!B14</x:f>
      </x:c>
      <x:c r="C6" s="148" t="n">
        <x:f>'Вводные'!$L$88</x:f>
      </x:c>
      <x:c r="D6" s="148" t="n">
        <x:f>B6-C6</x:f>
      </x:c>
      <x:c r="E6" s="148" t="n">
        <x:v>0.01</x:v>
      </x:c>
      <x:c r="F6" t="str">
        <x:f>IF(ABS(D6)&lt;=E6,"OK","FAIL")</x:f>
      </x:c>
      <x:c r="G6" t="str">
        <x:v>Продажи / очередь 1</x:v>
      </x:c>
      <x:c r="H6" t="str">
        <x:v>Расчётная целостность</x:v>
      </x:c>
    </x:row>
    <x:row r="7">
      <x:c r="A7" t="str">
        <x:v>Очередь 1: объём коммерции</x:v>
      </x:c>
      <x:c r="B7" s="148" t="n">
        <x:f>'Продажи'!B17</x:f>
      </x:c>
      <x:c r="C7" s="148" t="n">
        <x:f>'Вводные'!$M$88</x:f>
      </x:c>
      <x:c r="D7" s="148" t="n">
        <x:f>B7-C7</x:f>
      </x:c>
      <x:c r="E7" s="148" t="n">
        <x:v>0.01</x:v>
      </x:c>
      <x:c r="F7" t="str">
        <x:f>IF(ABS(D7)&lt;=E7,"OK","FAIL")</x:f>
      </x:c>
      <x:c r="G7" t="str">
        <x:v>Продажи / очередь 1</x:v>
      </x:c>
      <x:c r="H7" t="str">
        <x:v>Расчётная целостность</x:v>
      </x:c>
    </x:row>
    <x:row r="8">
      <x:c r="A8" t="str">
        <x:v>Очередь 1: roll-forward БРИДЖ</x:v>
      </x:c>
      <x:c r="B8" s="148" t="n">
        <x:f>'CF_1'!B60</x:f>
      </x:c>
      <x:c r="C8" s="148" t="n">
        <x:f>0</x:f>
      </x:c>
      <x:c r="D8" s="148" t="n">
        <x:f>B8-C8</x:f>
      </x:c>
      <x:c r="E8" s="148" t="n">
        <x:v>0.01</x:v>
      </x:c>
      <x:c r="F8" t="str">
        <x:f>IF(ABS(D8)&lt;=E8,"OK","FAIL")</x:f>
      </x:c>
      <x:c r="G8" t="str">
        <x:v>CF_1</x:v>
      </x:c>
      <x:c r="H8" t="str">
        <x:v>Расчётная целостность</x:v>
      </x:c>
    </x:row>
    <x:row r="9">
      <x:c r="A9" t="str">
        <x:v>Очередь 1: roll-forward ПФ</x:v>
      </x:c>
      <x:c r="B9" s="148" t="n">
        <x:f>'CF_1'!B61</x:f>
      </x:c>
      <x:c r="C9" s="148" t="n">
        <x:f>0</x:f>
      </x:c>
      <x:c r="D9" s="148" t="n">
        <x:f>B9-C9</x:f>
      </x:c>
      <x:c r="E9" s="148" t="n">
        <x:v>0.01</x:v>
      </x:c>
      <x:c r="F9" t="str">
        <x:f>IF(ABS(D9)&lt;=E9,"OK","FAIL")</x:f>
      </x:c>
      <x:c r="G9" t="str">
        <x:v>CF_1</x:v>
      </x:c>
      <x:c r="H9" t="str">
        <x:v>Расчётная целостность</x:v>
      </x:c>
    </x:row>
    <x:row r="10">
      <x:c r="A10" t="str">
        <x:v>Очередь 1: roll-forward эскроу</x:v>
      </x:c>
      <x:c r="B10" s="148" t="n">
        <x:f>'CF_1'!B62</x:f>
      </x:c>
      <x:c r="C10" s="148" t="n">
        <x:f>0</x:f>
      </x:c>
      <x:c r="D10" s="148" t="n">
        <x:f>B10-C10</x:f>
      </x:c>
      <x:c r="E10" s="148" t="n">
        <x:v>0.01</x:v>
      </x:c>
      <x:c r="F10" t="str">
        <x:f>IF(ABS(D10)&lt;=E10,"OK","FAIL")</x:f>
      </x:c>
      <x:c r="G10" t="str">
        <x:v>CF_1</x:v>
      </x:c>
      <x:c r="H10" t="str">
        <x:v>Расчётная целостность</x:v>
      </x:c>
    </x:row>
    <x:row r="11">
      <x:c r="A11" t="str">
        <x:v>Очередь 2: объём квартир</x:v>
      </x:c>
      <x:c r="B11" s="148" t="n">
        <x:f>'Продажи'!B37</x:f>
      </x:c>
      <x:c r="C11" s="148" t="n">
        <x:f>'Вводные'!$L$89</x:f>
      </x:c>
      <x:c r="D11" s="148" t="n">
        <x:f>B11-C11</x:f>
      </x:c>
      <x:c r="E11" s="148" t="n">
        <x:v>0.01</x:v>
      </x:c>
      <x:c r="F11" t="str">
        <x:f>IF(ABS(D11)&lt;=E11,"OK","FAIL")</x:f>
      </x:c>
      <x:c r="G11" t="str">
        <x:v>Продажи / очередь 2</x:v>
      </x:c>
      <x:c r="H11" t="str">
        <x:v>Расчётная целостность</x:v>
      </x:c>
    </x:row>
    <x:row r="12">
      <x:c r="A12" t="str">
        <x:v>Очередь 2: объём коммерции</x:v>
      </x:c>
      <x:c r="B12" s="148" t="n">
        <x:f>'Продажи'!B40</x:f>
      </x:c>
      <x:c r="C12" s="148" t="n">
        <x:f>'Вводные'!$M$89</x:f>
      </x:c>
      <x:c r="D12" s="148" t="n">
        <x:f>B12-C12</x:f>
      </x:c>
      <x:c r="E12" s="148" t="n">
        <x:v>0.01</x:v>
      </x:c>
      <x:c r="F12" t="str">
        <x:f>IF(ABS(D12)&lt;=E12,"OK","FAIL")</x:f>
      </x:c>
      <x:c r="G12" t="str">
        <x:v>Продажи / очередь 2</x:v>
      </x:c>
      <x:c r="H12" t="str">
        <x:v>Расчётная целостность</x:v>
      </x:c>
    </x:row>
    <x:row r="13">
      <x:c r="A13" t="str">
        <x:v>Очередь 2: roll-forward БРИДЖ</x:v>
      </x:c>
      <x:c r="B13" s="148" t="n">
        <x:f>'CF_2'!B60</x:f>
      </x:c>
      <x:c r="C13" s="148" t="n">
        <x:f>0</x:f>
      </x:c>
      <x:c r="D13" s="148" t="n">
        <x:f>B13-C13</x:f>
      </x:c>
      <x:c r="E13" s="148" t="n">
        <x:v>0.01</x:v>
      </x:c>
      <x:c r="F13" t="str">
        <x:f>IF(ABS(D13)&lt;=E13,"OK","FAIL")</x:f>
      </x:c>
      <x:c r="G13" t="str">
        <x:v>CF_2</x:v>
      </x:c>
      <x:c r="H13" t="str">
        <x:v>Расчётная целостность</x:v>
      </x:c>
    </x:row>
    <x:row r="14">
      <x:c r="A14" t="str">
        <x:v>Очередь 2: roll-forward ПФ</x:v>
      </x:c>
      <x:c r="B14" s="148" t="n">
        <x:f>'CF_2'!B61</x:f>
      </x:c>
      <x:c r="C14" s="148" t="n">
        <x:f>0</x:f>
      </x:c>
      <x:c r="D14" s="148" t="n">
        <x:f>B14-C14</x:f>
      </x:c>
      <x:c r="E14" s="148" t="n">
        <x:v>0.01</x:v>
      </x:c>
      <x:c r="F14" t="str">
        <x:f>IF(ABS(D14)&lt;=E14,"OK","FAIL")</x:f>
      </x:c>
      <x:c r="G14" t="str">
        <x:v>CF_2</x:v>
      </x:c>
      <x:c r="H14" t="str">
        <x:v>Расчётная целостность</x:v>
      </x:c>
    </x:row>
    <x:row r="15">
      <x:c r="A15" t="str">
        <x:v>Очередь 2: roll-forward эскроу</x:v>
      </x:c>
      <x:c r="B15" s="148" t="n">
        <x:f>'CF_2'!B62</x:f>
      </x:c>
      <x:c r="C15" s="148" t="n">
        <x:f>0</x:f>
      </x:c>
      <x:c r="D15" s="148" t="n">
        <x:f>B15-C15</x:f>
      </x:c>
      <x:c r="E15" s="148" t="n">
        <x:v>0.01</x:v>
      </x:c>
      <x:c r="F15" t="str">
        <x:f>IF(ABS(D15)&lt;=E15,"OK","FAIL")</x:f>
      </x:c>
      <x:c r="G15" t="str">
        <x:v>CF_2</x:v>
      </x:c>
      <x:c r="H15" t="str">
        <x:v>Расчётная целостность</x:v>
      </x:c>
    </x:row>
    <x:row r="16">
      <x:c r="A16" t="str">
        <x:v>Очередь 3: объём квартир</x:v>
      </x:c>
      <x:c r="B16" s="148" t="n">
        <x:f>'Продажи'!B60</x:f>
      </x:c>
      <x:c r="C16" s="148" t="n">
        <x:f>'Вводные'!$L$90</x:f>
      </x:c>
      <x:c r="D16" s="148" t="n">
        <x:f>B16-C16</x:f>
      </x:c>
      <x:c r="E16" s="148" t="n">
        <x:v>0.01</x:v>
      </x:c>
      <x:c r="F16" t="str">
        <x:f>IF(ABS(D16)&lt;=E16,"OK","FAIL")</x:f>
      </x:c>
      <x:c r="G16" t="str">
        <x:v>Продажи / очередь 3</x:v>
      </x:c>
      <x:c r="H16" t="str">
        <x:v>Расчётная целостность</x:v>
      </x:c>
    </x:row>
    <x:row r="17">
      <x:c r="A17" t="str">
        <x:v>Очередь 3: объём коммерции</x:v>
      </x:c>
      <x:c r="B17" s="148" t="n">
        <x:f>'Продажи'!B63</x:f>
      </x:c>
      <x:c r="C17" s="148" t="n">
        <x:f>'Вводные'!$M$90</x:f>
      </x:c>
      <x:c r="D17" s="148" t="n">
        <x:f>B17-C17</x:f>
      </x:c>
      <x:c r="E17" s="148" t="n">
        <x:v>0.01</x:v>
      </x:c>
      <x:c r="F17" t="str">
        <x:f>IF(ABS(D17)&lt;=E17,"OK","FAIL")</x:f>
      </x:c>
      <x:c r="G17" t="str">
        <x:v>Продажи / очередь 3</x:v>
      </x:c>
      <x:c r="H17" t="str">
        <x:v>Расчётная целостность</x:v>
      </x:c>
    </x:row>
    <x:row r="18">
      <x:c r="A18" t="str">
        <x:v>Очередь 3: roll-forward БРИДЖ</x:v>
      </x:c>
      <x:c r="B18" s="148" t="n">
        <x:f>'CF_3'!B60</x:f>
      </x:c>
      <x:c r="C18" s="148" t="n">
        <x:f>0</x:f>
      </x:c>
      <x:c r="D18" s="148" t="n">
        <x:f>B18-C18</x:f>
      </x:c>
      <x:c r="E18" s="148" t="n">
        <x:v>0.01</x:v>
      </x:c>
      <x:c r="F18" t="str">
        <x:f>IF(ABS(D18)&lt;=E18,"OK","FAIL")</x:f>
      </x:c>
      <x:c r="G18" t="str">
        <x:v>CF_3</x:v>
      </x:c>
      <x:c r="H18" t="str">
        <x:v>Расчётная целостность</x:v>
      </x:c>
    </x:row>
    <x:row r="19">
      <x:c r="A19" t="str">
        <x:v>Очередь 3: roll-forward ПФ</x:v>
      </x:c>
      <x:c r="B19" s="148" t="n">
        <x:f>'CF_3'!B61</x:f>
      </x:c>
      <x:c r="C19" s="148" t="n">
        <x:f>0</x:f>
      </x:c>
      <x:c r="D19" s="148" t="n">
        <x:f>B19-C19</x:f>
      </x:c>
      <x:c r="E19" s="148" t="n">
        <x:v>0.01</x:v>
      </x:c>
      <x:c r="F19" t="str">
        <x:f>IF(ABS(D19)&lt;=E19,"OK","FAIL")</x:f>
      </x:c>
      <x:c r="G19" t="str">
        <x:v>CF_3</x:v>
      </x:c>
      <x:c r="H19" t="str">
        <x:v>Расчётная целостность</x:v>
      </x:c>
    </x:row>
    <x:row r="20">
      <x:c r="A20" t="str">
        <x:v>Очередь 3: roll-forward эскроу</x:v>
      </x:c>
      <x:c r="B20" s="148" t="n">
        <x:f>'CF_3'!B62</x:f>
      </x:c>
      <x:c r="C20" s="148" t="n">
        <x:f>0</x:f>
      </x:c>
      <x:c r="D20" s="148" t="n">
        <x:f>B20-C20</x:f>
      </x:c>
      <x:c r="E20" s="148" t="n">
        <x:v>0.01</x:v>
      </x:c>
      <x:c r="F20" t="str">
        <x:f>IF(ABS(D20)&lt;=E20,"OK","FAIL")</x:f>
      </x:c>
      <x:c r="G20" t="str">
        <x:v>CF_3</x:v>
      </x:c>
      <x:c r="H20" t="str">
        <x:v>Расчётная целостность</x:v>
      </x:c>
    </x:row>
    <x:row r="21">
      <x:c r="A21" t="str">
        <x:v>Консолидация выручки</x:v>
      </x:c>
      <x:c r="B21" s="148" t="n">
        <x:f>'CF'!B6</x:f>
      </x:c>
      <x:c r="C21" s="148" t="n">
        <x:f>SUM('КОНСОЛИДАТОР'!G4:G7)</x:f>
      </x:c>
      <x:c r="D21" s="148" t="n">
        <x:f>B21-C21</x:f>
      </x:c>
      <x:c r="E21" s="148" t="n">
        <x:v>0.01</x:v>
      </x:c>
      <x:c r="F21" t="str">
        <x:f>IF(ABS(D21)&lt;=E21,"OK","FAIL")</x:f>
      </x:c>
      <x:c r="G21" t="str">
        <x:v>CF / КОНСОЛИДАТОР</x:v>
      </x:c>
      <x:c r="H21" t="str">
        <x:v>Расчётная целостность</x:v>
      </x:c>
    </x:row>
    <x:row r="22">
      <x:c r="A22" t="str">
        <x:v>Консолидация CAPEX</x:v>
      </x:c>
      <x:c r="B22" s="148" t="n">
        <x:f>'CF'!B11</x:f>
      </x:c>
      <x:c r="C22" s="148" t="n">
        <x:f>SUM('КОНСОЛИДАТОР'!H4:H7)</x:f>
      </x:c>
      <x:c r="D22" s="148" t="n">
        <x:f>B22-C22</x:f>
      </x:c>
      <x:c r="E22" s="148" t="n">
        <x:v>0.01</x:v>
      </x:c>
      <x:c r="F22" t="str">
        <x:f>IF(ABS(D22)&lt;=E22,"OK","FAIL")</x:f>
      </x:c>
      <x:c r="G22" t="str">
        <x:v>CF / КОНСОЛИДАТОР</x:v>
      </x:c>
      <x:c r="H22" t="str">
        <x:v>Расчётная целостность</x:v>
      </x:c>
    </x:row>
    <x:row r="23">
      <x:c r="A23" t="str">
        <x:v>Финальный долг</x:v>
      </x:c>
      <x:c r="B23" s="148" t="n">
        <x:f>'CF'!B19</x:f>
      </x:c>
      <x:c r="C23" s="148" t="n">
        <x:f>0</x:f>
      </x:c>
      <x:c r="D23" s="148" t="n">
        <x:f>B23-C23</x:f>
      </x:c>
      <x:c r="E23" s="148" t="n">
        <x:v>0.01</x:v>
      </x:c>
      <x:c r="F23" t="str">
        <x:f>IF(ABS(D23)&lt;=E23,"OK","FAIL")</x:f>
      </x:c>
      <x:c r="G23" t="str">
        <x:v>КРЕДИТЫ</x:v>
      </x:c>
      <x:c r="H23" t="str">
        <x:v>Расчётная целостность</x:v>
      </x:c>
    </x:row>
    <x:row r="24">
      <x:c r="A24" t="str">
        <x:v>Финальный эскроу</x:v>
      </x:c>
      <x:c r="B24" s="148" t="n">
        <x:f>'CF'!B9</x:f>
      </x:c>
      <x:c r="C24" s="148" t="n">
        <x:f>0</x:f>
      </x:c>
      <x:c r="D24" s="148" t="n">
        <x:f>B24-C24</x:f>
      </x:c>
      <x:c r="E24" s="148" t="n">
        <x:v>0.01</x:v>
      </x:c>
      <x:c r="F24" t="str">
        <x:f>IF(ABS(D24)&lt;=E24,"OK","FAIL")</x:f>
      </x:c>
      <x:c r="G24" t="str">
        <x:v>CF</x:v>
      </x:c>
      <x:c r="H24" t="str">
        <x:v>Расчётная целостность</x:v>
      </x:c>
    </x:row>
    <x:row r="25">
      <x:c r="A25" t="inlineStr">
        <x:is>
          <x:t>LLCR проекта vs ковенант</x:t>
        </x:is>
      </x:c>
      <x:c r="B25" s="148" t="n">
        <x:f>'CF'!B30</x:f>
      </x:c>
      <x:c r="C25" s="148" t="n">
        <x:f>'Вводные'!$B$32</x:f>
      </x:c>
      <x:c r="D25" s="148" t="n">
        <x:f>B25-C25</x:f>
      </x:c>
      <x:c r="E25" s="148" t="n">
        <x:v>0.01</x:v>
      </x:c>
      <x:c r="F25" t="str">
        <x:f>IF(B25&gt;=C25,"OK","WARN")</x:f>
      </x:c>
      <x:c r="G25" t="str">
        <x:v>Вводные / финансирование</x:v>
      </x:c>
      <x:c r="H25" t="str">
        <x:v>Бизнес-контроль</x:v>
      </x:c>
    </x:row>
    <x:row r="26">
      <x:c r="A26" t="str">
        <x:v>Сумма долей покупки</x:v>
      </x:c>
      <x:c r="B26" s="148" t="n">
        <x:f>SUM('Вводные'!P88:P91)</x:f>
      </x:c>
      <x:c r="C26" s="148" t="n">
        <x:f>1</x:f>
      </x:c>
      <x:c r="D26" s="148" t="n">
        <x:f>B26-C26</x:f>
      </x:c>
      <x:c r="E26" s="148" t="n">
        <x:v>0.01</x:v>
      </x:c>
      <x:c r="F26" t="str">
        <x:f>IF(ABS(D26)&lt;=E26,"OK","WARN")</x:f>
      </x:c>
      <x:c r="G26" t="str">
        <x:v>Вводные / очереди</x:v>
      </x:c>
      <x:c r="H26" t="str">
        <x:v>Бизнес-контроль</x:v>
      </x:c>
    </x:row>
    <x:row r="27">
      <x:c r="A27" t="str">
        <x:v>Сумма долей ВРИ</x:v>
      </x:c>
      <x:c r="B27" s="148" t="n">
        <x:f>SUM('Вводные'!Q88:Q91)</x:f>
      </x:c>
      <x:c r="C27" s="148" t="n">
        <x:f>1</x:f>
      </x:c>
      <x:c r="D27" s="148" t="n">
        <x:f>B27-C27</x:f>
      </x:c>
      <x:c r="E27" s="148" t="n">
        <x:v>0.01</x:v>
      </x:c>
      <x:c r="F27" t="str">
        <x:f>IF(ABS(D27)&lt;=E27,"OK","WARN")</x:f>
      </x:c>
      <x:c r="G27" t="str">
        <x:v>Вводные / очереди</x:v>
      </x:c>
      <x:c r="H27" t="str">
        <x:v>Бизнес-контроль</x:v>
      </x:c>
    </x:row>
    <x:row r="28">
      <x:c r="A28" t="str">
        <x:v>Сумма долей соцнагрузки</x:v>
      </x:c>
      <x:c r="B28" s="148" t="n">
        <x:f>SUM('Вводные'!R88:R91)</x:f>
      </x:c>
      <x:c r="C28" s="148" t="n">
        <x:f>1</x:f>
      </x:c>
      <x:c r="D28" s="148" t="n">
        <x:f>B28-C28</x:f>
      </x:c>
      <x:c r="E28" s="148" t="n">
        <x:v>0.01</x:v>
      </x:c>
      <x:c r="F28" t="str">
        <x:f>IF(ABS(D28)&lt;=E28,"OK","WARN")</x:f>
      </x:c>
      <x:c r="G28" t="str">
        <x:v>Вводные / очереди</x:v>
      </x:c>
      <x:c r="H28" t="str">
        <x:v>Бизнес-контроль</x:v>
      </x:c>
    </x:row>
    <x:row r="29">
      <x:c r="A29" t="str">
        <x:v>ВРИ: допустимый срок по 593-ПП</x:v>
      </x:c>
      <x:c r="B29" s="148" t="n">
        <x:f>IF(OR('Вводные'!$B$75="Единовременно",'Вводные'!$B$77&lt;=IF(MAX(0,'Вводные'!$B$16-'Вводные'!$B$82)&lt;=100,1,IF(MAX(0,'Вводные'!$B$16-'Вводные'!$B$82)&lt;=500,3,6))),0,1)</x:f>
      </x:c>
      <x:c r="C29" s="148" t="n">
        <x:f>0</x:f>
      </x:c>
      <x:c r="D29" s="148" t="n">
        <x:f>B29-C29</x:f>
      </x:c>
      <x:c r="E29" s="148" t="n">
        <x:v>0.01</x:v>
      </x:c>
      <x:c r="F29" t="str">
        <x:f>IF(ABS(D29)&lt;=E29,"OK","WARN")</x:f>
      </x:c>
      <x:c r="G29" t="str">
        <x:v>Вводные / ВРИ</x:v>
      </x:c>
      <x:c r="H29" t="str">
        <x:v>Бизнес-контроль</x:v>
      </x:c>
    </x:row>
    <x:row r="30">
      <x:c r="A30" t="str">
        <x:v>ВРИ: остаток на начало заполнен</x:v>
      </x:c>
      <x:c r="B30" s="148" t="n">
        <x:f>COUNT('ВРИ'!B10,'ВРИ'!B23,'ВРИ'!B36,'ВРИ'!B49)</x:f>
      </x:c>
      <x:c r="C30" s="148" t="n">
        <x:f>4</x:f>
      </x:c>
      <x:c r="D30" s="148" t="n">
        <x:f>B30-C30</x:f>
      </x:c>
      <x:c r="E30" s="148" t="n">
        <x:v>0.01</x:v>
      </x:c>
      <x:c r="F30" t="str">
        <x:f>IF(ABS(D30)&lt;=E30,"OK","FAIL")</x:f>
      </x:c>
      <x:c r="G30" t="str">
        <x:v>ВРИ</x:v>
      </x:c>
      <x:c r="H30" t="str">
        <x:v>Расчётная целостность</x:v>
      </x:c>
    </x:row>
    <x:row r="31">
      <x:c r="A31" t="str">
        <x:v>ВРИ: финальный остаток</x:v>
      </x:c>
      <x:c r="B31" s="148" t="n">
        <x:f>SUM('ВРИ'!B16,'ВРИ'!B29,'ВРИ'!B42,'ВРИ'!B55)</x:f>
      </x:c>
      <x:c r="C31" s="148" t="n">
        <x:f>0</x:f>
      </x:c>
      <x:c r="D31" s="148" t="n">
        <x:f>B31-C31</x:f>
      </x:c>
      <x:c r="E31" s="148" t="n">
        <x:v>0.01</x:v>
      </x:c>
      <x:c r="F31" t="str">
        <x:f>IF(ABS(D31)&lt;=E31,"OK","FAIL")</x:f>
      </x:c>
      <x:c r="G31" t="str">
        <x:v>ВРИ</x:v>
      </x:c>
      <x:c r="H31" t="str">
        <x:v>Расчётная целостность</x:v>
      </x:c>
    </x:row>
    <x:row r="32">
      <x:c r="A32" t="inlineStr">
        <x:is>
          <x:t>Потребность в долге профинансирована банком полностью</x:t>
        </x:is>
      </x:c>
      <x:c r="B32" s="148" t="n">
        <x:f>SUM('CF_1'!D44:GA44,'CF_2'!D44:GA44,'CF_3'!D44:GA44,'CF_4'!D44:GA44)-SUM('CF_1'!D45:GA45,'CF_2'!D45:GA45,'CF_3'!D45:GA45,'CF_4'!D45:GA45)</x:f>
      </x:c>
      <x:c r="C32" s="148" t="n">
        <x:f>0</x:f>
      </x:c>
      <x:c r="D32" s="148" t="n">
        <x:f>B32-C32</x:f>
      </x:c>
      <x:c r="E32" s="148" t="n">
        <x:v>0.01</x:v>
      </x:c>
      <x:c r="F32" t="str">
        <x:f>IF(B32&lt;=C32+E32,"OK","FAIL")</x:f>
      </x:c>
      <x:c r="G32" t="str">
        <x:v>Вводные / финансирование</x:v>
      </x:c>
      <x:c r="H32" t="str">
        <x:v>Расчётная целостность</x:v>
      </x:c>
    </x:row>
    <x:row r="33">
      <x:c r="A33" t="str">
        <x:v>Очередь 1: объём подземного паркинга</x:v>
      </x:c>
      <x:c r="B33" s="148" t="n">
        <x:f>'Продажи'!B20</x:f>
      </x:c>
      <x:c r="C33" s="148" t="n">
        <x:f>'Вводные'!N88</x:f>
      </x:c>
      <x:c r="D33" s="148" t="n">
        <x:f>B33-C33</x:f>
      </x:c>
      <x:c r="E33" s="148" t="n">
        <x:v>0.01</x:v>
      </x:c>
      <x:c r="F33" t="str">
        <x:f>IF(ABS(D33)&lt;=E33,"OK","FAIL")</x:f>
      </x:c>
      <x:c r="G33" t="str">
        <x:v>Продажи / паркинг</x:v>
      </x:c>
      <x:c r="H33" t="str">
        <x:v>Объём машино-мест полностью реализован</x:v>
      </x:c>
    </x:row>
    <x:row r="34">
      <x:c r="A34" t="str">
        <x:v>Очередь 1: объём кладовых</x:v>
      </x:c>
      <x:c r="B34" s="148" t="n">
        <x:f>'Продажи'!B23</x:f>
      </x:c>
      <x:c r="C34" s="148" t="n">
        <x:f>'Вводные'!O88</x:f>
      </x:c>
      <x:c r="D34" s="148" t="n">
        <x:f>B34-C34</x:f>
      </x:c>
      <x:c r="E34" s="148" t="n">
        <x:v>0.01</x:v>
      </x:c>
      <x:c r="F34" t="str">
        <x:f>IF(ABS(D34)&lt;=E34,"OK","FAIL")</x:f>
      </x:c>
      <x:c r="G34" t="str">
        <x:v>Продажи / кладовые</x:v>
      </x:c>
      <x:c r="H34" t="str">
        <x:v>Объём кладовых полностью реализован</x:v>
      </x:c>
    </x:row>
    <x:row r="35">
      <x:c r="A35" t="str">
        <x:v>Очередь 2: объём подземного паркинга</x:v>
      </x:c>
      <x:c r="B35" s="148" t="n">
        <x:f>'Продажи'!B43</x:f>
      </x:c>
      <x:c r="C35" s="148" t="n">
        <x:f>'Вводные'!N89</x:f>
      </x:c>
      <x:c r="D35" s="148" t="n">
        <x:f>B35-C35</x:f>
      </x:c>
      <x:c r="E35" s="148" t="n">
        <x:v>0.01</x:v>
      </x:c>
      <x:c r="F35" t="str">
        <x:f>IF(ABS(D35)&lt;=E35,"OK","FAIL")</x:f>
      </x:c>
      <x:c r="G35" t="str">
        <x:v>Продажи / паркинг</x:v>
      </x:c>
      <x:c r="H35" t="str">
        <x:v>Объём машино-мест полностью реализован</x:v>
      </x:c>
    </x:row>
    <x:row r="36">
      <x:c r="A36" t="str">
        <x:v>Очередь 2: объём кладовых</x:v>
      </x:c>
      <x:c r="B36" s="148" t="n">
        <x:f>'Продажи'!B46</x:f>
      </x:c>
      <x:c r="C36" s="148" t="n">
        <x:f>'Вводные'!O89</x:f>
      </x:c>
      <x:c r="D36" s="148" t="n">
        <x:f>B36-C36</x:f>
      </x:c>
      <x:c r="E36" s="148" t="n">
        <x:v>0.01</x:v>
      </x:c>
      <x:c r="F36" t="str">
        <x:f>IF(ABS(D36)&lt;=E36,"OK","FAIL")</x:f>
      </x:c>
      <x:c r="G36" t="str">
        <x:v>Продажи / кладовые</x:v>
      </x:c>
      <x:c r="H36" t="str">
        <x:v>Объём кладовых полностью реализован</x:v>
      </x:c>
    </x:row>
    <x:row r="37">
      <x:c r="A37" t="str">
        <x:v>Очередь 3: объём подземного паркинга</x:v>
      </x:c>
      <x:c r="B37" s="148" t="n">
        <x:f>'Продажи'!B66</x:f>
      </x:c>
      <x:c r="C37" s="148" t="n">
        <x:f>'Вводные'!N90</x:f>
      </x:c>
      <x:c r="D37" s="148" t="n">
        <x:f>B37-C37</x:f>
      </x:c>
      <x:c r="E37" s="148" t="n">
        <x:v>0.01</x:v>
      </x:c>
      <x:c r="F37" t="str">
        <x:f>IF(ABS(D37)&lt;=E37,"OK","FAIL")</x:f>
      </x:c>
      <x:c r="G37" t="str">
        <x:v>Продажи / паркинг</x:v>
      </x:c>
      <x:c r="H37" t="str">
        <x:v>Объём машино-мест полностью реализован</x:v>
      </x:c>
    </x:row>
    <x:row r="38">
      <x:c r="A38" t="str">
        <x:v>Очередь 3: объём кладовых</x:v>
      </x:c>
      <x:c r="B38" s="148" t="n">
        <x:f>'Продажи'!B69</x:f>
      </x:c>
      <x:c r="C38" s="148" t="n">
        <x:f>'Вводные'!O90</x:f>
      </x:c>
      <x:c r="D38" s="148" t="n">
        <x:f>B38-C38</x:f>
      </x:c>
      <x:c r="E38" s="148" t="n">
        <x:v>0.01</x:v>
      </x:c>
      <x:c r="F38" t="str">
        <x:f>IF(ABS(D38)&lt;=E38,"OK","FAIL")</x:f>
      </x:c>
      <x:c r="G38" t="str">
        <x:v>Продажи / кладовые</x:v>
      </x:c>
      <x:c r="H38" t="str">
        <x:v>Объём кладовых полностью реализован</x:v>
      </x:c>
    </x:row>
    <x:row r="39">
      <x:c r="A39" t="str">
        <x:v>Офисы: реализованный объём</x:v>
      </x:c>
      <x:c r="B39" s="148" t="n">
        <x:f>'ОБЪЕКТЫ'!B22</x:f>
      </x:c>
      <x:c r="C39" s="148" t="n">
        <x:f>IF(AND('Вводные'!$K$20="Да",IFERROR(INDEX('Вводные'!$B$88:$B$91,'Вводные'!$K$21),"Нет")="Да"),'Вводные'!$K$26,0)</x:f>
      </x:c>
      <x:c r="D39" s="148" t="n">
        <x:f>B39-C39</x:f>
      </x:c>
      <x:c r="E39" s="148" t="n">
        <x:v>0.01</x:v>
      </x:c>
      <x:c r="F39" t="str">
        <x:f>IF(ABS(D39)&lt;=E39,"OK","FAIL")</x:f>
      </x:c>
      <x:c r="G39" t="str">
        <x:v>ОБЪЕКТЫ / объём</x:v>
      </x:c>
      <x:c r="H39" t="str">
        <x:v>Отдельный продукт реализован полностью</x:v>
      </x:c>
    </x:row>
    <x:row r="40">
      <x:c r="A40" t="str">
        <x:v>Офисы: CAPEX</x:v>
      </x:c>
      <x:c r="B40" s="148" t="n">
        <x:f>'ОБЪЕКТЫ'!B28</x:f>
      </x:c>
      <x:c r="C40" s="148" t="n">
        <x:f>IF(AND('Вводные'!$K$20="Да",IFERROR(INDEX('Вводные'!$B$88:$B$91,'Вводные'!$K$21),"Нет")="Да"),'Вводные'!$K$25*'Вводные'!$K$29/1000*'Вводные'!$H$6*INDEX('Вводные'!$T$88:$T$91,'Вводные'!$K$21)*INDEX('Вводные'!$AH$88:$AH$91,'Вводные'!$K$21),0)</x:f>
      </x:c>
      <x:c r="D40" s="148" t="n">
        <x:f>B40-C40</x:f>
      </x:c>
      <x:c r="E40" s="148" t="n">
        <x:v>0.01</x:v>
      </x:c>
      <x:c r="F40" t="str">
        <x:f>IF(ABS(D40)&lt;=E40,"OK","FAIL")</x:f>
      </x:c>
      <x:c r="G40" t="str">
        <x:v>ОБЪЕКТЫ / CAPEX</x:v>
      </x:c>
      <x:c r="H40" t="str">
        <x:v>CAPEX связан с физическим драйвером</x:v>
      </x:c>
    </x:row>
    <x:row r="41">
      <x:c r="A41" t="str">
        <x:v>Офисы: финальный остаток эскроу</x:v>
      </x:c>
      <x:c r="B41" s="148" t="n">
        <x:f>'ОБЪЕКТЫ'!B25-'ОБЪЕКТЫ'!B27</x:f>
      </x:c>
      <x:c r="C41" s="148" t="n">
        <x:f>IF('ОБЪЕКТЫ'!B10&gt;'Ставки'!$GA$3,'ОБЪЕКТЫ'!B25,0)</x:f>
      </x:c>
      <x:c r="D41" s="148" t="n">
        <x:f>B41-C41</x:f>
      </x:c>
      <x:c r="E41" s="148" t="n">
        <x:v>0.01</x:v>
      </x:c>
      <x:c r="F41" t="str">
        <x:f>IF(ABS(D41)&lt;=E41,"OK","FAIL")</x:f>
      </x:c>
      <x:c r="G41" t="str">
        <x:v>ОБЪЕКТЫ / эскроу</x:v>
      </x:c>
      <x:c r="H41" t="str">
        <x:v>Раскрытие учитывает собственный РВЭ объекта</x:v>
      </x:c>
    </x:row>
    <x:row r="42">
      <x:c r="A42" t="str">
        <x:v>ТЦ / ОСЗ: реализованный объём</x:v>
      </x:c>
      <x:c r="B42" s="148" t="n">
        <x:f>'ОБЪЕКТЫ'!B50</x:f>
      </x:c>
      <x:c r="C42" s="148" t="n">
        <x:f>IF(AND('Вводные'!$K$40="Да",IFERROR(INDEX('Вводные'!$B$88:$B$91,'Вводные'!$K$41),"Нет")="Да"),'Вводные'!$K$46,0)</x:f>
      </x:c>
      <x:c r="D42" s="148" t="n">
        <x:f>B42-C42</x:f>
      </x:c>
      <x:c r="E42" s="148" t="n">
        <x:v>0.01</x:v>
      </x:c>
      <x:c r="F42" t="str">
        <x:f>IF(ABS(D42)&lt;=E42,"OK","FAIL")</x:f>
      </x:c>
      <x:c r="G42" t="str">
        <x:v>ОБЪЕКТЫ / объём</x:v>
      </x:c>
      <x:c r="H42" t="str">
        <x:v>Отдельный продукт реализован полностью</x:v>
      </x:c>
    </x:row>
    <x:row r="43">
      <x:c r="A43" t="str">
        <x:v>ТЦ / ОСЗ: CAPEX</x:v>
      </x:c>
      <x:c r="B43" s="148" t="n">
        <x:f>'ОБЪЕКТЫ'!B56</x:f>
      </x:c>
      <x:c r="C43" s="148" t="n">
        <x:f>IF(AND('Вводные'!$K$40="Да",IFERROR(INDEX('Вводные'!$B$88:$B$91,'Вводные'!$K$41),"Нет")="Да"),'Вводные'!$K$45*'Вводные'!$K$49/1000*'Вводные'!$H$6*INDEX('Вводные'!$T$88:$T$91,'Вводные'!$K$41)*INDEX('Вводные'!$AH$88:$AH$91,'Вводные'!$K$41),0)</x:f>
      </x:c>
      <x:c r="D43" s="148" t="n">
        <x:f>B43-C43</x:f>
      </x:c>
      <x:c r="E43" s="148" t="n">
        <x:v>0.01</x:v>
      </x:c>
      <x:c r="F43" t="str">
        <x:f>IF(ABS(D43)&lt;=E43,"OK","FAIL")</x:f>
      </x:c>
      <x:c r="G43" t="str">
        <x:v>ОБЪЕКТЫ / CAPEX</x:v>
      </x:c>
      <x:c r="H43" t="str">
        <x:v>CAPEX связан с физическим драйвером</x:v>
      </x:c>
    </x:row>
    <x:row r="44">
      <x:c r="A44" t="str">
        <x:v>ТЦ / ОСЗ: финальный остаток эскроу</x:v>
      </x:c>
      <x:c r="B44" s="148" t="n">
        <x:f>'ОБЪЕКТЫ'!B53-'ОБЪЕКТЫ'!B55</x:f>
      </x:c>
      <x:c r="C44" s="148" t="n">
        <x:f>IF('ОБЪЕКТЫ'!B38&gt;'Ставки'!$GA$3,'ОБЪЕКТЫ'!B53,0)</x:f>
      </x:c>
      <x:c r="D44" s="148" t="n">
        <x:f>B44-C44</x:f>
      </x:c>
      <x:c r="E44" s="148" t="n">
        <x:v>0.01</x:v>
      </x:c>
      <x:c r="F44" t="str">
        <x:f>IF(ABS(D44)&lt;=E44,"OK","FAIL")</x:f>
      </x:c>
      <x:c r="G44" t="str">
        <x:v>ОБЪЕКТЫ / эскроу</x:v>
      </x:c>
      <x:c r="H44" t="str">
        <x:v>Раскрытие учитывает собственный РВЭ объекта</x:v>
      </x:c>
    </x:row>
    <x:row r="45">
      <x:c r="A45" t="str">
        <x:v>Наземный паркинг: реализованный объём</x:v>
      </x:c>
      <x:c r="B45" s="148" t="n">
        <x:f>'ОБЪЕКТЫ'!B78</x:f>
      </x:c>
      <x:c r="C45" s="148" t="n">
        <x:f>IF(AND('Вводные'!$K$60="Да",IFERROR(INDEX('Вводные'!$B$88:$B$91,'Вводные'!$K$61),"Нет")="Да"),'Вводные'!$K$65,0)</x:f>
      </x:c>
      <x:c r="D45" s="148" t="n">
        <x:f>B45-C45</x:f>
      </x:c>
      <x:c r="E45" s="148" t="n">
        <x:v>0.01</x:v>
      </x:c>
      <x:c r="F45" t="str">
        <x:f>IF(ABS(D45)&lt;=E45,"OK","FAIL")</x:f>
      </x:c>
      <x:c r="G45" t="str">
        <x:v>ОБЪЕКТЫ / объём</x:v>
      </x:c>
      <x:c r="H45" t="str">
        <x:v>Отдельный продукт реализован полностью</x:v>
      </x:c>
    </x:row>
    <x:row r="46">
      <x:c r="A46" t="str">
        <x:v>Наземный паркинг: CAPEX</x:v>
      </x:c>
      <x:c r="B46" s="148" t="n">
        <x:f>'ОБЪЕКТЫ'!B84</x:f>
      </x:c>
      <x:c r="C46" s="148" t="n">
        <x:f>IF(AND('Вводные'!$K$60="Да",IFERROR(INDEX('Вводные'!$B$88:$B$91,'Вводные'!$K$61),"Нет")="Да"),'Вводные'!$K$65*'Вводные'!$K$67*'Вводные'!$H$6*INDEX('Вводные'!$T$88:$T$91,'Вводные'!$K$61)*INDEX('Вводные'!$AH$88:$AH$91,'Вводные'!$K$61),0)</x:f>
      </x:c>
      <x:c r="D46" s="148" t="n">
        <x:f>B46-C46</x:f>
      </x:c>
      <x:c r="E46" s="148" t="n">
        <x:v>0.01</x:v>
      </x:c>
      <x:c r="F46" t="str">
        <x:f>IF(ABS(D46)&lt;=E46,"OK","FAIL")</x:f>
      </x:c>
      <x:c r="G46" t="str">
        <x:v>ОБЪЕКТЫ / CAPEX</x:v>
      </x:c>
      <x:c r="H46" t="str">
        <x:v>CAPEX связан с физическим драйвером</x:v>
      </x:c>
    </x:row>
    <x:row r="47">
      <x:c r="A47" t="str">
        <x:v>Наземный паркинг: финальный остаток эскроу</x:v>
      </x:c>
      <x:c r="B47" s="148" t="n">
        <x:f>'ОБЪЕКТЫ'!B81-'ОБЪЕКТЫ'!B83</x:f>
      </x:c>
      <x:c r="C47" s="148" t="n">
        <x:f>IF('ОБЪЕКТЫ'!B66&gt;'Ставки'!$GA$3,'ОБЪЕКТЫ'!B81,0)</x:f>
      </x:c>
      <x:c r="D47" s="148" t="n">
        <x:f>B47-C47</x:f>
      </x:c>
      <x:c r="E47" s="148" t="n">
        <x:v>0.01</x:v>
      </x:c>
      <x:c r="F47" t="str">
        <x:f>IF(ABS(D47)&lt;=E47,"OK","FAIL")</x:f>
      </x:c>
      <x:c r="G47" t="str">
        <x:v>ОБЪЕКТЫ / эскроу</x:v>
      </x:c>
      <x:c r="H47" t="str">
        <x:v>Раскрытие учитывает собственный РВЭ объекта</x:v>
      </x:c>
    </x:row>
    <x:row r="48">
      <x:c r="A48" t="str">
        <x:v>Выручка продуктов = CF</x:v>
      </x:c>
      <x:c r="B48" s="148" t="n">
        <x:f>SUM('Продажи'!B26,'Продажи'!B49,'Продажи'!B72,'Продажи'!B95,'ОБЪЕКТЫ'!B24,'ОБЪЕКТЫ'!B52,'ОБЪЕКТЫ'!B80)</x:f>
      </x:c>
      <x:c r="C48" s="148" t="n">
        <x:f>'CF'!B6</x:f>
      </x:c>
      <x:c r="D48" s="148" t="n">
        <x:f>B48-C48</x:f>
      </x:c>
      <x:c r="E48" s="148" t="n">
        <x:v>0.01</x:v>
      </x:c>
      <x:c r="F48" t="str">
        <x:f>IF(ABS(D48)&lt;=E48,"OK","FAIL")</x:f>
      </x:c>
      <x:c r="G48" t="str">
        <x:v>CF / продукты</x:v>
      </x:c>
      <x:c r="H48" t="str">
        <x:v>Все типы продукта включены в консолидацию</x:v>
      </x:c>
    </x:row>
    <x:row r="49">
      <x:c r="A49" t="str">
        <x:v>ТЭП: выручка = CF</x:v>
      </x:c>
      <x:c r="B49" s="148" t="n">
        <x:f>'ТЭП'!G36</x:f>
      </x:c>
      <x:c r="C49" s="148" t="n">
        <x:f>'CF'!B6</x:f>
      </x:c>
      <x:c r="D49" s="148" t="n">
        <x:f>B49-C49</x:f>
      </x:c>
      <x:c r="E49" s="148" t="n">
        <x:v>0.01</x:v>
      </x:c>
      <x:c r="F49" t="str">
        <x:f>IF(ABS(D49)&lt;=E49,"OK","FAIL")</x:f>
      </x:c>
      <x:c r="G49" t="str">
        <x:v>ТЭП / CF</x:v>
      </x:c>
      <x:c r="H49" t="str">
        <x:v>Продуктовый состав бьётся с денежным потоком</x:v>
      </x:c>
    </x:row>
    <x:row r="50">
      <x:c r="A50" t="str">
        <x:v>Аллокация выручки объектов</x:v>
      </x:c>
      <x:c r="B50" s="148" t="n">
        <x:f>SUM('ОБЪЕКТЫ'!B92,'ОБЪЕКТЫ'!B100,'ОБЪЕКТЫ'!B108,'ОБЪЕКТЫ'!B116)</x:f>
      </x:c>
      <x:c r="C50" s="148" t="n">
        <x:f>SUM('ОБЪЕКТЫ'!B24,'ОБЪЕКТЫ'!B52,'ОБЪЕКТЫ'!B80)</x:f>
      </x:c>
      <x:c r="D50" s="148" t="n">
        <x:f>B50-C50</x:f>
      </x:c>
      <x:c r="E50" s="148" t="n">
        <x:v>0.01</x:v>
      </x:c>
      <x:c r="F50" t="str">
        <x:f>IF(ABS(D50)&lt;=E50,"OK","FAIL")</x:f>
      </x:c>
      <x:c r="G50" t="str">
        <x:v>ОБЪЕКТЫ / очереди</x:v>
      </x:c>
      <x:c r="H50" t="str">
        <x:v>Объекты полностью распределены по очередям</x:v>
      </x:c>
    </x:row>
    <x:row r="51">
      <x:c r="A51" t="str">
        <x:v>Аллокация CAPEX объектов</x:v>
      </x:c>
      <x:c r="B51" s="148" t="n">
        <x:f>SUM('ОБЪЕКТЫ'!B96,'ОБЪЕКТЫ'!B104,'ОБЪЕКТЫ'!B112,'ОБЪЕКТЫ'!B120)</x:f>
      </x:c>
      <x:c r="C51" s="148" t="n">
        <x:f>SUM('ОБЪЕКТЫ'!B28,'ОБЪЕКТЫ'!B56,'ОБЪЕКТЫ'!B84)</x:f>
      </x:c>
      <x:c r="D51" s="148" t="n">
        <x:f>B51-C51</x:f>
      </x:c>
      <x:c r="E51" s="148" t="n">
        <x:v>0.01</x:v>
      </x:c>
      <x:c r="F51" t="str">
        <x:f>IF(ABS(D51)&lt;=E51,"OK","FAIL")</x:f>
      </x:c>
      <x:c r="G51" t="str">
        <x:v>ОБЪЕКТЫ / очереди</x:v>
      </x:c>
      <x:c r="H51" t="str">
        <x:v>CAPEX объектов полностью распределён</x:v>
      </x:c>
    </x:row>
    <x:row r="52">
      <x:c r="A52" t="str">
        <x:v>Плотность: офисы</x:v>
      </x:c>
      <x:c r="B52" s="148" t="n">
        <x:f>'Вводные'!K25</x:f>
      </x:c>
      <x:c r="C52" s="148" t="n">
        <x:f>IF('Вводные'!K20="Да",'Вводные'!K23*IF('Вводные'!K22="Да",'Вводные'!$K$15,1),0)</x:f>
      </x:c>
      <x:c r="D52" s="148" t="n">
        <x:f>B52-C52</x:f>
      </x:c>
      <x:c r="E52" s="148" t="n">
        <x:v>0.01</x:v>
      </x:c>
      <x:c r="F52" t="str">
        <x:f>IF(ABS(D52)&lt;=E52,"OK","FAIL")</x:f>
      </x:c>
      <x:c r="G52" t="str">
        <x:v>Вводные / офисы</x:v>
      </x:c>
      <x:c r="H52" t="str">
        <x:v>Плотность влияет только при включённом переключателе</x:v>
      </x:c>
    </x:row>
    <x:row r="53">
      <x:c r="A53" t="str">
        <x:v>Плотность: ТЦ / ОСЗ</x:v>
      </x:c>
      <x:c r="B53" s="148" t="n">
        <x:f>'Вводные'!K45</x:f>
      </x:c>
      <x:c r="C53" s="148" t="n">
        <x:f>IF('Вводные'!K40="Да",'Вводные'!K43*IF('Вводные'!K42="Да",'Вводные'!$K$15,1),0)</x:f>
      </x:c>
      <x:c r="D53" s="148" t="n">
        <x:f>B53-C53</x:f>
      </x:c>
      <x:c r="E53" s="148" t="n">
        <x:v>0.01</x:v>
      </x:c>
      <x:c r="F53" t="str">
        <x:f>IF(ABS(D53)&lt;=E53,"OK","FAIL")</x:f>
      </x:c>
      <x:c r="G53" t="str">
        <x:v>Вводные / ТЦ</x:v>
      </x:c>
      <x:c r="H53" t="str">
        <x:v>Плотность влияет только при включённом переключателе</x:v>
      </x:c>
    </x:row>
    <x:row r="54">
      <x:c r="A54" t="str">
        <x:v>Плотность: наземный паркинг</x:v>
      </x:c>
      <x:c r="B54" s="148" t="n">
        <x:f>'Вводные'!K65</x:f>
      </x:c>
      <x:c r="C54" s="148" t="n">
        <x:f>IF('Вводные'!K60="Да",'Вводные'!K63*IF('Вводные'!K62="Да",'Вводные'!$K$15,1),0)</x:f>
      </x:c>
      <x:c r="D54" s="148" t="n">
        <x:f>B54-C54</x:f>
      </x:c>
      <x:c r="E54" s="148" t="n">
        <x:v>0.01</x:v>
      </x:c>
      <x:c r="F54" t="str">
        <x:f>IF(ABS(D54)&lt;=E54,"OK","FAIL")</x:f>
      </x:c>
      <x:c r="G54" t="str">
        <x:v>Вводные / парковка</x:v>
      </x:c>
      <x:c r="H54" t="str">
        <x:v>Количество мест масштабируется управляемо</x:v>
      </x:c>
    </x:row>
    <x:row r="55">
      <x:c r="A55" t="str">
        <x:v>Плотность: подземный паркинг очереди 1</x:v>
      </x:c>
      <x:c r="B55" s="148" t="n">
        <x:f>'Вводные'!N88</x:f>
      </x:c>
      <x:c r="C55" s="148" t="n">
        <x:f>ROUND('Вводные'!AB88*IF('Вводные'!$K$80="Да",'Вводные'!$K$15,1),0)</x:f>
      </x:c>
      <x:c r="D55" s="148" t="n">
        <x:f>B55-C55</x:f>
      </x:c>
      <x:c r="E55" s="148" t="n">
        <x:v>0.01</x:v>
      </x:c>
      <x:c r="F55" t="str">
        <x:f>IF(ABS(D55)&lt;=E55,"OK","FAIL")</x:f>
      </x:c>
      <x:c r="G55" t="str">
        <x:v>Вводные / очереди</x:v>
      </x:c>
      <x:c r="H55" t="str">
        <x:v>Подземный паркинг имеет отдельный переключатель</x:v>
      </x:c>
    </x:row>
    <x:row r="56">
      <x:c r="A56" t="str">
        <x:v>Сезонность: коэффициенты положительны</x:v>
      </x:c>
      <x:c r="B56" s="148" t="n">
        <x:f>--AND(1+'Вводные'!B67&gt;0,1+'Вводные'!B70&gt;0)</x:f>
      </x:c>
      <x:c r="C56" s="148" t="n">
        <x:f>1</x:f>
      </x:c>
      <x:c r="D56" s="148" t="n">
        <x:f>B56-C56</x:f>
      </x:c>
      <x:c r="E56" s="148" t="n">
        <x:v>0.01</x:v>
      </x:c>
      <x:c r="F56" t="str">
        <x:f>IF(ABS(D56)&lt;=E56,"OK","FAIL")</x:f>
      </x:c>
      <x:c r="G56" t="str">
        <x:v>Вводные / продажи</x:v>
      </x:c>
      <x:c r="H56" t="str">
        <x:v>Сезонность используется только для января и мая–августа</x:v>
      </x:c>
    </x:row>
    <x:row r="57">
      <x:c r="A57" t="str">
        <x:v>Срок продаж: все очереди положительны</x:v>
      </x:c>
      <x:c r="B57" s="148" t="n">
        <x:f>--AND('Вводные'!H88&gt;=1,'Вводные'!H89&gt;=1,'Вводные'!H90&gt;=1,'Вводные'!H91&gt;=1)</x:f>
      </x:c>
      <x:c r="C57" s="148" t="n">
        <x:f>1</x:f>
      </x:c>
      <x:c r="D57" s="148" t="n">
        <x:f>B57-C57</x:f>
      </x:c>
      <x:c r="E57" s="148" t="n">
        <x:v>0.01</x:v>
      </x:c>
      <x:c r="F57" t="str">
        <x:f>IF(ABS(D57)&lt;=E57,"OK","FAIL")</x:f>
      </x:c>
      <x:c r="G57" t="str">
        <x:v>Вводные / очереди</x:v>
      </x:c>
      <x:c r="H57" t="str">
        <x:v>Срок продаж задаётся отдельно по каждой очереди</x:v>
      </x:c>
    </x:row>
    <x:row r="58">
      <x:c r="A58" t="str">
        <x:v>Коэффициент инфляции цены очереди 1</x:v>
      </x:c>
      <x:c r="B58" s="148" t="n">
        <x:f>'Вводные'!AG88</x:f>
      </x:c>
      <x:c r="C58" s="148" t="n">
        <x:f>(1+'Вводные'!AE88)^(MAX(0,12*(YEAR(EDATE('Вводные'!D88,'Вводные'!E88+'Вводные'!G88+'Вводные'!$H$9))-YEAR('Вводные'!$B$36))+MONTH(EDATE('Вводные'!D88,'Вводные'!E88+'Вводные'!G88+'Вводные'!$H$9))-MONTH('Вводные'!$B$36))/12)</x:f>
      </x:c>
      <x:c r="D58" s="148" t="n">
        <x:f>B58-C58</x:f>
      </x:c>
      <x:c r="E58" s="148" t="n">
        <x:v>0.01</x:v>
      </x:c>
      <x:c r="F58" t="str">
        <x:f>IF(ABS(D58)&lt;=E58,"OK","FAIL")</x:f>
      </x:c>
      <x:c r="G58" t="str">
        <x:v>Вводные / инфляция</x:v>
      </x:c>
      <x:c r="H58" t="str">
        <x:v>Цена базы индексируется к старту продаж</x:v>
      </x:c>
    </x:row>
    <x:row r="59">
      <x:c r="A59" t="str">
        <x:v>Коэффициент инфляции затрат очереди 1</x:v>
      </x:c>
      <x:c r="B59" s="148" t="n">
        <x:f>'Вводные'!AH88</x:f>
      </x:c>
      <x:c r="C59" s="148" t="n">
        <x:f>(1+'Вводные'!AF88)^(MAX(0,12*(YEAR(EDATE('Вводные'!D88,'Вводные'!E88+'Вводные'!$H$9))-YEAR('Вводные'!$B$36))+MONTH(EDATE('Вводные'!D88,'Вводные'!E88+'Вводные'!$H$9))-MONTH('Вводные'!$B$36))/12)</x:f>
      </x:c>
      <x:c r="D59" s="148" t="n">
        <x:f>B59-C59</x:f>
      </x:c>
      <x:c r="E59" s="148" t="n">
        <x:v>0.01</x:v>
      </x:c>
      <x:c r="F59" t="str">
        <x:f>IF(ABS(D59)&lt;=E59,"OK","FAIL")</x:f>
      </x:c>
      <x:c r="G59" t="str">
        <x:v>Вводные / инфляция</x:v>
      </x:c>
      <x:c r="H59" t="str">
        <x:v>Себестоимость базы индексируется к РнС</x:v>
      </x:c>
    </x:row>
    <x:row r="60">
      <x:c r="A60" t="str">
        <x:v>Отчёт: выручка площадных продуктов</x:v>
      </x:c>
      <x:c r="B60" s="148" t="n">
        <x:f>'ОТЧЕТ'!F59</x:f>
      </x:c>
      <x:c r="C60" s="148" t="n">
        <x:f>SUM('Продажи'!B16,'Продажи'!B19,'Продажи'!B39,'Продажи'!B42,'Продажи'!B62,'Продажи'!B65,'Продажи'!B85,'Продажи'!B88,'ОБЪЕКТЫ'!B24,'ОБЪЕКТЫ'!B52)</x:f>
      </x:c>
      <x:c r="D60" s="148" t="n">
        <x:f>B60-C60</x:f>
      </x:c>
      <x:c r="E60" s="148" t="n">
        <x:v>0.01</x:v>
      </x:c>
      <x:c r="F60" t="str">
        <x:f>IF(ABS(D60)&lt;=E60,"OK","FAIL")</x:f>
      </x:c>
      <x:c r="G60" t="str">
        <x:v>ОТЧЕТ / unit economics</x:v>
      </x:c>
      <x:c r="H60" t="str">
        <x:v>Парковки и кладовые исключены из средней цены на м²</x:v>
      </x:c>
    </x:row>
    <x:row r="61">
      <x:c r="A61" t="str">
        <x:v>Отчёт: темпы продаж неотрицательны</x:v>
      </x:c>
      <x:c r="B61" s="148" t="n">
        <x:f>--AND('ОТЧЕТ'!F65&gt;=0,'ОТЧЕТ'!F66&gt;=0,'ОТЧЕТ'!F67&gt;=0,'ОТЧЕТ'!F68&gt;=0,'ОТЧЕТ'!F69&gt;=0,'ОТЧЕТ'!F70&gt;=0)</x:f>
      </x:c>
      <x:c r="C61" s="148" t="n">
        <x:f>1</x:f>
      </x:c>
      <x:c r="D61" s="148" t="n">
        <x:f>B61-C61</x:f>
      </x:c>
      <x:c r="E61" s="148" t="n">
        <x:v>0.01</x:v>
      </x:c>
      <x:c r="F61" t="str">
        <x:f>IF(ABS(D61)&lt;=E61,"OK","FAIL")</x:f>
      </x:c>
      <x:c r="G61" t="str">
        <x:v>ОТЧЕТ / темпы</x:v>
      </x:c>
      <x:c r="H61" t="str">
        <x:v>Темпы показаны в м²/мес. и шт./мес.</x:v>
      </x:c>
    </x:row>
    <x:row r="62">
      <x:c r="A62" t="inlineStr">
        <x:is>
          <x:t>Очередь 4: объём квартир</x:t>
        </x:is>
      </x:c>
      <x:c r="B62">
        <x:f>'Продажи'!B83</x:f>
      </x:c>
      <x:c r="C62">
        <x:f>'Вводные'!$L$91</x:f>
      </x:c>
      <x:c r="D62">
        <x:f>B62-C62</x:f>
      </x:c>
      <x:c r="E62">
        <x:v>0.01</x:v>
      </x:c>
      <x:c r="F62">
        <x:f>IF(ABS(D62)&lt;=E62,"OK","FAIL")</x:f>
      </x:c>
      <x:c r="G62" t="inlineStr">
        <x:is>
          <x:t>Продажи / очередь 4</x:t>
        </x:is>
      </x:c>
      <x:c r="H62" t="inlineStr">
        <x:is>
          <x:t>Расчётная целостность</x:t>
        </x:is>
      </x:c>
    </x:row>
    <x:row r="63">
      <x:c r="A63" t="inlineStr">
        <x:is>
          <x:t>Очередь 4: объём коммерции</x:t>
        </x:is>
      </x:c>
      <x:c r="B63">
        <x:f>'Продажи'!B86</x:f>
      </x:c>
      <x:c r="C63">
        <x:f>'Вводные'!$M$91</x:f>
      </x:c>
      <x:c r="D63">
        <x:f>B63-C63</x:f>
      </x:c>
      <x:c r="E63">
        <x:v>0.01</x:v>
      </x:c>
      <x:c r="F63">
        <x:f>IF(ABS(D63)&lt;=E63,"OK","FAIL")</x:f>
      </x:c>
      <x:c r="G63" t="inlineStr">
        <x:is>
          <x:t>Продажи / очередь 4</x:t>
        </x:is>
      </x:c>
      <x:c r="H63" t="inlineStr">
        <x:is>
          <x:t>Расчётная целостность</x:t>
        </x:is>
      </x:c>
    </x:row>
    <x:row r="64">
      <x:c r="A64" t="inlineStr">
        <x:is>
          <x:t>Очередь 4: объём подземного паркинга</x:t>
        </x:is>
      </x:c>
      <x:c r="B64">
        <x:f>'Продажи'!B89</x:f>
      </x:c>
      <x:c r="C64">
        <x:f>'Вводные'!N91</x:f>
      </x:c>
      <x:c r="D64">
        <x:f>B64-C64</x:f>
      </x:c>
      <x:c r="E64">
        <x:v>0.01</x:v>
      </x:c>
      <x:c r="F64">
        <x:f>IF(ABS(D64)&lt;=E64,"OK","FAIL")</x:f>
      </x:c>
      <x:c r="G64" t="inlineStr">
        <x:is>
          <x:t>Продажи / паркинг</x:t>
        </x:is>
      </x:c>
      <x:c r="H64" t="inlineStr">
        <x:is>
          <x:t>Объём машино-мест полностью реализован</x:t>
        </x:is>
      </x:c>
    </x:row>
    <x:row r="65">
      <x:c r="A65" t="inlineStr">
        <x:is>
          <x:t>Очередь 4: объём кладовых</x:t>
        </x:is>
      </x:c>
      <x:c r="B65">
        <x:f>'Продажи'!B92</x:f>
      </x:c>
      <x:c r="C65">
        <x:f>'Вводные'!O91</x:f>
      </x:c>
      <x:c r="D65">
        <x:f>B65-C65</x:f>
      </x:c>
      <x:c r="E65">
        <x:v>0.01</x:v>
      </x:c>
      <x:c r="F65">
        <x:f>IF(ABS(D65)&lt;=E65,"OK","FAIL")</x:f>
      </x:c>
      <x:c r="G65" t="inlineStr">
        <x:is>
          <x:t>Продажи / кладовые</x:t>
        </x:is>
      </x:c>
      <x:c r="H65" t="inlineStr">
        <x:is>
          <x:t>Объём кладовых полностью реализован</x:t>
        </x:is>
      </x:c>
    </x:row>
    <x:row r="66">
      <x:c r="A66" t="inlineStr">
        <x:is>
          <x:t>Очередь 4: roll-forward БРИДЖ</x:t>
        </x:is>
      </x:c>
      <x:c r="B66">
        <x:f>'CF_4'!B60</x:f>
      </x:c>
      <x:c r="C66">
        <x:f>0</x:f>
      </x:c>
      <x:c r="D66">
        <x:f>B66-C66</x:f>
      </x:c>
      <x:c r="E66">
        <x:v>0.01</x:v>
      </x:c>
      <x:c r="F66">
        <x:f>IF(ABS(D66)&lt;=E66,"OK","FAIL")</x:f>
      </x:c>
      <x:c r="G66" t="inlineStr">
        <x:is>
          <x:t>CF_4</x:t>
        </x:is>
      </x:c>
      <x:c r="H66" t="inlineStr">
        <x:is>
          <x:t>Расчётная целостность</x:t>
        </x:is>
      </x:c>
    </x:row>
    <x:row r="67">
      <x:c r="A67" t="inlineStr">
        <x:is>
          <x:t>Очередь 4: roll-forward ПФ</x:t>
        </x:is>
      </x:c>
      <x:c r="B67">
        <x:f>'CF_4'!B61</x:f>
      </x:c>
      <x:c r="C67">
        <x:f>0</x:f>
      </x:c>
      <x:c r="D67">
        <x:f>B67-C67</x:f>
      </x:c>
      <x:c r="E67">
        <x:v>0.01</x:v>
      </x:c>
      <x:c r="F67">
        <x:f>IF(ABS(D67)&lt;=E67,"OK","FAIL")</x:f>
      </x:c>
      <x:c r="G67" t="inlineStr">
        <x:is>
          <x:t>CF_4</x:t>
        </x:is>
      </x:c>
      <x:c r="H67" t="inlineStr">
        <x:is>
          <x:t>Расчётная целостность</x:t>
        </x:is>
      </x:c>
    </x:row>
    <x:row r="68">
      <x:c r="A68" t="inlineStr">
        <x:is>
          <x:t>Очередь 4: roll-forward эскроу</x:t>
        </x:is>
      </x:c>
      <x:c r="B68">
        <x:f>'CF_4'!B62</x:f>
      </x:c>
      <x:c r="C68">
        <x:f>0</x:f>
      </x:c>
      <x:c r="D68">
        <x:f>B68-C68</x:f>
      </x:c>
      <x:c r="E68">
        <x:v>0.01</x:v>
      </x:c>
      <x:c r="F68">
        <x:f>IF(ABS(D68)&lt;=E68,"OK","FAIL")</x:f>
      </x:c>
      <x:c r="G68" t="inlineStr">
        <x:is>
          <x:t>CF_4</x:t>
        </x:is>
      </x:c>
      <x:c r="H68" t="inlineStr">
        <x:is>
          <x:t>Расчётная целостность</x:t>
        </x:is>
      </x:c>
    </x:row>
    <x:row r="69">
      <x:c r="A69" t="inlineStr">
        <x:is>
          <x:t>Сумма долей лимита БРИДЖ</x:t>
        </x:is>
      </x:c>
      <x:c r="B69" s="148">
        <x:f>SUM('Вводные'!U88:U91)</x:f>
      </x:c>
      <x:c r="C69" s="148">
        <x:f>1</x:f>
      </x:c>
      <x:c r="D69" s="148">
        <x:f>B69-C69</x:f>
      </x:c>
      <x:c r="E69" s="148">
        <x:v>0.01</x:v>
      </x:c>
      <x:c r="F69" t="str">
        <x:f>IF(ABS(D69)&lt;=E69,"OK","WARN")</x:f>
      </x:c>
    </x:row>
    <x:row r="70">
      <x:c r="A70" t="inlineStr">
        <x:is>
          <x:t>Сумма долей лимита ПФ</x:t>
        </x:is>
      </x:c>
      <x:c r="B70" s="148">
        <x:f>SUM('Вводные'!V88:V91)</x:f>
      </x:c>
      <x:c r="C70" s="148">
        <x:f>1</x:f>
      </x:c>
      <x:c r="D70" s="148">
        <x:f>B70-C70</x:f>
      </x:c>
      <x:c r="E70" s="148">
        <x:v>0.01</x:v>
      </x:c>
      <x:c r="F70" t="str">
        <x:f>IF(ABS(D70)&lt;=E70,"OK","WARN")</x:f>
      </x:c>
    </x:row>
    <x:row r="71">
      <x:c r="A71" t="inlineStr">
        <x:is>
          <x:t>Объекты стартуют не раньше своей очереди</x:t>
        </x:is>
      </x:c>
      <x:c r="B71" s="148">
        <x:f>--AND(OR('Вводные'!$K$20="Нет",'Вводные'!$K$27&gt;=EDATE(INDEX('Вводные'!$D$88:$D$91,'Вводные'!$K$21),'Вводные'!$H$9)),OR('Вводные'!$K$40="Нет",'Вводные'!$K$47&gt;=EDATE(INDEX('Вводные'!$D$88:$D$91,'Вводные'!$K$41),'Вводные'!$H$9)),OR('Вводные'!$K$60="Нет",'Вводные'!$K$68&gt;=EDATE(INDEX('Вводные'!$D$88:$D$91,'Вводные'!$K$61),'Вводные'!$H$9)))</x:f>
      </x:c>
      <x:c r="C71" s="148">
        <x:f>1</x:f>
      </x:c>
      <x:c r="D71" s="148">
        <x:f>B71-C71</x:f>
      </x:c>
      <x:c r="E71" s="148">
        <x:v>0</x:v>
      </x:c>
      <x:c r="F71" t="str">
        <x:f>IF(ABS(D71)&lt;=E71,"OK","WARN")</x:f>
      </x:c>
    </x:row>
    <x:row r="72">
      <x:c r="A72" t="inlineStr">
        <x:is>
          <x:t>Пик ПФ в пределах лимита ПФ и рефинансируемого БРИДЖа</x:t>
        </x:is>
      </x:c>
      <x:c r="B72" s="148">
        <x:f>MAX(0,'CF_1'!B83-'Вводные'!$B$26*'Вводные'!$V$88-'Вводные'!$B$24*'Вводные'!$U$88,'CF_2'!B83-'Вводные'!$B$26*'Вводные'!$V$89-'Вводные'!$B$24*'Вводные'!$U$89,'CF_3'!B83-'Вводные'!$B$26*'Вводные'!$V$90-'Вводные'!$B$24*'Вводные'!$U$90,'CF_4'!B83-'Вводные'!$B$26*'Вводные'!$V$91-'Вводные'!$B$24*'Вводные'!$U$91)</x:f>
      </x:c>
      <x:c r="C72" s="148">
        <x:f>0</x:f>
      </x:c>
      <x:c r="D72" s="148">
        <x:f>B72-C72</x:f>
      </x:c>
      <x:c r="E72" s="148">
        <x:v>0.01</x:v>
      </x:c>
      <x:c r="F72" t="str">
        <x:f>IF(B72&lt;=C72+E72,"OK","FAIL")</x:f>
      </x:c>
    </x:row>
    <x:row r="73">
      <x:c r="A73" t="inlineStr">
        <x:is>
          <x:t>Включена хотя бы одна очередь</x:t>
        </x:is>
      </x:c>
      <x:c r="B73" s="148">
        <x:f>COUNTIF('Вводные'!B88:B91,"Да")</x:f>
      </x:c>
      <x:c r="C73" s="148">
        <x:f>1</x:f>
      </x:c>
      <x:c r="D73" s="148">
        <x:f>B73-C73</x:f>
      </x:c>
      <x:c r="E73" s="148">
        <x:v>0</x:v>
      </x:c>
      <x:c r="F73" t="str">
        <x:f>IF(B73&gt;=C73,"OK","FAIL")</x:f>
      </x:c>
    </x:row>
    <x:row r="76">
      <x:c r="A76" t="inlineStr">
        <x:is>
          <x:t>ПАРИТЕТ С ДВИЖКОМ: выручка, млн</x:t>
        </x:is>
      </x:c>
      <x:c r="B76">
        <x:f>'ОТЧЕТ'!B5</x:f>
      </x:c>
      <x:c r="C76"/>
      <x:c r="D76">
        <x:f>IF(C76="","",B76-C76)</x:f>
      </x:c>
      <x:c r="E76"/>
      <x:c r="F76">
        <x:f>IF(C76="","",IF(ABS(D76)&lt;=E76,"OK","FAIL"))</x:f>
      </x:c>
    </x:row>
    <x:row r="77">
      <x:c r="A77" t="inlineStr">
        <x:is>
          <x:t>Паритет: CAPEX, млн</x:t>
        </x:is>
      </x:c>
      <x:c r="B77">
        <x:f>'ОТЧЕТ'!B6</x:f>
      </x:c>
      <x:c r="C77"/>
      <x:c r="D77">
        <x:f>IF(C77="","",B77-C77)</x:f>
      </x:c>
      <x:c r="E77"/>
      <x:c r="F77">
        <x:f>IF(C77="","",IF(ABS(D77)&lt;=E77,"OK","FAIL"))</x:f>
      </x:c>
    </x:row>
    <x:row r="78">
      <x:c r="A78" t="inlineStr">
        <x:is>
          <x:t>Паритет: EBITDA, млн</x:t>
        </x:is>
      </x:c>
      <x:c r="B78">
        <x:f>'ОТЧЕТ'!B8</x:f>
      </x:c>
      <x:c r="C78"/>
      <x:c r="D78">
        <x:f>IF(C78="","",B78-C78)</x:f>
      </x:c>
      <x:c r="E78"/>
      <x:c r="F78">
        <x:f>IF(C78="","",IF(ABS(D78)&lt;=E78,"OK","FAIL"))</x:f>
      </x:c>
    </x:row>
    <x:row r="79">
      <x:c r="A79" t="inlineStr">
        <x:is>
          <x:t>Паритет: стоимость финансирования, млн</x:t>
        </x:is>
      </x:c>
      <x:c r="B79">
        <x:f>'ОТЧЕТ'!B9</x:f>
      </x:c>
      <x:c r="C79"/>
      <x:c r="D79">
        <x:f>IF(C79="","",B79-C79)</x:f>
      </x:c>
      <x:c r="E79"/>
      <x:c r="F79">
        <x:f>IF(C79="","",IF(ABS(D79)&lt;=E79,"OK","FAIL"))</x:f>
      </x:c>
    </x:row>
    <x:row r="80">
      <x:c r="A80" t="inlineStr">
        <x:is>
          <x:t>Паритет: налог на прибыль, млн</x:t>
        </x:is>
      </x:c>
      <x:c r="B80">
        <x:f>'ОТЧЕТ'!B11</x:f>
      </x:c>
      <x:c r="C80"/>
      <x:c r="D80">
        <x:f>IF(C80="","",B80-C80)</x:f>
      </x:c>
      <x:c r="E80"/>
      <x:c r="F80">
        <x:f>IF(C80="","",IF(ABS(D80)&lt;=E80,"OK","FAIL"))</x:f>
      </x:c>
    </x:row>
    <x:row r="81">
      <x:c r="A81" t="inlineStr">
        <x:is>
          <x:t>Паритет: чистая прибыль, млн</x:t>
        </x:is>
      </x:c>
      <x:c r="B81">
        <x:f>'ОТЧЕТ'!B12</x:f>
      </x:c>
      <x:c r="C81"/>
      <x:c r="D81">
        <x:f>IF(C81="","",B81-C81)</x:f>
      </x:c>
      <x:c r="E81"/>
      <x:c r="F81">
        <x:f>IF(C81="","",IF(ABS(D81)&lt;=E81,"OK","FAIL"))</x:f>
      </x:c>
    </x:row>
    <x:row r="82">
      <x:c r="A82" t="inlineStr">
        <x:is>
          <x:t>Паритет: LLCR</x:t>
        </x:is>
      </x:c>
      <x:c r="B82">
        <x:f>'ОТЧЕТ'!B19</x:f>
      </x:c>
      <x:c r="C82"/>
      <x:c r="D82">
        <x:f>IF(C82="","",B82-C82)</x:f>
      </x:c>
      <x:c r="E82"/>
      <x:c r="F82">
        <x:f>IF(C82="","",IF(ABS(D82)&lt;=E82,"OK","FAIL"))</x:f>
      </x:c>
    </x:row>
    <x:row r="83">
      <x:c r="A83" t="inlineStr">
        <x:is>
          <x:t>Паритет: пик БРИДЖ (тело), млн</x:t>
        </x:is>
      </x:c>
      <x:c r="B83">
        <x:f>MAX('CF'!D17:GA17)</x:f>
      </x:c>
      <x:c r="C83"/>
      <x:c r="D83">
        <x:f>IF(C83="","",B83-C83)</x:f>
      </x:c>
      <x:c r="E83"/>
      <x:c r="F83">
        <x:f>IF(C83="","",IF(ABS(D83)&lt;=E83,"OK","FAIL"))</x:f>
      </x:c>
    </x:row>
    <x:row r="84">
      <x:c r="A84" t="inlineStr">
        <x:is>
          <x:t>Паритет: пик ПФ, млн</x:t>
        </x:is>
      </x:c>
      <x:c r="B84">
        <x:f>MAX('CF'!D18:GA18)</x:f>
      </x:c>
      <x:c r="C84"/>
      <x:c r="D84">
        <x:f>IF(C84="","",B84-C84)</x:f>
      </x:c>
      <x:c r="E84"/>
      <x:c r="F84">
        <x:f>IF(C84="","",IF(ABS(D84)&lt;=E84,"OK","FAIL"))</x:f>
      </x:c>
    </x:row>
  </x:sheetData>
  <x:mergeCells>
    <x:mergeCell ref="A1:H1"/>
    <x:mergeCell ref="B3:H3"/>
  </x:mergeCells>
  <x:conditionalFormatting sqref="F6:F32">
    <x:cfRule type="containsText" dxfId="3" priority="4" operator="containsText" text="OK"/>
    <x:cfRule type="containsText" dxfId="4" priority="5" operator="containsText" text="WARN"/>
    <x:cfRule type="containsText" dxfId="5" priority="6" operator="containsText" text="FAIL"/>
  </x:conditionalFormatting>
  <x:conditionalFormatting sqref="B3:H3">
    <x:cfRule type="expression" dxfId="6" priority="7">
      <x:formula>$B$3="ПРОЙДЕНО"</x:formula>
    </x:cfRule>
    <x:cfRule type="expression" dxfId="7" priority="8">
      <x:formula>$B$3="ПРОЙДЕНО С ПРЕДУПРЕЖДЕНИЯМИ"</x:formula>
    </x:cfRule>
    <x:cfRule type="expression" dxfId="8" priority="9">
      <x:formula>$B$3="СБОЙ"</x:formula>
    </x:cfRule>
  </x:conditionalFormatting>
  <x:conditionalFormatting sqref="F33:F61">
    <x:cfRule type="containsText" dxfId="9" priority="10" operator="containsText" text="OK"/>
    <x:cfRule type="containsText" dxfId="10" priority="11" operator="containsText" text="WARN"/>
    <x:cfRule type="containsText" dxfId="11" priority="12" operator="containsText" text="FAIL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38" hidden="0" customWidth="1"/>
    <x:col min="5" max="5" width="13" hidden="0" customWidth="1"/>
    <x:col min="6" max="6" width="13" hidden="0" customWidth="1"/>
    <x:col min="7" max="7" width="43" hidden="0" customWidth="1"/>
    <x:col min="8" max="8" width="15" hidden="0" customWidth="1"/>
    <x:col min="9" max="9" width="40" hidden="0" customWidth="1"/>
  </x:cols>
  <x:sheetData>
    <x:row r="1" ht="28" customHeight="1">
      <x:c r="A1" s="4" t="str">
        <x:v>ИСТОЧНИКИ, КОНВЕНЦИИ И ВЕРСИОННОСТЬ</x:v>
      </x:c>
      <x:c r="B1" s="4" t="str">
        <x:v>ИСТОЧНИКИ, КОНВЕНЦИИ И ВЕРСИОННОСТЬ</x:v>
      </x:c>
      <x:c r="C1" s="4" t="str">
        <x:v>ИСТОЧНИКИ, КОНВЕНЦИИ И ВЕРСИОННОСТЬ</x:v>
      </x:c>
      <x:c r="D1" s="4" t="str">
        <x:v>ИСТОЧНИКИ, КОНВЕНЦИИ И ВЕРСИОННОСТЬ</x:v>
      </x:c>
      <x:c r="E1" s="4" t="str">
        <x:v>ИСТОЧНИКИ, КОНВЕНЦИИ И ВЕРСИОННОСТЬ</x:v>
      </x:c>
      <x:c r="F1" s="4" t="str">
        <x:v>ИСТОЧНИКИ, КОНВЕНЦИИ И ВЕРСИОННОСТЬ</x:v>
      </x:c>
      <x:c r="G1" s="4" t="str">
        <x:v>ИСТОЧНИКИ, КОНВЕНЦИИ И ВЕРСИОННОСТЬ</x:v>
      </x:c>
      <x:c r="H1" s="4" t="str">
        <x:v>ИСТОЧНИКИ, КОНВЕНЦИИ И ВЕРСИОННОСТЬ</x:v>
      </x:c>
      <x:c r="I1" s="4" t="str">
        <x:v>ИСТОЧНИКИ, КОНВЕНЦИИ И ВЕРСИОННОСТЬ</x:v>
      </x:c>
    </x:row>
    <x:row r="3">
      <x:c r="A3" s="23" t="str">
        <x:v>ID</x:v>
      </x:c>
      <x:c r="B3" s="23" t="str">
        <x:v>Блок</x:v>
      </x:c>
      <x:c r="C3" s="23" t="str">
        <x:v>Источник</x:v>
      </x:c>
      <x:c r="D3" s="23" t="str">
        <x:v>Файл / ссылка</x:v>
      </x:c>
      <x:c r="E3" s="23" t="str">
        <x:v>Дата</x:v>
      </x:c>
      <x:c r="F3" s="23" t="str">
        <x:v>Единицы</x:v>
      </x:c>
      <x:c r="G3" s="23" t="str">
        <x:v>Применение</x:v>
      </x:c>
      <x:c r="H3" s="23" t="str">
        <x:v>Статус</x:v>
      </x:c>
      <x:c r="I3" s="23" t="str">
        <x:v>Комментарий</x:v>
      </x:c>
    </x:row>
    <x:row r="4">
      <x:c r="A4" s="93" t="str">
        <x:v>SRC-01</x:v>
      </x:c>
      <x:c r="B4" s="93" t="str">
        <x:v>Исходная формульная модель</x:v>
      </x:c>
      <x:c r="C4" s="93" t="str">
        <x:v>Архив пользователя</x:v>
      </x:c>
      <x:c r="D4" s="93" t="str">
        <x:v>00_Модель_Проект DevelopAid.xlsx</x:v>
      </x:c>
      <x:c r="E4" s="94" t="n">
        <x:v>46235</x:v>
      </x:c>
      <x:c r="F4" s="93" t="str">
        <x:v>разные</x:v>
      </x:c>
      <x:c r="G4" s="93" t="str">
        <x:v>Архитектура, формулы и оформление</x:v>
      </x:c>
      <x:c r="H4" s="93" t="str">
        <x:v>Референс</x:v>
      </x:c>
      <x:c r="I4" s="93" t="str">
        <x:v>Старый шаблон не используется как расчётное ядро</x:v>
      </x:c>
    </x:row>
    <x:row r="5">
      <x:c r="A5" s="93" t="str">
        <x:v>SRC-02</x:v>
      </x:c>
      <x:c r="B5" s="93" t="str">
        <x:v>Детализация</x:v>
      </x:c>
      <x:c r="C5" s="93" t="str">
        <x:v>Архив пользователя</x:v>
      </x:c>
      <x:c r="D5" s="93" t="str">
        <x:v>90_Детализация_Проект DevelopAid.xlsx</x:v>
      </x:c>
      <x:c r="E5" s="94" t="n">
        <x:v>46235</x:v>
      </x:c>
      <x:c r="F5" s="93" t="str">
        <x:v>млн ₽ / м²</x:v>
      </x:c>
      <x:c r="G5" s="93" t="str">
        <x:v>Исходные параметры и контрольные показатели</x:v>
      </x:c>
      <x:c r="H5" s="93" t="str">
        <x:v>Использовано</x:v>
      </x:c>
      <x:c r="I5" s="93" t="str">
        <x:v>Базовый сценарий DevelopAid</x:v>
      </x:c>
    </x:row>
    <x:row r="6">
      <x:c r="A6" s="93" t="str">
        <x:v>SRC-03</x:v>
      </x:c>
      <x:c r="B6" s="93" t="str">
        <x:v>ТЭП</x:v>
      </x:c>
      <x:c r="C6" s="93" t="str">
        <x:v>ГлавАПУ</x:v>
      </x:c>
      <x:c r="D6" s="93" t="str">
        <x:v>ГлавАПУ_77-09-0004014-13.xlsx</x:v>
      </x:c>
      <x:c r="E6" s="94" t="n">
        <x:v>46235</x:v>
      </x:c>
      <x:c r="F6" s="93" t="str">
        <x:v>м² / шт.</x:v>
      </x:c>
      <x:c r="G6" s="93" t="str">
        <x:v>Площади и продуктовый состав</x:v>
      </x:c>
      <x:c r="H6" s="93" t="str">
        <x:v>Использовано</x:v>
      </x:c>
      <x:c r="I6" s="93" t="str">
        <x:v>Кадастровый номер 77:09:0004014:13</x:v>
      </x:c>
    </x:row>
    <x:row r="7">
      <x:c r="A7" s="93" t="str">
        <x:v>SRC-04</x:v>
      </x:c>
      <x:c r="B7" s="93" t="str">
        <x:v>ВРИ</x:v>
      </x:c>
      <x:c r="C7" s="93" t="str">
        <x:v>Правительство Москвы</x:v>
      </x:c>
      <x:c r="D7" s="93" t="str">
        <x:v>https://www.mos.ru/authority/documents/doc/852220/</x:v>
      </x:c>
      <x:c r="E7" s="94" t="n">
        <x:v>46235</x:v>
      </x:c>
      <x:c r="F7" s="93" t="str">
        <x:v>лет / квартал / %</x:v>
      </x:c>
      <x:c r="G7" s="93" t="str">
        <x:v>593-ПП: сроки рассрочки, квартальные платежи, ключевая + 3 п.п.</x:v>
      </x:c>
      <x:c r="H7" s="93" t="str">
        <x:v>Использовано</x:v>
      </x:c>
      <x:c r="I7" s="93" t="str">
        <x:v>Сумма ВРИ поступает из сайта / бота; Excel строит график</x:v>
      </x:c>
    </x:row>
    <x:row r="8">
      <x:c r="A8" s="93" t="str">
        <x:v>SRC-05</x:v>
      </x:c>
      <x:c r="B8" s="93" t="str">
        <x:v>Ключевая ставка</x:v>
      </x:c>
      <x:c r="C8" s="93" t="str">
        <x:v>Банк России</x:v>
      </x:c>
      <x:c r="D8" s="93" t="str">
        <x:v>https://www.cbr.ru/hd_base/keyrate/</x:v>
      </x:c>
      <x:c r="E8" s="94" t="n">
        <x:v>46234</x:v>
      </x:c>
      <x:c r="F8" s="93" t="str">
        <x:v>% год</x:v>
      </x:c>
      <x:c r="G8" s="93" t="str">
        <x:v>Стартовая ключевая ставка</x:v>
      </x:c>
      <x:c r="H8" s="93" t="str">
        <x:v>Использовано</x:v>
      </x:c>
      <x:c r="I8" s="93" t="str">
        <x:v>14,00% на 31.07.2026</x:v>
      </x:c>
    </x:row>
    <x:row r="9">
      <x:c r="A9" s="93" t="str">
        <x:v>SRC-06</x:v>
      </x:c>
      <x:c r="B9" s="93" t="str">
        <x:v>Плотность</x:v>
      </x:c>
      <x:c r="C9" s="93" t="str">
        <x:v>Допущение модели</x:v>
      </x:c>
      <x:c r="D9" s="93" t="str">
        <x:v>Вводные!J4:M15</x:v>
      </x:c>
      <x:c r="E9" s="94" t="n">
        <x:v>46235</x:v>
      </x:c>
      <x:c r="F9" s="93" t="str">
        <x:v>м² / га</x:v>
      </x:c>
      <x:c r="G9" s="93" t="str">
        <x:v>Москва — ГлавАПУ; Московская область — 30 000 по умолчанию</x:v>
      </x:c>
      <x:c r="H9" s="93" t="str">
        <x:v>Использовано</x:v>
      </x:c>
      <x:c r="I9" s="93" t="str">
        <x:v>Можно отключить норматив и задать ручную плотность</x:v>
      </x:c>
    </x:row>
    <x:row r="10">
      <x:c r="A10" s="93" t="str">
        <x:v>CNV-01</x:v>
      </x:c>
      <x:c r="B10" s="93" t="str">
        <x:v>Знаки</x:v>
      </x:c>
      <x:c r="C10" s="93" t="str">
        <x:v>Конвенция модели</x:v>
      </x:c>
      <x:c r="D10" s="93" t="str">
        <x:v>Внутренняя</x:v>
      </x:c>
      <x:c r="E10" s="94" t="n">
        <x:v>46235</x:v>
      </x:c>
      <x:c r="F10" s="93" t="str">
        <x:v>млн ₽</x:v>
      </x:c>
      <x:c r="G10" s="93" t="str">
        <x:v>Доходы и выборки положительные; расходы в строках показаны положительно; CF — со знаком</x:v>
      </x:c>
      <x:c r="H10" s="93" t="str">
        <x:v>Действует</x:v>
      </x:c>
      <x:c r="I10" s="93" t="str"/>
    </x:row>
    <x:row r="11">
      <x:c r="A11" s="93" t="str">
        <x:v>CNV-02</x:v>
      </x:c>
      <x:c r="B11" s="93" t="str">
        <x:v>Периодичность</x:v>
      </x:c>
      <x:c r="C11" s="93" t="str">
        <x:v>Конвенция модели</x:v>
      </x:c>
      <x:c r="D11" s="93" t="str">
        <x:v>Внутренняя</x:v>
      </x:c>
      <x:c r="E11" s="94" t="n">
        <x:v>46235</x:v>
      </x:c>
      <x:c r="F11" s="93" t="str">
        <x:v>месяц</x:v>
      </x:c>
      <x:c r="G11" s="93" t="str">
        <x:v>Все ядро рассчитывается помесячно</x:v>
      </x:c>
      <x:c r="H11" s="93" t="str">
        <x:v>Действует</x:v>
      </x:c>
      <x:c r="I11" s="93" t="str">
        <x:v>120 месяцев</x:v>
      </x:c>
    </x:row>
    <x:row r="12">
      <x:c r="A12" s="93" t="str">
        <x:v>CNV-03</x:v>
      </x:c>
      <x:c r="B12" s="93" t="str">
        <x:v>Финансирование</x:v>
      </x:c>
      <x:c r="C12" s="93" t="str">
        <x:v>Конвенция модели</x:v>
      </x:c>
      <x:c r="D12" s="93" t="str">
        <x:v>Внутренняя</x:v>
      </x:c>
      <x:c r="E12" s="94" t="n">
        <x:v>46235</x:v>
      </x:c>
      <x:c r="F12" s="93" t="str">
        <x:v>млн ₽</x:v>
      </x:c>
      <x:c r="G12" s="93" t="str">
        <x:v>Проценты считаются на входящий долг; кассовый дефицит закрывается долгом и затем капиталом</x:v>
      </x:c>
      <x:c r="H12" s="93" t="str">
        <x:v>Действует</x:v>
      </x:c>
      <x:c r="I12" s="93" t="str">
        <x:v>Без циклических ссылок</x:v>
      </x:c>
    </x:row>
    <x:row r="13">
      <x:c r="A13" s="93" t="str">
        <x:v>VER-02</x:v>
      </x:c>
      <x:c r="B13" s="93" t="str">
        <x:v>Версия</x:v>
      </x:c>
      <x:c r="C13" s="93" t="str">
        <x:v>Исправленная модель</x:v>
      </x:c>
      <x:c r="D13" s="93" t="str">
        <x:v>DevelopAid_Полная_модель_v2.xlsx</x:v>
      </x:c>
      <x:c r="E13" s="94" t="n">
        <x:v>46235</x:v>
      </x:c>
      <x:c r="F13" s="93" t="str">
        <x:v>—</x:v>
      </x:c>
      <x:c r="G13" s="93" t="str">
        <x:v>Сценарии ставки, авто-лимит ПФ, ВРИ по 593-ПП, плотность ТЭП</x:v>
      </x:c>
      <x:c r="H13" s="93" t="str">
        <x:v>Предыдущая</x:v>
      </x:c>
      <x:c r="I13" s="93" t="str">
        <x:v>3 очереди + консолидатор</x:v>
      </x:c>
    </x:row>
    <x:row r="14">
      <x:c r="A14" s="93" t="str">
        <x:v>SRC-07</x:v>
      </x:c>
      <x:c r="B14" s="93" t="str">
        <x:v>Офисы / ТЦ / парковки</x:v>
      </x:c>
      <x:c r="C14" s="93" t="str">
        <x:v>Архив пользователя</x:v>
      </x:c>
      <x:c r="D14" s="93" t="str">
        <x:v>90_Детализация_Проект DevelopAid.xlsx</x:v>
      </x:c>
      <x:c r="E14" s="94" t="n">
        <x:v>46235</x:v>
      </x:c>
      <x:c r="F14" s="93" t="str">
        <x:v>м² / шт. / млн ₽</x:v>
      </x:c>
      <x:c r="G14" s="93" t="str">
        <x:v>Восстановлены отдельные объектные контуры из исходной детализации</x:v>
      </x:c>
      <x:c r="H14" s="93" t="str">
        <x:v>Использовано</x:v>
      </x:c>
      <x:c r="I14" s="93" t="str">
        <x:v>Собственные сроки, продажи, CAPEX, эскроу и очередь финансирования</x:v>
      </x:c>
    </x:row>
    <x:row r="15">
      <x:c r="A15" s="93" t="str">
        <x:v>VER-03</x:v>
      </x:c>
      <x:c r="B15" s="93" t="str">
        <x:v>Версия</x:v>
      </x:c>
      <x:c r="C15" s="93" t="str">
        <x:v>Полная продуктовая модель</x:v>
      </x:c>
      <x:c r="D15" s="93" t="str">
        <x:v>DevelopAid_Полная_модель_v3_офисы_ТЦ_паркинги.xlsx</x:v>
      </x:c>
      <x:c r="E15" s="94" t="n">
        <x:v>46235</x:v>
      </x:c>
      <x:c r="F15" s="93" t="str">
        <x:v>—</x:v>
      </x:c>
      <x:c r="G15" s="93" t="str">
        <x:v>Офисы, ТЦ, наземный и подземный паркинги, кладовые и проверки плотности</x:v>
      </x:c>
      <x:c r="H15" s="93" t="str">
        <x:v>Предыдущая</x:v>
      </x:c>
      <x:c r="I15" s="93" t="str">
        <x:v>Новые объекты выключены по умолчанию</x:v>
      </x:c>
    </x:row>
    <x:row r="16">
      <x:c r="A16" s="93" t="str">
        <x:v>VER-04</x:v>
      </x:c>
      <x:c r="B16" s="93" t="str">
        <x:v>Версия</x:v>
      </x:c>
      <x:c r="C16" s="93" t="str">
        <x:v>Драйверы продаж и unit economics</x:v>
      </x:c>
      <x:c r="D16" s="93" t="str">
        <x:v>DevelopAid_Полная_модель_v4_сезонность_темпы_инфляция.xlsx</x:v>
      </x:c>
      <x:c r="E16" s="94" t="n">
        <x:v>46235</x:v>
      </x:c>
      <x:c r="F16" s="93" t="str">
        <x:v>—</x:v>
      </x:c>
      <x:c r="G16" s="93" t="str">
        <x:v>Сезонность января и мая–августа; срок и тренд продаж; инфляция цены и затрат; прежние KPI отчёта</x:v>
      </x:c>
      <x:c r="H16" s="93" t="str">
        <x:v>Текущая</x:v>
      </x:c>
      <x:c r="I16" s="93" t="str">
        <x:v>Инфляция по умолчанию 0%; сезонное снижение по умолчанию 15%</x:v>
      </x:c>
    </x:row>
  </x:sheetData>
  <x:mergeCells>
    <x:mergeCell ref="A1:I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7" hidden="0" customWidth="1"/>
    <x:col min="3" max="3" width="15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  <x:col min="45" max="45" width="11" hidden="0" customWidth="1"/>
    <x:col min="46" max="46" width="11" hidden="0" customWidth="1"/>
    <x:col min="47" max="47" width="11" hidden="0" customWidth="1"/>
    <x:col min="48" max="48" width="11" hidden="0" customWidth="1"/>
    <x:col min="49" max="49" width="11" hidden="0" customWidth="1"/>
    <x:col min="50" max="50" width="11" hidden="0" customWidth="1"/>
    <x:col min="51" max="51" width="11" hidden="0" customWidth="1"/>
    <x:col min="52" max="52" width="11" hidden="0" customWidth="1"/>
    <x:col min="53" max="53" width="11" hidden="0" customWidth="1"/>
    <x:col min="54" max="54" width="11" hidden="0" customWidth="1"/>
    <x:col min="55" max="55" width="11" hidden="0" customWidth="1"/>
    <x:col min="56" max="56" width="11" hidden="0" customWidth="1"/>
    <x:col min="57" max="57" width="11" hidden="0" customWidth="1"/>
    <x:col min="58" max="58" width="11" hidden="0" customWidth="1"/>
    <x:col min="59" max="59" width="11" hidden="0" customWidth="1"/>
    <x:col min="60" max="60" width="11" hidden="0" customWidth="1"/>
    <x:col min="61" max="61" width="11" hidden="0" customWidth="1"/>
    <x:col min="62" max="62" width="11" hidden="0" customWidth="1"/>
    <x:col min="63" max="63" width="11" hidden="0" customWidth="1"/>
    <x:col min="64" max="64" width="11" hidden="0" customWidth="1"/>
    <x:col min="65" max="65" width="11" hidden="0" customWidth="1"/>
    <x:col min="66" max="66" width="11" hidden="0" customWidth="1"/>
    <x:col min="67" max="67" width="11" hidden="0" customWidth="1"/>
    <x:col min="68" max="68" width="11" hidden="0" customWidth="1"/>
    <x:col min="69" max="69" width="11" hidden="0" customWidth="1"/>
    <x:col min="70" max="70" width="11" hidden="0" customWidth="1"/>
    <x:col min="71" max="71" width="11" hidden="0" customWidth="1"/>
    <x:col min="72" max="72" width="11" hidden="0" customWidth="1"/>
    <x:col min="73" max="73" width="11" hidden="0" customWidth="1"/>
    <x:col min="74" max="74" width="11" hidden="0" customWidth="1"/>
    <x:col min="75" max="75" width="11" hidden="0" customWidth="1"/>
    <x:col min="76" max="76" width="11" hidden="0" customWidth="1"/>
    <x:col min="77" max="77" width="11" hidden="0" customWidth="1"/>
    <x:col min="78" max="78" width="11" hidden="0" customWidth="1"/>
    <x:col min="79" max="79" width="11" hidden="0" customWidth="1"/>
    <x:col min="80" max="80" width="11" hidden="0" customWidth="1"/>
    <x:col min="81" max="81" width="11" hidden="0" customWidth="1"/>
    <x:col min="82" max="82" width="11" hidden="0" customWidth="1"/>
    <x:col min="83" max="83" width="11" hidden="0" customWidth="1"/>
    <x:col min="84" max="84" width="11" hidden="0" customWidth="1"/>
    <x:col min="85" max="85" width="11" hidden="0" customWidth="1"/>
    <x:col min="86" max="86" width="11" hidden="0" customWidth="1"/>
    <x:col min="87" max="87" width="11" hidden="0" customWidth="1"/>
    <x:col min="88" max="88" width="11" hidden="0" customWidth="1"/>
    <x:col min="89" max="89" width="11" hidden="0" customWidth="1"/>
    <x:col min="90" max="90" width="11" hidden="0" customWidth="1"/>
    <x:col min="91" max="91" width="11" hidden="0" customWidth="1"/>
    <x:col min="92" max="92" width="11" hidden="0" customWidth="1"/>
    <x:col min="93" max="93" width="11" hidden="0" customWidth="1"/>
    <x:col min="94" max="94" width="11" hidden="0" customWidth="1"/>
    <x:col min="95" max="95" width="11" hidden="0" customWidth="1"/>
    <x:col min="96" max="96" width="11" hidden="0" customWidth="1"/>
    <x:col min="97" max="97" width="11" hidden="0" customWidth="1"/>
    <x:col min="98" max="98" width="11" hidden="0" customWidth="1"/>
    <x:col min="99" max="99" width="11" hidden="0" customWidth="1"/>
    <x:col min="100" max="100" width="11" hidden="0" customWidth="1"/>
    <x:col min="101" max="101" width="11" hidden="0" customWidth="1"/>
    <x:col min="102" max="102" width="11" hidden="0" customWidth="1"/>
    <x:col min="103" max="103" width="11" hidden="0" customWidth="1"/>
    <x:col min="104" max="104" width="11" hidden="0" customWidth="1"/>
    <x:col min="105" max="105" width="11" hidden="0" customWidth="1"/>
    <x:col min="106" max="106" width="11" hidden="0" customWidth="1"/>
    <x:col min="107" max="107" width="11" hidden="0" customWidth="1"/>
    <x:col min="108" max="108" width="11" hidden="0" customWidth="1"/>
    <x:col min="109" max="109" width="11" hidden="0" customWidth="1"/>
    <x:col min="110" max="110" width="11" hidden="0" customWidth="1"/>
    <x:col min="111" max="111" width="11" hidden="0" customWidth="1"/>
    <x:col min="112" max="112" width="11" hidden="0" customWidth="1"/>
    <x:col min="113" max="113" width="11" hidden="0" customWidth="1"/>
    <x:col min="114" max="114" width="11" hidden="0" customWidth="1"/>
    <x:col min="115" max="115" width="11" hidden="0" customWidth="1"/>
    <x:col min="116" max="116" width="11" hidden="0" customWidth="1"/>
    <x:col min="117" max="117" width="11" hidden="0" customWidth="1"/>
    <x:col min="118" max="118" width="11" hidden="0" customWidth="1"/>
    <x:col min="119" max="119" width="11" hidden="0" customWidth="1"/>
    <x:col min="120" max="120" width="11" hidden="0" customWidth="1"/>
    <x:col min="121" max="121" width="11" hidden="0" customWidth="1"/>
    <x:col min="122" max="122" width="11" hidden="0" customWidth="1"/>
    <x:col min="123" max="123" width="11" hidden="0" customWidth="1"/>
    <x:col min="124" max="124" width="11" hidden="0" customWidth="1"/>
    <x:col min="125" max="125" width="11" hidden="0" customWidth="1"/>
    <x:col min="126" max="126" width="11" hidden="0" customWidth="1"/>
    <x:col min="127" max="127" width="11" hidden="0" customWidth="1"/>
    <x:col min="128" max="128" width="11" hidden="0" customWidth="1"/>
    <x:col min="129" max="129" width="11" hidden="0" customWidth="1"/>
    <x:col min="130" max="130" width="11" hidden="0" customWidth="1"/>
    <x:col min="131" max="131" width="11" hidden="0" customWidth="1"/>
    <x:col min="132" max="132" width="11" hidden="0" customWidth="1"/>
    <x:col min="133" max="133" width="11" hidden="0" customWidth="1"/>
    <x:col min="134" max="134" width="11" hidden="0" customWidth="1"/>
    <x:col min="135" max="135" width="11" hidden="0" customWidth="1"/>
    <x:col min="136" max="136" width="11" hidden="0" customWidth="1"/>
    <x:col min="137" max="137" width="11" hidden="0" customWidth="1"/>
    <x:col min="138" max="138" width="11" hidden="0" customWidth="1"/>
    <x:col min="139" max="139" width="11" hidden="0" customWidth="1"/>
    <x:col min="140" max="140" width="11" hidden="0" customWidth="1"/>
    <x:col min="141" max="141" width="11" hidden="0" customWidth="1"/>
    <x:col min="142" max="142" width="11" hidden="0" customWidth="1"/>
    <x:col min="143" max="143" width="11" hidden="0" customWidth="1"/>
    <x:col min="144" max="144" width="11" hidden="0" customWidth="1"/>
    <x:col min="145" max="145" width="11" hidden="0" customWidth="1"/>
    <x:col min="146" max="146" width="11" hidden="0" customWidth="1"/>
    <x:col min="147" max="147" width="11" hidden="0" customWidth="1"/>
    <x:col min="148" max="148" width="11" hidden="0" customWidth="1"/>
    <x:col min="149" max="149" width="11" hidden="0" customWidth="1"/>
    <x:col min="150" max="150" width="11" hidden="0" customWidth="1"/>
    <x:col min="151" max="151" width="11" hidden="0" customWidth="1"/>
    <x:col min="152" max="152" width="11" hidden="0" customWidth="1"/>
    <x:col min="153" max="153" width="11" hidden="0" customWidth="1"/>
    <x:col min="154" max="154" width="11" hidden="0" customWidth="1"/>
    <x:col min="155" max="155" width="11" hidden="0" customWidth="1"/>
    <x:col min="156" max="156" width="11" hidden="0" customWidth="1"/>
    <x:col min="157" max="157" width="11" hidden="0" customWidth="1"/>
    <x:col min="158" max="158" width="11" hidden="0" customWidth="1"/>
    <x:col min="159" max="159" width="11" hidden="0" customWidth="1"/>
    <x:col min="160" max="160" width="11" hidden="0" customWidth="1"/>
    <x:col min="161" max="161" width="11" hidden="0" customWidth="1"/>
    <x:col min="162" max="162" width="11" hidden="0" customWidth="1"/>
    <x:col min="163" max="163" width="11" hidden="0" customWidth="1"/>
    <x:col min="164" max="164" width="11" hidden="0" customWidth="1"/>
    <x:col min="165" max="165" width="11" hidden="0" customWidth="1"/>
    <x:col min="166" max="166" width="11" hidden="0" customWidth="1"/>
    <x:col min="167" max="167" width="11" hidden="0" customWidth="1"/>
    <x:col min="168" max="168" width="11" hidden="0" customWidth="1"/>
    <x:col min="169" max="169" width="11" hidden="0" customWidth="1"/>
    <x:col min="170" max="170" width="11" hidden="0" customWidth="1"/>
    <x:col min="171" max="171" width="11" hidden="0" customWidth="1"/>
    <x:col min="172" max="172" width="11" hidden="0" customWidth="1"/>
    <x:col min="173" max="173" width="11" hidden="0" customWidth="1"/>
    <x:col min="174" max="174" width="11" hidden="0" customWidth="1"/>
    <x:col min="175" max="175" width="11" hidden="0" customWidth="1"/>
    <x:col min="176" max="176" width="11" hidden="0" customWidth="1"/>
    <x:col min="177" max="177" width="11" hidden="0" customWidth="1"/>
    <x:col min="178" max="178" width="11" hidden="0" customWidth="1"/>
    <x:col min="179" max="179" width="11" hidden="0" customWidth="1"/>
    <x:col min="180" max="180" width="11" hidden="0" customWidth="1"/>
    <x:col min="181" max="181" width="11" hidden="0" customWidth="1"/>
    <x:col min="182" max="182" width="11" hidden="0" customWidth="1"/>
    <x:col min="183" max="183" width="11" hidden="0" customWidth="1"/>
  </x:cols>
  <x:sheetData>
    <x:row r="1" ht="28" customHeight="1">
      <x:c r="A1" s="337" t="str">
        <x:v>ОТДЕЛЬНО СТОЯЩИЕ КОММЕРЧЕСКИЕ ОБЪЕКТЫ · ПОМЕСЯЧНО</x:v>
      </x:c>
      <x:c r="B1" s="337"/>
      <x:c r="C1" s="337"/>
      <x:c r="D1" s="337"/>
      <x:c r="E1" s="337"/>
      <x:c r="F1" s="337"/>
      <x:c r="G1" s="337"/>
      <x:c r="H1" s="337"/>
      <x:c r="I1" s="337"/>
      <x:c r="J1" s="337"/>
      <x:c r="K1" s="337"/>
      <x:c r="L1" s="337"/>
      <x:c r="M1" s="337"/>
      <x:c r="N1" s="337"/>
      <x:c r="O1" s="337"/>
      <x:c r="P1" s="337"/>
      <x:c r="Q1" s="337"/>
      <x:c r="R1" s="337"/>
      <x:c r="S1" s="337"/>
      <x:c r="T1" s="337"/>
      <x:c r="U1" s="337"/>
      <x:c r="V1" s="337"/>
      <x:c r="W1" s="337"/>
      <x:c r="X1" s="337"/>
      <x:c r="Y1" s="337"/>
      <x:c r="Z1" s="337"/>
      <x:c r="AA1" s="337"/>
      <x:c r="AB1" s="337"/>
      <x:c r="AC1" s="337"/>
      <x:c r="AD1" s="337"/>
      <x:c r="AE1" s="337"/>
      <x:c r="AF1" s="337"/>
      <x:c r="AG1" s="337"/>
      <x:c r="AH1" s="337"/>
      <x:c r="AI1" s="337"/>
      <x:c r="AJ1" s="337"/>
      <x:c r="AK1" s="337"/>
      <x:c r="AL1" s="337"/>
      <x:c r="AM1" s="337"/>
      <x:c r="AN1" s="337"/>
      <x:c r="AO1" s="337"/>
      <x:c r="AP1" s="337"/>
      <x:c r="AQ1" s="337"/>
      <x:c r="AR1" s="337"/>
      <x:c r="AS1" s="337"/>
      <x:c r="AT1" s="337"/>
      <x:c r="AU1" s="337"/>
      <x:c r="AV1" s="337"/>
      <x:c r="AW1" s="337"/>
      <x:c r="AX1" s="337"/>
      <x:c r="AY1" s="337"/>
      <x:c r="AZ1" s="337"/>
      <x:c r="BA1" s="337"/>
      <x:c r="BB1" s="337"/>
      <x:c r="BC1" s="337"/>
      <x:c r="BD1" s="337"/>
      <x:c r="BE1" s="337"/>
      <x:c r="BF1" s="337"/>
      <x:c r="BG1" s="337"/>
      <x:c r="BH1" s="337"/>
      <x:c r="BI1" s="337"/>
      <x:c r="BJ1" s="337"/>
      <x:c r="BK1" s="337"/>
      <x:c r="BL1" s="337"/>
      <x:c r="BM1" s="337"/>
      <x:c r="BN1" s="337"/>
      <x:c r="BO1" s="337"/>
      <x:c r="BP1" s="337"/>
      <x:c r="BQ1" s="337"/>
      <x:c r="BR1" s="337"/>
      <x:c r="BS1" s="337"/>
      <x:c r="BT1" s="337"/>
      <x:c r="BU1" s="337"/>
      <x:c r="BV1" s="337"/>
      <x:c r="BW1" s="337"/>
      <x:c r="BX1" s="337"/>
      <x:c r="BY1" s="337"/>
      <x:c r="BZ1" s="337"/>
      <x:c r="CA1" s="337"/>
      <x:c r="CB1" s="337"/>
      <x:c r="CC1" s="337"/>
      <x:c r="CD1" s="337"/>
      <x:c r="CE1" s="337"/>
      <x:c r="CF1" s="337"/>
      <x:c r="CG1" s="337"/>
      <x:c r="CH1" s="337"/>
      <x:c r="CI1" s="337"/>
      <x:c r="CJ1" s="337"/>
      <x:c r="CK1" s="337"/>
      <x:c r="CL1" s="337"/>
      <x:c r="CM1" s="337"/>
      <x:c r="CN1" s="337"/>
      <x:c r="CO1" s="337"/>
      <x:c r="CP1" s="337"/>
      <x:c r="CQ1" s="337"/>
      <x:c r="CR1" s="337"/>
      <x:c r="CS1" s="337"/>
      <x:c r="CT1" s="337"/>
      <x:c r="CU1" s="337"/>
      <x:c r="CV1" s="337"/>
      <x:c r="CW1" s="337"/>
      <x:c r="CX1" s="337"/>
      <x:c r="CY1" s="337"/>
      <x:c r="CZ1" s="337"/>
      <x:c r="DA1" s="337"/>
      <x:c r="DB1" s="337"/>
      <x:c r="DC1" s="337"/>
      <x:c r="DD1" s="337"/>
      <x:c r="DE1" s="337"/>
      <x:c r="DF1" s="337"/>
      <x:c r="DG1" s="337"/>
      <x:c r="DH1" s="337"/>
      <x:c r="DI1" s="337"/>
      <x:c r="DJ1" s="337"/>
      <x:c r="DK1" s="337"/>
      <x:c r="DL1" s="337"/>
      <x:c r="DM1" s="337"/>
      <x:c r="DN1" s="337"/>
      <x:c r="DO1" s="337"/>
      <x:c r="DP1" s="337"/>
      <x:c r="DQ1" s="337"/>
      <x:c r="DR1" s="337"/>
      <x:c r="DS1" s="337"/>
      <x:c r="DT1" s="337"/>
      <x:c r="DU1" s="337"/>
      <x:c r="DV1" s="337"/>
      <x:c r="DW1" s="337"/>
      <x:c r="DX1" s="337"/>
      <x:c r="DY1" s="337"/>
      <x:c r="DZ1" s="337"/>
      <x:c r="EA1" s="337"/>
      <x:c r="EB1" s="337"/>
      <x:c r="EC1" s="337"/>
      <x:c r="ED1" s="337"/>
      <x:c r="EE1" s="337"/>
      <x:c r="EF1" s="337"/>
      <x:c r="EG1" s="337"/>
      <x:c r="EH1" s="337"/>
      <x:c r="EI1" s="337"/>
      <x:c r="EJ1" s="337"/>
      <x:c r="EK1" s="337"/>
      <x:c r="EL1" s="337"/>
      <x:c r="EM1" s="337"/>
      <x:c r="EN1" s="337"/>
      <x:c r="EO1" s="337"/>
      <x:c r="EP1" s="337"/>
      <x:c r="EQ1" s="337"/>
      <x:c r="ER1" s="337"/>
      <x:c r="ES1" s="337"/>
      <x:c r="ET1" s="337"/>
      <x:c r="EU1" s="337"/>
      <x:c r="EV1" s="337"/>
      <x:c r="EW1" s="337"/>
      <x:c r="EX1" s="337"/>
      <x:c r="EY1" s="337"/>
      <x:c r="EZ1" s="337"/>
      <x:c r="FA1" s="337"/>
      <x:c r="FB1" s="337"/>
      <x:c r="FC1" s="337"/>
      <x:c r="FD1" s="337"/>
      <x:c r="FE1" s="337"/>
      <x:c r="FF1" s="337"/>
      <x:c r="FG1" s="337"/>
      <x:c r="FH1" s="337"/>
      <x:c r="FI1" s="337"/>
      <x:c r="FJ1" s="337"/>
      <x:c r="FK1" s="337"/>
      <x:c r="FL1" s="337"/>
      <x:c r="FM1" s="337"/>
      <x:c r="FN1" s="337"/>
      <x:c r="FO1" s="337"/>
      <x:c r="FP1" s="337"/>
      <x:c r="FQ1" s="337"/>
      <x:c r="FR1" s="337"/>
      <x:c r="FS1" s="337"/>
      <x:c r="FT1" s="337"/>
      <x:c r="FU1" s="337"/>
      <x:c r="FV1" s="337"/>
      <x:c r="FW1" s="337"/>
      <x:c r="FX1" s="337"/>
      <x:c r="FY1" s="337"/>
      <x:c r="FZ1" s="337"/>
      <x:c r="GA1" s="337"/>
    </x:row>
    <x:row r="3">
      <x:c r="A3" s="289" t="str">
        <x:v>Показатель</x:v>
      </x:c>
      <x:c r="B3" s="289" t="str">
        <x:v>Итого / значение</x:v>
      </x:c>
      <x:c r="C3" s="289" t="str">
        <x:v>Ед.</x:v>
      </x:c>
      <x:c r="D3" s="340" t="n">
        <x:f>'Ставки'!D$3</x:f>
      </x:c>
      <x:c r="E3" s="340" t="n">
        <x:f>'Ставки'!E$3</x:f>
      </x:c>
      <x:c r="F3" s="340" t="n">
        <x:f>'Ставки'!F$3</x:f>
      </x:c>
      <x:c r="G3" s="340" t="n">
        <x:f>'Ставки'!G$3</x:f>
      </x:c>
      <x:c r="H3" s="340" t="n">
        <x:f>'Ставки'!H$3</x:f>
      </x:c>
      <x:c r="I3" s="340" t="n">
        <x:f>'Ставки'!I$3</x:f>
      </x:c>
      <x:c r="J3" s="340" t="n">
        <x:f>'Ставки'!J$3</x:f>
      </x:c>
      <x:c r="K3" s="340" t="n">
        <x:f>'Ставки'!K$3</x:f>
      </x:c>
      <x:c r="L3" s="340" t="n">
        <x:f>'Ставки'!L$3</x:f>
      </x:c>
      <x:c r="M3" s="340" t="n">
        <x:f>'Ставки'!M$3</x:f>
      </x:c>
      <x:c r="N3" s="340" t="n">
        <x:f>'Ставки'!N$3</x:f>
      </x:c>
      <x:c r="O3" s="340" t="n">
        <x:f>'Ставки'!O$3</x:f>
      </x:c>
      <x:c r="P3" s="340" t="n">
        <x:f>'Ставки'!P$3</x:f>
      </x:c>
      <x:c r="Q3" s="340" t="n">
        <x:f>'Ставки'!Q$3</x:f>
      </x:c>
      <x:c r="R3" s="340" t="n">
        <x:f>'Ставки'!R$3</x:f>
      </x:c>
      <x:c r="S3" s="340" t="n">
        <x:f>'Ставки'!S$3</x:f>
      </x:c>
      <x:c r="T3" s="340" t="n">
        <x:f>'Ставки'!T$3</x:f>
      </x:c>
      <x:c r="U3" s="340" t="n">
        <x:f>'Ставки'!U$3</x:f>
      </x:c>
      <x:c r="V3" s="340" t="n">
        <x:f>'Ставки'!V$3</x:f>
      </x:c>
      <x:c r="W3" s="340" t="n">
        <x:f>'Ставки'!W$3</x:f>
      </x:c>
      <x:c r="X3" s="340" t="n">
        <x:f>'Ставки'!X$3</x:f>
      </x:c>
      <x:c r="Y3" s="340" t="n">
        <x:f>'Ставки'!Y$3</x:f>
      </x:c>
      <x:c r="Z3" s="340" t="n">
        <x:f>'Ставки'!Z$3</x:f>
      </x:c>
      <x:c r="AA3" s="340" t="n">
        <x:f>'Ставки'!AA$3</x:f>
      </x:c>
      <x:c r="AB3" s="340" t="n">
        <x:f>'Ставки'!AB$3</x:f>
      </x:c>
      <x:c r="AC3" s="340" t="n">
        <x:f>'Ставки'!AC$3</x:f>
      </x:c>
      <x:c r="AD3" s="340" t="n">
        <x:f>'Ставки'!AD$3</x:f>
      </x:c>
      <x:c r="AE3" s="340" t="n">
        <x:f>'Ставки'!AE$3</x:f>
      </x:c>
      <x:c r="AF3" s="340" t="n">
        <x:f>'Ставки'!AF$3</x:f>
      </x:c>
      <x:c r="AG3" s="340" t="n">
        <x:f>'Ставки'!AG$3</x:f>
      </x:c>
      <x:c r="AH3" s="340" t="n">
        <x:f>'Ставки'!AH$3</x:f>
      </x:c>
      <x:c r="AI3" s="340" t="n">
        <x:f>'Ставки'!AI$3</x:f>
      </x:c>
      <x:c r="AJ3" s="340" t="n">
        <x:f>'Ставки'!AJ$3</x:f>
      </x:c>
      <x:c r="AK3" s="340" t="n">
        <x:f>'Ставки'!AK$3</x:f>
      </x:c>
      <x:c r="AL3" s="340" t="n">
        <x:f>'Ставки'!AL$3</x:f>
      </x:c>
      <x:c r="AM3" s="340" t="n">
        <x:f>'Ставки'!AM$3</x:f>
      </x:c>
      <x:c r="AN3" s="340" t="n">
        <x:f>'Ставки'!AN$3</x:f>
      </x:c>
      <x:c r="AO3" s="340" t="n">
        <x:f>'Ставки'!AO$3</x:f>
      </x:c>
      <x:c r="AP3" s="340" t="n">
        <x:f>'Ставки'!AP$3</x:f>
      </x:c>
      <x:c r="AQ3" s="340" t="n">
        <x:f>'Ставки'!AQ$3</x:f>
      </x:c>
      <x:c r="AR3" s="340" t="n">
        <x:f>'Ставки'!AR$3</x:f>
      </x:c>
      <x:c r="AS3" s="340" t="n">
        <x:f>'Ставки'!AS$3</x:f>
      </x:c>
      <x:c r="AT3" s="340" t="n">
        <x:f>'Ставки'!AT$3</x:f>
      </x:c>
      <x:c r="AU3" s="340" t="n">
        <x:f>'Ставки'!AU$3</x:f>
      </x:c>
      <x:c r="AV3" s="340" t="n">
        <x:f>'Ставки'!AV$3</x:f>
      </x:c>
      <x:c r="AW3" s="340" t="n">
        <x:f>'Ставки'!AW$3</x:f>
      </x:c>
      <x:c r="AX3" s="340" t="n">
        <x:f>'Ставки'!AX$3</x:f>
      </x:c>
      <x:c r="AY3" s="340" t="n">
        <x:f>'Ставки'!AY$3</x:f>
      </x:c>
      <x:c r="AZ3" s="340" t="n">
        <x:f>'Ставки'!AZ$3</x:f>
      </x:c>
      <x:c r="BA3" s="340" t="n">
        <x:f>'Ставки'!BA$3</x:f>
      </x:c>
      <x:c r="BB3" s="340" t="n">
        <x:f>'Ставки'!BB$3</x:f>
      </x:c>
      <x:c r="BC3" s="340" t="n">
        <x:f>'Ставки'!BC$3</x:f>
      </x:c>
      <x:c r="BD3" s="340" t="n">
        <x:f>'Ставки'!BD$3</x:f>
      </x:c>
      <x:c r="BE3" s="340" t="n">
        <x:f>'Ставки'!BE$3</x:f>
      </x:c>
      <x:c r="BF3" s="340" t="n">
        <x:f>'Ставки'!BF$3</x:f>
      </x:c>
      <x:c r="BG3" s="340" t="n">
        <x:f>'Ставки'!BG$3</x:f>
      </x:c>
      <x:c r="BH3" s="340" t="n">
        <x:f>'Ставки'!BH$3</x:f>
      </x:c>
      <x:c r="BI3" s="340" t="n">
        <x:f>'Ставки'!BI$3</x:f>
      </x:c>
      <x:c r="BJ3" s="340" t="n">
        <x:f>'Ставки'!BJ$3</x:f>
      </x:c>
      <x:c r="BK3" s="340" t="n">
        <x:f>'Ставки'!BK$3</x:f>
      </x:c>
      <x:c r="BL3" s="340" t="n">
        <x:f>'Ставки'!BL$3</x:f>
      </x:c>
      <x:c r="BM3" s="340" t="n">
        <x:f>'Ставки'!BM$3</x:f>
      </x:c>
      <x:c r="BN3" s="340" t="n">
        <x:f>'Ставки'!BN$3</x:f>
      </x:c>
      <x:c r="BO3" s="340" t="n">
        <x:f>'Ставки'!BO$3</x:f>
      </x:c>
      <x:c r="BP3" s="340" t="n">
        <x:f>'Ставки'!BP$3</x:f>
      </x:c>
      <x:c r="BQ3" s="340" t="n">
        <x:f>'Ставки'!BQ$3</x:f>
      </x:c>
      <x:c r="BR3" s="340" t="n">
        <x:f>'Ставки'!BR$3</x:f>
      </x:c>
      <x:c r="BS3" s="340" t="n">
        <x:f>'Ставки'!BS$3</x:f>
      </x:c>
      <x:c r="BT3" s="340" t="n">
        <x:f>'Ставки'!BT$3</x:f>
      </x:c>
      <x:c r="BU3" s="340" t="n">
        <x:f>'Ставки'!BU$3</x:f>
      </x:c>
      <x:c r="BV3" s="340" t="n">
        <x:f>'Ставки'!BV$3</x:f>
      </x:c>
      <x:c r="BW3" s="340" t="n">
        <x:f>'Ставки'!BW$3</x:f>
      </x:c>
      <x:c r="BX3" s="340" t="n">
        <x:f>'Ставки'!BX$3</x:f>
      </x:c>
      <x:c r="BY3" s="340" t="n">
        <x:f>'Ставки'!BY$3</x:f>
      </x:c>
      <x:c r="BZ3" s="340" t="n">
        <x:f>'Ставки'!BZ$3</x:f>
      </x:c>
      <x:c r="CA3" s="340" t="n">
        <x:f>'Ставки'!CA$3</x:f>
      </x:c>
      <x:c r="CB3" s="340" t="n">
        <x:f>'Ставки'!CB$3</x:f>
      </x:c>
      <x:c r="CC3" s="340" t="n">
        <x:f>'Ставки'!CC$3</x:f>
      </x:c>
      <x:c r="CD3" s="340" t="n">
        <x:f>'Ставки'!CD$3</x:f>
      </x:c>
      <x:c r="CE3" s="340" t="n">
        <x:f>'Ставки'!CE$3</x:f>
      </x:c>
      <x:c r="CF3" s="340" t="n">
        <x:f>'Ставки'!CF$3</x:f>
      </x:c>
      <x:c r="CG3" s="340" t="n">
        <x:f>'Ставки'!CG$3</x:f>
      </x:c>
      <x:c r="CH3" s="340" t="n">
        <x:f>'Ставки'!CH$3</x:f>
      </x:c>
      <x:c r="CI3" s="340" t="n">
        <x:f>'Ставки'!CI$3</x:f>
      </x:c>
      <x:c r="CJ3" s="340" t="n">
        <x:f>'Ставки'!CJ$3</x:f>
      </x:c>
      <x:c r="CK3" s="340" t="n">
        <x:f>'Ставки'!CK$3</x:f>
      </x:c>
      <x:c r="CL3" s="340" t="n">
        <x:f>'Ставки'!CL$3</x:f>
      </x:c>
      <x:c r="CM3" s="340" t="n">
        <x:f>'Ставки'!CM$3</x:f>
      </x:c>
      <x:c r="CN3" s="340" t="n">
        <x:f>'Ставки'!CN$3</x:f>
      </x:c>
      <x:c r="CO3" s="340" t="n">
        <x:f>'Ставки'!CO$3</x:f>
      </x:c>
      <x:c r="CP3" s="340" t="n">
        <x:f>'Ставки'!CP$3</x:f>
      </x:c>
      <x:c r="CQ3" s="340" t="n">
        <x:f>'Ставки'!CQ$3</x:f>
      </x:c>
      <x:c r="CR3" s="340" t="n">
        <x:f>'Ставки'!CR$3</x:f>
      </x:c>
      <x:c r="CS3" s="340" t="n">
        <x:f>'Ставки'!CS$3</x:f>
      </x:c>
      <x:c r="CT3" s="340" t="n">
        <x:f>'Ставки'!CT$3</x:f>
      </x:c>
      <x:c r="CU3" s="340" t="n">
        <x:f>'Ставки'!CU$3</x:f>
      </x:c>
      <x:c r="CV3" s="340" t="n">
        <x:f>'Ставки'!CV$3</x:f>
      </x:c>
      <x:c r="CW3" s="340" t="n">
        <x:f>'Ставки'!CW$3</x:f>
      </x:c>
      <x:c r="CX3" s="340" t="n">
        <x:f>'Ставки'!CX$3</x:f>
      </x:c>
      <x:c r="CY3" s="340" t="n">
        <x:f>'Ставки'!CY$3</x:f>
      </x:c>
      <x:c r="CZ3" s="340" t="n">
        <x:f>'Ставки'!CZ$3</x:f>
      </x:c>
      <x:c r="DA3" s="340" t="n">
        <x:f>'Ставки'!DA$3</x:f>
      </x:c>
      <x:c r="DB3" s="340" t="n">
        <x:f>'Ставки'!DB$3</x:f>
      </x:c>
      <x:c r="DC3" s="340" t="n">
        <x:f>'Ставки'!DC$3</x:f>
      </x:c>
      <x:c r="DD3" s="340" t="n">
        <x:f>'Ставки'!DD$3</x:f>
      </x:c>
      <x:c r="DE3" s="340" t="n">
        <x:f>'Ставки'!DE$3</x:f>
      </x:c>
      <x:c r="DF3" s="340" t="n">
        <x:f>'Ставки'!DF$3</x:f>
      </x:c>
      <x:c r="DG3" s="340" t="n">
        <x:f>'Ставки'!DG$3</x:f>
      </x:c>
      <x:c r="DH3" s="340" t="n">
        <x:f>'Ставки'!DH$3</x:f>
      </x:c>
      <x:c r="DI3" s="340" t="n">
        <x:f>'Ставки'!DI$3</x:f>
      </x:c>
      <x:c r="DJ3" s="340" t="n">
        <x:f>'Ставки'!DJ$3</x:f>
      </x:c>
      <x:c r="DK3" s="340" t="n">
        <x:f>'Ставки'!DK$3</x:f>
      </x:c>
      <x:c r="DL3" s="340" t="n">
        <x:f>'Ставки'!DL$3</x:f>
      </x:c>
      <x:c r="DM3" s="340" t="n">
        <x:f>'Ставки'!DM$3</x:f>
      </x:c>
      <x:c r="DN3" s="340" t="n">
        <x:f>'Ставки'!DN$3</x:f>
      </x:c>
      <x:c r="DO3" s="340" t="n">
        <x:f>'Ставки'!DO$3</x:f>
      </x:c>
      <x:c r="DP3" s="340" t="n">
        <x:f>'Ставки'!DP$3</x:f>
      </x:c>
      <x:c r="DQ3" s="340" t="n">
        <x:f>'Ставки'!DQ$3</x:f>
      </x:c>
      <x:c r="DR3" s="340" t="n">
        <x:f>'Ставки'!DR$3</x:f>
      </x:c>
      <x:c r="DS3" s="340" t="n">
        <x:f>'Ставки'!DS$3</x:f>
      </x:c>
      <x:c r="DT3" s="340" t="n">
        <x:f>'Ставки'!DT$3</x:f>
      </x:c>
      <x:c r="DU3" s="340" t="n">
        <x:f>'Ставки'!DU$3</x:f>
      </x:c>
      <x:c r="DV3" s="340" t="n">
        <x:f>'Ставки'!DV$3</x:f>
      </x:c>
      <x:c r="DW3" s="340" t="n">
        <x:f>'Ставки'!DW$3</x:f>
      </x:c>
      <x:c r="DX3" s="340" t="n">
        <x:f>'Ставки'!DX$3</x:f>
      </x:c>
      <x:c r="DY3" s="340" t="n">
        <x:f>'Ставки'!DY$3</x:f>
      </x:c>
      <x:c r="DZ3" s="340" t="n">
        <x:f>'Ставки'!DZ$3</x:f>
      </x:c>
      <x:c r="EA3" s="340" t="n">
        <x:f>'Ставки'!EA$3</x:f>
      </x:c>
      <x:c r="EB3" s="340" t="n">
        <x:f>'Ставки'!EB$3</x:f>
      </x:c>
      <x:c r="EC3" s="340" t="n">
        <x:f>'Ставки'!EC$3</x:f>
      </x:c>
      <x:c r="ED3" s="340" t="n">
        <x:f>'Ставки'!ED$3</x:f>
      </x:c>
      <x:c r="EE3" s="340" t="n">
        <x:f>'Ставки'!EE$3</x:f>
      </x:c>
      <x:c r="EF3" s="340" t="n">
        <x:f>'Ставки'!EF$3</x:f>
      </x:c>
      <x:c r="EG3" s="340" t="n">
        <x:f>'Ставки'!EG$3</x:f>
      </x:c>
      <x:c r="EH3" s="340" t="n">
        <x:f>'Ставки'!EH$3</x:f>
      </x:c>
      <x:c r="EI3" s="340" t="n">
        <x:f>'Ставки'!EI$3</x:f>
      </x:c>
      <x:c r="EJ3" s="340" t="n">
        <x:f>'Ставки'!EJ$3</x:f>
      </x:c>
      <x:c r="EK3" s="340" t="n">
        <x:f>'Ставки'!EK$3</x:f>
      </x:c>
      <x:c r="EL3" s="340" t="n">
        <x:f>'Ставки'!EL$3</x:f>
      </x:c>
      <x:c r="EM3" s="340" t="n">
        <x:f>'Ставки'!EM$3</x:f>
      </x:c>
      <x:c r="EN3" s="340" t="n">
        <x:f>'Ставки'!EN$3</x:f>
      </x:c>
      <x:c r="EO3" s="340" t="n">
        <x:f>'Ставки'!EO$3</x:f>
      </x:c>
      <x:c r="EP3" s="340" t="n">
        <x:f>'Ставки'!EP$3</x:f>
      </x:c>
      <x:c r="EQ3" s="340" t="n">
        <x:f>'Ставки'!EQ$3</x:f>
      </x:c>
      <x:c r="ER3" s="340" t="n">
        <x:f>'Ставки'!ER$3</x:f>
      </x:c>
      <x:c r="ES3" s="340" t="n">
        <x:f>'Ставки'!ES$3</x:f>
      </x:c>
      <x:c r="ET3" s="340" t="n">
        <x:f>'Ставки'!ET$3</x:f>
      </x:c>
      <x:c r="EU3" s="340" t="n">
        <x:f>'Ставки'!EU$3</x:f>
      </x:c>
      <x:c r="EV3" s="340" t="n">
        <x:f>'Ставки'!EV$3</x:f>
      </x:c>
      <x:c r="EW3" s="340" t="n">
        <x:f>'Ставки'!EW$3</x:f>
      </x:c>
      <x:c r="EX3" s="340" t="n">
        <x:f>'Ставки'!EX$3</x:f>
      </x:c>
      <x:c r="EY3" s="340" t="n">
        <x:f>'Ставки'!EY$3</x:f>
      </x:c>
      <x:c r="EZ3" s="340" t="n">
        <x:f>'Ставки'!EZ$3</x:f>
      </x:c>
      <x:c r="FA3" s="340" t="n">
        <x:f>'Ставки'!FA$3</x:f>
      </x:c>
      <x:c r="FB3" s="340" t="n">
        <x:f>'Ставки'!FB$3</x:f>
      </x:c>
      <x:c r="FC3" s="340" t="n">
        <x:f>'Ставки'!FC$3</x:f>
      </x:c>
      <x:c r="FD3" s="340" t="n">
        <x:f>'Ставки'!FD$3</x:f>
      </x:c>
      <x:c r="FE3" s="340" t="n">
        <x:f>'Ставки'!FE$3</x:f>
      </x:c>
      <x:c r="FF3" s="340" t="n">
        <x:f>'Ставки'!FF$3</x:f>
      </x:c>
      <x:c r="FG3" s="340" t="n">
        <x:f>'Ставки'!FG$3</x:f>
      </x:c>
      <x:c r="FH3" s="340" t="n">
        <x:f>'Ставки'!FH$3</x:f>
      </x:c>
      <x:c r="FI3" s="340" t="n">
        <x:f>'Ставки'!FI$3</x:f>
      </x:c>
      <x:c r="FJ3" s="340" t="n">
        <x:f>'Ставки'!FJ$3</x:f>
      </x:c>
      <x:c r="FK3" s="340" t="n">
        <x:f>'Ставки'!FK$3</x:f>
      </x:c>
      <x:c r="FL3" s="340" t="n">
        <x:f>'Ставки'!FL$3</x:f>
      </x:c>
      <x:c r="FM3" s="340" t="n">
        <x:f>'Ставки'!FM$3</x:f>
      </x:c>
      <x:c r="FN3" s="340" t="n">
        <x:f>'Ставки'!FN$3</x:f>
      </x:c>
      <x:c r="FO3" s="340" t="n">
        <x:f>'Ставки'!FO$3</x:f>
      </x:c>
      <x:c r="FP3" s="340" t="n">
        <x:f>'Ставки'!FP$3</x:f>
      </x:c>
      <x:c r="FQ3" s="340" t="n">
        <x:f>'Ставки'!FQ$3</x:f>
      </x:c>
      <x:c r="FR3" s="340" t="n">
        <x:f>'Ставки'!FR$3</x:f>
      </x:c>
      <x:c r="FS3" s="340" t="n">
        <x:f>'Ставки'!FS$3</x:f>
      </x:c>
      <x:c r="FT3" s="340" t="n">
        <x:f>'Ставки'!FT$3</x:f>
      </x:c>
      <x:c r="FU3" s="340" t="n">
        <x:f>'Ставки'!FU$3</x:f>
      </x:c>
      <x:c r="FV3" s="340" t="n">
        <x:f>'Ставки'!FV$3</x:f>
      </x:c>
      <x:c r="FW3" s="340" t="n">
        <x:f>'Ставки'!FW$3</x:f>
      </x:c>
      <x:c r="FX3" s="340" t="n">
        <x:f>'Ставки'!FX$3</x:f>
      </x:c>
      <x:c r="FY3" s="340" t="n">
        <x:f>'Ставки'!FY$3</x:f>
      </x:c>
      <x:c r="FZ3" s="340" t="n">
        <x:f>'Ставки'!FZ$3</x:f>
      </x:c>
      <x:c r="GA3" s="340" t="n">
        <x:f>'Ставки'!GA$3</x:f>
      </x:c>
    </x:row>
    <x:row r="4">
      <x:c r="A4" s="338" t="str">
        <x:v>Период</x:v>
      </x:c>
      <x:c r="B4" s="338"/>
      <x:c r="C4" s="338" t="str">
        <x:v>№</x:v>
      </x:c>
      <x:c r="D4" s="342" t="n">
        <x:v>1</x:v>
      </x:c>
      <x:c r="E4" s="342" t="n">
        <x:v>2</x:v>
      </x:c>
      <x:c r="F4" s="342" t="n">
        <x:v>3</x:v>
      </x:c>
      <x:c r="G4" s="342" t="n">
        <x:v>4</x:v>
      </x:c>
      <x:c r="H4" s="342" t="n">
        <x:v>5</x:v>
      </x:c>
      <x:c r="I4" s="342" t="n">
        <x:v>6</x:v>
      </x:c>
      <x:c r="J4" s="342" t="n">
        <x:v>7</x:v>
      </x:c>
      <x:c r="K4" s="342" t="n">
        <x:v>8</x:v>
      </x:c>
      <x:c r="L4" s="342" t="n">
        <x:v>9</x:v>
      </x:c>
      <x:c r="M4" s="342" t="n">
        <x:v>10</x:v>
      </x:c>
      <x:c r="N4" s="342" t="n">
        <x:v>11</x:v>
      </x:c>
      <x:c r="O4" s="342" t="n">
        <x:v>12</x:v>
      </x:c>
      <x:c r="P4" s="342" t="n">
        <x:v>13</x:v>
      </x:c>
      <x:c r="Q4" s="342" t="n">
        <x:v>14</x:v>
      </x:c>
      <x:c r="R4" s="342" t="n">
        <x:v>15</x:v>
      </x:c>
      <x:c r="S4" s="342" t="n">
        <x:v>16</x:v>
      </x:c>
      <x:c r="T4" s="342" t="n">
        <x:v>17</x:v>
      </x:c>
      <x:c r="U4" s="342" t="n">
        <x:v>18</x:v>
      </x:c>
      <x:c r="V4" s="342" t="n">
        <x:v>19</x:v>
      </x:c>
      <x:c r="W4" s="342" t="n">
        <x:v>20</x:v>
      </x:c>
      <x:c r="X4" s="342" t="n">
        <x:v>21</x:v>
      </x:c>
      <x:c r="Y4" s="342" t="n">
        <x:v>22</x:v>
      </x:c>
      <x:c r="Z4" s="342" t="n">
        <x:v>23</x:v>
      </x:c>
      <x:c r="AA4" s="342" t="n">
        <x:v>24</x:v>
      </x:c>
      <x:c r="AB4" s="342" t="n">
        <x:v>25</x:v>
      </x:c>
      <x:c r="AC4" s="342" t="n">
        <x:v>26</x:v>
      </x:c>
      <x:c r="AD4" s="342" t="n">
        <x:v>27</x:v>
      </x:c>
      <x:c r="AE4" s="342" t="n">
        <x:v>28</x:v>
      </x:c>
      <x:c r="AF4" s="342" t="n">
        <x:v>29</x:v>
      </x:c>
      <x:c r="AG4" s="342" t="n">
        <x:v>30</x:v>
      </x:c>
      <x:c r="AH4" s="342" t="n">
        <x:v>31</x:v>
      </x:c>
      <x:c r="AI4" s="342" t="n">
        <x:v>32</x:v>
      </x:c>
      <x:c r="AJ4" s="342" t="n">
        <x:v>33</x:v>
      </x:c>
      <x:c r="AK4" s="342" t="n">
        <x:v>34</x:v>
      </x:c>
      <x:c r="AL4" s="342" t="n">
        <x:v>35</x:v>
      </x:c>
      <x:c r="AM4" s="342" t="n">
        <x:v>36</x:v>
      </x:c>
      <x:c r="AN4" s="342" t="n">
        <x:v>37</x:v>
      </x:c>
      <x:c r="AO4" s="342" t="n">
        <x:v>38</x:v>
      </x:c>
      <x:c r="AP4" s="342" t="n">
        <x:v>39</x:v>
      </x:c>
      <x:c r="AQ4" s="342" t="n">
        <x:v>40</x:v>
      </x:c>
      <x:c r="AR4" s="342" t="n">
        <x:v>41</x:v>
      </x:c>
      <x:c r="AS4" s="342" t="n">
        <x:v>42</x:v>
      </x:c>
      <x:c r="AT4" s="342" t="n">
        <x:v>43</x:v>
      </x:c>
      <x:c r="AU4" s="342" t="n">
        <x:v>44</x:v>
      </x:c>
      <x:c r="AV4" s="342" t="n">
        <x:v>45</x:v>
      </x:c>
      <x:c r="AW4" s="342" t="n">
        <x:v>46</x:v>
      </x:c>
      <x:c r="AX4" s="342" t="n">
        <x:v>47</x:v>
      </x:c>
      <x:c r="AY4" s="342" t="n">
        <x:v>48</x:v>
      </x:c>
      <x:c r="AZ4" s="342" t="n">
        <x:v>49</x:v>
      </x:c>
      <x:c r="BA4" s="342" t="n">
        <x:v>50</x:v>
      </x:c>
      <x:c r="BB4" s="342" t="n">
        <x:v>51</x:v>
      </x:c>
      <x:c r="BC4" s="342" t="n">
        <x:v>52</x:v>
      </x:c>
      <x:c r="BD4" s="342" t="n">
        <x:v>53</x:v>
      </x:c>
      <x:c r="BE4" s="342" t="n">
        <x:v>54</x:v>
      </x:c>
      <x:c r="BF4" s="342" t="n">
        <x:v>55</x:v>
      </x:c>
      <x:c r="BG4" s="342" t="n">
        <x:v>56</x:v>
      </x:c>
      <x:c r="BH4" s="342" t="n">
        <x:v>57</x:v>
      </x:c>
      <x:c r="BI4" s="342" t="n">
        <x:v>58</x:v>
      </x:c>
      <x:c r="BJ4" s="342" t="n">
        <x:v>59</x:v>
      </x:c>
      <x:c r="BK4" s="342" t="n">
        <x:v>60</x:v>
      </x:c>
      <x:c r="BL4" s="342" t="n">
        <x:v>61</x:v>
      </x:c>
      <x:c r="BM4" s="342" t="n">
        <x:v>62</x:v>
      </x:c>
      <x:c r="BN4" s="342" t="n">
        <x:v>63</x:v>
      </x:c>
      <x:c r="BO4" s="342" t="n">
        <x:v>64</x:v>
      </x:c>
      <x:c r="BP4" s="342" t="n">
        <x:v>65</x:v>
      </x:c>
      <x:c r="BQ4" s="342" t="n">
        <x:v>66</x:v>
      </x:c>
      <x:c r="BR4" s="342" t="n">
        <x:v>67</x:v>
      </x:c>
      <x:c r="BS4" s="342" t="n">
        <x:v>68</x:v>
      </x:c>
      <x:c r="BT4" s="342" t="n">
        <x:v>69</x:v>
      </x:c>
      <x:c r="BU4" s="342" t="n">
        <x:v>70</x:v>
      </x:c>
      <x:c r="BV4" s="342" t="n">
        <x:v>71</x:v>
      </x:c>
      <x:c r="BW4" s="342" t="n">
        <x:v>72</x:v>
      </x:c>
      <x:c r="BX4" s="342" t="n">
        <x:v>73</x:v>
      </x:c>
      <x:c r="BY4" s="342" t="n">
        <x:v>74</x:v>
      </x:c>
      <x:c r="BZ4" s="342" t="n">
        <x:v>75</x:v>
      </x:c>
      <x:c r="CA4" s="342" t="n">
        <x:v>76</x:v>
      </x:c>
      <x:c r="CB4" s="342" t="n">
        <x:v>77</x:v>
      </x:c>
      <x:c r="CC4" s="342" t="n">
        <x:v>78</x:v>
      </x:c>
      <x:c r="CD4" s="342" t="n">
        <x:v>79</x:v>
      </x:c>
      <x:c r="CE4" s="342" t="n">
        <x:v>80</x:v>
      </x:c>
      <x:c r="CF4" s="342" t="n">
        <x:v>81</x:v>
      </x:c>
      <x:c r="CG4" s="342" t="n">
        <x:v>82</x:v>
      </x:c>
      <x:c r="CH4" s="342" t="n">
        <x:v>83</x:v>
      </x:c>
      <x:c r="CI4" s="342" t="n">
        <x:v>84</x:v>
      </x:c>
      <x:c r="CJ4" s="342" t="n">
        <x:v>85</x:v>
      </x:c>
      <x:c r="CK4" s="342" t="n">
        <x:v>86</x:v>
      </x:c>
      <x:c r="CL4" s="342" t="n">
        <x:v>87</x:v>
      </x:c>
      <x:c r="CM4" s="342" t="n">
        <x:v>88</x:v>
      </x:c>
      <x:c r="CN4" s="342" t="n">
        <x:v>89</x:v>
      </x:c>
      <x:c r="CO4" s="342" t="n">
        <x:v>90</x:v>
      </x:c>
      <x:c r="CP4" s="342" t="n">
        <x:v>91</x:v>
      </x:c>
      <x:c r="CQ4" s="342" t="n">
        <x:v>92</x:v>
      </x:c>
      <x:c r="CR4" s="342" t="n">
        <x:v>93</x:v>
      </x:c>
      <x:c r="CS4" s="342" t="n">
        <x:v>94</x:v>
      </x:c>
      <x:c r="CT4" s="342" t="n">
        <x:v>95</x:v>
      </x:c>
      <x:c r="CU4" s="342" t="n">
        <x:v>96</x:v>
      </x:c>
      <x:c r="CV4" s="342" t="n">
        <x:v>97</x:v>
      </x:c>
      <x:c r="CW4" s="342" t="n">
        <x:v>98</x:v>
      </x:c>
      <x:c r="CX4" s="342" t="n">
        <x:v>99</x:v>
      </x:c>
      <x:c r="CY4" s="342" t="n">
        <x:v>100</x:v>
      </x:c>
      <x:c r="CZ4" s="342" t="n">
        <x:v>101</x:v>
      </x:c>
      <x:c r="DA4" s="342" t="n">
        <x:v>102</x:v>
      </x:c>
      <x:c r="DB4" s="342" t="n">
        <x:v>103</x:v>
      </x:c>
      <x:c r="DC4" s="342" t="n">
        <x:v>104</x:v>
      </x:c>
      <x:c r="DD4" s="342" t="n">
        <x:v>105</x:v>
      </x:c>
      <x:c r="DE4" s="342" t="n">
        <x:v>106</x:v>
      </x:c>
      <x:c r="DF4" s="342" t="n">
        <x:v>107</x:v>
      </x:c>
      <x:c r="DG4" s="342" t="n">
        <x:v>108</x:v>
      </x:c>
      <x:c r="DH4" s="342" t="n">
        <x:v>109</x:v>
      </x:c>
      <x:c r="DI4" s="342" t="n">
        <x:v>110</x:v>
      </x:c>
      <x:c r="DJ4" s="342" t="n">
        <x:v>111</x:v>
      </x:c>
      <x:c r="DK4" s="342" t="n">
        <x:v>112</x:v>
      </x:c>
      <x:c r="DL4" s="342" t="n">
        <x:v>113</x:v>
      </x:c>
      <x:c r="DM4" s="342" t="n">
        <x:v>114</x:v>
      </x:c>
      <x:c r="DN4" s="342" t="n">
        <x:v>115</x:v>
      </x:c>
      <x:c r="DO4" s="342" t="n">
        <x:v>116</x:v>
      </x:c>
      <x:c r="DP4" s="342" t="n">
        <x:v>117</x:v>
      </x:c>
      <x:c r="DQ4" s="342" t="n">
        <x:v>118</x:v>
      </x:c>
      <x:c r="DR4" s="342" t="n">
        <x:v>119</x:v>
      </x:c>
      <x:c r="DS4" s="342" t="n">
        <x:v>120</x:v>
      </x:c>
      <x:c r="DT4" s="342" t="n">
        <x:v>121</x:v>
      </x:c>
      <x:c r="DU4" s="342" t="n">
        <x:v>122</x:v>
      </x:c>
      <x:c r="DV4" s="342" t="n">
        <x:v>123</x:v>
      </x:c>
      <x:c r="DW4" s="342" t="n">
        <x:v>124</x:v>
      </x:c>
      <x:c r="DX4" s="342" t="n">
        <x:v>125</x:v>
      </x:c>
      <x:c r="DY4" s="342" t="n">
        <x:v>126</x:v>
      </x:c>
      <x:c r="DZ4" s="342" t="n">
        <x:v>127</x:v>
      </x:c>
      <x:c r="EA4" s="342" t="n">
        <x:v>128</x:v>
      </x:c>
      <x:c r="EB4" s="342" t="n">
        <x:v>129</x:v>
      </x:c>
      <x:c r="EC4" s="342" t="n">
        <x:v>130</x:v>
      </x:c>
      <x:c r="ED4" s="342" t="n">
        <x:v>131</x:v>
      </x:c>
      <x:c r="EE4" s="342" t="n">
        <x:v>132</x:v>
      </x:c>
      <x:c r="EF4" s="342" t="n">
        <x:v>133</x:v>
      </x:c>
      <x:c r="EG4" s="342" t="n">
        <x:v>134</x:v>
      </x:c>
      <x:c r="EH4" s="342" t="n">
        <x:v>135</x:v>
      </x:c>
      <x:c r="EI4" s="342" t="n">
        <x:v>136</x:v>
      </x:c>
      <x:c r="EJ4" s="342" t="n">
        <x:v>137</x:v>
      </x:c>
      <x:c r="EK4" s="342" t="n">
        <x:v>138</x:v>
      </x:c>
      <x:c r="EL4" s="342" t="n">
        <x:v>139</x:v>
      </x:c>
      <x:c r="EM4" s="342" t="n">
        <x:v>140</x:v>
      </x:c>
      <x:c r="EN4" s="342" t="n">
        <x:v>141</x:v>
      </x:c>
      <x:c r="EO4" s="342" t="n">
        <x:v>142</x:v>
      </x:c>
      <x:c r="EP4" s="342" t="n">
        <x:v>143</x:v>
      </x:c>
      <x:c r="EQ4" s="342" t="n">
        <x:v>144</x:v>
      </x:c>
      <x:c r="ER4" s="342" t="n">
        <x:v>145</x:v>
      </x:c>
      <x:c r="ES4" s="342" t="n">
        <x:v>146</x:v>
      </x:c>
      <x:c r="ET4" s="342" t="n">
        <x:v>147</x:v>
      </x:c>
      <x:c r="EU4" s="342" t="n">
        <x:v>148</x:v>
      </x:c>
      <x:c r="EV4" s="342" t="n">
        <x:v>149</x:v>
      </x:c>
      <x:c r="EW4" s="342" t="n">
        <x:v>150</x:v>
      </x:c>
      <x:c r="EX4" s="342" t="n">
        <x:v>151</x:v>
      </x:c>
      <x:c r="EY4" s="342" t="n">
        <x:v>152</x:v>
      </x:c>
      <x:c r="EZ4" s="342" t="n">
        <x:v>153</x:v>
      </x:c>
      <x:c r="FA4" s="342" t="n">
        <x:v>154</x:v>
      </x:c>
      <x:c r="FB4" s="342" t="n">
        <x:v>155</x:v>
      </x:c>
      <x:c r="FC4" s="342" t="n">
        <x:v>156</x:v>
      </x:c>
      <x:c r="FD4" s="342" t="n">
        <x:v>157</x:v>
      </x:c>
      <x:c r="FE4" s="342" t="n">
        <x:v>158</x:v>
      </x:c>
      <x:c r="FF4" s="342" t="n">
        <x:v>159</x:v>
      </x:c>
      <x:c r="FG4" s="342" t="n">
        <x:v>160</x:v>
      </x:c>
      <x:c r="FH4" s="342" t="n">
        <x:v>161</x:v>
      </x:c>
      <x:c r="FI4" s="342" t="n">
        <x:v>162</x:v>
      </x:c>
      <x:c r="FJ4" s="342" t="n">
        <x:v>163</x:v>
      </x:c>
      <x:c r="FK4" s="342" t="n">
        <x:v>164</x:v>
      </x:c>
      <x:c r="FL4" s="342" t="n">
        <x:v>165</x:v>
      </x:c>
      <x:c r="FM4" s="342" t="n">
        <x:v>166</x:v>
      </x:c>
      <x:c r="FN4" s="342" t="n">
        <x:v>167</x:v>
      </x:c>
      <x:c r="FO4" s="342" t="n">
        <x:v>168</x:v>
      </x:c>
      <x:c r="FP4" s="342" t="n">
        <x:v>169</x:v>
      </x:c>
      <x:c r="FQ4" s="342" t="n">
        <x:v>170</x:v>
      </x:c>
      <x:c r="FR4" s="342" t="n">
        <x:v>171</x:v>
      </x:c>
      <x:c r="FS4" s="342" t="n">
        <x:v>172</x:v>
      </x:c>
      <x:c r="FT4" s="342" t="n">
        <x:v>173</x:v>
      </x:c>
      <x:c r="FU4" s="342" t="n">
        <x:v>174</x:v>
      </x:c>
      <x:c r="FV4" s="342" t="n">
        <x:v>175</x:v>
      </x:c>
      <x:c r="FW4" s="342" t="n">
        <x:v>176</x:v>
      </x:c>
      <x:c r="FX4" s="342" t="n">
        <x:v>177</x:v>
      </x:c>
      <x:c r="FY4" s="342" t="n">
        <x:v>178</x:v>
      </x:c>
      <x:c r="FZ4" s="342" t="n">
        <x:v>179</x:v>
      </x:c>
      <x:c r="GA4" s="342" t="n">
        <x:v>180</x:v>
      </x:c>
    </x:row>
    <x:row r="6" ht="21" customHeight="1">
      <x:c r="A6" s="281" t="str">
        <x:v>МФОЦ / ОФИСНЫЙ ЦЕНТР</x:v>
      </x:c>
      <x:c r="B6" s="282" t="str">
        <x:v>МФОЦ / ОФИСНЫЙ ЦЕНТР</x:v>
      </x:c>
      <x:c r="C6" s="282" t="str">
        <x:v>МФОЦ / ОФИСНЫЙ ЦЕНТР</x:v>
      </x:c>
      <x:c r="D6" s="282" t="str">
        <x:v>МФОЦ / ОФИСНЫЙ ЦЕНТР</x:v>
      </x:c>
      <x:c r="E6" s="282" t="str">
        <x:v>МФОЦ / ОФИСНЫЙ ЦЕНТР</x:v>
      </x:c>
      <x:c r="F6" s="282" t="str">
        <x:v>МФОЦ / ОФИСНЫЙ ЦЕНТР</x:v>
      </x:c>
      <x:c r="G6" s="282" t="str">
        <x:v>МФОЦ / ОФИСНЫЙ ЦЕНТР</x:v>
      </x:c>
      <x:c r="H6" s="282" t="str">
        <x:v>МФОЦ / ОФИСНЫЙ ЦЕНТР</x:v>
      </x:c>
      <x:c r="I6" s="282" t="str">
        <x:v>МФОЦ / ОФИСНЫЙ ЦЕНТР</x:v>
      </x:c>
      <x:c r="J6" s="282" t="str">
        <x:v>МФОЦ / ОФИСНЫЙ ЦЕНТР</x:v>
      </x:c>
      <x:c r="K6" s="282" t="str">
        <x:v>МФОЦ / ОФИСНЫЙ ЦЕНТР</x:v>
      </x:c>
      <x:c r="L6" s="282" t="str">
        <x:v>МФОЦ / ОФИСНЫЙ ЦЕНТР</x:v>
      </x:c>
      <x:c r="M6" s="282" t="str">
        <x:v>МФОЦ / ОФИСНЫЙ ЦЕНТР</x:v>
      </x:c>
      <x:c r="N6" s="282" t="str">
        <x:v>МФОЦ / ОФИСНЫЙ ЦЕНТР</x:v>
      </x:c>
      <x:c r="O6" s="282" t="str">
        <x:v>МФОЦ / ОФИСНЫЙ ЦЕНТР</x:v>
      </x:c>
      <x:c r="P6" s="282" t="str">
        <x:v>МФОЦ / ОФИСНЫЙ ЦЕНТР</x:v>
      </x:c>
      <x:c r="Q6" s="282" t="str">
        <x:v>МФОЦ / ОФИСНЫЙ ЦЕНТР</x:v>
      </x:c>
      <x:c r="R6" s="282" t="str">
        <x:v>МФОЦ / ОФИСНЫЙ ЦЕНТР</x:v>
      </x:c>
      <x:c r="S6" s="282" t="str">
        <x:v>МФОЦ / ОФИСНЫЙ ЦЕНТР</x:v>
      </x:c>
      <x:c r="T6" s="282" t="str">
        <x:v>МФОЦ / ОФИСНЫЙ ЦЕНТР</x:v>
      </x:c>
      <x:c r="U6" s="282" t="str">
        <x:v>МФОЦ / ОФИСНЫЙ ЦЕНТР</x:v>
      </x:c>
      <x:c r="V6" s="282" t="str">
        <x:v>МФОЦ / ОФИСНЫЙ ЦЕНТР</x:v>
      </x:c>
      <x:c r="W6" s="282" t="str">
        <x:v>МФОЦ / ОФИСНЫЙ ЦЕНТР</x:v>
      </x:c>
      <x:c r="X6" s="282" t="str">
        <x:v>МФОЦ / ОФИСНЫЙ ЦЕНТР</x:v>
      </x:c>
      <x:c r="Y6" s="282" t="str">
        <x:v>МФОЦ / ОФИСНЫЙ ЦЕНТР</x:v>
      </x:c>
      <x:c r="Z6" s="282" t="str">
        <x:v>МФОЦ / ОФИСНЫЙ ЦЕНТР</x:v>
      </x:c>
      <x:c r="AA6" s="282" t="str">
        <x:v>МФОЦ / ОФИСНЫЙ ЦЕНТР</x:v>
      </x:c>
      <x:c r="AB6" s="282" t="str">
        <x:v>МФОЦ / ОФИСНЫЙ ЦЕНТР</x:v>
      </x:c>
      <x:c r="AC6" s="282" t="str">
        <x:v>МФОЦ / ОФИСНЫЙ ЦЕНТР</x:v>
      </x:c>
      <x:c r="AD6" s="282" t="str">
        <x:v>МФОЦ / ОФИСНЫЙ ЦЕНТР</x:v>
      </x:c>
      <x:c r="AE6" s="282" t="str">
        <x:v>МФОЦ / ОФИСНЫЙ ЦЕНТР</x:v>
      </x:c>
      <x:c r="AF6" s="282" t="str">
        <x:v>МФОЦ / ОФИСНЫЙ ЦЕНТР</x:v>
      </x:c>
      <x:c r="AG6" s="282" t="str">
        <x:v>МФОЦ / ОФИСНЫЙ ЦЕНТР</x:v>
      </x:c>
      <x:c r="AH6" s="282" t="str">
        <x:v>МФОЦ / ОФИСНЫЙ ЦЕНТР</x:v>
      </x:c>
      <x:c r="AI6" s="282" t="str">
        <x:v>МФОЦ / ОФИСНЫЙ ЦЕНТР</x:v>
      </x:c>
      <x:c r="AJ6" s="282" t="str">
        <x:v>МФОЦ / ОФИСНЫЙ ЦЕНТР</x:v>
      </x:c>
      <x:c r="AK6" s="282" t="str">
        <x:v>МФОЦ / ОФИСНЫЙ ЦЕНТР</x:v>
      </x:c>
      <x:c r="AL6" s="282" t="str">
        <x:v>МФОЦ / ОФИСНЫЙ ЦЕНТР</x:v>
      </x:c>
      <x:c r="AM6" s="282" t="str">
        <x:v>МФОЦ / ОФИСНЫЙ ЦЕНТР</x:v>
      </x:c>
      <x:c r="AN6" s="282" t="str">
        <x:v>МФОЦ / ОФИСНЫЙ ЦЕНТР</x:v>
      </x:c>
      <x:c r="AO6" s="282" t="str">
        <x:v>МФОЦ / ОФИСНЫЙ ЦЕНТР</x:v>
      </x:c>
      <x:c r="AP6" s="282" t="str">
        <x:v>МФОЦ / ОФИСНЫЙ ЦЕНТР</x:v>
      </x:c>
      <x:c r="AQ6" s="282" t="str">
        <x:v>МФОЦ / ОФИСНЫЙ ЦЕНТР</x:v>
      </x:c>
      <x:c r="AR6" s="282" t="str">
        <x:v>МФОЦ / ОФИСНЫЙ ЦЕНТР</x:v>
      </x:c>
      <x:c r="AS6" s="282" t="str">
        <x:v>МФОЦ / ОФИСНЫЙ ЦЕНТР</x:v>
      </x:c>
      <x:c r="AT6" s="282" t="str">
        <x:v>МФОЦ / ОФИСНЫЙ ЦЕНТР</x:v>
      </x:c>
      <x:c r="AU6" s="282" t="str">
        <x:v>МФОЦ / ОФИСНЫЙ ЦЕНТР</x:v>
      </x:c>
      <x:c r="AV6" s="282" t="str">
        <x:v>МФОЦ / ОФИСНЫЙ ЦЕНТР</x:v>
      </x:c>
      <x:c r="AW6" s="282" t="str">
        <x:v>МФОЦ / ОФИСНЫЙ ЦЕНТР</x:v>
      </x:c>
      <x:c r="AX6" s="282" t="str">
        <x:v>МФОЦ / ОФИСНЫЙ ЦЕНТР</x:v>
      </x:c>
      <x:c r="AY6" s="282" t="str">
        <x:v>МФОЦ / ОФИСНЫЙ ЦЕНТР</x:v>
      </x:c>
      <x:c r="AZ6" s="282" t="str">
        <x:v>МФОЦ / ОФИСНЫЙ ЦЕНТР</x:v>
      </x:c>
      <x:c r="BA6" s="282" t="str">
        <x:v>МФОЦ / ОФИСНЫЙ ЦЕНТР</x:v>
      </x:c>
      <x:c r="BB6" s="282" t="str">
        <x:v>МФОЦ / ОФИСНЫЙ ЦЕНТР</x:v>
      </x:c>
      <x:c r="BC6" s="282" t="str">
        <x:v>МФОЦ / ОФИСНЫЙ ЦЕНТР</x:v>
      </x:c>
      <x:c r="BD6" s="282" t="str">
        <x:v>МФОЦ / ОФИСНЫЙ ЦЕНТР</x:v>
      </x:c>
      <x:c r="BE6" s="282" t="str">
        <x:v>МФОЦ / ОФИСНЫЙ ЦЕНТР</x:v>
      </x:c>
      <x:c r="BF6" s="282" t="str">
        <x:v>МФОЦ / ОФИСНЫЙ ЦЕНТР</x:v>
      </x:c>
      <x:c r="BG6" s="282" t="str">
        <x:v>МФОЦ / ОФИСНЫЙ ЦЕНТР</x:v>
      </x:c>
      <x:c r="BH6" s="282" t="str">
        <x:v>МФОЦ / ОФИСНЫЙ ЦЕНТР</x:v>
      </x:c>
      <x:c r="BI6" s="282" t="str">
        <x:v>МФОЦ / ОФИСНЫЙ ЦЕНТР</x:v>
      </x:c>
      <x:c r="BJ6" s="282" t="str">
        <x:v>МФОЦ / ОФИСНЫЙ ЦЕНТР</x:v>
      </x:c>
      <x:c r="BK6" s="282" t="str">
        <x:v>МФОЦ / ОФИСНЫЙ ЦЕНТР</x:v>
      </x:c>
      <x:c r="BL6" s="282" t="str">
        <x:v>МФОЦ / ОФИСНЫЙ ЦЕНТР</x:v>
      </x:c>
      <x:c r="BM6" s="282" t="str">
        <x:v>МФОЦ / ОФИСНЫЙ ЦЕНТР</x:v>
      </x:c>
      <x:c r="BN6" s="282" t="str">
        <x:v>МФОЦ / ОФИСНЫЙ ЦЕНТР</x:v>
      </x:c>
      <x:c r="BO6" s="282" t="str">
        <x:v>МФОЦ / ОФИСНЫЙ ЦЕНТР</x:v>
      </x:c>
      <x:c r="BP6" s="282" t="str">
        <x:v>МФОЦ / ОФИСНЫЙ ЦЕНТР</x:v>
      </x:c>
      <x:c r="BQ6" s="282" t="str">
        <x:v>МФОЦ / ОФИСНЫЙ ЦЕНТР</x:v>
      </x:c>
      <x:c r="BR6" s="282" t="str">
        <x:v>МФОЦ / ОФИСНЫЙ ЦЕНТР</x:v>
      </x:c>
      <x:c r="BS6" s="282" t="str">
        <x:v>МФОЦ / ОФИСНЫЙ ЦЕНТР</x:v>
      </x:c>
      <x:c r="BT6" s="282" t="str">
        <x:v>МФОЦ / ОФИСНЫЙ ЦЕНТР</x:v>
      </x:c>
      <x:c r="BU6" s="282" t="str">
        <x:v>МФОЦ / ОФИСНЫЙ ЦЕНТР</x:v>
      </x:c>
      <x:c r="BV6" s="282" t="str">
        <x:v>МФОЦ / ОФИСНЫЙ ЦЕНТР</x:v>
      </x:c>
      <x:c r="BW6" s="282" t="str">
        <x:v>МФОЦ / ОФИСНЫЙ ЦЕНТР</x:v>
      </x:c>
      <x:c r="BX6" s="282" t="str">
        <x:v>МФОЦ / ОФИСНЫЙ ЦЕНТР</x:v>
      </x:c>
      <x:c r="BY6" s="282" t="str">
        <x:v>МФОЦ / ОФИСНЫЙ ЦЕНТР</x:v>
      </x:c>
      <x:c r="BZ6" s="282" t="str">
        <x:v>МФОЦ / ОФИСНЫЙ ЦЕНТР</x:v>
      </x:c>
      <x:c r="CA6" s="282" t="str">
        <x:v>МФОЦ / ОФИСНЫЙ ЦЕНТР</x:v>
      </x:c>
      <x:c r="CB6" s="282" t="str">
        <x:v>МФОЦ / ОФИСНЫЙ ЦЕНТР</x:v>
      </x:c>
      <x:c r="CC6" s="282" t="str">
        <x:v>МФОЦ / ОФИСНЫЙ ЦЕНТР</x:v>
      </x:c>
      <x:c r="CD6" s="282" t="str">
        <x:v>МФОЦ / ОФИСНЫЙ ЦЕНТР</x:v>
      </x:c>
      <x:c r="CE6" s="282" t="str">
        <x:v>МФОЦ / ОФИСНЫЙ ЦЕНТР</x:v>
      </x:c>
      <x:c r="CF6" s="282" t="str">
        <x:v>МФОЦ / ОФИСНЫЙ ЦЕНТР</x:v>
      </x:c>
      <x:c r="CG6" s="282" t="str">
        <x:v>МФОЦ / ОФИСНЫЙ ЦЕНТР</x:v>
      </x:c>
      <x:c r="CH6" s="282" t="str">
        <x:v>МФОЦ / ОФИСНЫЙ ЦЕНТР</x:v>
      </x:c>
      <x:c r="CI6" s="282" t="str">
        <x:v>МФОЦ / ОФИСНЫЙ ЦЕНТР</x:v>
      </x:c>
      <x:c r="CJ6" s="282" t="str">
        <x:v>МФОЦ / ОФИСНЫЙ ЦЕНТР</x:v>
      </x:c>
      <x:c r="CK6" s="282" t="str">
        <x:v>МФОЦ / ОФИСНЫЙ ЦЕНТР</x:v>
      </x:c>
      <x:c r="CL6" s="282" t="str">
        <x:v>МФОЦ / ОФИСНЫЙ ЦЕНТР</x:v>
      </x:c>
      <x:c r="CM6" s="282" t="str">
        <x:v>МФОЦ / ОФИСНЫЙ ЦЕНТР</x:v>
      </x:c>
      <x:c r="CN6" s="282" t="str">
        <x:v>МФОЦ / ОФИСНЫЙ ЦЕНТР</x:v>
      </x:c>
      <x:c r="CO6" s="282" t="str">
        <x:v>МФОЦ / ОФИСНЫЙ ЦЕНТР</x:v>
      </x:c>
      <x:c r="CP6" s="282" t="str">
        <x:v>МФОЦ / ОФИСНЫЙ ЦЕНТР</x:v>
      </x:c>
      <x:c r="CQ6" s="282" t="str">
        <x:v>МФОЦ / ОФИСНЫЙ ЦЕНТР</x:v>
      </x:c>
      <x:c r="CR6" s="282" t="str">
        <x:v>МФОЦ / ОФИСНЫЙ ЦЕНТР</x:v>
      </x:c>
      <x:c r="CS6" s="282" t="str">
        <x:v>МФОЦ / ОФИСНЫЙ ЦЕНТР</x:v>
      </x:c>
      <x:c r="CT6" s="282" t="str">
        <x:v>МФОЦ / ОФИСНЫЙ ЦЕНТР</x:v>
      </x:c>
      <x:c r="CU6" s="282" t="str">
        <x:v>МФОЦ / ОФИСНЫЙ ЦЕНТР</x:v>
      </x:c>
      <x:c r="CV6" s="282" t="str">
        <x:v>МФОЦ / ОФИСНЫЙ ЦЕНТР</x:v>
      </x:c>
      <x:c r="CW6" s="282" t="str">
        <x:v>МФОЦ / ОФИСНЫЙ ЦЕНТР</x:v>
      </x:c>
      <x:c r="CX6" s="282" t="str">
        <x:v>МФОЦ / ОФИСНЫЙ ЦЕНТР</x:v>
      </x:c>
      <x:c r="CY6" s="282" t="str">
        <x:v>МФОЦ / ОФИСНЫЙ ЦЕНТР</x:v>
      </x:c>
      <x:c r="CZ6" s="282" t="str">
        <x:v>МФОЦ / ОФИСНЫЙ ЦЕНТР</x:v>
      </x:c>
      <x:c r="DA6" s="282" t="str">
        <x:v>МФОЦ / ОФИСНЫЙ ЦЕНТР</x:v>
      </x:c>
      <x:c r="DB6" s="282" t="str">
        <x:v>МФОЦ / ОФИСНЫЙ ЦЕНТР</x:v>
      </x:c>
      <x:c r="DC6" s="282" t="str">
        <x:v>МФОЦ / ОФИСНЫЙ ЦЕНТР</x:v>
      </x:c>
      <x:c r="DD6" s="282" t="str">
        <x:v>МФОЦ / ОФИСНЫЙ ЦЕНТР</x:v>
      </x:c>
      <x:c r="DE6" s="282" t="str">
        <x:v>МФОЦ / ОФИСНЫЙ ЦЕНТР</x:v>
      </x:c>
      <x:c r="DF6" s="282" t="str">
        <x:v>МФОЦ / ОФИСНЫЙ ЦЕНТР</x:v>
      </x:c>
      <x:c r="DG6" s="282" t="str">
        <x:v>МФОЦ / ОФИСНЫЙ ЦЕНТР</x:v>
      </x:c>
      <x:c r="DH6" s="282" t="str">
        <x:v>МФОЦ / ОФИСНЫЙ ЦЕНТР</x:v>
      </x:c>
      <x:c r="DI6" s="282" t="str">
        <x:v>МФОЦ / ОФИСНЫЙ ЦЕНТР</x:v>
      </x:c>
      <x:c r="DJ6" s="282" t="str">
        <x:v>МФОЦ / ОФИСНЫЙ ЦЕНТР</x:v>
      </x:c>
      <x:c r="DK6" s="282" t="str">
        <x:v>МФОЦ / ОФИСНЫЙ ЦЕНТР</x:v>
      </x:c>
      <x:c r="DL6" s="282" t="str">
        <x:v>МФОЦ / ОФИСНЫЙ ЦЕНТР</x:v>
      </x:c>
      <x:c r="DM6" s="282" t="str">
        <x:v>МФОЦ / ОФИСНЫЙ ЦЕНТР</x:v>
      </x:c>
      <x:c r="DN6" s="282" t="str">
        <x:v>МФОЦ / ОФИСНЫЙ ЦЕНТР</x:v>
      </x:c>
      <x:c r="DO6" s="282" t="str">
        <x:v>МФОЦ / ОФИСНЫЙ ЦЕНТР</x:v>
      </x:c>
      <x:c r="DP6" s="282" t="str">
        <x:v>МФОЦ / ОФИСНЫЙ ЦЕНТР</x:v>
      </x:c>
      <x:c r="DQ6" s="282" t="str">
        <x:v>МФОЦ / ОФИСНЫЙ ЦЕНТР</x:v>
      </x:c>
      <x:c r="DR6" s="282" t="str">
        <x:v>МФОЦ / ОФИСНЫЙ ЦЕНТР</x:v>
      </x:c>
      <x:c r="DS6" s="283" t="str">
        <x:v>МФОЦ / ОФИСНЫЙ ЦЕНТР</x:v>
      </x:c>
      <x:c r="DT6" s="283" t="str"/>
      <x:c r="DU6" s="283" t="str"/>
      <x:c r="DV6" s="283" t="str"/>
      <x:c r="DW6" s="283" t="str"/>
      <x:c r="DX6" s="283" t="str"/>
      <x:c r="DY6" s="283" t="str"/>
      <x:c r="DZ6" s="283" t="str"/>
      <x:c r="EA6" s="283" t="str"/>
      <x:c r="EB6" s="283" t="str"/>
      <x:c r="EC6" s="283" t="str"/>
      <x:c r="ED6" s="283" t="str"/>
      <x:c r="EE6" s="283" t="str"/>
      <x:c r="EF6" s="283" t="str"/>
      <x:c r="EG6" s="283" t="str"/>
      <x:c r="EH6" s="283" t="str"/>
      <x:c r="EI6" s="283" t="str"/>
      <x:c r="EJ6" s="283" t="str"/>
      <x:c r="EK6" s="283" t="str"/>
      <x:c r="EL6" s="283" t="str"/>
      <x:c r="EM6" s="283" t="str"/>
      <x:c r="EN6" s="283" t="str"/>
      <x:c r="EO6" s="283" t="str"/>
      <x:c r="EP6" s="283" t="str"/>
      <x:c r="EQ6" s="283" t="str"/>
      <x:c r="ER6" s="283" t="str"/>
      <x:c r="ES6" s="283" t="str"/>
      <x:c r="ET6" s="283" t="str"/>
      <x:c r="EU6" s="283" t="str"/>
      <x:c r="EV6" s="283" t="str"/>
      <x:c r="EW6" s="283" t="str"/>
      <x:c r="EX6" s="283" t="str"/>
      <x:c r="EY6" s="283" t="str"/>
      <x:c r="EZ6" s="283" t="str"/>
      <x:c r="FA6" s="283" t="str"/>
      <x:c r="FB6" s="283" t="str"/>
      <x:c r="FC6" s="283" t="str"/>
      <x:c r="FD6" s="283" t="str"/>
      <x:c r="FE6" s="283" t="str"/>
      <x:c r="FF6" s="283" t="str"/>
      <x:c r="FG6" s="283" t="str"/>
      <x:c r="FH6" s="283" t="str"/>
      <x:c r="FI6" s="283" t="str"/>
      <x:c r="FJ6" s="283" t="str"/>
      <x:c r="FK6" s="283" t="str"/>
      <x:c r="FL6" s="283" t="str"/>
      <x:c r="FM6" s="283" t="str"/>
      <x:c r="FN6" s="283" t="str"/>
      <x:c r="FO6" s="283" t="str"/>
      <x:c r="FP6" s="283" t="str"/>
      <x:c r="FQ6" s="283" t="str"/>
      <x:c r="FR6" s="283" t="str"/>
      <x:c r="FS6" s="283" t="str"/>
      <x:c r="FT6" s="283" t="str"/>
      <x:c r="FU6" s="283" t="str"/>
      <x:c r="FV6" s="283" t="str"/>
      <x:c r="FW6" s="283" t="str"/>
      <x:c r="FX6" s="283" t="str"/>
      <x:c r="FY6" s="283" t="str"/>
      <x:c r="FZ6" s="283" t="str"/>
      <x:c r="GA6" s="283" t="str"/>
    </x:row>
    <x:row r="7">
      <x:c r="A7" t="str">
        <x:v>Объект включён</x:v>
      </x:c>
      <x:c r="B7" t="str">
        <x:f>'Вводные'!$K$20</x:f>
      </x:c>
      <x:c r="C7" t="str">
        <x:v>Да / Нет</x:v>
      </x:c>
    </x:row>
    <x:row r="8">
      <x:c r="A8" t="str">
        <x:v>Очередь финансирования</x:v>
      </x:c>
      <x:c r="B8" t="n">
        <x:f>'Вводные'!$K$21</x:f>
      </x:c>
      <x:c r="C8" t="str">
        <x:v>1–3</x:v>
      </x:c>
    </x:row>
    <x:row r="9">
      <x:c r="A9" t="str">
        <x:v>Начало строительства</x:v>
      </x:c>
      <x:c r="B9" s="92" t="n">
        <x:f>EDATE('Вводные'!$K$27,'Вводные'!$H$9)</x:f>
      </x:c>
      <x:c r="C9" t="str">
        <x:v>дата</x:v>
      </x:c>
    </x:row>
    <x:row r="10">
      <x:c r="A10" t="str">
        <x:v>РВЭ</x:v>
      </x:c>
      <x:c r="B10" s="92" t="n">
        <x:f>EDATE(B9,'Вводные'!$K$28)</x:f>
      </x:c>
      <x:c r="C10" t="str">
        <x:v>дата</x:v>
      </x:c>
    </x:row>
    <x:row r="11">
      <x:c r="A11" t="str">
        <x:v>Старт продаж</x:v>
      </x:c>
      <x:c r="B11" s="92" t="n">
        <x:f>EDATE('Вводные'!$K$30,'Вводные'!$H$9)</x:f>
      </x:c>
      <x:c r="C11" t="str">
        <x:v>дата</x:v>
      </x:c>
    </x:row>
    <x:row r="12">
      <x:c r="A12" t="str">
        <x:v>Расчётная общая площадь (GBA)</x:v>
      </x:c>
      <x:c r="B12" s="132" t="n">
        <x:f>'Вводные'!$K$25</x:f>
      </x:c>
      <x:c r="C12" t="str">
        <x:v>м²</x:v>
      </x:c>
    </x:row>
    <x:row r="13">
      <x:c r="A13" t="str">
        <x:v>Расчётная продаваемая площадь</x:v>
      </x:c>
      <x:c r="B13" s="132" t="n">
        <x:f>'Вводные'!$K$26</x:f>
      </x:c>
      <x:c r="C13" t="str">
        <x:v>м²</x:v>
      </x:c>
    </x:row>
    <x:row r="14">
      <x:c r="A14" t="str">
        <x:v>Флаг строительства</x:v>
      </x:c>
      <x:c r="B14"/>
      <x:c r="C14" t="str">
        <x:v>0 / 1</x:v>
      </x:c>
      <x:c r="D14" t="n">
        <x:f>--AND(D$3&gt;=$B$9,D$3&lt;$B$10,AND($B$7="Да",IFERROR(INDEX('Вводные'!$B$88:$B$91,$B$8),"Нет")="Да"))</x:f>
      </x:c>
      <x:c r="E14" t="n">
        <x:f>--AND(E$3&gt;=$B$9,E$3&lt;$B$10,AND($B$7="Да",IFERROR(INDEX('Вводные'!$B$88:$B$91,$B$8),"Нет")="Да"))</x:f>
      </x:c>
      <x:c r="F14" t="n">
        <x:f>--AND(F$3&gt;=$B$9,F$3&lt;$B$10,AND($B$7="Да",IFERROR(INDEX('Вводные'!$B$88:$B$91,$B$8),"Нет")="Да"))</x:f>
      </x:c>
      <x:c r="G14" t="n">
        <x:f>--AND(G$3&gt;=$B$9,G$3&lt;$B$10,AND($B$7="Да",IFERROR(INDEX('Вводные'!$B$88:$B$91,$B$8),"Нет")="Да"))</x:f>
      </x:c>
      <x:c r="H14" t="n">
        <x:f>--AND(H$3&gt;=$B$9,H$3&lt;$B$10,AND($B$7="Да",IFERROR(INDEX('Вводные'!$B$88:$B$91,$B$8),"Нет")="Да"))</x:f>
      </x:c>
      <x:c r="I14" t="n">
        <x:f>--AND(I$3&gt;=$B$9,I$3&lt;$B$10,AND($B$7="Да",IFERROR(INDEX('Вводные'!$B$88:$B$91,$B$8),"Нет")="Да"))</x:f>
      </x:c>
      <x:c r="J14" t="n">
        <x:f>--AND(J$3&gt;=$B$9,J$3&lt;$B$10,AND($B$7="Да",IFERROR(INDEX('Вводные'!$B$88:$B$91,$B$8),"Нет")="Да"))</x:f>
      </x:c>
      <x:c r="K14" t="n">
        <x:f>--AND(K$3&gt;=$B$9,K$3&lt;$B$10,AND($B$7="Да",IFERROR(INDEX('Вводные'!$B$88:$B$91,$B$8),"Нет")="Да"))</x:f>
      </x:c>
      <x:c r="L14" t="n">
        <x:f>--AND(L$3&gt;=$B$9,L$3&lt;$B$10,AND($B$7="Да",IFERROR(INDEX('Вводные'!$B$88:$B$91,$B$8),"Нет")="Да"))</x:f>
      </x:c>
      <x:c r="M14" t="n">
        <x:f>--AND(M$3&gt;=$B$9,M$3&lt;$B$10,AND($B$7="Да",IFERROR(INDEX('Вводные'!$B$88:$B$91,$B$8),"Нет")="Да"))</x:f>
      </x:c>
      <x:c r="N14" t="n">
        <x:f>--AND(N$3&gt;=$B$9,N$3&lt;$B$10,AND($B$7="Да",IFERROR(INDEX('Вводные'!$B$88:$B$91,$B$8),"Нет")="Да"))</x:f>
      </x:c>
      <x:c r="O14" t="n">
        <x:f>--AND(O$3&gt;=$B$9,O$3&lt;$B$10,AND($B$7="Да",IFERROR(INDEX('Вводные'!$B$88:$B$91,$B$8),"Нет")="Да"))</x:f>
      </x:c>
      <x:c r="P14" t="n">
        <x:f>--AND(P$3&gt;=$B$9,P$3&lt;$B$10,AND($B$7="Да",IFERROR(INDEX('Вводные'!$B$88:$B$91,$B$8),"Нет")="Да"))</x:f>
      </x:c>
      <x:c r="Q14" t="n">
        <x:f>--AND(Q$3&gt;=$B$9,Q$3&lt;$B$10,AND($B$7="Да",IFERROR(INDEX('Вводные'!$B$88:$B$91,$B$8),"Нет")="Да"))</x:f>
      </x:c>
      <x:c r="R14" t="n">
        <x:f>--AND(R$3&gt;=$B$9,R$3&lt;$B$10,AND($B$7="Да",IFERROR(INDEX('Вводные'!$B$88:$B$91,$B$8),"Нет")="Да"))</x:f>
      </x:c>
      <x:c r="S14" t="n">
        <x:f>--AND(S$3&gt;=$B$9,S$3&lt;$B$10,AND($B$7="Да",IFERROR(INDEX('Вводные'!$B$88:$B$91,$B$8),"Нет")="Да"))</x:f>
      </x:c>
      <x:c r="T14" t="n">
        <x:f>--AND(T$3&gt;=$B$9,T$3&lt;$B$10,AND($B$7="Да",IFERROR(INDEX('Вводные'!$B$88:$B$91,$B$8),"Нет")="Да"))</x:f>
      </x:c>
      <x:c r="U14" t="n">
        <x:f>--AND(U$3&gt;=$B$9,U$3&lt;$B$10,AND($B$7="Да",IFERROR(INDEX('Вводные'!$B$88:$B$91,$B$8),"Нет")="Да"))</x:f>
      </x:c>
      <x:c r="V14" t="n">
        <x:f>--AND(V$3&gt;=$B$9,V$3&lt;$B$10,AND($B$7="Да",IFERROR(INDEX('Вводные'!$B$88:$B$91,$B$8),"Нет")="Да"))</x:f>
      </x:c>
      <x:c r="W14" t="n">
        <x:f>--AND(W$3&gt;=$B$9,W$3&lt;$B$10,AND($B$7="Да",IFERROR(INDEX('Вводные'!$B$88:$B$91,$B$8),"Нет")="Да"))</x:f>
      </x:c>
      <x:c r="X14" t="n">
        <x:f>--AND(X$3&gt;=$B$9,X$3&lt;$B$10,AND($B$7="Да",IFERROR(INDEX('Вводные'!$B$88:$B$91,$B$8),"Нет")="Да"))</x:f>
      </x:c>
      <x:c r="Y14" t="n">
        <x:f>--AND(Y$3&gt;=$B$9,Y$3&lt;$B$10,AND($B$7="Да",IFERROR(INDEX('Вводные'!$B$88:$B$91,$B$8),"Нет")="Да"))</x:f>
      </x:c>
      <x:c r="Z14" t="n">
        <x:f>--AND(Z$3&gt;=$B$9,Z$3&lt;$B$10,AND($B$7="Да",IFERROR(INDEX('Вводные'!$B$88:$B$91,$B$8),"Нет")="Да"))</x:f>
      </x:c>
      <x:c r="AA14" t="n">
        <x:f>--AND(AA$3&gt;=$B$9,AA$3&lt;$B$10,AND($B$7="Да",IFERROR(INDEX('Вводные'!$B$88:$B$91,$B$8),"Нет")="Да"))</x:f>
      </x:c>
      <x:c r="AB14" t="n">
        <x:f>--AND(AB$3&gt;=$B$9,AB$3&lt;$B$10,AND($B$7="Да",IFERROR(INDEX('Вводные'!$B$88:$B$91,$B$8),"Нет")="Да"))</x:f>
      </x:c>
      <x:c r="AC14" t="n">
        <x:f>--AND(AC$3&gt;=$B$9,AC$3&lt;$B$10,AND($B$7="Да",IFERROR(INDEX('Вводные'!$B$88:$B$91,$B$8),"Нет")="Да"))</x:f>
      </x:c>
      <x:c r="AD14" t="n">
        <x:f>--AND(AD$3&gt;=$B$9,AD$3&lt;$B$10,AND($B$7="Да",IFERROR(INDEX('Вводные'!$B$88:$B$91,$B$8),"Нет")="Да"))</x:f>
      </x:c>
      <x:c r="AE14" t="n">
        <x:f>--AND(AE$3&gt;=$B$9,AE$3&lt;$B$10,AND($B$7="Да",IFERROR(INDEX('Вводные'!$B$88:$B$91,$B$8),"Нет")="Да"))</x:f>
      </x:c>
      <x:c r="AF14" t="n">
        <x:f>--AND(AF$3&gt;=$B$9,AF$3&lt;$B$10,AND($B$7="Да",IFERROR(INDEX('Вводные'!$B$88:$B$91,$B$8),"Нет")="Да"))</x:f>
      </x:c>
      <x:c r="AG14" t="n">
        <x:f>--AND(AG$3&gt;=$B$9,AG$3&lt;$B$10,AND($B$7="Да",IFERROR(INDEX('Вводные'!$B$88:$B$91,$B$8),"Нет")="Да"))</x:f>
      </x:c>
      <x:c r="AH14" t="n">
        <x:f>--AND(AH$3&gt;=$B$9,AH$3&lt;$B$10,AND($B$7="Да",IFERROR(INDEX('Вводные'!$B$88:$B$91,$B$8),"Нет")="Да"))</x:f>
      </x:c>
      <x:c r="AI14" t="n">
        <x:f>--AND(AI$3&gt;=$B$9,AI$3&lt;$B$10,AND($B$7="Да",IFERROR(INDEX('Вводные'!$B$88:$B$91,$B$8),"Нет")="Да"))</x:f>
      </x:c>
      <x:c r="AJ14" t="n">
        <x:f>--AND(AJ$3&gt;=$B$9,AJ$3&lt;$B$10,AND($B$7="Да",IFERROR(INDEX('Вводные'!$B$88:$B$91,$B$8),"Нет")="Да"))</x:f>
      </x:c>
      <x:c r="AK14" t="n">
        <x:f>--AND(AK$3&gt;=$B$9,AK$3&lt;$B$10,AND($B$7="Да",IFERROR(INDEX('Вводные'!$B$88:$B$91,$B$8),"Нет")="Да"))</x:f>
      </x:c>
      <x:c r="AL14" t="n">
        <x:f>--AND(AL$3&gt;=$B$9,AL$3&lt;$B$10,AND($B$7="Да",IFERROR(INDEX('Вводные'!$B$88:$B$91,$B$8),"Нет")="Да"))</x:f>
      </x:c>
      <x:c r="AM14" t="n">
        <x:f>--AND(AM$3&gt;=$B$9,AM$3&lt;$B$10,AND($B$7="Да",IFERROR(INDEX('Вводные'!$B$88:$B$91,$B$8),"Нет")="Да"))</x:f>
      </x:c>
      <x:c r="AN14" t="n">
        <x:f>--AND(AN$3&gt;=$B$9,AN$3&lt;$B$10,AND($B$7="Да",IFERROR(INDEX('Вводные'!$B$88:$B$91,$B$8),"Нет")="Да"))</x:f>
      </x:c>
      <x:c r="AO14" t="n">
        <x:f>--AND(AO$3&gt;=$B$9,AO$3&lt;$B$10,AND($B$7="Да",IFERROR(INDEX('Вводные'!$B$88:$B$91,$B$8),"Нет")="Да"))</x:f>
      </x:c>
      <x:c r="AP14" t="n">
        <x:f>--AND(AP$3&gt;=$B$9,AP$3&lt;$B$10,AND($B$7="Да",IFERROR(INDEX('Вводные'!$B$88:$B$91,$B$8),"Нет")="Да"))</x:f>
      </x:c>
      <x:c r="AQ14" t="n">
        <x:f>--AND(AQ$3&gt;=$B$9,AQ$3&lt;$B$10,AND($B$7="Да",IFERROR(INDEX('Вводные'!$B$88:$B$91,$B$8),"Нет")="Да"))</x:f>
      </x:c>
      <x:c r="AR14" t="n">
        <x:f>--AND(AR$3&gt;=$B$9,AR$3&lt;$B$10,AND($B$7="Да",IFERROR(INDEX('Вводные'!$B$88:$B$91,$B$8),"Нет")="Да"))</x:f>
      </x:c>
      <x:c r="AS14" t="n">
        <x:f>--AND(AS$3&gt;=$B$9,AS$3&lt;$B$10,AND($B$7="Да",IFERROR(INDEX('Вводные'!$B$88:$B$91,$B$8),"Нет")="Да"))</x:f>
      </x:c>
      <x:c r="AT14" t="n">
        <x:f>--AND(AT$3&gt;=$B$9,AT$3&lt;$B$10,AND($B$7="Да",IFERROR(INDEX('Вводные'!$B$88:$B$91,$B$8),"Нет")="Да"))</x:f>
      </x:c>
      <x:c r="AU14" t="n">
        <x:f>--AND(AU$3&gt;=$B$9,AU$3&lt;$B$10,AND($B$7="Да",IFERROR(INDEX('Вводные'!$B$88:$B$91,$B$8),"Нет")="Да"))</x:f>
      </x:c>
      <x:c r="AV14" t="n">
        <x:f>--AND(AV$3&gt;=$B$9,AV$3&lt;$B$10,AND($B$7="Да",IFERROR(INDEX('Вводные'!$B$88:$B$91,$B$8),"Нет")="Да"))</x:f>
      </x:c>
      <x:c r="AW14" t="n">
        <x:f>--AND(AW$3&gt;=$B$9,AW$3&lt;$B$10,AND($B$7="Да",IFERROR(INDEX('Вводные'!$B$88:$B$91,$B$8),"Нет")="Да"))</x:f>
      </x:c>
      <x:c r="AX14" t="n">
        <x:f>--AND(AX$3&gt;=$B$9,AX$3&lt;$B$10,AND($B$7="Да",IFERROR(INDEX('Вводные'!$B$88:$B$91,$B$8),"Нет")="Да"))</x:f>
      </x:c>
      <x:c r="AY14" t="n">
        <x:f>--AND(AY$3&gt;=$B$9,AY$3&lt;$B$10,AND($B$7="Да",IFERROR(INDEX('Вводные'!$B$88:$B$91,$B$8),"Нет")="Да"))</x:f>
      </x:c>
      <x:c r="AZ14" t="n">
        <x:f>--AND(AZ$3&gt;=$B$9,AZ$3&lt;$B$10,AND($B$7="Да",IFERROR(INDEX('Вводные'!$B$88:$B$91,$B$8),"Нет")="Да"))</x:f>
      </x:c>
      <x:c r="BA14" t="n">
        <x:f>--AND(BA$3&gt;=$B$9,BA$3&lt;$B$10,AND($B$7="Да",IFERROR(INDEX('Вводные'!$B$88:$B$91,$B$8),"Нет")="Да"))</x:f>
      </x:c>
      <x:c r="BB14" t="n">
        <x:f>--AND(BB$3&gt;=$B$9,BB$3&lt;$B$10,AND($B$7="Да",IFERROR(INDEX('Вводные'!$B$88:$B$91,$B$8),"Нет")="Да"))</x:f>
      </x:c>
      <x:c r="BC14" t="n">
        <x:f>--AND(BC$3&gt;=$B$9,BC$3&lt;$B$10,AND($B$7="Да",IFERROR(INDEX('Вводные'!$B$88:$B$91,$B$8),"Нет")="Да"))</x:f>
      </x:c>
      <x:c r="BD14" t="n">
        <x:f>--AND(BD$3&gt;=$B$9,BD$3&lt;$B$10,AND($B$7="Да",IFERROR(INDEX('Вводные'!$B$88:$B$91,$B$8),"Нет")="Да"))</x:f>
      </x:c>
      <x:c r="BE14" t="n">
        <x:f>--AND(BE$3&gt;=$B$9,BE$3&lt;$B$10,AND($B$7="Да",IFERROR(INDEX('Вводные'!$B$88:$B$91,$B$8),"Нет")="Да"))</x:f>
      </x:c>
      <x:c r="BF14" t="n">
        <x:f>--AND(BF$3&gt;=$B$9,BF$3&lt;$B$10,AND($B$7="Да",IFERROR(INDEX('Вводные'!$B$88:$B$91,$B$8),"Нет")="Да"))</x:f>
      </x:c>
      <x:c r="BG14" t="n">
        <x:f>--AND(BG$3&gt;=$B$9,BG$3&lt;$B$10,AND($B$7="Да",IFERROR(INDEX('Вводные'!$B$88:$B$91,$B$8),"Нет")="Да"))</x:f>
      </x:c>
      <x:c r="BH14" t="n">
        <x:f>--AND(BH$3&gt;=$B$9,BH$3&lt;$B$10,AND($B$7="Да",IFERROR(INDEX('Вводные'!$B$88:$B$91,$B$8),"Нет")="Да"))</x:f>
      </x:c>
      <x:c r="BI14" t="n">
        <x:f>--AND(BI$3&gt;=$B$9,BI$3&lt;$B$10,AND($B$7="Да",IFERROR(INDEX('Вводные'!$B$88:$B$91,$B$8),"Нет")="Да"))</x:f>
      </x:c>
      <x:c r="BJ14" t="n">
        <x:f>--AND(BJ$3&gt;=$B$9,BJ$3&lt;$B$10,AND($B$7="Да",IFERROR(INDEX('Вводные'!$B$88:$B$91,$B$8),"Нет")="Да"))</x:f>
      </x:c>
      <x:c r="BK14" t="n">
        <x:f>--AND(BK$3&gt;=$B$9,BK$3&lt;$B$10,AND($B$7="Да",IFERROR(INDEX('Вводные'!$B$88:$B$91,$B$8),"Нет")="Да"))</x:f>
      </x:c>
      <x:c r="BL14" t="n">
        <x:f>--AND(BL$3&gt;=$B$9,BL$3&lt;$B$10,AND($B$7="Да",IFERROR(INDEX('Вводные'!$B$88:$B$91,$B$8),"Нет")="Да"))</x:f>
      </x:c>
      <x:c r="BM14" t="n">
        <x:f>--AND(BM$3&gt;=$B$9,BM$3&lt;$B$10,AND($B$7="Да",IFERROR(INDEX('Вводные'!$B$88:$B$91,$B$8),"Нет")="Да"))</x:f>
      </x:c>
      <x:c r="BN14" t="n">
        <x:f>--AND(BN$3&gt;=$B$9,BN$3&lt;$B$10,AND($B$7="Да",IFERROR(INDEX('Вводные'!$B$88:$B$91,$B$8),"Нет")="Да"))</x:f>
      </x:c>
      <x:c r="BO14" t="n">
        <x:f>--AND(BO$3&gt;=$B$9,BO$3&lt;$B$10,AND($B$7="Да",IFERROR(INDEX('Вводные'!$B$88:$B$91,$B$8),"Нет")="Да"))</x:f>
      </x:c>
      <x:c r="BP14" t="n">
        <x:f>--AND(BP$3&gt;=$B$9,BP$3&lt;$B$10,AND($B$7="Да",IFERROR(INDEX('Вводные'!$B$88:$B$91,$B$8),"Нет")="Да"))</x:f>
      </x:c>
      <x:c r="BQ14" t="n">
        <x:f>--AND(BQ$3&gt;=$B$9,BQ$3&lt;$B$10,AND($B$7="Да",IFERROR(INDEX('Вводные'!$B$88:$B$91,$B$8),"Нет")="Да"))</x:f>
      </x:c>
      <x:c r="BR14" t="n">
        <x:f>--AND(BR$3&gt;=$B$9,BR$3&lt;$B$10,AND($B$7="Да",IFERROR(INDEX('Вводные'!$B$88:$B$91,$B$8),"Нет")="Да"))</x:f>
      </x:c>
      <x:c r="BS14" t="n">
        <x:f>--AND(BS$3&gt;=$B$9,BS$3&lt;$B$10,AND($B$7="Да",IFERROR(INDEX('Вводные'!$B$88:$B$91,$B$8),"Нет")="Да"))</x:f>
      </x:c>
      <x:c r="BT14" t="n">
        <x:f>--AND(BT$3&gt;=$B$9,BT$3&lt;$B$10,AND($B$7="Да",IFERROR(INDEX('Вводные'!$B$88:$B$91,$B$8),"Нет")="Да"))</x:f>
      </x:c>
      <x:c r="BU14" t="n">
        <x:f>--AND(BU$3&gt;=$B$9,BU$3&lt;$B$10,AND($B$7="Да",IFERROR(INDEX('Вводные'!$B$88:$B$91,$B$8),"Нет")="Да"))</x:f>
      </x:c>
      <x:c r="BV14" t="n">
        <x:f>--AND(BV$3&gt;=$B$9,BV$3&lt;$B$10,AND($B$7="Да",IFERROR(INDEX('Вводные'!$B$88:$B$91,$B$8),"Нет")="Да"))</x:f>
      </x:c>
      <x:c r="BW14" t="n">
        <x:f>--AND(BW$3&gt;=$B$9,BW$3&lt;$B$10,AND($B$7="Да",IFERROR(INDEX('Вводные'!$B$88:$B$91,$B$8),"Нет")="Да"))</x:f>
      </x:c>
      <x:c r="BX14" t="n">
        <x:f>--AND(BX$3&gt;=$B$9,BX$3&lt;$B$10,AND($B$7="Да",IFERROR(INDEX('Вводные'!$B$88:$B$91,$B$8),"Нет")="Да"))</x:f>
      </x:c>
      <x:c r="BY14" t="n">
        <x:f>--AND(BY$3&gt;=$B$9,BY$3&lt;$B$10,AND($B$7="Да",IFERROR(INDEX('Вводные'!$B$88:$B$91,$B$8),"Нет")="Да"))</x:f>
      </x:c>
      <x:c r="BZ14" t="n">
        <x:f>--AND(BZ$3&gt;=$B$9,BZ$3&lt;$B$10,AND($B$7="Да",IFERROR(INDEX('Вводные'!$B$88:$B$91,$B$8),"Нет")="Да"))</x:f>
      </x:c>
      <x:c r="CA14" t="n">
        <x:f>--AND(CA$3&gt;=$B$9,CA$3&lt;$B$10,AND($B$7="Да",IFERROR(INDEX('Вводные'!$B$88:$B$91,$B$8),"Нет")="Да"))</x:f>
      </x:c>
      <x:c r="CB14" t="n">
        <x:f>--AND(CB$3&gt;=$B$9,CB$3&lt;$B$10,AND($B$7="Да",IFERROR(INDEX('Вводные'!$B$88:$B$91,$B$8),"Нет")="Да"))</x:f>
      </x:c>
      <x:c r="CC14" t="n">
        <x:f>--AND(CC$3&gt;=$B$9,CC$3&lt;$B$10,AND($B$7="Да",IFERROR(INDEX('Вводные'!$B$88:$B$91,$B$8),"Нет")="Да"))</x:f>
      </x:c>
      <x:c r="CD14" t="n">
        <x:f>--AND(CD$3&gt;=$B$9,CD$3&lt;$B$10,AND($B$7="Да",IFERROR(INDEX('Вводные'!$B$88:$B$91,$B$8),"Нет")="Да"))</x:f>
      </x:c>
      <x:c r="CE14" t="n">
        <x:f>--AND(CE$3&gt;=$B$9,CE$3&lt;$B$10,AND($B$7="Да",IFERROR(INDEX('Вводные'!$B$88:$B$91,$B$8),"Нет")="Да"))</x:f>
      </x:c>
      <x:c r="CF14" t="n">
        <x:f>--AND(CF$3&gt;=$B$9,CF$3&lt;$B$10,AND($B$7="Да",IFERROR(INDEX('Вводные'!$B$88:$B$91,$B$8),"Нет")="Да"))</x:f>
      </x:c>
      <x:c r="CG14" t="n">
        <x:f>--AND(CG$3&gt;=$B$9,CG$3&lt;$B$10,AND($B$7="Да",IFERROR(INDEX('Вводные'!$B$88:$B$91,$B$8),"Нет")="Да"))</x:f>
      </x:c>
      <x:c r="CH14" t="n">
        <x:f>--AND(CH$3&gt;=$B$9,CH$3&lt;$B$10,AND($B$7="Да",IFERROR(INDEX('Вводные'!$B$88:$B$91,$B$8),"Нет")="Да"))</x:f>
      </x:c>
      <x:c r="CI14" t="n">
        <x:f>--AND(CI$3&gt;=$B$9,CI$3&lt;$B$10,AND($B$7="Да",IFERROR(INDEX('Вводные'!$B$88:$B$91,$B$8),"Нет")="Да"))</x:f>
      </x:c>
      <x:c r="CJ14" t="n">
        <x:f>--AND(CJ$3&gt;=$B$9,CJ$3&lt;$B$10,AND($B$7="Да",IFERROR(INDEX('Вводные'!$B$88:$B$91,$B$8),"Нет")="Да"))</x:f>
      </x:c>
      <x:c r="CK14" t="n">
        <x:f>--AND(CK$3&gt;=$B$9,CK$3&lt;$B$10,AND($B$7="Да",IFERROR(INDEX('Вводные'!$B$88:$B$91,$B$8),"Нет")="Да"))</x:f>
      </x:c>
      <x:c r="CL14" t="n">
        <x:f>--AND(CL$3&gt;=$B$9,CL$3&lt;$B$10,AND($B$7="Да",IFERROR(INDEX('Вводные'!$B$88:$B$91,$B$8),"Нет")="Да"))</x:f>
      </x:c>
      <x:c r="CM14" t="n">
        <x:f>--AND(CM$3&gt;=$B$9,CM$3&lt;$B$10,AND($B$7="Да",IFERROR(INDEX('Вводные'!$B$88:$B$91,$B$8),"Нет")="Да"))</x:f>
      </x:c>
      <x:c r="CN14" t="n">
        <x:f>--AND(CN$3&gt;=$B$9,CN$3&lt;$B$10,AND($B$7="Да",IFERROR(INDEX('Вводные'!$B$88:$B$91,$B$8),"Нет")="Да"))</x:f>
      </x:c>
      <x:c r="CO14" t="n">
        <x:f>--AND(CO$3&gt;=$B$9,CO$3&lt;$B$10,AND($B$7="Да",IFERROR(INDEX('Вводные'!$B$88:$B$91,$B$8),"Нет")="Да"))</x:f>
      </x:c>
      <x:c r="CP14" t="n">
        <x:f>--AND(CP$3&gt;=$B$9,CP$3&lt;$B$10,AND($B$7="Да",IFERROR(INDEX('Вводные'!$B$88:$B$91,$B$8),"Нет")="Да"))</x:f>
      </x:c>
      <x:c r="CQ14" t="n">
        <x:f>--AND(CQ$3&gt;=$B$9,CQ$3&lt;$B$10,AND($B$7="Да",IFERROR(INDEX('Вводные'!$B$88:$B$91,$B$8),"Нет")="Да"))</x:f>
      </x:c>
      <x:c r="CR14" t="n">
        <x:f>--AND(CR$3&gt;=$B$9,CR$3&lt;$B$10,AND($B$7="Да",IFERROR(INDEX('Вводные'!$B$88:$B$91,$B$8),"Нет")="Да"))</x:f>
      </x:c>
      <x:c r="CS14" t="n">
        <x:f>--AND(CS$3&gt;=$B$9,CS$3&lt;$B$10,AND($B$7="Да",IFERROR(INDEX('Вводные'!$B$88:$B$91,$B$8),"Нет")="Да"))</x:f>
      </x:c>
      <x:c r="CT14" t="n">
        <x:f>--AND(CT$3&gt;=$B$9,CT$3&lt;$B$10,AND($B$7="Да",IFERROR(INDEX('Вводные'!$B$88:$B$91,$B$8),"Нет")="Да"))</x:f>
      </x:c>
      <x:c r="CU14" t="n">
        <x:f>--AND(CU$3&gt;=$B$9,CU$3&lt;$B$10,AND($B$7="Да",IFERROR(INDEX('Вводные'!$B$88:$B$91,$B$8),"Нет")="Да"))</x:f>
      </x:c>
      <x:c r="CV14" t="n">
        <x:f>--AND(CV$3&gt;=$B$9,CV$3&lt;$B$10,AND($B$7="Да",IFERROR(INDEX('Вводные'!$B$88:$B$91,$B$8),"Нет")="Да"))</x:f>
      </x:c>
      <x:c r="CW14" t="n">
        <x:f>--AND(CW$3&gt;=$B$9,CW$3&lt;$B$10,AND($B$7="Да",IFERROR(INDEX('Вводные'!$B$88:$B$91,$B$8),"Нет")="Да"))</x:f>
      </x:c>
      <x:c r="CX14" t="n">
        <x:f>--AND(CX$3&gt;=$B$9,CX$3&lt;$B$10,AND($B$7="Да",IFERROR(INDEX('Вводные'!$B$88:$B$91,$B$8),"Нет")="Да"))</x:f>
      </x:c>
      <x:c r="CY14" t="n">
        <x:f>--AND(CY$3&gt;=$B$9,CY$3&lt;$B$10,AND($B$7="Да",IFERROR(INDEX('Вводные'!$B$88:$B$91,$B$8),"Нет")="Да"))</x:f>
      </x:c>
      <x:c r="CZ14" t="n">
        <x:f>--AND(CZ$3&gt;=$B$9,CZ$3&lt;$B$10,AND($B$7="Да",IFERROR(INDEX('Вводные'!$B$88:$B$91,$B$8),"Нет")="Да"))</x:f>
      </x:c>
      <x:c r="DA14" t="n">
        <x:f>--AND(DA$3&gt;=$B$9,DA$3&lt;$B$10,AND($B$7="Да",IFERROR(INDEX('Вводные'!$B$88:$B$91,$B$8),"Нет")="Да"))</x:f>
      </x:c>
      <x:c r="DB14" t="n">
        <x:f>--AND(DB$3&gt;=$B$9,DB$3&lt;$B$10,AND($B$7="Да",IFERROR(INDEX('Вводные'!$B$88:$B$91,$B$8),"Нет")="Да"))</x:f>
      </x:c>
      <x:c r="DC14" t="n">
        <x:f>--AND(DC$3&gt;=$B$9,DC$3&lt;$B$10,AND($B$7="Да",IFERROR(INDEX('Вводные'!$B$88:$B$91,$B$8),"Нет")="Да"))</x:f>
      </x:c>
      <x:c r="DD14" t="n">
        <x:f>--AND(DD$3&gt;=$B$9,DD$3&lt;$B$10,AND($B$7="Да",IFERROR(INDEX('Вводные'!$B$88:$B$91,$B$8),"Нет")="Да"))</x:f>
      </x:c>
      <x:c r="DE14" t="n">
        <x:f>--AND(DE$3&gt;=$B$9,DE$3&lt;$B$10,AND($B$7="Да",IFERROR(INDEX('Вводные'!$B$88:$B$91,$B$8),"Нет")="Да"))</x:f>
      </x:c>
      <x:c r="DF14" t="n">
        <x:f>--AND(DF$3&gt;=$B$9,DF$3&lt;$B$10,AND($B$7="Да",IFERROR(INDEX('Вводные'!$B$88:$B$91,$B$8),"Нет")="Да"))</x:f>
      </x:c>
      <x:c r="DG14" t="n">
        <x:f>--AND(DG$3&gt;=$B$9,DG$3&lt;$B$10,AND($B$7="Да",IFERROR(INDEX('Вводные'!$B$88:$B$91,$B$8),"Нет")="Да"))</x:f>
      </x:c>
      <x:c r="DH14" t="n">
        <x:f>--AND(DH$3&gt;=$B$9,DH$3&lt;$B$10,AND($B$7="Да",IFERROR(INDEX('Вводные'!$B$88:$B$91,$B$8),"Нет")="Да"))</x:f>
      </x:c>
      <x:c r="DI14" t="n">
        <x:f>--AND(DI$3&gt;=$B$9,DI$3&lt;$B$10,AND($B$7="Да",IFERROR(INDEX('Вводные'!$B$88:$B$91,$B$8),"Нет")="Да"))</x:f>
      </x:c>
      <x:c r="DJ14" t="n">
        <x:f>--AND(DJ$3&gt;=$B$9,DJ$3&lt;$B$10,AND($B$7="Да",IFERROR(INDEX('Вводные'!$B$88:$B$91,$B$8),"Нет")="Да"))</x:f>
      </x:c>
      <x:c r="DK14" t="n">
        <x:f>--AND(DK$3&gt;=$B$9,DK$3&lt;$B$10,AND($B$7="Да",IFERROR(INDEX('Вводные'!$B$88:$B$91,$B$8),"Нет")="Да"))</x:f>
      </x:c>
      <x:c r="DL14" t="n">
        <x:f>--AND(DL$3&gt;=$B$9,DL$3&lt;$B$10,AND($B$7="Да",IFERROR(INDEX('Вводные'!$B$88:$B$91,$B$8),"Нет")="Да"))</x:f>
      </x:c>
      <x:c r="DM14" t="n">
        <x:f>--AND(DM$3&gt;=$B$9,DM$3&lt;$B$10,AND($B$7="Да",IFERROR(INDEX('Вводные'!$B$88:$B$91,$B$8),"Нет")="Да"))</x:f>
      </x:c>
      <x:c r="DN14" t="n">
        <x:f>--AND(DN$3&gt;=$B$9,DN$3&lt;$B$10,AND($B$7="Да",IFERROR(INDEX('Вводные'!$B$88:$B$91,$B$8),"Нет")="Да"))</x:f>
      </x:c>
      <x:c r="DO14" t="n">
        <x:f>--AND(DO$3&gt;=$B$9,DO$3&lt;$B$10,AND($B$7="Да",IFERROR(INDEX('Вводные'!$B$88:$B$91,$B$8),"Нет")="Да"))</x:f>
      </x:c>
      <x:c r="DP14" t="n">
        <x:f>--AND(DP$3&gt;=$B$9,DP$3&lt;$B$10,AND($B$7="Да",IFERROR(INDEX('Вводные'!$B$88:$B$91,$B$8),"Нет")="Да"))</x:f>
      </x:c>
      <x:c r="DQ14" t="n">
        <x:f>--AND(DQ$3&gt;=$B$9,DQ$3&lt;$B$10,AND($B$7="Да",IFERROR(INDEX('Вводные'!$B$88:$B$91,$B$8),"Нет")="Да"))</x:f>
      </x:c>
      <x:c r="DR14" t="n">
        <x:f>--AND(DR$3&gt;=$B$9,DR$3&lt;$B$10,AND($B$7="Да",IFERROR(INDEX('Вводные'!$B$88:$B$91,$B$8),"Нет")="Да"))</x:f>
      </x:c>
      <x:c r="DS14" t="n">
        <x:f>--AND(DS$3&gt;=$B$9,DS$3&lt;$B$10,AND($B$7="Да",IFERROR(INDEX('Вводные'!$B$88:$B$91,$B$8),"Нет")="Да"))</x:f>
      </x:c>
      <x:c r="DT14" t="n">
        <x:f>--AND(DT$3&gt;=$B$9,DT$3&lt;$B$10,AND($B$7="Да",IFERROR(INDEX('Вводные'!$B$88:$B$91,$B$8),"Нет")="Да"))</x:f>
      </x:c>
      <x:c r="DU14" t="n">
        <x:f>--AND(DU$3&gt;=$B$9,DU$3&lt;$B$10,AND($B$7="Да",IFERROR(INDEX('Вводные'!$B$88:$B$91,$B$8),"Нет")="Да"))</x:f>
      </x:c>
      <x:c r="DV14" t="n">
        <x:f>--AND(DV$3&gt;=$B$9,DV$3&lt;$B$10,AND($B$7="Да",IFERROR(INDEX('Вводные'!$B$88:$B$91,$B$8),"Нет")="Да"))</x:f>
      </x:c>
      <x:c r="DW14" t="n">
        <x:f>--AND(DW$3&gt;=$B$9,DW$3&lt;$B$10,AND($B$7="Да",IFERROR(INDEX('Вводные'!$B$88:$B$91,$B$8),"Нет")="Да"))</x:f>
      </x:c>
      <x:c r="DX14" t="n">
        <x:f>--AND(DX$3&gt;=$B$9,DX$3&lt;$B$10,AND($B$7="Да",IFERROR(INDEX('Вводные'!$B$88:$B$91,$B$8),"Нет")="Да"))</x:f>
      </x:c>
      <x:c r="DY14" t="n">
        <x:f>--AND(DY$3&gt;=$B$9,DY$3&lt;$B$10,AND($B$7="Да",IFERROR(INDEX('Вводные'!$B$88:$B$91,$B$8),"Нет")="Да"))</x:f>
      </x:c>
      <x:c r="DZ14" t="n">
        <x:f>--AND(DZ$3&gt;=$B$9,DZ$3&lt;$B$10,AND($B$7="Да",IFERROR(INDEX('Вводные'!$B$88:$B$91,$B$8),"Нет")="Да"))</x:f>
      </x:c>
      <x:c r="EA14" t="n">
        <x:f>--AND(EA$3&gt;=$B$9,EA$3&lt;$B$10,AND($B$7="Да",IFERROR(INDEX('Вводные'!$B$88:$B$91,$B$8),"Нет")="Да"))</x:f>
      </x:c>
      <x:c r="EB14" t="n">
        <x:f>--AND(EB$3&gt;=$B$9,EB$3&lt;$B$10,AND($B$7="Да",IFERROR(INDEX('Вводные'!$B$88:$B$91,$B$8),"Нет")="Да"))</x:f>
      </x:c>
      <x:c r="EC14" t="n">
        <x:f>--AND(EC$3&gt;=$B$9,EC$3&lt;$B$10,AND($B$7="Да",IFERROR(INDEX('Вводные'!$B$88:$B$91,$B$8),"Нет")="Да"))</x:f>
      </x:c>
      <x:c r="ED14" t="n">
        <x:f>--AND(ED$3&gt;=$B$9,ED$3&lt;$B$10,AND($B$7="Да",IFERROR(INDEX('Вводные'!$B$88:$B$91,$B$8),"Нет")="Да"))</x:f>
      </x:c>
      <x:c r="EE14" t="n">
        <x:f>--AND(EE$3&gt;=$B$9,EE$3&lt;$B$10,AND($B$7="Да",IFERROR(INDEX('Вводные'!$B$88:$B$91,$B$8),"Нет")="Да"))</x:f>
      </x:c>
      <x:c r="EF14" t="n">
        <x:f>--AND(EF$3&gt;=$B$9,EF$3&lt;$B$10,AND($B$7="Да",IFERROR(INDEX('Вводные'!$B$88:$B$91,$B$8),"Нет")="Да"))</x:f>
      </x:c>
      <x:c r="EG14" t="n">
        <x:f>--AND(EG$3&gt;=$B$9,EG$3&lt;$B$10,AND($B$7="Да",IFERROR(INDEX('Вводные'!$B$88:$B$91,$B$8),"Нет")="Да"))</x:f>
      </x:c>
      <x:c r="EH14" t="n">
        <x:f>--AND(EH$3&gt;=$B$9,EH$3&lt;$B$10,AND($B$7="Да",IFERROR(INDEX('Вводные'!$B$88:$B$91,$B$8),"Нет")="Да"))</x:f>
      </x:c>
      <x:c r="EI14" t="n">
        <x:f>--AND(EI$3&gt;=$B$9,EI$3&lt;$B$10,AND($B$7="Да",IFERROR(INDEX('Вводные'!$B$88:$B$91,$B$8),"Нет")="Да"))</x:f>
      </x:c>
      <x:c r="EJ14" t="n">
        <x:f>--AND(EJ$3&gt;=$B$9,EJ$3&lt;$B$10,AND($B$7="Да",IFERROR(INDEX('Вводные'!$B$88:$B$91,$B$8),"Нет")="Да"))</x:f>
      </x:c>
      <x:c r="EK14" t="n">
        <x:f>--AND(EK$3&gt;=$B$9,EK$3&lt;$B$10,AND($B$7="Да",IFERROR(INDEX('Вводные'!$B$88:$B$91,$B$8),"Нет")="Да"))</x:f>
      </x:c>
      <x:c r="EL14" t="n">
        <x:f>--AND(EL$3&gt;=$B$9,EL$3&lt;$B$10,AND($B$7="Да",IFERROR(INDEX('Вводные'!$B$88:$B$91,$B$8),"Нет")="Да"))</x:f>
      </x:c>
      <x:c r="EM14" t="n">
        <x:f>--AND(EM$3&gt;=$B$9,EM$3&lt;$B$10,AND($B$7="Да",IFERROR(INDEX('Вводные'!$B$88:$B$91,$B$8),"Нет")="Да"))</x:f>
      </x:c>
      <x:c r="EN14" t="n">
        <x:f>--AND(EN$3&gt;=$B$9,EN$3&lt;$B$10,AND($B$7="Да",IFERROR(INDEX('Вводные'!$B$88:$B$91,$B$8),"Нет")="Да"))</x:f>
      </x:c>
      <x:c r="EO14" t="n">
        <x:f>--AND(EO$3&gt;=$B$9,EO$3&lt;$B$10,AND($B$7="Да",IFERROR(INDEX('Вводные'!$B$88:$B$91,$B$8),"Нет")="Да"))</x:f>
      </x:c>
      <x:c r="EP14" t="n">
        <x:f>--AND(EP$3&gt;=$B$9,EP$3&lt;$B$10,AND($B$7="Да",IFERROR(INDEX('Вводные'!$B$88:$B$91,$B$8),"Нет")="Да"))</x:f>
      </x:c>
      <x:c r="EQ14" t="n">
        <x:f>--AND(EQ$3&gt;=$B$9,EQ$3&lt;$B$10,AND($B$7="Да",IFERROR(INDEX('Вводные'!$B$88:$B$91,$B$8),"Нет")="Да"))</x:f>
      </x:c>
      <x:c r="ER14" t="n">
        <x:f>--AND(ER$3&gt;=$B$9,ER$3&lt;$B$10,AND($B$7="Да",IFERROR(INDEX('Вводные'!$B$88:$B$91,$B$8),"Нет")="Да"))</x:f>
      </x:c>
      <x:c r="ES14" t="n">
        <x:f>--AND(ES$3&gt;=$B$9,ES$3&lt;$B$10,AND($B$7="Да",IFERROR(INDEX('Вводные'!$B$88:$B$91,$B$8),"Нет")="Да"))</x:f>
      </x:c>
      <x:c r="ET14" t="n">
        <x:f>--AND(ET$3&gt;=$B$9,ET$3&lt;$B$10,AND($B$7="Да",IFERROR(INDEX('Вводные'!$B$88:$B$91,$B$8),"Нет")="Да"))</x:f>
      </x:c>
      <x:c r="EU14" t="n">
        <x:f>--AND(EU$3&gt;=$B$9,EU$3&lt;$B$10,AND($B$7="Да",IFERROR(INDEX('Вводные'!$B$88:$B$91,$B$8),"Нет")="Да"))</x:f>
      </x:c>
      <x:c r="EV14" t="n">
        <x:f>--AND(EV$3&gt;=$B$9,EV$3&lt;$B$10,AND($B$7="Да",IFERROR(INDEX('Вводные'!$B$88:$B$91,$B$8),"Нет")="Да"))</x:f>
      </x:c>
      <x:c r="EW14" t="n">
        <x:f>--AND(EW$3&gt;=$B$9,EW$3&lt;$B$10,AND($B$7="Да",IFERROR(INDEX('Вводные'!$B$88:$B$91,$B$8),"Нет")="Да"))</x:f>
      </x:c>
      <x:c r="EX14" t="n">
        <x:f>--AND(EX$3&gt;=$B$9,EX$3&lt;$B$10,AND($B$7="Да",IFERROR(INDEX('Вводные'!$B$88:$B$91,$B$8),"Нет")="Да"))</x:f>
      </x:c>
      <x:c r="EY14" t="n">
        <x:f>--AND(EY$3&gt;=$B$9,EY$3&lt;$B$10,AND($B$7="Да",IFERROR(INDEX('Вводные'!$B$88:$B$91,$B$8),"Нет")="Да"))</x:f>
      </x:c>
      <x:c r="EZ14" t="n">
        <x:f>--AND(EZ$3&gt;=$B$9,EZ$3&lt;$B$10,AND($B$7="Да",IFERROR(INDEX('Вводные'!$B$88:$B$91,$B$8),"Нет")="Да"))</x:f>
      </x:c>
      <x:c r="FA14" t="n">
        <x:f>--AND(FA$3&gt;=$B$9,FA$3&lt;$B$10,AND($B$7="Да",IFERROR(INDEX('Вводные'!$B$88:$B$91,$B$8),"Нет")="Да"))</x:f>
      </x:c>
      <x:c r="FB14" t="n">
        <x:f>--AND(FB$3&gt;=$B$9,FB$3&lt;$B$10,AND($B$7="Да",IFERROR(INDEX('Вводные'!$B$88:$B$91,$B$8),"Нет")="Да"))</x:f>
      </x:c>
      <x:c r="FC14" t="n">
        <x:f>--AND(FC$3&gt;=$B$9,FC$3&lt;$B$10,AND($B$7="Да",IFERROR(INDEX('Вводные'!$B$88:$B$91,$B$8),"Нет")="Да"))</x:f>
      </x:c>
      <x:c r="FD14" t="n">
        <x:f>--AND(FD$3&gt;=$B$9,FD$3&lt;$B$10,AND($B$7="Да",IFERROR(INDEX('Вводные'!$B$88:$B$91,$B$8),"Нет")="Да"))</x:f>
      </x:c>
      <x:c r="FE14" t="n">
        <x:f>--AND(FE$3&gt;=$B$9,FE$3&lt;$B$10,AND($B$7="Да",IFERROR(INDEX('Вводные'!$B$88:$B$91,$B$8),"Нет")="Да"))</x:f>
      </x:c>
      <x:c r="FF14" t="n">
        <x:f>--AND(FF$3&gt;=$B$9,FF$3&lt;$B$10,AND($B$7="Да",IFERROR(INDEX('Вводные'!$B$88:$B$91,$B$8),"Нет")="Да"))</x:f>
      </x:c>
      <x:c r="FG14" t="n">
        <x:f>--AND(FG$3&gt;=$B$9,FG$3&lt;$B$10,AND($B$7="Да",IFERROR(INDEX('Вводные'!$B$88:$B$91,$B$8),"Нет")="Да"))</x:f>
      </x:c>
      <x:c r="FH14" t="n">
        <x:f>--AND(FH$3&gt;=$B$9,FH$3&lt;$B$10,AND($B$7="Да",IFERROR(INDEX('Вводные'!$B$88:$B$91,$B$8),"Нет")="Да"))</x:f>
      </x:c>
      <x:c r="FI14" t="n">
        <x:f>--AND(FI$3&gt;=$B$9,FI$3&lt;$B$10,AND($B$7="Да",IFERROR(INDEX('Вводные'!$B$88:$B$91,$B$8),"Нет")="Да"))</x:f>
      </x:c>
      <x:c r="FJ14" t="n">
        <x:f>--AND(FJ$3&gt;=$B$9,FJ$3&lt;$B$10,AND($B$7="Да",IFERROR(INDEX('Вводные'!$B$88:$B$91,$B$8),"Нет")="Да"))</x:f>
      </x:c>
      <x:c r="FK14" t="n">
        <x:f>--AND(FK$3&gt;=$B$9,FK$3&lt;$B$10,AND($B$7="Да",IFERROR(INDEX('Вводные'!$B$88:$B$91,$B$8),"Нет")="Да"))</x:f>
      </x:c>
      <x:c r="FL14" t="n">
        <x:f>--AND(FL$3&gt;=$B$9,FL$3&lt;$B$10,AND($B$7="Да",IFERROR(INDEX('Вводные'!$B$88:$B$91,$B$8),"Нет")="Да"))</x:f>
      </x:c>
      <x:c r="FM14" t="n">
        <x:f>--AND(FM$3&gt;=$B$9,FM$3&lt;$B$10,AND($B$7="Да",IFERROR(INDEX('Вводные'!$B$88:$B$91,$B$8),"Нет")="Да"))</x:f>
      </x:c>
      <x:c r="FN14" t="n">
        <x:f>--AND(FN$3&gt;=$B$9,FN$3&lt;$B$10,AND($B$7="Да",IFERROR(INDEX('Вводные'!$B$88:$B$91,$B$8),"Нет")="Да"))</x:f>
      </x:c>
      <x:c r="FO14" t="n">
        <x:f>--AND(FO$3&gt;=$B$9,FO$3&lt;$B$10,AND($B$7="Да",IFERROR(INDEX('Вводные'!$B$88:$B$91,$B$8),"Нет")="Да"))</x:f>
      </x:c>
      <x:c r="FP14" t="n">
        <x:f>--AND(FP$3&gt;=$B$9,FP$3&lt;$B$10,AND($B$7="Да",IFERROR(INDEX('Вводные'!$B$88:$B$91,$B$8),"Нет")="Да"))</x:f>
      </x:c>
      <x:c r="FQ14" t="n">
        <x:f>--AND(FQ$3&gt;=$B$9,FQ$3&lt;$B$10,AND($B$7="Да",IFERROR(INDEX('Вводные'!$B$88:$B$91,$B$8),"Нет")="Да"))</x:f>
      </x:c>
      <x:c r="FR14" t="n">
        <x:f>--AND(FR$3&gt;=$B$9,FR$3&lt;$B$10,AND($B$7="Да",IFERROR(INDEX('Вводные'!$B$88:$B$91,$B$8),"Нет")="Да"))</x:f>
      </x:c>
      <x:c r="FS14" t="n">
        <x:f>--AND(FS$3&gt;=$B$9,FS$3&lt;$B$10,AND($B$7="Да",IFERROR(INDEX('Вводные'!$B$88:$B$91,$B$8),"Нет")="Да"))</x:f>
      </x:c>
      <x:c r="FT14" t="n">
        <x:f>--AND(FT$3&gt;=$B$9,FT$3&lt;$B$10,AND($B$7="Да",IFERROR(INDEX('Вводные'!$B$88:$B$91,$B$8),"Нет")="Да"))</x:f>
      </x:c>
      <x:c r="FU14" t="n">
        <x:f>--AND(FU$3&gt;=$B$9,FU$3&lt;$B$10,AND($B$7="Да",IFERROR(INDEX('Вводные'!$B$88:$B$91,$B$8),"Нет")="Да"))</x:f>
      </x:c>
      <x:c r="FV14" t="n">
        <x:f>--AND(FV$3&gt;=$B$9,FV$3&lt;$B$10,AND($B$7="Да",IFERROR(INDEX('Вводные'!$B$88:$B$91,$B$8),"Нет")="Да"))</x:f>
      </x:c>
      <x:c r="FW14" t="n">
        <x:f>--AND(FW$3&gt;=$B$9,FW$3&lt;$B$10,AND($B$7="Да",IFERROR(INDEX('Вводные'!$B$88:$B$91,$B$8),"Нет")="Да"))</x:f>
      </x:c>
      <x:c r="FX14" t="n">
        <x:f>--AND(FX$3&gt;=$B$9,FX$3&lt;$B$10,AND($B$7="Да",IFERROR(INDEX('Вводные'!$B$88:$B$91,$B$8),"Нет")="Да"))</x:f>
      </x:c>
      <x:c r="FY14" t="n">
        <x:f>--AND(FY$3&gt;=$B$9,FY$3&lt;$B$10,AND($B$7="Да",IFERROR(INDEX('Вводные'!$B$88:$B$91,$B$8),"Нет")="Да"))</x:f>
      </x:c>
      <x:c r="FZ14" t="n">
        <x:f>--AND(FZ$3&gt;=$B$9,FZ$3&lt;$B$10,AND($B$7="Да",IFERROR(INDEX('Вводные'!$B$88:$B$91,$B$8),"Нет")="Да"))</x:f>
      </x:c>
      <x:c r="GA14" t="n">
        <x:f>--AND(GA$3&gt;=$B$9,GA$3&lt;$B$10,AND($B$7="Да",IFERROR(INDEX('Вводные'!$B$88:$B$91,$B$8),"Нет")="Да"))</x:f>
      </x:c>
    </x:row>
    <x:row r="15">
      <x:c r="A15" t="str">
        <x:v>Вес S-кривой</x:v>
      </x:c>
      <x:c r="B15"/>
      <x:c r="C15" t="str">
        <x:v>вес</x:v>
      </x:c>
      <x:c r="D15" t="n">
        <x:f>IF(D14=0,0,IF(((12*(YEAR(D$3)-YEAR($B$9))+MONTH(D$3)-MONTH($B$9))+1)/MAX(1,'Вводные'!$K$28)&lt;=0.2,0.6,IF(((12*(YEAR(D$3)-YEAR($B$9))+MONTH(D$3)-MONTH($B$9))+1)/MAX(1,'Вводные'!$K$28)&lt;=0.8,1.2,0.8)))</x:f>
      </x:c>
      <x:c r="E15" t="n">
        <x:f>IF(E14=0,0,IF(((12*(YEAR(E$3)-YEAR($B$9))+MONTH(E$3)-MONTH($B$9))+1)/MAX(1,'Вводные'!$K$28)&lt;=0.2,0.6,IF(((12*(YEAR(E$3)-YEAR($B$9))+MONTH(E$3)-MONTH($B$9))+1)/MAX(1,'Вводные'!$K$28)&lt;=0.8,1.2,0.8)))</x:f>
      </x:c>
      <x:c r="F15" t="n">
        <x:f>IF(F14=0,0,IF(((12*(YEAR(F$3)-YEAR($B$9))+MONTH(F$3)-MONTH($B$9))+1)/MAX(1,'Вводные'!$K$28)&lt;=0.2,0.6,IF(((12*(YEAR(F$3)-YEAR($B$9))+MONTH(F$3)-MONTH($B$9))+1)/MAX(1,'Вводные'!$K$28)&lt;=0.8,1.2,0.8)))</x:f>
      </x:c>
      <x:c r="G15" t="n">
        <x:f>IF(G14=0,0,IF(((12*(YEAR(G$3)-YEAR($B$9))+MONTH(G$3)-MONTH($B$9))+1)/MAX(1,'Вводные'!$K$28)&lt;=0.2,0.6,IF(((12*(YEAR(G$3)-YEAR($B$9))+MONTH(G$3)-MONTH($B$9))+1)/MAX(1,'Вводные'!$K$28)&lt;=0.8,1.2,0.8)))</x:f>
      </x:c>
      <x:c r="H15" t="n">
        <x:f>IF(H14=0,0,IF(((12*(YEAR(H$3)-YEAR($B$9))+MONTH(H$3)-MONTH($B$9))+1)/MAX(1,'Вводные'!$K$28)&lt;=0.2,0.6,IF(((12*(YEAR(H$3)-YEAR($B$9))+MONTH(H$3)-MONTH($B$9))+1)/MAX(1,'Вводные'!$K$28)&lt;=0.8,1.2,0.8)))</x:f>
      </x:c>
      <x:c r="I15" t="n">
        <x:f>IF(I14=0,0,IF(((12*(YEAR(I$3)-YEAR($B$9))+MONTH(I$3)-MONTH($B$9))+1)/MAX(1,'Вводные'!$K$28)&lt;=0.2,0.6,IF(((12*(YEAR(I$3)-YEAR($B$9))+MONTH(I$3)-MONTH($B$9))+1)/MAX(1,'Вводные'!$K$28)&lt;=0.8,1.2,0.8)))</x:f>
      </x:c>
      <x:c r="J15" t="n">
        <x:f>IF(J14=0,0,IF(((12*(YEAR(J$3)-YEAR($B$9))+MONTH(J$3)-MONTH($B$9))+1)/MAX(1,'Вводные'!$K$28)&lt;=0.2,0.6,IF(((12*(YEAR(J$3)-YEAR($B$9))+MONTH(J$3)-MONTH($B$9))+1)/MAX(1,'Вводные'!$K$28)&lt;=0.8,1.2,0.8)))</x:f>
      </x:c>
      <x:c r="K15" t="n">
        <x:f>IF(K14=0,0,IF(((12*(YEAR(K$3)-YEAR($B$9))+MONTH(K$3)-MONTH($B$9))+1)/MAX(1,'Вводные'!$K$28)&lt;=0.2,0.6,IF(((12*(YEAR(K$3)-YEAR($B$9))+MONTH(K$3)-MONTH($B$9))+1)/MAX(1,'Вводные'!$K$28)&lt;=0.8,1.2,0.8)))</x:f>
      </x:c>
      <x:c r="L15" t="n">
        <x:f>IF(L14=0,0,IF(((12*(YEAR(L$3)-YEAR($B$9))+MONTH(L$3)-MONTH($B$9))+1)/MAX(1,'Вводные'!$K$28)&lt;=0.2,0.6,IF(((12*(YEAR(L$3)-YEAR($B$9))+MONTH(L$3)-MONTH($B$9))+1)/MAX(1,'Вводные'!$K$28)&lt;=0.8,1.2,0.8)))</x:f>
      </x:c>
      <x:c r="M15" t="n">
        <x:f>IF(M14=0,0,IF(((12*(YEAR(M$3)-YEAR($B$9))+MONTH(M$3)-MONTH($B$9))+1)/MAX(1,'Вводные'!$K$28)&lt;=0.2,0.6,IF(((12*(YEAR(M$3)-YEAR($B$9))+MONTH(M$3)-MONTH($B$9))+1)/MAX(1,'Вводные'!$K$28)&lt;=0.8,1.2,0.8)))</x:f>
      </x:c>
      <x:c r="N15" t="n">
        <x:f>IF(N14=0,0,IF(((12*(YEAR(N$3)-YEAR($B$9))+MONTH(N$3)-MONTH($B$9))+1)/MAX(1,'Вводные'!$K$28)&lt;=0.2,0.6,IF(((12*(YEAR(N$3)-YEAR($B$9))+MONTH(N$3)-MONTH($B$9))+1)/MAX(1,'Вводные'!$K$28)&lt;=0.8,1.2,0.8)))</x:f>
      </x:c>
      <x:c r="O15" t="n">
        <x:f>IF(O14=0,0,IF(((12*(YEAR(O$3)-YEAR($B$9))+MONTH(O$3)-MONTH($B$9))+1)/MAX(1,'Вводные'!$K$28)&lt;=0.2,0.6,IF(((12*(YEAR(O$3)-YEAR($B$9))+MONTH(O$3)-MONTH($B$9))+1)/MAX(1,'Вводные'!$K$28)&lt;=0.8,1.2,0.8)))</x:f>
      </x:c>
      <x:c r="P15" t="n">
        <x:f>IF(P14=0,0,IF(((12*(YEAR(P$3)-YEAR($B$9))+MONTH(P$3)-MONTH($B$9))+1)/MAX(1,'Вводные'!$K$28)&lt;=0.2,0.6,IF(((12*(YEAR(P$3)-YEAR($B$9))+MONTH(P$3)-MONTH($B$9))+1)/MAX(1,'Вводные'!$K$28)&lt;=0.8,1.2,0.8)))</x:f>
      </x:c>
      <x:c r="Q15" t="n">
        <x:f>IF(Q14=0,0,IF(((12*(YEAR(Q$3)-YEAR($B$9))+MONTH(Q$3)-MONTH($B$9))+1)/MAX(1,'Вводные'!$K$28)&lt;=0.2,0.6,IF(((12*(YEAR(Q$3)-YEAR($B$9))+MONTH(Q$3)-MONTH($B$9))+1)/MAX(1,'Вводные'!$K$28)&lt;=0.8,1.2,0.8)))</x:f>
      </x:c>
      <x:c r="R15" t="n">
        <x:f>IF(R14=0,0,IF(((12*(YEAR(R$3)-YEAR($B$9))+MONTH(R$3)-MONTH($B$9))+1)/MAX(1,'Вводные'!$K$28)&lt;=0.2,0.6,IF(((12*(YEAR(R$3)-YEAR($B$9))+MONTH(R$3)-MONTH($B$9))+1)/MAX(1,'Вводные'!$K$28)&lt;=0.8,1.2,0.8)))</x:f>
      </x:c>
      <x:c r="S15" t="n">
        <x:f>IF(S14=0,0,IF(((12*(YEAR(S$3)-YEAR($B$9))+MONTH(S$3)-MONTH($B$9))+1)/MAX(1,'Вводные'!$K$28)&lt;=0.2,0.6,IF(((12*(YEAR(S$3)-YEAR($B$9))+MONTH(S$3)-MONTH($B$9))+1)/MAX(1,'Вводные'!$K$28)&lt;=0.8,1.2,0.8)))</x:f>
      </x:c>
      <x:c r="T15" t="n">
        <x:f>IF(T14=0,0,IF(((12*(YEAR(T$3)-YEAR($B$9))+MONTH(T$3)-MONTH($B$9))+1)/MAX(1,'Вводные'!$K$28)&lt;=0.2,0.6,IF(((12*(YEAR(T$3)-YEAR($B$9))+MONTH(T$3)-MONTH($B$9))+1)/MAX(1,'Вводные'!$K$28)&lt;=0.8,1.2,0.8)))</x:f>
      </x:c>
      <x:c r="U15" t="n">
        <x:f>IF(U14=0,0,IF(((12*(YEAR(U$3)-YEAR($B$9))+MONTH(U$3)-MONTH($B$9))+1)/MAX(1,'Вводные'!$K$28)&lt;=0.2,0.6,IF(((12*(YEAR(U$3)-YEAR($B$9))+MONTH(U$3)-MONTH($B$9))+1)/MAX(1,'Вводные'!$K$28)&lt;=0.8,1.2,0.8)))</x:f>
      </x:c>
      <x:c r="V15" t="n">
        <x:f>IF(V14=0,0,IF(((12*(YEAR(V$3)-YEAR($B$9))+MONTH(V$3)-MONTH($B$9))+1)/MAX(1,'Вводные'!$K$28)&lt;=0.2,0.6,IF(((12*(YEAR(V$3)-YEAR($B$9))+MONTH(V$3)-MONTH($B$9))+1)/MAX(1,'Вводные'!$K$28)&lt;=0.8,1.2,0.8)))</x:f>
      </x:c>
      <x:c r="W15" t="n">
        <x:f>IF(W14=0,0,IF(((12*(YEAR(W$3)-YEAR($B$9))+MONTH(W$3)-MONTH($B$9))+1)/MAX(1,'Вводные'!$K$28)&lt;=0.2,0.6,IF(((12*(YEAR(W$3)-YEAR($B$9))+MONTH(W$3)-MONTH($B$9))+1)/MAX(1,'Вводные'!$K$28)&lt;=0.8,1.2,0.8)))</x:f>
      </x:c>
      <x:c r="X15" t="n">
        <x:f>IF(X14=0,0,IF(((12*(YEAR(X$3)-YEAR($B$9))+MONTH(X$3)-MONTH($B$9))+1)/MAX(1,'Вводные'!$K$28)&lt;=0.2,0.6,IF(((12*(YEAR(X$3)-YEAR($B$9))+MONTH(X$3)-MONTH($B$9))+1)/MAX(1,'Вводные'!$K$28)&lt;=0.8,1.2,0.8)))</x:f>
      </x:c>
      <x:c r="Y15" t="n">
        <x:f>IF(Y14=0,0,IF(((12*(YEAR(Y$3)-YEAR($B$9))+MONTH(Y$3)-MONTH($B$9))+1)/MAX(1,'Вводные'!$K$28)&lt;=0.2,0.6,IF(((12*(YEAR(Y$3)-YEAR($B$9))+MONTH(Y$3)-MONTH($B$9))+1)/MAX(1,'Вводные'!$K$28)&lt;=0.8,1.2,0.8)))</x:f>
      </x:c>
      <x:c r="Z15" t="n">
        <x:f>IF(Z14=0,0,IF(((12*(YEAR(Z$3)-YEAR($B$9))+MONTH(Z$3)-MONTH($B$9))+1)/MAX(1,'Вводные'!$K$28)&lt;=0.2,0.6,IF(((12*(YEAR(Z$3)-YEAR($B$9))+MONTH(Z$3)-MONTH($B$9))+1)/MAX(1,'Вводные'!$K$28)&lt;=0.8,1.2,0.8)))</x:f>
      </x:c>
      <x:c r="AA15" t="n">
        <x:f>IF(AA14=0,0,IF(((12*(YEAR(AA$3)-YEAR($B$9))+MONTH(AA$3)-MONTH($B$9))+1)/MAX(1,'Вводные'!$K$28)&lt;=0.2,0.6,IF(((12*(YEAR(AA$3)-YEAR($B$9))+MONTH(AA$3)-MONTH($B$9))+1)/MAX(1,'Вводные'!$K$28)&lt;=0.8,1.2,0.8)))</x:f>
      </x:c>
      <x:c r="AB15" t="n">
        <x:f>IF(AB14=0,0,IF(((12*(YEAR(AB$3)-YEAR($B$9))+MONTH(AB$3)-MONTH($B$9))+1)/MAX(1,'Вводные'!$K$28)&lt;=0.2,0.6,IF(((12*(YEAR(AB$3)-YEAR($B$9))+MONTH(AB$3)-MONTH($B$9))+1)/MAX(1,'Вводные'!$K$28)&lt;=0.8,1.2,0.8)))</x:f>
      </x:c>
      <x:c r="AC15" t="n">
        <x:f>IF(AC14=0,0,IF(((12*(YEAR(AC$3)-YEAR($B$9))+MONTH(AC$3)-MONTH($B$9))+1)/MAX(1,'Вводные'!$K$28)&lt;=0.2,0.6,IF(((12*(YEAR(AC$3)-YEAR($B$9))+MONTH(AC$3)-MONTH($B$9))+1)/MAX(1,'Вводные'!$K$28)&lt;=0.8,1.2,0.8)))</x:f>
      </x:c>
      <x:c r="AD15" t="n">
        <x:f>IF(AD14=0,0,IF(((12*(YEAR(AD$3)-YEAR($B$9))+MONTH(AD$3)-MONTH($B$9))+1)/MAX(1,'Вводные'!$K$28)&lt;=0.2,0.6,IF(((12*(YEAR(AD$3)-YEAR($B$9))+MONTH(AD$3)-MONTH($B$9))+1)/MAX(1,'Вводные'!$K$28)&lt;=0.8,1.2,0.8)))</x:f>
      </x:c>
      <x:c r="AE15" t="n">
        <x:f>IF(AE14=0,0,IF(((12*(YEAR(AE$3)-YEAR($B$9))+MONTH(AE$3)-MONTH($B$9))+1)/MAX(1,'Вводные'!$K$28)&lt;=0.2,0.6,IF(((12*(YEAR(AE$3)-YEAR($B$9))+MONTH(AE$3)-MONTH($B$9))+1)/MAX(1,'Вводные'!$K$28)&lt;=0.8,1.2,0.8)))</x:f>
      </x:c>
      <x:c r="AF15" t="n">
        <x:f>IF(AF14=0,0,IF(((12*(YEAR(AF$3)-YEAR($B$9))+MONTH(AF$3)-MONTH($B$9))+1)/MAX(1,'Вводные'!$K$28)&lt;=0.2,0.6,IF(((12*(YEAR(AF$3)-YEAR($B$9))+MONTH(AF$3)-MONTH($B$9))+1)/MAX(1,'Вводные'!$K$28)&lt;=0.8,1.2,0.8)))</x:f>
      </x:c>
      <x:c r="AG15" t="n">
        <x:f>IF(AG14=0,0,IF(((12*(YEAR(AG$3)-YEAR($B$9))+MONTH(AG$3)-MONTH($B$9))+1)/MAX(1,'Вводные'!$K$28)&lt;=0.2,0.6,IF(((12*(YEAR(AG$3)-YEAR($B$9))+MONTH(AG$3)-MONTH($B$9))+1)/MAX(1,'Вводные'!$K$28)&lt;=0.8,1.2,0.8)))</x:f>
      </x:c>
      <x:c r="AH15" t="n">
        <x:f>IF(AH14=0,0,IF(((12*(YEAR(AH$3)-YEAR($B$9))+MONTH(AH$3)-MONTH($B$9))+1)/MAX(1,'Вводные'!$K$28)&lt;=0.2,0.6,IF(((12*(YEAR(AH$3)-YEAR($B$9))+MONTH(AH$3)-MONTH($B$9))+1)/MAX(1,'Вводные'!$K$28)&lt;=0.8,1.2,0.8)))</x:f>
      </x:c>
      <x:c r="AI15" t="n">
        <x:f>IF(AI14=0,0,IF(((12*(YEAR(AI$3)-YEAR($B$9))+MONTH(AI$3)-MONTH($B$9))+1)/MAX(1,'Вводные'!$K$28)&lt;=0.2,0.6,IF(((12*(YEAR(AI$3)-YEAR($B$9))+MONTH(AI$3)-MONTH($B$9))+1)/MAX(1,'Вводные'!$K$28)&lt;=0.8,1.2,0.8)))</x:f>
      </x:c>
      <x:c r="AJ15" t="n">
        <x:f>IF(AJ14=0,0,IF(((12*(YEAR(AJ$3)-YEAR($B$9))+MONTH(AJ$3)-MONTH($B$9))+1)/MAX(1,'Вводные'!$K$28)&lt;=0.2,0.6,IF(((12*(YEAR(AJ$3)-YEAR($B$9))+MONTH(AJ$3)-MONTH($B$9))+1)/MAX(1,'Вводные'!$K$28)&lt;=0.8,1.2,0.8)))</x:f>
      </x:c>
      <x:c r="AK15" t="n">
        <x:f>IF(AK14=0,0,IF(((12*(YEAR(AK$3)-YEAR($B$9))+MONTH(AK$3)-MONTH($B$9))+1)/MAX(1,'Вводные'!$K$28)&lt;=0.2,0.6,IF(((12*(YEAR(AK$3)-YEAR($B$9))+MONTH(AK$3)-MONTH($B$9))+1)/MAX(1,'Вводные'!$K$28)&lt;=0.8,1.2,0.8)))</x:f>
      </x:c>
      <x:c r="AL15" t="n">
        <x:f>IF(AL14=0,0,IF(((12*(YEAR(AL$3)-YEAR($B$9))+MONTH(AL$3)-MONTH($B$9))+1)/MAX(1,'Вводные'!$K$28)&lt;=0.2,0.6,IF(((12*(YEAR(AL$3)-YEAR($B$9))+MONTH(AL$3)-MONTH($B$9))+1)/MAX(1,'Вводные'!$K$28)&lt;=0.8,1.2,0.8)))</x:f>
      </x:c>
      <x:c r="AM15" t="n">
        <x:f>IF(AM14=0,0,IF(((12*(YEAR(AM$3)-YEAR($B$9))+MONTH(AM$3)-MONTH($B$9))+1)/MAX(1,'Вводные'!$K$28)&lt;=0.2,0.6,IF(((12*(YEAR(AM$3)-YEAR($B$9))+MONTH(AM$3)-MONTH($B$9))+1)/MAX(1,'Вводные'!$K$28)&lt;=0.8,1.2,0.8)))</x:f>
      </x:c>
      <x:c r="AN15" t="n">
        <x:f>IF(AN14=0,0,IF(((12*(YEAR(AN$3)-YEAR($B$9))+MONTH(AN$3)-MONTH($B$9))+1)/MAX(1,'Вводные'!$K$28)&lt;=0.2,0.6,IF(((12*(YEAR(AN$3)-YEAR($B$9))+MONTH(AN$3)-MONTH($B$9))+1)/MAX(1,'Вводные'!$K$28)&lt;=0.8,1.2,0.8)))</x:f>
      </x:c>
      <x:c r="AO15" t="n">
        <x:f>IF(AO14=0,0,IF(((12*(YEAR(AO$3)-YEAR($B$9))+MONTH(AO$3)-MONTH($B$9))+1)/MAX(1,'Вводные'!$K$28)&lt;=0.2,0.6,IF(((12*(YEAR(AO$3)-YEAR($B$9))+MONTH(AO$3)-MONTH($B$9))+1)/MAX(1,'Вводные'!$K$28)&lt;=0.8,1.2,0.8)))</x:f>
      </x:c>
      <x:c r="AP15" t="n">
        <x:f>IF(AP14=0,0,IF(((12*(YEAR(AP$3)-YEAR($B$9))+MONTH(AP$3)-MONTH($B$9))+1)/MAX(1,'Вводные'!$K$28)&lt;=0.2,0.6,IF(((12*(YEAR(AP$3)-YEAR($B$9))+MONTH(AP$3)-MONTH($B$9))+1)/MAX(1,'Вводные'!$K$28)&lt;=0.8,1.2,0.8)))</x:f>
      </x:c>
      <x:c r="AQ15" t="n">
        <x:f>IF(AQ14=0,0,IF(((12*(YEAR(AQ$3)-YEAR($B$9))+MONTH(AQ$3)-MONTH($B$9))+1)/MAX(1,'Вводные'!$K$28)&lt;=0.2,0.6,IF(((12*(YEAR(AQ$3)-YEAR($B$9))+MONTH(AQ$3)-MONTH($B$9))+1)/MAX(1,'Вводные'!$K$28)&lt;=0.8,1.2,0.8)))</x:f>
      </x:c>
      <x:c r="AR15" t="n">
        <x:f>IF(AR14=0,0,IF(((12*(YEAR(AR$3)-YEAR($B$9))+MONTH(AR$3)-MONTH($B$9))+1)/MAX(1,'Вводные'!$K$28)&lt;=0.2,0.6,IF(((12*(YEAR(AR$3)-YEAR($B$9))+MONTH(AR$3)-MONTH($B$9))+1)/MAX(1,'Вводные'!$K$28)&lt;=0.8,1.2,0.8)))</x:f>
      </x:c>
      <x:c r="AS15" t="n">
        <x:f>IF(AS14=0,0,IF(((12*(YEAR(AS$3)-YEAR($B$9))+MONTH(AS$3)-MONTH($B$9))+1)/MAX(1,'Вводные'!$K$28)&lt;=0.2,0.6,IF(((12*(YEAR(AS$3)-YEAR($B$9))+MONTH(AS$3)-MONTH($B$9))+1)/MAX(1,'Вводные'!$K$28)&lt;=0.8,1.2,0.8)))</x:f>
      </x:c>
      <x:c r="AT15" t="n">
        <x:f>IF(AT14=0,0,IF(((12*(YEAR(AT$3)-YEAR($B$9))+MONTH(AT$3)-MONTH($B$9))+1)/MAX(1,'Вводные'!$K$28)&lt;=0.2,0.6,IF(((12*(YEAR(AT$3)-YEAR($B$9))+MONTH(AT$3)-MONTH($B$9))+1)/MAX(1,'Вводные'!$K$28)&lt;=0.8,1.2,0.8)))</x:f>
      </x:c>
      <x:c r="AU15" t="n">
        <x:f>IF(AU14=0,0,IF(((12*(YEAR(AU$3)-YEAR($B$9))+MONTH(AU$3)-MONTH($B$9))+1)/MAX(1,'Вводные'!$K$28)&lt;=0.2,0.6,IF(((12*(YEAR(AU$3)-YEAR($B$9))+MONTH(AU$3)-MONTH($B$9))+1)/MAX(1,'Вводные'!$K$28)&lt;=0.8,1.2,0.8)))</x:f>
      </x:c>
      <x:c r="AV15" t="n">
        <x:f>IF(AV14=0,0,IF(((12*(YEAR(AV$3)-YEAR($B$9))+MONTH(AV$3)-MONTH($B$9))+1)/MAX(1,'Вводные'!$K$28)&lt;=0.2,0.6,IF(((12*(YEAR(AV$3)-YEAR($B$9))+MONTH(AV$3)-MONTH($B$9))+1)/MAX(1,'Вводные'!$K$28)&lt;=0.8,1.2,0.8)))</x:f>
      </x:c>
      <x:c r="AW15" t="n">
        <x:f>IF(AW14=0,0,IF(((12*(YEAR(AW$3)-YEAR($B$9))+MONTH(AW$3)-MONTH($B$9))+1)/MAX(1,'Вводные'!$K$28)&lt;=0.2,0.6,IF(((12*(YEAR(AW$3)-YEAR($B$9))+MONTH(AW$3)-MONTH($B$9))+1)/MAX(1,'Вводные'!$K$28)&lt;=0.8,1.2,0.8)))</x:f>
      </x:c>
      <x:c r="AX15" t="n">
        <x:f>IF(AX14=0,0,IF(((12*(YEAR(AX$3)-YEAR($B$9))+MONTH(AX$3)-MONTH($B$9))+1)/MAX(1,'Вводные'!$K$28)&lt;=0.2,0.6,IF(((12*(YEAR(AX$3)-YEAR($B$9))+MONTH(AX$3)-MONTH($B$9))+1)/MAX(1,'Вводные'!$K$28)&lt;=0.8,1.2,0.8)))</x:f>
      </x:c>
      <x:c r="AY15" t="n">
        <x:f>IF(AY14=0,0,IF(((12*(YEAR(AY$3)-YEAR($B$9))+MONTH(AY$3)-MONTH($B$9))+1)/MAX(1,'Вводные'!$K$28)&lt;=0.2,0.6,IF(((12*(YEAR(AY$3)-YEAR($B$9))+MONTH(AY$3)-MONTH($B$9))+1)/MAX(1,'Вводные'!$K$28)&lt;=0.8,1.2,0.8)))</x:f>
      </x:c>
      <x:c r="AZ15" t="n">
        <x:f>IF(AZ14=0,0,IF(((12*(YEAR(AZ$3)-YEAR($B$9))+MONTH(AZ$3)-MONTH($B$9))+1)/MAX(1,'Вводные'!$K$28)&lt;=0.2,0.6,IF(((12*(YEAR(AZ$3)-YEAR($B$9))+MONTH(AZ$3)-MONTH($B$9))+1)/MAX(1,'Вводные'!$K$28)&lt;=0.8,1.2,0.8)))</x:f>
      </x:c>
      <x:c r="BA15" t="n">
        <x:f>IF(BA14=0,0,IF(((12*(YEAR(BA$3)-YEAR($B$9))+MONTH(BA$3)-MONTH($B$9))+1)/MAX(1,'Вводные'!$K$28)&lt;=0.2,0.6,IF(((12*(YEAR(BA$3)-YEAR($B$9))+MONTH(BA$3)-MONTH($B$9))+1)/MAX(1,'Вводные'!$K$28)&lt;=0.8,1.2,0.8)))</x:f>
      </x:c>
      <x:c r="BB15" t="n">
        <x:f>IF(BB14=0,0,IF(((12*(YEAR(BB$3)-YEAR($B$9))+MONTH(BB$3)-MONTH($B$9))+1)/MAX(1,'Вводные'!$K$28)&lt;=0.2,0.6,IF(((12*(YEAR(BB$3)-YEAR($B$9))+MONTH(BB$3)-MONTH($B$9))+1)/MAX(1,'Вводные'!$K$28)&lt;=0.8,1.2,0.8)))</x:f>
      </x:c>
      <x:c r="BC15" t="n">
        <x:f>IF(BC14=0,0,IF(((12*(YEAR(BC$3)-YEAR($B$9))+MONTH(BC$3)-MONTH($B$9))+1)/MAX(1,'Вводные'!$K$28)&lt;=0.2,0.6,IF(((12*(YEAR(BC$3)-YEAR($B$9))+MONTH(BC$3)-MONTH($B$9))+1)/MAX(1,'Вводные'!$K$28)&lt;=0.8,1.2,0.8)))</x:f>
      </x:c>
      <x:c r="BD15" t="n">
        <x:f>IF(BD14=0,0,IF(((12*(YEAR(BD$3)-YEAR($B$9))+MONTH(BD$3)-MONTH($B$9))+1)/MAX(1,'Вводные'!$K$28)&lt;=0.2,0.6,IF(((12*(YEAR(BD$3)-YEAR($B$9))+MONTH(BD$3)-MONTH($B$9))+1)/MAX(1,'Вводные'!$K$28)&lt;=0.8,1.2,0.8)))</x:f>
      </x:c>
      <x:c r="BE15" t="n">
        <x:f>IF(BE14=0,0,IF(((12*(YEAR(BE$3)-YEAR($B$9))+MONTH(BE$3)-MONTH($B$9))+1)/MAX(1,'Вводные'!$K$28)&lt;=0.2,0.6,IF(((12*(YEAR(BE$3)-YEAR($B$9))+MONTH(BE$3)-MONTH($B$9))+1)/MAX(1,'Вводные'!$K$28)&lt;=0.8,1.2,0.8)))</x:f>
      </x:c>
      <x:c r="BF15" t="n">
        <x:f>IF(BF14=0,0,IF(((12*(YEAR(BF$3)-YEAR($B$9))+MONTH(BF$3)-MONTH($B$9))+1)/MAX(1,'Вводные'!$K$28)&lt;=0.2,0.6,IF(((12*(YEAR(BF$3)-YEAR($B$9))+MONTH(BF$3)-MONTH($B$9))+1)/MAX(1,'Вводные'!$K$28)&lt;=0.8,1.2,0.8)))</x:f>
      </x:c>
      <x:c r="BG15" t="n">
        <x:f>IF(BG14=0,0,IF(((12*(YEAR(BG$3)-YEAR($B$9))+MONTH(BG$3)-MONTH($B$9))+1)/MAX(1,'Вводные'!$K$28)&lt;=0.2,0.6,IF(((12*(YEAR(BG$3)-YEAR($B$9))+MONTH(BG$3)-MONTH($B$9))+1)/MAX(1,'Вводные'!$K$28)&lt;=0.8,1.2,0.8)))</x:f>
      </x:c>
      <x:c r="BH15" t="n">
        <x:f>IF(BH14=0,0,IF(((12*(YEAR(BH$3)-YEAR($B$9))+MONTH(BH$3)-MONTH($B$9))+1)/MAX(1,'Вводные'!$K$28)&lt;=0.2,0.6,IF(((12*(YEAR(BH$3)-YEAR($B$9))+MONTH(BH$3)-MONTH($B$9))+1)/MAX(1,'Вводные'!$K$28)&lt;=0.8,1.2,0.8)))</x:f>
      </x:c>
      <x:c r="BI15" t="n">
        <x:f>IF(BI14=0,0,IF(((12*(YEAR(BI$3)-YEAR($B$9))+MONTH(BI$3)-MONTH($B$9))+1)/MAX(1,'Вводные'!$K$28)&lt;=0.2,0.6,IF(((12*(YEAR(BI$3)-YEAR($B$9))+MONTH(BI$3)-MONTH($B$9))+1)/MAX(1,'Вводные'!$K$28)&lt;=0.8,1.2,0.8)))</x:f>
      </x:c>
      <x:c r="BJ15" t="n">
        <x:f>IF(BJ14=0,0,IF(((12*(YEAR(BJ$3)-YEAR($B$9))+MONTH(BJ$3)-MONTH($B$9))+1)/MAX(1,'Вводные'!$K$28)&lt;=0.2,0.6,IF(((12*(YEAR(BJ$3)-YEAR($B$9))+MONTH(BJ$3)-MONTH($B$9))+1)/MAX(1,'Вводные'!$K$28)&lt;=0.8,1.2,0.8)))</x:f>
      </x:c>
      <x:c r="BK15" t="n">
        <x:f>IF(BK14=0,0,IF(((12*(YEAR(BK$3)-YEAR($B$9))+MONTH(BK$3)-MONTH($B$9))+1)/MAX(1,'Вводные'!$K$28)&lt;=0.2,0.6,IF(((12*(YEAR(BK$3)-YEAR($B$9))+MONTH(BK$3)-MONTH($B$9))+1)/MAX(1,'Вводные'!$K$28)&lt;=0.8,1.2,0.8)))</x:f>
      </x:c>
      <x:c r="BL15" t="n">
        <x:f>IF(BL14=0,0,IF(((12*(YEAR(BL$3)-YEAR($B$9))+MONTH(BL$3)-MONTH($B$9))+1)/MAX(1,'Вводные'!$K$28)&lt;=0.2,0.6,IF(((12*(YEAR(BL$3)-YEAR($B$9))+MONTH(BL$3)-MONTH($B$9))+1)/MAX(1,'Вводные'!$K$28)&lt;=0.8,1.2,0.8)))</x:f>
      </x:c>
      <x:c r="BM15" t="n">
        <x:f>IF(BM14=0,0,IF(((12*(YEAR(BM$3)-YEAR($B$9))+MONTH(BM$3)-MONTH($B$9))+1)/MAX(1,'Вводные'!$K$28)&lt;=0.2,0.6,IF(((12*(YEAR(BM$3)-YEAR($B$9))+MONTH(BM$3)-MONTH($B$9))+1)/MAX(1,'Вводные'!$K$28)&lt;=0.8,1.2,0.8)))</x:f>
      </x:c>
      <x:c r="BN15" t="n">
        <x:f>IF(BN14=0,0,IF(((12*(YEAR(BN$3)-YEAR($B$9))+MONTH(BN$3)-MONTH($B$9))+1)/MAX(1,'Вводные'!$K$28)&lt;=0.2,0.6,IF(((12*(YEAR(BN$3)-YEAR($B$9))+MONTH(BN$3)-MONTH($B$9))+1)/MAX(1,'Вводные'!$K$28)&lt;=0.8,1.2,0.8)))</x:f>
      </x:c>
      <x:c r="BO15" t="n">
        <x:f>IF(BO14=0,0,IF(((12*(YEAR(BO$3)-YEAR($B$9))+MONTH(BO$3)-MONTH($B$9))+1)/MAX(1,'Вводные'!$K$28)&lt;=0.2,0.6,IF(((12*(YEAR(BO$3)-YEAR($B$9))+MONTH(BO$3)-MONTH($B$9))+1)/MAX(1,'Вводные'!$K$28)&lt;=0.8,1.2,0.8)))</x:f>
      </x:c>
      <x:c r="BP15" t="n">
        <x:f>IF(BP14=0,0,IF(((12*(YEAR(BP$3)-YEAR($B$9))+MONTH(BP$3)-MONTH($B$9))+1)/MAX(1,'Вводные'!$K$28)&lt;=0.2,0.6,IF(((12*(YEAR(BP$3)-YEAR($B$9))+MONTH(BP$3)-MONTH($B$9))+1)/MAX(1,'Вводные'!$K$28)&lt;=0.8,1.2,0.8)))</x:f>
      </x:c>
      <x:c r="BQ15" t="n">
        <x:f>IF(BQ14=0,0,IF(((12*(YEAR(BQ$3)-YEAR($B$9))+MONTH(BQ$3)-MONTH($B$9))+1)/MAX(1,'Вводные'!$K$28)&lt;=0.2,0.6,IF(((12*(YEAR(BQ$3)-YEAR($B$9))+MONTH(BQ$3)-MONTH($B$9))+1)/MAX(1,'Вводные'!$K$28)&lt;=0.8,1.2,0.8)))</x:f>
      </x:c>
      <x:c r="BR15" t="n">
        <x:f>IF(BR14=0,0,IF(((12*(YEAR(BR$3)-YEAR($B$9))+MONTH(BR$3)-MONTH($B$9))+1)/MAX(1,'Вводные'!$K$28)&lt;=0.2,0.6,IF(((12*(YEAR(BR$3)-YEAR($B$9))+MONTH(BR$3)-MONTH($B$9))+1)/MAX(1,'Вводные'!$K$28)&lt;=0.8,1.2,0.8)))</x:f>
      </x:c>
      <x:c r="BS15" t="n">
        <x:f>IF(BS14=0,0,IF(((12*(YEAR(BS$3)-YEAR($B$9))+MONTH(BS$3)-MONTH($B$9))+1)/MAX(1,'Вводные'!$K$28)&lt;=0.2,0.6,IF(((12*(YEAR(BS$3)-YEAR($B$9))+MONTH(BS$3)-MONTH($B$9))+1)/MAX(1,'Вводные'!$K$28)&lt;=0.8,1.2,0.8)))</x:f>
      </x:c>
      <x:c r="BT15" t="n">
        <x:f>IF(BT14=0,0,IF(((12*(YEAR(BT$3)-YEAR($B$9))+MONTH(BT$3)-MONTH($B$9))+1)/MAX(1,'Вводные'!$K$28)&lt;=0.2,0.6,IF(((12*(YEAR(BT$3)-YEAR($B$9))+MONTH(BT$3)-MONTH($B$9))+1)/MAX(1,'Вводные'!$K$28)&lt;=0.8,1.2,0.8)))</x:f>
      </x:c>
      <x:c r="BU15" t="n">
        <x:f>IF(BU14=0,0,IF(((12*(YEAR(BU$3)-YEAR($B$9))+MONTH(BU$3)-MONTH($B$9))+1)/MAX(1,'Вводные'!$K$28)&lt;=0.2,0.6,IF(((12*(YEAR(BU$3)-YEAR($B$9))+MONTH(BU$3)-MONTH($B$9))+1)/MAX(1,'Вводные'!$K$28)&lt;=0.8,1.2,0.8)))</x:f>
      </x:c>
      <x:c r="BV15" t="n">
        <x:f>IF(BV14=0,0,IF(((12*(YEAR(BV$3)-YEAR($B$9))+MONTH(BV$3)-MONTH($B$9))+1)/MAX(1,'Вводные'!$K$28)&lt;=0.2,0.6,IF(((12*(YEAR(BV$3)-YEAR($B$9))+MONTH(BV$3)-MONTH($B$9))+1)/MAX(1,'Вводные'!$K$28)&lt;=0.8,1.2,0.8)))</x:f>
      </x:c>
      <x:c r="BW15" t="n">
        <x:f>IF(BW14=0,0,IF(((12*(YEAR(BW$3)-YEAR($B$9))+MONTH(BW$3)-MONTH($B$9))+1)/MAX(1,'Вводные'!$K$28)&lt;=0.2,0.6,IF(((12*(YEAR(BW$3)-YEAR($B$9))+MONTH(BW$3)-MONTH($B$9))+1)/MAX(1,'Вводные'!$K$28)&lt;=0.8,1.2,0.8)))</x:f>
      </x:c>
      <x:c r="BX15" t="n">
        <x:f>IF(BX14=0,0,IF(((12*(YEAR(BX$3)-YEAR($B$9))+MONTH(BX$3)-MONTH($B$9))+1)/MAX(1,'Вводные'!$K$28)&lt;=0.2,0.6,IF(((12*(YEAR(BX$3)-YEAR($B$9))+MONTH(BX$3)-MONTH($B$9))+1)/MAX(1,'Вводные'!$K$28)&lt;=0.8,1.2,0.8)))</x:f>
      </x:c>
      <x:c r="BY15" t="n">
        <x:f>IF(BY14=0,0,IF(((12*(YEAR(BY$3)-YEAR($B$9))+MONTH(BY$3)-MONTH($B$9))+1)/MAX(1,'Вводные'!$K$28)&lt;=0.2,0.6,IF(((12*(YEAR(BY$3)-YEAR($B$9))+MONTH(BY$3)-MONTH($B$9))+1)/MAX(1,'Вводные'!$K$28)&lt;=0.8,1.2,0.8)))</x:f>
      </x:c>
      <x:c r="BZ15" t="n">
        <x:f>IF(BZ14=0,0,IF(((12*(YEAR(BZ$3)-YEAR($B$9))+MONTH(BZ$3)-MONTH($B$9))+1)/MAX(1,'Вводные'!$K$28)&lt;=0.2,0.6,IF(((12*(YEAR(BZ$3)-YEAR($B$9))+MONTH(BZ$3)-MONTH($B$9))+1)/MAX(1,'Вводные'!$K$28)&lt;=0.8,1.2,0.8)))</x:f>
      </x:c>
      <x:c r="CA15" t="n">
        <x:f>IF(CA14=0,0,IF(((12*(YEAR(CA$3)-YEAR($B$9))+MONTH(CA$3)-MONTH($B$9))+1)/MAX(1,'Вводные'!$K$28)&lt;=0.2,0.6,IF(((12*(YEAR(CA$3)-YEAR($B$9))+MONTH(CA$3)-MONTH($B$9))+1)/MAX(1,'Вводные'!$K$28)&lt;=0.8,1.2,0.8)))</x:f>
      </x:c>
      <x:c r="CB15" t="n">
        <x:f>IF(CB14=0,0,IF(((12*(YEAR(CB$3)-YEAR($B$9))+MONTH(CB$3)-MONTH($B$9))+1)/MAX(1,'Вводные'!$K$28)&lt;=0.2,0.6,IF(((12*(YEAR(CB$3)-YEAR($B$9))+MONTH(CB$3)-MONTH($B$9))+1)/MAX(1,'Вводные'!$K$28)&lt;=0.8,1.2,0.8)))</x:f>
      </x:c>
      <x:c r="CC15" t="n">
        <x:f>IF(CC14=0,0,IF(((12*(YEAR(CC$3)-YEAR($B$9))+MONTH(CC$3)-MONTH($B$9))+1)/MAX(1,'Вводные'!$K$28)&lt;=0.2,0.6,IF(((12*(YEAR(CC$3)-YEAR($B$9))+MONTH(CC$3)-MONTH($B$9))+1)/MAX(1,'Вводные'!$K$28)&lt;=0.8,1.2,0.8)))</x:f>
      </x:c>
      <x:c r="CD15" t="n">
        <x:f>IF(CD14=0,0,IF(((12*(YEAR(CD$3)-YEAR($B$9))+MONTH(CD$3)-MONTH($B$9))+1)/MAX(1,'Вводные'!$K$28)&lt;=0.2,0.6,IF(((12*(YEAR(CD$3)-YEAR($B$9))+MONTH(CD$3)-MONTH($B$9))+1)/MAX(1,'Вводные'!$K$28)&lt;=0.8,1.2,0.8)))</x:f>
      </x:c>
      <x:c r="CE15" t="n">
        <x:f>IF(CE14=0,0,IF(((12*(YEAR(CE$3)-YEAR($B$9))+MONTH(CE$3)-MONTH($B$9))+1)/MAX(1,'Вводные'!$K$28)&lt;=0.2,0.6,IF(((12*(YEAR(CE$3)-YEAR($B$9))+MONTH(CE$3)-MONTH($B$9))+1)/MAX(1,'Вводные'!$K$28)&lt;=0.8,1.2,0.8)))</x:f>
      </x:c>
      <x:c r="CF15" t="n">
        <x:f>IF(CF14=0,0,IF(((12*(YEAR(CF$3)-YEAR($B$9))+MONTH(CF$3)-MONTH($B$9))+1)/MAX(1,'Вводные'!$K$28)&lt;=0.2,0.6,IF(((12*(YEAR(CF$3)-YEAR($B$9))+MONTH(CF$3)-MONTH($B$9))+1)/MAX(1,'Вводные'!$K$28)&lt;=0.8,1.2,0.8)))</x:f>
      </x:c>
      <x:c r="CG15" t="n">
        <x:f>IF(CG14=0,0,IF(((12*(YEAR(CG$3)-YEAR($B$9))+MONTH(CG$3)-MONTH($B$9))+1)/MAX(1,'Вводные'!$K$28)&lt;=0.2,0.6,IF(((12*(YEAR(CG$3)-YEAR($B$9))+MONTH(CG$3)-MONTH($B$9))+1)/MAX(1,'Вводные'!$K$28)&lt;=0.8,1.2,0.8)))</x:f>
      </x:c>
      <x:c r="CH15" t="n">
        <x:f>IF(CH14=0,0,IF(((12*(YEAR(CH$3)-YEAR($B$9))+MONTH(CH$3)-MONTH($B$9))+1)/MAX(1,'Вводные'!$K$28)&lt;=0.2,0.6,IF(((12*(YEAR(CH$3)-YEAR($B$9))+MONTH(CH$3)-MONTH($B$9))+1)/MAX(1,'Вводные'!$K$28)&lt;=0.8,1.2,0.8)))</x:f>
      </x:c>
      <x:c r="CI15" t="n">
        <x:f>IF(CI14=0,0,IF(((12*(YEAR(CI$3)-YEAR($B$9))+MONTH(CI$3)-MONTH($B$9))+1)/MAX(1,'Вводные'!$K$28)&lt;=0.2,0.6,IF(((12*(YEAR(CI$3)-YEAR($B$9))+MONTH(CI$3)-MONTH($B$9))+1)/MAX(1,'Вводные'!$K$28)&lt;=0.8,1.2,0.8)))</x:f>
      </x:c>
      <x:c r="CJ15" t="n">
        <x:f>IF(CJ14=0,0,IF(((12*(YEAR(CJ$3)-YEAR($B$9))+MONTH(CJ$3)-MONTH($B$9))+1)/MAX(1,'Вводные'!$K$28)&lt;=0.2,0.6,IF(((12*(YEAR(CJ$3)-YEAR($B$9))+MONTH(CJ$3)-MONTH($B$9))+1)/MAX(1,'Вводные'!$K$28)&lt;=0.8,1.2,0.8)))</x:f>
      </x:c>
      <x:c r="CK15" t="n">
        <x:f>IF(CK14=0,0,IF(((12*(YEAR(CK$3)-YEAR($B$9))+MONTH(CK$3)-MONTH($B$9))+1)/MAX(1,'Вводные'!$K$28)&lt;=0.2,0.6,IF(((12*(YEAR(CK$3)-YEAR($B$9))+MONTH(CK$3)-MONTH($B$9))+1)/MAX(1,'Вводные'!$K$28)&lt;=0.8,1.2,0.8)))</x:f>
      </x:c>
      <x:c r="CL15" t="n">
        <x:f>IF(CL14=0,0,IF(((12*(YEAR(CL$3)-YEAR($B$9))+MONTH(CL$3)-MONTH($B$9))+1)/MAX(1,'Вводные'!$K$28)&lt;=0.2,0.6,IF(((12*(YEAR(CL$3)-YEAR($B$9))+MONTH(CL$3)-MONTH($B$9))+1)/MAX(1,'Вводные'!$K$28)&lt;=0.8,1.2,0.8)))</x:f>
      </x:c>
      <x:c r="CM15" t="n">
        <x:f>IF(CM14=0,0,IF(((12*(YEAR(CM$3)-YEAR($B$9))+MONTH(CM$3)-MONTH($B$9))+1)/MAX(1,'Вводные'!$K$28)&lt;=0.2,0.6,IF(((12*(YEAR(CM$3)-YEAR($B$9))+MONTH(CM$3)-MONTH($B$9))+1)/MAX(1,'Вводные'!$K$28)&lt;=0.8,1.2,0.8)))</x:f>
      </x:c>
      <x:c r="CN15" t="n">
        <x:f>IF(CN14=0,0,IF(((12*(YEAR(CN$3)-YEAR($B$9))+MONTH(CN$3)-MONTH($B$9))+1)/MAX(1,'Вводные'!$K$28)&lt;=0.2,0.6,IF(((12*(YEAR(CN$3)-YEAR($B$9))+MONTH(CN$3)-MONTH($B$9))+1)/MAX(1,'Вводные'!$K$28)&lt;=0.8,1.2,0.8)))</x:f>
      </x:c>
      <x:c r="CO15" t="n">
        <x:f>IF(CO14=0,0,IF(((12*(YEAR(CO$3)-YEAR($B$9))+MONTH(CO$3)-MONTH($B$9))+1)/MAX(1,'Вводные'!$K$28)&lt;=0.2,0.6,IF(((12*(YEAR(CO$3)-YEAR($B$9))+MONTH(CO$3)-MONTH($B$9))+1)/MAX(1,'Вводные'!$K$28)&lt;=0.8,1.2,0.8)))</x:f>
      </x:c>
      <x:c r="CP15" t="n">
        <x:f>IF(CP14=0,0,IF(((12*(YEAR(CP$3)-YEAR($B$9))+MONTH(CP$3)-MONTH($B$9))+1)/MAX(1,'Вводные'!$K$28)&lt;=0.2,0.6,IF(((12*(YEAR(CP$3)-YEAR($B$9))+MONTH(CP$3)-MONTH($B$9))+1)/MAX(1,'Вводные'!$K$28)&lt;=0.8,1.2,0.8)))</x:f>
      </x:c>
      <x:c r="CQ15" t="n">
        <x:f>IF(CQ14=0,0,IF(((12*(YEAR(CQ$3)-YEAR($B$9))+MONTH(CQ$3)-MONTH($B$9))+1)/MAX(1,'Вводные'!$K$28)&lt;=0.2,0.6,IF(((12*(YEAR(CQ$3)-YEAR($B$9))+MONTH(CQ$3)-MONTH($B$9))+1)/MAX(1,'Вводные'!$K$28)&lt;=0.8,1.2,0.8)))</x:f>
      </x:c>
      <x:c r="CR15" t="n">
        <x:f>IF(CR14=0,0,IF(((12*(YEAR(CR$3)-YEAR($B$9))+MONTH(CR$3)-MONTH($B$9))+1)/MAX(1,'Вводные'!$K$28)&lt;=0.2,0.6,IF(((12*(YEAR(CR$3)-YEAR($B$9))+MONTH(CR$3)-MONTH($B$9))+1)/MAX(1,'Вводные'!$K$28)&lt;=0.8,1.2,0.8)))</x:f>
      </x:c>
      <x:c r="CS15" t="n">
        <x:f>IF(CS14=0,0,IF(((12*(YEAR(CS$3)-YEAR($B$9))+MONTH(CS$3)-MONTH($B$9))+1)/MAX(1,'Вводные'!$K$28)&lt;=0.2,0.6,IF(((12*(YEAR(CS$3)-YEAR($B$9))+MONTH(CS$3)-MONTH($B$9))+1)/MAX(1,'Вводные'!$K$28)&lt;=0.8,1.2,0.8)))</x:f>
      </x:c>
      <x:c r="CT15" t="n">
        <x:f>IF(CT14=0,0,IF(((12*(YEAR(CT$3)-YEAR($B$9))+MONTH(CT$3)-MONTH($B$9))+1)/MAX(1,'Вводные'!$K$28)&lt;=0.2,0.6,IF(((12*(YEAR(CT$3)-YEAR($B$9))+MONTH(CT$3)-MONTH($B$9))+1)/MAX(1,'Вводные'!$K$28)&lt;=0.8,1.2,0.8)))</x:f>
      </x:c>
      <x:c r="CU15" t="n">
        <x:f>IF(CU14=0,0,IF(((12*(YEAR(CU$3)-YEAR($B$9))+MONTH(CU$3)-MONTH($B$9))+1)/MAX(1,'Вводные'!$K$28)&lt;=0.2,0.6,IF(((12*(YEAR(CU$3)-YEAR($B$9))+MONTH(CU$3)-MONTH($B$9))+1)/MAX(1,'Вводные'!$K$28)&lt;=0.8,1.2,0.8)))</x:f>
      </x:c>
      <x:c r="CV15" t="n">
        <x:f>IF(CV14=0,0,IF(((12*(YEAR(CV$3)-YEAR($B$9))+MONTH(CV$3)-MONTH($B$9))+1)/MAX(1,'Вводные'!$K$28)&lt;=0.2,0.6,IF(((12*(YEAR(CV$3)-YEAR($B$9))+MONTH(CV$3)-MONTH($B$9))+1)/MAX(1,'Вводные'!$K$28)&lt;=0.8,1.2,0.8)))</x:f>
      </x:c>
      <x:c r="CW15" t="n">
        <x:f>IF(CW14=0,0,IF(((12*(YEAR(CW$3)-YEAR($B$9))+MONTH(CW$3)-MONTH($B$9))+1)/MAX(1,'Вводные'!$K$28)&lt;=0.2,0.6,IF(((12*(YEAR(CW$3)-YEAR($B$9))+MONTH(CW$3)-MONTH($B$9))+1)/MAX(1,'Вводные'!$K$28)&lt;=0.8,1.2,0.8)))</x:f>
      </x:c>
      <x:c r="CX15" t="n">
        <x:f>IF(CX14=0,0,IF(((12*(YEAR(CX$3)-YEAR($B$9))+MONTH(CX$3)-MONTH($B$9))+1)/MAX(1,'Вводные'!$K$28)&lt;=0.2,0.6,IF(((12*(YEAR(CX$3)-YEAR($B$9))+MONTH(CX$3)-MONTH($B$9))+1)/MAX(1,'Вводные'!$K$28)&lt;=0.8,1.2,0.8)))</x:f>
      </x:c>
      <x:c r="CY15" t="n">
        <x:f>IF(CY14=0,0,IF(((12*(YEAR(CY$3)-YEAR($B$9))+MONTH(CY$3)-MONTH($B$9))+1)/MAX(1,'Вводные'!$K$28)&lt;=0.2,0.6,IF(((12*(YEAR(CY$3)-YEAR($B$9))+MONTH(CY$3)-MONTH($B$9))+1)/MAX(1,'Вводные'!$K$28)&lt;=0.8,1.2,0.8)))</x:f>
      </x:c>
      <x:c r="CZ15" t="n">
        <x:f>IF(CZ14=0,0,IF(((12*(YEAR(CZ$3)-YEAR($B$9))+MONTH(CZ$3)-MONTH($B$9))+1)/MAX(1,'Вводные'!$K$28)&lt;=0.2,0.6,IF(((12*(YEAR(CZ$3)-YEAR($B$9))+MONTH(CZ$3)-MONTH($B$9))+1)/MAX(1,'Вводные'!$K$28)&lt;=0.8,1.2,0.8)))</x:f>
      </x:c>
      <x:c r="DA15" t="n">
        <x:f>IF(DA14=0,0,IF(((12*(YEAR(DA$3)-YEAR($B$9))+MONTH(DA$3)-MONTH($B$9))+1)/MAX(1,'Вводные'!$K$28)&lt;=0.2,0.6,IF(((12*(YEAR(DA$3)-YEAR($B$9))+MONTH(DA$3)-MONTH($B$9))+1)/MAX(1,'Вводные'!$K$28)&lt;=0.8,1.2,0.8)))</x:f>
      </x:c>
      <x:c r="DB15" t="n">
        <x:f>IF(DB14=0,0,IF(((12*(YEAR(DB$3)-YEAR($B$9))+MONTH(DB$3)-MONTH($B$9))+1)/MAX(1,'Вводные'!$K$28)&lt;=0.2,0.6,IF(((12*(YEAR(DB$3)-YEAR($B$9))+MONTH(DB$3)-MONTH($B$9))+1)/MAX(1,'Вводные'!$K$28)&lt;=0.8,1.2,0.8)))</x:f>
      </x:c>
      <x:c r="DC15" t="n">
        <x:f>IF(DC14=0,0,IF(((12*(YEAR(DC$3)-YEAR($B$9))+MONTH(DC$3)-MONTH($B$9))+1)/MAX(1,'Вводные'!$K$28)&lt;=0.2,0.6,IF(((12*(YEAR(DC$3)-YEAR($B$9))+MONTH(DC$3)-MONTH($B$9))+1)/MAX(1,'Вводные'!$K$28)&lt;=0.8,1.2,0.8)))</x:f>
      </x:c>
      <x:c r="DD15" t="n">
        <x:f>IF(DD14=0,0,IF(((12*(YEAR(DD$3)-YEAR($B$9))+MONTH(DD$3)-MONTH($B$9))+1)/MAX(1,'Вводные'!$K$28)&lt;=0.2,0.6,IF(((12*(YEAR(DD$3)-YEAR($B$9))+MONTH(DD$3)-MONTH($B$9))+1)/MAX(1,'Вводные'!$K$28)&lt;=0.8,1.2,0.8)))</x:f>
      </x:c>
      <x:c r="DE15" t="n">
        <x:f>IF(DE14=0,0,IF(((12*(YEAR(DE$3)-YEAR($B$9))+MONTH(DE$3)-MONTH($B$9))+1)/MAX(1,'Вводные'!$K$28)&lt;=0.2,0.6,IF(((12*(YEAR(DE$3)-YEAR($B$9))+MONTH(DE$3)-MONTH($B$9))+1)/MAX(1,'Вводные'!$K$28)&lt;=0.8,1.2,0.8)))</x:f>
      </x:c>
      <x:c r="DF15" t="n">
        <x:f>IF(DF14=0,0,IF(((12*(YEAR(DF$3)-YEAR($B$9))+MONTH(DF$3)-MONTH($B$9))+1)/MAX(1,'Вводные'!$K$28)&lt;=0.2,0.6,IF(((12*(YEAR(DF$3)-YEAR($B$9))+MONTH(DF$3)-MONTH($B$9))+1)/MAX(1,'Вводные'!$K$28)&lt;=0.8,1.2,0.8)))</x:f>
      </x:c>
      <x:c r="DG15" t="n">
        <x:f>IF(DG14=0,0,IF(((12*(YEAR(DG$3)-YEAR($B$9))+MONTH(DG$3)-MONTH($B$9))+1)/MAX(1,'Вводные'!$K$28)&lt;=0.2,0.6,IF(((12*(YEAR(DG$3)-YEAR($B$9))+MONTH(DG$3)-MONTH($B$9))+1)/MAX(1,'Вводные'!$K$28)&lt;=0.8,1.2,0.8)))</x:f>
      </x:c>
      <x:c r="DH15" t="n">
        <x:f>IF(DH14=0,0,IF(((12*(YEAR(DH$3)-YEAR($B$9))+MONTH(DH$3)-MONTH($B$9))+1)/MAX(1,'Вводные'!$K$28)&lt;=0.2,0.6,IF(((12*(YEAR(DH$3)-YEAR($B$9))+MONTH(DH$3)-MONTH($B$9))+1)/MAX(1,'Вводные'!$K$28)&lt;=0.8,1.2,0.8)))</x:f>
      </x:c>
      <x:c r="DI15" t="n">
        <x:f>IF(DI14=0,0,IF(((12*(YEAR(DI$3)-YEAR($B$9))+MONTH(DI$3)-MONTH($B$9))+1)/MAX(1,'Вводные'!$K$28)&lt;=0.2,0.6,IF(((12*(YEAR(DI$3)-YEAR($B$9))+MONTH(DI$3)-MONTH($B$9))+1)/MAX(1,'Вводные'!$K$28)&lt;=0.8,1.2,0.8)))</x:f>
      </x:c>
      <x:c r="DJ15" t="n">
        <x:f>IF(DJ14=0,0,IF(((12*(YEAR(DJ$3)-YEAR($B$9))+MONTH(DJ$3)-MONTH($B$9))+1)/MAX(1,'Вводные'!$K$28)&lt;=0.2,0.6,IF(((12*(YEAR(DJ$3)-YEAR($B$9))+MONTH(DJ$3)-MONTH($B$9))+1)/MAX(1,'Вводные'!$K$28)&lt;=0.8,1.2,0.8)))</x:f>
      </x:c>
      <x:c r="DK15" t="n">
        <x:f>IF(DK14=0,0,IF(((12*(YEAR(DK$3)-YEAR($B$9))+MONTH(DK$3)-MONTH($B$9))+1)/MAX(1,'Вводные'!$K$28)&lt;=0.2,0.6,IF(((12*(YEAR(DK$3)-YEAR($B$9))+MONTH(DK$3)-MONTH($B$9))+1)/MAX(1,'Вводные'!$K$28)&lt;=0.8,1.2,0.8)))</x:f>
      </x:c>
      <x:c r="DL15" t="n">
        <x:f>IF(DL14=0,0,IF(((12*(YEAR(DL$3)-YEAR($B$9))+MONTH(DL$3)-MONTH($B$9))+1)/MAX(1,'Вводные'!$K$28)&lt;=0.2,0.6,IF(((12*(YEAR(DL$3)-YEAR($B$9))+MONTH(DL$3)-MONTH($B$9))+1)/MAX(1,'Вводные'!$K$28)&lt;=0.8,1.2,0.8)))</x:f>
      </x:c>
      <x:c r="DM15" t="n">
        <x:f>IF(DM14=0,0,IF(((12*(YEAR(DM$3)-YEAR($B$9))+MONTH(DM$3)-MONTH($B$9))+1)/MAX(1,'Вводные'!$K$28)&lt;=0.2,0.6,IF(((12*(YEAR(DM$3)-YEAR($B$9))+MONTH(DM$3)-MONTH($B$9))+1)/MAX(1,'Вводные'!$K$28)&lt;=0.8,1.2,0.8)))</x:f>
      </x:c>
      <x:c r="DN15" t="n">
        <x:f>IF(DN14=0,0,IF(((12*(YEAR(DN$3)-YEAR($B$9))+MONTH(DN$3)-MONTH($B$9))+1)/MAX(1,'Вводные'!$K$28)&lt;=0.2,0.6,IF(((12*(YEAR(DN$3)-YEAR($B$9))+MONTH(DN$3)-MONTH($B$9))+1)/MAX(1,'Вводные'!$K$28)&lt;=0.8,1.2,0.8)))</x:f>
      </x:c>
      <x:c r="DO15" t="n">
        <x:f>IF(DO14=0,0,IF(((12*(YEAR(DO$3)-YEAR($B$9))+MONTH(DO$3)-MONTH($B$9))+1)/MAX(1,'Вводные'!$K$28)&lt;=0.2,0.6,IF(((12*(YEAR(DO$3)-YEAR($B$9))+MONTH(DO$3)-MONTH($B$9))+1)/MAX(1,'Вводные'!$K$28)&lt;=0.8,1.2,0.8)))</x:f>
      </x:c>
      <x:c r="DP15" t="n">
        <x:f>IF(DP14=0,0,IF(((12*(YEAR(DP$3)-YEAR($B$9))+MONTH(DP$3)-MONTH($B$9))+1)/MAX(1,'Вводные'!$K$28)&lt;=0.2,0.6,IF(((12*(YEAR(DP$3)-YEAR($B$9))+MONTH(DP$3)-MONTH($B$9))+1)/MAX(1,'Вводные'!$K$28)&lt;=0.8,1.2,0.8)))</x:f>
      </x:c>
      <x:c r="DQ15" t="n">
        <x:f>IF(DQ14=0,0,IF(((12*(YEAR(DQ$3)-YEAR($B$9))+MONTH(DQ$3)-MONTH($B$9))+1)/MAX(1,'Вводные'!$K$28)&lt;=0.2,0.6,IF(((12*(YEAR(DQ$3)-YEAR($B$9))+MONTH(DQ$3)-MONTH($B$9))+1)/MAX(1,'Вводные'!$K$28)&lt;=0.8,1.2,0.8)))</x:f>
      </x:c>
      <x:c r="DR15" t="n">
        <x:f>IF(DR14=0,0,IF(((12*(YEAR(DR$3)-YEAR($B$9))+MONTH(DR$3)-MONTH($B$9))+1)/MAX(1,'Вводные'!$K$28)&lt;=0.2,0.6,IF(((12*(YEAR(DR$3)-YEAR($B$9))+MONTH(DR$3)-MONTH($B$9))+1)/MAX(1,'Вводные'!$K$28)&lt;=0.8,1.2,0.8)))</x:f>
      </x:c>
      <x:c r="DS15" t="n">
        <x:f>IF(DS14=0,0,IF(((12*(YEAR(DS$3)-YEAR($B$9))+MONTH(DS$3)-MONTH($B$9))+1)/MAX(1,'Вводные'!$K$28)&lt;=0.2,0.6,IF(((12*(YEAR(DS$3)-YEAR($B$9))+MONTH(DS$3)-MONTH($B$9))+1)/MAX(1,'Вводные'!$K$28)&lt;=0.8,1.2,0.8)))</x:f>
      </x:c>
      <x:c r="DT15" t="n">
        <x:f>IF(DT14=0,0,IF(((12*(YEAR(DT$3)-YEAR($B$9))+MONTH(DT$3)-MONTH($B$9))+1)/MAX(1,'Вводные'!$K$28)&lt;=0.2,0.6,IF(((12*(YEAR(DT$3)-YEAR($B$9))+MONTH(DT$3)-MONTH($B$9))+1)/MAX(1,'Вводные'!$K$28)&lt;=0.8,1.2,0.8)))</x:f>
      </x:c>
      <x:c r="DU15" t="n">
        <x:f>IF(DU14=0,0,IF(((12*(YEAR(DU$3)-YEAR($B$9))+MONTH(DU$3)-MONTH($B$9))+1)/MAX(1,'Вводные'!$K$28)&lt;=0.2,0.6,IF(((12*(YEAR(DU$3)-YEAR($B$9))+MONTH(DU$3)-MONTH($B$9))+1)/MAX(1,'Вводные'!$K$28)&lt;=0.8,1.2,0.8)))</x:f>
      </x:c>
      <x:c r="DV15" t="n">
        <x:f>IF(DV14=0,0,IF(((12*(YEAR(DV$3)-YEAR($B$9))+MONTH(DV$3)-MONTH($B$9))+1)/MAX(1,'Вводные'!$K$28)&lt;=0.2,0.6,IF(((12*(YEAR(DV$3)-YEAR($B$9))+MONTH(DV$3)-MONTH($B$9))+1)/MAX(1,'Вводные'!$K$28)&lt;=0.8,1.2,0.8)))</x:f>
      </x:c>
      <x:c r="DW15" t="n">
        <x:f>IF(DW14=0,0,IF(((12*(YEAR(DW$3)-YEAR($B$9))+MONTH(DW$3)-MONTH($B$9))+1)/MAX(1,'Вводные'!$K$28)&lt;=0.2,0.6,IF(((12*(YEAR(DW$3)-YEAR($B$9))+MONTH(DW$3)-MONTH($B$9))+1)/MAX(1,'Вводные'!$K$28)&lt;=0.8,1.2,0.8)))</x:f>
      </x:c>
      <x:c r="DX15" t="n">
        <x:f>IF(DX14=0,0,IF(((12*(YEAR(DX$3)-YEAR($B$9))+MONTH(DX$3)-MONTH($B$9))+1)/MAX(1,'Вводные'!$K$28)&lt;=0.2,0.6,IF(((12*(YEAR(DX$3)-YEAR($B$9))+MONTH(DX$3)-MONTH($B$9))+1)/MAX(1,'Вводные'!$K$28)&lt;=0.8,1.2,0.8)))</x:f>
      </x:c>
      <x:c r="DY15" t="n">
        <x:f>IF(DY14=0,0,IF(((12*(YEAR(DY$3)-YEAR($B$9))+MONTH(DY$3)-MONTH($B$9))+1)/MAX(1,'Вводные'!$K$28)&lt;=0.2,0.6,IF(((12*(YEAR(DY$3)-YEAR($B$9))+MONTH(DY$3)-MONTH($B$9))+1)/MAX(1,'Вводные'!$K$28)&lt;=0.8,1.2,0.8)))</x:f>
      </x:c>
      <x:c r="DZ15" t="n">
        <x:f>IF(DZ14=0,0,IF(((12*(YEAR(DZ$3)-YEAR($B$9))+MONTH(DZ$3)-MONTH($B$9))+1)/MAX(1,'Вводные'!$K$28)&lt;=0.2,0.6,IF(((12*(YEAR(DZ$3)-YEAR($B$9))+MONTH(DZ$3)-MONTH($B$9))+1)/MAX(1,'Вводные'!$K$28)&lt;=0.8,1.2,0.8)))</x:f>
      </x:c>
      <x:c r="EA15" t="n">
        <x:f>IF(EA14=0,0,IF(((12*(YEAR(EA$3)-YEAR($B$9))+MONTH(EA$3)-MONTH($B$9))+1)/MAX(1,'Вводные'!$K$28)&lt;=0.2,0.6,IF(((12*(YEAR(EA$3)-YEAR($B$9))+MONTH(EA$3)-MONTH($B$9))+1)/MAX(1,'Вводные'!$K$28)&lt;=0.8,1.2,0.8)))</x:f>
      </x:c>
      <x:c r="EB15" t="n">
        <x:f>IF(EB14=0,0,IF(((12*(YEAR(EB$3)-YEAR($B$9))+MONTH(EB$3)-MONTH($B$9))+1)/MAX(1,'Вводные'!$K$28)&lt;=0.2,0.6,IF(((12*(YEAR(EB$3)-YEAR($B$9))+MONTH(EB$3)-MONTH($B$9))+1)/MAX(1,'Вводные'!$K$28)&lt;=0.8,1.2,0.8)))</x:f>
      </x:c>
      <x:c r="EC15" t="n">
        <x:f>IF(EC14=0,0,IF(((12*(YEAR(EC$3)-YEAR($B$9))+MONTH(EC$3)-MONTH($B$9))+1)/MAX(1,'Вводные'!$K$28)&lt;=0.2,0.6,IF(((12*(YEAR(EC$3)-YEAR($B$9))+MONTH(EC$3)-MONTH($B$9))+1)/MAX(1,'Вводные'!$K$28)&lt;=0.8,1.2,0.8)))</x:f>
      </x:c>
      <x:c r="ED15" t="n">
        <x:f>IF(ED14=0,0,IF(((12*(YEAR(ED$3)-YEAR($B$9))+MONTH(ED$3)-MONTH($B$9))+1)/MAX(1,'Вводные'!$K$28)&lt;=0.2,0.6,IF(((12*(YEAR(ED$3)-YEAR($B$9))+MONTH(ED$3)-MONTH($B$9))+1)/MAX(1,'Вводные'!$K$28)&lt;=0.8,1.2,0.8)))</x:f>
      </x:c>
      <x:c r="EE15" t="n">
        <x:f>IF(EE14=0,0,IF(((12*(YEAR(EE$3)-YEAR($B$9))+MONTH(EE$3)-MONTH($B$9))+1)/MAX(1,'Вводные'!$K$28)&lt;=0.2,0.6,IF(((12*(YEAR(EE$3)-YEAR($B$9))+MONTH(EE$3)-MONTH($B$9))+1)/MAX(1,'Вводные'!$K$28)&lt;=0.8,1.2,0.8)))</x:f>
      </x:c>
      <x:c r="EF15" t="n">
        <x:f>IF(EF14=0,0,IF(((12*(YEAR(EF$3)-YEAR($B$9))+MONTH(EF$3)-MONTH($B$9))+1)/MAX(1,'Вводные'!$K$28)&lt;=0.2,0.6,IF(((12*(YEAR(EF$3)-YEAR($B$9))+MONTH(EF$3)-MONTH($B$9))+1)/MAX(1,'Вводные'!$K$28)&lt;=0.8,1.2,0.8)))</x:f>
      </x:c>
      <x:c r="EG15" t="n">
        <x:f>IF(EG14=0,0,IF(((12*(YEAR(EG$3)-YEAR($B$9))+MONTH(EG$3)-MONTH($B$9))+1)/MAX(1,'Вводные'!$K$28)&lt;=0.2,0.6,IF(((12*(YEAR(EG$3)-YEAR($B$9))+MONTH(EG$3)-MONTH($B$9))+1)/MAX(1,'Вводные'!$K$28)&lt;=0.8,1.2,0.8)))</x:f>
      </x:c>
      <x:c r="EH15" t="n">
        <x:f>IF(EH14=0,0,IF(((12*(YEAR(EH$3)-YEAR($B$9))+MONTH(EH$3)-MONTH($B$9))+1)/MAX(1,'Вводные'!$K$28)&lt;=0.2,0.6,IF(((12*(YEAR(EH$3)-YEAR($B$9))+MONTH(EH$3)-MONTH($B$9))+1)/MAX(1,'Вводные'!$K$28)&lt;=0.8,1.2,0.8)))</x:f>
      </x:c>
      <x:c r="EI15" t="n">
        <x:f>IF(EI14=0,0,IF(((12*(YEAR(EI$3)-YEAR($B$9))+MONTH(EI$3)-MONTH($B$9))+1)/MAX(1,'Вводные'!$K$28)&lt;=0.2,0.6,IF(((12*(YEAR(EI$3)-YEAR($B$9))+MONTH(EI$3)-MONTH($B$9))+1)/MAX(1,'Вводные'!$K$28)&lt;=0.8,1.2,0.8)))</x:f>
      </x:c>
      <x:c r="EJ15" t="n">
        <x:f>IF(EJ14=0,0,IF(((12*(YEAR(EJ$3)-YEAR($B$9))+MONTH(EJ$3)-MONTH($B$9))+1)/MAX(1,'Вводные'!$K$28)&lt;=0.2,0.6,IF(((12*(YEAR(EJ$3)-YEAR($B$9))+MONTH(EJ$3)-MONTH($B$9))+1)/MAX(1,'Вводные'!$K$28)&lt;=0.8,1.2,0.8)))</x:f>
      </x:c>
      <x:c r="EK15" t="n">
        <x:f>IF(EK14=0,0,IF(((12*(YEAR(EK$3)-YEAR($B$9))+MONTH(EK$3)-MONTH($B$9))+1)/MAX(1,'Вводные'!$K$28)&lt;=0.2,0.6,IF(((12*(YEAR(EK$3)-YEAR($B$9))+MONTH(EK$3)-MONTH($B$9))+1)/MAX(1,'Вводные'!$K$28)&lt;=0.8,1.2,0.8)))</x:f>
      </x:c>
      <x:c r="EL15" t="n">
        <x:f>IF(EL14=0,0,IF(((12*(YEAR(EL$3)-YEAR($B$9))+MONTH(EL$3)-MONTH($B$9))+1)/MAX(1,'Вводные'!$K$28)&lt;=0.2,0.6,IF(((12*(YEAR(EL$3)-YEAR($B$9))+MONTH(EL$3)-MONTH($B$9))+1)/MAX(1,'Вводные'!$K$28)&lt;=0.8,1.2,0.8)))</x:f>
      </x:c>
      <x:c r="EM15" t="n">
        <x:f>IF(EM14=0,0,IF(((12*(YEAR(EM$3)-YEAR($B$9))+MONTH(EM$3)-MONTH($B$9))+1)/MAX(1,'Вводные'!$K$28)&lt;=0.2,0.6,IF(((12*(YEAR(EM$3)-YEAR($B$9))+MONTH(EM$3)-MONTH($B$9))+1)/MAX(1,'Вводные'!$K$28)&lt;=0.8,1.2,0.8)))</x:f>
      </x:c>
      <x:c r="EN15" t="n">
        <x:f>IF(EN14=0,0,IF(((12*(YEAR(EN$3)-YEAR($B$9))+MONTH(EN$3)-MONTH($B$9))+1)/MAX(1,'Вводные'!$K$28)&lt;=0.2,0.6,IF(((12*(YEAR(EN$3)-YEAR($B$9))+MONTH(EN$3)-MONTH($B$9))+1)/MAX(1,'Вводные'!$K$28)&lt;=0.8,1.2,0.8)))</x:f>
      </x:c>
      <x:c r="EO15" t="n">
        <x:f>IF(EO14=0,0,IF(((12*(YEAR(EO$3)-YEAR($B$9))+MONTH(EO$3)-MONTH($B$9))+1)/MAX(1,'Вводные'!$K$28)&lt;=0.2,0.6,IF(((12*(YEAR(EO$3)-YEAR($B$9))+MONTH(EO$3)-MONTH($B$9))+1)/MAX(1,'Вводные'!$K$28)&lt;=0.8,1.2,0.8)))</x:f>
      </x:c>
      <x:c r="EP15" t="n">
        <x:f>IF(EP14=0,0,IF(((12*(YEAR(EP$3)-YEAR($B$9))+MONTH(EP$3)-MONTH($B$9))+1)/MAX(1,'Вводные'!$K$28)&lt;=0.2,0.6,IF(((12*(YEAR(EP$3)-YEAR($B$9))+MONTH(EP$3)-MONTH($B$9))+1)/MAX(1,'Вводные'!$K$28)&lt;=0.8,1.2,0.8)))</x:f>
      </x:c>
      <x:c r="EQ15" t="n">
        <x:f>IF(EQ14=0,0,IF(((12*(YEAR(EQ$3)-YEAR($B$9))+MONTH(EQ$3)-MONTH($B$9))+1)/MAX(1,'Вводные'!$K$28)&lt;=0.2,0.6,IF(((12*(YEAR(EQ$3)-YEAR($B$9))+MONTH(EQ$3)-MONTH($B$9))+1)/MAX(1,'Вводные'!$K$28)&lt;=0.8,1.2,0.8)))</x:f>
      </x:c>
      <x:c r="ER15" t="n">
        <x:f>IF(ER14=0,0,IF(((12*(YEAR(ER$3)-YEAR($B$9))+MONTH(ER$3)-MONTH($B$9))+1)/MAX(1,'Вводные'!$K$28)&lt;=0.2,0.6,IF(((12*(YEAR(ER$3)-YEAR($B$9))+MONTH(ER$3)-MONTH($B$9))+1)/MAX(1,'Вводные'!$K$28)&lt;=0.8,1.2,0.8)))</x:f>
      </x:c>
      <x:c r="ES15" t="n">
        <x:f>IF(ES14=0,0,IF(((12*(YEAR(ES$3)-YEAR($B$9))+MONTH(ES$3)-MONTH($B$9))+1)/MAX(1,'Вводные'!$K$28)&lt;=0.2,0.6,IF(((12*(YEAR(ES$3)-YEAR($B$9))+MONTH(ES$3)-MONTH($B$9))+1)/MAX(1,'Вводные'!$K$28)&lt;=0.8,1.2,0.8)))</x:f>
      </x:c>
      <x:c r="ET15" t="n">
        <x:f>IF(ET14=0,0,IF(((12*(YEAR(ET$3)-YEAR($B$9))+MONTH(ET$3)-MONTH($B$9))+1)/MAX(1,'Вводные'!$K$28)&lt;=0.2,0.6,IF(((12*(YEAR(ET$3)-YEAR($B$9))+MONTH(ET$3)-MONTH($B$9))+1)/MAX(1,'Вводные'!$K$28)&lt;=0.8,1.2,0.8)))</x:f>
      </x:c>
      <x:c r="EU15" t="n">
        <x:f>IF(EU14=0,0,IF(((12*(YEAR(EU$3)-YEAR($B$9))+MONTH(EU$3)-MONTH($B$9))+1)/MAX(1,'Вводные'!$K$28)&lt;=0.2,0.6,IF(((12*(YEAR(EU$3)-YEAR($B$9))+MONTH(EU$3)-MONTH($B$9))+1)/MAX(1,'Вводные'!$K$28)&lt;=0.8,1.2,0.8)))</x:f>
      </x:c>
      <x:c r="EV15" t="n">
        <x:f>IF(EV14=0,0,IF(((12*(YEAR(EV$3)-YEAR($B$9))+MONTH(EV$3)-MONTH($B$9))+1)/MAX(1,'Вводные'!$K$28)&lt;=0.2,0.6,IF(((12*(YEAR(EV$3)-YEAR($B$9))+MONTH(EV$3)-MONTH($B$9))+1)/MAX(1,'Вводные'!$K$28)&lt;=0.8,1.2,0.8)))</x:f>
      </x:c>
      <x:c r="EW15" t="n">
        <x:f>IF(EW14=0,0,IF(((12*(YEAR(EW$3)-YEAR($B$9))+MONTH(EW$3)-MONTH($B$9))+1)/MAX(1,'Вводные'!$K$28)&lt;=0.2,0.6,IF(((12*(YEAR(EW$3)-YEAR($B$9))+MONTH(EW$3)-MONTH($B$9))+1)/MAX(1,'Вводные'!$K$28)&lt;=0.8,1.2,0.8)))</x:f>
      </x:c>
      <x:c r="EX15" t="n">
        <x:f>IF(EX14=0,0,IF(((12*(YEAR(EX$3)-YEAR($B$9))+MONTH(EX$3)-MONTH($B$9))+1)/MAX(1,'Вводные'!$K$28)&lt;=0.2,0.6,IF(((12*(YEAR(EX$3)-YEAR($B$9))+MONTH(EX$3)-MONTH($B$9))+1)/MAX(1,'Вводные'!$K$28)&lt;=0.8,1.2,0.8)))</x:f>
      </x:c>
      <x:c r="EY15" t="n">
        <x:f>IF(EY14=0,0,IF(((12*(YEAR(EY$3)-YEAR($B$9))+MONTH(EY$3)-MONTH($B$9))+1)/MAX(1,'Вводные'!$K$28)&lt;=0.2,0.6,IF(((12*(YEAR(EY$3)-YEAR($B$9))+MONTH(EY$3)-MONTH($B$9))+1)/MAX(1,'Вводные'!$K$28)&lt;=0.8,1.2,0.8)))</x:f>
      </x:c>
      <x:c r="EZ15" t="n">
        <x:f>IF(EZ14=0,0,IF(((12*(YEAR(EZ$3)-YEAR($B$9))+MONTH(EZ$3)-MONTH($B$9))+1)/MAX(1,'Вводные'!$K$28)&lt;=0.2,0.6,IF(((12*(YEAR(EZ$3)-YEAR($B$9))+MONTH(EZ$3)-MONTH($B$9))+1)/MAX(1,'Вводные'!$K$28)&lt;=0.8,1.2,0.8)))</x:f>
      </x:c>
      <x:c r="FA15" t="n">
        <x:f>IF(FA14=0,0,IF(((12*(YEAR(FA$3)-YEAR($B$9))+MONTH(FA$3)-MONTH($B$9))+1)/MAX(1,'Вводные'!$K$28)&lt;=0.2,0.6,IF(((12*(YEAR(FA$3)-YEAR($B$9))+MONTH(FA$3)-MONTH($B$9))+1)/MAX(1,'Вводные'!$K$28)&lt;=0.8,1.2,0.8)))</x:f>
      </x:c>
      <x:c r="FB15" t="n">
        <x:f>IF(FB14=0,0,IF(((12*(YEAR(FB$3)-YEAR($B$9))+MONTH(FB$3)-MONTH($B$9))+1)/MAX(1,'Вводные'!$K$28)&lt;=0.2,0.6,IF(((12*(YEAR(FB$3)-YEAR($B$9))+MONTH(FB$3)-MONTH($B$9))+1)/MAX(1,'Вводные'!$K$28)&lt;=0.8,1.2,0.8)))</x:f>
      </x:c>
      <x:c r="FC15" t="n">
        <x:f>IF(FC14=0,0,IF(((12*(YEAR(FC$3)-YEAR($B$9))+MONTH(FC$3)-MONTH($B$9))+1)/MAX(1,'Вводные'!$K$28)&lt;=0.2,0.6,IF(((12*(YEAR(FC$3)-YEAR($B$9))+MONTH(FC$3)-MONTH($B$9))+1)/MAX(1,'Вводные'!$K$28)&lt;=0.8,1.2,0.8)))</x:f>
      </x:c>
      <x:c r="FD15" t="n">
        <x:f>IF(FD14=0,0,IF(((12*(YEAR(FD$3)-YEAR($B$9))+MONTH(FD$3)-MONTH($B$9))+1)/MAX(1,'Вводные'!$K$28)&lt;=0.2,0.6,IF(((12*(YEAR(FD$3)-YEAR($B$9))+MONTH(FD$3)-MONTH($B$9))+1)/MAX(1,'Вводные'!$K$28)&lt;=0.8,1.2,0.8)))</x:f>
      </x:c>
      <x:c r="FE15" t="n">
        <x:f>IF(FE14=0,0,IF(((12*(YEAR(FE$3)-YEAR($B$9))+MONTH(FE$3)-MONTH($B$9))+1)/MAX(1,'Вводные'!$K$28)&lt;=0.2,0.6,IF(((12*(YEAR(FE$3)-YEAR($B$9))+MONTH(FE$3)-MONTH($B$9))+1)/MAX(1,'Вводные'!$K$28)&lt;=0.8,1.2,0.8)))</x:f>
      </x:c>
      <x:c r="FF15" t="n">
        <x:f>IF(FF14=0,0,IF(((12*(YEAR(FF$3)-YEAR($B$9))+MONTH(FF$3)-MONTH($B$9))+1)/MAX(1,'Вводные'!$K$28)&lt;=0.2,0.6,IF(((12*(YEAR(FF$3)-YEAR($B$9))+MONTH(FF$3)-MONTH($B$9))+1)/MAX(1,'Вводные'!$K$28)&lt;=0.8,1.2,0.8)))</x:f>
      </x:c>
      <x:c r="FG15" t="n">
        <x:f>IF(FG14=0,0,IF(((12*(YEAR(FG$3)-YEAR($B$9))+MONTH(FG$3)-MONTH($B$9))+1)/MAX(1,'Вводные'!$K$28)&lt;=0.2,0.6,IF(((12*(YEAR(FG$3)-YEAR($B$9))+MONTH(FG$3)-MONTH($B$9))+1)/MAX(1,'Вводные'!$K$28)&lt;=0.8,1.2,0.8)))</x:f>
      </x:c>
      <x:c r="FH15" t="n">
        <x:f>IF(FH14=0,0,IF(((12*(YEAR(FH$3)-YEAR($B$9))+MONTH(FH$3)-MONTH($B$9))+1)/MAX(1,'Вводные'!$K$28)&lt;=0.2,0.6,IF(((12*(YEAR(FH$3)-YEAR($B$9))+MONTH(FH$3)-MONTH($B$9))+1)/MAX(1,'Вводные'!$K$28)&lt;=0.8,1.2,0.8)))</x:f>
      </x:c>
      <x:c r="FI15" t="n">
        <x:f>IF(FI14=0,0,IF(((12*(YEAR(FI$3)-YEAR($B$9))+MONTH(FI$3)-MONTH($B$9))+1)/MAX(1,'Вводные'!$K$28)&lt;=0.2,0.6,IF(((12*(YEAR(FI$3)-YEAR($B$9))+MONTH(FI$3)-MONTH($B$9))+1)/MAX(1,'Вводные'!$K$28)&lt;=0.8,1.2,0.8)))</x:f>
      </x:c>
      <x:c r="FJ15" t="n">
        <x:f>IF(FJ14=0,0,IF(((12*(YEAR(FJ$3)-YEAR($B$9))+MONTH(FJ$3)-MONTH($B$9))+1)/MAX(1,'Вводные'!$K$28)&lt;=0.2,0.6,IF(((12*(YEAR(FJ$3)-YEAR($B$9))+MONTH(FJ$3)-MONTH($B$9))+1)/MAX(1,'Вводные'!$K$28)&lt;=0.8,1.2,0.8)))</x:f>
      </x:c>
      <x:c r="FK15" t="n">
        <x:f>IF(FK14=0,0,IF(((12*(YEAR(FK$3)-YEAR($B$9))+MONTH(FK$3)-MONTH($B$9))+1)/MAX(1,'Вводные'!$K$28)&lt;=0.2,0.6,IF(((12*(YEAR(FK$3)-YEAR($B$9))+MONTH(FK$3)-MONTH($B$9))+1)/MAX(1,'Вводные'!$K$28)&lt;=0.8,1.2,0.8)))</x:f>
      </x:c>
      <x:c r="FL15" t="n">
        <x:f>IF(FL14=0,0,IF(((12*(YEAR(FL$3)-YEAR($B$9))+MONTH(FL$3)-MONTH($B$9))+1)/MAX(1,'Вводные'!$K$28)&lt;=0.2,0.6,IF(((12*(YEAR(FL$3)-YEAR($B$9))+MONTH(FL$3)-MONTH($B$9))+1)/MAX(1,'Вводные'!$K$28)&lt;=0.8,1.2,0.8)))</x:f>
      </x:c>
      <x:c r="FM15" t="n">
        <x:f>IF(FM14=0,0,IF(((12*(YEAR(FM$3)-YEAR($B$9))+MONTH(FM$3)-MONTH($B$9))+1)/MAX(1,'Вводные'!$K$28)&lt;=0.2,0.6,IF(((12*(YEAR(FM$3)-YEAR($B$9))+MONTH(FM$3)-MONTH($B$9))+1)/MAX(1,'Вводные'!$K$28)&lt;=0.8,1.2,0.8)))</x:f>
      </x:c>
      <x:c r="FN15" t="n">
        <x:f>IF(FN14=0,0,IF(((12*(YEAR(FN$3)-YEAR($B$9))+MONTH(FN$3)-MONTH($B$9))+1)/MAX(1,'Вводные'!$K$28)&lt;=0.2,0.6,IF(((12*(YEAR(FN$3)-YEAR($B$9))+MONTH(FN$3)-MONTH($B$9))+1)/MAX(1,'Вводные'!$K$28)&lt;=0.8,1.2,0.8)))</x:f>
      </x:c>
      <x:c r="FO15" t="n">
        <x:f>IF(FO14=0,0,IF(((12*(YEAR(FO$3)-YEAR($B$9))+MONTH(FO$3)-MONTH($B$9))+1)/MAX(1,'Вводные'!$K$28)&lt;=0.2,0.6,IF(((12*(YEAR(FO$3)-YEAR($B$9))+MONTH(FO$3)-MONTH($B$9))+1)/MAX(1,'Вводные'!$K$28)&lt;=0.8,1.2,0.8)))</x:f>
      </x:c>
      <x:c r="FP15" t="n">
        <x:f>IF(FP14=0,0,IF(((12*(YEAR(FP$3)-YEAR($B$9))+MONTH(FP$3)-MONTH($B$9))+1)/MAX(1,'Вводные'!$K$28)&lt;=0.2,0.6,IF(((12*(YEAR(FP$3)-YEAR($B$9))+MONTH(FP$3)-MONTH($B$9))+1)/MAX(1,'Вводные'!$K$28)&lt;=0.8,1.2,0.8)))</x:f>
      </x:c>
      <x:c r="FQ15" t="n">
        <x:f>IF(FQ14=0,0,IF(((12*(YEAR(FQ$3)-YEAR($B$9))+MONTH(FQ$3)-MONTH($B$9))+1)/MAX(1,'Вводные'!$K$28)&lt;=0.2,0.6,IF(((12*(YEAR(FQ$3)-YEAR($B$9))+MONTH(FQ$3)-MONTH($B$9))+1)/MAX(1,'Вводные'!$K$28)&lt;=0.8,1.2,0.8)))</x:f>
      </x:c>
      <x:c r="FR15" t="n">
        <x:f>IF(FR14=0,0,IF(((12*(YEAR(FR$3)-YEAR($B$9))+MONTH(FR$3)-MONTH($B$9))+1)/MAX(1,'Вводные'!$K$28)&lt;=0.2,0.6,IF(((12*(YEAR(FR$3)-YEAR($B$9))+MONTH(FR$3)-MONTH($B$9))+1)/MAX(1,'Вводные'!$K$28)&lt;=0.8,1.2,0.8)))</x:f>
      </x:c>
      <x:c r="FS15" t="n">
        <x:f>IF(FS14=0,0,IF(((12*(YEAR(FS$3)-YEAR($B$9))+MONTH(FS$3)-MONTH($B$9))+1)/MAX(1,'Вводные'!$K$28)&lt;=0.2,0.6,IF(((12*(YEAR(FS$3)-YEAR($B$9))+MONTH(FS$3)-MONTH($B$9))+1)/MAX(1,'Вводные'!$K$28)&lt;=0.8,1.2,0.8)))</x:f>
      </x:c>
      <x:c r="FT15" t="n">
        <x:f>IF(FT14=0,0,IF(((12*(YEAR(FT$3)-YEAR($B$9))+MONTH(FT$3)-MONTH($B$9))+1)/MAX(1,'Вводные'!$K$28)&lt;=0.2,0.6,IF(((12*(YEAR(FT$3)-YEAR($B$9))+MONTH(FT$3)-MONTH($B$9))+1)/MAX(1,'Вводные'!$K$28)&lt;=0.8,1.2,0.8)))</x:f>
      </x:c>
      <x:c r="FU15" t="n">
        <x:f>IF(FU14=0,0,IF(((12*(YEAR(FU$3)-YEAR($B$9))+MONTH(FU$3)-MONTH($B$9))+1)/MAX(1,'Вводные'!$K$28)&lt;=0.2,0.6,IF(((12*(YEAR(FU$3)-YEAR($B$9))+MONTH(FU$3)-MONTH($B$9))+1)/MAX(1,'Вводные'!$K$28)&lt;=0.8,1.2,0.8)))</x:f>
      </x:c>
      <x:c r="FV15" t="n">
        <x:f>IF(FV14=0,0,IF(((12*(YEAR(FV$3)-YEAR($B$9))+MONTH(FV$3)-MONTH($B$9))+1)/MAX(1,'Вводные'!$K$28)&lt;=0.2,0.6,IF(((12*(YEAR(FV$3)-YEAR($B$9))+MONTH(FV$3)-MONTH($B$9))+1)/MAX(1,'Вводные'!$K$28)&lt;=0.8,1.2,0.8)))</x:f>
      </x:c>
      <x:c r="FW15" t="n">
        <x:f>IF(FW14=0,0,IF(((12*(YEAR(FW$3)-YEAR($B$9))+MONTH(FW$3)-MONTH($B$9))+1)/MAX(1,'Вводные'!$K$28)&lt;=0.2,0.6,IF(((12*(YEAR(FW$3)-YEAR($B$9))+MONTH(FW$3)-MONTH($B$9))+1)/MAX(1,'Вводные'!$K$28)&lt;=0.8,1.2,0.8)))</x:f>
      </x:c>
      <x:c r="FX15" t="n">
        <x:f>IF(FX14=0,0,IF(((12*(YEAR(FX$3)-YEAR($B$9))+MONTH(FX$3)-MONTH($B$9))+1)/MAX(1,'Вводные'!$K$28)&lt;=0.2,0.6,IF(((12*(YEAR(FX$3)-YEAR($B$9))+MONTH(FX$3)-MONTH($B$9))+1)/MAX(1,'Вводные'!$K$28)&lt;=0.8,1.2,0.8)))</x:f>
      </x:c>
      <x:c r="FY15" t="n">
        <x:f>IF(FY14=0,0,IF(((12*(YEAR(FY$3)-YEAR($B$9))+MONTH(FY$3)-MONTH($B$9))+1)/MAX(1,'Вводные'!$K$28)&lt;=0.2,0.6,IF(((12*(YEAR(FY$3)-YEAR($B$9))+MONTH(FY$3)-MONTH($B$9))+1)/MAX(1,'Вводные'!$K$28)&lt;=0.8,1.2,0.8)))</x:f>
      </x:c>
      <x:c r="FZ15" t="n">
        <x:f>IF(FZ14=0,0,IF(((12*(YEAR(FZ$3)-YEAR($B$9))+MONTH(FZ$3)-MONTH($B$9))+1)/MAX(1,'Вводные'!$K$28)&lt;=0.2,0.6,IF(((12*(YEAR(FZ$3)-YEAR($B$9))+MONTH(FZ$3)-MONTH($B$9))+1)/MAX(1,'Вводные'!$K$28)&lt;=0.8,1.2,0.8)))</x:f>
      </x:c>
      <x:c r="GA15" t="n">
        <x:f>IF(GA14=0,0,IF(((12*(YEAR(GA$3)-YEAR($B$9))+MONTH(GA$3)-MONTH($B$9))+1)/MAX(1,'Вводные'!$K$28)&lt;=0.2,0.6,IF(((12*(YEAR(GA$3)-YEAR($B$9))+MONTH(GA$3)-MONTH($B$9))+1)/MAX(1,'Вводные'!$K$28)&lt;=0.8,1.2,0.8)))</x:f>
      </x:c>
    </x:row>
    <x:row r="16">
      <x:c r="A16" t="str">
        <x:v>Нормированный вес строительства</x:v>
      </x:c>
      <x:c r="B16" s="35" t="n">
        <x:f>SUM(D16:GA16)</x:f>
      </x:c>
      <x:c r="C16" t="str">
        <x:v>%</x:v>
      </x:c>
      <x:c r="D16" s="35" t="n">
        <x:f>IFERROR(D15/SUM($D15:$GA15),0)</x:f>
      </x:c>
      <x:c r="E16" s="35" t="n">
        <x:f>IFERROR(E15/SUM($D15:$GA15),0)</x:f>
      </x:c>
      <x:c r="F16" s="35" t="n">
        <x:f>IFERROR(F15/SUM($D15:$GA15),0)</x:f>
      </x:c>
      <x:c r="G16" s="35" t="n">
        <x:f>IFERROR(G15/SUM($D15:$GA15),0)</x:f>
      </x:c>
      <x:c r="H16" s="35" t="n">
        <x:f>IFERROR(H15/SUM($D15:$GA15),0)</x:f>
      </x:c>
      <x:c r="I16" s="35" t="n">
        <x:f>IFERROR(I15/SUM($D15:$GA15),0)</x:f>
      </x:c>
      <x:c r="J16" s="35" t="n">
        <x:f>IFERROR(J15/SUM($D15:$GA15),0)</x:f>
      </x:c>
      <x:c r="K16" s="35" t="n">
        <x:f>IFERROR(K15/SUM($D15:$GA15),0)</x:f>
      </x:c>
      <x:c r="L16" s="35" t="n">
        <x:f>IFERROR(L15/SUM($D15:$GA15),0)</x:f>
      </x:c>
      <x:c r="M16" s="35" t="n">
        <x:f>IFERROR(M15/SUM($D15:$GA15),0)</x:f>
      </x:c>
      <x:c r="N16" s="35" t="n">
        <x:f>IFERROR(N15/SUM($D15:$GA15),0)</x:f>
      </x:c>
      <x:c r="O16" s="35" t="n">
        <x:f>IFERROR(O15/SUM($D15:$GA15),0)</x:f>
      </x:c>
      <x:c r="P16" s="35" t="n">
        <x:f>IFERROR(P15/SUM($D15:$GA15),0)</x:f>
      </x:c>
      <x:c r="Q16" s="35" t="n">
        <x:f>IFERROR(Q15/SUM($D15:$GA15),0)</x:f>
      </x:c>
      <x:c r="R16" s="35" t="n">
        <x:f>IFERROR(R15/SUM($D15:$GA15),0)</x:f>
      </x:c>
      <x:c r="S16" s="35" t="n">
        <x:f>IFERROR(S15/SUM($D15:$GA15),0)</x:f>
      </x:c>
      <x:c r="T16" s="35" t="n">
        <x:f>IFERROR(T15/SUM($D15:$GA15),0)</x:f>
      </x:c>
      <x:c r="U16" s="35" t="n">
        <x:f>IFERROR(U15/SUM($D15:$GA15),0)</x:f>
      </x:c>
      <x:c r="V16" s="35" t="n">
        <x:f>IFERROR(V15/SUM($D15:$GA15),0)</x:f>
      </x:c>
      <x:c r="W16" s="35" t="n">
        <x:f>IFERROR(W15/SUM($D15:$GA15),0)</x:f>
      </x:c>
      <x:c r="X16" s="35" t="n">
        <x:f>IFERROR(X15/SUM($D15:$GA15),0)</x:f>
      </x:c>
      <x:c r="Y16" s="35" t="n">
        <x:f>IFERROR(Y15/SUM($D15:$GA15),0)</x:f>
      </x:c>
      <x:c r="Z16" s="35" t="n">
        <x:f>IFERROR(Z15/SUM($D15:$GA15),0)</x:f>
      </x:c>
      <x:c r="AA16" s="35" t="n">
        <x:f>IFERROR(AA15/SUM($D15:$GA15),0)</x:f>
      </x:c>
      <x:c r="AB16" s="35" t="n">
        <x:f>IFERROR(AB15/SUM($D15:$GA15),0)</x:f>
      </x:c>
      <x:c r="AC16" s="35" t="n">
        <x:f>IFERROR(AC15/SUM($D15:$GA15),0)</x:f>
      </x:c>
      <x:c r="AD16" s="35" t="n">
        <x:f>IFERROR(AD15/SUM($D15:$GA15),0)</x:f>
      </x:c>
      <x:c r="AE16" s="35" t="n">
        <x:f>IFERROR(AE15/SUM($D15:$GA15),0)</x:f>
      </x:c>
      <x:c r="AF16" s="35" t="n">
        <x:f>IFERROR(AF15/SUM($D15:$GA15),0)</x:f>
      </x:c>
      <x:c r="AG16" s="35" t="n">
        <x:f>IFERROR(AG15/SUM($D15:$GA15),0)</x:f>
      </x:c>
      <x:c r="AH16" s="35" t="n">
        <x:f>IFERROR(AH15/SUM($D15:$GA15),0)</x:f>
      </x:c>
      <x:c r="AI16" s="35" t="n">
        <x:f>IFERROR(AI15/SUM($D15:$GA15),0)</x:f>
      </x:c>
      <x:c r="AJ16" s="35" t="n">
        <x:f>IFERROR(AJ15/SUM($D15:$GA15),0)</x:f>
      </x:c>
      <x:c r="AK16" s="35" t="n">
        <x:f>IFERROR(AK15/SUM($D15:$GA15),0)</x:f>
      </x:c>
      <x:c r="AL16" s="35" t="n">
        <x:f>IFERROR(AL15/SUM($D15:$GA15),0)</x:f>
      </x:c>
      <x:c r="AM16" s="35" t="n">
        <x:f>IFERROR(AM15/SUM($D15:$GA15),0)</x:f>
      </x:c>
      <x:c r="AN16" s="35" t="n">
        <x:f>IFERROR(AN15/SUM($D15:$GA15),0)</x:f>
      </x:c>
      <x:c r="AO16" s="35" t="n">
        <x:f>IFERROR(AO15/SUM($D15:$GA15),0)</x:f>
      </x:c>
      <x:c r="AP16" s="35" t="n">
        <x:f>IFERROR(AP15/SUM($D15:$GA15),0)</x:f>
      </x:c>
      <x:c r="AQ16" s="35" t="n">
        <x:f>IFERROR(AQ15/SUM($D15:$GA15),0)</x:f>
      </x:c>
      <x:c r="AR16" s="35" t="n">
        <x:f>IFERROR(AR15/SUM($D15:$GA15),0)</x:f>
      </x:c>
      <x:c r="AS16" s="35" t="n">
        <x:f>IFERROR(AS15/SUM($D15:$GA15),0)</x:f>
      </x:c>
      <x:c r="AT16" s="35" t="n">
        <x:f>IFERROR(AT15/SUM($D15:$GA15),0)</x:f>
      </x:c>
      <x:c r="AU16" s="35" t="n">
        <x:f>IFERROR(AU15/SUM($D15:$GA15),0)</x:f>
      </x:c>
      <x:c r="AV16" s="35" t="n">
        <x:f>IFERROR(AV15/SUM($D15:$GA15),0)</x:f>
      </x:c>
      <x:c r="AW16" s="35" t="n">
        <x:f>IFERROR(AW15/SUM($D15:$GA15),0)</x:f>
      </x:c>
      <x:c r="AX16" s="35" t="n">
        <x:f>IFERROR(AX15/SUM($D15:$GA15),0)</x:f>
      </x:c>
      <x:c r="AY16" s="35" t="n">
        <x:f>IFERROR(AY15/SUM($D15:$GA15),0)</x:f>
      </x:c>
      <x:c r="AZ16" s="35" t="n">
        <x:f>IFERROR(AZ15/SUM($D15:$GA15),0)</x:f>
      </x:c>
      <x:c r="BA16" s="35" t="n">
        <x:f>IFERROR(BA15/SUM($D15:$GA15),0)</x:f>
      </x:c>
      <x:c r="BB16" s="35" t="n">
        <x:f>IFERROR(BB15/SUM($D15:$GA15),0)</x:f>
      </x:c>
      <x:c r="BC16" s="35" t="n">
        <x:f>IFERROR(BC15/SUM($D15:$GA15),0)</x:f>
      </x:c>
      <x:c r="BD16" s="35" t="n">
        <x:f>IFERROR(BD15/SUM($D15:$GA15),0)</x:f>
      </x:c>
      <x:c r="BE16" s="35" t="n">
        <x:f>IFERROR(BE15/SUM($D15:$GA15),0)</x:f>
      </x:c>
      <x:c r="BF16" s="35" t="n">
        <x:f>IFERROR(BF15/SUM($D15:$GA15),0)</x:f>
      </x:c>
      <x:c r="BG16" s="35" t="n">
        <x:f>IFERROR(BG15/SUM($D15:$GA15),0)</x:f>
      </x:c>
      <x:c r="BH16" s="35" t="n">
        <x:f>IFERROR(BH15/SUM($D15:$GA15),0)</x:f>
      </x:c>
      <x:c r="BI16" s="35" t="n">
        <x:f>IFERROR(BI15/SUM($D15:$GA15),0)</x:f>
      </x:c>
      <x:c r="BJ16" s="35" t="n">
        <x:f>IFERROR(BJ15/SUM($D15:$GA15),0)</x:f>
      </x:c>
      <x:c r="BK16" s="35" t="n">
        <x:f>IFERROR(BK15/SUM($D15:$GA15),0)</x:f>
      </x:c>
      <x:c r="BL16" s="35" t="n">
        <x:f>IFERROR(BL15/SUM($D15:$GA15),0)</x:f>
      </x:c>
      <x:c r="BM16" s="35" t="n">
        <x:f>IFERROR(BM15/SUM($D15:$GA15),0)</x:f>
      </x:c>
      <x:c r="BN16" s="35" t="n">
        <x:f>IFERROR(BN15/SUM($D15:$GA15),0)</x:f>
      </x:c>
      <x:c r="BO16" s="35" t="n">
        <x:f>IFERROR(BO15/SUM($D15:$GA15),0)</x:f>
      </x:c>
      <x:c r="BP16" s="35" t="n">
        <x:f>IFERROR(BP15/SUM($D15:$GA15),0)</x:f>
      </x:c>
      <x:c r="BQ16" s="35" t="n">
        <x:f>IFERROR(BQ15/SUM($D15:$GA15),0)</x:f>
      </x:c>
      <x:c r="BR16" s="35" t="n">
        <x:f>IFERROR(BR15/SUM($D15:$GA15),0)</x:f>
      </x:c>
      <x:c r="BS16" s="35" t="n">
        <x:f>IFERROR(BS15/SUM($D15:$GA15),0)</x:f>
      </x:c>
      <x:c r="BT16" s="35" t="n">
        <x:f>IFERROR(BT15/SUM($D15:$GA15),0)</x:f>
      </x:c>
      <x:c r="BU16" s="35" t="n">
        <x:f>IFERROR(BU15/SUM($D15:$GA15),0)</x:f>
      </x:c>
      <x:c r="BV16" s="35" t="n">
        <x:f>IFERROR(BV15/SUM($D15:$GA15),0)</x:f>
      </x:c>
      <x:c r="BW16" s="35" t="n">
        <x:f>IFERROR(BW15/SUM($D15:$GA15),0)</x:f>
      </x:c>
      <x:c r="BX16" s="35" t="n">
        <x:f>IFERROR(BX15/SUM($D15:$GA15),0)</x:f>
      </x:c>
      <x:c r="BY16" s="35" t="n">
        <x:f>IFERROR(BY15/SUM($D15:$GA15),0)</x:f>
      </x:c>
      <x:c r="BZ16" s="35" t="n">
        <x:f>IFERROR(BZ15/SUM($D15:$GA15),0)</x:f>
      </x:c>
      <x:c r="CA16" s="35" t="n">
        <x:f>IFERROR(CA15/SUM($D15:$GA15),0)</x:f>
      </x:c>
      <x:c r="CB16" s="35" t="n">
        <x:f>IFERROR(CB15/SUM($D15:$GA15),0)</x:f>
      </x:c>
      <x:c r="CC16" s="35" t="n">
        <x:f>IFERROR(CC15/SUM($D15:$GA15),0)</x:f>
      </x:c>
      <x:c r="CD16" s="35" t="n">
        <x:f>IFERROR(CD15/SUM($D15:$GA15),0)</x:f>
      </x:c>
      <x:c r="CE16" s="35" t="n">
        <x:f>IFERROR(CE15/SUM($D15:$GA15),0)</x:f>
      </x:c>
      <x:c r="CF16" s="35" t="n">
        <x:f>IFERROR(CF15/SUM($D15:$GA15),0)</x:f>
      </x:c>
      <x:c r="CG16" s="35" t="n">
        <x:f>IFERROR(CG15/SUM($D15:$GA15),0)</x:f>
      </x:c>
      <x:c r="CH16" s="35" t="n">
        <x:f>IFERROR(CH15/SUM($D15:$GA15),0)</x:f>
      </x:c>
      <x:c r="CI16" s="35" t="n">
        <x:f>IFERROR(CI15/SUM($D15:$GA15),0)</x:f>
      </x:c>
      <x:c r="CJ16" s="35" t="n">
        <x:f>IFERROR(CJ15/SUM($D15:$GA15),0)</x:f>
      </x:c>
      <x:c r="CK16" s="35" t="n">
        <x:f>IFERROR(CK15/SUM($D15:$GA15),0)</x:f>
      </x:c>
      <x:c r="CL16" s="35" t="n">
        <x:f>IFERROR(CL15/SUM($D15:$GA15),0)</x:f>
      </x:c>
      <x:c r="CM16" s="35" t="n">
        <x:f>IFERROR(CM15/SUM($D15:$GA15),0)</x:f>
      </x:c>
      <x:c r="CN16" s="35" t="n">
        <x:f>IFERROR(CN15/SUM($D15:$GA15),0)</x:f>
      </x:c>
      <x:c r="CO16" s="35" t="n">
        <x:f>IFERROR(CO15/SUM($D15:$GA15),0)</x:f>
      </x:c>
      <x:c r="CP16" s="35" t="n">
        <x:f>IFERROR(CP15/SUM($D15:$GA15),0)</x:f>
      </x:c>
      <x:c r="CQ16" s="35" t="n">
        <x:f>IFERROR(CQ15/SUM($D15:$GA15),0)</x:f>
      </x:c>
      <x:c r="CR16" s="35" t="n">
        <x:f>IFERROR(CR15/SUM($D15:$GA15),0)</x:f>
      </x:c>
      <x:c r="CS16" s="35" t="n">
        <x:f>IFERROR(CS15/SUM($D15:$GA15),0)</x:f>
      </x:c>
      <x:c r="CT16" s="35" t="n">
        <x:f>IFERROR(CT15/SUM($D15:$GA15),0)</x:f>
      </x:c>
      <x:c r="CU16" s="35" t="n">
        <x:f>IFERROR(CU15/SUM($D15:$GA15),0)</x:f>
      </x:c>
      <x:c r="CV16" s="35" t="n">
        <x:f>IFERROR(CV15/SUM($D15:$GA15),0)</x:f>
      </x:c>
      <x:c r="CW16" s="35" t="n">
        <x:f>IFERROR(CW15/SUM($D15:$GA15),0)</x:f>
      </x:c>
      <x:c r="CX16" s="35" t="n">
        <x:f>IFERROR(CX15/SUM($D15:$GA15),0)</x:f>
      </x:c>
      <x:c r="CY16" s="35" t="n">
        <x:f>IFERROR(CY15/SUM($D15:$GA15),0)</x:f>
      </x:c>
      <x:c r="CZ16" s="35" t="n">
        <x:f>IFERROR(CZ15/SUM($D15:$GA15),0)</x:f>
      </x:c>
      <x:c r="DA16" s="35" t="n">
        <x:f>IFERROR(DA15/SUM($D15:$GA15),0)</x:f>
      </x:c>
      <x:c r="DB16" s="35" t="n">
        <x:f>IFERROR(DB15/SUM($D15:$GA15),0)</x:f>
      </x:c>
      <x:c r="DC16" s="35" t="n">
        <x:f>IFERROR(DC15/SUM($D15:$GA15),0)</x:f>
      </x:c>
      <x:c r="DD16" s="35" t="n">
        <x:f>IFERROR(DD15/SUM($D15:$GA15),0)</x:f>
      </x:c>
      <x:c r="DE16" s="35" t="n">
        <x:f>IFERROR(DE15/SUM($D15:$GA15),0)</x:f>
      </x:c>
      <x:c r="DF16" s="35" t="n">
        <x:f>IFERROR(DF15/SUM($D15:$GA15),0)</x:f>
      </x:c>
      <x:c r="DG16" s="35" t="n">
        <x:f>IFERROR(DG15/SUM($D15:$GA15),0)</x:f>
      </x:c>
      <x:c r="DH16" s="35" t="n">
        <x:f>IFERROR(DH15/SUM($D15:$GA15),0)</x:f>
      </x:c>
      <x:c r="DI16" s="35" t="n">
        <x:f>IFERROR(DI15/SUM($D15:$GA15),0)</x:f>
      </x:c>
      <x:c r="DJ16" s="35" t="n">
        <x:f>IFERROR(DJ15/SUM($D15:$GA15),0)</x:f>
      </x:c>
      <x:c r="DK16" s="35" t="n">
        <x:f>IFERROR(DK15/SUM($D15:$GA15),0)</x:f>
      </x:c>
      <x:c r="DL16" s="35" t="n">
        <x:f>IFERROR(DL15/SUM($D15:$GA15),0)</x:f>
      </x:c>
      <x:c r="DM16" s="35" t="n">
        <x:f>IFERROR(DM15/SUM($D15:$GA15),0)</x:f>
      </x:c>
      <x:c r="DN16" s="35" t="n">
        <x:f>IFERROR(DN15/SUM($D15:$GA15),0)</x:f>
      </x:c>
      <x:c r="DO16" s="35" t="n">
        <x:f>IFERROR(DO15/SUM($D15:$GA15),0)</x:f>
      </x:c>
      <x:c r="DP16" s="35" t="n">
        <x:f>IFERROR(DP15/SUM($D15:$GA15),0)</x:f>
      </x:c>
      <x:c r="DQ16" s="35" t="n">
        <x:f>IFERROR(DQ15/SUM($D15:$GA15),0)</x:f>
      </x:c>
      <x:c r="DR16" s="35" t="n">
        <x:f>IFERROR(DR15/SUM($D15:$GA15),0)</x:f>
      </x:c>
      <x:c r="DS16" s="35" t="n">
        <x:f>IFERROR(DS15/SUM($D15:$GA15),0)</x:f>
      </x:c>
      <x:c r="DT16" s="35" t="n">
        <x:f>IFERROR(DT15/SUM($D15:$GA15),0)</x:f>
      </x:c>
      <x:c r="DU16" s="35" t="n">
        <x:f>IFERROR(DU15/SUM($D15:$GA15),0)</x:f>
      </x:c>
      <x:c r="DV16" s="35" t="n">
        <x:f>IFERROR(DV15/SUM($D15:$GA15),0)</x:f>
      </x:c>
      <x:c r="DW16" s="35" t="n">
        <x:f>IFERROR(DW15/SUM($D15:$GA15),0)</x:f>
      </x:c>
      <x:c r="DX16" s="35" t="n">
        <x:f>IFERROR(DX15/SUM($D15:$GA15),0)</x:f>
      </x:c>
      <x:c r="DY16" s="35" t="n">
        <x:f>IFERROR(DY15/SUM($D15:$GA15),0)</x:f>
      </x:c>
      <x:c r="DZ16" s="35" t="n">
        <x:f>IFERROR(DZ15/SUM($D15:$GA15),0)</x:f>
      </x:c>
      <x:c r="EA16" s="35" t="n">
        <x:f>IFERROR(EA15/SUM($D15:$GA15),0)</x:f>
      </x:c>
      <x:c r="EB16" s="35" t="n">
        <x:f>IFERROR(EB15/SUM($D15:$GA15),0)</x:f>
      </x:c>
      <x:c r="EC16" s="35" t="n">
        <x:f>IFERROR(EC15/SUM($D15:$GA15),0)</x:f>
      </x:c>
      <x:c r="ED16" s="35" t="n">
        <x:f>IFERROR(ED15/SUM($D15:$GA15),0)</x:f>
      </x:c>
      <x:c r="EE16" s="35" t="n">
        <x:f>IFERROR(EE15/SUM($D15:$GA15),0)</x:f>
      </x:c>
      <x:c r="EF16" s="35" t="n">
        <x:f>IFERROR(EF15/SUM($D15:$GA15),0)</x:f>
      </x:c>
      <x:c r="EG16" s="35" t="n">
        <x:f>IFERROR(EG15/SUM($D15:$GA15),0)</x:f>
      </x:c>
      <x:c r="EH16" s="35" t="n">
        <x:f>IFERROR(EH15/SUM($D15:$GA15),0)</x:f>
      </x:c>
      <x:c r="EI16" s="35" t="n">
        <x:f>IFERROR(EI15/SUM($D15:$GA15),0)</x:f>
      </x:c>
      <x:c r="EJ16" s="35" t="n">
        <x:f>IFERROR(EJ15/SUM($D15:$GA15),0)</x:f>
      </x:c>
      <x:c r="EK16" s="35" t="n">
        <x:f>IFERROR(EK15/SUM($D15:$GA15),0)</x:f>
      </x:c>
      <x:c r="EL16" s="35" t="n">
        <x:f>IFERROR(EL15/SUM($D15:$GA15),0)</x:f>
      </x:c>
      <x:c r="EM16" s="35" t="n">
        <x:f>IFERROR(EM15/SUM($D15:$GA15),0)</x:f>
      </x:c>
      <x:c r="EN16" s="35" t="n">
        <x:f>IFERROR(EN15/SUM($D15:$GA15),0)</x:f>
      </x:c>
      <x:c r="EO16" s="35" t="n">
        <x:f>IFERROR(EO15/SUM($D15:$GA15),0)</x:f>
      </x:c>
      <x:c r="EP16" s="35" t="n">
        <x:f>IFERROR(EP15/SUM($D15:$GA15),0)</x:f>
      </x:c>
      <x:c r="EQ16" s="35" t="n">
        <x:f>IFERROR(EQ15/SUM($D15:$GA15),0)</x:f>
      </x:c>
      <x:c r="ER16" s="35" t="n">
        <x:f>IFERROR(ER15/SUM($D15:$GA15),0)</x:f>
      </x:c>
      <x:c r="ES16" s="35" t="n">
        <x:f>IFERROR(ES15/SUM($D15:$GA15),0)</x:f>
      </x:c>
      <x:c r="ET16" s="35" t="n">
        <x:f>IFERROR(ET15/SUM($D15:$GA15),0)</x:f>
      </x:c>
      <x:c r="EU16" s="35" t="n">
        <x:f>IFERROR(EU15/SUM($D15:$GA15),0)</x:f>
      </x:c>
      <x:c r="EV16" s="35" t="n">
        <x:f>IFERROR(EV15/SUM($D15:$GA15),0)</x:f>
      </x:c>
      <x:c r="EW16" s="35" t="n">
        <x:f>IFERROR(EW15/SUM($D15:$GA15),0)</x:f>
      </x:c>
      <x:c r="EX16" s="35" t="n">
        <x:f>IFERROR(EX15/SUM($D15:$GA15),0)</x:f>
      </x:c>
      <x:c r="EY16" s="35" t="n">
        <x:f>IFERROR(EY15/SUM($D15:$GA15),0)</x:f>
      </x:c>
      <x:c r="EZ16" s="35" t="n">
        <x:f>IFERROR(EZ15/SUM($D15:$GA15),0)</x:f>
      </x:c>
      <x:c r="FA16" s="35" t="n">
        <x:f>IFERROR(FA15/SUM($D15:$GA15),0)</x:f>
      </x:c>
      <x:c r="FB16" s="35" t="n">
        <x:f>IFERROR(FB15/SUM($D15:$GA15),0)</x:f>
      </x:c>
      <x:c r="FC16" s="35" t="n">
        <x:f>IFERROR(FC15/SUM($D15:$GA15),0)</x:f>
      </x:c>
      <x:c r="FD16" s="35" t="n">
        <x:f>IFERROR(FD15/SUM($D15:$GA15),0)</x:f>
      </x:c>
      <x:c r="FE16" s="35" t="n">
        <x:f>IFERROR(FE15/SUM($D15:$GA15),0)</x:f>
      </x:c>
      <x:c r="FF16" s="35" t="n">
        <x:f>IFERROR(FF15/SUM($D15:$GA15),0)</x:f>
      </x:c>
      <x:c r="FG16" s="35" t="n">
        <x:f>IFERROR(FG15/SUM($D15:$GA15),0)</x:f>
      </x:c>
      <x:c r="FH16" s="35" t="n">
        <x:f>IFERROR(FH15/SUM($D15:$GA15),0)</x:f>
      </x:c>
      <x:c r="FI16" s="35" t="n">
        <x:f>IFERROR(FI15/SUM($D15:$GA15),0)</x:f>
      </x:c>
      <x:c r="FJ16" s="35" t="n">
        <x:f>IFERROR(FJ15/SUM($D15:$GA15),0)</x:f>
      </x:c>
      <x:c r="FK16" s="35" t="n">
        <x:f>IFERROR(FK15/SUM($D15:$GA15),0)</x:f>
      </x:c>
      <x:c r="FL16" s="35" t="n">
        <x:f>IFERROR(FL15/SUM($D15:$GA15),0)</x:f>
      </x:c>
      <x:c r="FM16" s="35" t="n">
        <x:f>IFERROR(FM15/SUM($D15:$GA15),0)</x:f>
      </x:c>
      <x:c r="FN16" s="35" t="n">
        <x:f>IFERROR(FN15/SUM($D15:$GA15),0)</x:f>
      </x:c>
      <x:c r="FO16" s="35" t="n">
        <x:f>IFERROR(FO15/SUM($D15:$GA15),0)</x:f>
      </x:c>
      <x:c r="FP16" s="35" t="n">
        <x:f>IFERROR(FP15/SUM($D15:$GA15),0)</x:f>
      </x:c>
      <x:c r="FQ16" s="35" t="n">
        <x:f>IFERROR(FQ15/SUM($D15:$GA15),0)</x:f>
      </x:c>
      <x:c r="FR16" s="35" t="n">
        <x:f>IFERROR(FR15/SUM($D15:$GA15),0)</x:f>
      </x:c>
      <x:c r="FS16" s="35" t="n">
        <x:f>IFERROR(FS15/SUM($D15:$GA15),0)</x:f>
      </x:c>
      <x:c r="FT16" s="35" t="n">
        <x:f>IFERROR(FT15/SUM($D15:$GA15),0)</x:f>
      </x:c>
      <x:c r="FU16" s="35" t="n">
        <x:f>IFERROR(FU15/SUM($D15:$GA15),0)</x:f>
      </x:c>
      <x:c r="FV16" s="35" t="n">
        <x:f>IFERROR(FV15/SUM($D15:$GA15),0)</x:f>
      </x:c>
      <x:c r="FW16" s="35" t="n">
        <x:f>IFERROR(FW15/SUM($D15:$GA15),0)</x:f>
      </x:c>
      <x:c r="FX16" s="35" t="n">
        <x:f>IFERROR(FX15/SUM($D15:$GA15),0)</x:f>
      </x:c>
      <x:c r="FY16" s="35" t="n">
        <x:f>IFERROR(FY15/SUM($D15:$GA15),0)</x:f>
      </x:c>
      <x:c r="FZ16" s="35" t="n">
        <x:f>IFERROR(FZ15/SUM($D15:$GA15),0)</x:f>
      </x:c>
      <x:c r="GA16" s="35" t="n">
        <x:f>IFERROR(GA15/SUM($D15:$GA15),0)</x:f>
      </x:c>
    </x:row>
    <x:row r="17">
      <x:c r="A17" t="str">
        <x:v>Флаг продаж до РВЭ</x:v>
      </x:c>
      <x:c r="B17" s="35"/>
      <x:c r="C17" t="str">
        <x:v>0 / 1</x:v>
      </x:c>
      <x:c r="D17" s="35" t="n">
        <x:f>--AND(D$3&gt;=$B$11,D$3&lt;$B$10,D$3&lt;EDATE($B$11,MAX(1,'Вводные'!$K$33)),AND($B$7="Да",IFERROR(INDEX('Вводные'!$B$88:$B$91,$B$8),"Нет")="Да"))</x:f>
      </x:c>
      <x:c r="E17" s="35" t="n">
        <x:f>--AND(E$3&gt;=$B$11,E$3&lt;$B$10,E$3&lt;EDATE($B$11,MAX(1,'Вводные'!$K$33)),AND($B$7="Да",IFERROR(INDEX('Вводные'!$B$88:$B$91,$B$8),"Нет")="Да"))</x:f>
      </x:c>
      <x:c r="F17" s="35" t="n">
        <x:f>--AND(F$3&gt;=$B$11,F$3&lt;$B$10,F$3&lt;EDATE($B$11,MAX(1,'Вводные'!$K$33)),AND($B$7="Да",IFERROR(INDEX('Вводные'!$B$88:$B$91,$B$8),"Нет")="Да"))</x:f>
      </x:c>
      <x:c r="G17" s="35" t="n">
        <x:f>--AND(G$3&gt;=$B$11,G$3&lt;$B$10,G$3&lt;EDATE($B$11,MAX(1,'Вводные'!$K$33)),AND($B$7="Да",IFERROR(INDEX('Вводные'!$B$88:$B$91,$B$8),"Нет")="Да"))</x:f>
      </x:c>
      <x:c r="H17" s="35" t="n">
        <x:f>--AND(H$3&gt;=$B$11,H$3&lt;$B$10,H$3&lt;EDATE($B$11,MAX(1,'Вводные'!$K$33)),AND($B$7="Да",IFERROR(INDEX('Вводные'!$B$88:$B$91,$B$8),"Нет")="Да"))</x:f>
      </x:c>
      <x:c r="I17" s="35" t="n">
        <x:f>--AND(I$3&gt;=$B$11,I$3&lt;$B$10,I$3&lt;EDATE($B$11,MAX(1,'Вводные'!$K$33)),AND($B$7="Да",IFERROR(INDEX('Вводные'!$B$88:$B$91,$B$8),"Нет")="Да"))</x:f>
      </x:c>
      <x:c r="J17" s="35" t="n">
        <x:f>--AND(J$3&gt;=$B$11,J$3&lt;$B$10,J$3&lt;EDATE($B$11,MAX(1,'Вводные'!$K$33)),AND($B$7="Да",IFERROR(INDEX('Вводные'!$B$88:$B$91,$B$8),"Нет")="Да"))</x:f>
      </x:c>
      <x:c r="K17" s="35" t="n">
        <x:f>--AND(K$3&gt;=$B$11,K$3&lt;$B$10,K$3&lt;EDATE($B$11,MAX(1,'Вводные'!$K$33)),AND($B$7="Да",IFERROR(INDEX('Вводные'!$B$88:$B$91,$B$8),"Нет")="Да"))</x:f>
      </x:c>
      <x:c r="L17" s="35" t="n">
        <x:f>--AND(L$3&gt;=$B$11,L$3&lt;$B$10,L$3&lt;EDATE($B$11,MAX(1,'Вводные'!$K$33)),AND($B$7="Да",IFERROR(INDEX('Вводные'!$B$88:$B$91,$B$8),"Нет")="Да"))</x:f>
      </x:c>
      <x:c r="M17" s="35" t="n">
        <x:f>--AND(M$3&gt;=$B$11,M$3&lt;$B$10,M$3&lt;EDATE($B$11,MAX(1,'Вводные'!$K$33)),AND($B$7="Да",IFERROR(INDEX('Вводные'!$B$88:$B$91,$B$8),"Нет")="Да"))</x:f>
      </x:c>
      <x:c r="N17" s="35" t="n">
        <x:f>--AND(N$3&gt;=$B$11,N$3&lt;$B$10,N$3&lt;EDATE($B$11,MAX(1,'Вводные'!$K$33)),AND($B$7="Да",IFERROR(INDEX('Вводные'!$B$88:$B$91,$B$8),"Нет")="Да"))</x:f>
      </x:c>
      <x:c r="O17" s="35" t="n">
        <x:f>--AND(O$3&gt;=$B$11,O$3&lt;$B$10,O$3&lt;EDATE($B$11,MAX(1,'Вводные'!$K$33)),AND($B$7="Да",IFERROR(INDEX('Вводные'!$B$88:$B$91,$B$8),"Нет")="Да"))</x:f>
      </x:c>
      <x:c r="P17" s="35" t="n">
        <x:f>--AND(P$3&gt;=$B$11,P$3&lt;$B$10,P$3&lt;EDATE($B$11,MAX(1,'Вводные'!$K$33)),AND($B$7="Да",IFERROR(INDEX('Вводные'!$B$88:$B$91,$B$8),"Нет")="Да"))</x:f>
      </x:c>
      <x:c r="Q17" s="35" t="n">
        <x:f>--AND(Q$3&gt;=$B$11,Q$3&lt;$B$10,Q$3&lt;EDATE($B$11,MAX(1,'Вводные'!$K$33)),AND($B$7="Да",IFERROR(INDEX('Вводные'!$B$88:$B$91,$B$8),"Нет")="Да"))</x:f>
      </x:c>
      <x:c r="R17" s="35" t="n">
        <x:f>--AND(R$3&gt;=$B$11,R$3&lt;$B$10,R$3&lt;EDATE($B$11,MAX(1,'Вводные'!$K$33)),AND($B$7="Да",IFERROR(INDEX('Вводные'!$B$88:$B$91,$B$8),"Нет")="Да"))</x:f>
      </x:c>
      <x:c r="S17" s="35" t="n">
        <x:f>--AND(S$3&gt;=$B$11,S$3&lt;$B$10,S$3&lt;EDATE($B$11,MAX(1,'Вводные'!$K$33)),AND($B$7="Да",IFERROR(INDEX('Вводные'!$B$88:$B$91,$B$8),"Нет")="Да"))</x:f>
      </x:c>
      <x:c r="T17" s="35" t="n">
        <x:f>--AND(T$3&gt;=$B$11,T$3&lt;$B$10,T$3&lt;EDATE($B$11,MAX(1,'Вводные'!$K$33)),AND($B$7="Да",IFERROR(INDEX('Вводные'!$B$88:$B$91,$B$8),"Нет")="Да"))</x:f>
      </x:c>
      <x:c r="U17" s="35" t="n">
        <x:f>--AND(U$3&gt;=$B$11,U$3&lt;$B$10,U$3&lt;EDATE($B$11,MAX(1,'Вводные'!$K$33)),AND($B$7="Да",IFERROR(INDEX('Вводные'!$B$88:$B$91,$B$8),"Нет")="Да"))</x:f>
      </x:c>
      <x:c r="V17" s="35" t="n">
        <x:f>--AND(V$3&gt;=$B$11,V$3&lt;$B$10,V$3&lt;EDATE($B$11,MAX(1,'Вводные'!$K$33)),AND($B$7="Да",IFERROR(INDEX('Вводные'!$B$88:$B$91,$B$8),"Нет")="Да"))</x:f>
      </x:c>
      <x:c r="W17" s="35" t="n">
        <x:f>--AND(W$3&gt;=$B$11,W$3&lt;$B$10,W$3&lt;EDATE($B$11,MAX(1,'Вводные'!$K$33)),AND($B$7="Да",IFERROR(INDEX('Вводные'!$B$88:$B$91,$B$8),"Нет")="Да"))</x:f>
      </x:c>
      <x:c r="X17" s="35" t="n">
        <x:f>--AND(X$3&gt;=$B$11,X$3&lt;$B$10,X$3&lt;EDATE($B$11,MAX(1,'Вводные'!$K$33)),AND($B$7="Да",IFERROR(INDEX('Вводные'!$B$88:$B$91,$B$8),"Нет")="Да"))</x:f>
      </x:c>
      <x:c r="Y17" s="35" t="n">
        <x:f>--AND(Y$3&gt;=$B$11,Y$3&lt;$B$10,Y$3&lt;EDATE($B$11,MAX(1,'Вводные'!$K$33)),AND($B$7="Да",IFERROR(INDEX('Вводные'!$B$88:$B$91,$B$8),"Нет")="Да"))</x:f>
      </x:c>
      <x:c r="Z17" s="35" t="n">
        <x:f>--AND(Z$3&gt;=$B$11,Z$3&lt;$B$10,Z$3&lt;EDATE($B$11,MAX(1,'Вводные'!$K$33)),AND($B$7="Да",IFERROR(INDEX('Вводные'!$B$88:$B$91,$B$8),"Нет")="Да"))</x:f>
      </x:c>
      <x:c r="AA17" s="35" t="n">
        <x:f>--AND(AA$3&gt;=$B$11,AA$3&lt;$B$10,AA$3&lt;EDATE($B$11,MAX(1,'Вводные'!$K$33)),AND($B$7="Да",IFERROR(INDEX('Вводные'!$B$88:$B$91,$B$8),"Нет")="Да"))</x:f>
      </x:c>
      <x:c r="AB17" s="35" t="n">
        <x:f>--AND(AB$3&gt;=$B$11,AB$3&lt;$B$10,AB$3&lt;EDATE($B$11,MAX(1,'Вводные'!$K$33)),AND($B$7="Да",IFERROR(INDEX('Вводные'!$B$88:$B$91,$B$8),"Нет")="Да"))</x:f>
      </x:c>
      <x:c r="AC17" s="35" t="n">
        <x:f>--AND(AC$3&gt;=$B$11,AC$3&lt;$B$10,AC$3&lt;EDATE($B$11,MAX(1,'Вводные'!$K$33)),AND($B$7="Да",IFERROR(INDEX('Вводные'!$B$88:$B$91,$B$8),"Нет")="Да"))</x:f>
      </x:c>
      <x:c r="AD17" s="35" t="n">
        <x:f>--AND(AD$3&gt;=$B$11,AD$3&lt;$B$10,AD$3&lt;EDATE($B$11,MAX(1,'Вводные'!$K$33)),AND($B$7="Да",IFERROR(INDEX('Вводные'!$B$88:$B$91,$B$8),"Нет")="Да"))</x:f>
      </x:c>
      <x:c r="AE17" s="35" t="n">
        <x:f>--AND(AE$3&gt;=$B$11,AE$3&lt;$B$10,AE$3&lt;EDATE($B$11,MAX(1,'Вводные'!$K$33)),AND($B$7="Да",IFERROR(INDEX('Вводные'!$B$88:$B$91,$B$8),"Нет")="Да"))</x:f>
      </x:c>
      <x:c r="AF17" s="35" t="n">
        <x:f>--AND(AF$3&gt;=$B$11,AF$3&lt;$B$10,AF$3&lt;EDATE($B$11,MAX(1,'Вводные'!$K$33)),AND($B$7="Да",IFERROR(INDEX('Вводные'!$B$88:$B$91,$B$8),"Нет")="Да"))</x:f>
      </x:c>
      <x:c r="AG17" s="35" t="n">
        <x:f>--AND(AG$3&gt;=$B$11,AG$3&lt;$B$10,AG$3&lt;EDATE($B$11,MAX(1,'Вводные'!$K$33)),AND($B$7="Да",IFERROR(INDEX('Вводные'!$B$88:$B$91,$B$8),"Нет")="Да"))</x:f>
      </x:c>
      <x:c r="AH17" s="35" t="n">
        <x:f>--AND(AH$3&gt;=$B$11,AH$3&lt;$B$10,AH$3&lt;EDATE($B$11,MAX(1,'Вводные'!$K$33)),AND($B$7="Да",IFERROR(INDEX('Вводные'!$B$88:$B$91,$B$8),"Нет")="Да"))</x:f>
      </x:c>
      <x:c r="AI17" s="35" t="n">
        <x:f>--AND(AI$3&gt;=$B$11,AI$3&lt;$B$10,AI$3&lt;EDATE($B$11,MAX(1,'Вводные'!$K$33)),AND($B$7="Да",IFERROR(INDEX('Вводные'!$B$88:$B$91,$B$8),"Нет")="Да"))</x:f>
      </x:c>
      <x:c r="AJ17" s="35" t="n">
        <x:f>--AND(AJ$3&gt;=$B$11,AJ$3&lt;$B$10,AJ$3&lt;EDATE($B$11,MAX(1,'Вводные'!$K$33)),AND($B$7="Да",IFERROR(INDEX('Вводные'!$B$88:$B$91,$B$8),"Нет")="Да"))</x:f>
      </x:c>
      <x:c r="AK17" s="35" t="n">
        <x:f>--AND(AK$3&gt;=$B$11,AK$3&lt;$B$10,AK$3&lt;EDATE($B$11,MAX(1,'Вводные'!$K$33)),AND($B$7="Да",IFERROR(INDEX('Вводные'!$B$88:$B$91,$B$8),"Нет")="Да"))</x:f>
      </x:c>
      <x:c r="AL17" s="35" t="n">
        <x:f>--AND(AL$3&gt;=$B$11,AL$3&lt;$B$10,AL$3&lt;EDATE($B$11,MAX(1,'Вводные'!$K$33)),AND($B$7="Да",IFERROR(INDEX('Вводные'!$B$88:$B$91,$B$8),"Нет")="Да"))</x:f>
      </x:c>
      <x:c r="AM17" s="35" t="n">
        <x:f>--AND(AM$3&gt;=$B$11,AM$3&lt;$B$10,AM$3&lt;EDATE($B$11,MAX(1,'Вводные'!$K$33)),AND($B$7="Да",IFERROR(INDEX('Вводные'!$B$88:$B$91,$B$8),"Нет")="Да"))</x:f>
      </x:c>
      <x:c r="AN17" s="35" t="n">
        <x:f>--AND(AN$3&gt;=$B$11,AN$3&lt;$B$10,AN$3&lt;EDATE($B$11,MAX(1,'Вводные'!$K$33)),AND($B$7="Да",IFERROR(INDEX('Вводные'!$B$88:$B$91,$B$8),"Нет")="Да"))</x:f>
      </x:c>
      <x:c r="AO17" s="35" t="n">
        <x:f>--AND(AO$3&gt;=$B$11,AO$3&lt;$B$10,AO$3&lt;EDATE($B$11,MAX(1,'Вводные'!$K$33)),AND($B$7="Да",IFERROR(INDEX('Вводные'!$B$88:$B$91,$B$8),"Нет")="Да"))</x:f>
      </x:c>
      <x:c r="AP17" s="35" t="n">
        <x:f>--AND(AP$3&gt;=$B$11,AP$3&lt;$B$10,AP$3&lt;EDATE($B$11,MAX(1,'Вводные'!$K$33)),AND($B$7="Да",IFERROR(INDEX('Вводные'!$B$88:$B$91,$B$8),"Нет")="Да"))</x:f>
      </x:c>
      <x:c r="AQ17" s="35" t="n">
        <x:f>--AND(AQ$3&gt;=$B$11,AQ$3&lt;$B$10,AQ$3&lt;EDATE($B$11,MAX(1,'Вводные'!$K$33)),AND($B$7="Да",IFERROR(INDEX('Вводные'!$B$88:$B$91,$B$8),"Нет")="Да"))</x:f>
      </x:c>
      <x:c r="AR17" s="35" t="n">
        <x:f>--AND(AR$3&gt;=$B$11,AR$3&lt;$B$10,AR$3&lt;EDATE($B$11,MAX(1,'Вводные'!$K$33)),AND($B$7="Да",IFERROR(INDEX('Вводные'!$B$88:$B$91,$B$8),"Нет")="Да"))</x:f>
      </x:c>
      <x:c r="AS17" s="35" t="n">
        <x:f>--AND(AS$3&gt;=$B$11,AS$3&lt;$B$10,AS$3&lt;EDATE($B$11,MAX(1,'Вводные'!$K$33)),AND($B$7="Да",IFERROR(INDEX('Вводные'!$B$88:$B$91,$B$8),"Нет")="Да"))</x:f>
      </x:c>
      <x:c r="AT17" s="35" t="n">
        <x:f>--AND(AT$3&gt;=$B$11,AT$3&lt;$B$10,AT$3&lt;EDATE($B$11,MAX(1,'Вводные'!$K$33)),AND($B$7="Да",IFERROR(INDEX('Вводные'!$B$88:$B$91,$B$8),"Нет")="Да"))</x:f>
      </x:c>
      <x:c r="AU17" s="35" t="n">
        <x:f>--AND(AU$3&gt;=$B$11,AU$3&lt;$B$10,AU$3&lt;EDATE($B$11,MAX(1,'Вводные'!$K$33)),AND($B$7="Да",IFERROR(INDEX('Вводные'!$B$88:$B$91,$B$8),"Нет")="Да"))</x:f>
      </x:c>
      <x:c r="AV17" s="35" t="n">
        <x:f>--AND(AV$3&gt;=$B$11,AV$3&lt;$B$10,AV$3&lt;EDATE($B$11,MAX(1,'Вводные'!$K$33)),AND($B$7="Да",IFERROR(INDEX('Вводные'!$B$88:$B$91,$B$8),"Нет")="Да"))</x:f>
      </x:c>
      <x:c r="AW17" s="35" t="n">
        <x:f>--AND(AW$3&gt;=$B$11,AW$3&lt;$B$10,AW$3&lt;EDATE($B$11,MAX(1,'Вводные'!$K$33)),AND($B$7="Да",IFERROR(INDEX('Вводные'!$B$88:$B$91,$B$8),"Нет")="Да"))</x:f>
      </x:c>
      <x:c r="AX17" s="35" t="n">
        <x:f>--AND(AX$3&gt;=$B$11,AX$3&lt;$B$10,AX$3&lt;EDATE($B$11,MAX(1,'Вводные'!$K$33)),AND($B$7="Да",IFERROR(INDEX('Вводные'!$B$88:$B$91,$B$8),"Нет")="Да"))</x:f>
      </x:c>
      <x:c r="AY17" s="35" t="n">
        <x:f>--AND(AY$3&gt;=$B$11,AY$3&lt;$B$10,AY$3&lt;EDATE($B$11,MAX(1,'Вводные'!$K$33)),AND($B$7="Да",IFERROR(INDEX('Вводные'!$B$88:$B$91,$B$8),"Нет")="Да"))</x:f>
      </x:c>
      <x:c r="AZ17" s="35" t="n">
        <x:f>--AND(AZ$3&gt;=$B$11,AZ$3&lt;$B$10,AZ$3&lt;EDATE($B$11,MAX(1,'Вводные'!$K$33)),AND($B$7="Да",IFERROR(INDEX('Вводные'!$B$88:$B$91,$B$8),"Нет")="Да"))</x:f>
      </x:c>
      <x:c r="BA17" s="35" t="n">
        <x:f>--AND(BA$3&gt;=$B$11,BA$3&lt;$B$10,BA$3&lt;EDATE($B$11,MAX(1,'Вводные'!$K$33)),AND($B$7="Да",IFERROR(INDEX('Вводные'!$B$88:$B$91,$B$8),"Нет")="Да"))</x:f>
      </x:c>
      <x:c r="BB17" s="35" t="n">
        <x:f>--AND(BB$3&gt;=$B$11,BB$3&lt;$B$10,BB$3&lt;EDATE($B$11,MAX(1,'Вводные'!$K$33)),AND($B$7="Да",IFERROR(INDEX('Вводные'!$B$88:$B$91,$B$8),"Нет")="Да"))</x:f>
      </x:c>
      <x:c r="BC17" s="35" t="n">
        <x:f>--AND(BC$3&gt;=$B$11,BC$3&lt;$B$10,BC$3&lt;EDATE($B$11,MAX(1,'Вводные'!$K$33)),AND($B$7="Да",IFERROR(INDEX('Вводные'!$B$88:$B$91,$B$8),"Нет")="Да"))</x:f>
      </x:c>
      <x:c r="BD17" s="35" t="n">
        <x:f>--AND(BD$3&gt;=$B$11,BD$3&lt;$B$10,BD$3&lt;EDATE($B$11,MAX(1,'Вводные'!$K$33)),AND($B$7="Да",IFERROR(INDEX('Вводные'!$B$88:$B$91,$B$8),"Нет")="Да"))</x:f>
      </x:c>
      <x:c r="BE17" s="35" t="n">
        <x:f>--AND(BE$3&gt;=$B$11,BE$3&lt;$B$10,BE$3&lt;EDATE($B$11,MAX(1,'Вводные'!$K$33)),AND($B$7="Да",IFERROR(INDEX('Вводные'!$B$88:$B$91,$B$8),"Нет")="Да"))</x:f>
      </x:c>
      <x:c r="BF17" s="35" t="n">
        <x:f>--AND(BF$3&gt;=$B$11,BF$3&lt;$B$10,BF$3&lt;EDATE($B$11,MAX(1,'Вводные'!$K$33)),AND($B$7="Да",IFERROR(INDEX('Вводные'!$B$88:$B$91,$B$8),"Нет")="Да"))</x:f>
      </x:c>
      <x:c r="BG17" s="35" t="n">
        <x:f>--AND(BG$3&gt;=$B$11,BG$3&lt;$B$10,BG$3&lt;EDATE($B$11,MAX(1,'Вводные'!$K$33)),AND($B$7="Да",IFERROR(INDEX('Вводные'!$B$88:$B$91,$B$8),"Нет")="Да"))</x:f>
      </x:c>
      <x:c r="BH17" s="35" t="n">
        <x:f>--AND(BH$3&gt;=$B$11,BH$3&lt;$B$10,BH$3&lt;EDATE($B$11,MAX(1,'Вводные'!$K$33)),AND($B$7="Да",IFERROR(INDEX('Вводные'!$B$88:$B$91,$B$8),"Нет")="Да"))</x:f>
      </x:c>
      <x:c r="BI17" s="35" t="n">
        <x:f>--AND(BI$3&gt;=$B$11,BI$3&lt;$B$10,BI$3&lt;EDATE($B$11,MAX(1,'Вводные'!$K$33)),AND($B$7="Да",IFERROR(INDEX('Вводные'!$B$88:$B$91,$B$8),"Нет")="Да"))</x:f>
      </x:c>
      <x:c r="BJ17" s="35" t="n">
        <x:f>--AND(BJ$3&gt;=$B$11,BJ$3&lt;$B$10,BJ$3&lt;EDATE($B$11,MAX(1,'Вводные'!$K$33)),AND($B$7="Да",IFERROR(INDEX('Вводные'!$B$88:$B$91,$B$8),"Нет")="Да"))</x:f>
      </x:c>
      <x:c r="BK17" s="35" t="n">
        <x:f>--AND(BK$3&gt;=$B$11,BK$3&lt;$B$10,BK$3&lt;EDATE($B$11,MAX(1,'Вводные'!$K$33)),AND($B$7="Да",IFERROR(INDEX('Вводные'!$B$88:$B$91,$B$8),"Нет")="Да"))</x:f>
      </x:c>
      <x:c r="BL17" s="35" t="n">
        <x:f>--AND(BL$3&gt;=$B$11,BL$3&lt;$B$10,BL$3&lt;EDATE($B$11,MAX(1,'Вводные'!$K$33)),AND($B$7="Да",IFERROR(INDEX('Вводные'!$B$88:$B$91,$B$8),"Нет")="Да"))</x:f>
      </x:c>
      <x:c r="BM17" s="35" t="n">
        <x:f>--AND(BM$3&gt;=$B$11,BM$3&lt;$B$10,BM$3&lt;EDATE($B$11,MAX(1,'Вводные'!$K$33)),AND($B$7="Да",IFERROR(INDEX('Вводные'!$B$88:$B$91,$B$8),"Нет")="Да"))</x:f>
      </x:c>
      <x:c r="BN17" s="35" t="n">
        <x:f>--AND(BN$3&gt;=$B$11,BN$3&lt;$B$10,BN$3&lt;EDATE($B$11,MAX(1,'Вводные'!$K$33)),AND($B$7="Да",IFERROR(INDEX('Вводные'!$B$88:$B$91,$B$8),"Нет")="Да"))</x:f>
      </x:c>
      <x:c r="BO17" s="35" t="n">
        <x:f>--AND(BO$3&gt;=$B$11,BO$3&lt;$B$10,BO$3&lt;EDATE($B$11,MAX(1,'Вводные'!$K$33)),AND($B$7="Да",IFERROR(INDEX('Вводные'!$B$88:$B$91,$B$8),"Нет")="Да"))</x:f>
      </x:c>
      <x:c r="BP17" s="35" t="n">
        <x:f>--AND(BP$3&gt;=$B$11,BP$3&lt;$B$10,BP$3&lt;EDATE($B$11,MAX(1,'Вводные'!$K$33)),AND($B$7="Да",IFERROR(INDEX('Вводные'!$B$88:$B$91,$B$8),"Нет")="Да"))</x:f>
      </x:c>
      <x:c r="BQ17" s="35" t="n">
        <x:f>--AND(BQ$3&gt;=$B$11,BQ$3&lt;$B$10,BQ$3&lt;EDATE($B$11,MAX(1,'Вводные'!$K$33)),AND($B$7="Да",IFERROR(INDEX('Вводные'!$B$88:$B$91,$B$8),"Нет")="Да"))</x:f>
      </x:c>
      <x:c r="BR17" s="35" t="n">
        <x:f>--AND(BR$3&gt;=$B$11,BR$3&lt;$B$10,BR$3&lt;EDATE($B$11,MAX(1,'Вводные'!$K$33)),AND($B$7="Да",IFERROR(INDEX('Вводные'!$B$88:$B$91,$B$8),"Нет")="Да"))</x:f>
      </x:c>
      <x:c r="BS17" s="35" t="n">
        <x:f>--AND(BS$3&gt;=$B$11,BS$3&lt;$B$10,BS$3&lt;EDATE($B$11,MAX(1,'Вводные'!$K$33)),AND($B$7="Да",IFERROR(INDEX('Вводные'!$B$88:$B$91,$B$8),"Нет")="Да"))</x:f>
      </x:c>
      <x:c r="BT17" s="35" t="n">
        <x:f>--AND(BT$3&gt;=$B$11,BT$3&lt;$B$10,BT$3&lt;EDATE($B$11,MAX(1,'Вводные'!$K$33)),AND($B$7="Да",IFERROR(INDEX('Вводные'!$B$88:$B$91,$B$8),"Нет")="Да"))</x:f>
      </x:c>
      <x:c r="BU17" s="35" t="n">
        <x:f>--AND(BU$3&gt;=$B$11,BU$3&lt;$B$10,BU$3&lt;EDATE($B$11,MAX(1,'Вводные'!$K$33)),AND($B$7="Да",IFERROR(INDEX('Вводные'!$B$88:$B$91,$B$8),"Нет")="Да"))</x:f>
      </x:c>
      <x:c r="BV17" s="35" t="n">
        <x:f>--AND(BV$3&gt;=$B$11,BV$3&lt;$B$10,BV$3&lt;EDATE($B$11,MAX(1,'Вводные'!$K$33)),AND($B$7="Да",IFERROR(INDEX('Вводные'!$B$88:$B$91,$B$8),"Нет")="Да"))</x:f>
      </x:c>
      <x:c r="BW17" s="35" t="n">
        <x:f>--AND(BW$3&gt;=$B$11,BW$3&lt;$B$10,BW$3&lt;EDATE($B$11,MAX(1,'Вводные'!$K$33)),AND($B$7="Да",IFERROR(INDEX('Вводные'!$B$88:$B$91,$B$8),"Нет")="Да"))</x:f>
      </x:c>
      <x:c r="BX17" s="35" t="n">
        <x:f>--AND(BX$3&gt;=$B$11,BX$3&lt;$B$10,BX$3&lt;EDATE($B$11,MAX(1,'Вводные'!$K$33)),AND($B$7="Да",IFERROR(INDEX('Вводные'!$B$88:$B$91,$B$8),"Нет")="Да"))</x:f>
      </x:c>
      <x:c r="BY17" s="35" t="n">
        <x:f>--AND(BY$3&gt;=$B$11,BY$3&lt;$B$10,BY$3&lt;EDATE($B$11,MAX(1,'Вводные'!$K$33)),AND($B$7="Да",IFERROR(INDEX('Вводные'!$B$88:$B$91,$B$8),"Нет")="Да"))</x:f>
      </x:c>
      <x:c r="BZ17" s="35" t="n">
        <x:f>--AND(BZ$3&gt;=$B$11,BZ$3&lt;$B$10,BZ$3&lt;EDATE($B$11,MAX(1,'Вводные'!$K$33)),AND($B$7="Да",IFERROR(INDEX('Вводные'!$B$88:$B$91,$B$8),"Нет")="Да"))</x:f>
      </x:c>
      <x:c r="CA17" s="35" t="n">
        <x:f>--AND(CA$3&gt;=$B$11,CA$3&lt;$B$10,CA$3&lt;EDATE($B$11,MAX(1,'Вводные'!$K$33)),AND($B$7="Да",IFERROR(INDEX('Вводные'!$B$88:$B$91,$B$8),"Нет")="Да"))</x:f>
      </x:c>
      <x:c r="CB17" s="35" t="n">
        <x:f>--AND(CB$3&gt;=$B$11,CB$3&lt;$B$10,CB$3&lt;EDATE($B$11,MAX(1,'Вводные'!$K$33)),AND($B$7="Да",IFERROR(INDEX('Вводные'!$B$88:$B$91,$B$8),"Нет")="Да"))</x:f>
      </x:c>
      <x:c r="CC17" s="35" t="n">
        <x:f>--AND(CC$3&gt;=$B$11,CC$3&lt;$B$10,CC$3&lt;EDATE($B$11,MAX(1,'Вводные'!$K$33)),AND($B$7="Да",IFERROR(INDEX('Вводные'!$B$88:$B$91,$B$8),"Нет")="Да"))</x:f>
      </x:c>
      <x:c r="CD17" s="35" t="n">
        <x:f>--AND(CD$3&gt;=$B$11,CD$3&lt;$B$10,CD$3&lt;EDATE($B$11,MAX(1,'Вводные'!$K$33)),AND($B$7="Да",IFERROR(INDEX('Вводные'!$B$88:$B$91,$B$8),"Нет")="Да"))</x:f>
      </x:c>
      <x:c r="CE17" s="35" t="n">
        <x:f>--AND(CE$3&gt;=$B$11,CE$3&lt;$B$10,CE$3&lt;EDATE($B$11,MAX(1,'Вводные'!$K$33)),AND($B$7="Да",IFERROR(INDEX('Вводные'!$B$88:$B$91,$B$8),"Нет")="Да"))</x:f>
      </x:c>
      <x:c r="CF17" s="35" t="n">
        <x:f>--AND(CF$3&gt;=$B$11,CF$3&lt;$B$10,CF$3&lt;EDATE($B$11,MAX(1,'Вводные'!$K$33)),AND($B$7="Да",IFERROR(INDEX('Вводные'!$B$88:$B$91,$B$8),"Нет")="Да"))</x:f>
      </x:c>
      <x:c r="CG17" s="35" t="n">
        <x:f>--AND(CG$3&gt;=$B$11,CG$3&lt;$B$10,CG$3&lt;EDATE($B$11,MAX(1,'Вводные'!$K$33)),AND($B$7="Да",IFERROR(INDEX('Вводные'!$B$88:$B$91,$B$8),"Нет")="Да"))</x:f>
      </x:c>
      <x:c r="CH17" s="35" t="n">
        <x:f>--AND(CH$3&gt;=$B$11,CH$3&lt;$B$10,CH$3&lt;EDATE($B$11,MAX(1,'Вводные'!$K$33)),AND($B$7="Да",IFERROR(INDEX('Вводные'!$B$88:$B$91,$B$8),"Нет")="Да"))</x:f>
      </x:c>
      <x:c r="CI17" s="35" t="n">
        <x:f>--AND(CI$3&gt;=$B$11,CI$3&lt;$B$10,CI$3&lt;EDATE($B$11,MAX(1,'Вводные'!$K$33)),AND($B$7="Да",IFERROR(INDEX('Вводные'!$B$88:$B$91,$B$8),"Нет")="Да"))</x:f>
      </x:c>
      <x:c r="CJ17" s="35" t="n">
        <x:f>--AND(CJ$3&gt;=$B$11,CJ$3&lt;$B$10,CJ$3&lt;EDATE($B$11,MAX(1,'Вводные'!$K$33)),AND($B$7="Да",IFERROR(INDEX('Вводные'!$B$88:$B$91,$B$8),"Нет")="Да"))</x:f>
      </x:c>
      <x:c r="CK17" s="35" t="n">
        <x:f>--AND(CK$3&gt;=$B$11,CK$3&lt;$B$10,CK$3&lt;EDATE($B$11,MAX(1,'Вводные'!$K$33)),AND($B$7="Да",IFERROR(INDEX('Вводные'!$B$88:$B$91,$B$8),"Нет")="Да"))</x:f>
      </x:c>
      <x:c r="CL17" s="35" t="n">
        <x:f>--AND(CL$3&gt;=$B$11,CL$3&lt;$B$10,CL$3&lt;EDATE($B$11,MAX(1,'Вводные'!$K$33)),AND($B$7="Да",IFERROR(INDEX('Вводные'!$B$88:$B$91,$B$8),"Нет")="Да"))</x:f>
      </x:c>
      <x:c r="CM17" s="35" t="n">
        <x:f>--AND(CM$3&gt;=$B$11,CM$3&lt;$B$10,CM$3&lt;EDATE($B$11,MAX(1,'Вводные'!$K$33)),AND($B$7="Да",IFERROR(INDEX('Вводные'!$B$88:$B$91,$B$8),"Нет")="Да"))</x:f>
      </x:c>
      <x:c r="CN17" s="35" t="n">
        <x:f>--AND(CN$3&gt;=$B$11,CN$3&lt;$B$10,CN$3&lt;EDATE($B$11,MAX(1,'Вводные'!$K$33)),AND($B$7="Да",IFERROR(INDEX('Вводные'!$B$88:$B$91,$B$8),"Нет")="Да"))</x:f>
      </x:c>
      <x:c r="CO17" s="35" t="n">
        <x:f>--AND(CO$3&gt;=$B$11,CO$3&lt;$B$10,CO$3&lt;EDATE($B$11,MAX(1,'Вводные'!$K$33)),AND($B$7="Да",IFERROR(INDEX('Вводные'!$B$88:$B$91,$B$8),"Нет")="Да"))</x:f>
      </x:c>
      <x:c r="CP17" s="35" t="n">
        <x:f>--AND(CP$3&gt;=$B$11,CP$3&lt;$B$10,CP$3&lt;EDATE($B$11,MAX(1,'Вводные'!$K$33)),AND($B$7="Да",IFERROR(INDEX('Вводные'!$B$88:$B$91,$B$8),"Нет")="Да"))</x:f>
      </x:c>
      <x:c r="CQ17" s="35" t="n">
        <x:f>--AND(CQ$3&gt;=$B$11,CQ$3&lt;$B$10,CQ$3&lt;EDATE($B$11,MAX(1,'Вводные'!$K$33)),AND($B$7="Да",IFERROR(INDEX('Вводные'!$B$88:$B$91,$B$8),"Нет")="Да"))</x:f>
      </x:c>
      <x:c r="CR17" s="35" t="n">
        <x:f>--AND(CR$3&gt;=$B$11,CR$3&lt;$B$10,CR$3&lt;EDATE($B$11,MAX(1,'Вводные'!$K$33)),AND($B$7="Да",IFERROR(INDEX('Вводные'!$B$88:$B$91,$B$8),"Нет")="Да"))</x:f>
      </x:c>
      <x:c r="CS17" s="35" t="n">
        <x:f>--AND(CS$3&gt;=$B$11,CS$3&lt;$B$10,CS$3&lt;EDATE($B$11,MAX(1,'Вводные'!$K$33)),AND($B$7="Да",IFERROR(INDEX('Вводные'!$B$88:$B$91,$B$8),"Нет")="Да"))</x:f>
      </x:c>
      <x:c r="CT17" s="35" t="n">
        <x:f>--AND(CT$3&gt;=$B$11,CT$3&lt;$B$10,CT$3&lt;EDATE($B$11,MAX(1,'Вводные'!$K$33)),AND($B$7="Да",IFERROR(INDEX('Вводные'!$B$88:$B$91,$B$8),"Нет")="Да"))</x:f>
      </x:c>
      <x:c r="CU17" s="35" t="n">
        <x:f>--AND(CU$3&gt;=$B$11,CU$3&lt;$B$10,CU$3&lt;EDATE($B$11,MAX(1,'Вводные'!$K$33)),AND($B$7="Да",IFERROR(INDEX('Вводные'!$B$88:$B$91,$B$8),"Нет")="Да"))</x:f>
      </x:c>
      <x:c r="CV17" s="35" t="n">
        <x:f>--AND(CV$3&gt;=$B$11,CV$3&lt;$B$10,CV$3&lt;EDATE($B$11,MAX(1,'Вводные'!$K$33)),AND($B$7="Да",IFERROR(INDEX('Вводные'!$B$88:$B$91,$B$8),"Нет")="Да"))</x:f>
      </x:c>
      <x:c r="CW17" s="35" t="n">
        <x:f>--AND(CW$3&gt;=$B$11,CW$3&lt;$B$10,CW$3&lt;EDATE($B$11,MAX(1,'Вводные'!$K$33)),AND($B$7="Да",IFERROR(INDEX('Вводные'!$B$88:$B$91,$B$8),"Нет")="Да"))</x:f>
      </x:c>
      <x:c r="CX17" s="35" t="n">
        <x:f>--AND(CX$3&gt;=$B$11,CX$3&lt;$B$10,CX$3&lt;EDATE($B$11,MAX(1,'Вводные'!$K$33)),AND($B$7="Да",IFERROR(INDEX('Вводные'!$B$88:$B$91,$B$8),"Нет")="Да"))</x:f>
      </x:c>
      <x:c r="CY17" s="35" t="n">
        <x:f>--AND(CY$3&gt;=$B$11,CY$3&lt;$B$10,CY$3&lt;EDATE($B$11,MAX(1,'Вводные'!$K$33)),AND($B$7="Да",IFERROR(INDEX('Вводные'!$B$88:$B$91,$B$8),"Нет")="Да"))</x:f>
      </x:c>
      <x:c r="CZ17" s="35" t="n">
        <x:f>--AND(CZ$3&gt;=$B$11,CZ$3&lt;$B$10,CZ$3&lt;EDATE($B$11,MAX(1,'Вводные'!$K$33)),AND($B$7="Да",IFERROR(INDEX('Вводные'!$B$88:$B$91,$B$8),"Нет")="Да"))</x:f>
      </x:c>
      <x:c r="DA17" s="35" t="n">
        <x:f>--AND(DA$3&gt;=$B$11,DA$3&lt;$B$10,DA$3&lt;EDATE($B$11,MAX(1,'Вводные'!$K$33)),AND($B$7="Да",IFERROR(INDEX('Вводные'!$B$88:$B$91,$B$8),"Нет")="Да"))</x:f>
      </x:c>
      <x:c r="DB17" s="35" t="n">
        <x:f>--AND(DB$3&gt;=$B$11,DB$3&lt;$B$10,DB$3&lt;EDATE($B$11,MAX(1,'Вводные'!$K$33)),AND($B$7="Да",IFERROR(INDEX('Вводные'!$B$88:$B$91,$B$8),"Нет")="Да"))</x:f>
      </x:c>
      <x:c r="DC17" s="35" t="n">
        <x:f>--AND(DC$3&gt;=$B$11,DC$3&lt;$B$10,DC$3&lt;EDATE($B$11,MAX(1,'Вводные'!$K$33)),AND($B$7="Да",IFERROR(INDEX('Вводные'!$B$88:$B$91,$B$8),"Нет")="Да"))</x:f>
      </x:c>
      <x:c r="DD17" s="35" t="n">
        <x:f>--AND(DD$3&gt;=$B$11,DD$3&lt;$B$10,DD$3&lt;EDATE($B$11,MAX(1,'Вводные'!$K$33)),AND($B$7="Да",IFERROR(INDEX('Вводные'!$B$88:$B$91,$B$8),"Нет")="Да"))</x:f>
      </x:c>
      <x:c r="DE17" s="35" t="n">
        <x:f>--AND(DE$3&gt;=$B$11,DE$3&lt;$B$10,DE$3&lt;EDATE($B$11,MAX(1,'Вводные'!$K$33)),AND($B$7="Да",IFERROR(INDEX('Вводные'!$B$88:$B$91,$B$8),"Нет")="Да"))</x:f>
      </x:c>
      <x:c r="DF17" s="35" t="n">
        <x:f>--AND(DF$3&gt;=$B$11,DF$3&lt;$B$10,DF$3&lt;EDATE($B$11,MAX(1,'Вводные'!$K$33)),AND($B$7="Да",IFERROR(INDEX('Вводные'!$B$88:$B$91,$B$8),"Нет")="Да"))</x:f>
      </x:c>
      <x:c r="DG17" s="35" t="n">
        <x:f>--AND(DG$3&gt;=$B$11,DG$3&lt;$B$10,DG$3&lt;EDATE($B$11,MAX(1,'Вводные'!$K$33)),AND($B$7="Да",IFERROR(INDEX('Вводные'!$B$88:$B$91,$B$8),"Нет")="Да"))</x:f>
      </x:c>
      <x:c r="DH17" s="35" t="n">
        <x:f>--AND(DH$3&gt;=$B$11,DH$3&lt;$B$10,DH$3&lt;EDATE($B$11,MAX(1,'Вводные'!$K$33)),AND($B$7="Да",IFERROR(INDEX('Вводные'!$B$88:$B$91,$B$8),"Нет")="Да"))</x:f>
      </x:c>
      <x:c r="DI17" s="35" t="n">
        <x:f>--AND(DI$3&gt;=$B$11,DI$3&lt;$B$10,DI$3&lt;EDATE($B$11,MAX(1,'Вводные'!$K$33)),AND($B$7="Да",IFERROR(INDEX('Вводные'!$B$88:$B$91,$B$8),"Нет")="Да"))</x:f>
      </x:c>
      <x:c r="DJ17" s="35" t="n">
        <x:f>--AND(DJ$3&gt;=$B$11,DJ$3&lt;$B$10,DJ$3&lt;EDATE($B$11,MAX(1,'Вводные'!$K$33)),AND($B$7="Да",IFERROR(INDEX('Вводные'!$B$88:$B$91,$B$8),"Нет")="Да"))</x:f>
      </x:c>
      <x:c r="DK17" s="35" t="n">
        <x:f>--AND(DK$3&gt;=$B$11,DK$3&lt;$B$10,DK$3&lt;EDATE($B$11,MAX(1,'Вводные'!$K$33)),AND($B$7="Да",IFERROR(INDEX('Вводные'!$B$88:$B$91,$B$8),"Нет")="Да"))</x:f>
      </x:c>
      <x:c r="DL17" s="35" t="n">
        <x:f>--AND(DL$3&gt;=$B$11,DL$3&lt;$B$10,DL$3&lt;EDATE($B$11,MAX(1,'Вводные'!$K$33)),AND($B$7="Да",IFERROR(INDEX('Вводные'!$B$88:$B$91,$B$8),"Нет")="Да"))</x:f>
      </x:c>
      <x:c r="DM17" s="35" t="n">
        <x:f>--AND(DM$3&gt;=$B$11,DM$3&lt;$B$10,DM$3&lt;EDATE($B$11,MAX(1,'Вводные'!$K$33)),AND($B$7="Да",IFERROR(INDEX('Вводные'!$B$88:$B$91,$B$8),"Нет")="Да"))</x:f>
      </x:c>
      <x:c r="DN17" s="35" t="n">
        <x:f>--AND(DN$3&gt;=$B$11,DN$3&lt;$B$10,DN$3&lt;EDATE($B$11,MAX(1,'Вводные'!$K$33)),AND($B$7="Да",IFERROR(INDEX('Вводные'!$B$88:$B$91,$B$8),"Нет")="Да"))</x:f>
      </x:c>
      <x:c r="DO17" s="35" t="n">
        <x:f>--AND(DO$3&gt;=$B$11,DO$3&lt;$B$10,DO$3&lt;EDATE($B$11,MAX(1,'Вводные'!$K$33)),AND($B$7="Да",IFERROR(INDEX('Вводные'!$B$88:$B$91,$B$8),"Нет")="Да"))</x:f>
      </x:c>
      <x:c r="DP17" s="35" t="n">
        <x:f>--AND(DP$3&gt;=$B$11,DP$3&lt;$B$10,DP$3&lt;EDATE($B$11,MAX(1,'Вводные'!$K$33)),AND($B$7="Да",IFERROR(INDEX('Вводные'!$B$88:$B$91,$B$8),"Нет")="Да"))</x:f>
      </x:c>
      <x:c r="DQ17" s="35" t="n">
        <x:f>--AND(DQ$3&gt;=$B$11,DQ$3&lt;$B$10,DQ$3&lt;EDATE($B$11,MAX(1,'Вводные'!$K$33)),AND($B$7="Да",IFERROR(INDEX('Вводные'!$B$88:$B$91,$B$8),"Нет")="Да"))</x:f>
      </x:c>
      <x:c r="DR17" s="35" t="n">
        <x:f>--AND(DR$3&gt;=$B$11,DR$3&lt;$B$10,DR$3&lt;EDATE($B$11,MAX(1,'Вводные'!$K$33)),AND($B$7="Да",IFERROR(INDEX('Вводные'!$B$88:$B$91,$B$8),"Нет")="Да"))</x:f>
      </x:c>
      <x:c r="DS17" s="35" t="n">
        <x:f>--AND(DS$3&gt;=$B$11,DS$3&lt;$B$10,DS$3&lt;EDATE($B$11,MAX(1,'Вводные'!$K$33)),AND($B$7="Да",IFERROR(INDEX('Вводные'!$B$88:$B$91,$B$8),"Нет")="Да"))</x:f>
      </x:c>
      <x:c r="DT17" s="35" t="n">
        <x:f>--AND(DT$3&gt;=$B$11,DT$3&lt;$B$10,DT$3&lt;EDATE($B$11,MAX(1,'Вводные'!$K$33)),AND($B$7="Да",IFERROR(INDEX('Вводные'!$B$88:$B$91,$B$8),"Нет")="Да"))</x:f>
      </x:c>
      <x:c r="DU17" s="35" t="n">
        <x:f>--AND(DU$3&gt;=$B$11,DU$3&lt;$B$10,DU$3&lt;EDATE($B$11,MAX(1,'Вводные'!$K$33)),AND($B$7="Да",IFERROR(INDEX('Вводные'!$B$88:$B$91,$B$8),"Нет")="Да"))</x:f>
      </x:c>
      <x:c r="DV17" s="35" t="n">
        <x:f>--AND(DV$3&gt;=$B$11,DV$3&lt;$B$10,DV$3&lt;EDATE($B$11,MAX(1,'Вводные'!$K$33)),AND($B$7="Да",IFERROR(INDEX('Вводные'!$B$88:$B$91,$B$8),"Нет")="Да"))</x:f>
      </x:c>
      <x:c r="DW17" s="35" t="n">
        <x:f>--AND(DW$3&gt;=$B$11,DW$3&lt;$B$10,DW$3&lt;EDATE($B$11,MAX(1,'Вводные'!$K$33)),AND($B$7="Да",IFERROR(INDEX('Вводные'!$B$88:$B$91,$B$8),"Нет")="Да"))</x:f>
      </x:c>
      <x:c r="DX17" s="35" t="n">
        <x:f>--AND(DX$3&gt;=$B$11,DX$3&lt;$B$10,DX$3&lt;EDATE($B$11,MAX(1,'Вводные'!$K$33)),AND($B$7="Да",IFERROR(INDEX('Вводные'!$B$88:$B$91,$B$8),"Нет")="Да"))</x:f>
      </x:c>
      <x:c r="DY17" s="35" t="n">
        <x:f>--AND(DY$3&gt;=$B$11,DY$3&lt;$B$10,DY$3&lt;EDATE($B$11,MAX(1,'Вводные'!$K$33)),AND($B$7="Да",IFERROR(INDEX('Вводные'!$B$88:$B$91,$B$8),"Нет")="Да"))</x:f>
      </x:c>
      <x:c r="DZ17" s="35" t="n">
        <x:f>--AND(DZ$3&gt;=$B$11,DZ$3&lt;$B$10,DZ$3&lt;EDATE($B$11,MAX(1,'Вводные'!$K$33)),AND($B$7="Да",IFERROR(INDEX('Вводные'!$B$88:$B$91,$B$8),"Нет")="Да"))</x:f>
      </x:c>
      <x:c r="EA17" s="35" t="n">
        <x:f>--AND(EA$3&gt;=$B$11,EA$3&lt;$B$10,EA$3&lt;EDATE($B$11,MAX(1,'Вводные'!$K$33)),AND($B$7="Да",IFERROR(INDEX('Вводные'!$B$88:$B$91,$B$8),"Нет")="Да"))</x:f>
      </x:c>
      <x:c r="EB17" s="35" t="n">
        <x:f>--AND(EB$3&gt;=$B$11,EB$3&lt;$B$10,EB$3&lt;EDATE($B$11,MAX(1,'Вводные'!$K$33)),AND($B$7="Да",IFERROR(INDEX('Вводные'!$B$88:$B$91,$B$8),"Нет")="Да"))</x:f>
      </x:c>
      <x:c r="EC17" s="35" t="n">
        <x:f>--AND(EC$3&gt;=$B$11,EC$3&lt;$B$10,EC$3&lt;EDATE($B$11,MAX(1,'Вводные'!$K$33)),AND($B$7="Да",IFERROR(INDEX('Вводные'!$B$88:$B$91,$B$8),"Нет")="Да"))</x:f>
      </x:c>
      <x:c r="ED17" s="35" t="n">
        <x:f>--AND(ED$3&gt;=$B$11,ED$3&lt;$B$10,ED$3&lt;EDATE($B$11,MAX(1,'Вводные'!$K$33)),AND($B$7="Да",IFERROR(INDEX('Вводные'!$B$88:$B$91,$B$8),"Нет")="Да"))</x:f>
      </x:c>
      <x:c r="EE17" s="35" t="n">
        <x:f>--AND(EE$3&gt;=$B$11,EE$3&lt;$B$10,EE$3&lt;EDATE($B$11,MAX(1,'Вводные'!$K$33)),AND($B$7="Да",IFERROR(INDEX('Вводные'!$B$88:$B$91,$B$8),"Нет")="Да"))</x:f>
      </x:c>
      <x:c r="EF17" s="35" t="n">
        <x:f>--AND(EF$3&gt;=$B$11,EF$3&lt;$B$10,EF$3&lt;EDATE($B$11,MAX(1,'Вводные'!$K$33)),AND($B$7="Да",IFERROR(INDEX('Вводные'!$B$88:$B$91,$B$8),"Нет")="Да"))</x:f>
      </x:c>
      <x:c r="EG17" s="35" t="n">
        <x:f>--AND(EG$3&gt;=$B$11,EG$3&lt;$B$10,EG$3&lt;EDATE($B$11,MAX(1,'Вводные'!$K$33)),AND($B$7="Да",IFERROR(INDEX('Вводные'!$B$88:$B$91,$B$8),"Нет")="Да"))</x:f>
      </x:c>
      <x:c r="EH17" s="35" t="n">
        <x:f>--AND(EH$3&gt;=$B$11,EH$3&lt;$B$10,EH$3&lt;EDATE($B$11,MAX(1,'Вводные'!$K$33)),AND($B$7="Да",IFERROR(INDEX('Вводные'!$B$88:$B$91,$B$8),"Нет")="Да"))</x:f>
      </x:c>
      <x:c r="EI17" s="35" t="n">
        <x:f>--AND(EI$3&gt;=$B$11,EI$3&lt;$B$10,EI$3&lt;EDATE($B$11,MAX(1,'Вводные'!$K$33)),AND($B$7="Да",IFERROR(INDEX('Вводные'!$B$88:$B$91,$B$8),"Нет")="Да"))</x:f>
      </x:c>
      <x:c r="EJ17" s="35" t="n">
        <x:f>--AND(EJ$3&gt;=$B$11,EJ$3&lt;$B$10,EJ$3&lt;EDATE($B$11,MAX(1,'Вводные'!$K$33)),AND($B$7="Да",IFERROR(INDEX('Вводные'!$B$88:$B$91,$B$8),"Нет")="Да"))</x:f>
      </x:c>
      <x:c r="EK17" s="35" t="n">
        <x:f>--AND(EK$3&gt;=$B$11,EK$3&lt;$B$10,EK$3&lt;EDATE($B$11,MAX(1,'Вводные'!$K$33)),AND($B$7="Да",IFERROR(INDEX('Вводные'!$B$88:$B$91,$B$8),"Нет")="Да"))</x:f>
      </x:c>
      <x:c r="EL17" s="35" t="n">
        <x:f>--AND(EL$3&gt;=$B$11,EL$3&lt;$B$10,EL$3&lt;EDATE($B$11,MAX(1,'Вводные'!$K$33)),AND($B$7="Да",IFERROR(INDEX('Вводные'!$B$88:$B$91,$B$8),"Нет")="Да"))</x:f>
      </x:c>
      <x:c r="EM17" s="35" t="n">
        <x:f>--AND(EM$3&gt;=$B$11,EM$3&lt;$B$10,EM$3&lt;EDATE($B$11,MAX(1,'Вводные'!$K$33)),AND($B$7="Да",IFERROR(INDEX('Вводные'!$B$88:$B$91,$B$8),"Нет")="Да"))</x:f>
      </x:c>
      <x:c r="EN17" s="35" t="n">
        <x:f>--AND(EN$3&gt;=$B$11,EN$3&lt;$B$10,EN$3&lt;EDATE($B$11,MAX(1,'Вводные'!$K$33)),AND($B$7="Да",IFERROR(INDEX('Вводные'!$B$88:$B$91,$B$8),"Нет")="Да"))</x:f>
      </x:c>
      <x:c r="EO17" s="35" t="n">
        <x:f>--AND(EO$3&gt;=$B$11,EO$3&lt;$B$10,EO$3&lt;EDATE($B$11,MAX(1,'Вводные'!$K$33)),AND($B$7="Да",IFERROR(INDEX('Вводные'!$B$88:$B$91,$B$8),"Нет")="Да"))</x:f>
      </x:c>
      <x:c r="EP17" s="35" t="n">
        <x:f>--AND(EP$3&gt;=$B$11,EP$3&lt;$B$10,EP$3&lt;EDATE($B$11,MAX(1,'Вводные'!$K$33)),AND($B$7="Да",IFERROR(INDEX('Вводные'!$B$88:$B$91,$B$8),"Нет")="Да"))</x:f>
      </x:c>
      <x:c r="EQ17" s="35" t="n">
        <x:f>--AND(EQ$3&gt;=$B$11,EQ$3&lt;$B$10,EQ$3&lt;EDATE($B$11,MAX(1,'Вводные'!$K$33)),AND($B$7="Да",IFERROR(INDEX('Вводные'!$B$88:$B$91,$B$8),"Нет")="Да"))</x:f>
      </x:c>
      <x:c r="ER17" s="35" t="n">
        <x:f>--AND(ER$3&gt;=$B$11,ER$3&lt;$B$10,ER$3&lt;EDATE($B$11,MAX(1,'Вводные'!$K$33)),AND($B$7="Да",IFERROR(INDEX('Вводные'!$B$88:$B$91,$B$8),"Нет")="Да"))</x:f>
      </x:c>
      <x:c r="ES17" s="35" t="n">
        <x:f>--AND(ES$3&gt;=$B$11,ES$3&lt;$B$10,ES$3&lt;EDATE($B$11,MAX(1,'Вводные'!$K$33)),AND($B$7="Да",IFERROR(INDEX('Вводные'!$B$88:$B$91,$B$8),"Нет")="Да"))</x:f>
      </x:c>
      <x:c r="ET17" s="35" t="n">
        <x:f>--AND(ET$3&gt;=$B$11,ET$3&lt;$B$10,ET$3&lt;EDATE($B$11,MAX(1,'Вводные'!$K$33)),AND($B$7="Да",IFERROR(INDEX('Вводные'!$B$88:$B$91,$B$8),"Нет")="Да"))</x:f>
      </x:c>
      <x:c r="EU17" s="35" t="n">
        <x:f>--AND(EU$3&gt;=$B$11,EU$3&lt;$B$10,EU$3&lt;EDATE($B$11,MAX(1,'Вводные'!$K$33)),AND($B$7="Да",IFERROR(INDEX('Вводные'!$B$88:$B$91,$B$8),"Нет")="Да"))</x:f>
      </x:c>
      <x:c r="EV17" s="35" t="n">
        <x:f>--AND(EV$3&gt;=$B$11,EV$3&lt;$B$10,EV$3&lt;EDATE($B$11,MAX(1,'Вводные'!$K$33)),AND($B$7="Да",IFERROR(INDEX('Вводные'!$B$88:$B$91,$B$8),"Нет")="Да"))</x:f>
      </x:c>
      <x:c r="EW17" s="35" t="n">
        <x:f>--AND(EW$3&gt;=$B$11,EW$3&lt;$B$10,EW$3&lt;EDATE($B$11,MAX(1,'Вводные'!$K$33)),AND($B$7="Да",IFERROR(INDEX('Вводные'!$B$88:$B$91,$B$8),"Нет")="Да"))</x:f>
      </x:c>
      <x:c r="EX17" s="35" t="n">
        <x:f>--AND(EX$3&gt;=$B$11,EX$3&lt;$B$10,EX$3&lt;EDATE($B$11,MAX(1,'Вводные'!$K$33)),AND($B$7="Да",IFERROR(INDEX('Вводные'!$B$88:$B$91,$B$8),"Нет")="Да"))</x:f>
      </x:c>
      <x:c r="EY17" s="35" t="n">
        <x:f>--AND(EY$3&gt;=$B$11,EY$3&lt;$B$10,EY$3&lt;EDATE($B$11,MAX(1,'Вводные'!$K$33)),AND($B$7="Да",IFERROR(INDEX('Вводные'!$B$88:$B$91,$B$8),"Нет")="Да"))</x:f>
      </x:c>
      <x:c r="EZ17" s="35" t="n">
        <x:f>--AND(EZ$3&gt;=$B$11,EZ$3&lt;$B$10,EZ$3&lt;EDATE($B$11,MAX(1,'Вводные'!$K$33)),AND($B$7="Да",IFERROR(INDEX('Вводные'!$B$88:$B$91,$B$8),"Нет")="Да"))</x:f>
      </x:c>
      <x:c r="FA17" s="35" t="n">
        <x:f>--AND(FA$3&gt;=$B$11,FA$3&lt;$B$10,FA$3&lt;EDATE($B$11,MAX(1,'Вводные'!$K$33)),AND($B$7="Да",IFERROR(INDEX('Вводные'!$B$88:$B$91,$B$8),"Нет")="Да"))</x:f>
      </x:c>
      <x:c r="FB17" s="35" t="n">
        <x:f>--AND(FB$3&gt;=$B$11,FB$3&lt;$B$10,FB$3&lt;EDATE($B$11,MAX(1,'Вводные'!$K$33)),AND($B$7="Да",IFERROR(INDEX('Вводные'!$B$88:$B$91,$B$8),"Нет")="Да"))</x:f>
      </x:c>
      <x:c r="FC17" s="35" t="n">
        <x:f>--AND(FC$3&gt;=$B$11,FC$3&lt;$B$10,FC$3&lt;EDATE($B$11,MAX(1,'Вводные'!$K$33)),AND($B$7="Да",IFERROR(INDEX('Вводные'!$B$88:$B$91,$B$8),"Нет")="Да"))</x:f>
      </x:c>
      <x:c r="FD17" s="35" t="n">
        <x:f>--AND(FD$3&gt;=$B$11,FD$3&lt;$B$10,FD$3&lt;EDATE($B$11,MAX(1,'Вводные'!$K$33)),AND($B$7="Да",IFERROR(INDEX('Вводные'!$B$88:$B$91,$B$8),"Нет")="Да"))</x:f>
      </x:c>
      <x:c r="FE17" s="35" t="n">
        <x:f>--AND(FE$3&gt;=$B$11,FE$3&lt;$B$10,FE$3&lt;EDATE($B$11,MAX(1,'Вводные'!$K$33)),AND($B$7="Да",IFERROR(INDEX('Вводные'!$B$88:$B$91,$B$8),"Нет")="Да"))</x:f>
      </x:c>
      <x:c r="FF17" s="35" t="n">
        <x:f>--AND(FF$3&gt;=$B$11,FF$3&lt;$B$10,FF$3&lt;EDATE($B$11,MAX(1,'Вводные'!$K$33)),AND($B$7="Да",IFERROR(INDEX('Вводные'!$B$88:$B$91,$B$8),"Нет")="Да"))</x:f>
      </x:c>
      <x:c r="FG17" s="35" t="n">
        <x:f>--AND(FG$3&gt;=$B$11,FG$3&lt;$B$10,FG$3&lt;EDATE($B$11,MAX(1,'Вводные'!$K$33)),AND($B$7="Да",IFERROR(INDEX('Вводные'!$B$88:$B$91,$B$8),"Нет")="Да"))</x:f>
      </x:c>
      <x:c r="FH17" s="35" t="n">
        <x:f>--AND(FH$3&gt;=$B$11,FH$3&lt;$B$10,FH$3&lt;EDATE($B$11,MAX(1,'Вводные'!$K$33)),AND($B$7="Да",IFERROR(INDEX('Вводные'!$B$88:$B$91,$B$8),"Нет")="Да"))</x:f>
      </x:c>
      <x:c r="FI17" s="35" t="n">
        <x:f>--AND(FI$3&gt;=$B$11,FI$3&lt;$B$10,FI$3&lt;EDATE($B$11,MAX(1,'Вводные'!$K$33)),AND($B$7="Да",IFERROR(INDEX('Вводные'!$B$88:$B$91,$B$8),"Нет")="Да"))</x:f>
      </x:c>
      <x:c r="FJ17" s="35" t="n">
        <x:f>--AND(FJ$3&gt;=$B$11,FJ$3&lt;$B$10,FJ$3&lt;EDATE($B$11,MAX(1,'Вводные'!$K$33)),AND($B$7="Да",IFERROR(INDEX('Вводные'!$B$88:$B$91,$B$8),"Нет")="Да"))</x:f>
      </x:c>
      <x:c r="FK17" s="35" t="n">
        <x:f>--AND(FK$3&gt;=$B$11,FK$3&lt;$B$10,FK$3&lt;EDATE($B$11,MAX(1,'Вводные'!$K$33)),AND($B$7="Да",IFERROR(INDEX('Вводные'!$B$88:$B$91,$B$8),"Нет")="Да"))</x:f>
      </x:c>
      <x:c r="FL17" s="35" t="n">
        <x:f>--AND(FL$3&gt;=$B$11,FL$3&lt;$B$10,FL$3&lt;EDATE($B$11,MAX(1,'Вводные'!$K$33)),AND($B$7="Да",IFERROR(INDEX('Вводные'!$B$88:$B$91,$B$8),"Нет")="Да"))</x:f>
      </x:c>
      <x:c r="FM17" s="35" t="n">
        <x:f>--AND(FM$3&gt;=$B$11,FM$3&lt;$B$10,FM$3&lt;EDATE($B$11,MAX(1,'Вводные'!$K$33)),AND($B$7="Да",IFERROR(INDEX('Вводные'!$B$88:$B$91,$B$8),"Нет")="Да"))</x:f>
      </x:c>
      <x:c r="FN17" s="35" t="n">
        <x:f>--AND(FN$3&gt;=$B$11,FN$3&lt;$B$10,FN$3&lt;EDATE($B$11,MAX(1,'Вводные'!$K$33)),AND($B$7="Да",IFERROR(INDEX('Вводные'!$B$88:$B$91,$B$8),"Нет")="Да"))</x:f>
      </x:c>
      <x:c r="FO17" s="35" t="n">
        <x:f>--AND(FO$3&gt;=$B$11,FO$3&lt;$B$10,FO$3&lt;EDATE($B$11,MAX(1,'Вводные'!$K$33)),AND($B$7="Да",IFERROR(INDEX('Вводные'!$B$88:$B$91,$B$8),"Нет")="Да"))</x:f>
      </x:c>
      <x:c r="FP17" s="35" t="n">
        <x:f>--AND(FP$3&gt;=$B$11,FP$3&lt;$B$10,FP$3&lt;EDATE($B$11,MAX(1,'Вводные'!$K$33)),AND($B$7="Да",IFERROR(INDEX('Вводные'!$B$88:$B$91,$B$8),"Нет")="Да"))</x:f>
      </x:c>
      <x:c r="FQ17" s="35" t="n">
        <x:f>--AND(FQ$3&gt;=$B$11,FQ$3&lt;$B$10,FQ$3&lt;EDATE($B$11,MAX(1,'Вводные'!$K$33)),AND($B$7="Да",IFERROR(INDEX('Вводные'!$B$88:$B$91,$B$8),"Нет")="Да"))</x:f>
      </x:c>
      <x:c r="FR17" s="35" t="n">
        <x:f>--AND(FR$3&gt;=$B$11,FR$3&lt;$B$10,FR$3&lt;EDATE($B$11,MAX(1,'Вводные'!$K$33)),AND($B$7="Да",IFERROR(INDEX('Вводные'!$B$88:$B$91,$B$8),"Нет")="Да"))</x:f>
      </x:c>
      <x:c r="FS17" s="35" t="n">
        <x:f>--AND(FS$3&gt;=$B$11,FS$3&lt;$B$10,FS$3&lt;EDATE($B$11,MAX(1,'Вводные'!$K$33)),AND($B$7="Да",IFERROR(INDEX('Вводные'!$B$88:$B$91,$B$8),"Нет")="Да"))</x:f>
      </x:c>
      <x:c r="FT17" s="35" t="n">
        <x:f>--AND(FT$3&gt;=$B$11,FT$3&lt;$B$10,FT$3&lt;EDATE($B$11,MAX(1,'Вводные'!$K$33)),AND($B$7="Да",IFERROR(INDEX('Вводные'!$B$88:$B$91,$B$8),"Нет")="Да"))</x:f>
      </x:c>
      <x:c r="FU17" s="35" t="n">
        <x:f>--AND(FU$3&gt;=$B$11,FU$3&lt;$B$10,FU$3&lt;EDATE($B$11,MAX(1,'Вводные'!$K$33)),AND($B$7="Да",IFERROR(INDEX('Вводные'!$B$88:$B$91,$B$8),"Нет")="Да"))</x:f>
      </x:c>
      <x:c r="FV17" s="35" t="n">
        <x:f>--AND(FV$3&gt;=$B$11,FV$3&lt;$B$10,FV$3&lt;EDATE($B$11,MAX(1,'Вводные'!$K$33)),AND($B$7="Да",IFERROR(INDEX('Вводные'!$B$88:$B$91,$B$8),"Нет")="Да"))</x:f>
      </x:c>
      <x:c r="FW17" s="35" t="n">
        <x:f>--AND(FW$3&gt;=$B$11,FW$3&lt;$B$10,FW$3&lt;EDATE($B$11,MAX(1,'Вводные'!$K$33)),AND($B$7="Да",IFERROR(INDEX('Вводные'!$B$88:$B$91,$B$8),"Нет")="Да"))</x:f>
      </x:c>
      <x:c r="FX17" s="35" t="n">
        <x:f>--AND(FX$3&gt;=$B$11,FX$3&lt;$B$10,FX$3&lt;EDATE($B$11,MAX(1,'Вводные'!$K$33)),AND($B$7="Да",IFERROR(INDEX('Вводные'!$B$88:$B$91,$B$8),"Нет")="Да"))</x:f>
      </x:c>
      <x:c r="FY17" s="35" t="n">
        <x:f>--AND(FY$3&gt;=$B$11,FY$3&lt;$B$10,FY$3&lt;EDATE($B$11,MAX(1,'Вводные'!$K$33)),AND($B$7="Да",IFERROR(INDEX('Вводные'!$B$88:$B$91,$B$8),"Нет")="Да"))</x:f>
      </x:c>
      <x:c r="FZ17" s="35" t="n">
        <x:f>--AND(FZ$3&gt;=$B$11,FZ$3&lt;$B$10,FZ$3&lt;EDATE($B$11,MAX(1,'Вводные'!$K$33)),AND($B$7="Да",IFERROR(INDEX('Вводные'!$B$88:$B$91,$B$8),"Нет")="Да"))</x:f>
      </x:c>
      <x:c r="GA17" s="35" t="n">
        <x:f>--AND(GA$3&gt;=$B$11,GA$3&lt;$B$10,GA$3&lt;EDATE($B$11,MAX(1,'Вводные'!$K$33)),AND($B$7="Да",IFERROR(INDEX('Вводные'!$B$88:$B$91,$B$8),"Нет")="Да"))</x:f>
      </x:c>
    </x:row>
    <x:row r="18">
      <x:c r="A18" t="str">
        <x:v>Вес темпа продаж</x:v>
      </x:c>
      <x:c r="B18" s="35"/>
      <x:c r="C18" t="str">
        <x:v>вес</x:v>
      </x:c>
      <x:c r="D18" s="35" t="n">
        <x:f>IF(AND(D$3&gt;=$B$11,D$3&lt;EDATE($B$11,MAX(1,'Вводные'!$K$33)),AND($B$7="Да",IFERROR(INDEX('Вводные'!$B$88:$B$91,$B$8),"Нет")="Да")),1,0)</x:f>
      </x:c>
      <x:c r="E18" s="35" t="n">
        <x:f>IF(AND(E$3&gt;=$B$11,E$3&lt;EDATE($B$11,MAX(1,'Вводные'!$K$33)),AND($B$7="Да",IFERROR(INDEX('Вводные'!$B$88:$B$91,$B$8),"Нет")="Да")),1,0)</x:f>
      </x:c>
      <x:c r="F18" s="35" t="n">
        <x:f>IF(AND(F$3&gt;=$B$11,F$3&lt;EDATE($B$11,MAX(1,'Вводные'!$K$33)),AND($B$7="Да",IFERROR(INDEX('Вводные'!$B$88:$B$91,$B$8),"Нет")="Да")),1,0)</x:f>
      </x:c>
      <x:c r="G18" s="35" t="n">
        <x:f>IF(AND(G$3&gt;=$B$11,G$3&lt;EDATE($B$11,MAX(1,'Вводные'!$K$33)),AND($B$7="Да",IFERROR(INDEX('Вводные'!$B$88:$B$91,$B$8),"Нет")="Да")),1,0)</x:f>
      </x:c>
      <x:c r="H18" s="35" t="n">
        <x:f>IF(AND(H$3&gt;=$B$11,H$3&lt;EDATE($B$11,MAX(1,'Вводные'!$K$33)),AND($B$7="Да",IFERROR(INDEX('Вводные'!$B$88:$B$91,$B$8),"Нет")="Да")),1,0)</x:f>
      </x:c>
      <x:c r="I18" s="35" t="n">
        <x:f>IF(AND(I$3&gt;=$B$11,I$3&lt;EDATE($B$11,MAX(1,'Вводные'!$K$33)),AND($B$7="Да",IFERROR(INDEX('Вводные'!$B$88:$B$91,$B$8),"Нет")="Да")),1,0)</x:f>
      </x:c>
      <x:c r="J18" s="35" t="n">
        <x:f>IF(AND(J$3&gt;=$B$11,J$3&lt;EDATE($B$11,MAX(1,'Вводные'!$K$33)),AND($B$7="Да",IFERROR(INDEX('Вводные'!$B$88:$B$91,$B$8),"Нет")="Да")),1,0)</x:f>
      </x:c>
      <x:c r="K18" s="35" t="n">
        <x:f>IF(AND(K$3&gt;=$B$11,K$3&lt;EDATE($B$11,MAX(1,'Вводные'!$K$33)),AND($B$7="Да",IFERROR(INDEX('Вводные'!$B$88:$B$91,$B$8),"Нет")="Да")),1,0)</x:f>
      </x:c>
      <x:c r="L18" s="35" t="n">
        <x:f>IF(AND(L$3&gt;=$B$11,L$3&lt;EDATE($B$11,MAX(1,'Вводные'!$K$33)),AND($B$7="Да",IFERROR(INDEX('Вводные'!$B$88:$B$91,$B$8),"Нет")="Да")),1,0)</x:f>
      </x:c>
      <x:c r="M18" s="35" t="n">
        <x:f>IF(AND(M$3&gt;=$B$11,M$3&lt;EDATE($B$11,MAX(1,'Вводные'!$K$33)),AND($B$7="Да",IFERROR(INDEX('Вводные'!$B$88:$B$91,$B$8),"Нет")="Да")),1,0)</x:f>
      </x:c>
      <x:c r="N18" s="35" t="n">
        <x:f>IF(AND(N$3&gt;=$B$11,N$3&lt;EDATE($B$11,MAX(1,'Вводные'!$K$33)),AND($B$7="Да",IFERROR(INDEX('Вводные'!$B$88:$B$91,$B$8),"Нет")="Да")),1,0)</x:f>
      </x:c>
      <x:c r="O18" s="35" t="n">
        <x:f>IF(AND(O$3&gt;=$B$11,O$3&lt;EDATE($B$11,MAX(1,'Вводные'!$K$33)),AND($B$7="Да",IFERROR(INDEX('Вводные'!$B$88:$B$91,$B$8),"Нет")="Да")),1,0)</x:f>
      </x:c>
      <x:c r="P18" s="35" t="n">
        <x:f>IF(AND(P$3&gt;=$B$11,P$3&lt;EDATE($B$11,MAX(1,'Вводные'!$K$33)),AND($B$7="Да",IFERROR(INDEX('Вводные'!$B$88:$B$91,$B$8),"Нет")="Да")),1,0)</x:f>
      </x:c>
      <x:c r="Q18" s="35" t="n">
        <x:f>IF(AND(Q$3&gt;=$B$11,Q$3&lt;EDATE($B$11,MAX(1,'Вводные'!$K$33)),AND($B$7="Да",IFERROR(INDEX('Вводные'!$B$88:$B$91,$B$8),"Нет")="Да")),1,0)</x:f>
      </x:c>
      <x:c r="R18" s="35" t="n">
        <x:f>IF(AND(R$3&gt;=$B$11,R$3&lt;EDATE($B$11,MAX(1,'Вводные'!$K$33)),AND($B$7="Да",IFERROR(INDEX('Вводные'!$B$88:$B$91,$B$8),"Нет")="Да")),1,0)</x:f>
      </x:c>
      <x:c r="S18" s="35" t="n">
        <x:f>IF(AND(S$3&gt;=$B$11,S$3&lt;EDATE($B$11,MAX(1,'Вводные'!$K$33)),AND($B$7="Да",IFERROR(INDEX('Вводные'!$B$88:$B$91,$B$8),"Нет")="Да")),1,0)</x:f>
      </x:c>
      <x:c r="T18" s="35" t="n">
        <x:f>IF(AND(T$3&gt;=$B$11,T$3&lt;EDATE($B$11,MAX(1,'Вводные'!$K$33)),AND($B$7="Да",IFERROR(INDEX('Вводные'!$B$88:$B$91,$B$8),"Нет")="Да")),1,0)</x:f>
      </x:c>
      <x:c r="U18" s="35" t="n">
        <x:f>IF(AND(U$3&gt;=$B$11,U$3&lt;EDATE($B$11,MAX(1,'Вводные'!$K$33)),AND($B$7="Да",IFERROR(INDEX('Вводные'!$B$88:$B$91,$B$8),"Нет")="Да")),1,0)</x:f>
      </x:c>
      <x:c r="V18" s="35" t="n">
        <x:f>IF(AND(V$3&gt;=$B$11,V$3&lt;EDATE($B$11,MAX(1,'Вводные'!$K$33)),AND($B$7="Да",IFERROR(INDEX('Вводные'!$B$88:$B$91,$B$8),"Нет")="Да")),1,0)</x:f>
      </x:c>
      <x:c r="W18" s="35" t="n">
        <x:f>IF(AND(W$3&gt;=$B$11,W$3&lt;EDATE($B$11,MAX(1,'Вводные'!$K$33)),AND($B$7="Да",IFERROR(INDEX('Вводные'!$B$88:$B$91,$B$8),"Нет")="Да")),1,0)</x:f>
      </x:c>
      <x:c r="X18" s="35" t="n">
        <x:f>IF(AND(X$3&gt;=$B$11,X$3&lt;EDATE($B$11,MAX(1,'Вводные'!$K$33)),AND($B$7="Да",IFERROR(INDEX('Вводные'!$B$88:$B$91,$B$8),"Нет")="Да")),1,0)</x:f>
      </x:c>
      <x:c r="Y18" s="35" t="n">
        <x:f>IF(AND(Y$3&gt;=$B$11,Y$3&lt;EDATE($B$11,MAX(1,'Вводные'!$K$33)),AND($B$7="Да",IFERROR(INDEX('Вводные'!$B$88:$B$91,$B$8),"Нет")="Да")),1,0)</x:f>
      </x:c>
      <x:c r="Z18" s="35" t="n">
        <x:f>IF(AND(Z$3&gt;=$B$11,Z$3&lt;EDATE($B$11,MAX(1,'Вводные'!$K$33)),AND($B$7="Да",IFERROR(INDEX('Вводные'!$B$88:$B$91,$B$8),"Нет")="Да")),1,0)</x:f>
      </x:c>
      <x:c r="AA18" s="35" t="n">
        <x:f>IF(AND(AA$3&gt;=$B$11,AA$3&lt;EDATE($B$11,MAX(1,'Вводные'!$K$33)),AND($B$7="Да",IFERROR(INDEX('Вводные'!$B$88:$B$91,$B$8),"Нет")="Да")),1,0)</x:f>
      </x:c>
      <x:c r="AB18" s="35" t="n">
        <x:f>IF(AND(AB$3&gt;=$B$11,AB$3&lt;EDATE($B$11,MAX(1,'Вводные'!$K$33)),AND($B$7="Да",IFERROR(INDEX('Вводные'!$B$88:$B$91,$B$8),"Нет")="Да")),1,0)</x:f>
      </x:c>
      <x:c r="AC18" s="35" t="n">
        <x:f>IF(AND(AC$3&gt;=$B$11,AC$3&lt;EDATE($B$11,MAX(1,'Вводные'!$K$33)),AND($B$7="Да",IFERROR(INDEX('Вводные'!$B$88:$B$91,$B$8),"Нет")="Да")),1,0)</x:f>
      </x:c>
      <x:c r="AD18" s="35" t="n">
        <x:f>IF(AND(AD$3&gt;=$B$11,AD$3&lt;EDATE($B$11,MAX(1,'Вводные'!$K$33)),AND($B$7="Да",IFERROR(INDEX('Вводные'!$B$88:$B$91,$B$8),"Нет")="Да")),1,0)</x:f>
      </x:c>
      <x:c r="AE18" s="35" t="n">
        <x:f>IF(AND(AE$3&gt;=$B$11,AE$3&lt;EDATE($B$11,MAX(1,'Вводные'!$K$33)),AND($B$7="Да",IFERROR(INDEX('Вводные'!$B$88:$B$91,$B$8),"Нет")="Да")),1,0)</x:f>
      </x:c>
      <x:c r="AF18" s="35" t="n">
        <x:f>IF(AND(AF$3&gt;=$B$11,AF$3&lt;EDATE($B$11,MAX(1,'Вводные'!$K$33)),AND($B$7="Да",IFERROR(INDEX('Вводные'!$B$88:$B$91,$B$8),"Нет")="Да")),1,0)</x:f>
      </x:c>
      <x:c r="AG18" s="35" t="n">
        <x:f>IF(AND(AG$3&gt;=$B$11,AG$3&lt;EDATE($B$11,MAX(1,'Вводные'!$K$33)),AND($B$7="Да",IFERROR(INDEX('Вводные'!$B$88:$B$91,$B$8),"Нет")="Да")),1,0)</x:f>
      </x:c>
      <x:c r="AH18" s="35" t="n">
        <x:f>IF(AND(AH$3&gt;=$B$11,AH$3&lt;EDATE($B$11,MAX(1,'Вводные'!$K$33)),AND($B$7="Да",IFERROR(INDEX('Вводные'!$B$88:$B$91,$B$8),"Нет")="Да")),1,0)</x:f>
      </x:c>
      <x:c r="AI18" s="35" t="n">
        <x:f>IF(AND(AI$3&gt;=$B$11,AI$3&lt;EDATE($B$11,MAX(1,'Вводные'!$K$33)),AND($B$7="Да",IFERROR(INDEX('Вводные'!$B$88:$B$91,$B$8),"Нет")="Да")),1,0)</x:f>
      </x:c>
      <x:c r="AJ18" s="35" t="n">
        <x:f>IF(AND(AJ$3&gt;=$B$11,AJ$3&lt;EDATE($B$11,MAX(1,'Вводные'!$K$33)),AND($B$7="Да",IFERROR(INDEX('Вводные'!$B$88:$B$91,$B$8),"Нет")="Да")),1,0)</x:f>
      </x:c>
      <x:c r="AK18" s="35" t="n">
        <x:f>IF(AND(AK$3&gt;=$B$11,AK$3&lt;EDATE($B$11,MAX(1,'Вводные'!$K$33)),AND($B$7="Да",IFERROR(INDEX('Вводные'!$B$88:$B$91,$B$8),"Нет")="Да")),1,0)</x:f>
      </x:c>
      <x:c r="AL18" s="35" t="n">
        <x:f>IF(AND(AL$3&gt;=$B$11,AL$3&lt;EDATE($B$11,MAX(1,'Вводные'!$K$33)),AND($B$7="Да",IFERROR(INDEX('Вводные'!$B$88:$B$91,$B$8),"Нет")="Да")),1,0)</x:f>
      </x:c>
      <x:c r="AM18" s="35" t="n">
        <x:f>IF(AND(AM$3&gt;=$B$11,AM$3&lt;EDATE($B$11,MAX(1,'Вводные'!$K$33)),AND($B$7="Да",IFERROR(INDEX('Вводные'!$B$88:$B$91,$B$8),"Нет")="Да")),1,0)</x:f>
      </x:c>
      <x:c r="AN18" s="35" t="n">
        <x:f>IF(AND(AN$3&gt;=$B$11,AN$3&lt;EDATE($B$11,MAX(1,'Вводные'!$K$33)),AND($B$7="Да",IFERROR(INDEX('Вводные'!$B$88:$B$91,$B$8),"Нет")="Да")),1,0)</x:f>
      </x:c>
      <x:c r="AO18" s="35" t="n">
        <x:f>IF(AND(AO$3&gt;=$B$11,AO$3&lt;EDATE($B$11,MAX(1,'Вводные'!$K$33)),AND($B$7="Да",IFERROR(INDEX('Вводные'!$B$88:$B$91,$B$8),"Нет")="Да")),1,0)</x:f>
      </x:c>
      <x:c r="AP18" s="35" t="n">
        <x:f>IF(AND(AP$3&gt;=$B$11,AP$3&lt;EDATE($B$11,MAX(1,'Вводные'!$K$33)),AND($B$7="Да",IFERROR(INDEX('Вводные'!$B$88:$B$91,$B$8),"Нет")="Да")),1,0)</x:f>
      </x:c>
      <x:c r="AQ18" s="35" t="n">
        <x:f>IF(AND(AQ$3&gt;=$B$11,AQ$3&lt;EDATE($B$11,MAX(1,'Вводные'!$K$33)),AND($B$7="Да",IFERROR(INDEX('Вводные'!$B$88:$B$91,$B$8),"Нет")="Да")),1,0)</x:f>
      </x:c>
      <x:c r="AR18" s="35" t="n">
        <x:f>IF(AND(AR$3&gt;=$B$11,AR$3&lt;EDATE($B$11,MAX(1,'Вводные'!$K$33)),AND($B$7="Да",IFERROR(INDEX('Вводные'!$B$88:$B$91,$B$8),"Нет")="Да")),1,0)</x:f>
      </x:c>
      <x:c r="AS18" s="35" t="n">
        <x:f>IF(AND(AS$3&gt;=$B$11,AS$3&lt;EDATE($B$11,MAX(1,'Вводные'!$K$33)),AND($B$7="Да",IFERROR(INDEX('Вводные'!$B$88:$B$91,$B$8),"Нет")="Да")),1,0)</x:f>
      </x:c>
      <x:c r="AT18" s="35" t="n">
        <x:f>IF(AND(AT$3&gt;=$B$11,AT$3&lt;EDATE($B$11,MAX(1,'Вводные'!$K$33)),AND($B$7="Да",IFERROR(INDEX('Вводные'!$B$88:$B$91,$B$8),"Нет")="Да")),1,0)</x:f>
      </x:c>
      <x:c r="AU18" s="35" t="n">
        <x:f>IF(AND(AU$3&gt;=$B$11,AU$3&lt;EDATE($B$11,MAX(1,'Вводные'!$K$33)),AND($B$7="Да",IFERROR(INDEX('Вводные'!$B$88:$B$91,$B$8),"Нет")="Да")),1,0)</x:f>
      </x:c>
      <x:c r="AV18" s="35" t="n">
        <x:f>IF(AND(AV$3&gt;=$B$11,AV$3&lt;EDATE($B$11,MAX(1,'Вводные'!$K$33)),AND($B$7="Да",IFERROR(INDEX('Вводные'!$B$88:$B$91,$B$8),"Нет")="Да")),1,0)</x:f>
      </x:c>
      <x:c r="AW18" s="35" t="n">
        <x:f>IF(AND(AW$3&gt;=$B$11,AW$3&lt;EDATE($B$11,MAX(1,'Вводные'!$K$33)),AND($B$7="Да",IFERROR(INDEX('Вводные'!$B$88:$B$91,$B$8),"Нет")="Да")),1,0)</x:f>
      </x:c>
      <x:c r="AX18" s="35" t="n">
        <x:f>IF(AND(AX$3&gt;=$B$11,AX$3&lt;EDATE($B$11,MAX(1,'Вводные'!$K$33)),AND($B$7="Да",IFERROR(INDEX('Вводные'!$B$88:$B$91,$B$8),"Нет")="Да")),1,0)</x:f>
      </x:c>
      <x:c r="AY18" s="35" t="n">
        <x:f>IF(AND(AY$3&gt;=$B$11,AY$3&lt;EDATE($B$11,MAX(1,'Вводные'!$K$33)),AND($B$7="Да",IFERROR(INDEX('Вводные'!$B$88:$B$91,$B$8),"Нет")="Да")),1,0)</x:f>
      </x:c>
      <x:c r="AZ18" s="35" t="n">
        <x:f>IF(AND(AZ$3&gt;=$B$11,AZ$3&lt;EDATE($B$11,MAX(1,'Вводные'!$K$33)),AND($B$7="Да",IFERROR(INDEX('Вводные'!$B$88:$B$91,$B$8),"Нет")="Да")),1,0)</x:f>
      </x:c>
      <x:c r="BA18" s="35" t="n">
        <x:f>IF(AND(BA$3&gt;=$B$11,BA$3&lt;EDATE($B$11,MAX(1,'Вводные'!$K$33)),AND($B$7="Да",IFERROR(INDEX('Вводные'!$B$88:$B$91,$B$8),"Нет")="Да")),1,0)</x:f>
      </x:c>
      <x:c r="BB18" s="35" t="n">
        <x:f>IF(AND(BB$3&gt;=$B$11,BB$3&lt;EDATE($B$11,MAX(1,'Вводные'!$K$33)),AND($B$7="Да",IFERROR(INDEX('Вводные'!$B$88:$B$91,$B$8),"Нет")="Да")),1,0)</x:f>
      </x:c>
      <x:c r="BC18" s="35" t="n">
        <x:f>IF(AND(BC$3&gt;=$B$11,BC$3&lt;EDATE($B$11,MAX(1,'Вводные'!$K$33)),AND($B$7="Да",IFERROR(INDEX('Вводные'!$B$88:$B$91,$B$8),"Нет")="Да")),1,0)</x:f>
      </x:c>
      <x:c r="BD18" s="35" t="n">
        <x:f>IF(AND(BD$3&gt;=$B$11,BD$3&lt;EDATE($B$11,MAX(1,'Вводные'!$K$33)),AND($B$7="Да",IFERROR(INDEX('Вводные'!$B$88:$B$91,$B$8),"Нет")="Да")),1,0)</x:f>
      </x:c>
      <x:c r="BE18" s="35" t="n">
        <x:f>IF(AND(BE$3&gt;=$B$11,BE$3&lt;EDATE($B$11,MAX(1,'Вводные'!$K$33)),AND($B$7="Да",IFERROR(INDEX('Вводные'!$B$88:$B$91,$B$8),"Нет")="Да")),1,0)</x:f>
      </x:c>
      <x:c r="BF18" s="35" t="n">
        <x:f>IF(AND(BF$3&gt;=$B$11,BF$3&lt;EDATE($B$11,MAX(1,'Вводные'!$K$33)),AND($B$7="Да",IFERROR(INDEX('Вводные'!$B$88:$B$91,$B$8),"Нет")="Да")),1,0)</x:f>
      </x:c>
      <x:c r="BG18" s="35" t="n">
        <x:f>IF(AND(BG$3&gt;=$B$11,BG$3&lt;EDATE($B$11,MAX(1,'Вводные'!$K$33)),AND($B$7="Да",IFERROR(INDEX('Вводные'!$B$88:$B$91,$B$8),"Нет")="Да")),1,0)</x:f>
      </x:c>
      <x:c r="BH18" s="35" t="n">
        <x:f>IF(AND(BH$3&gt;=$B$11,BH$3&lt;EDATE($B$11,MAX(1,'Вводные'!$K$33)),AND($B$7="Да",IFERROR(INDEX('Вводные'!$B$88:$B$91,$B$8),"Нет")="Да")),1,0)</x:f>
      </x:c>
      <x:c r="BI18" s="35" t="n">
        <x:f>IF(AND(BI$3&gt;=$B$11,BI$3&lt;EDATE($B$11,MAX(1,'Вводные'!$K$33)),AND($B$7="Да",IFERROR(INDEX('Вводные'!$B$88:$B$91,$B$8),"Нет")="Да")),1,0)</x:f>
      </x:c>
      <x:c r="BJ18" s="35" t="n">
        <x:f>IF(AND(BJ$3&gt;=$B$11,BJ$3&lt;EDATE($B$11,MAX(1,'Вводные'!$K$33)),AND($B$7="Да",IFERROR(INDEX('Вводные'!$B$88:$B$91,$B$8),"Нет")="Да")),1,0)</x:f>
      </x:c>
      <x:c r="BK18" s="35" t="n">
        <x:f>IF(AND(BK$3&gt;=$B$11,BK$3&lt;EDATE($B$11,MAX(1,'Вводные'!$K$33)),AND($B$7="Да",IFERROR(INDEX('Вводные'!$B$88:$B$91,$B$8),"Нет")="Да")),1,0)</x:f>
      </x:c>
      <x:c r="BL18" s="35" t="n">
        <x:f>IF(AND(BL$3&gt;=$B$11,BL$3&lt;EDATE($B$11,MAX(1,'Вводные'!$K$33)),AND($B$7="Да",IFERROR(INDEX('Вводные'!$B$88:$B$91,$B$8),"Нет")="Да")),1,0)</x:f>
      </x:c>
      <x:c r="BM18" s="35" t="n">
        <x:f>IF(AND(BM$3&gt;=$B$11,BM$3&lt;EDATE($B$11,MAX(1,'Вводные'!$K$33)),AND($B$7="Да",IFERROR(INDEX('Вводные'!$B$88:$B$91,$B$8),"Нет")="Да")),1,0)</x:f>
      </x:c>
      <x:c r="BN18" s="35" t="n">
        <x:f>IF(AND(BN$3&gt;=$B$11,BN$3&lt;EDATE($B$11,MAX(1,'Вводные'!$K$33)),AND($B$7="Да",IFERROR(INDEX('Вводные'!$B$88:$B$91,$B$8),"Нет")="Да")),1,0)</x:f>
      </x:c>
      <x:c r="BO18" s="35" t="n">
        <x:f>IF(AND(BO$3&gt;=$B$11,BO$3&lt;EDATE($B$11,MAX(1,'Вводные'!$K$33)),AND($B$7="Да",IFERROR(INDEX('Вводные'!$B$88:$B$91,$B$8),"Нет")="Да")),1,0)</x:f>
      </x:c>
      <x:c r="BP18" s="35" t="n">
        <x:f>IF(AND(BP$3&gt;=$B$11,BP$3&lt;EDATE($B$11,MAX(1,'Вводные'!$K$33)),AND($B$7="Да",IFERROR(INDEX('Вводные'!$B$88:$B$91,$B$8),"Нет")="Да")),1,0)</x:f>
      </x:c>
      <x:c r="BQ18" s="35" t="n">
        <x:f>IF(AND(BQ$3&gt;=$B$11,BQ$3&lt;EDATE($B$11,MAX(1,'Вводные'!$K$33)),AND($B$7="Да",IFERROR(INDEX('Вводные'!$B$88:$B$91,$B$8),"Нет")="Да")),1,0)</x:f>
      </x:c>
      <x:c r="BR18" s="35" t="n">
        <x:f>IF(AND(BR$3&gt;=$B$11,BR$3&lt;EDATE($B$11,MAX(1,'Вводные'!$K$33)),AND($B$7="Да",IFERROR(INDEX('Вводные'!$B$88:$B$91,$B$8),"Нет")="Да")),1,0)</x:f>
      </x:c>
      <x:c r="BS18" s="35" t="n">
        <x:f>IF(AND(BS$3&gt;=$B$11,BS$3&lt;EDATE($B$11,MAX(1,'Вводные'!$K$33)),AND($B$7="Да",IFERROR(INDEX('Вводные'!$B$88:$B$91,$B$8),"Нет")="Да")),1,0)</x:f>
      </x:c>
      <x:c r="BT18" s="35" t="n">
        <x:f>IF(AND(BT$3&gt;=$B$11,BT$3&lt;EDATE($B$11,MAX(1,'Вводные'!$K$33)),AND($B$7="Да",IFERROR(INDEX('Вводные'!$B$88:$B$91,$B$8),"Нет")="Да")),1,0)</x:f>
      </x:c>
      <x:c r="BU18" s="35" t="n">
        <x:f>IF(AND(BU$3&gt;=$B$11,BU$3&lt;EDATE($B$11,MAX(1,'Вводные'!$K$33)),AND($B$7="Да",IFERROR(INDEX('Вводные'!$B$88:$B$91,$B$8),"Нет")="Да")),1,0)</x:f>
      </x:c>
      <x:c r="BV18" s="35" t="n">
        <x:f>IF(AND(BV$3&gt;=$B$11,BV$3&lt;EDATE($B$11,MAX(1,'Вводные'!$K$33)),AND($B$7="Да",IFERROR(INDEX('Вводные'!$B$88:$B$91,$B$8),"Нет")="Да")),1,0)</x:f>
      </x:c>
      <x:c r="BW18" s="35" t="n">
        <x:f>IF(AND(BW$3&gt;=$B$11,BW$3&lt;EDATE($B$11,MAX(1,'Вводные'!$K$33)),AND($B$7="Да",IFERROR(INDEX('Вводные'!$B$88:$B$91,$B$8),"Нет")="Да")),1,0)</x:f>
      </x:c>
      <x:c r="BX18" s="35" t="n">
        <x:f>IF(AND(BX$3&gt;=$B$11,BX$3&lt;EDATE($B$11,MAX(1,'Вводные'!$K$33)),AND($B$7="Да",IFERROR(INDEX('Вводные'!$B$88:$B$91,$B$8),"Нет")="Да")),1,0)</x:f>
      </x:c>
      <x:c r="BY18" s="35" t="n">
        <x:f>IF(AND(BY$3&gt;=$B$11,BY$3&lt;EDATE($B$11,MAX(1,'Вводные'!$K$33)),AND($B$7="Да",IFERROR(INDEX('Вводные'!$B$88:$B$91,$B$8),"Нет")="Да")),1,0)</x:f>
      </x:c>
      <x:c r="BZ18" s="35" t="n">
        <x:f>IF(AND(BZ$3&gt;=$B$11,BZ$3&lt;EDATE($B$11,MAX(1,'Вводные'!$K$33)),AND($B$7="Да",IFERROR(INDEX('Вводные'!$B$88:$B$91,$B$8),"Нет")="Да")),1,0)</x:f>
      </x:c>
      <x:c r="CA18" s="35" t="n">
        <x:f>IF(AND(CA$3&gt;=$B$11,CA$3&lt;EDATE($B$11,MAX(1,'Вводные'!$K$33)),AND($B$7="Да",IFERROR(INDEX('Вводные'!$B$88:$B$91,$B$8),"Нет")="Да")),1,0)</x:f>
      </x:c>
      <x:c r="CB18" s="35" t="n">
        <x:f>IF(AND(CB$3&gt;=$B$11,CB$3&lt;EDATE($B$11,MAX(1,'Вводные'!$K$33)),AND($B$7="Да",IFERROR(INDEX('Вводные'!$B$88:$B$91,$B$8),"Нет")="Да")),1,0)</x:f>
      </x:c>
      <x:c r="CC18" s="35" t="n">
        <x:f>IF(AND(CC$3&gt;=$B$11,CC$3&lt;EDATE($B$11,MAX(1,'Вводные'!$K$33)),AND($B$7="Да",IFERROR(INDEX('Вводные'!$B$88:$B$91,$B$8),"Нет")="Да")),1,0)</x:f>
      </x:c>
      <x:c r="CD18" s="35" t="n">
        <x:f>IF(AND(CD$3&gt;=$B$11,CD$3&lt;EDATE($B$11,MAX(1,'Вводные'!$K$33)),AND($B$7="Да",IFERROR(INDEX('Вводные'!$B$88:$B$91,$B$8),"Нет")="Да")),1,0)</x:f>
      </x:c>
      <x:c r="CE18" s="35" t="n">
        <x:f>IF(AND(CE$3&gt;=$B$11,CE$3&lt;EDATE($B$11,MAX(1,'Вводные'!$K$33)),AND($B$7="Да",IFERROR(INDEX('Вводные'!$B$88:$B$91,$B$8),"Нет")="Да")),1,0)</x:f>
      </x:c>
      <x:c r="CF18" s="35" t="n">
        <x:f>IF(AND(CF$3&gt;=$B$11,CF$3&lt;EDATE($B$11,MAX(1,'Вводные'!$K$33)),AND($B$7="Да",IFERROR(INDEX('Вводные'!$B$88:$B$91,$B$8),"Нет")="Да")),1,0)</x:f>
      </x:c>
      <x:c r="CG18" s="35" t="n">
        <x:f>IF(AND(CG$3&gt;=$B$11,CG$3&lt;EDATE($B$11,MAX(1,'Вводные'!$K$33)),AND($B$7="Да",IFERROR(INDEX('Вводные'!$B$88:$B$91,$B$8),"Нет")="Да")),1,0)</x:f>
      </x:c>
      <x:c r="CH18" s="35" t="n">
        <x:f>IF(AND(CH$3&gt;=$B$11,CH$3&lt;EDATE($B$11,MAX(1,'Вводные'!$K$33)),AND($B$7="Да",IFERROR(INDEX('Вводные'!$B$88:$B$91,$B$8),"Нет")="Да")),1,0)</x:f>
      </x:c>
      <x:c r="CI18" s="35" t="n">
        <x:f>IF(AND(CI$3&gt;=$B$11,CI$3&lt;EDATE($B$11,MAX(1,'Вводные'!$K$33)),AND($B$7="Да",IFERROR(INDEX('Вводные'!$B$88:$B$91,$B$8),"Нет")="Да")),1,0)</x:f>
      </x:c>
      <x:c r="CJ18" s="35" t="n">
        <x:f>IF(AND(CJ$3&gt;=$B$11,CJ$3&lt;EDATE($B$11,MAX(1,'Вводные'!$K$33)),AND($B$7="Да",IFERROR(INDEX('Вводные'!$B$88:$B$91,$B$8),"Нет")="Да")),1,0)</x:f>
      </x:c>
      <x:c r="CK18" s="35" t="n">
        <x:f>IF(AND(CK$3&gt;=$B$11,CK$3&lt;EDATE($B$11,MAX(1,'Вводные'!$K$33)),AND($B$7="Да",IFERROR(INDEX('Вводные'!$B$88:$B$91,$B$8),"Нет")="Да")),1,0)</x:f>
      </x:c>
      <x:c r="CL18" s="35" t="n">
        <x:f>IF(AND(CL$3&gt;=$B$11,CL$3&lt;EDATE($B$11,MAX(1,'Вводные'!$K$33)),AND($B$7="Да",IFERROR(INDEX('Вводные'!$B$88:$B$91,$B$8),"Нет")="Да")),1,0)</x:f>
      </x:c>
      <x:c r="CM18" s="35" t="n">
        <x:f>IF(AND(CM$3&gt;=$B$11,CM$3&lt;EDATE($B$11,MAX(1,'Вводные'!$K$33)),AND($B$7="Да",IFERROR(INDEX('Вводные'!$B$88:$B$91,$B$8),"Нет")="Да")),1,0)</x:f>
      </x:c>
      <x:c r="CN18" s="35" t="n">
        <x:f>IF(AND(CN$3&gt;=$B$11,CN$3&lt;EDATE($B$11,MAX(1,'Вводные'!$K$33)),AND($B$7="Да",IFERROR(INDEX('Вводные'!$B$88:$B$91,$B$8),"Нет")="Да")),1,0)</x:f>
      </x:c>
      <x:c r="CO18" s="35" t="n">
        <x:f>IF(AND(CO$3&gt;=$B$11,CO$3&lt;EDATE($B$11,MAX(1,'Вводные'!$K$33)),AND($B$7="Да",IFERROR(INDEX('Вводные'!$B$88:$B$91,$B$8),"Нет")="Да")),1,0)</x:f>
      </x:c>
      <x:c r="CP18" s="35" t="n">
        <x:f>IF(AND(CP$3&gt;=$B$11,CP$3&lt;EDATE($B$11,MAX(1,'Вводные'!$K$33)),AND($B$7="Да",IFERROR(INDEX('Вводные'!$B$88:$B$91,$B$8),"Нет")="Да")),1,0)</x:f>
      </x:c>
      <x:c r="CQ18" s="35" t="n">
        <x:f>IF(AND(CQ$3&gt;=$B$11,CQ$3&lt;EDATE($B$11,MAX(1,'Вводные'!$K$33)),AND($B$7="Да",IFERROR(INDEX('Вводные'!$B$88:$B$91,$B$8),"Нет")="Да")),1,0)</x:f>
      </x:c>
      <x:c r="CR18" s="35" t="n">
        <x:f>IF(AND(CR$3&gt;=$B$11,CR$3&lt;EDATE($B$11,MAX(1,'Вводные'!$K$33)),AND($B$7="Да",IFERROR(INDEX('Вводные'!$B$88:$B$91,$B$8),"Нет")="Да")),1,0)</x:f>
      </x:c>
      <x:c r="CS18" s="35" t="n">
        <x:f>IF(AND(CS$3&gt;=$B$11,CS$3&lt;EDATE($B$11,MAX(1,'Вводные'!$K$33)),AND($B$7="Да",IFERROR(INDEX('Вводные'!$B$88:$B$91,$B$8),"Нет")="Да")),1,0)</x:f>
      </x:c>
      <x:c r="CT18" s="35" t="n">
        <x:f>IF(AND(CT$3&gt;=$B$11,CT$3&lt;EDATE($B$11,MAX(1,'Вводные'!$K$33)),AND($B$7="Да",IFERROR(INDEX('Вводные'!$B$88:$B$91,$B$8),"Нет")="Да")),1,0)</x:f>
      </x:c>
      <x:c r="CU18" s="35" t="n">
        <x:f>IF(AND(CU$3&gt;=$B$11,CU$3&lt;EDATE($B$11,MAX(1,'Вводные'!$K$33)),AND($B$7="Да",IFERROR(INDEX('Вводные'!$B$88:$B$91,$B$8),"Нет")="Да")),1,0)</x:f>
      </x:c>
      <x:c r="CV18" s="35" t="n">
        <x:f>IF(AND(CV$3&gt;=$B$11,CV$3&lt;EDATE($B$11,MAX(1,'Вводные'!$K$33)),AND($B$7="Да",IFERROR(INDEX('Вводные'!$B$88:$B$91,$B$8),"Нет")="Да")),1,0)</x:f>
      </x:c>
      <x:c r="CW18" s="35" t="n">
        <x:f>IF(AND(CW$3&gt;=$B$11,CW$3&lt;EDATE($B$11,MAX(1,'Вводные'!$K$33)),AND($B$7="Да",IFERROR(INDEX('Вводные'!$B$88:$B$91,$B$8),"Нет")="Да")),1,0)</x:f>
      </x:c>
      <x:c r="CX18" s="35" t="n">
        <x:f>IF(AND(CX$3&gt;=$B$11,CX$3&lt;EDATE($B$11,MAX(1,'Вводные'!$K$33)),AND($B$7="Да",IFERROR(INDEX('Вводные'!$B$88:$B$91,$B$8),"Нет")="Да")),1,0)</x:f>
      </x:c>
      <x:c r="CY18" s="35" t="n">
        <x:f>IF(AND(CY$3&gt;=$B$11,CY$3&lt;EDATE($B$11,MAX(1,'Вводные'!$K$33)),AND($B$7="Да",IFERROR(INDEX('Вводные'!$B$88:$B$91,$B$8),"Нет")="Да")),1,0)</x:f>
      </x:c>
      <x:c r="CZ18" s="35" t="n">
        <x:f>IF(AND(CZ$3&gt;=$B$11,CZ$3&lt;EDATE($B$11,MAX(1,'Вводные'!$K$33)),AND($B$7="Да",IFERROR(INDEX('Вводные'!$B$88:$B$91,$B$8),"Нет")="Да")),1,0)</x:f>
      </x:c>
      <x:c r="DA18" s="35" t="n">
        <x:f>IF(AND(DA$3&gt;=$B$11,DA$3&lt;EDATE($B$11,MAX(1,'Вводные'!$K$33)),AND($B$7="Да",IFERROR(INDEX('Вводные'!$B$88:$B$91,$B$8),"Нет")="Да")),1,0)</x:f>
      </x:c>
      <x:c r="DB18" s="35" t="n">
        <x:f>IF(AND(DB$3&gt;=$B$11,DB$3&lt;EDATE($B$11,MAX(1,'Вводные'!$K$33)),AND($B$7="Да",IFERROR(INDEX('Вводные'!$B$88:$B$91,$B$8),"Нет")="Да")),1,0)</x:f>
      </x:c>
      <x:c r="DC18" s="35" t="n">
        <x:f>IF(AND(DC$3&gt;=$B$11,DC$3&lt;EDATE($B$11,MAX(1,'Вводные'!$K$33)),AND($B$7="Да",IFERROR(INDEX('Вводные'!$B$88:$B$91,$B$8),"Нет")="Да")),1,0)</x:f>
      </x:c>
      <x:c r="DD18" s="35" t="n">
        <x:f>IF(AND(DD$3&gt;=$B$11,DD$3&lt;EDATE($B$11,MAX(1,'Вводные'!$K$33)),AND($B$7="Да",IFERROR(INDEX('Вводные'!$B$88:$B$91,$B$8),"Нет")="Да")),1,0)</x:f>
      </x:c>
      <x:c r="DE18" s="35" t="n">
        <x:f>IF(AND(DE$3&gt;=$B$11,DE$3&lt;EDATE($B$11,MAX(1,'Вводные'!$K$33)),AND($B$7="Да",IFERROR(INDEX('Вводные'!$B$88:$B$91,$B$8),"Нет")="Да")),1,0)</x:f>
      </x:c>
      <x:c r="DF18" s="35" t="n">
        <x:f>IF(AND(DF$3&gt;=$B$11,DF$3&lt;EDATE($B$11,MAX(1,'Вводные'!$K$33)),AND($B$7="Да",IFERROR(INDEX('Вводные'!$B$88:$B$91,$B$8),"Нет")="Да")),1,0)</x:f>
      </x:c>
      <x:c r="DG18" s="35" t="n">
        <x:f>IF(AND(DG$3&gt;=$B$11,DG$3&lt;EDATE($B$11,MAX(1,'Вводные'!$K$33)),AND($B$7="Да",IFERROR(INDEX('Вводные'!$B$88:$B$91,$B$8),"Нет")="Да")),1,0)</x:f>
      </x:c>
      <x:c r="DH18" s="35" t="n">
        <x:f>IF(AND(DH$3&gt;=$B$11,DH$3&lt;EDATE($B$11,MAX(1,'Вводные'!$K$33)),AND($B$7="Да",IFERROR(INDEX('Вводные'!$B$88:$B$91,$B$8),"Нет")="Да")),1,0)</x:f>
      </x:c>
      <x:c r="DI18" s="35" t="n">
        <x:f>IF(AND(DI$3&gt;=$B$11,DI$3&lt;EDATE($B$11,MAX(1,'Вводные'!$K$33)),AND($B$7="Да",IFERROR(INDEX('Вводные'!$B$88:$B$91,$B$8),"Нет")="Да")),1,0)</x:f>
      </x:c>
      <x:c r="DJ18" s="35" t="n">
        <x:f>IF(AND(DJ$3&gt;=$B$11,DJ$3&lt;EDATE($B$11,MAX(1,'Вводные'!$K$33)),AND($B$7="Да",IFERROR(INDEX('Вводные'!$B$88:$B$91,$B$8),"Нет")="Да")),1,0)</x:f>
      </x:c>
      <x:c r="DK18" s="35" t="n">
        <x:f>IF(AND(DK$3&gt;=$B$11,DK$3&lt;EDATE($B$11,MAX(1,'Вводные'!$K$33)),AND($B$7="Да",IFERROR(INDEX('Вводные'!$B$88:$B$91,$B$8),"Нет")="Да")),1,0)</x:f>
      </x:c>
      <x:c r="DL18" s="35" t="n">
        <x:f>IF(AND(DL$3&gt;=$B$11,DL$3&lt;EDATE($B$11,MAX(1,'Вводные'!$K$33)),AND($B$7="Да",IFERROR(INDEX('Вводные'!$B$88:$B$91,$B$8),"Нет")="Да")),1,0)</x:f>
      </x:c>
      <x:c r="DM18" s="35" t="n">
        <x:f>IF(AND(DM$3&gt;=$B$11,DM$3&lt;EDATE($B$11,MAX(1,'Вводные'!$K$33)),AND($B$7="Да",IFERROR(INDEX('Вводные'!$B$88:$B$91,$B$8),"Нет")="Да")),1,0)</x:f>
      </x:c>
      <x:c r="DN18" s="35" t="n">
        <x:f>IF(AND(DN$3&gt;=$B$11,DN$3&lt;EDATE($B$11,MAX(1,'Вводные'!$K$33)),AND($B$7="Да",IFERROR(INDEX('Вводные'!$B$88:$B$91,$B$8),"Нет")="Да")),1,0)</x:f>
      </x:c>
      <x:c r="DO18" s="35" t="n">
        <x:f>IF(AND(DO$3&gt;=$B$11,DO$3&lt;EDATE($B$11,MAX(1,'Вводные'!$K$33)),AND($B$7="Да",IFERROR(INDEX('Вводные'!$B$88:$B$91,$B$8),"Нет")="Да")),1,0)</x:f>
      </x:c>
      <x:c r="DP18" s="35" t="n">
        <x:f>IF(AND(DP$3&gt;=$B$11,DP$3&lt;EDATE($B$11,MAX(1,'Вводные'!$K$33)),AND($B$7="Да",IFERROR(INDEX('Вводные'!$B$88:$B$91,$B$8),"Нет")="Да")),1,0)</x:f>
      </x:c>
      <x:c r="DQ18" s="35" t="n">
        <x:f>IF(AND(DQ$3&gt;=$B$11,DQ$3&lt;EDATE($B$11,MAX(1,'Вводные'!$K$33)),AND($B$7="Да",IFERROR(INDEX('Вводные'!$B$88:$B$91,$B$8),"Нет")="Да")),1,0)</x:f>
      </x:c>
      <x:c r="DR18" s="35" t="n">
        <x:f>IF(AND(DR$3&gt;=$B$11,DR$3&lt;EDATE($B$11,MAX(1,'Вводные'!$K$33)),AND($B$7="Да",IFERROR(INDEX('Вводные'!$B$88:$B$91,$B$8),"Нет")="Да")),1,0)</x:f>
      </x:c>
      <x:c r="DS18" s="35" t="n">
        <x:f>IF(AND(DS$3&gt;=$B$11,DS$3&lt;EDATE($B$11,MAX(1,'Вводные'!$K$33)),AND($B$7="Да",IFERROR(INDEX('Вводные'!$B$88:$B$91,$B$8),"Нет")="Да")),1,0)</x:f>
      </x:c>
      <x:c r="DT18" s="35" t="n">
        <x:f>IF(AND(DT$3&gt;=$B$11,DT$3&lt;EDATE($B$11,MAX(1,'Вводные'!$K$33)),AND($B$7="Да",IFERROR(INDEX('Вводные'!$B$88:$B$91,$B$8),"Нет")="Да")),1,0)</x:f>
      </x:c>
      <x:c r="DU18" s="35" t="n">
        <x:f>IF(AND(DU$3&gt;=$B$11,DU$3&lt;EDATE($B$11,MAX(1,'Вводные'!$K$33)),AND($B$7="Да",IFERROR(INDEX('Вводные'!$B$88:$B$91,$B$8),"Нет")="Да")),1,0)</x:f>
      </x:c>
      <x:c r="DV18" s="35" t="n">
        <x:f>IF(AND(DV$3&gt;=$B$11,DV$3&lt;EDATE($B$11,MAX(1,'Вводные'!$K$33)),AND($B$7="Да",IFERROR(INDEX('Вводные'!$B$88:$B$91,$B$8),"Нет")="Да")),1,0)</x:f>
      </x:c>
      <x:c r="DW18" s="35" t="n">
        <x:f>IF(AND(DW$3&gt;=$B$11,DW$3&lt;EDATE($B$11,MAX(1,'Вводные'!$K$33)),AND($B$7="Да",IFERROR(INDEX('Вводные'!$B$88:$B$91,$B$8),"Нет")="Да")),1,0)</x:f>
      </x:c>
      <x:c r="DX18" s="35" t="n">
        <x:f>IF(AND(DX$3&gt;=$B$11,DX$3&lt;EDATE($B$11,MAX(1,'Вводные'!$K$33)),AND($B$7="Да",IFERROR(INDEX('Вводные'!$B$88:$B$91,$B$8),"Нет")="Да")),1,0)</x:f>
      </x:c>
      <x:c r="DY18" s="35" t="n">
        <x:f>IF(AND(DY$3&gt;=$B$11,DY$3&lt;EDATE($B$11,MAX(1,'Вводные'!$K$33)),AND($B$7="Да",IFERROR(INDEX('Вводные'!$B$88:$B$91,$B$8),"Нет")="Да")),1,0)</x:f>
      </x:c>
      <x:c r="DZ18" s="35" t="n">
        <x:f>IF(AND(DZ$3&gt;=$B$11,DZ$3&lt;EDATE($B$11,MAX(1,'Вводные'!$K$33)),AND($B$7="Да",IFERROR(INDEX('Вводные'!$B$88:$B$91,$B$8),"Нет")="Да")),1,0)</x:f>
      </x:c>
      <x:c r="EA18" s="35" t="n">
        <x:f>IF(AND(EA$3&gt;=$B$11,EA$3&lt;EDATE($B$11,MAX(1,'Вводные'!$K$33)),AND($B$7="Да",IFERROR(INDEX('Вводные'!$B$88:$B$91,$B$8),"Нет")="Да")),1,0)</x:f>
      </x:c>
      <x:c r="EB18" s="35" t="n">
        <x:f>IF(AND(EB$3&gt;=$B$11,EB$3&lt;EDATE($B$11,MAX(1,'Вводные'!$K$33)),AND($B$7="Да",IFERROR(INDEX('Вводные'!$B$88:$B$91,$B$8),"Нет")="Да")),1,0)</x:f>
      </x:c>
      <x:c r="EC18" s="35" t="n">
        <x:f>IF(AND(EC$3&gt;=$B$11,EC$3&lt;EDATE($B$11,MAX(1,'Вводные'!$K$33)),AND($B$7="Да",IFERROR(INDEX('Вводные'!$B$88:$B$91,$B$8),"Нет")="Да")),1,0)</x:f>
      </x:c>
      <x:c r="ED18" s="35" t="n">
        <x:f>IF(AND(ED$3&gt;=$B$11,ED$3&lt;EDATE($B$11,MAX(1,'Вводные'!$K$33)),AND($B$7="Да",IFERROR(INDEX('Вводные'!$B$88:$B$91,$B$8),"Нет")="Да")),1,0)</x:f>
      </x:c>
      <x:c r="EE18" s="35" t="n">
        <x:f>IF(AND(EE$3&gt;=$B$11,EE$3&lt;EDATE($B$11,MAX(1,'Вводные'!$K$33)),AND($B$7="Да",IFERROR(INDEX('Вводные'!$B$88:$B$91,$B$8),"Нет")="Да")),1,0)</x:f>
      </x:c>
      <x:c r="EF18" s="35" t="n">
        <x:f>IF(AND(EF$3&gt;=$B$11,EF$3&lt;EDATE($B$11,MAX(1,'Вводные'!$K$33)),AND($B$7="Да",IFERROR(INDEX('Вводные'!$B$88:$B$91,$B$8),"Нет")="Да")),1,0)</x:f>
      </x:c>
      <x:c r="EG18" s="35" t="n">
        <x:f>IF(AND(EG$3&gt;=$B$11,EG$3&lt;EDATE($B$11,MAX(1,'Вводные'!$K$33)),AND($B$7="Да",IFERROR(INDEX('Вводные'!$B$88:$B$91,$B$8),"Нет")="Да")),1,0)</x:f>
      </x:c>
      <x:c r="EH18" s="35" t="n">
        <x:f>IF(AND(EH$3&gt;=$B$11,EH$3&lt;EDATE($B$11,MAX(1,'Вводные'!$K$33)),AND($B$7="Да",IFERROR(INDEX('Вводные'!$B$88:$B$91,$B$8),"Нет")="Да")),1,0)</x:f>
      </x:c>
      <x:c r="EI18" s="35" t="n">
        <x:f>IF(AND(EI$3&gt;=$B$11,EI$3&lt;EDATE($B$11,MAX(1,'Вводные'!$K$33)),AND($B$7="Да",IFERROR(INDEX('Вводные'!$B$88:$B$91,$B$8),"Нет")="Да")),1,0)</x:f>
      </x:c>
      <x:c r="EJ18" s="35" t="n">
        <x:f>IF(AND(EJ$3&gt;=$B$11,EJ$3&lt;EDATE($B$11,MAX(1,'Вводные'!$K$33)),AND($B$7="Да",IFERROR(INDEX('Вводные'!$B$88:$B$91,$B$8),"Нет")="Да")),1,0)</x:f>
      </x:c>
      <x:c r="EK18" s="35" t="n">
        <x:f>IF(AND(EK$3&gt;=$B$11,EK$3&lt;EDATE($B$11,MAX(1,'Вводные'!$K$33)),AND($B$7="Да",IFERROR(INDEX('Вводные'!$B$88:$B$91,$B$8),"Нет")="Да")),1,0)</x:f>
      </x:c>
      <x:c r="EL18" s="35" t="n">
        <x:f>IF(AND(EL$3&gt;=$B$11,EL$3&lt;EDATE($B$11,MAX(1,'Вводные'!$K$33)),AND($B$7="Да",IFERROR(INDEX('Вводные'!$B$88:$B$91,$B$8),"Нет")="Да")),1,0)</x:f>
      </x:c>
      <x:c r="EM18" s="35" t="n">
        <x:f>IF(AND(EM$3&gt;=$B$11,EM$3&lt;EDATE($B$11,MAX(1,'Вводные'!$K$33)),AND($B$7="Да",IFERROR(INDEX('Вводные'!$B$88:$B$91,$B$8),"Нет")="Да")),1,0)</x:f>
      </x:c>
      <x:c r="EN18" s="35" t="n">
        <x:f>IF(AND(EN$3&gt;=$B$11,EN$3&lt;EDATE($B$11,MAX(1,'Вводные'!$K$33)),AND($B$7="Да",IFERROR(INDEX('Вводные'!$B$88:$B$91,$B$8),"Нет")="Да")),1,0)</x:f>
      </x:c>
      <x:c r="EO18" s="35" t="n">
        <x:f>IF(AND(EO$3&gt;=$B$11,EO$3&lt;EDATE($B$11,MAX(1,'Вводные'!$K$33)),AND($B$7="Да",IFERROR(INDEX('Вводные'!$B$88:$B$91,$B$8),"Нет")="Да")),1,0)</x:f>
      </x:c>
      <x:c r="EP18" s="35" t="n">
        <x:f>IF(AND(EP$3&gt;=$B$11,EP$3&lt;EDATE($B$11,MAX(1,'Вводные'!$K$33)),AND($B$7="Да",IFERROR(INDEX('Вводные'!$B$88:$B$91,$B$8),"Нет")="Да")),1,0)</x:f>
      </x:c>
      <x:c r="EQ18" s="35" t="n">
        <x:f>IF(AND(EQ$3&gt;=$B$11,EQ$3&lt;EDATE($B$11,MAX(1,'Вводные'!$K$33)),AND($B$7="Да",IFERROR(INDEX('Вводные'!$B$88:$B$91,$B$8),"Нет")="Да")),1,0)</x:f>
      </x:c>
      <x:c r="ER18" s="35" t="n">
        <x:f>IF(AND(ER$3&gt;=$B$11,ER$3&lt;EDATE($B$11,MAX(1,'Вводные'!$K$33)),AND($B$7="Да",IFERROR(INDEX('Вводные'!$B$88:$B$91,$B$8),"Нет")="Да")),1,0)</x:f>
      </x:c>
      <x:c r="ES18" s="35" t="n">
        <x:f>IF(AND(ES$3&gt;=$B$11,ES$3&lt;EDATE($B$11,MAX(1,'Вводные'!$K$33)),AND($B$7="Да",IFERROR(INDEX('Вводные'!$B$88:$B$91,$B$8),"Нет")="Да")),1,0)</x:f>
      </x:c>
      <x:c r="ET18" s="35" t="n">
        <x:f>IF(AND(ET$3&gt;=$B$11,ET$3&lt;EDATE($B$11,MAX(1,'Вводные'!$K$33)),AND($B$7="Да",IFERROR(INDEX('Вводные'!$B$88:$B$91,$B$8),"Нет")="Да")),1,0)</x:f>
      </x:c>
      <x:c r="EU18" s="35" t="n">
        <x:f>IF(AND(EU$3&gt;=$B$11,EU$3&lt;EDATE($B$11,MAX(1,'Вводные'!$K$33)),AND($B$7="Да",IFERROR(INDEX('Вводные'!$B$88:$B$91,$B$8),"Нет")="Да")),1,0)</x:f>
      </x:c>
      <x:c r="EV18" s="35" t="n">
        <x:f>IF(AND(EV$3&gt;=$B$11,EV$3&lt;EDATE($B$11,MAX(1,'Вводные'!$K$33)),AND($B$7="Да",IFERROR(INDEX('Вводные'!$B$88:$B$91,$B$8),"Нет")="Да")),1,0)</x:f>
      </x:c>
      <x:c r="EW18" s="35" t="n">
        <x:f>IF(AND(EW$3&gt;=$B$11,EW$3&lt;EDATE($B$11,MAX(1,'Вводные'!$K$33)),AND($B$7="Да",IFERROR(INDEX('Вводные'!$B$88:$B$91,$B$8),"Нет")="Да")),1,0)</x:f>
      </x:c>
      <x:c r="EX18" s="35" t="n">
        <x:f>IF(AND(EX$3&gt;=$B$11,EX$3&lt;EDATE($B$11,MAX(1,'Вводные'!$K$33)),AND($B$7="Да",IFERROR(INDEX('Вводные'!$B$88:$B$91,$B$8),"Нет")="Да")),1,0)</x:f>
      </x:c>
      <x:c r="EY18" s="35" t="n">
        <x:f>IF(AND(EY$3&gt;=$B$11,EY$3&lt;EDATE($B$11,MAX(1,'Вводные'!$K$33)),AND($B$7="Да",IFERROR(INDEX('Вводные'!$B$88:$B$91,$B$8),"Нет")="Да")),1,0)</x:f>
      </x:c>
      <x:c r="EZ18" s="35" t="n">
        <x:f>IF(AND(EZ$3&gt;=$B$11,EZ$3&lt;EDATE($B$11,MAX(1,'Вводные'!$K$33)),AND($B$7="Да",IFERROR(INDEX('Вводные'!$B$88:$B$91,$B$8),"Нет")="Да")),1,0)</x:f>
      </x:c>
      <x:c r="FA18" s="35" t="n">
        <x:f>IF(AND(FA$3&gt;=$B$11,FA$3&lt;EDATE($B$11,MAX(1,'Вводные'!$K$33)),AND($B$7="Да",IFERROR(INDEX('Вводные'!$B$88:$B$91,$B$8),"Нет")="Да")),1,0)</x:f>
      </x:c>
      <x:c r="FB18" s="35" t="n">
        <x:f>IF(AND(FB$3&gt;=$B$11,FB$3&lt;EDATE($B$11,MAX(1,'Вводные'!$K$33)),AND($B$7="Да",IFERROR(INDEX('Вводные'!$B$88:$B$91,$B$8),"Нет")="Да")),1,0)</x:f>
      </x:c>
      <x:c r="FC18" s="35" t="n">
        <x:f>IF(AND(FC$3&gt;=$B$11,FC$3&lt;EDATE($B$11,MAX(1,'Вводные'!$K$33)),AND($B$7="Да",IFERROR(INDEX('Вводные'!$B$88:$B$91,$B$8),"Нет")="Да")),1,0)</x:f>
      </x:c>
      <x:c r="FD18" s="35" t="n">
        <x:f>IF(AND(FD$3&gt;=$B$11,FD$3&lt;EDATE($B$11,MAX(1,'Вводные'!$K$33)),AND($B$7="Да",IFERROR(INDEX('Вводные'!$B$88:$B$91,$B$8),"Нет")="Да")),1,0)</x:f>
      </x:c>
      <x:c r="FE18" s="35" t="n">
        <x:f>IF(AND(FE$3&gt;=$B$11,FE$3&lt;EDATE($B$11,MAX(1,'Вводные'!$K$33)),AND($B$7="Да",IFERROR(INDEX('Вводные'!$B$88:$B$91,$B$8),"Нет")="Да")),1,0)</x:f>
      </x:c>
      <x:c r="FF18" s="35" t="n">
        <x:f>IF(AND(FF$3&gt;=$B$11,FF$3&lt;EDATE($B$11,MAX(1,'Вводные'!$K$33)),AND($B$7="Да",IFERROR(INDEX('Вводные'!$B$88:$B$91,$B$8),"Нет")="Да")),1,0)</x:f>
      </x:c>
      <x:c r="FG18" s="35" t="n">
        <x:f>IF(AND(FG$3&gt;=$B$11,FG$3&lt;EDATE($B$11,MAX(1,'Вводные'!$K$33)),AND($B$7="Да",IFERROR(INDEX('Вводные'!$B$88:$B$91,$B$8),"Нет")="Да")),1,0)</x:f>
      </x:c>
      <x:c r="FH18" s="35" t="n">
        <x:f>IF(AND(FH$3&gt;=$B$11,FH$3&lt;EDATE($B$11,MAX(1,'Вводные'!$K$33)),AND($B$7="Да",IFERROR(INDEX('Вводные'!$B$88:$B$91,$B$8),"Нет")="Да")),1,0)</x:f>
      </x:c>
      <x:c r="FI18" s="35" t="n">
        <x:f>IF(AND(FI$3&gt;=$B$11,FI$3&lt;EDATE($B$11,MAX(1,'Вводные'!$K$33)),AND($B$7="Да",IFERROR(INDEX('Вводные'!$B$88:$B$91,$B$8),"Нет")="Да")),1,0)</x:f>
      </x:c>
      <x:c r="FJ18" s="35" t="n">
        <x:f>IF(AND(FJ$3&gt;=$B$11,FJ$3&lt;EDATE($B$11,MAX(1,'Вводные'!$K$33)),AND($B$7="Да",IFERROR(INDEX('Вводные'!$B$88:$B$91,$B$8),"Нет")="Да")),1,0)</x:f>
      </x:c>
      <x:c r="FK18" s="35" t="n">
        <x:f>IF(AND(FK$3&gt;=$B$11,FK$3&lt;EDATE($B$11,MAX(1,'Вводные'!$K$33)),AND($B$7="Да",IFERROR(INDEX('Вводные'!$B$88:$B$91,$B$8),"Нет")="Да")),1,0)</x:f>
      </x:c>
      <x:c r="FL18" s="35" t="n">
        <x:f>IF(AND(FL$3&gt;=$B$11,FL$3&lt;EDATE($B$11,MAX(1,'Вводные'!$K$33)),AND($B$7="Да",IFERROR(INDEX('Вводные'!$B$88:$B$91,$B$8),"Нет")="Да")),1,0)</x:f>
      </x:c>
      <x:c r="FM18" s="35" t="n">
        <x:f>IF(AND(FM$3&gt;=$B$11,FM$3&lt;EDATE($B$11,MAX(1,'Вводные'!$K$33)),AND($B$7="Да",IFERROR(INDEX('Вводные'!$B$88:$B$91,$B$8),"Нет")="Да")),1,0)</x:f>
      </x:c>
      <x:c r="FN18" s="35" t="n">
        <x:f>IF(AND(FN$3&gt;=$B$11,FN$3&lt;EDATE($B$11,MAX(1,'Вводные'!$K$33)),AND($B$7="Да",IFERROR(INDEX('Вводные'!$B$88:$B$91,$B$8),"Нет")="Да")),1,0)</x:f>
      </x:c>
      <x:c r="FO18" s="35" t="n">
        <x:f>IF(AND(FO$3&gt;=$B$11,FO$3&lt;EDATE($B$11,MAX(1,'Вводные'!$K$33)),AND($B$7="Да",IFERROR(INDEX('Вводные'!$B$88:$B$91,$B$8),"Нет")="Да")),1,0)</x:f>
      </x:c>
      <x:c r="FP18" s="35" t="n">
        <x:f>IF(AND(FP$3&gt;=$B$11,FP$3&lt;EDATE($B$11,MAX(1,'Вводные'!$K$33)),AND($B$7="Да",IFERROR(INDEX('Вводные'!$B$88:$B$91,$B$8),"Нет")="Да")),1,0)</x:f>
      </x:c>
      <x:c r="FQ18" s="35" t="n">
        <x:f>IF(AND(FQ$3&gt;=$B$11,FQ$3&lt;EDATE($B$11,MAX(1,'Вводные'!$K$33)),AND($B$7="Да",IFERROR(INDEX('Вводные'!$B$88:$B$91,$B$8),"Нет")="Да")),1,0)</x:f>
      </x:c>
      <x:c r="FR18" s="35" t="n">
        <x:f>IF(AND(FR$3&gt;=$B$11,FR$3&lt;EDATE($B$11,MAX(1,'Вводные'!$K$33)),AND($B$7="Да",IFERROR(INDEX('Вводные'!$B$88:$B$91,$B$8),"Нет")="Да")),1,0)</x:f>
      </x:c>
      <x:c r="FS18" s="35" t="n">
        <x:f>IF(AND(FS$3&gt;=$B$11,FS$3&lt;EDATE($B$11,MAX(1,'Вводные'!$K$33)),AND($B$7="Да",IFERROR(INDEX('Вводные'!$B$88:$B$91,$B$8),"Нет")="Да")),1,0)</x:f>
      </x:c>
      <x:c r="FT18" s="35" t="n">
        <x:f>IF(AND(FT$3&gt;=$B$11,FT$3&lt;EDATE($B$11,MAX(1,'Вводные'!$K$33)),AND($B$7="Да",IFERROR(INDEX('Вводные'!$B$88:$B$91,$B$8),"Нет")="Да")),1,0)</x:f>
      </x:c>
      <x:c r="FU18" s="35" t="n">
        <x:f>IF(AND(FU$3&gt;=$B$11,FU$3&lt;EDATE($B$11,MAX(1,'Вводные'!$K$33)),AND($B$7="Да",IFERROR(INDEX('Вводные'!$B$88:$B$91,$B$8),"Нет")="Да")),1,0)</x:f>
      </x:c>
      <x:c r="FV18" s="35" t="n">
        <x:f>IF(AND(FV$3&gt;=$B$11,FV$3&lt;EDATE($B$11,MAX(1,'Вводные'!$K$33)),AND($B$7="Да",IFERROR(INDEX('Вводные'!$B$88:$B$91,$B$8),"Нет")="Да")),1,0)</x:f>
      </x:c>
      <x:c r="FW18" s="35" t="n">
        <x:f>IF(AND(FW$3&gt;=$B$11,FW$3&lt;EDATE($B$11,MAX(1,'Вводные'!$K$33)),AND($B$7="Да",IFERROR(INDEX('Вводные'!$B$88:$B$91,$B$8),"Нет")="Да")),1,0)</x:f>
      </x:c>
      <x:c r="FX18" s="35" t="n">
        <x:f>IF(AND(FX$3&gt;=$B$11,FX$3&lt;EDATE($B$11,MAX(1,'Вводные'!$K$33)),AND($B$7="Да",IFERROR(INDEX('Вводные'!$B$88:$B$91,$B$8),"Нет")="Да")),1,0)</x:f>
      </x:c>
      <x:c r="FY18" s="35" t="n">
        <x:f>IF(AND(FY$3&gt;=$B$11,FY$3&lt;EDATE($B$11,MAX(1,'Вводные'!$K$33)),AND($B$7="Да",IFERROR(INDEX('Вводные'!$B$88:$B$91,$B$8),"Нет")="Да")),1,0)</x:f>
      </x:c>
      <x:c r="FZ18" s="35" t="n">
        <x:f>IF(AND(FZ$3&gt;=$B$11,FZ$3&lt;EDATE($B$11,MAX(1,'Вводные'!$K$33)),AND($B$7="Да",IFERROR(INDEX('Вводные'!$B$88:$B$91,$B$8),"Нет")="Да")),1,0)</x:f>
      </x:c>
      <x:c r="GA18" s="35" t="n">
        <x:f>IF(AND(GA$3&gt;=$B$11,GA$3&lt;EDATE($B$11,MAX(1,'Вводные'!$K$33)),AND($B$7="Да",IFERROR(INDEX('Вводные'!$B$88:$B$91,$B$8),"Нет")="Да")),1,0)</x:f>
      </x:c>
    </x:row>
    <x:row r="19">
      <x:c r="A19" t="str">
        <x:v>Нормированный вес до РВЭ</x:v>
      </x:c>
      <x:c r="B19" s="35" t="n">
        <x:f>SUM(D19:GA19)</x:f>
      </x:c>
      <x:c r="C19" t="str">
        <x:v>%</x:v>
      </x:c>
      <x:c r="D19" s="35" t="n">
        <x:f>IFERROR(D18*D17/SUMPRODUCT($D18:$GA18,$D17:$GA17),0)</x:f>
      </x:c>
      <x:c r="E19" s="35" t="n">
        <x:f>IFERROR(E18*E17/SUMPRODUCT($D18:$GA18,$D17:$GA17),0)</x:f>
      </x:c>
      <x:c r="F19" s="35" t="n">
        <x:f>IFERROR(F18*F17/SUMPRODUCT($D18:$GA18,$D17:$GA17),0)</x:f>
      </x:c>
      <x:c r="G19" s="35" t="n">
        <x:f>IFERROR(G18*G17/SUMPRODUCT($D18:$GA18,$D17:$GA17),0)</x:f>
      </x:c>
      <x:c r="H19" s="35" t="n">
        <x:f>IFERROR(H18*H17/SUMPRODUCT($D18:$GA18,$D17:$GA17),0)</x:f>
      </x:c>
      <x:c r="I19" s="35" t="n">
        <x:f>IFERROR(I18*I17/SUMPRODUCT($D18:$GA18,$D17:$GA17),0)</x:f>
      </x:c>
      <x:c r="J19" s="35" t="n">
        <x:f>IFERROR(J18*J17/SUMPRODUCT($D18:$GA18,$D17:$GA17),0)</x:f>
      </x:c>
      <x:c r="K19" s="35" t="n">
        <x:f>IFERROR(K18*K17/SUMPRODUCT($D18:$GA18,$D17:$GA17),0)</x:f>
      </x:c>
      <x:c r="L19" s="35" t="n">
        <x:f>IFERROR(L18*L17/SUMPRODUCT($D18:$GA18,$D17:$GA17),0)</x:f>
      </x:c>
      <x:c r="M19" s="35" t="n">
        <x:f>IFERROR(M18*M17/SUMPRODUCT($D18:$GA18,$D17:$GA17),0)</x:f>
      </x:c>
      <x:c r="N19" s="35" t="n">
        <x:f>IFERROR(N18*N17/SUMPRODUCT($D18:$GA18,$D17:$GA17),0)</x:f>
      </x:c>
      <x:c r="O19" s="35" t="n">
        <x:f>IFERROR(O18*O17/SUMPRODUCT($D18:$GA18,$D17:$GA17),0)</x:f>
      </x:c>
      <x:c r="P19" s="35" t="n">
        <x:f>IFERROR(P18*P17/SUMPRODUCT($D18:$GA18,$D17:$GA17),0)</x:f>
      </x:c>
      <x:c r="Q19" s="35" t="n">
        <x:f>IFERROR(Q18*Q17/SUMPRODUCT($D18:$GA18,$D17:$GA17),0)</x:f>
      </x:c>
      <x:c r="R19" s="35" t="n">
        <x:f>IFERROR(R18*R17/SUMPRODUCT($D18:$GA18,$D17:$GA17),0)</x:f>
      </x:c>
      <x:c r="S19" s="35" t="n">
        <x:f>IFERROR(S18*S17/SUMPRODUCT($D18:$GA18,$D17:$GA17),0)</x:f>
      </x:c>
      <x:c r="T19" s="35" t="n">
        <x:f>IFERROR(T18*T17/SUMPRODUCT($D18:$GA18,$D17:$GA17),0)</x:f>
      </x:c>
      <x:c r="U19" s="35" t="n">
        <x:f>IFERROR(U18*U17/SUMPRODUCT($D18:$GA18,$D17:$GA17),0)</x:f>
      </x:c>
      <x:c r="V19" s="35" t="n">
        <x:f>IFERROR(V18*V17/SUMPRODUCT($D18:$GA18,$D17:$GA17),0)</x:f>
      </x:c>
      <x:c r="W19" s="35" t="n">
        <x:f>IFERROR(W18*W17/SUMPRODUCT($D18:$GA18,$D17:$GA17),0)</x:f>
      </x:c>
      <x:c r="X19" s="35" t="n">
        <x:f>IFERROR(X18*X17/SUMPRODUCT($D18:$GA18,$D17:$GA17),0)</x:f>
      </x:c>
      <x:c r="Y19" s="35" t="n">
        <x:f>IFERROR(Y18*Y17/SUMPRODUCT($D18:$GA18,$D17:$GA17),0)</x:f>
      </x:c>
      <x:c r="Z19" s="35" t="n">
        <x:f>IFERROR(Z18*Z17/SUMPRODUCT($D18:$GA18,$D17:$GA17),0)</x:f>
      </x:c>
      <x:c r="AA19" s="35" t="n">
        <x:f>IFERROR(AA18*AA17/SUMPRODUCT($D18:$GA18,$D17:$GA17),0)</x:f>
      </x:c>
      <x:c r="AB19" s="35" t="n">
        <x:f>IFERROR(AB18*AB17/SUMPRODUCT($D18:$GA18,$D17:$GA17),0)</x:f>
      </x:c>
      <x:c r="AC19" s="35" t="n">
        <x:f>IFERROR(AC18*AC17/SUMPRODUCT($D18:$GA18,$D17:$GA17),0)</x:f>
      </x:c>
      <x:c r="AD19" s="35" t="n">
        <x:f>IFERROR(AD18*AD17/SUMPRODUCT($D18:$GA18,$D17:$GA17),0)</x:f>
      </x:c>
      <x:c r="AE19" s="35" t="n">
        <x:f>IFERROR(AE18*AE17/SUMPRODUCT($D18:$GA18,$D17:$GA17),0)</x:f>
      </x:c>
      <x:c r="AF19" s="35" t="n">
        <x:f>IFERROR(AF18*AF17/SUMPRODUCT($D18:$GA18,$D17:$GA17),0)</x:f>
      </x:c>
      <x:c r="AG19" s="35" t="n">
        <x:f>IFERROR(AG18*AG17/SUMPRODUCT($D18:$GA18,$D17:$GA17),0)</x:f>
      </x:c>
      <x:c r="AH19" s="35" t="n">
        <x:f>IFERROR(AH18*AH17/SUMPRODUCT($D18:$GA18,$D17:$GA17),0)</x:f>
      </x:c>
      <x:c r="AI19" s="35" t="n">
        <x:f>IFERROR(AI18*AI17/SUMPRODUCT($D18:$GA18,$D17:$GA17),0)</x:f>
      </x:c>
      <x:c r="AJ19" s="35" t="n">
        <x:f>IFERROR(AJ18*AJ17/SUMPRODUCT($D18:$GA18,$D17:$GA17),0)</x:f>
      </x:c>
      <x:c r="AK19" s="35" t="n">
        <x:f>IFERROR(AK18*AK17/SUMPRODUCT($D18:$GA18,$D17:$GA17),0)</x:f>
      </x:c>
      <x:c r="AL19" s="35" t="n">
        <x:f>IFERROR(AL18*AL17/SUMPRODUCT($D18:$GA18,$D17:$GA17),0)</x:f>
      </x:c>
      <x:c r="AM19" s="35" t="n">
        <x:f>IFERROR(AM18*AM17/SUMPRODUCT($D18:$GA18,$D17:$GA17),0)</x:f>
      </x:c>
      <x:c r="AN19" s="35" t="n">
        <x:f>IFERROR(AN18*AN17/SUMPRODUCT($D18:$GA18,$D17:$GA17),0)</x:f>
      </x:c>
      <x:c r="AO19" s="35" t="n">
        <x:f>IFERROR(AO18*AO17/SUMPRODUCT($D18:$GA18,$D17:$GA17),0)</x:f>
      </x:c>
      <x:c r="AP19" s="35" t="n">
        <x:f>IFERROR(AP18*AP17/SUMPRODUCT($D18:$GA18,$D17:$GA17),0)</x:f>
      </x:c>
      <x:c r="AQ19" s="35" t="n">
        <x:f>IFERROR(AQ18*AQ17/SUMPRODUCT($D18:$GA18,$D17:$GA17),0)</x:f>
      </x:c>
      <x:c r="AR19" s="35" t="n">
        <x:f>IFERROR(AR18*AR17/SUMPRODUCT($D18:$GA18,$D17:$GA17),0)</x:f>
      </x:c>
      <x:c r="AS19" s="35" t="n">
        <x:f>IFERROR(AS18*AS17/SUMPRODUCT($D18:$GA18,$D17:$GA17),0)</x:f>
      </x:c>
      <x:c r="AT19" s="35" t="n">
        <x:f>IFERROR(AT18*AT17/SUMPRODUCT($D18:$GA18,$D17:$GA17),0)</x:f>
      </x:c>
      <x:c r="AU19" s="35" t="n">
        <x:f>IFERROR(AU18*AU17/SUMPRODUCT($D18:$GA18,$D17:$GA17),0)</x:f>
      </x:c>
      <x:c r="AV19" s="35" t="n">
        <x:f>IFERROR(AV18*AV17/SUMPRODUCT($D18:$GA18,$D17:$GA17),0)</x:f>
      </x:c>
      <x:c r="AW19" s="35" t="n">
        <x:f>IFERROR(AW18*AW17/SUMPRODUCT($D18:$GA18,$D17:$GA17),0)</x:f>
      </x:c>
      <x:c r="AX19" s="35" t="n">
        <x:f>IFERROR(AX18*AX17/SUMPRODUCT($D18:$GA18,$D17:$GA17),0)</x:f>
      </x:c>
      <x:c r="AY19" s="35" t="n">
        <x:f>IFERROR(AY18*AY17/SUMPRODUCT($D18:$GA18,$D17:$GA17),0)</x:f>
      </x:c>
      <x:c r="AZ19" s="35" t="n">
        <x:f>IFERROR(AZ18*AZ17/SUMPRODUCT($D18:$GA18,$D17:$GA17),0)</x:f>
      </x:c>
      <x:c r="BA19" s="35" t="n">
        <x:f>IFERROR(BA18*BA17/SUMPRODUCT($D18:$GA18,$D17:$GA17),0)</x:f>
      </x:c>
      <x:c r="BB19" s="35" t="n">
        <x:f>IFERROR(BB18*BB17/SUMPRODUCT($D18:$GA18,$D17:$GA17),0)</x:f>
      </x:c>
      <x:c r="BC19" s="35" t="n">
        <x:f>IFERROR(BC18*BC17/SUMPRODUCT($D18:$GA18,$D17:$GA17),0)</x:f>
      </x:c>
      <x:c r="BD19" s="35" t="n">
        <x:f>IFERROR(BD18*BD17/SUMPRODUCT($D18:$GA18,$D17:$GA17),0)</x:f>
      </x:c>
      <x:c r="BE19" s="35" t="n">
        <x:f>IFERROR(BE18*BE17/SUMPRODUCT($D18:$GA18,$D17:$GA17),0)</x:f>
      </x:c>
      <x:c r="BF19" s="35" t="n">
        <x:f>IFERROR(BF18*BF17/SUMPRODUCT($D18:$GA18,$D17:$GA17),0)</x:f>
      </x:c>
      <x:c r="BG19" s="35" t="n">
        <x:f>IFERROR(BG18*BG17/SUMPRODUCT($D18:$GA18,$D17:$GA17),0)</x:f>
      </x:c>
      <x:c r="BH19" s="35" t="n">
        <x:f>IFERROR(BH18*BH17/SUMPRODUCT($D18:$GA18,$D17:$GA17),0)</x:f>
      </x:c>
      <x:c r="BI19" s="35" t="n">
        <x:f>IFERROR(BI18*BI17/SUMPRODUCT($D18:$GA18,$D17:$GA17),0)</x:f>
      </x:c>
      <x:c r="BJ19" s="35" t="n">
        <x:f>IFERROR(BJ18*BJ17/SUMPRODUCT($D18:$GA18,$D17:$GA17),0)</x:f>
      </x:c>
      <x:c r="BK19" s="35" t="n">
        <x:f>IFERROR(BK18*BK17/SUMPRODUCT($D18:$GA18,$D17:$GA17),0)</x:f>
      </x:c>
      <x:c r="BL19" s="35" t="n">
        <x:f>IFERROR(BL18*BL17/SUMPRODUCT($D18:$GA18,$D17:$GA17),0)</x:f>
      </x:c>
      <x:c r="BM19" s="35" t="n">
        <x:f>IFERROR(BM18*BM17/SUMPRODUCT($D18:$GA18,$D17:$GA17),0)</x:f>
      </x:c>
      <x:c r="BN19" s="35" t="n">
        <x:f>IFERROR(BN18*BN17/SUMPRODUCT($D18:$GA18,$D17:$GA17),0)</x:f>
      </x:c>
      <x:c r="BO19" s="35" t="n">
        <x:f>IFERROR(BO18*BO17/SUMPRODUCT($D18:$GA18,$D17:$GA17),0)</x:f>
      </x:c>
      <x:c r="BP19" s="35" t="n">
        <x:f>IFERROR(BP18*BP17/SUMPRODUCT($D18:$GA18,$D17:$GA17),0)</x:f>
      </x:c>
      <x:c r="BQ19" s="35" t="n">
        <x:f>IFERROR(BQ18*BQ17/SUMPRODUCT($D18:$GA18,$D17:$GA17),0)</x:f>
      </x:c>
      <x:c r="BR19" s="35" t="n">
        <x:f>IFERROR(BR18*BR17/SUMPRODUCT($D18:$GA18,$D17:$GA17),0)</x:f>
      </x:c>
      <x:c r="BS19" s="35" t="n">
        <x:f>IFERROR(BS18*BS17/SUMPRODUCT($D18:$GA18,$D17:$GA17),0)</x:f>
      </x:c>
      <x:c r="BT19" s="35" t="n">
        <x:f>IFERROR(BT18*BT17/SUMPRODUCT($D18:$GA18,$D17:$GA17),0)</x:f>
      </x:c>
      <x:c r="BU19" s="35" t="n">
        <x:f>IFERROR(BU18*BU17/SUMPRODUCT($D18:$GA18,$D17:$GA17),0)</x:f>
      </x:c>
      <x:c r="BV19" s="35" t="n">
        <x:f>IFERROR(BV18*BV17/SUMPRODUCT($D18:$GA18,$D17:$GA17),0)</x:f>
      </x:c>
      <x:c r="BW19" s="35" t="n">
        <x:f>IFERROR(BW18*BW17/SUMPRODUCT($D18:$GA18,$D17:$GA17),0)</x:f>
      </x:c>
      <x:c r="BX19" s="35" t="n">
        <x:f>IFERROR(BX18*BX17/SUMPRODUCT($D18:$GA18,$D17:$GA17),0)</x:f>
      </x:c>
      <x:c r="BY19" s="35" t="n">
        <x:f>IFERROR(BY18*BY17/SUMPRODUCT($D18:$GA18,$D17:$GA17),0)</x:f>
      </x:c>
      <x:c r="BZ19" s="35" t="n">
        <x:f>IFERROR(BZ18*BZ17/SUMPRODUCT($D18:$GA18,$D17:$GA17),0)</x:f>
      </x:c>
      <x:c r="CA19" s="35" t="n">
        <x:f>IFERROR(CA18*CA17/SUMPRODUCT($D18:$GA18,$D17:$GA17),0)</x:f>
      </x:c>
      <x:c r="CB19" s="35" t="n">
        <x:f>IFERROR(CB18*CB17/SUMPRODUCT($D18:$GA18,$D17:$GA17),0)</x:f>
      </x:c>
      <x:c r="CC19" s="35" t="n">
        <x:f>IFERROR(CC18*CC17/SUMPRODUCT($D18:$GA18,$D17:$GA17),0)</x:f>
      </x:c>
      <x:c r="CD19" s="35" t="n">
        <x:f>IFERROR(CD18*CD17/SUMPRODUCT($D18:$GA18,$D17:$GA17),0)</x:f>
      </x:c>
      <x:c r="CE19" s="35" t="n">
        <x:f>IFERROR(CE18*CE17/SUMPRODUCT($D18:$GA18,$D17:$GA17),0)</x:f>
      </x:c>
      <x:c r="CF19" s="35" t="n">
        <x:f>IFERROR(CF18*CF17/SUMPRODUCT($D18:$GA18,$D17:$GA17),0)</x:f>
      </x:c>
      <x:c r="CG19" s="35" t="n">
        <x:f>IFERROR(CG18*CG17/SUMPRODUCT($D18:$GA18,$D17:$GA17),0)</x:f>
      </x:c>
      <x:c r="CH19" s="35" t="n">
        <x:f>IFERROR(CH18*CH17/SUMPRODUCT($D18:$GA18,$D17:$GA17),0)</x:f>
      </x:c>
      <x:c r="CI19" s="35" t="n">
        <x:f>IFERROR(CI18*CI17/SUMPRODUCT($D18:$GA18,$D17:$GA17),0)</x:f>
      </x:c>
      <x:c r="CJ19" s="35" t="n">
        <x:f>IFERROR(CJ18*CJ17/SUMPRODUCT($D18:$GA18,$D17:$GA17),0)</x:f>
      </x:c>
      <x:c r="CK19" s="35" t="n">
        <x:f>IFERROR(CK18*CK17/SUMPRODUCT($D18:$GA18,$D17:$GA17),0)</x:f>
      </x:c>
      <x:c r="CL19" s="35" t="n">
        <x:f>IFERROR(CL18*CL17/SUMPRODUCT($D18:$GA18,$D17:$GA17),0)</x:f>
      </x:c>
      <x:c r="CM19" s="35" t="n">
        <x:f>IFERROR(CM18*CM17/SUMPRODUCT($D18:$GA18,$D17:$GA17),0)</x:f>
      </x:c>
      <x:c r="CN19" s="35" t="n">
        <x:f>IFERROR(CN18*CN17/SUMPRODUCT($D18:$GA18,$D17:$GA17),0)</x:f>
      </x:c>
      <x:c r="CO19" s="35" t="n">
        <x:f>IFERROR(CO18*CO17/SUMPRODUCT($D18:$GA18,$D17:$GA17),0)</x:f>
      </x:c>
      <x:c r="CP19" s="35" t="n">
        <x:f>IFERROR(CP18*CP17/SUMPRODUCT($D18:$GA18,$D17:$GA17),0)</x:f>
      </x:c>
      <x:c r="CQ19" s="35" t="n">
        <x:f>IFERROR(CQ18*CQ17/SUMPRODUCT($D18:$GA18,$D17:$GA17),0)</x:f>
      </x:c>
      <x:c r="CR19" s="35" t="n">
        <x:f>IFERROR(CR18*CR17/SUMPRODUCT($D18:$GA18,$D17:$GA17),0)</x:f>
      </x:c>
      <x:c r="CS19" s="35" t="n">
        <x:f>IFERROR(CS18*CS17/SUMPRODUCT($D18:$GA18,$D17:$GA17),0)</x:f>
      </x:c>
      <x:c r="CT19" s="35" t="n">
        <x:f>IFERROR(CT18*CT17/SUMPRODUCT($D18:$GA18,$D17:$GA17),0)</x:f>
      </x:c>
      <x:c r="CU19" s="35" t="n">
        <x:f>IFERROR(CU18*CU17/SUMPRODUCT($D18:$GA18,$D17:$GA17),0)</x:f>
      </x:c>
      <x:c r="CV19" s="35" t="n">
        <x:f>IFERROR(CV18*CV17/SUMPRODUCT($D18:$GA18,$D17:$GA17),0)</x:f>
      </x:c>
      <x:c r="CW19" s="35" t="n">
        <x:f>IFERROR(CW18*CW17/SUMPRODUCT($D18:$GA18,$D17:$GA17),0)</x:f>
      </x:c>
      <x:c r="CX19" s="35" t="n">
        <x:f>IFERROR(CX18*CX17/SUMPRODUCT($D18:$GA18,$D17:$GA17),0)</x:f>
      </x:c>
      <x:c r="CY19" s="35" t="n">
        <x:f>IFERROR(CY18*CY17/SUMPRODUCT($D18:$GA18,$D17:$GA17),0)</x:f>
      </x:c>
      <x:c r="CZ19" s="35" t="n">
        <x:f>IFERROR(CZ18*CZ17/SUMPRODUCT($D18:$GA18,$D17:$GA17),0)</x:f>
      </x:c>
      <x:c r="DA19" s="35" t="n">
        <x:f>IFERROR(DA18*DA17/SUMPRODUCT($D18:$GA18,$D17:$GA17),0)</x:f>
      </x:c>
      <x:c r="DB19" s="35" t="n">
        <x:f>IFERROR(DB18*DB17/SUMPRODUCT($D18:$GA18,$D17:$GA17),0)</x:f>
      </x:c>
      <x:c r="DC19" s="35" t="n">
        <x:f>IFERROR(DC18*DC17/SUMPRODUCT($D18:$GA18,$D17:$GA17),0)</x:f>
      </x:c>
      <x:c r="DD19" s="35" t="n">
        <x:f>IFERROR(DD18*DD17/SUMPRODUCT($D18:$GA18,$D17:$GA17),0)</x:f>
      </x:c>
      <x:c r="DE19" s="35" t="n">
        <x:f>IFERROR(DE18*DE17/SUMPRODUCT($D18:$GA18,$D17:$GA17),0)</x:f>
      </x:c>
      <x:c r="DF19" s="35" t="n">
        <x:f>IFERROR(DF18*DF17/SUMPRODUCT($D18:$GA18,$D17:$GA17),0)</x:f>
      </x:c>
      <x:c r="DG19" s="35" t="n">
        <x:f>IFERROR(DG18*DG17/SUMPRODUCT($D18:$GA18,$D17:$GA17),0)</x:f>
      </x:c>
      <x:c r="DH19" s="35" t="n">
        <x:f>IFERROR(DH18*DH17/SUMPRODUCT($D18:$GA18,$D17:$GA17),0)</x:f>
      </x:c>
      <x:c r="DI19" s="35" t="n">
        <x:f>IFERROR(DI18*DI17/SUMPRODUCT($D18:$GA18,$D17:$GA17),0)</x:f>
      </x:c>
      <x:c r="DJ19" s="35" t="n">
        <x:f>IFERROR(DJ18*DJ17/SUMPRODUCT($D18:$GA18,$D17:$GA17),0)</x:f>
      </x:c>
      <x:c r="DK19" s="35" t="n">
        <x:f>IFERROR(DK18*DK17/SUMPRODUCT($D18:$GA18,$D17:$GA17),0)</x:f>
      </x:c>
      <x:c r="DL19" s="35" t="n">
        <x:f>IFERROR(DL18*DL17/SUMPRODUCT($D18:$GA18,$D17:$GA17),0)</x:f>
      </x:c>
      <x:c r="DM19" s="35" t="n">
        <x:f>IFERROR(DM18*DM17/SUMPRODUCT($D18:$GA18,$D17:$GA17),0)</x:f>
      </x:c>
      <x:c r="DN19" s="35" t="n">
        <x:f>IFERROR(DN18*DN17/SUMPRODUCT($D18:$GA18,$D17:$GA17),0)</x:f>
      </x:c>
      <x:c r="DO19" s="35" t="n">
        <x:f>IFERROR(DO18*DO17/SUMPRODUCT($D18:$GA18,$D17:$GA17),0)</x:f>
      </x:c>
      <x:c r="DP19" s="35" t="n">
        <x:f>IFERROR(DP18*DP17/SUMPRODUCT($D18:$GA18,$D17:$GA17),0)</x:f>
      </x:c>
      <x:c r="DQ19" s="35" t="n">
        <x:f>IFERROR(DQ18*DQ17/SUMPRODUCT($D18:$GA18,$D17:$GA17),0)</x:f>
      </x:c>
      <x:c r="DR19" s="35" t="n">
        <x:f>IFERROR(DR18*DR17/SUMPRODUCT($D18:$GA18,$D17:$GA17),0)</x:f>
      </x:c>
      <x:c r="DS19" s="35" t="n">
        <x:f>IFERROR(DS18*DS17/SUMPRODUCT($D18:$GA18,$D17:$GA17),0)</x:f>
      </x:c>
      <x:c r="DT19" s="35" t="n">
        <x:f>IFERROR(DT18*DT17/SUMPRODUCT($D18:$GA18,$D17:$GA17),0)</x:f>
      </x:c>
      <x:c r="DU19" s="35" t="n">
        <x:f>IFERROR(DU18*DU17/SUMPRODUCT($D18:$GA18,$D17:$GA17),0)</x:f>
      </x:c>
      <x:c r="DV19" s="35" t="n">
        <x:f>IFERROR(DV18*DV17/SUMPRODUCT($D18:$GA18,$D17:$GA17),0)</x:f>
      </x:c>
      <x:c r="DW19" s="35" t="n">
        <x:f>IFERROR(DW18*DW17/SUMPRODUCT($D18:$GA18,$D17:$GA17),0)</x:f>
      </x:c>
      <x:c r="DX19" s="35" t="n">
        <x:f>IFERROR(DX18*DX17/SUMPRODUCT($D18:$GA18,$D17:$GA17),0)</x:f>
      </x:c>
      <x:c r="DY19" s="35" t="n">
        <x:f>IFERROR(DY18*DY17/SUMPRODUCT($D18:$GA18,$D17:$GA17),0)</x:f>
      </x:c>
      <x:c r="DZ19" s="35" t="n">
        <x:f>IFERROR(DZ18*DZ17/SUMPRODUCT($D18:$GA18,$D17:$GA17),0)</x:f>
      </x:c>
      <x:c r="EA19" s="35" t="n">
        <x:f>IFERROR(EA18*EA17/SUMPRODUCT($D18:$GA18,$D17:$GA17),0)</x:f>
      </x:c>
      <x:c r="EB19" s="35" t="n">
        <x:f>IFERROR(EB18*EB17/SUMPRODUCT($D18:$GA18,$D17:$GA17),0)</x:f>
      </x:c>
      <x:c r="EC19" s="35" t="n">
        <x:f>IFERROR(EC18*EC17/SUMPRODUCT($D18:$GA18,$D17:$GA17),0)</x:f>
      </x:c>
      <x:c r="ED19" s="35" t="n">
        <x:f>IFERROR(ED18*ED17/SUMPRODUCT($D18:$GA18,$D17:$GA17),0)</x:f>
      </x:c>
      <x:c r="EE19" s="35" t="n">
        <x:f>IFERROR(EE18*EE17/SUMPRODUCT($D18:$GA18,$D17:$GA17),0)</x:f>
      </x:c>
      <x:c r="EF19" s="35" t="n">
        <x:f>IFERROR(EF18*EF17/SUMPRODUCT($D18:$GA18,$D17:$GA17),0)</x:f>
      </x:c>
      <x:c r="EG19" s="35" t="n">
        <x:f>IFERROR(EG18*EG17/SUMPRODUCT($D18:$GA18,$D17:$GA17),0)</x:f>
      </x:c>
      <x:c r="EH19" s="35" t="n">
        <x:f>IFERROR(EH18*EH17/SUMPRODUCT($D18:$GA18,$D17:$GA17),0)</x:f>
      </x:c>
      <x:c r="EI19" s="35" t="n">
        <x:f>IFERROR(EI18*EI17/SUMPRODUCT($D18:$GA18,$D17:$GA17),0)</x:f>
      </x:c>
      <x:c r="EJ19" s="35" t="n">
        <x:f>IFERROR(EJ18*EJ17/SUMPRODUCT($D18:$GA18,$D17:$GA17),0)</x:f>
      </x:c>
      <x:c r="EK19" s="35" t="n">
        <x:f>IFERROR(EK18*EK17/SUMPRODUCT($D18:$GA18,$D17:$GA17),0)</x:f>
      </x:c>
      <x:c r="EL19" s="35" t="n">
        <x:f>IFERROR(EL18*EL17/SUMPRODUCT($D18:$GA18,$D17:$GA17),0)</x:f>
      </x:c>
      <x:c r="EM19" s="35" t="n">
        <x:f>IFERROR(EM18*EM17/SUMPRODUCT($D18:$GA18,$D17:$GA17),0)</x:f>
      </x:c>
      <x:c r="EN19" s="35" t="n">
        <x:f>IFERROR(EN18*EN17/SUMPRODUCT($D18:$GA18,$D17:$GA17),0)</x:f>
      </x:c>
      <x:c r="EO19" s="35" t="n">
        <x:f>IFERROR(EO18*EO17/SUMPRODUCT($D18:$GA18,$D17:$GA17),0)</x:f>
      </x:c>
      <x:c r="EP19" s="35" t="n">
        <x:f>IFERROR(EP18*EP17/SUMPRODUCT($D18:$GA18,$D17:$GA17),0)</x:f>
      </x:c>
      <x:c r="EQ19" s="35" t="n">
        <x:f>IFERROR(EQ18*EQ17/SUMPRODUCT($D18:$GA18,$D17:$GA17),0)</x:f>
      </x:c>
      <x:c r="ER19" s="35" t="n">
        <x:f>IFERROR(ER18*ER17/SUMPRODUCT($D18:$GA18,$D17:$GA17),0)</x:f>
      </x:c>
      <x:c r="ES19" s="35" t="n">
        <x:f>IFERROR(ES18*ES17/SUMPRODUCT($D18:$GA18,$D17:$GA17),0)</x:f>
      </x:c>
      <x:c r="ET19" s="35" t="n">
        <x:f>IFERROR(ET18*ET17/SUMPRODUCT($D18:$GA18,$D17:$GA17),0)</x:f>
      </x:c>
      <x:c r="EU19" s="35" t="n">
        <x:f>IFERROR(EU18*EU17/SUMPRODUCT($D18:$GA18,$D17:$GA17),0)</x:f>
      </x:c>
      <x:c r="EV19" s="35" t="n">
        <x:f>IFERROR(EV18*EV17/SUMPRODUCT($D18:$GA18,$D17:$GA17),0)</x:f>
      </x:c>
      <x:c r="EW19" s="35" t="n">
        <x:f>IFERROR(EW18*EW17/SUMPRODUCT($D18:$GA18,$D17:$GA17),0)</x:f>
      </x:c>
      <x:c r="EX19" s="35" t="n">
        <x:f>IFERROR(EX18*EX17/SUMPRODUCT($D18:$GA18,$D17:$GA17),0)</x:f>
      </x:c>
      <x:c r="EY19" s="35" t="n">
        <x:f>IFERROR(EY18*EY17/SUMPRODUCT($D18:$GA18,$D17:$GA17),0)</x:f>
      </x:c>
      <x:c r="EZ19" s="35" t="n">
        <x:f>IFERROR(EZ18*EZ17/SUMPRODUCT($D18:$GA18,$D17:$GA17),0)</x:f>
      </x:c>
      <x:c r="FA19" s="35" t="n">
        <x:f>IFERROR(FA18*FA17/SUMPRODUCT($D18:$GA18,$D17:$GA17),0)</x:f>
      </x:c>
      <x:c r="FB19" s="35" t="n">
        <x:f>IFERROR(FB18*FB17/SUMPRODUCT($D18:$GA18,$D17:$GA17),0)</x:f>
      </x:c>
      <x:c r="FC19" s="35" t="n">
        <x:f>IFERROR(FC18*FC17/SUMPRODUCT($D18:$GA18,$D17:$GA17),0)</x:f>
      </x:c>
      <x:c r="FD19" s="35" t="n">
        <x:f>IFERROR(FD18*FD17/SUMPRODUCT($D18:$GA18,$D17:$GA17),0)</x:f>
      </x:c>
      <x:c r="FE19" s="35" t="n">
        <x:f>IFERROR(FE18*FE17/SUMPRODUCT($D18:$GA18,$D17:$GA17),0)</x:f>
      </x:c>
      <x:c r="FF19" s="35" t="n">
        <x:f>IFERROR(FF18*FF17/SUMPRODUCT($D18:$GA18,$D17:$GA17),0)</x:f>
      </x:c>
      <x:c r="FG19" s="35" t="n">
        <x:f>IFERROR(FG18*FG17/SUMPRODUCT($D18:$GA18,$D17:$GA17),0)</x:f>
      </x:c>
      <x:c r="FH19" s="35" t="n">
        <x:f>IFERROR(FH18*FH17/SUMPRODUCT($D18:$GA18,$D17:$GA17),0)</x:f>
      </x:c>
      <x:c r="FI19" s="35" t="n">
        <x:f>IFERROR(FI18*FI17/SUMPRODUCT($D18:$GA18,$D17:$GA17),0)</x:f>
      </x:c>
      <x:c r="FJ19" s="35" t="n">
        <x:f>IFERROR(FJ18*FJ17/SUMPRODUCT($D18:$GA18,$D17:$GA17),0)</x:f>
      </x:c>
      <x:c r="FK19" s="35" t="n">
        <x:f>IFERROR(FK18*FK17/SUMPRODUCT($D18:$GA18,$D17:$GA17),0)</x:f>
      </x:c>
      <x:c r="FL19" s="35" t="n">
        <x:f>IFERROR(FL18*FL17/SUMPRODUCT($D18:$GA18,$D17:$GA17),0)</x:f>
      </x:c>
      <x:c r="FM19" s="35" t="n">
        <x:f>IFERROR(FM18*FM17/SUMPRODUCT($D18:$GA18,$D17:$GA17),0)</x:f>
      </x:c>
      <x:c r="FN19" s="35" t="n">
        <x:f>IFERROR(FN18*FN17/SUMPRODUCT($D18:$GA18,$D17:$GA17),0)</x:f>
      </x:c>
      <x:c r="FO19" s="35" t="n">
        <x:f>IFERROR(FO18*FO17/SUMPRODUCT($D18:$GA18,$D17:$GA17),0)</x:f>
      </x:c>
      <x:c r="FP19" s="35" t="n">
        <x:f>IFERROR(FP18*FP17/SUMPRODUCT($D18:$GA18,$D17:$GA17),0)</x:f>
      </x:c>
      <x:c r="FQ19" s="35" t="n">
        <x:f>IFERROR(FQ18*FQ17/SUMPRODUCT($D18:$GA18,$D17:$GA17),0)</x:f>
      </x:c>
      <x:c r="FR19" s="35" t="n">
        <x:f>IFERROR(FR18*FR17/SUMPRODUCT($D18:$GA18,$D17:$GA17),0)</x:f>
      </x:c>
      <x:c r="FS19" s="35" t="n">
        <x:f>IFERROR(FS18*FS17/SUMPRODUCT($D18:$GA18,$D17:$GA17),0)</x:f>
      </x:c>
      <x:c r="FT19" s="35" t="n">
        <x:f>IFERROR(FT18*FT17/SUMPRODUCT($D18:$GA18,$D17:$GA17),0)</x:f>
      </x:c>
      <x:c r="FU19" s="35" t="n">
        <x:f>IFERROR(FU18*FU17/SUMPRODUCT($D18:$GA18,$D17:$GA17),0)</x:f>
      </x:c>
      <x:c r="FV19" s="35" t="n">
        <x:f>IFERROR(FV18*FV17/SUMPRODUCT($D18:$GA18,$D17:$GA17),0)</x:f>
      </x:c>
      <x:c r="FW19" s="35" t="n">
        <x:f>IFERROR(FW18*FW17/SUMPRODUCT($D18:$GA18,$D17:$GA17),0)</x:f>
      </x:c>
      <x:c r="FX19" s="35" t="n">
        <x:f>IFERROR(FX18*FX17/SUMPRODUCT($D18:$GA18,$D17:$GA17),0)</x:f>
      </x:c>
      <x:c r="FY19" s="35" t="n">
        <x:f>IFERROR(FY18*FY17/SUMPRODUCT($D18:$GA18,$D17:$GA17),0)</x:f>
      </x:c>
      <x:c r="FZ19" s="35" t="n">
        <x:f>IFERROR(FZ18*FZ17/SUMPRODUCT($D18:$GA18,$D17:$GA17),0)</x:f>
      </x:c>
      <x:c r="GA19" s="35" t="n">
        <x:f>IFERROR(GA18*GA17/SUMPRODUCT($D18:$GA18,$D17:$GA17),0)</x:f>
      </x:c>
    </x:row>
    <x:row r="20">
      <x:c r="A20" t="str">
        <x:v>Флаг продаж после РВЭ</x:v>
      </x:c>
      <x:c r="B20" s="35"/>
      <x:c r="C20" t="str">
        <x:v>0 / 1</x:v>
      </x:c>
      <x:c r="D20" s="35" t="n">
        <x:f>--AND(D$3&gt;=MAX($B$11,$B$10),D$3&lt;EDATE($B$11,MAX(1,'Вводные'!$K$33)),AND($B$7="Да",IFERROR(INDEX('Вводные'!$B$88:$B$91,$B$8),"Нет")="Да"))</x:f>
      </x:c>
      <x:c r="E20" s="35" t="n">
        <x:f>--AND(E$3&gt;=MAX($B$11,$B$10),E$3&lt;EDATE($B$11,MAX(1,'Вводные'!$K$33)),AND($B$7="Да",IFERROR(INDEX('Вводные'!$B$88:$B$91,$B$8),"Нет")="Да"))</x:f>
      </x:c>
      <x:c r="F20" s="35" t="n">
        <x:f>--AND(F$3&gt;=MAX($B$11,$B$10),F$3&lt;EDATE($B$11,MAX(1,'Вводные'!$K$33)),AND($B$7="Да",IFERROR(INDEX('Вводные'!$B$88:$B$91,$B$8),"Нет")="Да"))</x:f>
      </x:c>
      <x:c r="G20" s="35" t="n">
        <x:f>--AND(G$3&gt;=MAX($B$11,$B$10),G$3&lt;EDATE($B$11,MAX(1,'Вводные'!$K$33)),AND($B$7="Да",IFERROR(INDEX('Вводные'!$B$88:$B$91,$B$8),"Нет")="Да"))</x:f>
      </x:c>
      <x:c r="H20" s="35" t="n">
        <x:f>--AND(H$3&gt;=MAX($B$11,$B$10),H$3&lt;EDATE($B$11,MAX(1,'Вводные'!$K$33)),AND($B$7="Да",IFERROR(INDEX('Вводные'!$B$88:$B$91,$B$8),"Нет")="Да"))</x:f>
      </x:c>
      <x:c r="I20" s="35" t="n">
        <x:f>--AND(I$3&gt;=MAX($B$11,$B$10),I$3&lt;EDATE($B$11,MAX(1,'Вводные'!$K$33)),AND($B$7="Да",IFERROR(INDEX('Вводные'!$B$88:$B$91,$B$8),"Нет")="Да"))</x:f>
      </x:c>
      <x:c r="J20" s="35" t="n">
        <x:f>--AND(J$3&gt;=MAX($B$11,$B$10),J$3&lt;EDATE($B$11,MAX(1,'Вводные'!$K$33)),AND($B$7="Да",IFERROR(INDEX('Вводные'!$B$88:$B$91,$B$8),"Нет")="Да"))</x:f>
      </x:c>
      <x:c r="K20" s="35" t="n">
        <x:f>--AND(K$3&gt;=MAX($B$11,$B$10),K$3&lt;EDATE($B$11,MAX(1,'Вводные'!$K$33)),AND($B$7="Да",IFERROR(INDEX('Вводные'!$B$88:$B$91,$B$8),"Нет")="Да"))</x:f>
      </x:c>
      <x:c r="L20" s="35" t="n">
        <x:f>--AND(L$3&gt;=MAX($B$11,$B$10),L$3&lt;EDATE($B$11,MAX(1,'Вводные'!$K$33)),AND($B$7="Да",IFERROR(INDEX('Вводные'!$B$88:$B$91,$B$8),"Нет")="Да"))</x:f>
      </x:c>
      <x:c r="M20" s="35" t="n">
        <x:f>--AND(M$3&gt;=MAX($B$11,$B$10),M$3&lt;EDATE($B$11,MAX(1,'Вводные'!$K$33)),AND($B$7="Да",IFERROR(INDEX('Вводные'!$B$88:$B$91,$B$8),"Нет")="Да"))</x:f>
      </x:c>
      <x:c r="N20" s="35" t="n">
        <x:f>--AND(N$3&gt;=MAX($B$11,$B$10),N$3&lt;EDATE($B$11,MAX(1,'Вводные'!$K$33)),AND($B$7="Да",IFERROR(INDEX('Вводные'!$B$88:$B$91,$B$8),"Нет")="Да"))</x:f>
      </x:c>
      <x:c r="O20" s="35" t="n">
        <x:f>--AND(O$3&gt;=MAX($B$11,$B$10),O$3&lt;EDATE($B$11,MAX(1,'Вводные'!$K$33)),AND($B$7="Да",IFERROR(INDEX('Вводные'!$B$88:$B$91,$B$8),"Нет")="Да"))</x:f>
      </x:c>
      <x:c r="P20" s="35" t="n">
        <x:f>--AND(P$3&gt;=MAX($B$11,$B$10),P$3&lt;EDATE($B$11,MAX(1,'Вводные'!$K$33)),AND($B$7="Да",IFERROR(INDEX('Вводные'!$B$88:$B$91,$B$8),"Нет")="Да"))</x:f>
      </x:c>
      <x:c r="Q20" s="35" t="n">
        <x:f>--AND(Q$3&gt;=MAX($B$11,$B$10),Q$3&lt;EDATE($B$11,MAX(1,'Вводные'!$K$33)),AND($B$7="Да",IFERROR(INDEX('Вводные'!$B$88:$B$91,$B$8),"Нет")="Да"))</x:f>
      </x:c>
      <x:c r="R20" s="35" t="n">
        <x:f>--AND(R$3&gt;=MAX($B$11,$B$10),R$3&lt;EDATE($B$11,MAX(1,'Вводные'!$K$33)),AND($B$7="Да",IFERROR(INDEX('Вводные'!$B$88:$B$91,$B$8),"Нет")="Да"))</x:f>
      </x:c>
      <x:c r="S20" s="35" t="n">
        <x:f>--AND(S$3&gt;=MAX($B$11,$B$10),S$3&lt;EDATE($B$11,MAX(1,'Вводные'!$K$33)),AND($B$7="Да",IFERROR(INDEX('Вводные'!$B$88:$B$91,$B$8),"Нет")="Да"))</x:f>
      </x:c>
      <x:c r="T20" s="35" t="n">
        <x:f>--AND(T$3&gt;=MAX($B$11,$B$10),T$3&lt;EDATE($B$11,MAX(1,'Вводные'!$K$33)),AND($B$7="Да",IFERROR(INDEX('Вводные'!$B$88:$B$91,$B$8),"Нет")="Да"))</x:f>
      </x:c>
      <x:c r="U20" s="35" t="n">
        <x:f>--AND(U$3&gt;=MAX($B$11,$B$10),U$3&lt;EDATE($B$11,MAX(1,'Вводные'!$K$33)),AND($B$7="Да",IFERROR(INDEX('Вводные'!$B$88:$B$91,$B$8),"Нет")="Да"))</x:f>
      </x:c>
      <x:c r="V20" s="35" t="n">
        <x:f>--AND(V$3&gt;=MAX($B$11,$B$10),V$3&lt;EDATE($B$11,MAX(1,'Вводные'!$K$33)),AND($B$7="Да",IFERROR(INDEX('Вводные'!$B$88:$B$91,$B$8),"Нет")="Да"))</x:f>
      </x:c>
      <x:c r="W20" s="35" t="n">
        <x:f>--AND(W$3&gt;=MAX($B$11,$B$10),W$3&lt;EDATE($B$11,MAX(1,'Вводные'!$K$33)),AND($B$7="Да",IFERROR(INDEX('Вводные'!$B$88:$B$91,$B$8),"Нет")="Да"))</x:f>
      </x:c>
      <x:c r="X20" s="35" t="n">
        <x:f>--AND(X$3&gt;=MAX($B$11,$B$10),X$3&lt;EDATE($B$11,MAX(1,'Вводные'!$K$33)),AND($B$7="Да",IFERROR(INDEX('Вводные'!$B$88:$B$91,$B$8),"Нет")="Да"))</x:f>
      </x:c>
      <x:c r="Y20" s="35" t="n">
        <x:f>--AND(Y$3&gt;=MAX($B$11,$B$10),Y$3&lt;EDATE($B$11,MAX(1,'Вводные'!$K$33)),AND($B$7="Да",IFERROR(INDEX('Вводные'!$B$88:$B$91,$B$8),"Нет")="Да"))</x:f>
      </x:c>
      <x:c r="Z20" s="35" t="n">
        <x:f>--AND(Z$3&gt;=MAX($B$11,$B$10),Z$3&lt;EDATE($B$11,MAX(1,'Вводные'!$K$33)),AND($B$7="Да",IFERROR(INDEX('Вводные'!$B$88:$B$91,$B$8),"Нет")="Да"))</x:f>
      </x:c>
      <x:c r="AA20" s="35" t="n">
        <x:f>--AND(AA$3&gt;=MAX($B$11,$B$10),AA$3&lt;EDATE($B$11,MAX(1,'Вводные'!$K$33)),AND($B$7="Да",IFERROR(INDEX('Вводные'!$B$88:$B$91,$B$8),"Нет")="Да"))</x:f>
      </x:c>
      <x:c r="AB20" s="35" t="n">
        <x:f>--AND(AB$3&gt;=MAX($B$11,$B$10),AB$3&lt;EDATE($B$11,MAX(1,'Вводные'!$K$33)),AND($B$7="Да",IFERROR(INDEX('Вводные'!$B$88:$B$91,$B$8),"Нет")="Да"))</x:f>
      </x:c>
      <x:c r="AC20" s="35" t="n">
        <x:f>--AND(AC$3&gt;=MAX($B$11,$B$10),AC$3&lt;EDATE($B$11,MAX(1,'Вводные'!$K$33)),AND($B$7="Да",IFERROR(INDEX('Вводные'!$B$88:$B$91,$B$8),"Нет")="Да"))</x:f>
      </x:c>
      <x:c r="AD20" s="35" t="n">
        <x:f>--AND(AD$3&gt;=MAX($B$11,$B$10),AD$3&lt;EDATE($B$11,MAX(1,'Вводные'!$K$33)),AND($B$7="Да",IFERROR(INDEX('Вводные'!$B$88:$B$91,$B$8),"Нет")="Да"))</x:f>
      </x:c>
      <x:c r="AE20" s="35" t="n">
        <x:f>--AND(AE$3&gt;=MAX($B$11,$B$10),AE$3&lt;EDATE($B$11,MAX(1,'Вводные'!$K$33)),AND($B$7="Да",IFERROR(INDEX('Вводные'!$B$88:$B$91,$B$8),"Нет")="Да"))</x:f>
      </x:c>
      <x:c r="AF20" s="35" t="n">
        <x:f>--AND(AF$3&gt;=MAX($B$11,$B$10),AF$3&lt;EDATE($B$11,MAX(1,'Вводные'!$K$33)),AND($B$7="Да",IFERROR(INDEX('Вводные'!$B$88:$B$91,$B$8),"Нет")="Да"))</x:f>
      </x:c>
      <x:c r="AG20" s="35" t="n">
        <x:f>--AND(AG$3&gt;=MAX($B$11,$B$10),AG$3&lt;EDATE($B$11,MAX(1,'Вводные'!$K$33)),AND($B$7="Да",IFERROR(INDEX('Вводные'!$B$88:$B$91,$B$8),"Нет")="Да"))</x:f>
      </x:c>
      <x:c r="AH20" s="35" t="n">
        <x:f>--AND(AH$3&gt;=MAX($B$11,$B$10),AH$3&lt;EDATE($B$11,MAX(1,'Вводные'!$K$33)),AND($B$7="Да",IFERROR(INDEX('Вводные'!$B$88:$B$91,$B$8),"Нет")="Да"))</x:f>
      </x:c>
      <x:c r="AI20" s="35" t="n">
        <x:f>--AND(AI$3&gt;=MAX($B$11,$B$10),AI$3&lt;EDATE($B$11,MAX(1,'Вводные'!$K$33)),AND($B$7="Да",IFERROR(INDEX('Вводные'!$B$88:$B$91,$B$8),"Нет")="Да"))</x:f>
      </x:c>
      <x:c r="AJ20" s="35" t="n">
        <x:f>--AND(AJ$3&gt;=MAX($B$11,$B$10),AJ$3&lt;EDATE($B$11,MAX(1,'Вводные'!$K$33)),AND($B$7="Да",IFERROR(INDEX('Вводные'!$B$88:$B$91,$B$8),"Нет")="Да"))</x:f>
      </x:c>
      <x:c r="AK20" s="35" t="n">
        <x:f>--AND(AK$3&gt;=MAX($B$11,$B$10),AK$3&lt;EDATE($B$11,MAX(1,'Вводные'!$K$33)),AND($B$7="Да",IFERROR(INDEX('Вводные'!$B$88:$B$91,$B$8),"Нет")="Да"))</x:f>
      </x:c>
      <x:c r="AL20" s="35" t="n">
        <x:f>--AND(AL$3&gt;=MAX($B$11,$B$10),AL$3&lt;EDATE($B$11,MAX(1,'Вводные'!$K$33)),AND($B$7="Да",IFERROR(INDEX('Вводные'!$B$88:$B$91,$B$8),"Нет")="Да"))</x:f>
      </x:c>
      <x:c r="AM20" s="35" t="n">
        <x:f>--AND(AM$3&gt;=MAX($B$11,$B$10),AM$3&lt;EDATE($B$11,MAX(1,'Вводные'!$K$33)),AND($B$7="Да",IFERROR(INDEX('Вводные'!$B$88:$B$91,$B$8),"Нет")="Да"))</x:f>
      </x:c>
      <x:c r="AN20" s="35" t="n">
        <x:f>--AND(AN$3&gt;=MAX($B$11,$B$10),AN$3&lt;EDATE($B$11,MAX(1,'Вводные'!$K$33)),AND($B$7="Да",IFERROR(INDEX('Вводные'!$B$88:$B$91,$B$8),"Нет")="Да"))</x:f>
      </x:c>
      <x:c r="AO20" s="35" t="n">
        <x:f>--AND(AO$3&gt;=MAX($B$11,$B$10),AO$3&lt;EDATE($B$11,MAX(1,'Вводные'!$K$33)),AND($B$7="Да",IFERROR(INDEX('Вводные'!$B$88:$B$91,$B$8),"Нет")="Да"))</x:f>
      </x:c>
      <x:c r="AP20" s="35" t="n">
        <x:f>--AND(AP$3&gt;=MAX($B$11,$B$10),AP$3&lt;EDATE($B$11,MAX(1,'Вводные'!$K$33)),AND($B$7="Да",IFERROR(INDEX('Вводные'!$B$88:$B$91,$B$8),"Нет")="Да"))</x:f>
      </x:c>
      <x:c r="AQ20" s="35" t="n">
        <x:f>--AND(AQ$3&gt;=MAX($B$11,$B$10),AQ$3&lt;EDATE($B$11,MAX(1,'Вводные'!$K$33)),AND($B$7="Да",IFERROR(INDEX('Вводные'!$B$88:$B$91,$B$8),"Нет")="Да"))</x:f>
      </x:c>
      <x:c r="AR20" s="35" t="n">
        <x:f>--AND(AR$3&gt;=MAX($B$11,$B$10),AR$3&lt;EDATE($B$11,MAX(1,'Вводные'!$K$33)),AND($B$7="Да",IFERROR(INDEX('Вводные'!$B$88:$B$91,$B$8),"Нет")="Да"))</x:f>
      </x:c>
      <x:c r="AS20" s="35" t="n">
        <x:f>--AND(AS$3&gt;=MAX($B$11,$B$10),AS$3&lt;EDATE($B$11,MAX(1,'Вводные'!$K$33)),AND($B$7="Да",IFERROR(INDEX('Вводные'!$B$88:$B$91,$B$8),"Нет")="Да"))</x:f>
      </x:c>
      <x:c r="AT20" s="35" t="n">
        <x:f>--AND(AT$3&gt;=MAX($B$11,$B$10),AT$3&lt;EDATE($B$11,MAX(1,'Вводные'!$K$33)),AND($B$7="Да",IFERROR(INDEX('Вводные'!$B$88:$B$91,$B$8),"Нет")="Да"))</x:f>
      </x:c>
      <x:c r="AU20" s="35" t="n">
        <x:f>--AND(AU$3&gt;=MAX($B$11,$B$10),AU$3&lt;EDATE($B$11,MAX(1,'Вводные'!$K$33)),AND($B$7="Да",IFERROR(INDEX('Вводные'!$B$88:$B$91,$B$8),"Нет")="Да"))</x:f>
      </x:c>
      <x:c r="AV20" s="35" t="n">
        <x:f>--AND(AV$3&gt;=MAX($B$11,$B$10),AV$3&lt;EDATE($B$11,MAX(1,'Вводные'!$K$33)),AND($B$7="Да",IFERROR(INDEX('Вводные'!$B$88:$B$91,$B$8),"Нет")="Да"))</x:f>
      </x:c>
      <x:c r="AW20" s="35" t="n">
        <x:f>--AND(AW$3&gt;=MAX($B$11,$B$10),AW$3&lt;EDATE($B$11,MAX(1,'Вводные'!$K$33)),AND($B$7="Да",IFERROR(INDEX('Вводные'!$B$88:$B$91,$B$8),"Нет")="Да"))</x:f>
      </x:c>
      <x:c r="AX20" s="35" t="n">
        <x:f>--AND(AX$3&gt;=MAX($B$11,$B$10),AX$3&lt;EDATE($B$11,MAX(1,'Вводные'!$K$33)),AND($B$7="Да",IFERROR(INDEX('Вводные'!$B$88:$B$91,$B$8),"Нет")="Да"))</x:f>
      </x:c>
      <x:c r="AY20" s="35" t="n">
        <x:f>--AND(AY$3&gt;=MAX($B$11,$B$10),AY$3&lt;EDATE($B$11,MAX(1,'Вводные'!$K$33)),AND($B$7="Да",IFERROR(INDEX('Вводные'!$B$88:$B$91,$B$8),"Нет")="Да"))</x:f>
      </x:c>
      <x:c r="AZ20" s="35" t="n">
        <x:f>--AND(AZ$3&gt;=MAX($B$11,$B$10),AZ$3&lt;EDATE($B$11,MAX(1,'Вводные'!$K$33)),AND($B$7="Да",IFERROR(INDEX('Вводные'!$B$88:$B$91,$B$8),"Нет")="Да"))</x:f>
      </x:c>
      <x:c r="BA20" s="35" t="n">
        <x:f>--AND(BA$3&gt;=MAX($B$11,$B$10),BA$3&lt;EDATE($B$11,MAX(1,'Вводные'!$K$33)),AND($B$7="Да",IFERROR(INDEX('Вводные'!$B$88:$B$91,$B$8),"Нет")="Да"))</x:f>
      </x:c>
      <x:c r="BB20" s="35" t="n">
        <x:f>--AND(BB$3&gt;=MAX($B$11,$B$10),BB$3&lt;EDATE($B$11,MAX(1,'Вводные'!$K$33)),AND($B$7="Да",IFERROR(INDEX('Вводные'!$B$88:$B$91,$B$8),"Нет")="Да"))</x:f>
      </x:c>
      <x:c r="BC20" s="35" t="n">
        <x:f>--AND(BC$3&gt;=MAX($B$11,$B$10),BC$3&lt;EDATE($B$11,MAX(1,'Вводные'!$K$33)),AND($B$7="Да",IFERROR(INDEX('Вводные'!$B$88:$B$91,$B$8),"Нет")="Да"))</x:f>
      </x:c>
      <x:c r="BD20" s="35" t="n">
        <x:f>--AND(BD$3&gt;=MAX($B$11,$B$10),BD$3&lt;EDATE($B$11,MAX(1,'Вводные'!$K$33)),AND($B$7="Да",IFERROR(INDEX('Вводные'!$B$88:$B$91,$B$8),"Нет")="Да"))</x:f>
      </x:c>
      <x:c r="BE20" s="35" t="n">
        <x:f>--AND(BE$3&gt;=MAX($B$11,$B$10),BE$3&lt;EDATE($B$11,MAX(1,'Вводные'!$K$33)),AND($B$7="Да",IFERROR(INDEX('Вводные'!$B$88:$B$91,$B$8),"Нет")="Да"))</x:f>
      </x:c>
      <x:c r="BF20" s="35" t="n">
        <x:f>--AND(BF$3&gt;=MAX($B$11,$B$10),BF$3&lt;EDATE($B$11,MAX(1,'Вводные'!$K$33)),AND($B$7="Да",IFERROR(INDEX('Вводные'!$B$88:$B$91,$B$8),"Нет")="Да"))</x:f>
      </x:c>
      <x:c r="BG20" s="35" t="n">
        <x:f>--AND(BG$3&gt;=MAX($B$11,$B$10),BG$3&lt;EDATE($B$11,MAX(1,'Вводные'!$K$33)),AND($B$7="Да",IFERROR(INDEX('Вводные'!$B$88:$B$91,$B$8),"Нет")="Да"))</x:f>
      </x:c>
      <x:c r="BH20" s="35" t="n">
        <x:f>--AND(BH$3&gt;=MAX($B$11,$B$10),BH$3&lt;EDATE($B$11,MAX(1,'Вводные'!$K$33)),AND($B$7="Да",IFERROR(INDEX('Вводные'!$B$88:$B$91,$B$8),"Нет")="Да"))</x:f>
      </x:c>
      <x:c r="BI20" s="35" t="n">
        <x:f>--AND(BI$3&gt;=MAX($B$11,$B$10),BI$3&lt;EDATE($B$11,MAX(1,'Вводные'!$K$33)),AND($B$7="Да",IFERROR(INDEX('Вводные'!$B$88:$B$91,$B$8),"Нет")="Да"))</x:f>
      </x:c>
      <x:c r="BJ20" s="35" t="n">
        <x:f>--AND(BJ$3&gt;=MAX($B$11,$B$10),BJ$3&lt;EDATE($B$11,MAX(1,'Вводные'!$K$33)),AND($B$7="Да",IFERROR(INDEX('Вводные'!$B$88:$B$91,$B$8),"Нет")="Да"))</x:f>
      </x:c>
      <x:c r="BK20" s="35" t="n">
        <x:f>--AND(BK$3&gt;=MAX($B$11,$B$10),BK$3&lt;EDATE($B$11,MAX(1,'Вводные'!$K$33)),AND($B$7="Да",IFERROR(INDEX('Вводные'!$B$88:$B$91,$B$8),"Нет")="Да"))</x:f>
      </x:c>
      <x:c r="BL20" s="35" t="n">
        <x:f>--AND(BL$3&gt;=MAX($B$11,$B$10),BL$3&lt;EDATE($B$11,MAX(1,'Вводные'!$K$33)),AND($B$7="Да",IFERROR(INDEX('Вводные'!$B$88:$B$91,$B$8),"Нет")="Да"))</x:f>
      </x:c>
      <x:c r="BM20" s="35" t="n">
        <x:f>--AND(BM$3&gt;=MAX($B$11,$B$10),BM$3&lt;EDATE($B$11,MAX(1,'Вводные'!$K$33)),AND($B$7="Да",IFERROR(INDEX('Вводные'!$B$88:$B$91,$B$8),"Нет")="Да"))</x:f>
      </x:c>
      <x:c r="BN20" s="35" t="n">
        <x:f>--AND(BN$3&gt;=MAX($B$11,$B$10),BN$3&lt;EDATE($B$11,MAX(1,'Вводные'!$K$33)),AND($B$7="Да",IFERROR(INDEX('Вводные'!$B$88:$B$91,$B$8),"Нет")="Да"))</x:f>
      </x:c>
      <x:c r="BO20" s="35" t="n">
        <x:f>--AND(BO$3&gt;=MAX($B$11,$B$10),BO$3&lt;EDATE($B$11,MAX(1,'Вводные'!$K$33)),AND($B$7="Да",IFERROR(INDEX('Вводные'!$B$88:$B$91,$B$8),"Нет")="Да"))</x:f>
      </x:c>
      <x:c r="BP20" s="35" t="n">
        <x:f>--AND(BP$3&gt;=MAX($B$11,$B$10),BP$3&lt;EDATE($B$11,MAX(1,'Вводные'!$K$33)),AND($B$7="Да",IFERROR(INDEX('Вводные'!$B$88:$B$91,$B$8),"Нет")="Да"))</x:f>
      </x:c>
      <x:c r="BQ20" s="35" t="n">
        <x:f>--AND(BQ$3&gt;=MAX($B$11,$B$10),BQ$3&lt;EDATE($B$11,MAX(1,'Вводные'!$K$33)),AND($B$7="Да",IFERROR(INDEX('Вводные'!$B$88:$B$91,$B$8),"Нет")="Да"))</x:f>
      </x:c>
      <x:c r="BR20" s="35" t="n">
        <x:f>--AND(BR$3&gt;=MAX($B$11,$B$10),BR$3&lt;EDATE($B$11,MAX(1,'Вводные'!$K$33)),AND($B$7="Да",IFERROR(INDEX('Вводные'!$B$88:$B$91,$B$8),"Нет")="Да"))</x:f>
      </x:c>
      <x:c r="BS20" s="35" t="n">
        <x:f>--AND(BS$3&gt;=MAX($B$11,$B$10),BS$3&lt;EDATE($B$11,MAX(1,'Вводные'!$K$33)),AND($B$7="Да",IFERROR(INDEX('Вводные'!$B$88:$B$91,$B$8),"Нет")="Да"))</x:f>
      </x:c>
      <x:c r="BT20" s="35" t="n">
        <x:f>--AND(BT$3&gt;=MAX($B$11,$B$10),BT$3&lt;EDATE($B$11,MAX(1,'Вводные'!$K$33)),AND($B$7="Да",IFERROR(INDEX('Вводные'!$B$88:$B$91,$B$8),"Нет")="Да"))</x:f>
      </x:c>
      <x:c r="BU20" s="35" t="n">
        <x:f>--AND(BU$3&gt;=MAX($B$11,$B$10),BU$3&lt;EDATE($B$11,MAX(1,'Вводные'!$K$33)),AND($B$7="Да",IFERROR(INDEX('Вводные'!$B$88:$B$91,$B$8),"Нет")="Да"))</x:f>
      </x:c>
      <x:c r="BV20" s="35" t="n">
        <x:f>--AND(BV$3&gt;=MAX($B$11,$B$10),BV$3&lt;EDATE($B$11,MAX(1,'Вводные'!$K$33)),AND($B$7="Да",IFERROR(INDEX('Вводные'!$B$88:$B$91,$B$8),"Нет")="Да"))</x:f>
      </x:c>
      <x:c r="BW20" s="35" t="n">
        <x:f>--AND(BW$3&gt;=MAX($B$11,$B$10),BW$3&lt;EDATE($B$11,MAX(1,'Вводные'!$K$33)),AND($B$7="Да",IFERROR(INDEX('Вводные'!$B$88:$B$91,$B$8),"Нет")="Да"))</x:f>
      </x:c>
      <x:c r="BX20" s="35" t="n">
        <x:f>--AND(BX$3&gt;=MAX($B$11,$B$10),BX$3&lt;EDATE($B$11,MAX(1,'Вводные'!$K$33)),AND($B$7="Да",IFERROR(INDEX('Вводные'!$B$88:$B$91,$B$8),"Нет")="Да"))</x:f>
      </x:c>
      <x:c r="BY20" s="35" t="n">
        <x:f>--AND(BY$3&gt;=MAX($B$11,$B$10),BY$3&lt;EDATE($B$11,MAX(1,'Вводные'!$K$33)),AND($B$7="Да",IFERROR(INDEX('Вводные'!$B$88:$B$91,$B$8),"Нет")="Да"))</x:f>
      </x:c>
      <x:c r="BZ20" s="35" t="n">
        <x:f>--AND(BZ$3&gt;=MAX($B$11,$B$10),BZ$3&lt;EDATE($B$11,MAX(1,'Вводные'!$K$33)),AND($B$7="Да",IFERROR(INDEX('Вводные'!$B$88:$B$91,$B$8),"Нет")="Да"))</x:f>
      </x:c>
      <x:c r="CA20" s="35" t="n">
        <x:f>--AND(CA$3&gt;=MAX($B$11,$B$10),CA$3&lt;EDATE($B$11,MAX(1,'Вводные'!$K$33)),AND($B$7="Да",IFERROR(INDEX('Вводные'!$B$88:$B$91,$B$8),"Нет")="Да"))</x:f>
      </x:c>
      <x:c r="CB20" s="35" t="n">
        <x:f>--AND(CB$3&gt;=MAX($B$11,$B$10),CB$3&lt;EDATE($B$11,MAX(1,'Вводные'!$K$33)),AND($B$7="Да",IFERROR(INDEX('Вводные'!$B$88:$B$91,$B$8),"Нет")="Да"))</x:f>
      </x:c>
      <x:c r="CC20" s="35" t="n">
        <x:f>--AND(CC$3&gt;=MAX($B$11,$B$10),CC$3&lt;EDATE($B$11,MAX(1,'Вводные'!$K$33)),AND($B$7="Да",IFERROR(INDEX('Вводные'!$B$88:$B$91,$B$8),"Нет")="Да"))</x:f>
      </x:c>
      <x:c r="CD20" s="35" t="n">
        <x:f>--AND(CD$3&gt;=MAX($B$11,$B$10),CD$3&lt;EDATE($B$11,MAX(1,'Вводные'!$K$33)),AND($B$7="Да",IFERROR(INDEX('Вводные'!$B$88:$B$91,$B$8),"Нет")="Да"))</x:f>
      </x:c>
      <x:c r="CE20" s="35" t="n">
        <x:f>--AND(CE$3&gt;=MAX($B$11,$B$10),CE$3&lt;EDATE($B$11,MAX(1,'Вводные'!$K$33)),AND($B$7="Да",IFERROR(INDEX('Вводные'!$B$88:$B$91,$B$8),"Нет")="Да"))</x:f>
      </x:c>
      <x:c r="CF20" s="35" t="n">
        <x:f>--AND(CF$3&gt;=MAX($B$11,$B$10),CF$3&lt;EDATE($B$11,MAX(1,'Вводные'!$K$33)),AND($B$7="Да",IFERROR(INDEX('Вводные'!$B$88:$B$91,$B$8),"Нет")="Да"))</x:f>
      </x:c>
      <x:c r="CG20" s="35" t="n">
        <x:f>--AND(CG$3&gt;=MAX($B$11,$B$10),CG$3&lt;EDATE($B$11,MAX(1,'Вводные'!$K$33)),AND($B$7="Да",IFERROR(INDEX('Вводные'!$B$88:$B$91,$B$8),"Нет")="Да"))</x:f>
      </x:c>
      <x:c r="CH20" s="35" t="n">
        <x:f>--AND(CH$3&gt;=MAX($B$11,$B$10),CH$3&lt;EDATE($B$11,MAX(1,'Вводные'!$K$33)),AND($B$7="Да",IFERROR(INDEX('Вводные'!$B$88:$B$91,$B$8),"Нет")="Да"))</x:f>
      </x:c>
      <x:c r="CI20" s="35" t="n">
        <x:f>--AND(CI$3&gt;=MAX($B$11,$B$10),CI$3&lt;EDATE($B$11,MAX(1,'Вводные'!$K$33)),AND($B$7="Да",IFERROR(INDEX('Вводные'!$B$88:$B$91,$B$8),"Нет")="Да"))</x:f>
      </x:c>
      <x:c r="CJ20" s="35" t="n">
        <x:f>--AND(CJ$3&gt;=MAX($B$11,$B$10),CJ$3&lt;EDATE($B$11,MAX(1,'Вводные'!$K$33)),AND($B$7="Да",IFERROR(INDEX('Вводные'!$B$88:$B$91,$B$8),"Нет")="Да"))</x:f>
      </x:c>
      <x:c r="CK20" s="35" t="n">
        <x:f>--AND(CK$3&gt;=MAX($B$11,$B$10),CK$3&lt;EDATE($B$11,MAX(1,'Вводные'!$K$33)),AND($B$7="Да",IFERROR(INDEX('Вводные'!$B$88:$B$91,$B$8),"Нет")="Да"))</x:f>
      </x:c>
      <x:c r="CL20" s="35" t="n">
        <x:f>--AND(CL$3&gt;=MAX($B$11,$B$10),CL$3&lt;EDATE($B$11,MAX(1,'Вводные'!$K$33)),AND($B$7="Да",IFERROR(INDEX('Вводные'!$B$88:$B$91,$B$8),"Нет")="Да"))</x:f>
      </x:c>
      <x:c r="CM20" s="35" t="n">
        <x:f>--AND(CM$3&gt;=MAX($B$11,$B$10),CM$3&lt;EDATE($B$11,MAX(1,'Вводные'!$K$33)),AND($B$7="Да",IFERROR(INDEX('Вводные'!$B$88:$B$91,$B$8),"Нет")="Да"))</x:f>
      </x:c>
      <x:c r="CN20" s="35" t="n">
        <x:f>--AND(CN$3&gt;=MAX($B$11,$B$10),CN$3&lt;EDATE($B$11,MAX(1,'Вводные'!$K$33)),AND($B$7="Да",IFERROR(INDEX('Вводные'!$B$88:$B$91,$B$8),"Нет")="Да"))</x:f>
      </x:c>
      <x:c r="CO20" s="35" t="n">
        <x:f>--AND(CO$3&gt;=MAX($B$11,$B$10),CO$3&lt;EDATE($B$11,MAX(1,'Вводные'!$K$33)),AND($B$7="Да",IFERROR(INDEX('Вводные'!$B$88:$B$91,$B$8),"Нет")="Да"))</x:f>
      </x:c>
      <x:c r="CP20" s="35" t="n">
        <x:f>--AND(CP$3&gt;=MAX($B$11,$B$10),CP$3&lt;EDATE($B$11,MAX(1,'Вводные'!$K$33)),AND($B$7="Да",IFERROR(INDEX('Вводные'!$B$88:$B$91,$B$8),"Нет")="Да"))</x:f>
      </x:c>
      <x:c r="CQ20" s="35" t="n">
        <x:f>--AND(CQ$3&gt;=MAX($B$11,$B$10),CQ$3&lt;EDATE($B$11,MAX(1,'Вводные'!$K$33)),AND($B$7="Да",IFERROR(INDEX('Вводные'!$B$88:$B$91,$B$8),"Нет")="Да"))</x:f>
      </x:c>
      <x:c r="CR20" s="35" t="n">
        <x:f>--AND(CR$3&gt;=MAX($B$11,$B$10),CR$3&lt;EDATE($B$11,MAX(1,'Вводные'!$K$33)),AND($B$7="Да",IFERROR(INDEX('Вводные'!$B$88:$B$91,$B$8),"Нет")="Да"))</x:f>
      </x:c>
      <x:c r="CS20" s="35" t="n">
        <x:f>--AND(CS$3&gt;=MAX($B$11,$B$10),CS$3&lt;EDATE($B$11,MAX(1,'Вводные'!$K$33)),AND($B$7="Да",IFERROR(INDEX('Вводные'!$B$88:$B$91,$B$8),"Нет")="Да"))</x:f>
      </x:c>
      <x:c r="CT20" s="35" t="n">
        <x:f>--AND(CT$3&gt;=MAX($B$11,$B$10),CT$3&lt;EDATE($B$11,MAX(1,'Вводные'!$K$33)),AND($B$7="Да",IFERROR(INDEX('Вводные'!$B$88:$B$91,$B$8),"Нет")="Да"))</x:f>
      </x:c>
      <x:c r="CU20" s="35" t="n">
        <x:f>--AND(CU$3&gt;=MAX($B$11,$B$10),CU$3&lt;EDATE($B$11,MAX(1,'Вводные'!$K$33)),AND($B$7="Да",IFERROR(INDEX('Вводные'!$B$88:$B$91,$B$8),"Нет")="Да"))</x:f>
      </x:c>
      <x:c r="CV20" s="35" t="n">
        <x:f>--AND(CV$3&gt;=MAX($B$11,$B$10),CV$3&lt;EDATE($B$11,MAX(1,'Вводные'!$K$33)),AND($B$7="Да",IFERROR(INDEX('Вводные'!$B$88:$B$91,$B$8),"Нет")="Да"))</x:f>
      </x:c>
      <x:c r="CW20" s="35" t="n">
        <x:f>--AND(CW$3&gt;=MAX($B$11,$B$10),CW$3&lt;EDATE($B$11,MAX(1,'Вводные'!$K$33)),AND($B$7="Да",IFERROR(INDEX('Вводные'!$B$88:$B$91,$B$8),"Нет")="Да"))</x:f>
      </x:c>
      <x:c r="CX20" s="35" t="n">
        <x:f>--AND(CX$3&gt;=MAX($B$11,$B$10),CX$3&lt;EDATE($B$11,MAX(1,'Вводные'!$K$33)),AND($B$7="Да",IFERROR(INDEX('Вводные'!$B$88:$B$91,$B$8),"Нет")="Да"))</x:f>
      </x:c>
      <x:c r="CY20" s="35" t="n">
        <x:f>--AND(CY$3&gt;=MAX($B$11,$B$10),CY$3&lt;EDATE($B$11,MAX(1,'Вводные'!$K$33)),AND($B$7="Да",IFERROR(INDEX('Вводные'!$B$88:$B$91,$B$8),"Нет")="Да"))</x:f>
      </x:c>
      <x:c r="CZ20" s="35" t="n">
        <x:f>--AND(CZ$3&gt;=MAX($B$11,$B$10),CZ$3&lt;EDATE($B$11,MAX(1,'Вводные'!$K$33)),AND($B$7="Да",IFERROR(INDEX('Вводные'!$B$88:$B$91,$B$8),"Нет")="Да"))</x:f>
      </x:c>
      <x:c r="DA20" s="35" t="n">
        <x:f>--AND(DA$3&gt;=MAX($B$11,$B$10),DA$3&lt;EDATE($B$11,MAX(1,'Вводные'!$K$33)),AND($B$7="Да",IFERROR(INDEX('Вводные'!$B$88:$B$91,$B$8),"Нет")="Да"))</x:f>
      </x:c>
      <x:c r="DB20" s="35" t="n">
        <x:f>--AND(DB$3&gt;=MAX($B$11,$B$10),DB$3&lt;EDATE($B$11,MAX(1,'Вводные'!$K$33)),AND($B$7="Да",IFERROR(INDEX('Вводные'!$B$88:$B$91,$B$8),"Нет")="Да"))</x:f>
      </x:c>
      <x:c r="DC20" s="35" t="n">
        <x:f>--AND(DC$3&gt;=MAX($B$11,$B$10),DC$3&lt;EDATE($B$11,MAX(1,'Вводные'!$K$33)),AND($B$7="Да",IFERROR(INDEX('Вводные'!$B$88:$B$91,$B$8),"Нет")="Да"))</x:f>
      </x:c>
      <x:c r="DD20" s="35" t="n">
        <x:f>--AND(DD$3&gt;=MAX($B$11,$B$10),DD$3&lt;EDATE($B$11,MAX(1,'Вводные'!$K$33)),AND($B$7="Да",IFERROR(INDEX('Вводные'!$B$88:$B$91,$B$8),"Нет")="Да"))</x:f>
      </x:c>
      <x:c r="DE20" s="35" t="n">
        <x:f>--AND(DE$3&gt;=MAX($B$11,$B$10),DE$3&lt;EDATE($B$11,MAX(1,'Вводные'!$K$33)),AND($B$7="Да",IFERROR(INDEX('Вводные'!$B$88:$B$91,$B$8),"Нет")="Да"))</x:f>
      </x:c>
      <x:c r="DF20" s="35" t="n">
        <x:f>--AND(DF$3&gt;=MAX($B$11,$B$10),DF$3&lt;EDATE($B$11,MAX(1,'Вводные'!$K$33)),AND($B$7="Да",IFERROR(INDEX('Вводные'!$B$88:$B$91,$B$8),"Нет")="Да"))</x:f>
      </x:c>
      <x:c r="DG20" s="35" t="n">
        <x:f>--AND(DG$3&gt;=MAX($B$11,$B$10),DG$3&lt;EDATE($B$11,MAX(1,'Вводные'!$K$33)),AND($B$7="Да",IFERROR(INDEX('Вводные'!$B$88:$B$91,$B$8),"Нет")="Да"))</x:f>
      </x:c>
      <x:c r="DH20" s="35" t="n">
        <x:f>--AND(DH$3&gt;=MAX($B$11,$B$10),DH$3&lt;EDATE($B$11,MAX(1,'Вводные'!$K$33)),AND($B$7="Да",IFERROR(INDEX('Вводные'!$B$88:$B$91,$B$8),"Нет")="Да"))</x:f>
      </x:c>
      <x:c r="DI20" s="35" t="n">
        <x:f>--AND(DI$3&gt;=MAX($B$11,$B$10),DI$3&lt;EDATE($B$11,MAX(1,'Вводные'!$K$33)),AND($B$7="Да",IFERROR(INDEX('Вводные'!$B$88:$B$91,$B$8),"Нет")="Да"))</x:f>
      </x:c>
      <x:c r="DJ20" s="35" t="n">
        <x:f>--AND(DJ$3&gt;=MAX($B$11,$B$10),DJ$3&lt;EDATE($B$11,MAX(1,'Вводные'!$K$33)),AND($B$7="Да",IFERROR(INDEX('Вводные'!$B$88:$B$91,$B$8),"Нет")="Да"))</x:f>
      </x:c>
      <x:c r="DK20" s="35" t="n">
        <x:f>--AND(DK$3&gt;=MAX($B$11,$B$10),DK$3&lt;EDATE($B$11,MAX(1,'Вводные'!$K$33)),AND($B$7="Да",IFERROR(INDEX('Вводные'!$B$88:$B$91,$B$8),"Нет")="Да"))</x:f>
      </x:c>
      <x:c r="DL20" s="35" t="n">
        <x:f>--AND(DL$3&gt;=MAX($B$11,$B$10),DL$3&lt;EDATE($B$11,MAX(1,'Вводные'!$K$33)),AND($B$7="Да",IFERROR(INDEX('Вводные'!$B$88:$B$91,$B$8),"Нет")="Да"))</x:f>
      </x:c>
      <x:c r="DM20" s="35" t="n">
        <x:f>--AND(DM$3&gt;=MAX($B$11,$B$10),DM$3&lt;EDATE($B$11,MAX(1,'Вводные'!$K$33)),AND($B$7="Да",IFERROR(INDEX('Вводные'!$B$88:$B$91,$B$8),"Нет")="Да"))</x:f>
      </x:c>
      <x:c r="DN20" s="35" t="n">
        <x:f>--AND(DN$3&gt;=MAX($B$11,$B$10),DN$3&lt;EDATE($B$11,MAX(1,'Вводные'!$K$33)),AND($B$7="Да",IFERROR(INDEX('Вводные'!$B$88:$B$91,$B$8),"Нет")="Да"))</x:f>
      </x:c>
      <x:c r="DO20" s="35" t="n">
        <x:f>--AND(DO$3&gt;=MAX($B$11,$B$10),DO$3&lt;EDATE($B$11,MAX(1,'Вводные'!$K$33)),AND($B$7="Да",IFERROR(INDEX('Вводные'!$B$88:$B$91,$B$8),"Нет")="Да"))</x:f>
      </x:c>
      <x:c r="DP20" s="35" t="n">
        <x:f>--AND(DP$3&gt;=MAX($B$11,$B$10),DP$3&lt;EDATE($B$11,MAX(1,'Вводные'!$K$33)),AND($B$7="Да",IFERROR(INDEX('Вводные'!$B$88:$B$91,$B$8),"Нет")="Да"))</x:f>
      </x:c>
      <x:c r="DQ20" s="35" t="n">
        <x:f>--AND(DQ$3&gt;=MAX($B$11,$B$10),DQ$3&lt;EDATE($B$11,MAX(1,'Вводные'!$K$33)),AND($B$7="Да",IFERROR(INDEX('Вводные'!$B$88:$B$91,$B$8),"Нет")="Да"))</x:f>
      </x:c>
      <x:c r="DR20" s="35" t="n">
        <x:f>--AND(DR$3&gt;=MAX($B$11,$B$10),DR$3&lt;EDATE($B$11,MAX(1,'Вводные'!$K$33)),AND($B$7="Да",IFERROR(INDEX('Вводные'!$B$88:$B$91,$B$8),"Нет")="Да"))</x:f>
      </x:c>
      <x:c r="DS20" s="35" t="n">
        <x:f>--AND(DS$3&gt;=MAX($B$11,$B$10),DS$3&lt;EDATE($B$11,MAX(1,'Вводные'!$K$33)),AND($B$7="Да",IFERROR(INDEX('Вводные'!$B$88:$B$91,$B$8),"Нет")="Да"))</x:f>
      </x:c>
      <x:c r="DT20" s="35" t="n">
        <x:f>--AND(DT$3&gt;=MAX($B$11,$B$10),DT$3&lt;EDATE($B$11,MAX(1,'Вводные'!$K$33)),AND($B$7="Да",IFERROR(INDEX('Вводные'!$B$88:$B$91,$B$8),"Нет")="Да"))</x:f>
      </x:c>
      <x:c r="DU20" s="35" t="n">
        <x:f>--AND(DU$3&gt;=MAX($B$11,$B$10),DU$3&lt;EDATE($B$11,MAX(1,'Вводные'!$K$33)),AND($B$7="Да",IFERROR(INDEX('Вводные'!$B$88:$B$91,$B$8),"Нет")="Да"))</x:f>
      </x:c>
      <x:c r="DV20" s="35" t="n">
        <x:f>--AND(DV$3&gt;=MAX($B$11,$B$10),DV$3&lt;EDATE($B$11,MAX(1,'Вводные'!$K$33)),AND($B$7="Да",IFERROR(INDEX('Вводные'!$B$88:$B$91,$B$8),"Нет")="Да"))</x:f>
      </x:c>
      <x:c r="DW20" s="35" t="n">
        <x:f>--AND(DW$3&gt;=MAX($B$11,$B$10),DW$3&lt;EDATE($B$11,MAX(1,'Вводные'!$K$33)),AND($B$7="Да",IFERROR(INDEX('Вводные'!$B$88:$B$91,$B$8),"Нет")="Да"))</x:f>
      </x:c>
      <x:c r="DX20" s="35" t="n">
        <x:f>--AND(DX$3&gt;=MAX($B$11,$B$10),DX$3&lt;EDATE($B$11,MAX(1,'Вводные'!$K$33)),AND($B$7="Да",IFERROR(INDEX('Вводные'!$B$88:$B$91,$B$8),"Нет")="Да"))</x:f>
      </x:c>
      <x:c r="DY20" s="35" t="n">
        <x:f>--AND(DY$3&gt;=MAX($B$11,$B$10),DY$3&lt;EDATE($B$11,MAX(1,'Вводные'!$K$33)),AND($B$7="Да",IFERROR(INDEX('Вводные'!$B$88:$B$91,$B$8),"Нет")="Да"))</x:f>
      </x:c>
      <x:c r="DZ20" s="35" t="n">
        <x:f>--AND(DZ$3&gt;=MAX($B$11,$B$10),DZ$3&lt;EDATE($B$11,MAX(1,'Вводные'!$K$33)),AND($B$7="Да",IFERROR(INDEX('Вводные'!$B$88:$B$91,$B$8),"Нет")="Да"))</x:f>
      </x:c>
      <x:c r="EA20" s="35" t="n">
        <x:f>--AND(EA$3&gt;=MAX($B$11,$B$10),EA$3&lt;EDATE($B$11,MAX(1,'Вводные'!$K$33)),AND($B$7="Да",IFERROR(INDEX('Вводные'!$B$88:$B$91,$B$8),"Нет")="Да"))</x:f>
      </x:c>
      <x:c r="EB20" s="35" t="n">
        <x:f>--AND(EB$3&gt;=MAX($B$11,$B$10),EB$3&lt;EDATE($B$11,MAX(1,'Вводные'!$K$33)),AND($B$7="Да",IFERROR(INDEX('Вводные'!$B$88:$B$91,$B$8),"Нет")="Да"))</x:f>
      </x:c>
      <x:c r="EC20" s="35" t="n">
        <x:f>--AND(EC$3&gt;=MAX($B$11,$B$10),EC$3&lt;EDATE($B$11,MAX(1,'Вводные'!$K$33)),AND($B$7="Да",IFERROR(INDEX('Вводные'!$B$88:$B$91,$B$8),"Нет")="Да"))</x:f>
      </x:c>
      <x:c r="ED20" s="35" t="n">
        <x:f>--AND(ED$3&gt;=MAX($B$11,$B$10),ED$3&lt;EDATE($B$11,MAX(1,'Вводные'!$K$33)),AND($B$7="Да",IFERROR(INDEX('Вводные'!$B$88:$B$91,$B$8),"Нет")="Да"))</x:f>
      </x:c>
      <x:c r="EE20" s="35" t="n">
        <x:f>--AND(EE$3&gt;=MAX($B$11,$B$10),EE$3&lt;EDATE($B$11,MAX(1,'Вводные'!$K$33)),AND($B$7="Да",IFERROR(INDEX('Вводные'!$B$88:$B$91,$B$8),"Нет")="Да"))</x:f>
      </x:c>
      <x:c r="EF20" s="35" t="n">
        <x:f>--AND(EF$3&gt;=MAX($B$11,$B$10),EF$3&lt;EDATE($B$11,MAX(1,'Вводные'!$K$33)),AND($B$7="Да",IFERROR(INDEX('Вводные'!$B$88:$B$91,$B$8),"Нет")="Да"))</x:f>
      </x:c>
      <x:c r="EG20" s="35" t="n">
        <x:f>--AND(EG$3&gt;=MAX($B$11,$B$10),EG$3&lt;EDATE($B$11,MAX(1,'Вводные'!$K$33)),AND($B$7="Да",IFERROR(INDEX('Вводные'!$B$88:$B$91,$B$8),"Нет")="Да"))</x:f>
      </x:c>
      <x:c r="EH20" s="35" t="n">
        <x:f>--AND(EH$3&gt;=MAX($B$11,$B$10),EH$3&lt;EDATE($B$11,MAX(1,'Вводные'!$K$33)),AND($B$7="Да",IFERROR(INDEX('Вводные'!$B$88:$B$91,$B$8),"Нет")="Да"))</x:f>
      </x:c>
      <x:c r="EI20" s="35" t="n">
        <x:f>--AND(EI$3&gt;=MAX($B$11,$B$10),EI$3&lt;EDATE($B$11,MAX(1,'Вводные'!$K$33)),AND($B$7="Да",IFERROR(INDEX('Вводные'!$B$88:$B$91,$B$8),"Нет")="Да"))</x:f>
      </x:c>
      <x:c r="EJ20" s="35" t="n">
        <x:f>--AND(EJ$3&gt;=MAX($B$11,$B$10),EJ$3&lt;EDATE($B$11,MAX(1,'Вводные'!$K$33)),AND($B$7="Да",IFERROR(INDEX('Вводные'!$B$88:$B$91,$B$8),"Нет")="Да"))</x:f>
      </x:c>
      <x:c r="EK20" s="35" t="n">
        <x:f>--AND(EK$3&gt;=MAX($B$11,$B$10),EK$3&lt;EDATE($B$11,MAX(1,'Вводные'!$K$33)),AND($B$7="Да",IFERROR(INDEX('Вводные'!$B$88:$B$91,$B$8),"Нет")="Да"))</x:f>
      </x:c>
      <x:c r="EL20" s="35" t="n">
        <x:f>--AND(EL$3&gt;=MAX($B$11,$B$10),EL$3&lt;EDATE($B$11,MAX(1,'Вводные'!$K$33)),AND($B$7="Да",IFERROR(INDEX('Вводные'!$B$88:$B$91,$B$8),"Нет")="Да"))</x:f>
      </x:c>
      <x:c r="EM20" s="35" t="n">
        <x:f>--AND(EM$3&gt;=MAX($B$11,$B$10),EM$3&lt;EDATE($B$11,MAX(1,'Вводные'!$K$33)),AND($B$7="Да",IFERROR(INDEX('Вводные'!$B$88:$B$91,$B$8),"Нет")="Да"))</x:f>
      </x:c>
      <x:c r="EN20" s="35" t="n">
        <x:f>--AND(EN$3&gt;=MAX($B$11,$B$10),EN$3&lt;EDATE($B$11,MAX(1,'Вводные'!$K$33)),AND($B$7="Да",IFERROR(INDEX('Вводные'!$B$88:$B$91,$B$8),"Нет")="Да"))</x:f>
      </x:c>
      <x:c r="EO20" s="35" t="n">
        <x:f>--AND(EO$3&gt;=MAX($B$11,$B$10),EO$3&lt;EDATE($B$11,MAX(1,'Вводные'!$K$33)),AND($B$7="Да",IFERROR(INDEX('Вводные'!$B$88:$B$91,$B$8),"Нет")="Да"))</x:f>
      </x:c>
      <x:c r="EP20" s="35" t="n">
        <x:f>--AND(EP$3&gt;=MAX($B$11,$B$10),EP$3&lt;EDATE($B$11,MAX(1,'Вводные'!$K$33)),AND($B$7="Да",IFERROR(INDEX('Вводные'!$B$88:$B$91,$B$8),"Нет")="Да"))</x:f>
      </x:c>
      <x:c r="EQ20" s="35" t="n">
        <x:f>--AND(EQ$3&gt;=MAX($B$11,$B$10),EQ$3&lt;EDATE($B$11,MAX(1,'Вводные'!$K$33)),AND($B$7="Да",IFERROR(INDEX('Вводные'!$B$88:$B$91,$B$8),"Нет")="Да"))</x:f>
      </x:c>
      <x:c r="ER20" s="35" t="n">
        <x:f>--AND(ER$3&gt;=MAX($B$11,$B$10),ER$3&lt;EDATE($B$11,MAX(1,'Вводные'!$K$33)),AND($B$7="Да",IFERROR(INDEX('Вводные'!$B$88:$B$91,$B$8),"Нет")="Да"))</x:f>
      </x:c>
      <x:c r="ES20" s="35" t="n">
        <x:f>--AND(ES$3&gt;=MAX($B$11,$B$10),ES$3&lt;EDATE($B$11,MAX(1,'Вводные'!$K$33)),AND($B$7="Да",IFERROR(INDEX('Вводные'!$B$88:$B$91,$B$8),"Нет")="Да"))</x:f>
      </x:c>
      <x:c r="ET20" s="35" t="n">
        <x:f>--AND(ET$3&gt;=MAX($B$11,$B$10),ET$3&lt;EDATE($B$11,MAX(1,'Вводные'!$K$33)),AND($B$7="Да",IFERROR(INDEX('Вводные'!$B$88:$B$91,$B$8),"Нет")="Да"))</x:f>
      </x:c>
      <x:c r="EU20" s="35" t="n">
        <x:f>--AND(EU$3&gt;=MAX($B$11,$B$10),EU$3&lt;EDATE($B$11,MAX(1,'Вводные'!$K$33)),AND($B$7="Да",IFERROR(INDEX('Вводные'!$B$88:$B$91,$B$8),"Нет")="Да"))</x:f>
      </x:c>
      <x:c r="EV20" s="35" t="n">
        <x:f>--AND(EV$3&gt;=MAX($B$11,$B$10),EV$3&lt;EDATE($B$11,MAX(1,'Вводные'!$K$33)),AND($B$7="Да",IFERROR(INDEX('Вводные'!$B$88:$B$91,$B$8),"Нет")="Да"))</x:f>
      </x:c>
      <x:c r="EW20" s="35" t="n">
        <x:f>--AND(EW$3&gt;=MAX($B$11,$B$10),EW$3&lt;EDATE($B$11,MAX(1,'Вводные'!$K$33)),AND($B$7="Да",IFERROR(INDEX('Вводные'!$B$88:$B$91,$B$8),"Нет")="Да"))</x:f>
      </x:c>
      <x:c r="EX20" s="35" t="n">
        <x:f>--AND(EX$3&gt;=MAX($B$11,$B$10),EX$3&lt;EDATE($B$11,MAX(1,'Вводные'!$K$33)),AND($B$7="Да",IFERROR(INDEX('Вводные'!$B$88:$B$91,$B$8),"Нет")="Да"))</x:f>
      </x:c>
      <x:c r="EY20" s="35" t="n">
        <x:f>--AND(EY$3&gt;=MAX($B$11,$B$10),EY$3&lt;EDATE($B$11,MAX(1,'Вводные'!$K$33)),AND($B$7="Да",IFERROR(INDEX('Вводные'!$B$88:$B$91,$B$8),"Нет")="Да"))</x:f>
      </x:c>
      <x:c r="EZ20" s="35" t="n">
        <x:f>--AND(EZ$3&gt;=MAX($B$11,$B$10),EZ$3&lt;EDATE($B$11,MAX(1,'Вводные'!$K$33)),AND($B$7="Да",IFERROR(INDEX('Вводные'!$B$88:$B$91,$B$8),"Нет")="Да"))</x:f>
      </x:c>
      <x:c r="FA20" s="35" t="n">
        <x:f>--AND(FA$3&gt;=MAX($B$11,$B$10),FA$3&lt;EDATE($B$11,MAX(1,'Вводные'!$K$33)),AND($B$7="Да",IFERROR(INDEX('Вводные'!$B$88:$B$91,$B$8),"Нет")="Да"))</x:f>
      </x:c>
      <x:c r="FB20" s="35" t="n">
        <x:f>--AND(FB$3&gt;=MAX($B$11,$B$10),FB$3&lt;EDATE($B$11,MAX(1,'Вводные'!$K$33)),AND($B$7="Да",IFERROR(INDEX('Вводные'!$B$88:$B$91,$B$8),"Нет")="Да"))</x:f>
      </x:c>
      <x:c r="FC20" s="35" t="n">
        <x:f>--AND(FC$3&gt;=MAX($B$11,$B$10),FC$3&lt;EDATE($B$11,MAX(1,'Вводные'!$K$33)),AND($B$7="Да",IFERROR(INDEX('Вводные'!$B$88:$B$91,$B$8),"Нет")="Да"))</x:f>
      </x:c>
      <x:c r="FD20" s="35" t="n">
        <x:f>--AND(FD$3&gt;=MAX($B$11,$B$10),FD$3&lt;EDATE($B$11,MAX(1,'Вводные'!$K$33)),AND($B$7="Да",IFERROR(INDEX('Вводные'!$B$88:$B$91,$B$8),"Нет")="Да"))</x:f>
      </x:c>
      <x:c r="FE20" s="35" t="n">
        <x:f>--AND(FE$3&gt;=MAX($B$11,$B$10),FE$3&lt;EDATE($B$11,MAX(1,'Вводные'!$K$33)),AND($B$7="Да",IFERROR(INDEX('Вводные'!$B$88:$B$91,$B$8),"Нет")="Да"))</x:f>
      </x:c>
      <x:c r="FF20" s="35" t="n">
        <x:f>--AND(FF$3&gt;=MAX($B$11,$B$10),FF$3&lt;EDATE($B$11,MAX(1,'Вводные'!$K$33)),AND($B$7="Да",IFERROR(INDEX('Вводные'!$B$88:$B$91,$B$8),"Нет")="Да"))</x:f>
      </x:c>
      <x:c r="FG20" s="35" t="n">
        <x:f>--AND(FG$3&gt;=MAX($B$11,$B$10),FG$3&lt;EDATE($B$11,MAX(1,'Вводные'!$K$33)),AND($B$7="Да",IFERROR(INDEX('Вводные'!$B$88:$B$91,$B$8),"Нет")="Да"))</x:f>
      </x:c>
      <x:c r="FH20" s="35" t="n">
        <x:f>--AND(FH$3&gt;=MAX($B$11,$B$10),FH$3&lt;EDATE($B$11,MAX(1,'Вводные'!$K$33)),AND($B$7="Да",IFERROR(INDEX('Вводные'!$B$88:$B$91,$B$8),"Нет")="Да"))</x:f>
      </x:c>
      <x:c r="FI20" s="35" t="n">
        <x:f>--AND(FI$3&gt;=MAX($B$11,$B$10),FI$3&lt;EDATE($B$11,MAX(1,'Вводные'!$K$33)),AND($B$7="Да",IFERROR(INDEX('Вводные'!$B$88:$B$91,$B$8),"Нет")="Да"))</x:f>
      </x:c>
      <x:c r="FJ20" s="35" t="n">
        <x:f>--AND(FJ$3&gt;=MAX($B$11,$B$10),FJ$3&lt;EDATE($B$11,MAX(1,'Вводные'!$K$33)),AND($B$7="Да",IFERROR(INDEX('Вводные'!$B$88:$B$91,$B$8),"Нет")="Да"))</x:f>
      </x:c>
      <x:c r="FK20" s="35" t="n">
        <x:f>--AND(FK$3&gt;=MAX($B$11,$B$10),FK$3&lt;EDATE($B$11,MAX(1,'Вводные'!$K$33)),AND($B$7="Да",IFERROR(INDEX('Вводные'!$B$88:$B$91,$B$8),"Нет")="Да"))</x:f>
      </x:c>
      <x:c r="FL20" s="35" t="n">
        <x:f>--AND(FL$3&gt;=MAX($B$11,$B$10),FL$3&lt;EDATE($B$11,MAX(1,'Вводные'!$K$33)),AND($B$7="Да",IFERROR(INDEX('Вводные'!$B$88:$B$91,$B$8),"Нет")="Да"))</x:f>
      </x:c>
      <x:c r="FM20" s="35" t="n">
        <x:f>--AND(FM$3&gt;=MAX($B$11,$B$10),FM$3&lt;EDATE($B$11,MAX(1,'Вводные'!$K$33)),AND($B$7="Да",IFERROR(INDEX('Вводные'!$B$88:$B$91,$B$8),"Нет")="Да"))</x:f>
      </x:c>
      <x:c r="FN20" s="35" t="n">
        <x:f>--AND(FN$3&gt;=MAX($B$11,$B$10),FN$3&lt;EDATE($B$11,MAX(1,'Вводные'!$K$33)),AND($B$7="Да",IFERROR(INDEX('Вводные'!$B$88:$B$91,$B$8),"Нет")="Да"))</x:f>
      </x:c>
      <x:c r="FO20" s="35" t="n">
        <x:f>--AND(FO$3&gt;=MAX($B$11,$B$10),FO$3&lt;EDATE($B$11,MAX(1,'Вводные'!$K$33)),AND($B$7="Да",IFERROR(INDEX('Вводные'!$B$88:$B$91,$B$8),"Нет")="Да"))</x:f>
      </x:c>
      <x:c r="FP20" s="35" t="n">
        <x:f>--AND(FP$3&gt;=MAX($B$11,$B$10),FP$3&lt;EDATE($B$11,MAX(1,'Вводные'!$K$33)),AND($B$7="Да",IFERROR(INDEX('Вводные'!$B$88:$B$91,$B$8),"Нет")="Да"))</x:f>
      </x:c>
      <x:c r="FQ20" s="35" t="n">
        <x:f>--AND(FQ$3&gt;=MAX($B$11,$B$10),FQ$3&lt;EDATE($B$11,MAX(1,'Вводные'!$K$33)),AND($B$7="Да",IFERROR(INDEX('Вводные'!$B$88:$B$91,$B$8),"Нет")="Да"))</x:f>
      </x:c>
      <x:c r="FR20" s="35" t="n">
        <x:f>--AND(FR$3&gt;=MAX($B$11,$B$10),FR$3&lt;EDATE($B$11,MAX(1,'Вводные'!$K$33)),AND($B$7="Да",IFERROR(INDEX('Вводные'!$B$88:$B$91,$B$8),"Нет")="Да"))</x:f>
      </x:c>
      <x:c r="FS20" s="35" t="n">
        <x:f>--AND(FS$3&gt;=MAX($B$11,$B$10),FS$3&lt;EDATE($B$11,MAX(1,'Вводные'!$K$33)),AND($B$7="Да",IFERROR(INDEX('Вводные'!$B$88:$B$91,$B$8),"Нет")="Да"))</x:f>
      </x:c>
      <x:c r="FT20" s="35" t="n">
        <x:f>--AND(FT$3&gt;=MAX($B$11,$B$10),FT$3&lt;EDATE($B$11,MAX(1,'Вводные'!$K$33)),AND($B$7="Да",IFERROR(INDEX('Вводные'!$B$88:$B$91,$B$8),"Нет")="Да"))</x:f>
      </x:c>
      <x:c r="FU20" s="35" t="n">
        <x:f>--AND(FU$3&gt;=MAX($B$11,$B$10),FU$3&lt;EDATE($B$11,MAX(1,'Вводные'!$K$33)),AND($B$7="Да",IFERROR(INDEX('Вводные'!$B$88:$B$91,$B$8),"Нет")="Да"))</x:f>
      </x:c>
      <x:c r="FV20" s="35" t="n">
        <x:f>--AND(FV$3&gt;=MAX($B$11,$B$10),FV$3&lt;EDATE($B$11,MAX(1,'Вводные'!$K$33)),AND($B$7="Да",IFERROR(INDEX('Вводные'!$B$88:$B$91,$B$8),"Нет")="Да"))</x:f>
      </x:c>
      <x:c r="FW20" s="35" t="n">
        <x:f>--AND(FW$3&gt;=MAX($B$11,$B$10),FW$3&lt;EDATE($B$11,MAX(1,'Вводные'!$K$33)),AND($B$7="Да",IFERROR(INDEX('Вводные'!$B$88:$B$91,$B$8),"Нет")="Да"))</x:f>
      </x:c>
      <x:c r="FX20" s="35" t="n">
        <x:f>--AND(FX$3&gt;=MAX($B$11,$B$10),FX$3&lt;EDATE($B$11,MAX(1,'Вводные'!$K$33)),AND($B$7="Да",IFERROR(INDEX('Вводные'!$B$88:$B$91,$B$8),"Нет")="Да"))</x:f>
      </x:c>
      <x:c r="FY20" s="35" t="n">
        <x:f>--AND(FY$3&gt;=MAX($B$11,$B$10),FY$3&lt;EDATE($B$11,MAX(1,'Вводные'!$K$33)),AND($B$7="Да",IFERROR(INDEX('Вводные'!$B$88:$B$91,$B$8),"Нет")="Да"))</x:f>
      </x:c>
      <x:c r="FZ20" s="35" t="n">
        <x:f>--AND(FZ$3&gt;=MAX($B$11,$B$10),FZ$3&lt;EDATE($B$11,MAX(1,'Вводные'!$K$33)),AND($B$7="Да",IFERROR(INDEX('Вводные'!$B$88:$B$91,$B$8),"Нет")="Да"))</x:f>
      </x:c>
      <x:c r="GA20" s="35" t="n">
        <x:f>--AND(GA$3&gt;=MAX($B$11,$B$10),GA$3&lt;EDATE($B$11,MAX(1,'Вводные'!$K$33)),AND($B$7="Да",IFERROR(INDEX('Вводные'!$B$88:$B$91,$B$8),"Нет")="Да"))</x:f>
      </x:c>
    </x:row>
    <x:row r="21">
      <x:c r="A21" t="str">
        <x:v>Нормированный вес после РВЭ</x:v>
      </x:c>
      <x:c r="B21" s="35" t="n">
        <x:f>SUM(D21:GA21)</x:f>
      </x:c>
      <x:c r="C21" t="str">
        <x:v>%</x:v>
      </x:c>
      <x:c r="D21" s="35" t="n">
        <x:f>IFERROR(D18*D20/SUMPRODUCT($D18:$GA18,$D20:$GA20),0)</x:f>
      </x:c>
      <x:c r="E21" s="35" t="n">
        <x:f>IFERROR(E18*E20/SUMPRODUCT($D18:$GA18,$D20:$GA20),0)</x:f>
      </x:c>
      <x:c r="F21" s="35" t="n">
        <x:f>IFERROR(F18*F20/SUMPRODUCT($D18:$GA18,$D20:$GA20),0)</x:f>
      </x:c>
      <x:c r="G21" s="35" t="n">
        <x:f>IFERROR(G18*G20/SUMPRODUCT($D18:$GA18,$D20:$GA20),0)</x:f>
      </x:c>
      <x:c r="H21" s="35" t="n">
        <x:f>IFERROR(H18*H20/SUMPRODUCT($D18:$GA18,$D20:$GA20),0)</x:f>
      </x:c>
      <x:c r="I21" s="35" t="n">
        <x:f>IFERROR(I18*I20/SUMPRODUCT($D18:$GA18,$D20:$GA20),0)</x:f>
      </x:c>
      <x:c r="J21" s="35" t="n">
        <x:f>IFERROR(J18*J20/SUMPRODUCT($D18:$GA18,$D20:$GA20),0)</x:f>
      </x:c>
      <x:c r="K21" s="35" t="n">
        <x:f>IFERROR(K18*K20/SUMPRODUCT($D18:$GA18,$D20:$GA20),0)</x:f>
      </x:c>
      <x:c r="L21" s="35" t="n">
        <x:f>IFERROR(L18*L20/SUMPRODUCT($D18:$GA18,$D20:$GA20),0)</x:f>
      </x:c>
      <x:c r="M21" s="35" t="n">
        <x:f>IFERROR(M18*M20/SUMPRODUCT($D18:$GA18,$D20:$GA20),0)</x:f>
      </x:c>
      <x:c r="N21" s="35" t="n">
        <x:f>IFERROR(N18*N20/SUMPRODUCT($D18:$GA18,$D20:$GA20),0)</x:f>
      </x:c>
      <x:c r="O21" s="35" t="n">
        <x:f>IFERROR(O18*O20/SUMPRODUCT($D18:$GA18,$D20:$GA20),0)</x:f>
      </x:c>
      <x:c r="P21" s="35" t="n">
        <x:f>IFERROR(P18*P20/SUMPRODUCT($D18:$GA18,$D20:$GA20),0)</x:f>
      </x:c>
      <x:c r="Q21" s="35" t="n">
        <x:f>IFERROR(Q18*Q20/SUMPRODUCT($D18:$GA18,$D20:$GA20),0)</x:f>
      </x:c>
      <x:c r="R21" s="35" t="n">
        <x:f>IFERROR(R18*R20/SUMPRODUCT($D18:$GA18,$D20:$GA20),0)</x:f>
      </x:c>
      <x:c r="S21" s="35" t="n">
        <x:f>IFERROR(S18*S20/SUMPRODUCT($D18:$GA18,$D20:$GA20),0)</x:f>
      </x:c>
      <x:c r="T21" s="35" t="n">
        <x:f>IFERROR(T18*T20/SUMPRODUCT($D18:$GA18,$D20:$GA20),0)</x:f>
      </x:c>
      <x:c r="U21" s="35" t="n">
        <x:f>IFERROR(U18*U20/SUMPRODUCT($D18:$GA18,$D20:$GA20),0)</x:f>
      </x:c>
      <x:c r="V21" s="35" t="n">
        <x:f>IFERROR(V18*V20/SUMPRODUCT($D18:$GA18,$D20:$GA20),0)</x:f>
      </x:c>
      <x:c r="W21" s="35" t="n">
        <x:f>IFERROR(W18*W20/SUMPRODUCT($D18:$GA18,$D20:$GA20),0)</x:f>
      </x:c>
      <x:c r="X21" s="35" t="n">
        <x:f>IFERROR(X18*X20/SUMPRODUCT($D18:$GA18,$D20:$GA20),0)</x:f>
      </x:c>
      <x:c r="Y21" s="35" t="n">
        <x:f>IFERROR(Y18*Y20/SUMPRODUCT($D18:$GA18,$D20:$GA20),0)</x:f>
      </x:c>
      <x:c r="Z21" s="35" t="n">
        <x:f>IFERROR(Z18*Z20/SUMPRODUCT($D18:$GA18,$D20:$GA20),0)</x:f>
      </x:c>
      <x:c r="AA21" s="35" t="n">
        <x:f>IFERROR(AA18*AA20/SUMPRODUCT($D18:$GA18,$D20:$GA20),0)</x:f>
      </x:c>
      <x:c r="AB21" s="35" t="n">
        <x:f>IFERROR(AB18*AB20/SUMPRODUCT($D18:$GA18,$D20:$GA20),0)</x:f>
      </x:c>
      <x:c r="AC21" s="35" t="n">
        <x:f>IFERROR(AC18*AC20/SUMPRODUCT($D18:$GA18,$D20:$GA20),0)</x:f>
      </x:c>
      <x:c r="AD21" s="35" t="n">
        <x:f>IFERROR(AD18*AD20/SUMPRODUCT($D18:$GA18,$D20:$GA20),0)</x:f>
      </x:c>
      <x:c r="AE21" s="35" t="n">
        <x:f>IFERROR(AE18*AE20/SUMPRODUCT($D18:$GA18,$D20:$GA20),0)</x:f>
      </x:c>
      <x:c r="AF21" s="35" t="n">
        <x:f>IFERROR(AF18*AF20/SUMPRODUCT($D18:$GA18,$D20:$GA20),0)</x:f>
      </x:c>
      <x:c r="AG21" s="35" t="n">
        <x:f>IFERROR(AG18*AG20/SUMPRODUCT($D18:$GA18,$D20:$GA20),0)</x:f>
      </x:c>
      <x:c r="AH21" s="35" t="n">
        <x:f>IFERROR(AH18*AH20/SUMPRODUCT($D18:$GA18,$D20:$GA20),0)</x:f>
      </x:c>
      <x:c r="AI21" s="35" t="n">
        <x:f>IFERROR(AI18*AI20/SUMPRODUCT($D18:$GA18,$D20:$GA20),0)</x:f>
      </x:c>
      <x:c r="AJ21" s="35" t="n">
        <x:f>IFERROR(AJ18*AJ20/SUMPRODUCT($D18:$GA18,$D20:$GA20),0)</x:f>
      </x:c>
      <x:c r="AK21" s="35" t="n">
        <x:f>IFERROR(AK18*AK20/SUMPRODUCT($D18:$GA18,$D20:$GA20),0)</x:f>
      </x:c>
      <x:c r="AL21" s="35" t="n">
        <x:f>IFERROR(AL18*AL20/SUMPRODUCT($D18:$GA18,$D20:$GA20),0)</x:f>
      </x:c>
      <x:c r="AM21" s="35" t="n">
        <x:f>IFERROR(AM18*AM20/SUMPRODUCT($D18:$GA18,$D20:$GA20),0)</x:f>
      </x:c>
      <x:c r="AN21" s="35" t="n">
        <x:f>IFERROR(AN18*AN20/SUMPRODUCT($D18:$GA18,$D20:$GA20),0)</x:f>
      </x:c>
      <x:c r="AO21" s="35" t="n">
        <x:f>IFERROR(AO18*AO20/SUMPRODUCT($D18:$GA18,$D20:$GA20),0)</x:f>
      </x:c>
      <x:c r="AP21" s="35" t="n">
        <x:f>IFERROR(AP18*AP20/SUMPRODUCT($D18:$GA18,$D20:$GA20),0)</x:f>
      </x:c>
      <x:c r="AQ21" s="35" t="n">
        <x:f>IFERROR(AQ18*AQ20/SUMPRODUCT($D18:$GA18,$D20:$GA20),0)</x:f>
      </x:c>
      <x:c r="AR21" s="35" t="n">
        <x:f>IFERROR(AR18*AR20/SUMPRODUCT($D18:$GA18,$D20:$GA20),0)</x:f>
      </x:c>
      <x:c r="AS21" s="35" t="n">
        <x:f>IFERROR(AS18*AS20/SUMPRODUCT($D18:$GA18,$D20:$GA20),0)</x:f>
      </x:c>
      <x:c r="AT21" s="35" t="n">
        <x:f>IFERROR(AT18*AT20/SUMPRODUCT($D18:$GA18,$D20:$GA20),0)</x:f>
      </x:c>
      <x:c r="AU21" s="35" t="n">
        <x:f>IFERROR(AU18*AU20/SUMPRODUCT($D18:$GA18,$D20:$GA20),0)</x:f>
      </x:c>
      <x:c r="AV21" s="35" t="n">
        <x:f>IFERROR(AV18*AV20/SUMPRODUCT($D18:$GA18,$D20:$GA20),0)</x:f>
      </x:c>
      <x:c r="AW21" s="35" t="n">
        <x:f>IFERROR(AW18*AW20/SUMPRODUCT($D18:$GA18,$D20:$GA20),0)</x:f>
      </x:c>
      <x:c r="AX21" s="35" t="n">
        <x:f>IFERROR(AX18*AX20/SUMPRODUCT($D18:$GA18,$D20:$GA20),0)</x:f>
      </x:c>
      <x:c r="AY21" s="35" t="n">
        <x:f>IFERROR(AY18*AY20/SUMPRODUCT($D18:$GA18,$D20:$GA20),0)</x:f>
      </x:c>
      <x:c r="AZ21" s="35" t="n">
        <x:f>IFERROR(AZ18*AZ20/SUMPRODUCT($D18:$GA18,$D20:$GA20),0)</x:f>
      </x:c>
      <x:c r="BA21" s="35" t="n">
        <x:f>IFERROR(BA18*BA20/SUMPRODUCT($D18:$GA18,$D20:$GA20),0)</x:f>
      </x:c>
      <x:c r="BB21" s="35" t="n">
        <x:f>IFERROR(BB18*BB20/SUMPRODUCT($D18:$GA18,$D20:$GA20),0)</x:f>
      </x:c>
      <x:c r="BC21" s="35" t="n">
        <x:f>IFERROR(BC18*BC20/SUMPRODUCT($D18:$GA18,$D20:$GA20),0)</x:f>
      </x:c>
      <x:c r="BD21" s="35" t="n">
        <x:f>IFERROR(BD18*BD20/SUMPRODUCT($D18:$GA18,$D20:$GA20),0)</x:f>
      </x:c>
      <x:c r="BE21" s="35" t="n">
        <x:f>IFERROR(BE18*BE20/SUMPRODUCT($D18:$GA18,$D20:$GA20),0)</x:f>
      </x:c>
      <x:c r="BF21" s="35" t="n">
        <x:f>IFERROR(BF18*BF20/SUMPRODUCT($D18:$GA18,$D20:$GA20),0)</x:f>
      </x:c>
      <x:c r="BG21" s="35" t="n">
        <x:f>IFERROR(BG18*BG20/SUMPRODUCT($D18:$GA18,$D20:$GA20),0)</x:f>
      </x:c>
      <x:c r="BH21" s="35" t="n">
        <x:f>IFERROR(BH18*BH20/SUMPRODUCT($D18:$GA18,$D20:$GA20),0)</x:f>
      </x:c>
      <x:c r="BI21" s="35" t="n">
        <x:f>IFERROR(BI18*BI20/SUMPRODUCT($D18:$GA18,$D20:$GA20),0)</x:f>
      </x:c>
      <x:c r="BJ21" s="35" t="n">
        <x:f>IFERROR(BJ18*BJ20/SUMPRODUCT($D18:$GA18,$D20:$GA20),0)</x:f>
      </x:c>
      <x:c r="BK21" s="35" t="n">
        <x:f>IFERROR(BK18*BK20/SUMPRODUCT($D18:$GA18,$D20:$GA20),0)</x:f>
      </x:c>
      <x:c r="BL21" s="35" t="n">
        <x:f>IFERROR(BL18*BL20/SUMPRODUCT($D18:$GA18,$D20:$GA20),0)</x:f>
      </x:c>
      <x:c r="BM21" s="35" t="n">
        <x:f>IFERROR(BM18*BM20/SUMPRODUCT($D18:$GA18,$D20:$GA20),0)</x:f>
      </x:c>
      <x:c r="BN21" s="35" t="n">
        <x:f>IFERROR(BN18*BN20/SUMPRODUCT($D18:$GA18,$D20:$GA20),0)</x:f>
      </x:c>
      <x:c r="BO21" s="35" t="n">
        <x:f>IFERROR(BO18*BO20/SUMPRODUCT($D18:$GA18,$D20:$GA20),0)</x:f>
      </x:c>
      <x:c r="BP21" s="35" t="n">
        <x:f>IFERROR(BP18*BP20/SUMPRODUCT($D18:$GA18,$D20:$GA20),0)</x:f>
      </x:c>
      <x:c r="BQ21" s="35" t="n">
        <x:f>IFERROR(BQ18*BQ20/SUMPRODUCT($D18:$GA18,$D20:$GA20),0)</x:f>
      </x:c>
      <x:c r="BR21" s="35" t="n">
        <x:f>IFERROR(BR18*BR20/SUMPRODUCT($D18:$GA18,$D20:$GA20),0)</x:f>
      </x:c>
      <x:c r="BS21" s="35" t="n">
        <x:f>IFERROR(BS18*BS20/SUMPRODUCT($D18:$GA18,$D20:$GA20),0)</x:f>
      </x:c>
      <x:c r="BT21" s="35" t="n">
        <x:f>IFERROR(BT18*BT20/SUMPRODUCT($D18:$GA18,$D20:$GA20),0)</x:f>
      </x:c>
      <x:c r="BU21" s="35" t="n">
        <x:f>IFERROR(BU18*BU20/SUMPRODUCT($D18:$GA18,$D20:$GA20),0)</x:f>
      </x:c>
      <x:c r="BV21" s="35" t="n">
        <x:f>IFERROR(BV18*BV20/SUMPRODUCT($D18:$GA18,$D20:$GA20),0)</x:f>
      </x:c>
      <x:c r="BW21" s="35" t="n">
        <x:f>IFERROR(BW18*BW20/SUMPRODUCT($D18:$GA18,$D20:$GA20),0)</x:f>
      </x:c>
      <x:c r="BX21" s="35" t="n">
        <x:f>IFERROR(BX18*BX20/SUMPRODUCT($D18:$GA18,$D20:$GA20),0)</x:f>
      </x:c>
      <x:c r="BY21" s="35" t="n">
        <x:f>IFERROR(BY18*BY20/SUMPRODUCT($D18:$GA18,$D20:$GA20),0)</x:f>
      </x:c>
      <x:c r="BZ21" s="35" t="n">
        <x:f>IFERROR(BZ18*BZ20/SUMPRODUCT($D18:$GA18,$D20:$GA20),0)</x:f>
      </x:c>
      <x:c r="CA21" s="35" t="n">
        <x:f>IFERROR(CA18*CA20/SUMPRODUCT($D18:$GA18,$D20:$GA20),0)</x:f>
      </x:c>
      <x:c r="CB21" s="35" t="n">
        <x:f>IFERROR(CB18*CB20/SUMPRODUCT($D18:$GA18,$D20:$GA20),0)</x:f>
      </x:c>
      <x:c r="CC21" s="35" t="n">
        <x:f>IFERROR(CC18*CC20/SUMPRODUCT($D18:$GA18,$D20:$GA20),0)</x:f>
      </x:c>
      <x:c r="CD21" s="35" t="n">
        <x:f>IFERROR(CD18*CD20/SUMPRODUCT($D18:$GA18,$D20:$GA20),0)</x:f>
      </x:c>
      <x:c r="CE21" s="35" t="n">
        <x:f>IFERROR(CE18*CE20/SUMPRODUCT($D18:$GA18,$D20:$GA20),0)</x:f>
      </x:c>
      <x:c r="CF21" s="35" t="n">
        <x:f>IFERROR(CF18*CF20/SUMPRODUCT($D18:$GA18,$D20:$GA20),0)</x:f>
      </x:c>
      <x:c r="CG21" s="35" t="n">
        <x:f>IFERROR(CG18*CG20/SUMPRODUCT($D18:$GA18,$D20:$GA20),0)</x:f>
      </x:c>
      <x:c r="CH21" s="35" t="n">
        <x:f>IFERROR(CH18*CH20/SUMPRODUCT($D18:$GA18,$D20:$GA20),0)</x:f>
      </x:c>
      <x:c r="CI21" s="35" t="n">
        <x:f>IFERROR(CI18*CI20/SUMPRODUCT($D18:$GA18,$D20:$GA20),0)</x:f>
      </x:c>
      <x:c r="CJ21" s="35" t="n">
        <x:f>IFERROR(CJ18*CJ20/SUMPRODUCT($D18:$GA18,$D20:$GA20),0)</x:f>
      </x:c>
      <x:c r="CK21" s="35" t="n">
        <x:f>IFERROR(CK18*CK20/SUMPRODUCT($D18:$GA18,$D20:$GA20),0)</x:f>
      </x:c>
      <x:c r="CL21" s="35" t="n">
        <x:f>IFERROR(CL18*CL20/SUMPRODUCT($D18:$GA18,$D20:$GA20),0)</x:f>
      </x:c>
      <x:c r="CM21" s="35" t="n">
        <x:f>IFERROR(CM18*CM20/SUMPRODUCT($D18:$GA18,$D20:$GA20),0)</x:f>
      </x:c>
      <x:c r="CN21" s="35" t="n">
        <x:f>IFERROR(CN18*CN20/SUMPRODUCT($D18:$GA18,$D20:$GA20),0)</x:f>
      </x:c>
      <x:c r="CO21" s="35" t="n">
        <x:f>IFERROR(CO18*CO20/SUMPRODUCT($D18:$GA18,$D20:$GA20),0)</x:f>
      </x:c>
      <x:c r="CP21" s="35" t="n">
        <x:f>IFERROR(CP18*CP20/SUMPRODUCT($D18:$GA18,$D20:$GA20),0)</x:f>
      </x:c>
      <x:c r="CQ21" s="35" t="n">
        <x:f>IFERROR(CQ18*CQ20/SUMPRODUCT($D18:$GA18,$D20:$GA20),0)</x:f>
      </x:c>
      <x:c r="CR21" s="35" t="n">
        <x:f>IFERROR(CR18*CR20/SUMPRODUCT($D18:$GA18,$D20:$GA20),0)</x:f>
      </x:c>
      <x:c r="CS21" s="35" t="n">
        <x:f>IFERROR(CS18*CS20/SUMPRODUCT($D18:$GA18,$D20:$GA20),0)</x:f>
      </x:c>
      <x:c r="CT21" s="35" t="n">
        <x:f>IFERROR(CT18*CT20/SUMPRODUCT($D18:$GA18,$D20:$GA20),0)</x:f>
      </x:c>
      <x:c r="CU21" s="35" t="n">
        <x:f>IFERROR(CU18*CU20/SUMPRODUCT($D18:$GA18,$D20:$GA20),0)</x:f>
      </x:c>
      <x:c r="CV21" s="35" t="n">
        <x:f>IFERROR(CV18*CV20/SUMPRODUCT($D18:$GA18,$D20:$GA20),0)</x:f>
      </x:c>
      <x:c r="CW21" s="35" t="n">
        <x:f>IFERROR(CW18*CW20/SUMPRODUCT($D18:$GA18,$D20:$GA20),0)</x:f>
      </x:c>
      <x:c r="CX21" s="35" t="n">
        <x:f>IFERROR(CX18*CX20/SUMPRODUCT($D18:$GA18,$D20:$GA20),0)</x:f>
      </x:c>
      <x:c r="CY21" s="35" t="n">
        <x:f>IFERROR(CY18*CY20/SUMPRODUCT($D18:$GA18,$D20:$GA20),0)</x:f>
      </x:c>
      <x:c r="CZ21" s="35" t="n">
        <x:f>IFERROR(CZ18*CZ20/SUMPRODUCT($D18:$GA18,$D20:$GA20),0)</x:f>
      </x:c>
      <x:c r="DA21" s="35" t="n">
        <x:f>IFERROR(DA18*DA20/SUMPRODUCT($D18:$GA18,$D20:$GA20),0)</x:f>
      </x:c>
      <x:c r="DB21" s="35" t="n">
        <x:f>IFERROR(DB18*DB20/SUMPRODUCT($D18:$GA18,$D20:$GA20),0)</x:f>
      </x:c>
      <x:c r="DC21" s="35" t="n">
        <x:f>IFERROR(DC18*DC20/SUMPRODUCT($D18:$GA18,$D20:$GA20),0)</x:f>
      </x:c>
      <x:c r="DD21" s="35" t="n">
        <x:f>IFERROR(DD18*DD20/SUMPRODUCT($D18:$GA18,$D20:$GA20),0)</x:f>
      </x:c>
      <x:c r="DE21" s="35" t="n">
        <x:f>IFERROR(DE18*DE20/SUMPRODUCT($D18:$GA18,$D20:$GA20),0)</x:f>
      </x:c>
      <x:c r="DF21" s="35" t="n">
        <x:f>IFERROR(DF18*DF20/SUMPRODUCT($D18:$GA18,$D20:$GA20),0)</x:f>
      </x:c>
      <x:c r="DG21" s="35" t="n">
        <x:f>IFERROR(DG18*DG20/SUMPRODUCT($D18:$GA18,$D20:$GA20),0)</x:f>
      </x:c>
      <x:c r="DH21" s="35" t="n">
        <x:f>IFERROR(DH18*DH20/SUMPRODUCT($D18:$GA18,$D20:$GA20),0)</x:f>
      </x:c>
      <x:c r="DI21" s="35" t="n">
        <x:f>IFERROR(DI18*DI20/SUMPRODUCT($D18:$GA18,$D20:$GA20),0)</x:f>
      </x:c>
      <x:c r="DJ21" s="35" t="n">
        <x:f>IFERROR(DJ18*DJ20/SUMPRODUCT($D18:$GA18,$D20:$GA20),0)</x:f>
      </x:c>
      <x:c r="DK21" s="35" t="n">
        <x:f>IFERROR(DK18*DK20/SUMPRODUCT($D18:$GA18,$D20:$GA20),0)</x:f>
      </x:c>
      <x:c r="DL21" s="35" t="n">
        <x:f>IFERROR(DL18*DL20/SUMPRODUCT($D18:$GA18,$D20:$GA20),0)</x:f>
      </x:c>
      <x:c r="DM21" s="35" t="n">
        <x:f>IFERROR(DM18*DM20/SUMPRODUCT($D18:$GA18,$D20:$GA20),0)</x:f>
      </x:c>
      <x:c r="DN21" s="35" t="n">
        <x:f>IFERROR(DN18*DN20/SUMPRODUCT($D18:$GA18,$D20:$GA20),0)</x:f>
      </x:c>
      <x:c r="DO21" s="35" t="n">
        <x:f>IFERROR(DO18*DO20/SUMPRODUCT($D18:$GA18,$D20:$GA20),0)</x:f>
      </x:c>
      <x:c r="DP21" s="35" t="n">
        <x:f>IFERROR(DP18*DP20/SUMPRODUCT($D18:$GA18,$D20:$GA20),0)</x:f>
      </x:c>
      <x:c r="DQ21" s="35" t="n">
        <x:f>IFERROR(DQ18*DQ20/SUMPRODUCT($D18:$GA18,$D20:$GA20),0)</x:f>
      </x:c>
      <x:c r="DR21" s="35" t="n">
        <x:f>IFERROR(DR18*DR20/SUMPRODUCT($D18:$GA18,$D20:$GA20),0)</x:f>
      </x:c>
      <x:c r="DS21" s="35" t="n">
        <x:f>IFERROR(DS18*DS20/SUMPRODUCT($D18:$GA18,$D20:$GA20),0)</x:f>
      </x:c>
      <x:c r="DT21" s="35" t="n">
        <x:f>IFERROR(DT18*DT20/SUMPRODUCT($D18:$GA18,$D20:$GA20),0)</x:f>
      </x:c>
      <x:c r="DU21" s="35" t="n">
        <x:f>IFERROR(DU18*DU20/SUMPRODUCT($D18:$GA18,$D20:$GA20),0)</x:f>
      </x:c>
      <x:c r="DV21" s="35" t="n">
        <x:f>IFERROR(DV18*DV20/SUMPRODUCT($D18:$GA18,$D20:$GA20),0)</x:f>
      </x:c>
      <x:c r="DW21" s="35" t="n">
        <x:f>IFERROR(DW18*DW20/SUMPRODUCT($D18:$GA18,$D20:$GA20),0)</x:f>
      </x:c>
      <x:c r="DX21" s="35" t="n">
        <x:f>IFERROR(DX18*DX20/SUMPRODUCT($D18:$GA18,$D20:$GA20),0)</x:f>
      </x:c>
      <x:c r="DY21" s="35" t="n">
        <x:f>IFERROR(DY18*DY20/SUMPRODUCT($D18:$GA18,$D20:$GA20),0)</x:f>
      </x:c>
      <x:c r="DZ21" s="35" t="n">
        <x:f>IFERROR(DZ18*DZ20/SUMPRODUCT($D18:$GA18,$D20:$GA20),0)</x:f>
      </x:c>
      <x:c r="EA21" s="35" t="n">
        <x:f>IFERROR(EA18*EA20/SUMPRODUCT($D18:$GA18,$D20:$GA20),0)</x:f>
      </x:c>
      <x:c r="EB21" s="35" t="n">
        <x:f>IFERROR(EB18*EB20/SUMPRODUCT($D18:$GA18,$D20:$GA20),0)</x:f>
      </x:c>
      <x:c r="EC21" s="35" t="n">
        <x:f>IFERROR(EC18*EC20/SUMPRODUCT($D18:$GA18,$D20:$GA20),0)</x:f>
      </x:c>
      <x:c r="ED21" s="35" t="n">
        <x:f>IFERROR(ED18*ED20/SUMPRODUCT($D18:$GA18,$D20:$GA20),0)</x:f>
      </x:c>
      <x:c r="EE21" s="35" t="n">
        <x:f>IFERROR(EE18*EE20/SUMPRODUCT($D18:$GA18,$D20:$GA20),0)</x:f>
      </x:c>
      <x:c r="EF21" s="35" t="n">
        <x:f>IFERROR(EF18*EF20/SUMPRODUCT($D18:$GA18,$D20:$GA20),0)</x:f>
      </x:c>
      <x:c r="EG21" s="35" t="n">
        <x:f>IFERROR(EG18*EG20/SUMPRODUCT($D18:$GA18,$D20:$GA20),0)</x:f>
      </x:c>
      <x:c r="EH21" s="35" t="n">
        <x:f>IFERROR(EH18*EH20/SUMPRODUCT($D18:$GA18,$D20:$GA20),0)</x:f>
      </x:c>
      <x:c r="EI21" s="35" t="n">
        <x:f>IFERROR(EI18*EI20/SUMPRODUCT($D18:$GA18,$D20:$GA20),0)</x:f>
      </x:c>
      <x:c r="EJ21" s="35" t="n">
        <x:f>IFERROR(EJ18*EJ20/SUMPRODUCT($D18:$GA18,$D20:$GA20),0)</x:f>
      </x:c>
      <x:c r="EK21" s="35" t="n">
        <x:f>IFERROR(EK18*EK20/SUMPRODUCT($D18:$GA18,$D20:$GA20),0)</x:f>
      </x:c>
      <x:c r="EL21" s="35" t="n">
        <x:f>IFERROR(EL18*EL20/SUMPRODUCT($D18:$GA18,$D20:$GA20),0)</x:f>
      </x:c>
      <x:c r="EM21" s="35" t="n">
        <x:f>IFERROR(EM18*EM20/SUMPRODUCT($D18:$GA18,$D20:$GA20),0)</x:f>
      </x:c>
      <x:c r="EN21" s="35" t="n">
        <x:f>IFERROR(EN18*EN20/SUMPRODUCT($D18:$GA18,$D20:$GA20),0)</x:f>
      </x:c>
      <x:c r="EO21" s="35" t="n">
        <x:f>IFERROR(EO18*EO20/SUMPRODUCT($D18:$GA18,$D20:$GA20),0)</x:f>
      </x:c>
      <x:c r="EP21" s="35" t="n">
        <x:f>IFERROR(EP18*EP20/SUMPRODUCT($D18:$GA18,$D20:$GA20),0)</x:f>
      </x:c>
      <x:c r="EQ21" s="35" t="n">
        <x:f>IFERROR(EQ18*EQ20/SUMPRODUCT($D18:$GA18,$D20:$GA20),0)</x:f>
      </x:c>
      <x:c r="ER21" s="35" t="n">
        <x:f>IFERROR(ER18*ER20/SUMPRODUCT($D18:$GA18,$D20:$GA20),0)</x:f>
      </x:c>
      <x:c r="ES21" s="35" t="n">
        <x:f>IFERROR(ES18*ES20/SUMPRODUCT($D18:$GA18,$D20:$GA20),0)</x:f>
      </x:c>
      <x:c r="ET21" s="35" t="n">
        <x:f>IFERROR(ET18*ET20/SUMPRODUCT($D18:$GA18,$D20:$GA20),0)</x:f>
      </x:c>
      <x:c r="EU21" s="35" t="n">
        <x:f>IFERROR(EU18*EU20/SUMPRODUCT($D18:$GA18,$D20:$GA20),0)</x:f>
      </x:c>
      <x:c r="EV21" s="35" t="n">
        <x:f>IFERROR(EV18*EV20/SUMPRODUCT($D18:$GA18,$D20:$GA20),0)</x:f>
      </x:c>
      <x:c r="EW21" s="35" t="n">
        <x:f>IFERROR(EW18*EW20/SUMPRODUCT($D18:$GA18,$D20:$GA20),0)</x:f>
      </x:c>
      <x:c r="EX21" s="35" t="n">
        <x:f>IFERROR(EX18*EX20/SUMPRODUCT($D18:$GA18,$D20:$GA20),0)</x:f>
      </x:c>
      <x:c r="EY21" s="35" t="n">
        <x:f>IFERROR(EY18*EY20/SUMPRODUCT($D18:$GA18,$D20:$GA20),0)</x:f>
      </x:c>
      <x:c r="EZ21" s="35" t="n">
        <x:f>IFERROR(EZ18*EZ20/SUMPRODUCT($D18:$GA18,$D20:$GA20),0)</x:f>
      </x:c>
      <x:c r="FA21" s="35" t="n">
        <x:f>IFERROR(FA18*FA20/SUMPRODUCT($D18:$GA18,$D20:$GA20),0)</x:f>
      </x:c>
      <x:c r="FB21" s="35" t="n">
        <x:f>IFERROR(FB18*FB20/SUMPRODUCT($D18:$GA18,$D20:$GA20),0)</x:f>
      </x:c>
      <x:c r="FC21" s="35" t="n">
        <x:f>IFERROR(FC18*FC20/SUMPRODUCT($D18:$GA18,$D20:$GA20),0)</x:f>
      </x:c>
      <x:c r="FD21" s="35" t="n">
        <x:f>IFERROR(FD18*FD20/SUMPRODUCT($D18:$GA18,$D20:$GA20),0)</x:f>
      </x:c>
      <x:c r="FE21" s="35" t="n">
        <x:f>IFERROR(FE18*FE20/SUMPRODUCT($D18:$GA18,$D20:$GA20),0)</x:f>
      </x:c>
      <x:c r="FF21" s="35" t="n">
        <x:f>IFERROR(FF18*FF20/SUMPRODUCT($D18:$GA18,$D20:$GA20),0)</x:f>
      </x:c>
      <x:c r="FG21" s="35" t="n">
        <x:f>IFERROR(FG18*FG20/SUMPRODUCT($D18:$GA18,$D20:$GA20),0)</x:f>
      </x:c>
      <x:c r="FH21" s="35" t="n">
        <x:f>IFERROR(FH18*FH20/SUMPRODUCT($D18:$GA18,$D20:$GA20),0)</x:f>
      </x:c>
      <x:c r="FI21" s="35" t="n">
        <x:f>IFERROR(FI18*FI20/SUMPRODUCT($D18:$GA18,$D20:$GA20),0)</x:f>
      </x:c>
      <x:c r="FJ21" s="35" t="n">
        <x:f>IFERROR(FJ18*FJ20/SUMPRODUCT($D18:$GA18,$D20:$GA20),0)</x:f>
      </x:c>
      <x:c r="FK21" s="35" t="n">
        <x:f>IFERROR(FK18*FK20/SUMPRODUCT($D18:$GA18,$D20:$GA20),0)</x:f>
      </x:c>
      <x:c r="FL21" s="35" t="n">
        <x:f>IFERROR(FL18*FL20/SUMPRODUCT($D18:$GA18,$D20:$GA20),0)</x:f>
      </x:c>
      <x:c r="FM21" s="35" t="n">
        <x:f>IFERROR(FM18*FM20/SUMPRODUCT($D18:$GA18,$D20:$GA20),0)</x:f>
      </x:c>
      <x:c r="FN21" s="35" t="n">
        <x:f>IFERROR(FN18*FN20/SUMPRODUCT($D18:$GA18,$D20:$GA20),0)</x:f>
      </x:c>
      <x:c r="FO21" s="35" t="n">
        <x:f>IFERROR(FO18*FO20/SUMPRODUCT($D18:$GA18,$D20:$GA20),0)</x:f>
      </x:c>
      <x:c r="FP21" s="35" t="n">
        <x:f>IFERROR(FP18*FP20/SUMPRODUCT($D18:$GA18,$D20:$GA20),0)</x:f>
      </x:c>
      <x:c r="FQ21" s="35" t="n">
        <x:f>IFERROR(FQ18*FQ20/SUMPRODUCT($D18:$GA18,$D20:$GA20),0)</x:f>
      </x:c>
      <x:c r="FR21" s="35" t="n">
        <x:f>IFERROR(FR18*FR20/SUMPRODUCT($D18:$GA18,$D20:$GA20),0)</x:f>
      </x:c>
      <x:c r="FS21" s="35" t="n">
        <x:f>IFERROR(FS18*FS20/SUMPRODUCT($D18:$GA18,$D20:$GA20),0)</x:f>
      </x:c>
      <x:c r="FT21" s="35" t="n">
        <x:f>IFERROR(FT18*FT20/SUMPRODUCT($D18:$GA18,$D20:$GA20),0)</x:f>
      </x:c>
      <x:c r="FU21" s="35" t="n">
        <x:f>IFERROR(FU18*FU20/SUMPRODUCT($D18:$GA18,$D20:$GA20),0)</x:f>
      </x:c>
      <x:c r="FV21" s="35" t="n">
        <x:f>IFERROR(FV18*FV20/SUMPRODUCT($D18:$GA18,$D20:$GA20),0)</x:f>
      </x:c>
      <x:c r="FW21" s="35" t="n">
        <x:f>IFERROR(FW18*FW20/SUMPRODUCT($D18:$GA18,$D20:$GA20),0)</x:f>
      </x:c>
      <x:c r="FX21" s="35" t="n">
        <x:f>IFERROR(FX18*FX20/SUMPRODUCT($D18:$GA18,$D20:$GA20),0)</x:f>
      </x:c>
      <x:c r="FY21" s="35" t="n">
        <x:f>IFERROR(FY18*FY20/SUMPRODUCT($D18:$GA18,$D20:$GA20),0)</x:f>
      </x:c>
      <x:c r="FZ21" s="35" t="n">
        <x:f>IFERROR(FZ18*FZ20/SUMPRODUCT($D18:$GA18,$D20:$GA20),0)</x:f>
      </x:c>
      <x:c r="GA21" s="35" t="n">
        <x:f>IFERROR(GA18*GA20/SUMPRODUCT($D18:$GA18,$D20:$GA20),0)</x:f>
      </x:c>
    </x:row>
    <x:row r="22">
      <x:c r="A22" t="str">
        <x:v>Реализованный объём</x:v>
      </x:c>
      <x:c r="B22" s="132" t="n">
        <x:f>SUM(D22:GA22)</x:f>
      </x:c>
      <x:c r="C22" t="str">
        <x:v>м²</x:v>
      </x:c>
      <x:c r="D22" s="132" t="n">
        <x:f>$B$13*((IF(SUM($D17:$GA17)=0,0,IF(SUM($D20:$GA20)=0,1,'Вводные'!$K$32)))*D19+(1-(IF(SUM($D17:$GA17)=0,0,IF(SUM($D20:$GA20)=0,1,'Вводные'!$K$32))))*D21)</x:f>
      </x:c>
      <x:c r="E22" s="132" t="n">
        <x:f>$B$13*((IF(SUM($D17:$GA17)=0,0,IF(SUM($D20:$GA20)=0,1,'Вводные'!$K$32)))*E19+(1-(IF(SUM($D17:$GA17)=0,0,IF(SUM($D20:$GA20)=0,1,'Вводные'!$K$32))))*E21)</x:f>
      </x:c>
      <x:c r="F22" s="132" t="n">
        <x:f>$B$13*((IF(SUM($D17:$GA17)=0,0,IF(SUM($D20:$GA20)=0,1,'Вводные'!$K$32)))*F19+(1-(IF(SUM($D17:$GA17)=0,0,IF(SUM($D20:$GA20)=0,1,'Вводные'!$K$32))))*F21)</x:f>
      </x:c>
      <x:c r="G22" s="132" t="n">
        <x:f>$B$13*((IF(SUM($D17:$GA17)=0,0,IF(SUM($D20:$GA20)=0,1,'Вводные'!$K$32)))*G19+(1-(IF(SUM($D17:$GA17)=0,0,IF(SUM($D20:$GA20)=0,1,'Вводные'!$K$32))))*G21)</x:f>
      </x:c>
      <x:c r="H22" s="132" t="n">
        <x:f>$B$13*((IF(SUM($D17:$GA17)=0,0,IF(SUM($D20:$GA20)=0,1,'Вводные'!$K$32)))*H19+(1-(IF(SUM($D17:$GA17)=0,0,IF(SUM($D20:$GA20)=0,1,'Вводные'!$K$32))))*H21)</x:f>
      </x:c>
      <x:c r="I22" s="132" t="n">
        <x:f>$B$13*((IF(SUM($D17:$GA17)=0,0,IF(SUM($D20:$GA20)=0,1,'Вводные'!$K$32)))*I19+(1-(IF(SUM($D17:$GA17)=0,0,IF(SUM($D20:$GA20)=0,1,'Вводные'!$K$32))))*I21)</x:f>
      </x:c>
      <x:c r="J22" s="132" t="n">
        <x:f>$B$13*((IF(SUM($D17:$GA17)=0,0,IF(SUM($D20:$GA20)=0,1,'Вводные'!$K$32)))*J19+(1-(IF(SUM($D17:$GA17)=0,0,IF(SUM($D20:$GA20)=0,1,'Вводные'!$K$32))))*J21)</x:f>
      </x:c>
      <x:c r="K22" s="132" t="n">
        <x:f>$B$13*((IF(SUM($D17:$GA17)=0,0,IF(SUM($D20:$GA20)=0,1,'Вводные'!$K$32)))*K19+(1-(IF(SUM($D17:$GA17)=0,0,IF(SUM($D20:$GA20)=0,1,'Вводные'!$K$32))))*K21)</x:f>
      </x:c>
      <x:c r="L22" s="132" t="n">
        <x:f>$B$13*((IF(SUM($D17:$GA17)=0,0,IF(SUM($D20:$GA20)=0,1,'Вводные'!$K$32)))*L19+(1-(IF(SUM($D17:$GA17)=0,0,IF(SUM($D20:$GA20)=0,1,'Вводные'!$K$32))))*L21)</x:f>
      </x:c>
      <x:c r="M22" s="132" t="n">
        <x:f>$B$13*((IF(SUM($D17:$GA17)=0,0,IF(SUM($D20:$GA20)=0,1,'Вводные'!$K$32)))*M19+(1-(IF(SUM($D17:$GA17)=0,0,IF(SUM($D20:$GA20)=0,1,'Вводные'!$K$32))))*M21)</x:f>
      </x:c>
      <x:c r="N22" s="132" t="n">
        <x:f>$B$13*((IF(SUM($D17:$GA17)=0,0,IF(SUM($D20:$GA20)=0,1,'Вводные'!$K$32)))*N19+(1-(IF(SUM($D17:$GA17)=0,0,IF(SUM($D20:$GA20)=0,1,'Вводные'!$K$32))))*N21)</x:f>
      </x:c>
      <x:c r="O22" s="132" t="n">
        <x:f>$B$13*((IF(SUM($D17:$GA17)=0,0,IF(SUM($D20:$GA20)=0,1,'Вводные'!$K$32)))*O19+(1-(IF(SUM($D17:$GA17)=0,0,IF(SUM($D20:$GA20)=0,1,'Вводные'!$K$32))))*O21)</x:f>
      </x:c>
      <x:c r="P22" s="132" t="n">
        <x:f>$B$13*((IF(SUM($D17:$GA17)=0,0,IF(SUM($D20:$GA20)=0,1,'Вводные'!$K$32)))*P19+(1-(IF(SUM($D17:$GA17)=0,0,IF(SUM($D20:$GA20)=0,1,'Вводные'!$K$32))))*P21)</x:f>
      </x:c>
      <x:c r="Q22" s="132" t="n">
        <x:f>$B$13*((IF(SUM($D17:$GA17)=0,0,IF(SUM($D20:$GA20)=0,1,'Вводные'!$K$32)))*Q19+(1-(IF(SUM($D17:$GA17)=0,0,IF(SUM($D20:$GA20)=0,1,'Вводные'!$K$32))))*Q21)</x:f>
      </x:c>
      <x:c r="R22" s="132" t="n">
        <x:f>$B$13*((IF(SUM($D17:$GA17)=0,0,IF(SUM($D20:$GA20)=0,1,'Вводные'!$K$32)))*R19+(1-(IF(SUM($D17:$GA17)=0,0,IF(SUM($D20:$GA20)=0,1,'Вводные'!$K$32))))*R21)</x:f>
      </x:c>
      <x:c r="S22" s="132" t="n">
        <x:f>$B$13*((IF(SUM($D17:$GA17)=0,0,IF(SUM($D20:$GA20)=0,1,'Вводные'!$K$32)))*S19+(1-(IF(SUM($D17:$GA17)=0,0,IF(SUM($D20:$GA20)=0,1,'Вводные'!$K$32))))*S21)</x:f>
      </x:c>
      <x:c r="T22" s="132" t="n">
        <x:f>$B$13*((IF(SUM($D17:$GA17)=0,0,IF(SUM($D20:$GA20)=0,1,'Вводные'!$K$32)))*T19+(1-(IF(SUM($D17:$GA17)=0,0,IF(SUM($D20:$GA20)=0,1,'Вводные'!$K$32))))*T21)</x:f>
      </x:c>
      <x:c r="U22" s="132" t="n">
        <x:f>$B$13*((IF(SUM($D17:$GA17)=0,0,IF(SUM($D20:$GA20)=0,1,'Вводные'!$K$32)))*U19+(1-(IF(SUM($D17:$GA17)=0,0,IF(SUM($D20:$GA20)=0,1,'Вводные'!$K$32))))*U21)</x:f>
      </x:c>
      <x:c r="V22" s="132" t="n">
        <x:f>$B$13*((IF(SUM($D17:$GA17)=0,0,IF(SUM($D20:$GA20)=0,1,'Вводные'!$K$32)))*V19+(1-(IF(SUM($D17:$GA17)=0,0,IF(SUM($D20:$GA20)=0,1,'Вводные'!$K$32))))*V21)</x:f>
      </x:c>
      <x:c r="W22" s="132" t="n">
        <x:f>$B$13*((IF(SUM($D17:$GA17)=0,0,IF(SUM($D20:$GA20)=0,1,'Вводные'!$K$32)))*W19+(1-(IF(SUM($D17:$GA17)=0,0,IF(SUM($D20:$GA20)=0,1,'Вводные'!$K$32))))*W21)</x:f>
      </x:c>
      <x:c r="X22" s="132" t="n">
        <x:f>$B$13*((IF(SUM($D17:$GA17)=0,0,IF(SUM($D20:$GA20)=0,1,'Вводные'!$K$32)))*X19+(1-(IF(SUM($D17:$GA17)=0,0,IF(SUM($D20:$GA20)=0,1,'Вводные'!$K$32))))*X21)</x:f>
      </x:c>
      <x:c r="Y22" s="132" t="n">
        <x:f>$B$13*((IF(SUM($D17:$GA17)=0,0,IF(SUM($D20:$GA20)=0,1,'Вводные'!$K$32)))*Y19+(1-(IF(SUM($D17:$GA17)=0,0,IF(SUM($D20:$GA20)=0,1,'Вводные'!$K$32))))*Y21)</x:f>
      </x:c>
      <x:c r="Z22" s="132" t="n">
        <x:f>$B$13*((IF(SUM($D17:$GA17)=0,0,IF(SUM($D20:$GA20)=0,1,'Вводные'!$K$32)))*Z19+(1-(IF(SUM($D17:$GA17)=0,0,IF(SUM($D20:$GA20)=0,1,'Вводные'!$K$32))))*Z21)</x:f>
      </x:c>
      <x:c r="AA22" s="132" t="n">
        <x:f>$B$13*((IF(SUM($D17:$GA17)=0,0,IF(SUM($D20:$GA20)=0,1,'Вводные'!$K$32)))*AA19+(1-(IF(SUM($D17:$GA17)=0,0,IF(SUM($D20:$GA20)=0,1,'Вводные'!$K$32))))*AA21)</x:f>
      </x:c>
      <x:c r="AB22" s="132" t="n">
        <x:f>$B$13*((IF(SUM($D17:$GA17)=0,0,IF(SUM($D20:$GA20)=0,1,'Вводные'!$K$32)))*AB19+(1-(IF(SUM($D17:$GA17)=0,0,IF(SUM($D20:$GA20)=0,1,'Вводные'!$K$32))))*AB21)</x:f>
      </x:c>
      <x:c r="AC22" s="132" t="n">
        <x:f>$B$13*((IF(SUM($D17:$GA17)=0,0,IF(SUM($D20:$GA20)=0,1,'Вводные'!$K$32)))*AC19+(1-(IF(SUM($D17:$GA17)=0,0,IF(SUM($D20:$GA20)=0,1,'Вводные'!$K$32))))*AC21)</x:f>
      </x:c>
      <x:c r="AD22" s="132" t="n">
        <x:f>$B$13*((IF(SUM($D17:$GA17)=0,0,IF(SUM($D20:$GA20)=0,1,'Вводные'!$K$32)))*AD19+(1-(IF(SUM($D17:$GA17)=0,0,IF(SUM($D20:$GA20)=0,1,'Вводные'!$K$32))))*AD21)</x:f>
      </x:c>
      <x:c r="AE22" s="132" t="n">
        <x:f>$B$13*((IF(SUM($D17:$GA17)=0,0,IF(SUM($D20:$GA20)=0,1,'Вводные'!$K$32)))*AE19+(1-(IF(SUM($D17:$GA17)=0,0,IF(SUM($D20:$GA20)=0,1,'Вводные'!$K$32))))*AE21)</x:f>
      </x:c>
      <x:c r="AF22" s="132" t="n">
        <x:f>$B$13*((IF(SUM($D17:$GA17)=0,0,IF(SUM($D20:$GA20)=0,1,'Вводные'!$K$32)))*AF19+(1-(IF(SUM($D17:$GA17)=0,0,IF(SUM($D20:$GA20)=0,1,'Вводные'!$K$32))))*AF21)</x:f>
      </x:c>
      <x:c r="AG22" s="132" t="n">
        <x:f>$B$13*((IF(SUM($D17:$GA17)=0,0,IF(SUM($D20:$GA20)=0,1,'Вводные'!$K$32)))*AG19+(1-(IF(SUM($D17:$GA17)=0,0,IF(SUM($D20:$GA20)=0,1,'Вводные'!$K$32))))*AG21)</x:f>
      </x:c>
      <x:c r="AH22" s="132" t="n">
        <x:f>$B$13*((IF(SUM($D17:$GA17)=0,0,IF(SUM($D20:$GA20)=0,1,'Вводные'!$K$32)))*AH19+(1-(IF(SUM($D17:$GA17)=0,0,IF(SUM($D20:$GA20)=0,1,'Вводные'!$K$32))))*AH21)</x:f>
      </x:c>
      <x:c r="AI22" s="132" t="n">
        <x:f>$B$13*((IF(SUM($D17:$GA17)=0,0,IF(SUM($D20:$GA20)=0,1,'Вводные'!$K$32)))*AI19+(1-(IF(SUM($D17:$GA17)=0,0,IF(SUM($D20:$GA20)=0,1,'Вводные'!$K$32))))*AI21)</x:f>
      </x:c>
      <x:c r="AJ22" s="132" t="n">
        <x:f>$B$13*((IF(SUM($D17:$GA17)=0,0,IF(SUM($D20:$GA20)=0,1,'Вводные'!$K$32)))*AJ19+(1-(IF(SUM($D17:$GA17)=0,0,IF(SUM($D20:$GA20)=0,1,'Вводные'!$K$32))))*AJ21)</x:f>
      </x:c>
      <x:c r="AK22" s="132" t="n">
        <x:f>$B$13*((IF(SUM($D17:$GA17)=0,0,IF(SUM($D20:$GA20)=0,1,'Вводные'!$K$32)))*AK19+(1-(IF(SUM($D17:$GA17)=0,0,IF(SUM($D20:$GA20)=0,1,'Вводные'!$K$32))))*AK21)</x:f>
      </x:c>
      <x:c r="AL22" s="132" t="n">
        <x:f>$B$13*((IF(SUM($D17:$GA17)=0,0,IF(SUM($D20:$GA20)=0,1,'Вводные'!$K$32)))*AL19+(1-(IF(SUM($D17:$GA17)=0,0,IF(SUM($D20:$GA20)=0,1,'Вводные'!$K$32))))*AL21)</x:f>
      </x:c>
      <x:c r="AM22" s="132" t="n">
        <x:f>$B$13*((IF(SUM($D17:$GA17)=0,0,IF(SUM($D20:$GA20)=0,1,'Вводные'!$K$32)))*AM19+(1-(IF(SUM($D17:$GA17)=0,0,IF(SUM($D20:$GA20)=0,1,'Вводные'!$K$32))))*AM21)</x:f>
      </x:c>
      <x:c r="AN22" s="132" t="n">
        <x:f>$B$13*((IF(SUM($D17:$GA17)=0,0,IF(SUM($D20:$GA20)=0,1,'Вводные'!$K$32)))*AN19+(1-(IF(SUM($D17:$GA17)=0,0,IF(SUM($D20:$GA20)=0,1,'Вводные'!$K$32))))*AN21)</x:f>
      </x:c>
      <x:c r="AO22" s="132" t="n">
        <x:f>$B$13*((IF(SUM($D17:$GA17)=0,0,IF(SUM($D20:$GA20)=0,1,'Вводные'!$K$32)))*AO19+(1-(IF(SUM($D17:$GA17)=0,0,IF(SUM($D20:$GA20)=0,1,'Вводные'!$K$32))))*AO21)</x:f>
      </x:c>
      <x:c r="AP22" s="132" t="n">
        <x:f>$B$13*((IF(SUM($D17:$GA17)=0,0,IF(SUM($D20:$GA20)=0,1,'Вводные'!$K$32)))*AP19+(1-(IF(SUM($D17:$GA17)=0,0,IF(SUM($D20:$GA20)=0,1,'Вводные'!$K$32))))*AP21)</x:f>
      </x:c>
      <x:c r="AQ22" s="132" t="n">
        <x:f>$B$13*((IF(SUM($D17:$GA17)=0,0,IF(SUM($D20:$GA20)=0,1,'Вводные'!$K$32)))*AQ19+(1-(IF(SUM($D17:$GA17)=0,0,IF(SUM($D20:$GA20)=0,1,'Вводные'!$K$32))))*AQ21)</x:f>
      </x:c>
      <x:c r="AR22" s="132" t="n">
        <x:f>$B$13*((IF(SUM($D17:$GA17)=0,0,IF(SUM($D20:$GA20)=0,1,'Вводные'!$K$32)))*AR19+(1-(IF(SUM($D17:$GA17)=0,0,IF(SUM($D20:$GA20)=0,1,'Вводные'!$K$32))))*AR21)</x:f>
      </x:c>
      <x:c r="AS22" s="132" t="n">
        <x:f>$B$13*((IF(SUM($D17:$GA17)=0,0,IF(SUM($D20:$GA20)=0,1,'Вводные'!$K$32)))*AS19+(1-(IF(SUM($D17:$GA17)=0,0,IF(SUM($D20:$GA20)=0,1,'Вводные'!$K$32))))*AS21)</x:f>
      </x:c>
      <x:c r="AT22" s="132" t="n">
        <x:f>$B$13*((IF(SUM($D17:$GA17)=0,0,IF(SUM($D20:$GA20)=0,1,'Вводные'!$K$32)))*AT19+(1-(IF(SUM($D17:$GA17)=0,0,IF(SUM($D20:$GA20)=0,1,'Вводные'!$K$32))))*AT21)</x:f>
      </x:c>
      <x:c r="AU22" s="132" t="n">
        <x:f>$B$13*((IF(SUM($D17:$GA17)=0,0,IF(SUM($D20:$GA20)=0,1,'Вводные'!$K$32)))*AU19+(1-(IF(SUM($D17:$GA17)=0,0,IF(SUM($D20:$GA20)=0,1,'Вводные'!$K$32))))*AU21)</x:f>
      </x:c>
      <x:c r="AV22" s="132" t="n">
        <x:f>$B$13*((IF(SUM($D17:$GA17)=0,0,IF(SUM($D20:$GA20)=0,1,'Вводные'!$K$32)))*AV19+(1-(IF(SUM($D17:$GA17)=0,0,IF(SUM($D20:$GA20)=0,1,'Вводные'!$K$32))))*AV21)</x:f>
      </x:c>
      <x:c r="AW22" s="132" t="n">
        <x:f>$B$13*((IF(SUM($D17:$GA17)=0,0,IF(SUM($D20:$GA20)=0,1,'Вводные'!$K$32)))*AW19+(1-(IF(SUM($D17:$GA17)=0,0,IF(SUM($D20:$GA20)=0,1,'Вводные'!$K$32))))*AW21)</x:f>
      </x:c>
      <x:c r="AX22" s="132" t="n">
        <x:f>$B$13*((IF(SUM($D17:$GA17)=0,0,IF(SUM($D20:$GA20)=0,1,'Вводные'!$K$32)))*AX19+(1-(IF(SUM($D17:$GA17)=0,0,IF(SUM($D20:$GA20)=0,1,'Вводные'!$K$32))))*AX21)</x:f>
      </x:c>
      <x:c r="AY22" s="132" t="n">
        <x:f>$B$13*((IF(SUM($D17:$GA17)=0,0,IF(SUM($D20:$GA20)=0,1,'Вводные'!$K$32)))*AY19+(1-(IF(SUM($D17:$GA17)=0,0,IF(SUM($D20:$GA20)=0,1,'Вводные'!$K$32))))*AY21)</x:f>
      </x:c>
      <x:c r="AZ22" s="132" t="n">
        <x:f>$B$13*((IF(SUM($D17:$GA17)=0,0,IF(SUM($D20:$GA20)=0,1,'Вводные'!$K$32)))*AZ19+(1-(IF(SUM($D17:$GA17)=0,0,IF(SUM($D20:$GA20)=0,1,'Вводные'!$K$32))))*AZ21)</x:f>
      </x:c>
      <x:c r="BA22" s="132" t="n">
        <x:f>$B$13*((IF(SUM($D17:$GA17)=0,0,IF(SUM($D20:$GA20)=0,1,'Вводные'!$K$32)))*BA19+(1-(IF(SUM($D17:$GA17)=0,0,IF(SUM($D20:$GA20)=0,1,'Вводные'!$K$32))))*BA21)</x:f>
      </x:c>
      <x:c r="BB22" s="132" t="n">
        <x:f>$B$13*((IF(SUM($D17:$GA17)=0,0,IF(SUM($D20:$GA20)=0,1,'Вводные'!$K$32)))*BB19+(1-(IF(SUM($D17:$GA17)=0,0,IF(SUM($D20:$GA20)=0,1,'Вводные'!$K$32))))*BB21)</x:f>
      </x:c>
      <x:c r="BC22" s="132" t="n">
        <x:f>$B$13*((IF(SUM($D17:$GA17)=0,0,IF(SUM($D20:$GA20)=0,1,'Вводные'!$K$32)))*BC19+(1-(IF(SUM($D17:$GA17)=0,0,IF(SUM($D20:$GA20)=0,1,'Вводные'!$K$32))))*BC21)</x:f>
      </x:c>
      <x:c r="BD22" s="132" t="n">
        <x:f>$B$13*((IF(SUM($D17:$GA17)=0,0,IF(SUM($D20:$GA20)=0,1,'Вводные'!$K$32)))*BD19+(1-(IF(SUM($D17:$GA17)=0,0,IF(SUM($D20:$GA20)=0,1,'Вводные'!$K$32))))*BD21)</x:f>
      </x:c>
      <x:c r="BE22" s="132" t="n">
        <x:f>$B$13*((IF(SUM($D17:$GA17)=0,0,IF(SUM($D20:$GA20)=0,1,'Вводные'!$K$32)))*BE19+(1-(IF(SUM($D17:$GA17)=0,0,IF(SUM($D20:$GA20)=0,1,'Вводные'!$K$32))))*BE21)</x:f>
      </x:c>
      <x:c r="BF22" s="132" t="n">
        <x:f>$B$13*((IF(SUM($D17:$GA17)=0,0,IF(SUM($D20:$GA20)=0,1,'Вводные'!$K$32)))*BF19+(1-(IF(SUM($D17:$GA17)=0,0,IF(SUM($D20:$GA20)=0,1,'Вводные'!$K$32))))*BF21)</x:f>
      </x:c>
      <x:c r="BG22" s="132" t="n">
        <x:f>$B$13*((IF(SUM($D17:$GA17)=0,0,IF(SUM($D20:$GA20)=0,1,'Вводные'!$K$32)))*BG19+(1-(IF(SUM($D17:$GA17)=0,0,IF(SUM($D20:$GA20)=0,1,'Вводные'!$K$32))))*BG21)</x:f>
      </x:c>
      <x:c r="BH22" s="132" t="n">
        <x:f>$B$13*((IF(SUM($D17:$GA17)=0,0,IF(SUM($D20:$GA20)=0,1,'Вводные'!$K$32)))*BH19+(1-(IF(SUM($D17:$GA17)=0,0,IF(SUM($D20:$GA20)=0,1,'Вводные'!$K$32))))*BH21)</x:f>
      </x:c>
      <x:c r="BI22" s="132" t="n">
        <x:f>$B$13*((IF(SUM($D17:$GA17)=0,0,IF(SUM($D20:$GA20)=0,1,'Вводные'!$K$32)))*BI19+(1-(IF(SUM($D17:$GA17)=0,0,IF(SUM($D20:$GA20)=0,1,'Вводные'!$K$32))))*BI21)</x:f>
      </x:c>
      <x:c r="BJ22" s="132" t="n">
        <x:f>$B$13*((IF(SUM($D17:$GA17)=0,0,IF(SUM($D20:$GA20)=0,1,'Вводные'!$K$32)))*BJ19+(1-(IF(SUM($D17:$GA17)=0,0,IF(SUM($D20:$GA20)=0,1,'Вводные'!$K$32))))*BJ21)</x:f>
      </x:c>
      <x:c r="BK22" s="132" t="n">
        <x:f>$B$13*((IF(SUM($D17:$GA17)=0,0,IF(SUM($D20:$GA20)=0,1,'Вводные'!$K$32)))*BK19+(1-(IF(SUM($D17:$GA17)=0,0,IF(SUM($D20:$GA20)=0,1,'Вводные'!$K$32))))*BK21)</x:f>
      </x:c>
      <x:c r="BL22" s="132" t="n">
        <x:f>$B$13*((IF(SUM($D17:$GA17)=0,0,IF(SUM($D20:$GA20)=0,1,'Вводные'!$K$32)))*BL19+(1-(IF(SUM($D17:$GA17)=0,0,IF(SUM($D20:$GA20)=0,1,'Вводные'!$K$32))))*BL21)</x:f>
      </x:c>
      <x:c r="BM22" s="132" t="n">
        <x:f>$B$13*((IF(SUM($D17:$GA17)=0,0,IF(SUM($D20:$GA20)=0,1,'Вводные'!$K$32)))*BM19+(1-(IF(SUM($D17:$GA17)=0,0,IF(SUM($D20:$GA20)=0,1,'Вводные'!$K$32))))*BM21)</x:f>
      </x:c>
      <x:c r="BN22" s="132" t="n">
        <x:f>$B$13*((IF(SUM($D17:$GA17)=0,0,IF(SUM($D20:$GA20)=0,1,'Вводные'!$K$32)))*BN19+(1-(IF(SUM($D17:$GA17)=0,0,IF(SUM($D20:$GA20)=0,1,'Вводные'!$K$32))))*BN21)</x:f>
      </x:c>
      <x:c r="BO22" s="132" t="n">
        <x:f>$B$13*((IF(SUM($D17:$GA17)=0,0,IF(SUM($D20:$GA20)=0,1,'Вводные'!$K$32)))*BO19+(1-(IF(SUM($D17:$GA17)=0,0,IF(SUM($D20:$GA20)=0,1,'Вводные'!$K$32))))*BO21)</x:f>
      </x:c>
      <x:c r="BP22" s="132" t="n">
        <x:f>$B$13*((IF(SUM($D17:$GA17)=0,0,IF(SUM($D20:$GA20)=0,1,'Вводные'!$K$32)))*BP19+(1-(IF(SUM($D17:$GA17)=0,0,IF(SUM($D20:$GA20)=0,1,'Вводные'!$K$32))))*BP21)</x:f>
      </x:c>
      <x:c r="BQ22" s="132" t="n">
        <x:f>$B$13*((IF(SUM($D17:$GA17)=0,0,IF(SUM($D20:$GA20)=0,1,'Вводные'!$K$32)))*BQ19+(1-(IF(SUM($D17:$GA17)=0,0,IF(SUM($D20:$GA20)=0,1,'Вводные'!$K$32))))*BQ21)</x:f>
      </x:c>
      <x:c r="BR22" s="132" t="n">
        <x:f>$B$13*((IF(SUM($D17:$GA17)=0,0,IF(SUM($D20:$GA20)=0,1,'Вводные'!$K$32)))*BR19+(1-(IF(SUM($D17:$GA17)=0,0,IF(SUM($D20:$GA20)=0,1,'Вводные'!$K$32))))*BR21)</x:f>
      </x:c>
      <x:c r="BS22" s="132" t="n">
        <x:f>$B$13*((IF(SUM($D17:$GA17)=0,0,IF(SUM($D20:$GA20)=0,1,'Вводные'!$K$32)))*BS19+(1-(IF(SUM($D17:$GA17)=0,0,IF(SUM($D20:$GA20)=0,1,'Вводные'!$K$32))))*BS21)</x:f>
      </x:c>
      <x:c r="BT22" s="132" t="n">
        <x:f>$B$13*((IF(SUM($D17:$GA17)=0,0,IF(SUM($D20:$GA20)=0,1,'Вводные'!$K$32)))*BT19+(1-(IF(SUM($D17:$GA17)=0,0,IF(SUM($D20:$GA20)=0,1,'Вводные'!$K$32))))*BT21)</x:f>
      </x:c>
      <x:c r="BU22" s="132" t="n">
        <x:f>$B$13*((IF(SUM($D17:$GA17)=0,0,IF(SUM($D20:$GA20)=0,1,'Вводные'!$K$32)))*BU19+(1-(IF(SUM($D17:$GA17)=0,0,IF(SUM($D20:$GA20)=0,1,'Вводные'!$K$32))))*BU21)</x:f>
      </x:c>
      <x:c r="BV22" s="132" t="n">
        <x:f>$B$13*((IF(SUM($D17:$GA17)=0,0,IF(SUM($D20:$GA20)=0,1,'Вводные'!$K$32)))*BV19+(1-(IF(SUM($D17:$GA17)=0,0,IF(SUM($D20:$GA20)=0,1,'Вводные'!$K$32))))*BV21)</x:f>
      </x:c>
      <x:c r="BW22" s="132" t="n">
        <x:f>$B$13*((IF(SUM($D17:$GA17)=0,0,IF(SUM($D20:$GA20)=0,1,'Вводные'!$K$32)))*BW19+(1-(IF(SUM($D17:$GA17)=0,0,IF(SUM($D20:$GA20)=0,1,'Вводные'!$K$32))))*BW21)</x:f>
      </x:c>
      <x:c r="BX22" s="132" t="n">
        <x:f>$B$13*((IF(SUM($D17:$GA17)=0,0,IF(SUM($D20:$GA20)=0,1,'Вводные'!$K$32)))*BX19+(1-(IF(SUM($D17:$GA17)=0,0,IF(SUM($D20:$GA20)=0,1,'Вводные'!$K$32))))*BX21)</x:f>
      </x:c>
      <x:c r="BY22" s="132" t="n">
        <x:f>$B$13*((IF(SUM($D17:$GA17)=0,0,IF(SUM($D20:$GA20)=0,1,'Вводные'!$K$32)))*BY19+(1-(IF(SUM($D17:$GA17)=0,0,IF(SUM($D20:$GA20)=0,1,'Вводные'!$K$32))))*BY21)</x:f>
      </x:c>
      <x:c r="BZ22" s="132" t="n">
        <x:f>$B$13*((IF(SUM($D17:$GA17)=0,0,IF(SUM($D20:$GA20)=0,1,'Вводные'!$K$32)))*BZ19+(1-(IF(SUM($D17:$GA17)=0,0,IF(SUM($D20:$GA20)=0,1,'Вводные'!$K$32))))*BZ21)</x:f>
      </x:c>
      <x:c r="CA22" s="132" t="n">
        <x:f>$B$13*((IF(SUM($D17:$GA17)=0,0,IF(SUM($D20:$GA20)=0,1,'Вводные'!$K$32)))*CA19+(1-(IF(SUM($D17:$GA17)=0,0,IF(SUM($D20:$GA20)=0,1,'Вводные'!$K$32))))*CA21)</x:f>
      </x:c>
      <x:c r="CB22" s="132" t="n">
        <x:f>$B$13*((IF(SUM($D17:$GA17)=0,0,IF(SUM($D20:$GA20)=0,1,'Вводные'!$K$32)))*CB19+(1-(IF(SUM($D17:$GA17)=0,0,IF(SUM($D20:$GA20)=0,1,'Вводные'!$K$32))))*CB21)</x:f>
      </x:c>
      <x:c r="CC22" s="132" t="n">
        <x:f>$B$13*((IF(SUM($D17:$GA17)=0,0,IF(SUM($D20:$GA20)=0,1,'Вводные'!$K$32)))*CC19+(1-(IF(SUM($D17:$GA17)=0,0,IF(SUM($D20:$GA20)=0,1,'Вводные'!$K$32))))*CC21)</x:f>
      </x:c>
      <x:c r="CD22" s="132" t="n">
        <x:f>$B$13*((IF(SUM($D17:$GA17)=0,0,IF(SUM($D20:$GA20)=0,1,'Вводные'!$K$32)))*CD19+(1-(IF(SUM($D17:$GA17)=0,0,IF(SUM($D20:$GA20)=0,1,'Вводные'!$K$32))))*CD21)</x:f>
      </x:c>
      <x:c r="CE22" s="132" t="n">
        <x:f>$B$13*((IF(SUM($D17:$GA17)=0,0,IF(SUM($D20:$GA20)=0,1,'Вводные'!$K$32)))*CE19+(1-(IF(SUM($D17:$GA17)=0,0,IF(SUM($D20:$GA20)=0,1,'Вводные'!$K$32))))*CE21)</x:f>
      </x:c>
      <x:c r="CF22" s="132" t="n">
        <x:f>$B$13*((IF(SUM($D17:$GA17)=0,0,IF(SUM($D20:$GA20)=0,1,'Вводные'!$K$32)))*CF19+(1-(IF(SUM($D17:$GA17)=0,0,IF(SUM($D20:$GA20)=0,1,'Вводные'!$K$32))))*CF21)</x:f>
      </x:c>
      <x:c r="CG22" s="132" t="n">
        <x:f>$B$13*((IF(SUM($D17:$GA17)=0,0,IF(SUM($D20:$GA20)=0,1,'Вводные'!$K$32)))*CG19+(1-(IF(SUM($D17:$GA17)=0,0,IF(SUM($D20:$GA20)=0,1,'Вводные'!$K$32))))*CG21)</x:f>
      </x:c>
      <x:c r="CH22" s="132" t="n">
        <x:f>$B$13*((IF(SUM($D17:$GA17)=0,0,IF(SUM($D20:$GA20)=0,1,'Вводные'!$K$32)))*CH19+(1-(IF(SUM($D17:$GA17)=0,0,IF(SUM($D20:$GA20)=0,1,'Вводные'!$K$32))))*CH21)</x:f>
      </x:c>
      <x:c r="CI22" s="132" t="n">
        <x:f>$B$13*((IF(SUM($D17:$GA17)=0,0,IF(SUM($D20:$GA20)=0,1,'Вводные'!$K$32)))*CI19+(1-(IF(SUM($D17:$GA17)=0,0,IF(SUM($D20:$GA20)=0,1,'Вводные'!$K$32))))*CI21)</x:f>
      </x:c>
      <x:c r="CJ22" s="132" t="n">
        <x:f>$B$13*((IF(SUM($D17:$GA17)=0,0,IF(SUM($D20:$GA20)=0,1,'Вводные'!$K$32)))*CJ19+(1-(IF(SUM($D17:$GA17)=0,0,IF(SUM($D20:$GA20)=0,1,'Вводные'!$K$32))))*CJ21)</x:f>
      </x:c>
      <x:c r="CK22" s="132" t="n">
        <x:f>$B$13*((IF(SUM($D17:$GA17)=0,0,IF(SUM($D20:$GA20)=0,1,'Вводные'!$K$32)))*CK19+(1-(IF(SUM($D17:$GA17)=0,0,IF(SUM($D20:$GA20)=0,1,'Вводные'!$K$32))))*CK21)</x:f>
      </x:c>
      <x:c r="CL22" s="132" t="n">
        <x:f>$B$13*((IF(SUM($D17:$GA17)=0,0,IF(SUM($D20:$GA20)=0,1,'Вводные'!$K$32)))*CL19+(1-(IF(SUM($D17:$GA17)=0,0,IF(SUM($D20:$GA20)=0,1,'Вводные'!$K$32))))*CL21)</x:f>
      </x:c>
      <x:c r="CM22" s="132" t="n">
        <x:f>$B$13*((IF(SUM($D17:$GA17)=0,0,IF(SUM($D20:$GA20)=0,1,'Вводные'!$K$32)))*CM19+(1-(IF(SUM($D17:$GA17)=0,0,IF(SUM($D20:$GA20)=0,1,'Вводные'!$K$32))))*CM21)</x:f>
      </x:c>
      <x:c r="CN22" s="132" t="n">
        <x:f>$B$13*((IF(SUM($D17:$GA17)=0,0,IF(SUM($D20:$GA20)=0,1,'Вводные'!$K$32)))*CN19+(1-(IF(SUM($D17:$GA17)=0,0,IF(SUM($D20:$GA20)=0,1,'Вводные'!$K$32))))*CN21)</x:f>
      </x:c>
      <x:c r="CO22" s="132" t="n">
        <x:f>$B$13*((IF(SUM($D17:$GA17)=0,0,IF(SUM($D20:$GA20)=0,1,'Вводные'!$K$32)))*CO19+(1-(IF(SUM($D17:$GA17)=0,0,IF(SUM($D20:$GA20)=0,1,'Вводные'!$K$32))))*CO21)</x:f>
      </x:c>
      <x:c r="CP22" s="132" t="n">
        <x:f>$B$13*((IF(SUM($D17:$GA17)=0,0,IF(SUM($D20:$GA20)=0,1,'Вводные'!$K$32)))*CP19+(1-(IF(SUM($D17:$GA17)=0,0,IF(SUM($D20:$GA20)=0,1,'Вводные'!$K$32))))*CP21)</x:f>
      </x:c>
      <x:c r="CQ22" s="132" t="n">
        <x:f>$B$13*((IF(SUM($D17:$GA17)=0,0,IF(SUM($D20:$GA20)=0,1,'Вводные'!$K$32)))*CQ19+(1-(IF(SUM($D17:$GA17)=0,0,IF(SUM($D20:$GA20)=0,1,'Вводные'!$K$32))))*CQ21)</x:f>
      </x:c>
      <x:c r="CR22" s="132" t="n">
        <x:f>$B$13*((IF(SUM($D17:$GA17)=0,0,IF(SUM($D20:$GA20)=0,1,'Вводные'!$K$32)))*CR19+(1-(IF(SUM($D17:$GA17)=0,0,IF(SUM($D20:$GA20)=0,1,'Вводные'!$K$32))))*CR21)</x:f>
      </x:c>
      <x:c r="CS22" s="132" t="n">
        <x:f>$B$13*((IF(SUM($D17:$GA17)=0,0,IF(SUM($D20:$GA20)=0,1,'Вводные'!$K$32)))*CS19+(1-(IF(SUM($D17:$GA17)=0,0,IF(SUM($D20:$GA20)=0,1,'Вводные'!$K$32))))*CS21)</x:f>
      </x:c>
      <x:c r="CT22" s="132" t="n">
        <x:f>$B$13*((IF(SUM($D17:$GA17)=0,0,IF(SUM($D20:$GA20)=0,1,'Вводные'!$K$32)))*CT19+(1-(IF(SUM($D17:$GA17)=0,0,IF(SUM($D20:$GA20)=0,1,'Вводные'!$K$32))))*CT21)</x:f>
      </x:c>
      <x:c r="CU22" s="132" t="n">
        <x:f>$B$13*((IF(SUM($D17:$GA17)=0,0,IF(SUM($D20:$GA20)=0,1,'Вводные'!$K$32)))*CU19+(1-(IF(SUM($D17:$GA17)=0,0,IF(SUM($D20:$GA20)=0,1,'Вводные'!$K$32))))*CU21)</x:f>
      </x:c>
      <x:c r="CV22" s="132" t="n">
        <x:f>$B$13*((IF(SUM($D17:$GA17)=0,0,IF(SUM($D20:$GA20)=0,1,'Вводные'!$K$32)))*CV19+(1-(IF(SUM($D17:$GA17)=0,0,IF(SUM($D20:$GA20)=0,1,'Вводные'!$K$32))))*CV21)</x:f>
      </x:c>
      <x:c r="CW22" s="132" t="n">
        <x:f>$B$13*((IF(SUM($D17:$GA17)=0,0,IF(SUM($D20:$GA20)=0,1,'Вводные'!$K$32)))*CW19+(1-(IF(SUM($D17:$GA17)=0,0,IF(SUM($D20:$GA20)=0,1,'Вводные'!$K$32))))*CW21)</x:f>
      </x:c>
      <x:c r="CX22" s="132" t="n">
        <x:f>$B$13*((IF(SUM($D17:$GA17)=0,0,IF(SUM($D20:$GA20)=0,1,'Вводные'!$K$32)))*CX19+(1-(IF(SUM($D17:$GA17)=0,0,IF(SUM($D20:$GA20)=0,1,'Вводные'!$K$32))))*CX21)</x:f>
      </x:c>
      <x:c r="CY22" s="132" t="n">
        <x:f>$B$13*((IF(SUM($D17:$GA17)=0,0,IF(SUM($D20:$GA20)=0,1,'Вводные'!$K$32)))*CY19+(1-(IF(SUM($D17:$GA17)=0,0,IF(SUM($D20:$GA20)=0,1,'Вводные'!$K$32))))*CY21)</x:f>
      </x:c>
      <x:c r="CZ22" s="132" t="n">
        <x:f>$B$13*((IF(SUM($D17:$GA17)=0,0,IF(SUM($D20:$GA20)=0,1,'Вводные'!$K$32)))*CZ19+(1-(IF(SUM($D17:$GA17)=0,0,IF(SUM($D20:$GA20)=0,1,'Вводные'!$K$32))))*CZ21)</x:f>
      </x:c>
      <x:c r="DA22" s="132" t="n">
        <x:f>$B$13*((IF(SUM($D17:$GA17)=0,0,IF(SUM($D20:$GA20)=0,1,'Вводные'!$K$32)))*DA19+(1-(IF(SUM($D17:$GA17)=0,0,IF(SUM($D20:$GA20)=0,1,'Вводные'!$K$32))))*DA21)</x:f>
      </x:c>
      <x:c r="DB22" s="132" t="n">
        <x:f>$B$13*((IF(SUM($D17:$GA17)=0,0,IF(SUM($D20:$GA20)=0,1,'Вводные'!$K$32)))*DB19+(1-(IF(SUM($D17:$GA17)=0,0,IF(SUM($D20:$GA20)=0,1,'Вводные'!$K$32))))*DB21)</x:f>
      </x:c>
      <x:c r="DC22" s="132" t="n">
        <x:f>$B$13*((IF(SUM($D17:$GA17)=0,0,IF(SUM($D20:$GA20)=0,1,'Вводные'!$K$32)))*DC19+(1-(IF(SUM($D17:$GA17)=0,0,IF(SUM($D20:$GA20)=0,1,'Вводные'!$K$32))))*DC21)</x:f>
      </x:c>
      <x:c r="DD22" s="132" t="n">
        <x:f>$B$13*((IF(SUM($D17:$GA17)=0,0,IF(SUM($D20:$GA20)=0,1,'Вводные'!$K$32)))*DD19+(1-(IF(SUM($D17:$GA17)=0,0,IF(SUM($D20:$GA20)=0,1,'Вводные'!$K$32))))*DD21)</x:f>
      </x:c>
      <x:c r="DE22" s="132" t="n">
        <x:f>$B$13*((IF(SUM($D17:$GA17)=0,0,IF(SUM($D20:$GA20)=0,1,'Вводные'!$K$32)))*DE19+(1-(IF(SUM($D17:$GA17)=0,0,IF(SUM($D20:$GA20)=0,1,'Вводные'!$K$32))))*DE21)</x:f>
      </x:c>
      <x:c r="DF22" s="132" t="n">
        <x:f>$B$13*((IF(SUM($D17:$GA17)=0,0,IF(SUM($D20:$GA20)=0,1,'Вводные'!$K$32)))*DF19+(1-(IF(SUM($D17:$GA17)=0,0,IF(SUM($D20:$GA20)=0,1,'Вводные'!$K$32))))*DF21)</x:f>
      </x:c>
      <x:c r="DG22" s="132" t="n">
        <x:f>$B$13*((IF(SUM($D17:$GA17)=0,0,IF(SUM($D20:$GA20)=0,1,'Вводные'!$K$32)))*DG19+(1-(IF(SUM($D17:$GA17)=0,0,IF(SUM($D20:$GA20)=0,1,'Вводные'!$K$32))))*DG21)</x:f>
      </x:c>
      <x:c r="DH22" s="132" t="n">
        <x:f>$B$13*((IF(SUM($D17:$GA17)=0,0,IF(SUM($D20:$GA20)=0,1,'Вводные'!$K$32)))*DH19+(1-(IF(SUM($D17:$GA17)=0,0,IF(SUM($D20:$GA20)=0,1,'Вводные'!$K$32))))*DH21)</x:f>
      </x:c>
      <x:c r="DI22" s="132" t="n">
        <x:f>$B$13*((IF(SUM($D17:$GA17)=0,0,IF(SUM($D20:$GA20)=0,1,'Вводные'!$K$32)))*DI19+(1-(IF(SUM($D17:$GA17)=0,0,IF(SUM($D20:$GA20)=0,1,'Вводные'!$K$32))))*DI21)</x:f>
      </x:c>
      <x:c r="DJ22" s="132" t="n">
        <x:f>$B$13*((IF(SUM($D17:$GA17)=0,0,IF(SUM($D20:$GA20)=0,1,'Вводные'!$K$32)))*DJ19+(1-(IF(SUM($D17:$GA17)=0,0,IF(SUM($D20:$GA20)=0,1,'Вводные'!$K$32))))*DJ21)</x:f>
      </x:c>
      <x:c r="DK22" s="132" t="n">
        <x:f>$B$13*((IF(SUM($D17:$GA17)=0,0,IF(SUM($D20:$GA20)=0,1,'Вводные'!$K$32)))*DK19+(1-(IF(SUM($D17:$GA17)=0,0,IF(SUM($D20:$GA20)=0,1,'Вводные'!$K$32))))*DK21)</x:f>
      </x:c>
      <x:c r="DL22" s="132" t="n">
        <x:f>$B$13*((IF(SUM($D17:$GA17)=0,0,IF(SUM($D20:$GA20)=0,1,'Вводные'!$K$32)))*DL19+(1-(IF(SUM($D17:$GA17)=0,0,IF(SUM($D20:$GA20)=0,1,'Вводные'!$K$32))))*DL21)</x:f>
      </x:c>
      <x:c r="DM22" s="132" t="n">
        <x:f>$B$13*((IF(SUM($D17:$GA17)=0,0,IF(SUM($D20:$GA20)=0,1,'Вводные'!$K$32)))*DM19+(1-(IF(SUM($D17:$GA17)=0,0,IF(SUM($D20:$GA20)=0,1,'Вводные'!$K$32))))*DM21)</x:f>
      </x:c>
      <x:c r="DN22" s="132" t="n">
        <x:f>$B$13*((IF(SUM($D17:$GA17)=0,0,IF(SUM($D20:$GA20)=0,1,'Вводные'!$K$32)))*DN19+(1-(IF(SUM($D17:$GA17)=0,0,IF(SUM($D20:$GA20)=0,1,'Вводные'!$K$32))))*DN21)</x:f>
      </x:c>
      <x:c r="DO22" s="132" t="n">
        <x:f>$B$13*((IF(SUM($D17:$GA17)=0,0,IF(SUM($D20:$GA20)=0,1,'Вводные'!$K$32)))*DO19+(1-(IF(SUM($D17:$GA17)=0,0,IF(SUM($D20:$GA20)=0,1,'Вводные'!$K$32))))*DO21)</x:f>
      </x:c>
      <x:c r="DP22" s="132" t="n">
        <x:f>$B$13*((IF(SUM($D17:$GA17)=0,0,IF(SUM($D20:$GA20)=0,1,'Вводные'!$K$32)))*DP19+(1-(IF(SUM($D17:$GA17)=0,0,IF(SUM($D20:$GA20)=0,1,'Вводные'!$K$32))))*DP21)</x:f>
      </x:c>
      <x:c r="DQ22" s="132" t="n">
        <x:f>$B$13*((IF(SUM($D17:$GA17)=0,0,IF(SUM($D20:$GA20)=0,1,'Вводные'!$K$32)))*DQ19+(1-(IF(SUM($D17:$GA17)=0,0,IF(SUM($D20:$GA20)=0,1,'Вводные'!$K$32))))*DQ21)</x:f>
      </x:c>
      <x:c r="DR22" s="132" t="n">
        <x:f>$B$13*((IF(SUM($D17:$GA17)=0,0,IF(SUM($D20:$GA20)=0,1,'Вводные'!$K$32)))*DR19+(1-(IF(SUM($D17:$GA17)=0,0,IF(SUM($D20:$GA20)=0,1,'Вводные'!$K$32))))*DR21)</x:f>
      </x:c>
      <x:c r="DS22" s="132" t="n">
        <x:f>$B$13*((IF(SUM($D17:$GA17)=0,0,IF(SUM($D20:$GA20)=0,1,'Вводные'!$K$32)))*DS19+(1-(IF(SUM($D17:$GA17)=0,0,IF(SUM($D20:$GA20)=0,1,'Вводные'!$K$32))))*DS21)</x:f>
      </x:c>
      <x:c r="DT22" s="132" t="n">
        <x:f>$B$13*((IF(SUM($D17:$GA17)=0,0,IF(SUM($D20:$GA20)=0,1,'Вводные'!$K$32)))*DT19+(1-(IF(SUM($D17:$GA17)=0,0,IF(SUM($D20:$GA20)=0,1,'Вводные'!$K$32))))*DT21)</x:f>
      </x:c>
      <x:c r="DU22" s="132" t="n">
        <x:f>$B$13*((IF(SUM($D17:$GA17)=0,0,IF(SUM($D20:$GA20)=0,1,'Вводные'!$K$32)))*DU19+(1-(IF(SUM($D17:$GA17)=0,0,IF(SUM($D20:$GA20)=0,1,'Вводные'!$K$32))))*DU21)</x:f>
      </x:c>
      <x:c r="DV22" s="132" t="n">
        <x:f>$B$13*((IF(SUM($D17:$GA17)=0,0,IF(SUM($D20:$GA20)=0,1,'Вводные'!$K$32)))*DV19+(1-(IF(SUM($D17:$GA17)=0,0,IF(SUM($D20:$GA20)=0,1,'Вводные'!$K$32))))*DV21)</x:f>
      </x:c>
      <x:c r="DW22" s="132" t="n">
        <x:f>$B$13*((IF(SUM($D17:$GA17)=0,0,IF(SUM($D20:$GA20)=0,1,'Вводные'!$K$32)))*DW19+(1-(IF(SUM($D17:$GA17)=0,0,IF(SUM($D20:$GA20)=0,1,'Вводные'!$K$32))))*DW21)</x:f>
      </x:c>
      <x:c r="DX22" s="132" t="n">
        <x:f>$B$13*((IF(SUM($D17:$GA17)=0,0,IF(SUM($D20:$GA20)=0,1,'Вводные'!$K$32)))*DX19+(1-(IF(SUM($D17:$GA17)=0,0,IF(SUM($D20:$GA20)=0,1,'Вводные'!$K$32))))*DX21)</x:f>
      </x:c>
      <x:c r="DY22" s="132" t="n">
        <x:f>$B$13*((IF(SUM($D17:$GA17)=0,0,IF(SUM($D20:$GA20)=0,1,'Вводные'!$K$32)))*DY19+(1-(IF(SUM($D17:$GA17)=0,0,IF(SUM($D20:$GA20)=0,1,'Вводные'!$K$32))))*DY21)</x:f>
      </x:c>
      <x:c r="DZ22" s="132" t="n">
        <x:f>$B$13*((IF(SUM($D17:$GA17)=0,0,IF(SUM($D20:$GA20)=0,1,'Вводные'!$K$32)))*DZ19+(1-(IF(SUM($D17:$GA17)=0,0,IF(SUM($D20:$GA20)=0,1,'Вводные'!$K$32))))*DZ21)</x:f>
      </x:c>
      <x:c r="EA22" s="132" t="n">
        <x:f>$B$13*((IF(SUM($D17:$GA17)=0,0,IF(SUM($D20:$GA20)=0,1,'Вводные'!$K$32)))*EA19+(1-(IF(SUM($D17:$GA17)=0,0,IF(SUM($D20:$GA20)=0,1,'Вводные'!$K$32))))*EA21)</x:f>
      </x:c>
      <x:c r="EB22" s="132" t="n">
        <x:f>$B$13*((IF(SUM($D17:$GA17)=0,0,IF(SUM($D20:$GA20)=0,1,'Вводные'!$K$32)))*EB19+(1-(IF(SUM($D17:$GA17)=0,0,IF(SUM($D20:$GA20)=0,1,'Вводные'!$K$32))))*EB21)</x:f>
      </x:c>
      <x:c r="EC22" s="132" t="n">
        <x:f>$B$13*((IF(SUM($D17:$GA17)=0,0,IF(SUM($D20:$GA20)=0,1,'Вводные'!$K$32)))*EC19+(1-(IF(SUM($D17:$GA17)=0,0,IF(SUM($D20:$GA20)=0,1,'Вводные'!$K$32))))*EC21)</x:f>
      </x:c>
      <x:c r="ED22" s="132" t="n">
        <x:f>$B$13*((IF(SUM($D17:$GA17)=0,0,IF(SUM($D20:$GA20)=0,1,'Вводные'!$K$32)))*ED19+(1-(IF(SUM($D17:$GA17)=0,0,IF(SUM($D20:$GA20)=0,1,'Вводные'!$K$32))))*ED21)</x:f>
      </x:c>
      <x:c r="EE22" s="132" t="n">
        <x:f>$B$13*((IF(SUM($D17:$GA17)=0,0,IF(SUM($D20:$GA20)=0,1,'Вводные'!$K$32)))*EE19+(1-(IF(SUM($D17:$GA17)=0,0,IF(SUM($D20:$GA20)=0,1,'Вводные'!$K$32))))*EE21)</x:f>
      </x:c>
      <x:c r="EF22" s="132" t="n">
        <x:f>$B$13*((IF(SUM($D17:$GA17)=0,0,IF(SUM($D20:$GA20)=0,1,'Вводные'!$K$32)))*EF19+(1-(IF(SUM($D17:$GA17)=0,0,IF(SUM($D20:$GA20)=0,1,'Вводные'!$K$32))))*EF21)</x:f>
      </x:c>
      <x:c r="EG22" s="132" t="n">
        <x:f>$B$13*((IF(SUM($D17:$GA17)=0,0,IF(SUM($D20:$GA20)=0,1,'Вводные'!$K$32)))*EG19+(1-(IF(SUM($D17:$GA17)=0,0,IF(SUM($D20:$GA20)=0,1,'Вводные'!$K$32))))*EG21)</x:f>
      </x:c>
      <x:c r="EH22" s="132" t="n">
        <x:f>$B$13*((IF(SUM($D17:$GA17)=0,0,IF(SUM($D20:$GA20)=0,1,'Вводные'!$K$32)))*EH19+(1-(IF(SUM($D17:$GA17)=0,0,IF(SUM($D20:$GA20)=0,1,'Вводные'!$K$32))))*EH21)</x:f>
      </x:c>
      <x:c r="EI22" s="132" t="n">
        <x:f>$B$13*((IF(SUM($D17:$GA17)=0,0,IF(SUM($D20:$GA20)=0,1,'Вводные'!$K$32)))*EI19+(1-(IF(SUM($D17:$GA17)=0,0,IF(SUM($D20:$GA20)=0,1,'Вводные'!$K$32))))*EI21)</x:f>
      </x:c>
      <x:c r="EJ22" s="132" t="n">
        <x:f>$B$13*((IF(SUM($D17:$GA17)=0,0,IF(SUM($D20:$GA20)=0,1,'Вводные'!$K$32)))*EJ19+(1-(IF(SUM($D17:$GA17)=0,0,IF(SUM($D20:$GA20)=0,1,'Вводные'!$K$32))))*EJ21)</x:f>
      </x:c>
      <x:c r="EK22" s="132" t="n">
        <x:f>$B$13*((IF(SUM($D17:$GA17)=0,0,IF(SUM($D20:$GA20)=0,1,'Вводные'!$K$32)))*EK19+(1-(IF(SUM($D17:$GA17)=0,0,IF(SUM($D20:$GA20)=0,1,'Вводные'!$K$32))))*EK21)</x:f>
      </x:c>
      <x:c r="EL22" s="132" t="n">
        <x:f>$B$13*((IF(SUM($D17:$GA17)=0,0,IF(SUM($D20:$GA20)=0,1,'Вводные'!$K$32)))*EL19+(1-(IF(SUM($D17:$GA17)=0,0,IF(SUM($D20:$GA20)=0,1,'Вводные'!$K$32))))*EL21)</x:f>
      </x:c>
      <x:c r="EM22" s="132" t="n">
        <x:f>$B$13*((IF(SUM($D17:$GA17)=0,0,IF(SUM($D20:$GA20)=0,1,'Вводные'!$K$32)))*EM19+(1-(IF(SUM($D17:$GA17)=0,0,IF(SUM($D20:$GA20)=0,1,'Вводные'!$K$32))))*EM21)</x:f>
      </x:c>
      <x:c r="EN22" s="132" t="n">
        <x:f>$B$13*((IF(SUM($D17:$GA17)=0,0,IF(SUM($D20:$GA20)=0,1,'Вводные'!$K$32)))*EN19+(1-(IF(SUM($D17:$GA17)=0,0,IF(SUM($D20:$GA20)=0,1,'Вводные'!$K$32))))*EN21)</x:f>
      </x:c>
      <x:c r="EO22" s="132" t="n">
        <x:f>$B$13*((IF(SUM($D17:$GA17)=0,0,IF(SUM($D20:$GA20)=0,1,'Вводные'!$K$32)))*EO19+(1-(IF(SUM($D17:$GA17)=0,0,IF(SUM($D20:$GA20)=0,1,'Вводные'!$K$32))))*EO21)</x:f>
      </x:c>
      <x:c r="EP22" s="132" t="n">
        <x:f>$B$13*((IF(SUM($D17:$GA17)=0,0,IF(SUM($D20:$GA20)=0,1,'Вводные'!$K$32)))*EP19+(1-(IF(SUM($D17:$GA17)=0,0,IF(SUM($D20:$GA20)=0,1,'Вводные'!$K$32))))*EP21)</x:f>
      </x:c>
      <x:c r="EQ22" s="132" t="n">
        <x:f>$B$13*((IF(SUM($D17:$GA17)=0,0,IF(SUM($D20:$GA20)=0,1,'Вводные'!$K$32)))*EQ19+(1-(IF(SUM($D17:$GA17)=0,0,IF(SUM($D20:$GA20)=0,1,'Вводные'!$K$32))))*EQ21)</x:f>
      </x:c>
      <x:c r="ER22" s="132" t="n">
        <x:f>$B$13*((IF(SUM($D17:$GA17)=0,0,IF(SUM($D20:$GA20)=0,1,'Вводные'!$K$32)))*ER19+(1-(IF(SUM($D17:$GA17)=0,0,IF(SUM($D20:$GA20)=0,1,'Вводные'!$K$32))))*ER21)</x:f>
      </x:c>
      <x:c r="ES22" s="132" t="n">
        <x:f>$B$13*((IF(SUM($D17:$GA17)=0,0,IF(SUM($D20:$GA20)=0,1,'Вводные'!$K$32)))*ES19+(1-(IF(SUM($D17:$GA17)=0,0,IF(SUM($D20:$GA20)=0,1,'Вводные'!$K$32))))*ES21)</x:f>
      </x:c>
      <x:c r="ET22" s="132" t="n">
        <x:f>$B$13*((IF(SUM($D17:$GA17)=0,0,IF(SUM($D20:$GA20)=0,1,'Вводные'!$K$32)))*ET19+(1-(IF(SUM($D17:$GA17)=0,0,IF(SUM($D20:$GA20)=0,1,'Вводные'!$K$32))))*ET21)</x:f>
      </x:c>
      <x:c r="EU22" s="132" t="n">
        <x:f>$B$13*((IF(SUM($D17:$GA17)=0,0,IF(SUM($D20:$GA20)=0,1,'Вводные'!$K$32)))*EU19+(1-(IF(SUM($D17:$GA17)=0,0,IF(SUM($D20:$GA20)=0,1,'Вводные'!$K$32))))*EU21)</x:f>
      </x:c>
      <x:c r="EV22" s="132" t="n">
        <x:f>$B$13*((IF(SUM($D17:$GA17)=0,0,IF(SUM($D20:$GA20)=0,1,'Вводные'!$K$32)))*EV19+(1-(IF(SUM($D17:$GA17)=0,0,IF(SUM($D20:$GA20)=0,1,'Вводные'!$K$32))))*EV21)</x:f>
      </x:c>
      <x:c r="EW22" s="132" t="n">
        <x:f>$B$13*((IF(SUM($D17:$GA17)=0,0,IF(SUM($D20:$GA20)=0,1,'Вводные'!$K$32)))*EW19+(1-(IF(SUM($D17:$GA17)=0,0,IF(SUM($D20:$GA20)=0,1,'Вводные'!$K$32))))*EW21)</x:f>
      </x:c>
      <x:c r="EX22" s="132" t="n">
        <x:f>$B$13*((IF(SUM($D17:$GA17)=0,0,IF(SUM($D20:$GA20)=0,1,'Вводные'!$K$32)))*EX19+(1-(IF(SUM($D17:$GA17)=0,0,IF(SUM($D20:$GA20)=0,1,'Вводные'!$K$32))))*EX21)</x:f>
      </x:c>
      <x:c r="EY22" s="132" t="n">
        <x:f>$B$13*((IF(SUM($D17:$GA17)=0,0,IF(SUM($D20:$GA20)=0,1,'Вводные'!$K$32)))*EY19+(1-(IF(SUM($D17:$GA17)=0,0,IF(SUM($D20:$GA20)=0,1,'Вводные'!$K$32))))*EY21)</x:f>
      </x:c>
      <x:c r="EZ22" s="132" t="n">
        <x:f>$B$13*((IF(SUM($D17:$GA17)=0,0,IF(SUM($D20:$GA20)=0,1,'Вводные'!$K$32)))*EZ19+(1-(IF(SUM($D17:$GA17)=0,0,IF(SUM($D20:$GA20)=0,1,'Вводные'!$K$32))))*EZ21)</x:f>
      </x:c>
      <x:c r="FA22" s="132" t="n">
        <x:f>$B$13*((IF(SUM($D17:$GA17)=0,0,IF(SUM($D20:$GA20)=0,1,'Вводные'!$K$32)))*FA19+(1-(IF(SUM($D17:$GA17)=0,0,IF(SUM($D20:$GA20)=0,1,'Вводные'!$K$32))))*FA21)</x:f>
      </x:c>
      <x:c r="FB22" s="132" t="n">
        <x:f>$B$13*((IF(SUM($D17:$GA17)=0,0,IF(SUM($D20:$GA20)=0,1,'Вводные'!$K$32)))*FB19+(1-(IF(SUM($D17:$GA17)=0,0,IF(SUM($D20:$GA20)=0,1,'Вводные'!$K$32))))*FB21)</x:f>
      </x:c>
      <x:c r="FC22" s="132" t="n">
        <x:f>$B$13*((IF(SUM($D17:$GA17)=0,0,IF(SUM($D20:$GA20)=0,1,'Вводные'!$K$32)))*FC19+(1-(IF(SUM($D17:$GA17)=0,0,IF(SUM($D20:$GA20)=0,1,'Вводные'!$K$32))))*FC21)</x:f>
      </x:c>
      <x:c r="FD22" s="132" t="n">
        <x:f>$B$13*((IF(SUM($D17:$GA17)=0,0,IF(SUM($D20:$GA20)=0,1,'Вводные'!$K$32)))*FD19+(1-(IF(SUM($D17:$GA17)=0,0,IF(SUM($D20:$GA20)=0,1,'Вводные'!$K$32))))*FD21)</x:f>
      </x:c>
      <x:c r="FE22" s="132" t="n">
        <x:f>$B$13*((IF(SUM($D17:$GA17)=0,0,IF(SUM($D20:$GA20)=0,1,'Вводные'!$K$32)))*FE19+(1-(IF(SUM($D17:$GA17)=0,0,IF(SUM($D20:$GA20)=0,1,'Вводные'!$K$32))))*FE21)</x:f>
      </x:c>
      <x:c r="FF22" s="132" t="n">
        <x:f>$B$13*((IF(SUM($D17:$GA17)=0,0,IF(SUM($D20:$GA20)=0,1,'Вводные'!$K$32)))*FF19+(1-(IF(SUM($D17:$GA17)=0,0,IF(SUM($D20:$GA20)=0,1,'Вводные'!$K$32))))*FF21)</x:f>
      </x:c>
      <x:c r="FG22" s="132" t="n">
        <x:f>$B$13*((IF(SUM($D17:$GA17)=0,0,IF(SUM($D20:$GA20)=0,1,'Вводные'!$K$32)))*FG19+(1-(IF(SUM($D17:$GA17)=0,0,IF(SUM($D20:$GA20)=0,1,'Вводные'!$K$32))))*FG21)</x:f>
      </x:c>
      <x:c r="FH22" s="132" t="n">
        <x:f>$B$13*((IF(SUM($D17:$GA17)=0,0,IF(SUM($D20:$GA20)=0,1,'Вводные'!$K$32)))*FH19+(1-(IF(SUM($D17:$GA17)=0,0,IF(SUM($D20:$GA20)=0,1,'Вводные'!$K$32))))*FH21)</x:f>
      </x:c>
      <x:c r="FI22" s="132" t="n">
        <x:f>$B$13*((IF(SUM($D17:$GA17)=0,0,IF(SUM($D20:$GA20)=0,1,'Вводные'!$K$32)))*FI19+(1-(IF(SUM($D17:$GA17)=0,0,IF(SUM($D20:$GA20)=0,1,'Вводные'!$K$32))))*FI21)</x:f>
      </x:c>
      <x:c r="FJ22" s="132" t="n">
        <x:f>$B$13*((IF(SUM($D17:$GA17)=0,0,IF(SUM($D20:$GA20)=0,1,'Вводные'!$K$32)))*FJ19+(1-(IF(SUM($D17:$GA17)=0,0,IF(SUM($D20:$GA20)=0,1,'Вводные'!$K$32))))*FJ21)</x:f>
      </x:c>
      <x:c r="FK22" s="132" t="n">
        <x:f>$B$13*((IF(SUM($D17:$GA17)=0,0,IF(SUM($D20:$GA20)=0,1,'Вводные'!$K$32)))*FK19+(1-(IF(SUM($D17:$GA17)=0,0,IF(SUM($D20:$GA20)=0,1,'Вводные'!$K$32))))*FK21)</x:f>
      </x:c>
      <x:c r="FL22" s="132" t="n">
        <x:f>$B$13*((IF(SUM($D17:$GA17)=0,0,IF(SUM($D20:$GA20)=0,1,'Вводные'!$K$32)))*FL19+(1-(IF(SUM($D17:$GA17)=0,0,IF(SUM($D20:$GA20)=0,1,'Вводные'!$K$32))))*FL21)</x:f>
      </x:c>
      <x:c r="FM22" s="132" t="n">
        <x:f>$B$13*((IF(SUM($D17:$GA17)=0,0,IF(SUM($D20:$GA20)=0,1,'Вводные'!$K$32)))*FM19+(1-(IF(SUM($D17:$GA17)=0,0,IF(SUM($D20:$GA20)=0,1,'Вводные'!$K$32))))*FM21)</x:f>
      </x:c>
      <x:c r="FN22" s="132" t="n">
        <x:f>$B$13*((IF(SUM($D17:$GA17)=0,0,IF(SUM($D20:$GA20)=0,1,'Вводные'!$K$32)))*FN19+(1-(IF(SUM($D17:$GA17)=0,0,IF(SUM($D20:$GA20)=0,1,'Вводные'!$K$32))))*FN21)</x:f>
      </x:c>
      <x:c r="FO22" s="132" t="n">
        <x:f>$B$13*((IF(SUM($D17:$GA17)=0,0,IF(SUM($D20:$GA20)=0,1,'Вводные'!$K$32)))*FO19+(1-(IF(SUM($D17:$GA17)=0,0,IF(SUM($D20:$GA20)=0,1,'Вводные'!$K$32))))*FO21)</x:f>
      </x:c>
      <x:c r="FP22" s="132" t="n">
        <x:f>$B$13*((IF(SUM($D17:$GA17)=0,0,IF(SUM($D20:$GA20)=0,1,'Вводные'!$K$32)))*FP19+(1-(IF(SUM($D17:$GA17)=0,0,IF(SUM($D20:$GA20)=0,1,'Вводные'!$K$32))))*FP21)</x:f>
      </x:c>
      <x:c r="FQ22" s="132" t="n">
        <x:f>$B$13*((IF(SUM($D17:$GA17)=0,0,IF(SUM($D20:$GA20)=0,1,'Вводные'!$K$32)))*FQ19+(1-(IF(SUM($D17:$GA17)=0,0,IF(SUM($D20:$GA20)=0,1,'Вводные'!$K$32))))*FQ21)</x:f>
      </x:c>
      <x:c r="FR22" s="132" t="n">
        <x:f>$B$13*((IF(SUM($D17:$GA17)=0,0,IF(SUM($D20:$GA20)=0,1,'Вводные'!$K$32)))*FR19+(1-(IF(SUM($D17:$GA17)=0,0,IF(SUM($D20:$GA20)=0,1,'Вводные'!$K$32))))*FR21)</x:f>
      </x:c>
      <x:c r="FS22" s="132" t="n">
        <x:f>$B$13*((IF(SUM($D17:$GA17)=0,0,IF(SUM($D20:$GA20)=0,1,'Вводные'!$K$32)))*FS19+(1-(IF(SUM($D17:$GA17)=0,0,IF(SUM($D20:$GA20)=0,1,'Вводные'!$K$32))))*FS21)</x:f>
      </x:c>
      <x:c r="FT22" s="132" t="n">
        <x:f>$B$13*((IF(SUM($D17:$GA17)=0,0,IF(SUM($D20:$GA20)=0,1,'Вводные'!$K$32)))*FT19+(1-(IF(SUM($D17:$GA17)=0,0,IF(SUM($D20:$GA20)=0,1,'Вводные'!$K$32))))*FT21)</x:f>
      </x:c>
      <x:c r="FU22" s="132" t="n">
        <x:f>$B$13*((IF(SUM($D17:$GA17)=0,0,IF(SUM($D20:$GA20)=0,1,'Вводные'!$K$32)))*FU19+(1-(IF(SUM($D17:$GA17)=0,0,IF(SUM($D20:$GA20)=0,1,'Вводные'!$K$32))))*FU21)</x:f>
      </x:c>
      <x:c r="FV22" s="132" t="n">
        <x:f>$B$13*((IF(SUM($D17:$GA17)=0,0,IF(SUM($D20:$GA20)=0,1,'Вводные'!$K$32)))*FV19+(1-(IF(SUM($D17:$GA17)=0,0,IF(SUM($D20:$GA20)=0,1,'Вводные'!$K$32))))*FV21)</x:f>
      </x:c>
      <x:c r="FW22" s="132" t="n">
        <x:f>$B$13*((IF(SUM($D17:$GA17)=0,0,IF(SUM($D20:$GA20)=0,1,'Вводные'!$K$32)))*FW19+(1-(IF(SUM($D17:$GA17)=0,0,IF(SUM($D20:$GA20)=0,1,'Вводные'!$K$32))))*FW21)</x:f>
      </x:c>
      <x:c r="FX22" s="132" t="n">
        <x:f>$B$13*((IF(SUM($D17:$GA17)=0,0,IF(SUM($D20:$GA20)=0,1,'Вводные'!$K$32)))*FX19+(1-(IF(SUM($D17:$GA17)=0,0,IF(SUM($D20:$GA20)=0,1,'Вводные'!$K$32))))*FX21)</x:f>
      </x:c>
      <x:c r="FY22" s="132" t="n">
        <x:f>$B$13*((IF(SUM($D17:$GA17)=0,0,IF(SUM($D20:$GA20)=0,1,'Вводные'!$K$32)))*FY19+(1-(IF(SUM($D17:$GA17)=0,0,IF(SUM($D20:$GA20)=0,1,'Вводные'!$K$32))))*FY21)</x:f>
      </x:c>
      <x:c r="FZ22" s="132" t="n">
        <x:f>$B$13*((IF(SUM($D17:$GA17)=0,0,IF(SUM($D20:$GA20)=0,1,'Вводные'!$K$32)))*FZ19+(1-(IF(SUM($D17:$GA17)=0,0,IF(SUM($D20:$GA20)=0,1,'Вводные'!$K$32))))*FZ21)</x:f>
      </x:c>
      <x:c r="GA22" s="132" t="n">
        <x:f>$B$13*((IF(SUM($D17:$GA17)=0,0,IF(SUM($D20:$GA20)=0,1,'Вводные'!$K$32)))*GA19+(1-(IF(SUM($D17:$GA17)=0,0,IF(SUM($D20:$GA20)=0,1,'Вводные'!$K$32))))*GA21)</x:f>
      </x:c>
    </x:row>
    <x:row r="23">
      <x:c r="A23" t="str">
        <x:v>Цена реализации</x:v>
      </x:c>
      <x:c r="B23" s="107" t="n">
        <x:f>IFERROR(B24*1000/B22,0)</x:f>
      </x:c>
      <x:c r="C23" t="str">
        <x:v>тыс. ₽/м²</x:v>
      </x:c>
      <x:c r="D23" s="107" t="n">
        <x:f>IF(D22=0,0,'Вводные'!$K$31*'Вводные'!$H$5*INDEX('Вводные'!$S$88:$S$91,$B$8)*INDEX('Вводные'!$AG$88:$AG$91,$B$8)*(1+'Вводные'!$K$34)^MAX(0,MIN((12*(YEAR(D$3)-YEAR($B$11))+MONTH(D$3)-MONTH($B$11)),(12*(YEAR($B$10)-YEAR($B$11))+MONTH($B$10)-MONTH($B$11))))*(1+'Вводные'!$K$35)^MAX(0,(12*(YEAR(D$3)-YEAR($B$10))+MONTH(D$3)-MONTH($B$10))))</x:f>
      </x:c>
      <x:c r="E23" s="107" t="n">
        <x:f>IF(E22=0,0,'Вводные'!$K$31*'Вводные'!$H$5*INDEX('Вводные'!$S$88:$S$91,$B$8)*INDEX('Вводные'!$AG$88:$AG$91,$B$8)*(1+'Вводные'!$K$34)^MAX(0,MIN((12*(YEAR(E$3)-YEAR($B$11))+MONTH(E$3)-MONTH($B$11)),(12*(YEAR($B$10)-YEAR($B$11))+MONTH($B$10)-MONTH($B$11))))*(1+'Вводные'!$K$35)^MAX(0,(12*(YEAR(E$3)-YEAR($B$10))+MONTH(E$3)-MONTH($B$10))))</x:f>
      </x:c>
      <x:c r="F23" s="107" t="n">
        <x:f>IF(F22=0,0,'Вводные'!$K$31*'Вводные'!$H$5*INDEX('Вводные'!$S$88:$S$91,$B$8)*INDEX('Вводные'!$AG$88:$AG$91,$B$8)*(1+'Вводные'!$K$34)^MAX(0,MIN((12*(YEAR(F$3)-YEAR($B$11))+MONTH(F$3)-MONTH($B$11)),(12*(YEAR($B$10)-YEAR($B$11))+MONTH($B$10)-MONTH($B$11))))*(1+'Вводные'!$K$35)^MAX(0,(12*(YEAR(F$3)-YEAR($B$10))+MONTH(F$3)-MONTH($B$10))))</x:f>
      </x:c>
      <x:c r="G23" s="107" t="n">
        <x:f>IF(G22=0,0,'Вводные'!$K$31*'Вводные'!$H$5*INDEX('Вводные'!$S$88:$S$91,$B$8)*INDEX('Вводные'!$AG$88:$AG$91,$B$8)*(1+'Вводные'!$K$34)^MAX(0,MIN((12*(YEAR(G$3)-YEAR($B$11))+MONTH(G$3)-MONTH($B$11)),(12*(YEAR($B$10)-YEAR($B$11))+MONTH($B$10)-MONTH($B$11))))*(1+'Вводные'!$K$35)^MAX(0,(12*(YEAR(G$3)-YEAR($B$10))+MONTH(G$3)-MONTH($B$10))))</x:f>
      </x:c>
      <x:c r="H23" s="107" t="n">
        <x:f>IF(H22=0,0,'Вводные'!$K$31*'Вводные'!$H$5*INDEX('Вводные'!$S$88:$S$91,$B$8)*INDEX('Вводные'!$AG$88:$AG$91,$B$8)*(1+'Вводные'!$K$34)^MAX(0,MIN((12*(YEAR(H$3)-YEAR($B$11))+MONTH(H$3)-MONTH($B$11)),(12*(YEAR($B$10)-YEAR($B$11))+MONTH($B$10)-MONTH($B$11))))*(1+'Вводные'!$K$35)^MAX(0,(12*(YEAR(H$3)-YEAR($B$10))+MONTH(H$3)-MONTH($B$10))))</x:f>
      </x:c>
      <x:c r="I23" s="107" t="n">
        <x:f>IF(I22=0,0,'Вводные'!$K$31*'Вводные'!$H$5*INDEX('Вводные'!$S$88:$S$91,$B$8)*INDEX('Вводные'!$AG$88:$AG$91,$B$8)*(1+'Вводные'!$K$34)^MAX(0,MIN((12*(YEAR(I$3)-YEAR($B$11))+MONTH(I$3)-MONTH($B$11)),(12*(YEAR($B$10)-YEAR($B$11))+MONTH($B$10)-MONTH($B$11))))*(1+'Вводные'!$K$35)^MAX(0,(12*(YEAR(I$3)-YEAR($B$10))+MONTH(I$3)-MONTH($B$10))))</x:f>
      </x:c>
      <x:c r="J23" s="107" t="n">
        <x:f>IF(J22=0,0,'Вводные'!$K$31*'Вводные'!$H$5*INDEX('Вводные'!$S$88:$S$91,$B$8)*INDEX('Вводные'!$AG$88:$AG$91,$B$8)*(1+'Вводные'!$K$34)^MAX(0,MIN((12*(YEAR(J$3)-YEAR($B$11))+MONTH(J$3)-MONTH($B$11)),(12*(YEAR($B$10)-YEAR($B$11))+MONTH($B$10)-MONTH($B$11))))*(1+'Вводные'!$K$35)^MAX(0,(12*(YEAR(J$3)-YEAR($B$10))+MONTH(J$3)-MONTH($B$10))))</x:f>
      </x:c>
      <x:c r="K23" s="107" t="n">
        <x:f>IF(K22=0,0,'Вводные'!$K$31*'Вводные'!$H$5*INDEX('Вводные'!$S$88:$S$91,$B$8)*INDEX('Вводные'!$AG$88:$AG$91,$B$8)*(1+'Вводные'!$K$34)^MAX(0,MIN((12*(YEAR(K$3)-YEAR($B$11))+MONTH(K$3)-MONTH($B$11)),(12*(YEAR($B$10)-YEAR($B$11))+MONTH($B$10)-MONTH($B$11))))*(1+'Вводные'!$K$35)^MAX(0,(12*(YEAR(K$3)-YEAR($B$10))+MONTH(K$3)-MONTH($B$10))))</x:f>
      </x:c>
      <x:c r="L23" s="107" t="n">
        <x:f>IF(L22=0,0,'Вводные'!$K$31*'Вводные'!$H$5*INDEX('Вводные'!$S$88:$S$91,$B$8)*INDEX('Вводные'!$AG$88:$AG$91,$B$8)*(1+'Вводные'!$K$34)^MAX(0,MIN((12*(YEAR(L$3)-YEAR($B$11))+MONTH(L$3)-MONTH($B$11)),(12*(YEAR($B$10)-YEAR($B$11))+MONTH($B$10)-MONTH($B$11))))*(1+'Вводные'!$K$35)^MAX(0,(12*(YEAR(L$3)-YEAR($B$10))+MONTH(L$3)-MONTH($B$10))))</x:f>
      </x:c>
      <x:c r="M23" s="107" t="n">
        <x:f>IF(M22=0,0,'Вводные'!$K$31*'Вводные'!$H$5*INDEX('Вводные'!$S$88:$S$91,$B$8)*INDEX('Вводные'!$AG$88:$AG$91,$B$8)*(1+'Вводные'!$K$34)^MAX(0,MIN((12*(YEAR(M$3)-YEAR($B$11))+MONTH(M$3)-MONTH($B$11)),(12*(YEAR($B$10)-YEAR($B$11))+MONTH($B$10)-MONTH($B$11))))*(1+'Вводные'!$K$35)^MAX(0,(12*(YEAR(M$3)-YEAR($B$10))+MONTH(M$3)-MONTH($B$10))))</x:f>
      </x:c>
      <x:c r="N23" s="107" t="n">
        <x:f>IF(N22=0,0,'Вводные'!$K$31*'Вводные'!$H$5*INDEX('Вводные'!$S$88:$S$91,$B$8)*INDEX('Вводные'!$AG$88:$AG$91,$B$8)*(1+'Вводные'!$K$34)^MAX(0,MIN((12*(YEAR(N$3)-YEAR($B$11))+MONTH(N$3)-MONTH($B$11)),(12*(YEAR($B$10)-YEAR($B$11))+MONTH($B$10)-MONTH($B$11))))*(1+'Вводные'!$K$35)^MAX(0,(12*(YEAR(N$3)-YEAR($B$10))+MONTH(N$3)-MONTH($B$10))))</x:f>
      </x:c>
      <x:c r="O23" s="107" t="n">
        <x:f>IF(O22=0,0,'Вводные'!$K$31*'Вводные'!$H$5*INDEX('Вводные'!$S$88:$S$91,$B$8)*INDEX('Вводные'!$AG$88:$AG$91,$B$8)*(1+'Вводные'!$K$34)^MAX(0,MIN((12*(YEAR(O$3)-YEAR($B$11))+MONTH(O$3)-MONTH($B$11)),(12*(YEAR($B$10)-YEAR($B$11))+MONTH($B$10)-MONTH($B$11))))*(1+'Вводные'!$K$35)^MAX(0,(12*(YEAR(O$3)-YEAR($B$10))+MONTH(O$3)-MONTH($B$10))))</x:f>
      </x:c>
      <x:c r="P23" s="107" t="n">
        <x:f>IF(P22=0,0,'Вводные'!$K$31*'Вводные'!$H$5*INDEX('Вводные'!$S$88:$S$91,$B$8)*INDEX('Вводные'!$AG$88:$AG$91,$B$8)*(1+'Вводные'!$K$34)^MAX(0,MIN((12*(YEAR(P$3)-YEAR($B$11))+MONTH(P$3)-MONTH($B$11)),(12*(YEAR($B$10)-YEAR($B$11))+MONTH($B$10)-MONTH($B$11))))*(1+'Вводные'!$K$35)^MAX(0,(12*(YEAR(P$3)-YEAR($B$10))+MONTH(P$3)-MONTH($B$10))))</x:f>
      </x:c>
      <x:c r="Q23" s="107" t="n">
        <x:f>IF(Q22=0,0,'Вводные'!$K$31*'Вводные'!$H$5*INDEX('Вводные'!$S$88:$S$91,$B$8)*INDEX('Вводные'!$AG$88:$AG$91,$B$8)*(1+'Вводные'!$K$34)^MAX(0,MIN((12*(YEAR(Q$3)-YEAR($B$11))+MONTH(Q$3)-MONTH($B$11)),(12*(YEAR($B$10)-YEAR($B$11))+MONTH($B$10)-MONTH($B$11))))*(1+'Вводные'!$K$35)^MAX(0,(12*(YEAR(Q$3)-YEAR($B$10))+MONTH(Q$3)-MONTH($B$10))))</x:f>
      </x:c>
      <x:c r="R23" s="107" t="n">
        <x:f>IF(R22=0,0,'Вводные'!$K$31*'Вводные'!$H$5*INDEX('Вводные'!$S$88:$S$91,$B$8)*INDEX('Вводные'!$AG$88:$AG$91,$B$8)*(1+'Вводные'!$K$34)^MAX(0,MIN((12*(YEAR(R$3)-YEAR($B$11))+MONTH(R$3)-MONTH($B$11)),(12*(YEAR($B$10)-YEAR($B$11))+MONTH($B$10)-MONTH($B$11))))*(1+'Вводные'!$K$35)^MAX(0,(12*(YEAR(R$3)-YEAR($B$10))+MONTH(R$3)-MONTH($B$10))))</x:f>
      </x:c>
      <x:c r="S23" s="107" t="n">
        <x:f>IF(S22=0,0,'Вводные'!$K$31*'Вводные'!$H$5*INDEX('Вводные'!$S$88:$S$91,$B$8)*INDEX('Вводные'!$AG$88:$AG$91,$B$8)*(1+'Вводные'!$K$34)^MAX(0,MIN((12*(YEAR(S$3)-YEAR($B$11))+MONTH(S$3)-MONTH($B$11)),(12*(YEAR($B$10)-YEAR($B$11))+MONTH($B$10)-MONTH($B$11))))*(1+'Вводные'!$K$35)^MAX(0,(12*(YEAR(S$3)-YEAR($B$10))+MONTH(S$3)-MONTH($B$10))))</x:f>
      </x:c>
      <x:c r="T23" s="107" t="n">
        <x:f>IF(T22=0,0,'Вводные'!$K$31*'Вводные'!$H$5*INDEX('Вводные'!$S$88:$S$91,$B$8)*INDEX('Вводные'!$AG$88:$AG$91,$B$8)*(1+'Вводные'!$K$34)^MAX(0,MIN((12*(YEAR(T$3)-YEAR($B$11))+MONTH(T$3)-MONTH($B$11)),(12*(YEAR($B$10)-YEAR($B$11))+MONTH($B$10)-MONTH($B$11))))*(1+'Вводные'!$K$35)^MAX(0,(12*(YEAR(T$3)-YEAR($B$10))+MONTH(T$3)-MONTH($B$10))))</x:f>
      </x:c>
      <x:c r="U23" s="107" t="n">
        <x:f>IF(U22=0,0,'Вводные'!$K$31*'Вводные'!$H$5*INDEX('Вводные'!$S$88:$S$91,$B$8)*INDEX('Вводные'!$AG$88:$AG$91,$B$8)*(1+'Вводные'!$K$34)^MAX(0,MIN((12*(YEAR(U$3)-YEAR($B$11))+MONTH(U$3)-MONTH($B$11)),(12*(YEAR($B$10)-YEAR($B$11))+MONTH($B$10)-MONTH($B$11))))*(1+'Вводные'!$K$35)^MAX(0,(12*(YEAR(U$3)-YEAR($B$10))+MONTH(U$3)-MONTH($B$10))))</x:f>
      </x:c>
      <x:c r="V23" s="107" t="n">
        <x:f>IF(V22=0,0,'Вводные'!$K$31*'Вводные'!$H$5*INDEX('Вводные'!$S$88:$S$91,$B$8)*INDEX('Вводные'!$AG$88:$AG$91,$B$8)*(1+'Вводные'!$K$34)^MAX(0,MIN((12*(YEAR(V$3)-YEAR($B$11))+MONTH(V$3)-MONTH($B$11)),(12*(YEAR($B$10)-YEAR($B$11))+MONTH($B$10)-MONTH($B$11))))*(1+'Вводные'!$K$35)^MAX(0,(12*(YEAR(V$3)-YEAR($B$10))+MONTH(V$3)-MONTH($B$10))))</x:f>
      </x:c>
      <x:c r="W23" s="107" t="n">
        <x:f>IF(W22=0,0,'Вводные'!$K$31*'Вводные'!$H$5*INDEX('Вводные'!$S$88:$S$91,$B$8)*INDEX('Вводные'!$AG$88:$AG$91,$B$8)*(1+'Вводные'!$K$34)^MAX(0,MIN((12*(YEAR(W$3)-YEAR($B$11))+MONTH(W$3)-MONTH($B$11)),(12*(YEAR($B$10)-YEAR($B$11))+MONTH($B$10)-MONTH($B$11))))*(1+'Вводные'!$K$35)^MAX(0,(12*(YEAR(W$3)-YEAR($B$10))+MONTH(W$3)-MONTH($B$10))))</x:f>
      </x:c>
      <x:c r="X23" s="107" t="n">
        <x:f>IF(X22=0,0,'Вводные'!$K$31*'Вводные'!$H$5*INDEX('Вводные'!$S$88:$S$91,$B$8)*INDEX('Вводные'!$AG$88:$AG$91,$B$8)*(1+'Вводные'!$K$34)^MAX(0,MIN((12*(YEAR(X$3)-YEAR($B$11))+MONTH(X$3)-MONTH($B$11)),(12*(YEAR($B$10)-YEAR($B$11))+MONTH($B$10)-MONTH($B$11))))*(1+'Вводные'!$K$35)^MAX(0,(12*(YEAR(X$3)-YEAR($B$10))+MONTH(X$3)-MONTH($B$10))))</x:f>
      </x:c>
      <x:c r="Y23" s="107" t="n">
        <x:f>IF(Y22=0,0,'Вводные'!$K$31*'Вводные'!$H$5*INDEX('Вводные'!$S$88:$S$91,$B$8)*INDEX('Вводные'!$AG$88:$AG$91,$B$8)*(1+'Вводные'!$K$34)^MAX(0,MIN((12*(YEAR(Y$3)-YEAR($B$11))+MONTH(Y$3)-MONTH($B$11)),(12*(YEAR($B$10)-YEAR($B$11))+MONTH($B$10)-MONTH($B$11))))*(1+'Вводные'!$K$35)^MAX(0,(12*(YEAR(Y$3)-YEAR($B$10))+MONTH(Y$3)-MONTH($B$10))))</x:f>
      </x:c>
      <x:c r="Z23" s="107" t="n">
        <x:f>IF(Z22=0,0,'Вводные'!$K$31*'Вводные'!$H$5*INDEX('Вводные'!$S$88:$S$91,$B$8)*INDEX('Вводные'!$AG$88:$AG$91,$B$8)*(1+'Вводные'!$K$34)^MAX(0,MIN((12*(YEAR(Z$3)-YEAR($B$11))+MONTH(Z$3)-MONTH($B$11)),(12*(YEAR($B$10)-YEAR($B$11))+MONTH($B$10)-MONTH($B$11))))*(1+'Вводные'!$K$35)^MAX(0,(12*(YEAR(Z$3)-YEAR($B$10))+MONTH(Z$3)-MONTH($B$10))))</x:f>
      </x:c>
      <x:c r="AA23" s="107" t="n">
        <x:f>IF(AA22=0,0,'Вводные'!$K$31*'Вводные'!$H$5*INDEX('Вводные'!$S$88:$S$91,$B$8)*INDEX('Вводные'!$AG$88:$AG$91,$B$8)*(1+'Вводные'!$K$34)^MAX(0,MIN((12*(YEAR(AA$3)-YEAR($B$11))+MONTH(AA$3)-MONTH($B$11)),(12*(YEAR($B$10)-YEAR($B$11))+MONTH($B$10)-MONTH($B$11))))*(1+'Вводные'!$K$35)^MAX(0,(12*(YEAR(AA$3)-YEAR($B$10))+MONTH(AA$3)-MONTH($B$10))))</x:f>
      </x:c>
      <x:c r="AB23" s="107" t="n">
        <x:f>IF(AB22=0,0,'Вводные'!$K$31*'Вводные'!$H$5*INDEX('Вводные'!$S$88:$S$91,$B$8)*INDEX('Вводные'!$AG$88:$AG$91,$B$8)*(1+'Вводные'!$K$34)^MAX(0,MIN((12*(YEAR(AB$3)-YEAR($B$11))+MONTH(AB$3)-MONTH($B$11)),(12*(YEAR($B$10)-YEAR($B$11))+MONTH($B$10)-MONTH($B$11))))*(1+'Вводные'!$K$35)^MAX(0,(12*(YEAR(AB$3)-YEAR($B$10))+MONTH(AB$3)-MONTH($B$10))))</x:f>
      </x:c>
      <x:c r="AC23" s="107" t="n">
        <x:f>IF(AC22=0,0,'Вводные'!$K$31*'Вводные'!$H$5*INDEX('Вводные'!$S$88:$S$91,$B$8)*INDEX('Вводные'!$AG$88:$AG$91,$B$8)*(1+'Вводные'!$K$34)^MAX(0,MIN((12*(YEAR(AC$3)-YEAR($B$11))+MONTH(AC$3)-MONTH($B$11)),(12*(YEAR($B$10)-YEAR($B$11))+MONTH($B$10)-MONTH($B$11))))*(1+'Вводные'!$K$35)^MAX(0,(12*(YEAR(AC$3)-YEAR($B$10))+MONTH(AC$3)-MONTH($B$10))))</x:f>
      </x:c>
      <x:c r="AD23" s="107" t="n">
        <x:f>IF(AD22=0,0,'Вводные'!$K$31*'Вводные'!$H$5*INDEX('Вводные'!$S$88:$S$91,$B$8)*INDEX('Вводные'!$AG$88:$AG$91,$B$8)*(1+'Вводные'!$K$34)^MAX(0,MIN((12*(YEAR(AD$3)-YEAR($B$11))+MONTH(AD$3)-MONTH($B$11)),(12*(YEAR($B$10)-YEAR($B$11))+MONTH($B$10)-MONTH($B$11))))*(1+'Вводные'!$K$35)^MAX(0,(12*(YEAR(AD$3)-YEAR($B$10))+MONTH(AD$3)-MONTH($B$10))))</x:f>
      </x:c>
      <x:c r="AE23" s="107" t="n">
        <x:f>IF(AE22=0,0,'Вводные'!$K$31*'Вводные'!$H$5*INDEX('Вводные'!$S$88:$S$91,$B$8)*INDEX('Вводные'!$AG$88:$AG$91,$B$8)*(1+'Вводные'!$K$34)^MAX(0,MIN((12*(YEAR(AE$3)-YEAR($B$11))+MONTH(AE$3)-MONTH($B$11)),(12*(YEAR($B$10)-YEAR($B$11))+MONTH($B$10)-MONTH($B$11))))*(1+'Вводные'!$K$35)^MAX(0,(12*(YEAR(AE$3)-YEAR($B$10))+MONTH(AE$3)-MONTH($B$10))))</x:f>
      </x:c>
      <x:c r="AF23" s="107" t="n">
        <x:f>IF(AF22=0,0,'Вводные'!$K$31*'Вводные'!$H$5*INDEX('Вводные'!$S$88:$S$91,$B$8)*INDEX('Вводные'!$AG$88:$AG$91,$B$8)*(1+'Вводные'!$K$34)^MAX(0,MIN((12*(YEAR(AF$3)-YEAR($B$11))+MONTH(AF$3)-MONTH($B$11)),(12*(YEAR($B$10)-YEAR($B$11))+MONTH($B$10)-MONTH($B$11))))*(1+'Вводные'!$K$35)^MAX(0,(12*(YEAR(AF$3)-YEAR($B$10))+MONTH(AF$3)-MONTH($B$10))))</x:f>
      </x:c>
      <x:c r="AG23" s="107" t="n">
        <x:f>IF(AG22=0,0,'Вводные'!$K$31*'Вводные'!$H$5*INDEX('Вводные'!$S$88:$S$91,$B$8)*INDEX('Вводные'!$AG$88:$AG$91,$B$8)*(1+'Вводные'!$K$34)^MAX(0,MIN((12*(YEAR(AG$3)-YEAR($B$11))+MONTH(AG$3)-MONTH($B$11)),(12*(YEAR($B$10)-YEAR($B$11))+MONTH($B$10)-MONTH($B$11))))*(1+'Вводные'!$K$35)^MAX(0,(12*(YEAR(AG$3)-YEAR($B$10))+MONTH(AG$3)-MONTH($B$10))))</x:f>
      </x:c>
      <x:c r="AH23" s="107" t="n">
        <x:f>IF(AH22=0,0,'Вводные'!$K$31*'Вводные'!$H$5*INDEX('Вводные'!$S$88:$S$91,$B$8)*INDEX('Вводные'!$AG$88:$AG$91,$B$8)*(1+'Вводные'!$K$34)^MAX(0,MIN((12*(YEAR(AH$3)-YEAR($B$11))+MONTH(AH$3)-MONTH($B$11)),(12*(YEAR($B$10)-YEAR($B$11))+MONTH($B$10)-MONTH($B$11))))*(1+'Вводные'!$K$35)^MAX(0,(12*(YEAR(AH$3)-YEAR($B$10))+MONTH(AH$3)-MONTH($B$10))))</x:f>
      </x:c>
      <x:c r="AI23" s="107" t="n">
        <x:f>IF(AI22=0,0,'Вводные'!$K$31*'Вводные'!$H$5*INDEX('Вводные'!$S$88:$S$91,$B$8)*INDEX('Вводные'!$AG$88:$AG$91,$B$8)*(1+'Вводные'!$K$34)^MAX(0,MIN((12*(YEAR(AI$3)-YEAR($B$11))+MONTH(AI$3)-MONTH($B$11)),(12*(YEAR($B$10)-YEAR($B$11))+MONTH($B$10)-MONTH($B$11))))*(1+'Вводные'!$K$35)^MAX(0,(12*(YEAR(AI$3)-YEAR($B$10))+MONTH(AI$3)-MONTH($B$10))))</x:f>
      </x:c>
      <x:c r="AJ23" s="107" t="n">
        <x:f>IF(AJ22=0,0,'Вводные'!$K$31*'Вводные'!$H$5*INDEX('Вводные'!$S$88:$S$91,$B$8)*INDEX('Вводные'!$AG$88:$AG$91,$B$8)*(1+'Вводные'!$K$34)^MAX(0,MIN((12*(YEAR(AJ$3)-YEAR($B$11))+MONTH(AJ$3)-MONTH($B$11)),(12*(YEAR($B$10)-YEAR($B$11))+MONTH($B$10)-MONTH($B$11))))*(1+'Вводные'!$K$35)^MAX(0,(12*(YEAR(AJ$3)-YEAR($B$10))+MONTH(AJ$3)-MONTH($B$10))))</x:f>
      </x:c>
      <x:c r="AK23" s="107" t="n">
        <x:f>IF(AK22=0,0,'Вводные'!$K$31*'Вводные'!$H$5*INDEX('Вводные'!$S$88:$S$91,$B$8)*INDEX('Вводные'!$AG$88:$AG$91,$B$8)*(1+'Вводные'!$K$34)^MAX(0,MIN((12*(YEAR(AK$3)-YEAR($B$11))+MONTH(AK$3)-MONTH($B$11)),(12*(YEAR($B$10)-YEAR($B$11))+MONTH($B$10)-MONTH($B$11))))*(1+'Вводные'!$K$35)^MAX(0,(12*(YEAR(AK$3)-YEAR($B$10))+MONTH(AK$3)-MONTH($B$10))))</x:f>
      </x:c>
      <x:c r="AL23" s="107" t="n">
        <x:f>IF(AL22=0,0,'Вводные'!$K$31*'Вводные'!$H$5*INDEX('Вводные'!$S$88:$S$91,$B$8)*INDEX('Вводные'!$AG$88:$AG$91,$B$8)*(1+'Вводные'!$K$34)^MAX(0,MIN((12*(YEAR(AL$3)-YEAR($B$11))+MONTH(AL$3)-MONTH($B$11)),(12*(YEAR($B$10)-YEAR($B$11))+MONTH($B$10)-MONTH($B$11))))*(1+'Вводные'!$K$35)^MAX(0,(12*(YEAR(AL$3)-YEAR($B$10))+MONTH(AL$3)-MONTH($B$10))))</x:f>
      </x:c>
      <x:c r="AM23" s="107" t="n">
        <x:f>IF(AM22=0,0,'Вводные'!$K$31*'Вводные'!$H$5*INDEX('Вводные'!$S$88:$S$91,$B$8)*INDEX('Вводные'!$AG$88:$AG$91,$B$8)*(1+'Вводные'!$K$34)^MAX(0,MIN((12*(YEAR(AM$3)-YEAR($B$11))+MONTH(AM$3)-MONTH($B$11)),(12*(YEAR($B$10)-YEAR($B$11))+MONTH($B$10)-MONTH($B$11))))*(1+'Вводные'!$K$35)^MAX(0,(12*(YEAR(AM$3)-YEAR($B$10))+MONTH(AM$3)-MONTH($B$10))))</x:f>
      </x:c>
      <x:c r="AN23" s="107" t="n">
        <x:f>IF(AN22=0,0,'Вводные'!$K$31*'Вводные'!$H$5*INDEX('Вводные'!$S$88:$S$91,$B$8)*INDEX('Вводные'!$AG$88:$AG$91,$B$8)*(1+'Вводные'!$K$34)^MAX(0,MIN((12*(YEAR(AN$3)-YEAR($B$11))+MONTH(AN$3)-MONTH($B$11)),(12*(YEAR($B$10)-YEAR($B$11))+MONTH($B$10)-MONTH($B$11))))*(1+'Вводные'!$K$35)^MAX(0,(12*(YEAR(AN$3)-YEAR($B$10))+MONTH(AN$3)-MONTH($B$10))))</x:f>
      </x:c>
      <x:c r="AO23" s="107" t="n">
        <x:f>IF(AO22=0,0,'Вводные'!$K$31*'Вводные'!$H$5*INDEX('Вводные'!$S$88:$S$91,$B$8)*INDEX('Вводные'!$AG$88:$AG$91,$B$8)*(1+'Вводные'!$K$34)^MAX(0,MIN((12*(YEAR(AO$3)-YEAR($B$11))+MONTH(AO$3)-MONTH($B$11)),(12*(YEAR($B$10)-YEAR($B$11))+MONTH($B$10)-MONTH($B$11))))*(1+'Вводные'!$K$35)^MAX(0,(12*(YEAR(AO$3)-YEAR($B$10))+MONTH(AO$3)-MONTH($B$10))))</x:f>
      </x:c>
      <x:c r="AP23" s="107" t="n">
        <x:f>IF(AP22=0,0,'Вводные'!$K$31*'Вводные'!$H$5*INDEX('Вводные'!$S$88:$S$91,$B$8)*INDEX('Вводные'!$AG$88:$AG$91,$B$8)*(1+'Вводные'!$K$34)^MAX(0,MIN((12*(YEAR(AP$3)-YEAR($B$11))+MONTH(AP$3)-MONTH($B$11)),(12*(YEAR($B$10)-YEAR($B$11))+MONTH($B$10)-MONTH($B$11))))*(1+'Вводные'!$K$35)^MAX(0,(12*(YEAR(AP$3)-YEAR($B$10))+MONTH(AP$3)-MONTH($B$10))))</x:f>
      </x:c>
      <x:c r="AQ23" s="107" t="n">
        <x:f>IF(AQ22=0,0,'Вводные'!$K$31*'Вводные'!$H$5*INDEX('Вводные'!$S$88:$S$91,$B$8)*INDEX('Вводные'!$AG$88:$AG$91,$B$8)*(1+'Вводные'!$K$34)^MAX(0,MIN((12*(YEAR(AQ$3)-YEAR($B$11))+MONTH(AQ$3)-MONTH($B$11)),(12*(YEAR($B$10)-YEAR($B$11))+MONTH($B$10)-MONTH($B$11))))*(1+'Вводные'!$K$35)^MAX(0,(12*(YEAR(AQ$3)-YEAR($B$10))+MONTH(AQ$3)-MONTH($B$10))))</x:f>
      </x:c>
      <x:c r="AR23" s="107" t="n">
        <x:f>IF(AR22=0,0,'Вводные'!$K$31*'Вводные'!$H$5*INDEX('Вводные'!$S$88:$S$91,$B$8)*INDEX('Вводные'!$AG$88:$AG$91,$B$8)*(1+'Вводные'!$K$34)^MAX(0,MIN((12*(YEAR(AR$3)-YEAR($B$11))+MONTH(AR$3)-MONTH($B$11)),(12*(YEAR($B$10)-YEAR($B$11))+MONTH($B$10)-MONTH($B$11))))*(1+'Вводные'!$K$35)^MAX(0,(12*(YEAR(AR$3)-YEAR($B$10))+MONTH(AR$3)-MONTH($B$10))))</x:f>
      </x:c>
      <x:c r="AS23" s="107" t="n">
        <x:f>IF(AS22=0,0,'Вводные'!$K$31*'Вводные'!$H$5*INDEX('Вводные'!$S$88:$S$91,$B$8)*INDEX('Вводные'!$AG$88:$AG$91,$B$8)*(1+'Вводные'!$K$34)^MAX(0,MIN((12*(YEAR(AS$3)-YEAR($B$11))+MONTH(AS$3)-MONTH($B$11)),(12*(YEAR($B$10)-YEAR($B$11))+MONTH($B$10)-MONTH($B$11))))*(1+'Вводные'!$K$35)^MAX(0,(12*(YEAR(AS$3)-YEAR($B$10))+MONTH(AS$3)-MONTH($B$10))))</x:f>
      </x:c>
      <x:c r="AT23" s="107" t="n">
        <x:f>IF(AT22=0,0,'Вводные'!$K$31*'Вводные'!$H$5*INDEX('Вводные'!$S$88:$S$91,$B$8)*INDEX('Вводные'!$AG$88:$AG$91,$B$8)*(1+'Вводные'!$K$34)^MAX(0,MIN((12*(YEAR(AT$3)-YEAR($B$11))+MONTH(AT$3)-MONTH($B$11)),(12*(YEAR($B$10)-YEAR($B$11))+MONTH($B$10)-MONTH($B$11))))*(1+'Вводные'!$K$35)^MAX(0,(12*(YEAR(AT$3)-YEAR($B$10))+MONTH(AT$3)-MONTH($B$10))))</x:f>
      </x:c>
      <x:c r="AU23" s="107" t="n">
        <x:f>IF(AU22=0,0,'Вводные'!$K$31*'Вводные'!$H$5*INDEX('Вводные'!$S$88:$S$91,$B$8)*INDEX('Вводные'!$AG$88:$AG$91,$B$8)*(1+'Вводные'!$K$34)^MAX(0,MIN((12*(YEAR(AU$3)-YEAR($B$11))+MONTH(AU$3)-MONTH($B$11)),(12*(YEAR($B$10)-YEAR($B$11))+MONTH($B$10)-MONTH($B$11))))*(1+'Вводные'!$K$35)^MAX(0,(12*(YEAR(AU$3)-YEAR($B$10))+MONTH(AU$3)-MONTH($B$10))))</x:f>
      </x:c>
      <x:c r="AV23" s="107" t="n">
        <x:f>IF(AV22=0,0,'Вводные'!$K$31*'Вводные'!$H$5*INDEX('Вводные'!$S$88:$S$91,$B$8)*INDEX('Вводные'!$AG$88:$AG$91,$B$8)*(1+'Вводные'!$K$34)^MAX(0,MIN((12*(YEAR(AV$3)-YEAR($B$11))+MONTH(AV$3)-MONTH($B$11)),(12*(YEAR($B$10)-YEAR($B$11))+MONTH($B$10)-MONTH($B$11))))*(1+'Вводные'!$K$35)^MAX(0,(12*(YEAR(AV$3)-YEAR($B$10))+MONTH(AV$3)-MONTH($B$10))))</x:f>
      </x:c>
      <x:c r="AW23" s="107" t="n">
        <x:f>IF(AW22=0,0,'Вводные'!$K$31*'Вводные'!$H$5*INDEX('Вводные'!$S$88:$S$91,$B$8)*INDEX('Вводные'!$AG$88:$AG$91,$B$8)*(1+'Вводные'!$K$34)^MAX(0,MIN((12*(YEAR(AW$3)-YEAR($B$11))+MONTH(AW$3)-MONTH($B$11)),(12*(YEAR($B$10)-YEAR($B$11))+MONTH($B$10)-MONTH($B$11))))*(1+'Вводные'!$K$35)^MAX(0,(12*(YEAR(AW$3)-YEAR($B$10))+MONTH(AW$3)-MONTH($B$10))))</x:f>
      </x:c>
      <x:c r="AX23" s="107" t="n">
        <x:f>IF(AX22=0,0,'Вводные'!$K$31*'Вводные'!$H$5*INDEX('Вводные'!$S$88:$S$91,$B$8)*INDEX('Вводные'!$AG$88:$AG$91,$B$8)*(1+'Вводные'!$K$34)^MAX(0,MIN((12*(YEAR(AX$3)-YEAR($B$11))+MONTH(AX$3)-MONTH($B$11)),(12*(YEAR($B$10)-YEAR($B$11))+MONTH($B$10)-MONTH($B$11))))*(1+'Вводные'!$K$35)^MAX(0,(12*(YEAR(AX$3)-YEAR($B$10))+MONTH(AX$3)-MONTH($B$10))))</x:f>
      </x:c>
      <x:c r="AY23" s="107" t="n">
        <x:f>IF(AY22=0,0,'Вводные'!$K$31*'Вводные'!$H$5*INDEX('Вводные'!$S$88:$S$91,$B$8)*INDEX('Вводные'!$AG$88:$AG$91,$B$8)*(1+'Вводные'!$K$34)^MAX(0,MIN((12*(YEAR(AY$3)-YEAR($B$11))+MONTH(AY$3)-MONTH($B$11)),(12*(YEAR($B$10)-YEAR($B$11))+MONTH($B$10)-MONTH($B$11))))*(1+'Вводные'!$K$35)^MAX(0,(12*(YEAR(AY$3)-YEAR($B$10))+MONTH(AY$3)-MONTH($B$10))))</x:f>
      </x:c>
      <x:c r="AZ23" s="107" t="n">
        <x:f>IF(AZ22=0,0,'Вводные'!$K$31*'Вводные'!$H$5*INDEX('Вводные'!$S$88:$S$91,$B$8)*INDEX('Вводные'!$AG$88:$AG$91,$B$8)*(1+'Вводные'!$K$34)^MAX(0,MIN((12*(YEAR(AZ$3)-YEAR($B$11))+MONTH(AZ$3)-MONTH($B$11)),(12*(YEAR($B$10)-YEAR($B$11))+MONTH($B$10)-MONTH($B$11))))*(1+'Вводные'!$K$35)^MAX(0,(12*(YEAR(AZ$3)-YEAR($B$10))+MONTH(AZ$3)-MONTH($B$10))))</x:f>
      </x:c>
      <x:c r="BA23" s="107" t="n">
        <x:f>IF(BA22=0,0,'Вводные'!$K$31*'Вводные'!$H$5*INDEX('Вводные'!$S$88:$S$91,$B$8)*INDEX('Вводные'!$AG$88:$AG$91,$B$8)*(1+'Вводные'!$K$34)^MAX(0,MIN((12*(YEAR(BA$3)-YEAR($B$11))+MONTH(BA$3)-MONTH($B$11)),(12*(YEAR($B$10)-YEAR($B$11))+MONTH($B$10)-MONTH($B$11))))*(1+'Вводные'!$K$35)^MAX(0,(12*(YEAR(BA$3)-YEAR($B$10))+MONTH(BA$3)-MONTH($B$10))))</x:f>
      </x:c>
      <x:c r="BB23" s="107" t="n">
        <x:f>IF(BB22=0,0,'Вводные'!$K$31*'Вводные'!$H$5*INDEX('Вводные'!$S$88:$S$91,$B$8)*INDEX('Вводные'!$AG$88:$AG$91,$B$8)*(1+'Вводные'!$K$34)^MAX(0,MIN((12*(YEAR(BB$3)-YEAR($B$11))+MONTH(BB$3)-MONTH($B$11)),(12*(YEAR($B$10)-YEAR($B$11))+MONTH($B$10)-MONTH($B$11))))*(1+'Вводные'!$K$35)^MAX(0,(12*(YEAR(BB$3)-YEAR($B$10))+MONTH(BB$3)-MONTH($B$10))))</x:f>
      </x:c>
      <x:c r="BC23" s="107" t="n">
        <x:f>IF(BC22=0,0,'Вводные'!$K$31*'Вводные'!$H$5*INDEX('Вводные'!$S$88:$S$91,$B$8)*INDEX('Вводные'!$AG$88:$AG$91,$B$8)*(1+'Вводные'!$K$34)^MAX(0,MIN((12*(YEAR(BC$3)-YEAR($B$11))+MONTH(BC$3)-MONTH($B$11)),(12*(YEAR($B$10)-YEAR($B$11))+MONTH($B$10)-MONTH($B$11))))*(1+'Вводные'!$K$35)^MAX(0,(12*(YEAR(BC$3)-YEAR($B$10))+MONTH(BC$3)-MONTH($B$10))))</x:f>
      </x:c>
      <x:c r="BD23" s="107" t="n">
        <x:f>IF(BD22=0,0,'Вводные'!$K$31*'Вводные'!$H$5*INDEX('Вводные'!$S$88:$S$91,$B$8)*INDEX('Вводные'!$AG$88:$AG$91,$B$8)*(1+'Вводные'!$K$34)^MAX(0,MIN((12*(YEAR(BD$3)-YEAR($B$11))+MONTH(BD$3)-MONTH($B$11)),(12*(YEAR($B$10)-YEAR($B$11))+MONTH($B$10)-MONTH($B$11))))*(1+'Вводные'!$K$35)^MAX(0,(12*(YEAR(BD$3)-YEAR($B$10))+MONTH(BD$3)-MONTH($B$10))))</x:f>
      </x:c>
      <x:c r="BE23" s="107" t="n">
        <x:f>IF(BE22=0,0,'Вводные'!$K$31*'Вводные'!$H$5*INDEX('Вводные'!$S$88:$S$91,$B$8)*INDEX('Вводные'!$AG$88:$AG$91,$B$8)*(1+'Вводные'!$K$34)^MAX(0,MIN((12*(YEAR(BE$3)-YEAR($B$11))+MONTH(BE$3)-MONTH($B$11)),(12*(YEAR($B$10)-YEAR($B$11))+MONTH($B$10)-MONTH($B$11))))*(1+'Вводные'!$K$35)^MAX(0,(12*(YEAR(BE$3)-YEAR($B$10))+MONTH(BE$3)-MONTH($B$10))))</x:f>
      </x:c>
      <x:c r="BF23" s="107" t="n">
        <x:f>IF(BF22=0,0,'Вводные'!$K$31*'Вводные'!$H$5*INDEX('Вводные'!$S$88:$S$91,$B$8)*INDEX('Вводные'!$AG$88:$AG$91,$B$8)*(1+'Вводные'!$K$34)^MAX(0,MIN((12*(YEAR(BF$3)-YEAR($B$11))+MONTH(BF$3)-MONTH($B$11)),(12*(YEAR($B$10)-YEAR($B$11))+MONTH($B$10)-MONTH($B$11))))*(1+'Вводные'!$K$35)^MAX(0,(12*(YEAR(BF$3)-YEAR($B$10))+MONTH(BF$3)-MONTH($B$10))))</x:f>
      </x:c>
      <x:c r="BG23" s="107" t="n">
        <x:f>IF(BG22=0,0,'Вводные'!$K$31*'Вводные'!$H$5*INDEX('Вводные'!$S$88:$S$91,$B$8)*INDEX('Вводные'!$AG$88:$AG$91,$B$8)*(1+'Вводные'!$K$34)^MAX(0,MIN((12*(YEAR(BG$3)-YEAR($B$11))+MONTH(BG$3)-MONTH($B$11)),(12*(YEAR($B$10)-YEAR($B$11))+MONTH($B$10)-MONTH($B$11))))*(1+'Вводные'!$K$35)^MAX(0,(12*(YEAR(BG$3)-YEAR($B$10))+MONTH(BG$3)-MONTH($B$10))))</x:f>
      </x:c>
      <x:c r="BH23" s="107" t="n">
        <x:f>IF(BH22=0,0,'Вводные'!$K$31*'Вводные'!$H$5*INDEX('Вводные'!$S$88:$S$91,$B$8)*INDEX('Вводные'!$AG$88:$AG$91,$B$8)*(1+'Вводные'!$K$34)^MAX(0,MIN((12*(YEAR(BH$3)-YEAR($B$11))+MONTH(BH$3)-MONTH($B$11)),(12*(YEAR($B$10)-YEAR($B$11))+MONTH($B$10)-MONTH($B$11))))*(1+'Вводные'!$K$35)^MAX(0,(12*(YEAR(BH$3)-YEAR($B$10))+MONTH(BH$3)-MONTH($B$10))))</x:f>
      </x:c>
      <x:c r="BI23" s="107" t="n">
        <x:f>IF(BI22=0,0,'Вводные'!$K$31*'Вводные'!$H$5*INDEX('Вводные'!$S$88:$S$91,$B$8)*INDEX('Вводные'!$AG$88:$AG$91,$B$8)*(1+'Вводные'!$K$34)^MAX(0,MIN((12*(YEAR(BI$3)-YEAR($B$11))+MONTH(BI$3)-MONTH($B$11)),(12*(YEAR($B$10)-YEAR($B$11))+MONTH($B$10)-MONTH($B$11))))*(1+'Вводные'!$K$35)^MAX(0,(12*(YEAR(BI$3)-YEAR($B$10))+MONTH(BI$3)-MONTH($B$10))))</x:f>
      </x:c>
      <x:c r="BJ23" s="107" t="n">
        <x:f>IF(BJ22=0,0,'Вводные'!$K$31*'Вводные'!$H$5*INDEX('Вводные'!$S$88:$S$91,$B$8)*INDEX('Вводные'!$AG$88:$AG$91,$B$8)*(1+'Вводные'!$K$34)^MAX(0,MIN((12*(YEAR(BJ$3)-YEAR($B$11))+MONTH(BJ$3)-MONTH($B$11)),(12*(YEAR($B$10)-YEAR($B$11))+MONTH($B$10)-MONTH($B$11))))*(1+'Вводные'!$K$35)^MAX(0,(12*(YEAR(BJ$3)-YEAR($B$10))+MONTH(BJ$3)-MONTH($B$10))))</x:f>
      </x:c>
      <x:c r="BK23" s="107" t="n">
        <x:f>IF(BK22=0,0,'Вводные'!$K$31*'Вводные'!$H$5*INDEX('Вводные'!$S$88:$S$91,$B$8)*INDEX('Вводные'!$AG$88:$AG$91,$B$8)*(1+'Вводные'!$K$34)^MAX(0,MIN((12*(YEAR(BK$3)-YEAR($B$11))+MONTH(BK$3)-MONTH($B$11)),(12*(YEAR($B$10)-YEAR($B$11))+MONTH($B$10)-MONTH($B$11))))*(1+'Вводные'!$K$35)^MAX(0,(12*(YEAR(BK$3)-YEAR($B$10))+MONTH(BK$3)-MONTH($B$10))))</x:f>
      </x:c>
      <x:c r="BL23" s="107" t="n">
        <x:f>IF(BL22=0,0,'Вводные'!$K$31*'Вводные'!$H$5*INDEX('Вводные'!$S$88:$S$91,$B$8)*INDEX('Вводные'!$AG$88:$AG$91,$B$8)*(1+'Вводные'!$K$34)^MAX(0,MIN((12*(YEAR(BL$3)-YEAR($B$11))+MONTH(BL$3)-MONTH($B$11)),(12*(YEAR($B$10)-YEAR($B$11))+MONTH($B$10)-MONTH($B$11))))*(1+'Вводные'!$K$35)^MAX(0,(12*(YEAR(BL$3)-YEAR($B$10))+MONTH(BL$3)-MONTH($B$10))))</x:f>
      </x:c>
      <x:c r="BM23" s="107" t="n">
        <x:f>IF(BM22=0,0,'Вводные'!$K$31*'Вводные'!$H$5*INDEX('Вводные'!$S$88:$S$91,$B$8)*INDEX('Вводные'!$AG$88:$AG$91,$B$8)*(1+'Вводные'!$K$34)^MAX(0,MIN((12*(YEAR(BM$3)-YEAR($B$11))+MONTH(BM$3)-MONTH($B$11)),(12*(YEAR($B$10)-YEAR($B$11))+MONTH($B$10)-MONTH($B$11))))*(1+'Вводные'!$K$35)^MAX(0,(12*(YEAR(BM$3)-YEAR($B$10))+MONTH(BM$3)-MONTH($B$10))))</x:f>
      </x:c>
      <x:c r="BN23" s="107" t="n">
        <x:f>IF(BN22=0,0,'Вводные'!$K$31*'Вводные'!$H$5*INDEX('Вводные'!$S$88:$S$91,$B$8)*INDEX('Вводные'!$AG$88:$AG$91,$B$8)*(1+'Вводные'!$K$34)^MAX(0,MIN((12*(YEAR(BN$3)-YEAR($B$11))+MONTH(BN$3)-MONTH($B$11)),(12*(YEAR($B$10)-YEAR($B$11))+MONTH($B$10)-MONTH($B$11))))*(1+'Вводные'!$K$35)^MAX(0,(12*(YEAR(BN$3)-YEAR($B$10))+MONTH(BN$3)-MONTH($B$10))))</x:f>
      </x:c>
      <x:c r="BO23" s="107" t="n">
        <x:f>IF(BO22=0,0,'Вводные'!$K$31*'Вводные'!$H$5*INDEX('Вводные'!$S$88:$S$91,$B$8)*INDEX('Вводные'!$AG$88:$AG$91,$B$8)*(1+'Вводные'!$K$34)^MAX(0,MIN((12*(YEAR(BO$3)-YEAR($B$11))+MONTH(BO$3)-MONTH($B$11)),(12*(YEAR($B$10)-YEAR($B$11))+MONTH($B$10)-MONTH($B$11))))*(1+'Вводные'!$K$35)^MAX(0,(12*(YEAR(BO$3)-YEAR($B$10))+MONTH(BO$3)-MONTH($B$10))))</x:f>
      </x:c>
      <x:c r="BP23" s="107" t="n">
        <x:f>IF(BP22=0,0,'Вводные'!$K$31*'Вводные'!$H$5*INDEX('Вводные'!$S$88:$S$91,$B$8)*INDEX('Вводные'!$AG$88:$AG$91,$B$8)*(1+'Вводные'!$K$34)^MAX(0,MIN((12*(YEAR(BP$3)-YEAR($B$11))+MONTH(BP$3)-MONTH($B$11)),(12*(YEAR($B$10)-YEAR($B$11))+MONTH($B$10)-MONTH($B$11))))*(1+'Вводные'!$K$35)^MAX(0,(12*(YEAR(BP$3)-YEAR($B$10))+MONTH(BP$3)-MONTH($B$10))))</x:f>
      </x:c>
      <x:c r="BQ23" s="107" t="n">
        <x:f>IF(BQ22=0,0,'Вводные'!$K$31*'Вводные'!$H$5*INDEX('Вводные'!$S$88:$S$91,$B$8)*INDEX('Вводные'!$AG$88:$AG$91,$B$8)*(1+'Вводные'!$K$34)^MAX(0,MIN((12*(YEAR(BQ$3)-YEAR($B$11))+MONTH(BQ$3)-MONTH($B$11)),(12*(YEAR($B$10)-YEAR($B$11))+MONTH($B$10)-MONTH($B$11))))*(1+'Вводные'!$K$35)^MAX(0,(12*(YEAR(BQ$3)-YEAR($B$10))+MONTH(BQ$3)-MONTH($B$10))))</x:f>
      </x:c>
      <x:c r="BR23" s="107" t="n">
        <x:f>IF(BR22=0,0,'Вводные'!$K$31*'Вводные'!$H$5*INDEX('Вводные'!$S$88:$S$91,$B$8)*INDEX('Вводные'!$AG$88:$AG$91,$B$8)*(1+'Вводные'!$K$34)^MAX(0,MIN((12*(YEAR(BR$3)-YEAR($B$11))+MONTH(BR$3)-MONTH($B$11)),(12*(YEAR($B$10)-YEAR($B$11))+MONTH($B$10)-MONTH($B$11))))*(1+'Вводные'!$K$35)^MAX(0,(12*(YEAR(BR$3)-YEAR($B$10))+MONTH(BR$3)-MONTH($B$10))))</x:f>
      </x:c>
      <x:c r="BS23" s="107" t="n">
        <x:f>IF(BS22=0,0,'Вводные'!$K$31*'Вводные'!$H$5*INDEX('Вводные'!$S$88:$S$91,$B$8)*INDEX('Вводные'!$AG$88:$AG$91,$B$8)*(1+'Вводные'!$K$34)^MAX(0,MIN((12*(YEAR(BS$3)-YEAR($B$11))+MONTH(BS$3)-MONTH($B$11)),(12*(YEAR($B$10)-YEAR($B$11))+MONTH($B$10)-MONTH($B$11))))*(1+'Вводные'!$K$35)^MAX(0,(12*(YEAR(BS$3)-YEAR($B$10))+MONTH(BS$3)-MONTH($B$10))))</x:f>
      </x:c>
      <x:c r="BT23" s="107" t="n">
        <x:f>IF(BT22=0,0,'Вводные'!$K$31*'Вводные'!$H$5*INDEX('Вводные'!$S$88:$S$91,$B$8)*INDEX('Вводные'!$AG$88:$AG$91,$B$8)*(1+'Вводные'!$K$34)^MAX(0,MIN((12*(YEAR(BT$3)-YEAR($B$11))+MONTH(BT$3)-MONTH($B$11)),(12*(YEAR($B$10)-YEAR($B$11))+MONTH($B$10)-MONTH($B$11))))*(1+'Вводные'!$K$35)^MAX(0,(12*(YEAR(BT$3)-YEAR($B$10))+MONTH(BT$3)-MONTH($B$10))))</x:f>
      </x:c>
      <x:c r="BU23" s="107" t="n">
        <x:f>IF(BU22=0,0,'Вводные'!$K$31*'Вводные'!$H$5*INDEX('Вводные'!$S$88:$S$91,$B$8)*INDEX('Вводные'!$AG$88:$AG$91,$B$8)*(1+'Вводные'!$K$34)^MAX(0,MIN((12*(YEAR(BU$3)-YEAR($B$11))+MONTH(BU$3)-MONTH($B$11)),(12*(YEAR($B$10)-YEAR($B$11))+MONTH($B$10)-MONTH($B$11))))*(1+'Вводные'!$K$35)^MAX(0,(12*(YEAR(BU$3)-YEAR($B$10))+MONTH(BU$3)-MONTH($B$10))))</x:f>
      </x:c>
      <x:c r="BV23" s="107" t="n">
        <x:f>IF(BV22=0,0,'Вводные'!$K$31*'Вводные'!$H$5*INDEX('Вводные'!$S$88:$S$91,$B$8)*INDEX('Вводные'!$AG$88:$AG$91,$B$8)*(1+'Вводные'!$K$34)^MAX(0,MIN((12*(YEAR(BV$3)-YEAR($B$11))+MONTH(BV$3)-MONTH($B$11)),(12*(YEAR($B$10)-YEAR($B$11))+MONTH($B$10)-MONTH($B$11))))*(1+'Вводные'!$K$35)^MAX(0,(12*(YEAR(BV$3)-YEAR($B$10))+MONTH(BV$3)-MONTH($B$10))))</x:f>
      </x:c>
      <x:c r="BW23" s="107" t="n">
        <x:f>IF(BW22=0,0,'Вводные'!$K$31*'Вводные'!$H$5*INDEX('Вводные'!$S$88:$S$91,$B$8)*INDEX('Вводные'!$AG$88:$AG$91,$B$8)*(1+'Вводные'!$K$34)^MAX(0,MIN((12*(YEAR(BW$3)-YEAR($B$11))+MONTH(BW$3)-MONTH($B$11)),(12*(YEAR($B$10)-YEAR($B$11))+MONTH($B$10)-MONTH($B$11))))*(1+'Вводные'!$K$35)^MAX(0,(12*(YEAR(BW$3)-YEAR($B$10))+MONTH(BW$3)-MONTH($B$10))))</x:f>
      </x:c>
      <x:c r="BX23" s="107" t="n">
        <x:f>IF(BX22=0,0,'Вводные'!$K$31*'Вводные'!$H$5*INDEX('Вводные'!$S$88:$S$91,$B$8)*INDEX('Вводные'!$AG$88:$AG$91,$B$8)*(1+'Вводные'!$K$34)^MAX(0,MIN((12*(YEAR(BX$3)-YEAR($B$11))+MONTH(BX$3)-MONTH($B$11)),(12*(YEAR($B$10)-YEAR($B$11))+MONTH($B$10)-MONTH($B$11))))*(1+'Вводные'!$K$35)^MAX(0,(12*(YEAR(BX$3)-YEAR($B$10))+MONTH(BX$3)-MONTH($B$10))))</x:f>
      </x:c>
      <x:c r="BY23" s="107" t="n">
        <x:f>IF(BY22=0,0,'Вводные'!$K$31*'Вводные'!$H$5*INDEX('Вводные'!$S$88:$S$91,$B$8)*INDEX('Вводные'!$AG$88:$AG$91,$B$8)*(1+'Вводные'!$K$34)^MAX(0,MIN((12*(YEAR(BY$3)-YEAR($B$11))+MONTH(BY$3)-MONTH($B$11)),(12*(YEAR($B$10)-YEAR($B$11))+MONTH($B$10)-MONTH($B$11))))*(1+'Вводные'!$K$35)^MAX(0,(12*(YEAR(BY$3)-YEAR($B$10))+MONTH(BY$3)-MONTH($B$10))))</x:f>
      </x:c>
      <x:c r="BZ23" s="107" t="n">
        <x:f>IF(BZ22=0,0,'Вводные'!$K$31*'Вводные'!$H$5*INDEX('Вводные'!$S$88:$S$91,$B$8)*INDEX('Вводные'!$AG$88:$AG$91,$B$8)*(1+'Вводные'!$K$34)^MAX(0,MIN((12*(YEAR(BZ$3)-YEAR($B$11))+MONTH(BZ$3)-MONTH($B$11)),(12*(YEAR($B$10)-YEAR($B$11))+MONTH($B$10)-MONTH($B$11))))*(1+'Вводные'!$K$35)^MAX(0,(12*(YEAR(BZ$3)-YEAR($B$10))+MONTH(BZ$3)-MONTH($B$10))))</x:f>
      </x:c>
      <x:c r="CA23" s="107" t="n">
        <x:f>IF(CA22=0,0,'Вводные'!$K$31*'Вводные'!$H$5*INDEX('Вводные'!$S$88:$S$91,$B$8)*INDEX('Вводные'!$AG$88:$AG$91,$B$8)*(1+'Вводные'!$K$34)^MAX(0,MIN((12*(YEAR(CA$3)-YEAR($B$11))+MONTH(CA$3)-MONTH($B$11)),(12*(YEAR($B$10)-YEAR($B$11))+MONTH($B$10)-MONTH($B$11))))*(1+'Вводные'!$K$35)^MAX(0,(12*(YEAR(CA$3)-YEAR($B$10))+MONTH(CA$3)-MONTH($B$10))))</x:f>
      </x:c>
      <x:c r="CB23" s="107" t="n">
        <x:f>IF(CB22=0,0,'Вводные'!$K$31*'Вводные'!$H$5*INDEX('Вводные'!$S$88:$S$91,$B$8)*INDEX('Вводные'!$AG$88:$AG$91,$B$8)*(1+'Вводные'!$K$34)^MAX(0,MIN((12*(YEAR(CB$3)-YEAR($B$11))+MONTH(CB$3)-MONTH($B$11)),(12*(YEAR($B$10)-YEAR($B$11))+MONTH($B$10)-MONTH($B$11))))*(1+'Вводные'!$K$35)^MAX(0,(12*(YEAR(CB$3)-YEAR($B$10))+MONTH(CB$3)-MONTH($B$10))))</x:f>
      </x:c>
      <x:c r="CC23" s="107" t="n">
        <x:f>IF(CC22=0,0,'Вводные'!$K$31*'Вводные'!$H$5*INDEX('Вводные'!$S$88:$S$91,$B$8)*INDEX('Вводные'!$AG$88:$AG$91,$B$8)*(1+'Вводные'!$K$34)^MAX(0,MIN((12*(YEAR(CC$3)-YEAR($B$11))+MONTH(CC$3)-MONTH($B$11)),(12*(YEAR($B$10)-YEAR($B$11))+MONTH($B$10)-MONTH($B$11))))*(1+'Вводные'!$K$35)^MAX(0,(12*(YEAR(CC$3)-YEAR($B$10))+MONTH(CC$3)-MONTH($B$10))))</x:f>
      </x:c>
      <x:c r="CD23" s="107" t="n">
        <x:f>IF(CD22=0,0,'Вводные'!$K$31*'Вводные'!$H$5*INDEX('Вводные'!$S$88:$S$91,$B$8)*INDEX('Вводные'!$AG$88:$AG$91,$B$8)*(1+'Вводные'!$K$34)^MAX(0,MIN((12*(YEAR(CD$3)-YEAR($B$11))+MONTH(CD$3)-MONTH($B$11)),(12*(YEAR($B$10)-YEAR($B$11))+MONTH($B$10)-MONTH($B$11))))*(1+'Вводные'!$K$35)^MAX(0,(12*(YEAR(CD$3)-YEAR($B$10))+MONTH(CD$3)-MONTH($B$10))))</x:f>
      </x:c>
      <x:c r="CE23" s="107" t="n">
        <x:f>IF(CE22=0,0,'Вводные'!$K$31*'Вводные'!$H$5*INDEX('Вводные'!$S$88:$S$91,$B$8)*INDEX('Вводные'!$AG$88:$AG$91,$B$8)*(1+'Вводные'!$K$34)^MAX(0,MIN((12*(YEAR(CE$3)-YEAR($B$11))+MONTH(CE$3)-MONTH($B$11)),(12*(YEAR($B$10)-YEAR($B$11))+MONTH($B$10)-MONTH($B$11))))*(1+'Вводные'!$K$35)^MAX(0,(12*(YEAR(CE$3)-YEAR($B$10))+MONTH(CE$3)-MONTH($B$10))))</x:f>
      </x:c>
      <x:c r="CF23" s="107" t="n">
        <x:f>IF(CF22=0,0,'Вводные'!$K$31*'Вводные'!$H$5*INDEX('Вводные'!$S$88:$S$91,$B$8)*INDEX('Вводные'!$AG$88:$AG$91,$B$8)*(1+'Вводные'!$K$34)^MAX(0,MIN((12*(YEAR(CF$3)-YEAR($B$11))+MONTH(CF$3)-MONTH($B$11)),(12*(YEAR($B$10)-YEAR($B$11))+MONTH($B$10)-MONTH($B$11))))*(1+'Вводные'!$K$35)^MAX(0,(12*(YEAR(CF$3)-YEAR($B$10))+MONTH(CF$3)-MONTH($B$10))))</x:f>
      </x:c>
      <x:c r="CG23" s="107" t="n">
        <x:f>IF(CG22=0,0,'Вводные'!$K$31*'Вводные'!$H$5*INDEX('Вводные'!$S$88:$S$91,$B$8)*INDEX('Вводные'!$AG$88:$AG$91,$B$8)*(1+'Вводные'!$K$34)^MAX(0,MIN((12*(YEAR(CG$3)-YEAR($B$11))+MONTH(CG$3)-MONTH($B$11)),(12*(YEAR($B$10)-YEAR($B$11))+MONTH($B$10)-MONTH($B$11))))*(1+'Вводные'!$K$35)^MAX(0,(12*(YEAR(CG$3)-YEAR($B$10))+MONTH(CG$3)-MONTH($B$10))))</x:f>
      </x:c>
      <x:c r="CH23" s="107" t="n">
        <x:f>IF(CH22=0,0,'Вводные'!$K$31*'Вводные'!$H$5*INDEX('Вводные'!$S$88:$S$91,$B$8)*INDEX('Вводные'!$AG$88:$AG$91,$B$8)*(1+'Вводные'!$K$34)^MAX(0,MIN((12*(YEAR(CH$3)-YEAR($B$11))+MONTH(CH$3)-MONTH($B$11)),(12*(YEAR($B$10)-YEAR($B$11))+MONTH($B$10)-MONTH($B$11))))*(1+'Вводные'!$K$35)^MAX(0,(12*(YEAR(CH$3)-YEAR($B$10))+MONTH(CH$3)-MONTH($B$10))))</x:f>
      </x:c>
      <x:c r="CI23" s="107" t="n">
        <x:f>IF(CI22=0,0,'Вводные'!$K$31*'Вводные'!$H$5*INDEX('Вводные'!$S$88:$S$91,$B$8)*INDEX('Вводные'!$AG$88:$AG$91,$B$8)*(1+'Вводные'!$K$34)^MAX(0,MIN((12*(YEAR(CI$3)-YEAR($B$11))+MONTH(CI$3)-MONTH($B$11)),(12*(YEAR($B$10)-YEAR($B$11))+MONTH($B$10)-MONTH($B$11))))*(1+'Вводные'!$K$35)^MAX(0,(12*(YEAR(CI$3)-YEAR($B$10))+MONTH(CI$3)-MONTH($B$10))))</x:f>
      </x:c>
      <x:c r="CJ23" s="107" t="n">
        <x:f>IF(CJ22=0,0,'Вводные'!$K$31*'Вводные'!$H$5*INDEX('Вводные'!$S$88:$S$91,$B$8)*INDEX('Вводные'!$AG$88:$AG$91,$B$8)*(1+'Вводные'!$K$34)^MAX(0,MIN((12*(YEAR(CJ$3)-YEAR($B$11))+MONTH(CJ$3)-MONTH($B$11)),(12*(YEAR($B$10)-YEAR($B$11))+MONTH($B$10)-MONTH($B$11))))*(1+'Вводные'!$K$35)^MAX(0,(12*(YEAR(CJ$3)-YEAR($B$10))+MONTH(CJ$3)-MONTH($B$10))))</x:f>
      </x:c>
      <x:c r="CK23" s="107" t="n">
        <x:f>IF(CK22=0,0,'Вводные'!$K$31*'Вводные'!$H$5*INDEX('Вводные'!$S$88:$S$91,$B$8)*INDEX('Вводные'!$AG$88:$AG$91,$B$8)*(1+'Вводные'!$K$34)^MAX(0,MIN((12*(YEAR(CK$3)-YEAR($B$11))+MONTH(CK$3)-MONTH($B$11)),(12*(YEAR($B$10)-YEAR($B$11))+MONTH($B$10)-MONTH($B$11))))*(1+'Вводные'!$K$35)^MAX(0,(12*(YEAR(CK$3)-YEAR($B$10))+MONTH(CK$3)-MONTH($B$10))))</x:f>
      </x:c>
      <x:c r="CL23" s="107" t="n">
        <x:f>IF(CL22=0,0,'Вводные'!$K$31*'Вводные'!$H$5*INDEX('Вводные'!$S$88:$S$91,$B$8)*INDEX('Вводные'!$AG$88:$AG$91,$B$8)*(1+'Вводные'!$K$34)^MAX(0,MIN((12*(YEAR(CL$3)-YEAR($B$11))+MONTH(CL$3)-MONTH($B$11)),(12*(YEAR($B$10)-YEAR($B$11))+MONTH($B$10)-MONTH($B$11))))*(1+'Вводные'!$K$35)^MAX(0,(12*(YEAR(CL$3)-YEAR($B$10))+MONTH(CL$3)-MONTH($B$10))))</x:f>
      </x:c>
      <x:c r="CM23" s="107" t="n">
        <x:f>IF(CM22=0,0,'Вводные'!$K$31*'Вводные'!$H$5*INDEX('Вводные'!$S$88:$S$91,$B$8)*INDEX('Вводные'!$AG$88:$AG$91,$B$8)*(1+'Вводные'!$K$34)^MAX(0,MIN((12*(YEAR(CM$3)-YEAR($B$11))+MONTH(CM$3)-MONTH($B$11)),(12*(YEAR($B$10)-YEAR($B$11))+MONTH($B$10)-MONTH($B$11))))*(1+'Вводные'!$K$35)^MAX(0,(12*(YEAR(CM$3)-YEAR($B$10))+MONTH(CM$3)-MONTH($B$10))))</x:f>
      </x:c>
      <x:c r="CN23" s="107" t="n">
        <x:f>IF(CN22=0,0,'Вводные'!$K$31*'Вводные'!$H$5*INDEX('Вводные'!$S$88:$S$91,$B$8)*INDEX('Вводные'!$AG$88:$AG$91,$B$8)*(1+'Вводные'!$K$34)^MAX(0,MIN((12*(YEAR(CN$3)-YEAR($B$11))+MONTH(CN$3)-MONTH($B$11)),(12*(YEAR($B$10)-YEAR($B$11))+MONTH($B$10)-MONTH($B$11))))*(1+'Вводные'!$K$35)^MAX(0,(12*(YEAR(CN$3)-YEAR($B$10))+MONTH(CN$3)-MONTH($B$10))))</x:f>
      </x:c>
      <x:c r="CO23" s="107" t="n">
        <x:f>IF(CO22=0,0,'Вводные'!$K$31*'Вводные'!$H$5*INDEX('Вводные'!$S$88:$S$91,$B$8)*INDEX('Вводные'!$AG$88:$AG$91,$B$8)*(1+'Вводные'!$K$34)^MAX(0,MIN((12*(YEAR(CO$3)-YEAR($B$11))+MONTH(CO$3)-MONTH($B$11)),(12*(YEAR($B$10)-YEAR($B$11))+MONTH($B$10)-MONTH($B$11))))*(1+'Вводные'!$K$35)^MAX(0,(12*(YEAR(CO$3)-YEAR($B$10))+MONTH(CO$3)-MONTH($B$10))))</x:f>
      </x:c>
      <x:c r="CP23" s="107" t="n">
        <x:f>IF(CP22=0,0,'Вводные'!$K$31*'Вводные'!$H$5*INDEX('Вводные'!$S$88:$S$91,$B$8)*INDEX('Вводные'!$AG$88:$AG$91,$B$8)*(1+'Вводные'!$K$34)^MAX(0,MIN((12*(YEAR(CP$3)-YEAR($B$11))+MONTH(CP$3)-MONTH($B$11)),(12*(YEAR($B$10)-YEAR($B$11))+MONTH($B$10)-MONTH($B$11))))*(1+'Вводные'!$K$35)^MAX(0,(12*(YEAR(CP$3)-YEAR($B$10))+MONTH(CP$3)-MONTH($B$10))))</x:f>
      </x:c>
      <x:c r="CQ23" s="107" t="n">
        <x:f>IF(CQ22=0,0,'Вводные'!$K$31*'Вводные'!$H$5*INDEX('Вводные'!$S$88:$S$91,$B$8)*INDEX('Вводные'!$AG$88:$AG$91,$B$8)*(1+'Вводные'!$K$34)^MAX(0,MIN((12*(YEAR(CQ$3)-YEAR($B$11))+MONTH(CQ$3)-MONTH($B$11)),(12*(YEAR($B$10)-YEAR($B$11))+MONTH($B$10)-MONTH($B$11))))*(1+'Вводные'!$K$35)^MAX(0,(12*(YEAR(CQ$3)-YEAR($B$10))+MONTH(CQ$3)-MONTH($B$10))))</x:f>
      </x:c>
      <x:c r="CR23" s="107" t="n">
        <x:f>IF(CR22=0,0,'Вводные'!$K$31*'Вводные'!$H$5*INDEX('Вводные'!$S$88:$S$91,$B$8)*INDEX('Вводные'!$AG$88:$AG$91,$B$8)*(1+'Вводные'!$K$34)^MAX(0,MIN((12*(YEAR(CR$3)-YEAR($B$11))+MONTH(CR$3)-MONTH($B$11)),(12*(YEAR($B$10)-YEAR($B$11))+MONTH($B$10)-MONTH($B$11))))*(1+'Вводные'!$K$35)^MAX(0,(12*(YEAR(CR$3)-YEAR($B$10))+MONTH(CR$3)-MONTH($B$10))))</x:f>
      </x:c>
      <x:c r="CS23" s="107" t="n">
        <x:f>IF(CS22=0,0,'Вводные'!$K$31*'Вводные'!$H$5*INDEX('Вводные'!$S$88:$S$91,$B$8)*INDEX('Вводные'!$AG$88:$AG$91,$B$8)*(1+'Вводные'!$K$34)^MAX(0,MIN((12*(YEAR(CS$3)-YEAR($B$11))+MONTH(CS$3)-MONTH($B$11)),(12*(YEAR($B$10)-YEAR($B$11))+MONTH($B$10)-MONTH($B$11))))*(1+'Вводные'!$K$35)^MAX(0,(12*(YEAR(CS$3)-YEAR($B$10))+MONTH(CS$3)-MONTH($B$10))))</x:f>
      </x:c>
      <x:c r="CT23" s="107" t="n">
        <x:f>IF(CT22=0,0,'Вводные'!$K$31*'Вводные'!$H$5*INDEX('Вводные'!$S$88:$S$91,$B$8)*INDEX('Вводные'!$AG$88:$AG$91,$B$8)*(1+'Вводные'!$K$34)^MAX(0,MIN((12*(YEAR(CT$3)-YEAR($B$11))+MONTH(CT$3)-MONTH($B$11)),(12*(YEAR($B$10)-YEAR($B$11))+MONTH($B$10)-MONTH($B$11))))*(1+'Вводные'!$K$35)^MAX(0,(12*(YEAR(CT$3)-YEAR($B$10))+MONTH(CT$3)-MONTH($B$10))))</x:f>
      </x:c>
      <x:c r="CU23" s="107" t="n">
        <x:f>IF(CU22=0,0,'Вводные'!$K$31*'Вводные'!$H$5*INDEX('Вводные'!$S$88:$S$91,$B$8)*INDEX('Вводные'!$AG$88:$AG$91,$B$8)*(1+'Вводные'!$K$34)^MAX(0,MIN((12*(YEAR(CU$3)-YEAR($B$11))+MONTH(CU$3)-MONTH($B$11)),(12*(YEAR($B$10)-YEAR($B$11))+MONTH($B$10)-MONTH($B$11))))*(1+'Вводные'!$K$35)^MAX(0,(12*(YEAR(CU$3)-YEAR($B$10))+MONTH(CU$3)-MONTH($B$10))))</x:f>
      </x:c>
      <x:c r="CV23" s="107" t="n">
        <x:f>IF(CV22=0,0,'Вводные'!$K$31*'Вводные'!$H$5*INDEX('Вводные'!$S$88:$S$91,$B$8)*INDEX('Вводные'!$AG$88:$AG$91,$B$8)*(1+'Вводные'!$K$34)^MAX(0,MIN((12*(YEAR(CV$3)-YEAR($B$11))+MONTH(CV$3)-MONTH($B$11)),(12*(YEAR($B$10)-YEAR($B$11))+MONTH($B$10)-MONTH($B$11))))*(1+'Вводные'!$K$35)^MAX(0,(12*(YEAR(CV$3)-YEAR($B$10))+MONTH(CV$3)-MONTH($B$10))))</x:f>
      </x:c>
      <x:c r="CW23" s="107" t="n">
        <x:f>IF(CW22=0,0,'Вводные'!$K$31*'Вводные'!$H$5*INDEX('Вводные'!$S$88:$S$91,$B$8)*INDEX('Вводные'!$AG$88:$AG$91,$B$8)*(1+'Вводные'!$K$34)^MAX(0,MIN((12*(YEAR(CW$3)-YEAR($B$11))+MONTH(CW$3)-MONTH($B$11)),(12*(YEAR($B$10)-YEAR($B$11))+MONTH($B$10)-MONTH($B$11))))*(1+'Вводные'!$K$35)^MAX(0,(12*(YEAR(CW$3)-YEAR($B$10))+MONTH(CW$3)-MONTH($B$10))))</x:f>
      </x:c>
      <x:c r="CX23" s="107" t="n">
        <x:f>IF(CX22=0,0,'Вводные'!$K$31*'Вводные'!$H$5*INDEX('Вводные'!$S$88:$S$91,$B$8)*INDEX('Вводные'!$AG$88:$AG$91,$B$8)*(1+'Вводные'!$K$34)^MAX(0,MIN((12*(YEAR(CX$3)-YEAR($B$11))+MONTH(CX$3)-MONTH($B$11)),(12*(YEAR($B$10)-YEAR($B$11))+MONTH($B$10)-MONTH($B$11))))*(1+'Вводные'!$K$35)^MAX(0,(12*(YEAR(CX$3)-YEAR($B$10))+MONTH(CX$3)-MONTH($B$10))))</x:f>
      </x:c>
      <x:c r="CY23" s="107" t="n">
        <x:f>IF(CY22=0,0,'Вводные'!$K$31*'Вводные'!$H$5*INDEX('Вводные'!$S$88:$S$91,$B$8)*INDEX('Вводные'!$AG$88:$AG$91,$B$8)*(1+'Вводные'!$K$34)^MAX(0,MIN((12*(YEAR(CY$3)-YEAR($B$11))+MONTH(CY$3)-MONTH($B$11)),(12*(YEAR($B$10)-YEAR($B$11))+MONTH($B$10)-MONTH($B$11))))*(1+'Вводные'!$K$35)^MAX(0,(12*(YEAR(CY$3)-YEAR($B$10))+MONTH(CY$3)-MONTH($B$10))))</x:f>
      </x:c>
      <x:c r="CZ23" s="107" t="n">
        <x:f>IF(CZ22=0,0,'Вводные'!$K$31*'Вводные'!$H$5*INDEX('Вводные'!$S$88:$S$91,$B$8)*INDEX('Вводные'!$AG$88:$AG$91,$B$8)*(1+'Вводные'!$K$34)^MAX(0,MIN((12*(YEAR(CZ$3)-YEAR($B$11))+MONTH(CZ$3)-MONTH($B$11)),(12*(YEAR($B$10)-YEAR($B$11))+MONTH($B$10)-MONTH($B$11))))*(1+'Вводные'!$K$35)^MAX(0,(12*(YEAR(CZ$3)-YEAR($B$10))+MONTH(CZ$3)-MONTH($B$10))))</x:f>
      </x:c>
      <x:c r="DA23" s="107" t="n">
        <x:f>IF(DA22=0,0,'Вводные'!$K$31*'Вводные'!$H$5*INDEX('Вводные'!$S$88:$S$91,$B$8)*INDEX('Вводные'!$AG$88:$AG$91,$B$8)*(1+'Вводные'!$K$34)^MAX(0,MIN((12*(YEAR(DA$3)-YEAR($B$11))+MONTH(DA$3)-MONTH($B$11)),(12*(YEAR($B$10)-YEAR($B$11))+MONTH($B$10)-MONTH($B$11))))*(1+'Вводные'!$K$35)^MAX(0,(12*(YEAR(DA$3)-YEAR($B$10))+MONTH(DA$3)-MONTH($B$10))))</x:f>
      </x:c>
      <x:c r="DB23" s="107" t="n">
        <x:f>IF(DB22=0,0,'Вводные'!$K$31*'Вводные'!$H$5*INDEX('Вводные'!$S$88:$S$91,$B$8)*INDEX('Вводные'!$AG$88:$AG$91,$B$8)*(1+'Вводные'!$K$34)^MAX(0,MIN((12*(YEAR(DB$3)-YEAR($B$11))+MONTH(DB$3)-MONTH($B$11)),(12*(YEAR($B$10)-YEAR($B$11))+MONTH($B$10)-MONTH($B$11))))*(1+'Вводные'!$K$35)^MAX(0,(12*(YEAR(DB$3)-YEAR($B$10))+MONTH(DB$3)-MONTH($B$10))))</x:f>
      </x:c>
      <x:c r="DC23" s="107" t="n">
        <x:f>IF(DC22=0,0,'Вводные'!$K$31*'Вводные'!$H$5*INDEX('Вводные'!$S$88:$S$91,$B$8)*INDEX('Вводные'!$AG$88:$AG$91,$B$8)*(1+'Вводные'!$K$34)^MAX(0,MIN((12*(YEAR(DC$3)-YEAR($B$11))+MONTH(DC$3)-MONTH($B$11)),(12*(YEAR($B$10)-YEAR($B$11))+MONTH($B$10)-MONTH($B$11))))*(1+'Вводные'!$K$35)^MAX(0,(12*(YEAR(DC$3)-YEAR($B$10))+MONTH(DC$3)-MONTH($B$10))))</x:f>
      </x:c>
      <x:c r="DD23" s="107" t="n">
        <x:f>IF(DD22=0,0,'Вводные'!$K$31*'Вводные'!$H$5*INDEX('Вводные'!$S$88:$S$91,$B$8)*INDEX('Вводные'!$AG$88:$AG$91,$B$8)*(1+'Вводные'!$K$34)^MAX(0,MIN((12*(YEAR(DD$3)-YEAR($B$11))+MONTH(DD$3)-MONTH($B$11)),(12*(YEAR($B$10)-YEAR($B$11))+MONTH($B$10)-MONTH($B$11))))*(1+'Вводные'!$K$35)^MAX(0,(12*(YEAR(DD$3)-YEAR($B$10))+MONTH(DD$3)-MONTH($B$10))))</x:f>
      </x:c>
      <x:c r="DE23" s="107" t="n">
        <x:f>IF(DE22=0,0,'Вводные'!$K$31*'Вводные'!$H$5*INDEX('Вводные'!$S$88:$S$91,$B$8)*INDEX('Вводные'!$AG$88:$AG$91,$B$8)*(1+'Вводные'!$K$34)^MAX(0,MIN((12*(YEAR(DE$3)-YEAR($B$11))+MONTH(DE$3)-MONTH($B$11)),(12*(YEAR($B$10)-YEAR($B$11))+MONTH($B$10)-MONTH($B$11))))*(1+'Вводные'!$K$35)^MAX(0,(12*(YEAR(DE$3)-YEAR($B$10))+MONTH(DE$3)-MONTH($B$10))))</x:f>
      </x:c>
      <x:c r="DF23" s="107" t="n">
        <x:f>IF(DF22=0,0,'Вводные'!$K$31*'Вводные'!$H$5*INDEX('Вводные'!$S$88:$S$91,$B$8)*INDEX('Вводные'!$AG$88:$AG$91,$B$8)*(1+'Вводные'!$K$34)^MAX(0,MIN((12*(YEAR(DF$3)-YEAR($B$11))+MONTH(DF$3)-MONTH($B$11)),(12*(YEAR($B$10)-YEAR($B$11))+MONTH($B$10)-MONTH($B$11))))*(1+'Вводные'!$K$35)^MAX(0,(12*(YEAR(DF$3)-YEAR($B$10))+MONTH(DF$3)-MONTH($B$10))))</x:f>
      </x:c>
      <x:c r="DG23" s="107" t="n">
        <x:f>IF(DG22=0,0,'Вводные'!$K$31*'Вводные'!$H$5*INDEX('Вводные'!$S$88:$S$91,$B$8)*INDEX('Вводные'!$AG$88:$AG$91,$B$8)*(1+'Вводные'!$K$34)^MAX(0,MIN((12*(YEAR(DG$3)-YEAR($B$11))+MONTH(DG$3)-MONTH($B$11)),(12*(YEAR($B$10)-YEAR($B$11))+MONTH($B$10)-MONTH($B$11))))*(1+'Вводные'!$K$35)^MAX(0,(12*(YEAR(DG$3)-YEAR($B$10))+MONTH(DG$3)-MONTH($B$10))))</x:f>
      </x:c>
      <x:c r="DH23" s="107" t="n">
        <x:f>IF(DH22=0,0,'Вводные'!$K$31*'Вводные'!$H$5*INDEX('Вводные'!$S$88:$S$91,$B$8)*INDEX('Вводные'!$AG$88:$AG$91,$B$8)*(1+'Вводные'!$K$34)^MAX(0,MIN((12*(YEAR(DH$3)-YEAR($B$11))+MONTH(DH$3)-MONTH($B$11)),(12*(YEAR($B$10)-YEAR($B$11))+MONTH($B$10)-MONTH($B$11))))*(1+'Вводные'!$K$35)^MAX(0,(12*(YEAR(DH$3)-YEAR($B$10))+MONTH(DH$3)-MONTH($B$10))))</x:f>
      </x:c>
      <x:c r="DI23" s="107" t="n">
        <x:f>IF(DI22=0,0,'Вводные'!$K$31*'Вводные'!$H$5*INDEX('Вводные'!$S$88:$S$91,$B$8)*INDEX('Вводные'!$AG$88:$AG$91,$B$8)*(1+'Вводные'!$K$34)^MAX(0,MIN((12*(YEAR(DI$3)-YEAR($B$11))+MONTH(DI$3)-MONTH($B$11)),(12*(YEAR($B$10)-YEAR($B$11))+MONTH($B$10)-MONTH($B$11))))*(1+'Вводные'!$K$35)^MAX(0,(12*(YEAR(DI$3)-YEAR($B$10))+MONTH(DI$3)-MONTH($B$10))))</x:f>
      </x:c>
      <x:c r="DJ23" s="107" t="n">
        <x:f>IF(DJ22=0,0,'Вводные'!$K$31*'Вводные'!$H$5*INDEX('Вводные'!$S$88:$S$91,$B$8)*INDEX('Вводные'!$AG$88:$AG$91,$B$8)*(1+'Вводные'!$K$34)^MAX(0,MIN((12*(YEAR(DJ$3)-YEAR($B$11))+MONTH(DJ$3)-MONTH($B$11)),(12*(YEAR($B$10)-YEAR($B$11))+MONTH($B$10)-MONTH($B$11))))*(1+'Вводные'!$K$35)^MAX(0,(12*(YEAR(DJ$3)-YEAR($B$10))+MONTH(DJ$3)-MONTH($B$10))))</x:f>
      </x:c>
      <x:c r="DK23" s="107" t="n">
        <x:f>IF(DK22=0,0,'Вводные'!$K$31*'Вводные'!$H$5*INDEX('Вводные'!$S$88:$S$91,$B$8)*INDEX('Вводные'!$AG$88:$AG$91,$B$8)*(1+'Вводные'!$K$34)^MAX(0,MIN((12*(YEAR(DK$3)-YEAR($B$11))+MONTH(DK$3)-MONTH($B$11)),(12*(YEAR($B$10)-YEAR($B$11))+MONTH($B$10)-MONTH($B$11))))*(1+'Вводные'!$K$35)^MAX(0,(12*(YEAR(DK$3)-YEAR($B$10))+MONTH(DK$3)-MONTH($B$10))))</x:f>
      </x:c>
      <x:c r="DL23" s="107" t="n">
        <x:f>IF(DL22=0,0,'Вводные'!$K$31*'Вводные'!$H$5*INDEX('Вводные'!$S$88:$S$91,$B$8)*INDEX('Вводные'!$AG$88:$AG$91,$B$8)*(1+'Вводные'!$K$34)^MAX(0,MIN((12*(YEAR(DL$3)-YEAR($B$11))+MONTH(DL$3)-MONTH($B$11)),(12*(YEAR($B$10)-YEAR($B$11))+MONTH($B$10)-MONTH($B$11))))*(1+'Вводные'!$K$35)^MAX(0,(12*(YEAR(DL$3)-YEAR($B$10))+MONTH(DL$3)-MONTH($B$10))))</x:f>
      </x:c>
      <x:c r="DM23" s="107" t="n">
        <x:f>IF(DM22=0,0,'Вводные'!$K$31*'Вводные'!$H$5*INDEX('Вводные'!$S$88:$S$91,$B$8)*INDEX('Вводные'!$AG$88:$AG$91,$B$8)*(1+'Вводные'!$K$34)^MAX(0,MIN((12*(YEAR(DM$3)-YEAR($B$11))+MONTH(DM$3)-MONTH($B$11)),(12*(YEAR($B$10)-YEAR($B$11))+MONTH($B$10)-MONTH($B$11))))*(1+'Вводные'!$K$35)^MAX(0,(12*(YEAR(DM$3)-YEAR($B$10))+MONTH(DM$3)-MONTH($B$10))))</x:f>
      </x:c>
      <x:c r="DN23" s="107" t="n">
        <x:f>IF(DN22=0,0,'Вводные'!$K$31*'Вводные'!$H$5*INDEX('Вводные'!$S$88:$S$91,$B$8)*INDEX('Вводные'!$AG$88:$AG$91,$B$8)*(1+'Вводные'!$K$34)^MAX(0,MIN((12*(YEAR(DN$3)-YEAR($B$11))+MONTH(DN$3)-MONTH($B$11)),(12*(YEAR($B$10)-YEAR($B$11))+MONTH($B$10)-MONTH($B$11))))*(1+'Вводные'!$K$35)^MAX(0,(12*(YEAR(DN$3)-YEAR($B$10))+MONTH(DN$3)-MONTH($B$10))))</x:f>
      </x:c>
      <x:c r="DO23" s="107" t="n">
        <x:f>IF(DO22=0,0,'Вводные'!$K$31*'Вводные'!$H$5*INDEX('Вводные'!$S$88:$S$91,$B$8)*INDEX('Вводные'!$AG$88:$AG$91,$B$8)*(1+'Вводные'!$K$34)^MAX(0,MIN((12*(YEAR(DO$3)-YEAR($B$11))+MONTH(DO$3)-MONTH($B$11)),(12*(YEAR($B$10)-YEAR($B$11))+MONTH($B$10)-MONTH($B$11))))*(1+'Вводные'!$K$35)^MAX(0,(12*(YEAR(DO$3)-YEAR($B$10))+MONTH(DO$3)-MONTH($B$10))))</x:f>
      </x:c>
      <x:c r="DP23" s="107" t="n">
        <x:f>IF(DP22=0,0,'Вводные'!$K$31*'Вводные'!$H$5*INDEX('Вводные'!$S$88:$S$91,$B$8)*INDEX('Вводные'!$AG$88:$AG$91,$B$8)*(1+'Вводные'!$K$34)^MAX(0,MIN((12*(YEAR(DP$3)-YEAR($B$11))+MONTH(DP$3)-MONTH($B$11)),(12*(YEAR($B$10)-YEAR($B$11))+MONTH($B$10)-MONTH($B$11))))*(1+'Вводные'!$K$35)^MAX(0,(12*(YEAR(DP$3)-YEAR($B$10))+MONTH(DP$3)-MONTH($B$10))))</x:f>
      </x:c>
      <x:c r="DQ23" s="107" t="n">
        <x:f>IF(DQ22=0,0,'Вводные'!$K$31*'Вводные'!$H$5*INDEX('Вводные'!$S$88:$S$91,$B$8)*INDEX('Вводные'!$AG$88:$AG$91,$B$8)*(1+'Вводные'!$K$34)^MAX(0,MIN((12*(YEAR(DQ$3)-YEAR($B$11))+MONTH(DQ$3)-MONTH($B$11)),(12*(YEAR($B$10)-YEAR($B$11))+MONTH($B$10)-MONTH($B$11))))*(1+'Вводные'!$K$35)^MAX(0,(12*(YEAR(DQ$3)-YEAR($B$10))+MONTH(DQ$3)-MONTH($B$10))))</x:f>
      </x:c>
      <x:c r="DR23" s="107" t="n">
        <x:f>IF(DR22=0,0,'Вводные'!$K$31*'Вводные'!$H$5*INDEX('Вводные'!$S$88:$S$91,$B$8)*INDEX('Вводные'!$AG$88:$AG$91,$B$8)*(1+'Вводные'!$K$34)^MAX(0,MIN((12*(YEAR(DR$3)-YEAR($B$11))+MONTH(DR$3)-MONTH($B$11)),(12*(YEAR($B$10)-YEAR($B$11))+MONTH($B$10)-MONTH($B$11))))*(1+'Вводные'!$K$35)^MAX(0,(12*(YEAR(DR$3)-YEAR($B$10))+MONTH(DR$3)-MONTH($B$10))))</x:f>
      </x:c>
      <x:c r="DS23" s="107" t="n">
        <x:f>IF(DS22=0,0,'Вводные'!$K$31*'Вводные'!$H$5*INDEX('Вводные'!$S$88:$S$91,$B$8)*INDEX('Вводные'!$AG$88:$AG$91,$B$8)*(1+'Вводные'!$K$34)^MAX(0,MIN((12*(YEAR(DS$3)-YEAR($B$11))+MONTH(DS$3)-MONTH($B$11)),(12*(YEAR($B$10)-YEAR($B$11))+MONTH($B$10)-MONTH($B$11))))*(1+'Вводные'!$K$35)^MAX(0,(12*(YEAR(DS$3)-YEAR($B$10))+MONTH(DS$3)-MONTH($B$10))))</x:f>
      </x:c>
      <x:c r="DT23" s="107" t="n">
        <x:f>IF(DT22=0,0,'Вводные'!$K$31*'Вводные'!$H$5*INDEX('Вводные'!$S$88:$S$91,$B$8)*INDEX('Вводные'!$AG$88:$AG$91,$B$8)*(1+'Вводные'!$K$34)^MAX(0,MIN((12*(YEAR(DT$3)-YEAR($B$11))+MONTH(DT$3)-MONTH($B$11)),(12*(YEAR($B$10)-YEAR($B$11))+MONTH($B$10)-MONTH($B$11))))*(1+'Вводные'!$K$35)^MAX(0,(12*(YEAR(DT$3)-YEAR($B$10))+MONTH(DT$3)-MONTH($B$10))))</x:f>
      </x:c>
      <x:c r="DU23" s="107" t="n">
        <x:f>IF(DU22=0,0,'Вводные'!$K$31*'Вводные'!$H$5*INDEX('Вводные'!$S$88:$S$91,$B$8)*INDEX('Вводные'!$AG$88:$AG$91,$B$8)*(1+'Вводные'!$K$34)^MAX(0,MIN((12*(YEAR(DU$3)-YEAR($B$11))+MONTH(DU$3)-MONTH($B$11)),(12*(YEAR($B$10)-YEAR($B$11))+MONTH($B$10)-MONTH($B$11))))*(1+'Вводные'!$K$35)^MAX(0,(12*(YEAR(DU$3)-YEAR($B$10))+MONTH(DU$3)-MONTH($B$10))))</x:f>
      </x:c>
      <x:c r="DV23" s="107" t="n">
        <x:f>IF(DV22=0,0,'Вводные'!$K$31*'Вводные'!$H$5*INDEX('Вводные'!$S$88:$S$91,$B$8)*INDEX('Вводные'!$AG$88:$AG$91,$B$8)*(1+'Вводные'!$K$34)^MAX(0,MIN((12*(YEAR(DV$3)-YEAR($B$11))+MONTH(DV$3)-MONTH($B$11)),(12*(YEAR($B$10)-YEAR($B$11))+MONTH($B$10)-MONTH($B$11))))*(1+'Вводные'!$K$35)^MAX(0,(12*(YEAR(DV$3)-YEAR($B$10))+MONTH(DV$3)-MONTH($B$10))))</x:f>
      </x:c>
      <x:c r="DW23" s="107" t="n">
        <x:f>IF(DW22=0,0,'Вводные'!$K$31*'Вводные'!$H$5*INDEX('Вводные'!$S$88:$S$91,$B$8)*INDEX('Вводные'!$AG$88:$AG$91,$B$8)*(1+'Вводные'!$K$34)^MAX(0,MIN((12*(YEAR(DW$3)-YEAR($B$11))+MONTH(DW$3)-MONTH($B$11)),(12*(YEAR($B$10)-YEAR($B$11))+MONTH($B$10)-MONTH($B$11))))*(1+'Вводные'!$K$35)^MAX(0,(12*(YEAR(DW$3)-YEAR($B$10))+MONTH(DW$3)-MONTH($B$10))))</x:f>
      </x:c>
      <x:c r="DX23" s="107" t="n">
        <x:f>IF(DX22=0,0,'Вводные'!$K$31*'Вводные'!$H$5*INDEX('Вводные'!$S$88:$S$91,$B$8)*INDEX('Вводные'!$AG$88:$AG$91,$B$8)*(1+'Вводные'!$K$34)^MAX(0,MIN((12*(YEAR(DX$3)-YEAR($B$11))+MONTH(DX$3)-MONTH($B$11)),(12*(YEAR($B$10)-YEAR($B$11))+MONTH($B$10)-MONTH($B$11))))*(1+'Вводные'!$K$35)^MAX(0,(12*(YEAR(DX$3)-YEAR($B$10))+MONTH(DX$3)-MONTH($B$10))))</x:f>
      </x:c>
      <x:c r="DY23" s="107" t="n">
        <x:f>IF(DY22=0,0,'Вводные'!$K$31*'Вводные'!$H$5*INDEX('Вводные'!$S$88:$S$91,$B$8)*INDEX('Вводные'!$AG$88:$AG$91,$B$8)*(1+'Вводные'!$K$34)^MAX(0,MIN((12*(YEAR(DY$3)-YEAR($B$11))+MONTH(DY$3)-MONTH($B$11)),(12*(YEAR($B$10)-YEAR($B$11))+MONTH($B$10)-MONTH($B$11))))*(1+'Вводные'!$K$35)^MAX(0,(12*(YEAR(DY$3)-YEAR($B$10))+MONTH(DY$3)-MONTH($B$10))))</x:f>
      </x:c>
      <x:c r="DZ23" s="107" t="n">
        <x:f>IF(DZ22=0,0,'Вводные'!$K$31*'Вводные'!$H$5*INDEX('Вводные'!$S$88:$S$91,$B$8)*INDEX('Вводные'!$AG$88:$AG$91,$B$8)*(1+'Вводные'!$K$34)^MAX(0,MIN((12*(YEAR(DZ$3)-YEAR($B$11))+MONTH(DZ$3)-MONTH($B$11)),(12*(YEAR($B$10)-YEAR($B$11))+MONTH($B$10)-MONTH($B$11))))*(1+'Вводные'!$K$35)^MAX(0,(12*(YEAR(DZ$3)-YEAR($B$10))+MONTH(DZ$3)-MONTH($B$10))))</x:f>
      </x:c>
      <x:c r="EA23" s="107" t="n">
        <x:f>IF(EA22=0,0,'Вводные'!$K$31*'Вводные'!$H$5*INDEX('Вводные'!$S$88:$S$91,$B$8)*INDEX('Вводные'!$AG$88:$AG$91,$B$8)*(1+'Вводные'!$K$34)^MAX(0,MIN((12*(YEAR(EA$3)-YEAR($B$11))+MONTH(EA$3)-MONTH($B$11)),(12*(YEAR($B$10)-YEAR($B$11))+MONTH($B$10)-MONTH($B$11))))*(1+'Вводные'!$K$35)^MAX(0,(12*(YEAR(EA$3)-YEAR($B$10))+MONTH(EA$3)-MONTH($B$10))))</x:f>
      </x:c>
      <x:c r="EB23" s="107" t="n">
        <x:f>IF(EB22=0,0,'Вводные'!$K$31*'Вводные'!$H$5*INDEX('Вводные'!$S$88:$S$91,$B$8)*INDEX('Вводные'!$AG$88:$AG$91,$B$8)*(1+'Вводные'!$K$34)^MAX(0,MIN((12*(YEAR(EB$3)-YEAR($B$11))+MONTH(EB$3)-MONTH($B$11)),(12*(YEAR($B$10)-YEAR($B$11))+MONTH($B$10)-MONTH($B$11))))*(1+'Вводные'!$K$35)^MAX(0,(12*(YEAR(EB$3)-YEAR($B$10))+MONTH(EB$3)-MONTH($B$10))))</x:f>
      </x:c>
      <x:c r="EC23" s="107" t="n">
        <x:f>IF(EC22=0,0,'Вводные'!$K$31*'Вводные'!$H$5*INDEX('Вводные'!$S$88:$S$91,$B$8)*INDEX('Вводные'!$AG$88:$AG$91,$B$8)*(1+'Вводные'!$K$34)^MAX(0,MIN((12*(YEAR(EC$3)-YEAR($B$11))+MONTH(EC$3)-MONTH($B$11)),(12*(YEAR($B$10)-YEAR($B$11))+MONTH($B$10)-MONTH($B$11))))*(1+'Вводные'!$K$35)^MAX(0,(12*(YEAR(EC$3)-YEAR($B$10))+MONTH(EC$3)-MONTH($B$10))))</x:f>
      </x:c>
      <x:c r="ED23" s="107" t="n">
        <x:f>IF(ED22=0,0,'Вводные'!$K$31*'Вводные'!$H$5*INDEX('Вводные'!$S$88:$S$91,$B$8)*INDEX('Вводные'!$AG$88:$AG$91,$B$8)*(1+'Вводные'!$K$34)^MAX(0,MIN((12*(YEAR(ED$3)-YEAR($B$11))+MONTH(ED$3)-MONTH($B$11)),(12*(YEAR($B$10)-YEAR($B$11))+MONTH($B$10)-MONTH($B$11))))*(1+'Вводные'!$K$35)^MAX(0,(12*(YEAR(ED$3)-YEAR($B$10))+MONTH(ED$3)-MONTH($B$10))))</x:f>
      </x:c>
      <x:c r="EE23" s="107" t="n">
        <x:f>IF(EE22=0,0,'Вводные'!$K$31*'Вводные'!$H$5*INDEX('Вводные'!$S$88:$S$91,$B$8)*INDEX('Вводные'!$AG$88:$AG$91,$B$8)*(1+'Вводные'!$K$34)^MAX(0,MIN((12*(YEAR(EE$3)-YEAR($B$11))+MONTH(EE$3)-MONTH($B$11)),(12*(YEAR($B$10)-YEAR($B$11))+MONTH($B$10)-MONTH($B$11))))*(1+'Вводные'!$K$35)^MAX(0,(12*(YEAR(EE$3)-YEAR($B$10))+MONTH(EE$3)-MONTH($B$10))))</x:f>
      </x:c>
      <x:c r="EF23" s="107" t="n">
        <x:f>IF(EF22=0,0,'Вводные'!$K$31*'Вводные'!$H$5*INDEX('Вводные'!$S$88:$S$91,$B$8)*INDEX('Вводные'!$AG$88:$AG$91,$B$8)*(1+'Вводные'!$K$34)^MAX(0,MIN((12*(YEAR(EF$3)-YEAR($B$11))+MONTH(EF$3)-MONTH($B$11)),(12*(YEAR($B$10)-YEAR($B$11))+MONTH($B$10)-MONTH($B$11))))*(1+'Вводные'!$K$35)^MAX(0,(12*(YEAR(EF$3)-YEAR($B$10))+MONTH(EF$3)-MONTH($B$10))))</x:f>
      </x:c>
      <x:c r="EG23" s="107" t="n">
        <x:f>IF(EG22=0,0,'Вводные'!$K$31*'Вводные'!$H$5*INDEX('Вводные'!$S$88:$S$91,$B$8)*INDEX('Вводные'!$AG$88:$AG$91,$B$8)*(1+'Вводные'!$K$34)^MAX(0,MIN((12*(YEAR(EG$3)-YEAR($B$11))+MONTH(EG$3)-MONTH($B$11)),(12*(YEAR($B$10)-YEAR($B$11))+MONTH($B$10)-MONTH($B$11))))*(1+'Вводные'!$K$35)^MAX(0,(12*(YEAR(EG$3)-YEAR($B$10))+MONTH(EG$3)-MONTH($B$10))))</x:f>
      </x:c>
      <x:c r="EH23" s="107" t="n">
        <x:f>IF(EH22=0,0,'Вводные'!$K$31*'Вводные'!$H$5*INDEX('Вводные'!$S$88:$S$91,$B$8)*INDEX('Вводные'!$AG$88:$AG$91,$B$8)*(1+'Вводные'!$K$34)^MAX(0,MIN((12*(YEAR(EH$3)-YEAR($B$11))+MONTH(EH$3)-MONTH($B$11)),(12*(YEAR($B$10)-YEAR($B$11))+MONTH($B$10)-MONTH($B$11))))*(1+'Вводные'!$K$35)^MAX(0,(12*(YEAR(EH$3)-YEAR($B$10))+MONTH(EH$3)-MONTH($B$10))))</x:f>
      </x:c>
      <x:c r="EI23" s="107" t="n">
        <x:f>IF(EI22=0,0,'Вводные'!$K$31*'Вводные'!$H$5*INDEX('Вводные'!$S$88:$S$91,$B$8)*INDEX('Вводные'!$AG$88:$AG$91,$B$8)*(1+'Вводные'!$K$34)^MAX(0,MIN((12*(YEAR(EI$3)-YEAR($B$11))+MONTH(EI$3)-MONTH($B$11)),(12*(YEAR($B$10)-YEAR($B$11))+MONTH($B$10)-MONTH($B$11))))*(1+'Вводные'!$K$35)^MAX(0,(12*(YEAR(EI$3)-YEAR($B$10))+MONTH(EI$3)-MONTH($B$10))))</x:f>
      </x:c>
      <x:c r="EJ23" s="107" t="n">
        <x:f>IF(EJ22=0,0,'Вводные'!$K$31*'Вводные'!$H$5*INDEX('Вводные'!$S$88:$S$91,$B$8)*INDEX('Вводные'!$AG$88:$AG$91,$B$8)*(1+'Вводные'!$K$34)^MAX(0,MIN((12*(YEAR(EJ$3)-YEAR($B$11))+MONTH(EJ$3)-MONTH($B$11)),(12*(YEAR($B$10)-YEAR($B$11))+MONTH($B$10)-MONTH($B$11))))*(1+'Вводные'!$K$35)^MAX(0,(12*(YEAR(EJ$3)-YEAR($B$10))+MONTH(EJ$3)-MONTH($B$10))))</x:f>
      </x:c>
      <x:c r="EK23" s="107" t="n">
        <x:f>IF(EK22=0,0,'Вводные'!$K$31*'Вводные'!$H$5*INDEX('Вводные'!$S$88:$S$91,$B$8)*INDEX('Вводные'!$AG$88:$AG$91,$B$8)*(1+'Вводные'!$K$34)^MAX(0,MIN((12*(YEAR(EK$3)-YEAR($B$11))+MONTH(EK$3)-MONTH($B$11)),(12*(YEAR($B$10)-YEAR($B$11))+MONTH($B$10)-MONTH($B$11))))*(1+'Вводные'!$K$35)^MAX(0,(12*(YEAR(EK$3)-YEAR($B$10))+MONTH(EK$3)-MONTH($B$10))))</x:f>
      </x:c>
      <x:c r="EL23" s="107" t="n">
        <x:f>IF(EL22=0,0,'Вводные'!$K$31*'Вводные'!$H$5*INDEX('Вводные'!$S$88:$S$91,$B$8)*INDEX('Вводные'!$AG$88:$AG$91,$B$8)*(1+'Вводные'!$K$34)^MAX(0,MIN((12*(YEAR(EL$3)-YEAR($B$11))+MONTH(EL$3)-MONTH($B$11)),(12*(YEAR($B$10)-YEAR($B$11))+MONTH($B$10)-MONTH($B$11))))*(1+'Вводные'!$K$35)^MAX(0,(12*(YEAR(EL$3)-YEAR($B$10))+MONTH(EL$3)-MONTH($B$10))))</x:f>
      </x:c>
      <x:c r="EM23" s="107" t="n">
        <x:f>IF(EM22=0,0,'Вводные'!$K$31*'Вводные'!$H$5*INDEX('Вводные'!$S$88:$S$91,$B$8)*INDEX('Вводные'!$AG$88:$AG$91,$B$8)*(1+'Вводные'!$K$34)^MAX(0,MIN((12*(YEAR(EM$3)-YEAR($B$11))+MONTH(EM$3)-MONTH($B$11)),(12*(YEAR($B$10)-YEAR($B$11))+MONTH($B$10)-MONTH($B$11))))*(1+'Вводные'!$K$35)^MAX(0,(12*(YEAR(EM$3)-YEAR($B$10))+MONTH(EM$3)-MONTH($B$10))))</x:f>
      </x:c>
      <x:c r="EN23" s="107" t="n">
        <x:f>IF(EN22=0,0,'Вводные'!$K$31*'Вводные'!$H$5*INDEX('Вводные'!$S$88:$S$91,$B$8)*INDEX('Вводные'!$AG$88:$AG$91,$B$8)*(1+'Вводные'!$K$34)^MAX(0,MIN((12*(YEAR(EN$3)-YEAR($B$11))+MONTH(EN$3)-MONTH($B$11)),(12*(YEAR($B$10)-YEAR($B$11))+MONTH($B$10)-MONTH($B$11))))*(1+'Вводные'!$K$35)^MAX(0,(12*(YEAR(EN$3)-YEAR($B$10))+MONTH(EN$3)-MONTH($B$10))))</x:f>
      </x:c>
      <x:c r="EO23" s="107" t="n">
        <x:f>IF(EO22=0,0,'Вводные'!$K$31*'Вводные'!$H$5*INDEX('Вводные'!$S$88:$S$91,$B$8)*INDEX('Вводные'!$AG$88:$AG$91,$B$8)*(1+'Вводные'!$K$34)^MAX(0,MIN((12*(YEAR(EO$3)-YEAR($B$11))+MONTH(EO$3)-MONTH($B$11)),(12*(YEAR($B$10)-YEAR($B$11))+MONTH($B$10)-MONTH($B$11))))*(1+'Вводные'!$K$35)^MAX(0,(12*(YEAR(EO$3)-YEAR($B$10))+MONTH(EO$3)-MONTH($B$10))))</x:f>
      </x:c>
      <x:c r="EP23" s="107" t="n">
        <x:f>IF(EP22=0,0,'Вводные'!$K$31*'Вводные'!$H$5*INDEX('Вводные'!$S$88:$S$91,$B$8)*INDEX('Вводные'!$AG$88:$AG$91,$B$8)*(1+'Вводные'!$K$34)^MAX(0,MIN((12*(YEAR(EP$3)-YEAR($B$11))+MONTH(EP$3)-MONTH($B$11)),(12*(YEAR($B$10)-YEAR($B$11))+MONTH($B$10)-MONTH($B$11))))*(1+'Вводные'!$K$35)^MAX(0,(12*(YEAR(EP$3)-YEAR($B$10))+MONTH(EP$3)-MONTH($B$10))))</x:f>
      </x:c>
      <x:c r="EQ23" s="107" t="n">
        <x:f>IF(EQ22=0,0,'Вводные'!$K$31*'Вводные'!$H$5*INDEX('Вводные'!$S$88:$S$91,$B$8)*INDEX('Вводные'!$AG$88:$AG$91,$B$8)*(1+'Вводные'!$K$34)^MAX(0,MIN((12*(YEAR(EQ$3)-YEAR($B$11))+MONTH(EQ$3)-MONTH($B$11)),(12*(YEAR($B$10)-YEAR($B$11))+MONTH($B$10)-MONTH($B$11))))*(1+'Вводные'!$K$35)^MAX(0,(12*(YEAR(EQ$3)-YEAR($B$10))+MONTH(EQ$3)-MONTH($B$10))))</x:f>
      </x:c>
      <x:c r="ER23" s="107" t="n">
        <x:f>IF(ER22=0,0,'Вводные'!$K$31*'Вводные'!$H$5*INDEX('Вводные'!$S$88:$S$91,$B$8)*INDEX('Вводные'!$AG$88:$AG$91,$B$8)*(1+'Вводные'!$K$34)^MAX(0,MIN((12*(YEAR(ER$3)-YEAR($B$11))+MONTH(ER$3)-MONTH($B$11)),(12*(YEAR($B$10)-YEAR($B$11))+MONTH($B$10)-MONTH($B$11))))*(1+'Вводные'!$K$35)^MAX(0,(12*(YEAR(ER$3)-YEAR($B$10))+MONTH(ER$3)-MONTH($B$10))))</x:f>
      </x:c>
      <x:c r="ES23" s="107" t="n">
        <x:f>IF(ES22=0,0,'Вводные'!$K$31*'Вводные'!$H$5*INDEX('Вводные'!$S$88:$S$91,$B$8)*INDEX('Вводные'!$AG$88:$AG$91,$B$8)*(1+'Вводные'!$K$34)^MAX(0,MIN((12*(YEAR(ES$3)-YEAR($B$11))+MONTH(ES$3)-MONTH($B$11)),(12*(YEAR($B$10)-YEAR($B$11))+MONTH($B$10)-MONTH($B$11))))*(1+'Вводные'!$K$35)^MAX(0,(12*(YEAR(ES$3)-YEAR($B$10))+MONTH(ES$3)-MONTH($B$10))))</x:f>
      </x:c>
      <x:c r="ET23" s="107" t="n">
        <x:f>IF(ET22=0,0,'Вводные'!$K$31*'Вводные'!$H$5*INDEX('Вводные'!$S$88:$S$91,$B$8)*INDEX('Вводные'!$AG$88:$AG$91,$B$8)*(1+'Вводные'!$K$34)^MAX(0,MIN((12*(YEAR(ET$3)-YEAR($B$11))+MONTH(ET$3)-MONTH($B$11)),(12*(YEAR($B$10)-YEAR($B$11))+MONTH($B$10)-MONTH($B$11))))*(1+'Вводные'!$K$35)^MAX(0,(12*(YEAR(ET$3)-YEAR($B$10))+MONTH(ET$3)-MONTH($B$10))))</x:f>
      </x:c>
      <x:c r="EU23" s="107" t="n">
        <x:f>IF(EU22=0,0,'Вводные'!$K$31*'Вводные'!$H$5*INDEX('Вводные'!$S$88:$S$91,$B$8)*INDEX('Вводные'!$AG$88:$AG$91,$B$8)*(1+'Вводные'!$K$34)^MAX(0,MIN((12*(YEAR(EU$3)-YEAR($B$11))+MONTH(EU$3)-MONTH($B$11)),(12*(YEAR($B$10)-YEAR($B$11))+MONTH($B$10)-MONTH($B$11))))*(1+'Вводные'!$K$35)^MAX(0,(12*(YEAR(EU$3)-YEAR($B$10))+MONTH(EU$3)-MONTH($B$10))))</x:f>
      </x:c>
      <x:c r="EV23" s="107" t="n">
        <x:f>IF(EV22=0,0,'Вводные'!$K$31*'Вводные'!$H$5*INDEX('Вводные'!$S$88:$S$91,$B$8)*INDEX('Вводные'!$AG$88:$AG$91,$B$8)*(1+'Вводные'!$K$34)^MAX(0,MIN((12*(YEAR(EV$3)-YEAR($B$11))+MONTH(EV$3)-MONTH($B$11)),(12*(YEAR($B$10)-YEAR($B$11))+MONTH($B$10)-MONTH($B$11))))*(1+'Вводные'!$K$35)^MAX(0,(12*(YEAR(EV$3)-YEAR($B$10))+MONTH(EV$3)-MONTH($B$10))))</x:f>
      </x:c>
      <x:c r="EW23" s="107" t="n">
        <x:f>IF(EW22=0,0,'Вводные'!$K$31*'Вводные'!$H$5*INDEX('Вводные'!$S$88:$S$91,$B$8)*INDEX('Вводные'!$AG$88:$AG$91,$B$8)*(1+'Вводные'!$K$34)^MAX(0,MIN((12*(YEAR(EW$3)-YEAR($B$11))+MONTH(EW$3)-MONTH($B$11)),(12*(YEAR($B$10)-YEAR($B$11))+MONTH($B$10)-MONTH($B$11))))*(1+'Вводные'!$K$35)^MAX(0,(12*(YEAR(EW$3)-YEAR($B$10))+MONTH(EW$3)-MONTH($B$10))))</x:f>
      </x:c>
      <x:c r="EX23" s="107" t="n">
        <x:f>IF(EX22=0,0,'Вводные'!$K$31*'Вводные'!$H$5*INDEX('Вводные'!$S$88:$S$91,$B$8)*INDEX('Вводные'!$AG$88:$AG$91,$B$8)*(1+'Вводные'!$K$34)^MAX(0,MIN((12*(YEAR(EX$3)-YEAR($B$11))+MONTH(EX$3)-MONTH($B$11)),(12*(YEAR($B$10)-YEAR($B$11))+MONTH($B$10)-MONTH($B$11))))*(1+'Вводные'!$K$35)^MAX(0,(12*(YEAR(EX$3)-YEAR($B$10))+MONTH(EX$3)-MONTH($B$10))))</x:f>
      </x:c>
      <x:c r="EY23" s="107" t="n">
        <x:f>IF(EY22=0,0,'Вводные'!$K$31*'Вводные'!$H$5*INDEX('Вводные'!$S$88:$S$91,$B$8)*INDEX('Вводные'!$AG$88:$AG$91,$B$8)*(1+'Вводные'!$K$34)^MAX(0,MIN((12*(YEAR(EY$3)-YEAR($B$11))+MONTH(EY$3)-MONTH($B$11)),(12*(YEAR($B$10)-YEAR($B$11))+MONTH($B$10)-MONTH($B$11))))*(1+'Вводные'!$K$35)^MAX(0,(12*(YEAR(EY$3)-YEAR($B$10))+MONTH(EY$3)-MONTH($B$10))))</x:f>
      </x:c>
      <x:c r="EZ23" s="107" t="n">
        <x:f>IF(EZ22=0,0,'Вводные'!$K$31*'Вводные'!$H$5*INDEX('Вводные'!$S$88:$S$91,$B$8)*INDEX('Вводные'!$AG$88:$AG$91,$B$8)*(1+'Вводные'!$K$34)^MAX(0,MIN((12*(YEAR(EZ$3)-YEAR($B$11))+MONTH(EZ$3)-MONTH($B$11)),(12*(YEAR($B$10)-YEAR($B$11))+MONTH($B$10)-MONTH($B$11))))*(1+'Вводные'!$K$35)^MAX(0,(12*(YEAR(EZ$3)-YEAR($B$10))+MONTH(EZ$3)-MONTH($B$10))))</x:f>
      </x:c>
      <x:c r="FA23" s="107" t="n">
        <x:f>IF(FA22=0,0,'Вводные'!$K$31*'Вводные'!$H$5*INDEX('Вводные'!$S$88:$S$91,$B$8)*INDEX('Вводные'!$AG$88:$AG$91,$B$8)*(1+'Вводные'!$K$34)^MAX(0,MIN((12*(YEAR(FA$3)-YEAR($B$11))+MONTH(FA$3)-MONTH($B$11)),(12*(YEAR($B$10)-YEAR($B$11))+MONTH($B$10)-MONTH($B$11))))*(1+'Вводные'!$K$35)^MAX(0,(12*(YEAR(FA$3)-YEAR($B$10))+MONTH(FA$3)-MONTH($B$10))))</x:f>
      </x:c>
      <x:c r="FB23" s="107" t="n">
        <x:f>IF(FB22=0,0,'Вводные'!$K$31*'Вводные'!$H$5*INDEX('Вводные'!$S$88:$S$91,$B$8)*INDEX('Вводные'!$AG$88:$AG$91,$B$8)*(1+'Вводные'!$K$34)^MAX(0,MIN((12*(YEAR(FB$3)-YEAR($B$11))+MONTH(FB$3)-MONTH($B$11)),(12*(YEAR($B$10)-YEAR($B$11))+MONTH($B$10)-MONTH($B$11))))*(1+'Вводные'!$K$35)^MAX(0,(12*(YEAR(FB$3)-YEAR($B$10))+MONTH(FB$3)-MONTH($B$10))))</x:f>
      </x:c>
      <x:c r="FC23" s="107" t="n">
        <x:f>IF(FC22=0,0,'Вводные'!$K$31*'Вводные'!$H$5*INDEX('Вводные'!$S$88:$S$91,$B$8)*INDEX('Вводные'!$AG$88:$AG$91,$B$8)*(1+'Вводные'!$K$34)^MAX(0,MIN((12*(YEAR(FC$3)-YEAR($B$11))+MONTH(FC$3)-MONTH($B$11)),(12*(YEAR($B$10)-YEAR($B$11))+MONTH($B$10)-MONTH($B$11))))*(1+'Вводные'!$K$35)^MAX(0,(12*(YEAR(FC$3)-YEAR($B$10))+MONTH(FC$3)-MONTH($B$10))))</x:f>
      </x:c>
      <x:c r="FD23" s="107" t="n">
        <x:f>IF(FD22=0,0,'Вводные'!$K$31*'Вводные'!$H$5*INDEX('Вводные'!$S$88:$S$91,$B$8)*INDEX('Вводные'!$AG$88:$AG$91,$B$8)*(1+'Вводные'!$K$34)^MAX(0,MIN((12*(YEAR(FD$3)-YEAR($B$11))+MONTH(FD$3)-MONTH($B$11)),(12*(YEAR($B$10)-YEAR($B$11))+MONTH($B$10)-MONTH($B$11))))*(1+'Вводные'!$K$35)^MAX(0,(12*(YEAR(FD$3)-YEAR($B$10))+MONTH(FD$3)-MONTH($B$10))))</x:f>
      </x:c>
      <x:c r="FE23" s="107" t="n">
        <x:f>IF(FE22=0,0,'Вводные'!$K$31*'Вводные'!$H$5*INDEX('Вводные'!$S$88:$S$91,$B$8)*INDEX('Вводные'!$AG$88:$AG$91,$B$8)*(1+'Вводные'!$K$34)^MAX(0,MIN((12*(YEAR(FE$3)-YEAR($B$11))+MONTH(FE$3)-MONTH($B$11)),(12*(YEAR($B$10)-YEAR($B$11))+MONTH($B$10)-MONTH($B$11))))*(1+'Вводные'!$K$35)^MAX(0,(12*(YEAR(FE$3)-YEAR($B$10))+MONTH(FE$3)-MONTH($B$10))))</x:f>
      </x:c>
      <x:c r="FF23" s="107" t="n">
        <x:f>IF(FF22=0,0,'Вводные'!$K$31*'Вводные'!$H$5*INDEX('Вводные'!$S$88:$S$91,$B$8)*INDEX('Вводные'!$AG$88:$AG$91,$B$8)*(1+'Вводные'!$K$34)^MAX(0,MIN((12*(YEAR(FF$3)-YEAR($B$11))+MONTH(FF$3)-MONTH($B$11)),(12*(YEAR($B$10)-YEAR($B$11))+MONTH($B$10)-MONTH($B$11))))*(1+'Вводные'!$K$35)^MAX(0,(12*(YEAR(FF$3)-YEAR($B$10))+MONTH(FF$3)-MONTH($B$10))))</x:f>
      </x:c>
      <x:c r="FG23" s="107" t="n">
        <x:f>IF(FG22=0,0,'Вводные'!$K$31*'Вводные'!$H$5*INDEX('Вводные'!$S$88:$S$91,$B$8)*INDEX('Вводные'!$AG$88:$AG$91,$B$8)*(1+'Вводные'!$K$34)^MAX(0,MIN((12*(YEAR(FG$3)-YEAR($B$11))+MONTH(FG$3)-MONTH($B$11)),(12*(YEAR($B$10)-YEAR($B$11))+MONTH($B$10)-MONTH($B$11))))*(1+'Вводные'!$K$35)^MAX(0,(12*(YEAR(FG$3)-YEAR($B$10))+MONTH(FG$3)-MONTH($B$10))))</x:f>
      </x:c>
      <x:c r="FH23" s="107" t="n">
        <x:f>IF(FH22=0,0,'Вводные'!$K$31*'Вводные'!$H$5*INDEX('Вводные'!$S$88:$S$91,$B$8)*INDEX('Вводные'!$AG$88:$AG$91,$B$8)*(1+'Вводные'!$K$34)^MAX(0,MIN((12*(YEAR(FH$3)-YEAR($B$11))+MONTH(FH$3)-MONTH($B$11)),(12*(YEAR($B$10)-YEAR($B$11))+MONTH($B$10)-MONTH($B$11))))*(1+'Вводные'!$K$35)^MAX(0,(12*(YEAR(FH$3)-YEAR($B$10))+MONTH(FH$3)-MONTH($B$10))))</x:f>
      </x:c>
      <x:c r="FI23" s="107" t="n">
        <x:f>IF(FI22=0,0,'Вводные'!$K$31*'Вводные'!$H$5*INDEX('Вводные'!$S$88:$S$91,$B$8)*INDEX('Вводные'!$AG$88:$AG$91,$B$8)*(1+'Вводные'!$K$34)^MAX(0,MIN((12*(YEAR(FI$3)-YEAR($B$11))+MONTH(FI$3)-MONTH($B$11)),(12*(YEAR($B$10)-YEAR($B$11))+MONTH($B$10)-MONTH($B$11))))*(1+'Вводные'!$K$35)^MAX(0,(12*(YEAR(FI$3)-YEAR($B$10))+MONTH(FI$3)-MONTH($B$10))))</x:f>
      </x:c>
      <x:c r="FJ23" s="107" t="n">
        <x:f>IF(FJ22=0,0,'Вводные'!$K$31*'Вводные'!$H$5*INDEX('Вводные'!$S$88:$S$91,$B$8)*INDEX('Вводные'!$AG$88:$AG$91,$B$8)*(1+'Вводные'!$K$34)^MAX(0,MIN((12*(YEAR(FJ$3)-YEAR($B$11))+MONTH(FJ$3)-MONTH($B$11)),(12*(YEAR($B$10)-YEAR($B$11))+MONTH($B$10)-MONTH($B$11))))*(1+'Вводные'!$K$35)^MAX(0,(12*(YEAR(FJ$3)-YEAR($B$10))+MONTH(FJ$3)-MONTH($B$10))))</x:f>
      </x:c>
      <x:c r="FK23" s="107" t="n">
        <x:f>IF(FK22=0,0,'Вводные'!$K$31*'Вводные'!$H$5*INDEX('Вводные'!$S$88:$S$91,$B$8)*INDEX('Вводные'!$AG$88:$AG$91,$B$8)*(1+'Вводные'!$K$34)^MAX(0,MIN((12*(YEAR(FK$3)-YEAR($B$11))+MONTH(FK$3)-MONTH($B$11)),(12*(YEAR($B$10)-YEAR($B$11))+MONTH($B$10)-MONTH($B$11))))*(1+'Вводные'!$K$35)^MAX(0,(12*(YEAR(FK$3)-YEAR($B$10))+MONTH(FK$3)-MONTH($B$10))))</x:f>
      </x:c>
      <x:c r="FL23" s="107" t="n">
        <x:f>IF(FL22=0,0,'Вводные'!$K$31*'Вводные'!$H$5*INDEX('Вводные'!$S$88:$S$91,$B$8)*INDEX('Вводные'!$AG$88:$AG$91,$B$8)*(1+'Вводные'!$K$34)^MAX(0,MIN((12*(YEAR(FL$3)-YEAR($B$11))+MONTH(FL$3)-MONTH($B$11)),(12*(YEAR($B$10)-YEAR($B$11))+MONTH($B$10)-MONTH($B$11))))*(1+'Вводные'!$K$35)^MAX(0,(12*(YEAR(FL$3)-YEAR($B$10))+MONTH(FL$3)-MONTH($B$10))))</x:f>
      </x:c>
      <x:c r="FM23" s="107" t="n">
        <x:f>IF(FM22=0,0,'Вводные'!$K$31*'Вводные'!$H$5*INDEX('Вводные'!$S$88:$S$91,$B$8)*INDEX('Вводные'!$AG$88:$AG$91,$B$8)*(1+'Вводные'!$K$34)^MAX(0,MIN((12*(YEAR(FM$3)-YEAR($B$11))+MONTH(FM$3)-MONTH($B$11)),(12*(YEAR($B$10)-YEAR($B$11))+MONTH($B$10)-MONTH($B$11))))*(1+'Вводные'!$K$35)^MAX(0,(12*(YEAR(FM$3)-YEAR($B$10))+MONTH(FM$3)-MONTH($B$10))))</x:f>
      </x:c>
      <x:c r="FN23" s="107" t="n">
        <x:f>IF(FN22=0,0,'Вводные'!$K$31*'Вводные'!$H$5*INDEX('Вводные'!$S$88:$S$91,$B$8)*INDEX('Вводные'!$AG$88:$AG$91,$B$8)*(1+'Вводные'!$K$34)^MAX(0,MIN((12*(YEAR(FN$3)-YEAR($B$11))+MONTH(FN$3)-MONTH($B$11)),(12*(YEAR($B$10)-YEAR($B$11))+MONTH($B$10)-MONTH($B$11))))*(1+'Вводные'!$K$35)^MAX(0,(12*(YEAR(FN$3)-YEAR($B$10))+MONTH(FN$3)-MONTH($B$10))))</x:f>
      </x:c>
      <x:c r="FO23" s="107" t="n">
        <x:f>IF(FO22=0,0,'Вводные'!$K$31*'Вводные'!$H$5*INDEX('Вводные'!$S$88:$S$91,$B$8)*INDEX('Вводные'!$AG$88:$AG$91,$B$8)*(1+'Вводные'!$K$34)^MAX(0,MIN((12*(YEAR(FO$3)-YEAR($B$11))+MONTH(FO$3)-MONTH($B$11)),(12*(YEAR($B$10)-YEAR($B$11))+MONTH($B$10)-MONTH($B$11))))*(1+'Вводные'!$K$35)^MAX(0,(12*(YEAR(FO$3)-YEAR($B$10))+MONTH(FO$3)-MONTH($B$10))))</x:f>
      </x:c>
      <x:c r="FP23" s="107" t="n">
        <x:f>IF(FP22=0,0,'Вводные'!$K$31*'Вводные'!$H$5*INDEX('Вводные'!$S$88:$S$91,$B$8)*INDEX('Вводные'!$AG$88:$AG$91,$B$8)*(1+'Вводные'!$K$34)^MAX(0,MIN((12*(YEAR(FP$3)-YEAR($B$11))+MONTH(FP$3)-MONTH($B$11)),(12*(YEAR($B$10)-YEAR($B$11))+MONTH($B$10)-MONTH($B$11))))*(1+'Вводные'!$K$35)^MAX(0,(12*(YEAR(FP$3)-YEAR($B$10))+MONTH(FP$3)-MONTH($B$10))))</x:f>
      </x:c>
      <x:c r="FQ23" s="107" t="n">
        <x:f>IF(FQ22=0,0,'Вводные'!$K$31*'Вводные'!$H$5*INDEX('Вводные'!$S$88:$S$91,$B$8)*INDEX('Вводные'!$AG$88:$AG$91,$B$8)*(1+'Вводные'!$K$34)^MAX(0,MIN((12*(YEAR(FQ$3)-YEAR($B$11))+MONTH(FQ$3)-MONTH($B$11)),(12*(YEAR($B$10)-YEAR($B$11))+MONTH($B$10)-MONTH($B$11))))*(1+'Вводные'!$K$35)^MAX(0,(12*(YEAR(FQ$3)-YEAR($B$10))+MONTH(FQ$3)-MONTH($B$10))))</x:f>
      </x:c>
      <x:c r="FR23" s="107" t="n">
        <x:f>IF(FR22=0,0,'Вводные'!$K$31*'Вводные'!$H$5*INDEX('Вводные'!$S$88:$S$91,$B$8)*INDEX('Вводные'!$AG$88:$AG$91,$B$8)*(1+'Вводные'!$K$34)^MAX(0,MIN((12*(YEAR(FR$3)-YEAR($B$11))+MONTH(FR$3)-MONTH($B$11)),(12*(YEAR($B$10)-YEAR($B$11))+MONTH($B$10)-MONTH($B$11))))*(1+'Вводные'!$K$35)^MAX(0,(12*(YEAR(FR$3)-YEAR($B$10))+MONTH(FR$3)-MONTH($B$10))))</x:f>
      </x:c>
      <x:c r="FS23" s="107" t="n">
        <x:f>IF(FS22=0,0,'Вводные'!$K$31*'Вводные'!$H$5*INDEX('Вводные'!$S$88:$S$91,$B$8)*INDEX('Вводные'!$AG$88:$AG$91,$B$8)*(1+'Вводные'!$K$34)^MAX(0,MIN((12*(YEAR(FS$3)-YEAR($B$11))+MONTH(FS$3)-MONTH($B$11)),(12*(YEAR($B$10)-YEAR($B$11))+MONTH($B$10)-MONTH($B$11))))*(1+'Вводные'!$K$35)^MAX(0,(12*(YEAR(FS$3)-YEAR($B$10))+MONTH(FS$3)-MONTH($B$10))))</x:f>
      </x:c>
      <x:c r="FT23" s="107" t="n">
        <x:f>IF(FT22=0,0,'Вводные'!$K$31*'Вводные'!$H$5*INDEX('Вводные'!$S$88:$S$91,$B$8)*INDEX('Вводные'!$AG$88:$AG$91,$B$8)*(1+'Вводные'!$K$34)^MAX(0,MIN((12*(YEAR(FT$3)-YEAR($B$11))+MONTH(FT$3)-MONTH($B$11)),(12*(YEAR($B$10)-YEAR($B$11))+MONTH($B$10)-MONTH($B$11))))*(1+'Вводные'!$K$35)^MAX(0,(12*(YEAR(FT$3)-YEAR($B$10))+MONTH(FT$3)-MONTH($B$10))))</x:f>
      </x:c>
      <x:c r="FU23" s="107" t="n">
        <x:f>IF(FU22=0,0,'Вводные'!$K$31*'Вводные'!$H$5*INDEX('Вводные'!$S$88:$S$91,$B$8)*INDEX('Вводные'!$AG$88:$AG$91,$B$8)*(1+'Вводные'!$K$34)^MAX(0,MIN((12*(YEAR(FU$3)-YEAR($B$11))+MONTH(FU$3)-MONTH($B$11)),(12*(YEAR($B$10)-YEAR($B$11))+MONTH($B$10)-MONTH($B$11))))*(1+'Вводные'!$K$35)^MAX(0,(12*(YEAR(FU$3)-YEAR($B$10))+MONTH(FU$3)-MONTH($B$10))))</x:f>
      </x:c>
      <x:c r="FV23" s="107" t="n">
        <x:f>IF(FV22=0,0,'Вводные'!$K$31*'Вводные'!$H$5*INDEX('Вводные'!$S$88:$S$91,$B$8)*INDEX('Вводные'!$AG$88:$AG$91,$B$8)*(1+'Вводные'!$K$34)^MAX(0,MIN((12*(YEAR(FV$3)-YEAR($B$11))+MONTH(FV$3)-MONTH($B$11)),(12*(YEAR($B$10)-YEAR($B$11))+MONTH($B$10)-MONTH($B$11))))*(1+'Вводные'!$K$35)^MAX(0,(12*(YEAR(FV$3)-YEAR($B$10))+MONTH(FV$3)-MONTH($B$10))))</x:f>
      </x:c>
      <x:c r="FW23" s="107" t="n">
        <x:f>IF(FW22=0,0,'Вводные'!$K$31*'Вводные'!$H$5*INDEX('Вводные'!$S$88:$S$91,$B$8)*INDEX('Вводные'!$AG$88:$AG$91,$B$8)*(1+'Вводные'!$K$34)^MAX(0,MIN((12*(YEAR(FW$3)-YEAR($B$11))+MONTH(FW$3)-MONTH($B$11)),(12*(YEAR($B$10)-YEAR($B$11))+MONTH($B$10)-MONTH($B$11))))*(1+'Вводные'!$K$35)^MAX(0,(12*(YEAR(FW$3)-YEAR($B$10))+MONTH(FW$3)-MONTH($B$10))))</x:f>
      </x:c>
      <x:c r="FX23" s="107" t="n">
        <x:f>IF(FX22=0,0,'Вводные'!$K$31*'Вводные'!$H$5*INDEX('Вводные'!$S$88:$S$91,$B$8)*INDEX('Вводные'!$AG$88:$AG$91,$B$8)*(1+'Вводные'!$K$34)^MAX(0,MIN((12*(YEAR(FX$3)-YEAR($B$11))+MONTH(FX$3)-MONTH($B$11)),(12*(YEAR($B$10)-YEAR($B$11))+MONTH($B$10)-MONTH($B$11))))*(1+'Вводные'!$K$35)^MAX(0,(12*(YEAR(FX$3)-YEAR($B$10))+MONTH(FX$3)-MONTH($B$10))))</x:f>
      </x:c>
      <x:c r="FY23" s="107" t="n">
        <x:f>IF(FY22=0,0,'Вводные'!$K$31*'Вводные'!$H$5*INDEX('Вводные'!$S$88:$S$91,$B$8)*INDEX('Вводные'!$AG$88:$AG$91,$B$8)*(1+'Вводные'!$K$34)^MAX(0,MIN((12*(YEAR(FY$3)-YEAR($B$11))+MONTH(FY$3)-MONTH($B$11)),(12*(YEAR($B$10)-YEAR($B$11))+MONTH($B$10)-MONTH($B$11))))*(1+'Вводные'!$K$35)^MAX(0,(12*(YEAR(FY$3)-YEAR($B$10))+MONTH(FY$3)-MONTH($B$10))))</x:f>
      </x:c>
      <x:c r="FZ23" s="107" t="n">
        <x:f>IF(FZ22=0,0,'Вводные'!$K$31*'Вводные'!$H$5*INDEX('Вводные'!$S$88:$S$91,$B$8)*INDEX('Вводные'!$AG$88:$AG$91,$B$8)*(1+'Вводные'!$K$34)^MAX(0,MIN((12*(YEAR(FZ$3)-YEAR($B$11))+MONTH(FZ$3)-MONTH($B$11)),(12*(YEAR($B$10)-YEAR($B$11))+MONTH($B$10)-MONTH($B$11))))*(1+'Вводные'!$K$35)^MAX(0,(12*(YEAR(FZ$3)-YEAR($B$10))+MONTH(FZ$3)-MONTH($B$10))))</x:f>
      </x:c>
      <x:c r="GA23" s="107" t="n">
        <x:f>IF(GA22=0,0,'Вводные'!$K$31*'Вводные'!$H$5*INDEX('Вводные'!$S$88:$S$91,$B$8)*INDEX('Вводные'!$AG$88:$AG$91,$B$8)*(1+'Вводные'!$K$34)^MAX(0,MIN((12*(YEAR(GA$3)-YEAR($B$11))+MONTH(GA$3)-MONTH($B$11)),(12*(YEAR($B$10)-YEAR($B$11))+MONTH($B$10)-MONTH($B$11))))*(1+'Вводные'!$K$35)^MAX(0,(12*(YEAR(GA$3)-YEAR($B$10))+MONTH(GA$3)-MONTH($B$10))))</x:f>
      </x:c>
    </x:row>
    <x:row r="24">
      <x:c r="A24" t="str">
        <x:v>Продажи по договорам</x:v>
      </x:c>
      <x:c r="B24" s="107" t="n">
        <x:f>SUM(D24:GA24)</x:f>
      </x:c>
      <x:c r="C24" t="str">
        <x:v>млн ₽</x:v>
      </x:c>
      <x:c r="D24" s="107" t="n">
        <x:f>D22*D23/1000</x:f>
      </x:c>
      <x:c r="E24" s="107" t="n">
        <x:f>E22*E23/1000</x:f>
      </x:c>
      <x:c r="F24" s="107" t="n">
        <x:f>F22*F23/1000</x:f>
      </x:c>
      <x:c r="G24" s="107" t="n">
        <x:f>G22*G23/1000</x:f>
      </x:c>
      <x:c r="H24" s="107" t="n">
        <x:f>H22*H23/1000</x:f>
      </x:c>
      <x:c r="I24" s="107" t="n">
        <x:f>I22*I23/1000</x:f>
      </x:c>
      <x:c r="J24" s="107" t="n">
        <x:f>J22*J23/1000</x:f>
      </x:c>
      <x:c r="K24" s="107" t="n">
        <x:f>K22*K23/1000</x:f>
      </x:c>
      <x:c r="L24" s="107" t="n">
        <x:f>L22*L23/1000</x:f>
      </x:c>
      <x:c r="M24" s="107" t="n">
        <x:f>M22*M23/1000</x:f>
      </x:c>
      <x:c r="N24" s="107" t="n">
        <x:f>N22*N23/1000</x:f>
      </x:c>
      <x:c r="O24" s="107" t="n">
        <x:f>O22*O23/1000</x:f>
      </x:c>
      <x:c r="P24" s="107" t="n">
        <x:f>P22*P23/1000</x:f>
      </x:c>
      <x:c r="Q24" s="107" t="n">
        <x:f>Q22*Q23/1000</x:f>
      </x:c>
      <x:c r="R24" s="107" t="n">
        <x:f>R22*R23/1000</x:f>
      </x:c>
      <x:c r="S24" s="107" t="n">
        <x:f>S22*S23/1000</x:f>
      </x:c>
      <x:c r="T24" s="107" t="n">
        <x:f>T22*T23/1000</x:f>
      </x:c>
      <x:c r="U24" s="107" t="n">
        <x:f>U22*U23/1000</x:f>
      </x:c>
      <x:c r="V24" s="107" t="n">
        <x:f>V22*V23/1000</x:f>
      </x:c>
      <x:c r="W24" s="107" t="n">
        <x:f>W22*W23/1000</x:f>
      </x:c>
      <x:c r="X24" s="107" t="n">
        <x:f>X22*X23/1000</x:f>
      </x:c>
      <x:c r="Y24" s="107" t="n">
        <x:f>Y22*Y23/1000</x:f>
      </x:c>
      <x:c r="Z24" s="107" t="n">
        <x:f>Z22*Z23/1000</x:f>
      </x:c>
      <x:c r="AA24" s="107" t="n">
        <x:f>AA22*AA23/1000</x:f>
      </x:c>
      <x:c r="AB24" s="107" t="n">
        <x:f>AB22*AB23/1000</x:f>
      </x:c>
      <x:c r="AC24" s="107" t="n">
        <x:f>AC22*AC23/1000</x:f>
      </x:c>
      <x:c r="AD24" s="107" t="n">
        <x:f>AD22*AD23/1000</x:f>
      </x:c>
      <x:c r="AE24" s="107" t="n">
        <x:f>AE22*AE23/1000</x:f>
      </x:c>
      <x:c r="AF24" s="107" t="n">
        <x:f>AF22*AF23/1000</x:f>
      </x:c>
      <x:c r="AG24" s="107" t="n">
        <x:f>AG22*AG23/1000</x:f>
      </x:c>
      <x:c r="AH24" s="107" t="n">
        <x:f>AH22*AH23/1000</x:f>
      </x:c>
      <x:c r="AI24" s="107" t="n">
        <x:f>AI22*AI23/1000</x:f>
      </x:c>
      <x:c r="AJ24" s="107" t="n">
        <x:f>AJ22*AJ23/1000</x:f>
      </x:c>
      <x:c r="AK24" s="107" t="n">
        <x:f>AK22*AK23/1000</x:f>
      </x:c>
      <x:c r="AL24" s="107" t="n">
        <x:f>AL22*AL23/1000</x:f>
      </x:c>
      <x:c r="AM24" s="107" t="n">
        <x:f>AM22*AM23/1000</x:f>
      </x:c>
      <x:c r="AN24" s="107" t="n">
        <x:f>AN22*AN23/1000</x:f>
      </x:c>
      <x:c r="AO24" s="107" t="n">
        <x:f>AO22*AO23/1000</x:f>
      </x:c>
      <x:c r="AP24" s="107" t="n">
        <x:f>AP22*AP23/1000</x:f>
      </x:c>
      <x:c r="AQ24" s="107" t="n">
        <x:f>AQ22*AQ23/1000</x:f>
      </x:c>
      <x:c r="AR24" s="107" t="n">
        <x:f>AR22*AR23/1000</x:f>
      </x:c>
      <x:c r="AS24" s="107" t="n">
        <x:f>AS22*AS23/1000</x:f>
      </x:c>
      <x:c r="AT24" s="107" t="n">
        <x:f>AT22*AT23/1000</x:f>
      </x:c>
      <x:c r="AU24" s="107" t="n">
        <x:f>AU22*AU23/1000</x:f>
      </x:c>
      <x:c r="AV24" s="107" t="n">
        <x:f>AV22*AV23/1000</x:f>
      </x:c>
      <x:c r="AW24" s="107" t="n">
        <x:f>AW22*AW23/1000</x:f>
      </x:c>
      <x:c r="AX24" s="107" t="n">
        <x:f>AX22*AX23/1000</x:f>
      </x:c>
      <x:c r="AY24" s="107" t="n">
        <x:f>AY22*AY23/1000</x:f>
      </x:c>
      <x:c r="AZ24" s="107" t="n">
        <x:f>AZ22*AZ23/1000</x:f>
      </x:c>
      <x:c r="BA24" s="107" t="n">
        <x:f>BA22*BA23/1000</x:f>
      </x:c>
      <x:c r="BB24" s="107" t="n">
        <x:f>BB22*BB23/1000</x:f>
      </x:c>
      <x:c r="BC24" s="107" t="n">
        <x:f>BC22*BC23/1000</x:f>
      </x:c>
      <x:c r="BD24" s="107" t="n">
        <x:f>BD22*BD23/1000</x:f>
      </x:c>
      <x:c r="BE24" s="107" t="n">
        <x:f>BE22*BE23/1000</x:f>
      </x:c>
      <x:c r="BF24" s="107" t="n">
        <x:f>BF22*BF23/1000</x:f>
      </x:c>
      <x:c r="BG24" s="107" t="n">
        <x:f>BG22*BG23/1000</x:f>
      </x:c>
      <x:c r="BH24" s="107" t="n">
        <x:f>BH22*BH23/1000</x:f>
      </x:c>
      <x:c r="BI24" s="107" t="n">
        <x:f>BI22*BI23/1000</x:f>
      </x:c>
      <x:c r="BJ24" s="107" t="n">
        <x:f>BJ22*BJ23/1000</x:f>
      </x:c>
      <x:c r="BK24" s="107" t="n">
        <x:f>BK22*BK23/1000</x:f>
      </x:c>
      <x:c r="BL24" s="107" t="n">
        <x:f>BL22*BL23/1000</x:f>
      </x:c>
      <x:c r="BM24" s="107" t="n">
        <x:f>BM22*BM23/1000</x:f>
      </x:c>
      <x:c r="BN24" s="107" t="n">
        <x:f>BN22*BN23/1000</x:f>
      </x:c>
      <x:c r="BO24" s="107" t="n">
        <x:f>BO22*BO23/1000</x:f>
      </x:c>
      <x:c r="BP24" s="107" t="n">
        <x:f>BP22*BP23/1000</x:f>
      </x:c>
      <x:c r="BQ24" s="107" t="n">
        <x:f>BQ22*BQ23/1000</x:f>
      </x:c>
      <x:c r="BR24" s="107" t="n">
        <x:f>BR22*BR23/1000</x:f>
      </x:c>
      <x:c r="BS24" s="107" t="n">
        <x:f>BS22*BS23/1000</x:f>
      </x:c>
      <x:c r="BT24" s="107" t="n">
        <x:f>BT22*BT23/1000</x:f>
      </x:c>
      <x:c r="BU24" s="107" t="n">
        <x:f>BU22*BU23/1000</x:f>
      </x:c>
      <x:c r="BV24" s="107" t="n">
        <x:f>BV22*BV23/1000</x:f>
      </x:c>
      <x:c r="BW24" s="107" t="n">
        <x:f>BW22*BW23/1000</x:f>
      </x:c>
      <x:c r="BX24" s="107" t="n">
        <x:f>BX22*BX23/1000</x:f>
      </x:c>
      <x:c r="BY24" s="107" t="n">
        <x:f>BY22*BY23/1000</x:f>
      </x:c>
      <x:c r="BZ24" s="107" t="n">
        <x:f>BZ22*BZ23/1000</x:f>
      </x:c>
      <x:c r="CA24" s="107" t="n">
        <x:f>CA22*CA23/1000</x:f>
      </x:c>
      <x:c r="CB24" s="107" t="n">
        <x:f>CB22*CB23/1000</x:f>
      </x:c>
      <x:c r="CC24" s="107" t="n">
        <x:f>CC22*CC23/1000</x:f>
      </x:c>
      <x:c r="CD24" s="107" t="n">
        <x:f>CD22*CD23/1000</x:f>
      </x:c>
      <x:c r="CE24" s="107" t="n">
        <x:f>CE22*CE23/1000</x:f>
      </x:c>
      <x:c r="CF24" s="107" t="n">
        <x:f>CF22*CF23/1000</x:f>
      </x:c>
      <x:c r="CG24" s="107" t="n">
        <x:f>CG22*CG23/1000</x:f>
      </x:c>
      <x:c r="CH24" s="107" t="n">
        <x:f>CH22*CH23/1000</x:f>
      </x:c>
      <x:c r="CI24" s="107" t="n">
        <x:f>CI22*CI23/1000</x:f>
      </x:c>
      <x:c r="CJ24" s="107" t="n">
        <x:f>CJ22*CJ23/1000</x:f>
      </x:c>
      <x:c r="CK24" s="107" t="n">
        <x:f>CK22*CK23/1000</x:f>
      </x:c>
      <x:c r="CL24" s="107" t="n">
        <x:f>CL22*CL23/1000</x:f>
      </x:c>
      <x:c r="CM24" s="107" t="n">
        <x:f>CM22*CM23/1000</x:f>
      </x:c>
      <x:c r="CN24" s="107" t="n">
        <x:f>CN22*CN23/1000</x:f>
      </x:c>
      <x:c r="CO24" s="107" t="n">
        <x:f>CO22*CO23/1000</x:f>
      </x:c>
      <x:c r="CP24" s="107" t="n">
        <x:f>CP22*CP23/1000</x:f>
      </x:c>
      <x:c r="CQ24" s="107" t="n">
        <x:f>CQ22*CQ23/1000</x:f>
      </x:c>
      <x:c r="CR24" s="107" t="n">
        <x:f>CR22*CR23/1000</x:f>
      </x:c>
      <x:c r="CS24" s="107" t="n">
        <x:f>CS22*CS23/1000</x:f>
      </x:c>
      <x:c r="CT24" s="107" t="n">
        <x:f>CT22*CT23/1000</x:f>
      </x:c>
      <x:c r="CU24" s="107" t="n">
        <x:f>CU22*CU23/1000</x:f>
      </x:c>
      <x:c r="CV24" s="107" t="n">
        <x:f>CV22*CV23/1000</x:f>
      </x:c>
      <x:c r="CW24" s="107" t="n">
        <x:f>CW22*CW23/1000</x:f>
      </x:c>
      <x:c r="CX24" s="107" t="n">
        <x:f>CX22*CX23/1000</x:f>
      </x:c>
      <x:c r="CY24" s="107" t="n">
        <x:f>CY22*CY23/1000</x:f>
      </x:c>
      <x:c r="CZ24" s="107" t="n">
        <x:f>CZ22*CZ23/1000</x:f>
      </x:c>
      <x:c r="DA24" s="107" t="n">
        <x:f>DA22*DA23/1000</x:f>
      </x:c>
      <x:c r="DB24" s="107" t="n">
        <x:f>DB22*DB23/1000</x:f>
      </x:c>
      <x:c r="DC24" s="107" t="n">
        <x:f>DC22*DC23/1000</x:f>
      </x:c>
      <x:c r="DD24" s="107" t="n">
        <x:f>DD22*DD23/1000</x:f>
      </x:c>
      <x:c r="DE24" s="107" t="n">
        <x:f>DE22*DE23/1000</x:f>
      </x:c>
      <x:c r="DF24" s="107" t="n">
        <x:f>DF22*DF23/1000</x:f>
      </x:c>
      <x:c r="DG24" s="107" t="n">
        <x:f>DG22*DG23/1000</x:f>
      </x:c>
      <x:c r="DH24" s="107" t="n">
        <x:f>DH22*DH23/1000</x:f>
      </x:c>
      <x:c r="DI24" s="107" t="n">
        <x:f>DI22*DI23/1000</x:f>
      </x:c>
      <x:c r="DJ24" s="107" t="n">
        <x:f>DJ22*DJ23/1000</x:f>
      </x:c>
      <x:c r="DK24" s="107" t="n">
        <x:f>DK22*DK23/1000</x:f>
      </x:c>
      <x:c r="DL24" s="107" t="n">
        <x:f>DL22*DL23/1000</x:f>
      </x:c>
      <x:c r="DM24" s="107" t="n">
        <x:f>DM22*DM23/1000</x:f>
      </x:c>
      <x:c r="DN24" s="107" t="n">
        <x:f>DN22*DN23/1000</x:f>
      </x:c>
      <x:c r="DO24" s="107" t="n">
        <x:f>DO22*DO23/1000</x:f>
      </x:c>
      <x:c r="DP24" s="107" t="n">
        <x:f>DP22*DP23/1000</x:f>
      </x:c>
      <x:c r="DQ24" s="107" t="n">
        <x:f>DQ22*DQ23/1000</x:f>
      </x:c>
      <x:c r="DR24" s="107" t="n">
        <x:f>DR22*DR23/1000</x:f>
      </x:c>
      <x:c r="DS24" s="107" t="n">
        <x:f>DS22*DS23/1000</x:f>
      </x:c>
      <x:c r="DT24" s="107" t="n">
        <x:f>DT22*DT23/1000</x:f>
      </x:c>
      <x:c r="DU24" s="107" t="n">
        <x:f>DU22*DU23/1000</x:f>
      </x:c>
      <x:c r="DV24" s="107" t="n">
        <x:f>DV22*DV23/1000</x:f>
      </x:c>
      <x:c r="DW24" s="107" t="n">
        <x:f>DW22*DW23/1000</x:f>
      </x:c>
      <x:c r="DX24" s="107" t="n">
        <x:f>DX22*DX23/1000</x:f>
      </x:c>
      <x:c r="DY24" s="107" t="n">
        <x:f>DY22*DY23/1000</x:f>
      </x:c>
      <x:c r="DZ24" s="107" t="n">
        <x:f>DZ22*DZ23/1000</x:f>
      </x:c>
      <x:c r="EA24" s="107" t="n">
        <x:f>EA22*EA23/1000</x:f>
      </x:c>
      <x:c r="EB24" s="107" t="n">
        <x:f>EB22*EB23/1000</x:f>
      </x:c>
      <x:c r="EC24" s="107" t="n">
        <x:f>EC22*EC23/1000</x:f>
      </x:c>
      <x:c r="ED24" s="107" t="n">
        <x:f>ED22*ED23/1000</x:f>
      </x:c>
      <x:c r="EE24" s="107" t="n">
        <x:f>EE22*EE23/1000</x:f>
      </x:c>
      <x:c r="EF24" s="107" t="n">
        <x:f>EF22*EF23/1000</x:f>
      </x:c>
      <x:c r="EG24" s="107" t="n">
        <x:f>EG22*EG23/1000</x:f>
      </x:c>
      <x:c r="EH24" s="107" t="n">
        <x:f>EH22*EH23/1000</x:f>
      </x:c>
      <x:c r="EI24" s="107" t="n">
        <x:f>EI22*EI23/1000</x:f>
      </x:c>
      <x:c r="EJ24" s="107" t="n">
        <x:f>EJ22*EJ23/1000</x:f>
      </x:c>
      <x:c r="EK24" s="107" t="n">
        <x:f>EK22*EK23/1000</x:f>
      </x:c>
      <x:c r="EL24" s="107" t="n">
        <x:f>EL22*EL23/1000</x:f>
      </x:c>
      <x:c r="EM24" s="107" t="n">
        <x:f>EM22*EM23/1000</x:f>
      </x:c>
      <x:c r="EN24" s="107" t="n">
        <x:f>EN22*EN23/1000</x:f>
      </x:c>
      <x:c r="EO24" s="107" t="n">
        <x:f>EO22*EO23/1000</x:f>
      </x:c>
      <x:c r="EP24" s="107" t="n">
        <x:f>EP22*EP23/1000</x:f>
      </x:c>
      <x:c r="EQ24" s="107" t="n">
        <x:f>EQ22*EQ23/1000</x:f>
      </x:c>
      <x:c r="ER24" s="107" t="n">
        <x:f>ER22*ER23/1000</x:f>
      </x:c>
      <x:c r="ES24" s="107" t="n">
        <x:f>ES22*ES23/1000</x:f>
      </x:c>
      <x:c r="ET24" s="107" t="n">
        <x:f>ET22*ET23/1000</x:f>
      </x:c>
      <x:c r="EU24" s="107" t="n">
        <x:f>EU22*EU23/1000</x:f>
      </x:c>
      <x:c r="EV24" s="107" t="n">
        <x:f>EV22*EV23/1000</x:f>
      </x:c>
      <x:c r="EW24" s="107" t="n">
        <x:f>EW22*EW23/1000</x:f>
      </x:c>
      <x:c r="EX24" s="107" t="n">
        <x:f>EX22*EX23/1000</x:f>
      </x:c>
      <x:c r="EY24" s="107" t="n">
        <x:f>EY22*EY23/1000</x:f>
      </x:c>
      <x:c r="EZ24" s="107" t="n">
        <x:f>EZ22*EZ23/1000</x:f>
      </x:c>
      <x:c r="FA24" s="107" t="n">
        <x:f>FA22*FA23/1000</x:f>
      </x:c>
      <x:c r="FB24" s="107" t="n">
        <x:f>FB22*FB23/1000</x:f>
      </x:c>
      <x:c r="FC24" s="107" t="n">
        <x:f>FC22*FC23/1000</x:f>
      </x:c>
      <x:c r="FD24" s="107" t="n">
        <x:f>FD22*FD23/1000</x:f>
      </x:c>
      <x:c r="FE24" s="107" t="n">
        <x:f>FE22*FE23/1000</x:f>
      </x:c>
      <x:c r="FF24" s="107" t="n">
        <x:f>FF22*FF23/1000</x:f>
      </x:c>
      <x:c r="FG24" s="107" t="n">
        <x:f>FG22*FG23/1000</x:f>
      </x:c>
      <x:c r="FH24" s="107" t="n">
        <x:f>FH22*FH23/1000</x:f>
      </x:c>
      <x:c r="FI24" s="107" t="n">
        <x:f>FI22*FI23/1000</x:f>
      </x:c>
      <x:c r="FJ24" s="107" t="n">
        <x:f>FJ22*FJ23/1000</x:f>
      </x:c>
      <x:c r="FK24" s="107" t="n">
        <x:f>FK22*FK23/1000</x:f>
      </x:c>
      <x:c r="FL24" s="107" t="n">
        <x:f>FL22*FL23/1000</x:f>
      </x:c>
      <x:c r="FM24" s="107" t="n">
        <x:f>FM22*FM23/1000</x:f>
      </x:c>
      <x:c r="FN24" s="107" t="n">
        <x:f>FN22*FN23/1000</x:f>
      </x:c>
      <x:c r="FO24" s="107" t="n">
        <x:f>FO22*FO23/1000</x:f>
      </x:c>
      <x:c r="FP24" s="107" t="n">
        <x:f>FP22*FP23/1000</x:f>
      </x:c>
      <x:c r="FQ24" s="107" t="n">
        <x:f>FQ22*FQ23/1000</x:f>
      </x:c>
      <x:c r="FR24" s="107" t="n">
        <x:f>FR22*FR23/1000</x:f>
      </x:c>
      <x:c r="FS24" s="107" t="n">
        <x:f>FS22*FS23/1000</x:f>
      </x:c>
      <x:c r="FT24" s="107" t="n">
        <x:f>FT22*FT23/1000</x:f>
      </x:c>
      <x:c r="FU24" s="107" t="n">
        <x:f>FU22*FU23/1000</x:f>
      </x:c>
      <x:c r="FV24" s="107" t="n">
        <x:f>FV22*FV23/1000</x:f>
      </x:c>
      <x:c r="FW24" s="107" t="n">
        <x:f>FW22*FW23/1000</x:f>
      </x:c>
      <x:c r="FX24" s="107" t="n">
        <x:f>FX22*FX23/1000</x:f>
      </x:c>
      <x:c r="FY24" s="107" t="n">
        <x:f>FY22*FY23/1000</x:f>
      </x:c>
      <x:c r="FZ24" s="107" t="n">
        <x:f>FZ22*FZ23/1000</x:f>
      </x:c>
      <x:c r="GA24" s="107" t="n">
        <x:f>GA22*GA23/1000</x:f>
      </x:c>
    </x:row>
    <x:row r="25">
      <x:c r="A25" t="str">
        <x:v>Поступления на эскроу</x:v>
      </x:c>
      <x:c r="B25" s="107" t="n">
        <x:f>SUM(D25:GA25)</x:f>
      </x:c>
      <x:c r="C25" t="str">
        <x:v>млн ₽</x:v>
      </x:c>
      <x:c r="D25" s="107" t="n">
        <x:f>IF(D$3&lt;EDATE(INDEX('Вводные'!$D$88:$D$91,$B$8),INDEX('Вводные'!$E$88:$E$91,$B$8)+INDEX('Вводные'!$F$88:$F$91,$B$8)+'Вводные'!$H$9),D24,0)</x:f>
      </x:c>
      <x:c r="E25" s="107" t="n">
        <x:f>IF(E$3&lt;EDATE(INDEX('Вводные'!$D$88:$D$91,$B$8),INDEX('Вводные'!$E$88:$E$91,$B$8)+INDEX('Вводные'!$F$88:$F$91,$B$8)+'Вводные'!$H$9),E24,0)</x:f>
      </x:c>
      <x:c r="F25" s="107" t="n">
        <x:f>IF(F$3&lt;EDATE(INDEX('Вводные'!$D$88:$D$91,$B$8),INDEX('Вводные'!$E$88:$E$91,$B$8)+INDEX('Вводные'!$F$88:$F$91,$B$8)+'Вводные'!$H$9),F24,0)</x:f>
      </x:c>
      <x:c r="G25" s="107" t="n">
        <x:f>IF(G$3&lt;EDATE(INDEX('Вводные'!$D$88:$D$91,$B$8),INDEX('Вводные'!$E$88:$E$91,$B$8)+INDEX('Вводные'!$F$88:$F$91,$B$8)+'Вводные'!$H$9),G24,0)</x:f>
      </x:c>
      <x:c r="H25" s="107" t="n">
        <x:f>IF(H$3&lt;EDATE(INDEX('Вводные'!$D$88:$D$91,$B$8),INDEX('Вводные'!$E$88:$E$91,$B$8)+INDEX('Вводные'!$F$88:$F$91,$B$8)+'Вводные'!$H$9),H24,0)</x:f>
      </x:c>
      <x:c r="I25" s="107" t="n">
        <x:f>IF(I$3&lt;EDATE(INDEX('Вводные'!$D$88:$D$91,$B$8),INDEX('Вводные'!$E$88:$E$91,$B$8)+INDEX('Вводные'!$F$88:$F$91,$B$8)+'Вводные'!$H$9),I24,0)</x:f>
      </x:c>
      <x:c r="J25" s="107" t="n">
        <x:f>IF(J$3&lt;EDATE(INDEX('Вводные'!$D$88:$D$91,$B$8),INDEX('Вводные'!$E$88:$E$91,$B$8)+INDEX('Вводные'!$F$88:$F$91,$B$8)+'Вводные'!$H$9),J24,0)</x:f>
      </x:c>
      <x:c r="K25" s="107" t="n">
        <x:f>IF(K$3&lt;EDATE(INDEX('Вводные'!$D$88:$D$91,$B$8),INDEX('Вводные'!$E$88:$E$91,$B$8)+INDEX('Вводные'!$F$88:$F$91,$B$8)+'Вводные'!$H$9),K24,0)</x:f>
      </x:c>
      <x:c r="L25" s="107" t="n">
        <x:f>IF(L$3&lt;EDATE(INDEX('Вводные'!$D$88:$D$91,$B$8),INDEX('Вводные'!$E$88:$E$91,$B$8)+INDEX('Вводные'!$F$88:$F$91,$B$8)+'Вводные'!$H$9),L24,0)</x:f>
      </x:c>
      <x:c r="M25" s="107" t="n">
        <x:f>IF(M$3&lt;EDATE(INDEX('Вводные'!$D$88:$D$91,$B$8),INDEX('Вводные'!$E$88:$E$91,$B$8)+INDEX('Вводные'!$F$88:$F$91,$B$8)+'Вводные'!$H$9),M24,0)</x:f>
      </x:c>
      <x:c r="N25" s="107" t="n">
        <x:f>IF(N$3&lt;EDATE(INDEX('Вводные'!$D$88:$D$91,$B$8),INDEX('Вводные'!$E$88:$E$91,$B$8)+INDEX('Вводные'!$F$88:$F$91,$B$8)+'Вводные'!$H$9),N24,0)</x:f>
      </x:c>
      <x:c r="O25" s="107" t="n">
        <x:f>IF(O$3&lt;EDATE(INDEX('Вводные'!$D$88:$D$91,$B$8),INDEX('Вводные'!$E$88:$E$91,$B$8)+INDEX('Вводные'!$F$88:$F$91,$B$8)+'Вводные'!$H$9),O24,0)</x:f>
      </x:c>
      <x:c r="P25" s="107" t="n">
        <x:f>IF(P$3&lt;EDATE(INDEX('Вводные'!$D$88:$D$91,$B$8),INDEX('Вводные'!$E$88:$E$91,$B$8)+INDEX('Вводные'!$F$88:$F$91,$B$8)+'Вводные'!$H$9),P24,0)</x:f>
      </x:c>
      <x:c r="Q25" s="107" t="n">
        <x:f>IF(Q$3&lt;EDATE(INDEX('Вводные'!$D$88:$D$91,$B$8),INDEX('Вводные'!$E$88:$E$91,$B$8)+INDEX('Вводные'!$F$88:$F$91,$B$8)+'Вводные'!$H$9),Q24,0)</x:f>
      </x:c>
      <x:c r="R25" s="107" t="n">
        <x:f>IF(R$3&lt;EDATE(INDEX('Вводные'!$D$88:$D$91,$B$8),INDEX('Вводные'!$E$88:$E$91,$B$8)+INDEX('Вводные'!$F$88:$F$91,$B$8)+'Вводные'!$H$9),R24,0)</x:f>
      </x:c>
      <x:c r="S25" s="107" t="n">
        <x:f>IF(S$3&lt;EDATE(INDEX('Вводные'!$D$88:$D$91,$B$8),INDEX('Вводные'!$E$88:$E$91,$B$8)+INDEX('Вводные'!$F$88:$F$91,$B$8)+'Вводные'!$H$9),S24,0)</x:f>
      </x:c>
      <x:c r="T25" s="107" t="n">
        <x:f>IF(T$3&lt;EDATE(INDEX('Вводные'!$D$88:$D$91,$B$8),INDEX('Вводные'!$E$88:$E$91,$B$8)+INDEX('Вводные'!$F$88:$F$91,$B$8)+'Вводные'!$H$9),T24,0)</x:f>
      </x:c>
      <x:c r="U25" s="107" t="n">
        <x:f>IF(U$3&lt;EDATE(INDEX('Вводные'!$D$88:$D$91,$B$8),INDEX('Вводные'!$E$88:$E$91,$B$8)+INDEX('Вводные'!$F$88:$F$91,$B$8)+'Вводные'!$H$9),U24,0)</x:f>
      </x:c>
      <x:c r="V25" s="107" t="n">
        <x:f>IF(V$3&lt;EDATE(INDEX('Вводные'!$D$88:$D$91,$B$8),INDEX('Вводные'!$E$88:$E$91,$B$8)+INDEX('Вводные'!$F$88:$F$91,$B$8)+'Вводные'!$H$9),V24,0)</x:f>
      </x:c>
      <x:c r="W25" s="107" t="n">
        <x:f>IF(W$3&lt;EDATE(INDEX('Вводные'!$D$88:$D$91,$B$8),INDEX('Вводные'!$E$88:$E$91,$B$8)+INDEX('Вводные'!$F$88:$F$91,$B$8)+'Вводные'!$H$9),W24,0)</x:f>
      </x:c>
      <x:c r="X25" s="107" t="n">
        <x:f>IF(X$3&lt;EDATE(INDEX('Вводные'!$D$88:$D$91,$B$8),INDEX('Вводные'!$E$88:$E$91,$B$8)+INDEX('Вводные'!$F$88:$F$91,$B$8)+'Вводные'!$H$9),X24,0)</x:f>
      </x:c>
      <x:c r="Y25" s="107" t="n">
        <x:f>IF(Y$3&lt;EDATE(INDEX('Вводные'!$D$88:$D$91,$B$8),INDEX('Вводные'!$E$88:$E$91,$B$8)+INDEX('Вводные'!$F$88:$F$91,$B$8)+'Вводные'!$H$9),Y24,0)</x:f>
      </x:c>
      <x:c r="Z25" s="107" t="n">
        <x:f>IF(Z$3&lt;EDATE(INDEX('Вводные'!$D$88:$D$91,$B$8),INDEX('Вводные'!$E$88:$E$91,$B$8)+INDEX('Вводные'!$F$88:$F$91,$B$8)+'Вводные'!$H$9),Z24,0)</x:f>
      </x:c>
      <x:c r="AA25" s="107" t="n">
        <x:f>IF(AA$3&lt;EDATE(INDEX('Вводные'!$D$88:$D$91,$B$8),INDEX('Вводные'!$E$88:$E$91,$B$8)+INDEX('Вводные'!$F$88:$F$91,$B$8)+'Вводные'!$H$9),AA24,0)</x:f>
      </x:c>
      <x:c r="AB25" s="107" t="n">
        <x:f>IF(AB$3&lt;EDATE(INDEX('Вводные'!$D$88:$D$91,$B$8),INDEX('Вводные'!$E$88:$E$91,$B$8)+INDEX('Вводные'!$F$88:$F$91,$B$8)+'Вводные'!$H$9),AB24,0)</x:f>
      </x:c>
      <x:c r="AC25" s="107" t="n">
        <x:f>IF(AC$3&lt;EDATE(INDEX('Вводные'!$D$88:$D$91,$B$8),INDEX('Вводные'!$E$88:$E$91,$B$8)+INDEX('Вводные'!$F$88:$F$91,$B$8)+'Вводные'!$H$9),AC24,0)</x:f>
      </x:c>
      <x:c r="AD25" s="107" t="n">
        <x:f>IF(AD$3&lt;EDATE(INDEX('Вводные'!$D$88:$D$91,$B$8),INDEX('Вводные'!$E$88:$E$91,$B$8)+INDEX('Вводные'!$F$88:$F$91,$B$8)+'Вводные'!$H$9),AD24,0)</x:f>
      </x:c>
      <x:c r="AE25" s="107" t="n">
        <x:f>IF(AE$3&lt;EDATE(INDEX('Вводные'!$D$88:$D$91,$B$8),INDEX('Вводные'!$E$88:$E$91,$B$8)+INDEX('Вводные'!$F$88:$F$91,$B$8)+'Вводные'!$H$9),AE24,0)</x:f>
      </x:c>
      <x:c r="AF25" s="107" t="n">
        <x:f>IF(AF$3&lt;EDATE(INDEX('Вводные'!$D$88:$D$91,$B$8),INDEX('Вводные'!$E$88:$E$91,$B$8)+INDEX('Вводные'!$F$88:$F$91,$B$8)+'Вводные'!$H$9),AF24,0)</x:f>
      </x:c>
      <x:c r="AG25" s="107" t="n">
        <x:f>IF(AG$3&lt;EDATE(INDEX('Вводные'!$D$88:$D$91,$B$8),INDEX('Вводные'!$E$88:$E$91,$B$8)+INDEX('Вводные'!$F$88:$F$91,$B$8)+'Вводные'!$H$9),AG24,0)</x:f>
      </x:c>
      <x:c r="AH25" s="107" t="n">
        <x:f>IF(AH$3&lt;EDATE(INDEX('Вводные'!$D$88:$D$91,$B$8),INDEX('Вводные'!$E$88:$E$91,$B$8)+INDEX('Вводные'!$F$88:$F$91,$B$8)+'Вводные'!$H$9),AH24,0)</x:f>
      </x:c>
      <x:c r="AI25" s="107" t="n">
        <x:f>IF(AI$3&lt;EDATE(INDEX('Вводные'!$D$88:$D$91,$B$8),INDEX('Вводные'!$E$88:$E$91,$B$8)+INDEX('Вводные'!$F$88:$F$91,$B$8)+'Вводные'!$H$9),AI24,0)</x:f>
      </x:c>
      <x:c r="AJ25" s="107" t="n">
        <x:f>IF(AJ$3&lt;EDATE(INDEX('Вводные'!$D$88:$D$91,$B$8),INDEX('Вводные'!$E$88:$E$91,$B$8)+INDEX('Вводные'!$F$88:$F$91,$B$8)+'Вводные'!$H$9),AJ24,0)</x:f>
      </x:c>
      <x:c r="AK25" s="107" t="n">
        <x:f>IF(AK$3&lt;EDATE(INDEX('Вводные'!$D$88:$D$91,$B$8),INDEX('Вводные'!$E$88:$E$91,$B$8)+INDEX('Вводные'!$F$88:$F$91,$B$8)+'Вводные'!$H$9),AK24,0)</x:f>
      </x:c>
      <x:c r="AL25" s="107" t="n">
        <x:f>IF(AL$3&lt;EDATE(INDEX('Вводные'!$D$88:$D$91,$B$8),INDEX('Вводные'!$E$88:$E$91,$B$8)+INDEX('Вводные'!$F$88:$F$91,$B$8)+'Вводные'!$H$9),AL24,0)</x:f>
      </x:c>
      <x:c r="AM25" s="107" t="n">
        <x:f>IF(AM$3&lt;EDATE(INDEX('Вводные'!$D$88:$D$91,$B$8),INDEX('Вводные'!$E$88:$E$91,$B$8)+INDEX('Вводные'!$F$88:$F$91,$B$8)+'Вводные'!$H$9),AM24,0)</x:f>
      </x:c>
      <x:c r="AN25" s="107" t="n">
        <x:f>IF(AN$3&lt;EDATE(INDEX('Вводные'!$D$88:$D$91,$B$8),INDEX('Вводные'!$E$88:$E$91,$B$8)+INDEX('Вводные'!$F$88:$F$91,$B$8)+'Вводные'!$H$9),AN24,0)</x:f>
      </x:c>
      <x:c r="AO25" s="107" t="n">
        <x:f>IF(AO$3&lt;EDATE(INDEX('Вводные'!$D$88:$D$91,$B$8),INDEX('Вводные'!$E$88:$E$91,$B$8)+INDEX('Вводные'!$F$88:$F$91,$B$8)+'Вводные'!$H$9),AO24,0)</x:f>
      </x:c>
      <x:c r="AP25" s="107" t="n">
        <x:f>IF(AP$3&lt;EDATE(INDEX('Вводные'!$D$88:$D$91,$B$8),INDEX('Вводные'!$E$88:$E$91,$B$8)+INDEX('Вводные'!$F$88:$F$91,$B$8)+'Вводные'!$H$9),AP24,0)</x:f>
      </x:c>
      <x:c r="AQ25" s="107" t="n">
        <x:f>IF(AQ$3&lt;EDATE(INDEX('Вводные'!$D$88:$D$91,$B$8),INDEX('Вводные'!$E$88:$E$91,$B$8)+INDEX('Вводные'!$F$88:$F$91,$B$8)+'Вводные'!$H$9),AQ24,0)</x:f>
      </x:c>
      <x:c r="AR25" s="107" t="n">
        <x:f>IF(AR$3&lt;EDATE(INDEX('Вводные'!$D$88:$D$91,$B$8),INDEX('Вводные'!$E$88:$E$91,$B$8)+INDEX('Вводные'!$F$88:$F$91,$B$8)+'Вводные'!$H$9),AR24,0)</x:f>
      </x:c>
      <x:c r="AS25" s="107" t="n">
        <x:f>IF(AS$3&lt;EDATE(INDEX('Вводные'!$D$88:$D$91,$B$8),INDEX('Вводные'!$E$88:$E$91,$B$8)+INDEX('Вводные'!$F$88:$F$91,$B$8)+'Вводные'!$H$9),AS24,0)</x:f>
      </x:c>
      <x:c r="AT25" s="107" t="n">
        <x:f>IF(AT$3&lt;EDATE(INDEX('Вводные'!$D$88:$D$91,$B$8),INDEX('Вводные'!$E$88:$E$91,$B$8)+INDEX('Вводные'!$F$88:$F$91,$B$8)+'Вводные'!$H$9),AT24,0)</x:f>
      </x:c>
      <x:c r="AU25" s="107" t="n">
        <x:f>IF(AU$3&lt;EDATE(INDEX('Вводные'!$D$88:$D$91,$B$8),INDEX('Вводные'!$E$88:$E$91,$B$8)+INDEX('Вводные'!$F$88:$F$91,$B$8)+'Вводные'!$H$9),AU24,0)</x:f>
      </x:c>
      <x:c r="AV25" s="107" t="n">
        <x:f>IF(AV$3&lt;EDATE(INDEX('Вводные'!$D$88:$D$91,$B$8),INDEX('Вводные'!$E$88:$E$91,$B$8)+INDEX('Вводные'!$F$88:$F$91,$B$8)+'Вводные'!$H$9),AV24,0)</x:f>
      </x:c>
      <x:c r="AW25" s="107" t="n">
        <x:f>IF(AW$3&lt;EDATE(INDEX('Вводные'!$D$88:$D$91,$B$8),INDEX('Вводные'!$E$88:$E$91,$B$8)+INDEX('Вводные'!$F$88:$F$91,$B$8)+'Вводные'!$H$9),AW24,0)</x:f>
      </x:c>
      <x:c r="AX25" s="107" t="n">
        <x:f>IF(AX$3&lt;EDATE(INDEX('Вводные'!$D$88:$D$91,$B$8),INDEX('Вводные'!$E$88:$E$91,$B$8)+INDEX('Вводные'!$F$88:$F$91,$B$8)+'Вводные'!$H$9),AX24,0)</x:f>
      </x:c>
      <x:c r="AY25" s="107" t="n">
        <x:f>IF(AY$3&lt;EDATE(INDEX('Вводные'!$D$88:$D$91,$B$8),INDEX('Вводные'!$E$88:$E$91,$B$8)+INDEX('Вводные'!$F$88:$F$91,$B$8)+'Вводные'!$H$9),AY24,0)</x:f>
      </x:c>
      <x:c r="AZ25" s="107" t="n">
        <x:f>IF(AZ$3&lt;EDATE(INDEX('Вводные'!$D$88:$D$91,$B$8),INDEX('Вводные'!$E$88:$E$91,$B$8)+INDEX('Вводные'!$F$88:$F$91,$B$8)+'Вводные'!$H$9),AZ24,0)</x:f>
      </x:c>
      <x:c r="BA25" s="107" t="n">
        <x:f>IF(BA$3&lt;EDATE(INDEX('Вводные'!$D$88:$D$91,$B$8),INDEX('Вводные'!$E$88:$E$91,$B$8)+INDEX('Вводные'!$F$88:$F$91,$B$8)+'Вводные'!$H$9),BA24,0)</x:f>
      </x:c>
      <x:c r="BB25" s="107" t="n">
        <x:f>IF(BB$3&lt;EDATE(INDEX('Вводные'!$D$88:$D$91,$B$8),INDEX('Вводные'!$E$88:$E$91,$B$8)+INDEX('Вводные'!$F$88:$F$91,$B$8)+'Вводные'!$H$9),BB24,0)</x:f>
      </x:c>
      <x:c r="BC25" s="107" t="n">
        <x:f>IF(BC$3&lt;EDATE(INDEX('Вводные'!$D$88:$D$91,$B$8),INDEX('Вводные'!$E$88:$E$91,$B$8)+INDEX('Вводные'!$F$88:$F$91,$B$8)+'Вводные'!$H$9),BC24,0)</x:f>
      </x:c>
      <x:c r="BD25" s="107" t="n">
        <x:f>IF(BD$3&lt;EDATE(INDEX('Вводные'!$D$88:$D$91,$B$8),INDEX('Вводные'!$E$88:$E$91,$B$8)+INDEX('Вводные'!$F$88:$F$91,$B$8)+'Вводные'!$H$9),BD24,0)</x:f>
      </x:c>
      <x:c r="BE25" s="107" t="n">
        <x:f>IF(BE$3&lt;EDATE(INDEX('Вводные'!$D$88:$D$91,$B$8),INDEX('Вводные'!$E$88:$E$91,$B$8)+INDEX('Вводные'!$F$88:$F$91,$B$8)+'Вводные'!$H$9),BE24,0)</x:f>
      </x:c>
      <x:c r="BF25" s="107" t="n">
        <x:f>IF(BF$3&lt;EDATE(INDEX('Вводные'!$D$88:$D$91,$B$8),INDEX('Вводные'!$E$88:$E$91,$B$8)+INDEX('Вводные'!$F$88:$F$91,$B$8)+'Вводные'!$H$9),BF24,0)</x:f>
      </x:c>
      <x:c r="BG25" s="107" t="n">
        <x:f>IF(BG$3&lt;EDATE(INDEX('Вводные'!$D$88:$D$91,$B$8),INDEX('Вводные'!$E$88:$E$91,$B$8)+INDEX('Вводные'!$F$88:$F$91,$B$8)+'Вводные'!$H$9),BG24,0)</x:f>
      </x:c>
      <x:c r="BH25" s="107" t="n">
        <x:f>IF(BH$3&lt;EDATE(INDEX('Вводные'!$D$88:$D$91,$B$8),INDEX('Вводные'!$E$88:$E$91,$B$8)+INDEX('Вводные'!$F$88:$F$91,$B$8)+'Вводные'!$H$9),BH24,0)</x:f>
      </x:c>
      <x:c r="BI25" s="107" t="n">
        <x:f>IF(BI$3&lt;EDATE(INDEX('Вводные'!$D$88:$D$91,$B$8),INDEX('Вводные'!$E$88:$E$91,$B$8)+INDEX('Вводные'!$F$88:$F$91,$B$8)+'Вводные'!$H$9),BI24,0)</x:f>
      </x:c>
      <x:c r="BJ25" s="107" t="n">
        <x:f>IF(BJ$3&lt;EDATE(INDEX('Вводные'!$D$88:$D$91,$B$8),INDEX('Вводные'!$E$88:$E$91,$B$8)+INDEX('Вводные'!$F$88:$F$91,$B$8)+'Вводные'!$H$9),BJ24,0)</x:f>
      </x:c>
      <x:c r="BK25" s="107" t="n">
        <x:f>IF(BK$3&lt;EDATE(INDEX('Вводные'!$D$88:$D$91,$B$8),INDEX('Вводные'!$E$88:$E$91,$B$8)+INDEX('Вводные'!$F$88:$F$91,$B$8)+'Вводные'!$H$9),BK24,0)</x:f>
      </x:c>
      <x:c r="BL25" s="107" t="n">
        <x:f>IF(BL$3&lt;EDATE(INDEX('Вводные'!$D$88:$D$91,$B$8),INDEX('Вводные'!$E$88:$E$91,$B$8)+INDEX('Вводные'!$F$88:$F$91,$B$8)+'Вводные'!$H$9),BL24,0)</x:f>
      </x:c>
      <x:c r="BM25" s="107" t="n">
        <x:f>IF(BM$3&lt;EDATE(INDEX('Вводные'!$D$88:$D$91,$B$8),INDEX('Вводные'!$E$88:$E$91,$B$8)+INDEX('Вводные'!$F$88:$F$91,$B$8)+'Вводные'!$H$9),BM24,0)</x:f>
      </x:c>
      <x:c r="BN25" s="107" t="n">
        <x:f>IF(BN$3&lt;EDATE(INDEX('Вводные'!$D$88:$D$91,$B$8),INDEX('Вводные'!$E$88:$E$91,$B$8)+INDEX('Вводные'!$F$88:$F$91,$B$8)+'Вводные'!$H$9),BN24,0)</x:f>
      </x:c>
      <x:c r="BO25" s="107" t="n">
        <x:f>IF(BO$3&lt;EDATE(INDEX('Вводные'!$D$88:$D$91,$B$8),INDEX('Вводные'!$E$88:$E$91,$B$8)+INDEX('Вводные'!$F$88:$F$91,$B$8)+'Вводные'!$H$9),BO24,0)</x:f>
      </x:c>
      <x:c r="BP25" s="107" t="n">
        <x:f>IF(BP$3&lt;EDATE(INDEX('Вводные'!$D$88:$D$91,$B$8),INDEX('Вводные'!$E$88:$E$91,$B$8)+INDEX('Вводные'!$F$88:$F$91,$B$8)+'Вводные'!$H$9),BP24,0)</x:f>
      </x:c>
      <x:c r="BQ25" s="107" t="n">
        <x:f>IF(BQ$3&lt;EDATE(INDEX('Вводные'!$D$88:$D$91,$B$8),INDEX('Вводные'!$E$88:$E$91,$B$8)+INDEX('Вводные'!$F$88:$F$91,$B$8)+'Вводные'!$H$9),BQ24,0)</x:f>
      </x:c>
      <x:c r="BR25" s="107" t="n">
        <x:f>IF(BR$3&lt;EDATE(INDEX('Вводные'!$D$88:$D$91,$B$8),INDEX('Вводные'!$E$88:$E$91,$B$8)+INDEX('Вводные'!$F$88:$F$91,$B$8)+'Вводные'!$H$9),BR24,0)</x:f>
      </x:c>
      <x:c r="BS25" s="107" t="n">
        <x:f>IF(BS$3&lt;EDATE(INDEX('Вводные'!$D$88:$D$91,$B$8),INDEX('Вводные'!$E$88:$E$91,$B$8)+INDEX('Вводные'!$F$88:$F$91,$B$8)+'Вводные'!$H$9),BS24,0)</x:f>
      </x:c>
      <x:c r="BT25" s="107" t="n">
        <x:f>IF(BT$3&lt;EDATE(INDEX('Вводные'!$D$88:$D$91,$B$8),INDEX('Вводные'!$E$88:$E$91,$B$8)+INDEX('Вводные'!$F$88:$F$91,$B$8)+'Вводные'!$H$9),BT24,0)</x:f>
      </x:c>
      <x:c r="BU25" s="107" t="n">
        <x:f>IF(BU$3&lt;EDATE(INDEX('Вводные'!$D$88:$D$91,$B$8),INDEX('Вводные'!$E$88:$E$91,$B$8)+INDEX('Вводные'!$F$88:$F$91,$B$8)+'Вводные'!$H$9),BU24,0)</x:f>
      </x:c>
      <x:c r="BV25" s="107" t="n">
        <x:f>IF(BV$3&lt;EDATE(INDEX('Вводные'!$D$88:$D$91,$B$8),INDEX('Вводные'!$E$88:$E$91,$B$8)+INDEX('Вводные'!$F$88:$F$91,$B$8)+'Вводные'!$H$9),BV24,0)</x:f>
      </x:c>
      <x:c r="BW25" s="107" t="n">
        <x:f>IF(BW$3&lt;EDATE(INDEX('Вводные'!$D$88:$D$91,$B$8),INDEX('Вводные'!$E$88:$E$91,$B$8)+INDEX('Вводные'!$F$88:$F$91,$B$8)+'Вводные'!$H$9),BW24,0)</x:f>
      </x:c>
      <x:c r="BX25" s="107" t="n">
        <x:f>IF(BX$3&lt;EDATE(INDEX('Вводные'!$D$88:$D$91,$B$8),INDEX('Вводные'!$E$88:$E$91,$B$8)+INDEX('Вводные'!$F$88:$F$91,$B$8)+'Вводные'!$H$9),BX24,0)</x:f>
      </x:c>
      <x:c r="BY25" s="107" t="n">
        <x:f>IF(BY$3&lt;EDATE(INDEX('Вводные'!$D$88:$D$91,$B$8),INDEX('Вводные'!$E$88:$E$91,$B$8)+INDEX('Вводные'!$F$88:$F$91,$B$8)+'Вводные'!$H$9),BY24,0)</x:f>
      </x:c>
      <x:c r="BZ25" s="107" t="n">
        <x:f>IF(BZ$3&lt;EDATE(INDEX('Вводные'!$D$88:$D$91,$B$8),INDEX('Вводные'!$E$88:$E$91,$B$8)+INDEX('Вводные'!$F$88:$F$91,$B$8)+'Вводные'!$H$9),BZ24,0)</x:f>
      </x:c>
      <x:c r="CA25" s="107" t="n">
        <x:f>IF(CA$3&lt;EDATE(INDEX('Вводные'!$D$88:$D$91,$B$8),INDEX('Вводные'!$E$88:$E$91,$B$8)+INDEX('Вводные'!$F$88:$F$91,$B$8)+'Вводные'!$H$9),CA24,0)</x:f>
      </x:c>
      <x:c r="CB25" s="107" t="n">
        <x:f>IF(CB$3&lt;EDATE(INDEX('Вводные'!$D$88:$D$91,$B$8),INDEX('Вводные'!$E$88:$E$91,$B$8)+INDEX('Вводные'!$F$88:$F$91,$B$8)+'Вводные'!$H$9),CB24,0)</x:f>
      </x:c>
      <x:c r="CC25" s="107" t="n">
        <x:f>IF(CC$3&lt;EDATE(INDEX('Вводные'!$D$88:$D$91,$B$8),INDEX('Вводные'!$E$88:$E$91,$B$8)+INDEX('Вводные'!$F$88:$F$91,$B$8)+'Вводные'!$H$9),CC24,0)</x:f>
      </x:c>
      <x:c r="CD25" s="107" t="n">
        <x:f>IF(CD$3&lt;EDATE(INDEX('Вводные'!$D$88:$D$91,$B$8),INDEX('Вводные'!$E$88:$E$91,$B$8)+INDEX('Вводные'!$F$88:$F$91,$B$8)+'Вводные'!$H$9),CD24,0)</x:f>
      </x:c>
      <x:c r="CE25" s="107" t="n">
        <x:f>IF(CE$3&lt;EDATE(INDEX('Вводные'!$D$88:$D$91,$B$8),INDEX('Вводные'!$E$88:$E$91,$B$8)+INDEX('Вводные'!$F$88:$F$91,$B$8)+'Вводные'!$H$9),CE24,0)</x:f>
      </x:c>
      <x:c r="CF25" s="107" t="n">
        <x:f>IF(CF$3&lt;EDATE(INDEX('Вводные'!$D$88:$D$91,$B$8),INDEX('Вводные'!$E$88:$E$91,$B$8)+INDEX('Вводные'!$F$88:$F$91,$B$8)+'Вводные'!$H$9),CF24,0)</x:f>
      </x:c>
      <x:c r="CG25" s="107" t="n">
        <x:f>IF(CG$3&lt;EDATE(INDEX('Вводные'!$D$88:$D$91,$B$8),INDEX('Вводные'!$E$88:$E$91,$B$8)+INDEX('Вводные'!$F$88:$F$91,$B$8)+'Вводные'!$H$9),CG24,0)</x:f>
      </x:c>
      <x:c r="CH25" s="107" t="n">
        <x:f>IF(CH$3&lt;EDATE(INDEX('Вводные'!$D$88:$D$91,$B$8),INDEX('Вводные'!$E$88:$E$91,$B$8)+INDEX('Вводные'!$F$88:$F$91,$B$8)+'Вводные'!$H$9),CH24,0)</x:f>
      </x:c>
      <x:c r="CI25" s="107" t="n">
        <x:f>IF(CI$3&lt;EDATE(INDEX('Вводные'!$D$88:$D$91,$B$8),INDEX('Вводные'!$E$88:$E$91,$B$8)+INDEX('Вводные'!$F$88:$F$91,$B$8)+'Вводные'!$H$9),CI24,0)</x:f>
      </x:c>
      <x:c r="CJ25" s="107" t="n">
        <x:f>IF(CJ$3&lt;EDATE(INDEX('Вводные'!$D$88:$D$91,$B$8),INDEX('Вводные'!$E$88:$E$91,$B$8)+INDEX('Вводные'!$F$88:$F$91,$B$8)+'Вводные'!$H$9),CJ24,0)</x:f>
      </x:c>
      <x:c r="CK25" s="107" t="n">
        <x:f>IF(CK$3&lt;EDATE(INDEX('Вводные'!$D$88:$D$91,$B$8),INDEX('Вводные'!$E$88:$E$91,$B$8)+INDEX('Вводные'!$F$88:$F$91,$B$8)+'Вводные'!$H$9),CK24,0)</x:f>
      </x:c>
      <x:c r="CL25" s="107" t="n">
        <x:f>IF(CL$3&lt;EDATE(INDEX('Вводные'!$D$88:$D$91,$B$8),INDEX('Вводные'!$E$88:$E$91,$B$8)+INDEX('Вводные'!$F$88:$F$91,$B$8)+'Вводные'!$H$9),CL24,0)</x:f>
      </x:c>
      <x:c r="CM25" s="107" t="n">
        <x:f>IF(CM$3&lt;EDATE(INDEX('Вводные'!$D$88:$D$91,$B$8),INDEX('Вводные'!$E$88:$E$91,$B$8)+INDEX('Вводные'!$F$88:$F$91,$B$8)+'Вводные'!$H$9),CM24,0)</x:f>
      </x:c>
      <x:c r="CN25" s="107" t="n">
        <x:f>IF(CN$3&lt;EDATE(INDEX('Вводные'!$D$88:$D$91,$B$8),INDEX('Вводные'!$E$88:$E$91,$B$8)+INDEX('Вводные'!$F$88:$F$91,$B$8)+'Вводные'!$H$9),CN24,0)</x:f>
      </x:c>
      <x:c r="CO25" s="107" t="n">
        <x:f>IF(CO$3&lt;EDATE(INDEX('Вводные'!$D$88:$D$91,$B$8),INDEX('Вводные'!$E$88:$E$91,$B$8)+INDEX('Вводные'!$F$88:$F$91,$B$8)+'Вводные'!$H$9),CO24,0)</x:f>
      </x:c>
      <x:c r="CP25" s="107" t="n">
        <x:f>IF(CP$3&lt;EDATE(INDEX('Вводные'!$D$88:$D$91,$B$8),INDEX('Вводные'!$E$88:$E$91,$B$8)+INDEX('Вводные'!$F$88:$F$91,$B$8)+'Вводные'!$H$9),CP24,0)</x:f>
      </x:c>
      <x:c r="CQ25" s="107" t="n">
        <x:f>IF(CQ$3&lt;EDATE(INDEX('Вводные'!$D$88:$D$91,$B$8),INDEX('Вводные'!$E$88:$E$91,$B$8)+INDEX('Вводные'!$F$88:$F$91,$B$8)+'Вводные'!$H$9),CQ24,0)</x:f>
      </x:c>
      <x:c r="CR25" s="107" t="n">
        <x:f>IF(CR$3&lt;EDATE(INDEX('Вводные'!$D$88:$D$91,$B$8),INDEX('Вводные'!$E$88:$E$91,$B$8)+INDEX('Вводные'!$F$88:$F$91,$B$8)+'Вводные'!$H$9),CR24,0)</x:f>
      </x:c>
      <x:c r="CS25" s="107" t="n">
        <x:f>IF(CS$3&lt;EDATE(INDEX('Вводные'!$D$88:$D$91,$B$8),INDEX('Вводные'!$E$88:$E$91,$B$8)+INDEX('Вводные'!$F$88:$F$91,$B$8)+'Вводные'!$H$9),CS24,0)</x:f>
      </x:c>
      <x:c r="CT25" s="107" t="n">
        <x:f>IF(CT$3&lt;EDATE(INDEX('Вводные'!$D$88:$D$91,$B$8),INDEX('Вводные'!$E$88:$E$91,$B$8)+INDEX('Вводные'!$F$88:$F$91,$B$8)+'Вводные'!$H$9),CT24,0)</x:f>
      </x:c>
      <x:c r="CU25" s="107" t="n">
        <x:f>IF(CU$3&lt;EDATE(INDEX('Вводные'!$D$88:$D$91,$B$8),INDEX('Вводные'!$E$88:$E$91,$B$8)+INDEX('Вводные'!$F$88:$F$91,$B$8)+'Вводные'!$H$9),CU24,0)</x:f>
      </x:c>
      <x:c r="CV25" s="107" t="n">
        <x:f>IF(CV$3&lt;EDATE(INDEX('Вводные'!$D$88:$D$91,$B$8),INDEX('Вводные'!$E$88:$E$91,$B$8)+INDEX('Вводные'!$F$88:$F$91,$B$8)+'Вводные'!$H$9),CV24,0)</x:f>
      </x:c>
      <x:c r="CW25" s="107" t="n">
        <x:f>IF(CW$3&lt;EDATE(INDEX('Вводные'!$D$88:$D$91,$B$8),INDEX('Вводные'!$E$88:$E$91,$B$8)+INDEX('Вводные'!$F$88:$F$91,$B$8)+'Вводные'!$H$9),CW24,0)</x:f>
      </x:c>
      <x:c r="CX25" s="107" t="n">
        <x:f>IF(CX$3&lt;EDATE(INDEX('Вводные'!$D$88:$D$91,$B$8),INDEX('Вводные'!$E$88:$E$91,$B$8)+INDEX('Вводные'!$F$88:$F$91,$B$8)+'Вводные'!$H$9),CX24,0)</x:f>
      </x:c>
      <x:c r="CY25" s="107" t="n">
        <x:f>IF(CY$3&lt;EDATE(INDEX('Вводные'!$D$88:$D$91,$B$8),INDEX('Вводные'!$E$88:$E$91,$B$8)+INDEX('Вводные'!$F$88:$F$91,$B$8)+'Вводные'!$H$9),CY24,0)</x:f>
      </x:c>
      <x:c r="CZ25" s="107" t="n">
        <x:f>IF(CZ$3&lt;EDATE(INDEX('Вводные'!$D$88:$D$91,$B$8),INDEX('Вводные'!$E$88:$E$91,$B$8)+INDEX('Вводные'!$F$88:$F$91,$B$8)+'Вводные'!$H$9),CZ24,0)</x:f>
      </x:c>
      <x:c r="DA25" s="107" t="n">
        <x:f>IF(DA$3&lt;EDATE(INDEX('Вводные'!$D$88:$D$91,$B$8),INDEX('Вводные'!$E$88:$E$91,$B$8)+INDEX('Вводные'!$F$88:$F$91,$B$8)+'Вводные'!$H$9),DA24,0)</x:f>
      </x:c>
      <x:c r="DB25" s="107" t="n">
        <x:f>IF(DB$3&lt;EDATE(INDEX('Вводные'!$D$88:$D$91,$B$8),INDEX('Вводные'!$E$88:$E$91,$B$8)+INDEX('Вводные'!$F$88:$F$91,$B$8)+'Вводные'!$H$9),DB24,0)</x:f>
      </x:c>
      <x:c r="DC25" s="107" t="n">
        <x:f>IF(DC$3&lt;EDATE(INDEX('Вводные'!$D$88:$D$91,$B$8),INDEX('Вводные'!$E$88:$E$91,$B$8)+INDEX('Вводные'!$F$88:$F$91,$B$8)+'Вводные'!$H$9),DC24,0)</x:f>
      </x:c>
      <x:c r="DD25" s="107" t="n">
        <x:f>IF(DD$3&lt;EDATE(INDEX('Вводные'!$D$88:$D$91,$B$8),INDEX('Вводные'!$E$88:$E$91,$B$8)+INDEX('Вводные'!$F$88:$F$91,$B$8)+'Вводные'!$H$9),DD24,0)</x:f>
      </x:c>
      <x:c r="DE25" s="107" t="n">
        <x:f>IF(DE$3&lt;EDATE(INDEX('Вводные'!$D$88:$D$91,$B$8),INDEX('Вводные'!$E$88:$E$91,$B$8)+INDEX('Вводные'!$F$88:$F$91,$B$8)+'Вводные'!$H$9),DE24,0)</x:f>
      </x:c>
      <x:c r="DF25" s="107" t="n">
        <x:f>IF(DF$3&lt;EDATE(INDEX('Вводные'!$D$88:$D$91,$B$8),INDEX('Вводные'!$E$88:$E$91,$B$8)+INDEX('Вводные'!$F$88:$F$91,$B$8)+'Вводные'!$H$9),DF24,0)</x:f>
      </x:c>
      <x:c r="DG25" s="107" t="n">
        <x:f>IF(DG$3&lt;EDATE(INDEX('Вводные'!$D$88:$D$91,$B$8),INDEX('Вводные'!$E$88:$E$91,$B$8)+INDEX('Вводные'!$F$88:$F$91,$B$8)+'Вводные'!$H$9),DG24,0)</x:f>
      </x:c>
      <x:c r="DH25" s="107" t="n">
        <x:f>IF(DH$3&lt;EDATE(INDEX('Вводные'!$D$88:$D$91,$B$8),INDEX('Вводные'!$E$88:$E$91,$B$8)+INDEX('Вводные'!$F$88:$F$91,$B$8)+'Вводные'!$H$9),DH24,0)</x:f>
      </x:c>
      <x:c r="DI25" s="107" t="n">
        <x:f>IF(DI$3&lt;EDATE(INDEX('Вводные'!$D$88:$D$91,$B$8),INDEX('Вводные'!$E$88:$E$91,$B$8)+INDEX('Вводные'!$F$88:$F$91,$B$8)+'Вводные'!$H$9),DI24,0)</x:f>
      </x:c>
      <x:c r="DJ25" s="107" t="n">
        <x:f>IF(DJ$3&lt;EDATE(INDEX('Вводные'!$D$88:$D$91,$B$8),INDEX('Вводные'!$E$88:$E$91,$B$8)+INDEX('Вводные'!$F$88:$F$91,$B$8)+'Вводные'!$H$9),DJ24,0)</x:f>
      </x:c>
      <x:c r="DK25" s="107" t="n">
        <x:f>IF(DK$3&lt;EDATE(INDEX('Вводные'!$D$88:$D$91,$B$8),INDEX('Вводные'!$E$88:$E$91,$B$8)+INDEX('Вводные'!$F$88:$F$91,$B$8)+'Вводные'!$H$9),DK24,0)</x:f>
      </x:c>
      <x:c r="DL25" s="107" t="n">
        <x:f>IF(DL$3&lt;EDATE(INDEX('Вводные'!$D$88:$D$91,$B$8),INDEX('Вводные'!$E$88:$E$91,$B$8)+INDEX('Вводные'!$F$88:$F$91,$B$8)+'Вводные'!$H$9),DL24,0)</x:f>
      </x:c>
      <x:c r="DM25" s="107" t="n">
        <x:f>IF(DM$3&lt;EDATE(INDEX('Вводные'!$D$88:$D$91,$B$8),INDEX('Вводные'!$E$88:$E$91,$B$8)+INDEX('Вводные'!$F$88:$F$91,$B$8)+'Вводные'!$H$9),DM24,0)</x:f>
      </x:c>
      <x:c r="DN25" s="107" t="n">
        <x:f>IF(DN$3&lt;EDATE(INDEX('Вводные'!$D$88:$D$91,$B$8),INDEX('Вводные'!$E$88:$E$91,$B$8)+INDEX('Вводные'!$F$88:$F$91,$B$8)+'Вводные'!$H$9),DN24,0)</x:f>
      </x:c>
      <x:c r="DO25" s="107" t="n">
        <x:f>IF(DO$3&lt;EDATE(INDEX('Вводные'!$D$88:$D$91,$B$8),INDEX('Вводные'!$E$88:$E$91,$B$8)+INDEX('Вводные'!$F$88:$F$91,$B$8)+'Вводные'!$H$9),DO24,0)</x:f>
      </x:c>
      <x:c r="DP25" s="107" t="n">
        <x:f>IF(DP$3&lt;EDATE(INDEX('Вводные'!$D$88:$D$91,$B$8),INDEX('Вводные'!$E$88:$E$91,$B$8)+INDEX('Вводные'!$F$88:$F$91,$B$8)+'Вводные'!$H$9),DP24,0)</x:f>
      </x:c>
      <x:c r="DQ25" s="107" t="n">
        <x:f>IF(DQ$3&lt;EDATE(INDEX('Вводные'!$D$88:$D$91,$B$8),INDEX('Вводные'!$E$88:$E$91,$B$8)+INDEX('Вводные'!$F$88:$F$91,$B$8)+'Вводные'!$H$9),DQ24,0)</x:f>
      </x:c>
      <x:c r="DR25" s="107" t="n">
        <x:f>IF(DR$3&lt;EDATE(INDEX('Вводные'!$D$88:$D$91,$B$8),INDEX('Вводные'!$E$88:$E$91,$B$8)+INDEX('Вводные'!$F$88:$F$91,$B$8)+'Вводные'!$H$9),DR24,0)</x:f>
      </x:c>
      <x:c r="DS25" s="107" t="n">
        <x:f>IF(DS$3&lt;EDATE(INDEX('Вводные'!$D$88:$D$91,$B$8),INDEX('Вводные'!$E$88:$E$91,$B$8)+INDEX('Вводные'!$F$88:$F$91,$B$8)+'Вводные'!$H$9),DS24,0)</x:f>
      </x:c>
      <x:c r="DT25" s="107" t="n">
        <x:f>IF(DT$3&lt;EDATE(INDEX('Вводные'!$D$88:$D$91,$B$8),INDEX('Вводные'!$E$88:$E$91,$B$8)+INDEX('Вводные'!$F$88:$F$91,$B$8)+'Вводные'!$H$9),DT24,0)</x:f>
      </x:c>
      <x:c r="DU25" s="107" t="n">
        <x:f>IF(DU$3&lt;EDATE(INDEX('Вводные'!$D$88:$D$91,$B$8),INDEX('Вводные'!$E$88:$E$91,$B$8)+INDEX('Вводные'!$F$88:$F$91,$B$8)+'Вводные'!$H$9),DU24,0)</x:f>
      </x:c>
      <x:c r="DV25" s="107" t="n">
        <x:f>IF(DV$3&lt;EDATE(INDEX('Вводные'!$D$88:$D$91,$B$8),INDEX('Вводные'!$E$88:$E$91,$B$8)+INDEX('Вводные'!$F$88:$F$91,$B$8)+'Вводные'!$H$9),DV24,0)</x:f>
      </x:c>
      <x:c r="DW25" s="107" t="n">
        <x:f>IF(DW$3&lt;EDATE(INDEX('Вводные'!$D$88:$D$91,$B$8),INDEX('Вводные'!$E$88:$E$91,$B$8)+INDEX('Вводные'!$F$88:$F$91,$B$8)+'Вводные'!$H$9),DW24,0)</x:f>
      </x:c>
      <x:c r="DX25" s="107" t="n">
        <x:f>IF(DX$3&lt;EDATE(INDEX('Вводные'!$D$88:$D$91,$B$8),INDEX('Вводные'!$E$88:$E$91,$B$8)+INDEX('Вводные'!$F$88:$F$91,$B$8)+'Вводные'!$H$9),DX24,0)</x:f>
      </x:c>
      <x:c r="DY25" s="107" t="n">
        <x:f>IF(DY$3&lt;EDATE(INDEX('Вводные'!$D$88:$D$91,$B$8),INDEX('Вводные'!$E$88:$E$91,$B$8)+INDEX('Вводные'!$F$88:$F$91,$B$8)+'Вводные'!$H$9),DY24,0)</x:f>
      </x:c>
      <x:c r="DZ25" s="107" t="n">
        <x:f>IF(DZ$3&lt;EDATE(INDEX('Вводные'!$D$88:$D$91,$B$8),INDEX('Вводные'!$E$88:$E$91,$B$8)+INDEX('Вводные'!$F$88:$F$91,$B$8)+'Вводные'!$H$9),DZ24,0)</x:f>
      </x:c>
      <x:c r="EA25" s="107" t="n">
        <x:f>IF(EA$3&lt;EDATE(INDEX('Вводные'!$D$88:$D$91,$B$8),INDEX('Вводные'!$E$88:$E$91,$B$8)+INDEX('Вводные'!$F$88:$F$91,$B$8)+'Вводные'!$H$9),EA24,0)</x:f>
      </x:c>
      <x:c r="EB25" s="107" t="n">
        <x:f>IF(EB$3&lt;EDATE(INDEX('Вводные'!$D$88:$D$91,$B$8),INDEX('Вводные'!$E$88:$E$91,$B$8)+INDEX('Вводные'!$F$88:$F$91,$B$8)+'Вводные'!$H$9),EB24,0)</x:f>
      </x:c>
      <x:c r="EC25" s="107" t="n">
        <x:f>IF(EC$3&lt;EDATE(INDEX('Вводные'!$D$88:$D$91,$B$8),INDEX('Вводные'!$E$88:$E$91,$B$8)+INDEX('Вводные'!$F$88:$F$91,$B$8)+'Вводные'!$H$9),EC24,0)</x:f>
      </x:c>
      <x:c r="ED25" s="107" t="n">
        <x:f>IF(ED$3&lt;EDATE(INDEX('Вводные'!$D$88:$D$91,$B$8),INDEX('Вводные'!$E$88:$E$91,$B$8)+INDEX('Вводные'!$F$88:$F$91,$B$8)+'Вводные'!$H$9),ED24,0)</x:f>
      </x:c>
      <x:c r="EE25" s="107" t="n">
        <x:f>IF(EE$3&lt;EDATE(INDEX('Вводные'!$D$88:$D$91,$B$8),INDEX('Вводные'!$E$88:$E$91,$B$8)+INDEX('Вводные'!$F$88:$F$91,$B$8)+'Вводные'!$H$9),EE24,0)</x:f>
      </x:c>
      <x:c r="EF25" s="107" t="n">
        <x:f>IF(EF$3&lt;EDATE(INDEX('Вводные'!$D$88:$D$91,$B$8),INDEX('Вводные'!$E$88:$E$91,$B$8)+INDEX('Вводные'!$F$88:$F$91,$B$8)+'Вводные'!$H$9),EF24,0)</x:f>
      </x:c>
      <x:c r="EG25" s="107" t="n">
        <x:f>IF(EG$3&lt;EDATE(INDEX('Вводные'!$D$88:$D$91,$B$8),INDEX('Вводные'!$E$88:$E$91,$B$8)+INDEX('Вводные'!$F$88:$F$91,$B$8)+'Вводные'!$H$9),EG24,0)</x:f>
      </x:c>
      <x:c r="EH25" s="107" t="n">
        <x:f>IF(EH$3&lt;EDATE(INDEX('Вводные'!$D$88:$D$91,$B$8),INDEX('Вводные'!$E$88:$E$91,$B$8)+INDEX('Вводные'!$F$88:$F$91,$B$8)+'Вводные'!$H$9),EH24,0)</x:f>
      </x:c>
      <x:c r="EI25" s="107" t="n">
        <x:f>IF(EI$3&lt;EDATE(INDEX('Вводные'!$D$88:$D$91,$B$8),INDEX('Вводные'!$E$88:$E$91,$B$8)+INDEX('Вводные'!$F$88:$F$91,$B$8)+'Вводные'!$H$9),EI24,0)</x:f>
      </x:c>
      <x:c r="EJ25" s="107" t="n">
        <x:f>IF(EJ$3&lt;EDATE(INDEX('Вводные'!$D$88:$D$91,$B$8),INDEX('Вводные'!$E$88:$E$91,$B$8)+INDEX('Вводные'!$F$88:$F$91,$B$8)+'Вводные'!$H$9),EJ24,0)</x:f>
      </x:c>
      <x:c r="EK25" s="107" t="n">
        <x:f>IF(EK$3&lt;EDATE(INDEX('Вводные'!$D$88:$D$91,$B$8),INDEX('Вводные'!$E$88:$E$91,$B$8)+INDEX('Вводные'!$F$88:$F$91,$B$8)+'Вводные'!$H$9),EK24,0)</x:f>
      </x:c>
      <x:c r="EL25" s="107" t="n">
        <x:f>IF(EL$3&lt;EDATE(INDEX('Вводные'!$D$88:$D$91,$B$8),INDEX('Вводные'!$E$88:$E$91,$B$8)+INDEX('Вводные'!$F$88:$F$91,$B$8)+'Вводные'!$H$9),EL24,0)</x:f>
      </x:c>
      <x:c r="EM25" s="107" t="n">
        <x:f>IF(EM$3&lt;EDATE(INDEX('Вводные'!$D$88:$D$91,$B$8),INDEX('Вводные'!$E$88:$E$91,$B$8)+INDEX('Вводные'!$F$88:$F$91,$B$8)+'Вводные'!$H$9),EM24,0)</x:f>
      </x:c>
      <x:c r="EN25" s="107" t="n">
        <x:f>IF(EN$3&lt;EDATE(INDEX('Вводные'!$D$88:$D$91,$B$8),INDEX('Вводные'!$E$88:$E$91,$B$8)+INDEX('Вводные'!$F$88:$F$91,$B$8)+'Вводные'!$H$9),EN24,0)</x:f>
      </x:c>
      <x:c r="EO25" s="107" t="n">
        <x:f>IF(EO$3&lt;EDATE(INDEX('Вводные'!$D$88:$D$91,$B$8),INDEX('Вводные'!$E$88:$E$91,$B$8)+INDEX('Вводные'!$F$88:$F$91,$B$8)+'Вводные'!$H$9),EO24,0)</x:f>
      </x:c>
      <x:c r="EP25" s="107" t="n">
        <x:f>IF(EP$3&lt;EDATE(INDEX('Вводные'!$D$88:$D$91,$B$8),INDEX('Вводные'!$E$88:$E$91,$B$8)+INDEX('Вводные'!$F$88:$F$91,$B$8)+'Вводные'!$H$9),EP24,0)</x:f>
      </x:c>
      <x:c r="EQ25" s="107" t="n">
        <x:f>IF(EQ$3&lt;EDATE(INDEX('Вводные'!$D$88:$D$91,$B$8),INDEX('Вводные'!$E$88:$E$91,$B$8)+INDEX('Вводные'!$F$88:$F$91,$B$8)+'Вводные'!$H$9),EQ24,0)</x:f>
      </x:c>
      <x:c r="ER25" s="107" t="n">
        <x:f>IF(ER$3&lt;EDATE(INDEX('Вводные'!$D$88:$D$91,$B$8),INDEX('Вводные'!$E$88:$E$91,$B$8)+INDEX('Вводные'!$F$88:$F$91,$B$8)+'Вводные'!$H$9),ER24,0)</x:f>
      </x:c>
      <x:c r="ES25" s="107" t="n">
        <x:f>IF(ES$3&lt;EDATE(INDEX('Вводные'!$D$88:$D$91,$B$8),INDEX('Вводные'!$E$88:$E$91,$B$8)+INDEX('Вводные'!$F$88:$F$91,$B$8)+'Вводные'!$H$9),ES24,0)</x:f>
      </x:c>
      <x:c r="ET25" s="107" t="n">
        <x:f>IF(ET$3&lt;EDATE(INDEX('Вводные'!$D$88:$D$91,$B$8),INDEX('Вводные'!$E$88:$E$91,$B$8)+INDEX('Вводные'!$F$88:$F$91,$B$8)+'Вводные'!$H$9),ET24,0)</x:f>
      </x:c>
      <x:c r="EU25" s="107" t="n">
        <x:f>IF(EU$3&lt;EDATE(INDEX('Вводные'!$D$88:$D$91,$B$8),INDEX('Вводные'!$E$88:$E$91,$B$8)+INDEX('Вводные'!$F$88:$F$91,$B$8)+'Вводные'!$H$9),EU24,0)</x:f>
      </x:c>
      <x:c r="EV25" s="107" t="n">
        <x:f>IF(EV$3&lt;EDATE(INDEX('Вводные'!$D$88:$D$91,$B$8),INDEX('Вводные'!$E$88:$E$91,$B$8)+INDEX('Вводные'!$F$88:$F$91,$B$8)+'Вводные'!$H$9),EV24,0)</x:f>
      </x:c>
      <x:c r="EW25" s="107" t="n">
        <x:f>IF(EW$3&lt;EDATE(INDEX('Вводные'!$D$88:$D$91,$B$8),INDEX('Вводные'!$E$88:$E$91,$B$8)+INDEX('Вводные'!$F$88:$F$91,$B$8)+'Вводные'!$H$9),EW24,0)</x:f>
      </x:c>
      <x:c r="EX25" s="107" t="n">
        <x:f>IF(EX$3&lt;EDATE(INDEX('Вводные'!$D$88:$D$91,$B$8),INDEX('Вводные'!$E$88:$E$91,$B$8)+INDEX('Вводные'!$F$88:$F$91,$B$8)+'Вводные'!$H$9),EX24,0)</x:f>
      </x:c>
      <x:c r="EY25" s="107" t="n">
        <x:f>IF(EY$3&lt;EDATE(INDEX('Вводные'!$D$88:$D$91,$B$8),INDEX('Вводные'!$E$88:$E$91,$B$8)+INDEX('Вводные'!$F$88:$F$91,$B$8)+'Вводные'!$H$9),EY24,0)</x:f>
      </x:c>
      <x:c r="EZ25" s="107" t="n">
        <x:f>IF(EZ$3&lt;EDATE(INDEX('Вводные'!$D$88:$D$91,$B$8),INDEX('Вводные'!$E$88:$E$91,$B$8)+INDEX('Вводные'!$F$88:$F$91,$B$8)+'Вводные'!$H$9),EZ24,0)</x:f>
      </x:c>
      <x:c r="FA25" s="107" t="n">
        <x:f>IF(FA$3&lt;EDATE(INDEX('Вводные'!$D$88:$D$91,$B$8),INDEX('Вводные'!$E$88:$E$91,$B$8)+INDEX('Вводные'!$F$88:$F$91,$B$8)+'Вводные'!$H$9),FA24,0)</x:f>
      </x:c>
      <x:c r="FB25" s="107" t="n">
        <x:f>IF(FB$3&lt;EDATE(INDEX('Вводные'!$D$88:$D$91,$B$8),INDEX('Вводные'!$E$88:$E$91,$B$8)+INDEX('Вводные'!$F$88:$F$91,$B$8)+'Вводные'!$H$9),FB24,0)</x:f>
      </x:c>
      <x:c r="FC25" s="107" t="n">
        <x:f>IF(FC$3&lt;EDATE(INDEX('Вводные'!$D$88:$D$91,$B$8),INDEX('Вводные'!$E$88:$E$91,$B$8)+INDEX('Вводные'!$F$88:$F$91,$B$8)+'Вводные'!$H$9),FC24,0)</x:f>
      </x:c>
      <x:c r="FD25" s="107" t="n">
        <x:f>IF(FD$3&lt;EDATE(INDEX('Вводные'!$D$88:$D$91,$B$8),INDEX('Вводные'!$E$88:$E$91,$B$8)+INDEX('Вводные'!$F$88:$F$91,$B$8)+'Вводные'!$H$9),FD24,0)</x:f>
      </x:c>
      <x:c r="FE25" s="107" t="n">
        <x:f>IF(FE$3&lt;EDATE(INDEX('Вводные'!$D$88:$D$91,$B$8),INDEX('Вводные'!$E$88:$E$91,$B$8)+INDEX('Вводные'!$F$88:$F$91,$B$8)+'Вводные'!$H$9),FE24,0)</x:f>
      </x:c>
      <x:c r="FF25" s="107" t="n">
        <x:f>IF(FF$3&lt;EDATE(INDEX('Вводные'!$D$88:$D$91,$B$8),INDEX('Вводные'!$E$88:$E$91,$B$8)+INDEX('Вводные'!$F$88:$F$91,$B$8)+'Вводные'!$H$9),FF24,0)</x:f>
      </x:c>
      <x:c r="FG25" s="107" t="n">
        <x:f>IF(FG$3&lt;EDATE(INDEX('Вводные'!$D$88:$D$91,$B$8),INDEX('Вводные'!$E$88:$E$91,$B$8)+INDEX('Вводные'!$F$88:$F$91,$B$8)+'Вводные'!$H$9),FG24,0)</x:f>
      </x:c>
      <x:c r="FH25" s="107" t="n">
        <x:f>IF(FH$3&lt;EDATE(INDEX('Вводные'!$D$88:$D$91,$B$8),INDEX('Вводные'!$E$88:$E$91,$B$8)+INDEX('Вводные'!$F$88:$F$91,$B$8)+'Вводные'!$H$9),FH24,0)</x:f>
      </x:c>
      <x:c r="FI25" s="107" t="n">
        <x:f>IF(FI$3&lt;EDATE(INDEX('Вводные'!$D$88:$D$91,$B$8),INDEX('Вводные'!$E$88:$E$91,$B$8)+INDEX('Вводные'!$F$88:$F$91,$B$8)+'Вводные'!$H$9),FI24,0)</x:f>
      </x:c>
      <x:c r="FJ25" s="107" t="n">
        <x:f>IF(FJ$3&lt;EDATE(INDEX('Вводные'!$D$88:$D$91,$B$8),INDEX('Вводные'!$E$88:$E$91,$B$8)+INDEX('Вводные'!$F$88:$F$91,$B$8)+'Вводные'!$H$9),FJ24,0)</x:f>
      </x:c>
      <x:c r="FK25" s="107" t="n">
        <x:f>IF(FK$3&lt;EDATE(INDEX('Вводные'!$D$88:$D$91,$B$8),INDEX('Вводные'!$E$88:$E$91,$B$8)+INDEX('Вводные'!$F$88:$F$91,$B$8)+'Вводные'!$H$9),FK24,0)</x:f>
      </x:c>
      <x:c r="FL25" s="107" t="n">
        <x:f>IF(FL$3&lt;EDATE(INDEX('Вводные'!$D$88:$D$91,$B$8),INDEX('Вводные'!$E$88:$E$91,$B$8)+INDEX('Вводные'!$F$88:$F$91,$B$8)+'Вводные'!$H$9),FL24,0)</x:f>
      </x:c>
      <x:c r="FM25" s="107" t="n">
        <x:f>IF(FM$3&lt;EDATE(INDEX('Вводные'!$D$88:$D$91,$B$8),INDEX('Вводные'!$E$88:$E$91,$B$8)+INDEX('Вводные'!$F$88:$F$91,$B$8)+'Вводные'!$H$9),FM24,0)</x:f>
      </x:c>
      <x:c r="FN25" s="107" t="n">
        <x:f>IF(FN$3&lt;EDATE(INDEX('Вводные'!$D$88:$D$91,$B$8),INDEX('Вводные'!$E$88:$E$91,$B$8)+INDEX('Вводные'!$F$88:$F$91,$B$8)+'Вводные'!$H$9),FN24,0)</x:f>
      </x:c>
      <x:c r="FO25" s="107" t="n">
        <x:f>IF(FO$3&lt;EDATE(INDEX('Вводные'!$D$88:$D$91,$B$8),INDEX('Вводные'!$E$88:$E$91,$B$8)+INDEX('Вводные'!$F$88:$F$91,$B$8)+'Вводные'!$H$9),FO24,0)</x:f>
      </x:c>
      <x:c r="FP25" s="107" t="n">
        <x:f>IF(FP$3&lt;EDATE(INDEX('Вводные'!$D$88:$D$91,$B$8),INDEX('Вводные'!$E$88:$E$91,$B$8)+INDEX('Вводные'!$F$88:$F$91,$B$8)+'Вводные'!$H$9),FP24,0)</x:f>
      </x:c>
      <x:c r="FQ25" s="107" t="n">
        <x:f>IF(FQ$3&lt;EDATE(INDEX('Вводные'!$D$88:$D$91,$B$8),INDEX('Вводные'!$E$88:$E$91,$B$8)+INDEX('Вводные'!$F$88:$F$91,$B$8)+'Вводные'!$H$9),FQ24,0)</x:f>
      </x:c>
      <x:c r="FR25" s="107" t="n">
        <x:f>IF(FR$3&lt;EDATE(INDEX('Вводные'!$D$88:$D$91,$B$8),INDEX('Вводные'!$E$88:$E$91,$B$8)+INDEX('Вводные'!$F$88:$F$91,$B$8)+'Вводные'!$H$9),FR24,0)</x:f>
      </x:c>
      <x:c r="FS25" s="107" t="n">
        <x:f>IF(FS$3&lt;EDATE(INDEX('Вводные'!$D$88:$D$91,$B$8),INDEX('Вводные'!$E$88:$E$91,$B$8)+INDEX('Вводные'!$F$88:$F$91,$B$8)+'Вводные'!$H$9),FS24,0)</x:f>
      </x:c>
      <x:c r="FT25" s="107" t="n">
        <x:f>IF(FT$3&lt;EDATE(INDEX('Вводные'!$D$88:$D$91,$B$8),INDEX('Вводные'!$E$88:$E$91,$B$8)+INDEX('Вводные'!$F$88:$F$91,$B$8)+'Вводные'!$H$9),FT24,0)</x:f>
      </x:c>
      <x:c r="FU25" s="107" t="n">
        <x:f>IF(FU$3&lt;EDATE(INDEX('Вводные'!$D$88:$D$91,$B$8),INDEX('Вводные'!$E$88:$E$91,$B$8)+INDEX('Вводные'!$F$88:$F$91,$B$8)+'Вводные'!$H$9),FU24,0)</x:f>
      </x:c>
      <x:c r="FV25" s="107" t="n">
        <x:f>IF(FV$3&lt;EDATE(INDEX('Вводные'!$D$88:$D$91,$B$8),INDEX('Вводные'!$E$88:$E$91,$B$8)+INDEX('Вводные'!$F$88:$F$91,$B$8)+'Вводные'!$H$9),FV24,0)</x:f>
      </x:c>
      <x:c r="FW25" s="107" t="n">
        <x:f>IF(FW$3&lt;EDATE(INDEX('Вводные'!$D$88:$D$91,$B$8),INDEX('Вводные'!$E$88:$E$91,$B$8)+INDEX('Вводные'!$F$88:$F$91,$B$8)+'Вводные'!$H$9),FW24,0)</x:f>
      </x:c>
      <x:c r="FX25" s="107" t="n">
        <x:f>IF(FX$3&lt;EDATE(INDEX('Вводные'!$D$88:$D$91,$B$8),INDEX('Вводные'!$E$88:$E$91,$B$8)+INDEX('Вводные'!$F$88:$F$91,$B$8)+'Вводные'!$H$9),FX24,0)</x:f>
      </x:c>
      <x:c r="FY25" s="107" t="n">
        <x:f>IF(FY$3&lt;EDATE(INDEX('Вводные'!$D$88:$D$91,$B$8),INDEX('Вводные'!$E$88:$E$91,$B$8)+INDEX('Вводные'!$F$88:$F$91,$B$8)+'Вводные'!$H$9),FY24,0)</x:f>
      </x:c>
      <x:c r="FZ25" s="107" t="n">
        <x:f>IF(FZ$3&lt;EDATE(INDEX('Вводные'!$D$88:$D$91,$B$8),INDEX('Вводные'!$E$88:$E$91,$B$8)+INDEX('Вводные'!$F$88:$F$91,$B$8)+'Вводные'!$H$9),FZ24,0)</x:f>
      </x:c>
      <x:c r="GA25" s="107" t="n">
        <x:f>IF(GA$3&lt;EDATE(INDEX('Вводные'!$D$88:$D$91,$B$8),INDEX('Вводные'!$E$88:$E$91,$B$8)+INDEX('Вводные'!$F$88:$F$91,$B$8)+'Вводные'!$H$9),GA24,0)</x:f>
      </x:c>
    </x:row>
    <x:row r="26">
      <x:c r="A26" t="str">
        <x:v>Прямые поступления после РВЭ</x:v>
      </x:c>
      <x:c r="B26" s="107" t="n">
        <x:f>SUM(D26:GA26)</x:f>
      </x:c>
      <x:c r="C26" t="str">
        <x:v>млн ₽</x:v>
      </x:c>
      <x:c r="D26" s="107" t="n">
        <x:f>IF(D$3&gt;=EDATE(INDEX('Вводные'!$D$88:$D$91,$B$8),INDEX('Вводные'!$E$88:$E$91,$B$8)+INDEX('Вводные'!$F$88:$F$91,$B$8)+'Вводные'!$H$9),D24,0)</x:f>
      </x:c>
      <x:c r="E26" s="107" t="n">
        <x:f>IF(E$3&gt;=EDATE(INDEX('Вводные'!$D$88:$D$91,$B$8),INDEX('Вводные'!$E$88:$E$91,$B$8)+INDEX('Вводные'!$F$88:$F$91,$B$8)+'Вводные'!$H$9),E24,0)</x:f>
      </x:c>
      <x:c r="F26" s="107" t="n">
        <x:f>IF(F$3&gt;=EDATE(INDEX('Вводные'!$D$88:$D$91,$B$8),INDEX('Вводные'!$E$88:$E$91,$B$8)+INDEX('Вводные'!$F$88:$F$91,$B$8)+'Вводные'!$H$9),F24,0)</x:f>
      </x:c>
      <x:c r="G26" s="107" t="n">
        <x:f>IF(G$3&gt;=EDATE(INDEX('Вводные'!$D$88:$D$91,$B$8),INDEX('Вводные'!$E$88:$E$91,$B$8)+INDEX('Вводные'!$F$88:$F$91,$B$8)+'Вводные'!$H$9),G24,0)</x:f>
      </x:c>
      <x:c r="H26" s="107" t="n">
        <x:f>IF(H$3&gt;=EDATE(INDEX('Вводные'!$D$88:$D$91,$B$8),INDEX('Вводные'!$E$88:$E$91,$B$8)+INDEX('Вводные'!$F$88:$F$91,$B$8)+'Вводные'!$H$9),H24,0)</x:f>
      </x:c>
      <x:c r="I26" s="107" t="n">
        <x:f>IF(I$3&gt;=EDATE(INDEX('Вводные'!$D$88:$D$91,$B$8),INDEX('Вводные'!$E$88:$E$91,$B$8)+INDEX('Вводные'!$F$88:$F$91,$B$8)+'Вводные'!$H$9),I24,0)</x:f>
      </x:c>
      <x:c r="J26" s="107" t="n">
        <x:f>IF(J$3&gt;=EDATE(INDEX('Вводные'!$D$88:$D$91,$B$8),INDEX('Вводные'!$E$88:$E$91,$B$8)+INDEX('Вводные'!$F$88:$F$91,$B$8)+'Вводные'!$H$9),J24,0)</x:f>
      </x:c>
      <x:c r="K26" s="107" t="n">
        <x:f>IF(K$3&gt;=EDATE(INDEX('Вводные'!$D$88:$D$91,$B$8),INDEX('Вводные'!$E$88:$E$91,$B$8)+INDEX('Вводные'!$F$88:$F$91,$B$8)+'Вводные'!$H$9),K24,0)</x:f>
      </x:c>
      <x:c r="L26" s="107" t="n">
        <x:f>IF(L$3&gt;=EDATE(INDEX('Вводные'!$D$88:$D$91,$B$8),INDEX('Вводные'!$E$88:$E$91,$B$8)+INDEX('Вводные'!$F$88:$F$91,$B$8)+'Вводные'!$H$9),L24,0)</x:f>
      </x:c>
      <x:c r="M26" s="107" t="n">
        <x:f>IF(M$3&gt;=EDATE(INDEX('Вводные'!$D$88:$D$91,$B$8),INDEX('Вводные'!$E$88:$E$91,$B$8)+INDEX('Вводные'!$F$88:$F$91,$B$8)+'Вводные'!$H$9),M24,0)</x:f>
      </x:c>
      <x:c r="N26" s="107" t="n">
        <x:f>IF(N$3&gt;=EDATE(INDEX('Вводные'!$D$88:$D$91,$B$8),INDEX('Вводные'!$E$88:$E$91,$B$8)+INDEX('Вводные'!$F$88:$F$91,$B$8)+'Вводные'!$H$9),N24,0)</x:f>
      </x:c>
      <x:c r="O26" s="107" t="n">
        <x:f>IF(O$3&gt;=EDATE(INDEX('Вводные'!$D$88:$D$91,$B$8),INDEX('Вводные'!$E$88:$E$91,$B$8)+INDEX('Вводные'!$F$88:$F$91,$B$8)+'Вводные'!$H$9),O24,0)</x:f>
      </x:c>
      <x:c r="P26" s="107" t="n">
        <x:f>IF(P$3&gt;=EDATE(INDEX('Вводные'!$D$88:$D$91,$B$8),INDEX('Вводные'!$E$88:$E$91,$B$8)+INDEX('Вводные'!$F$88:$F$91,$B$8)+'Вводные'!$H$9),P24,0)</x:f>
      </x:c>
      <x:c r="Q26" s="107" t="n">
        <x:f>IF(Q$3&gt;=EDATE(INDEX('Вводные'!$D$88:$D$91,$B$8),INDEX('Вводные'!$E$88:$E$91,$B$8)+INDEX('Вводные'!$F$88:$F$91,$B$8)+'Вводные'!$H$9),Q24,0)</x:f>
      </x:c>
      <x:c r="R26" s="107" t="n">
        <x:f>IF(R$3&gt;=EDATE(INDEX('Вводные'!$D$88:$D$91,$B$8),INDEX('Вводные'!$E$88:$E$91,$B$8)+INDEX('Вводные'!$F$88:$F$91,$B$8)+'Вводные'!$H$9),R24,0)</x:f>
      </x:c>
      <x:c r="S26" s="107" t="n">
        <x:f>IF(S$3&gt;=EDATE(INDEX('Вводные'!$D$88:$D$91,$B$8),INDEX('Вводные'!$E$88:$E$91,$B$8)+INDEX('Вводные'!$F$88:$F$91,$B$8)+'Вводные'!$H$9),S24,0)</x:f>
      </x:c>
      <x:c r="T26" s="107" t="n">
        <x:f>IF(T$3&gt;=EDATE(INDEX('Вводные'!$D$88:$D$91,$B$8),INDEX('Вводные'!$E$88:$E$91,$B$8)+INDEX('Вводные'!$F$88:$F$91,$B$8)+'Вводные'!$H$9),T24,0)</x:f>
      </x:c>
      <x:c r="U26" s="107" t="n">
        <x:f>IF(U$3&gt;=EDATE(INDEX('Вводные'!$D$88:$D$91,$B$8),INDEX('Вводные'!$E$88:$E$91,$B$8)+INDEX('Вводные'!$F$88:$F$91,$B$8)+'Вводные'!$H$9),U24,0)</x:f>
      </x:c>
      <x:c r="V26" s="107" t="n">
        <x:f>IF(V$3&gt;=EDATE(INDEX('Вводные'!$D$88:$D$91,$B$8),INDEX('Вводные'!$E$88:$E$91,$B$8)+INDEX('Вводные'!$F$88:$F$91,$B$8)+'Вводные'!$H$9),V24,0)</x:f>
      </x:c>
      <x:c r="W26" s="107" t="n">
        <x:f>IF(W$3&gt;=EDATE(INDEX('Вводные'!$D$88:$D$91,$B$8),INDEX('Вводные'!$E$88:$E$91,$B$8)+INDEX('Вводные'!$F$88:$F$91,$B$8)+'Вводные'!$H$9),W24,0)</x:f>
      </x:c>
      <x:c r="X26" s="107" t="n">
        <x:f>IF(X$3&gt;=EDATE(INDEX('Вводные'!$D$88:$D$91,$B$8),INDEX('Вводные'!$E$88:$E$91,$B$8)+INDEX('Вводные'!$F$88:$F$91,$B$8)+'Вводные'!$H$9),X24,0)</x:f>
      </x:c>
      <x:c r="Y26" s="107" t="n">
        <x:f>IF(Y$3&gt;=EDATE(INDEX('Вводные'!$D$88:$D$91,$B$8),INDEX('Вводные'!$E$88:$E$91,$B$8)+INDEX('Вводные'!$F$88:$F$91,$B$8)+'Вводные'!$H$9),Y24,0)</x:f>
      </x:c>
      <x:c r="Z26" s="107" t="n">
        <x:f>IF(Z$3&gt;=EDATE(INDEX('Вводные'!$D$88:$D$91,$B$8),INDEX('Вводные'!$E$88:$E$91,$B$8)+INDEX('Вводные'!$F$88:$F$91,$B$8)+'Вводные'!$H$9),Z24,0)</x:f>
      </x:c>
      <x:c r="AA26" s="107" t="n">
        <x:f>IF(AA$3&gt;=EDATE(INDEX('Вводные'!$D$88:$D$91,$B$8),INDEX('Вводные'!$E$88:$E$91,$B$8)+INDEX('Вводные'!$F$88:$F$91,$B$8)+'Вводные'!$H$9),AA24,0)</x:f>
      </x:c>
      <x:c r="AB26" s="107" t="n">
        <x:f>IF(AB$3&gt;=EDATE(INDEX('Вводные'!$D$88:$D$91,$B$8),INDEX('Вводные'!$E$88:$E$91,$B$8)+INDEX('Вводные'!$F$88:$F$91,$B$8)+'Вводные'!$H$9),AB24,0)</x:f>
      </x:c>
      <x:c r="AC26" s="107" t="n">
        <x:f>IF(AC$3&gt;=EDATE(INDEX('Вводные'!$D$88:$D$91,$B$8),INDEX('Вводные'!$E$88:$E$91,$B$8)+INDEX('Вводные'!$F$88:$F$91,$B$8)+'Вводные'!$H$9),AC24,0)</x:f>
      </x:c>
      <x:c r="AD26" s="107" t="n">
        <x:f>IF(AD$3&gt;=EDATE(INDEX('Вводные'!$D$88:$D$91,$B$8),INDEX('Вводные'!$E$88:$E$91,$B$8)+INDEX('Вводные'!$F$88:$F$91,$B$8)+'Вводные'!$H$9),AD24,0)</x:f>
      </x:c>
      <x:c r="AE26" s="107" t="n">
        <x:f>IF(AE$3&gt;=EDATE(INDEX('Вводные'!$D$88:$D$91,$B$8),INDEX('Вводные'!$E$88:$E$91,$B$8)+INDEX('Вводные'!$F$88:$F$91,$B$8)+'Вводные'!$H$9),AE24,0)</x:f>
      </x:c>
      <x:c r="AF26" s="107" t="n">
        <x:f>IF(AF$3&gt;=EDATE(INDEX('Вводные'!$D$88:$D$91,$B$8),INDEX('Вводные'!$E$88:$E$91,$B$8)+INDEX('Вводные'!$F$88:$F$91,$B$8)+'Вводные'!$H$9),AF24,0)</x:f>
      </x:c>
      <x:c r="AG26" s="107" t="n">
        <x:f>IF(AG$3&gt;=EDATE(INDEX('Вводные'!$D$88:$D$91,$B$8),INDEX('Вводные'!$E$88:$E$91,$B$8)+INDEX('Вводные'!$F$88:$F$91,$B$8)+'Вводные'!$H$9),AG24,0)</x:f>
      </x:c>
      <x:c r="AH26" s="107" t="n">
        <x:f>IF(AH$3&gt;=EDATE(INDEX('Вводные'!$D$88:$D$91,$B$8),INDEX('Вводные'!$E$88:$E$91,$B$8)+INDEX('Вводные'!$F$88:$F$91,$B$8)+'Вводные'!$H$9),AH24,0)</x:f>
      </x:c>
      <x:c r="AI26" s="107" t="n">
        <x:f>IF(AI$3&gt;=EDATE(INDEX('Вводные'!$D$88:$D$91,$B$8),INDEX('Вводные'!$E$88:$E$91,$B$8)+INDEX('Вводные'!$F$88:$F$91,$B$8)+'Вводные'!$H$9),AI24,0)</x:f>
      </x:c>
      <x:c r="AJ26" s="107" t="n">
        <x:f>IF(AJ$3&gt;=EDATE(INDEX('Вводные'!$D$88:$D$91,$B$8),INDEX('Вводные'!$E$88:$E$91,$B$8)+INDEX('Вводные'!$F$88:$F$91,$B$8)+'Вводные'!$H$9),AJ24,0)</x:f>
      </x:c>
      <x:c r="AK26" s="107" t="n">
        <x:f>IF(AK$3&gt;=EDATE(INDEX('Вводные'!$D$88:$D$91,$B$8),INDEX('Вводные'!$E$88:$E$91,$B$8)+INDEX('Вводные'!$F$88:$F$91,$B$8)+'Вводные'!$H$9),AK24,0)</x:f>
      </x:c>
      <x:c r="AL26" s="107" t="n">
        <x:f>IF(AL$3&gt;=EDATE(INDEX('Вводные'!$D$88:$D$91,$B$8),INDEX('Вводные'!$E$88:$E$91,$B$8)+INDEX('Вводные'!$F$88:$F$91,$B$8)+'Вводные'!$H$9),AL24,0)</x:f>
      </x:c>
      <x:c r="AM26" s="107" t="n">
        <x:f>IF(AM$3&gt;=EDATE(INDEX('Вводные'!$D$88:$D$91,$B$8),INDEX('Вводные'!$E$88:$E$91,$B$8)+INDEX('Вводные'!$F$88:$F$91,$B$8)+'Вводные'!$H$9),AM24,0)</x:f>
      </x:c>
      <x:c r="AN26" s="107" t="n">
        <x:f>IF(AN$3&gt;=EDATE(INDEX('Вводные'!$D$88:$D$91,$B$8),INDEX('Вводные'!$E$88:$E$91,$B$8)+INDEX('Вводные'!$F$88:$F$91,$B$8)+'Вводные'!$H$9),AN24,0)</x:f>
      </x:c>
      <x:c r="AO26" s="107" t="n">
        <x:f>IF(AO$3&gt;=EDATE(INDEX('Вводные'!$D$88:$D$91,$B$8),INDEX('Вводные'!$E$88:$E$91,$B$8)+INDEX('Вводные'!$F$88:$F$91,$B$8)+'Вводные'!$H$9),AO24,0)</x:f>
      </x:c>
      <x:c r="AP26" s="107" t="n">
        <x:f>IF(AP$3&gt;=EDATE(INDEX('Вводные'!$D$88:$D$91,$B$8),INDEX('Вводные'!$E$88:$E$91,$B$8)+INDEX('Вводные'!$F$88:$F$91,$B$8)+'Вводные'!$H$9),AP24,0)</x:f>
      </x:c>
      <x:c r="AQ26" s="107" t="n">
        <x:f>IF(AQ$3&gt;=EDATE(INDEX('Вводные'!$D$88:$D$91,$B$8),INDEX('Вводные'!$E$88:$E$91,$B$8)+INDEX('Вводные'!$F$88:$F$91,$B$8)+'Вводные'!$H$9),AQ24,0)</x:f>
      </x:c>
      <x:c r="AR26" s="107" t="n">
        <x:f>IF(AR$3&gt;=EDATE(INDEX('Вводные'!$D$88:$D$91,$B$8),INDEX('Вводные'!$E$88:$E$91,$B$8)+INDEX('Вводные'!$F$88:$F$91,$B$8)+'Вводные'!$H$9),AR24,0)</x:f>
      </x:c>
      <x:c r="AS26" s="107" t="n">
        <x:f>IF(AS$3&gt;=EDATE(INDEX('Вводные'!$D$88:$D$91,$B$8),INDEX('Вводные'!$E$88:$E$91,$B$8)+INDEX('Вводные'!$F$88:$F$91,$B$8)+'Вводные'!$H$9),AS24,0)</x:f>
      </x:c>
      <x:c r="AT26" s="107" t="n">
        <x:f>IF(AT$3&gt;=EDATE(INDEX('Вводные'!$D$88:$D$91,$B$8),INDEX('Вводные'!$E$88:$E$91,$B$8)+INDEX('Вводные'!$F$88:$F$91,$B$8)+'Вводные'!$H$9),AT24,0)</x:f>
      </x:c>
      <x:c r="AU26" s="107" t="n">
        <x:f>IF(AU$3&gt;=EDATE(INDEX('Вводные'!$D$88:$D$91,$B$8),INDEX('Вводные'!$E$88:$E$91,$B$8)+INDEX('Вводные'!$F$88:$F$91,$B$8)+'Вводные'!$H$9),AU24,0)</x:f>
      </x:c>
      <x:c r="AV26" s="107" t="n">
        <x:f>IF(AV$3&gt;=EDATE(INDEX('Вводные'!$D$88:$D$91,$B$8),INDEX('Вводные'!$E$88:$E$91,$B$8)+INDEX('Вводные'!$F$88:$F$91,$B$8)+'Вводные'!$H$9),AV24,0)</x:f>
      </x:c>
      <x:c r="AW26" s="107" t="n">
        <x:f>IF(AW$3&gt;=EDATE(INDEX('Вводные'!$D$88:$D$91,$B$8),INDEX('Вводные'!$E$88:$E$91,$B$8)+INDEX('Вводные'!$F$88:$F$91,$B$8)+'Вводные'!$H$9),AW24,0)</x:f>
      </x:c>
      <x:c r="AX26" s="107" t="n">
        <x:f>IF(AX$3&gt;=EDATE(INDEX('Вводные'!$D$88:$D$91,$B$8),INDEX('Вводные'!$E$88:$E$91,$B$8)+INDEX('Вводные'!$F$88:$F$91,$B$8)+'Вводные'!$H$9),AX24,0)</x:f>
      </x:c>
      <x:c r="AY26" s="107" t="n">
        <x:f>IF(AY$3&gt;=EDATE(INDEX('Вводные'!$D$88:$D$91,$B$8),INDEX('Вводные'!$E$88:$E$91,$B$8)+INDEX('Вводные'!$F$88:$F$91,$B$8)+'Вводные'!$H$9),AY24,0)</x:f>
      </x:c>
      <x:c r="AZ26" s="107" t="n">
        <x:f>IF(AZ$3&gt;=EDATE(INDEX('Вводные'!$D$88:$D$91,$B$8),INDEX('Вводные'!$E$88:$E$91,$B$8)+INDEX('Вводные'!$F$88:$F$91,$B$8)+'Вводные'!$H$9),AZ24,0)</x:f>
      </x:c>
      <x:c r="BA26" s="107" t="n">
        <x:f>IF(BA$3&gt;=EDATE(INDEX('Вводные'!$D$88:$D$91,$B$8),INDEX('Вводные'!$E$88:$E$91,$B$8)+INDEX('Вводные'!$F$88:$F$91,$B$8)+'Вводные'!$H$9),BA24,0)</x:f>
      </x:c>
      <x:c r="BB26" s="107" t="n">
        <x:f>IF(BB$3&gt;=EDATE(INDEX('Вводные'!$D$88:$D$91,$B$8),INDEX('Вводные'!$E$88:$E$91,$B$8)+INDEX('Вводные'!$F$88:$F$91,$B$8)+'Вводные'!$H$9),BB24,0)</x:f>
      </x:c>
      <x:c r="BC26" s="107" t="n">
        <x:f>IF(BC$3&gt;=EDATE(INDEX('Вводные'!$D$88:$D$91,$B$8),INDEX('Вводные'!$E$88:$E$91,$B$8)+INDEX('Вводные'!$F$88:$F$91,$B$8)+'Вводные'!$H$9),BC24,0)</x:f>
      </x:c>
      <x:c r="BD26" s="107" t="n">
        <x:f>IF(BD$3&gt;=EDATE(INDEX('Вводные'!$D$88:$D$91,$B$8),INDEX('Вводные'!$E$88:$E$91,$B$8)+INDEX('Вводные'!$F$88:$F$91,$B$8)+'Вводные'!$H$9),BD24,0)</x:f>
      </x:c>
      <x:c r="BE26" s="107" t="n">
        <x:f>IF(BE$3&gt;=EDATE(INDEX('Вводные'!$D$88:$D$91,$B$8),INDEX('Вводные'!$E$88:$E$91,$B$8)+INDEX('Вводные'!$F$88:$F$91,$B$8)+'Вводные'!$H$9),BE24,0)</x:f>
      </x:c>
      <x:c r="BF26" s="107" t="n">
        <x:f>IF(BF$3&gt;=EDATE(INDEX('Вводные'!$D$88:$D$91,$B$8),INDEX('Вводные'!$E$88:$E$91,$B$8)+INDEX('Вводные'!$F$88:$F$91,$B$8)+'Вводные'!$H$9),BF24,0)</x:f>
      </x:c>
      <x:c r="BG26" s="107" t="n">
        <x:f>IF(BG$3&gt;=EDATE(INDEX('Вводные'!$D$88:$D$91,$B$8),INDEX('Вводные'!$E$88:$E$91,$B$8)+INDEX('Вводные'!$F$88:$F$91,$B$8)+'Вводные'!$H$9),BG24,0)</x:f>
      </x:c>
      <x:c r="BH26" s="107" t="n">
        <x:f>IF(BH$3&gt;=EDATE(INDEX('Вводные'!$D$88:$D$91,$B$8),INDEX('Вводные'!$E$88:$E$91,$B$8)+INDEX('Вводные'!$F$88:$F$91,$B$8)+'Вводные'!$H$9),BH24,0)</x:f>
      </x:c>
      <x:c r="BI26" s="107" t="n">
        <x:f>IF(BI$3&gt;=EDATE(INDEX('Вводные'!$D$88:$D$91,$B$8),INDEX('Вводные'!$E$88:$E$91,$B$8)+INDEX('Вводные'!$F$88:$F$91,$B$8)+'Вводные'!$H$9),BI24,0)</x:f>
      </x:c>
      <x:c r="BJ26" s="107" t="n">
        <x:f>IF(BJ$3&gt;=EDATE(INDEX('Вводные'!$D$88:$D$91,$B$8),INDEX('Вводные'!$E$88:$E$91,$B$8)+INDEX('Вводные'!$F$88:$F$91,$B$8)+'Вводные'!$H$9),BJ24,0)</x:f>
      </x:c>
      <x:c r="BK26" s="107" t="n">
        <x:f>IF(BK$3&gt;=EDATE(INDEX('Вводные'!$D$88:$D$91,$B$8),INDEX('Вводные'!$E$88:$E$91,$B$8)+INDEX('Вводные'!$F$88:$F$91,$B$8)+'Вводные'!$H$9),BK24,0)</x:f>
      </x:c>
      <x:c r="BL26" s="107" t="n">
        <x:f>IF(BL$3&gt;=EDATE(INDEX('Вводные'!$D$88:$D$91,$B$8),INDEX('Вводные'!$E$88:$E$91,$B$8)+INDEX('Вводные'!$F$88:$F$91,$B$8)+'Вводные'!$H$9),BL24,0)</x:f>
      </x:c>
      <x:c r="BM26" s="107" t="n">
        <x:f>IF(BM$3&gt;=EDATE(INDEX('Вводные'!$D$88:$D$91,$B$8),INDEX('Вводные'!$E$88:$E$91,$B$8)+INDEX('Вводные'!$F$88:$F$91,$B$8)+'Вводные'!$H$9),BM24,0)</x:f>
      </x:c>
      <x:c r="BN26" s="107" t="n">
        <x:f>IF(BN$3&gt;=EDATE(INDEX('Вводные'!$D$88:$D$91,$B$8),INDEX('Вводные'!$E$88:$E$91,$B$8)+INDEX('Вводные'!$F$88:$F$91,$B$8)+'Вводные'!$H$9),BN24,0)</x:f>
      </x:c>
      <x:c r="BO26" s="107" t="n">
        <x:f>IF(BO$3&gt;=EDATE(INDEX('Вводные'!$D$88:$D$91,$B$8),INDEX('Вводные'!$E$88:$E$91,$B$8)+INDEX('Вводные'!$F$88:$F$91,$B$8)+'Вводные'!$H$9),BO24,0)</x:f>
      </x:c>
      <x:c r="BP26" s="107" t="n">
        <x:f>IF(BP$3&gt;=EDATE(INDEX('Вводные'!$D$88:$D$91,$B$8),INDEX('Вводные'!$E$88:$E$91,$B$8)+INDEX('Вводные'!$F$88:$F$91,$B$8)+'Вводные'!$H$9),BP24,0)</x:f>
      </x:c>
      <x:c r="BQ26" s="107" t="n">
        <x:f>IF(BQ$3&gt;=EDATE(INDEX('Вводные'!$D$88:$D$91,$B$8),INDEX('Вводные'!$E$88:$E$91,$B$8)+INDEX('Вводные'!$F$88:$F$91,$B$8)+'Вводные'!$H$9),BQ24,0)</x:f>
      </x:c>
      <x:c r="BR26" s="107" t="n">
        <x:f>IF(BR$3&gt;=EDATE(INDEX('Вводные'!$D$88:$D$91,$B$8),INDEX('Вводные'!$E$88:$E$91,$B$8)+INDEX('Вводные'!$F$88:$F$91,$B$8)+'Вводные'!$H$9),BR24,0)</x:f>
      </x:c>
      <x:c r="BS26" s="107" t="n">
        <x:f>IF(BS$3&gt;=EDATE(INDEX('Вводные'!$D$88:$D$91,$B$8),INDEX('Вводные'!$E$88:$E$91,$B$8)+INDEX('Вводные'!$F$88:$F$91,$B$8)+'Вводные'!$H$9),BS24,0)</x:f>
      </x:c>
      <x:c r="BT26" s="107" t="n">
        <x:f>IF(BT$3&gt;=EDATE(INDEX('Вводные'!$D$88:$D$91,$B$8),INDEX('Вводные'!$E$88:$E$91,$B$8)+INDEX('Вводные'!$F$88:$F$91,$B$8)+'Вводные'!$H$9),BT24,0)</x:f>
      </x:c>
      <x:c r="BU26" s="107" t="n">
        <x:f>IF(BU$3&gt;=EDATE(INDEX('Вводные'!$D$88:$D$91,$B$8),INDEX('Вводные'!$E$88:$E$91,$B$8)+INDEX('Вводные'!$F$88:$F$91,$B$8)+'Вводные'!$H$9),BU24,0)</x:f>
      </x:c>
      <x:c r="BV26" s="107" t="n">
        <x:f>IF(BV$3&gt;=EDATE(INDEX('Вводные'!$D$88:$D$91,$B$8),INDEX('Вводные'!$E$88:$E$91,$B$8)+INDEX('Вводные'!$F$88:$F$91,$B$8)+'Вводные'!$H$9),BV24,0)</x:f>
      </x:c>
      <x:c r="BW26" s="107" t="n">
        <x:f>IF(BW$3&gt;=EDATE(INDEX('Вводные'!$D$88:$D$91,$B$8),INDEX('Вводные'!$E$88:$E$91,$B$8)+INDEX('Вводные'!$F$88:$F$91,$B$8)+'Вводные'!$H$9),BW24,0)</x:f>
      </x:c>
      <x:c r="BX26" s="107" t="n">
        <x:f>IF(BX$3&gt;=EDATE(INDEX('Вводные'!$D$88:$D$91,$B$8),INDEX('Вводные'!$E$88:$E$91,$B$8)+INDEX('Вводные'!$F$88:$F$91,$B$8)+'Вводные'!$H$9),BX24,0)</x:f>
      </x:c>
      <x:c r="BY26" s="107" t="n">
        <x:f>IF(BY$3&gt;=EDATE(INDEX('Вводные'!$D$88:$D$91,$B$8),INDEX('Вводные'!$E$88:$E$91,$B$8)+INDEX('Вводные'!$F$88:$F$91,$B$8)+'Вводные'!$H$9),BY24,0)</x:f>
      </x:c>
      <x:c r="BZ26" s="107" t="n">
        <x:f>IF(BZ$3&gt;=EDATE(INDEX('Вводные'!$D$88:$D$91,$B$8),INDEX('Вводные'!$E$88:$E$91,$B$8)+INDEX('Вводные'!$F$88:$F$91,$B$8)+'Вводные'!$H$9),BZ24,0)</x:f>
      </x:c>
      <x:c r="CA26" s="107" t="n">
        <x:f>IF(CA$3&gt;=EDATE(INDEX('Вводные'!$D$88:$D$91,$B$8),INDEX('Вводные'!$E$88:$E$91,$B$8)+INDEX('Вводные'!$F$88:$F$91,$B$8)+'Вводные'!$H$9),CA24,0)</x:f>
      </x:c>
      <x:c r="CB26" s="107" t="n">
        <x:f>IF(CB$3&gt;=EDATE(INDEX('Вводные'!$D$88:$D$91,$B$8),INDEX('Вводные'!$E$88:$E$91,$B$8)+INDEX('Вводные'!$F$88:$F$91,$B$8)+'Вводные'!$H$9),CB24,0)</x:f>
      </x:c>
      <x:c r="CC26" s="107" t="n">
        <x:f>IF(CC$3&gt;=EDATE(INDEX('Вводные'!$D$88:$D$91,$B$8),INDEX('Вводные'!$E$88:$E$91,$B$8)+INDEX('Вводные'!$F$88:$F$91,$B$8)+'Вводные'!$H$9),CC24,0)</x:f>
      </x:c>
      <x:c r="CD26" s="107" t="n">
        <x:f>IF(CD$3&gt;=EDATE(INDEX('Вводные'!$D$88:$D$91,$B$8),INDEX('Вводные'!$E$88:$E$91,$B$8)+INDEX('Вводные'!$F$88:$F$91,$B$8)+'Вводные'!$H$9),CD24,0)</x:f>
      </x:c>
      <x:c r="CE26" s="107" t="n">
        <x:f>IF(CE$3&gt;=EDATE(INDEX('Вводные'!$D$88:$D$91,$B$8),INDEX('Вводные'!$E$88:$E$91,$B$8)+INDEX('Вводные'!$F$88:$F$91,$B$8)+'Вводные'!$H$9),CE24,0)</x:f>
      </x:c>
      <x:c r="CF26" s="107" t="n">
        <x:f>IF(CF$3&gt;=EDATE(INDEX('Вводные'!$D$88:$D$91,$B$8),INDEX('Вводные'!$E$88:$E$91,$B$8)+INDEX('Вводные'!$F$88:$F$91,$B$8)+'Вводные'!$H$9),CF24,0)</x:f>
      </x:c>
      <x:c r="CG26" s="107" t="n">
        <x:f>IF(CG$3&gt;=EDATE(INDEX('Вводные'!$D$88:$D$91,$B$8),INDEX('Вводные'!$E$88:$E$91,$B$8)+INDEX('Вводные'!$F$88:$F$91,$B$8)+'Вводные'!$H$9),CG24,0)</x:f>
      </x:c>
      <x:c r="CH26" s="107" t="n">
        <x:f>IF(CH$3&gt;=EDATE(INDEX('Вводные'!$D$88:$D$91,$B$8),INDEX('Вводные'!$E$88:$E$91,$B$8)+INDEX('Вводные'!$F$88:$F$91,$B$8)+'Вводные'!$H$9),CH24,0)</x:f>
      </x:c>
      <x:c r="CI26" s="107" t="n">
        <x:f>IF(CI$3&gt;=EDATE(INDEX('Вводные'!$D$88:$D$91,$B$8),INDEX('Вводные'!$E$88:$E$91,$B$8)+INDEX('Вводные'!$F$88:$F$91,$B$8)+'Вводные'!$H$9),CI24,0)</x:f>
      </x:c>
      <x:c r="CJ26" s="107" t="n">
        <x:f>IF(CJ$3&gt;=EDATE(INDEX('Вводные'!$D$88:$D$91,$B$8),INDEX('Вводные'!$E$88:$E$91,$B$8)+INDEX('Вводные'!$F$88:$F$91,$B$8)+'Вводные'!$H$9),CJ24,0)</x:f>
      </x:c>
      <x:c r="CK26" s="107" t="n">
        <x:f>IF(CK$3&gt;=EDATE(INDEX('Вводные'!$D$88:$D$91,$B$8),INDEX('Вводные'!$E$88:$E$91,$B$8)+INDEX('Вводные'!$F$88:$F$91,$B$8)+'Вводные'!$H$9),CK24,0)</x:f>
      </x:c>
      <x:c r="CL26" s="107" t="n">
        <x:f>IF(CL$3&gt;=EDATE(INDEX('Вводные'!$D$88:$D$91,$B$8),INDEX('Вводные'!$E$88:$E$91,$B$8)+INDEX('Вводные'!$F$88:$F$91,$B$8)+'Вводные'!$H$9),CL24,0)</x:f>
      </x:c>
      <x:c r="CM26" s="107" t="n">
        <x:f>IF(CM$3&gt;=EDATE(INDEX('Вводные'!$D$88:$D$91,$B$8),INDEX('Вводные'!$E$88:$E$91,$B$8)+INDEX('Вводные'!$F$88:$F$91,$B$8)+'Вводные'!$H$9),CM24,0)</x:f>
      </x:c>
      <x:c r="CN26" s="107" t="n">
        <x:f>IF(CN$3&gt;=EDATE(INDEX('Вводные'!$D$88:$D$91,$B$8),INDEX('Вводные'!$E$88:$E$91,$B$8)+INDEX('Вводные'!$F$88:$F$91,$B$8)+'Вводные'!$H$9),CN24,0)</x:f>
      </x:c>
      <x:c r="CO26" s="107" t="n">
        <x:f>IF(CO$3&gt;=EDATE(INDEX('Вводные'!$D$88:$D$91,$B$8),INDEX('Вводные'!$E$88:$E$91,$B$8)+INDEX('Вводные'!$F$88:$F$91,$B$8)+'Вводные'!$H$9),CO24,0)</x:f>
      </x:c>
      <x:c r="CP26" s="107" t="n">
        <x:f>IF(CP$3&gt;=EDATE(INDEX('Вводные'!$D$88:$D$91,$B$8),INDEX('Вводные'!$E$88:$E$91,$B$8)+INDEX('Вводные'!$F$88:$F$91,$B$8)+'Вводные'!$H$9),CP24,0)</x:f>
      </x:c>
      <x:c r="CQ26" s="107" t="n">
        <x:f>IF(CQ$3&gt;=EDATE(INDEX('Вводные'!$D$88:$D$91,$B$8),INDEX('Вводные'!$E$88:$E$91,$B$8)+INDEX('Вводные'!$F$88:$F$91,$B$8)+'Вводные'!$H$9),CQ24,0)</x:f>
      </x:c>
      <x:c r="CR26" s="107" t="n">
        <x:f>IF(CR$3&gt;=EDATE(INDEX('Вводные'!$D$88:$D$91,$B$8),INDEX('Вводные'!$E$88:$E$91,$B$8)+INDEX('Вводные'!$F$88:$F$91,$B$8)+'Вводные'!$H$9),CR24,0)</x:f>
      </x:c>
      <x:c r="CS26" s="107" t="n">
        <x:f>IF(CS$3&gt;=EDATE(INDEX('Вводные'!$D$88:$D$91,$B$8),INDEX('Вводные'!$E$88:$E$91,$B$8)+INDEX('Вводные'!$F$88:$F$91,$B$8)+'Вводные'!$H$9),CS24,0)</x:f>
      </x:c>
      <x:c r="CT26" s="107" t="n">
        <x:f>IF(CT$3&gt;=EDATE(INDEX('Вводные'!$D$88:$D$91,$B$8),INDEX('Вводные'!$E$88:$E$91,$B$8)+INDEX('Вводные'!$F$88:$F$91,$B$8)+'Вводные'!$H$9),CT24,0)</x:f>
      </x:c>
      <x:c r="CU26" s="107" t="n">
        <x:f>IF(CU$3&gt;=EDATE(INDEX('Вводные'!$D$88:$D$91,$B$8),INDEX('Вводные'!$E$88:$E$91,$B$8)+INDEX('Вводные'!$F$88:$F$91,$B$8)+'Вводные'!$H$9),CU24,0)</x:f>
      </x:c>
      <x:c r="CV26" s="107" t="n">
        <x:f>IF(CV$3&gt;=EDATE(INDEX('Вводные'!$D$88:$D$91,$B$8),INDEX('Вводные'!$E$88:$E$91,$B$8)+INDEX('Вводные'!$F$88:$F$91,$B$8)+'Вводные'!$H$9),CV24,0)</x:f>
      </x:c>
      <x:c r="CW26" s="107" t="n">
        <x:f>IF(CW$3&gt;=EDATE(INDEX('Вводные'!$D$88:$D$91,$B$8),INDEX('Вводные'!$E$88:$E$91,$B$8)+INDEX('Вводные'!$F$88:$F$91,$B$8)+'Вводные'!$H$9),CW24,0)</x:f>
      </x:c>
      <x:c r="CX26" s="107" t="n">
        <x:f>IF(CX$3&gt;=EDATE(INDEX('Вводные'!$D$88:$D$91,$B$8),INDEX('Вводные'!$E$88:$E$91,$B$8)+INDEX('Вводные'!$F$88:$F$91,$B$8)+'Вводные'!$H$9),CX24,0)</x:f>
      </x:c>
      <x:c r="CY26" s="107" t="n">
        <x:f>IF(CY$3&gt;=EDATE(INDEX('Вводные'!$D$88:$D$91,$B$8),INDEX('Вводные'!$E$88:$E$91,$B$8)+INDEX('Вводные'!$F$88:$F$91,$B$8)+'Вводные'!$H$9),CY24,0)</x:f>
      </x:c>
      <x:c r="CZ26" s="107" t="n">
        <x:f>IF(CZ$3&gt;=EDATE(INDEX('Вводные'!$D$88:$D$91,$B$8),INDEX('Вводные'!$E$88:$E$91,$B$8)+INDEX('Вводные'!$F$88:$F$91,$B$8)+'Вводные'!$H$9),CZ24,0)</x:f>
      </x:c>
      <x:c r="DA26" s="107" t="n">
        <x:f>IF(DA$3&gt;=EDATE(INDEX('Вводные'!$D$88:$D$91,$B$8),INDEX('Вводные'!$E$88:$E$91,$B$8)+INDEX('Вводные'!$F$88:$F$91,$B$8)+'Вводные'!$H$9),DA24,0)</x:f>
      </x:c>
      <x:c r="DB26" s="107" t="n">
        <x:f>IF(DB$3&gt;=EDATE(INDEX('Вводные'!$D$88:$D$91,$B$8),INDEX('Вводные'!$E$88:$E$91,$B$8)+INDEX('Вводные'!$F$88:$F$91,$B$8)+'Вводные'!$H$9),DB24,0)</x:f>
      </x:c>
      <x:c r="DC26" s="107" t="n">
        <x:f>IF(DC$3&gt;=EDATE(INDEX('Вводные'!$D$88:$D$91,$B$8),INDEX('Вводные'!$E$88:$E$91,$B$8)+INDEX('Вводные'!$F$88:$F$91,$B$8)+'Вводные'!$H$9),DC24,0)</x:f>
      </x:c>
      <x:c r="DD26" s="107" t="n">
        <x:f>IF(DD$3&gt;=EDATE(INDEX('Вводные'!$D$88:$D$91,$B$8),INDEX('Вводные'!$E$88:$E$91,$B$8)+INDEX('Вводные'!$F$88:$F$91,$B$8)+'Вводные'!$H$9),DD24,0)</x:f>
      </x:c>
      <x:c r="DE26" s="107" t="n">
        <x:f>IF(DE$3&gt;=EDATE(INDEX('Вводные'!$D$88:$D$91,$B$8),INDEX('Вводные'!$E$88:$E$91,$B$8)+INDEX('Вводные'!$F$88:$F$91,$B$8)+'Вводные'!$H$9),DE24,0)</x:f>
      </x:c>
      <x:c r="DF26" s="107" t="n">
        <x:f>IF(DF$3&gt;=EDATE(INDEX('Вводные'!$D$88:$D$91,$B$8),INDEX('Вводные'!$E$88:$E$91,$B$8)+INDEX('Вводные'!$F$88:$F$91,$B$8)+'Вводные'!$H$9),DF24,0)</x:f>
      </x:c>
      <x:c r="DG26" s="107" t="n">
        <x:f>IF(DG$3&gt;=EDATE(INDEX('Вводные'!$D$88:$D$91,$B$8),INDEX('Вводные'!$E$88:$E$91,$B$8)+INDEX('Вводные'!$F$88:$F$91,$B$8)+'Вводные'!$H$9),DG24,0)</x:f>
      </x:c>
      <x:c r="DH26" s="107" t="n">
        <x:f>IF(DH$3&gt;=EDATE(INDEX('Вводные'!$D$88:$D$91,$B$8),INDEX('Вводные'!$E$88:$E$91,$B$8)+INDEX('Вводные'!$F$88:$F$91,$B$8)+'Вводные'!$H$9),DH24,0)</x:f>
      </x:c>
      <x:c r="DI26" s="107" t="n">
        <x:f>IF(DI$3&gt;=EDATE(INDEX('Вводные'!$D$88:$D$91,$B$8),INDEX('Вводные'!$E$88:$E$91,$B$8)+INDEX('Вводные'!$F$88:$F$91,$B$8)+'Вводные'!$H$9),DI24,0)</x:f>
      </x:c>
      <x:c r="DJ26" s="107" t="n">
        <x:f>IF(DJ$3&gt;=EDATE(INDEX('Вводные'!$D$88:$D$91,$B$8),INDEX('Вводные'!$E$88:$E$91,$B$8)+INDEX('Вводные'!$F$88:$F$91,$B$8)+'Вводные'!$H$9),DJ24,0)</x:f>
      </x:c>
      <x:c r="DK26" s="107" t="n">
        <x:f>IF(DK$3&gt;=EDATE(INDEX('Вводные'!$D$88:$D$91,$B$8),INDEX('Вводные'!$E$88:$E$91,$B$8)+INDEX('Вводные'!$F$88:$F$91,$B$8)+'Вводные'!$H$9),DK24,0)</x:f>
      </x:c>
      <x:c r="DL26" s="107" t="n">
        <x:f>IF(DL$3&gt;=EDATE(INDEX('Вводные'!$D$88:$D$91,$B$8),INDEX('Вводные'!$E$88:$E$91,$B$8)+INDEX('Вводные'!$F$88:$F$91,$B$8)+'Вводные'!$H$9),DL24,0)</x:f>
      </x:c>
      <x:c r="DM26" s="107" t="n">
        <x:f>IF(DM$3&gt;=EDATE(INDEX('Вводные'!$D$88:$D$91,$B$8),INDEX('Вводные'!$E$88:$E$91,$B$8)+INDEX('Вводные'!$F$88:$F$91,$B$8)+'Вводные'!$H$9),DM24,0)</x:f>
      </x:c>
      <x:c r="DN26" s="107" t="n">
        <x:f>IF(DN$3&gt;=EDATE(INDEX('Вводные'!$D$88:$D$91,$B$8),INDEX('Вводные'!$E$88:$E$91,$B$8)+INDEX('Вводные'!$F$88:$F$91,$B$8)+'Вводные'!$H$9),DN24,0)</x:f>
      </x:c>
      <x:c r="DO26" s="107" t="n">
        <x:f>IF(DO$3&gt;=EDATE(INDEX('Вводные'!$D$88:$D$91,$B$8),INDEX('Вводные'!$E$88:$E$91,$B$8)+INDEX('Вводные'!$F$88:$F$91,$B$8)+'Вводные'!$H$9),DO24,0)</x:f>
      </x:c>
      <x:c r="DP26" s="107" t="n">
        <x:f>IF(DP$3&gt;=EDATE(INDEX('Вводные'!$D$88:$D$91,$B$8),INDEX('Вводные'!$E$88:$E$91,$B$8)+INDEX('Вводные'!$F$88:$F$91,$B$8)+'Вводные'!$H$9),DP24,0)</x:f>
      </x:c>
      <x:c r="DQ26" s="107" t="n">
        <x:f>IF(DQ$3&gt;=EDATE(INDEX('Вводные'!$D$88:$D$91,$B$8),INDEX('Вводные'!$E$88:$E$91,$B$8)+INDEX('Вводные'!$F$88:$F$91,$B$8)+'Вводные'!$H$9),DQ24,0)</x:f>
      </x:c>
      <x:c r="DR26" s="107" t="n">
        <x:f>IF(DR$3&gt;=EDATE(INDEX('Вводные'!$D$88:$D$91,$B$8),INDEX('Вводные'!$E$88:$E$91,$B$8)+INDEX('Вводные'!$F$88:$F$91,$B$8)+'Вводные'!$H$9),DR24,0)</x:f>
      </x:c>
      <x:c r="DS26" s="107" t="n">
        <x:f>IF(DS$3&gt;=EDATE(INDEX('Вводные'!$D$88:$D$91,$B$8),INDEX('Вводные'!$E$88:$E$91,$B$8)+INDEX('Вводные'!$F$88:$F$91,$B$8)+'Вводные'!$H$9),DS24,0)</x:f>
      </x:c>
      <x:c r="DT26" s="107" t="n">
        <x:f>IF(DT$3&gt;=EDATE(INDEX('Вводные'!$D$88:$D$91,$B$8),INDEX('Вводные'!$E$88:$E$91,$B$8)+INDEX('Вводные'!$F$88:$F$91,$B$8)+'Вводные'!$H$9),DT24,0)</x:f>
      </x:c>
      <x:c r="DU26" s="107" t="n">
        <x:f>IF(DU$3&gt;=EDATE(INDEX('Вводные'!$D$88:$D$91,$B$8),INDEX('Вводные'!$E$88:$E$91,$B$8)+INDEX('Вводные'!$F$88:$F$91,$B$8)+'Вводные'!$H$9),DU24,0)</x:f>
      </x:c>
      <x:c r="DV26" s="107" t="n">
        <x:f>IF(DV$3&gt;=EDATE(INDEX('Вводные'!$D$88:$D$91,$B$8),INDEX('Вводные'!$E$88:$E$91,$B$8)+INDEX('Вводные'!$F$88:$F$91,$B$8)+'Вводные'!$H$9),DV24,0)</x:f>
      </x:c>
      <x:c r="DW26" s="107" t="n">
        <x:f>IF(DW$3&gt;=EDATE(INDEX('Вводные'!$D$88:$D$91,$B$8),INDEX('Вводные'!$E$88:$E$91,$B$8)+INDEX('Вводные'!$F$88:$F$91,$B$8)+'Вводные'!$H$9),DW24,0)</x:f>
      </x:c>
      <x:c r="DX26" s="107" t="n">
        <x:f>IF(DX$3&gt;=EDATE(INDEX('Вводные'!$D$88:$D$91,$B$8),INDEX('Вводные'!$E$88:$E$91,$B$8)+INDEX('Вводные'!$F$88:$F$91,$B$8)+'Вводные'!$H$9),DX24,0)</x:f>
      </x:c>
      <x:c r="DY26" s="107" t="n">
        <x:f>IF(DY$3&gt;=EDATE(INDEX('Вводные'!$D$88:$D$91,$B$8),INDEX('Вводные'!$E$88:$E$91,$B$8)+INDEX('Вводные'!$F$88:$F$91,$B$8)+'Вводные'!$H$9),DY24,0)</x:f>
      </x:c>
      <x:c r="DZ26" s="107" t="n">
        <x:f>IF(DZ$3&gt;=EDATE(INDEX('Вводные'!$D$88:$D$91,$B$8),INDEX('Вводные'!$E$88:$E$91,$B$8)+INDEX('Вводные'!$F$88:$F$91,$B$8)+'Вводные'!$H$9),DZ24,0)</x:f>
      </x:c>
      <x:c r="EA26" s="107" t="n">
        <x:f>IF(EA$3&gt;=EDATE(INDEX('Вводные'!$D$88:$D$91,$B$8),INDEX('Вводные'!$E$88:$E$91,$B$8)+INDEX('Вводные'!$F$88:$F$91,$B$8)+'Вводные'!$H$9),EA24,0)</x:f>
      </x:c>
      <x:c r="EB26" s="107" t="n">
        <x:f>IF(EB$3&gt;=EDATE(INDEX('Вводные'!$D$88:$D$91,$B$8),INDEX('Вводные'!$E$88:$E$91,$B$8)+INDEX('Вводные'!$F$88:$F$91,$B$8)+'Вводные'!$H$9),EB24,0)</x:f>
      </x:c>
      <x:c r="EC26" s="107" t="n">
        <x:f>IF(EC$3&gt;=EDATE(INDEX('Вводные'!$D$88:$D$91,$B$8),INDEX('Вводные'!$E$88:$E$91,$B$8)+INDEX('Вводные'!$F$88:$F$91,$B$8)+'Вводные'!$H$9),EC24,0)</x:f>
      </x:c>
      <x:c r="ED26" s="107" t="n">
        <x:f>IF(ED$3&gt;=EDATE(INDEX('Вводные'!$D$88:$D$91,$B$8),INDEX('Вводные'!$E$88:$E$91,$B$8)+INDEX('Вводные'!$F$88:$F$91,$B$8)+'Вводные'!$H$9),ED24,0)</x:f>
      </x:c>
      <x:c r="EE26" s="107" t="n">
        <x:f>IF(EE$3&gt;=EDATE(INDEX('Вводные'!$D$88:$D$91,$B$8),INDEX('Вводные'!$E$88:$E$91,$B$8)+INDEX('Вводные'!$F$88:$F$91,$B$8)+'Вводные'!$H$9),EE24,0)</x:f>
      </x:c>
      <x:c r="EF26" s="107" t="n">
        <x:f>IF(EF$3&gt;=EDATE(INDEX('Вводные'!$D$88:$D$91,$B$8),INDEX('Вводные'!$E$88:$E$91,$B$8)+INDEX('Вводные'!$F$88:$F$91,$B$8)+'Вводные'!$H$9),EF24,0)</x:f>
      </x:c>
      <x:c r="EG26" s="107" t="n">
        <x:f>IF(EG$3&gt;=EDATE(INDEX('Вводные'!$D$88:$D$91,$B$8),INDEX('Вводные'!$E$88:$E$91,$B$8)+INDEX('Вводные'!$F$88:$F$91,$B$8)+'Вводные'!$H$9),EG24,0)</x:f>
      </x:c>
      <x:c r="EH26" s="107" t="n">
        <x:f>IF(EH$3&gt;=EDATE(INDEX('Вводные'!$D$88:$D$91,$B$8),INDEX('Вводные'!$E$88:$E$91,$B$8)+INDEX('Вводные'!$F$88:$F$91,$B$8)+'Вводные'!$H$9),EH24,0)</x:f>
      </x:c>
      <x:c r="EI26" s="107" t="n">
        <x:f>IF(EI$3&gt;=EDATE(INDEX('Вводные'!$D$88:$D$91,$B$8),INDEX('Вводные'!$E$88:$E$91,$B$8)+INDEX('Вводные'!$F$88:$F$91,$B$8)+'Вводные'!$H$9),EI24,0)</x:f>
      </x:c>
      <x:c r="EJ26" s="107" t="n">
        <x:f>IF(EJ$3&gt;=EDATE(INDEX('Вводные'!$D$88:$D$91,$B$8),INDEX('Вводные'!$E$88:$E$91,$B$8)+INDEX('Вводные'!$F$88:$F$91,$B$8)+'Вводные'!$H$9),EJ24,0)</x:f>
      </x:c>
      <x:c r="EK26" s="107" t="n">
        <x:f>IF(EK$3&gt;=EDATE(INDEX('Вводные'!$D$88:$D$91,$B$8),INDEX('Вводные'!$E$88:$E$91,$B$8)+INDEX('Вводные'!$F$88:$F$91,$B$8)+'Вводные'!$H$9),EK24,0)</x:f>
      </x:c>
      <x:c r="EL26" s="107" t="n">
        <x:f>IF(EL$3&gt;=EDATE(INDEX('Вводные'!$D$88:$D$91,$B$8),INDEX('Вводные'!$E$88:$E$91,$B$8)+INDEX('Вводные'!$F$88:$F$91,$B$8)+'Вводные'!$H$9),EL24,0)</x:f>
      </x:c>
      <x:c r="EM26" s="107" t="n">
        <x:f>IF(EM$3&gt;=EDATE(INDEX('Вводные'!$D$88:$D$91,$B$8),INDEX('Вводные'!$E$88:$E$91,$B$8)+INDEX('Вводные'!$F$88:$F$91,$B$8)+'Вводные'!$H$9),EM24,0)</x:f>
      </x:c>
      <x:c r="EN26" s="107" t="n">
        <x:f>IF(EN$3&gt;=EDATE(INDEX('Вводные'!$D$88:$D$91,$B$8),INDEX('Вводные'!$E$88:$E$91,$B$8)+INDEX('Вводные'!$F$88:$F$91,$B$8)+'Вводные'!$H$9),EN24,0)</x:f>
      </x:c>
      <x:c r="EO26" s="107" t="n">
        <x:f>IF(EO$3&gt;=EDATE(INDEX('Вводные'!$D$88:$D$91,$B$8),INDEX('Вводные'!$E$88:$E$91,$B$8)+INDEX('Вводные'!$F$88:$F$91,$B$8)+'Вводные'!$H$9),EO24,0)</x:f>
      </x:c>
      <x:c r="EP26" s="107" t="n">
        <x:f>IF(EP$3&gt;=EDATE(INDEX('Вводные'!$D$88:$D$91,$B$8),INDEX('Вводные'!$E$88:$E$91,$B$8)+INDEX('Вводные'!$F$88:$F$91,$B$8)+'Вводные'!$H$9),EP24,0)</x:f>
      </x:c>
      <x:c r="EQ26" s="107" t="n">
        <x:f>IF(EQ$3&gt;=EDATE(INDEX('Вводные'!$D$88:$D$91,$B$8),INDEX('Вводные'!$E$88:$E$91,$B$8)+INDEX('Вводные'!$F$88:$F$91,$B$8)+'Вводные'!$H$9),EQ24,0)</x:f>
      </x:c>
      <x:c r="ER26" s="107" t="n">
        <x:f>IF(ER$3&gt;=EDATE(INDEX('Вводные'!$D$88:$D$91,$B$8),INDEX('Вводные'!$E$88:$E$91,$B$8)+INDEX('Вводные'!$F$88:$F$91,$B$8)+'Вводные'!$H$9),ER24,0)</x:f>
      </x:c>
      <x:c r="ES26" s="107" t="n">
        <x:f>IF(ES$3&gt;=EDATE(INDEX('Вводные'!$D$88:$D$91,$B$8),INDEX('Вводные'!$E$88:$E$91,$B$8)+INDEX('Вводные'!$F$88:$F$91,$B$8)+'Вводные'!$H$9),ES24,0)</x:f>
      </x:c>
      <x:c r="ET26" s="107" t="n">
        <x:f>IF(ET$3&gt;=EDATE(INDEX('Вводные'!$D$88:$D$91,$B$8),INDEX('Вводные'!$E$88:$E$91,$B$8)+INDEX('Вводные'!$F$88:$F$91,$B$8)+'Вводные'!$H$9),ET24,0)</x:f>
      </x:c>
      <x:c r="EU26" s="107" t="n">
        <x:f>IF(EU$3&gt;=EDATE(INDEX('Вводные'!$D$88:$D$91,$B$8),INDEX('Вводные'!$E$88:$E$91,$B$8)+INDEX('Вводные'!$F$88:$F$91,$B$8)+'Вводные'!$H$9),EU24,0)</x:f>
      </x:c>
      <x:c r="EV26" s="107" t="n">
        <x:f>IF(EV$3&gt;=EDATE(INDEX('Вводные'!$D$88:$D$91,$B$8),INDEX('Вводные'!$E$88:$E$91,$B$8)+INDEX('Вводные'!$F$88:$F$91,$B$8)+'Вводные'!$H$9),EV24,0)</x:f>
      </x:c>
      <x:c r="EW26" s="107" t="n">
        <x:f>IF(EW$3&gt;=EDATE(INDEX('Вводные'!$D$88:$D$91,$B$8),INDEX('Вводные'!$E$88:$E$91,$B$8)+INDEX('Вводные'!$F$88:$F$91,$B$8)+'Вводные'!$H$9),EW24,0)</x:f>
      </x:c>
      <x:c r="EX26" s="107" t="n">
        <x:f>IF(EX$3&gt;=EDATE(INDEX('Вводные'!$D$88:$D$91,$B$8),INDEX('Вводные'!$E$88:$E$91,$B$8)+INDEX('Вводные'!$F$88:$F$91,$B$8)+'Вводные'!$H$9),EX24,0)</x:f>
      </x:c>
      <x:c r="EY26" s="107" t="n">
        <x:f>IF(EY$3&gt;=EDATE(INDEX('Вводные'!$D$88:$D$91,$B$8),INDEX('Вводные'!$E$88:$E$91,$B$8)+INDEX('Вводные'!$F$88:$F$91,$B$8)+'Вводные'!$H$9),EY24,0)</x:f>
      </x:c>
      <x:c r="EZ26" s="107" t="n">
        <x:f>IF(EZ$3&gt;=EDATE(INDEX('Вводные'!$D$88:$D$91,$B$8),INDEX('Вводные'!$E$88:$E$91,$B$8)+INDEX('Вводные'!$F$88:$F$91,$B$8)+'Вводные'!$H$9),EZ24,0)</x:f>
      </x:c>
      <x:c r="FA26" s="107" t="n">
        <x:f>IF(FA$3&gt;=EDATE(INDEX('Вводные'!$D$88:$D$91,$B$8),INDEX('Вводные'!$E$88:$E$91,$B$8)+INDEX('Вводные'!$F$88:$F$91,$B$8)+'Вводные'!$H$9),FA24,0)</x:f>
      </x:c>
      <x:c r="FB26" s="107" t="n">
        <x:f>IF(FB$3&gt;=EDATE(INDEX('Вводные'!$D$88:$D$91,$B$8),INDEX('Вводные'!$E$88:$E$91,$B$8)+INDEX('Вводные'!$F$88:$F$91,$B$8)+'Вводные'!$H$9),FB24,0)</x:f>
      </x:c>
      <x:c r="FC26" s="107" t="n">
        <x:f>IF(FC$3&gt;=EDATE(INDEX('Вводные'!$D$88:$D$91,$B$8),INDEX('Вводные'!$E$88:$E$91,$B$8)+INDEX('Вводные'!$F$88:$F$91,$B$8)+'Вводные'!$H$9),FC24,0)</x:f>
      </x:c>
      <x:c r="FD26" s="107" t="n">
        <x:f>IF(FD$3&gt;=EDATE(INDEX('Вводные'!$D$88:$D$91,$B$8),INDEX('Вводные'!$E$88:$E$91,$B$8)+INDEX('Вводные'!$F$88:$F$91,$B$8)+'Вводные'!$H$9),FD24,0)</x:f>
      </x:c>
      <x:c r="FE26" s="107" t="n">
        <x:f>IF(FE$3&gt;=EDATE(INDEX('Вводные'!$D$88:$D$91,$B$8),INDEX('Вводные'!$E$88:$E$91,$B$8)+INDEX('Вводные'!$F$88:$F$91,$B$8)+'Вводные'!$H$9),FE24,0)</x:f>
      </x:c>
      <x:c r="FF26" s="107" t="n">
        <x:f>IF(FF$3&gt;=EDATE(INDEX('Вводные'!$D$88:$D$91,$B$8),INDEX('Вводные'!$E$88:$E$91,$B$8)+INDEX('Вводные'!$F$88:$F$91,$B$8)+'Вводные'!$H$9),FF24,0)</x:f>
      </x:c>
      <x:c r="FG26" s="107" t="n">
        <x:f>IF(FG$3&gt;=EDATE(INDEX('Вводные'!$D$88:$D$91,$B$8),INDEX('Вводные'!$E$88:$E$91,$B$8)+INDEX('Вводные'!$F$88:$F$91,$B$8)+'Вводные'!$H$9),FG24,0)</x:f>
      </x:c>
      <x:c r="FH26" s="107" t="n">
        <x:f>IF(FH$3&gt;=EDATE(INDEX('Вводные'!$D$88:$D$91,$B$8),INDEX('Вводные'!$E$88:$E$91,$B$8)+INDEX('Вводные'!$F$88:$F$91,$B$8)+'Вводные'!$H$9),FH24,0)</x:f>
      </x:c>
      <x:c r="FI26" s="107" t="n">
        <x:f>IF(FI$3&gt;=EDATE(INDEX('Вводные'!$D$88:$D$91,$B$8),INDEX('Вводные'!$E$88:$E$91,$B$8)+INDEX('Вводные'!$F$88:$F$91,$B$8)+'Вводные'!$H$9),FI24,0)</x:f>
      </x:c>
      <x:c r="FJ26" s="107" t="n">
        <x:f>IF(FJ$3&gt;=EDATE(INDEX('Вводные'!$D$88:$D$91,$B$8),INDEX('Вводные'!$E$88:$E$91,$B$8)+INDEX('Вводные'!$F$88:$F$91,$B$8)+'Вводные'!$H$9),FJ24,0)</x:f>
      </x:c>
      <x:c r="FK26" s="107" t="n">
        <x:f>IF(FK$3&gt;=EDATE(INDEX('Вводные'!$D$88:$D$91,$B$8),INDEX('Вводные'!$E$88:$E$91,$B$8)+INDEX('Вводные'!$F$88:$F$91,$B$8)+'Вводные'!$H$9),FK24,0)</x:f>
      </x:c>
      <x:c r="FL26" s="107" t="n">
        <x:f>IF(FL$3&gt;=EDATE(INDEX('Вводные'!$D$88:$D$91,$B$8),INDEX('Вводные'!$E$88:$E$91,$B$8)+INDEX('Вводные'!$F$88:$F$91,$B$8)+'Вводные'!$H$9),FL24,0)</x:f>
      </x:c>
      <x:c r="FM26" s="107" t="n">
        <x:f>IF(FM$3&gt;=EDATE(INDEX('Вводные'!$D$88:$D$91,$B$8),INDEX('Вводные'!$E$88:$E$91,$B$8)+INDEX('Вводные'!$F$88:$F$91,$B$8)+'Вводные'!$H$9),FM24,0)</x:f>
      </x:c>
      <x:c r="FN26" s="107" t="n">
        <x:f>IF(FN$3&gt;=EDATE(INDEX('Вводные'!$D$88:$D$91,$B$8),INDEX('Вводные'!$E$88:$E$91,$B$8)+INDEX('Вводные'!$F$88:$F$91,$B$8)+'Вводные'!$H$9),FN24,0)</x:f>
      </x:c>
      <x:c r="FO26" s="107" t="n">
        <x:f>IF(FO$3&gt;=EDATE(INDEX('Вводные'!$D$88:$D$91,$B$8),INDEX('Вводные'!$E$88:$E$91,$B$8)+INDEX('Вводные'!$F$88:$F$91,$B$8)+'Вводные'!$H$9),FO24,0)</x:f>
      </x:c>
      <x:c r="FP26" s="107" t="n">
        <x:f>IF(FP$3&gt;=EDATE(INDEX('Вводные'!$D$88:$D$91,$B$8),INDEX('Вводные'!$E$88:$E$91,$B$8)+INDEX('Вводные'!$F$88:$F$91,$B$8)+'Вводные'!$H$9),FP24,0)</x:f>
      </x:c>
      <x:c r="FQ26" s="107" t="n">
        <x:f>IF(FQ$3&gt;=EDATE(INDEX('Вводные'!$D$88:$D$91,$B$8),INDEX('Вводные'!$E$88:$E$91,$B$8)+INDEX('Вводные'!$F$88:$F$91,$B$8)+'Вводные'!$H$9),FQ24,0)</x:f>
      </x:c>
      <x:c r="FR26" s="107" t="n">
        <x:f>IF(FR$3&gt;=EDATE(INDEX('Вводные'!$D$88:$D$91,$B$8),INDEX('Вводные'!$E$88:$E$91,$B$8)+INDEX('Вводные'!$F$88:$F$91,$B$8)+'Вводные'!$H$9),FR24,0)</x:f>
      </x:c>
      <x:c r="FS26" s="107" t="n">
        <x:f>IF(FS$3&gt;=EDATE(INDEX('Вводные'!$D$88:$D$91,$B$8),INDEX('Вводные'!$E$88:$E$91,$B$8)+INDEX('Вводные'!$F$88:$F$91,$B$8)+'Вводные'!$H$9),FS24,0)</x:f>
      </x:c>
      <x:c r="FT26" s="107" t="n">
        <x:f>IF(FT$3&gt;=EDATE(INDEX('Вводные'!$D$88:$D$91,$B$8),INDEX('Вводные'!$E$88:$E$91,$B$8)+INDEX('Вводные'!$F$88:$F$91,$B$8)+'Вводные'!$H$9),FT24,0)</x:f>
      </x:c>
      <x:c r="FU26" s="107" t="n">
        <x:f>IF(FU$3&gt;=EDATE(INDEX('Вводные'!$D$88:$D$91,$B$8),INDEX('Вводные'!$E$88:$E$91,$B$8)+INDEX('Вводные'!$F$88:$F$91,$B$8)+'Вводные'!$H$9),FU24,0)</x:f>
      </x:c>
      <x:c r="FV26" s="107" t="n">
        <x:f>IF(FV$3&gt;=EDATE(INDEX('Вводные'!$D$88:$D$91,$B$8),INDEX('Вводные'!$E$88:$E$91,$B$8)+INDEX('Вводные'!$F$88:$F$91,$B$8)+'Вводные'!$H$9),FV24,0)</x:f>
      </x:c>
      <x:c r="FW26" s="107" t="n">
        <x:f>IF(FW$3&gt;=EDATE(INDEX('Вводные'!$D$88:$D$91,$B$8),INDEX('Вводные'!$E$88:$E$91,$B$8)+INDEX('Вводные'!$F$88:$F$91,$B$8)+'Вводные'!$H$9),FW24,0)</x:f>
      </x:c>
      <x:c r="FX26" s="107" t="n">
        <x:f>IF(FX$3&gt;=EDATE(INDEX('Вводные'!$D$88:$D$91,$B$8),INDEX('Вводные'!$E$88:$E$91,$B$8)+INDEX('Вводные'!$F$88:$F$91,$B$8)+'Вводные'!$H$9),FX24,0)</x:f>
      </x:c>
      <x:c r="FY26" s="107" t="n">
        <x:f>IF(FY$3&gt;=EDATE(INDEX('Вводные'!$D$88:$D$91,$B$8),INDEX('Вводные'!$E$88:$E$91,$B$8)+INDEX('Вводные'!$F$88:$F$91,$B$8)+'Вводные'!$H$9),FY24,0)</x:f>
      </x:c>
      <x:c r="FZ26" s="107" t="n">
        <x:f>IF(FZ$3&gt;=EDATE(INDEX('Вводные'!$D$88:$D$91,$B$8),INDEX('Вводные'!$E$88:$E$91,$B$8)+INDEX('Вводные'!$F$88:$F$91,$B$8)+'Вводные'!$H$9),FZ24,0)</x:f>
      </x:c>
      <x:c r="GA26" s="107" t="n">
        <x:f>IF(GA$3&gt;=EDATE(INDEX('Вводные'!$D$88:$D$91,$B$8),INDEX('Вводные'!$E$88:$E$91,$B$8)+INDEX('Вводные'!$F$88:$F$91,$B$8)+'Вводные'!$H$9),GA24,0)</x:f>
      </x:c>
    </x:row>
    <x:row r="27">
      <x:c r="A27" t="str">
        <x:v>Раскрытие эскроу</x:v>
      </x:c>
      <x:c r="B27" s="107" t="n">
        <x:f>SUM(D27:GA27)</x:f>
      </x:c>
      <x:c r="C27" t="str">
        <x:v>млн ₽</x:v>
      </x:c>
      <x:c r="D27" s="107" t="n">
        <x:f>IF(AND(YEAR(D$3)=YEAR(EDATE(INDEX('Вводные'!$D$88:$D$91,$B$8),INDEX('Вводные'!$E$88:$E$91,$B$8)+INDEX('Вводные'!$F$88:$F$91,$B$8)+'Вводные'!$H$9)),MONTH(D$3)=MONTH(EDATE(INDEX('Вводные'!$D$88:$D$91,$B$8),INDEX('Вводные'!$E$88:$E$91,$B$8)+INDEX('Вводные'!$F$88:$F$91,$B$8)+'Вводные'!$H$9)),AND($B$7="Да",IFERROR(INDEX('Вводные'!$B$88:$B$91,$B$8),"Нет")="Да")),MAX(0,SUM($D25:D25)-D25),0)</x:f>
      </x:c>
      <x:c r="E27" s="107" t="n">
        <x:f>IF(AND(YEAR(E$3)=YEAR(EDATE(INDEX('Вводные'!$D$88:$D$91,$B$8),INDEX('Вводные'!$E$88:$E$91,$B$8)+INDEX('Вводные'!$F$88:$F$91,$B$8)+'Вводные'!$H$9)),MONTH(E$3)=MONTH(EDATE(INDEX('Вводные'!$D$88:$D$91,$B$8),INDEX('Вводные'!$E$88:$E$91,$B$8)+INDEX('Вводные'!$F$88:$F$91,$B$8)+'Вводные'!$H$9)),AND($B$7="Да",IFERROR(INDEX('Вводные'!$B$88:$B$91,$B$8),"Нет")="Да")),MAX(0,SUM($D25:E25)-E25),0)</x:f>
      </x:c>
      <x:c r="F27" s="107" t="n">
        <x:f>IF(AND(YEAR(F$3)=YEAR(EDATE(INDEX('Вводные'!$D$88:$D$91,$B$8),INDEX('Вводные'!$E$88:$E$91,$B$8)+INDEX('Вводные'!$F$88:$F$91,$B$8)+'Вводные'!$H$9)),MONTH(F$3)=MONTH(EDATE(INDEX('Вводные'!$D$88:$D$91,$B$8),INDEX('Вводные'!$E$88:$E$91,$B$8)+INDEX('Вводные'!$F$88:$F$91,$B$8)+'Вводные'!$H$9)),AND($B$7="Да",IFERROR(INDEX('Вводные'!$B$88:$B$91,$B$8),"Нет")="Да")),MAX(0,SUM($D25:F25)-F25),0)</x:f>
      </x:c>
      <x:c r="G27" s="107" t="n">
        <x:f>IF(AND(YEAR(G$3)=YEAR(EDATE(INDEX('Вводные'!$D$88:$D$91,$B$8),INDEX('Вводные'!$E$88:$E$91,$B$8)+INDEX('Вводные'!$F$88:$F$91,$B$8)+'Вводные'!$H$9)),MONTH(G$3)=MONTH(EDATE(INDEX('Вводные'!$D$88:$D$91,$B$8),INDEX('Вводные'!$E$88:$E$91,$B$8)+INDEX('Вводные'!$F$88:$F$91,$B$8)+'Вводные'!$H$9)),AND($B$7="Да",IFERROR(INDEX('Вводные'!$B$88:$B$91,$B$8),"Нет")="Да")),MAX(0,SUM($D25:G25)-G25),0)</x:f>
      </x:c>
      <x:c r="H27" s="107" t="n">
        <x:f>IF(AND(YEAR(H$3)=YEAR(EDATE(INDEX('Вводные'!$D$88:$D$91,$B$8),INDEX('Вводные'!$E$88:$E$91,$B$8)+INDEX('Вводные'!$F$88:$F$91,$B$8)+'Вводные'!$H$9)),MONTH(H$3)=MONTH(EDATE(INDEX('Вводные'!$D$88:$D$91,$B$8),INDEX('Вводные'!$E$88:$E$91,$B$8)+INDEX('Вводные'!$F$88:$F$91,$B$8)+'Вводные'!$H$9)),AND($B$7="Да",IFERROR(INDEX('Вводные'!$B$88:$B$91,$B$8),"Нет")="Да")),MAX(0,SUM($D25:H25)-H25),0)</x:f>
      </x:c>
      <x:c r="I27" s="107" t="n">
        <x:f>IF(AND(YEAR(I$3)=YEAR(EDATE(INDEX('Вводные'!$D$88:$D$91,$B$8),INDEX('Вводные'!$E$88:$E$91,$B$8)+INDEX('Вводные'!$F$88:$F$91,$B$8)+'Вводные'!$H$9)),MONTH(I$3)=MONTH(EDATE(INDEX('Вводные'!$D$88:$D$91,$B$8),INDEX('Вводные'!$E$88:$E$91,$B$8)+INDEX('Вводные'!$F$88:$F$91,$B$8)+'Вводные'!$H$9)),AND($B$7="Да",IFERROR(INDEX('Вводные'!$B$88:$B$91,$B$8),"Нет")="Да")),MAX(0,SUM($D25:I25)-I25),0)</x:f>
      </x:c>
      <x:c r="J27" s="107" t="n">
        <x:f>IF(AND(YEAR(J$3)=YEAR(EDATE(INDEX('Вводные'!$D$88:$D$91,$B$8),INDEX('Вводные'!$E$88:$E$91,$B$8)+INDEX('Вводные'!$F$88:$F$91,$B$8)+'Вводные'!$H$9)),MONTH(J$3)=MONTH(EDATE(INDEX('Вводные'!$D$88:$D$91,$B$8),INDEX('Вводные'!$E$88:$E$91,$B$8)+INDEX('Вводные'!$F$88:$F$91,$B$8)+'Вводные'!$H$9)),AND($B$7="Да",IFERROR(INDEX('Вводные'!$B$88:$B$91,$B$8),"Нет")="Да")),MAX(0,SUM($D25:J25)-J25),0)</x:f>
      </x:c>
      <x:c r="K27" s="107" t="n">
        <x:f>IF(AND(YEAR(K$3)=YEAR(EDATE(INDEX('Вводные'!$D$88:$D$91,$B$8),INDEX('Вводные'!$E$88:$E$91,$B$8)+INDEX('Вводные'!$F$88:$F$91,$B$8)+'Вводные'!$H$9)),MONTH(K$3)=MONTH(EDATE(INDEX('Вводные'!$D$88:$D$91,$B$8),INDEX('Вводные'!$E$88:$E$91,$B$8)+INDEX('Вводные'!$F$88:$F$91,$B$8)+'Вводные'!$H$9)),AND($B$7="Да",IFERROR(INDEX('Вводные'!$B$88:$B$91,$B$8),"Нет")="Да")),MAX(0,SUM($D25:K25)-K25),0)</x:f>
      </x:c>
      <x:c r="L27" s="107" t="n">
        <x:f>IF(AND(YEAR(L$3)=YEAR(EDATE(INDEX('Вводные'!$D$88:$D$91,$B$8),INDEX('Вводные'!$E$88:$E$91,$B$8)+INDEX('Вводные'!$F$88:$F$91,$B$8)+'Вводные'!$H$9)),MONTH(L$3)=MONTH(EDATE(INDEX('Вводные'!$D$88:$D$91,$B$8),INDEX('Вводные'!$E$88:$E$91,$B$8)+INDEX('Вводные'!$F$88:$F$91,$B$8)+'Вводные'!$H$9)),AND($B$7="Да",IFERROR(INDEX('Вводные'!$B$88:$B$91,$B$8),"Нет")="Да")),MAX(0,SUM($D25:L25)-L25),0)</x:f>
      </x:c>
      <x:c r="M27" s="107" t="n">
        <x:f>IF(AND(YEAR(M$3)=YEAR(EDATE(INDEX('Вводные'!$D$88:$D$91,$B$8),INDEX('Вводные'!$E$88:$E$91,$B$8)+INDEX('Вводные'!$F$88:$F$91,$B$8)+'Вводные'!$H$9)),MONTH(M$3)=MONTH(EDATE(INDEX('Вводные'!$D$88:$D$91,$B$8),INDEX('Вводные'!$E$88:$E$91,$B$8)+INDEX('Вводные'!$F$88:$F$91,$B$8)+'Вводные'!$H$9)),AND($B$7="Да",IFERROR(INDEX('Вводные'!$B$88:$B$91,$B$8),"Нет")="Да")),MAX(0,SUM($D25:M25)-M25),0)</x:f>
      </x:c>
      <x:c r="N27" s="107" t="n">
        <x:f>IF(AND(YEAR(N$3)=YEAR(EDATE(INDEX('Вводные'!$D$88:$D$91,$B$8),INDEX('Вводные'!$E$88:$E$91,$B$8)+INDEX('Вводные'!$F$88:$F$91,$B$8)+'Вводные'!$H$9)),MONTH(N$3)=MONTH(EDATE(INDEX('Вводные'!$D$88:$D$91,$B$8),INDEX('Вводные'!$E$88:$E$91,$B$8)+INDEX('Вводные'!$F$88:$F$91,$B$8)+'Вводные'!$H$9)),AND($B$7="Да",IFERROR(INDEX('Вводные'!$B$88:$B$91,$B$8),"Нет")="Да")),MAX(0,SUM($D25:N25)-N25),0)</x:f>
      </x:c>
      <x:c r="O27" s="107" t="n">
        <x:f>IF(AND(YEAR(O$3)=YEAR(EDATE(INDEX('Вводные'!$D$88:$D$91,$B$8),INDEX('Вводные'!$E$88:$E$91,$B$8)+INDEX('Вводные'!$F$88:$F$91,$B$8)+'Вводные'!$H$9)),MONTH(O$3)=MONTH(EDATE(INDEX('Вводные'!$D$88:$D$91,$B$8),INDEX('Вводные'!$E$88:$E$91,$B$8)+INDEX('Вводные'!$F$88:$F$91,$B$8)+'Вводные'!$H$9)),AND($B$7="Да",IFERROR(INDEX('Вводные'!$B$88:$B$91,$B$8),"Нет")="Да")),MAX(0,SUM($D25:O25)-O25),0)</x:f>
      </x:c>
      <x:c r="P27" s="107" t="n">
        <x:f>IF(AND(YEAR(P$3)=YEAR(EDATE(INDEX('Вводные'!$D$88:$D$91,$B$8),INDEX('Вводные'!$E$88:$E$91,$B$8)+INDEX('Вводные'!$F$88:$F$91,$B$8)+'Вводные'!$H$9)),MONTH(P$3)=MONTH(EDATE(INDEX('Вводные'!$D$88:$D$91,$B$8),INDEX('Вводные'!$E$88:$E$91,$B$8)+INDEX('Вводные'!$F$88:$F$91,$B$8)+'Вводные'!$H$9)),AND($B$7="Да",IFERROR(INDEX('Вводные'!$B$88:$B$91,$B$8),"Нет")="Да")),MAX(0,SUM($D25:P25)-P25),0)</x:f>
      </x:c>
      <x:c r="Q27" s="107" t="n">
        <x:f>IF(AND(YEAR(Q$3)=YEAR(EDATE(INDEX('Вводные'!$D$88:$D$91,$B$8),INDEX('Вводные'!$E$88:$E$91,$B$8)+INDEX('Вводные'!$F$88:$F$91,$B$8)+'Вводные'!$H$9)),MONTH(Q$3)=MONTH(EDATE(INDEX('Вводные'!$D$88:$D$91,$B$8),INDEX('Вводные'!$E$88:$E$91,$B$8)+INDEX('Вводные'!$F$88:$F$91,$B$8)+'Вводные'!$H$9)),AND($B$7="Да",IFERROR(INDEX('Вводные'!$B$88:$B$91,$B$8),"Нет")="Да")),MAX(0,SUM($D25:Q25)-Q25),0)</x:f>
      </x:c>
      <x:c r="R27" s="107" t="n">
        <x:f>IF(AND(YEAR(R$3)=YEAR(EDATE(INDEX('Вводные'!$D$88:$D$91,$B$8),INDEX('Вводные'!$E$88:$E$91,$B$8)+INDEX('Вводные'!$F$88:$F$91,$B$8)+'Вводные'!$H$9)),MONTH(R$3)=MONTH(EDATE(INDEX('Вводные'!$D$88:$D$91,$B$8),INDEX('Вводные'!$E$88:$E$91,$B$8)+INDEX('Вводные'!$F$88:$F$91,$B$8)+'Вводные'!$H$9)),AND($B$7="Да",IFERROR(INDEX('Вводные'!$B$88:$B$91,$B$8),"Нет")="Да")),MAX(0,SUM($D25:R25)-R25),0)</x:f>
      </x:c>
      <x:c r="S27" s="107" t="n">
        <x:f>IF(AND(YEAR(S$3)=YEAR(EDATE(INDEX('Вводные'!$D$88:$D$91,$B$8),INDEX('Вводные'!$E$88:$E$91,$B$8)+INDEX('Вводные'!$F$88:$F$91,$B$8)+'Вводные'!$H$9)),MONTH(S$3)=MONTH(EDATE(INDEX('Вводные'!$D$88:$D$91,$B$8),INDEX('Вводные'!$E$88:$E$91,$B$8)+INDEX('Вводные'!$F$88:$F$91,$B$8)+'Вводные'!$H$9)),AND($B$7="Да",IFERROR(INDEX('Вводные'!$B$88:$B$91,$B$8),"Нет")="Да")),MAX(0,SUM($D25:S25)-S25),0)</x:f>
      </x:c>
      <x:c r="T27" s="107" t="n">
        <x:f>IF(AND(YEAR(T$3)=YEAR(EDATE(INDEX('Вводные'!$D$88:$D$91,$B$8),INDEX('Вводные'!$E$88:$E$91,$B$8)+INDEX('Вводные'!$F$88:$F$91,$B$8)+'Вводные'!$H$9)),MONTH(T$3)=MONTH(EDATE(INDEX('Вводные'!$D$88:$D$91,$B$8),INDEX('Вводные'!$E$88:$E$91,$B$8)+INDEX('Вводные'!$F$88:$F$91,$B$8)+'Вводные'!$H$9)),AND($B$7="Да",IFERROR(INDEX('Вводные'!$B$88:$B$91,$B$8),"Нет")="Да")),MAX(0,SUM($D25:T25)-T25),0)</x:f>
      </x:c>
      <x:c r="U27" s="107" t="n">
        <x:f>IF(AND(YEAR(U$3)=YEAR(EDATE(INDEX('Вводные'!$D$88:$D$91,$B$8),INDEX('Вводные'!$E$88:$E$91,$B$8)+INDEX('Вводные'!$F$88:$F$91,$B$8)+'Вводные'!$H$9)),MONTH(U$3)=MONTH(EDATE(INDEX('Вводные'!$D$88:$D$91,$B$8),INDEX('Вводные'!$E$88:$E$91,$B$8)+INDEX('Вводные'!$F$88:$F$91,$B$8)+'Вводные'!$H$9)),AND($B$7="Да",IFERROR(INDEX('Вводные'!$B$88:$B$91,$B$8),"Нет")="Да")),MAX(0,SUM($D25:U25)-U25),0)</x:f>
      </x:c>
      <x:c r="V27" s="107" t="n">
        <x:f>IF(AND(YEAR(V$3)=YEAR(EDATE(INDEX('Вводные'!$D$88:$D$91,$B$8),INDEX('Вводные'!$E$88:$E$91,$B$8)+INDEX('Вводные'!$F$88:$F$91,$B$8)+'Вводные'!$H$9)),MONTH(V$3)=MONTH(EDATE(INDEX('Вводные'!$D$88:$D$91,$B$8),INDEX('Вводные'!$E$88:$E$91,$B$8)+INDEX('Вводные'!$F$88:$F$91,$B$8)+'Вводные'!$H$9)),AND($B$7="Да",IFERROR(INDEX('Вводные'!$B$88:$B$91,$B$8),"Нет")="Да")),MAX(0,SUM($D25:V25)-V25),0)</x:f>
      </x:c>
      <x:c r="W27" s="107" t="n">
        <x:f>IF(AND(YEAR(W$3)=YEAR(EDATE(INDEX('Вводные'!$D$88:$D$91,$B$8),INDEX('Вводные'!$E$88:$E$91,$B$8)+INDEX('Вводные'!$F$88:$F$91,$B$8)+'Вводные'!$H$9)),MONTH(W$3)=MONTH(EDATE(INDEX('Вводные'!$D$88:$D$91,$B$8),INDEX('Вводные'!$E$88:$E$91,$B$8)+INDEX('Вводные'!$F$88:$F$91,$B$8)+'Вводные'!$H$9)),AND($B$7="Да",IFERROR(INDEX('Вводные'!$B$88:$B$91,$B$8),"Нет")="Да")),MAX(0,SUM($D25:W25)-W25),0)</x:f>
      </x:c>
      <x:c r="X27" s="107" t="n">
        <x:f>IF(AND(YEAR(X$3)=YEAR(EDATE(INDEX('Вводные'!$D$88:$D$91,$B$8),INDEX('Вводные'!$E$88:$E$91,$B$8)+INDEX('Вводные'!$F$88:$F$91,$B$8)+'Вводные'!$H$9)),MONTH(X$3)=MONTH(EDATE(INDEX('Вводные'!$D$88:$D$91,$B$8),INDEX('Вводные'!$E$88:$E$91,$B$8)+INDEX('Вводные'!$F$88:$F$91,$B$8)+'Вводные'!$H$9)),AND($B$7="Да",IFERROR(INDEX('Вводные'!$B$88:$B$91,$B$8),"Нет")="Да")),MAX(0,SUM($D25:X25)-X25),0)</x:f>
      </x:c>
      <x:c r="Y27" s="107" t="n">
        <x:f>IF(AND(YEAR(Y$3)=YEAR(EDATE(INDEX('Вводные'!$D$88:$D$91,$B$8),INDEX('Вводные'!$E$88:$E$91,$B$8)+INDEX('Вводные'!$F$88:$F$91,$B$8)+'Вводные'!$H$9)),MONTH(Y$3)=MONTH(EDATE(INDEX('Вводные'!$D$88:$D$91,$B$8),INDEX('Вводные'!$E$88:$E$91,$B$8)+INDEX('Вводные'!$F$88:$F$91,$B$8)+'Вводные'!$H$9)),AND($B$7="Да",IFERROR(INDEX('Вводные'!$B$88:$B$91,$B$8),"Нет")="Да")),MAX(0,SUM($D25:Y25)-Y25),0)</x:f>
      </x:c>
      <x:c r="Z27" s="107" t="n">
        <x:f>IF(AND(YEAR(Z$3)=YEAR(EDATE(INDEX('Вводные'!$D$88:$D$91,$B$8),INDEX('Вводные'!$E$88:$E$91,$B$8)+INDEX('Вводные'!$F$88:$F$91,$B$8)+'Вводные'!$H$9)),MONTH(Z$3)=MONTH(EDATE(INDEX('Вводные'!$D$88:$D$91,$B$8),INDEX('Вводные'!$E$88:$E$91,$B$8)+INDEX('Вводные'!$F$88:$F$91,$B$8)+'Вводные'!$H$9)),AND($B$7="Да",IFERROR(INDEX('Вводные'!$B$88:$B$91,$B$8),"Нет")="Да")),MAX(0,SUM($D25:Z25)-Z25),0)</x:f>
      </x:c>
      <x:c r="AA27" s="107" t="n">
        <x:f>IF(AND(YEAR(AA$3)=YEAR(EDATE(INDEX('Вводные'!$D$88:$D$91,$B$8),INDEX('Вводные'!$E$88:$E$91,$B$8)+INDEX('Вводные'!$F$88:$F$91,$B$8)+'Вводные'!$H$9)),MONTH(AA$3)=MONTH(EDATE(INDEX('Вводные'!$D$88:$D$91,$B$8),INDEX('Вводные'!$E$88:$E$91,$B$8)+INDEX('Вводные'!$F$88:$F$91,$B$8)+'Вводные'!$H$9)),AND($B$7="Да",IFERROR(INDEX('Вводные'!$B$88:$B$91,$B$8),"Нет")="Да")),MAX(0,SUM($D25:AA25)-AA25),0)</x:f>
      </x:c>
      <x:c r="AB27" s="107" t="n">
        <x:f>IF(AND(YEAR(AB$3)=YEAR(EDATE(INDEX('Вводные'!$D$88:$D$91,$B$8),INDEX('Вводные'!$E$88:$E$91,$B$8)+INDEX('Вводные'!$F$88:$F$91,$B$8)+'Вводные'!$H$9)),MONTH(AB$3)=MONTH(EDATE(INDEX('Вводные'!$D$88:$D$91,$B$8),INDEX('Вводные'!$E$88:$E$91,$B$8)+INDEX('Вводные'!$F$88:$F$91,$B$8)+'Вводные'!$H$9)),AND($B$7="Да",IFERROR(INDEX('Вводные'!$B$88:$B$91,$B$8),"Нет")="Да")),MAX(0,SUM($D25:AB25)-AB25),0)</x:f>
      </x:c>
      <x:c r="AC27" s="107" t="n">
        <x:f>IF(AND(YEAR(AC$3)=YEAR(EDATE(INDEX('Вводные'!$D$88:$D$91,$B$8),INDEX('Вводные'!$E$88:$E$91,$B$8)+INDEX('Вводные'!$F$88:$F$91,$B$8)+'Вводные'!$H$9)),MONTH(AC$3)=MONTH(EDATE(INDEX('Вводные'!$D$88:$D$91,$B$8),INDEX('Вводные'!$E$88:$E$91,$B$8)+INDEX('Вводные'!$F$88:$F$91,$B$8)+'Вводные'!$H$9)),AND($B$7="Да",IFERROR(INDEX('Вводные'!$B$88:$B$91,$B$8),"Нет")="Да")),MAX(0,SUM($D25:AC25)-AC25),0)</x:f>
      </x:c>
      <x:c r="AD27" s="107" t="n">
        <x:f>IF(AND(YEAR(AD$3)=YEAR(EDATE(INDEX('Вводные'!$D$88:$D$91,$B$8),INDEX('Вводные'!$E$88:$E$91,$B$8)+INDEX('Вводные'!$F$88:$F$91,$B$8)+'Вводные'!$H$9)),MONTH(AD$3)=MONTH(EDATE(INDEX('Вводные'!$D$88:$D$91,$B$8),INDEX('Вводные'!$E$88:$E$91,$B$8)+INDEX('Вводные'!$F$88:$F$91,$B$8)+'Вводные'!$H$9)),AND($B$7="Да",IFERROR(INDEX('Вводные'!$B$88:$B$91,$B$8),"Нет")="Да")),MAX(0,SUM($D25:AD25)-AD25),0)</x:f>
      </x:c>
      <x:c r="AE27" s="107" t="n">
        <x:f>IF(AND(YEAR(AE$3)=YEAR(EDATE(INDEX('Вводные'!$D$88:$D$91,$B$8),INDEX('Вводные'!$E$88:$E$91,$B$8)+INDEX('Вводные'!$F$88:$F$91,$B$8)+'Вводные'!$H$9)),MONTH(AE$3)=MONTH(EDATE(INDEX('Вводные'!$D$88:$D$91,$B$8),INDEX('Вводные'!$E$88:$E$91,$B$8)+INDEX('Вводные'!$F$88:$F$91,$B$8)+'Вводные'!$H$9)),AND($B$7="Да",IFERROR(INDEX('Вводные'!$B$88:$B$91,$B$8),"Нет")="Да")),MAX(0,SUM($D25:AE25)-AE25),0)</x:f>
      </x:c>
      <x:c r="AF27" s="107" t="n">
        <x:f>IF(AND(YEAR(AF$3)=YEAR(EDATE(INDEX('Вводные'!$D$88:$D$91,$B$8),INDEX('Вводные'!$E$88:$E$91,$B$8)+INDEX('Вводные'!$F$88:$F$91,$B$8)+'Вводные'!$H$9)),MONTH(AF$3)=MONTH(EDATE(INDEX('Вводные'!$D$88:$D$91,$B$8),INDEX('Вводные'!$E$88:$E$91,$B$8)+INDEX('Вводные'!$F$88:$F$91,$B$8)+'Вводные'!$H$9)),AND($B$7="Да",IFERROR(INDEX('Вводные'!$B$88:$B$91,$B$8),"Нет")="Да")),MAX(0,SUM($D25:AF25)-AF25),0)</x:f>
      </x:c>
      <x:c r="AG27" s="107" t="n">
        <x:f>IF(AND(YEAR(AG$3)=YEAR(EDATE(INDEX('Вводные'!$D$88:$D$91,$B$8),INDEX('Вводные'!$E$88:$E$91,$B$8)+INDEX('Вводные'!$F$88:$F$91,$B$8)+'Вводные'!$H$9)),MONTH(AG$3)=MONTH(EDATE(INDEX('Вводные'!$D$88:$D$91,$B$8),INDEX('Вводные'!$E$88:$E$91,$B$8)+INDEX('Вводные'!$F$88:$F$91,$B$8)+'Вводные'!$H$9)),AND($B$7="Да",IFERROR(INDEX('Вводные'!$B$88:$B$91,$B$8),"Нет")="Да")),MAX(0,SUM($D25:AG25)-AG25),0)</x:f>
      </x:c>
      <x:c r="AH27" s="107" t="n">
        <x:f>IF(AND(YEAR(AH$3)=YEAR(EDATE(INDEX('Вводные'!$D$88:$D$91,$B$8),INDEX('Вводные'!$E$88:$E$91,$B$8)+INDEX('Вводные'!$F$88:$F$91,$B$8)+'Вводные'!$H$9)),MONTH(AH$3)=MONTH(EDATE(INDEX('Вводные'!$D$88:$D$91,$B$8),INDEX('Вводные'!$E$88:$E$91,$B$8)+INDEX('Вводные'!$F$88:$F$91,$B$8)+'Вводные'!$H$9)),AND($B$7="Да",IFERROR(INDEX('Вводные'!$B$88:$B$91,$B$8),"Нет")="Да")),MAX(0,SUM($D25:AH25)-AH25),0)</x:f>
      </x:c>
      <x:c r="AI27" s="107" t="n">
        <x:f>IF(AND(YEAR(AI$3)=YEAR(EDATE(INDEX('Вводные'!$D$88:$D$91,$B$8),INDEX('Вводные'!$E$88:$E$91,$B$8)+INDEX('Вводные'!$F$88:$F$91,$B$8)+'Вводные'!$H$9)),MONTH(AI$3)=MONTH(EDATE(INDEX('Вводные'!$D$88:$D$91,$B$8),INDEX('Вводные'!$E$88:$E$91,$B$8)+INDEX('Вводные'!$F$88:$F$91,$B$8)+'Вводные'!$H$9)),AND($B$7="Да",IFERROR(INDEX('Вводные'!$B$88:$B$91,$B$8),"Нет")="Да")),MAX(0,SUM($D25:AI25)-AI25),0)</x:f>
      </x:c>
      <x:c r="AJ27" s="107" t="n">
        <x:f>IF(AND(YEAR(AJ$3)=YEAR(EDATE(INDEX('Вводные'!$D$88:$D$91,$B$8),INDEX('Вводные'!$E$88:$E$91,$B$8)+INDEX('Вводные'!$F$88:$F$91,$B$8)+'Вводные'!$H$9)),MONTH(AJ$3)=MONTH(EDATE(INDEX('Вводные'!$D$88:$D$91,$B$8),INDEX('Вводные'!$E$88:$E$91,$B$8)+INDEX('Вводные'!$F$88:$F$91,$B$8)+'Вводные'!$H$9)),AND($B$7="Да",IFERROR(INDEX('Вводные'!$B$88:$B$91,$B$8),"Нет")="Да")),MAX(0,SUM($D25:AJ25)-AJ25),0)</x:f>
      </x:c>
      <x:c r="AK27" s="107" t="n">
        <x:f>IF(AND(YEAR(AK$3)=YEAR(EDATE(INDEX('Вводные'!$D$88:$D$91,$B$8),INDEX('Вводные'!$E$88:$E$91,$B$8)+INDEX('Вводные'!$F$88:$F$91,$B$8)+'Вводные'!$H$9)),MONTH(AK$3)=MONTH(EDATE(INDEX('Вводные'!$D$88:$D$91,$B$8),INDEX('Вводные'!$E$88:$E$91,$B$8)+INDEX('Вводные'!$F$88:$F$91,$B$8)+'Вводные'!$H$9)),AND($B$7="Да",IFERROR(INDEX('Вводные'!$B$88:$B$91,$B$8),"Нет")="Да")),MAX(0,SUM($D25:AK25)-AK25),0)</x:f>
      </x:c>
      <x:c r="AL27" s="107" t="n">
        <x:f>IF(AND(YEAR(AL$3)=YEAR(EDATE(INDEX('Вводные'!$D$88:$D$91,$B$8),INDEX('Вводные'!$E$88:$E$91,$B$8)+INDEX('Вводные'!$F$88:$F$91,$B$8)+'Вводные'!$H$9)),MONTH(AL$3)=MONTH(EDATE(INDEX('Вводные'!$D$88:$D$91,$B$8),INDEX('Вводные'!$E$88:$E$91,$B$8)+INDEX('Вводные'!$F$88:$F$91,$B$8)+'Вводные'!$H$9)),AND($B$7="Да",IFERROR(INDEX('Вводные'!$B$88:$B$91,$B$8),"Нет")="Да")),MAX(0,SUM($D25:AL25)-AL25),0)</x:f>
      </x:c>
      <x:c r="AM27" s="107" t="n">
        <x:f>IF(AND(YEAR(AM$3)=YEAR(EDATE(INDEX('Вводные'!$D$88:$D$91,$B$8),INDEX('Вводные'!$E$88:$E$91,$B$8)+INDEX('Вводные'!$F$88:$F$91,$B$8)+'Вводные'!$H$9)),MONTH(AM$3)=MONTH(EDATE(INDEX('Вводные'!$D$88:$D$91,$B$8),INDEX('Вводные'!$E$88:$E$91,$B$8)+INDEX('Вводные'!$F$88:$F$91,$B$8)+'Вводные'!$H$9)),AND($B$7="Да",IFERROR(INDEX('Вводные'!$B$88:$B$91,$B$8),"Нет")="Да")),MAX(0,SUM($D25:AM25)-AM25),0)</x:f>
      </x:c>
      <x:c r="AN27" s="107" t="n">
        <x:f>IF(AND(YEAR(AN$3)=YEAR(EDATE(INDEX('Вводные'!$D$88:$D$91,$B$8),INDEX('Вводные'!$E$88:$E$91,$B$8)+INDEX('Вводные'!$F$88:$F$91,$B$8)+'Вводные'!$H$9)),MONTH(AN$3)=MONTH(EDATE(INDEX('Вводные'!$D$88:$D$91,$B$8),INDEX('Вводные'!$E$88:$E$91,$B$8)+INDEX('Вводные'!$F$88:$F$91,$B$8)+'Вводные'!$H$9)),AND($B$7="Да",IFERROR(INDEX('Вводные'!$B$88:$B$91,$B$8),"Нет")="Да")),MAX(0,SUM($D25:AN25)-AN25),0)</x:f>
      </x:c>
      <x:c r="AO27" s="107" t="n">
        <x:f>IF(AND(YEAR(AO$3)=YEAR(EDATE(INDEX('Вводные'!$D$88:$D$91,$B$8),INDEX('Вводные'!$E$88:$E$91,$B$8)+INDEX('Вводные'!$F$88:$F$91,$B$8)+'Вводные'!$H$9)),MONTH(AO$3)=MONTH(EDATE(INDEX('Вводные'!$D$88:$D$91,$B$8),INDEX('Вводные'!$E$88:$E$91,$B$8)+INDEX('Вводные'!$F$88:$F$91,$B$8)+'Вводные'!$H$9)),AND($B$7="Да",IFERROR(INDEX('Вводные'!$B$88:$B$91,$B$8),"Нет")="Да")),MAX(0,SUM($D25:AO25)-AO25),0)</x:f>
      </x:c>
      <x:c r="AP27" s="107" t="n">
        <x:f>IF(AND(YEAR(AP$3)=YEAR(EDATE(INDEX('Вводные'!$D$88:$D$91,$B$8),INDEX('Вводные'!$E$88:$E$91,$B$8)+INDEX('Вводные'!$F$88:$F$91,$B$8)+'Вводные'!$H$9)),MONTH(AP$3)=MONTH(EDATE(INDEX('Вводные'!$D$88:$D$91,$B$8),INDEX('Вводные'!$E$88:$E$91,$B$8)+INDEX('Вводные'!$F$88:$F$91,$B$8)+'Вводные'!$H$9)),AND($B$7="Да",IFERROR(INDEX('Вводные'!$B$88:$B$91,$B$8),"Нет")="Да")),MAX(0,SUM($D25:AP25)-AP25),0)</x:f>
      </x:c>
      <x:c r="AQ27" s="107" t="n">
        <x:f>IF(AND(YEAR(AQ$3)=YEAR(EDATE(INDEX('Вводные'!$D$88:$D$91,$B$8),INDEX('Вводные'!$E$88:$E$91,$B$8)+INDEX('Вводные'!$F$88:$F$91,$B$8)+'Вводные'!$H$9)),MONTH(AQ$3)=MONTH(EDATE(INDEX('Вводные'!$D$88:$D$91,$B$8),INDEX('Вводные'!$E$88:$E$91,$B$8)+INDEX('Вводные'!$F$88:$F$91,$B$8)+'Вводные'!$H$9)),AND($B$7="Да",IFERROR(INDEX('Вводные'!$B$88:$B$91,$B$8),"Нет")="Да")),MAX(0,SUM($D25:AQ25)-AQ25),0)</x:f>
      </x:c>
      <x:c r="AR27" s="107" t="n">
        <x:f>IF(AND(YEAR(AR$3)=YEAR(EDATE(INDEX('Вводные'!$D$88:$D$91,$B$8),INDEX('Вводные'!$E$88:$E$91,$B$8)+INDEX('Вводные'!$F$88:$F$91,$B$8)+'Вводные'!$H$9)),MONTH(AR$3)=MONTH(EDATE(INDEX('Вводные'!$D$88:$D$91,$B$8),INDEX('Вводные'!$E$88:$E$91,$B$8)+INDEX('Вводные'!$F$88:$F$91,$B$8)+'Вводные'!$H$9)),AND($B$7="Да",IFERROR(INDEX('Вводные'!$B$88:$B$91,$B$8),"Нет")="Да")),MAX(0,SUM($D25:AR25)-AR25),0)</x:f>
      </x:c>
      <x:c r="AS27" s="107" t="n">
        <x:f>IF(AND(YEAR(AS$3)=YEAR(EDATE(INDEX('Вводные'!$D$88:$D$91,$B$8),INDEX('Вводные'!$E$88:$E$91,$B$8)+INDEX('Вводные'!$F$88:$F$91,$B$8)+'Вводные'!$H$9)),MONTH(AS$3)=MONTH(EDATE(INDEX('Вводные'!$D$88:$D$91,$B$8),INDEX('Вводные'!$E$88:$E$91,$B$8)+INDEX('Вводные'!$F$88:$F$91,$B$8)+'Вводные'!$H$9)),AND($B$7="Да",IFERROR(INDEX('Вводные'!$B$88:$B$91,$B$8),"Нет")="Да")),MAX(0,SUM($D25:AS25)-AS25),0)</x:f>
      </x:c>
      <x:c r="AT27" s="107" t="n">
        <x:f>IF(AND(YEAR(AT$3)=YEAR(EDATE(INDEX('Вводные'!$D$88:$D$91,$B$8),INDEX('Вводные'!$E$88:$E$91,$B$8)+INDEX('Вводные'!$F$88:$F$91,$B$8)+'Вводные'!$H$9)),MONTH(AT$3)=MONTH(EDATE(INDEX('Вводные'!$D$88:$D$91,$B$8),INDEX('Вводные'!$E$88:$E$91,$B$8)+INDEX('Вводные'!$F$88:$F$91,$B$8)+'Вводные'!$H$9)),AND($B$7="Да",IFERROR(INDEX('Вводные'!$B$88:$B$91,$B$8),"Нет")="Да")),MAX(0,SUM($D25:AT25)-AT25),0)</x:f>
      </x:c>
      <x:c r="AU27" s="107" t="n">
        <x:f>IF(AND(YEAR(AU$3)=YEAR(EDATE(INDEX('Вводные'!$D$88:$D$91,$B$8),INDEX('Вводные'!$E$88:$E$91,$B$8)+INDEX('Вводные'!$F$88:$F$91,$B$8)+'Вводные'!$H$9)),MONTH(AU$3)=MONTH(EDATE(INDEX('Вводные'!$D$88:$D$91,$B$8),INDEX('Вводные'!$E$88:$E$91,$B$8)+INDEX('Вводные'!$F$88:$F$91,$B$8)+'Вводные'!$H$9)),AND($B$7="Да",IFERROR(INDEX('Вводные'!$B$88:$B$91,$B$8),"Нет")="Да")),MAX(0,SUM($D25:AU25)-AU25),0)</x:f>
      </x:c>
      <x:c r="AV27" s="107" t="n">
        <x:f>IF(AND(YEAR(AV$3)=YEAR(EDATE(INDEX('Вводные'!$D$88:$D$91,$B$8),INDEX('Вводные'!$E$88:$E$91,$B$8)+INDEX('Вводные'!$F$88:$F$91,$B$8)+'Вводные'!$H$9)),MONTH(AV$3)=MONTH(EDATE(INDEX('Вводные'!$D$88:$D$91,$B$8),INDEX('Вводные'!$E$88:$E$91,$B$8)+INDEX('Вводные'!$F$88:$F$91,$B$8)+'Вводные'!$H$9)),AND($B$7="Да",IFERROR(INDEX('Вводные'!$B$88:$B$91,$B$8),"Нет")="Да")),MAX(0,SUM($D25:AV25)-AV25),0)</x:f>
      </x:c>
      <x:c r="AW27" s="107" t="n">
        <x:f>IF(AND(YEAR(AW$3)=YEAR(EDATE(INDEX('Вводные'!$D$88:$D$91,$B$8),INDEX('Вводные'!$E$88:$E$91,$B$8)+INDEX('Вводные'!$F$88:$F$91,$B$8)+'Вводные'!$H$9)),MONTH(AW$3)=MONTH(EDATE(INDEX('Вводные'!$D$88:$D$91,$B$8),INDEX('Вводные'!$E$88:$E$91,$B$8)+INDEX('Вводные'!$F$88:$F$91,$B$8)+'Вводные'!$H$9)),AND($B$7="Да",IFERROR(INDEX('Вводные'!$B$88:$B$91,$B$8),"Нет")="Да")),MAX(0,SUM($D25:AW25)-AW25),0)</x:f>
      </x:c>
      <x:c r="AX27" s="107" t="n">
        <x:f>IF(AND(YEAR(AX$3)=YEAR(EDATE(INDEX('Вводные'!$D$88:$D$91,$B$8),INDEX('Вводные'!$E$88:$E$91,$B$8)+INDEX('Вводные'!$F$88:$F$91,$B$8)+'Вводные'!$H$9)),MONTH(AX$3)=MONTH(EDATE(INDEX('Вводные'!$D$88:$D$91,$B$8),INDEX('Вводные'!$E$88:$E$91,$B$8)+INDEX('Вводные'!$F$88:$F$91,$B$8)+'Вводные'!$H$9)),AND($B$7="Да",IFERROR(INDEX('Вводные'!$B$88:$B$91,$B$8),"Нет")="Да")),MAX(0,SUM($D25:AX25)-AX25),0)</x:f>
      </x:c>
      <x:c r="AY27" s="107" t="n">
        <x:f>IF(AND(YEAR(AY$3)=YEAR(EDATE(INDEX('Вводные'!$D$88:$D$91,$B$8),INDEX('Вводные'!$E$88:$E$91,$B$8)+INDEX('Вводные'!$F$88:$F$91,$B$8)+'Вводные'!$H$9)),MONTH(AY$3)=MONTH(EDATE(INDEX('Вводные'!$D$88:$D$91,$B$8),INDEX('Вводные'!$E$88:$E$91,$B$8)+INDEX('Вводные'!$F$88:$F$91,$B$8)+'Вводные'!$H$9)),AND($B$7="Да",IFERROR(INDEX('Вводные'!$B$88:$B$91,$B$8),"Нет")="Да")),MAX(0,SUM($D25:AY25)-AY25),0)</x:f>
      </x:c>
      <x:c r="AZ27" s="107" t="n">
        <x:f>IF(AND(YEAR(AZ$3)=YEAR(EDATE(INDEX('Вводные'!$D$88:$D$91,$B$8),INDEX('Вводные'!$E$88:$E$91,$B$8)+INDEX('Вводные'!$F$88:$F$91,$B$8)+'Вводные'!$H$9)),MONTH(AZ$3)=MONTH(EDATE(INDEX('Вводные'!$D$88:$D$91,$B$8),INDEX('Вводные'!$E$88:$E$91,$B$8)+INDEX('Вводные'!$F$88:$F$91,$B$8)+'Вводные'!$H$9)),AND($B$7="Да",IFERROR(INDEX('Вводные'!$B$88:$B$91,$B$8),"Нет")="Да")),MAX(0,SUM($D25:AZ25)-AZ25),0)</x:f>
      </x:c>
      <x:c r="BA27" s="107" t="n">
        <x:f>IF(AND(YEAR(BA$3)=YEAR(EDATE(INDEX('Вводные'!$D$88:$D$91,$B$8),INDEX('Вводные'!$E$88:$E$91,$B$8)+INDEX('Вводные'!$F$88:$F$91,$B$8)+'Вводные'!$H$9)),MONTH(BA$3)=MONTH(EDATE(INDEX('Вводные'!$D$88:$D$91,$B$8),INDEX('Вводные'!$E$88:$E$91,$B$8)+INDEX('Вводные'!$F$88:$F$91,$B$8)+'Вводные'!$H$9)),AND($B$7="Да",IFERROR(INDEX('Вводные'!$B$88:$B$91,$B$8),"Нет")="Да")),MAX(0,SUM($D25:BA25)-BA25),0)</x:f>
      </x:c>
      <x:c r="BB27" s="107" t="n">
        <x:f>IF(AND(YEAR(BB$3)=YEAR(EDATE(INDEX('Вводные'!$D$88:$D$91,$B$8),INDEX('Вводные'!$E$88:$E$91,$B$8)+INDEX('Вводные'!$F$88:$F$91,$B$8)+'Вводные'!$H$9)),MONTH(BB$3)=MONTH(EDATE(INDEX('Вводные'!$D$88:$D$91,$B$8),INDEX('Вводные'!$E$88:$E$91,$B$8)+INDEX('Вводные'!$F$88:$F$91,$B$8)+'Вводные'!$H$9)),AND($B$7="Да",IFERROR(INDEX('Вводные'!$B$88:$B$91,$B$8),"Нет")="Да")),MAX(0,SUM($D25:BB25)-BB25),0)</x:f>
      </x:c>
      <x:c r="BC27" s="107" t="n">
        <x:f>IF(AND(YEAR(BC$3)=YEAR(EDATE(INDEX('Вводные'!$D$88:$D$91,$B$8),INDEX('Вводные'!$E$88:$E$91,$B$8)+INDEX('Вводные'!$F$88:$F$91,$B$8)+'Вводные'!$H$9)),MONTH(BC$3)=MONTH(EDATE(INDEX('Вводные'!$D$88:$D$91,$B$8),INDEX('Вводные'!$E$88:$E$91,$B$8)+INDEX('Вводные'!$F$88:$F$91,$B$8)+'Вводные'!$H$9)),AND($B$7="Да",IFERROR(INDEX('Вводные'!$B$88:$B$91,$B$8),"Нет")="Да")),MAX(0,SUM($D25:BC25)-BC25),0)</x:f>
      </x:c>
      <x:c r="BD27" s="107" t="n">
        <x:f>IF(AND(YEAR(BD$3)=YEAR(EDATE(INDEX('Вводные'!$D$88:$D$91,$B$8),INDEX('Вводные'!$E$88:$E$91,$B$8)+INDEX('Вводные'!$F$88:$F$91,$B$8)+'Вводные'!$H$9)),MONTH(BD$3)=MONTH(EDATE(INDEX('Вводные'!$D$88:$D$91,$B$8),INDEX('Вводные'!$E$88:$E$91,$B$8)+INDEX('Вводные'!$F$88:$F$91,$B$8)+'Вводные'!$H$9)),AND($B$7="Да",IFERROR(INDEX('Вводные'!$B$88:$B$91,$B$8),"Нет")="Да")),MAX(0,SUM($D25:BD25)-BD25),0)</x:f>
      </x:c>
      <x:c r="BE27" s="107" t="n">
        <x:f>IF(AND(YEAR(BE$3)=YEAR(EDATE(INDEX('Вводные'!$D$88:$D$91,$B$8),INDEX('Вводные'!$E$88:$E$91,$B$8)+INDEX('Вводные'!$F$88:$F$91,$B$8)+'Вводные'!$H$9)),MONTH(BE$3)=MONTH(EDATE(INDEX('Вводные'!$D$88:$D$91,$B$8),INDEX('Вводные'!$E$88:$E$91,$B$8)+INDEX('Вводные'!$F$88:$F$91,$B$8)+'Вводные'!$H$9)),AND($B$7="Да",IFERROR(INDEX('Вводные'!$B$88:$B$91,$B$8),"Нет")="Да")),MAX(0,SUM($D25:BE25)-BE25),0)</x:f>
      </x:c>
      <x:c r="BF27" s="107" t="n">
        <x:f>IF(AND(YEAR(BF$3)=YEAR(EDATE(INDEX('Вводные'!$D$88:$D$91,$B$8),INDEX('Вводные'!$E$88:$E$91,$B$8)+INDEX('Вводные'!$F$88:$F$91,$B$8)+'Вводные'!$H$9)),MONTH(BF$3)=MONTH(EDATE(INDEX('Вводные'!$D$88:$D$91,$B$8),INDEX('Вводные'!$E$88:$E$91,$B$8)+INDEX('Вводные'!$F$88:$F$91,$B$8)+'Вводные'!$H$9)),AND($B$7="Да",IFERROR(INDEX('Вводные'!$B$88:$B$91,$B$8),"Нет")="Да")),MAX(0,SUM($D25:BF25)-BF25),0)</x:f>
      </x:c>
      <x:c r="BG27" s="107" t="n">
        <x:f>IF(AND(YEAR(BG$3)=YEAR(EDATE(INDEX('Вводные'!$D$88:$D$91,$B$8),INDEX('Вводные'!$E$88:$E$91,$B$8)+INDEX('Вводные'!$F$88:$F$91,$B$8)+'Вводные'!$H$9)),MONTH(BG$3)=MONTH(EDATE(INDEX('Вводные'!$D$88:$D$91,$B$8),INDEX('Вводные'!$E$88:$E$91,$B$8)+INDEX('Вводные'!$F$88:$F$91,$B$8)+'Вводные'!$H$9)),AND($B$7="Да",IFERROR(INDEX('Вводные'!$B$88:$B$91,$B$8),"Нет")="Да")),MAX(0,SUM($D25:BG25)-BG25),0)</x:f>
      </x:c>
      <x:c r="BH27" s="107" t="n">
        <x:f>IF(AND(YEAR(BH$3)=YEAR(EDATE(INDEX('Вводные'!$D$88:$D$91,$B$8),INDEX('Вводные'!$E$88:$E$91,$B$8)+INDEX('Вводные'!$F$88:$F$91,$B$8)+'Вводные'!$H$9)),MONTH(BH$3)=MONTH(EDATE(INDEX('Вводные'!$D$88:$D$91,$B$8),INDEX('Вводные'!$E$88:$E$91,$B$8)+INDEX('Вводные'!$F$88:$F$91,$B$8)+'Вводные'!$H$9)),AND($B$7="Да",IFERROR(INDEX('Вводные'!$B$88:$B$91,$B$8),"Нет")="Да")),MAX(0,SUM($D25:BH25)-BH25),0)</x:f>
      </x:c>
      <x:c r="BI27" s="107" t="n">
        <x:f>IF(AND(YEAR(BI$3)=YEAR(EDATE(INDEX('Вводные'!$D$88:$D$91,$B$8),INDEX('Вводные'!$E$88:$E$91,$B$8)+INDEX('Вводные'!$F$88:$F$91,$B$8)+'Вводные'!$H$9)),MONTH(BI$3)=MONTH(EDATE(INDEX('Вводные'!$D$88:$D$91,$B$8),INDEX('Вводные'!$E$88:$E$91,$B$8)+INDEX('Вводные'!$F$88:$F$91,$B$8)+'Вводные'!$H$9)),AND($B$7="Да",IFERROR(INDEX('Вводные'!$B$88:$B$91,$B$8),"Нет")="Да")),MAX(0,SUM($D25:BI25)-BI25),0)</x:f>
      </x:c>
      <x:c r="BJ27" s="107" t="n">
        <x:f>IF(AND(YEAR(BJ$3)=YEAR(EDATE(INDEX('Вводные'!$D$88:$D$91,$B$8),INDEX('Вводные'!$E$88:$E$91,$B$8)+INDEX('Вводные'!$F$88:$F$91,$B$8)+'Вводные'!$H$9)),MONTH(BJ$3)=MONTH(EDATE(INDEX('Вводные'!$D$88:$D$91,$B$8),INDEX('Вводные'!$E$88:$E$91,$B$8)+INDEX('Вводные'!$F$88:$F$91,$B$8)+'Вводные'!$H$9)),AND($B$7="Да",IFERROR(INDEX('Вводные'!$B$88:$B$91,$B$8),"Нет")="Да")),MAX(0,SUM($D25:BJ25)-BJ25),0)</x:f>
      </x:c>
      <x:c r="BK27" s="107" t="n">
        <x:f>IF(AND(YEAR(BK$3)=YEAR(EDATE(INDEX('Вводные'!$D$88:$D$91,$B$8),INDEX('Вводные'!$E$88:$E$91,$B$8)+INDEX('Вводные'!$F$88:$F$91,$B$8)+'Вводные'!$H$9)),MONTH(BK$3)=MONTH(EDATE(INDEX('Вводные'!$D$88:$D$91,$B$8),INDEX('Вводные'!$E$88:$E$91,$B$8)+INDEX('Вводные'!$F$88:$F$91,$B$8)+'Вводные'!$H$9)),AND($B$7="Да",IFERROR(INDEX('Вводные'!$B$88:$B$91,$B$8),"Нет")="Да")),MAX(0,SUM($D25:BK25)-BK25),0)</x:f>
      </x:c>
      <x:c r="BL27" s="107" t="n">
        <x:f>IF(AND(YEAR(BL$3)=YEAR(EDATE(INDEX('Вводные'!$D$88:$D$91,$B$8),INDEX('Вводные'!$E$88:$E$91,$B$8)+INDEX('Вводные'!$F$88:$F$91,$B$8)+'Вводные'!$H$9)),MONTH(BL$3)=MONTH(EDATE(INDEX('Вводные'!$D$88:$D$91,$B$8),INDEX('Вводные'!$E$88:$E$91,$B$8)+INDEX('Вводные'!$F$88:$F$91,$B$8)+'Вводные'!$H$9)),AND($B$7="Да",IFERROR(INDEX('Вводные'!$B$88:$B$91,$B$8),"Нет")="Да")),MAX(0,SUM($D25:BL25)-BL25),0)</x:f>
      </x:c>
      <x:c r="BM27" s="107" t="n">
        <x:f>IF(AND(YEAR(BM$3)=YEAR(EDATE(INDEX('Вводные'!$D$88:$D$91,$B$8),INDEX('Вводные'!$E$88:$E$91,$B$8)+INDEX('Вводные'!$F$88:$F$91,$B$8)+'Вводные'!$H$9)),MONTH(BM$3)=MONTH(EDATE(INDEX('Вводные'!$D$88:$D$91,$B$8),INDEX('Вводные'!$E$88:$E$91,$B$8)+INDEX('Вводные'!$F$88:$F$91,$B$8)+'Вводные'!$H$9)),AND($B$7="Да",IFERROR(INDEX('Вводные'!$B$88:$B$91,$B$8),"Нет")="Да")),MAX(0,SUM($D25:BM25)-BM25),0)</x:f>
      </x:c>
      <x:c r="BN27" s="107" t="n">
        <x:f>IF(AND(YEAR(BN$3)=YEAR(EDATE(INDEX('Вводные'!$D$88:$D$91,$B$8),INDEX('Вводные'!$E$88:$E$91,$B$8)+INDEX('Вводные'!$F$88:$F$91,$B$8)+'Вводные'!$H$9)),MONTH(BN$3)=MONTH(EDATE(INDEX('Вводные'!$D$88:$D$91,$B$8),INDEX('Вводные'!$E$88:$E$91,$B$8)+INDEX('Вводные'!$F$88:$F$91,$B$8)+'Вводные'!$H$9)),AND($B$7="Да",IFERROR(INDEX('Вводные'!$B$88:$B$91,$B$8),"Нет")="Да")),MAX(0,SUM($D25:BN25)-BN25),0)</x:f>
      </x:c>
      <x:c r="BO27" s="107" t="n">
        <x:f>IF(AND(YEAR(BO$3)=YEAR(EDATE(INDEX('Вводные'!$D$88:$D$91,$B$8),INDEX('Вводные'!$E$88:$E$91,$B$8)+INDEX('Вводные'!$F$88:$F$91,$B$8)+'Вводные'!$H$9)),MONTH(BO$3)=MONTH(EDATE(INDEX('Вводные'!$D$88:$D$91,$B$8),INDEX('Вводные'!$E$88:$E$91,$B$8)+INDEX('Вводные'!$F$88:$F$91,$B$8)+'Вводные'!$H$9)),AND($B$7="Да",IFERROR(INDEX('Вводные'!$B$88:$B$91,$B$8),"Нет")="Да")),MAX(0,SUM($D25:BO25)-BO25),0)</x:f>
      </x:c>
      <x:c r="BP27" s="107" t="n">
        <x:f>IF(AND(YEAR(BP$3)=YEAR(EDATE(INDEX('Вводные'!$D$88:$D$91,$B$8),INDEX('Вводные'!$E$88:$E$91,$B$8)+INDEX('Вводные'!$F$88:$F$91,$B$8)+'Вводные'!$H$9)),MONTH(BP$3)=MONTH(EDATE(INDEX('Вводные'!$D$88:$D$91,$B$8),INDEX('Вводные'!$E$88:$E$91,$B$8)+INDEX('Вводные'!$F$88:$F$91,$B$8)+'Вводные'!$H$9)),AND($B$7="Да",IFERROR(INDEX('Вводные'!$B$88:$B$91,$B$8),"Нет")="Да")),MAX(0,SUM($D25:BP25)-BP25),0)</x:f>
      </x:c>
      <x:c r="BQ27" s="107" t="n">
        <x:f>IF(AND(YEAR(BQ$3)=YEAR(EDATE(INDEX('Вводные'!$D$88:$D$91,$B$8),INDEX('Вводные'!$E$88:$E$91,$B$8)+INDEX('Вводные'!$F$88:$F$91,$B$8)+'Вводные'!$H$9)),MONTH(BQ$3)=MONTH(EDATE(INDEX('Вводные'!$D$88:$D$91,$B$8),INDEX('Вводные'!$E$88:$E$91,$B$8)+INDEX('Вводные'!$F$88:$F$91,$B$8)+'Вводные'!$H$9)),AND($B$7="Да",IFERROR(INDEX('Вводные'!$B$88:$B$91,$B$8),"Нет")="Да")),MAX(0,SUM($D25:BQ25)-BQ25),0)</x:f>
      </x:c>
      <x:c r="BR27" s="107" t="n">
        <x:f>IF(AND(YEAR(BR$3)=YEAR(EDATE(INDEX('Вводные'!$D$88:$D$91,$B$8),INDEX('Вводные'!$E$88:$E$91,$B$8)+INDEX('Вводные'!$F$88:$F$91,$B$8)+'Вводные'!$H$9)),MONTH(BR$3)=MONTH(EDATE(INDEX('Вводные'!$D$88:$D$91,$B$8),INDEX('Вводные'!$E$88:$E$91,$B$8)+INDEX('Вводные'!$F$88:$F$91,$B$8)+'Вводные'!$H$9)),AND($B$7="Да",IFERROR(INDEX('Вводные'!$B$88:$B$91,$B$8),"Нет")="Да")),MAX(0,SUM($D25:BR25)-BR25),0)</x:f>
      </x:c>
      <x:c r="BS27" s="107" t="n">
        <x:f>IF(AND(YEAR(BS$3)=YEAR(EDATE(INDEX('Вводные'!$D$88:$D$91,$B$8),INDEX('Вводные'!$E$88:$E$91,$B$8)+INDEX('Вводные'!$F$88:$F$91,$B$8)+'Вводные'!$H$9)),MONTH(BS$3)=MONTH(EDATE(INDEX('Вводные'!$D$88:$D$91,$B$8),INDEX('Вводные'!$E$88:$E$91,$B$8)+INDEX('Вводные'!$F$88:$F$91,$B$8)+'Вводные'!$H$9)),AND($B$7="Да",IFERROR(INDEX('Вводные'!$B$88:$B$91,$B$8),"Нет")="Да")),MAX(0,SUM($D25:BS25)-BS25),0)</x:f>
      </x:c>
      <x:c r="BT27" s="107" t="n">
        <x:f>IF(AND(YEAR(BT$3)=YEAR(EDATE(INDEX('Вводные'!$D$88:$D$91,$B$8),INDEX('Вводные'!$E$88:$E$91,$B$8)+INDEX('Вводные'!$F$88:$F$91,$B$8)+'Вводные'!$H$9)),MONTH(BT$3)=MONTH(EDATE(INDEX('Вводные'!$D$88:$D$91,$B$8),INDEX('Вводные'!$E$88:$E$91,$B$8)+INDEX('Вводные'!$F$88:$F$91,$B$8)+'Вводные'!$H$9)),AND($B$7="Да",IFERROR(INDEX('Вводные'!$B$88:$B$91,$B$8),"Нет")="Да")),MAX(0,SUM($D25:BT25)-BT25),0)</x:f>
      </x:c>
      <x:c r="BU27" s="107" t="n">
        <x:f>IF(AND(YEAR(BU$3)=YEAR(EDATE(INDEX('Вводные'!$D$88:$D$91,$B$8),INDEX('Вводные'!$E$88:$E$91,$B$8)+INDEX('Вводные'!$F$88:$F$91,$B$8)+'Вводные'!$H$9)),MONTH(BU$3)=MONTH(EDATE(INDEX('Вводные'!$D$88:$D$91,$B$8),INDEX('Вводные'!$E$88:$E$91,$B$8)+INDEX('Вводные'!$F$88:$F$91,$B$8)+'Вводные'!$H$9)),AND($B$7="Да",IFERROR(INDEX('Вводные'!$B$88:$B$91,$B$8),"Нет")="Да")),MAX(0,SUM($D25:BU25)-BU25),0)</x:f>
      </x:c>
      <x:c r="BV27" s="107" t="n">
        <x:f>IF(AND(YEAR(BV$3)=YEAR(EDATE(INDEX('Вводные'!$D$88:$D$91,$B$8),INDEX('Вводные'!$E$88:$E$91,$B$8)+INDEX('Вводные'!$F$88:$F$91,$B$8)+'Вводные'!$H$9)),MONTH(BV$3)=MONTH(EDATE(INDEX('Вводные'!$D$88:$D$91,$B$8),INDEX('Вводные'!$E$88:$E$91,$B$8)+INDEX('Вводные'!$F$88:$F$91,$B$8)+'Вводные'!$H$9)),AND($B$7="Да",IFERROR(INDEX('Вводные'!$B$88:$B$91,$B$8),"Нет")="Да")),MAX(0,SUM($D25:BV25)-BV25),0)</x:f>
      </x:c>
      <x:c r="BW27" s="107" t="n">
        <x:f>IF(AND(YEAR(BW$3)=YEAR(EDATE(INDEX('Вводные'!$D$88:$D$91,$B$8),INDEX('Вводные'!$E$88:$E$91,$B$8)+INDEX('Вводные'!$F$88:$F$91,$B$8)+'Вводные'!$H$9)),MONTH(BW$3)=MONTH(EDATE(INDEX('Вводные'!$D$88:$D$91,$B$8),INDEX('Вводные'!$E$88:$E$91,$B$8)+INDEX('Вводные'!$F$88:$F$91,$B$8)+'Вводные'!$H$9)),AND($B$7="Да",IFERROR(INDEX('Вводные'!$B$88:$B$91,$B$8),"Нет")="Да")),MAX(0,SUM($D25:BW25)-BW25),0)</x:f>
      </x:c>
      <x:c r="BX27" s="107" t="n">
        <x:f>IF(AND(YEAR(BX$3)=YEAR(EDATE(INDEX('Вводные'!$D$88:$D$91,$B$8),INDEX('Вводные'!$E$88:$E$91,$B$8)+INDEX('Вводные'!$F$88:$F$91,$B$8)+'Вводные'!$H$9)),MONTH(BX$3)=MONTH(EDATE(INDEX('Вводные'!$D$88:$D$91,$B$8),INDEX('Вводные'!$E$88:$E$91,$B$8)+INDEX('Вводные'!$F$88:$F$91,$B$8)+'Вводные'!$H$9)),AND($B$7="Да",IFERROR(INDEX('Вводные'!$B$88:$B$91,$B$8),"Нет")="Да")),MAX(0,SUM($D25:BX25)-BX25),0)</x:f>
      </x:c>
      <x:c r="BY27" s="107" t="n">
        <x:f>IF(AND(YEAR(BY$3)=YEAR(EDATE(INDEX('Вводные'!$D$88:$D$91,$B$8),INDEX('Вводные'!$E$88:$E$91,$B$8)+INDEX('Вводные'!$F$88:$F$91,$B$8)+'Вводные'!$H$9)),MONTH(BY$3)=MONTH(EDATE(INDEX('Вводные'!$D$88:$D$91,$B$8),INDEX('Вводные'!$E$88:$E$91,$B$8)+INDEX('Вводные'!$F$88:$F$91,$B$8)+'Вводные'!$H$9)),AND($B$7="Да",IFERROR(INDEX('Вводные'!$B$88:$B$91,$B$8),"Нет")="Да")),MAX(0,SUM($D25:BY25)-BY25),0)</x:f>
      </x:c>
      <x:c r="BZ27" s="107" t="n">
        <x:f>IF(AND(YEAR(BZ$3)=YEAR(EDATE(INDEX('Вводные'!$D$88:$D$91,$B$8),INDEX('Вводные'!$E$88:$E$91,$B$8)+INDEX('Вводные'!$F$88:$F$91,$B$8)+'Вводные'!$H$9)),MONTH(BZ$3)=MONTH(EDATE(INDEX('Вводные'!$D$88:$D$91,$B$8),INDEX('Вводные'!$E$88:$E$91,$B$8)+INDEX('Вводные'!$F$88:$F$91,$B$8)+'Вводные'!$H$9)),AND($B$7="Да",IFERROR(INDEX('Вводные'!$B$88:$B$91,$B$8),"Нет")="Да")),MAX(0,SUM($D25:BZ25)-BZ25),0)</x:f>
      </x:c>
      <x:c r="CA27" s="107" t="n">
        <x:f>IF(AND(YEAR(CA$3)=YEAR(EDATE(INDEX('Вводные'!$D$88:$D$91,$B$8),INDEX('Вводные'!$E$88:$E$91,$B$8)+INDEX('Вводные'!$F$88:$F$91,$B$8)+'Вводные'!$H$9)),MONTH(CA$3)=MONTH(EDATE(INDEX('Вводные'!$D$88:$D$91,$B$8),INDEX('Вводные'!$E$88:$E$91,$B$8)+INDEX('Вводные'!$F$88:$F$91,$B$8)+'Вводные'!$H$9)),AND($B$7="Да",IFERROR(INDEX('Вводные'!$B$88:$B$91,$B$8),"Нет")="Да")),MAX(0,SUM($D25:CA25)-CA25),0)</x:f>
      </x:c>
      <x:c r="CB27" s="107" t="n">
        <x:f>IF(AND(YEAR(CB$3)=YEAR(EDATE(INDEX('Вводные'!$D$88:$D$91,$B$8),INDEX('Вводные'!$E$88:$E$91,$B$8)+INDEX('Вводные'!$F$88:$F$91,$B$8)+'Вводные'!$H$9)),MONTH(CB$3)=MONTH(EDATE(INDEX('Вводные'!$D$88:$D$91,$B$8),INDEX('Вводные'!$E$88:$E$91,$B$8)+INDEX('Вводные'!$F$88:$F$91,$B$8)+'Вводные'!$H$9)),AND($B$7="Да",IFERROR(INDEX('Вводные'!$B$88:$B$91,$B$8),"Нет")="Да")),MAX(0,SUM($D25:CB25)-CB25),0)</x:f>
      </x:c>
      <x:c r="CC27" s="107" t="n">
        <x:f>IF(AND(YEAR(CC$3)=YEAR(EDATE(INDEX('Вводные'!$D$88:$D$91,$B$8),INDEX('Вводные'!$E$88:$E$91,$B$8)+INDEX('Вводные'!$F$88:$F$91,$B$8)+'Вводные'!$H$9)),MONTH(CC$3)=MONTH(EDATE(INDEX('Вводные'!$D$88:$D$91,$B$8),INDEX('Вводные'!$E$88:$E$91,$B$8)+INDEX('Вводные'!$F$88:$F$91,$B$8)+'Вводные'!$H$9)),AND($B$7="Да",IFERROR(INDEX('Вводные'!$B$88:$B$91,$B$8),"Нет")="Да")),MAX(0,SUM($D25:CC25)-CC25),0)</x:f>
      </x:c>
      <x:c r="CD27" s="107" t="n">
        <x:f>IF(AND(YEAR(CD$3)=YEAR(EDATE(INDEX('Вводные'!$D$88:$D$91,$B$8),INDEX('Вводные'!$E$88:$E$91,$B$8)+INDEX('Вводные'!$F$88:$F$91,$B$8)+'Вводные'!$H$9)),MONTH(CD$3)=MONTH(EDATE(INDEX('Вводные'!$D$88:$D$91,$B$8),INDEX('Вводные'!$E$88:$E$91,$B$8)+INDEX('Вводные'!$F$88:$F$91,$B$8)+'Вводные'!$H$9)),AND($B$7="Да",IFERROR(INDEX('Вводные'!$B$88:$B$91,$B$8),"Нет")="Да")),MAX(0,SUM($D25:CD25)-CD25),0)</x:f>
      </x:c>
      <x:c r="CE27" s="107" t="n">
        <x:f>IF(AND(YEAR(CE$3)=YEAR(EDATE(INDEX('Вводные'!$D$88:$D$91,$B$8),INDEX('Вводные'!$E$88:$E$91,$B$8)+INDEX('Вводные'!$F$88:$F$91,$B$8)+'Вводные'!$H$9)),MONTH(CE$3)=MONTH(EDATE(INDEX('Вводные'!$D$88:$D$91,$B$8),INDEX('Вводные'!$E$88:$E$91,$B$8)+INDEX('Вводные'!$F$88:$F$91,$B$8)+'Вводные'!$H$9)),AND($B$7="Да",IFERROR(INDEX('Вводные'!$B$88:$B$91,$B$8),"Нет")="Да")),MAX(0,SUM($D25:CE25)-CE25),0)</x:f>
      </x:c>
      <x:c r="CF27" s="107" t="n">
        <x:f>IF(AND(YEAR(CF$3)=YEAR(EDATE(INDEX('Вводные'!$D$88:$D$91,$B$8),INDEX('Вводные'!$E$88:$E$91,$B$8)+INDEX('Вводные'!$F$88:$F$91,$B$8)+'Вводные'!$H$9)),MONTH(CF$3)=MONTH(EDATE(INDEX('Вводные'!$D$88:$D$91,$B$8),INDEX('Вводные'!$E$88:$E$91,$B$8)+INDEX('Вводные'!$F$88:$F$91,$B$8)+'Вводные'!$H$9)),AND($B$7="Да",IFERROR(INDEX('Вводные'!$B$88:$B$91,$B$8),"Нет")="Да")),MAX(0,SUM($D25:CF25)-CF25),0)</x:f>
      </x:c>
      <x:c r="CG27" s="107" t="n">
        <x:f>IF(AND(YEAR(CG$3)=YEAR(EDATE(INDEX('Вводные'!$D$88:$D$91,$B$8),INDEX('Вводные'!$E$88:$E$91,$B$8)+INDEX('Вводные'!$F$88:$F$91,$B$8)+'Вводные'!$H$9)),MONTH(CG$3)=MONTH(EDATE(INDEX('Вводные'!$D$88:$D$91,$B$8),INDEX('Вводные'!$E$88:$E$91,$B$8)+INDEX('Вводные'!$F$88:$F$91,$B$8)+'Вводные'!$H$9)),AND($B$7="Да",IFERROR(INDEX('Вводные'!$B$88:$B$91,$B$8),"Нет")="Да")),MAX(0,SUM($D25:CG25)-CG25),0)</x:f>
      </x:c>
      <x:c r="CH27" s="107" t="n">
        <x:f>IF(AND(YEAR(CH$3)=YEAR(EDATE(INDEX('Вводные'!$D$88:$D$91,$B$8),INDEX('Вводные'!$E$88:$E$91,$B$8)+INDEX('Вводные'!$F$88:$F$91,$B$8)+'Вводные'!$H$9)),MONTH(CH$3)=MONTH(EDATE(INDEX('Вводные'!$D$88:$D$91,$B$8),INDEX('Вводные'!$E$88:$E$91,$B$8)+INDEX('Вводные'!$F$88:$F$91,$B$8)+'Вводные'!$H$9)),AND($B$7="Да",IFERROR(INDEX('Вводные'!$B$88:$B$91,$B$8),"Нет")="Да")),MAX(0,SUM($D25:CH25)-CH25),0)</x:f>
      </x:c>
      <x:c r="CI27" s="107" t="n">
        <x:f>IF(AND(YEAR(CI$3)=YEAR(EDATE(INDEX('Вводные'!$D$88:$D$91,$B$8),INDEX('Вводные'!$E$88:$E$91,$B$8)+INDEX('Вводные'!$F$88:$F$91,$B$8)+'Вводные'!$H$9)),MONTH(CI$3)=MONTH(EDATE(INDEX('Вводные'!$D$88:$D$91,$B$8),INDEX('Вводные'!$E$88:$E$91,$B$8)+INDEX('Вводные'!$F$88:$F$91,$B$8)+'Вводные'!$H$9)),AND($B$7="Да",IFERROR(INDEX('Вводные'!$B$88:$B$91,$B$8),"Нет")="Да")),MAX(0,SUM($D25:CI25)-CI25),0)</x:f>
      </x:c>
      <x:c r="CJ27" s="107" t="n">
        <x:f>IF(AND(YEAR(CJ$3)=YEAR(EDATE(INDEX('Вводные'!$D$88:$D$91,$B$8),INDEX('Вводные'!$E$88:$E$91,$B$8)+INDEX('Вводные'!$F$88:$F$91,$B$8)+'Вводные'!$H$9)),MONTH(CJ$3)=MONTH(EDATE(INDEX('Вводные'!$D$88:$D$91,$B$8),INDEX('Вводные'!$E$88:$E$91,$B$8)+INDEX('Вводные'!$F$88:$F$91,$B$8)+'Вводные'!$H$9)),AND($B$7="Да",IFERROR(INDEX('Вводные'!$B$88:$B$91,$B$8),"Нет")="Да")),MAX(0,SUM($D25:CJ25)-CJ25),0)</x:f>
      </x:c>
      <x:c r="CK27" s="107" t="n">
        <x:f>IF(AND(YEAR(CK$3)=YEAR(EDATE(INDEX('Вводные'!$D$88:$D$91,$B$8),INDEX('Вводные'!$E$88:$E$91,$B$8)+INDEX('Вводные'!$F$88:$F$91,$B$8)+'Вводные'!$H$9)),MONTH(CK$3)=MONTH(EDATE(INDEX('Вводные'!$D$88:$D$91,$B$8),INDEX('Вводные'!$E$88:$E$91,$B$8)+INDEX('Вводные'!$F$88:$F$91,$B$8)+'Вводные'!$H$9)),AND($B$7="Да",IFERROR(INDEX('Вводные'!$B$88:$B$91,$B$8),"Нет")="Да")),MAX(0,SUM($D25:CK25)-CK25),0)</x:f>
      </x:c>
      <x:c r="CL27" s="107" t="n">
        <x:f>IF(AND(YEAR(CL$3)=YEAR(EDATE(INDEX('Вводные'!$D$88:$D$91,$B$8),INDEX('Вводные'!$E$88:$E$91,$B$8)+INDEX('Вводные'!$F$88:$F$91,$B$8)+'Вводные'!$H$9)),MONTH(CL$3)=MONTH(EDATE(INDEX('Вводные'!$D$88:$D$91,$B$8),INDEX('Вводные'!$E$88:$E$91,$B$8)+INDEX('Вводные'!$F$88:$F$91,$B$8)+'Вводные'!$H$9)),AND($B$7="Да",IFERROR(INDEX('Вводные'!$B$88:$B$91,$B$8),"Нет")="Да")),MAX(0,SUM($D25:CL25)-CL25),0)</x:f>
      </x:c>
      <x:c r="CM27" s="107" t="n">
        <x:f>IF(AND(YEAR(CM$3)=YEAR(EDATE(INDEX('Вводные'!$D$88:$D$91,$B$8),INDEX('Вводные'!$E$88:$E$91,$B$8)+INDEX('Вводные'!$F$88:$F$91,$B$8)+'Вводные'!$H$9)),MONTH(CM$3)=MONTH(EDATE(INDEX('Вводные'!$D$88:$D$91,$B$8),INDEX('Вводные'!$E$88:$E$91,$B$8)+INDEX('Вводные'!$F$88:$F$91,$B$8)+'Вводные'!$H$9)),AND($B$7="Да",IFERROR(INDEX('Вводные'!$B$88:$B$91,$B$8),"Нет")="Да")),MAX(0,SUM($D25:CM25)-CM25),0)</x:f>
      </x:c>
      <x:c r="CN27" s="107" t="n">
        <x:f>IF(AND(YEAR(CN$3)=YEAR(EDATE(INDEX('Вводные'!$D$88:$D$91,$B$8),INDEX('Вводные'!$E$88:$E$91,$B$8)+INDEX('Вводные'!$F$88:$F$91,$B$8)+'Вводные'!$H$9)),MONTH(CN$3)=MONTH(EDATE(INDEX('Вводные'!$D$88:$D$91,$B$8),INDEX('Вводные'!$E$88:$E$91,$B$8)+INDEX('Вводные'!$F$88:$F$91,$B$8)+'Вводные'!$H$9)),AND($B$7="Да",IFERROR(INDEX('Вводные'!$B$88:$B$91,$B$8),"Нет")="Да")),MAX(0,SUM($D25:CN25)-CN25),0)</x:f>
      </x:c>
      <x:c r="CO27" s="107" t="n">
        <x:f>IF(AND(YEAR(CO$3)=YEAR(EDATE(INDEX('Вводные'!$D$88:$D$91,$B$8),INDEX('Вводные'!$E$88:$E$91,$B$8)+INDEX('Вводные'!$F$88:$F$91,$B$8)+'Вводные'!$H$9)),MONTH(CO$3)=MONTH(EDATE(INDEX('Вводные'!$D$88:$D$91,$B$8),INDEX('Вводные'!$E$88:$E$91,$B$8)+INDEX('Вводные'!$F$88:$F$91,$B$8)+'Вводные'!$H$9)),AND($B$7="Да",IFERROR(INDEX('Вводные'!$B$88:$B$91,$B$8),"Нет")="Да")),MAX(0,SUM($D25:CO25)-CO25),0)</x:f>
      </x:c>
      <x:c r="CP27" s="107" t="n">
        <x:f>IF(AND(YEAR(CP$3)=YEAR(EDATE(INDEX('Вводные'!$D$88:$D$91,$B$8),INDEX('Вводные'!$E$88:$E$91,$B$8)+INDEX('Вводные'!$F$88:$F$91,$B$8)+'Вводные'!$H$9)),MONTH(CP$3)=MONTH(EDATE(INDEX('Вводные'!$D$88:$D$91,$B$8),INDEX('Вводные'!$E$88:$E$91,$B$8)+INDEX('Вводные'!$F$88:$F$91,$B$8)+'Вводные'!$H$9)),AND($B$7="Да",IFERROR(INDEX('Вводные'!$B$88:$B$91,$B$8),"Нет")="Да")),MAX(0,SUM($D25:CP25)-CP25),0)</x:f>
      </x:c>
      <x:c r="CQ27" s="107" t="n">
        <x:f>IF(AND(YEAR(CQ$3)=YEAR(EDATE(INDEX('Вводные'!$D$88:$D$91,$B$8),INDEX('Вводные'!$E$88:$E$91,$B$8)+INDEX('Вводные'!$F$88:$F$91,$B$8)+'Вводные'!$H$9)),MONTH(CQ$3)=MONTH(EDATE(INDEX('Вводные'!$D$88:$D$91,$B$8),INDEX('Вводные'!$E$88:$E$91,$B$8)+INDEX('Вводные'!$F$88:$F$91,$B$8)+'Вводные'!$H$9)),AND($B$7="Да",IFERROR(INDEX('Вводные'!$B$88:$B$91,$B$8),"Нет")="Да")),MAX(0,SUM($D25:CQ25)-CQ25),0)</x:f>
      </x:c>
      <x:c r="CR27" s="107" t="n">
        <x:f>IF(AND(YEAR(CR$3)=YEAR(EDATE(INDEX('Вводные'!$D$88:$D$91,$B$8),INDEX('Вводные'!$E$88:$E$91,$B$8)+INDEX('Вводные'!$F$88:$F$91,$B$8)+'Вводные'!$H$9)),MONTH(CR$3)=MONTH(EDATE(INDEX('Вводные'!$D$88:$D$91,$B$8),INDEX('Вводные'!$E$88:$E$91,$B$8)+INDEX('Вводные'!$F$88:$F$91,$B$8)+'Вводные'!$H$9)),AND($B$7="Да",IFERROR(INDEX('Вводные'!$B$88:$B$91,$B$8),"Нет")="Да")),MAX(0,SUM($D25:CR25)-CR25),0)</x:f>
      </x:c>
      <x:c r="CS27" s="107" t="n">
        <x:f>IF(AND(YEAR(CS$3)=YEAR(EDATE(INDEX('Вводные'!$D$88:$D$91,$B$8),INDEX('Вводные'!$E$88:$E$91,$B$8)+INDEX('Вводные'!$F$88:$F$91,$B$8)+'Вводные'!$H$9)),MONTH(CS$3)=MONTH(EDATE(INDEX('Вводные'!$D$88:$D$91,$B$8),INDEX('Вводные'!$E$88:$E$91,$B$8)+INDEX('Вводные'!$F$88:$F$91,$B$8)+'Вводные'!$H$9)),AND($B$7="Да",IFERROR(INDEX('Вводные'!$B$88:$B$91,$B$8),"Нет")="Да")),MAX(0,SUM($D25:CS25)-CS25),0)</x:f>
      </x:c>
      <x:c r="CT27" s="107" t="n">
        <x:f>IF(AND(YEAR(CT$3)=YEAR(EDATE(INDEX('Вводные'!$D$88:$D$91,$B$8),INDEX('Вводные'!$E$88:$E$91,$B$8)+INDEX('Вводные'!$F$88:$F$91,$B$8)+'Вводные'!$H$9)),MONTH(CT$3)=MONTH(EDATE(INDEX('Вводные'!$D$88:$D$91,$B$8),INDEX('Вводные'!$E$88:$E$91,$B$8)+INDEX('Вводные'!$F$88:$F$91,$B$8)+'Вводные'!$H$9)),AND($B$7="Да",IFERROR(INDEX('Вводные'!$B$88:$B$91,$B$8),"Нет")="Да")),MAX(0,SUM($D25:CT25)-CT25),0)</x:f>
      </x:c>
      <x:c r="CU27" s="107" t="n">
        <x:f>IF(AND(YEAR(CU$3)=YEAR(EDATE(INDEX('Вводные'!$D$88:$D$91,$B$8),INDEX('Вводные'!$E$88:$E$91,$B$8)+INDEX('Вводные'!$F$88:$F$91,$B$8)+'Вводные'!$H$9)),MONTH(CU$3)=MONTH(EDATE(INDEX('Вводные'!$D$88:$D$91,$B$8),INDEX('Вводные'!$E$88:$E$91,$B$8)+INDEX('Вводные'!$F$88:$F$91,$B$8)+'Вводные'!$H$9)),AND($B$7="Да",IFERROR(INDEX('Вводные'!$B$88:$B$91,$B$8),"Нет")="Да")),MAX(0,SUM($D25:CU25)-CU25),0)</x:f>
      </x:c>
      <x:c r="CV27" s="107" t="n">
        <x:f>IF(AND(YEAR(CV$3)=YEAR(EDATE(INDEX('Вводные'!$D$88:$D$91,$B$8),INDEX('Вводные'!$E$88:$E$91,$B$8)+INDEX('Вводные'!$F$88:$F$91,$B$8)+'Вводные'!$H$9)),MONTH(CV$3)=MONTH(EDATE(INDEX('Вводные'!$D$88:$D$91,$B$8),INDEX('Вводные'!$E$88:$E$91,$B$8)+INDEX('Вводные'!$F$88:$F$91,$B$8)+'Вводные'!$H$9)),AND($B$7="Да",IFERROR(INDEX('Вводные'!$B$88:$B$91,$B$8),"Нет")="Да")),MAX(0,SUM($D25:CV25)-CV25),0)</x:f>
      </x:c>
      <x:c r="CW27" s="107" t="n">
        <x:f>IF(AND(YEAR(CW$3)=YEAR(EDATE(INDEX('Вводные'!$D$88:$D$91,$B$8),INDEX('Вводные'!$E$88:$E$91,$B$8)+INDEX('Вводные'!$F$88:$F$91,$B$8)+'Вводные'!$H$9)),MONTH(CW$3)=MONTH(EDATE(INDEX('Вводные'!$D$88:$D$91,$B$8),INDEX('Вводные'!$E$88:$E$91,$B$8)+INDEX('Вводные'!$F$88:$F$91,$B$8)+'Вводные'!$H$9)),AND($B$7="Да",IFERROR(INDEX('Вводные'!$B$88:$B$91,$B$8),"Нет")="Да")),MAX(0,SUM($D25:CW25)-CW25),0)</x:f>
      </x:c>
      <x:c r="CX27" s="107" t="n">
        <x:f>IF(AND(YEAR(CX$3)=YEAR(EDATE(INDEX('Вводные'!$D$88:$D$91,$B$8),INDEX('Вводные'!$E$88:$E$91,$B$8)+INDEX('Вводные'!$F$88:$F$91,$B$8)+'Вводные'!$H$9)),MONTH(CX$3)=MONTH(EDATE(INDEX('Вводные'!$D$88:$D$91,$B$8),INDEX('Вводные'!$E$88:$E$91,$B$8)+INDEX('Вводные'!$F$88:$F$91,$B$8)+'Вводные'!$H$9)),AND($B$7="Да",IFERROR(INDEX('Вводные'!$B$88:$B$91,$B$8),"Нет")="Да")),MAX(0,SUM($D25:CX25)-CX25),0)</x:f>
      </x:c>
      <x:c r="CY27" s="107" t="n">
        <x:f>IF(AND(YEAR(CY$3)=YEAR(EDATE(INDEX('Вводные'!$D$88:$D$91,$B$8),INDEX('Вводные'!$E$88:$E$91,$B$8)+INDEX('Вводные'!$F$88:$F$91,$B$8)+'Вводные'!$H$9)),MONTH(CY$3)=MONTH(EDATE(INDEX('Вводные'!$D$88:$D$91,$B$8),INDEX('Вводные'!$E$88:$E$91,$B$8)+INDEX('Вводные'!$F$88:$F$91,$B$8)+'Вводные'!$H$9)),AND($B$7="Да",IFERROR(INDEX('Вводные'!$B$88:$B$91,$B$8),"Нет")="Да")),MAX(0,SUM($D25:CY25)-CY25),0)</x:f>
      </x:c>
      <x:c r="CZ27" s="107" t="n">
        <x:f>IF(AND(YEAR(CZ$3)=YEAR(EDATE(INDEX('Вводные'!$D$88:$D$91,$B$8),INDEX('Вводные'!$E$88:$E$91,$B$8)+INDEX('Вводные'!$F$88:$F$91,$B$8)+'Вводные'!$H$9)),MONTH(CZ$3)=MONTH(EDATE(INDEX('Вводные'!$D$88:$D$91,$B$8),INDEX('Вводные'!$E$88:$E$91,$B$8)+INDEX('Вводные'!$F$88:$F$91,$B$8)+'Вводные'!$H$9)),AND($B$7="Да",IFERROR(INDEX('Вводные'!$B$88:$B$91,$B$8),"Нет")="Да")),MAX(0,SUM($D25:CZ25)-CZ25),0)</x:f>
      </x:c>
      <x:c r="DA27" s="107" t="n">
        <x:f>IF(AND(YEAR(DA$3)=YEAR(EDATE(INDEX('Вводные'!$D$88:$D$91,$B$8),INDEX('Вводные'!$E$88:$E$91,$B$8)+INDEX('Вводные'!$F$88:$F$91,$B$8)+'Вводные'!$H$9)),MONTH(DA$3)=MONTH(EDATE(INDEX('Вводные'!$D$88:$D$91,$B$8),INDEX('Вводные'!$E$88:$E$91,$B$8)+INDEX('Вводные'!$F$88:$F$91,$B$8)+'Вводные'!$H$9)),AND($B$7="Да",IFERROR(INDEX('Вводные'!$B$88:$B$91,$B$8),"Нет")="Да")),MAX(0,SUM($D25:DA25)-DA25),0)</x:f>
      </x:c>
      <x:c r="DB27" s="107" t="n">
        <x:f>IF(AND(YEAR(DB$3)=YEAR(EDATE(INDEX('Вводные'!$D$88:$D$91,$B$8),INDEX('Вводные'!$E$88:$E$91,$B$8)+INDEX('Вводные'!$F$88:$F$91,$B$8)+'Вводные'!$H$9)),MONTH(DB$3)=MONTH(EDATE(INDEX('Вводные'!$D$88:$D$91,$B$8),INDEX('Вводные'!$E$88:$E$91,$B$8)+INDEX('Вводные'!$F$88:$F$91,$B$8)+'Вводные'!$H$9)),AND($B$7="Да",IFERROR(INDEX('Вводные'!$B$88:$B$91,$B$8),"Нет")="Да")),MAX(0,SUM($D25:DB25)-DB25),0)</x:f>
      </x:c>
      <x:c r="DC27" s="107" t="n">
        <x:f>IF(AND(YEAR(DC$3)=YEAR(EDATE(INDEX('Вводные'!$D$88:$D$91,$B$8),INDEX('Вводные'!$E$88:$E$91,$B$8)+INDEX('Вводные'!$F$88:$F$91,$B$8)+'Вводные'!$H$9)),MONTH(DC$3)=MONTH(EDATE(INDEX('Вводные'!$D$88:$D$91,$B$8),INDEX('Вводные'!$E$88:$E$91,$B$8)+INDEX('Вводные'!$F$88:$F$91,$B$8)+'Вводные'!$H$9)),AND($B$7="Да",IFERROR(INDEX('Вводные'!$B$88:$B$91,$B$8),"Нет")="Да")),MAX(0,SUM($D25:DC25)-DC25),0)</x:f>
      </x:c>
      <x:c r="DD27" s="107" t="n">
        <x:f>IF(AND(YEAR(DD$3)=YEAR(EDATE(INDEX('Вводные'!$D$88:$D$91,$B$8),INDEX('Вводные'!$E$88:$E$91,$B$8)+INDEX('Вводные'!$F$88:$F$91,$B$8)+'Вводные'!$H$9)),MONTH(DD$3)=MONTH(EDATE(INDEX('Вводные'!$D$88:$D$91,$B$8),INDEX('Вводные'!$E$88:$E$91,$B$8)+INDEX('Вводные'!$F$88:$F$91,$B$8)+'Вводные'!$H$9)),AND($B$7="Да",IFERROR(INDEX('Вводные'!$B$88:$B$91,$B$8),"Нет")="Да")),MAX(0,SUM($D25:DD25)-DD25),0)</x:f>
      </x:c>
      <x:c r="DE27" s="107" t="n">
        <x:f>IF(AND(YEAR(DE$3)=YEAR(EDATE(INDEX('Вводные'!$D$88:$D$91,$B$8),INDEX('Вводные'!$E$88:$E$91,$B$8)+INDEX('Вводные'!$F$88:$F$91,$B$8)+'Вводные'!$H$9)),MONTH(DE$3)=MONTH(EDATE(INDEX('Вводные'!$D$88:$D$91,$B$8),INDEX('Вводные'!$E$88:$E$91,$B$8)+INDEX('Вводные'!$F$88:$F$91,$B$8)+'Вводные'!$H$9)),AND($B$7="Да",IFERROR(INDEX('Вводные'!$B$88:$B$91,$B$8),"Нет")="Да")),MAX(0,SUM($D25:DE25)-DE25),0)</x:f>
      </x:c>
      <x:c r="DF27" s="107" t="n">
        <x:f>IF(AND(YEAR(DF$3)=YEAR(EDATE(INDEX('Вводные'!$D$88:$D$91,$B$8),INDEX('Вводные'!$E$88:$E$91,$B$8)+INDEX('Вводные'!$F$88:$F$91,$B$8)+'Вводные'!$H$9)),MONTH(DF$3)=MONTH(EDATE(INDEX('Вводные'!$D$88:$D$91,$B$8),INDEX('Вводные'!$E$88:$E$91,$B$8)+INDEX('Вводные'!$F$88:$F$91,$B$8)+'Вводные'!$H$9)),AND($B$7="Да",IFERROR(INDEX('Вводные'!$B$88:$B$91,$B$8),"Нет")="Да")),MAX(0,SUM($D25:DF25)-DF25),0)</x:f>
      </x:c>
      <x:c r="DG27" s="107" t="n">
        <x:f>IF(AND(YEAR(DG$3)=YEAR(EDATE(INDEX('Вводные'!$D$88:$D$91,$B$8),INDEX('Вводные'!$E$88:$E$91,$B$8)+INDEX('Вводные'!$F$88:$F$91,$B$8)+'Вводные'!$H$9)),MONTH(DG$3)=MONTH(EDATE(INDEX('Вводные'!$D$88:$D$91,$B$8),INDEX('Вводные'!$E$88:$E$91,$B$8)+INDEX('Вводные'!$F$88:$F$91,$B$8)+'Вводные'!$H$9)),AND($B$7="Да",IFERROR(INDEX('Вводные'!$B$88:$B$91,$B$8),"Нет")="Да")),MAX(0,SUM($D25:DG25)-DG25),0)</x:f>
      </x:c>
      <x:c r="DH27" s="107" t="n">
        <x:f>IF(AND(YEAR(DH$3)=YEAR(EDATE(INDEX('Вводные'!$D$88:$D$91,$B$8),INDEX('Вводные'!$E$88:$E$91,$B$8)+INDEX('Вводные'!$F$88:$F$91,$B$8)+'Вводные'!$H$9)),MONTH(DH$3)=MONTH(EDATE(INDEX('Вводные'!$D$88:$D$91,$B$8),INDEX('Вводные'!$E$88:$E$91,$B$8)+INDEX('Вводные'!$F$88:$F$91,$B$8)+'Вводные'!$H$9)),AND($B$7="Да",IFERROR(INDEX('Вводные'!$B$88:$B$91,$B$8),"Нет")="Да")),MAX(0,SUM($D25:DH25)-DH25),0)</x:f>
      </x:c>
      <x:c r="DI27" s="107" t="n">
        <x:f>IF(AND(YEAR(DI$3)=YEAR(EDATE(INDEX('Вводные'!$D$88:$D$91,$B$8),INDEX('Вводные'!$E$88:$E$91,$B$8)+INDEX('Вводные'!$F$88:$F$91,$B$8)+'Вводные'!$H$9)),MONTH(DI$3)=MONTH(EDATE(INDEX('Вводные'!$D$88:$D$91,$B$8),INDEX('Вводные'!$E$88:$E$91,$B$8)+INDEX('Вводные'!$F$88:$F$91,$B$8)+'Вводные'!$H$9)),AND($B$7="Да",IFERROR(INDEX('Вводные'!$B$88:$B$91,$B$8),"Нет")="Да")),MAX(0,SUM($D25:DI25)-DI25),0)</x:f>
      </x:c>
      <x:c r="DJ27" s="107" t="n">
        <x:f>IF(AND(YEAR(DJ$3)=YEAR(EDATE(INDEX('Вводные'!$D$88:$D$91,$B$8),INDEX('Вводные'!$E$88:$E$91,$B$8)+INDEX('Вводные'!$F$88:$F$91,$B$8)+'Вводные'!$H$9)),MONTH(DJ$3)=MONTH(EDATE(INDEX('Вводные'!$D$88:$D$91,$B$8),INDEX('Вводные'!$E$88:$E$91,$B$8)+INDEX('Вводные'!$F$88:$F$91,$B$8)+'Вводные'!$H$9)),AND($B$7="Да",IFERROR(INDEX('Вводные'!$B$88:$B$91,$B$8),"Нет")="Да")),MAX(0,SUM($D25:DJ25)-DJ25),0)</x:f>
      </x:c>
      <x:c r="DK27" s="107" t="n">
        <x:f>IF(AND(YEAR(DK$3)=YEAR(EDATE(INDEX('Вводные'!$D$88:$D$91,$B$8),INDEX('Вводные'!$E$88:$E$91,$B$8)+INDEX('Вводные'!$F$88:$F$91,$B$8)+'Вводные'!$H$9)),MONTH(DK$3)=MONTH(EDATE(INDEX('Вводные'!$D$88:$D$91,$B$8),INDEX('Вводные'!$E$88:$E$91,$B$8)+INDEX('Вводные'!$F$88:$F$91,$B$8)+'Вводные'!$H$9)),AND($B$7="Да",IFERROR(INDEX('Вводные'!$B$88:$B$91,$B$8),"Нет")="Да")),MAX(0,SUM($D25:DK25)-DK25),0)</x:f>
      </x:c>
      <x:c r="DL27" s="107" t="n">
        <x:f>IF(AND(YEAR(DL$3)=YEAR(EDATE(INDEX('Вводные'!$D$88:$D$91,$B$8),INDEX('Вводные'!$E$88:$E$91,$B$8)+INDEX('Вводные'!$F$88:$F$91,$B$8)+'Вводные'!$H$9)),MONTH(DL$3)=MONTH(EDATE(INDEX('Вводные'!$D$88:$D$91,$B$8),INDEX('Вводные'!$E$88:$E$91,$B$8)+INDEX('Вводные'!$F$88:$F$91,$B$8)+'Вводные'!$H$9)),AND($B$7="Да",IFERROR(INDEX('Вводные'!$B$88:$B$91,$B$8),"Нет")="Да")),MAX(0,SUM($D25:DL25)-DL25),0)</x:f>
      </x:c>
      <x:c r="DM27" s="107" t="n">
        <x:f>IF(AND(YEAR(DM$3)=YEAR(EDATE(INDEX('Вводные'!$D$88:$D$91,$B$8),INDEX('Вводные'!$E$88:$E$91,$B$8)+INDEX('Вводные'!$F$88:$F$91,$B$8)+'Вводные'!$H$9)),MONTH(DM$3)=MONTH(EDATE(INDEX('Вводные'!$D$88:$D$91,$B$8),INDEX('Вводные'!$E$88:$E$91,$B$8)+INDEX('Вводные'!$F$88:$F$91,$B$8)+'Вводные'!$H$9)),AND($B$7="Да",IFERROR(INDEX('Вводные'!$B$88:$B$91,$B$8),"Нет")="Да")),MAX(0,SUM($D25:DM25)-DM25),0)</x:f>
      </x:c>
      <x:c r="DN27" s="107" t="n">
        <x:f>IF(AND(YEAR(DN$3)=YEAR(EDATE(INDEX('Вводные'!$D$88:$D$91,$B$8),INDEX('Вводные'!$E$88:$E$91,$B$8)+INDEX('Вводные'!$F$88:$F$91,$B$8)+'Вводные'!$H$9)),MONTH(DN$3)=MONTH(EDATE(INDEX('Вводные'!$D$88:$D$91,$B$8),INDEX('Вводные'!$E$88:$E$91,$B$8)+INDEX('Вводные'!$F$88:$F$91,$B$8)+'Вводные'!$H$9)),AND($B$7="Да",IFERROR(INDEX('Вводные'!$B$88:$B$91,$B$8),"Нет")="Да")),MAX(0,SUM($D25:DN25)-DN25),0)</x:f>
      </x:c>
      <x:c r="DO27" s="107" t="n">
        <x:f>IF(AND(YEAR(DO$3)=YEAR(EDATE(INDEX('Вводные'!$D$88:$D$91,$B$8),INDEX('Вводные'!$E$88:$E$91,$B$8)+INDEX('Вводные'!$F$88:$F$91,$B$8)+'Вводные'!$H$9)),MONTH(DO$3)=MONTH(EDATE(INDEX('Вводные'!$D$88:$D$91,$B$8),INDEX('Вводные'!$E$88:$E$91,$B$8)+INDEX('Вводные'!$F$88:$F$91,$B$8)+'Вводные'!$H$9)),AND($B$7="Да",IFERROR(INDEX('Вводные'!$B$88:$B$91,$B$8),"Нет")="Да")),MAX(0,SUM($D25:DO25)-DO25),0)</x:f>
      </x:c>
      <x:c r="DP27" s="107" t="n">
        <x:f>IF(AND(YEAR(DP$3)=YEAR(EDATE(INDEX('Вводные'!$D$88:$D$91,$B$8),INDEX('Вводные'!$E$88:$E$91,$B$8)+INDEX('Вводные'!$F$88:$F$91,$B$8)+'Вводные'!$H$9)),MONTH(DP$3)=MONTH(EDATE(INDEX('Вводные'!$D$88:$D$91,$B$8),INDEX('Вводные'!$E$88:$E$91,$B$8)+INDEX('Вводные'!$F$88:$F$91,$B$8)+'Вводные'!$H$9)),AND($B$7="Да",IFERROR(INDEX('Вводные'!$B$88:$B$91,$B$8),"Нет")="Да")),MAX(0,SUM($D25:DP25)-DP25),0)</x:f>
      </x:c>
      <x:c r="DQ27" s="107" t="n">
        <x:f>IF(AND(YEAR(DQ$3)=YEAR(EDATE(INDEX('Вводные'!$D$88:$D$91,$B$8),INDEX('Вводные'!$E$88:$E$91,$B$8)+INDEX('Вводные'!$F$88:$F$91,$B$8)+'Вводные'!$H$9)),MONTH(DQ$3)=MONTH(EDATE(INDEX('Вводные'!$D$88:$D$91,$B$8),INDEX('Вводные'!$E$88:$E$91,$B$8)+INDEX('Вводные'!$F$88:$F$91,$B$8)+'Вводные'!$H$9)),AND($B$7="Да",IFERROR(INDEX('Вводные'!$B$88:$B$91,$B$8),"Нет")="Да")),MAX(0,SUM($D25:DQ25)-DQ25),0)</x:f>
      </x:c>
      <x:c r="DR27" s="107" t="n">
        <x:f>IF(AND(YEAR(DR$3)=YEAR(EDATE(INDEX('Вводные'!$D$88:$D$91,$B$8),INDEX('Вводные'!$E$88:$E$91,$B$8)+INDEX('Вводные'!$F$88:$F$91,$B$8)+'Вводные'!$H$9)),MONTH(DR$3)=MONTH(EDATE(INDEX('Вводные'!$D$88:$D$91,$B$8),INDEX('Вводные'!$E$88:$E$91,$B$8)+INDEX('Вводные'!$F$88:$F$91,$B$8)+'Вводные'!$H$9)),AND($B$7="Да",IFERROR(INDEX('Вводные'!$B$88:$B$91,$B$8),"Нет")="Да")),MAX(0,SUM($D25:DR25)-DR25),0)</x:f>
      </x:c>
      <x:c r="DS27" s="107" t="n">
        <x:f>IF(AND(YEAR(DS$3)=YEAR(EDATE(INDEX('Вводные'!$D$88:$D$91,$B$8),INDEX('Вводные'!$E$88:$E$91,$B$8)+INDEX('Вводные'!$F$88:$F$91,$B$8)+'Вводные'!$H$9)),MONTH(DS$3)=MONTH(EDATE(INDEX('Вводные'!$D$88:$D$91,$B$8),INDEX('Вводные'!$E$88:$E$91,$B$8)+INDEX('Вводные'!$F$88:$F$91,$B$8)+'Вводные'!$H$9)),AND($B$7="Да",IFERROR(INDEX('Вводные'!$B$88:$B$91,$B$8),"Нет")="Да")),MAX(0,SUM($D25:GA25)-DS25),0)</x:f>
      </x:c>
      <x:c r="DT27" s="107" t="n">
        <x:f>IF(AND(YEAR(DT$3)=YEAR(EDATE(INDEX('Вводные'!$D$88:$D$91,$B$8),INDEX('Вводные'!$E$88:$E$91,$B$8)+INDEX('Вводные'!$F$88:$F$91,$B$8)+'Вводные'!$H$9)),MONTH(DT$3)=MONTH(EDATE(INDEX('Вводные'!$D$88:$D$91,$B$8),INDEX('Вводные'!$E$88:$E$91,$B$8)+INDEX('Вводные'!$F$88:$F$91,$B$8)+'Вводные'!$H$9)),AND($B$7="Да",IFERROR(INDEX('Вводные'!$B$88:$B$91,$B$8),"Нет")="Да")),MAX(0,SUM($D25:DT25)-DT25),0)</x:f>
      </x:c>
      <x:c r="DU27" s="107" t="n">
        <x:f>IF(AND(YEAR(DU$3)=YEAR(EDATE(INDEX('Вводные'!$D$88:$D$91,$B$8),INDEX('Вводные'!$E$88:$E$91,$B$8)+INDEX('Вводные'!$F$88:$F$91,$B$8)+'Вводные'!$H$9)),MONTH(DU$3)=MONTH(EDATE(INDEX('Вводные'!$D$88:$D$91,$B$8),INDEX('Вводные'!$E$88:$E$91,$B$8)+INDEX('Вводные'!$F$88:$F$91,$B$8)+'Вводные'!$H$9)),AND($B$7="Да",IFERROR(INDEX('Вводные'!$B$88:$B$91,$B$8),"Нет")="Да")),MAX(0,SUM($D25:DU25)-DU25),0)</x:f>
      </x:c>
      <x:c r="DV27" s="107" t="n">
        <x:f>IF(AND(YEAR(DV$3)=YEAR(EDATE(INDEX('Вводные'!$D$88:$D$91,$B$8),INDEX('Вводные'!$E$88:$E$91,$B$8)+INDEX('Вводные'!$F$88:$F$91,$B$8)+'Вводные'!$H$9)),MONTH(DV$3)=MONTH(EDATE(INDEX('Вводные'!$D$88:$D$91,$B$8),INDEX('Вводные'!$E$88:$E$91,$B$8)+INDEX('Вводные'!$F$88:$F$91,$B$8)+'Вводные'!$H$9)),AND($B$7="Да",IFERROR(INDEX('Вводные'!$B$88:$B$91,$B$8),"Нет")="Да")),MAX(0,SUM($D25:DV25)-DV25),0)</x:f>
      </x:c>
      <x:c r="DW27" s="107" t="n">
        <x:f>IF(AND(YEAR(DW$3)=YEAR(EDATE(INDEX('Вводные'!$D$88:$D$91,$B$8),INDEX('Вводные'!$E$88:$E$91,$B$8)+INDEX('Вводные'!$F$88:$F$91,$B$8)+'Вводные'!$H$9)),MONTH(DW$3)=MONTH(EDATE(INDEX('Вводные'!$D$88:$D$91,$B$8),INDEX('Вводные'!$E$88:$E$91,$B$8)+INDEX('Вводные'!$F$88:$F$91,$B$8)+'Вводные'!$H$9)),AND($B$7="Да",IFERROR(INDEX('Вводные'!$B$88:$B$91,$B$8),"Нет")="Да")),MAX(0,SUM($D25:DW25)-DW25),0)</x:f>
      </x:c>
      <x:c r="DX27" s="107" t="n">
        <x:f>IF(AND(YEAR(DX$3)=YEAR(EDATE(INDEX('Вводные'!$D$88:$D$91,$B$8),INDEX('Вводные'!$E$88:$E$91,$B$8)+INDEX('Вводные'!$F$88:$F$91,$B$8)+'Вводные'!$H$9)),MONTH(DX$3)=MONTH(EDATE(INDEX('Вводные'!$D$88:$D$91,$B$8),INDEX('Вводные'!$E$88:$E$91,$B$8)+INDEX('Вводные'!$F$88:$F$91,$B$8)+'Вводные'!$H$9)),AND($B$7="Да",IFERROR(INDEX('Вводные'!$B$88:$B$91,$B$8),"Нет")="Да")),MAX(0,SUM($D25:DX25)-DX25),0)</x:f>
      </x:c>
      <x:c r="DY27" s="107" t="n">
        <x:f>IF(AND(YEAR(DY$3)=YEAR(EDATE(INDEX('Вводные'!$D$88:$D$91,$B$8),INDEX('Вводные'!$E$88:$E$91,$B$8)+INDEX('Вводные'!$F$88:$F$91,$B$8)+'Вводные'!$H$9)),MONTH(DY$3)=MONTH(EDATE(INDEX('Вводные'!$D$88:$D$91,$B$8),INDEX('Вводные'!$E$88:$E$91,$B$8)+INDEX('Вводные'!$F$88:$F$91,$B$8)+'Вводные'!$H$9)),AND($B$7="Да",IFERROR(INDEX('Вводные'!$B$88:$B$91,$B$8),"Нет")="Да")),MAX(0,SUM($D25:DY25)-DY25),0)</x:f>
      </x:c>
      <x:c r="DZ27" s="107" t="n">
        <x:f>IF(AND(YEAR(DZ$3)=YEAR(EDATE(INDEX('Вводные'!$D$88:$D$91,$B$8),INDEX('Вводные'!$E$88:$E$91,$B$8)+INDEX('Вводные'!$F$88:$F$91,$B$8)+'Вводные'!$H$9)),MONTH(DZ$3)=MONTH(EDATE(INDEX('Вводные'!$D$88:$D$91,$B$8),INDEX('Вводные'!$E$88:$E$91,$B$8)+INDEX('Вводные'!$F$88:$F$91,$B$8)+'Вводные'!$H$9)),AND($B$7="Да",IFERROR(INDEX('Вводные'!$B$88:$B$91,$B$8),"Нет")="Да")),MAX(0,SUM($D25:DZ25)-DZ25),0)</x:f>
      </x:c>
      <x:c r="EA27" s="107" t="n">
        <x:f>IF(AND(YEAR(EA$3)=YEAR(EDATE(INDEX('Вводные'!$D$88:$D$91,$B$8),INDEX('Вводные'!$E$88:$E$91,$B$8)+INDEX('Вводные'!$F$88:$F$91,$B$8)+'Вводные'!$H$9)),MONTH(EA$3)=MONTH(EDATE(INDEX('Вводные'!$D$88:$D$91,$B$8),INDEX('Вводные'!$E$88:$E$91,$B$8)+INDEX('Вводные'!$F$88:$F$91,$B$8)+'Вводные'!$H$9)),AND($B$7="Да",IFERROR(INDEX('Вводные'!$B$88:$B$91,$B$8),"Нет")="Да")),MAX(0,SUM($D25:EA25)-EA25),0)</x:f>
      </x:c>
      <x:c r="EB27" s="107" t="n">
        <x:f>IF(AND(YEAR(EB$3)=YEAR(EDATE(INDEX('Вводные'!$D$88:$D$91,$B$8),INDEX('Вводные'!$E$88:$E$91,$B$8)+INDEX('Вводные'!$F$88:$F$91,$B$8)+'Вводные'!$H$9)),MONTH(EB$3)=MONTH(EDATE(INDEX('Вводные'!$D$88:$D$91,$B$8),INDEX('Вводные'!$E$88:$E$91,$B$8)+INDEX('Вводные'!$F$88:$F$91,$B$8)+'Вводные'!$H$9)),AND($B$7="Да",IFERROR(INDEX('Вводные'!$B$88:$B$91,$B$8),"Нет")="Да")),MAX(0,SUM($D25:EB25)-EB25),0)</x:f>
      </x:c>
      <x:c r="EC27" s="107" t="n">
        <x:f>IF(AND(YEAR(EC$3)=YEAR(EDATE(INDEX('Вводные'!$D$88:$D$91,$B$8),INDEX('Вводные'!$E$88:$E$91,$B$8)+INDEX('Вводные'!$F$88:$F$91,$B$8)+'Вводные'!$H$9)),MONTH(EC$3)=MONTH(EDATE(INDEX('Вводные'!$D$88:$D$91,$B$8),INDEX('Вводные'!$E$88:$E$91,$B$8)+INDEX('Вводные'!$F$88:$F$91,$B$8)+'Вводные'!$H$9)),AND($B$7="Да",IFERROR(INDEX('Вводные'!$B$88:$B$91,$B$8),"Нет")="Да")),MAX(0,SUM($D25:EC25)-EC25),0)</x:f>
      </x:c>
      <x:c r="ED27" s="107" t="n">
        <x:f>IF(AND(YEAR(ED$3)=YEAR(EDATE(INDEX('Вводные'!$D$88:$D$91,$B$8),INDEX('Вводные'!$E$88:$E$91,$B$8)+INDEX('Вводные'!$F$88:$F$91,$B$8)+'Вводные'!$H$9)),MONTH(ED$3)=MONTH(EDATE(INDEX('Вводные'!$D$88:$D$91,$B$8),INDEX('Вводные'!$E$88:$E$91,$B$8)+INDEX('Вводные'!$F$88:$F$91,$B$8)+'Вводные'!$H$9)),AND($B$7="Да",IFERROR(INDEX('Вводные'!$B$88:$B$91,$B$8),"Нет")="Да")),MAX(0,SUM($D25:ED25)-ED25),0)</x:f>
      </x:c>
      <x:c r="EE27" s="107" t="n">
        <x:f>IF(AND(YEAR(EE$3)=YEAR(EDATE(INDEX('Вводные'!$D$88:$D$91,$B$8),INDEX('Вводные'!$E$88:$E$91,$B$8)+INDEX('Вводные'!$F$88:$F$91,$B$8)+'Вводные'!$H$9)),MONTH(EE$3)=MONTH(EDATE(INDEX('Вводные'!$D$88:$D$91,$B$8),INDEX('Вводные'!$E$88:$E$91,$B$8)+INDEX('Вводные'!$F$88:$F$91,$B$8)+'Вводные'!$H$9)),AND($B$7="Да",IFERROR(INDEX('Вводные'!$B$88:$B$91,$B$8),"Нет")="Да")),MAX(0,SUM($D25:EE25)-EE25),0)</x:f>
      </x:c>
      <x:c r="EF27" s="107" t="n">
        <x:f>IF(AND(YEAR(EF$3)=YEAR(EDATE(INDEX('Вводные'!$D$88:$D$91,$B$8),INDEX('Вводные'!$E$88:$E$91,$B$8)+INDEX('Вводные'!$F$88:$F$91,$B$8)+'Вводные'!$H$9)),MONTH(EF$3)=MONTH(EDATE(INDEX('Вводные'!$D$88:$D$91,$B$8),INDEX('Вводные'!$E$88:$E$91,$B$8)+INDEX('Вводные'!$F$88:$F$91,$B$8)+'Вводные'!$H$9)),AND($B$7="Да",IFERROR(INDEX('Вводные'!$B$88:$B$91,$B$8),"Нет")="Да")),MAX(0,SUM($D25:EF25)-EF25),0)</x:f>
      </x:c>
      <x:c r="EG27" s="107" t="n">
        <x:f>IF(AND(YEAR(EG$3)=YEAR(EDATE(INDEX('Вводные'!$D$88:$D$91,$B$8),INDEX('Вводные'!$E$88:$E$91,$B$8)+INDEX('Вводные'!$F$88:$F$91,$B$8)+'Вводные'!$H$9)),MONTH(EG$3)=MONTH(EDATE(INDEX('Вводные'!$D$88:$D$91,$B$8),INDEX('Вводные'!$E$88:$E$91,$B$8)+INDEX('Вводные'!$F$88:$F$91,$B$8)+'Вводные'!$H$9)),AND($B$7="Да",IFERROR(INDEX('Вводные'!$B$88:$B$91,$B$8),"Нет")="Да")),MAX(0,SUM($D25:EG25)-EG25),0)</x:f>
      </x:c>
      <x:c r="EH27" s="107" t="n">
        <x:f>IF(AND(YEAR(EH$3)=YEAR(EDATE(INDEX('Вводные'!$D$88:$D$91,$B$8),INDEX('Вводные'!$E$88:$E$91,$B$8)+INDEX('Вводные'!$F$88:$F$91,$B$8)+'Вводные'!$H$9)),MONTH(EH$3)=MONTH(EDATE(INDEX('Вводные'!$D$88:$D$91,$B$8),INDEX('Вводные'!$E$88:$E$91,$B$8)+INDEX('Вводные'!$F$88:$F$91,$B$8)+'Вводные'!$H$9)),AND($B$7="Да",IFERROR(INDEX('Вводные'!$B$88:$B$91,$B$8),"Нет")="Да")),MAX(0,SUM($D25:EH25)-EH25),0)</x:f>
      </x:c>
      <x:c r="EI27" s="107" t="n">
        <x:f>IF(AND(YEAR(EI$3)=YEAR(EDATE(INDEX('Вводные'!$D$88:$D$91,$B$8),INDEX('Вводные'!$E$88:$E$91,$B$8)+INDEX('Вводные'!$F$88:$F$91,$B$8)+'Вводные'!$H$9)),MONTH(EI$3)=MONTH(EDATE(INDEX('Вводные'!$D$88:$D$91,$B$8),INDEX('Вводные'!$E$88:$E$91,$B$8)+INDEX('Вводные'!$F$88:$F$91,$B$8)+'Вводные'!$H$9)),AND($B$7="Да",IFERROR(INDEX('Вводные'!$B$88:$B$91,$B$8),"Нет")="Да")),MAX(0,SUM($D25:EI25)-EI25),0)</x:f>
      </x:c>
      <x:c r="EJ27" s="107" t="n">
        <x:f>IF(AND(YEAR(EJ$3)=YEAR(EDATE(INDEX('Вводные'!$D$88:$D$91,$B$8),INDEX('Вводные'!$E$88:$E$91,$B$8)+INDEX('Вводные'!$F$88:$F$91,$B$8)+'Вводные'!$H$9)),MONTH(EJ$3)=MONTH(EDATE(INDEX('Вводные'!$D$88:$D$91,$B$8),INDEX('Вводные'!$E$88:$E$91,$B$8)+INDEX('Вводные'!$F$88:$F$91,$B$8)+'Вводные'!$H$9)),AND($B$7="Да",IFERROR(INDEX('Вводные'!$B$88:$B$91,$B$8),"Нет")="Да")),MAX(0,SUM($D25:EJ25)-EJ25),0)</x:f>
      </x:c>
      <x:c r="EK27" s="107" t="n">
        <x:f>IF(AND(YEAR(EK$3)=YEAR(EDATE(INDEX('Вводные'!$D$88:$D$91,$B$8),INDEX('Вводные'!$E$88:$E$91,$B$8)+INDEX('Вводные'!$F$88:$F$91,$B$8)+'Вводные'!$H$9)),MONTH(EK$3)=MONTH(EDATE(INDEX('Вводные'!$D$88:$D$91,$B$8),INDEX('Вводные'!$E$88:$E$91,$B$8)+INDEX('Вводные'!$F$88:$F$91,$B$8)+'Вводные'!$H$9)),AND($B$7="Да",IFERROR(INDEX('Вводные'!$B$88:$B$91,$B$8),"Нет")="Да")),MAX(0,SUM($D25:EK25)-EK25),0)</x:f>
      </x:c>
      <x:c r="EL27" s="107" t="n">
        <x:f>IF(AND(YEAR(EL$3)=YEAR(EDATE(INDEX('Вводные'!$D$88:$D$91,$B$8),INDEX('Вводные'!$E$88:$E$91,$B$8)+INDEX('Вводные'!$F$88:$F$91,$B$8)+'Вводные'!$H$9)),MONTH(EL$3)=MONTH(EDATE(INDEX('Вводные'!$D$88:$D$91,$B$8),INDEX('Вводные'!$E$88:$E$91,$B$8)+INDEX('Вводные'!$F$88:$F$91,$B$8)+'Вводные'!$H$9)),AND($B$7="Да",IFERROR(INDEX('Вводные'!$B$88:$B$91,$B$8),"Нет")="Да")),MAX(0,SUM($D25:EL25)-EL25),0)</x:f>
      </x:c>
      <x:c r="EM27" s="107" t="n">
        <x:f>IF(AND(YEAR(EM$3)=YEAR(EDATE(INDEX('Вводные'!$D$88:$D$91,$B$8),INDEX('Вводные'!$E$88:$E$91,$B$8)+INDEX('Вводные'!$F$88:$F$91,$B$8)+'Вводные'!$H$9)),MONTH(EM$3)=MONTH(EDATE(INDEX('Вводные'!$D$88:$D$91,$B$8),INDEX('Вводные'!$E$88:$E$91,$B$8)+INDEX('Вводные'!$F$88:$F$91,$B$8)+'Вводные'!$H$9)),AND($B$7="Да",IFERROR(INDEX('Вводные'!$B$88:$B$91,$B$8),"Нет")="Да")),MAX(0,SUM($D25:EM25)-EM25),0)</x:f>
      </x:c>
      <x:c r="EN27" s="107" t="n">
        <x:f>IF(AND(YEAR(EN$3)=YEAR(EDATE(INDEX('Вводные'!$D$88:$D$91,$B$8),INDEX('Вводные'!$E$88:$E$91,$B$8)+INDEX('Вводные'!$F$88:$F$91,$B$8)+'Вводные'!$H$9)),MONTH(EN$3)=MONTH(EDATE(INDEX('Вводные'!$D$88:$D$91,$B$8),INDEX('Вводные'!$E$88:$E$91,$B$8)+INDEX('Вводные'!$F$88:$F$91,$B$8)+'Вводные'!$H$9)),AND($B$7="Да",IFERROR(INDEX('Вводные'!$B$88:$B$91,$B$8),"Нет")="Да")),MAX(0,SUM($D25:EN25)-EN25),0)</x:f>
      </x:c>
      <x:c r="EO27" s="107" t="n">
        <x:f>IF(AND(YEAR(EO$3)=YEAR(EDATE(INDEX('Вводные'!$D$88:$D$91,$B$8),INDEX('Вводные'!$E$88:$E$91,$B$8)+INDEX('Вводные'!$F$88:$F$91,$B$8)+'Вводные'!$H$9)),MONTH(EO$3)=MONTH(EDATE(INDEX('Вводные'!$D$88:$D$91,$B$8),INDEX('Вводные'!$E$88:$E$91,$B$8)+INDEX('Вводные'!$F$88:$F$91,$B$8)+'Вводные'!$H$9)),AND($B$7="Да",IFERROR(INDEX('Вводные'!$B$88:$B$91,$B$8),"Нет")="Да")),MAX(0,SUM($D25:EO25)-EO25),0)</x:f>
      </x:c>
      <x:c r="EP27" s="107" t="n">
        <x:f>IF(AND(YEAR(EP$3)=YEAR(EDATE(INDEX('Вводные'!$D$88:$D$91,$B$8),INDEX('Вводные'!$E$88:$E$91,$B$8)+INDEX('Вводные'!$F$88:$F$91,$B$8)+'Вводные'!$H$9)),MONTH(EP$3)=MONTH(EDATE(INDEX('Вводные'!$D$88:$D$91,$B$8),INDEX('Вводные'!$E$88:$E$91,$B$8)+INDEX('Вводные'!$F$88:$F$91,$B$8)+'Вводные'!$H$9)),AND($B$7="Да",IFERROR(INDEX('Вводные'!$B$88:$B$91,$B$8),"Нет")="Да")),MAX(0,SUM($D25:EP25)-EP25),0)</x:f>
      </x:c>
      <x:c r="EQ27" s="107" t="n">
        <x:f>IF(AND(YEAR(EQ$3)=YEAR(EDATE(INDEX('Вводные'!$D$88:$D$91,$B$8),INDEX('Вводные'!$E$88:$E$91,$B$8)+INDEX('Вводные'!$F$88:$F$91,$B$8)+'Вводные'!$H$9)),MONTH(EQ$3)=MONTH(EDATE(INDEX('Вводные'!$D$88:$D$91,$B$8),INDEX('Вводные'!$E$88:$E$91,$B$8)+INDEX('Вводные'!$F$88:$F$91,$B$8)+'Вводные'!$H$9)),AND($B$7="Да",IFERROR(INDEX('Вводные'!$B$88:$B$91,$B$8),"Нет")="Да")),MAX(0,SUM($D25:EQ25)-EQ25),0)</x:f>
      </x:c>
      <x:c r="ER27" s="107" t="n">
        <x:f>IF(AND(YEAR(ER$3)=YEAR(EDATE(INDEX('Вводные'!$D$88:$D$91,$B$8),INDEX('Вводные'!$E$88:$E$91,$B$8)+INDEX('Вводные'!$F$88:$F$91,$B$8)+'Вводные'!$H$9)),MONTH(ER$3)=MONTH(EDATE(INDEX('Вводные'!$D$88:$D$91,$B$8),INDEX('Вводные'!$E$88:$E$91,$B$8)+INDEX('Вводные'!$F$88:$F$91,$B$8)+'Вводные'!$H$9)),AND($B$7="Да",IFERROR(INDEX('Вводные'!$B$88:$B$91,$B$8),"Нет")="Да")),MAX(0,SUM($D25:ER25)-ER25),0)</x:f>
      </x:c>
      <x:c r="ES27" s="107" t="n">
        <x:f>IF(AND(YEAR(ES$3)=YEAR(EDATE(INDEX('Вводные'!$D$88:$D$91,$B$8),INDEX('Вводные'!$E$88:$E$91,$B$8)+INDEX('Вводные'!$F$88:$F$91,$B$8)+'Вводные'!$H$9)),MONTH(ES$3)=MONTH(EDATE(INDEX('Вводные'!$D$88:$D$91,$B$8),INDEX('Вводные'!$E$88:$E$91,$B$8)+INDEX('Вводные'!$F$88:$F$91,$B$8)+'Вводные'!$H$9)),AND($B$7="Да",IFERROR(INDEX('Вводные'!$B$88:$B$91,$B$8),"Нет")="Да")),MAX(0,SUM($D25:ES25)-ES25),0)</x:f>
      </x:c>
      <x:c r="ET27" s="107" t="n">
        <x:f>IF(AND(YEAR(ET$3)=YEAR(EDATE(INDEX('Вводные'!$D$88:$D$91,$B$8),INDEX('Вводные'!$E$88:$E$91,$B$8)+INDEX('Вводные'!$F$88:$F$91,$B$8)+'Вводные'!$H$9)),MONTH(ET$3)=MONTH(EDATE(INDEX('Вводные'!$D$88:$D$91,$B$8),INDEX('Вводные'!$E$88:$E$91,$B$8)+INDEX('Вводные'!$F$88:$F$91,$B$8)+'Вводные'!$H$9)),AND($B$7="Да",IFERROR(INDEX('Вводные'!$B$88:$B$91,$B$8),"Нет")="Да")),MAX(0,SUM($D25:ET25)-ET25),0)</x:f>
      </x:c>
      <x:c r="EU27" s="107" t="n">
        <x:f>IF(AND(YEAR(EU$3)=YEAR(EDATE(INDEX('Вводные'!$D$88:$D$91,$B$8),INDEX('Вводные'!$E$88:$E$91,$B$8)+INDEX('Вводные'!$F$88:$F$91,$B$8)+'Вводные'!$H$9)),MONTH(EU$3)=MONTH(EDATE(INDEX('Вводные'!$D$88:$D$91,$B$8),INDEX('Вводные'!$E$88:$E$91,$B$8)+INDEX('Вводные'!$F$88:$F$91,$B$8)+'Вводные'!$H$9)),AND($B$7="Да",IFERROR(INDEX('Вводные'!$B$88:$B$91,$B$8),"Нет")="Да")),MAX(0,SUM($D25:EU25)-EU25),0)</x:f>
      </x:c>
      <x:c r="EV27" s="107" t="n">
        <x:f>IF(AND(YEAR(EV$3)=YEAR(EDATE(INDEX('Вводные'!$D$88:$D$91,$B$8),INDEX('Вводные'!$E$88:$E$91,$B$8)+INDEX('Вводные'!$F$88:$F$91,$B$8)+'Вводные'!$H$9)),MONTH(EV$3)=MONTH(EDATE(INDEX('Вводные'!$D$88:$D$91,$B$8),INDEX('Вводные'!$E$88:$E$91,$B$8)+INDEX('Вводные'!$F$88:$F$91,$B$8)+'Вводные'!$H$9)),AND($B$7="Да",IFERROR(INDEX('Вводные'!$B$88:$B$91,$B$8),"Нет")="Да")),MAX(0,SUM($D25:EV25)-EV25),0)</x:f>
      </x:c>
      <x:c r="EW27" s="107" t="n">
        <x:f>IF(AND(YEAR(EW$3)=YEAR(EDATE(INDEX('Вводные'!$D$88:$D$91,$B$8),INDEX('Вводные'!$E$88:$E$91,$B$8)+INDEX('Вводные'!$F$88:$F$91,$B$8)+'Вводные'!$H$9)),MONTH(EW$3)=MONTH(EDATE(INDEX('Вводные'!$D$88:$D$91,$B$8),INDEX('Вводные'!$E$88:$E$91,$B$8)+INDEX('Вводные'!$F$88:$F$91,$B$8)+'Вводные'!$H$9)),AND($B$7="Да",IFERROR(INDEX('Вводные'!$B$88:$B$91,$B$8),"Нет")="Да")),MAX(0,SUM($D25:EW25)-EW25),0)</x:f>
      </x:c>
      <x:c r="EX27" s="107" t="n">
        <x:f>IF(AND(YEAR(EX$3)=YEAR(EDATE(INDEX('Вводные'!$D$88:$D$91,$B$8),INDEX('Вводные'!$E$88:$E$91,$B$8)+INDEX('Вводные'!$F$88:$F$91,$B$8)+'Вводные'!$H$9)),MONTH(EX$3)=MONTH(EDATE(INDEX('Вводные'!$D$88:$D$91,$B$8),INDEX('Вводные'!$E$88:$E$91,$B$8)+INDEX('Вводные'!$F$88:$F$91,$B$8)+'Вводные'!$H$9)),AND($B$7="Да",IFERROR(INDEX('Вводные'!$B$88:$B$91,$B$8),"Нет")="Да")),MAX(0,SUM($D25:EX25)-EX25),0)</x:f>
      </x:c>
      <x:c r="EY27" s="107" t="n">
        <x:f>IF(AND(YEAR(EY$3)=YEAR(EDATE(INDEX('Вводные'!$D$88:$D$91,$B$8),INDEX('Вводные'!$E$88:$E$91,$B$8)+INDEX('Вводные'!$F$88:$F$91,$B$8)+'Вводные'!$H$9)),MONTH(EY$3)=MONTH(EDATE(INDEX('Вводные'!$D$88:$D$91,$B$8),INDEX('Вводные'!$E$88:$E$91,$B$8)+INDEX('Вводные'!$F$88:$F$91,$B$8)+'Вводные'!$H$9)),AND($B$7="Да",IFERROR(INDEX('Вводные'!$B$88:$B$91,$B$8),"Нет")="Да")),MAX(0,SUM($D25:EY25)-EY25),0)</x:f>
      </x:c>
      <x:c r="EZ27" s="107" t="n">
        <x:f>IF(AND(YEAR(EZ$3)=YEAR(EDATE(INDEX('Вводные'!$D$88:$D$91,$B$8),INDEX('Вводные'!$E$88:$E$91,$B$8)+INDEX('Вводные'!$F$88:$F$91,$B$8)+'Вводные'!$H$9)),MONTH(EZ$3)=MONTH(EDATE(INDEX('Вводные'!$D$88:$D$91,$B$8),INDEX('Вводные'!$E$88:$E$91,$B$8)+INDEX('Вводные'!$F$88:$F$91,$B$8)+'Вводные'!$H$9)),AND($B$7="Да",IFERROR(INDEX('Вводные'!$B$88:$B$91,$B$8),"Нет")="Да")),MAX(0,SUM($D25:EZ25)-EZ25),0)</x:f>
      </x:c>
      <x:c r="FA27" s="107" t="n">
        <x:f>IF(AND(YEAR(FA$3)=YEAR(EDATE(INDEX('Вводные'!$D$88:$D$91,$B$8),INDEX('Вводные'!$E$88:$E$91,$B$8)+INDEX('Вводные'!$F$88:$F$91,$B$8)+'Вводные'!$H$9)),MONTH(FA$3)=MONTH(EDATE(INDEX('Вводные'!$D$88:$D$91,$B$8),INDEX('Вводные'!$E$88:$E$91,$B$8)+INDEX('Вводные'!$F$88:$F$91,$B$8)+'Вводные'!$H$9)),AND($B$7="Да",IFERROR(INDEX('Вводные'!$B$88:$B$91,$B$8),"Нет")="Да")),MAX(0,SUM($D25:FA25)-FA25),0)</x:f>
      </x:c>
      <x:c r="FB27" s="107" t="n">
        <x:f>IF(AND(YEAR(FB$3)=YEAR(EDATE(INDEX('Вводные'!$D$88:$D$91,$B$8),INDEX('Вводные'!$E$88:$E$91,$B$8)+INDEX('Вводные'!$F$88:$F$91,$B$8)+'Вводные'!$H$9)),MONTH(FB$3)=MONTH(EDATE(INDEX('Вводные'!$D$88:$D$91,$B$8),INDEX('Вводные'!$E$88:$E$91,$B$8)+INDEX('Вводные'!$F$88:$F$91,$B$8)+'Вводные'!$H$9)),AND($B$7="Да",IFERROR(INDEX('Вводные'!$B$88:$B$91,$B$8),"Нет")="Да")),MAX(0,SUM($D25:FB25)-FB25),0)</x:f>
      </x:c>
      <x:c r="FC27" s="107" t="n">
        <x:f>IF(AND(YEAR(FC$3)=YEAR(EDATE(INDEX('Вводные'!$D$88:$D$91,$B$8),INDEX('Вводные'!$E$88:$E$91,$B$8)+INDEX('Вводные'!$F$88:$F$91,$B$8)+'Вводные'!$H$9)),MONTH(FC$3)=MONTH(EDATE(INDEX('Вводные'!$D$88:$D$91,$B$8),INDEX('Вводные'!$E$88:$E$91,$B$8)+INDEX('Вводные'!$F$88:$F$91,$B$8)+'Вводные'!$H$9)),AND($B$7="Да",IFERROR(INDEX('Вводные'!$B$88:$B$91,$B$8),"Нет")="Да")),MAX(0,SUM($D25:FC25)-FC25),0)</x:f>
      </x:c>
      <x:c r="FD27" s="107" t="n">
        <x:f>IF(AND(YEAR(FD$3)=YEAR(EDATE(INDEX('Вводные'!$D$88:$D$91,$B$8),INDEX('Вводные'!$E$88:$E$91,$B$8)+INDEX('Вводные'!$F$88:$F$91,$B$8)+'Вводные'!$H$9)),MONTH(FD$3)=MONTH(EDATE(INDEX('Вводные'!$D$88:$D$91,$B$8),INDEX('Вводные'!$E$88:$E$91,$B$8)+INDEX('Вводные'!$F$88:$F$91,$B$8)+'Вводные'!$H$9)),AND($B$7="Да",IFERROR(INDEX('Вводные'!$B$88:$B$91,$B$8),"Нет")="Да")),MAX(0,SUM($D25:FD25)-FD25),0)</x:f>
      </x:c>
      <x:c r="FE27" s="107" t="n">
        <x:f>IF(AND(YEAR(FE$3)=YEAR(EDATE(INDEX('Вводные'!$D$88:$D$91,$B$8),INDEX('Вводные'!$E$88:$E$91,$B$8)+INDEX('Вводные'!$F$88:$F$91,$B$8)+'Вводные'!$H$9)),MONTH(FE$3)=MONTH(EDATE(INDEX('Вводные'!$D$88:$D$91,$B$8),INDEX('Вводные'!$E$88:$E$91,$B$8)+INDEX('Вводные'!$F$88:$F$91,$B$8)+'Вводные'!$H$9)),AND($B$7="Да",IFERROR(INDEX('Вводные'!$B$88:$B$91,$B$8),"Нет")="Да")),MAX(0,SUM($D25:FE25)-FE25),0)</x:f>
      </x:c>
      <x:c r="FF27" s="107" t="n">
        <x:f>IF(AND(YEAR(FF$3)=YEAR(EDATE(INDEX('Вводные'!$D$88:$D$91,$B$8),INDEX('Вводные'!$E$88:$E$91,$B$8)+INDEX('Вводные'!$F$88:$F$91,$B$8)+'Вводные'!$H$9)),MONTH(FF$3)=MONTH(EDATE(INDEX('Вводные'!$D$88:$D$91,$B$8),INDEX('Вводные'!$E$88:$E$91,$B$8)+INDEX('Вводные'!$F$88:$F$91,$B$8)+'Вводные'!$H$9)),AND($B$7="Да",IFERROR(INDEX('Вводные'!$B$88:$B$91,$B$8),"Нет")="Да")),MAX(0,SUM($D25:FF25)-FF25),0)</x:f>
      </x:c>
      <x:c r="FG27" s="107" t="n">
        <x:f>IF(AND(YEAR(FG$3)=YEAR(EDATE(INDEX('Вводные'!$D$88:$D$91,$B$8),INDEX('Вводные'!$E$88:$E$91,$B$8)+INDEX('Вводные'!$F$88:$F$91,$B$8)+'Вводные'!$H$9)),MONTH(FG$3)=MONTH(EDATE(INDEX('Вводные'!$D$88:$D$91,$B$8),INDEX('Вводные'!$E$88:$E$91,$B$8)+INDEX('Вводные'!$F$88:$F$91,$B$8)+'Вводные'!$H$9)),AND($B$7="Да",IFERROR(INDEX('Вводные'!$B$88:$B$91,$B$8),"Нет")="Да")),MAX(0,SUM($D25:FG25)-FG25),0)</x:f>
      </x:c>
      <x:c r="FH27" s="107" t="n">
        <x:f>IF(AND(YEAR(FH$3)=YEAR(EDATE(INDEX('Вводные'!$D$88:$D$91,$B$8),INDEX('Вводные'!$E$88:$E$91,$B$8)+INDEX('Вводные'!$F$88:$F$91,$B$8)+'Вводные'!$H$9)),MONTH(FH$3)=MONTH(EDATE(INDEX('Вводные'!$D$88:$D$91,$B$8),INDEX('Вводные'!$E$88:$E$91,$B$8)+INDEX('Вводные'!$F$88:$F$91,$B$8)+'Вводные'!$H$9)),AND($B$7="Да",IFERROR(INDEX('Вводные'!$B$88:$B$91,$B$8),"Нет")="Да")),MAX(0,SUM($D25:FH25)-FH25),0)</x:f>
      </x:c>
      <x:c r="FI27" s="107" t="n">
        <x:f>IF(AND(YEAR(FI$3)=YEAR(EDATE(INDEX('Вводные'!$D$88:$D$91,$B$8),INDEX('Вводные'!$E$88:$E$91,$B$8)+INDEX('Вводные'!$F$88:$F$91,$B$8)+'Вводные'!$H$9)),MONTH(FI$3)=MONTH(EDATE(INDEX('Вводные'!$D$88:$D$91,$B$8),INDEX('Вводные'!$E$88:$E$91,$B$8)+INDEX('Вводные'!$F$88:$F$91,$B$8)+'Вводные'!$H$9)),AND($B$7="Да",IFERROR(INDEX('Вводные'!$B$88:$B$91,$B$8),"Нет")="Да")),MAX(0,SUM($D25:FI25)-FI25),0)</x:f>
      </x:c>
      <x:c r="FJ27" s="107" t="n">
        <x:f>IF(AND(YEAR(FJ$3)=YEAR(EDATE(INDEX('Вводные'!$D$88:$D$91,$B$8),INDEX('Вводные'!$E$88:$E$91,$B$8)+INDEX('Вводные'!$F$88:$F$91,$B$8)+'Вводные'!$H$9)),MONTH(FJ$3)=MONTH(EDATE(INDEX('Вводные'!$D$88:$D$91,$B$8),INDEX('Вводные'!$E$88:$E$91,$B$8)+INDEX('Вводные'!$F$88:$F$91,$B$8)+'Вводные'!$H$9)),AND($B$7="Да",IFERROR(INDEX('Вводные'!$B$88:$B$91,$B$8),"Нет")="Да")),MAX(0,SUM($D25:FJ25)-FJ25),0)</x:f>
      </x:c>
      <x:c r="FK27" s="107" t="n">
        <x:f>IF(AND(YEAR(FK$3)=YEAR(EDATE(INDEX('Вводные'!$D$88:$D$91,$B$8),INDEX('Вводные'!$E$88:$E$91,$B$8)+INDEX('Вводные'!$F$88:$F$91,$B$8)+'Вводные'!$H$9)),MONTH(FK$3)=MONTH(EDATE(INDEX('Вводные'!$D$88:$D$91,$B$8),INDEX('Вводные'!$E$88:$E$91,$B$8)+INDEX('Вводные'!$F$88:$F$91,$B$8)+'Вводные'!$H$9)),AND($B$7="Да",IFERROR(INDEX('Вводные'!$B$88:$B$91,$B$8),"Нет")="Да")),MAX(0,SUM($D25:FK25)-FK25),0)</x:f>
      </x:c>
      <x:c r="FL27" s="107" t="n">
        <x:f>IF(AND(YEAR(FL$3)=YEAR(EDATE(INDEX('Вводные'!$D$88:$D$91,$B$8),INDEX('Вводные'!$E$88:$E$91,$B$8)+INDEX('Вводные'!$F$88:$F$91,$B$8)+'Вводные'!$H$9)),MONTH(FL$3)=MONTH(EDATE(INDEX('Вводные'!$D$88:$D$91,$B$8),INDEX('Вводные'!$E$88:$E$91,$B$8)+INDEX('Вводные'!$F$88:$F$91,$B$8)+'Вводные'!$H$9)),AND($B$7="Да",IFERROR(INDEX('Вводные'!$B$88:$B$91,$B$8),"Нет")="Да")),MAX(0,SUM($D25:FL25)-FL25),0)</x:f>
      </x:c>
      <x:c r="FM27" s="107" t="n">
        <x:f>IF(AND(YEAR(FM$3)=YEAR(EDATE(INDEX('Вводные'!$D$88:$D$91,$B$8),INDEX('Вводные'!$E$88:$E$91,$B$8)+INDEX('Вводные'!$F$88:$F$91,$B$8)+'Вводные'!$H$9)),MONTH(FM$3)=MONTH(EDATE(INDEX('Вводные'!$D$88:$D$91,$B$8),INDEX('Вводные'!$E$88:$E$91,$B$8)+INDEX('Вводные'!$F$88:$F$91,$B$8)+'Вводные'!$H$9)),AND($B$7="Да",IFERROR(INDEX('Вводные'!$B$88:$B$91,$B$8),"Нет")="Да")),MAX(0,SUM($D25:FM25)-FM25),0)</x:f>
      </x:c>
      <x:c r="FN27" s="107" t="n">
        <x:f>IF(AND(YEAR(FN$3)=YEAR(EDATE(INDEX('Вводные'!$D$88:$D$91,$B$8),INDEX('Вводные'!$E$88:$E$91,$B$8)+INDEX('Вводные'!$F$88:$F$91,$B$8)+'Вводные'!$H$9)),MONTH(FN$3)=MONTH(EDATE(INDEX('Вводные'!$D$88:$D$91,$B$8),INDEX('Вводные'!$E$88:$E$91,$B$8)+INDEX('Вводные'!$F$88:$F$91,$B$8)+'Вводные'!$H$9)),AND($B$7="Да",IFERROR(INDEX('Вводные'!$B$88:$B$91,$B$8),"Нет")="Да")),MAX(0,SUM($D25:FN25)-FN25),0)</x:f>
      </x:c>
      <x:c r="FO27" s="107" t="n">
        <x:f>IF(AND(YEAR(FO$3)=YEAR(EDATE(INDEX('Вводные'!$D$88:$D$91,$B$8),INDEX('Вводные'!$E$88:$E$91,$B$8)+INDEX('Вводные'!$F$88:$F$91,$B$8)+'Вводные'!$H$9)),MONTH(FO$3)=MONTH(EDATE(INDEX('Вводные'!$D$88:$D$91,$B$8),INDEX('Вводные'!$E$88:$E$91,$B$8)+INDEX('Вводные'!$F$88:$F$91,$B$8)+'Вводные'!$H$9)),AND($B$7="Да",IFERROR(INDEX('Вводные'!$B$88:$B$91,$B$8),"Нет")="Да")),MAX(0,SUM($D25:FO25)-FO25),0)</x:f>
      </x:c>
      <x:c r="FP27" s="107" t="n">
        <x:f>IF(AND(YEAR(FP$3)=YEAR(EDATE(INDEX('Вводные'!$D$88:$D$91,$B$8),INDEX('Вводные'!$E$88:$E$91,$B$8)+INDEX('Вводные'!$F$88:$F$91,$B$8)+'Вводные'!$H$9)),MONTH(FP$3)=MONTH(EDATE(INDEX('Вводные'!$D$88:$D$91,$B$8),INDEX('Вводные'!$E$88:$E$91,$B$8)+INDEX('Вводные'!$F$88:$F$91,$B$8)+'Вводные'!$H$9)),AND($B$7="Да",IFERROR(INDEX('Вводные'!$B$88:$B$91,$B$8),"Нет")="Да")),MAX(0,SUM($D25:FP25)-FP25),0)</x:f>
      </x:c>
      <x:c r="FQ27" s="107" t="n">
        <x:f>IF(AND(YEAR(FQ$3)=YEAR(EDATE(INDEX('Вводные'!$D$88:$D$91,$B$8),INDEX('Вводные'!$E$88:$E$91,$B$8)+INDEX('Вводные'!$F$88:$F$91,$B$8)+'Вводные'!$H$9)),MONTH(FQ$3)=MONTH(EDATE(INDEX('Вводные'!$D$88:$D$91,$B$8),INDEX('Вводные'!$E$88:$E$91,$B$8)+INDEX('Вводные'!$F$88:$F$91,$B$8)+'Вводные'!$H$9)),AND($B$7="Да",IFERROR(INDEX('Вводные'!$B$88:$B$91,$B$8),"Нет")="Да")),MAX(0,SUM($D25:FQ25)-FQ25),0)</x:f>
      </x:c>
      <x:c r="FR27" s="107" t="n">
        <x:f>IF(AND(YEAR(FR$3)=YEAR(EDATE(INDEX('Вводные'!$D$88:$D$91,$B$8),INDEX('Вводные'!$E$88:$E$91,$B$8)+INDEX('Вводные'!$F$88:$F$91,$B$8)+'Вводные'!$H$9)),MONTH(FR$3)=MONTH(EDATE(INDEX('Вводные'!$D$88:$D$91,$B$8),INDEX('Вводные'!$E$88:$E$91,$B$8)+INDEX('Вводные'!$F$88:$F$91,$B$8)+'Вводные'!$H$9)),AND($B$7="Да",IFERROR(INDEX('Вводные'!$B$88:$B$91,$B$8),"Нет")="Да")),MAX(0,SUM($D25:FR25)-FR25),0)</x:f>
      </x:c>
      <x:c r="FS27" s="107" t="n">
        <x:f>IF(AND(YEAR(FS$3)=YEAR(EDATE(INDEX('Вводные'!$D$88:$D$91,$B$8),INDEX('Вводные'!$E$88:$E$91,$B$8)+INDEX('Вводные'!$F$88:$F$91,$B$8)+'Вводные'!$H$9)),MONTH(FS$3)=MONTH(EDATE(INDEX('Вводные'!$D$88:$D$91,$B$8),INDEX('Вводные'!$E$88:$E$91,$B$8)+INDEX('Вводные'!$F$88:$F$91,$B$8)+'Вводные'!$H$9)),AND($B$7="Да",IFERROR(INDEX('Вводные'!$B$88:$B$91,$B$8),"Нет")="Да")),MAX(0,SUM($D25:FS25)-FS25),0)</x:f>
      </x:c>
      <x:c r="FT27" s="107" t="n">
        <x:f>IF(AND(YEAR(FT$3)=YEAR(EDATE(INDEX('Вводные'!$D$88:$D$91,$B$8),INDEX('Вводные'!$E$88:$E$91,$B$8)+INDEX('Вводные'!$F$88:$F$91,$B$8)+'Вводные'!$H$9)),MONTH(FT$3)=MONTH(EDATE(INDEX('Вводные'!$D$88:$D$91,$B$8),INDEX('Вводные'!$E$88:$E$91,$B$8)+INDEX('Вводные'!$F$88:$F$91,$B$8)+'Вводные'!$H$9)),AND($B$7="Да",IFERROR(INDEX('Вводные'!$B$88:$B$91,$B$8),"Нет")="Да")),MAX(0,SUM($D25:FT25)-FT25),0)</x:f>
      </x:c>
      <x:c r="FU27" s="107" t="n">
        <x:f>IF(AND(YEAR(FU$3)=YEAR(EDATE(INDEX('Вводные'!$D$88:$D$91,$B$8),INDEX('Вводные'!$E$88:$E$91,$B$8)+INDEX('Вводные'!$F$88:$F$91,$B$8)+'Вводные'!$H$9)),MONTH(FU$3)=MONTH(EDATE(INDEX('Вводные'!$D$88:$D$91,$B$8),INDEX('Вводные'!$E$88:$E$91,$B$8)+INDEX('Вводные'!$F$88:$F$91,$B$8)+'Вводные'!$H$9)),AND($B$7="Да",IFERROR(INDEX('Вводные'!$B$88:$B$91,$B$8),"Нет")="Да")),MAX(0,SUM($D25:FU25)-FU25),0)</x:f>
      </x:c>
      <x:c r="FV27" s="107" t="n">
        <x:f>IF(AND(YEAR(FV$3)=YEAR(EDATE(INDEX('Вводные'!$D$88:$D$91,$B$8),INDEX('Вводные'!$E$88:$E$91,$B$8)+INDEX('Вводные'!$F$88:$F$91,$B$8)+'Вводные'!$H$9)),MONTH(FV$3)=MONTH(EDATE(INDEX('Вводные'!$D$88:$D$91,$B$8),INDEX('Вводные'!$E$88:$E$91,$B$8)+INDEX('Вводные'!$F$88:$F$91,$B$8)+'Вводные'!$H$9)),AND($B$7="Да",IFERROR(INDEX('Вводные'!$B$88:$B$91,$B$8),"Нет")="Да")),MAX(0,SUM($D25:FV25)-FV25),0)</x:f>
      </x:c>
      <x:c r="FW27" s="107" t="n">
        <x:f>IF(AND(YEAR(FW$3)=YEAR(EDATE(INDEX('Вводные'!$D$88:$D$91,$B$8),INDEX('Вводные'!$E$88:$E$91,$B$8)+INDEX('Вводные'!$F$88:$F$91,$B$8)+'Вводные'!$H$9)),MONTH(FW$3)=MONTH(EDATE(INDEX('Вводные'!$D$88:$D$91,$B$8),INDEX('Вводные'!$E$88:$E$91,$B$8)+INDEX('Вводные'!$F$88:$F$91,$B$8)+'Вводные'!$H$9)),AND($B$7="Да",IFERROR(INDEX('Вводные'!$B$88:$B$91,$B$8),"Нет")="Да")),MAX(0,SUM($D25:FW25)-FW25),0)</x:f>
      </x:c>
      <x:c r="FX27" s="107" t="n">
        <x:f>IF(AND(YEAR(FX$3)=YEAR(EDATE(INDEX('Вводные'!$D$88:$D$91,$B$8),INDEX('Вводные'!$E$88:$E$91,$B$8)+INDEX('Вводные'!$F$88:$F$91,$B$8)+'Вводные'!$H$9)),MONTH(FX$3)=MONTH(EDATE(INDEX('Вводные'!$D$88:$D$91,$B$8),INDEX('Вводные'!$E$88:$E$91,$B$8)+INDEX('Вводные'!$F$88:$F$91,$B$8)+'Вводные'!$H$9)),AND($B$7="Да",IFERROR(INDEX('Вводные'!$B$88:$B$91,$B$8),"Нет")="Да")),MAX(0,SUM($D25:FX25)-FX25),0)</x:f>
      </x:c>
      <x:c r="FY27" s="107" t="n">
        <x:f>IF(AND(YEAR(FY$3)=YEAR(EDATE(INDEX('Вводные'!$D$88:$D$91,$B$8),INDEX('Вводные'!$E$88:$E$91,$B$8)+INDEX('Вводные'!$F$88:$F$91,$B$8)+'Вводные'!$H$9)),MONTH(FY$3)=MONTH(EDATE(INDEX('Вводные'!$D$88:$D$91,$B$8),INDEX('Вводные'!$E$88:$E$91,$B$8)+INDEX('Вводные'!$F$88:$F$91,$B$8)+'Вводные'!$H$9)),AND($B$7="Да",IFERROR(INDEX('Вводные'!$B$88:$B$91,$B$8),"Нет")="Да")),MAX(0,SUM($D25:FY25)-FY25),0)</x:f>
      </x:c>
      <x:c r="FZ27" s="107" t="n">
        <x:f>IF(AND(YEAR(FZ$3)=YEAR(EDATE(INDEX('Вводные'!$D$88:$D$91,$B$8),INDEX('Вводные'!$E$88:$E$91,$B$8)+INDEX('Вводные'!$F$88:$F$91,$B$8)+'Вводные'!$H$9)),MONTH(FZ$3)=MONTH(EDATE(INDEX('Вводные'!$D$88:$D$91,$B$8),INDEX('Вводные'!$E$88:$E$91,$B$8)+INDEX('Вводные'!$F$88:$F$91,$B$8)+'Вводные'!$H$9)),AND($B$7="Да",IFERROR(INDEX('Вводные'!$B$88:$B$91,$B$8),"Нет")="Да")),MAX(0,SUM($D25:FZ25)-FZ25),0)</x:f>
      </x:c>
      <x:c r="GA27" s="107" t="n">
        <x:f>IF(AND(YEAR(GA$3)=YEAR(EDATE(INDEX('Вводные'!$D$88:$D$91,$B$8),INDEX('Вводные'!$E$88:$E$91,$B$8)+INDEX('Вводные'!$F$88:$F$91,$B$8)+'Вводные'!$H$9)),MONTH(GA$3)=MONTH(EDATE(INDEX('Вводные'!$D$88:$D$91,$B$8),INDEX('Вводные'!$E$88:$E$91,$B$8)+INDEX('Вводные'!$F$88:$F$91,$B$8)+'Вводные'!$H$9)),AND($B$7="Да",IFERROR(INDEX('Вводные'!$B$88:$B$91,$B$8),"Нет")="Да")),MAX(0,SUM($D25:GA25)-GA25),0)</x:f>
      </x:c>
    </x:row>
    <x:row r="28">
      <x:c r="A28" t="str">
        <x:v>CAPEX</x:v>
      </x:c>
      <x:c r="B28" s="107" t="n">
        <x:f>IF(AND($B$7="Да",IFERROR(INDEX('Вводные'!$B$88:$B$91,$B$8),"Нет")="Да"),$B$12*'Вводные'!$K$29/1000*'Вводные'!$H$6*INDEX('Вводные'!$T$88:$T$91,$B$8)*INDEX('Вводные'!$AH$88:$AH$91,$B$8),0)</x:f>
      </x:c>
      <x:c r="C28" t="str">
        <x:v>млн ₽</x:v>
      </x:c>
      <x:c r="D28" s="107" t="n">
        <x:f>$B$28*D16</x:f>
      </x:c>
      <x:c r="E28" s="107" t="n">
        <x:f>$B$28*E16</x:f>
      </x:c>
      <x:c r="F28" s="107" t="n">
        <x:f>$B$28*F16</x:f>
      </x:c>
      <x:c r="G28" s="107" t="n">
        <x:f>$B$28*G16</x:f>
      </x:c>
      <x:c r="H28" s="107" t="n">
        <x:f>$B$28*H16</x:f>
      </x:c>
      <x:c r="I28" s="107" t="n">
        <x:f>$B$28*I16</x:f>
      </x:c>
      <x:c r="J28" s="107" t="n">
        <x:f>$B$28*J16</x:f>
      </x:c>
      <x:c r="K28" s="107" t="n">
        <x:f>$B$28*K16</x:f>
      </x:c>
      <x:c r="L28" s="107" t="n">
        <x:f>$B$28*L16</x:f>
      </x:c>
      <x:c r="M28" s="107" t="n">
        <x:f>$B$28*M16</x:f>
      </x:c>
      <x:c r="N28" s="107" t="n">
        <x:f>$B$28*N16</x:f>
      </x:c>
      <x:c r="O28" s="107" t="n">
        <x:f>$B$28*O16</x:f>
      </x:c>
      <x:c r="P28" s="107" t="n">
        <x:f>$B$28*P16</x:f>
      </x:c>
      <x:c r="Q28" s="107" t="n">
        <x:f>$B$28*Q16</x:f>
      </x:c>
      <x:c r="R28" s="107" t="n">
        <x:f>$B$28*R16</x:f>
      </x:c>
      <x:c r="S28" s="107" t="n">
        <x:f>$B$28*S16</x:f>
      </x:c>
      <x:c r="T28" s="107" t="n">
        <x:f>$B$28*T16</x:f>
      </x:c>
      <x:c r="U28" s="107" t="n">
        <x:f>$B$28*U16</x:f>
      </x:c>
      <x:c r="V28" s="107" t="n">
        <x:f>$B$28*V16</x:f>
      </x:c>
      <x:c r="W28" s="107" t="n">
        <x:f>$B$28*W16</x:f>
      </x:c>
      <x:c r="X28" s="107" t="n">
        <x:f>$B$28*X16</x:f>
      </x:c>
      <x:c r="Y28" s="107" t="n">
        <x:f>$B$28*Y16</x:f>
      </x:c>
      <x:c r="Z28" s="107" t="n">
        <x:f>$B$28*Z16</x:f>
      </x:c>
      <x:c r="AA28" s="107" t="n">
        <x:f>$B$28*AA16</x:f>
      </x:c>
      <x:c r="AB28" s="107" t="n">
        <x:f>$B$28*AB16</x:f>
      </x:c>
      <x:c r="AC28" s="107" t="n">
        <x:f>$B$28*AC16</x:f>
      </x:c>
      <x:c r="AD28" s="107" t="n">
        <x:f>$B$28*AD16</x:f>
      </x:c>
      <x:c r="AE28" s="107" t="n">
        <x:f>$B$28*AE16</x:f>
      </x:c>
      <x:c r="AF28" s="107" t="n">
        <x:f>$B$28*AF16</x:f>
      </x:c>
      <x:c r="AG28" s="107" t="n">
        <x:f>$B$28*AG16</x:f>
      </x:c>
      <x:c r="AH28" s="107" t="n">
        <x:f>$B$28*AH16</x:f>
      </x:c>
      <x:c r="AI28" s="107" t="n">
        <x:f>$B$28*AI16</x:f>
      </x:c>
      <x:c r="AJ28" s="107" t="n">
        <x:f>$B$28*AJ16</x:f>
      </x:c>
      <x:c r="AK28" s="107" t="n">
        <x:f>$B$28*AK16</x:f>
      </x:c>
      <x:c r="AL28" s="107" t="n">
        <x:f>$B$28*AL16</x:f>
      </x:c>
      <x:c r="AM28" s="107" t="n">
        <x:f>$B$28*AM16</x:f>
      </x:c>
      <x:c r="AN28" s="107" t="n">
        <x:f>$B$28*AN16</x:f>
      </x:c>
      <x:c r="AO28" s="107" t="n">
        <x:f>$B$28*AO16</x:f>
      </x:c>
      <x:c r="AP28" s="107" t="n">
        <x:f>$B$28*AP16</x:f>
      </x:c>
      <x:c r="AQ28" s="107" t="n">
        <x:f>$B$28*AQ16</x:f>
      </x:c>
      <x:c r="AR28" s="107" t="n">
        <x:f>$B$28*AR16</x:f>
      </x:c>
      <x:c r="AS28" s="107" t="n">
        <x:f>$B$28*AS16</x:f>
      </x:c>
      <x:c r="AT28" s="107" t="n">
        <x:f>$B$28*AT16</x:f>
      </x:c>
      <x:c r="AU28" s="107" t="n">
        <x:f>$B$28*AU16</x:f>
      </x:c>
      <x:c r="AV28" s="107" t="n">
        <x:f>$B$28*AV16</x:f>
      </x:c>
      <x:c r="AW28" s="107" t="n">
        <x:f>$B$28*AW16</x:f>
      </x:c>
      <x:c r="AX28" s="107" t="n">
        <x:f>$B$28*AX16</x:f>
      </x:c>
      <x:c r="AY28" s="107" t="n">
        <x:f>$B$28*AY16</x:f>
      </x:c>
      <x:c r="AZ28" s="107" t="n">
        <x:f>$B$28*AZ16</x:f>
      </x:c>
      <x:c r="BA28" s="107" t="n">
        <x:f>$B$28*BA16</x:f>
      </x:c>
      <x:c r="BB28" s="107" t="n">
        <x:f>$B$28*BB16</x:f>
      </x:c>
      <x:c r="BC28" s="107" t="n">
        <x:f>$B$28*BC16</x:f>
      </x:c>
      <x:c r="BD28" s="107" t="n">
        <x:f>$B$28*BD16</x:f>
      </x:c>
      <x:c r="BE28" s="107" t="n">
        <x:f>$B$28*BE16</x:f>
      </x:c>
      <x:c r="BF28" s="107" t="n">
        <x:f>$B$28*BF16</x:f>
      </x:c>
      <x:c r="BG28" s="107" t="n">
        <x:f>$B$28*BG16</x:f>
      </x:c>
      <x:c r="BH28" s="107" t="n">
        <x:f>$B$28*BH16</x:f>
      </x:c>
      <x:c r="BI28" s="107" t="n">
        <x:f>$B$28*BI16</x:f>
      </x:c>
      <x:c r="BJ28" s="107" t="n">
        <x:f>$B$28*BJ16</x:f>
      </x:c>
      <x:c r="BK28" s="107" t="n">
        <x:f>$B$28*BK16</x:f>
      </x:c>
      <x:c r="BL28" s="107" t="n">
        <x:f>$B$28*BL16</x:f>
      </x:c>
      <x:c r="BM28" s="107" t="n">
        <x:f>$B$28*BM16</x:f>
      </x:c>
      <x:c r="BN28" s="107" t="n">
        <x:f>$B$28*BN16</x:f>
      </x:c>
      <x:c r="BO28" s="107" t="n">
        <x:f>$B$28*BO16</x:f>
      </x:c>
      <x:c r="BP28" s="107" t="n">
        <x:f>$B$28*BP16</x:f>
      </x:c>
      <x:c r="BQ28" s="107" t="n">
        <x:f>$B$28*BQ16</x:f>
      </x:c>
      <x:c r="BR28" s="107" t="n">
        <x:f>$B$28*BR16</x:f>
      </x:c>
      <x:c r="BS28" s="107" t="n">
        <x:f>$B$28*BS16</x:f>
      </x:c>
      <x:c r="BT28" s="107" t="n">
        <x:f>$B$28*BT16</x:f>
      </x:c>
      <x:c r="BU28" s="107" t="n">
        <x:f>$B$28*BU16</x:f>
      </x:c>
      <x:c r="BV28" s="107" t="n">
        <x:f>$B$28*BV16</x:f>
      </x:c>
      <x:c r="BW28" s="107" t="n">
        <x:f>$B$28*BW16</x:f>
      </x:c>
      <x:c r="BX28" s="107" t="n">
        <x:f>$B$28*BX16</x:f>
      </x:c>
      <x:c r="BY28" s="107" t="n">
        <x:f>$B$28*BY16</x:f>
      </x:c>
      <x:c r="BZ28" s="107" t="n">
        <x:f>$B$28*BZ16</x:f>
      </x:c>
      <x:c r="CA28" s="107" t="n">
        <x:f>$B$28*CA16</x:f>
      </x:c>
      <x:c r="CB28" s="107" t="n">
        <x:f>$B$28*CB16</x:f>
      </x:c>
      <x:c r="CC28" s="107" t="n">
        <x:f>$B$28*CC16</x:f>
      </x:c>
      <x:c r="CD28" s="107" t="n">
        <x:f>$B$28*CD16</x:f>
      </x:c>
      <x:c r="CE28" s="107" t="n">
        <x:f>$B$28*CE16</x:f>
      </x:c>
      <x:c r="CF28" s="107" t="n">
        <x:f>$B$28*CF16</x:f>
      </x:c>
      <x:c r="CG28" s="107" t="n">
        <x:f>$B$28*CG16</x:f>
      </x:c>
      <x:c r="CH28" s="107" t="n">
        <x:f>$B$28*CH16</x:f>
      </x:c>
      <x:c r="CI28" s="107" t="n">
        <x:f>$B$28*CI16</x:f>
      </x:c>
      <x:c r="CJ28" s="107" t="n">
        <x:f>$B$28*CJ16</x:f>
      </x:c>
      <x:c r="CK28" s="107" t="n">
        <x:f>$B$28*CK16</x:f>
      </x:c>
      <x:c r="CL28" s="107" t="n">
        <x:f>$B$28*CL16</x:f>
      </x:c>
      <x:c r="CM28" s="107" t="n">
        <x:f>$B$28*CM16</x:f>
      </x:c>
      <x:c r="CN28" s="107" t="n">
        <x:f>$B$28*CN16</x:f>
      </x:c>
      <x:c r="CO28" s="107" t="n">
        <x:f>$B$28*CO16</x:f>
      </x:c>
      <x:c r="CP28" s="107" t="n">
        <x:f>$B$28*CP16</x:f>
      </x:c>
      <x:c r="CQ28" s="107" t="n">
        <x:f>$B$28*CQ16</x:f>
      </x:c>
      <x:c r="CR28" s="107" t="n">
        <x:f>$B$28*CR16</x:f>
      </x:c>
      <x:c r="CS28" s="107" t="n">
        <x:f>$B$28*CS16</x:f>
      </x:c>
      <x:c r="CT28" s="107" t="n">
        <x:f>$B$28*CT16</x:f>
      </x:c>
      <x:c r="CU28" s="107" t="n">
        <x:f>$B$28*CU16</x:f>
      </x:c>
      <x:c r="CV28" s="107" t="n">
        <x:f>$B$28*CV16</x:f>
      </x:c>
      <x:c r="CW28" s="107" t="n">
        <x:f>$B$28*CW16</x:f>
      </x:c>
      <x:c r="CX28" s="107" t="n">
        <x:f>$B$28*CX16</x:f>
      </x:c>
      <x:c r="CY28" s="107" t="n">
        <x:f>$B$28*CY16</x:f>
      </x:c>
      <x:c r="CZ28" s="107" t="n">
        <x:f>$B$28*CZ16</x:f>
      </x:c>
      <x:c r="DA28" s="107" t="n">
        <x:f>$B$28*DA16</x:f>
      </x:c>
      <x:c r="DB28" s="107" t="n">
        <x:f>$B$28*DB16</x:f>
      </x:c>
      <x:c r="DC28" s="107" t="n">
        <x:f>$B$28*DC16</x:f>
      </x:c>
      <x:c r="DD28" s="107" t="n">
        <x:f>$B$28*DD16</x:f>
      </x:c>
      <x:c r="DE28" s="107" t="n">
        <x:f>$B$28*DE16</x:f>
      </x:c>
      <x:c r="DF28" s="107" t="n">
        <x:f>$B$28*DF16</x:f>
      </x:c>
      <x:c r="DG28" s="107" t="n">
        <x:f>$B$28*DG16</x:f>
      </x:c>
      <x:c r="DH28" s="107" t="n">
        <x:f>$B$28*DH16</x:f>
      </x:c>
      <x:c r="DI28" s="107" t="n">
        <x:f>$B$28*DI16</x:f>
      </x:c>
      <x:c r="DJ28" s="107" t="n">
        <x:f>$B$28*DJ16</x:f>
      </x:c>
      <x:c r="DK28" s="107" t="n">
        <x:f>$B$28*DK16</x:f>
      </x:c>
      <x:c r="DL28" s="107" t="n">
        <x:f>$B$28*DL16</x:f>
      </x:c>
      <x:c r="DM28" s="107" t="n">
        <x:f>$B$28*DM16</x:f>
      </x:c>
      <x:c r="DN28" s="107" t="n">
        <x:f>$B$28*DN16</x:f>
      </x:c>
      <x:c r="DO28" s="107" t="n">
        <x:f>$B$28*DO16</x:f>
      </x:c>
      <x:c r="DP28" s="107" t="n">
        <x:f>$B$28*DP16</x:f>
      </x:c>
      <x:c r="DQ28" s="107" t="n">
        <x:f>$B$28*DQ16</x:f>
      </x:c>
      <x:c r="DR28" s="107" t="n">
        <x:f>$B$28*DR16</x:f>
      </x:c>
      <x:c r="DS28" s="107" t="n">
        <x:f>$B$28*DS16</x:f>
      </x:c>
      <x:c r="DT28" s="107" t="n">
        <x:f>$B$28*DT16</x:f>
      </x:c>
      <x:c r="DU28" s="107" t="n">
        <x:f>$B$28*DU16</x:f>
      </x:c>
      <x:c r="DV28" s="107" t="n">
        <x:f>$B$28*DV16</x:f>
      </x:c>
      <x:c r="DW28" s="107" t="n">
        <x:f>$B$28*DW16</x:f>
      </x:c>
      <x:c r="DX28" s="107" t="n">
        <x:f>$B$28*DX16</x:f>
      </x:c>
      <x:c r="DY28" s="107" t="n">
        <x:f>$B$28*DY16</x:f>
      </x:c>
      <x:c r="DZ28" s="107" t="n">
        <x:f>$B$28*DZ16</x:f>
      </x:c>
      <x:c r="EA28" s="107" t="n">
        <x:f>$B$28*EA16</x:f>
      </x:c>
      <x:c r="EB28" s="107" t="n">
        <x:f>$B$28*EB16</x:f>
      </x:c>
      <x:c r="EC28" s="107" t="n">
        <x:f>$B$28*EC16</x:f>
      </x:c>
      <x:c r="ED28" s="107" t="n">
        <x:f>$B$28*ED16</x:f>
      </x:c>
      <x:c r="EE28" s="107" t="n">
        <x:f>$B$28*EE16</x:f>
      </x:c>
      <x:c r="EF28" s="107" t="n">
        <x:f>$B$28*EF16</x:f>
      </x:c>
      <x:c r="EG28" s="107" t="n">
        <x:f>$B$28*EG16</x:f>
      </x:c>
      <x:c r="EH28" s="107" t="n">
        <x:f>$B$28*EH16</x:f>
      </x:c>
      <x:c r="EI28" s="107" t="n">
        <x:f>$B$28*EI16</x:f>
      </x:c>
      <x:c r="EJ28" s="107" t="n">
        <x:f>$B$28*EJ16</x:f>
      </x:c>
      <x:c r="EK28" s="107" t="n">
        <x:f>$B$28*EK16</x:f>
      </x:c>
      <x:c r="EL28" s="107" t="n">
        <x:f>$B$28*EL16</x:f>
      </x:c>
      <x:c r="EM28" s="107" t="n">
        <x:f>$B$28*EM16</x:f>
      </x:c>
      <x:c r="EN28" s="107" t="n">
        <x:f>$B$28*EN16</x:f>
      </x:c>
      <x:c r="EO28" s="107" t="n">
        <x:f>$B$28*EO16</x:f>
      </x:c>
      <x:c r="EP28" s="107" t="n">
        <x:f>$B$28*EP16</x:f>
      </x:c>
      <x:c r="EQ28" s="107" t="n">
        <x:f>$B$28*EQ16</x:f>
      </x:c>
      <x:c r="ER28" s="107" t="n">
        <x:f>$B$28*ER16</x:f>
      </x:c>
      <x:c r="ES28" s="107" t="n">
        <x:f>$B$28*ES16</x:f>
      </x:c>
      <x:c r="ET28" s="107" t="n">
        <x:f>$B$28*ET16</x:f>
      </x:c>
      <x:c r="EU28" s="107" t="n">
        <x:f>$B$28*EU16</x:f>
      </x:c>
      <x:c r="EV28" s="107" t="n">
        <x:f>$B$28*EV16</x:f>
      </x:c>
      <x:c r="EW28" s="107" t="n">
        <x:f>$B$28*EW16</x:f>
      </x:c>
      <x:c r="EX28" s="107" t="n">
        <x:f>$B$28*EX16</x:f>
      </x:c>
      <x:c r="EY28" s="107" t="n">
        <x:f>$B$28*EY16</x:f>
      </x:c>
      <x:c r="EZ28" s="107" t="n">
        <x:f>$B$28*EZ16</x:f>
      </x:c>
      <x:c r="FA28" s="107" t="n">
        <x:f>$B$28*FA16</x:f>
      </x:c>
      <x:c r="FB28" s="107" t="n">
        <x:f>$B$28*FB16</x:f>
      </x:c>
      <x:c r="FC28" s="107" t="n">
        <x:f>$B$28*FC16</x:f>
      </x:c>
      <x:c r="FD28" s="107" t="n">
        <x:f>$B$28*FD16</x:f>
      </x:c>
      <x:c r="FE28" s="107" t="n">
        <x:f>$B$28*FE16</x:f>
      </x:c>
      <x:c r="FF28" s="107" t="n">
        <x:f>$B$28*FF16</x:f>
      </x:c>
      <x:c r="FG28" s="107" t="n">
        <x:f>$B$28*FG16</x:f>
      </x:c>
      <x:c r="FH28" s="107" t="n">
        <x:f>$B$28*FH16</x:f>
      </x:c>
      <x:c r="FI28" s="107" t="n">
        <x:f>$B$28*FI16</x:f>
      </x:c>
      <x:c r="FJ28" s="107" t="n">
        <x:f>$B$28*FJ16</x:f>
      </x:c>
      <x:c r="FK28" s="107" t="n">
        <x:f>$B$28*FK16</x:f>
      </x:c>
      <x:c r="FL28" s="107" t="n">
        <x:f>$B$28*FL16</x:f>
      </x:c>
      <x:c r="FM28" s="107" t="n">
        <x:f>$B$28*FM16</x:f>
      </x:c>
      <x:c r="FN28" s="107" t="n">
        <x:f>$B$28*FN16</x:f>
      </x:c>
      <x:c r="FO28" s="107" t="n">
        <x:f>$B$28*FO16</x:f>
      </x:c>
      <x:c r="FP28" s="107" t="n">
        <x:f>$B$28*FP16</x:f>
      </x:c>
      <x:c r="FQ28" s="107" t="n">
        <x:f>$B$28*FQ16</x:f>
      </x:c>
      <x:c r="FR28" s="107" t="n">
        <x:f>$B$28*FR16</x:f>
      </x:c>
      <x:c r="FS28" s="107" t="n">
        <x:f>$B$28*FS16</x:f>
      </x:c>
      <x:c r="FT28" s="107" t="n">
        <x:f>$B$28*FT16</x:f>
      </x:c>
      <x:c r="FU28" s="107" t="n">
        <x:f>$B$28*FU16</x:f>
      </x:c>
      <x:c r="FV28" s="107" t="n">
        <x:f>$B$28*FV16</x:f>
      </x:c>
      <x:c r="FW28" s="107" t="n">
        <x:f>$B$28*FW16</x:f>
      </x:c>
      <x:c r="FX28" s="107" t="n">
        <x:f>$B$28*FX16</x:f>
      </x:c>
      <x:c r="FY28" s="107" t="n">
        <x:f>$B$28*FY16</x:f>
      </x:c>
      <x:c r="FZ28" s="107" t="n">
        <x:f>$B$28*FZ16</x:f>
      </x:c>
      <x:c r="GA28" s="107" t="n">
        <x:f>$B$28*GA16</x:f>
      </x:c>
    </x:row>
    <x:row r="29">
      <x:c r="A29" t="str">
        <x:v>Маркетинг</x:v>
      </x:c>
      <x:c r="B29" s="107" t="n">
        <x:f>SUM(D29:GA29)</x:f>
      </x:c>
      <x:c r="C29" t="str">
        <x:v>млн ₽</x:v>
      </x:c>
      <x:c r="D29" s="107" t="n">
        <x:f>D24*'Вводные'!$B$19</x:f>
      </x:c>
      <x:c r="E29" s="107" t="n">
        <x:f>E24*'Вводные'!$B$19</x:f>
      </x:c>
      <x:c r="F29" s="107" t="n">
        <x:f>F24*'Вводные'!$B$19</x:f>
      </x:c>
      <x:c r="G29" s="107" t="n">
        <x:f>G24*'Вводные'!$B$19</x:f>
      </x:c>
      <x:c r="H29" s="107" t="n">
        <x:f>H24*'Вводные'!$B$19</x:f>
      </x:c>
      <x:c r="I29" s="107" t="n">
        <x:f>I24*'Вводные'!$B$19</x:f>
      </x:c>
      <x:c r="J29" s="107" t="n">
        <x:f>J24*'Вводные'!$B$19</x:f>
      </x:c>
      <x:c r="K29" s="107" t="n">
        <x:f>K24*'Вводные'!$B$19</x:f>
      </x:c>
      <x:c r="L29" s="107" t="n">
        <x:f>L24*'Вводные'!$B$19</x:f>
      </x:c>
      <x:c r="M29" s="107" t="n">
        <x:f>M24*'Вводные'!$B$19</x:f>
      </x:c>
      <x:c r="N29" s="107" t="n">
        <x:f>N24*'Вводные'!$B$19</x:f>
      </x:c>
      <x:c r="O29" s="107" t="n">
        <x:f>O24*'Вводные'!$B$19</x:f>
      </x:c>
      <x:c r="P29" s="107" t="n">
        <x:f>P24*'Вводные'!$B$19</x:f>
      </x:c>
      <x:c r="Q29" s="107" t="n">
        <x:f>Q24*'Вводные'!$B$19</x:f>
      </x:c>
      <x:c r="R29" s="107" t="n">
        <x:f>R24*'Вводные'!$B$19</x:f>
      </x:c>
      <x:c r="S29" s="107" t="n">
        <x:f>S24*'Вводные'!$B$19</x:f>
      </x:c>
      <x:c r="T29" s="107" t="n">
        <x:f>T24*'Вводные'!$B$19</x:f>
      </x:c>
      <x:c r="U29" s="107" t="n">
        <x:f>U24*'Вводные'!$B$19</x:f>
      </x:c>
      <x:c r="V29" s="107" t="n">
        <x:f>V24*'Вводные'!$B$19</x:f>
      </x:c>
      <x:c r="W29" s="107" t="n">
        <x:f>W24*'Вводные'!$B$19</x:f>
      </x:c>
      <x:c r="X29" s="107" t="n">
        <x:f>X24*'Вводные'!$B$19</x:f>
      </x:c>
      <x:c r="Y29" s="107" t="n">
        <x:f>Y24*'Вводные'!$B$19</x:f>
      </x:c>
      <x:c r="Z29" s="107" t="n">
        <x:f>Z24*'Вводные'!$B$19</x:f>
      </x:c>
      <x:c r="AA29" s="107" t="n">
        <x:f>AA24*'Вводные'!$B$19</x:f>
      </x:c>
      <x:c r="AB29" s="107" t="n">
        <x:f>AB24*'Вводные'!$B$19</x:f>
      </x:c>
      <x:c r="AC29" s="107" t="n">
        <x:f>AC24*'Вводные'!$B$19</x:f>
      </x:c>
      <x:c r="AD29" s="107" t="n">
        <x:f>AD24*'Вводные'!$B$19</x:f>
      </x:c>
      <x:c r="AE29" s="107" t="n">
        <x:f>AE24*'Вводные'!$B$19</x:f>
      </x:c>
      <x:c r="AF29" s="107" t="n">
        <x:f>AF24*'Вводные'!$B$19</x:f>
      </x:c>
      <x:c r="AG29" s="107" t="n">
        <x:f>AG24*'Вводные'!$B$19</x:f>
      </x:c>
      <x:c r="AH29" s="107" t="n">
        <x:f>AH24*'Вводные'!$B$19</x:f>
      </x:c>
      <x:c r="AI29" s="107" t="n">
        <x:f>AI24*'Вводные'!$B$19</x:f>
      </x:c>
      <x:c r="AJ29" s="107" t="n">
        <x:f>AJ24*'Вводные'!$B$19</x:f>
      </x:c>
      <x:c r="AK29" s="107" t="n">
        <x:f>AK24*'Вводные'!$B$19</x:f>
      </x:c>
      <x:c r="AL29" s="107" t="n">
        <x:f>AL24*'Вводные'!$B$19</x:f>
      </x:c>
      <x:c r="AM29" s="107" t="n">
        <x:f>AM24*'Вводные'!$B$19</x:f>
      </x:c>
      <x:c r="AN29" s="107" t="n">
        <x:f>AN24*'Вводные'!$B$19</x:f>
      </x:c>
      <x:c r="AO29" s="107" t="n">
        <x:f>AO24*'Вводные'!$B$19</x:f>
      </x:c>
      <x:c r="AP29" s="107" t="n">
        <x:f>AP24*'Вводные'!$B$19</x:f>
      </x:c>
      <x:c r="AQ29" s="107" t="n">
        <x:f>AQ24*'Вводные'!$B$19</x:f>
      </x:c>
      <x:c r="AR29" s="107" t="n">
        <x:f>AR24*'Вводные'!$B$19</x:f>
      </x:c>
      <x:c r="AS29" s="107" t="n">
        <x:f>AS24*'Вводные'!$B$19</x:f>
      </x:c>
      <x:c r="AT29" s="107" t="n">
        <x:f>AT24*'Вводные'!$B$19</x:f>
      </x:c>
      <x:c r="AU29" s="107" t="n">
        <x:f>AU24*'Вводные'!$B$19</x:f>
      </x:c>
      <x:c r="AV29" s="107" t="n">
        <x:f>AV24*'Вводные'!$B$19</x:f>
      </x:c>
      <x:c r="AW29" s="107" t="n">
        <x:f>AW24*'Вводные'!$B$19</x:f>
      </x:c>
      <x:c r="AX29" s="107" t="n">
        <x:f>AX24*'Вводные'!$B$19</x:f>
      </x:c>
      <x:c r="AY29" s="107" t="n">
        <x:f>AY24*'Вводные'!$B$19</x:f>
      </x:c>
      <x:c r="AZ29" s="107" t="n">
        <x:f>AZ24*'Вводные'!$B$19</x:f>
      </x:c>
      <x:c r="BA29" s="107" t="n">
        <x:f>BA24*'Вводные'!$B$19</x:f>
      </x:c>
      <x:c r="BB29" s="107" t="n">
        <x:f>BB24*'Вводные'!$B$19</x:f>
      </x:c>
      <x:c r="BC29" s="107" t="n">
        <x:f>BC24*'Вводные'!$B$19</x:f>
      </x:c>
      <x:c r="BD29" s="107" t="n">
        <x:f>BD24*'Вводные'!$B$19</x:f>
      </x:c>
      <x:c r="BE29" s="107" t="n">
        <x:f>BE24*'Вводные'!$B$19</x:f>
      </x:c>
      <x:c r="BF29" s="107" t="n">
        <x:f>BF24*'Вводные'!$B$19</x:f>
      </x:c>
      <x:c r="BG29" s="107" t="n">
        <x:f>BG24*'Вводные'!$B$19</x:f>
      </x:c>
      <x:c r="BH29" s="107" t="n">
        <x:f>BH24*'Вводные'!$B$19</x:f>
      </x:c>
      <x:c r="BI29" s="107" t="n">
        <x:f>BI24*'Вводные'!$B$19</x:f>
      </x:c>
      <x:c r="BJ29" s="107" t="n">
        <x:f>BJ24*'Вводные'!$B$19</x:f>
      </x:c>
      <x:c r="BK29" s="107" t="n">
        <x:f>BK24*'Вводные'!$B$19</x:f>
      </x:c>
      <x:c r="BL29" s="107" t="n">
        <x:f>BL24*'Вводные'!$B$19</x:f>
      </x:c>
      <x:c r="BM29" s="107" t="n">
        <x:f>BM24*'Вводные'!$B$19</x:f>
      </x:c>
      <x:c r="BN29" s="107" t="n">
        <x:f>BN24*'Вводные'!$B$19</x:f>
      </x:c>
      <x:c r="BO29" s="107" t="n">
        <x:f>BO24*'Вводные'!$B$19</x:f>
      </x:c>
      <x:c r="BP29" s="107" t="n">
        <x:f>BP24*'Вводные'!$B$19</x:f>
      </x:c>
      <x:c r="BQ29" s="107" t="n">
        <x:f>BQ24*'Вводные'!$B$19</x:f>
      </x:c>
      <x:c r="BR29" s="107" t="n">
        <x:f>BR24*'Вводные'!$B$19</x:f>
      </x:c>
      <x:c r="BS29" s="107" t="n">
        <x:f>BS24*'Вводные'!$B$19</x:f>
      </x:c>
      <x:c r="BT29" s="107" t="n">
        <x:f>BT24*'Вводные'!$B$19</x:f>
      </x:c>
      <x:c r="BU29" s="107" t="n">
        <x:f>BU24*'Вводные'!$B$19</x:f>
      </x:c>
      <x:c r="BV29" s="107" t="n">
        <x:f>BV24*'Вводные'!$B$19</x:f>
      </x:c>
      <x:c r="BW29" s="107" t="n">
        <x:f>BW24*'Вводные'!$B$19</x:f>
      </x:c>
      <x:c r="BX29" s="107" t="n">
        <x:f>BX24*'Вводные'!$B$19</x:f>
      </x:c>
      <x:c r="BY29" s="107" t="n">
        <x:f>BY24*'Вводные'!$B$19</x:f>
      </x:c>
      <x:c r="BZ29" s="107" t="n">
        <x:f>BZ24*'Вводные'!$B$19</x:f>
      </x:c>
      <x:c r="CA29" s="107" t="n">
        <x:f>CA24*'Вводные'!$B$19</x:f>
      </x:c>
      <x:c r="CB29" s="107" t="n">
        <x:f>CB24*'Вводные'!$B$19</x:f>
      </x:c>
      <x:c r="CC29" s="107" t="n">
        <x:f>CC24*'Вводные'!$B$19</x:f>
      </x:c>
      <x:c r="CD29" s="107" t="n">
        <x:f>CD24*'Вводные'!$B$19</x:f>
      </x:c>
      <x:c r="CE29" s="107" t="n">
        <x:f>CE24*'Вводные'!$B$19</x:f>
      </x:c>
      <x:c r="CF29" s="107" t="n">
        <x:f>CF24*'Вводные'!$B$19</x:f>
      </x:c>
      <x:c r="CG29" s="107" t="n">
        <x:f>CG24*'Вводные'!$B$19</x:f>
      </x:c>
      <x:c r="CH29" s="107" t="n">
        <x:f>CH24*'Вводные'!$B$19</x:f>
      </x:c>
      <x:c r="CI29" s="107" t="n">
        <x:f>CI24*'Вводные'!$B$19</x:f>
      </x:c>
      <x:c r="CJ29" s="107" t="n">
        <x:f>CJ24*'Вводные'!$B$19</x:f>
      </x:c>
      <x:c r="CK29" s="107" t="n">
        <x:f>CK24*'Вводные'!$B$19</x:f>
      </x:c>
      <x:c r="CL29" s="107" t="n">
        <x:f>CL24*'Вводные'!$B$19</x:f>
      </x:c>
      <x:c r="CM29" s="107" t="n">
        <x:f>CM24*'Вводные'!$B$19</x:f>
      </x:c>
      <x:c r="CN29" s="107" t="n">
        <x:f>CN24*'Вводные'!$B$19</x:f>
      </x:c>
      <x:c r="CO29" s="107" t="n">
        <x:f>CO24*'Вводные'!$B$19</x:f>
      </x:c>
      <x:c r="CP29" s="107" t="n">
        <x:f>CP24*'Вводные'!$B$19</x:f>
      </x:c>
      <x:c r="CQ29" s="107" t="n">
        <x:f>CQ24*'Вводные'!$B$19</x:f>
      </x:c>
      <x:c r="CR29" s="107" t="n">
        <x:f>CR24*'Вводные'!$B$19</x:f>
      </x:c>
      <x:c r="CS29" s="107" t="n">
        <x:f>CS24*'Вводные'!$B$19</x:f>
      </x:c>
      <x:c r="CT29" s="107" t="n">
        <x:f>CT24*'Вводные'!$B$19</x:f>
      </x:c>
      <x:c r="CU29" s="107" t="n">
        <x:f>CU24*'Вводные'!$B$19</x:f>
      </x:c>
      <x:c r="CV29" s="107" t="n">
        <x:f>CV24*'Вводные'!$B$19</x:f>
      </x:c>
      <x:c r="CW29" s="107" t="n">
        <x:f>CW24*'Вводные'!$B$19</x:f>
      </x:c>
      <x:c r="CX29" s="107" t="n">
        <x:f>CX24*'Вводные'!$B$19</x:f>
      </x:c>
      <x:c r="CY29" s="107" t="n">
        <x:f>CY24*'Вводные'!$B$19</x:f>
      </x:c>
      <x:c r="CZ29" s="107" t="n">
        <x:f>CZ24*'Вводные'!$B$19</x:f>
      </x:c>
      <x:c r="DA29" s="107" t="n">
        <x:f>DA24*'Вводные'!$B$19</x:f>
      </x:c>
      <x:c r="DB29" s="107" t="n">
        <x:f>DB24*'Вводные'!$B$19</x:f>
      </x:c>
      <x:c r="DC29" s="107" t="n">
        <x:f>DC24*'Вводные'!$B$19</x:f>
      </x:c>
      <x:c r="DD29" s="107" t="n">
        <x:f>DD24*'Вводные'!$B$19</x:f>
      </x:c>
      <x:c r="DE29" s="107" t="n">
        <x:f>DE24*'Вводные'!$B$19</x:f>
      </x:c>
      <x:c r="DF29" s="107" t="n">
        <x:f>DF24*'Вводные'!$B$19</x:f>
      </x:c>
      <x:c r="DG29" s="107" t="n">
        <x:f>DG24*'Вводные'!$B$19</x:f>
      </x:c>
      <x:c r="DH29" s="107" t="n">
        <x:f>DH24*'Вводные'!$B$19</x:f>
      </x:c>
      <x:c r="DI29" s="107" t="n">
        <x:f>DI24*'Вводные'!$B$19</x:f>
      </x:c>
      <x:c r="DJ29" s="107" t="n">
        <x:f>DJ24*'Вводные'!$B$19</x:f>
      </x:c>
      <x:c r="DK29" s="107" t="n">
        <x:f>DK24*'Вводные'!$B$19</x:f>
      </x:c>
      <x:c r="DL29" s="107" t="n">
        <x:f>DL24*'Вводные'!$B$19</x:f>
      </x:c>
      <x:c r="DM29" s="107" t="n">
        <x:f>DM24*'Вводные'!$B$19</x:f>
      </x:c>
      <x:c r="DN29" s="107" t="n">
        <x:f>DN24*'Вводные'!$B$19</x:f>
      </x:c>
      <x:c r="DO29" s="107" t="n">
        <x:f>DO24*'Вводные'!$B$19</x:f>
      </x:c>
      <x:c r="DP29" s="107" t="n">
        <x:f>DP24*'Вводные'!$B$19</x:f>
      </x:c>
      <x:c r="DQ29" s="107" t="n">
        <x:f>DQ24*'Вводные'!$B$19</x:f>
      </x:c>
      <x:c r="DR29" s="107" t="n">
        <x:f>DR24*'Вводные'!$B$19</x:f>
      </x:c>
      <x:c r="DS29" s="107" t="n">
        <x:f>DS24*'Вводные'!$B$19</x:f>
      </x:c>
      <x:c r="DT29" s="107" t="n">
        <x:f>DT24*'Вводные'!$B$19</x:f>
      </x:c>
      <x:c r="DU29" s="107" t="n">
        <x:f>DU24*'Вводные'!$B$19</x:f>
      </x:c>
      <x:c r="DV29" s="107" t="n">
        <x:f>DV24*'Вводные'!$B$19</x:f>
      </x:c>
      <x:c r="DW29" s="107" t="n">
        <x:f>DW24*'Вводные'!$B$19</x:f>
      </x:c>
      <x:c r="DX29" s="107" t="n">
        <x:f>DX24*'Вводные'!$B$19</x:f>
      </x:c>
      <x:c r="DY29" s="107" t="n">
        <x:f>DY24*'Вводные'!$B$19</x:f>
      </x:c>
      <x:c r="DZ29" s="107" t="n">
        <x:f>DZ24*'Вводные'!$B$19</x:f>
      </x:c>
      <x:c r="EA29" s="107" t="n">
        <x:f>EA24*'Вводные'!$B$19</x:f>
      </x:c>
      <x:c r="EB29" s="107" t="n">
        <x:f>EB24*'Вводные'!$B$19</x:f>
      </x:c>
      <x:c r="EC29" s="107" t="n">
        <x:f>EC24*'Вводные'!$B$19</x:f>
      </x:c>
      <x:c r="ED29" s="107" t="n">
        <x:f>ED24*'Вводные'!$B$19</x:f>
      </x:c>
      <x:c r="EE29" s="107" t="n">
        <x:f>EE24*'Вводные'!$B$19</x:f>
      </x:c>
      <x:c r="EF29" s="107" t="n">
        <x:f>EF24*'Вводные'!$B$19</x:f>
      </x:c>
      <x:c r="EG29" s="107" t="n">
        <x:f>EG24*'Вводные'!$B$19</x:f>
      </x:c>
      <x:c r="EH29" s="107" t="n">
        <x:f>EH24*'Вводные'!$B$19</x:f>
      </x:c>
      <x:c r="EI29" s="107" t="n">
        <x:f>EI24*'Вводные'!$B$19</x:f>
      </x:c>
      <x:c r="EJ29" s="107" t="n">
        <x:f>EJ24*'Вводные'!$B$19</x:f>
      </x:c>
      <x:c r="EK29" s="107" t="n">
        <x:f>EK24*'Вводные'!$B$19</x:f>
      </x:c>
      <x:c r="EL29" s="107" t="n">
        <x:f>EL24*'Вводные'!$B$19</x:f>
      </x:c>
      <x:c r="EM29" s="107" t="n">
        <x:f>EM24*'Вводные'!$B$19</x:f>
      </x:c>
      <x:c r="EN29" s="107" t="n">
        <x:f>EN24*'Вводные'!$B$19</x:f>
      </x:c>
      <x:c r="EO29" s="107" t="n">
        <x:f>EO24*'Вводные'!$B$19</x:f>
      </x:c>
      <x:c r="EP29" s="107" t="n">
        <x:f>EP24*'Вводные'!$B$19</x:f>
      </x:c>
      <x:c r="EQ29" s="107" t="n">
        <x:f>EQ24*'Вводные'!$B$19</x:f>
      </x:c>
      <x:c r="ER29" s="107" t="n">
        <x:f>ER24*'Вводные'!$B$19</x:f>
      </x:c>
      <x:c r="ES29" s="107" t="n">
        <x:f>ES24*'Вводные'!$B$19</x:f>
      </x:c>
      <x:c r="ET29" s="107" t="n">
        <x:f>ET24*'Вводные'!$B$19</x:f>
      </x:c>
      <x:c r="EU29" s="107" t="n">
        <x:f>EU24*'Вводные'!$B$19</x:f>
      </x:c>
      <x:c r="EV29" s="107" t="n">
        <x:f>EV24*'Вводные'!$B$19</x:f>
      </x:c>
      <x:c r="EW29" s="107" t="n">
        <x:f>EW24*'Вводные'!$B$19</x:f>
      </x:c>
      <x:c r="EX29" s="107" t="n">
        <x:f>EX24*'Вводные'!$B$19</x:f>
      </x:c>
      <x:c r="EY29" s="107" t="n">
        <x:f>EY24*'Вводные'!$B$19</x:f>
      </x:c>
      <x:c r="EZ29" s="107" t="n">
        <x:f>EZ24*'Вводные'!$B$19</x:f>
      </x:c>
      <x:c r="FA29" s="107" t="n">
        <x:f>FA24*'Вводные'!$B$19</x:f>
      </x:c>
      <x:c r="FB29" s="107" t="n">
        <x:f>FB24*'Вводные'!$B$19</x:f>
      </x:c>
      <x:c r="FC29" s="107" t="n">
        <x:f>FC24*'Вводные'!$B$19</x:f>
      </x:c>
      <x:c r="FD29" s="107" t="n">
        <x:f>FD24*'Вводные'!$B$19</x:f>
      </x:c>
      <x:c r="FE29" s="107" t="n">
        <x:f>FE24*'Вводные'!$B$19</x:f>
      </x:c>
      <x:c r="FF29" s="107" t="n">
        <x:f>FF24*'Вводные'!$B$19</x:f>
      </x:c>
      <x:c r="FG29" s="107" t="n">
        <x:f>FG24*'Вводные'!$B$19</x:f>
      </x:c>
      <x:c r="FH29" s="107" t="n">
        <x:f>FH24*'Вводные'!$B$19</x:f>
      </x:c>
      <x:c r="FI29" s="107" t="n">
        <x:f>FI24*'Вводные'!$B$19</x:f>
      </x:c>
      <x:c r="FJ29" s="107" t="n">
        <x:f>FJ24*'Вводные'!$B$19</x:f>
      </x:c>
      <x:c r="FK29" s="107" t="n">
        <x:f>FK24*'Вводные'!$B$19</x:f>
      </x:c>
      <x:c r="FL29" s="107" t="n">
        <x:f>FL24*'Вводные'!$B$19</x:f>
      </x:c>
      <x:c r="FM29" s="107" t="n">
        <x:f>FM24*'Вводные'!$B$19</x:f>
      </x:c>
      <x:c r="FN29" s="107" t="n">
        <x:f>FN24*'Вводные'!$B$19</x:f>
      </x:c>
      <x:c r="FO29" s="107" t="n">
        <x:f>FO24*'Вводные'!$B$19</x:f>
      </x:c>
      <x:c r="FP29" s="107" t="n">
        <x:f>FP24*'Вводные'!$B$19</x:f>
      </x:c>
      <x:c r="FQ29" s="107" t="n">
        <x:f>FQ24*'Вводные'!$B$19</x:f>
      </x:c>
      <x:c r="FR29" s="107" t="n">
        <x:f>FR24*'Вводные'!$B$19</x:f>
      </x:c>
      <x:c r="FS29" s="107" t="n">
        <x:f>FS24*'Вводные'!$B$19</x:f>
      </x:c>
      <x:c r="FT29" s="107" t="n">
        <x:f>FT24*'Вводные'!$B$19</x:f>
      </x:c>
      <x:c r="FU29" s="107" t="n">
        <x:f>FU24*'Вводные'!$B$19</x:f>
      </x:c>
      <x:c r="FV29" s="107" t="n">
        <x:f>FV24*'Вводные'!$B$19</x:f>
      </x:c>
      <x:c r="FW29" s="107" t="n">
        <x:f>FW24*'Вводные'!$B$19</x:f>
      </x:c>
      <x:c r="FX29" s="107" t="n">
        <x:f>FX24*'Вводные'!$B$19</x:f>
      </x:c>
      <x:c r="FY29" s="107" t="n">
        <x:f>FY24*'Вводные'!$B$19</x:f>
      </x:c>
      <x:c r="FZ29" s="107" t="n">
        <x:f>FZ24*'Вводные'!$B$19</x:f>
      </x:c>
      <x:c r="GA29" s="107" t="n">
        <x:f>GA24*'Вводные'!$B$19</x:f>
      </x:c>
    </x:row>
    <x:row r="30">
      <x:c r="A30" t="str">
        <x:v>Расходы на продажи</x:v>
      </x:c>
      <x:c r="B30" s="107" t="n">
        <x:f>SUM(D30:GA30)</x:f>
      </x:c>
      <x:c r="C30" t="str">
        <x:v>млн ₽</x:v>
      </x:c>
      <x:c r="D30" s="107" t="n">
        <x:f>D24*'Вводные'!$B$20</x:f>
      </x:c>
      <x:c r="E30" s="107" t="n">
        <x:f>E24*'Вводные'!$B$20</x:f>
      </x:c>
      <x:c r="F30" s="107" t="n">
        <x:f>F24*'Вводные'!$B$20</x:f>
      </x:c>
      <x:c r="G30" s="107" t="n">
        <x:f>G24*'Вводные'!$B$20</x:f>
      </x:c>
      <x:c r="H30" s="107" t="n">
        <x:f>H24*'Вводные'!$B$20</x:f>
      </x:c>
      <x:c r="I30" s="107" t="n">
        <x:f>I24*'Вводные'!$B$20</x:f>
      </x:c>
      <x:c r="J30" s="107" t="n">
        <x:f>J24*'Вводные'!$B$20</x:f>
      </x:c>
      <x:c r="K30" s="107" t="n">
        <x:f>K24*'Вводные'!$B$20</x:f>
      </x:c>
      <x:c r="L30" s="107" t="n">
        <x:f>L24*'Вводные'!$B$20</x:f>
      </x:c>
      <x:c r="M30" s="107" t="n">
        <x:f>M24*'Вводные'!$B$20</x:f>
      </x:c>
      <x:c r="N30" s="107" t="n">
        <x:f>N24*'Вводные'!$B$20</x:f>
      </x:c>
      <x:c r="O30" s="107" t="n">
        <x:f>O24*'Вводные'!$B$20</x:f>
      </x:c>
      <x:c r="P30" s="107" t="n">
        <x:f>P24*'Вводные'!$B$20</x:f>
      </x:c>
      <x:c r="Q30" s="107" t="n">
        <x:f>Q24*'Вводные'!$B$20</x:f>
      </x:c>
      <x:c r="R30" s="107" t="n">
        <x:f>R24*'Вводные'!$B$20</x:f>
      </x:c>
      <x:c r="S30" s="107" t="n">
        <x:f>S24*'Вводные'!$B$20</x:f>
      </x:c>
      <x:c r="T30" s="107" t="n">
        <x:f>T24*'Вводные'!$B$20</x:f>
      </x:c>
      <x:c r="U30" s="107" t="n">
        <x:f>U24*'Вводные'!$B$20</x:f>
      </x:c>
      <x:c r="V30" s="107" t="n">
        <x:f>V24*'Вводные'!$B$20</x:f>
      </x:c>
      <x:c r="W30" s="107" t="n">
        <x:f>W24*'Вводные'!$B$20</x:f>
      </x:c>
      <x:c r="X30" s="107" t="n">
        <x:f>X24*'Вводные'!$B$20</x:f>
      </x:c>
      <x:c r="Y30" s="107" t="n">
        <x:f>Y24*'Вводные'!$B$20</x:f>
      </x:c>
      <x:c r="Z30" s="107" t="n">
        <x:f>Z24*'Вводные'!$B$20</x:f>
      </x:c>
      <x:c r="AA30" s="107" t="n">
        <x:f>AA24*'Вводные'!$B$20</x:f>
      </x:c>
      <x:c r="AB30" s="107" t="n">
        <x:f>AB24*'Вводные'!$B$20</x:f>
      </x:c>
      <x:c r="AC30" s="107" t="n">
        <x:f>AC24*'Вводные'!$B$20</x:f>
      </x:c>
      <x:c r="AD30" s="107" t="n">
        <x:f>AD24*'Вводные'!$B$20</x:f>
      </x:c>
      <x:c r="AE30" s="107" t="n">
        <x:f>AE24*'Вводные'!$B$20</x:f>
      </x:c>
      <x:c r="AF30" s="107" t="n">
        <x:f>AF24*'Вводные'!$B$20</x:f>
      </x:c>
      <x:c r="AG30" s="107" t="n">
        <x:f>AG24*'Вводные'!$B$20</x:f>
      </x:c>
      <x:c r="AH30" s="107" t="n">
        <x:f>AH24*'Вводные'!$B$20</x:f>
      </x:c>
      <x:c r="AI30" s="107" t="n">
        <x:f>AI24*'Вводные'!$B$20</x:f>
      </x:c>
      <x:c r="AJ30" s="107" t="n">
        <x:f>AJ24*'Вводные'!$B$20</x:f>
      </x:c>
      <x:c r="AK30" s="107" t="n">
        <x:f>AK24*'Вводные'!$B$20</x:f>
      </x:c>
      <x:c r="AL30" s="107" t="n">
        <x:f>AL24*'Вводные'!$B$20</x:f>
      </x:c>
      <x:c r="AM30" s="107" t="n">
        <x:f>AM24*'Вводные'!$B$20</x:f>
      </x:c>
      <x:c r="AN30" s="107" t="n">
        <x:f>AN24*'Вводные'!$B$20</x:f>
      </x:c>
      <x:c r="AO30" s="107" t="n">
        <x:f>AO24*'Вводные'!$B$20</x:f>
      </x:c>
      <x:c r="AP30" s="107" t="n">
        <x:f>AP24*'Вводные'!$B$20</x:f>
      </x:c>
      <x:c r="AQ30" s="107" t="n">
        <x:f>AQ24*'Вводные'!$B$20</x:f>
      </x:c>
      <x:c r="AR30" s="107" t="n">
        <x:f>AR24*'Вводные'!$B$20</x:f>
      </x:c>
      <x:c r="AS30" s="107" t="n">
        <x:f>AS24*'Вводные'!$B$20</x:f>
      </x:c>
      <x:c r="AT30" s="107" t="n">
        <x:f>AT24*'Вводные'!$B$20</x:f>
      </x:c>
      <x:c r="AU30" s="107" t="n">
        <x:f>AU24*'Вводные'!$B$20</x:f>
      </x:c>
      <x:c r="AV30" s="107" t="n">
        <x:f>AV24*'Вводные'!$B$20</x:f>
      </x:c>
      <x:c r="AW30" s="107" t="n">
        <x:f>AW24*'Вводные'!$B$20</x:f>
      </x:c>
      <x:c r="AX30" s="107" t="n">
        <x:f>AX24*'Вводные'!$B$20</x:f>
      </x:c>
      <x:c r="AY30" s="107" t="n">
        <x:f>AY24*'Вводные'!$B$20</x:f>
      </x:c>
      <x:c r="AZ30" s="107" t="n">
        <x:f>AZ24*'Вводные'!$B$20</x:f>
      </x:c>
      <x:c r="BA30" s="107" t="n">
        <x:f>BA24*'Вводные'!$B$20</x:f>
      </x:c>
      <x:c r="BB30" s="107" t="n">
        <x:f>BB24*'Вводные'!$B$20</x:f>
      </x:c>
      <x:c r="BC30" s="107" t="n">
        <x:f>BC24*'Вводные'!$B$20</x:f>
      </x:c>
      <x:c r="BD30" s="107" t="n">
        <x:f>BD24*'Вводные'!$B$20</x:f>
      </x:c>
      <x:c r="BE30" s="107" t="n">
        <x:f>BE24*'Вводные'!$B$20</x:f>
      </x:c>
      <x:c r="BF30" s="107" t="n">
        <x:f>BF24*'Вводные'!$B$20</x:f>
      </x:c>
      <x:c r="BG30" s="107" t="n">
        <x:f>BG24*'Вводные'!$B$20</x:f>
      </x:c>
      <x:c r="BH30" s="107" t="n">
        <x:f>BH24*'Вводные'!$B$20</x:f>
      </x:c>
      <x:c r="BI30" s="107" t="n">
        <x:f>BI24*'Вводные'!$B$20</x:f>
      </x:c>
      <x:c r="BJ30" s="107" t="n">
        <x:f>BJ24*'Вводные'!$B$20</x:f>
      </x:c>
      <x:c r="BK30" s="107" t="n">
        <x:f>BK24*'Вводные'!$B$20</x:f>
      </x:c>
      <x:c r="BL30" s="107" t="n">
        <x:f>BL24*'Вводные'!$B$20</x:f>
      </x:c>
      <x:c r="BM30" s="107" t="n">
        <x:f>BM24*'Вводные'!$B$20</x:f>
      </x:c>
      <x:c r="BN30" s="107" t="n">
        <x:f>BN24*'Вводные'!$B$20</x:f>
      </x:c>
      <x:c r="BO30" s="107" t="n">
        <x:f>BO24*'Вводные'!$B$20</x:f>
      </x:c>
      <x:c r="BP30" s="107" t="n">
        <x:f>BP24*'Вводные'!$B$20</x:f>
      </x:c>
      <x:c r="BQ30" s="107" t="n">
        <x:f>BQ24*'Вводные'!$B$20</x:f>
      </x:c>
      <x:c r="BR30" s="107" t="n">
        <x:f>BR24*'Вводные'!$B$20</x:f>
      </x:c>
      <x:c r="BS30" s="107" t="n">
        <x:f>BS24*'Вводные'!$B$20</x:f>
      </x:c>
      <x:c r="BT30" s="107" t="n">
        <x:f>BT24*'Вводные'!$B$20</x:f>
      </x:c>
      <x:c r="BU30" s="107" t="n">
        <x:f>BU24*'Вводные'!$B$20</x:f>
      </x:c>
      <x:c r="BV30" s="107" t="n">
        <x:f>BV24*'Вводные'!$B$20</x:f>
      </x:c>
      <x:c r="BW30" s="107" t="n">
        <x:f>BW24*'Вводные'!$B$20</x:f>
      </x:c>
      <x:c r="BX30" s="107" t="n">
        <x:f>BX24*'Вводные'!$B$20</x:f>
      </x:c>
      <x:c r="BY30" s="107" t="n">
        <x:f>BY24*'Вводные'!$B$20</x:f>
      </x:c>
      <x:c r="BZ30" s="107" t="n">
        <x:f>BZ24*'Вводные'!$B$20</x:f>
      </x:c>
      <x:c r="CA30" s="107" t="n">
        <x:f>CA24*'Вводные'!$B$20</x:f>
      </x:c>
      <x:c r="CB30" s="107" t="n">
        <x:f>CB24*'Вводные'!$B$20</x:f>
      </x:c>
      <x:c r="CC30" s="107" t="n">
        <x:f>CC24*'Вводные'!$B$20</x:f>
      </x:c>
      <x:c r="CD30" s="107" t="n">
        <x:f>CD24*'Вводные'!$B$20</x:f>
      </x:c>
      <x:c r="CE30" s="107" t="n">
        <x:f>CE24*'Вводные'!$B$20</x:f>
      </x:c>
      <x:c r="CF30" s="107" t="n">
        <x:f>CF24*'Вводные'!$B$20</x:f>
      </x:c>
      <x:c r="CG30" s="107" t="n">
        <x:f>CG24*'Вводные'!$B$20</x:f>
      </x:c>
      <x:c r="CH30" s="107" t="n">
        <x:f>CH24*'Вводные'!$B$20</x:f>
      </x:c>
      <x:c r="CI30" s="107" t="n">
        <x:f>CI24*'Вводные'!$B$20</x:f>
      </x:c>
      <x:c r="CJ30" s="107" t="n">
        <x:f>CJ24*'Вводные'!$B$20</x:f>
      </x:c>
      <x:c r="CK30" s="107" t="n">
        <x:f>CK24*'Вводные'!$B$20</x:f>
      </x:c>
      <x:c r="CL30" s="107" t="n">
        <x:f>CL24*'Вводные'!$B$20</x:f>
      </x:c>
      <x:c r="CM30" s="107" t="n">
        <x:f>CM24*'Вводные'!$B$20</x:f>
      </x:c>
      <x:c r="CN30" s="107" t="n">
        <x:f>CN24*'Вводные'!$B$20</x:f>
      </x:c>
      <x:c r="CO30" s="107" t="n">
        <x:f>CO24*'Вводные'!$B$20</x:f>
      </x:c>
      <x:c r="CP30" s="107" t="n">
        <x:f>CP24*'Вводные'!$B$20</x:f>
      </x:c>
      <x:c r="CQ30" s="107" t="n">
        <x:f>CQ24*'Вводные'!$B$20</x:f>
      </x:c>
      <x:c r="CR30" s="107" t="n">
        <x:f>CR24*'Вводные'!$B$20</x:f>
      </x:c>
      <x:c r="CS30" s="107" t="n">
        <x:f>CS24*'Вводные'!$B$20</x:f>
      </x:c>
      <x:c r="CT30" s="107" t="n">
        <x:f>CT24*'Вводные'!$B$20</x:f>
      </x:c>
      <x:c r="CU30" s="107" t="n">
        <x:f>CU24*'Вводные'!$B$20</x:f>
      </x:c>
      <x:c r="CV30" s="107" t="n">
        <x:f>CV24*'Вводные'!$B$20</x:f>
      </x:c>
      <x:c r="CW30" s="107" t="n">
        <x:f>CW24*'Вводные'!$B$20</x:f>
      </x:c>
      <x:c r="CX30" s="107" t="n">
        <x:f>CX24*'Вводные'!$B$20</x:f>
      </x:c>
      <x:c r="CY30" s="107" t="n">
        <x:f>CY24*'Вводные'!$B$20</x:f>
      </x:c>
      <x:c r="CZ30" s="107" t="n">
        <x:f>CZ24*'Вводные'!$B$20</x:f>
      </x:c>
      <x:c r="DA30" s="107" t="n">
        <x:f>DA24*'Вводные'!$B$20</x:f>
      </x:c>
      <x:c r="DB30" s="107" t="n">
        <x:f>DB24*'Вводные'!$B$20</x:f>
      </x:c>
      <x:c r="DC30" s="107" t="n">
        <x:f>DC24*'Вводные'!$B$20</x:f>
      </x:c>
      <x:c r="DD30" s="107" t="n">
        <x:f>DD24*'Вводные'!$B$20</x:f>
      </x:c>
      <x:c r="DE30" s="107" t="n">
        <x:f>DE24*'Вводные'!$B$20</x:f>
      </x:c>
      <x:c r="DF30" s="107" t="n">
        <x:f>DF24*'Вводные'!$B$20</x:f>
      </x:c>
      <x:c r="DG30" s="107" t="n">
        <x:f>DG24*'Вводные'!$B$20</x:f>
      </x:c>
      <x:c r="DH30" s="107" t="n">
        <x:f>DH24*'Вводные'!$B$20</x:f>
      </x:c>
      <x:c r="DI30" s="107" t="n">
        <x:f>DI24*'Вводные'!$B$20</x:f>
      </x:c>
      <x:c r="DJ30" s="107" t="n">
        <x:f>DJ24*'Вводные'!$B$20</x:f>
      </x:c>
      <x:c r="DK30" s="107" t="n">
        <x:f>DK24*'Вводные'!$B$20</x:f>
      </x:c>
      <x:c r="DL30" s="107" t="n">
        <x:f>DL24*'Вводные'!$B$20</x:f>
      </x:c>
      <x:c r="DM30" s="107" t="n">
        <x:f>DM24*'Вводные'!$B$20</x:f>
      </x:c>
      <x:c r="DN30" s="107" t="n">
        <x:f>DN24*'Вводные'!$B$20</x:f>
      </x:c>
      <x:c r="DO30" s="107" t="n">
        <x:f>DO24*'Вводные'!$B$20</x:f>
      </x:c>
      <x:c r="DP30" s="107" t="n">
        <x:f>DP24*'Вводные'!$B$20</x:f>
      </x:c>
      <x:c r="DQ30" s="107" t="n">
        <x:f>DQ24*'Вводные'!$B$20</x:f>
      </x:c>
      <x:c r="DR30" s="107" t="n">
        <x:f>DR24*'Вводные'!$B$20</x:f>
      </x:c>
      <x:c r="DS30" s="107" t="n">
        <x:f>DS24*'Вводные'!$B$20</x:f>
      </x:c>
      <x:c r="DT30" s="107" t="n">
        <x:f>DT24*'Вводные'!$B$20</x:f>
      </x:c>
      <x:c r="DU30" s="107" t="n">
        <x:f>DU24*'Вводные'!$B$20</x:f>
      </x:c>
      <x:c r="DV30" s="107" t="n">
        <x:f>DV24*'Вводные'!$B$20</x:f>
      </x:c>
      <x:c r="DW30" s="107" t="n">
        <x:f>DW24*'Вводные'!$B$20</x:f>
      </x:c>
      <x:c r="DX30" s="107" t="n">
        <x:f>DX24*'Вводные'!$B$20</x:f>
      </x:c>
      <x:c r="DY30" s="107" t="n">
        <x:f>DY24*'Вводные'!$B$20</x:f>
      </x:c>
      <x:c r="DZ30" s="107" t="n">
        <x:f>DZ24*'Вводные'!$B$20</x:f>
      </x:c>
      <x:c r="EA30" s="107" t="n">
        <x:f>EA24*'Вводные'!$B$20</x:f>
      </x:c>
      <x:c r="EB30" s="107" t="n">
        <x:f>EB24*'Вводные'!$B$20</x:f>
      </x:c>
      <x:c r="EC30" s="107" t="n">
        <x:f>EC24*'Вводные'!$B$20</x:f>
      </x:c>
      <x:c r="ED30" s="107" t="n">
        <x:f>ED24*'Вводные'!$B$20</x:f>
      </x:c>
      <x:c r="EE30" s="107" t="n">
        <x:f>EE24*'Вводные'!$B$20</x:f>
      </x:c>
      <x:c r="EF30" s="107" t="n">
        <x:f>EF24*'Вводные'!$B$20</x:f>
      </x:c>
      <x:c r="EG30" s="107" t="n">
        <x:f>EG24*'Вводные'!$B$20</x:f>
      </x:c>
      <x:c r="EH30" s="107" t="n">
        <x:f>EH24*'Вводные'!$B$20</x:f>
      </x:c>
      <x:c r="EI30" s="107" t="n">
        <x:f>EI24*'Вводные'!$B$20</x:f>
      </x:c>
      <x:c r="EJ30" s="107" t="n">
        <x:f>EJ24*'Вводные'!$B$20</x:f>
      </x:c>
      <x:c r="EK30" s="107" t="n">
        <x:f>EK24*'Вводные'!$B$20</x:f>
      </x:c>
      <x:c r="EL30" s="107" t="n">
        <x:f>EL24*'Вводные'!$B$20</x:f>
      </x:c>
      <x:c r="EM30" s="107" t="n">
        <x:f>EM24*'Вводные'!$B$20</x:f>
      </x:c>
      <x:c r="EN30" s="107" t="n">
        <x:f>EN24*'Вводные'!$B$20</x:f>
      </x:c>
      <x:c r="EO30" s="107" t="n">
        <x:f>EO24*'Вводные'!$B$20</x:f>
      </x:c>
      <x:c r="EP30" s="107" t="n">
        <x:f>EP24*'Вводные'!$B$20</x:f>
      </x:c>
      <x:c r="EQ30" s="107" t="n">
        <x:f>EQ24*'Вводные'!$B$20</x:f>
      </x:c>
      <x:c r="ER30" s="107" t="n">
        <x:f>ER24*'Вводные'!$B$20</x:f>
      </x:c>
      <x:c r="ES30" s="107" t="n">
        <x:f>ES24*'Вводные'!$B$20</x:f>
      </x:c>
      <x:c r="ET30" s="107" t="n">
        <x:f>ET24*'Вводные'!$B$20</x:f>
      </x:c>
      <x:c r="EU30" s="107" t="n">
        <x:f>EU24*'Вводные'!$B$20</x:f>
      </x:c>
      <x:c r="EV30" s="107" t="n">
        <x:f>EV24*'Вводные'!$B$20</x:f>
      </x:c>
      <x:c r="EW30" s="107" t="n">
        <x:f>EW24*'Вводные'!$B$20</x:f>
      </x:c>
      <x:c r="EX30" s="107" t="n">
        <x:f>EX24*'Вводные'!$B$20</x:f>
      </x:c>
      <x:c r="EY30" s="107" t="n">
        <x:f>EY24*'Вводные'!$B$20</x:f>
      </x:c>
      <x:c r="EZ30" s="107" t="n">
        <x:f>EZ24*'Вводные'!$B$20</x:f>
      </x:c>
      <x:c r="FA30" s="107" t="n">
        <x:f>FA24*'Вводные'!$B$20</x:f>
      </x:c>
      <x:c r="FB30" s="107" t="n">
        <x:f>FB24*'Вводные'!$B$20</x:f>
      </x:c>
      <x:c r="FC30" s="107" t="n">
        <x:f>FC24*'Вводные'!$B$20</x:f>
      </x:c>
      <x:c r="FD30" s="107" t="n">
        <x:f>FD24*'Вводные'!$B$20</x:f>
      </x:c>
      <x:c r="FE30" s="107" t="n">
        <x:f>FE24*'Вводные'!$B$20</x:f>
      </x:c>
      <x:c r="FF30" s="107" t="n">
        <x:f>FF24*'Вводные'!$B$20</x:f>
      </x:c>
      <x:c r="FG30" s="107" t="n">
        <x:f>FG24*'Вводные'!$B$20</x:f>
      </x:c>
      <x:c r="FH30" s="107" t="n">
        <x:f>FH24*'Вводные'!$B$20</x:f>
      </x:c>
      <x:c r="FI30" s="107" t="n">
        <x:f>FI24*'Вводные'!$B$20</x:f>
      </x:c>
      <x:c r="FJ30" s="107" t="n">
        <x:f>FJ24*'Вводные'!$B$20</x:f>
      </x:c>
      <x:c r="FK30" s="107" t="n">
        <x:f>FK24*'Вводные'!$B$20</x:f>
      </x:c>
      <x:c r="FL30" s="107" t="n">
        <x:f>FL24*'Вводные'!$B$20</x:f>
      </x:c>
      <x:c r="FM30" s="107" t="n">
        <x:f>FM24*'Вводные'!$B$20</x:f>
      </x:c>
      <x:c r="FN30" s="107" t="n">
        <x:f>FN24*'Вводные'!$B$20</x:f>
      </x:c>
      <x:c r="FO30" s="107" t="n">
        <x:f>FO24*'Вводные'!$B$20</x:f>
      </x:c>
      <x:c r="FP30" s="107" t="n">
        <x:f>FP24*'Вводные'!$B$20</x:f>
      </x:c>
      <x:c r="FQ30" s="107" t="n">
        <x:f>FQ24*'Вводные'!$B$20</x:f>
      </x:c>
      <x:c r="FR30" s="107" t="n">
        <x:f>FR24*'Вводные'!$B$20</x:f>
      </x:c>
      <x:c r="FS30" s="107" t="n">
        <x:f>FS24*'Вводные'!$B$20</x:f>
      </x:c>
      <x:c r="FT30" s="107" t="n">
        <x:f>FT24*'Вводные'!$B$20</x:f>
      </x:c>
      <x:c r="FU30" s="107" t="n">
        <x:f>FU24*'Вводные'!$B$20</x:f>
      </x:c>
      <x:c r="FV30" s="107" t="n">
        <x:f>FV24*'Вводные'!$B$20</x:f>
      </x:c>
      <x:c r="FW30" s="107" t="n">
        <x:f>FW24*'Вводные'!$B$20</x:f>
      </x:c>
      <x:c r="FX30" s="107" t="n">
        <x:f>FX24*'Вводные'!$B$20</x:f>
      </x:c>
      <x:c r="FY30" s="107" t="n">
        <x:f>FY24*'Вводные'!$B$20</x:f>
      </x:c>
      <x:c r="FZ30" s="107" t="n">
        <x:f>FZ24*'Вводные'!$B$20</x:f>
      </x:c>
      <x:c r="GA30" s="107" t="n">
        <x:f>GA24*'Вводные'!$B$20</x:f>
      </x:c>
    </x:row>
    <x:row r="31">
      <x:c r="A31" s="348" t="str">
        <x:v>Расходы объекта всего</x:v>
      </x:c>
      <x:c r="B31" s="348" t="n">
        <x:f>SUM(D31:GA31)</x:f>
      </x:c>
      <x:c r="C31" s="348" t="str">
        <x:v>млн ₽</x:v>
      </x:c>
      <x:c r="D31" s="348" t="n">
        <x:f>SUM(D28:D30)</x:f>
      </x:c>
      <x:c r="E31" s="348" t="n">
        <x:f>SUM(E28:E30)</x:f>
      </x:c>
      <x:c r="F31" s="348" t="n">
        <x:f>SUM(F28:F30)</x:f>
      </x:c>
      <x:c r="G31" s="348" t="n">
        <x:f>SUM(G28:G30)</x:f>
      </x:c>
      <x:c r="H31" s="348" t="n">
        <x:f>SUM(H28:H30)</x:f>
      </x:c>
      <x:c r="I31" s="348" t="n">
        <x:f>SUM(I28:I30)</x:f>
      </x:c>
      <x:c r="J31" s="348" t="n">
        <x:f>SUM(J28:J30)</x:f>
      </x:c>
      <x:c r="K31" s="348" t="n">
        <x:f>SUM(K28:K30)</x:f>
      </x:c>
      <x:c r="L31" s="348" t="n">
        <x:f>SUM(L28:L30)</x:f>
      </x:c>
      <x:c r="M31" s="348" t="n">
        <x:f>SUM(M28:M30)</x:f>
      </x:c>
      <x:c r="N31" s="348" t="n">
        <x:f>SUM(N28:N30)</x:f>
      </x:c>
      <x:c r="O31" s="348" t="n">
        <x:f>SUM(O28:O30)</x:f>
      </x:c>
      <x:c r="P31" s="348" t="n">
        <x:f>SUM(P28:P30)</x:f>
      </x:c>
      <x:c r="Q31" s="348" t="n">
        <x:f>SUM(Q28:Q30)</x:f>
      </x:c>
      <x:c r="R31" s="348" t="n">
        <x:f>SUM(R28:R30)</x:f>
      </x:c>
      <x:c r="S31" s="348" t="n">
        <x:f>SUM(S28:S30)</x:f>
      </x:c>
      <x:c r="T31" s="348" t="n">
        <x:f>SUM(T28:T30)</x:f>
      </x:c>
      <x:c r="U31" s="348" t="n">
        <x:f>SUM(U28:U30)</x:f>
      </x:c>
      <x:c r="V31" s="348" t="n">
        <x:f>SUM(V28:V30)</x:f>
      </x:c>
      <x:c r="W31" s="348" t="n">
        <x:f>SUM(W28:W30)</x:f>
      </x:c>
      <x:c r="X31" s="348" t="n">
        <x:f>SUM(X28:X30)</x:f>
      </x:c>
      <x:c r="Y31" s="348" t="n">
        <x:f>SUM(Y28:Y30)</x:f>
      </x:c>
      <x:c r="Z31" s="348" t="n">
        <x:f>SUM(Z28:Z30)</x:f>
      </x:c>
      <x:c r="AA31" s="348" t="n">
        <x:f>SUM(AA28:AA30)</x:f>
      </x:c>
      <x:c r="AB31" s="348" t="n">
        <x:f>SUM(AB28:AB30)</x:f>
      </x:c>
      <x:c r="AC31" s="348" t="n">
        <x:f>SUM(AC28:AC30)</x:f>
      </x:c>
      <x:c r="AD31" s="348" t="n">
        <x:f>SUM(AD28:AD30)</x:f>
      </x:c>
      <x:c r="AE31" s="348" t="n">
        <x:f>SUM(AE28:AE30)</x:f>
      </x:c>
      <x:c r="AF31" s="348" t="n">
        <x:f>SUM(AF28:AF30)</x:f>
      </x:c>
      <x:c r="AG31" s="348" t="n">
        <x:f>SUM(AG28:AG30)</x:f>
      </x:c>
      <x:c r="AH31" s="348" t="n">
        <x:f>SUM(AH28:AH30)</x:f>
      </x:c>
      <x:c r="AI31" s="348" t="n">
        <x:f>SUM(AI28:AI30)</x:f>
      </x:c>
      <x:c r="AJ31" s="348" t="n">
        <x:f>SUM(AJ28:AJ30)</x:f>
      </x:c>
      <x:c r="AK31" s="348" t="n">
        <x:f>SUM(AK28:AK30)</x:f>
      </x:c>
      <x:c r="AL31" s="348" t="n">
        <x:f>SUM(AL28:AL30)</x:f>
      </x:c>
      <x:c r="AM31" s="348" t="n">
        <x:f>SUM(AM28:AM30)</x:f>
      </x:c>
      <x:c r="AN31" s="348" t="n">
        <x:f>SUM(AN28:AN30)</x:f>
      </x:c>
      <x:c r="AO31" s="348" t="n">
        <x:f>SUM(AO28:AO30)</x:f>
      </x:c>
      <x:c r="AP31" s="348" t="n">
        <x:f>SUM(AP28:AP30)</x:f>
      </x:c>
      <x:c r="AQ31" s="348" t="n">
        <x:f>SUM(AQ28:AQ30)</x:f>
      </x:c>
      <x:c r="AR31" s="348" t="n">
        <x:f>SUM(AR28:AR30)</x:f>
      </x:c>
      <x:c r="AS31" s="348" t="n">
        <x:f>SUM(AS28:AS30)</x:f>
      </x:c>
      <x:c r="AT31" s="348" t="n">
        <x:f>SUM(AT28:AT30)</x:f>
      </x:c>
      <x:c r="AU31" s="348" t="n">
        <x:f>SUM(AU28:AU30)</x:f>
      </x:c>
      <x:c r="AV31" s="348" t="n">
        <x:f>SUM(AV28:AV30)</x:f>
      </x:c>
      <x:c r="AW31" s="348" t="n">
        <x:f>SUM(AW28:AW30)</x:f>
      </x:c>
      <x:c r="AX31" s="348" t="n">
        <x:f>SUM(AX28:AX30)</x:f>
      </x:c>
      <x:c r="AY31" s="348" t="n">
        <x:f>SUM(AY28:AY30)</x:f>
      </x:c>
      <x:c r="AZ31" s="348" t="n">
        <x:f>SUM(AZ28:AZ30)</x:f>
      </x:c>
      <x:c r="BA31" s="348" t="n">
        <x:f>SUM(BA28:BA30)</x:f>
      </x:c>
      <x:c r="BB31" s="348" t="n">
        <x:f>SUM(BB28:BB30)</x:f>
      </x:c>
      <x:c r="BC31" s="348" t="n">
        <x:f>SUM(BC28:BC30)</x:f>
      </x:c>
      <x:c r="BD31" s="348" t="n">
        <x:f>SUM(BD28:BD30)</x:f>
      </x:c>
      <x:c r="BE31" s="348" t="n">
        <x:f>SUM(BE28:BE30)</x:f>
      </x:c>
      <x:c r="BF31" s="348" t="n">
        <x:f>SUM(BF28:BF30)</x:f>
      </x:c>
      <x:c r="BG31" s="348" t="n">
        <x:f>SUM(BG28:BG30)</x:f>
      </x:c>
      <x:c r="BH31" s="348" t="n">
        <x:f>SUM(BH28:BH30)</x:f>
      </x:c>
      <x:c r="BI31" s="348" t="n">
        <x:f>SUM(BI28:BI30)</x:f>
      </x:c>
      <x:c r="BJ31" s="348" t="n">
        <x:f>SUM(BJ28:BJ30)</x:f>
      </x:c>
      <x:c r="BK31" s="348" t="n">
        <x:f>SUM(BK28:BK30)</x:f>
      </x:c>
      <x:c r="BL31" s="348" t="n">
        <x:f>SUM(BL28:BL30)</x:f>
      </x:c>
      <x:c r="BM31" s="348" t="n">
        <x:f>SUM(BM28:BM30)</x:f>
      </x:c>
      <x:c r="BN31" s="348" t="n">
        <x:f>SUM(BN28:BN30)</x:f>
      </x:c>
      <x:c r="BO31" s="348" t="n">
        <x:f>SUM(BO28:BO30)</x:f>
      </x:c>
      <x:c r="BP31" s="348" t="n">
        <x:f>SUM(BP28:BP30)</x:f>
      </x:c>
      <x:c r="BQ31" s="348" t="n">
        <x:f>SUM(BQ28:BQ30)</x:f>
      </x:c>
      <x:c r="BR31" s="348" t="n">
        <x:f>SUM(BR28:BR30)</x:f>
      </x:c>
      <x:c r="BS31" s="348" t="n">
        <x:f>SUM(BS28:BS30)</x:f>
      </x:c>
      <x:c r="BT31" s="348" t="n">
        <x:f>SUM(BT28:BT30)</x:f>
      </x:c>
      <x:c r="BU31" s="348" t="n">
        <x:f>SUM(BU28:BU30)</x:f>
      </x:c>
      <x:c r="BV31" s="348" t="n">
        <x:f>SUM(BV28:BV30)</x:f>
      </x:c>
      <x:c r="BW31" s="348" t="n">
        <x:f>SUM(BW28:BW30)</x:f>
      </x:c>
      <x:c r="BX31" s="348" t="n">
        <x:f>SUM(BX28:BX30)</x:f>
      </x:c>
      <x:c r="BY31" s="348" t="n">
        <x:f>SUM(BY28:BY30)</x:f>
      </x:c>
      <x:c r="BZ31" s="348" t="n">
        <x:f>SUM(BZ28:BZ30)</x:f>
      </x:c>
      <x:c r="CA31" s="348" t="n">
        <x:f>SUM(CA28:CA30)</x:f>
      </x:c>
      <x:c r="CB31" s="348" t="n">
        <x:f>SUM(CB28:CB30)</x:f>
      </x:c>
      <x:c r="CC31" s="348" t="n">
        <x:f>SUM(CC28:CC30)</x:f>
      </x:c>
      <x:c r="CD31" s="348" t="n">
        <x:f>SUM(CD28:CD30)</x:f>
      </x:c>
      <x:c r="CE31" s="348" t="n">
        <x:f>SUM(CE28:CE30)</x:f>
      </x:c>
      <x:c r="CF31" s="348" t="n">
        <x:f>SUM(CF28:CF30)</x:f>
      </x:c>
      <x:c r="CG31" s="348" t="n">
        <x:f>SUM(CG28:CG30)</x:f>
      </x:c>
      <x:c r="CH31" s="348" t="n">
        <x:f>SUM(CH28:CH30)</x:f>
      </x:c>
      <x:c r="CI31" s="348" t="n">
        <x:f>SUM(CI28:CI30)</x:f>
      </x:c>
      <x:c r="CJ31" s="348" t="n">
        <x:f>SUM(CJ28:CJ30)</x:f>
      </x:c>
      <x:c r="CK31" s="348" t="n">
        <x:f>SUM(CK28:CK30)</x:f>
      </x:c>
      <x:c r="CL31" s="348" t="n">
        <x:f>SUM(CL28:CL30)</x:f>
      </x:c>
      <x:c r="CM31" s="348" t="n">
        <x:f>SUM(CM28:CM30)</x:f>
      </x:c>
      <x:c r="CN31" s="348" t="n">
        <x:f>SUM(CN28:CN30)</x:f>
      </x:c>
      <x:c r="CO31" s="348" t="n">
        <x:f>SUM(CO28:CO30)</x:f>
      </x:c>
      <x:c r="CP31" s="348" t="n">
        <x:f>SUM(CP28:CP30)</x:f>
      </x:c>
      <x:c r="CQ31" s="348" t="n">
        <x:f>SUM(CQ28:CQ30)</x:f>
      </x:c>
      <x:c r="CR31" s="348" t="n">
        <x:f>SUM(CR28:CR30)</x:f>
      </x:c>
      <x:c r="CS31" s="348" t="n">
        <x:f>SUM(CS28:CS30)</x:f>
      </x:c>
      <x:c r="CT31" s="348" t="n">
        <x:f>SUM(CT28:CT30)</x:f>
      </x:c>
      <x:c r="CU31" s="348" t="n">
        <x:f>SUM(CU28:CU30)</x:f>
      </x:c>
      <x:c r="CV31" s="348" t="n">
        <x:f>SUM(CV28:CV30)</x:f>
      </x:c>
      <x:c r="CW31" s="348" t="n">
        <x:f>SUM(CW28:CW30)</x:f>
      </x:c>
      <x:c r="CX31" s="348" t="n">
        <x:f>SUM(CX28:CX30)</x:f>
      </x:c>
      <x:c r="CY31" s="348" t="n">
        <x:f>SUM(CY28:CY30)</x:f>
      </x:c>
      <x:c r="CZ31" s="348" t="n">
        <x:f>SUM(CZ28:CZ30)</x:f>
      </x:c>
      <x:c r="DA31" s="348" t="n">
        <x:f>SUM(DA28:DA30)</x:f>
      </x:c>
      <x:c r="DB31" s="348" t="n">
        <x:f>SUM(DB28:DB30)</x:f>
      </x:c>
      <x:c r="DC31" s="348" t="n">
        <x:f>SUM(DC28:DC30)</x:f>
      </x:c>
      <x:c r="DD31" s="348" t="n">
        <x:f>SUM(DD28:DD30)</x:f>
      </x:c>
      <x:c r="DE31" s="348" t="n">
        <x:f>SUM(DE28:DE30)</x:f>
      </x:c>
      <x:c r="DF31" s="348" t="n">
        <x:f>SUM(DF28:DF30)</x:f>
      </x:c>
      <x:c r="DG31" s="348" t="n">
        <x:f>SUM(DG28:DG30)</x:f>
      </x:c>
      <x:c r="DH31" s="348" t="n">
        <x:f>SUM(DH28:DH30)</x:f>
      </x:c>
      <x:c r="DI31" s="348" t="n">
        <x:f>SUM(DI28:DI30)</x:f>
      </x:c>
      <x:c r="DJ31" s="348" t="n">
        <x:f>SUM(DJ28:DJ30)</x:f>
      </x:c>
      <x:c r="DK31" s="348" t="n">
        <x:f>SUM(DK28:DK30)</x:f>
      </x:c>
      <x:c r="DL31" s="348" t="n">
        <x:f>SUM(DL28:DL30)</x:f>
      </x:c>
      <x:c r="DM31" s="348" t="n">
        <x:f>SUM(DM28:DM30)</x:f>
      </x:c>
      <x:c r="DN31" s="348" t="n">
        <x:f>SUM(DN28:DN30)</x:f>
      </x:c>
      <x:c r="DO31" s="348" t="n">
        <x:f>SUM(DO28:DO30)</x:f>
      </x:c>
      <x:c r="DP31" s="348" t="n">
        <x:f>SUM(DP28:DP30)</x:f>
      </x:c>
      <x:c r="DQ31" s="348" t="n">
        <x:f>SUM(DQ28:DQ30)</x:f>
      </x:c>
      <x:c r="DR31" s="348" t="n">
        <x:f>SUM(DR28:DR30)</x:f>
      </x:c>
      <x:c r="DS31" s="348" t="n">
        <x:f>SUM(DS28:DS30)</x:f>
      </x:c>
      <x:c r="DT31" s="348" t="n">
        <x:f>SUM(DT28:DT30)</x:f>
      </x:c>
      <x:c r="DU31" s="348" t="n">
        <x:f>SUM(DU28:DU30)</x:f>
      </x:c>
      <x:c r="DV31" s="348" t="n">
        <x:f>SUM(DV28:DV30)</x:f>
      </x:c>
      <x:c r="DW31" s="348" t="n">
        <x:f>SUM(DW28:DW30)</x:f>
      </x:c>
      <x:c r="DX31" s="348" t="n">
        <x:f>SUM(DX28:DX30)</x:f>
      </x:c>
      <x:c r="DY31" s="348" t="n">
        <x:f>SUM(DY28:DY30)</x:f>
      </x:c>
      <x:c r="DZ31" s="348" t="n">
        <x:f>SUM(DZ28:DZ30)</x:f>
      </x:c>
      <x:c r="EA31" s="348" t="n">
        <x:f>SUM(EA28:EA30)</x:f>
      </x:c>
      <x:c r="EB31" s="348" t="n">
        <x:f>SUM(EB28:EB30)</x:f>
      </x:c>
      <x:c r="EC31" s="348" t="n">
        <x:f>SUM(EC28:EC30)</x:f>
      </x:c>
      <x:c r="ED31" s="348" t="n">
        <x:f>SUM(ED28:ED30)</x:f>
      </x:c>
      <x:c r="EE31" s="348" t="n">
        <x:f>SUM(EE28:EE30)</x:f>
      </x:c>
      <x:c r="EF31" s="348" t="n">
        <x:f>SUM(EF28:EF30)</x:f>
      </x:c>
      <x:c r="EG31" s="348" t="n">
        <x:f>SUM(EG28:EG30)</x:f>
      </x:c>
      <x:c r="EH31" s="348" t="n">
        <x:f>SUM(EH28:EH30)</x:f>
      </x:c>
      <x:c r="EI31" s="348" t="n">
        <x:f>SUM(EI28:EI30)</x:f>
      </x:c>
      <x:c r="EJ31" s="348" t="n">
        <x:f>SUM(EJ28:EJ30)</x:f>
      </x:c>
      <x:c r="EK31" s="348" t="n">
        <x:f>SUM(EK28:EK30)</x:f>
      </x:c>
      <x:c r="EL31" s="348" t="n">
        <x:f>SUM(EL28:EL30)</x:f>
      </x:c>
      <x:c r="EM31" s="348" t="n">
        <x:f>SUM(EM28:EM30)</x:f>
      </x:c>
      <x:c r="EN31" s="348" t="n">
        <x:f>SUM(EN28:EN30)</x:f>
      </x:c>
      <x:c r="EO31" s="348" t="n">
        <x:f>SUM(EO28:EO30)</x:f>
      </x:c>
      <x:c r="EP31" s="348" t="n">
        <x:f>SUM(EP28:EP30)</x:f>
      </x:c>
      <x:c r="EQ31" s="348" t="n">
        <x:f>SUM(EQ28:EQ30)</x:f>
      </x:c>
      <x:c r="ER31" s="348" t="n">
        <x:f>SUM(ER28:ER30)</x:f>
      </x:c>
      <x:c r="ES31" s="348" t="n">
        <x:f>SUM(ES28:ES30)</x:f>
      </x:c>
      <x:c r="ET31" s="348" t="n">
        <x:f>SUM(ET28:ET30)</x:f>
      </x:c>
      <x:c r="EU31" s="348" t="n">
        <x:f>SUM(EU28:EU30)</x:f>
      </x:c>
      <x:c r="EV31" s="348" t="n">
        <x:f>SUM(EV28:EV30)</x:f>
      </x:c>
      <x:c r="EW31" s="348" t="n">
        <x:f>SUM(EW28:EW30)</x:f>
      </x:c>
      <x:c r="EX31" s="348" t="n">
        <x:f>SUM(EX28:EX30)</x:f>
      </x:c>
      <x:c r="EY31" s="348" t="n">
        <x:f>SUM(EY28:EY30)</x:f>
      </x:c>
      <x:c r="EZ31" s="348" t="n">
        <x:f>SUM(EZ28:EZ30)</x:f>
      </x:c>
      <x:c r="FA31" s="348" t="n">
        <x:f>SUM(FA28:FA30)</x:f>
      </x:c>
      <x:c r="FB31" s="348" t="n">
        <x:f>SUM(FB28:FB30)</x:f>
      </x:c>
      <x:c r="FC31" s="348" t="n">
        <x:f>SUM(FC28:FC30)</x:f>
      </x:c>
      <x:c r="FD31" s="348" t="n">
        <x:f>SUM(FD28:FD30)</x:f>
      </x:c>
      <x:c r="FE31" s="348" t="n">
        <x:f>SUM(FE28:FE30)</x:f>
      </x:c>
      <x:c r="FF31" s="348" t="n">
        <x:f>SUM(FF28:FF30)</x:f>
      </x:c>
      <x:c r="FG31" s="348" t="n">
        <x:f>SUM(FG28:FG30)</x:f>
      </x:c>
      <x:c r="FH31" s="348" t="n">
        <x:f>SUM(FH28:FH30)</x:f>
      </x:c>
      <x:c r="FI31" s="348" t="n">
        <x:f>SUM(FI28:FI30)</x:f>
      </x:c>
      <x:c r="FJ31" s="348" t="n">
        <x:f>SUM(FJ28:FJ30)</x:f>
      </x:c>
      <x:c r="FK31" s="348" t="n">
        <x:f>SUM(FK28:FK30)</x:f>
      </x:c>
      <x:c r="FL31" s="348" t="n">
        <x:f>SUM(FL28:FL30)</x:f>
      </x:c>
      <x:c r="FM31" s="348" t="n">
        <x:f>SUM(FM28:FM30)</x:f>
      </x:c>
      <x:c r="FN31" s="348" t="n">
        <x:f>SUM(FN28:FN30)</x:f>
      </x:c>
      <x:c r="FO31" s="348" t="n">
        <x:f>SUM(FO28:FO30)</x:f>
      </x:c>
      <x:c r="FP31" s="348" t="n">
        <x:f>SUM(FP28:FP30)</x:f>
      </x:c>
      <x:c r="FQ31" s="348" t="n">
        <x:f>SUM(FQ28:FQ30)</x:f>
      </x:c>
      <x:c r="FR31" s="348" t="n">
        <x:f>SUM(FR28:FR30)</x:f>
      </x:c>
      <x:c r="FS31" s="348" t="n">
        <x:f>SUM(FS28:FS30)</x:f>
      </x:c>
      <x:c r="FT31" s="348" t="n">
        <x:f>SUM(FT28:FT30)</x:f>
      </x:c>
      <x:c r="FU31" s="348" t="n">
        <x:f>SUM(FU28:FU30)</x:f>
      </x:c>
      <x:c r="FV31" s="348" t="n">
        <x:f>SUM(FV28:FV30)</x:f>
      </x:c>
      <x:c r="FW31" s="348" t="n">
        <x:f>SUM(FW28:FW30)</x:f>
      </x:c>
      <x:c r="FX31" s="348" t="n">
        <x:f>SUM(FX28:FX30)</x:f>
      </x:c>
      <x:c r="FY31" s="348" t="n">
        <x:f>SUM(FY28:FY30)</x:f>
      </x:c>
      <x:c r="FZ31" s="348" t="n">
        <x:f>SUM(FZ28:FZ30)</x:f>
      </x:c>
      <x:c r="GA31" s="348" t="n">
        <x:f>SUM(GA28:GA30)</x:f>
      </x:c>
    </x:row>
    <x:row r="34" ht="21" customHeight="1">
      <x:c r="A34" s="281" t="str">
        <x:v>ТОРГОВЫЙ ЦЕНТР / КОММЕРЦИЯ ОСЗ</x:v>
      </x:c>
      <x:c r="B34" s="282" t="str">
        <x:v>ТОРГОВЫЙ ЦЕНТР / КОММЕРЦИЯ ОСЗ</x:v>
      </x:c>
      <x:c r="C34" s="282" t="str">
        <x:v>ТОРГОВЫЙ ЦЕНТР / КОММЕРЦИЯ ОСЗ</x:v>
      </x:c>
      <x:c r="D34" s="282" t="str">
        <x:v>ТОРГОВЫЙ ЦЕНТР / КОММЕРЦИЯ ОСЗ</x:v>
      </x:c>
      <x:c r="E34" s="282" t="str">
        <x:v>ТОРГОВЫЙ ЦЕНТР / КОММЕРЦИЯ ОСЗ</x:v>
      </x:c>
      <x:c r="F34" s="282" t="str">
        <x:v>ТОРГОВЫЙ ЦЕНТР / КОММЕРЦИЯ ОСЗ</x:v>
      </x:c>
      <x:c r="G34" s="282" t="str">
        <x:v>ТОРГОВЫЙ ЦЕНТР / КОММЕРЦИЯ ОСЗ</x:v>
      </x:c>
      <x:c r="H34" s="282" t="str">
        <x:v>ТОРГОВЫЙ ЦЕНТР / КОММЕРЦИЯ ОСЗ</x:v>
      </x:c>
      <x:c r="I34" s="282" t="str">
        <x:v>ТОРГОВЫЙ ЦЕНТР / КОММЕРЦИЯ ОСЗ</x:v>
      </x:c>
      <x:c r="J34" s="282" t="str">
        <x:v>ТОРГОВЫЙ ЦЕНТР / КОММЕРЦИЯ ОСЗ</x:v>
      </x:c>
      <x:c r="K34" s="282" t="str">
        <x:v>ТОРГОВЫЙ ЦЕНТР / КОММЕРЦИЯ ОСЗ</x:v>
      </x:c>
      <x:c r="L34" s="282" t="str">
        <x:v>ТОРГОВЫЙ ЦЕНТР / КОММЕРЦИЯ ОСЗ</x:v>
      </x:c>
      <x:c r="M34" s="282" t="str">
        <x:v>ТОРГОВЫЙ ЦЕНТР / КОММЕРЦИЯ ОСЗ</x:v>
      </x:c>
      <x:c r="N34" s="282" t="str">
        <x:v>ТОРГОВЫЙ ЦЕНТР / КОММЕРЦИЯ ОСЗ</x:v>
      </x:c>
      <x:c r="O34" s="282" t="str">
        <x:v>ТОРГОВЫЙ ЦЕНТР / КОММЕРЦИЯ ОСЗ</x:v>
      </x:c>
      <x:c r="P34" s="282" t="str">
        <x:v>ТОРГОВЫЙ ЦЕНТР / КОММЕРЦИЯ ОСЗ</x:v>
      </x:c>
      <x:c r="Q34" s="282" t="str">
        <x:v>ТОРГОВЫЙ ЦЕНТР / КОММЕРЦИЯ ОСЗ</x:v>
      </x:c>
      <x:c r="R34" s="282" t="str">
        <x:v>ТОРГОВЫЙ ЦЕНТР / КОММЕРЦИЯ ОСЗ</x:v>
      </x:c>
      <x:c r="S34" s="282" t="str">
        <x:v>ТОРГОВЫЙ ЦЕНТР / КОММЕРЦИЯ ОСЗ</x:v>
      </x:c>
      <x:c r="T34" s="282" t="str">
        <x:v>ТОРГОВЫЙ ЦЕНТР / КОММЕРЦИЯ ОСЗ</x:v>
      </x:c>
      <x:c r="U34" s="282" t="str">
        <x:v>ТОРГОВЫЙ ЦЕНТР / КОММЕРЦИЯ ОСЗ</x:v>
      </x:c>
      <x:c r="V34" s="282" t="str">
        <x:v>ТОРГОВЫЙ ЦЕНТР / КОММЕРЦИЯ ОСЗ</x:v>
      </x:c>
      <x:c r="W34" s="282" t="str">
        <x:v>ТОРГОВЫЙ ЦЕНТР / КОММЕРЦИЯ ОСЗ</x:v>
      </x:c>
      <x:c r="X34" s="282" t="str">
        <x:v>ТОРГОВЫЙ ЦЕНТР / КОММЕРЦИЯ ОСЗ</x:v>
      </x:c>
      <x:c r="Y34" s="282" t="str">
        <x:v>ТОРГОВЫЙ ЦЕНТР / КОММЕРЦИЯ ОСЗ</x:v>
      </x:c>
      <x:c r="Z34" s="282" t="str">
        <x:v>ТОРГОВЫЙ ЦЕНТР / КОММЕРЦИЯ ОСЗ</x:v>
      </x:c>
      <x:c r="AA34" s="282" t="str">
        <x:v>ТОРГОВЫЙ ЦЕНТР / КОММЕРЦИЯ ОСЗ</x:v>
      </x:c>
      <x:c r="AB34" s="282" t="str">
        <x:v>ТОРГОВЫЙ ЦЕНТР / КОММЕРЦИЯ ОСЗ</x:v>
      </x:c>
      <x:c r="AC34" s="282" t="str">
        <x:v>ТОРГОВЫЙ ЦЕНТР / КОММЕРЦИЯ ОСЗ</x:v>
      </x:c>
      <x:c r="AD34" s="282" t="str">
        <x:v>ТОРГОВЫЙ ЦЕНТР / КОММЕРЦИЯ ОСЗ</x:v>
      </x:c>
      <x:c r="AE34" s="282" t="str">
        <x:v>ТОРГОВЫЙ ЦЕНТР / КОММЕРЦИЯ ОСЗ</x:v>
      </x:c>
      <x:c r="AF34" s="282" t="str">
        <x:v>ТОРГОВЫЙ ЦЕНТР / КОММЕРЦИЯ ОСЗ</x:v>
      </x:c>
      <x:c r="AG34" s="282" t="str">
        <x:v>ТОРГОВЫЙ ЦЕНТР / КОММЕРЦИЯ ОСЗ</x:v>
      </x:c>
      <x:c r="AH34" s="282" t="str">
        <x:v>ТОРГОВЫЙ ЦЕНТР / КОММЕРЦИЯ ОСЗ</x:v>
      </x:c>
      <x:c r="AI34" s="282" t="str">
        <x:v>ТОРГОВЫЙ ЦЕНТР / КОММЕРЦИЯ ОСЗ</x:v>
      </x:c>
      <x:c r="AJ34" s="282" t="str">
        <x:v>ТОРГОВЫЙ ЦЕНТР / КОММЕРЦИЯ ОСЗ</x:v>
      </x:c>
      <x:c r="AK34" s="282" t="str">
        <x:v>ТОРГОВЫЙ ЦЕНТР / КОММЕРЦИЯ ОСЗ</x:v>
      </x:c>
      <x:c r="AL34" s="282" t="str">
        <x:v>ТОРГОВЫЙ ЦЕНТР / КОММЕРЦИЯ ОСЗ</x:v>
      </x:c>
      <x:c r="AM34" s="282" t="str">
        <x:v>ТОРГОВЫЙ ЦЕНТР / КОММЕРЦИЯ ОСЗ</x:v>
      </x:c>
      <x:c r="AN34" s="282" t="str">
        <x:v>ТОРГОВЫЙ ЦЕНТР / КОММЕРЦИЯ ОСЗ</x:v>
      </x:c>
      <x:c r="AO34" s="282" t="str">
        <x:v>ТОРГОВЫЙ ЦЕНТР / КОММЕРЦИЯ ОСЗ</x:v>
      </x:c>
      <x:c r="AP34" s="282" t="str">
        <x:v>ТОРГОВЫЙ ЦЕНТР / КОММЕРЦИЯ ОСЗ</x:v>
      </x:c>
      <x:c r="AQ34" s="282" t="str">
        <x:v>ТОРГОВЫЙ ЦЕНТР / КОММЕРЦИЯ ОСЗ</x:v>
      </x:c>
      <x:c r="AR34" s="282" t="str">
        <x:v>ТОРГОВЫЙ ЦЕНТР / КОММЕРЦИЯ ОСЗ</x:v>
      </x:c>
      <x:c r="AS34" s="282" t="str">
        <x:v>ТОРГОВЫЙ ЦЕНТР / КОММЕРЦИЯ ОСЗ</x:v>
      </x:c>
      <x:c r="AT34" s="282" t="str">
        <x:v>ТОРГОВЫЙ ЦЕНТР / КОММЕРЦИЯ ОСЗ</x:v>
      </x:c>
      <x:c r="AU34" s="282" t="str">
        <x:v>ТОРГОВЫЙ ЦЕНТР / КОММЕРЦИЯ ОСЗ</x:v>
      </x:c>
      <x:c r="AV34" s="282" t="str">
        <x:v>ТОРГОВЫЙ ЦЕНТР / КОММЕРЦИЯ ОСЗ</x:v>
      </x:c>
      <x:c r="AW34" s="282" t="str">
        <x:v>ТОРГОВЫЙ ЦЕНТР / КОММЕРЦИЯ ОСЗ</x:v>
      </x:c>
      <x:c r="AX34" s="282" t="str">
        <x:v>ТОРГОВЫЙ ЦЕНТР / КОММЕРЦИЯ ОСЗ</x:v>
      </x:c>
      <x:c r="AY34" s="282" t="str">
        <x:v>ТОРГОВЫЙ ЦЕНТР / КОММЕРЦИЯ ОСЗ</x:v>
      </x:c>
      <x:c r="AZ34" s="282" t="str">
        <x:v>ТОРГОВЫЙ ЦЕНТР / КОММЕРЦИЯ ОСЗ</x:v>
      </x:c>
      <x:c r="BA34" s="282" t="str">
        <x:v>ТОРГОВЫЙ ЦЕНТР / КОММЕРЦИЯ ОСЗ</x:v>
      </x:c>
      <x:c r="BB34" s="282" t="str">
        <x:v>ТОРГОВЫЙ ЦЕНТР / КОММЕРЦИЯ ОСЗ</x:v>
      </x:c>
      <x:c r="BC34" s="282" t="str">
        <x:v>ТОРГОВЫЙ ЦЕНТР / КОММЕРЦИЯ ОСЗ</x:v>
      </x:c>
      <x:c r="BD34" s="282" t="str">
        <x:v>ТОРГОВЫЙ ЦЕНТР / КОММЕРЦИЯ ОСЗ</x:v>
      </x:c>
      <x:c r="BE34" s="282" t="str">
        <x:v>ТОРГОВЫЙ ЦЕНТР / КОММЕРЦИЯ ОСЗ</x:v>
      </x:c>
      <x:c r="BF34" s="282" t="str">
        <x:v>ТОРГОВЫЙ ЦЕНТР / КОММЕРЦИЯ ОСЗ</x:v>
      </x:c>
      <x:c r="BG34" s="282" t="str">
        <x:v>ТОРГОВЫЙ ЦЕНТР / КОММЕРЦИЯ ОСЗ</x:v>
      </x:c>
      <x:c r="BH34" s="282" t="str">
        <x:v>ТОРГОВЫЙ ЦЕНТР / КОММЕРЦИЯ ОСЗ</x:v>
      </x:c>
      <x:c r="BI34" s="282" t="str">
        <x:v>ТОРГОВЫЙ ЦЕНТР / КОММЕРЦИЯ ОСЗ</x:v>
      </x:c>
      <x:c r="BJ34" s="282" t="str">
        <x:v>ТОРГОВЫЙ ЦЕНТР / КОММЕРЦИЯ ОСЗ</x:v>
      </x:c>
      <x:c r="BK34" s="282" t="str">
        <x:v>ТОРГОВЫЙ ЦЕНТР / КОММЕРЦИЯ ОСЗ</x:v>
      </x:c>
      <x:c r="BL34" s="282" t="str">
        <x:v>ТОРГОВЫЙ ЦЕНТР / КОММЕРЦИЯ ОСЗ</x:v>
      </x:c>
      <x:c r="BM34" s="282" t="str">
        <x:v>ТОРГОВЫЙ ЦЕНТР / КОММЕРЦИЯ ОСЗ</x:v>
      </x:c>
      <x:c r="BN34" s="282" t="str">
        <x:v>ТОРГОВЫЙ ЦЕНТР / КОММЕРЦИЯ ОСЗ</x:v>
      </x:c>
      <x:c r="BO34" s="282" t="str">
        <x:v>ТОРГОВЫЙ ЦЕНТР / КОММЕРЦИЯ ОСЗ</x:v>
      </x:c>
      <x:c r="BP34" s="282" t="str">
        <x:v>ТОРГОВЫЙ ЦЕНТР / КОММЕРЦИЯ ОСЗ</x:v>
      </x:c>
      <x:c r="BQ34" s="282" t="str">
        <x:v>ТОРГОВЫЙ ЦЕНТР / КОММЕРЦИЯ ОСЗ</x:v>
      </x:c>
      <x:c r="BR34" s="282" t="str">
        <x:v>ТОРГОВЫЙ ЦЕНТР / КОММЕРЦИЯ ОСЗ</x:v>
      </x:c>
      <x:c r="BS34" s="282" t="str">
        <x:v>ТОРГОВЫЙ ЦЕНТР / КОММЕРЦИЯ ОСЗ</x:v>
      </x:c>
      <x:c r="BT34" s="282" t="str">
        <x:v>ТОРГОВЫЙ ЦЕНТР / КОММЕРЦИЯ ОСЗ</x:v>
      </x:c>
      <x:c r="BU34" s="282" t="str">
        <x:v>ТОРГОВЫЙ ЦЕНТР / КОММЕРЦИЯ ОСЗ</x:v>
      </x:c>
      <x:c r="BV34" s="282" t="str">
        <x:v>ТОРГОВЫЙ ЦЕНТР / КОММЕРЦИЯ ОСЗ</x:v>
      </x:c>
      <x:c r="BW34" s="282" t="str">
        <x:v>ТОРГОВЫЙ ЦЕНТР / КОММЕРЦИЯ ОСЗ</x:v>
      </x:c>
      <x:c r="BX34" s="282" t="str">
        <x:v>ТОРГОВЫЙ ЦЕНТР / КОММЕРЦИЯ ОСЗ</x:v>
      </x:c>
      <x:c r="BY34" s="282" t="str">
        <x:v>ТОРГОВЫЙ ЦЕНТР / КОММЕРЦИЯ ОСЗ</x:v>
      </x:c>
      <x:c r="BZ34" s="282" t="str">
        <x:v>ТОРГОВЫЙ ЦЕНТР / КОММЕРЦИЯ ОСЗ</x:v>
      </x:c>
      <x:c r="CA34" s="282" t="str">
        <x:v>ТОРГОВЫЙ ЦЕНТР / КОММЕРЦИЯ ОСЗ</x:v>
      </x:c>
      <x:c r="CB34" s="282" t="str">
        <x:v>ТОРГОВЫЙ ЦЕНТР / КОММЕРЦИЯ ОСЗ</x:v>
      </x:c>
      <x:c r="CC34" s="282" t="str">
        <x:v>ТОРГОВЫЙ ЦЕНТР / КОММЕРЦИЯ ОСЗ</x:v>
      </x:c>
      <x:c r="CD34" s="282" t="str">
        <x:v>ТОРГОВЫЙ ЦЕНТР / КОММЕРЦИЯ ОСЗ</x:v>
      </x:c>
      <x:c r="CE34" s="282" t="str">
        <x:v>ТОРГОВЫЙ ЦЕНТР / КОММЕРЦИЯ ОСЗ</x:v>
      </x:c>
      <x:c r="CF34" s="282" t="str">
        <x:v>ТОРГОВЫЙ ЦЕНТР / КОММЕРЦИЯ ОСЗ</x:v>
      </x:c>
      <x:c r="CG34" s="282" t="str">
        <x:v>ТОРГОВЫЙ ЦЕНТР / КОММЕРЦИЯ ОСЗ</x:v>
      </x:c>
      <x:c r="CH34" s="282" t="str">
        <x:v>ТОРГОВЫЙ ЦЕНТР / КОММЕРЦИЯ ОСЗ</x:v>
      </x:c>
      <x:c r="CI34" s="282" t="str">
        <x:v>ТОРГОВЫЙ ЦЕНТР / КОММЕРЦИЯ ОСЗ</x:v>
      </x:c>
      <x:c r="CJ34" s="282" t="str">
        <x:v>ТОРГОВЫЙ ЦЕНТР / КОММЕРЦИЯ ОСЗ</x:v>
      </x:c>
      <x:c r="CK34" s="282" t="str">
        <x:v>ТОРГОВЫЙ ЦЕНТР / КОММЕРЦИЯ ОСЗ</x:v>
      </x:c>
      <x:c r="CL34" s="282" t="str">
        <x:v>ТОРГОВЫЙ ЦЕНТР / КОММЕРЦИЯ ОСЗ</x:v>
      </x:c>
      <x:c r="CM34" s="282" t="str">
        <x:v>ТОРГОВЫЙ ЦЕНТР / КОММЕРЦИЯ ОСЗ</x:v>
      </x:c>
      <x:c r="CN34" s="282" t="str">
        <x:v>ТОРГОВЫЙ ЦЕНТР / КОММЕРЦИЯ ОСЗ</x:v>
      </x:c>
      <x:c r="CO34" s="282" t="str">
        <x:v>ТОРГОВЫЙ ЦЕНТР / КОММЕРЦИЯ ОСЗ</x:v>
      </x:c>
      <x:c r="CP34" s="282" t="str">
        <x:v>ТОРГОВЫЙ ЦЕНТР / КОММЕРЦИЯ ОСЗ</x:v>
      </x:c>
      <x:c r="CQ34" s="282" t="str">
        <x:v>ТОРГОВЫЙ ЦЕНТР / КОММЕРЦИЯ ОСЗ</x:v>
      </x:c>
      <x:c r="CR34" s="282" t="str">
        <x:v>ТОРГОВЫЙ ЦЕНТР / КОММЕРЦИЯ ОСЗ</x:v>
      </x:c>
      <x:c r="CS34" s="282" t="str">
        <x:v>ТОРГОВЫЙ ЦЕНТР / КОММЕРЦИЯ ОСЗ</x:v>
      </x:c>
      <x:c r="CT34" s="282" t="str">
        <x:v>ТОРГОВЫЙ ЦЕНТР / КОММЕРЦИЯ ОСЗ</x:v>
      </x:c>
      <x:c r="CU34" s="282" t="str">
        <x:v>ТОРГОВЫЙ ЦЕНТР / КОММЕРЦИЯ ОСЗ</x:v>
      </x:c>
      <x:c r="CV34" s="282" t="str">
        <x:v>ТОРГОВЫЙ ЦЕНТР / КОММЕРЦИЯ ОСЗ</x:v>
      </x:c>
      <x:c r="CW34" s="282" t="str">
        <x:v>ТОРГОВЫЙ ЦЕНТР / КОММЕРЦИЯ ОСЗ</x:v>
      </x:c>
      <x:c r="CX34" s="282" t="str">
        <x:v>ТОРГОВЫЙ ЦЕНТР / КОММЕРЦИЯ ОСЗ</x:v>
      </x:c>
      <x:c r="CY34" s="282" t="str">
        <x:v>ТОРГОВЫЙ ЦЕНТР / КОММЕРЦИЯ ОСЗ</x:v>
      </x:c>
      <x:c r="CZ34" s="282" t="str">
        <x:v>ТОРГОВЫЙ ЦЕНТР / КОММЕРЦИЯ ОСЗ</x:v>
      </x:c>
      <x:c r="DA34" s="282" t="str">
        <x:v>ТОРГОВЫЙ ЦЕНТР / КОММЕРЦИЯ ОСЗ</x:v>
      </x:c>
      <x:c r="DB34" s="282" t="str">
        <x:v>ТОРГОВЫЙ ЦЕНТР / КОММЕРЦИЯ ОСЗ</x:v>
      </x:c>
      <x:c r="DC34" s="282" t="str">
        <x:v>ТОРГОВЫЙ ЦЕНТР / КОММЕРЦИЯ ОСЗ</x:v>
      </x:c>
      <x:c r="DD34" s="282" t="str">
        <x:v>ТОРГОВЫЙ ЦЕНТР / КОММЕРЦИЯ ОСЗ</x:v>
      </x:c>
      <x:c r="DE34" s="282" t="str">
        <x:v>ТОРГОВЫЙ ЦЕНТР / КОММЕРЦИЯ ОСЗ</x:v>
      </x:c>
      <x:c r="DF34" s="282" t="str">
        <x:v>ТОРГОВЫЙ ЦЕНТР / КОММЕРЦИЯ ОСЗ</x:v>
      </x:c>
      <x:c r="DG34" s="282" t="str">
        <x:v>ТОРГОВЫЙ ЦЕНТР / КОММЕРЦИЯ ОСЗ</x:v>
      </x:c>
      <x:c r="DH34" s="282" t="str">
        <x:v>ТОРГОВЫЙ ЦЕНТР / КОММЕРЦИЯ ОСЗ</x:v>
      </x:c>
      <x:c r="DI34" s="282" t="str">
        <x:v>ТОРГОВЫЙ ЦЕНТР / КОММЕРЦИЯ ОСЗ</x:v>
      </x:c>
      <x:c r="DJ34" s="282" t="str">
        <x:v>ТОРГОВЫЙ ЦЕНТР / КОММЕРЦИЯ ОСЗ</x:v>
      </x:c>
      <x:c r="DK34" s="282" t="str">
        <x:v>ТОРГОВЫЙ ЦЕНТР / КОММЕРЦИЯ ОСЗ</x:v>
      </x:c>
      <x:c r="DL34" s="282" t="str">
        <x:v>ТОРГОВЫЙ ЦЕНТР / КОММЕРЦИЯ ОСЗ</x:v>
      </x:c>
      <x:c r="DM34" s="282" t="str">
        <x:v>ТОРГОВЫЙ ЦЕНТР / КОММЕРЦИЯ ОСЗ</x:v>
      </x:c>
      <x:c r="DN34" s="282" t="str">
        <x:v>ТОРГОВЫЙ ЦЕНТР / КОММЕРЦИЯ ОСЗ</x:v>
      </x:c>
      <x:c r="DO34" s="282" t="str">
        <x:v>ТОРГОВЫЙ ЦЕНТР / КОММЕРЦИЯ ОСЗ</x:v>
      </x:c>
      <x:c r="DP34" s="282" t="str">
        <x:v>ТОРГОВЫЙ ЦЕНТР / КОММЕРЦИЯ ОСЗ</x:v>
      </x:c>
      <x:c r="DQ34" s="282" t="str">
        <x:v>ТОРГОВЫЙ ЦЕНТР / КОММЕРЦИЯ ОСЗ</x:v>
      </x:c>
      <x:c r="DR34" s="282" t="str">
        <x:v>ТОРГОВЫЙ ЦЕНТР / КОММЕРЦИЯ ОСЗ</x:v>
      </x:c>
      <x:c r="DS34" s="283" t="str">
        <x:v>ТОРГОВЫЙ ЦЕНТР / КОММЕРЦИЯ ОСЗ</x:v>
      </x:c>
      <x:c r="DT34" s="283" t="str"/>
      <x:c r="DU34" s="283" t="str"/>
      <x:c r="DV34" s="283" t="str"/>
      <x:c r="DW34" s="283" t="str"/>
      <x:c r="DX34" s="283" t="str"/>
      <x:c r="DY34" s="283" t="str"/>
      <x:c r="DZ34" s="283" t="str"/>
      <x:c r="EA34" s="283" t="str"/>
      <x:c r="EB34" s="283" t="str"/>
      <x:c r="EC34" s="283" t="str"/>
      <x:c r="ED34" s="283" t="str"/>
      <x:c r="EE34" s="283" t="str"/>
      <x:c r="EF34" s="283" t="str"/>
      <x:c r="EG34" s="283" t="str"/>
      <x:c r="EH34" s="283" t="str"/>
      <x:c r="EI34" s="283" t="str"/>
      <x:c r="EJ34" s="283" t="str"/>
      <x:c r="EK34" s="283" t="str"/>
      <x:c r="EL34" s="283" t="str"/>
      <x:c r="EM34" s="283" t="str"/>
      <x:c r="EN34" s="283" t="str"/>
      <x:c r="EO34" s="283" t="str"/>
      <x:c r="EP34" s="283" t="str"/>
      <x:c r="EQ34" s="283" t="str"/>
      <x:c r="ER34" s="283" t="str"/>
      <x:c r="ES34" s="283" t="str"/>
      <x:c r="ET34" s="283" t="str"/>
      <x:c r="EU34" s="283" t="str"/>
      <x:c r="EV34" s="283" t="str"/>
      <x:c r="EW34" s="283" t="str"/>
      <x:c r="EX34" s="283" t="str"/>
      <x:c r="EY34" s="283" t="str"/>
      <x:c r="EZ34" s="283" t="str"/>
      <x:c r="FA34" s="283" t="str"/>
      <x:c r="FB34" s="283" t="str"/>
      <x:c r="FC34" s="283" t="str"/>
      <x:c r="FD34" s="283" t="str"/>
      <x:c r="FE34" s="283" t="str"/>
      <x:c r="FF34" s="283" t="str"/>
      <x:c r="FG34" s="283" t="str"/>
      <x:c r="FH34" s="283" t="str"/>
      <x:c r="FI34" s="283" t="str"/>
      <x:c r="FJ34" s="283" t="str"/>
      <x:c r="FK34" s="283" t="str"/>
      <x:c r="FL34" s="283" t="str"/>
      <x:c r="FM34" s="283" t="str"/>
      <x:c r="FN34" s="283" t="str"/>
      <x:c r="FO34" s="283" t="str"/>
      <x:c r="FP34" s="283" t="str"/>
      <x:c r="FQ34" s="283" t="str"/>
      <x:c r="FR34" s="283" t="str"/>
      <x:c r="FS34" s="283" t="str"/>
      <x:c r="FT34" s="283" t="str"/>
      <x:c r="FU34" s="283" t="str"/>
      <x:c r="FV34" s="283" t="str"/>
      <x:c r="FW34" s="283" t="str"/>
      <x:c r="FX34" s="283" t="str"/>
      <x:c r="FY34" s="283" t="str"/>
      <x:c r="FZ34" s="283" t="str"/>
      <x:c r="GA34" s="283" t="str"/>
    </x:row>
    <x:row r="35">
      <x:c r="A35" t="str">
        <x:v>Объект включён</x:v>
      </x:c>
      <x:c r="B35" t="str">
        <x:f>'Вводные'!$K$40</x:f>
      </x:c>
      <x:c r="C35" t="str">
        <x:v>Да / Нет</x:v>
      </x:c>
    </x:row>
    <x:row r="36">
      <x:c r="A36" t="str">
        <x:v>Очередь финансирования</x:v>
      </x:c>
      <x:c r="B36" t="n">
        <x:f>'Вводные'!$K$41</x:f>
      </x:c>
      <x:c r="C36" t="str">
        <x:v>1–3</x:v>
      </x:c>
    </x:row>
    <x:row r="37">
      <x:c r="A37" t="str">
        <x:v>Начало строительства</x:v>
      </x:c>
      <x:c r="B37" s="92" t="n">
        <x:f>EDATE('Вводные'!$K$47,'Вводные'!$H$9)</x:f>
      </x:c>
      <x:c r="C37" t="str">
        <x:v>дата</x:v>
      </x:c>
    </x:row>
    <x:row r="38">
      <x:c r="A38" t="str">
        <x:v>РВЭ</x:v>
      </x:c>
      <x:c r="B38" s="92" t="n">
        <x:f>EDATE(B37,'Вводные'!$K$48)</x:f>
      </x:c>
      <x:c r="C38" t="str">
        <x:v>дата</x:v>
      </x:c>
    </x:row>
    <x:row r="39">
      <x:c r="A39" t="str">
        <x:v>Старт продаж</x:v>
      </x:c>
      <x:c r="B39" s="92" t="n">
        <x:f>EDATE('Вводные'!$K$50,'Вводные'!$H$9)</x:f>
      </x:c>
      <x:c r="C39" t="str">
        <x:v>дата</x:v>
      </x:c>
    </x:row>
    <x:row r="40">
      <x:c r="A40" t="str">
        <x:v>Расчётная общая площадь (GBA)</x:v>
      </x:c>
      <x:c r="B40" s="132" t="n">
        <x:f>'Вводные'!$K$45</x:f>
      </x:c>
      <x:c r="C40" t="str">
        <x:v>м²</x:v>
      </x:c>
    </x:row>
    <x:row r="41">
      <x:c r="A41" t="str">
        <x:v>Расчётная продаваемая площадь</x:v>
      </x:c>
      <x:c r="B41" s="132" t="n">
        <x:f>'Вводные'!$K$46</x:f>
      </x:c>
      <x:c r="C41" t="str">
        <x:v>м²</x:v>
      </x:c>
    </x:row>
    <x:row r="42">
      <x:c r="A42" t="str">
        <x:v>Флаг строительства</x:v>
      </x:c>
      <x:c r="B42"/>
      <x:c r="C42" t="str">
        <x:v>0 / 1</x:v>
      </x:c>
      <x:c r="D42" t="n">
        <x:f>--AND(D$3&gt;=$B$37,D$3&lt;$B$38,AND($B$35="Да",IFERROR(INDEX('Вводные'!$B$88:$B$91,$B$36),"Нет")="Да"))</x:f>
      </x:c>
      <x:c r="E42" t="n">
        <x:f>--AND(E$3&gt;=$B$37,E$3&lt;$B$38,AND($B$35="Да",IFERROR(INDEX('Вводные'!$B$88:$B$91,$B$36),"Нет")="Да"))</x:f>
      </x:c>
      <x:c r="F42" t="n">
        <x:f>--AND(F$3&gt;=$B$37,F$3&lt;$B$38,AND($B$35="Да",IFERROR(INDEX('Вводные'!$B$88:$B$91,$B$36),"Нет")="Да"))</x:f>
      </x:c>
      <x:c r="G42" t="n">
        <x:f>--AND(G$3&gt;=$B$37,G$3&lt;$B$38,AND($B$35="Да",IFERROR(INDEX('Вводные'!$B$88:$B$91,$B$36),"Нет")="Да"))</x:f>
      </x:c>
      <x:c r="H42" t="n">
        <x:f>--AND(H$3&gt;=$B$37,H$3&lt;$B$38,AND($B$35="Да",IFERROR(INDEX('Вводные'!$B$88:$B$91,$B$36),"Нет")="Да"))</x:f>
      </x:c>
      <x:c r="I42" t="n">
        <x:f>--AND(I$3&gt;=$B$37,I$3&lt;$B$38,AND($B$35="Да",IFERROR(INDEX('Вводные'!$B$88:$B$91,$B$36),"Нет")="Да"))</x:f>
      </x:c>
      <x:c r="J42" t="n">
        <x:f>--AND(J$3&gt;=$B$37,J$3&lt;$B$38,AND($B$35="Да",IFERROR(INDEX('Вводные'!$B$88:$B$91,$B$36),"Нет")="Да"))</x:f>
      </x:c>
      <x:c r="K42" t="n">
        <x:f>--AND(K$3&gt;=$B$37,K$3&lt;$B$38,AND($B$35="Да",IFERROR(INDEX('Вводные'!$B$88:$B$91,$B$36),"Нет")="Да"))</x:f>
      </x:c>
      <x:c r="L42" t="n">
        <x:f>--AND(L$3&gt;=$B$37,L$3&lt;$B$38,AND($B$35="Да",IFERROR(INDEX('Вводные'!$B$88:$B$91,$B$36),"Нет")="Да"))</x:f>
      </x:c>
      <x:c r="M42" t="n">
        <x:f>--AND(M$3&gt;=$B$37,M$3&lt;$B$38,AND($B$35="Да",IFERROR(INDEX('Вводные'!$B$88:$B$91,$B$36),"Нет")="Да"))</x:f>
      </x:c>
      <x:c r="N42" t="n">
        <x:f>--AND(N$3&gt;=$B$37,N$3&lt;$B$38,AND($B$35="Да",IFERROR(INDEX('Вводные'!$B$88:$B$91,$B$36),"Нет")="Да"))</x:f>
      </x:c>
      <x:c r="O42" t="n">
        <x:f>--AND(O$3&gt;=$B$37,O$3&lt;$B$38,AND($B$35="Да",IFERROR(INDEX('Вводные'!$B$88:$B$91,$B$36),"Нет")="Да"))</x:f>
      </x:c>
      <x:c r="P42" t="n">
        <x:f>--AND(P$3&gt;=$B$37,P$3&lt;$B$38,AND($B$35="Да",IFERROR(INDEX('Вводные'!$B$88:$B$91,$B$36),"Нет")="Да"))</x:f>
      </x:c>
      <x:c r="Q42" t="n">
        <x:f>--AND(Q$3&gt;=$B$37,Q$3&lt;$B$38,AND($B$35="Да",IFERROR(INDEX('Вводные'!$B$88:$B$91,$B$36),"Нет")="Да"))</x:f>
      </x:c>
      <x:c r="R42" t="n">
        <x:f>--AND(R$3&gt;=$B$37,R$3&lt;$B$38,AND($B$35="Да",IFERROR(INDEX('Вводные'!$B$88:$B$91,$B$36),"Нет")="Да"))</x:f>
      </x:c>
      <x:c r="S42" t="n">
        <x:f>--AND(S$3&gt;=$B$37,S$3&lt;$B$38,AND($B$35="Да",IFERROR(INDEX('Вводные'!$B$88:$B$91,$B$36),"Нет")="Да"))</x:f>
      </x:c>
      <x:c r="T42" t="n">
        <x:f>--AND(T$3&gt;=$B$37,T$3&lt;$B$38,AND($B$35="Да",IFERROR(INDEX('Вводные'!$B$88:$B$91,$B$36),"Нет")="Да"))</x:f>
      </x:c>
      <x:c r="U42" t="n">
        <x:f>--AND(U$3&gt;=$B$37,U$3&lt;$B$38,AND($B$35="Да",IFERROR(INDEX('Вводные'!$B$88:$B$91,$B$36),"Нет")="Да"))</x:f>
      </x:c>
      <x:c r="V42" t="n">
        <x:f>--AND(V$3&gt;=$B$37,V$3&lt;$B$38,AND($B$35="Да",IFERROR(INDEX('Вводные'!$B$88:$B$91,$B$36),"Нет")="Да"))</x:f>
      </x:c>
      <x:c r="W42" t="n">
        <x:f>--AND(W$3&gt;=$B$37,W$3&lt;$B$38,AND($B$35="Да",IFERROR(INDEX('Вводные'!$B$88:$B$91,$B$36),"Нет")="Да"))</x:f>
      </x:c>
      <x:c r="X42" t="n">
        <x:f>--AND(X$3&gt;=$B$37,X$3&lt;$B$38,AND($B$35="Да",IFERROR(INDEX('Вводные'!$B$88:$B$91,$B$36),"Нет")="Да"))</x:f>
      </x:c>
      <x:c r="Y42" t="n">
        <x:f>--AND(Y$3&gt;=$B$37,Y$3&lt;$B$38,AND($B$35="Да",IFERROR(INDEX('Вводные'!$B$88:$B$91,$B$36),"Нет")="Да"))</x:f>
      </x:c>
      <x:c r="Z42" t="n">
        <x:f>--AND(Z$3&gt;=$B$37,Z$3&lt;$B$38,AND($B$35="Да",IFERROR(INDEX('Вводные'!$B$88:$B$91,$B$36),"Нет")="Да"))</x:f>
      </x:c>
      <x:c r="AA42" t="n">
        <x:f>--AND(AA$3&gt;=$B$37,AA$3&lt;$B$38,AND($B$35="Да",IFERROR(INDEX('Вводные'!$B$88:$B$91,$B$36),"Нет")="Да"))</x:f>
      </x:c>
      <x:c r="AB42" t="n">
        <x:f>--AND(AB$3&gt;=$B$37,AB$3&lt;$B$38,AND($B$35="Да",IFERROR(INDEX('Вводные'!$B$88:$B$91,$B$36),"Нет")="Да"))</x:f>
      </x:c>
      <x:c r="AC42" t="n">
        <x:f>--AND(AC$3&gt;=$B$37,AC$3&lt;$B$38,AND($B$35="Да",IFERROR(INDEX('Вводные'!$B$88:$B$91,$B$36),"Нет")="Да"))</x:f>
      </x:c>
      <x:c r="AD42" t="n">
        <x:f>--AND(AD$3&gt;=$B$37,AD$3&lt;$B$38,AND($B$35="Да",IFERROR(INDEX('Вводные'!$B$88:$B$91,$B$36),"Нет")="Да"))</x:f>
      </x:c>
      <x:c r="AE42" t="n">
        <x:f>--AND(AE$3&gt;=$B$37,AE$3&lt;$B$38,AND($B$35="Да",IFERROR(INDEX('Вводные'!$B$88:$B$91,$B$36),"Нет")="Да"))</x:f>
      </x:c>
      <x:c r="AF42" t="n">
        <x:f>--AND(AF$3&gt;=$B$37,AF$3&lt;$B$38,AND($B$35="Да",IFERROR(INDEX('Вводные'!$B$88:$B$91,$B$36),"Нет")="Да"))</x:f>
      </x:c>
      <x:c r="AG42" t="n">
        <x:f>--AND(AG$3&gt;=$B$37,AG$3&lt;$B$38,AND($B$35="Да",IFERROR(INDEX('Вводные'!$B$88:$B$91,$B$36),"Нет")="Да"))</x:f>
      </x:c>
      <x:c r="AH42" t="n">
        <x:f>--AND(AH$3&gt;=$B$37,AH$3&lt;$B$38,AND($B$35="Да",IFERROR(INDEX('Вводные'!$B$88:$B$91,$B$36),"Нет")="Да"))</x:f>
      </x:c>
      <x:c r="AI42" t="n">
        <x:f>--AND(AI$3&gt;=$B$37,AI$3&lt;$B$38,AND($B$35="Да",IFERROR(INDEX('Вводные'!$B$88:$B$91,$B$36),"Нет")="Да"))</x:f>
      </x:c>
      <x:c r="AJ42" t="n">
        <x:f>--AND(AJ$3&gt;=$B$37,AJ$3&lt;$B$38,AND($B$35="Да",IFERROR(INDEX('Вводные'!$B$88:$B$91,$B$36),"Нет")="Да"))</x:f>
      </x:c>
      <x:c r="AK42" t="n">
        <x:f>--AND(AK$3&gt;=$B$37,AK$3&lt;$B$38,AND($B$35="Да",IFERROR(INDEX('Вводные'!$B$88:$B$91,$B$36),"Нет")="Да"))</x:f>
      </x:c>
      <x:c r="AL42" t="n">
        <x:f>--AND(AL$3&gt;=$B$37,AL$3&lt;$B$38,AND($B$35="Да",IFERROR(INDEX('Вводные'!$B$88:$B$91,$B$36),"Нет")="Да"))</x:f>
      </x:c>
      <x:c r="AM42" t="n">
        <x:f>--AND(AM$3&gt;=$B$37,AM$3&lt;$B$38,AND($B$35="Да",IFERROR(INDEX('Вводные'!$B$88:$B$91,$B$36),"Нет")="Да"))</x:f>
      </x:c>
      <x:c r="AN42" t="n">
        <x:f>--AND(AN$3&gt;=$B$37,AN$3&lt;$B$38,AND($B$35="Да",IFERROR(INDEX('Вводные'!$B$88:$B$91,$B$36),"Нет")="Да"))</x:f>
      </x:c>
      <x:c r="AO42" t="n">
        <x:f>--AND(AO$3&gt;=$B$37,AO$3&lt;$B$38,AND($B$35="Да",IFERROR(INDEX('Вводные'!$B$88:$B$91,$B$36),"Нет")="Да"))</x:f>
      </x:c>
      <x:c r="AP42" t="n">
        <x:f>--AND(AP$3&gt;=$B$37,AP$3&lt;$B$38,AND($B$35="Да",IFERROR(INDEX('Вводные'!$B$88:$B$91,$B$36),"Нет")="Да"))</x:f>
      </x:c>
      <x:c r="AQ42" t="n">
        <x:f>--AND(AQ$3&gt;=$B$37,AQ$3&lt;$B$38,AND($B$35="Да",IFERROR(INDEX('Вводные'!$B$88:$B$91,$B$36),"Нет")="Да"))</x:f>
      </x:c>
      <x:c r="AR42" t="n">
        <x:f>--AND(AR$3&gt;=$B$37,AR$3&lt;$B$38,AND($B$35="Да",IFERROR(INDEX('Вводные'!$B$88:$B$91,$B$36),"Нет")="Да"))</x:f>
      </x:c>
      <x:c r="AS42" t="n">
        <x:f>--AND(AS$3&gt;=$B$37,AS$3&lt;$B$38,AND($B$35="Да",IFERROR(INDEX('Вводные'!$B$88:$B$91,$B$36),"Нет")="Да"))</x:f>
      </x:c>
      <x:c r="AT42" t="n">
        <x:f>--AND(AT$3&gt;=$B$37,AT$3&lt;$B$38,AND($B$35="Да",IFERROR(INDEX('Вводные'!$B$88:$B$91,$B$36),"Нет")="Да"))</x:f>
      </x:c>
      <x:c r="AU42" t="n">
        <x:f>--AND(AU$3&gt;=$B$37,AU$3&lt;$B$38,AND($B$35="Да",IFERROR(INDEX('Вводные'!$B$88:$B$91,$B$36),"Нет")="Да"))</x:f>
      </x:c>
      <x:c r="AV42" t="n">
        <x:f>--AND(AV$3&gt;=$B$37,AV$3&lt;$B$38,AND($B$35="Да",IFERROR(INDEX('Вводные'!$B$88:$B$91,$B$36),"Нет")="Да"))</x:f>
      </x:c>
      <x:c r="AW42" t="n">
        <x:f>--AND(AW$3&gt;=$B$37,AW$3&lt;$B$38,AND($B$35="Да",IFERROR(INDEX('Вводные'!$B$88:$B$91,$B$36),"Нет")="Да"))</x:f>
      </x:c>
      <x:c r="AX42" t="n">
        <x:f>--AND(AX$3&gt;=$B$37,AX$3&lt;$B$38,AND($B$35="Да",IFERROR(INDEX('Вводные'!$B$88:$B$91,$B$36),"Нет")="Да"))</x:f>
      </x:c>
      <x:c r="AY42" t="n">
        <x:f>--AND(AY$3&gt;=$B$37,AY$3&lt;$B$38,AND($B$35="Да",IFERROR(INDEX('Вводные'!$B$88:$B$91,$B$36),"Нет")="Да"))</x:f>
      </x:c>
      <x:c r="AZ42" t="n">
        <x:f>--AND(AZ$3&gt;=$B$37,AZ$3&lt;$B$38,AND($B$35="Да",IFERROR(INDEX('Вводные'!$B$88:$B$91,$B$36),"Нет")="Да"))</x:f>
      </x:c>
      <x:c r="BA42" t="n">
        <x:f>--AND(BA$3&gt;=$B$37,BA$3&lt;$B$38,AND($B$35="Да",IFERROR(INDEX('Вводные'!$B$88:$B$91,$B$36),"Нет")="Да"))</x:f>
      </x:c>
      <x:c r="BB42" t="n">
        <x:f>--AND(BB$3&gt;=$B$37,BB$3&lt;$B$38,AND($B$35="Да",IFERROR(INDEX('Вводные'!$B$88:$B$91,$B$36),"Нет")="Да"))</x:f>
      </x:c>
      <x:c r="BC42" t="n">
        <x:f>--AND(BC$3&gt;=$B$37,BC$3&lt;$B$38,AND($B$35="Да",IFERROR(INDEX('Вводные'!$B$88:$B$91,$B$36),"Нет")="Да"))</x:f>
      </x:c>
      <x:c r="BD42" t="n">
        <x:f>--AND(BD$3&gt;=$B$37,BD$3&lt;$B$38,AND($B$35="Да",IFERROR(INDEX('Вводные'!$B$88:$B$91,$B$36),"Нет")="Да"))</x:f>
      </x:c>
      <x:c r="BE42" t="n">
        <x:f>--AND(BE$3&gt;=$B$37,BE$3&lt;$B$38,AND($B$35="Да",IFERROR(INDEX('Вводные'!$B$88:$B$91,$B$36),"Нет")="Да"))</x:f>
      </x:c>
      <x:c r="BF42" t="n">
        <x:f>--AND(BF$3&gt;=$B$37,BF$3&lt;$B$38,AND($B$35="Да",IFERROR(INDEX('Вводные'!$B$88:$B$91,$B$36),"Нет")="Да"))</x:f>
      </x:c>
      <x:c r="BG42" t="n">
        <x:f>--AND(BG$3&gt;=$B$37,BG$3&lt;$B$38,AND($B$35="Да",IFERROR(INDEX('Вводные'!$B$88:$B$91,$B$36),"Нет")="Да"))</x:f>
      </x:c>
      <x:c r="BH42" t="n">
        <x:f>--AND(BH$3&gt;=$B$37,BH$3&lt;$B$38,AND($B$35="Да",IFERROR(INDEX('Вводные'!$B$88:$B$91,$B$36),"Нет")="Да"))</x:f>
      </x:c>
      <x:c r="BI42" t="n">
        <x:f>--AND(BI$3&gt;=$B$37,BI$3&lt;$B$38,AND($B$35="Да",IFERROR(INDEX('Вводные'!$B$88:$B$91,$B$36),"Нет")="Да"))</x:f>
      </x:c>
      <x:c r="BJ42" t="n">
        <x:f>--AND(BJ$3&gt;=$B$37,BJ$3&lt;$B$38,AND($B$35="Да",IFERROR(INDEX('Вводные'!$B$88:$B$91,$B$36),"Нет")="Да"))</x:f>
      </x:c>
      <x:c r="BK42" t="n">
        <x:f>--AND(BK$3&gt;=$B$37,BK$3&lt;$B$38,AND($B$35="Да",IFERROR(INDEX('Вводные'!$B$88:$B$91,$B$36),"Нет")="Да"))</x:f>
      </x:c>
      <x:c r="BL42" t="n">
        <x:f>--AND(BL$3&gt;=$B$37,BL$3&lt;$B$38,AND($B$35="Да",IFERROR(INDEX('Вводные'!$B$88:$B$91,$B$36),"Нет")="Да"))</x:f>
      </x:c>
      <x:c r="BM42" t="n">
        <x:f>--AND(BM$3&gt;=$B$37,BM$3&lt;$B$38,AND($B$35="Да",IFERROR(INDEX('Вводные'!$B$88:$B$91,$B$36),"Нет")="Да"))</x:f>
      </x:c>
      <x:c r="BN42" t="n">
        <x:f>--AND(BN$3&gt;=$B$37,BN$3&lt;$B$38,AND($B$35="Да",IFERROR(INDEX('Вводные'!$B$88:$B$91,$B$36),"Нет")="Да"))</x:f>
      </x:c>
      <x:c r="BO42" t="n">
        <x:f>--AND(BO$3&gt;=$B$37,BO$3&lt;$B$38,AND($B$35="Да",IFERROR(INDEX('Вводные'!$B$88:$B$91,$B$36),"Нет")="Да"))</x:f>
      </x:c>
      <x:c r="BP42" t="n">
        <x:f>--AND(BP$3&gt;=$B$37,BP$3&lt;$B$38,AND($B$35="Да",IFERROR(INDEX('Вводные'!$B$88:$B$91,$B$36),"Нет")="Да"))</x:f>
      </x:c>
      <x:c r="BQ42" t="n">
        <x:f>--AND(BQ$3&gt;=$B$37,BQ$3&lt;$B$38,AND($B$35="Да",IFERROR(INDEX('Вводные'!$B$88:$B$91,$B$36),"Нет")="Да"))</x:f>
      </x:c>
      <x:c r="BR42" t="n">
        <x:f>--AND(BR$3&gt;=$B$37,BR$3&lt;$B$38,AND($B$35="Да",IFERROR(INDEX('Вводные'!$B$88:$B$91,$B$36),"Нет")="Да"))</x:f>
      </x:c>
      <x:c r="BS42" t="n">
        <x:f>--AND(BS$3&gt;=$B$37,BS$3&lt;$B$38,AND($B$35="Да",IFERROR(INDEX('Вводные'!$B$88:$B$91,$B$36),"Нет")="Да"))</x:f>
      </x:c>
      <x:c r="BT42" t="n">
        <x:f>--AND(BT$3&gt;=$B$37,BT$3&lt;$B$38,AND($B$35="Да",IFERROR(INDEX('Вводные'!$B$88:$B$91,$B$36),"Нет")="Да"))</x:f>
      </x:c>
      <x:c r="BU42" t="n">
        <x:f>--AND(BU$3&gt;=$B$37,BU$3&lt;$B$38,AND($B$35="Да",IFERROR(INDEX('Вводные'!$B$88:$B$91,$B$36),"Нет")="Да"))</x:f>
      </x:c>
      <x:c r="BV42" t="n">
        <x:f>--AND(BV$3&gt;=$B$37,BV$3&lt;$B$38,AND($B$35="Да",IFERROR(INDEX('Вводные'!$B$88:$B$91,$B$36),"Нет")="Да"))</x:f>
      </x:c>
      <x:c r="BW42" t="n">
        <x:f>--AND(BW$3&gt;=$B$37,BW$3&lt;$B$38,AND($B$35="Да",IFERROR(INDEX('Вводные'!$B$88:$B$91,$B$36),"Нет")="Да"))</x:f>
      </x:c>
      <x:c r="BX42" t="n">
        <x:f>--AND(BX$3&gt;=$B$37,BX$3&lt;$B$38,AND($B$35="Да",IFERROR(INDEX('Вводные'!$B$88:$B$91,$B$36),"Нет")="Да"))</x:f>
      </x:c>
      <x:c r="BY42" t="n">
        <x:f>--AND(BY$3&gt;=$B$37,BY$3&lt;$B$38,AND($B$35="Да",IFERROR(INDEX('Вводные'!$B$88:$B$91,$B$36),"Нет")="Да"))</x:f>
      </x:c>
      <x:c r="BZ42" t="n">
        <x:f>--AND(BZ$3&gt;=$B$37,BZ$3&lt;$B$38,AND($B$35="Да",IFERROR(INDEX('Вводные'!$B$88:$B$91,$B$36),"Нет")="Да"))</x:f>
      </x:c>
      <x:c r="CA42" t="n">
        <x:f>--AND(CA$3&gt;=$B$37,CA$3&lt;$B$38,AND($B$35="Да",IFERROR(INDEX('Вводные'!$B$88:$B$91,$B$36),"Нет")="Да"))</x:f>
      </x:c>
      <x:c r="CB42" t="n">
        <x:f>--AND(CB$3&gt;=$B$37,CB$3&lt;$B$38,AND($B$35="Да",IFERROR(INDEX('Вводные'!$B$88:$B$91,$B$36),"Нет")="Да"))</x:f>
      </x:c>
      <x:c r="CC42" t="n">
        <x:f>--AND(CC$3&gt;=$B$37,CC$3&lt;$B$38,AND($B$35="Да",IFERROR(INDEX('Вводные'!$B$88:$B$91,$B$36),"Нет")="Да"))</x:f>
      </x:c>
      <x:c r="CD42" t="n">
        <x:f>--AND(CD$3&gt;=$B$37,CD$3&lt;$B$38,AND($B$35="Да",IFERROR(INDEX('Вводные'!$B$88:$B$91,$B$36),"Нет")="Да"))</x:f>
      </x:c>
      <x:c r="CE42" t="n">
        <x:f>--AND(CE$3&gt;=$B$37,CE$3&lt;$B$38,AND($B$35="Да",IFERROR(INDEX('Вводные'!$B$88:$B$91,$B$36),"Нет")="Да"))</x:f>
      </x:c>
      <x:c r="CF42" t="n">
        <x:f>--AND(CF$3&gt;=$B$37,CF$3&lt;$B$38,AND($B$35="Да",IFERROR(INDEX('Вводные'!$B$88:$B$91,$B$36),"Нет")="Да"))</x:f>
      </x:c>
      <x:c r="CG42" t="n">
        <x:f>--AND(CG$3&gt;=$B$37,CG$3&lt;$B$38,AND($B$35="Да",IFERROR(INDEX('Вводные'!$B$88:$B$91,$B$36),"Нет")="Да"))</x:f>
      </x:c>
      <x:c r="CH42" t="n">
        <x:f>--AND(CH$3&gt;=$B$37,CH$3&lt;$B$38,AND($B$35="Да",IFERROR(INDEX('Вводные'!$B$88:$B$91,$B$36),"Нет")="Да"))</x:f>
      </x:c>
      <x:c r="CI42" t="n">
        <x:f>--AND(CI$3&gt;=$B$37,CI$3&lt;$B$38,AND($B$35="Да",IFERROR(INDEX('Вводные'!$B$88:$B$91,$B$36),"Нет")="Да"))</x:f>
      </x:c>
      <x:c r="CJ42" t="n">
        <x:f>--AND(CJ$3&gt;=$B$37,CJ$3&lt;$B$38,AND($B$35="Да",IFERROR(INDEX('Вводные'!$B$88:$B$91,$B$36),"Нет")="Да"))</x:f>
      </x:c>
      <x:c r="CK42" t="n">
        <x:f>--AND(CK$3&gt;=$B$37,CK$3&lt;$B$38,AND($B$35="Да",IFERROR(INDEX('Вводные'!$B$88:$B$91,$B$36),"Нет")="Да"))</x:f>
      </x:c>
      <x:c r="CL42" t="n">
        <x:f>--AND(CL$3&gt;=$B$37,CL$3&lt;$B$38,AND($B$35="Да",IFERROR(INDEX('Вводные'!$B$88:$B$91,$B$36),"Нет")="Да"))</x:f>
      </x:c>
      <x:c r="CM42" t="n">
        <x:f>--AND(CM$3&gt;=$B$37,CM$3&lt;$B$38,AND($B$35="Да",IFERROR(INDEX('Вводные'!$B$88:$B$91,$B$36),"Нет")="Да"))</x:f>
      </x:c>
      <x:c r="CN42" t="n">
        <x:f>--AND(CN$3&gt;=$B$37,CN$3&lt;$B$38,AND($B$35="Да",IFERROR(INDEX('Вводные'!$B$88:$B$91,$B$36),"Нет")="Да"))</x:f>
      </x:c>
      <x:c r="CO42" t="n">
        <x:f>--AND(CO$3&gt;=$B$37,CO$3&lt;$B$38,AND($B$35="Да",IFERROR(INDEX('Вводные'!$B$88:$B$91,$B$36),"Нет")="Да"))</x:f>
      </x:c>
      <x:c r="CP42" t="n">
        <x:f>--AND(CP$3&gt;=$B$37,CP$3&lt;$B$38,AND($B$35="Да",IFERROR(INDEX('Вводные'!$B$88:$B$91,$B$36),"Нет")="Да"))</x:f>
      </x:c>
      <x:c r="CQ42" t="n">
        <x:f>--AND(CQ$3&gt;=$B$37,CQ$3&lt;$B$38,AND($B$35="Да",IFERROR(INDEX('Вводные'!$B$88:$B$91,$B$36),"Нет")="Да"))</x:f>
      </x:c>
      <x:c r="CR42" t="n">
        <x:f>--AND(CR$3&gt;=$B$37,CR$3&lt;$B$38,AND($B$35="Да",IFERROR(INDEX('Вводные'!$B$88:$B$91,$B$36),"Нет")="Да"))</x:f>
      </x:c>
      <x:c r="CS42" t="n">
        <x:f>--AND(CS$3&gt;=$B$37,CS$3&lt;$B$38,AND($B$35="Да",IFERROR(INDEX('Вводные'!$B$88:$B$91,$B$36),"Нет")="Да"))</x:f>
      </x:c>
      <x:c r="CT42" t="n">
        <x:f>--AND(CT$3&gt;=$B$37,CT$3&lt;$B$38,AND($B$35="Да",IFERROR(INDEX('Вводные'!$B$88:$B$91,$B$36),"Нет")="Да"))</x:f>
      </x:c>
      <x:c r="CU42" t="n">
        <x:f>--AND(CU$3&gt;=$B$37,CU$3&lt;$B$38,AND($B$35="Да",IFERROR(INDEX('Вводные'!$B$88:$B$91,$B$36),"Нет")="Да"))</x:f>
      </x:c>
      <x:c r="CV42" t="n">
        <x:f>--AND(CV$3&gt;=$B$37,CV$3&lt;$B$38,AND($B$35="Да",IFERROR(INDEX('Вводные'!$B$88:$B$91,$B$36),"Нет")="Да"))</x:f>
      </x:c>
      <x:c r="CW42" t="n">
        <x:f>--AND(CW$3&gt;=$B$37,CW$3&lt;$B$38,AND($B$35="Да",IFERROR(INDEX('Вводные'!$B$88:$B$91,$B$36),"Нет")="Да"))</x:f>
      </x:c>
      <x:c r="CX42" t="n">
        <x:f>--AND(CX$3&gt;=$B$37,CX$3&lt;$B$38,AND($B$35="Да",IFERROR(INDEX('Вводные'!$B$88:$B$91,$B$36),"Нет")="Да"))</x:f>
      </x:c>
      <x:c r="CY42" t="n">
        <x:f>--AND(CY$3&gt;=$B$37,CY$3&lt;$B$38,AND($B$35="Да",IFERROR(INDEX('Вводные'!$B$88:$B$91,$B$36),"Нет")="Да"))</x:f>
      </x:c>
      <x:c r="CZ42" t="n">
        <x:f>--AND(CZ$3&gt;=$B$37,CZ$3&lt;$B$38,AND($B$35="Да",IFERROR(INDEX('Вводные'!$B$88:$B$91,$B$36),"Нет")="Да"))</x:f>
      </x:c>
      <x:c r="DA42" t="n">
        <x:f>--AND(DA$3&gt;=$B$37,DA$3&lt;$B$38,AND($B$35="Да",IFERROR(INDEX('Вводные'!$B$88:$B$91,$B$36),"Нет")="Да"))</x:f>
      </x:c>
      <x:c r="DB42" t="n">
        <x:f>--AND(DB$3&gt;=$B$37,DB$3&lt;$B$38,AND($B$35="Да",IFERROR(INDEX('Вводные'!$B$88:$B$91,$B$36),"Нет")="Да"))</x:f>
      </x:c>
      <x:c r="DC42" t="n">
        <x:f>--AND(DC$3&gt;=$B$37,DC$3&lt;$B$38,AND($B$35="Да",IFERROR(INDEX('Вводные'!$B$88:$B$91,$B$36),"Нет")="Да"))</x:f>
      </x:c>
      <x:c r="DD42" t="n">
        <x:f>--AND(DD$3&gt;=$B$37,DD$3&lt;$B$38,AND($B$35="Да",IFERROR(INDEX('Вводные'!$B$88:$B$91,$B$36),"Нет")="Да"))</x:f>
      </x:c>
      <x:c r="DE42" t="n">
        <x:f>--AND(DE$3&gt;=$B$37,DE$3&lt;$B$38,AND($B$35="Да",IFERROR(INDEX('Вводные'!$B$88:$B$91,$B$36),"Нет")="Да"))</x:f>
      </x:c>
      <x:c r="DF42" t="n">
        <x:f>--AND(DF$3&gt;=$B$37,DF$3&lt;$B$38,AND($B$35="Да",IFERROR(INDEX('Вводные'!$B$88:$B$91,$B$36),"Нет")="Да"))</x:f>
      </x:c>
      <x:c r="DG42" t="n">
        <x:f>--AND(DG$3&gt;=$B$37,DG$3&lt;$B$38,AND($B$35="Да",IFERROR(INDEX('Вводные'!$B$88:$B$91,$B$36),"Нет")="Да"))</x:f>
      </x:c>
      <x:c r="DH42" t="n">
        <x:f>--AND(DH$3&gt;=$B$37,DH$3&lt;$B$38,AND($B$35="Да",IFERROR(INDEX('Вводные'!$B$88:$B$91,$B$36),"Нет")="Да"))</x:f>
      </x:c>
      <x:c r="DI42" t="n">
        <x:f>--AND(DI$3&gt;=$B$37,DI$3&lt;$B$38,AND($B$35="Да",IFERROR(INDEX('Вводные'!$B$88:$B$91,$B$36),"Нет")="Да"))</x:f>
      </x:c>
      <x:c r="DJ42" t="n">
        <x:f>--AND(DJ$3&gt;=$B$37,DJ$3&lt;$B$38,AND($B$35="Да",IFERROR(INDEX('Вводные'!$B$88:$B$91,$B$36),"Нет")="Да"))</x:f>
      </x:c>
      <x:c r="DK42" t="n">
        <x:f>--AND(DK$3&gt;=$B$37,DK$3&lt;$B$38,AND($B$35="Да",IFERROR(INDEX('Вводные'!$B$88:$B$91,$B$36),"Нет")="Да"))</x:f>
      </x:c>
      <x:c r="DL42" t="n">
        <x:f>--AND(DL$3&gt;=$B$37,DL$3&lt;$B$38,AND($B$35="Да",IFERROR(INDEX('Вводные'!$B$88:$B$91,$B$36),"Нет")="Да"))</x:f>
      </x:c>
      <x:c r="DM42" t="n">
        <x:f>--AND(DM$3&gt;=$B$37,DM$3&lt;$B$38,AND($B$35="Да",IFERROR(INDEX('Вводные'!$B$88:$B$91,$B$36),"Нет")="Да"))</x:f>
      </x:c>
      <x:c r="DN42" t="n">
        <x:f>--AND(DN$3&gt;=$B$37,DN$3&lt;$B$38,AND($B$35="Да",IFERROR(INDEX('Вводные'!$B$88:$B$91,$B$36),"Нет")="Да"))</x:f>
      </x:c>
      <x:c r="DO42" t="n">
        <x:f>--AND(DO$3&gt;=$B$37,DO$3&lt;$B$38,AND($B$35="Да",IFERROR(INDEX('Вводные'!$B$88:$B$91,$B$36),"Нет")="Да"))</x:f>
      </x:c>
      <x:c r="DP42" t="n">
        <x:f>--AND(DP$3&gt;=$B$37,DP$3&lt;$B$38,AND($B$35="Да",IFERROR(INDEX('Вводные'!$B$88:$B$91,$B$36),"Нет")="Да"))</x:f>
      </x:c>
      <x:c r="DQ42" t="n">
        <x:f>--AND(DQ$3&gt;=$B$37,DQ$3&lt;$B$38,AND($B$35="Да",IFERROR(INDEX('Вводные'!$B$88:$B$91,$B$36),"Нет")="Да"))</x:f>
      </x:c>
      <x:c r="DR42" t="n">
        <x:f>--AND(DR$3&gt;=$B$37,DR$3&lt;$B$38,AND($B$35="Да",IFERROR(INDEX('Вводные'!$B$88:$B$91,$B$36),"Нет")="Да"))</x:f>
      </x:c>
      <x:c r="DS42" t="n">
        <x:f>--AND(DS$3&gt;=$B$37,DS$3&lt;$B$38,AND($B$35="Да",IFERROR(INDEX('Вводные'!$B$88:$B$91,$B$36),"Нет")="Да"))</x:f>
      </x:c>
      <x:c r="DT42" t="n">
        <x:f>--AND(DT$3&gt;=$B$37,DT$3&lt;$B$38,AND($B$35="Да",IFERROR(INDEX('Вводные'!$B$88:$B$91,$B$36),"Нет")="Да"))</x:f>
      </x:c>
      <x:c r="DU42" t="n">
        <x:f>--AND(DU$3&gt;=$B$37,DU$3&lt;$B$38,AND($B$35="Да",IFERROR(INDEX('Вводные'!$B$88:$B$91,$B$36),"Нет")="Да"))</x:f>
      </x:c>
      <x:c r="DV42" t="n">
        <x:f>--AND(DV$3&gt;=$B$37,DV$3&lt;$B$38,AND($B$35="Да",IFERROR(INDEX('Вводные'!$B$88:$B$91,$B$36),"Нет")="Да"))</x:f>
      </x:c>
      <x:c r="DW42" t="n">
        <x:f>--AND(DW$3&gt;=$B$37,DW$3&lt;$B$38,AND($B$35="Да",IFERROR(INDEX('Вводные'!$B$88:$B$91,$B$36),"Нет")="Да"))</x:f>
      </x:c>
      <x:c r="DX42" t="n">
        <x:f>--AND(DX$3&gt;=$B$37,DX$3&lt;$B$38,AND($B$35="Да",IFERROR(INDEX('Вводные'!$B$88:$B$91,$B$36),"Нет")="Да"))</x:f>
      </x:c>
      <x:c r="DY42" t="n">
        <x:f>--AND(DY$3&gt;=$B$37,DY$3&lt;$B$38,AND($B$35="Да",IFERROR(INDEX('Вводные'!$B$88:$B$91,$B$36),"Нет")="Да"))</x:f>
      </x:c>
      <x:c r="DZ42" t="n">
        <x:f>--AND(DZ$3&gt;=$B$37,DZ$3&lt;$B$38,AND($B$35="Да",IFERROR(INDEX('Вводные'!$B$88:$B$91,$B$36),"Нет")="Да"))</x:f>
      </x:c>
      <x:c r="EA42" t="n">
        <x:f>--AND(EA$3&gt;=$B$37,EA$3&lt;$B$38,AND($B$35="Да",IFERROR(INDEX('Вводные'!$B$88:$B$91,$B$36),"Нет")="Да"))</x:f>
      </x:c>
      <x:c r="EB42" t="n">
        <x:f>--AND(EB$3&gt;=$B$37,EB$3&lt;$B$38,AND($B$35="Да",IFERROR(INDEX('Вводные'!$B$88:$B$91,$B$36),"Нет")="Да"))</x:f>
      </x:c>
      <x:c r="EC42" t="n">
        <x:f>--AND(EC$3&gt;=$B$37,EC$3&lt;$B$38,AND($B$35="Да",IFERROR(INDEX('Вводные'!$B$88:$B$91,$B$36),"Нет")="Да"))</x:f>
      </x:c>
      <x:c r="ED42" t="n">
        <x:f>--AND(ED$3&gt;=$B$37,ED$3&lt;$B$38,AND($B$35="Да",IFERROR(INDEX('Вводные'!$B$88:$B$91,$B$36),"Нет")="Да"))</x:f>
      </x:c>
      <x:c r="EE42" t="n">
        <x:f>--AND(EE$3&gt;=$B$37,EE$3&lt;$B$38,AND($B$35="Да",IFERROR(INDEX('Вводные'!$B$88:$B$91,$B$36),"Нет")="Да"))</x:f>
      </x:c>
      <x:c r="EF42" t="n">
        <x:f>--AND(EF$3&gt;=$B$37,EF$3&lt;$B$38,AND($B$35="Да",IFERROR(INDEX('Вводные'!$B$88:$B$91,$B$36),"Нет")="Да"))</x:f>
      </x:c>
      <x:c r="EG42" t="n">
        <x:f>--AND(EG$3&gt;=$B$37,EG$3&lt;$B$38,AND($B$35="Да",IFERROR(INDEX('Вводные'!$B$88:$B$91,$B$36),"Нет")="Да"))</x:f>
      </x:c>
      <x:c r="EH42" t="n">
        <x:f>--AND(EH$3&gt;=$B$37,EH$3&lt;$B$38,AND($B$35="Да",IFERROR(INDEX('Вводные'!$B$88:$B$91,$B$36),"Нет")="Да"))</x:f>
      </x:c>
      <x:c r="EI42" t="n">
        <x:f>--AND(EI$3&gt;=$B$37,EI$3&lt;$B$38,AND($B$35="Да",IFERROR(INDEX('Вводные'!$B$88:$B$91,$B$36),"Нет")="Да"))</x:f>
      </x:c>
      <x:c r="EJ42" t="n">
        <x:f>--AND(EJ$3&gt;=$B$37,EJ$3&lt;$B$38,AND($B$35="Да",IFERROR(INDEX('Вводные'!$B$88:$B$91,$B$36),"Нет")="Да"))</x:f>
      </x:c>
      <x:c r="EK42" t="n">
        <x:f>--AND(EK$3&gt;=$B$37,EK$3&lt;$B$38,AND($B$35="Да",IFERROR(INDEX('Вводные'!$B$88:$B$91,$B$36),"Нет")="Да"))</x:f>
      </x:c>
      <x:c r="EL42" t="n">
        <x:f>--AND(EL$3&gt;=$B$37,EL$3&lt;$B$38,AND($B$35="Да",IFERROR(INDEX('Вводные'!$B$88:$B$91,$B$36),"Нет")="Да"))</x:f>
      </x:c>
      <x:c r="EM42" t="n">
        <x:f>--AND(EM$3&gt;=$B$37,EM$3&lt;$B$38,AND($B$35="Да",IFERROR(INDEX('Вводные'!$B$88:$B$91,$B$36),"Нет")="Да"))</x:f>
      </x:c>
      <x:c r="EN42" t="n">
        <x:f>--AND(EN$3&gt;=$B$37,EN$3&lt;$B$38,AND($B$35="Да",IFERROR(INDEX('Вводные'!$B$88:$B$91,$B$36),"Нет")="Да"))</x:f>
      </x:c>
      <x:c r="EO42" t="n">
        <x:f>--AND(EO$3&gt;=$B$37,EO$3&lt;$B$38,AND($B$35="Да",IFERROR(INDEX('Вводные'!$B$88:$B$91,$B$36),"Нет")="Да"))</x:f>
      </x:c>
      <x:c r="EP42" t="n">
        <x:f>--AND(EP$3&gt;=$B$37,EP$3&lt;$B$38,AND($B$35="Да",IFERROR(INDEX('Вводные'!$B$88:$B$91,$B$36),"Нет")="Да"))</x:f>
      </x:c>
      <x:c r="EQ42" t="n">
        <x:f>--AND(EQ$3&gt;=$B$37,EQ$3&lt;$B$38,AND($B$35="Да",IFERROR(INDEX('Вводные'!$B$88:$B$91,$B$36),"Нет")="Да"))</x:f>
      </x:c>
      <x:c r="ER42" t="n">
        <x:f>--AND(ER$3&gt;=$B$37,ER$3&lt;$B$38,AND($B$35="Да",IFERROR(INDEX('Вводные'!$B$88:$B$91,$B$36),"Нет")="Да"))</x:f>
      </x:c>
      <x:c r="ES42" t="n">
        <x:f>--AND(ES$3&gt;=$B$37,ES$3&lt;$B$38,AND($B$35="Да",IFERROR(INDEX('Вводные'!$B$88:$B$91,$B$36),"Нет")="Да"))</x:f>
      </x:c>
      <x:c r="ET42" t="n">
        <x:f>--AND(ET$3&gt;=$B$37,ET$3&lt;$B$38,AND($B$35="Да",IFERROR(INDEX('Вводные'!$B$88:$B$91,$B$36),"Нет")="Да"))</x:f>
      </x:c>
      <x:c r="EU42" t="n">
        <x:f>--AND(EU$3&gt;=$B$37,EU$3&lt;$B$38,AND($B$35="Да",IFERROR(INDEX('Вводные'!$B$88:$B$91,$B$36),"Нет")="Да"))</x:f>
      </x:c>
      <x:c r="EV42" t="n">
        <x:f>--AND(EV$3&gt;=$B$37,EV$3&lt;$B$38,AND($B$35="Да",IFERROR(INDEX('Вводные'!$B$88:$B$91,$B$36),"Нет")="Да"))</x:f>
      </x:c>
      <x:c r="EW42" t="n">
        <x:f>--AND(EW$3&gt;=$B$37,EW$3&lt;$B$38,AND($B$35="Да",IFERROR(INDEX('Вводные'!$B$88:$B$91,$B$36),"Нет")="Да"))</x:f>
      </x:c>
      <x:c r="EX42" t="n">
        <x:f>--AND(EX$3&gt;=$B$37,EX$3&lt;$B$38,AND($B$35="Да",IFERROR(INDEX('Вводные'!$B$88:$B$91,$B$36),"Нет")="Да"))</x:f>
      </x:c>
      <x:c r="EY42" t="n">
        <x:f>--AND(EY$3&gt;=$B$37,EY$3&lt;$B$38,AND($B$35="Да",IFERROR(INDEX('Вводные'!$B$88:$B$91,$B$36),"Нет")="Да"))</x:f>
      </x:c>
      <x:c r="EZ42" t="n">
        <x:f>--AND(EZ$3&gt;=$B$37,EZ$3&lt;$B$38,AND($B$35="Да",IFERROR(INDEX('Вводные'!$B$88:$B$91,$B$36),"Нет")="Да"))</x:f>
      </x:c>
      <x:c r="FA42" t="n">
        <x:f>--AND(FA$3&gt;=$B$37,FA$3&lt;$B$38,AND($B$35="Да",IFERROR(INDEX('Вводные'!$B$88:$B$91,$B$36),"Нет")="Да"))</x:f>
      </x:c>
      <x:c r="FB42" t="n">
        <x:f>--AND(FB$3&gt;=$B$37,FB$3&lt;$B$38,AND($B$35="Да",IFERROR(INDEX('Вводные'!$B$88:$B$91,$B$36),"Нет")="Да"))</x:f>
      </x:c>
      <x:c r="FC42" t="n">
        <x:f>--AND(FC$3&gt;=$B$37,FC$3&lt;$B$38,AND($B$35="Да",IFERROR(INDEX('Вводные'!$B$88:$B$91,$B$36),"Нет")="Да"))</x:f>
      </x:c>
      <x:c r="FD42" t="n">
        <x:f>--AND(FD$3&gt;=$B$37,FD$3&lt;$B$38,AND($B$35="Да",IFERROR(INDEX('Вводные'!$B$88:$B$91,$B$36),"Нет")="Да"))</x:f>
      </x:c>
      <x:c r="FE42" t="n">
        <x:f>--AND(FE$3&gt;=$B$37,FE$3&lt;$B$38,AND($B$35="Да",IFERROR(INDEX('Вводные'!$B$88:$B$91,$B$36),"Нет")="Да"))</x:f>
      </x:c>
      <x:c r="FF42" t="n">
        <x:f>--AND(FF$3&gt;=$B$37,FF$3&lt;$B$38,AND($B$35="Да",IFERROR(INDEX('Вводные'!$B$88:$B$91,$B$36),"Нет")="Да"))</x:f>
      </x:c>
      <x:c r="FG42" t="n">
        <x:f>--AND(FG$3&gt;=$B$37,FG$3&lt;$B$38,AND($B$35="Да",IFERROR(INDEX('Вводные'!$B$88:$B$91,$B$36),"Нет")="Да"))</x:f>
      </x:c>
      <x:c r="FH42" t="n">
        <x:f>--AND(FH$3&gt;=$B$37,FH$3&lt;$B$38,AND($B$35="Да",IFERROR(INDEX('Вводные'!$B$88:$B$91,$B$36),"Нет")="Да"))</x:f>
      </x:c>
      <x:c r="FI42" t="n">
        <x:f>--AND(FI$3&gt;=$B$37,FI$3&lt;$B$38,AND($B$35="Да",IFERROR(INDEX('Вводные'!$B$88:$B$91,$B$36),"Нет")="Да"))</x:f>
      </x:c>
      <x:c r="FJ42" t="n">
        <x:f>--AND(FJ$3&gt;=$B$37,FJ$3&lt;$B$38,AND($B$35="Да",IFERROR(INDEX('Вводные'!$B$88:$B$91,$B$36),"Нет")="Да"))</x:f>
      </x:c>
      <x:c r="FK42" t="n">
        <x:f>--AND(FK$3&gt;=$B$37,FK$3&lt;$B$38,AND($B$35="Да",IFERROR(INDEX('Вводные'!$B$88:$B$91,$B$36),"Нет")="Да"))</x:f>
      </x:c>
      <x:c r="FL42" t="n">
        <x:f>--AND(FL$3&gt;=$B$37,FL$3&lt;$B$38,AND($B$35="Да",IFERROR(INDEX('Вводные'!$B$88:$B$91,$B$36),"Нет")="Да"))</x:f>
      </x:c>
      <x:c r="FM42" t="n">
        <x:f>--AND(FM$3&gt;=$B$37,FM$3&lt;$B$38,AND($B$35="Да",IFERROR(INDEX('Вводные'!$B$88:$B$91,$B$36),"Нет")="Да"))</x:f>
      </x:c>
      <x:c r="FN42" t="n">
        <x:f>--AND(FN$3&gt;=$B$37,FN$3&lt;$B$38,AND($B$35="Да",IFERROR(INDEX('Вводные'!$B$88:$B$91,$B$36),"Нет")="Да"))</x:f>
      </x:c>
      <x:c r="FO42" t="n">
        <x:f>--AND(FO$3&gt;=$B$37,FO$3&lt;$B$38,AND($B$35="Да",IFERROR(INDEX('Вводные'!$B$88:$B$91,$B$36),"Нет")="Да"))</x:f>
      </x:c>
      <x:c r="FP42" t="n">
        <x:f>--AND(FP$3&gt;=$B$37,FP$3&lt;$B$38,AND($B$35="Да",IFERROR(INDEX('Вводные'!$B$88:$B$91,$B$36),"Нет")="Да"))</x:f>
      </x:c>
      <x:c r="FQ42" t="n">
        <x:f>--AND(FQ$3&gt;=$B$37,FQ$3&lt;$B$38,AND($B$35="Да",IFERROR(INDEX('Вводные'!$B$88:$B$91,$B$36),"Нет")="Да"))</x:f>
      </x:c>
      <x:c r="FR42" t="n">
        <x:f>--AND(FR$3&gt;=$B$37,FR$3&lt;$B$38,AND($B$35="Да",IFERROR(INDEX('Вводные'!$B$88:$B$91,$B$36),"Нет")="Да"))</x:f>
      </x:c>
      <x:c r="FS42" t="n">
        <x:f>--AND(FS$3&gt;=$B$37,FS$3&lt;$B$38,AND($B$35="Да",IFERROR(INDEX('Вводные'!$B$88:$B$91,$B$36),"Нет")="Да"))</x:f>
      </x:c>
      <x:c r="FT42" t="n">
        <x:f>--AND(FT$3&gt;=$B$37,FT$3&lt;$B$38,AND($B$35="Да",IFERROR(INDEX('Вводные'!$B$88:$B$91,$B$36),"Нет")="Да"))</x:f>
      </x:c>
      <x:c r="FU42" t="n">
        <x:f>--AND(FU$3&gt;=$B$37,FU$3&lt;$B$38,AND($B$35="Да",IFERROR(INDEX('Вводные'!$B$88:$B$91,$B$36),"Нет")="Да"))</x:f>
      </x:c>
      <x:c r="FV42" t="n">
        <x:f>--AND(FV$3&gt;=$B$37,FV$3&lt;$B$38,AND($B$35="Да",IFERROR(INDEX('Вводные'!$B$88:$B$91,$B$36),"Нет")="Да"))</x:f>
      </x:c>
      <x:c r="FW42" t="n">
        <x:f>--AND(FW$3&gt;=$B$37,FW$3&lt;$B$38,AND($B$35="Да",IFERROR(INDEX('Вводные'!$B$88:$B$91,$B$36),"Нет")="Да"))</x:f>
      </x:c>
      <x:c r="FX42" t="n">
        <x:f>--AND(FX$3&gt;=$B$37,FX$3&lt;$B$38,AND($B$35="Да",IFERROR(INDEX('Вводные'!$B$88:$B$91,$B$36),"Нет")="Да"))</x:f>
      </x:c>
      <x:c r="FY42" t="n">
        <x:f>--AND(FY$3&gt;=$B$37,FY$3&lt;$B$38,AND($B$35="Да",IFERROR(INDEX('Вводные'!$B$88:$B$91,$B$36),"Нет")="Да"))</x:f>
      </x:c>
      <x:c r="FZ42" t="n">
        <x:f>--AND(FZ$3&gt;=$B$37,FZ$3&lt;$B$38,AND($B$35="Да",IFERROR(INDEX('Вводные'!$B$88:$B$91,$B$36),"Нет")="Да"))</x:f>
      </x:c>
      <x:c r="GA42" t="n">
        <x:f>--AND(GA$3&gt;=$B$37,GA$3&lt;$B$38,AND($B$35="Да",IFERROR(INDEX('Вводные'!$B$88:$B$91,$B$36),"Нет")="Да"))</x:f>
      </x:c>
    </x:row>
    <x:row r="43">
      <x:c r="A43" t="str">
        <x:v>Вес S-кривой</x:v>
      </x:c>
      <x:c r="B43"/>
      <x:c r="C43" t="str">
        <x:v>вес</x:v>
      </x:c>
      <x:c r="D43" t="n">
        <x:f>IF(D42=0,0,IF(((12*(YEAR(D$3)-YEAR($B$37))+MONTH(D$3)-MONTH($B$37))+1)/MAX(1,'Вводные'!$K$48)&lt;=0.2,0.6,IF(((12*(YEAR(D$3)-YEAR($B$37))+MONTH(D$3)-MONTH($B$37))+1)/MAX(1,'Вводные'!$K$48)&lt;=0.8,1.2,0.8)))</x:f>
      </x:c>
      <x:c r="E43" t="n">
        <x:f>IF(E42=0,0,IF(((12*(YEAR(E$3)-YEAR($B$37))+MONTH(E$3)-MONTH($B$37))+1)/MAX(1,'Вводные'!$K$48)&lt;=0.2,0.6,IF(((12*(YEAR(E$3)-YEAR($B$37))+MONTH(E$3)-MONTH($B$37))+1)/MAX(1,'Вводные'!$K$48)&lt;=0.8,1.2,0.8)))</x:f>
      </x:c>
      <x:c r="F43" t="n">
        <x:f>IF(F42=0,0,IF(((12*(YEAR(F$3)-YEAR($B$37))+MONTH(F$3)-MONTH($B$37))+1)/MAX(1,'Вводные'!$K$48)&lt;=0.2,0.6,IF(((12*(YEAR(F$3)-YEAR($B$37))+MONTH(F$3)-MONTH($B$37))+1)/MAX(1,'Вводные'!$K$48)&lt;=0.8,1.2,0.8)))</x:f>
      </x:c>
      <x:c r="G43" t="n">
        <x:f>IF(G42=0,0,IF(((12*(YEAR(G$3)-YEAR($B$37))+MONTH(G$3)-MONTH($B$37))+1)/MAX(1,'Вводные'!$K$48)&lt;=0.2,0.6,IF(((12*(YEAR(G$3)-YEAR($B$37))+MONTH(G$3)-MONTH($B$37))+1)/MAX(1,'Вводные'!$K$48)&lt;=0.8,1.2,0.8)))</x:f>
      </x:c>
      <x:c r="H43" t="n">
        <x:f>IF(H42=0,0,IF(((12*(YEAR(H$3)-YEAR($B$37))+MONTH(H$3)-MONTH($B$37))+1)/MAX(1,'Вводные'!$K$48)&lt;=0.2,0.6,IF(((12*(YEAR(H$3)-YEAR($B$37))+MONTH(H$3)-MONTH($B$37))+1)/MAX(1,'Вводные'!$K$48)&lt;=0.8,1.2,0.8)))</x:f>
      </x:c>
      <x:c r="I43" t="n">
        <x:f>IF(I42=0,0,IF(((12*(YEAR(I$3)-YEAR($B$37))+MONTH(I$3)-MONTH($B$37))+1)/MAX(1,'Вводные'!$K$48)&lt;=0.2,0.6,IF(((12*(YEAR(I$3)-YEAR($B$37))+MONTH(I$3)-MONTH($B$37))+1)/MAX(1,'Вводные'!$K$48)&lt;=0.8,1.2,0.8)))</x:f>
      </x:c>
      <x:c r="J43" t="n">
        <x:f>IF(J42=0,0,IF(((12*(YEAR(J$3)-YEAR($B$37))+MONTH(J$3)-MONTH($B$37))+1)/MAX(1,'Вводные'!$K$48)&lt;=0.2,0.6,IF(((12*(YEAR(J$3)-YEAR($B$37))+MONTH(J$3)-MONTH($B$37))+1)/MAX(1,'Вводные'!$K$48)&lt;=0.8,1.2,0.8)))</x:f>
      </x:c>
      <x:c r="K43" t="n">
        <x:f>IF(K42=0,0,IF(((12*(YEAR(K$3)-YEAR($B$37))+MONTH(K$3)-MONTH($B$37))+1)/MAX(1,'Вводные'!$K$48)&lt;=0.2,0.6,IF(((12*(YEAR(K$3)-YEAR($B$37))+MONTH(K$3)-MONTH($B$37))+1)/MAX(1,'Вводные'!$K$48)&lt;=0.8,1.2,0.8)))</x:f>
      </x:c>
      <x:c r="L43" t="n">
        <x:f>IF(L42=0,0,IF(((12*(YEAR(L$3)-YEAR($B$37))+MONTH(L$3)-MONTH($B$37))+1)/MAX(1,'Вводные'!$K$48)&lt;=0.2,0.6,IF(((12*(YEAR(L$3)-YEAR($B$37))+MONTH(L$3)-MONTH($B$37))+1)/MAX(1,'Вводные'!$K$48)&lt;=0.8,1.2,0.8)))</x:f>
      </x:c>
      <x:c r="M43" t="n">
        <x:f>IF(M42=0,0,IF(((12*(YEAR(M$3)-YEAR($B$37))+MONTH(M$3)-MONTH($B$37))+1)/MAX(1,'Вводные'!$K$48)&lt;=0.2,0.6,IF(((12*(YEAR(M$3)-YEAR($B$37))+MONTH(M$3)-MONTH($B$37))+1)/MAX(1,'Вводные'!$K$48)&lt;=0.8,1.2,0.8)))</x:f>
      </x:c>
      <x:c r="N43" t="n">
        <x:f>IF(N42=0,0,IF(((12*(YEAR(N$3)-YEAR($B$37))+MONTH(N$3)-MONTH($B$37))+1)/MAX(1,'Вводные'!$K$48)&lt;=0.2,0.6,IF(((12*(YEAR(N$3)-YEAR($B$37))+MONTH(N$3)-MONTH($B$37))+1)/MAX(1,'Вводные'!$K$48)&lt;=0.8,1.2,0.8)))</x:f>
      </x:c>
      <x:c r="O43" t="n">
        <x:f>IF(O42=0,0,IF(((12*(YEAR(O$3)-YEAR($B$37))+MONTH(O$3)-MONTH($B$37))+1)/MAX(1,'Вводные'!$K$48)&lt;=0.2,0.6,IF(((12*(YEAR(O$3)-YEAR($B$37))+MONTH(O$3)-MONTH($B$37))+1)/MAX(1,'Вводные'!$K$48)&lt;=0.8,1.2,0.8)))</x:f>
      </x:c>
      <x:c r="P43" t="n">
        <x:f>IF(P42=0,0,IF(((12*(YEAR(P$3)-YEAR($B$37))+MONTH(P$3)-MONTH($B$37))+1)/MAX(1,'Вводные'!$K$48)&lt;=0.2,0.6,IF(((12*(YEAR(P$3)-YEAR($B$37))+MONTH(P$3)-MONTH($B$37))+1)/MAX(1,'Вводные'!$K$48)&lt;=0.8,1.2,0.8)))</x:f>
      </x:c>
      <x:c r="Q43" t="n">
        <x:f>IF(Q42=0,0,IF(((12*(YEAR(Q$3)-YEAR($B$37))+MONTH(Q$3)-MONTH($B$37))+1)/MAX(1,'Вводные'!$K$48)&lt;=0.2,0.6,IF(((12*(YEAR(Q$3)-YEAR($B$37))+MONTH(Q$3)-MONTH($B$37))+1)/MAX(1,'Вводные'!$K$48)&lt;=0.8,1.2,0.8)))</x:f>
      </x:c>
      <x:c r="R43" t="n">
        <x:f>IF(R42=0,0,IF(((12*(YEAR(R$3)-YEAR($B$37))+MONTH(R$3)-MONTH($B$37))+1)/MAX(1,'Вводные'!$K$48)&lt;=0.2,0.6,IF(((12*(YEAR(R$3)-YEAR($B$37))+MONTH(R$3)-MONTH($B$37))+1)/MAX(1,'Вводные'!$K$48)&lt;=0.8,1.2,0.8)))</x:f>
      </x:c>
      <x:c r="S43" t="n">
        <x:f>IF(S42=0,0,IF(((12*(YEAR(S$3)-YEAR($B$37))+MONTH(S$3)-MONTH($B$37))+1)/MAX(1,'Вводные'!$K$48)&lt;=0.2,0.6,IF(((12*(YEAR(S$3)-YEAR($B$37))+MONTH(S$3)-MONTH($B$37))+1)/MAX(1,'Вводные'!$K$48)&lt;=0.8,1.2,0.8)))</x:f>
      </x:c>
      <x:c r="T43" t="n">
        <x:f>IF(T42=0,0,IF(((12*(YEAR(T$3)-YEAR($B$37))+MONTH(T$3)-MONTH($B$37))+1)/MAX(1,'Вводные'!$K$48)&lt;=0.2,0.6,IF(((12*(YEAR(T$3)-YEAR($B$37))+MONTH(T$3)-MONTH($B$37))+1)/MAX(1,'Вводные'!$K$48)&lt;=0.8,1.2,0.8)))</x:f>
      </x:c>
      <x:c r="U43" t="n">
        <x:f>IF(U42=0,0,IF(((12*(YEAR(U$3)-YEAR($B$37))+MONTH(U$3)-MONTH($B$37))+1)/MAX(1,'Вводные'!$K$48)&lt;=0.2,0.6,IF(((12*(YEAR(U$3)-YEAR($B$37))+MONTH(U$3)-MONTH($B$37))+1)/MAX(1,'Вводные'!$K$48)&lt;=0.8,1.2,0.8)))</x:f>
      </x:c>
      <x:c r="V43" t="n">
        <x:f>IF(V42=0,0,IF(((12*(YEAR(V$3)-YEAR($B$37))+MONTH(V$3)-MONTH($B$37))+1)/MAX(1,'Вводные'!$K$48)&lt;=0.2,0.6,IF(((12*(YEAR(V$3)-YEAR($B$37))+MONTH(V$3)-MONTH($B$37))+1)/MAX(1,'Вводные'!$K$48)&lt;=0.8,1.2,0.8)))</x:f>
      </x:c>
      <x:c r="W43" t="n">
        <x:f>IF(W42=0,0,IF(((12*(YEAR(W$3)-YEAR($B$37))+MONTH(W$3)-MONTH($B$37))+1)/MAX(1,'Вводные'!$K$48)&lt;=0.2,0.6,IF(((12*(YEAR(W$3)-YEAR($B$37))+MONTH(W$3)-MONTH($B$37))+1)/MAX(1,'Вводные'!$K$48)&lt;=0.8,1.2,0.8)))</x:f>
      </x:c>
      <x:c r="X43" t="n">
        <x:f>IF(X42=0,0,IF(((12*(YEAR(X$3)-YEAR($B$37))+MONTH(X$3)-MONTH($B$37))+1)/MAX(1,'Вводные'!$K$48)&lt;=0.2,0.6,IF(((12*(YEAR(X$3)-YEAR($B$37))+MONTH(X$3)-MONTH($B$37))+1)/MAX(1,'Вводные'!$K$48)&lt;=0.8,1.2,0.8)))</x:f>
      </x:c>
      <x:c r="Y43" t="n">
        <x:f>IF(Y42=0,0,IF(((12*(YEAR(Y$3)-YEAR($B$37))+MONTH(Y$3)-MONTH($B$37))+1)/MAX(1,'Вводные'!$K$48)&lt;=0.2,0.6,IF(((12*(YEAR(Y$3)-YEAR($B$37))+MONTH(Y$3)-MONTH($B$37))+1)/MAX(1,'Вводные'!$K$48)&lt;=0.8,1.2,0.8)))</x:f>
      </x:c>
      <x:c r="Z43" t="n">
        <x:f>IF(Z42=0,0,IF(((12*(YEAR(Z$3)-YEAR($B$37))+MONTH(Z$3)-MONTH($B$37))+1)/MAX(1,'Вводные'!$K$48)&lt;=0.2,0.6,IF(((12*(YEAR(Z$3)-YEAR($B$37))+MONTH(Z$3)-MONTH($B$37))+1)/MAX(1,'Вводные'!$K$48)&lt;=0.8,1.2,0.8)))</x:f>
      </x:c>
      <x:c r="AA43" t="n">
        <x:f>IF(AA42=0,0,IF(((12*(YEAR(AA$3)-YEAR($B$37))+MONTH(AA$3)-MONTH($B$37))+1)/MAX(1,'Вводные'!$K$48)&lt;=0.2,0.6,IF(((12*(YEAR(AA$3)-YEAR($B$37))+MONTH(AA$3)-MONTH($B$37))+1)/MAX(1,'Вводные'!$K$48)&lt;=0.8,1.2,0.8)))</x:f>
      </x:c>
      <x:c r="AB43" t="n">
        <x:f>IF(AB42=0,0,IF(((12*(YEAR(AB$3)-YEAR($B$37))+MONTH(AB$3)-MONTH($B$37))+1)/MAX(1,'Вводные'!$K$48)&lt;=0.2,0.6,IF(((12*(YEAR(AB$3)-YEAR($B$37))+MONTH(AB$3)-MONTH($B$37))+1)/MAX(1,'Вводные'!$K$48)&lt;=0.8,1.2,0.8)))</x:f>
      </x:c>
      <x:c r="AC43" t="n">
        <x:f>IF(AC42=0,0,IF(((12*(YEAR(AC$3)-YEAR($B$37))+MONTH(AC$3)-MONTH($B$37))+1)/MAX(1,'Вводные'!$K$48)&lt;=0.2,0.6,IF(((12*(YEAR(AC$3)-YEAR($B$37))+MONTH(AC$3)-MONTH($B$37))+1)/MAX(1,'Вводные'!$K$48)&lt;=0.8,1.2,0.8)))</x:f>
      </x:c>
      <x:c r="AD43" t="n">
        <x:f>IF(AD42=0,0,IF(((12*(YEAR(AD$3)-YEAR($B$37))+MONTH(AD$3)-MONTH($B$37))+1)/MAX(1,'Вводные'!$K$48)&lt;=0.2,0.6,IF(((12*(YEAR(AD$3)-YEAR($B$37))+MONTH(AD$3)-MONTH($B$37))+1)/MAX(1,'Вводные'!$K$48)&lt;=0.8,1.2,0.8)))</x:f>
      </x:c>
      <x:c r="AE43" t="n">
        <x:f>IF(AE42=0,0,IF(((12*(YEAR(AE$3)-YEAR($B$37))+MONTH(AE$3)-MONTH($B$37))+1)/MAX(1,'Вводные'!$K$48)&lt;=0.2,0.6,IF(((12*(YEAR(AE$3)-YEAR($B$37))+MONTH(AE$3)-MONTH($B$37))+1)/MAX(1,'Вводные'!$K$48)&lt;=0.8,1.2,0.8)))</x:f>
      </x:c>
      <x:c r="AF43" t="n">
        <x:f>IF(AF42=0,0,IF(((12*(YEAR(AF$3)-YEAR($B$37))+MONTH(AF$3)-MONTH($B$37))+1)/MAX(1,'Вводные'!$K$48)&lt;=0.2,0.6,IF(((12*(YEAR(AF$3)-YEAR($B$37))+MONTH(AF$3)-MONTH($B$37))+1)/MAX(1,'Вводные'!$K$48)&lt;=0.8,1.2,0.8)))</x:f>
      </x:c>
      <x:c r="AG43" t="n">
        <x:f>IF(AG42=0,0,IF(((12*(YEAR(AG$3)-YEAR($B$37))+MONTH(AG$3)-MONTH($B$37))+1)/MAX(1,'Вводные'!$K$48)&lt;=0.2,0.6,IF(((12*(YEAR(AG$3)-YEAR($B$37))+MONTH(AG$3)-MONTH($B$37))+1)/MAX(1,'Вводные'!$K$48)&lt;=0.8,1.2,0.8)))</x:f>
      </x:c>
      <x:c r="AH43" t="n">
        <x:f>IF(AH42=0,0,IF(((12*(YEAR(AH$3)-YEAR($B$37))+MONTH(AH$3)-MONTH($B$37))+1)/MAX(1,'Вводные'!$K$48)&lt;=0.2,0.6,IF(((12*(YEAR(AH$3)-YEAR($B$37))+MONTH(AH$3)-MONTH($B$37))+1)/MAX(1,'Вводные'!$K$48)&lt;=0.8,1.2,0.8)))</x:f>
      </x:c>
      <x:c r="AI43" t="n">
        <x:f>IF(AI42=0,0,IF(((12*(YEAR(AI$3)-YEAR($B$37))+MONTH(AI$3)-MONTH($B$37))+1)/MAX(1,'Вводные'!$K$48)&lt;=0.2,0.6,IF(((12*(YEAR(AI$3)-YEAR($B$37))+MONTH(AI$3)-MONTH($B$37))+1)/MAX(1,'Вводные'!$K$48)&lt;=0.8,1.2,0.8)))</x:f>
      </x:c>
      <x:c r="AJ43" t="n">
        <x:f>IF(AJ42=0,0,IF(((12*(YEAR(AJ$3)-YEAR($B$37))+MONTH(AJ$3)-MONTH($B$37))+1)/MAX(1,'Вводные'!$K$48)&lt;=0.2,0.6,IF(((12*(YEAR(AJ$3)-YEAR($B$37))+MONTH(AJ$3)-MONTH($B$37))+1)/MAX(1,'Вводные'!$K$48)&lt;=0.8,1.2,0.8)))</x:f>
      </x:c>
      <x:c r="AK43" t="n">
        <x:f>IF(AK42=0,0,IF(((12*(YEAR(AK$3)-YEAR($B$37))+MONTH(AK$3)-MONTH($B$37))+1)/MAX(1,'Вводные'!$K$48)&lt;=0.2,0.6,IF(((12*(YEAR(AK$3)-YEAR($B$37))+MONTH(AK$3)-MONTH($B$37))+1)/MAX(1,'Вводные'!$K$48)&lt;=0.8,1.2,0.8)))</x:f>
      </x:c>
      <x:c r="AL43" t="n">
        <x:f>IF(AL42=0,0,IF(((12*(YEAR(AL$3)-YEAR($B$37))+MONTH(AL$3)-MONTH($B$37))+1)/MAX(1,'Вводные'!$K$48)&lt;=0.2,0.6,IF(((12*(YEAR(AL$3)-YEAR($B$37))+MONTH(AL$3)-MONTH($B$37))+1)/MAX(1,'Вводные'!$K$48)&lt;=0.8,1.2,0.8)))</x:f>
      </x:c>
      <x:c r="AM43" t="n">
        <x:f>IF(AM42=0,0,IF(((12*(YEAR(AM$3)-YEAR($B$37))+MONTH(AM$3)-MONTH($B$37))+1)/MAX(1,'Вводные'!$K$48)&lt;=0.2,0.6,IF(((12*(YEAR(AM$3)-YEAR($B$37))+MONTH(AM$3)-MONTH($B$37))+1)/MAX(1,'Вводные'!$K$48)&lt;=0.8,1.2,0.8)))</x:f>
      </x:c>
      <x:c r="AN43" t="n">
        <x:f>IF(AN42=0,0,IF(((12*(YEAR(AN$3)-YEAR($B$37))+MONTH(AN$3)-MONTH($B$37))+1)/MAX(1,'Вводные'!$K$48)&lt;=0.2,0.6,IF(((12*(YEAR(AN$3)-YEAR($B$37))+MONTH(AN$3)-MONTH($B$37))+1)/MAX(1,'Вводные'!$K$48)&lt;=0.8,1.2,0.8)))</x:f>
      </x:c>
      <x:c r="AO43" t="n">
        <x:f>IF(AO42=0,0,IF(((12*(YEAR(AO$3)-YEAR($B$37))+MONTH(AO$3)-MONTH($B$37))+1)/MAX(1,'Вводные'!$K$48)&lt;=0.2,0.6,IF(((12*(YEAR(AO$3)-YEAR($B$37))+MONTH(AO$3)-MONTH($B$37))+1)/MAX(1,'Вводные'!$K$48)&lt;=0.8,1.2,0.8)))</x:f>
      </x:c>
      <x:c r="AP43" t="n">
        <x:f>IF(AP42=0,0,IF(((12*(YEAR(AP$3)-YEAR($B$37))+MONTH(AP$3)-MONTH($B$37))+1)/MAX(1,'Вводные'!$K$48)&lt;=0.2,0.6,IF(((12*(YEAR(AP$3)-YEAR($B$37))+MONTH(AP$3)-MONTH($B$37))+1)/MAX(1,'Вводные'!$K$48)&lt;=0.8,1.2,0.8)))</x:f>
      </x:c>
      <x:c r="AQ43" t="n">
        <x:f>IF(AQ42=0,0,IF(((12*(YEAR(AQ$3)-YEAR($B$37))+MONTH(AQ$3)-MONTH($B$37))+1)/MAX(1,'Вводные'!$K$48)&lt;=0.2,0.6,IF(((12*(YEAR(AQ$3)-YEAR($B$37))+MONTH(AQ$3)-MONTH($B$37))+1)/MAX(1,'Вводные'!$K$48)&lt;=0.8,1.2,0.8)))</x:f>
      </x:c>
      <x:c r="AR43" t="n">
        <x:f>IF(AR42=0,0,IF(((12*(YEAR(AR$3)-YEAR($B$37))+MONTH(AR$3)-MONTH($B$37))+1)/MAX(1,'Вводные'!$K$48)&lt;=0.2,0.6,IF(((12*(YEAR(AR$3)-YEAR($B$37))+MONTH(AR$3)-MONTH($B$37))+1)/MAX(1,'Вводные'!$K$48)&lt;=0.8,1.2,0.8)))</x:f>
      </x:c>
      <x:c r="AS43" t="n">
        <x:f>IF(AS42=0,0,IF(((12*(YEAR(AS$3)-YEAR($B$37))+MONTH(AS$3)-MONTH($B$37))+1)/MAX(1,'Вводные'!$K$48)&lt;=0.2,0.6,IF(((12*(YEAR(AS$3)-YEAR($B$37))+MONTH(AS$3)-MONTH($B$37))+1)/MAX(1,'Вводные'!$K$48)&lt;=0.8,1.2,0.8)))</x:f>
      </x:c>
      <x:c r="AT43" t="n">
        <x:f>IF(AT42=0,0,IF(((12*(YEAR(AT$3)-YEAR($B$37))+MONTH(AT$3)-MONTH($B$37))+1)/MAX(1,'Вводные'!$K$48)&lt;=0.2,0.6,IF(((12*(YEAR(AT$3)-YEAR($B$37))+MONTH(AT$3)-MONTH($B$37))+1)/MAX(1,'Вводные'!$K$48)&lt;=0.8,1.2,0.8)))</x:f>
      </x:c>
      <x:c r="AU43" t="n">
        <x:f>IF(AU42=0,0,IF(((12*(YEAR(AU$3)-YEAR($B$37))+MONTH(AU$3)-MONTH($B$37))+1)/MAX(1,'Вводные'!$K$48)&lt;=0.2,0.6,IF(((12*(YEAR(AU$3)-YEAR($B$37))+MONTH(AU$3)-MONTH($B$37))+1)/MAX(1,'Вводные'!$K$48)&lt;=0.8,1.2,0.8)))</x:f>
      </x:c>
      <x:c r="AV43" t="n">
        <x:f>IF(AV42=0,0,IF(((12*(YEAR(AV$3)-YEAR($B$37))+MONTH(AV$3)-MONTH($B$37))+1)/MAX(1,'Вводные'!$K$48)&lt;=0.2,0.6,IF(((12*(YEAR(AV$3)-YEAR($B$37))+MONTH(AV$3)-MONTH($B$37))+1)/MAX(1,'Вводные'!$K$48)&lt;=0.8,1.2,0.8)))</x:f>
      </x:c>
      <x:c r="AW43" t="n">
        <x:f>IF(AW42=0,0,IF(((12*(YEAR(AW$3)-YEAR($B$37))+MONTH(AW$3)-MONTH($B$37))+1)/MAX(1,'Вводные'!$K$48)&lt;=0.2,0.6,IF(((12*(YEAR(AW$3)-YEAR($B$37))+MONTH(AW$3)-MONTH($B$37))+1)/MAX(1,'Вводные'!$K$48)&lt;=0.8,1.2,0.8)))</x:f>
      </x:c>
      <x:c r="AX43" t="n">
        <x:f>IF(AX42=0,0,IF(((12*(YEAR(AX$3)-YEAR($B$37))+MONTH(AX$3)-MONTH($B$37))+1)/MAX(1,'Вводные'!$K$48)&lt;=0.2,0.6,IF(((12*(YEAR(AX$3)-YEAR($B$37))+MONTH(AX$3)-MONTH($B$37))+1)/MAX(1,'Вводные'!$K$48)&lt;=0.8,1.2,0.8)))</x:f>
      </x:c>
      <x:c r="AY43" t="n">
        <x:f>IF(AY42=0,0,IF(((12*(YEAR(AY$3)-YEAR($B$37))+MONTH(AY$3)-MONTH($B$37))+1)/MAX(1,'Вводные'!$K$48)&lt;=0.2,0.6,IF(((12*(YEAR(AY$3)-YEAR($B$37))+MONTH(AY$3)-MONTH($B$37))+1)/MAX(1,'Вводные'!$K$48)&lt;=0.8,1.2,0.8)))</x:f>
      </x:c>
      <x:c r="AZ43" t="n">
        <x:f>IF(AZ42=0,0,IF(((12*(YEAR(AZ$3)-YEAR($B$37))+MONTH(AZ$3)-MONTH($B$37))+1)/MAX(1,'Вводные'!$K$48)&lt;=0.2,0.6,IF(((12*(YEAR(AZ$3)-YEAR($B$37))+MONTH(AZ$3)-MONTH($B$37))+1)/MAX(1,'Вводные'!$K$48)&lt;=0.8,1.2,0.8)))</x:f>
      </x:c>
      <x:c r="BA43" t="n">
        <x:f>IF(BA42=0,0,IF(((12*(YEAR(BA$3)-YEAR($B$37))+MONTH(BA$3)-MONTH($B$37))+1)/MAX(1,'Вводные'!$K$48)&lt;=0.2,0.6,IF(((12*(YEAR(BA$3)-YEAR($B$37))+MONTH(BA$3)-MONTH($B$37))+1)/MAX(1,'Вводные'!$K$48)&lt;=0.8,1.2,0.8)))</x:f>
      </x:c>
      <x:c r="BB43" t="n">
        <x:f>IF(BB42=0,0,IF(((12*(YEAR(BB$3)-YEAR($B$37))+MONTH(BB$3)-MONTH($B$37))+1)/MAX(1,'Вводные'!$K$48)&lt;=0.2,0.6,IF(((12*(YEAR(BB$3)-YEAR($B$37))+MONTH(BB$3)-MONTH($B$37))+1)/MAX(1,'Вводные'!$K$48)&lt;=0.8,1.2,0.8)))</x:f>
      </x:c>
      <x:c r="BC43" t="n">
        <x:f>IF(BC42=0,0,IF(((12*(YEAR(BC$3)-YEAR($B$37))+MONTH(BC$3)-MONTH($B$37))+1)/MAX(1,'Вводные'!$K$48)&lt;=0.2,0.6,IF(((12*(YEAR(BC$3)-YEAR($B$37))+MONTH(BC$3)-MONTH($B$37))+1)/MAX(1,'Вводные'!$K$48)&lt;=0.8,1.2,0.8)))</x:f>
      </x:c>
      <x:c r="BD43" t="n">
        <x:f>IF(BD42=0,0,IF(((12*(YEAR(BD$3)-YEAR($B$37))+MONTH(BD$3)-MONTH($B$37))+1)/MAX(1,'Вводные'!$K$48)&lt;=0.2,0.6,IF(((12*(YEAR(BD$3)-YEAR($B$37))+MONTH(BD$3)-MONTH($B$37))+1)/MAX(1,'Вводные'!$K$48)&lt;=0.8,1.2,0.8)))</x:f>
      </x:c>
      <x:c r="BE43" t="n">
        <x:f>IF(BE42=0,0,IF(((12*(YEAR(BE$3)-YEAR($B$37))+MONTH(BE$3)-MONTH($B$37))+1)/MAX(1,'Вводные'!$K$48)&lt;=0.2,0.6,IF(((12*(YEAR(BE$3)-YEAR($B$37))+MONTH(BE$3)-MONTH($B$37))+1)/MAX(1,'Вводные'!$K$48)&lt;=0.8,1.2,0.8)))</x:f>
      </x:c>
      <x:c r="BF43" t="n">
        <x:f>IF(BF42=0,0,IF(((12*(YEAR(BF$3)-YEAR($B$37))+MONTH(BF$3)-MONTH($B$37))+1)/MAX(1,'Вводные'!$K$48)&lt;=0.2,0.6,IF(((12*(YEAR(BF$3)-YEAR($B$37))+MONTH(BF$3)-MONTH($B$37))+1)/MAX(1,'Вводные'!$K$48)&lt;=0.8,1.2,0.8)))</x:f>
      </x:c>
      <x:c r="BG43" t="n">
        <x:f>IF(BG42=0,0,IF(((12*(YEAR(BG$3)-YEAR($B$37))+MONTH(BG$3)-MONTH($B$37))+1)/MAX(1,'Вводные'!$K$48)&lt;=0.2,0.6,IF(((12*(YEAR(BG$3)-YEAR($B$37))+MONTH(BG$3)-MONTH($B$37))+1)/MAX(1,'Вводные'!$K$48)&lt;=0.8,1.2,0.8)))</x:f>
      </x:c>
      <x:c r="BH43" t="n">
        <x:f>IF(BH42=0,0,IF(((12*(YEAR(BH$3)-YEAR($B$37))+MONTH(BH$3)-MONTH($B$37))+1)/MAX(1,'Вводные'!$K$48)&lt;=0.2,0.6,IF(((12*(YEAR(BH$3)-YEAR($B$37))+MONTH(BH$3)-MONTH($B$37))+1)/MAX(1,'Вводные'!$K$48)&lt;=0.8,1.2,0.8)))</x:f>
      </x:c>
      <x:c r="BI43" t="n">
        <x:f>IF(BI42=0,0,IF(((12*(YEAR(BI$3)-YEAR($B$37))+MONTH(BI$3)-MONTH($B$37))+1)/MAX(1,'Вводные'!$K$48)&lt;=0.2,0.6,IF(((12*(YEAR(BI$3)-YEAR($B$37))+MONTH(BI$3)-MONTH($B$37))+1)/MAX(1,'Вводные'!$K$48)&lt;=0.8,1.2,0.8)))</x:f>
      </x:c>
      <x:c r="BJ43" t="n">
        <x:f>IF(BJ42=0,0,IF(((12*(YEAR(BJ$3)-YEAR($B$37))+MONTH(BJ$3)-MONTH($B$37))+1)/MAX(1,'Вводные'!$K$48)&lt;=0.2,0.6,IF(((12*(YEAR(BJ$3)-YEAR($B$37))+MONTH(BJ$3)-MONTH($B$37))+1)/MAX(1,'Вводные'!$K$48)&lt;=0.8,1.2,0.8)))</x:f>
      </x:c>
      <x:c r="BK43" t="n">
        <x:f>IF(BK42=0,0,IF(((12*(YEAR(BK$3)-YEAR($B$37))+MONTH(BK$3)-MONTH($B$37))+1)/MAX(1,'Вводные'!$K$48)&lt;=0.2,0.6,IF(((12*(YEAR(BK$3)-YEAR($B$37))+MONTH(BK$3)-MONTH($B$37))+1)/MAX(1,'Вводные'!$K$48)&lt;=0.8,1.2,0.8)))</x:f>
      </x:c>
      <x:c r="BL43" t="n">
        <x:f>IF(BL42=0,0,IF(((12*(YEAR(BL$3)-YEAR($B$37))+MONTH(BL$3)-MONTH($B$37))+1)/MAX(1,'Вводные'!$K$48)&lt;=0.2,0.6,IF(((12*(YEAR(BL$3)-YEAR($B$37))+MONTH(BL$3)-MONTH($B$37))+1)/MAX(1,'Вводные'!$K$48)&lt;=0.8,1.2,0.8)))</x:f>
      </x:c>
      <x:c r="BM43" t="n">
        <x:f>IF(BM42=0,0,IF(((12*(YEAR(BM$3)-YEAR($B$37))+MONTH(BM$3)-MONTH($B$37))+1)/MAX(1,'Вводные'!$K$48)&lt;=0.2,0.6,IF(((12*(YEAR(BM$3)-YEAR($B$37))+MONTH(BM$3)-MONTH($B$37))+1)/MAX(1,'Вводные'!$K$48)&lt;=0.8,1.2,0.8)))</x:f>
      </x:c>
      <x:c r="BN43" t="n">
        <x:f>IF(BN42=0,0,IF(((12*(YEAR(BN$3)-YEAR($B$37))+MONTH(BN$3)-MONTH($B$37))+1)/MAX(1,'Вводные'!$K$48)&lt;=0.2,0.6,IF(((12*(YEAR(BN$3)-YEAR($B$37))+MONTH(BN$3)-MONTH($B$37))+1)/MAX(1,'Вводные'!$K$48)&lt;=0.8,1.2,0.8)))</x:f>
      </x:c>
      <x:c r="BO43" t="n">
        <x:f>IF(BO42=0,0,IF(((12*(YEAR(BO$3)-YEAR($B$37))+MONTH(BO$3)-MONTH($B$37))+1)/MAX(1,'Вводные'!$K$48)&lt;=0.2,0.6,IF(((12*(YEAR(BO$3)-YEAR($B$37))+MONTH(BO$3)-MONTH($B$37))+1)/MAX(1,'Вводные'!$K$48)&lt;=0.8,1.2,0.8)))</x:f>
      </x:c>
      <x:c r="BP43" t="n">
        <x:f>IF(BP42=0,0,IF(((12*(YEAR(BP$3)-YEAR($B$37))+MONTH(BP$3)-MONTH($B$37))+1)/MAX(1,'Вводные'!$K$48)&lt;=0.2,0.6,IF(((12*(YEAR(BP$3)-YEAR($B$37))+MONTH(BP$3)-MONTH($B$37))+1)/MAX(1,'Вводные'!$K$48)&lt;=0.8,1.2,0.8)))</x:f>
      </x:c>
      <x:c r="BQ43" t="n">
        <x:f>IF(BQ42=0,0,IF(((12*(YEAR(BQ$3)-YEAR($B$37))+MONTH(BQ$3)-MONTH($B$37))+1)/MAX(1,'Вводные'!$K$48)&lt;=0.2,0.6,IF(((12*(YEAR(BQ$3)-YEAR($B$37))+MONTH(BQ$3)-MONTH($B$37))+1)/MAX(1,'Вводные'!$K$48)&lt;=0.8,1.2,0.8)))</x:f>
      </x:c>
      <x:c r="BR43" t="n">
        <x:f>IF(BR42=0,0,IF(((12*(YEAR(BR$3)-YEAR($B$37))+MONTH(BR$3)-MONTH($B$37))+1)/MAX(1,'Вводные'!$K$48)&lt;=0.2,0.6,IF(((12*(YEAR(BR$3)-YEAR($B$37))+MONTH(BR$3)-MONTH($B$37))+1)/MAX(1,'Вводные'!$K$48)&lt;=0.8,1.2,0.8)))</x:f>
      </x:c>
      <x:c r="BS43" t="n">
        <x:f>IF(BS42=0,0,IF(((12*(YEAR(BS$3)-YEAR($B$37))+MONTH(BS$3)-MONTH($B$37))+1)/MAX(1,'Вводные'!$K$48)&lt;=0.2,0.6,IF(((12*(YEAR(BS$3)-YEAR($B$37))+MONTH(BS$3)-MONTH($B$37))+1)/MAX(1,'Вводные'!$K$48)&lt;=0.8,1.2,0.8)))</x:f>
      </x:c>
      <x:c r="BT43" t="n">
        <x:f>IF(BT42=0,0,IF(((12*(YEAR(BT$3)-YEAR($B$37))+MONTH(BT$3)-MONTH($B$37))+1)/MAX(1,'Вводные'!$K$48)&lt;=0.2,0.6,IF(((12*(YEAR(BT$3)-YEAR($B$37))+MONTH(BT$3)-MONTH($B$37))+1)/MAX(1,'Вводные'!$K$48)&lt;=0.8,1.2,0.8)))</x:f>
      </x:c>
      <x:c r="BU43" t="n">
        <x:f>IF(BU42=0,0,IF(((12*(YEAR(BU$3)-YEAR($B$37))+MONTH(BU$3)-MONTH($B$37))+1)/MAX(1,'Вводные'!$K$48)&lt;=0.2,0.6,IF(((12*(YEAR(BU$3)-YEAR($B$37))+MONTH(BU$3)-MONTH($B$37))+1)/MAX(1,'Вводные'!$K$48)&lt;=0.8,1.2,0.8)))</x:f>
      </x:c>
      <x:c r="BV43" t="n">
        <x:f>IF(BV42=0,0,IF(((12*(YEAR(BV$3)-YEAR($B$37))+MONTH(BV$3)-MONTH($B$37))+1)/MAX(1,'Вводные'!$K$48)&lt;=0.2,0.6,IF(((12*(YEAR(BV$3)-YEAR($B$37))+MONTH(BV$3)-MONTH($B$37))+1)/MAX(1,'Вводные'!$K$48)&lt;=0.8,1.2,0.8)))</x:f>
      </x:c>
      <x:c r="BW43" t="n">
        <x:f>IF(BW42=0,0,IF(((12*(YEAR(BW$3)-YEAR($B$37))+MONTH(BW$3)-MONTH($B$37))+1)/MAX(1,'Вводные'!$K$48)&lt;=0.2,0.6,IF(((12*(YEAR(BW$3)-YEAR($B$37))+MONTH(BW$3)-MONTH($B$37))+1)/MAX(1,'Вводные'!$K$48)&lt;=0.8,1.2,0.8)))</x:f>
      </x:c>
      <x:c r="BX43" t="n">
        <x:f>IF(BX42=0,0,IF(((12*(YEAR(BX$3)-YEAR($B$37))+MONTH(BX$3)-MONTH($B$37))+1)/MAX(1,'Вводные'!$K$48)&lt;=0.2,0.6,IF(((12*(YEAR(BX$3)-YEAR($B$37))+MONTH(BX$3)-MONTH($B$37))+1)/MAX(1,'Вводные'!$K$48)&lt;=0.8,1.2,0.8)))</x:f>
      </x:c>
      <x:c r="BY43" t="n">
        <x:f>IF(BY42=0,0,IF(((12*(YEAR(BY$3)-YEAR($B$37))+MONTH(BY$3)-MONTH($B$37))+1)/MAX(1,'Вводные'!$K$48)&lt;=0.2,0.6,IF(((12*(YEAR(BY$3)-YEAR($B$37))+MONTH(BY$3)-MONTH($B$37))+1)/MAX(1,'Вводные'!$K$48)&lt;=0.8,1.2,0.8)))</x:f>
      </x:c>
      <x:c r="BZ43" t="n">
        <x:f>IF(BZ42=0,0,IF(((12*(YEAR(BZ$3)-YEAR($B$37))+MONTH(BZ$3)-MONTH($B$37))+1)/MAX(1,'Вводные'!$K$48)&lt;=0.2,0.6,IF(((12*(YEAR(BZ$3)-YEAR($B$37))+MONTH(BZ$3)-MONTH($B$37))+1)/MAX(1,'Вводные'!$K$48)&lt;=0.8,1.2,0.8)))</x:f>
      </x:c>
      <x:c r="CA43" t="n">
        <x:f>IF(CA42=0,0,IF(((12*(YEAR(CA$3)-YEAR($B$37))+MONTH(CA$3)-MONTH($B$37))+1)/MAX(1,'Вводные'!$K$48)&lt;=0.2,0.6,IF(((12*(YEAR(CA$3)-YEAR($B$37))+MONTH(CA$3)-MONTH($B$37))+1)/MAX(1,'Вводные'!$K$48)&lt;=0.8,1.2,0.8)))</x:f>
      </x:c>
      <x:c r="CB43" t="n">
        <x:f>IF(CB42=0,0,IF(((12*(YEAR(CB$3)-YEAR($B$37))+MONTH(CB$3)-MONTH($B$37))+1)/MAX(1,'Вводные'!$K$48)&lt;=0.2,0.6,IF(((12*(YEAR(CB$3)-YEAR($B$37))+MONTH(CB$3)-MONTH($B$37))+1)/MAX(1,'Вводные'!$K$48)&lt;=0.8,1.2,0.8)))</x:f>
      </x:c>
      <x:c r="CC43" t="n">
        <x:f>IF(CC42=0,0,IF(((12*(YEAR(CC$3)-YEAR($B$37))+MONTH(CC$3)-MONTH($B$37))+1)/MAX(1,'Вводные'!$K$48)&lt;=0.2,0.6,IF(((12*(YEAR(CC$3)-YEAR($B$37))+MONTH(CC$3)-MONTH($B$37))+1)/MAX(1,'Вводные'!$K$48)&lt;=0.8,1.2,0.8)))</x:f>
      </x:c>
      <x:c r="CD43" t="n">
        <x:f>IF(CD42=0,0,IF(((12*(YEAR(CD$3)-YEAR($B$37))+MONTH(CD$3)-MONTH($B$37))+1)/MAX(1,'Вводные'!$K$48)&lt;=0.2,0.6,IF(((12*(YEAR(CD$3)-YEAR($B$37))+MONTH(CD$3)-MONTH($B$37))+1)/MAX(1,'Вводные'!$K$48)&lt;=0.8,1.2,0.8)))</x:f>
      </x:c>
      <x:c r="CE43" t="n">
        <x:f>IF(CE42=0,0,IF(((12*(YEAR(CE$3)-YEAR($B$37))+MONTH(CE$3)-MONTH($B$37))+1)/MAX(1,'Вводные'!$K$48)&lt;=0.2,0.6,IF(((12*(YEAR(CE$3)-YEAR($B$37))+MONTH(CE$3)-MONTH($B$37))+1)/MAX(1,'Вводные'!$K$48)&lt;=0.8,1.2,0.8)))</x:f>
      </x:c>
      <x:c r="CF43" t="n">
        <x:f>IF(CF42=0,0,IF(((12*(YEAR(CF$3)-YEAR($B$37))+MONTH(CF$3)-MONTH($B$37))+1)/MAX(1,'Вводные'!$K$48)&lt;=0.2,0.6,IF(((12*(YEAR(CF$3)-YEAR($B$37))+MONTH(CF$3)-MONTH($B$37))+1)/MAX(1,'Вводные'!$K$48)&lt;=0.8,1.2,0.8)))</x:f>
      </x:c>
      <x:c r="CG43" t="n">
        <x:f>IF(CG42=0,0,IF(((12*(YEAR(CG$3)-YEAR($B$37))+MONTH(CG$3)-MONTH($B$37))+1)/MAX(1,'Вводные'!$K$48)&lt;=0.2,0.6,IF(((12*(YEAR(CG$3)-YEAR($B$37))+MONTH(CG$3)-MONTH($B$37))+1)/MAX(1,'Вводные'!$K$48)&lt;=0.8,1.2,0.8)))</x:f>
      </x:c>
      <x:c r="CH43" t="n">
        <x:f>IF(CH42=0,0,IF(((12*(YEAR(CH$3)-YEAR($B$37))+MONTH(CH$3)-MONTH($B$37))+1)/MAX(1,'Вводные'!$K$48)&lt;=0.2,0.6,IF(((12*(YEAR(CH$3)-YEAR($B$37))+MONTH(CH$3)-MONTH($B$37))+1)/MAX(1,'Вводные'!$K$48)&lt;=0.8,1.2,0.8)))</x:f>
      </x:c>
      <x:c r="CI43" t="n">
        <x:f>IF(CI42=0,0,IF(((12*(YEAR(CI$3)-YEAR($B$37))+MONTH(CI$3)-MONTH($B$37))+1)/MAX(1,'Вводные'!$K$48)&lt;=0.2,0.6,IF(((12*(YEAR(CI$3)-YEAR($B$37))+MONTH(CI$3)-MONTH($B$37))+1)/MAX(1,'Вводные'!$K$48)&lt;=0.8,1.2,0.8)))</x:f>
      </x:c>
      <x:c r="CJ43" t="n">
        <x:f>IF(CJ42=0,0,IF(((12*(YEAR(CJ$3)-YEAR($B$37))+MONTH(CJ$3)-MONTH($B$37))+1)/MAX(1,'Вводные'!$K$48)&lt;=0.2,0.6,IF(((12*(YEAR(CJ$3)-YEAR($B$37))+MONTH(CJ$3)-MONTH($B$37))+1)/MAX(1,'Вводные'!$K$48)&lt;=0.8,1.2,0.8)))</x:f>
      </x:c>
      <x:c r="CK43" t="n">
        <x:f>IF(CK42=0,0,IF(((12*(YEAR(CK$3)-YEAR($B$37))+MONTH(CK$3)-MONTH($B$37))+1)/MAX(1,'Вводные'!$K$48)&lt;=0.2,0.6,IF(((12*(YEAR(CK$3)-YEAR($B$37))+MONTH(CK$3)-MONTH($B$37))+1)/MAX(1,'Вводные'!$K$48)&lt;=0.8,1.2,0.8)))</x:f>
      </x:c>
      <x:c r="CL43" t="n">
        <x:f>IF(CL42=0,0,IF(((12*(YEAR(CL$3)-YEAR($B$37))+MONTH(CL$3)-MONTH($B$37))+1)/MAX(1,'Вводные'!$K$48)&lt;=0.2,0.6,IF(((12*(YEAR(CL$3)-YEAR($B$37))+MONTH(CL$3)-MONTH($B$37))+1)/MAX(1,'Вводные'!$K$48)&lt;=0.8,1.2,0.8)))</x:f>
      </x:c>
      <x:c r="CM43" t="n">
        <x:f>IF(CM42=0,0,IF(((12*(YEAR(CM$3)-YEAR($B$37))+MONTH(CM$3)-MONTH($B$37))+1)/MAX(1,'Вводные'!$K$48)&lt;=0.2,0.6,IF(((12*(YEAR(CM$3)-YEAR($B$37))+MONTH(CM$3)-MONTH($B$37))+1)/MAX(1,'Вводные'!$K$48)&lt;=0.8,1.2,0.8)))</x:f>
      </x:c>
      <x:c r="CN43" t="n">
        <x:f>IF(CN42=0,0,IF(((12*(YEAR(CN$3)-YEAR($B$37))+MONTH(CN$3)-MONTH($B$37))+1)/MAX(1,'Вводные'!$K$48)&lt;=0.2,0.6,IF(((12*(YEAR(CN$3)-YEAR($B$37))+MONTH(CN$3)-MONTH($B$37))+1)/MAX(1,'Вводные'!$K$48)&lt;=0.8,1.2,0.8)))</x:f>
      </x:c>
      <x:c r="CO43" t="n">
        <x:f>IF(CO42=0,0,IF(((12*(YEAR(CO$3)-YEAR($B$37))+MONTH(CO$3)-MONTH($B$37))+1)/MAX(1,'Вводные'!$K$48)&lt;=0.2,0.6,IF(((12*(YEAR(CO$3)-YEAR($B$37))+MONTH(CO$3)-MONTH($B$37))+1)/MAX(1,'Вводные'!$K$48)&lt;=0.8,1.2,0.8)))</x:f>
      </x:c>
      <x:c r="CP43" t="n">
        <x:f>IF(CP42=0,0,IF(((12*(YEAR(CP$3)-YEAR($B$37))+MONTH(CP$3)-MONTH($B$37))+1)/MAX(1,'Вводные'!$K$48)&lt;=0.2,0.6,IF(((12*(YEAR(CP$3)-YEAR($B$37))+MONTH(CP$3)-MONTH($B$37))+1)/MAX(1,'Вводные'!$K$48)&lt;=0.8,1.2,0.8)))</x:f>
      </x:c>
      <x:c r="CQ43" t="n">
        <x:f>IF(CQ42=0,0,IF(((12*(YEAR(CQ$3)-YEAR($B$37))+MONTH(CQ$3)-MONTH($B$37))+1)/MAX(1,'Вводные'!$K$48)&lt;=0.2,0.6,IF(((12*(YEAR(CQ$3)-YEAR($B$37))+MONTH(CQ$3)-MONTH($B$37))+1)/MAX(1,'Вводные'!$K$48)&lt;=0.8,1.2,0.8)))</x:f>
      </x:c>
      <x:c r="CR43" t="n">
        <x:f>IF(CR42=0,0,IF(((12*(YEAR(CR$3)-YEAR($B$37))+MONTH(CR$3)-MONTH($B$37))+1)/MAX(1,'Вводные'!$K$48)&lt;=0.2,0.6,IF(((12*(YEAR(CR$3)-YEAR($B$37))+MONTH(CR$3)-MONTH($B$37))+1)/MAX(1,'Вводные'!$K$48)&lt;=0.8,1.2,0.8)))</x:f>
      </x:c>
      <x:c r="CS43" t="n">
        <x:f>IF(CS42=0,0,IF(((12*(YEAR(CS$3)-YEAR($B$37))+MONTH(CS$3)-MONTH($B$37))+1)/MAX(1,'Вводные'!$K$48)&lt;=0.2,0.6,IF(((12*(YEAR(CS$3)-YEAR($B$37))+MONTH(CS$3)-MONTH($B$37))+1)/MAX(1,'Вводные'!$K$48)&lt;=0.8,1.2,0.8)))</x:f>
      </x:c>
      <x:c r="CT43" t="n">
        <x:f>IF(CT42=0,0,IF(((12*(YEAR(CT$3)-YEAR($B$37))+MONTH(CT$3)-MONTH($B$37))+1)/MAX(1,'Вводные'!$K$48)&lt;=0.2,0.6,IF(((12*(YEAR(CT$3)-YEAR($B$37))+MONTH(CT$3)-MONTH($B$37))+1)/MAX(1,'Вводные'!$K$48)&lt;=0.8,1.2,0.8)))</x:f>
      </x:c>
      <x:c r="CU43" t="n">
        <x:f>IF(CU42=0,0,IF(((12*(YEAR(CU$3)-YEAR($B$37))+MONTH(CU$3)-MONTH($B$37))+1)/MAX(1,'Вводные'!$K$48)&lt;=0.2,0.6,IF(((12*(YEAR(CU$3)-YEAR($B$37))+MONTH(CU$3)-MONTH($B$37))+1)/MAX(1,'Вводные'!$K$48)&lt;=0.8,1.2,0.8)))</x:f>
      </x:c>
      <x:c r="CV43" t="n">
        <x:f>IF(CV42=0,0,IF(((12*(YEAR(CV$3)-YEAR($B$37))+MONTH(CV$3)-MONTH($B$37))+1)/MAX(1,'Вводные'!$K$48)&lt;=0.2,0.6,IF(((12*(YEAR(CV$3)-YEAR($B$37))+MONTH(CV$3)-MONTH($B$37))+1)/MAX(1,'Вводные'!$K$48)&lt;=0.8,1.2,0.8)))</x:f>
      </x:c>
      <x:c r="CW43" t="n">
        <x:f>IF(CW42=0,0,IF(((12*(YEAR(CW$3)-YEAR($B$37))+MONTH(CW$3)-MONTH($B$37))+1)/MAX(1,'Вводные'!$K$48)&lt;=0.2,0.6,IF(((12*(YEAR(CW$3)-YEAR($B$37))+MONTH(CW$3)-MONTH($B$37))+1)/MAX(1,'Вводные'!$K$48)&lt;=0.8,1.2,0.8)))</x:f>
      </x:c>
      <x:c r="CX43" t="n">
        <x:f>IF(CX42=0,0,IF(((12*(YEAR(CX$3)-YEAR($B$37))+MONTH(CX$3)-MONTH($B$37))+1)/MAX(1,'Вводные'!$K$48)&lt;=0.2,0.6,IF(((12*(YEAR(CX$3)-YEAR($B$37))+MONTH(CX$3)-MONTH($B$37))+1)/MAX(1,'Вводные'!$K$48)&lt;=0.8,1.2,0.8)))</x:f>
      </x:c>
      <x:c r="CY43" t="n">
        <x:f>IF(CY42=0,0,IF(((12*(YEAR(CY$3)-YEAR($B$37))+MONTH(CY$3)-MONTH($B$37))+1)/MAX(1,'Вводные'!$K$48)&lt;=0.2,0.6,IF(((12*(YEAR(CY$3)-YEAR($B$37))+MONTH(CY$3)-MONTH($B$37))+1)/MAX(1,'Вводные'!$K$48)&lt;=0.8,1.2,0.8)))</x:f>
      </x:c>
      <x:c r="CZ43" t="n">
        <x:f>IF(CZ42=0,0,IF(((12*(YEAR(CZ$3)-YEAR($B$37))+MONTH(CZ$3)-MONTH($B$37))+1)/MAX(1,'Вводные'!$K$48)&lt;=0.2,0.6,IF(((12*(YEAR(CZ$3)-YEAR($B$37))+MONTH(CZ$3)-MONTH($B$37))+1)/MAX(1,'Вводные'!$K$48)&lt;=0.8,1.2,0.8)))</x:f>
      </x:c>
      <x:c r="DA43" t="n">
        <x:f>IF(DA42=0,0,IF(((12*(YEAR(DA$3)-YEAR($B$37))+MONTH(DA$3)-MONTH($B$37))+1)/MAX(1,'Вводные'!$K$48)&lt;=0.2,0.6,IF(((12*(YEAR(DA$3)-YEAR($B$37))+MONTH(DA$3)-MONTH($B$37))+1)/MAX(1,'Вводные'!$K$48)&lt;=0.8,1.2,0.8)))</x:f>
      </x:c>
      <x:c r="DB43" t="n">
        <x:f>IF(DB42=0,0,IF(((12*(YEAR(DB$3)-YEAR($B$37))+MONTH(DB$3)-MONTH($B$37))+1)/MAX(1,'Вводные'!$K$48)&lt;=0.2,0.6,IF(((12*(YEAR(DB$3)-YEAR($B$37))+MONTH(DB$3)-MONTH($B$37))+1)/MAX(1,'Вводные'!$K$48)&lt;=0.8,1.2,0.8)))</x:f>
      </x:c>
      <x:c r="DC43" t="n">
        <x:f>IF(DC42=0,0,IF(((12*(YEAR(DC$3)-YEAR($B$37))+MONTH(DC$3)-MONTH($B$37))+1)/MAX(1,'Вводные'!$K$48)&lt;=0.2,0.6,IF(((12*(YEAR(DC$3)-YEAR($B$37))+MONTH(DC$3)-MONTH($B$37))+1)/MAX(1,'Вводные'!$K$48)&lt;=0.8,1.2,0.8)))</x:f>
      </x:c>
      <x:c r="DD43" t="n">
        <x:f>IF(DD42=0,0,IF(((12*(YEAR(DD$3)-YEAR($B$37))+MONTH(DD$3)-MONTH($B$37))+1)/MAX(1,'Вводные'!$K$48)&lt;=0.2,0.6,IF(((12*(YEAR(DD$3)-YEAR($B$37))+MONTH(DD$3)-MONTH($B$37))+1)/MAX(1,'Вводные'!$K$48)&lt;=0.8,1.2,0.8)))</x:f>
      </x:c>
      <x:c r="DE43" t="n">
        <x:f>IF(DE42=0,0,IF(((12*(YEAR(DE$3)-YEAR($B$37))+MONTH(DE$3)-MONTH($B$37))+1)/MAX(1,'Вводные'!$K$48)&lt;=0.2,0.6,IF(((12*(YEAR(DE$3)-YEAR($B$37))+MONTH(DE$3)-MONTH($B$37))+1)/MAX(1,'Вводные'!$K$48)&lt;=0.8,1.2,0.8)))</x:f>
      </x:c>
      <x:c r="DF43" t="n">
        <x:f>IF(DF42=0,0,IF(((12*(YEAR(DF$3)-YEAR($B$37))+MONTH(DF$3)-MONTH($B$37))+1)/MAX(1,'Вводные'!$K$48)&lt;=0.2,0.6,IF(((12*(YEAR(DF$3)-YEAR($B$37))+MONTH(DF$3)-MONTH($B$37))+1)/MAX(1,'Вводные'!$K$48)&lt;=0.8,1.2,0.8)))</x:f>
      </x:c>
      <x:c r="DG43" t="n">
        <x:f>IF(DG42=0,0,IF(((12*(YEAR(DG$3)-YEAR($B$37))+MONTH(DG$3)-MONTH($B$37))+1)/MAX(1,'Вводные'!$K$48)&lt;=0.2,0.6,IF(((12*(YEAR(DG$3)-YEAR($B$37))+MONTH(DG$3)-MONTH($B$37))+1)/MAX(1,'Вводные'!$K$48)&lt;=0.8,1.2,0.8)))</x:f>
      </x:c>
      <x:c r="DH43" t="n">
        <x:f>IF(DH42=0,0,IF(((12*(YEAR(DH$3)-YEAR($B$37))+MONTH(DH$3)-MONTH($B$37))+1)/MAX(1,'Вводные'!$K$48)&lt;=0.2,0.6,IF(((12*(YEAR(DH$3)-YEAR($B$37))+MONTH(DH$3)-MONTH($B$37))+1)/MAX(1,'Вводные'!$K$48)&lt;=0.8,1.2,0.8)))</x:f>
      </x:c>
      <x:c r="DI43" t="n">
        <x:f>IF(DI42=0,0,IF(((12*(YEAR(DI$3)-YEAR($B$37))+MONTH(DI$3)-MONTH($B$37))+1)/MAX(1,'Вводные'!$K$48)&lt;=0.2,0.6,IF(((12*(YEAR(DI$3)-YEAR($B$37))+MONTH(DI$3)-MONTH($B$37))+1)/MAX(1,'Вводные'!$K$48)&lt;=0.8,1.2,0.8)))</x:f>
      </x:c>
      <x:c r="DJ43" t="n">
        <x:f>IF(DJ42=0,0,IF(((12*(YEAR(DJ$3)-YEAR($B$37))+MONTH(DJ$3)-MONTH($B$37))+1)/MAX(1,'Вводные'!$K$48)&lt;=0.2,0.6,IF(((12*(YEAR(DJ$3)-YEAR($B$37))+MONTH(DJ$3)-MONTH($B$37))+1)/MAX(1,'Вводные'!$K$48)&lt;=0.8,1.2,0.8)))</x:f>
      </x:c>
      <x:c r="DK43" t="n">
        <x:f>IF(DK42=0,0,IF(((12*(YEAR(DK$3)-YEAR($B$37))+MONTH(DK$3)-MONTH($B$37))+1)/MAX(1,'Вводные'!$K$48)&lt;=0.2,0.6,IF(((12*(YEAR(DK$3)-YEAR($B$37))+MONTH(DK$3)-MONTH($B$37))+1)/MAX(1,'Вводные'!$K$48)&lt;=0.8,1.2,0.8)))</x:f>
      </x:c>
      <x:c r="DL43" t="n">
        <x:f>IF(DL42=0,0,IF(((12*(YEAR(DL$3)-YEAR($B$37))+MONTH(DL$3)-MONTH($B$37))+1)/MAX(1,'Вводные'!$K$48)&lt;=0.2,0.6,IF(((12*(YEAR(DL$3)-YEAR($B$37))+MONTH(DL$3)-MONTH($B$37))+1)/MAX(1,'Вводные'!$K$48)&lt;=0.8,1.2,0.8)))</x:f>
      </x:c>
      <x:c r="DM43" t="n">
        <x:f>IF(DM42=0,0,IF(((12*(YEAR(DM$3)-YEAR($B$37))+MONTH(DM$3)-MONTH($B$37))+1)/MAX(1,'Вводные'!$K$48)&lt;=0.2,0.6,IF(((12*(YEAR(DM$3)-YEAR($B$37))+MONTH(DM$3)-MONTH($B$37))+1)/MAX(1,'Вводные'!$K$48)&lt;=0.8,1.2,0.8)))</x:f>
      </x:c>
      <x:c r="DN43" t="n">
        <x:f>IF(DN42=0,0,IF(((12*(YEAR(DN$3)-YEAR($B$37))+MONTH(DN$3)-MONTH($B$37))+1)/MAX(1,'Вводные'!$K$48)&lt;=0.2,0.6,IF(((12*(YEAR(DN$3)-YEAR($B$37))+MONTH(DN$3)-MONTH($B$37))+1)/MAX(1,'Вводные'!$K$48)&lt;=0.8,1.2,0.8)))</x:f>
      </x:c>
      <x:c r="DO43" t="n">
        <x:f>IF(DO42=0,0,IF(((12*(YEAR(DO$3)-YEAR($B$37))+MONTH(DO$3)-MONTH($B$37))+1)/MAX(1,'Вводные'!$K$48)&lt;=0.2,0.6,IF(((12*(YEAR(DO$3)-YEAR($B$37))+MONTH(DO$3)-MONTH($B$37))+1)/MAX(1,'Вводные'!$K$48)&lt;=0.8,1.2,0.8)))</x:f>
      </x:c>
      <x:c r="DP43" t="n">
        <x:f>IF(DP42=0,0,IF(((12*(YEAR(DP$3)-YEAR($B$37))+MONTH(DP$3)-MONTH($B$37))+1)/MAX(1,'Вводные'!$K$48)&lt;=0.2,0.6,IF(((12*(YEAR(DP$3)-YEAR($B$37))+MONTH(DP$3)-MONTH($B$37))+1)/MAX(1,'Вводные'!$K$48)&lt;=0.8,1.2,0.8)))</x:f>
      </x:c>
      <x:c r="DQ43" t="n">
        <x:f>IF(DQ42=0,0,IF(((12*(YEAR(DQ$3)-YEAR($B$37))+MONTH(DQ$3)-MONTH($B$37))+1)/MAX(1,'Вводные'!$K$48)&lt;=0.2,0.6,IF(((12*(YEAR(DQ$3)-YEAR($B$37))+MONTH(DQ$3)-MONTH($B$37))+1)/MAX(1,'Вводные'!$K$48)&lt;=0.8,1.2,0.8)))</x:f>
      </x:c>
      <x:c r="DR43" t="n">
        <x:f>IF(DR42=0,0,IF(((12*(YEAR(DR$3)-YEAR($B$37))+MONTH(DR$3)-MONTH($B$37))+1)/MAX(1,'Вводные'!$K$48)&lt;=0.2,0.6,IF(((12*(YEAR(DR$3)-YEAR($B$37))+MONTH(DR$3)-MONTH($B$37))+1)/MAX(1,'Вводные'!$K$48)&lt;=0.8,1.2,0.8)))</x:f>
      </x:c>
      <x:c r="DS43" t="n">
        <x:f>IF(DS42=0,0,IF(((12*(YEAR(DS$3)-YEAR($B$37))+MONTH(DS$3)-MONTH($B$37))+1)/MAX(1,'Вводные'!$K$48)&lt;=0.2,0.6,IF(((12*(YEAR(DS$3)-YEAR($B$37))+MONTH(DS$3)-MONTH($B$37))+1)/MAX(1,'Вводные'!$K$48)&lt;=0.8,1.2,0.8)))</x:f>
      </x:c>
      <x:c r="DT43" t="n">
        <x:f>IF(DT42=0,0,IF(((12*(YEAR(DT$3)-YEAR($B$37))+MONTH(DT$3)-MONTH($B$37))+1)/MAX(1,'Вводные'!$K$48)&lt;=0.2,0.6,IF(((12*(YEAR(DT$3)-YEAR($B$37))+MONTH(DT$3)-MONTH($B$37))+1)/MAX(1,'Вводные'!$K$48)&lt;=0.8,1.2,0.8)))</x:f>
      </x:c>
      <x:c r="DU43" t="n">
        <x:f>IF(DU42=0,0,IF(((12*(YEAR(DU$3)-YEAR($B$37))+MONTH(DU$3)-MONTH($B$37))+1)/MAX(1,'Вводные'!$K$48)&lt;=0.2,0.6,IF(((12*(YEAR(DU$3)-YEAR($B$37))+MONTH(DU$3)-MONTH($B$37))+1)/MAX(1,'Вводные'!$K$48)&lt;=0.8,1.2,0.8)))</x:f>
      </x:c>
      <x:c r="DV43" t="n">
        <x:f>IF(DV42=0,0,IF(((12*(YEAR(DV$3)-YEAR($B$37))+MONTH(DV$3)-MONTH($B$37))+1)/MAX(1,'Вводные'!$K$48)&lt;=0.2,0.6,IF(((12*(YEAR(DV$3)-YEAR($B$37))+MONTH(DV$3)-MONTH($B$37))+1)/MAX(1,'Вводные'!$K$48)&lt;=0.8,1.2,0.8)))</x:f>
      </x:c>
      <x:c r="DW43" t="n">
        <x:f>IF(DW42=0,0,IF(((12*(YEAR(DW$3)-YEAR($B$37))+MONTH(DW$3)-MONTH($B$37))+1)/MAX(1,'Вводные'!$K$48)&lt;=0.2,0.6,IF(((12*(YEAR(DW$3)-YEAR($B$37))+MONTH(DW$3)-MONTH($B$37))+1)/MAX(1,'Вводные'!$K$48)&lt;=0.8,1.2,0.8)))</x:f>
      </x:c>
      <x:c r="DX43" t="n">
        <x:f>IF(DX42=0,0,IF(((12*(YEAR(DX$3)-YEAR($B$37))+MONTH(DX$3)-MONTH($B$37))+1)/MAX(1,'Вводные'!$K$48)&lt;=0.2,0.6,IF(((12*(YEAR(DX$3)-YEAR($B$37))+MONTH(DX$3)-MONTH($B$37))+1)/MAX(1,'Вводные'!$K$48)&lt;=0.8,1.2,0.8)))</x:f>
      </x:c>
      <x:c r="DY43" t="n">
        <x:f>IF(DY42=0,0,IF(((12*(YEAR(DY$3)-YEAR($B$37))+MONTH(DY$3)-MONTH($B$37))+1)/MAX(1,'Вводные'!$K$48)&lt;=0.2,0.6,IF(((12*(YEAR(DY$3)-YEAR($B$37))+MONTH(DY$3)-MONTH($B$37))+1)/MAX(1,'Вводные'!$K$48)&lt;=0.8,1.2,0.8)))</x:f>
      </x:c>
      <x:c r="DZ43" t="n">
        <x:f>IF(DZ42=0,0,IF(((12*(YEAR(DZ$3)-YEAR($B$37))+MONTH(DZ$3)-MONTH($B$37))+1)/MAX(1,'Вводные'!$K$48)&lt;=0.2,0.6,IF(((12*(YEAR(DZ$3)-YEAR($B$37))+MONTH(DZ$3)-MONTH($B$37))+1)/MAX(1,'Вводные'!$K$48)&lt;=0.8,1.2,0.8)))</x:f>
      </x:c>
      <x:c r="EA43" t="n">
        <x:f>IF(EA42=0,0,IF(((12*(YEAR(EA$3)-YEAR($B$37))+MONTH(EA$3)-MONTH($B$37))+1)/MAX(1,'Вводные'!$K$48)&lt;=0.2,0.6,IF(((12*(YEAR(EA$3)-YEAR($B$37))+MONTH(EA$3)-MONTH($B$37))+1)/MAX(1,'Вводные'!$K$48)&lt;=0.8,1.2,0.8)))</x:f>
      </x:c>
      <x:c r="EB43" t="n">
        <x:f>IF(EB42=0,0,IF(((12*(YEAR(EB$3)-YEAR($B$37))+MONTH(EB$3)-MONTH($B$37))+1)/MAX(1,'Вводные'!$K$48)&lt;=0.2,0.6,IF(((12*(YEAR(EB$3)-YEAR($B$37))+MONTH(EB$3)-MONTH($B$37))+1)/MAX(1,'Вводные'!$K$48)&lt;=0.8,1.2,0.8)))</x:f>
      </x:c>
      <x:c r="EC43" t="n">
        <x:f>IF(EC42=0,0,IF(((12*(YEAR(EC$3)-YEAR($B$37))+MONTH(EC$3)-MONTH($B$37))+1)/MAX(1,'Вводные'!$K$48)&lt;=0.2,0.6,IF(((12*(YEAR(EC$3)-YEAR($B$37))+MONTH(EC$3)-MONTH($B$37))+1)/MAX(1,'Вводные'!$K$48)&lt;=0.8,1.2,0.8)))</x:f>
      </x:c>
      <x:c r="ED43" t="n">
        <x:f>IF(ED42=0,0,IF(((12*(YEAR(ED$3)-YEAR($B$37))+MONTH(ED$3)-MONTH($B$37))+1)/MAX(1,'Вводные'!$K$48)&lt;=0.2,0.6,IF(((12*(YEAR(ED$3)-YEAR($B$37))+MONTH(ED$3)-MONTH($B$37))+1)/MAX(1,'Вводные'!$K$48)&lt;=0.8,1.2,0.8)))</x:f>
      </x:c>
      <x:c r="EE43" t="n">
        <x:f>IF(EE42=0,0,IF(((12*(YEAR(EE$3)-YEAR($B$37))+MONTH(EE$3)-MONTH($B$37))+1)/MAX(1,'Вводные'!$K$48)&lt;=0.2,0.6,IF(((12*(YEAR(EE$3)-YEAR($B$37))+MONTH(EE$3)-MONTH($B$37))+1)/MAX(1,'Вводные'!$K$48)&lt;=0.8,1.2,0.8)))</x:f>
      </x:c>
      <x:c r="EF43" t="n">
        <x:f>IF(EF42=0,0,IF(((12*(YEAR(EF$3)-YEAR($B$37))+MONTH(EF$3)-MONTH($B$37))+1)/MAX(1,'Вводные'!$K$48)&lt;=0.2,0.6,IF(((12*(YEAR(EF$3)-YEAR($B$37))+MONTH(EF$3)-MONTH($B$37))+1)/MAX(1,'Вводные'!$K$48)&lt;=0.8,1.2,0.8)))</x:f>
      </x:c>
      <x:c r="EG43" t="n">
        <x:f>IF(EG42=0,0,IF(((12*(YEAR(EG$3)-YEAR($B$37))+MONTH(EG$3)-MONTH($B$37))+1)/MAX(1,'Вводные'!$K$48)&lt;=0.2,0.6,IF(((12*(YEAR(EG$3)-YEAR($B$37))+MONTH(EG$3)-MONTH($B$37))+1)/MAX(1,'Вводные'!$K$48)&lt;=0.8,1.2,0.8)))</x:f>
      </x:c>
      <x:c r="EH43" t="n">
        <x:f>IF(EH42=0,0,IF(((12*(YEAR(EH$3)-YEAR($B$37))+MONTH(EH$3)-MONTH($B$37))+1)/MAX(1,'Вводные'!$K$48)&lt;=0.2,0.6,IF(((12*(YEAR(EH$3)-YEAR($B$37))+MONTH(EH$3)-MONTH($B$37))+1)/MAX(1,'Вводные'!$K$48)&lt;=0.8,1.2,0.8)))</x:f>
      </x:c>
      <x:c r="EI43" t="n">
        <x:f>IF(EI42=0,0,IF(((12*(YEAR(EI$3)-YEAR($B$37))+MONTH(EI$3)-MONTH($B$37))+1)/MAX(1,'Вводные'!$K$48)&lt;=0.2,0.6,IF(((12*(YEAR(EI$3)-YEAR($B$37))+MONTH(EI$3)-MONTH($B$37))+1)/MAX(1,'Вводные'!$K$48)&lt;=0.8,1.2,0.8)))</x:f>
      </x:c>
      <x:c r="EJ43" t="n">
        <x:f>IF(EJ42=0,0,IF(((12*(YEAR(EJ$3)-YEAR($B$37))+MONTH(EJ$3)-MONTH($B$37))+1)/MAX(1,'Вводные'!$K$48)&lt;=0.2,0.6,IF(((12*(YEAR(EJ$3)-YEAR($B$37))+MONTH(EJ$3)-MONTH($B$37))+1)/MAX(1,'Вводные'!$K$48)&lt;=0.8,1.2,0.8)))</x:f>
      </x:c>
      <x:c r="EK43" t="n">
        <x:f>IF(EK42=0,0,IF(((12*(YEAR(EK$3)-YEAR($B$37))+MONTH(EK$3)-MONTH($B$37))+1)/MAX(1,'Вводные'!$K$48)&lt;=0.2,0.6,IF(((12*(YEAR(EK$3)-YEAR($B$37))+MONTH(EK$3)-MONTH($B$37))+1)/MAX(1,'Вводные'!$K$48)&lt;=0.8,1.2,0.8)))</x:f>
      </x:c>
      <x:c r="EL43" t="n">
        <x:f>IF(EL42=0,0,IF(((12*(YEAR(EL$3)-YEAR($B$37))+MONTH(EL$3)-MONTH($B$37))+1)/MAX(1,'Вводные'!$K$48)&lt;=0.2,0.6,IF(((12*(YEAR(EL$3)-YEAR($B$37))+MONTH(EL$3)-MONTH($B$37))+1)/MAX(1,'Вводные'!$K$48)&lt;=0.8,1.2,0.8)))</x:f>
      </x:c>
      <x:c r="EM43" t="n">
        <x:f>IF(EM42=0,0,IF(((12*(YEAR(EM$3)-YEAR($B$37))+MONTH(EM$3)-MONTH($B$37))+1)/MAX(1,'Вводные'!$K$48)&lt;=0.2,0.6,IF(((12*(YEAR(EM$3)-YEAR($B$37))+MONTH(EM$3)-MONTH($B$37))+1)/MAX(1,'Вводные'!$K$48)&lt;=0.8,1.2,0.8)))</x:f>
      </x:c>
      <x:c r="EN43" t="n">
        <x:f>IF(EN42=0,0,IF(((12*(YEAR(EN$3)-YEAR($B$37))+MONTH(EN$3)-MONTH($B$37))+1)/MAX(1,'Вводные'!$K$48)&lt;=0.2,0.6,IF(((12*(YEAR(EN$3)-YEAR($B$37))+MONTH(EN$3)-MONTH($B$37))+1)/MAX(1,'Вводные'!$K$48)&lt;=0.8,1.2,0.8)))</x:f>
      </x:c>
      <x:c r="EO43" t="n">
        <x:f>IF(EO42=0,0,IF(((12*(YEAR(EO$3)-YEAR($B$37))+MONTH(EO$3)-MONTH($B$37))+1)/MAX(1,'Вводные'!$K$48)&lt;=0.2,0.6,IF(((12*(YEAR(EO$3)-YEAR($B$37))+MONTH(EO$3)-MONTH($B$37))+1)/MAX(1,'Вводные'!$K$48)&lt;=0.8,1.2,0.8)))</x:f>
      </x:c>
      <x:c r="EP43" t="n">
        <x:f>IF(EP42=0,0,IF(((12*(YEAR(EP$3)-YEAR($B$37))+MONTH(EP$3)-MONTH($B$37))+1)/MAX(1,'Вводные'!$K$48)&lt;=0.2,0.6,IF(((12*(YEAR(EP$3)-YEAR($B$37))+MONTH(EP$3)-MONTH($B$37))+1)/MAX(1,'Вводные'!$K$48)&lt;=0.8,1.2,0.8)))</x:f>
      </x:c>
      <x:c r="EQ43" t="n">
        <x:f>IF(EQ42=0,0,IF(((12*(YEAR(EQ$3)-YEAR($B$37))+MONTH(EQ$3)-MONTH($B$37))+1)/MAX(1,'Вводные'!$K$48)&lt;=0.2,0.6,IF(((12*(YEAR(EQ$3)-YEAR($B$37))+MONTH(EQ$3)-MONTH($B$37))+1)/MAX(1,'Вводные'!$K$48)&lt;=0.8,1.2,0.8)))</x:f>
      </x:c>
      <x:c r="ER43" t="n">
        <x:f>IF(ER42=0,0,IF(((12*(YEAR(ER$3)-YEAR($B$37))+MONTH(ER$3)-MONTH($B$37))+1)/MAX(1,'Вводные'!$K$48)&lt;=0.2,0.6,IF(((12*(YEAR(ER$3)-YEAR($B$37))+MONTH(ER$3)-MONTH($B$37))+1)/MAX(1,'Вводные'!$K$48)&lt;=0.8,1.2,0.8)))</x:f>
      </x:c>
      <x:c r="ES43" t="n">
        <x:f>IF(ES42=0,0,IF(((12*(YEAR(ES$3)-YEAR($B$37))+MONTH(ES$3)-MONTH($B$37))+1)/MAX(1,'Вводные'!$K$48)&lt;=0.2,0.6,IF(((12*(YEAR(ES$3)-YEAR($B$37))+MONTH(ES$3)-MONTH($B$37))+1)/MAX(1,'Вводные'!$K$48)&lt;=0.8,1.2,0.8)))</x:f>
      </x:c>
      <x:c r="ET43" t="n">
        <x:f>IF(ET42=0,0,IF(((12*(YEAR(ET$3)-YEAR($B$37))+MONTH(ET$3)-MONTH($B$37))+1)/MAX(1,'Вводные'!$K$48)&lt;=0.2,0.6,IF(((12*(YEAR(ET$3)-YEAR($B$37))+MONTH(ET$3)-MONTH($B$37))+1)/MAX(1,'Вводные'!$K$48)&lt;=0.8,1.2,0.8)))</x:f>
      </x:c>
      <x:c r="EU43" t="n">
        <x:f>IF(EU42=0,0,IF(((12*(YEAR(EU$3)-YEAR($B$37))+MONTH(EU$3)-MONTH($B$37))+1)/MAX(1,'Вводные'!$K$48)&lt;=0.2,0.6,IF(((12*(YEAR(EU$3)-YEAR($B$37))+MONTH(EU$3)-MONTH($B$37))+1)/MAX(1,'Вводные'!$K$48)&lt;=0.8,1.2,0.8)))</x:f>
      </x:c>
      <x:c r="EV43" t="n">
        <x:f>IF(EV42=0,0,IF(((12*(YEAR(EV$3)-YEAR($B$37))+MONTH(EV$3)-MONTH($B$37))+1)/MAX(1,'Вводные'!$K$48)&lt;=0.2,0.6,IF(((12*(YEAR(EV$3)-YEAR($B$37))+MONTH(EV$3)-MONTH($B$37))+1)/MAX(1,'Вводные'!$K$48)&lt;=0.8,1.2,0.8)))</x:f>
      </x:c>
      <x:c r="EW43" t="n">
        <x:f>IF(EW42=0,0,IF(((12*(YEAR(EW$3)-YEAR($B$37))+MONTH(EW$3)-MONTH($B$37))+1)/MAX(1,'Вводные'!$K$48)&lt;=0.2,0.6,IF(((12*(YEAR(EW$3)-YEAR($B$37))+MONTH(EW$3)-MONTH($B$37))+1)/MAX(1,'Вводные'!$K$48)&lt;=0.8,1.2,0.8)))</x:f>
      </x:c>
      <x:c r="EX43" t="n">
        <x:f>IF(EX42=0,0,IF(((12*(YEAR(EX$3)-YEAR($B$37))+MONTH(EX$3)-MONTH($B$37))+1)/MAX(1,'Вводные'!$K$48)&lt;=0.2,0.6,IF(((12*(YEAR(EX$3)-YEAR($B$37))+MONTH(EX$3)-MONTH($B$37))+1)/MAX(1,'Вводные'!$K$48)&lt;=0.8,1.2,0.8)))</x:f>
      </x:c>
      <x:c r="EY43" t="n">
        <x:f>IF(EY42=0,0,IF(((12*(YEAR(EY$3)-YEAR($B$37))+MONTH(EY$3)-MONTH($B$37))+1)/MAX(1,'Вводные'!$K$48)&lt;=0.2,0.6,IF(((12*(YEAR(EY$3)-YEAR($B$37))+MONTH(EY$3)-MONTH($B$37))+1)/MAX(1,'Вводные'!$K$48)&lt;=0.8,1.2,0.8)))</x:f>
      </x:c>
      <x:c r="EZ43" t="n">
        <x:f>IF(EZ42=0,0,IF(((12*(YEAR(EZ$3)-YEAR($B$37))+MONTH(EZ$3)-MONTH($B$37))+1)/MAX(1,'Вводные'!$K$48)&lt;=0.2,0.6,IF(((12*(YEAR(EZ$3)-YEAR($B$37))+MONTH(EZ$3)-MONTH($B$37))+1)/MAX(1,'Вводные'!$K$48)&lt;=0.8,1.2,0.8)))</x:f>
      </x:c>
      <x:c r="FA43" t="n">
        <x:f>IF(FA42=0,0,IF(((12*(YEAR(FA$3)-YEAR($B$37))+MONTH(FA$3)-MONTH($B$37))+1)/MAX(1,'Вводные'!$K$48)&lt;=0.2,0.6,IF(((12*(YEAR(FA$3)-YEAR($B$37))+MONTH(FA$3)-MONTH($B$37))+1)/MAX(1,'Вводные'!$K$48)&lt;=0.8,1.2,0.8)))</x:f>
      </x:c>
      <x:c r="FB43" t="n">
        <x:f>IF(FB42=0,0,IF(((12*(YEAR(FB$3)-YEAR($B$37))+MONTH(FB$3)-MONTH($B$37))+1)/MAX(1,'Вводные'!$K$48)&lt;=0.2,0.6,IF(((12*(YEAR(FB$3)-YEAR($B$37))+MONTH(FB$3)-MONTH($B$37))+1)/MAX(1,'Вводные'!$K$48)&lt;=0.8,1.2,0.8)))</x:f>
      </x:c>
      <x:c r="FC43" t="n">
        <x:f>IF(FC42=0,0,IF(((12*(YEAR(FC$3)-YEAR($B$37))+MONTH(FC$3)-MONTH($B$37))+1)/MAX(1,'Вводные'!$K$48)&lt;=0.2,0.6,IF(((12*(YEAR(FC$3)-YEAR($B$37))+MONTH(FC$3)-MONTH($B$37))+1)/MAX(1,'Вводные'!$K$48)&lt;=0.8,1.2,0.8)))</x:f>
      </x:c>
      <x:c r="FD43" t="n">
        <x:f>IF(FD42=0,0,IF(((12*(YEAR(FD$3)-YEAR($B$37))+MONTH(FD$3)-MONTH($B$37))+1)/MAX(1,'Вводные'!$K$48)&lt;=0.2,0.6,IF(((12*(YEAR(FD$3)-YEAR($B$37))+MONTH(FD$3)-MONTH($B$37))+1)/MAX(1,'Вводные'!$K$48)&lt;=0.8,1.2,0.8)))</x:f>
      </x:c>
      <x:c r="FE43" t="n">
        <x:f>IF(FE42=0,0,IF(((12*(YEAR(FE$3)-YEAR($B$37))+MONTH(FE$3)-MONTH($B$37))+1)/MAX(1,'Вводные'!$K$48)&lt;=0.2,0.6,IF(((12*(YEAR(FE$3)-YEAR($B$37))+MONTH(FE$3)-MONTH($B$37))+1)/MAX(1,'Вводные'!$K$48)&lt;=0.8,1.2,0.8)))</x:f>
      </x:c>
      <x:c r="FF43" t="n">
        <x:f>IF(FF42=0,0,IF(((12*(YEAR(FF$3)-YEAR($B$37))+MONTH(FF$3)-MONTH($B$37))+1)/MAX(1,'Вводные'!$K$48)&lt;=0.2,0.6,IF(((12*(YEAR(FF$3)-YEAR($B$37))+MONTH(FF$3)-MONTH($B$37))+1)/MAX(1,'Вводные'!$K$48)&lt;=0.8,1.2,0.8)))</x:f>
      </x:c>
      <x:c r="FG43" t="n">
        <x:f>IF(FG42=0,0,IF(((12*(YEAR(FG$3)-YEAR($B$37))+MONTH(FG$3)-MONTH($B$37))+1)/MAX(1,'Вводные'!$K$48)&lt;=0.2,0.6,IF(((12*(YEAR(FG$3)-YEAR($B$37))+MONTH(FG$3)-MONTH($B$37))+1)/MAX(1,'Вводные'!$K$48)&lt;=0.8,1.2,0.8)))</x:f>
      </x:c>
      <x:c r="FH43" t="n">
        <x:f>IF(FH42=0,0,IF(((12*(YEAR(FH$3)-YEAR($B$37))+MONTH(FH$3)-MONTH($B$37))+1)/MAX(1,'Вводные'!$K$48)&lt;=0.2,0.6,IF(((12*(YEAR(FH$3)-YEAR($B$37))+MONTH(FH$3)-MONTH($B$37))+1)/MAX(1,'Вводные'!$K$48)&lt;=0.8,1.2,0.8)))</x:f>
      </x:c>
      <x:c r="FI43" t="n">
        <x:f>IF(FI42=0,0,IF(((12*(YEAR(FI$3)-YEAR($B$37))+MONTH(FI$3)-MONTH($B$37))+1)/MAX(1,'Вводные'!$K$48)&lt;=0.2,0.6,IF(((12*(YEAR(FI$3)-YEAR($B$37))+MONTH(FI$3)-MONTH($B$37))+1)/MAX(1,'Вводные'!$K$48)&lt;=0.8,1.2,0.8)))</x:f>
      </x:c>
      <x:c r="FJ43" t="n">
        <x:f>IF(FJ42=0,0,IF(((12*(YEAR(FJ$3)-YEAR($B$37))+MONTH(FJ$3)-MONTH($B$37))+1)/MAX(1,'Вводные'!$K$48)&lt;=0.2,0.6,IF(((12*(YEAR(FJ$3)-YEAR($B$37))+MONTH(FJ$3)-MONTH($B$37))+1)/MAX(1,'Вводные'!$K$48)&lt;=0.8,1.2,0.8)))</x:f>
      </x:c>
      <x:c r="FK43" t="n">
        <x:f>IF(FK42=0,0,IF(((12*(YEAR(FK$3)-YEAR($B$37))+MONTH(FK$3)-MONTH($B$37))+1)/MAX(1,'Вводные'!$K$48)&lt;=0.2,0.6,IF(((12*(YEAR(FK$3)-YEAR($B$37))+MONTH(FK$3)-MONTH($B$37))+1)/MAX(1,'Вводные'!$K$48)&lt;=0.8,1.2,0.8)))</x:f>
      </x:c>
      <x:c r="FL43" t="n">
        <x:f>IF(FL42=0,0,IF(((12*(YEAR(FL$3)-YEAR($B$37))+MONTH(FL$3)-MONTH($B$37))+1)/MAX(1,'Вводные'!$K$48)&lt;=0.2,0.6,IF(((12*(YEAR(FL$3)-YEAR($B$37))+MONTH(FL$3)-MONTH($B$37))+1)/MAX(1,'Вводные'!$K$48)&lt;=0.8,1.2,0.8)))</x:f>
      </x:c>
      <x:c r="FM43" t="n">
        <x:f>IF(FM42=0,0,IF(((12*(YEAR(FM$3)-YEAR($B$37))+MONTH(FM$3)-MONTH($B$37))+1)/MAX(1,'Вводные'!$K$48)&lt;=0.2,0.6,IF(((12*(YEAR(FM$3)-YEAR($B$37))+MONTH(FM$3)-MONTH($B$37))+1)/MAX(1,'Вводные'!$K$48)&lt;=0.8,1.2,0.8)))</x:f>
      </x:c>
      <x:c r="FN43" t="n">
        <x:f>IF(FN42=0,0,IF(((12*(YEAR(FN$3)-YEAR($B$37))+MONTH(FN$3)-MONTH($B$37))+1)/MAX(1,'Вводные'!$K$48)&lt;=0.2,0.6,IF(((12*(YEAR(FN$3)-YEAR($B$37))+MONTH(FN$3)-MONTH($B$37))+1)/MAX(1,'Вводные'!$K$48)&lt;=0.8,1.2,0.8)))</x:f>
      </x:c>
      <x:c r="FO43" t="n">
        <x:f>IF(FO42=0,0,IF(((12*(YEAR(FO$3)-YEAR($B$37))+MONTH(FO$3)-MONTH($B$37))+1)/MAX(1,'Вводные'!$K$48)&lt;=0.2,0.6,IF(((12*(YEAR(FO$3)-YEAR($B$37))+MONTH(FO$3)-MONTH($B$37))+1)/MAX(1,'Вводные'!$K$48)&lt;=0.8,1.2,0.8)))</x:f>
      </x:c>
      <x:c r="FP43" t="n">
        <x:f>IF(FP42=0,0,IF(((12*(YEAR(FP$3)-YEAR($B$37))+MONTH(FP$3)-MONTH($B$37))+1)/MAX(1,'Вводные'!$K$48)&lt;=0.2,0.6,IF(((12*(YEAR(FP$3)-YEAR($B$37))+MONTH(FP$3)-MONTH($B$37))+1)/MAX(1,'Вводные'!$K$48)&lt;=0.8,1.2,0.8)))</x:f>
      </x:c>
      <x:c r="FQ43" t="n">
        <x:f>IF(FQ42=0,0,IF(((12*(YEAR(FQ$3)-YEAR($B$37))+MONTH(FQ$3)-MONTH($B$37))+1)/MAX(1,'Вводные'!$K$48)&lt;=0.2,0.6,IF(((12*(YEAR(FQ$3)-YEAR($B$37))+MONTH(FQ$3)-MONTH($B$37))+1)/MAX(1,'Вводные'!$K$48)&lt;=0.8,1.2,0.8)))</x:f>
      </x:c>
      <x:c r="FR43" t="n">
        <x:f>IF(FR42=0,0,IF(((12*(YEAR(FR$3)-YEAR($B$37))+MONTH(FR$3)-MONTH($B$37))+1)/MAX(1,'Вводные'!$K$48)&lt;=0.2,0.6,IF(((12*(YEAR(FR$3)-YEAR($B$37))+MONTH(FR$3)-MONTH($B$37))+1)/MAX(1,'Вводные'!$K$48)&lt;=0.8,1.2,0.8)))</x:f>
      </x:c>
      <x:c r="FS43" t="n">
        <x:f>IF(FS42=0,0,IF(((12*(YEAR(FS$3)-YEAR($B$37))+MONTH(FS$3)-MONTH($B$37))+1)/MAX(1,'Вводные'!$K$48)&lt;=0.2,0.6,IF(((12*(YEAR(FS$3)-YEAR($B$37))+MONTH(FS$3)-MONTH($B$37))+1)/MAX(1,'Вводные'!$K$48)&lt;=0.8,1.2,0.8)))</x:f>
      </x:c>
      <x:c r="FT43" t="n">
        <x:f>IF(FT42=0,0,IF(((12*(YEAR(FT$3)-YEAR($B$37))+MONTH(FT$3)-MONTH($B$37))+1)/MAX(1,'Вводные'!$K$48)&lt;=0.2,0.6,IF(((12*(YEAR(FT$3)-YEAR($B$37))+MONTH(FT$3)-MONTH($B$37))+1)/MAX(1,'Вводные'!$K$48)&lt;=0.8,1.2,0.8)))</x:f>
      </x:c>
      <x:c r="FU43" t="n">
        <x:f>IF(FU42=0,0,IF(((12*(YEAR(FU$3)-YEAR($B$37))+MONTH(FU$3)-MONTH($B$37))+1)/MAX(1,'Вводные'!$K$48)&lt;=0.2,0.6,IF(((12*(YEAR(FU$3)-YEAR($B$37))+MONTH(FU$3)-MONTH($B$37))+1)/MAX(1,'Вводные'!$K$48)&lt;=0.8,1.2,0.8)))</x:f>
      </x:c>
      <x:c r="FV43" t="n">
        <x:f>IF(FV42=0,0,IF(((12*(YEAR(FV$3)-YEAR($B$37))+MONTH(FV$3)-MONTH($B$37))+1)/MAX(1,'Вводные'!$K$48)&lt;=0.2,0.6,IF(((12*(YEAR(FV$3)-YEAR($B$37))+MONTH(FV$3)-MONTH($B$37))+1)/MAX(1,'Вводные'!$K$48)&lt;=0.8,1.2,0.8)))</x:f>
      </x:c>
      <x:c r="FW43" t="n">
        <x:f>IF(FW42=0,0,IF(((12*(YEAR(FW$3)-YEAR($B$37))+MONTH(FW$3)-MONTH($B$37))+1)/MAX(1,'Вводные'!$K$48)&lt;=0.2,0.6,IF(((12*(YEAR(FW$3)-YEAR($B$37))+MONTH(FW$3)-MONTH($B$37))+1)/MAX(1,'Вводные'!$K$48)&lt;=0.8,1.2,0.8)))</x:f>
      </x:c>
      <x:c r="FX43" t="n">
        <x:f>IF(FX42=0,0,IF(((12*(YEAR(FX$3)-YEAR($B$37))+MONTH(FX$3)-MONTH($B$37))+1)/MAX(1,'Вводные'!$K$48)&lt;=0.2,0.6,IF(((12*(YEAR(FX$3)-YEAR($B$37))+MONTH(FX$3)-MONTH($B$37))+1)/MAX(1,'Вводные'!$K$48)&lt;=0.8,1.2,0.8)))</x:f>
      </x:c>
      <x:c r="FY43" t="n">
        <x:f>IF(FY42=0,0,IF(((12*(YEAR(FY$3)-YEAR($B$37))+MONTH(FY$3)-MONTH($B$37))+1)/MAX(1,'Вводные'!$K$48)&lt;=0.2,0.6,IF(((12*(YEAR(FY$3)-YEAR($B$37))+MONTH(FY$3)-MONTH($B$37))+1)/MAX(1,'Вводные'!$K$48)&lt;=0.8,1.2,0.8)))</x:f>
      </x:c>
      <x:c r="FZ43" t="n">
        <x:f>IF(FZ42=0,0,IF(((12*(YEAR(FZ$3)-YEAR($B$37))+MONTH(FZ$3)-MONTH($B$37))+1)/MAX(1,'Вводные'!$K$48)&lt;=0.2,0.6,IF(((12*(YEAR(FZ$3)-YEAR($B$37))+MONTH(FZ$3)-MONTH($B$37))+1)/MAX(1,'Вводные'!$K$48)&lt;=0.8,1.2,0.8)))</x:f>
      </x:c>
      <x:c r="GA43" t="n">
        <x:f>IF(GA42=0,0,IF(((12*(YEAR(GA$3)-YEAR($B$37))+MONTH(GA$3)-MONTH($B$37))+1)/MAX(1,'Вводные'!$K$48)&lt;=0.2,0.6,IF(((12*(YEAR(GA$3)-YEAR($B$37))+MONTH(GA$3)-MONTH($B$37))+1)/MAX(1,'Вводные'!$K$48)&lt;=0.8,1.2,0.8)))</x:f>
      </x:c>
    </x:row>
    <x:row r="44">
      <x:c r="A44" t="str">
        <x:v>Нормированный вес строительства</x:v>
      </x:c>
      <x:c r="B44" s="35" t="n">
        <x:f>SUM(D44:GA44)</x:f>
      </x:c>
      <x:c r="C44" t="str">
        <x:v>%</x:v>
      </x:c>
      <x:c r="D44" s="35" t="n">
        <x:f>IFERROR(D43/SUM($D43:$GA43),0)</x:f>
      </x:c>
      <x:c r="E44" s="35" t="n">
        <x:f>IFERROR(E43/SUM($D43:$GA43),0)</x:f>
      </x:c>
      <x:c r="F44" s="35" t="n">
        <x:f>IFERROR(F43/SUM($D43:$GA43),0)</x:f>
      </x:c>
      <x:c r="G44" s="35" t="n">
        <x:f>IFERROR(G43/SUM($D43:$GA43),0)</x:f>
      </x:c>
      <x:c r="H44" s="35" t="n">
        <x:f>IFERROR(H43/SUM($D43:$GA43),0)</x:f>
      </x:c>
      <x:c r="I44" s="35" t="n">
        <x:f>IFERROR(I43/SUM($D43:$GA43),0)</x:f>
      </x:c>
      <x:c r="J44" s="35" t="n">
        <x:f>IFERROR(J43/SUM($D43:$GA43),0)</x:f>
      </x:c>
      <x:c r="K44" s="35" t="n">
        <x:f>IFERROR(K43/SUM($D43:$GA43),0)</x:f>
      </x:c>
      <x:c r="L44" s="35" t="n">
        <x:f>IFERROR(L43/SUM($D43:$GA43),0)</x:f>
      </x:c>
      <x:c r="M44" s="35" t="n">
        <x:f>IFERROR(M43/SUM($D43:$GA43),0)</x:f>
      </x:c>
      <x:c r="N44" s="35" t="n">
        <x:f>IFERROR(N43/SUM($D43:$GA43),0)</x:f>
      </x:c>
      <x:c r="O44" s="35" t="n">
        <x:f>IFERROR(O43/SUM($D43:$GA43),0)</x:f>
      </x:c>
      <x:c r="P44" s="35" t="n">
        <x:f>IFERROR(P43/SUM($D43:$GA43),0)</x:f>
      </x:c>
      <x:c r="Q44" s="35" t="n">
        <x:f>IFERROR(Q43/SUM($D43:$GA43),0)</x:f>
      </x:c>
      <x:c r="R44" s="35" t="n">
        <x:f>IFERROR(R43/SUM($D43:$GA43),0)</x:f>
      </x:c>
      <x:c r="S44" s="35" t="n">
        <x:f>IFERROR(S43/SUM($D43:$GA43),0)</x:f>
      </x:c>
      <x:c r="T44" s="35" t="n">
        <x:f>IFERROR(T43/SUM($D43:$GA43),0)</x:f>
      </x:c>
      <x:c r="U44" s="35" t="n">
        <x:f>IFERROR(U43/SUM($D43:$GA43),0)</x:f>
      </x:c>
      <x:c r="V44" s="35" t="n">
        <x:f>IFERROR(V43/SUM($D43:$GA43),0)</x:f>
      </x:c>
      <x:c r="W44" s="35" t="n">
        <x:f>IFERROR(W43/SUM($D43:$GA43),0)</x:f>
      </x:c>
      <x:c r="X44" s="35" t="n">
        <x:f>IFERROR(X43/SUM($D43:$GA43),0)</x:f>
      </x:c>
      <x:c r="Y44" s="35" t="n">
        <x:f>IFERROR(Y43/SUM($D43:$GA43),0)</x:f>
      </x:c>
      <x:c r="Z44" s="35" t="n">
        <x:f>IFERROR(Z43/SUM($D43:$GA43),0)</x:f>
      </x:c>
      <x:c r="AA44" s="35" t="n">
        <x:f>IFERROR(AA43/SUM($D43:$GA43),0)</x:f>
      </x:c>
      <x:c r="AB44" s="35" t="n">
        <x:f>IFERROR(AB43/SUM($D43:$GA43),0)</x:f>
      </x:c>
      <x:c r="AC44" s="35" t="n">
        <x:f>IFERROR(AC43/SUM($D43:$GA43),0)</x:f>
      </x:c>
      <x:c r="AD44" s="35" t="n">
        <x:f>IFERROR(AD43/SUM($D43:$GA43),0)</x:f>
      </x:c>
      <x:c r="AE44" s="35" t="n">
        <x:f>IFERROR(AE43/SUM($D43:$GA43),0)</x:f>
      </x:c>
      <x:c r="AF44" s="35" t="n">
        <x:f>IFERROR(AF43/SUM($D43:$GA43),0)</x:f>
      </x:c>
      <x:c r="AG44" s="35" t="n">
        <x:f>IFERROR(AG43/SUM($D43:$GA43),0)</x:f>
      </x:c>
      <x:c r="AH44" s="35" t="n">
        <x:f>IFERROR(AH43/SUM($D43:$GA43),0)</x:f>
      </x:c>
      <x:c r="AI44" s="35" t="n">
        <x:f>IFERROR(AI43/SUM($D43:$GA43),0)</x:f>
      </x:c>
      <x:c r="AJ44" s="35" t="n">
        <x:f>IFERROR(AJ43/SUM($D43:$GA43),0)</x:f>
      </x:c>
      <x:c r="AK44" s="35" t="n">
        <x:f>IFERROR(AK43/SUM($D43:$GA43),0)</x:f>
      </x:c>
      <x:c r="AL44" s="35" t="n">
        <x:f>IFERROR(AL43/SUM($D43:$GA43),0)</x:f>
      </x:c>
      <x:c r="AM44" s="35" t="n">
        <x:f>IFERROR(AM43/SUM($D43:$GA43),0)</x:f>
      </x:c>
      <x:c r="AN44" s="35" t="n">
        <x:f>IFERROR(AN43/SUM($D43:$GA43),0)</x:f>
      </x:c>
      <x:c r="AO44" s="35" t="n">
        <x:f>IFERROR(AO43/SUM($D43:$GA43),0)</x:f>
      </x:c>
      <x:c r="AP44" s="35" t="n">
        <x:f>IFERROR(AP43/SUM($D43:$GA43),0)</x:f>
      </x:c>
      <x:c r="AQ44" s="35" t="n">
        <x:f>IFERROR(AQ43/SUM($D43:$GA43),0)</x:f>
      </x:c>
      <x:c r="AR44" s="35" t="n">
        <x:f>IFERROR(AR43/SUM($D43:$GA43),0)</x:f>
      </x:c>
      <x:c r="AS44" s="35" t="n">
        <x:f>IFERROR(AS43/SUM($D43:$GA43),0)</x:f>
      </x:c>
      <x:c r="AT44" s="35" t="n">
        <x:f>IFERROR(AT43/SUM($D43:$GA43),0)</x:f>
      </x:c>
      <x:c r="AU44" s="35" t="n">
        <x:f>IFERROR(AU43/SUM($D43:$GA43),0)</x:f>
      </x:c>
      <x:c r="AV44" s="35" t="n">
        <x:f>IFERROR(AV43/SUM($D43:$GA43),0)</x:f>
      </x:c>
      <x:c r="AW44" s="35" t="n">
        <x:f>IFERROR(AW43/SUM($D43:$GA43),0)</x:f>
      </x:c>
      <x:c r="AX44" s="35" t="n">
        <x:f>IFERROR(AX43/SUM($D43:$GA43),0)</x:f>
      </x:c>
      <x:c r="AY44" s="35" t="n">
        <x:f>IFERROR(AY43/SUM($D43:$GA43),0)</x:f>
      </x:c>
      <x:c r="AZ44" s="35" t="n">
        <x:f>IFERROR(AZ43/SUM($D43:$GA43),0)</x:f>
      </x:c>
      <x:c r="BA44" s="35" t="n">
        <x:f>IFERROR(BA43/SUM($D43:$GA43),0)</x:f>
      </x:c>
      <x:c r="BB44" s="35" t="n">
        <x:f>IFERROR(BB43/SUM($D43:$GA43),0)</x:f>
      </x:c>
      <x:c r="BC44" s="35" t="n">
        <x:f>IFERROR(BC43/SUM($D43:$GA43),0)</x:f>
      </x:c>
      <x:c r="BD44" s="35" t="n">
        <x:f>IFERROR(BD43/SUM($D43:$GA43),0)</x:f>
      </x:c>
      <x:c r="BE44" s="35" t="n">
        <x:f>IFERROR(BE43/SUM($D43:$GA43),0)</x:f>
      </x:c>
      <x:c r="BF44" s="35" t="n">
        <x:f>IFERROR(BF43/SUM($D43:$GA43),0)</x:f>
      </x:c>
      <x:c r="BG44" s="35" t="n">
        <x:f>IFERROR(BG43/SUM($D43:$GA43),0)</x:f>
      </x:c>
      <x:c r="BH44" s="35" t="n">
        <x:f>IFERROR(BH43/SUM($D43:$GA43),0)</x:f>
      </x:c>
      <x:c r="BI44" s="35" t="n">
        <x:f>IFERROR(BI43/SUM($D43:$GA43),0)</x:f>
      </x:c>
      <x:c r="BJ44" s="35" t="n">
        <x:f>IFERROR(BJ43/SUM($D43:$GA43),0)</x:f>
      </x:c>
      <x:c r="BK44" s="35" t="n">
        <x:f>IFERROR(BK43/SUM($D43:$GA43),0)</x:f>
      </x:c>
      <x:c r="BL44" s="35" t="n">
        <x:f>IFERROR(BL43/SUM($D43:$GA43),0)</x:f>
      </x:c>
      <x:c r="BM44" s="35" t="n">
        <x:f>IFERROR(BM43/SUM($D43:$GA43),0)</x:f>
      </x:c>
      <x:c r="BN44" s="35" t="n">
        <x:f>IFERROR(BN43/SUM($D43:$GA43),0)</x:f>
      </x:c>
      <x:c r="BO44" s="35" t="n">
        <x:f>IFERROR(BO43/SUM($D43:$GA43),0)</x:f>
      </x:c>
      <x:c r="BP44" s="35" t="n">
        <x:f>IFERROR(BP43/SUM($D43:$GA43),0)</x:f>
      </x:c>
      <x:c r="BQ44" s="35" t="n">
        <x:f>IFERROR(BQ43/SUM($D43:$GA43),0)</x:f>
      </x:c>
      <x:c r="BR44" s="35" t="n">
        <x:f>IFERROR(BR43/SUM($D43:$GA43),0)</x:f>
      </x:c>
      <x:c r="BS44" s="35" t="n">
        <x:f>IFERROR(BS43/SUM($D43:$GA43),0)</x:f>
      </x:c>
      <x:c r="BT44" s="35" t="n">
        <x:f>IFERROR(BT43/SUM($D43:$GA43),0)</x:f>
      </x:c>
      <x:c r="BU44" s="35" t="n">
        <x:f>IFERROR(BU43/SUM($D43:$GA43),0)</x:f>
      </x:c>
      <x:c r="BV44" s="35" t="n">
        <x:f>IFERROR(BV43/SUM($D43:$GA43),0)</x:f>
      </x:c>
      <x:c r="BW44" s="35" t="n">
        <x:f>IFERROR(BW43/SUM($D43:$GA43),0)</x:f>
      </x:c>
      <x:c r="BX44" s="35" t="n">
        <x:f>IFERROR(BX43/SUM($D43:$GA43),0)</x:f>
      </x:c>
      <x:c r="BY44" s="35" t="n">
        <x:f>IFERROR(BY43/SUM($D43:$GA43),0)</x:f>
      </x:c>
      <x:c r="BZ44" s="35" t="n">
        <x:f>IFERROR(BZ43/SUM($D43:$GA43),0)</x:f>
      </x:c>
      <x:c r="CA44" s="35" t="n">
        <x:f>IFERROR(CA43/SUM($D43:$GA43),0)</x:f>
      </x:c>
      <x:c r="CB44" s="35" t="n">
        <x:f>IFERROR(CB43/SUM($D43:$GA43),0)</x:f>
      </x:c>
      <x:c r="CC44" s="35" t="n">
        <x:f>IFERROR(CC43/SUM($D43:$GA43),0)</x:f>
      </x:c>
      <x:c r="CD44" s="35" t="n">
        <x:f>IFERROR(CD43/SUM($D43:$GA43),0)</x:f>
      </x:c>
      <x:c r="CE44" s="35" t="n">
        <x:f>IFERROR(CE43/SUM($D43:$GA43),0)</x:f>
      </x:c>
      <x:c r="CF44" s="35" t="n">
        <x:f>IFERROR(CF43/SUM($D43:$GA43),0)</x:f>
      </x:c>
      <x:c r="CG44" s="35" t="n">
        <x:f>IFERROR(CG43/SUM($D43:$GA43),0)</x:f>
      </x:c>
      <x:c r="CH44" s="35" t="n">
        <x:f>IFERROR(CH43/SUM($D43:$GA43),0)</x:f>
      </x:c>
      <x:c r="CI44" s="35" t="n">
        <x:f>IFERROR(CI43/SUM($D43:$GA43),0)</x:f>
      </x:c>
      <x:c r="CJ44" s="35" t="n">
        <x:f>IFERROR(CJ43/SUM($D43:$GA43),0)</x:f>
      </x:c>
      <x:c r="CK44" s="35" t="n">
        <x:f>IFERROR(CK43/SUM($D43:$GA43),0)</x:f>
      </x:c>
      <x:c r="CL44" s="35" t="n">
        <x:f>IFERROR(CL43/SUM($D43:$GA43),0)</x:f>
      </x:c>
      <x:c r="CM44" s="35" t="n">
        <x:f>IFERROR(CM43/SUM($D43:$GA43),0)</x:f>
      </x:c>
      <x:c r="CN44" s="35" t="n">
        <x:f>IFERROR(CN43/SUM($D43:$GA43),0)</x:f>
      </x:c>
      <x:c r="CO44" s="35" t="n">
        <x:f>IFERROR(CO43/SUM($D43:$GA43),0)</x:f>
      </x:c>
      <x:c r="CP44" s="35" t="n">
        <x:f>IFERROR(CP43/SUM($D43:$GA43),0)</x:f>
      </x:c>
      <x:c r="CQ44" s="35" t="n">
        <x:f>IFERROR(CQ43/SUM($D43:$GA43),0)</x:f>
      </x:c>
      <x:c r="CR44" s="35" t="n">
        <x:f>IFERROR(CR43/SUM($D43:$GA43),0)</x:f>
      </x:c>
      <x:c r="CS44" s="35" t="n">
        <x:f>IFERROR(CS43/SUM($D43:$GA43),0)</x:f>
      </x:c>
      <x:c r="CT44" s="35" t="n">
        <x:f>IFERROR(CT43/SUM($D43:$GA43),0)</x:f>
      </x:c>
      <x:c r="CU44" s="35" t="n">
        <x:f>IFERROR(CU43/SUM($D43:$GA43),0)</x:f>
      </x:c>
      <x:c r="CV44" s="35" t="n">
        <x:f>IFERROR(CV43/SUM($D43:$GA43),0)</x:f>
      </x:c>
      <x:c r="CW44" s="35" t="n">
        <x:f>IFERROR(CW43/SUM($D43:$GA43),0)</x:f>
      </x:c>
      <x:c r="CX44" s="35" t="n">
        <x:f>IFERROR(CX43/SUM($D43:$GA43),0)</x:f>
      </x:c>
      <x:c r="CY44" s="35" t="n">
        <x:f>IFERROR(CY43/SUM($D43:$GA43),0)</x:f>
      </x:c>
      <x:c r="CZ44" s="35" t="n">
        <x:f>IFERROR(CZ43/SUM($D43:$GA43),0)</x:f>
      </x:c>
      <x:c r="DA44" s="35" t="n">
        <x:f>IFERROR(DA43/SUM($D43:$GA43),0)</x:f>
      </x:c>
      <x:c r="DB44" s="35" t="n">
        <x:f>IFERROR(DB43/SUM($D43:$GA43),0)</x:f>
      </x:c>
      <x:c r="DC44" s="35" t="n">
        <x:f>IFERROR(DC43/SUM($D43:$GA43),0)</x:f>
      </x:c>
      <x:c r="DD44" s="35" t="n">
        <x:f>IFERROR(DD43/SUM($D43:$GA43),0)</x:f>
      </x:c>
      <x:c r="DE44" s="35" t="n">
        <x:f>IFERROR(DE43/SUM($D43:$GA43),0)</x:f>
      </x:c>
      <x:c r="DF44" s="35" t="n">
        <x:f>IFERROR(DF43/SUM($D43:$GA43),0)</x:f>
      </x:c>
      <x:c r="DG44" s="35" t="n">
        <x:f>IFERROR(DG43/SUM($D43:$GA43),0)</x:f>
      </x:c>
      <x:c r="DH44" s="35" t="n">
        <x:f>IFERROR(DH43/SUM($D43:$GA43),0)</x:f>
      </x:c>
      <x:c r="DI44" s="35" t="n">
        <x:f>IFERROR(DI43/SUM($D43:$GA43),0)</x:f>
      </x:c>
      <x:c r="DJ44" s="35" t="n">
        <x:f>IFERROR(DJ43/SUM($D43:$GA43),0)</x:f>
      </x:c>
      <x:c r="DK44" s="35" t="n">
        <x:f>IFERROR(DK43/SUM($D43:$GA43),0)</x:f>
      </x:c>
      <x:c r="DL44" s="35" t="n">
        <x:f>IFERROR(DL43/SUM($D43:$GA43),0)</x:f>
      </x:c>
      <x:c r="DM44" s="35" t="n">
        <x:f>IFERROR(DM43/SUM($D43:$GA43),0)</x:f>
      </x:c>
      <x:c r="DN44" s="35" t="n">
        <x:f>IFERROR(DN43/SUM($D43:$GA43),0)</x:f>
      </x:c>
      <x:c r="DO44" s="35" t="n">
        <x:f>IFERROR(DO43/SUM($D43:$GA43),0)</x:f>
      </x:c>
      <x:c r="DP44" s="35" t="n">
        <x:f>IFERROR(DP43/SUM($D43:$GA43),0)</x:f>
      </x:c>
      <x:c r="DQ44" s="35" t="n">
        <x:f>IFERROR(DQ43/SUM($D43:$GA43),0)</x:f>
      </x:c>
      <x:c r="DR44" s="35" t="n">
        <x:f>IFERROR(DR43/SUM($D43:$GA43),0)</x:f>
      </x:c>
      <x:c r="DS44" s="35" t="n">
        <x:f>IFERROR(DS43/SUM($D43:$GA43),0)</x:f>
      </x:c>
      <x:c r="DT44" s="35" t="n">
        <x:f>IFERROR(DT43/SUM($D43:$GA43),0)</x:f>
      </x:c>
      <x:c r="DU44" s="35" t="n">
        <x:f>IFERROR(DU43/SUM($D43:$GA43),0)</x:f>
      </x:c>
      <x:c r="DV44" s="35" t="n">
        <x:f>IFERROR(DV43/SUM($D43:$GA43),0)</x:f>
      </x:c>
      <x:c r="DW44" s="35" t="n">
        <x:f>IFERROR(DW43/SUM($D43:$GA43),0)</x:f>
      </x:c>
      <x:c r="DX44" s="35" t="n">
        <x:f>IFERROR(DX43/SUM($D43:$GA43),0)</x:f>
      </x:c>
      <x:c r="DY44" s="35" t="n">
        <x:f>IFERROR(DY43/SUM($D43:$GA43),0)</x:f>
      </x:c>
      <x:c r="DZ44" s="35" t="n">
        <x:f>IFERROR(DZ43/SUM($D43:$GA43),0)</x:f>
      </x:c>
      <x:c r="EA44" s="35" t="n">
        <x:f>IFERROR(EA43/SUM($D43:$GA43),0)</x:f>
      </x:c>
      <x:c r="EB44" s="35" t="n">
        <x:f>IFERROR(EB43/SUM($D43:$GA43),0)</x:f>
      </x:c>
      <x:c r="EC44" s="35" t="n">
        <x:f>IFERROR(EC43/SUM($D43:$GA43),0)</x:f>
      </x:c>
      <x:c r="ED44" s="35" t="n">
        <x:f>IFERROR(ED43/SUM($D43:$GA43),0)</x:f>
      </x:c>
      <x:c r="EE44" s="35" t="n">
        <x:f>IFERROR(EE43/SUM($D43:$GA43),0)</x:f>
      </x:c>
      <x:c r="EF44" s="35" t="n">
        <x:f>IFERROR(EF43/SUM($D43:$GA43),0)</x:f>
      </x:c>
      <x:c r="EG44" s="35" t="n">
        <x:f>IFERROR(EG43/SUM($D43:$GA43),0)</x:f>
      </x:c>
      <x:c r="EH44" s="35" t="n">
        <x:f>IFERROR(EH43/SUM($D43:$GA43),0)</x:f>
      </x:c>
      <x:c r="EI44" s="35" t="n">
        <x:f>IFERROR(EI43/SUM($D43:$GA43),0)</x:f>
      </x:c>
      <x:c r="EJ44" s="35" t="n">
        <x:f>IFERROR(EJ43/SUM($D43:$GA43),0)</x:f>
      </x:c>
      <x:c r="EK44" s="35" t="n">
        <x:f>IFERROR(EK43/SUM($D43:$GA43),0)</x:f>
      </x:c>
      <x:c r="EL44" s="35" t="n">
        <x:f>IFERROR(EL43/SUM($D43:$GA43),0)</x:f>
      </x:c>
      <x:c r="EM44" s="35" t="n">
        <x:f>IFERROR(EM43/SUM($D43:$GA43),0)</x:f>
      </x:c>
      <x:c r="EN44" s="35" t="n">
        <x:f>IFERROR(EN43/SUM($D43:$GA43),0)</x:f>
      </x:c>
      <x:c r="EO44" s="35" t="n">
        <x:f>IFERROR(EO43/SUM($D43:$GA43),0)</x:f>
      </x:c>
      <x:c r="EP44" s="35" t="n">
        <x:f>IFERROR(EP43/SUM($D43:$GA43),0)</x:f>
      </x:c>
      <x:c r="EQ44" s="35" t="n">
        <x:f>IFERROR(EQ43/SUM($D43:$GA43),0)</x:f>
      </x:c>
      <x:c r="ER44" s="35" t="n">
        <x:f>IFERROR(ER43/SUM($D43:$GA43),0)</x:f>
      </x:c>
      <x:c r="ES44" s="35" t="n">
        <x:f>IFERROR(ES43/SUM($D43:$GA43),0)</x:f>
      </x:c>
      <x:c r="ET44" s="35" t="n">
        <x:f>IFERROR(ET43/SUM($D43:$GA43),0)</x:f>
      </x:c>
      <x:c r="EU44" s="35" t="n">
        <x:f>IFERROR(EU43/SUM($D43:$GA43),0)</x:f>
      </x:c>
      <x:c r="EV44" s="35" t="n">
        <x:f>IFERROR(EV43/SUM($D43:$GA43),0)</x:f>
      </x:c>
      <x:c r="EW44" s="35" t="n">
        <x:f>IFERROR(EW43/SUM($D43:$GA43),0)</x:f>
      </x:c>
      <x:c r="EX44" s="35" t="n">
        <x:f>IFERROR(EX43/SUM($D43:$GA43),0)</x:f>
      </x:c>
      <x:c r="EY44" s="35" t="n">
        <x:f>IFERROR(EY43/SUM($D43:$GA43),0)</x:f>
      </x:c>
      <x:c r="EZ44" s="35" t="n">
        <x:f>IFERROR(EZ43/SUM($D43:$GA43),0)</x:f>
      </x:c>
      <x:c r="FA44" s="35" t="n">
        <x:f>IFERROR(FA43/SUM($D43:$GA43),0)</x:f>
      </x:c>
      <x:c r="FB44" s="35" t="n">
        <x:f>IFERROR(FB43/SUM($D43:$GA43),0)</x:f>
      </x:c>
      <x:c r="FC44" s="35" t="n">
        <x:f>IFERROR(FC43/SUM($D43:$GA43),0)</x:f>
      </x:c>
      <x:c r="FD44" s="35" t="n">
        <x:f>IFERROR(FD43/SUM($D43:$GA43),0)</x:f>
      </x:c>
      <x:c r="FE44" s="35" t="n">
        <x:f>IFERROR(FE43/SUM($D43:$GA43),0)</x:f>
      </x:c>
      <x:c r="FF44" s="35" t="n">
        <x:f>IFERROR(FF43/SUM($D43:$GA43),0)</x:f>
      </x:c>
      <x:c r="FG44" s="35" t="n">
        <x:f>IFERROR(FG43/SUM($D43:$GA43),0)</x:f>
      </x:c>
      <x:c r="FH44" s="35" t="n">
        <x:f>IFERROR(FH43/SUM($D43:$GA43),0)</x:f>
      </x:c>
      <x:c r="FI44" s="35" t="n">
        <x:f>IFERROR(FI43/SUM($D43:$GA43),0)</x:f>
      </x:c>
      <x:c r="FJ44" s="35" t="n">
        <x:f>IFERROR(FJ43/SUM($D43:$GA43),0)</x:f>
      </x:c>
      <x:c r="FK44" s="35" t="n">
        <x:f>IFERROR(FK43/SUM($D43:$GA43),0)</x:f>
      </x:c>
      <x:c r="FL44" s="35" t="n">
        <x:f>IFERROR(FL43/SUM($D43:$GA43),0)</x:f>
      </x:c>
      <x:c r="FM44" s="35" t="n">
        <x:f>IFERROR(FM43/SUM($D43:$GA43),0)</x:f>
      </x:c>
      <x:c r="FN44" s="35" t="n">
        <x:f>IFERROR(FN43/SUM($D43:$GA43),0)</x:f>
      </x:c>
      <x:c r="FO44" s="35" t="n">
        <x:f>IFERROR(FO43/SUM($D43:$GA43),0)</x:f>
      </x:c>
      <x:c r="FP44" s="35" t="n">
        <x:f>IFERROR(FP43/SUM($D43:$GA43),0)</x:f>
      </x:c>
      <x:c r="FQ44" s="35" t="n">
        <x:f>IFERROR(FQ43/SUM($D43:$GA43),0)</x:f>
      </x:c>
      <x:c r="FR44" s="35" t="n">
        <x:f>IFERROR(FR43/SUM($D43:$GA43),0)</x:f>
      </x:c>
      <x:c r="FS44" s="35" t="n">
        <x:f>IFERROR(FS43/SUM($D43:$GA43),0)</x:f>
      </x:c>
      <x:c r="FT44" s="35" t="n">
        <x:f>IFERROR(FT43/SUM($D43:$GA43),0)</x:f>
      </x:c>
      <x:c r="FU44" s="35" t="n">
        <x:f>IFERROR(FU43/SUM($D43:$GA43),0)</x:f>
      </x:c>
      <x:c r="FV44" s="35" t="n">
        <x:f>IFERROR(FV43/SUM($D43:$GA43),0)</x:f>
      </x:c>
      <x:c r="FW44" s="35" t="n">
        <x:f>IFERROR(FW43/SUM($D43:$GA43),0)</x:f>
      </x:c>
      <x:c r="FX44" s="35" t="n">
        <x:f>IFERROR(FX43/SUM($D43:$GA43),0)</x:f>
      </x:c>
      <x:c r="FY44" s="35" t="n">
        <x:f>IFERROR(FY43/SUM($D43:$GA43),0)</x:f>
      </x:c>
      <x:c r="FZ44" s="35" t="n">
        <x:f>IFERROR(FZ43/SUM($D43:$GA43),0)</x:f>
      </x:c>
      <x:c r="GA44" s="35" t="n">
        <x:f>IFERROR(GA43/SUM($D43:$GA43),0)</x:f>
      </x:c>
    </x:row>
    <x:row r="45">
      <x:c r="A45" t="str">
        <x:v>Флаг продаж до РВЭ</x:v>
      </x:c>
      <x:c r="B45" s="35"/>
      <x:c r="C45" t="str">
        <x:v>0 / 1</x:v>
      </x:c>
      <x:c r="D45" s="35" t="n">
        <x:f>--AND(D$3&gt;=$B$39,D$3&lt;$B$38,D$3&lt;EDATE($B$39,MAX(1,'Вводные'!$K$53)),AND($B$35="Да",IFERROR(INDEX('Вводные'!$B$88:$B$91,$B$36),"Нет")="Да"))</x:f>
      </x:c>
      <x:c r="E45" s="35" t="n">
        <x:f>--AND(E$3&gt;=$B$39,E$3&lt;$B$38,E$3&lt;EDATE($B$39,MAX(1,'Вводные'!$K$53)),AND($B$35="Да",IFERROR(INDEX('Вводные'!$B$88:$B$91,$B$36),"Нет")="Да"))</x:f>
      </x:c>
      <x:c r="F45" s="35" t="n">
        <x:f>--AND(F$3&gt;=$B$39,F$3&lt;$B$38,F$3&lt;EDATE($B$39,MAX(1,'Вводные'!$K$53)),AND($B$35="Да",IFERROR(INDEX('Вводные'!$B$88:$B$91,$B$36),"Нет")="Да"))</x:f>
      </x:c>
      <x:c r="G45" s="35" t="n">
        <x:f>--AND(G$3&gt;=$B$39,G$3&lt;$B$38,G$3&lt;EDATE($B$39,MAX(1,'Вводные'!$K$53)),AND($B$35="Да",IFERROR(INDEX('Вводные'!$B$88:$B$91,$B$36),"Нет")="Да"))</x:f>
      </x:c>
      <x:c r="H45" s="35" t="n">
        <x:f>--AND(H$3&gt;=$B$39,H$3&lt;$B$38,H$3&lt;EDATE($B$39,MAX(1,'Вводные'!$K$53)),AND($B$35="Да",IFERROR(INDEX('Вводные'!$B$88:$B$91,$B$36),"Нет")="Да"))</x:f>
      </x:c>
      <x:c r="I45" s="35" t="n">
        <x:f>--AND(I$3&gt;=$B$39,I$3&lt;$B$38,I$3&lt;EDATE($B$39,MAX(1,'Вводные'!$K$53)),AND($B$35="Да",IFERROR(INDEX('Вводные'!$B$88:$B$91,$B$36),"Нет")="Да"))</x:f>
      </x:c>
      <x:c r="J45" s="35" t="n">
        <x:f>--AND(J$3&gt;=$B$39,J$3&lt;$B$38,J$3&lt;EDATE($B$39,MAX(1,'Вводные'!$K$53)),AND($B$35="Да",IFERROR(INDEX('Вводные'!$B$88:$B$91,$B$36),"Нет")="Да"))</x:f>
      </x:c>
      <x:c r="K45" s="35" t="n">
        <x:f>--AND(K$3&gt;=$B$39,K$3&lt;$B$38,K$3&lt;EDATE($B$39,MAX(1,'Вводные'!$K$53)),AND($B$35="Да",IFERROR(INDEX('Вводные'!$B$88:$B$91,$B$36),"Нет")="Да"))</x:f>
      </x:c>
      <x:c r="L45" s="35" t="n">
        <x:f>--AND(L$3&gt;=$B$39,L$3&lt;$B$38,L$3&lt;EDATE($B$39,MAX(1,'Вводные'!$K$53)),AND($B$35="Да",IFERROR(INDEX('Вводные'!$B$88:$B$91,$B$36),"Нет")="Да"))</x:f>
      </x:c>
      <x:c r="M45" s="35" t="n">
        <x:f>--AND(M$3&gt;=$B$39,M$3&lt;$B$38,M$3&lt;EDATE($B$39,MAX(1,'Вводные'!$K$53)),AND($B$35="Да",IFERROR(INDEX('Вводные'!$B$88:$B$91,$B$36),"Нет")="Да"))</x:f>
      </x:c>
      <x:c r="N45" s="35" t="n">
        <x:f>--AND(N$3&gt;=$B$39,N$3&lt;$B$38,N$3&lt;EDATE($B$39,MAX(1,'Вводные'!$K$53)),AND($B$35="Да",IFERROR(INDEX('Вводные'!$B$88:$B$91,$B$36),"Нет")="Да"))</x:f>
      </x:c>
      <x:c r="O45" s="35" t="n">
        <x:f>--AND(O$3&gt;=$B$39,O$3&lt;$B$38,O$3&lt;EDATE($B$39,MAX(1,'Вводные'!$K$53)),AND($B$35="Да",IFERROR(INDEX('Вводные'!$B$88:$B$91,$B$36),"Нет")="Да"))</x:f>
      </x:c>
      <x:c r="P45" s="35" t="n">
        <x:f>--AND(P$3&gt;=$B$39,P$3&lt;$B$38,P$3&lt;EDATE($B$39,MAX(1,'Вводные'!$K$53)),AND($B$35="Да",IFERROR(INDEX('Вводные'!$B$88:$B$91,$B$36),"Нет")="Да"))</x:f>
      </x:c>
      <x:c r="Q45" s="35" t="n">
        <x:f>--AND(Q$3&gt;=$B$39,Q$3&lt;$B$38,Q$3&lt;EDATE($B$39,MAX(1,'Вводные'!$K$53)),AND($B$35="Да",IFERROR(INDEX('Вводные'!$B$88:$B$91,$B$36),"Нет")="Да"))</x:f>
      </x:c>
      <x:c r="R45" s="35" t="n">
        <x:f>--AND(R$3&gt;=$B$39,R$3&lt;$B$38,R$3&lt;EDATE($B$39,MAX(1,'Вводные'!$K$53)),AND($B$35="Да",IFERROR(INDEX('Вводные'!$B$88:$B$91,$B$36),"Нет")="Да"))</x:f>
      </x:c>
      <x:c r="S45" s="35" t="n">
        <x:f>--AND(S$3&gt;=$B$39,S$3&lt;$B$38,S$3&lt;EDATE($B$39,MAX(1,'Вводные'!$K$53)),AND($B$35="Да",IFERROR(INDEX('Вводные'!$B$88:$B$91,$B$36),"Нет")="Да"))</x:f>
      </x:c>
      <x:c r="T45" s="35" t="n">
        <x:f>--AND(T$3&gt;=$B$39,T$3&lt;$B$38,T$3&lt;EDATE($B$39,MAX(1,'Вводные'!$K$53)),AND($B$35="Да",IFERROR(INDEX('Вводные'!$B$88:$B$91,$B$36),"Нет")="Да"))</x:f>
      </x:c>
      <x:c r="U45" s="35" t="n">
        <x:f>--AND(U$3&gt;=$B$39,U$3&lt;$B$38,U$3&lt;EDATE($B$39,MAX(1,'Вводные'!$K$53)),AND($B$35="Да",IFERROR(INDEX('Вводные'!$B$88:$B$91,$B$36),"Нет")="Да"))</x:f>
      </x:c>
      <x:c r="V45" s="35" t="n">
        <x:f>--AND(V$3&gt;=$B$39,V$3&lt;$B$38,V$3&lt;EDATE($B$39,MAX(1,'Вводные'!$K$53)),AND($B$35="Да",IFERROR(INDEX('Вводные'!$B$88:$B$91,$B$36),"Нет")="Да"))</x:f>
      </x:c>
      <x:c r="W45" s="35" t="n">
        <x:f>--AND(W$3&gt;=$B$39,W$3&lt;$B$38,W$3&lt;EDATE($B$39,MAX(1,'Вводные'!$K$53)),AND($B$35="Да",IFERROR(INDEX('Вводные'!$B$88:$B$91,$B$36),"Нет")="Да"))</x:f>
      </x:c>
      <x:c r="X45" s="35" t="n">
        <x:f>--AND(X$3&gt;=$B$39,X$3&lt;$B$38,X$3&lt;EDATE($B$39,MAX(1,'Вводные'!$K$53)),AND($B$35="Да",IFERROR(INDEX('Вводные'!$B$88:$B$91,$B$36),"Нет")="Да"))</x:f>
      </x:c>
      <x:c r="Y45" s="35" t="n">
        <x:f>--AND(Y$3&gt;=$B$39,Y$3&lt;$B$38,Y$3&lt;EDATE($B$39,MAX(1,'Вводные'!$K$53)),AND($B$35="Да",IFERROR(INDEX('Вводные'!$B$88:$B$91,$B$36),"Нет")="Да"))</x:f>
      </x:c>
      <x:c r="Z45" s="35" t="n">
        <x:f>--AND(Z$3&gt;=$B$39,Z$3&lt;$B$38,Z$3&lt;EDATE($B$39,MAX(1,'Вводные'!$K$53)),AND($B$35="Да",IFERROR(INDEX('Вводные'!$B$88:$B$91,$B$36),"Нет")="Да"))</x:f>
      </x:c>
      <x:c r="AA45" s="35" t="n">
        <x:f>--AND(AA$3&gt;=$B$39,AA$3&lt;$B$38,AA$3&lt;EDATE($B$39,MAX(1,'Вводные'!$K$53)),AND($B$35="Да",IFERROR(INDEX('Вводные'!$B$88:$B$91,$B$36),"Нет")="Да"))</x:f>
      </x:c>
      <x:c r="AB45" s="35" t="n">
        <x:f>--AND(AB$3&gt;=$B$39,AB$3&lt;$B$38,AB$3&lt;EDATE($B$39,MAX(1,'Вводные'!$K$53)),AND($B$35="Да",IFERROR(INDEX('Вводные'!$B$88:$B$91,$B$36),"Нет")="Да"))</x:f>
      </x:c>
      <x:c r="AC45" s="35" t="n">
        <x:f>--AND(AC$3&gt;=$B$39,AC$3&lt;$B$38,AC$3&lt;EDATE($B$39,MAX(1,'Вводные'!$K$53)),AND($B$35="Да",IFERROR(INDEX('Вводные'!$B$88:$B$91,$B$36),"Нет")="Да"))</x:f>
      </x:c>
      <x:c r="AD45" s="35" t="n">
        <x:f>--AND(AD$3&gt;=$B$39,AD$3&lt;$B$38,AD$3&lt;EDATE($B$39,MAX(1,'Вводные'!$K$53)),AND($B$35="Да",IFERROR(INDEX('Вводные'!$B$88:$B$91,$B$36),"Нет")="Да"))</x:f>
      </x:c>
      <x:c r="AE45" s="35" t="n">
        <x:f>--AND(AE$3&gt;=$B$39,AE$3&lt;$B$38,AE$3&lt;EDATE($B$39,MAX(1,'Вводные'!$K$53)),AND($B$35="Да",IFERROR(INDEX('Вводные'!$B$88:$B$91,$B$36),"Нет")="Да"))</x:f>
      </x:c>
      <x:c r="AF45" s="35" t="n">
        <x:f>--AND(AF$3&gt;=$B$39,AF$3&lt;$B$38,AF$3&lt;EDATE($B$39,MAX(1,'Вводные'!$K$53)),AND($B$35="Да",IFERROR(INDEX('Вводные'!$B$88:$B$91,$B$36),"Нет")="Да"))</x:f>
      </x:c>
      <x:c r="AG45" s="35" t="n">
        <x:f>--AND(AG$3&gt;=$B$39,AG$3&lt;$B$38,AG$3&lt;EDATE($B$39,MAX(1,'Вводные'!$K$53)),AND($B$35="Да",IFERROR(INDEX('Вводные'!$B$88:$B$91,$B$36),"Нет")="Да"))</x:f>
      </x:c>
      <x:c r="AH45" s="35" t="n">
        <x:f>--AND(AH$3&gt;=$B$39,AH$3&lt;$B$38,AH$3&lt;EDATE($B$39,MAX(1,'Вводные'!$K$53)),AND($B$35="Да",IFERROR(INDEX('Вводные'!$B$88:$B$91,$B$36),"Нет")="Да"))</x:f>
      </x:c>
      <x:c r="AI45" s="35" t="n">
        <x:f>--AND(AI$3&gt;=$B$39,AI$3&lt;$B$38,AI$3&lt;EDATE($B$39,MAX(1,'Вводные'!$K$53)),AND($B$35="Да",IFERROR(INDEX('Вводные'!$B$88:$B$91,$B$36),"Нет")="Да"))</x:f>
      </x:c>
      <x:c r="AJ45" s="35" t="n">
        <x:f>--AND(AJ$3&gt;=$B$39,AJ$3&lt;$B$38,AJ$3&lt;EDATE($B$39,MAX(1,'Вводные'!$K$53)),AND($B$35="Да",IFERROR(INDEX('Вводные'!$B$88:$B$91,$B$36),"Нет")="Да"))</x:f>
      </x:c>
      <x:c r="AK45" s="35" t="n">
        <x:f>--AND(AK$3&gt;=$B$39,AK$3&lt;$B$38,AK$3&lt;EDATE($B$39,MAX(1,'Вводные'!$K$53)),AND($B$35="Да",IFERROR(INDEX('Вводные'!$B$88:$B$91,$B$36),"Нет")="Да"))</x:f>
      </x:c>
      <x:c r="AL45" s="35" t="n">
        <x:f>--AND(AL$3&gt;=$B$39,AL$3&lt;$B$38,AL$3&lt;EDATE($B$39,MAX(1,'Вводные'!$K$53)),AND($B$35="Да",IFERROR(INDEX('Вводные'!$B$88:$B$91,$B$36),"Нет")="Да"))</x:f>
      </x:c>
      <x:c r="AM45" s="35" t="n">
        <x:f>--AND(AM$3&gt;=$B$39,AM$3&lt;$B$38,AM$3&lt;EDATE($B$39,MAX(1,'Вводные'!$K$53)),AND($B$35="Да",IFERROR(INDEX('Вводные'!$B$88:$B$91,$B$36),"Нет")="Да"))</x:f>
      </x:c>
      <x:c r="AN45" s="35" t="n">
        <x:f>--AND(AN$3&gt;=$B$39,AN$3&lt;$B$38,AN$3&lt;EDATE($B$39,MAX(1,'Вводные'!$K$53)),AND($B$35="Да",IFERROR(INDEX('Вводные'!$B$88:$B$91,$B$36),"Нет")="Да"))</x:f>
      </x:c>
      <x:c r="AO45" s="35" t="n">
        <x:f>--AND(AO$3&gt;=$B$39,AO$3&lt;$B$38,AO$3&lt;EDATE($B$39,MAX(1,'Вводные'!$K$53)),AND($B$35="Да",IFERROR(INDEX('Вводные'!$B$88:$B$91,$B$36),"Нет")="Да"))</x:f>
      </x:c>
      <x:c r="AP45" s="35" t="n">
        <x:f>--AND(AP$3&gt;=$B$39,AP$3&lt;$B$38,AP$3&lt;EDATE($B$39,MAX(1,'Вводные'!$K$53)),AND($B$35="Да",IFERROR(INDEX('Вводные'!$B$88:$B$91,$B$36),"Нет")="Да"))</x:f>
      </x:c>
      <x:c r="AQ45" s="35" t="n">
        <x:f>--AND(AQ$3&gt;=$B$39,AQ$3&lt;$B$38,AQ$3&lt;EDATE($B$39,MAX(1,'Вводные'!$K$53)),AND($B$35="Да",IFERROR(INDEX('Вводные'!$B$88:$B$91,$B$36),"Нет")="Да"))</x:f>
      </x:c>
      <x:c r="AR45" s="35" t="n">
        <x:f>--AND(AR$3&gt;=$B$39,AR$3&lt;$B$38,AR$3&lt;EDATE($B$39,MAX(1,'Вводные'!$K$53)),AND($B$35="Да",IFERROR(INDEX('Вводные'!$B$88:$B$91,$B$36),"Нет")="Да"))</x:f>
      </x:c>
      <x:c r="AS45" s="35" t="n">
        <x:f>--AND(AS$3&gt;=$B$39,AS$3&lt;$B$38,AS$3&lt;EDATE($B$39,MAX(1,'Вводные'!$K$53)),AND($B$35="Да",IFERROR(INDEX('Вводные'!$B$88:$B$91,$B$36),"Нет")="Да"))</x:f>
      </x:c>
      <x:c r="AT45" s="35" t="n">
        <x:f>--AND(AT$3&gt;=$B$39,AT$3&lt;$B$38,AT$3&lt;EDATE($B$39,MAX(1,'Вводные'!$K$53)),AND($B$35="Да",IFERROR(INDEX('Вводные'!$B$88:$B$91,$B$36),"Нет")="Да"))</x:f>
      </x:c>
      <x:c r="AU45" s="35" t="n">
        <x:f>--AND(AU$3&gt;=$B$39,AU$3&lt;$B$38,AU$3&lt;EDATE($B$39,MAX(1,'Вводные'!$K$53)),AND($B$35="Да",IFERROR(INDEX('Вводные'!$B$88:$B$91,$B$36),"Нет")="Да"))</x:f>
      </x:c>
      <x:c r="AV45" s="35" t="n">
        <x:f>--AND(AV$3&gt;=$B$39,AV$3&lt;$B$38,AV$3&lt;EDATE($B$39,MAX(1,'Вводные'!$K$53)),AND($B$35="Да",IFERROR(INDEX('Вводные'!$B$88:$B$91,$B$36),"Нет")="Да"))</x:f>
      </x:c>
      <x:c r="AW45" s="35" t="n">
        <x:f>--AND(AW$3&gt;=$B$39,AW$3&lt;$B$38,AW$3&lt;EDATE($B$39,MAX(1,'Вводные'!$K$53)),AND($B$35="Да",IFERROR(INDEX('Вводные'!$B$88:$B$91,$B$36),"Нет")="Да"))</x:f>
      </x:c>
      <x:c r="AX45" s="35" t="n">
        <x:f>--AND(AX$3&gt;=$B$39,AX$3&lt;$B$38,AX$3&lt;EDATE($B$39,MAX(1,'Вводные'!$K$53)),AND($B$35="Да",IFERROR(INDEX('Вводные'!$B$88:$B$91,$B$36),"Нет")="Да"))</x:f>
      </x:c>
      <x:c r="AY45" s="35" t="n">
        <x:f>--AND(AY$3&gt;=$B$39,AY$3&lt;$B$38,AY$3&lt;EDATE($B$39,MAX(1,'Вводные'!$K$53)),AND($B$35="Да",IFERROR(INDEX('Вводные'!$B$88:$B$91,$B$36),"Нет")="Да"))</x:f>
      </x:c>
      <x:c r="AZ45" s="35" t="n">
        <x:f>--AND(AZ$3&gt;=$B$39,AZ$3&lt;$B$38,AZ$3&lt;EDATE($B$39,MAX(1,'Вводные'!$K$53)),AND($B$35="Да",IFERROR(INDEX('Вводные'!$B$88:$B$91,$B$36),"Нет")="Да"))</x:f>
      </x:c>
      <x:c r="BA45" s="35" t="n">
        <x:f>--AND(BA$3&gt;=$B$39,BA$3&lt;$B$38,BA$3&lt;EDATE($B$39,MAX(1,'Вводные'!$K$53)),AND($B$35="Да",IFERROR(INDEX('Вводные'!$B$88:$B$91,$B$36),"Нет")="Да"))</x:f>
      </x:c>
      <x:c r="BB45" s="35" t="n">
        <x:f>--AND(BB$3&gt;=$B$39,BB$3&lt;$B$38,BB$3&lt;EDATE($B$39,MAX(1,'Вводные'!$K$53)),AND($B$35="Да",IFERROR(INDEX('Вводные'!$B$88:$B$91,$B$36),"Нет")="Да"))</x:f>
      </x:c>
      <x:c r="BC45" s="35" t="n">
        <x:f>--AND(BC$3&gt;=$B$39,BC$3&lt;$B$38,BC$3&lt;EDATE($B$39,MAX(1,'Вводные'!$K$53)),AND($B$35="Да",IFERROR(INDEX('Вводные'!$B$88:$B$91,$B$36),"Нет")="Да"))</x:f>
      </x:c>
      <x:c r="BD45" s="35" t="n">
        <x:f>--AND(BD$3&gt;=$B$39,BD$3&lt;$B$38,BD$3&lt;EDATE($B$39,MAX(1,'Вводные'!$K$53)),AND($B$35="Да",IFERROR(INDEX('Вводные'!$B$88:$B$91,$B$36),"Нет")="Да"))</x:f>
      </x:c>
      <x:c r="BE45" s="35" t="n">
        <x:f>--AND(BE$3&gt;=$B$39,BE$3&lt;$B$38,BE$3&lt;EDATE($B$39,MAX(1,'Вводные'!$K$53)),AND($B$35="Да",IFERROR(INDEX('Вводные'!$B$88:$B$91,$B$36),"Нет")="Да"))</x:f>
      </x:c>
      <x:c r="BF45" s="35" t="n">
        <x:f>--AND(BF$3&gt;=$B$39,BF$3&lt;$B$38,BF$3&lt;EDATE($B$39,MAX(1,'Вводные'!$K$53)),AND($B$35="Да",IFERROR(INDEX('Вводные'!$B$88:$B$91,$B$36),"Нет")="Да"))</x:f>
      </x:c>
      <x:c r="BG45" s="35" t="n">
        <x:f>--AND(BG$3&gt;=$B$39,BG$3&lt;$B$38,BG$3&lt;EDATE($B$39,MAX(1,'Вводные'!$K$53)),AND($B$35="Да",IFERROR(INDEX('Вводные'!$B$88:$B$91,$B$36),"Нет")="Да"))</x:f>
      </x:c>
      <x:c r="BH45" s="35" t="n">
        <x:f>--AND(BH$3&gt;=$B$39,BH$3&lt;$B$38,BH$3&lt;EDATE($B$39,MAX(1,'Вводные'!$K$53)),AND($B$35="Да",IFERROR(INDEX('Вводные'!$B$88:$B$91,$B$36),"Нет")="Да"))</x:f>
      </x:c>
      <x:c r="BI45" s="35" t="n">
        <x:f>--AND(BI$3&gt;=$B$39,BI$3&lt;$B$38,BI$3&lt;EDATE($B$39,MAX(1,'Вводные'!$K$53)),AND($B$35="Да",IFERROR(INDEX('Вводные'!$B$88:$B$91,$B$36),"Нет")="Да"))</x:f>
      </x:c>
      <x:c r="BJ45" s="35" t="n">
        <x:f>--AND(BJ$3&gt;=$B$39,BJ$3&lt;$B$38,BJ$3&lt;EDATE($B$39,MAX(1,'Вводные'!$K$53)),AND($B$35="Да",IFERROR(INDEX('Вводные'!$B$88:$B$91,$B$36),"Нет")="Да"))</x:f>
      </x:c>
      <x:c r="BK45" s="35" t="n">
        <x:f>--AND(BK$3&gt;=$B$39,BK$3&lt;$B$38,BK$3&lt;EDATE($B$39,MAX(1,'Вводные'!$K$53)),AND($B$35="Да",IFERROR(INDEX('Вводные'!$B$88:$B$91,$B$36),"Нет")="Да"))</x:f>
      </x:c>
      <x:c r="BL45" s="35" t="n">
        <x:f>--AND(BL$3&gt;=$B$39,BL$3&lt;$B$38,BL$3&lt;EDATE($B$39,MAX(1,'Вводные'!$K$53)),AND($B$35="Да",IFERROR(INDEX('Вводные'!$B$88:$B$91,$B$36),"Нет")="Да"))</x:f>
      </x:c>
      <x:c r="BM45" s="35" t="n">
        <x:f>--AND(BM$3&gt;=$B$39,BM$3&lt;$B$38,BM$3&lt;EDATE($B$39,MAX(1,'Вводные'!$K$53)),AND($B$35="Да",IFERROR(INDEX('Вводные'!$B$88:$B$91,$B$36),"Нет")="Да"))</x:f>
      </x:c>
      <x:c r="BN45" s="35" t="n">
        <x:f>--AND(BN$3&gt;=$B$39,BN$3&lt;$B$38,BN$3&lt;EDATE($B$39,MAX(1,'Вводные'!$K$53)),AND($B$35="Да",IFERROR(INDEX('Вводные'!$B$88:$B$91,$B$36),"Нет")="Да"))</x:f>
      </x:c>
      <x:c r="BO45" s="35" t="n">
        <x:f>--AND(BO$3&gt;=$B$39,BO$3&lt;$B$38,BO$3&lt;EDATE($B$39,MAX(1,'Вводные'!$K$53)),AND($B$35="Да",IFERROR(INDEX('Вводные'!$B$88:$B$91,$B$36),"Нет")="Да"))</x:f>
      </x:c>
      <x:c r="BP45" s="35" t="n">
        <x:f>--AND(BP$3&gt;=$B$39,BP$3&lt;$B$38,BP$3&lt;EDATE($B$39,MAX(1,'Вводные'!$K$53)),AND($B$35="Да",IFERROR(INDEX('Вводные'!$B$88:$B$91,$B$36),"Нет")="Да"))</x:f>
      </x:c>
      <x:c r="BQ45" s="35" t="n">
        <x:f>--AND(BQ$3&gt;=$B$39,BQ$3&lt;$B$38,BQ$3&lt;EDATE($B$39,MAX(1,'Вводные'!$K$53)),AND($B$35="Да",IFERROR(INDEX('Вводные'!$B$88:$B$91,$B$36),"Нет")="Да"))</x:f>
      </x:c>
      <x:c r="BR45" s="35" t="n">
        <x:f>--AND(BR$3&gt;=$B$39,BR$3&lt;$B$38,BR$3&lt;EDATE($B$39,MAX(1,'Вводные'!$K$53)),AND($B$35="Да",IFERROR(INDEX('Вводные'!$B$88:$B$91,$B$36),"Нет")="Да"))</x:f>
      </x:c>
      <x:c r="BS45" s="35" t="n">
        <x:f>--AND(BS$3&gt;=$B$39,BS$3&lt;$B$38,BS$3&lt;EDATE($B$39,MAX(1,'Вводные'!$K$53)),AND($B$35="Да",IFERROR(INDEX('Вводные'!$B$88:$B$91,$B$36),"Нет")="Да"))</x:f>
      </x:c>
      <x:c r="BT45" s="35" t="n">
        <x:f>--AND(BT$3&gt;=$B$39,BT$3&lt;$B$38,BT$3&lt;EDATE($B$39,MAX(1,'Вводные'!$K$53)),AND($B$35="Да",IFERROR(INDEX('Вводные'!$B$88:$B$91,$B$36),"Нет")="Да"))</x:f>
      </x:c>
      <x:c r="BU45" s="35" t="n">
        <x:f>--AND(BU$3&gt;=$B$39,BU$3&lt;$B$38,BU$3&lt;EDATE($B$39,MAX(1,'Вводные'!$K$53)),AND($B$35="Да",IFERROR(INDEX('Вводные'!$B$88:$B$91,$B$36),"Нет")="Да"))</x:f>
      </x:c>
      <x:c r="BV45" s="35" t="n">
        <x:f>--AND(BV$3&gt;=$B$39,BV$3&lt;$B$38,BV$3&lt;EDATE($B$39,MAX(1,'Вводные'!$K$53)),AND($B$35="Да",IFERROR(INDEX('Вводные'!$B$88:$B$91,$B$36),"Нет")="Да"))</x:f>
      </x:c>
      <x:c r="BW45" s="35" t="n">
        <x:f>--AND(BW$3&gt;=$B$39,BW$3&lt;$B$38,BW$3&lt;EDATE($B$39,MAX(1,'Вводные'!$K$53)),AND($B$35="Да",IFERROR(INDEX('Вводные'!$B$88:$B$91,$B$36),"Нет")="Да"))</x:f>
      </x:c>
      <x:c r="BX45" s="35" t="n">
        <x:f>--AND(BX$3&gt;=$B$39,BX$3&lt;$B$38,BX$3&lt;EDATE($B$39,MAX(1,'Вводные'!$K$53)),AND($B$35="Да",IFERROR(INDEX('Вводные'!$B$88:$B$91,$B$36),"Нет")="Да"))</x:f>
      </x:c>
      <x:c r="BY45" s="35" t="n">
        <x:f>--AND(BY$3&gt;=$B$39,BY$3&lt;$B$38,BY$3&lt;EDATE($B$39,MAX(1,'Вводные'!$K$53)),AND($B$35="Да",IFERROR(INDEX('Вводные'!$B$88:$B$91,$B$36),"Нет")="Да"))</x:f>
      </x:c>
      <x:c r="BZ45" s="35" t="n">
        <x:f>--AND(BZ$3&gt;=$B$39,BZ$3&lt;$B$38,BZ$3&lt;EDATE($B$39,MAX(1,'Вводные'!$K$53)),AND($B$35="Да",IFERROR(INDEX('Вводные'!$B$88:$B$91,$B$36),"Нет")="Да"))</x:f>
      </x:c>
      <x:c r="CA45" s="35" t="n">
        <x:f>--AND(CA$3&gt;=$B$39,CA$3&lt;$B$38,CA$3&lt;EDATE($B$39,MAX(1,'Вводные'!$K$53)),AND($B$35="Да",IFERROR(INDEX('Вводные'!$B$88:$B$91,$B$36),"Нет")="Да"))</x:f>
      </x:c>
      <x:c r="CB45" s="35" t="n">
        <x:f>--AND(CB$3&gt;=$B$39,CB$3&lt;$B$38,CB$3&lt;EDATE($B$39,MAX(1,'Вводные'!$K$53)),AND($B$35="Да",IFERROR(INDEX('Вводные'!$B$88:$B$91,$B$36),"Нет")="Да"))</x:f>
      </x:c>
      <x:c r="CC45" s="35" t="n">
        <x:f>--AND(CC$3&gt;=$B$39,CC$3&lt;$B$38,CC$3&lt;EDATE($B$39,MAX(1,'Вводные'!$K$53)),AND($B$35="Да",IFERROR(INDEX('Вводные'!$B$88:$B$91,$B$36),"Нет")="Да"))</x:f>
      </x:c>
      <x:c r="CD45" s="35" t="n">
        <x:f>--AND(CD$3&gt;=$B$39,CD$3&lt;$B$38,CD$3&lt;EDATE($B$39,MAX(1,'Вводные'!$K$53)),AND($B$35="Да",IFERROR(INDEX('Вводные'!$B$88:$B$91,$B$36),"Нет")="Да"))</x:f>
      </x:c>
      <x:c r="CE45" s="35" t="n">
        <x:f>--AND(CE$3&gt;=$B$39,CE$3&lt;$B$38,CE$3&lt;EDATE($B$39,MAX(1,'Вводные'!$K$53)),AND($B$35="Да",IFERROR(INDEX('Вводные'!$B$88:$B$91,$B$36),"Нет")="Да"))</x:f>
      </x:c>
      <x:c r="CF45" s="35" t="n">
        <x:f>--AND(CF$3&gt;=$B$39,CF$3&lt;$B$38,CF$3&lt;EDATE($B$39,MAX(1,'Вводные'!$K$53)),AND($B$35="Да",IFERROR(INDEX('Вводные'!$B$88:$B$91,$B$36),"Нет")="Да"))</x:f>
      </x:c>
      <x:c r="CG45" s="35" t="n">
        <x:f>--AND(CG$3&gt;=$B$39,CG$3&lt;$B$38,CG$3&lt;EDATE($B$39,MAX(1,'Вводные'!$K$53)),AND($B$35="Да",IFERROR(INDEX('Вводные'!$B$88:$B$91,$B$36),"Нет")="Да"))</x:f>
      </x:c>
      <x:c r="CH45" s="35" t="n">
        <x:f>--AND(CH$3&gt;=$B$39,CH$3&lt;$B$38,CH$3&lt;EDATE($B$39,MAX(1,'Вводные'!$K$53)),AND($B$35="Да",IFERROR(INDEX('Вводные'!$B$88:$B$91,$B$36),"Нет")="Да"))</x:f>
      </x:c>
      <x:c r="CI45" s="35" t="n">
        <x:f>--AND(CI$3&gt;=$B$39,CI$3&lt;$B$38,CI$3&lt;EDATE($B$39,MAX(1,'Вводные'!$K$53)),AND($B$35="Да",IFERROR(INDEX('Вводные'!$B$88:$B$91,$B$36),"Нет")="Да"))</x:f>
      </x:c>
      <x:c r="CJ45" s="35" t="n">
        <x:f>--AND(CJ$3&gt;=$B$39,CJ$3&lt;$B$38,CJ$3&lt;EDATE($B$39,MAX(1,'Вводные'!$K$53)),AND($B$35="Да",IFERROR(INDEX('Вводные'!$B$88:$B$91,$B$36),"Нет")="Да"))</x:f>
      </x:c>
      <x:c r="CK45" s="35" t="n">
        <x:f>--AND(CK$3&gt;=$B$39,CK$3&lt;$B$38,CK$3&lt;EDATE($B$39,MAX(1,'Вводные'!$K$53)),AND($B$35="Да",IFERROR(INDEX('Вводные'!$B$88:$B$91,$B$36),"Нет")="Да"))</x:f>
      </x:c>
      <x:c r="CL45" s="35" t="n">
        <x:f>--AND(CL$3&gt;=$B$39,CL$3&lt;$B$38,CL$3&lt;EDATE($B$39,MAX(1,'Вводные'!$K$53)),AND($B$35="Да",IFERROR(INDEX('Вводные'!$B$88:$B$91,$B$36),"Нет")="Да"))</x:f>
      </x:c>
      <x:c r="CM45" s="35" t="n">
        <x:f>--AND(CM$3&gt;=$B$39,CM$3&lt;$B$38,CM$3&lt;EDATE($B$39,MAX(1,'Вводные'!$K$53)),AND($B$35="Да",IFERROR(INDEX('Вводные'!$B$88:$B$91,$B$36),"Нет")="Да"))</x:f>
      </x:c>
      <x:c r="CN45" s="35" t="n">
        <x:f>--AND(CN$3&gt;=$B$39,CN$3&lt;$B$38,CN$3&lt;EDATE($B$39,MAX(1,'Вводные'!$K$53)),AND($B$35="Да",IFERROR(INDEX('Вводные'!$B$88:$B$91,$B$36),"Нет")="Да"))</x:f>
      </x:c>
      <x:c r="CO45" s="35" t="n">
        <x:f>--AND(CO$3&gt;=$B$39,CO$3&lt;$B$38,CO$3&lt;EDATE($B$39,MAX(1,'Вводные'!$K$53)),AND($B$35="Да",IFERROR(INDEX('Вводные'!$B$88:$B$91,$B$36),"Нет")="Да"))</x:f>
      </x:c>
      <x:c r="CP45" s="35" t="n">
        <x:f>--AND(CP$3&gt;=$B$39,CP$3&lt;$B$38,CP$3&lt;EDATE($B$39,MAX(1,'Вводные'!$K$53)),AND($B$35="Да",IFERROR(INDEX('Вводные'!$B$88:$B$91,$B$36),"Нет")="Да"))</x:f>
      </x:c>
      <x:c r="CQ45" s="35" t="n">
        <x:f>--AND(CQ$3&gt;=$B$39,CQ$3&lt;$B$38,CQ$3&lt;EDATE($B$39,MAX(1,'Вводные'!$K$53)),AND($B$35="Да",IFERROR(INDEX('Вводные'!$B$88:$B$91,$B$36),"Нет")="Да"))</x:f>
      </x:c>
      <x:c r="CR45" s="35" t="n">
        <x:f>--AND(CR$3&gt;=$B$39,CR$3&lt;$B$38,CR$3&lt;EDATE($B$39,MAX(1,'Вводные'!$K$53)),AND($B$35="Да",IFERROR(INDEX('Вводные'!$B$88:$B$91,$B$36),"Нет")="Да"))</x:f>
      </x:c>
      <x:c r="CS45" s="35" t="n">
        <x:f>--AND(CS$3&gt;=$B$39,CS$3&lt;$B$38,CS$3&lt;EDATE($B$39,MAX(1,'Вводные'!$K$53)),AND($B$35="Да",IFERROR(INDEX('Вводные'!$B$88:$B$91,$B$36),"Нет")="Да"))</x:f>
      </x:c>
      <x:c r="CT45" s="35" t="n">
        <x:f>--AND(CT$3&gt;=$B$39,CT$3&lt;$B$38,CT$3&lt;EDATE($B$39,MAX(1,'Вводные'!$K$53)),AND($B$35="Да",IFERROR(INDEX('Вводные'!$B$88:$B$91,$B$36),"Нет")="Да"))</x:f>
      </x:c>
      <x:c r="CU45" s="35" t="n">
        <x:f>--AND(CU$3&gt;=$B$39,CU$3&lt;$B$38,CU$3&lt;EDATE($B$39,MAX(1,'Вводные'!$K$53)),AND($B$35="Да",IFERROR(INDEX('Вводные'!$B$88:$B$91,$B$36),"Нет")="Да"))</x:f>
      </x:c>
      <x:c r="CV45" s="35" t="n">
        <x:f>--AND(CV$3&gt;=$B$39,CV$3&lt;$B$38,CV$3&lt;EDATE($B$39,MAX(1,'Вводные'!$K$53)),AND($B$35="Да",IFERROR(INDEX('Вводные'!$B$88:$B$91,$B$36),"Нет")="Да"))</x:f>
      </x:c>
      <x:c r="CW45" s="35" t="n">
        <x:f>--AND(CW$3&gt;=$B$39,CW$3&lt;$B$38,CW$3&lt;EDATE($B$39,MAX(1,'Вводные'!$K$53)),AND($B$35="Да",IFERROR(INDEX('Вводные'!$B$88:$B$91,$B$36),"Нет")="Да"))</x:f>
      </x:c>
      <x:c r="CX45" s="35" t="n">
        <x:f>--AND(CX$3&gt;=$B$39,CX$3&lt;$B$38,CX$3&lt;EDATE($B$39,MAX(1,'Вводные'!$K$53)),AND($B$35="Да",IFERROR(INDEX('Вводные'!$B$88:$B$91,$B$36),"Нет")="Да"))</x:f>
      </x:c>
      <x:c r="CY45" s="35" t="n">
        <x:f>--AND(CY$3&gt;=$B$39,CY$3&lt;$B$38,CY$3&lt;EDATE($B$39,MAX(1,'Вводные'!$K$53)),AND($B$35="Да",IFERROR(INDEX('Вводные'!$B$88:$B$91,$B$36),"Нет")="Да"))</x:f>
      </x:c>
      <x:c r="CZ45" s="35" t="n">
        <x:f>--AND(CZ$3&gt;=$B$39,CZ$3&lt;$B$38,CZ$3&lt;EDATE($B$39,MAX(1,'Вводные'!$K$53)),AND($B$35="Да",IFERROR(INDEX('Вводные'!$B$88:$B$91,$B$36),"Нет")="Да"))</x:f>
      </x:c>
      <x:c r="DA45" s="35" t="n">
        <x:f>--AND(DA$3&gt;=$B$39,DA$3&lt;$B$38,DA$3&lt;EDATE($B$39,MAX(1,'Вводные'!$K$53)),AND($B$35="Да",IFERROR(INDEX('Вводные'!$B$88:$B$91,$B$36),"Нет")="Да"))</x:f>
      </x:c>
      <x:c r="DB45" s="35" t="n">
        <x:f>--AND(DB$3&gt;=$B$39,DB$3&lt;$B$38,DB$3&lt;EDATE($B$39,MAX(1,'Вводные'!$K$53)),AND($B$35="Да",IFERROR(INDEX('Вводные'!$B$88:$B$91,$B$36),"Нет")="Да"))</x:f>
      </x:c>
      <x:c r="DC45" s="35" t="n">
        <x:f>--AND(DC$3&gt;=$B$39,DC$3&lt;$B$38,DC$3&lt;EDATE($B$39,MAX(1,'Вводные'!$K$53)),AND($B$35="Да",IFERROR(INDEX('Вводные'!$B$88:$B$91,$B$36),"Нет")="Да"))</x:f>
      </x:c>
      <x:c r="DD45" s="35" t="n">
        <x:f>--AND(DD$3&gt;=$B$39,DD$3&lt;$B$38,DD$3&lt;EDATE($B$39,MAX(1,'Вводные'!$K$53)),AND($B$35="Да",IFERROR(INDEX('Вводные'!$B$88:$B$91,$B$36),"Нет")="Да"))</x:f>
      </x:c>
      <x:c r="DE45" s="35" t="n">
        <x:f>--AND(DE$3&gt;=$B$39,DE$3&lt;$B$38,DE$3&lt;EDATE($B$39,MAX(1,'Вводные'!$K$53)),AND($B$35="Да",IFERROR(INDEX('Вводные'!$B$88:$B$91,$B$36),"Нет")="Да"))</x:f>
      </x:c>
      <x:c r="DF45" s="35" t="n">
        <x:f>--AND(DF$3&gt;=$B$39,DF$3&lt;$B$38,DF$3&lt;EDATE($B$39,MAX(1,'Вводные'!$K$53)),AND($B$35="Да",IFERROR(INDEX('Вводные'!$B$88:$B$91,$B$36),"Нет")="Да"))</x:f>
      </x:c>
      <x:c r="DG45" s="35" t="n">
        <x:f>--AND(DG$3&gt;=$B$39,DG$3&lt;$B$38,DG$3&lt;EDATE($B$39,MAX(1,'Вводные'!$K$53)),AND($B$35="Да",IFERROR(INDEX('Вводные'!$B$88:$B$91,$B$36),"Нет")="Да"))</x:f>
      </x:c>
      <x:c r="DH45" s="35" t="n">
        <x:f>--AND(DH$3&gt;=$B$39,DH$3&lt;$B$38,DH$3&lt;EDATE($B$39,MAX(1,'Вводные'!$K$53)),AND($B$35="Да",IFERROR(INDEX('Вводные'!$B$88:$B$91,$B$36),"Нет")="Да"))</x:f>
      </x:c>
      <x:c r="DI45" s="35" t="n">
        <x:f>--AND(DI$3&gt;=$B$39,DI$3&lt;$B$38,DI$3&lt;EDATE($B$39,MAX(1,'Вводные'!$K$53)),AND($B$35="Да",IFERROR(INDEX('Вводные'!$B$88:$B$91,$B$36),"Нет")="Да"))</x:f>
      </x:c>
      <x:c r="DJ45" s="35" t="n">
        <x:f>--AND(DJ$3&gt;=$B$39,DJ$3&lt;$B$38,DJ$3&lt;EDATE($B$39,MAX(1,'Вводные'!$K$53)),AND($B$35="Да",IFERROR(INDEX('Вводные'!$B$88:$B$91,$B$36),"Нет")="Да"))</x:f>
      </x:c>
      <x:c r="DK45" s="35" t="n">
        <x:f>--AND(DK$3&gt;=$B$39,DK$3&lt;$B$38,DK$3&lt;EDATE($B$39,MAX(1,'Вводные'!$K$53)),AND($B$35="Да",IFERROR(INDEX('Вводные'!$B$88:$B$91,$B$36),"Нет")="Да"))</x:f>
      </x:c>
      <x:c r="DL45" s="35" t="n">
        <x:f>--AND(DL$3&gt;=$B$39,DL$3&lt;$B$38,DL$3&lt;EDATE($B$39,MAX(1,'Вводные'!$K$53)),AND($B$35="Да",IFERROR(INDEX('Вводные'!$B$88:$B$91,$B$36),"Нет")="Да"))</x:f>
      </x:c>
      <x:c r="DM45" s="35" t="n">
        <x:f>--AND(DM$3&gt;=$B$39,DM$3&lt;$B$38,DM$3&lt;EDATE($B$39,MAX(1,'Вводные'!$K$53)),AND($B$35="Да",IFERROR(INDEX('Вводные'!$B$88:$B$91,$B$36),"Нет")="Да"))</x:f>
      </x:c>
      <x:c r="DN45" s="35" t="n">
        <x:f>--AND(DN$3&gt;=$B$39,DN$3&lt;$B$38,DN$3&lt;EDATE($B$39,MAX(1,'Вводные'!$K$53)),AND($B$35="Да",IFERROR(INDEX('Вводные'!$B$88:$B$91,$B$36),"Нет")="Да"))</x:f>
      </x:c>
      <x:c r="DO45" s="35" t="n">
        <x:f>--AND(DO$3&gt;=$B$39,DO$3&lt;$B$38,DO$3&lt;EDATE($B$39,MAX(1,'Вводные'!$K$53)),AND($B$35="Да",IFERROR(INDEX('Вводные'!$B$88:$B$91,$B$36),"Нет")="Да"))</x:f>
      </x:c>
      <x:c r="DP45" s="35" t="n">
        <x:f>--AND(DP$3&gt;=$B$39,DP$3&lt;$B$38,DP$3&lt;EDATE($B$39,MAX(1,'Вводные'!$K$53)),AND($B$35="Да",IFERROR(INDEX('Вводные'!$B$88:$B$91,$B$36),"Нет")="Да"))</x:f>
      </x:c>
      <x:c r="DQ45" s="35" t="n">
        <x:f>--AND(DQ$3&gt;=$B$39,DQ$3&lt;$B$38,DQ$3&lt;EDATE($B$39,MAX(1,'Вводные'!$K$53)),AND($B$35="Да",IFERROR(INDEX('Вводные'!$B$88:$B$91,$B$36),"Нет")="Да"))</x:f>
      </x:c>
      <x:c r="DR45" s="35" t="n">
        <x:f>--AND(DR$3&gt;=$B$39,DR$3&lt;$B$38,DR$3&lt;EDATE($B$39,MAX(1,'Вводные'!$K$53)),AND($B$35="Да",IFERROR(INDEX('Вводные'!$B$88:$B$91,$B$36),"Нет")="Да"))</x:f>
      </x:c>
      <x:c r="DS45" s="35" t="n">
        <x:f>--AND(DS$3&gt;=$B$39,DS$3&lt;$B$38,DS$3&lt;EDATE($B$39,MAX(1,'Вводные'!$K$53)),AND($B$35="Да",IFERROR(INDEX('Вводные'!$B$88:$B$91,$B$36),"Нет")="Да"))</x:f>
      </x:c>
      <x:c r="DT45" s="35" t="n">
        <x:f>--AND(DT$3&gt;=$B$39,DT$3&lt;$B$38,DT$3&lt;EDATE($B$39,MAX(1,'Вводные'!$K$53)),AND($B$35="Да",IFERROR(INDEX('Вводные'!$B$88:$B$91,$B$36),"Нет")="Да"))</x:f>
      </x:c>
      <x:c r="DU45" s="35" t="n">
        <x:f>--AND(DU$3&gt;=$B$39,DU$3&lt;$B$38,DU$3&lt;EDATE($B$39,MAX(1,'Вводные'!$K$53)),AND($B$35="Да",IFERROR(INDEX('Вводные'!$B$88:$B$91,$B$36),"Нет")="Да"))</x:f>
      </x:c>
      <x:c r="DV45" s="35" t="n">
        <x:f>--AND(DV$3&gt;=$B$39,DV$3&lt;$B$38,DV$3&lt;EDATE($B$39,MAX(1,'Вводные'!$K$53)),AND($B$35="Да",IFERROR(INDEX('Вводные'!$B$88:$B$91,$B$36),"Нет")="Да"))</x:f>
      </x:c>
      <x:c r="DW45" s="35" t="n">
        <x:f>--AND(DW$3&gt;=$B$39,DW$3&lt;$B$38,DW$3&lt;EDATE($B$39,MAX(1,'Вводные'!$K$53)),AND($B$35="Да",IFERROR(INDEX('Вводные'!$B$88:$B$91,$B$36),"Нет")="Да"))</x:f>
      </x:c>
      <x:c r="DX45" s="35" t="n">
        <x:f>--AND(DX$3&gt;=$B$39,DX$3&lt;$B$38,DX$3&lt;EDATE($B$39,MAX(1,'Вводные'!$K$53)),AND($B$35="Да",IFERROR(INDEX('Вводные'!$B$88:$B$91,$B$36),"Нет")="Да"))</x:f>
      </x:c>
      <x:c r="DY45" s="35" t="n">
        <x:f>--AND(DY$3&gt;=$B$39,DY$3&lt;$B$38,DY$3&lt;EDATE($B$39,MAX(1,'Вводные'!$K$53)),AND($B$35="Да",IFERROR(INDEX('Вводные'!$B$88:$B$91,$B$36),"Нет")="Да"))</x:f>
      </x:c>
      <x:c r="DZ45" s="35" t="n">
        <x:f>--AND(DZ$3&gt;=$B$39,DZ$3&lt;$B$38,DZ$3&lt;EDATE($B$39,MAX(1,'Вводные'!$K$53)),AND($B$35="Да",IFERROR(INDEX('Вводные'!$B$88:$B$91,$B$36),"Нет")="Да"))</x:f>
      </x:c>
      <x:c r="EA45" s="35" t="n">
        <x:f>--AND(EA$3&gt;=$B$39,EA$3&lt;$B$38,EA$3&lt;EDATE($B$39,MAX(1,'Вводные'!$K$53)),AND($B$35="Да",IFERROR(INDEX('Вводные'!$B$88:$B$91,$B$36),"Нет")="Да"))</x:f>
      </x:c>
      <x:c r="EB45" s="35" t="n">
        <x:f>--AND(EB$3&gt;=$B$39,EB$3&lt;$B$38,EB$3&lt;EDATE($B$39,MAX(1,'Вводные'!$K$53)),AND($B$35="Да",IFERROR(INDEX('Вводные'!$B$88:$B$91,$B$36),"Нет")="Да"))</x:f>
      </x:c>
      <x:c r="EC45" s="35" t="n">
        <x:f>--AND(EC$3&gt;=$B$39,EC$3&lt;$B$38,EC$3&lt;EDATE($B$39,MAX(1,'Вводные'!$K$53)),AND($B$35="Да",IFERROR(INDEX('Вводные'!$B$88:$B$91,$B$36),"Нет")="Да"))</x:f>
      </x:c>
      <x:c r="ED45" s="35" t="n">
        <x:f>--AND(ED$3&gt;=$B$39,ED$3&lt;$B$38,ED$3&lt;EDATE($B$39,MAX(1,'Вводные'!$K$53)),AND($B$35="Да",IFERROR(INDEX('Вводные'!$B$88:$B$91,$B$36),"Нет")="Да"))</x:f>
      </x:c>
      <x:c r="EE45" s="35" t="n">
        <x:f>--AND(EE$3&gt;=$B$39,EE$3&lt;$B$38,EE$3&lt;EDATE($B$39,MAX(1,'Вводные'!$K$53)),AND($B$35="Да",IFERROR(INDEX('Вводные'!$B$88:$B$91,$B$36),"Нет")="Да"))</x:f>
      </x:c>
      <x:c r="EF45" s="35" t="n">
        <x:f>--AND(EF$3&gt;=$B$39,EF$3&lt;$B$38,EF$3&lt;EDATE($B$39,MAX(1,'Вводные'!$K$53)),AND($B$35="Да",IFERROR(INDEX('Вводные'!$B$88:$B$91,$B$36),"Нет")="Да"))</x:f>
      </x:c>
      <x:c r="EG45" s="35" t="n">
        <x:f>--AND(EG$3&gt;=$B$39,EG$3&lt;$B$38,EG$3&lt;EDATE($B$39,MAX(1,'Вводные'!$K$53)),AND($B$35="Да",IFERROR(INDEX('Вводные'!$B$88:$B$91,$B$36),"Нет")="Да"))</x:f>
      </x:c>
      <x:c r="EH45" s="35" t="n">
        <x:f>--AND(EH$3&gt;=$B$39,EH$3&lt;$B$38,EH$3&lt;EDATE($B$39,MAX(1,'Вводные'!$K$53)),AND($B$35="Да",IFERROR(INDEX('Вводные'!$B$88:$B$91,$B$36),"Нет")="Да"))</x:f>
      </x:c>
      <x:c r="EI45" s="35" t="n">
        <x:f>--AND(EI$3&gt;=$B$39,EI$3&lt;$B$38,EI$3&lt;EDATE($B$39,MAX(1,'Вводные'!$K$53)),AND($B$35="Да",IFERROR(INDEX('Вводные'!$B$88:$B$91,$B$36),"Нет")="Да"))</x:f>
      </x:c>
      <x:c r="EJ45" s="35" t="n">
        <x:f>--AND(EJ$3&gt;=$B$39,EJ$3&lt;$B$38,EJ$3&lt;EDATE($B$39,MAX(1,'Вводные'!$K$53)),AND($B$35="Да",IFERROR(INDEX('Вводные'!$B$88:$B$91,$B$36),"Нет")="Да"))</x:f>
      </x:c>
      <x:c r="EK45" s="35" t="n">
        <x:f>--AND(EK$3&gt;=$B$39,EK$3&lt;$B$38,EK$3&lt;EDATE($B$39,MAX(1,'Вводные'!$K$53)),AND($B$35="Да",IFERROR(INDEX('Вводные'!$B$88:$B$91,$B$36),"Нет")="Да"))</x:f>
      </x:c>
      <x:c r="EL45" s="35" t="n">
        <x:f>--AND(EL$3&gt;=$B$39,EL$3&lt;$B$38,EL$3&lt;EDATE($B$39,MAX(1,'Вводные'!$K$53)),AND($B$35="Да",IFERROR(INDEX('Вводные'!$B$88:$B$91,$B$36),"Нет")="Да"))</x:f>
      </x:c>
      <x:c r="EM45" s="35" t="n">
        <x:f>--AND(EM$3&gt;=$B$39,EM$3&lt;$B$38,EM$3&lt;EDATE($B$39,MAX(1,'Вводные'!$K$53)),AND($B$35="Да",IFERROR(INDEX('Вводные'!$B$88:$B$91,$B$36),"Нет")="Да"))</x:f>
      </x:c>
      <x:c r="EN45" s="35" t="n">
        <x:f>--AND(EN$3&gt;=$B$39,EN$3&lt;$B$38,EN$3&lt;EDATE($B$39,MAX(1,'Вводные'!$K$53)),AND($B$35="Да",IFERROR(INDEX('Вводные'!$B$88:$B$91,$B$36),"Нет")="Да"))</x:f>
      </x:c>
      <x:c r="EO45" s="35" t="n">
        <x:f>--AND(EO$3&gt;=$B$39,EO$3&lt;$B$38,EO$3&lt;EDATE($B$39,MAX(1,'Вводные'!$K$53)),AND($B$35="Да",IFERROR(INDEX('Вводные'!$B$88:$B$91,$B$36),"Нет")="Да"))</x:f>
      </x:c>
      <x:c r="EP45" s="35" t="n">
        <x:f>--AND(EP$3&gt;=$B$39,EP$3&lt;$B$38,EP$3&lt;EDATE($B$39,MAX(1,'Вводные'!$K$53)),AND($B$35="Да",IFERROR(INDEX('Вводные'!$B$88:$B$91,$B$36),"Нет")="Да"))</x:f>
      </x:c>
      <x:c r="EQ45" s="35" t="n">
        <x:f>--AND(EQ$3&gt;=$B$39,EQ$3&lt;$B$38,EQ$3&lt;EDATE($B$39,MAX(1,'Вводные'!$K$53)),AND($B$35="Да",IFERROR(INDEX('Вводные'!$B$88:$B$91,$B$36),"Нет")="Да"))</x:f>
      </x:c>
      <x:c r="ER45" s="35" t="n">
        <x:f>--AND(ER$3&gt;=$B$39,ER$3&lt;$B$38,ER$3&lt;EDATE($B$39,MAX(1,'Вводные'!$K$53)),AND($B$35="Да",IFERROR(INDEX('Вводные'!$B$88:$B$91,$B$36),"Нет")="Да"))</x:f>
      </x:c>
      <x:c r="ES45" s="35" t="n">
        <x:f>--AND(ES$3&gt;=$B$39,ES$3&lt;$B$38,ES$3&lt;EDATE($B$39,MAX(1,'Вводные'!$K$53)),AND($B$35="Да",IFERROR(INDEX('Вводные'!$B$88:$B$91,$B$36),"Нет")="Да"))</x:f>
      </x:c>
      <x:c r="ET45" s="35" t="n">
        <x:f>--AND(ET$3&gt;=$B$39,ET$3&lt;$B$38,ET$3&lt;EDATE($B$39,MAX(1,'Вводные'!$K$53)),AND($B$35="Да",IFERROR(INDEX('Вводные'!$B$88:$B$91,$B$36),"Нет")="Да"))</x:f>
      </x:c>
      <x:c r="EU45" s="35" t="n">
        <x:f>--AND(EU$3&gt;=$B$39,EU$3&lt;$B$38,EU$3&lt;EDATE($B$39,MAX(1,'Вводные'!$K$53)),AND($B$35="Да",IFERROR(INDEX('Вводные'!$B$88:$B$91,$B$36),"Нет")="Да"))</x:f>
      </x:c>
      <x:c r="EV45" s="35" t="n">
        <x:f>--AND(EV$3&gt;=$B$39,EV$3&lt;$B$38,EV$3&lt;EDATE($B$39,MAX(1,'Вводные'!$K$53)),AND($B$35="Да",IFERROR(INDEX('Вводные'!$B$88:$B$91,$B$36),"Нет")="Да"))</x:f>
      </x:c>
      <x:c r="EW45" s="35" t="n">
        <x:f>--AND(EW$3&gt;=$B$39,EW$3&lt;$B$38,EW$3&lt;EDATE($B$39,MAX(1,'Вводные'!$K$53)),AND($B$35="Да",IFERROR(INDEX('Вводные'!$B$88:$B$91,$B$36),"Нет")="Да"))</x:f>
      </x:c>
      <x:c r="EX45" s="35" t="n">
        <x:f>--AND(EX$3&gt;=$B$39,EX$3&lt;$B$38,EX$3&lt;EDATE($B$39,MAX(1,'Вводные'!$K$53)),AND($B$35="Да",IFERROR(INDEX('Вводные'!$B$88:$B$91,$B$36),"Нет")="Да"))</x:f>
      </x:c>
      <x:c r="EY45" s="35" t="n">
        <x:f>--AND(EY$3&gt;=$B$39,EY$3&lt;$B$38,EY$3&lt;EDATE($B$39,MAX(1,'Вводные'!$K$53)),AND($B$35="Да",IFERROR(INDEX('Вводные'!$B$88:$B$91,$B$36),"Нет")="Да"))</x:f>
      </x:c>
      <x:c r="EZ45" s="35" t="n">
        <x:f>--AND(EZ$3&gt;=$B$39,EZ$3&lt;$B$38,EZ$3&lt;EDATE($B$39,MAX(1,'Вводные'!$K$53)),AND($B$35="Да",IFERROR(INDEX('Вводные'!$B$88:$B$91,$B$36),"Нет")="Да"))</x:f>
      </x:c>
      <x:c r="FA45" s="35" t="n">
        <x:f>--AND(FA$3&gt;=$B$39,FA$3&lt;$B$38,FA$3&lt;EDATE($B$39,MAX(1,'Вводные'!$K$53)),AND($B$35="Да",IFERROR(INDEX('Вводные'!$B$88:$B$91,$B$36),"Нет")="Да"))</x:f>
      </x:c>
      <x:c r="FB45" s="35" t="n">
        <x:f>--AND(FB$3&gt;=$B$39,FB$3&lt;$B$38,FB$3&lt;EDATE($B$39,MAX(1,'Вводные'!$K$53)),AND($B$35="Да",IFERROR(INDEX('Вводные'!$B$88:$B$91,$B$36),"Нет")="Да"))</x:f>
      </x:c>
      <x:c r="FC45" s="35" t="n">
        <x:f>--AND(FC$3&gt;=$B$39,FC$3&lt;$B$38,FC$3&lt;EDATE($B$39,MAX(1,'Вводные'!$K$53)),AND($B$35="Да",IFERROR(INDEX('Вводные'!$B$88:$B$91,$B$36),"Нет")="Да"))</x:f>
      </x:c>
      <x:c r="FD45" s="35" t="n">
        <x:f>--AND(FD$3&gt;=$B$39,FD$3&lt;$B$38,FD$3&lt;EDATE($B$39,MAX(1,'Вводные'!$K$53)),AND($B$35="Да",IFERROR(INDEX('Вводные'!$B$88:$B$91,$B$36),"Нет")="Да"))</x:f>
      </x:c>
      <x:c r="FE45" s="35" t="n">
        <x:f>--AND(FE$3&gt;=$B$39,FE$3&lt;$B$38,FE$3&lt;EDATE($B$39,MAX(1,'Вводные'!$K$53)),AND($B$35="Да",IFERROR(INDEX('Вводные'!$B$88:$B$91,$B$36),"Нет")="Да"))</x:f>
      </x:c>
      <x:c r="FF45" s="35" t="n">
        <x:f>--AND(FF$3&gt;=$B$39,FF$3&lt;$B$38,FF$3&lt;EDATE($B$39,MAX(1,'Вводные'!$K$53)),AND($B$35="Да",IFERROR(INDEX('Вводные'!$B$88:$B$91,$B$36),"Нет")="Да"))</x:f>
      </x:c>
      <x:c r="FG45" s="35" t="n">
        <x:f>--AND(FG$3&gt;=$B$39,FG$3&lt;$B$38,FG$3&lt;EDATE($B$39,MAX(1,'Вводные'!$K$53)),AND($B$35="Да",IFERROR(INDEX('Вводные'!$B$88:$B$91,$B$36),"Нет")="Да"))</x:f>
      </x:c>
      <x:c r="FH45" s="35" t="n">
        <x:f>--AND(FH$3&gt;=$B$39,FH$3&lt;$B$38,FH$3&lt;EDATE($B$39,MAX(1,'Вводные'!$K$53)),AND($B$35="Да",IFERROR(INDEX('Вводные'!$B$88:$B$91,$B$36),"Нет")="Да"))</x:f>
      </x:c>
      <x:c r="FI45" s="35" t="n">
        <x:f>--AND(FI$3&gt;=$B$39,FI$3&lt;$B$38,FI$3&lt;EDATE($B$39,MAX(1,'Вводные'!$K$53)),AND($B$35="Да",IFERROR(INDEX('Вводные'!$B$88:$B$91,$B$36),"Нет")="Да"))</x:f>
      </x:c>
      <x:c r="FJ45" s="35" t="n">
        <x:f>--AND(FJ$3&gt;=$B$39,FJ$3&lt;$B$38,FJ$3&lt;EDATE($B$39,MAX(1,'Вводные'!$K$53)),AND($B$35="Да",IFERROR(INDEX('Вводные'!$B$88:$B$91,$B$36),"Нет")="Да"))</x:f>
      </x:c>
      <x:c r="FK45" s="35" t="n">
        <x:f>--AND(FK$3&gt;=$B$39,FK$3&lt;$B$38,FK$3&lt;EDATE($B$39,MAX(1,'Вводные'!$K$53)),AND($B$35="Да",IFERROR(INDEX('Вводные'!$B$88:$B$91,$B$36),"Нет")="Да"))</x:f>
      </x:c>
      <x:c r="FL45" s="35" t="n">
        <x:f>--AND(FL$3&gt;=$B$39,FL$3&lt;$B$38,FL$3&lt;EDATE($B$39,MAX(1,'Вводные'!$K$53)),AND($B$35="Да",IFERROR(INDEX('Вводные'!$B$88:$B$91,$B$36),"Нет")="Да"))</x:f>
      </x:c>
      <x:c r="FM45" s="35" t="n">
        <x:f>--AND(FM$3&gt;=$B$39,FM$3&lt;$B$38,FM$3&lt;EDATE($B$39,MAX(1,'Вводные'!$K$53)),AND($B$35="Да",IFERROR(INDEX('Вводные'!$B$88:$B$91,$B$36),"Нет")="Да"))</x:f>
      </x:c>
      <x:c r="FN45" s="35" t="n">
        <x:f>--AND(FN$3&gt;=$B$39,FN$3&lt;$B$38,FN$3&lt;EDATE($B$39,MAX(1,'Вводные'!$K$53)),AND($B$35="Да",IFERROR(INDEX('Вводные'!$B$88:$B$91,$B$36),"Нет")="Да"))</x:f>
      </x:c>
      <x:c r="FO45" s="35" t="n">
        <x:f>--AND(FO$3&gt;=$B$39,FO$3&lt;$B$38,FO$3&lt;EDATE($B$39,MAX(1,'Вводные'!$K$53)),AND($B$35="Да",IFERROR(INDEX('Вводные'!$B$88:$B$91,$B$36),"Нет")="Да"))</x:f>
      </x:c>
      <x:c r="FP45" s="35" t="n">
        <x:f>--AND(FP$3&gt;=$B$39,FP$3&lt;$B$38,FP$3&lt;EDATE($B$39,MAX(1,'Вводные'!$K$53)),AND($B$35="Да",IFERROR(INDEX('Вводные'!$B$88:$B$91,$B$36),"Нет")="Да"))</x:f>
      </x:c>
      <x:c r="FQ45" s="35" t="n">
        <x:f>--AND(FQ$3&gt;=$B$39,FQ$3&lt;$B$38,FQ$3&lt;EDATE($B$39,MAX(1,'Вводные'!$K$53)),AND($B$35="Да",IFERROR(INDEX('Вводные'!$B$88:$B$91,$B$36),"Нет")="Да"))</x:f>
      </x:c>
      <x:c r="FR45" s="35" t="n">
        <x:f>--AND(FR$3&gt;=$B$39,FR$3&lt;$B$38,FR$3&lt;EDATE($B$39,MAX(1,'Вводные'!$K$53)),AND($B$35="Да",IFERROR(INDEX('Вводные'!$B$88:$B$91,$B$36),"Нет")="Да"))</x:f>
      </x:c>
      <x:c r="FS45" s="35" t="n">
        <x:f>--AND(FS$3&gt;=$B$39,FS$3&lt;$B$38,FS$3&lt;EDATE($B$39,MAX(1,'Вводные'!$K$53)),AND($B$35="Да",IFERROR(INDEX('Вводные'!$B$88:$B$91,$B$36),"Нет")="Да"))</x:f>
      </x:c>
      <x:c r="FT45" s="35" t="n">
        <x:f>--AND(FT$3&gt;=$B$39,FT$3&lt;$B$38,FT$3&lt;EDATE($B$39,MAX(1,'Вводные'!$K$53)),AND($B$35="Да",IFERROR(INDEX('Вводные'!$B$88:$B$91,$B$36),"Нет")="Да"))</x:f>
      </x:c>
      <x:c r="FU45" s="35" t="n">
        <x:f>--AND(FU$3&gt;=$B$39,FU$3&lt;$B$38,FU$3&lt;EDATE($B$39,MAX(1,'Вводные'!$K$53)),AND($B$35="Да",IFERROR(INDEX('Вводные'!$B$88:$B$91,$B$36),"Нет")="Да"))</x:f>
      </x:c>
      <x:c r="FV45" s="35" t="n">
        <x:f>--AND(FV$3&gt;=$B$39,FV$3&lt;$B$38,FV$3&lt;EDATE($B$39,MAX(1,'Вводные'!$K$53)),AND($B$35="Да",IFERROR(INDEX('Вводные'!$B$88:$B$91,$B$36),"Нет")="Да"))</x:f>
      </x:c>
      <x:c r="FW45" s="35" t="n">
        <x:f>--AND(FW$3&gt;=$B$39,FW$3&lt;$B$38,FW$3&lt;EDATE($B$39,MAX(1,'Вводные'!$K$53)),AND($B$35="Да",IFERROR(INDEX('Вводные'!$B$88:$B$91,$B$36),"Нет")="Да"))</x:f>
      </x:c>
      <x:c r="FX45" s="35" t="n">
        <x:f>--AND(FX$3&gt;=$B$39,FX$3&lt;$B$38,FX$3&lt;EDATE($B$39,MAX(1,'Вводные'!$K$53)),AND($B$35="Да",IFERROR(INDEX('Вводные'!$B$88:$B$91,$B$36),"Нет")="Да"))</x:f>
      </x:c>
      <x:c r="FY45" s="35" t="n">
        <x:f>--AND(FY$3&gt;=$B$39,FY$3&lt;$B$38,FY$3&lt;EDATE($B$39,MAX(1,'Вводные'!$K$53)),AND($B$35="Да",IFERROR(INDEX('Вводные'!$B$88:$B$91,$B$36),"Нет")="Да"))</x:f>
      </x:c>
      <x:c r="FZ45" s="35" t="n">
        <x:f>--AND(FZ$3&gt;=$B$39,FZ$3&lt;$B$38,FZ$3&lt;EDATE($B$39,MAX(1,'Вводные'!$K$53)),AND($B$35="Да",IFERROR(INDEX('Вводные'!$B$88:$B$91,$B$36),"Нет")="Да"))</x:f>
      </x:c>
      <x:c r="GA45" s="35" t="n">
        <x:f>--AND(GA$3&gt;=$B$39,GA$3&lt;$B$38,GA$3&lt;EDATE($B$39,MAX(1,'Вводные'!$K$53)),AND($B$35="Да",IFERROR(INDEX('Вводные'!$B$88:$B$91,$B$36),"Нет")="Да"))</x:f>
      </x:c>
    </x:row>
    <x:row r="46">
      <x:c r="A46" t="str">
        <x:v>Вес темпа продаж</x:v>
      </x:c>
      <x:c r="B46" s="35"/>
      <x:c r="C46" t="str">
        <x:v>вес</x:v>
      </x:c>
      <x:c r="D46" s="35" t="n">
        <x:f>IF(AND(D$3&gt;=$B$39,D$3&lt;EDATE($B$39,MAX(1,'Вводные'!$K$53)),AND($B$35="Да",IFERROR(INDEX('Вводные'!$B$88:$B$91,$B$36),"Нет")="Да")),1,0)</x:f>
      </x:c>
      <x:c r="E46" s="35" t="n">
        <x:f>IF(AND(E$3&gt;=$B$39,E$3&lt;EDATE($B$39,MAX(1,'Вводные'!$K$53)),AND($B$35="Да",IFERROR(INDEX('Вводные'!$B$88:$B$91,$B$36),"Нет")="Да")),1,0)</x:f>
      </x:c>
      <x:c r="F46" s="35" t="n">
        <x:f>IF(AND(F$3&gt;=$B$39,F$3&lt;EDATE($B$39,MAX(1,'Вводные'!$K$53)),AND($B$35="Да",IFERROR(INDEX('Вводные'!$B$88:$B$91,$B$36),"Нет")="Да")),1,0)</x:f>
      </x:c>
      <x:c r="G46" s="35" t="n">
        <x:f>IF(AND(G$3&gt;=$B$39,G$3&lt;EDATE($B$39,MAX(1,'Вводные'!$K$53)),AND($B$35="Да",IFERROR(INDEX('Вводные'!$B$88:$B$91,$B$36),"Нет")="Да")),1,0)</x:f>
      </x:c>
      <x:c r="H46" s="35" t="n">
        <x:f>IF(AND(H$3&gt;=$B$39,H$3&lt;EDATE($B$39,MAX(1,'Вводные'!$K$53)),AND($B$35="Да",IFERROR(INDEX('Вводные'!$B$88:$B$91,$B$36),"Нет")="Да")),1,0)</x:f>
      </x:c>
      <x:c r="I46" s="35" t="n">
        <x:f>IF(AND(I$3&gt;=$B$39,I$3&lt;EDATE($B$39,MAX(1,'Вводные'!$K$53)),AND($B$35="Да",IFERROR(INDEX('Вводные'!$B$88:$B$91,$B$36),"Нет")="Да")),1,0)</x:f>
      </x:c>
      <x:c r="J46" s="35" t="n">
        <x:f>IF(AND(J$3&gt;=$B$39,J$3&lt;EDATE($B$39,MAX(1,'Вводные'!$K$53)),AND($B$35="Да",IFERROR(INDEX('Вводные'!$B$88:$B$91,$B$36),"Нет")="Да")),1,0)</x:f>
      </x:c>
      <x:c r="K46" s="35" t="n">
        <x:f>IF(AND(K$3&gt;=$B$39,K$3&lt;EDATE($B$39,MAX(1,'Вводные'!$K$53)),AND($B$35="Да",IFERROR(INDEX('Вводные'!$B$88:$B$91,$B$36),"Нет")="Да")),1,0)</x:f>
      </x:c>
      <x:c r="L46" s="35" t="n">
        <x:f>IF(AND(L$3&gt;=$B$39,L$3&lt;EDATE($B$39,MAX(1,'Вводные'!$K$53)),AND($B$35="Да",IFERROR(INDEX('Вводные'!$B$88:$B$91,$B$36),"Нет")="Да")),1,0)</x:f>
      </x:c>
      <x:c r="M46" s="35" t="n">
        <x:f>IF(AND(M$3&gt;=$B$39,M$3&lt;EDATE($B$39,MAX(1,'Вводные'!$K$53)),AND($B$35="Да",IFERROR(INDEX('Вводные'!$B$88:$B$91,$B$36),"Нет")="Да")),1,0)</x:f>
      </x:c>
      <x:c r="N46" s="35" t="n">
        <x:f>IF(AND(N$3&gt;=$B$39,N$3&lt;EDATE($B$39,MAX(1,'Вводные'!$K$53)),AND($B$35="Да",IFERROR(INDEX('Вводные'!$B$88:$B$91,$B$36),"Нет")="Да")),1,0)</x:f>
      </x:c>
      <x:c r="O46" s="35" t="n">
        <x:f>IF(AND(O$3&gt;=$B$39,O$3&lt;EDATE($B$39,MAX(1,'Вводные'!$K$53)),AND($B$35="Да",IFERROR(INDEX('Вводные'!$B$88:$B$91,$B$36),"Нет")="Да")),1,0)</x:f>
      </x:c>
      <x:c r="P46" s="35" t="n">
        <x:f>IF(AND(P$3&gt;=$B$39,P$3&lt;EDATE($B$39,MAX(1,'Вводные'!$K$53)),AND($B$35="Да",IFERROR(INDEX('Вводные'!$B$88:$B$91,$B$36),"Нет")="Да")),1,0)</x:f>
      </x:c>
      <x:c r="Q46" s="35" t="n">
        <x:f>IF(AND(Q$3&gt;=$B$39,Q$3&lt;EDATE($B$39,MAX(1,'Вводные'!$K$53)),AND($B$35="Да",IFERROR(INDEX('Вводные'!$B$88:$B$91,$B$36),"Нет")="Да")),1,0)</x:f>
      </x:c>
      <x:c r="R46" s="35" t="n">
        <x:f>IF(AND(R$3&gt;=$B$39,R$3&lt;EDATE($B$39,MAX(1,'Вводные'!$K$53)),AND($B$35="Да",IFERROR(INDEX('Вводные'!$B$88:$B$91,$B$36),"Нет")="Да")),1,0)</x:f>
      </x:c>
      <x:c r="S46" s="35" t="n">
        <x:f>IF(AND(S$3&gt;=$B$39,S$3&lt;EDATE($B$39,MAX(1,'Вводные'!$K$53)),AND($B$35="Да",IFERROR(INDEX('Вводные'!$B$88:$B$91,$B$36),"Нет")="Да")),1,0)</x:f>
      </x:c>
      <x:c r="T46" s="35" t="n">
        <x:f>IF(AND(T$3&gt;=$B$39,T$3&lt;EDATE($B$39,MAX(1,'Вводные'!$K$53)),AND($B$35="Да",IFERROR(INDEX('Вводные'!$B$88:$B$91,$B$36),"Нет")="Да")),1,0)</x:f>
      </x:c>
      <x:c r="U46" s="35" t="n">
        <x:f>IF(AND(U$3&gt;=$B$39,U$3&lt;EDATE($B$39,MAX(1,'Вводные'!$K$53)),AND($B$35="Да",IFERROR(INDEX('Вводные'!$B$88:$B$91,$B$36),"Нет")="Да")),1,0)</x:f>
      </x:c>
      <x:c r="V46" s="35" t="n">
        <x:f>IF(AND(V$3&gt;=$B$39,V$3&lt;EDATE($B$39,MAX(1,'Вводные'!$K$53)),AND($B$35="Да",IFERROR(INDEX('Вводные'!$B$88:$B$91,$B$36),"Нет")="Да")),1,0)</x:f>
      </x:c>
      <x:c r="W46" s="35" t="n">
        <x:f>IF(AND(W$3&gt;=$B$39,W$3&lt;EDATE($B$39,MAX(1,'Вводные'!$K$53)),AND($B$35="Да",IFERROR(INDEX('Вводные'!$B$88:$B$91,$B$36),"Нет")="Да")),1,0)</x:f>
      </x:c>
      <x:c r="X46" s="35" t="n">
        <x:f>IF(AND(X$3&gt;=$B$39,X$3&lt;EDATE($B$39,MAX(1,'Вводные'!$K$53)),AND($B$35="Да",IFERROR(INDEX('Вводные'!$B$88:$B$91,$B$36),"Нет")="Да")),1,0)</x:f>
      </x:c>
      <x:c r="Y46" s="35" t="n">
        <x:f>IF(AND(Y$3&gt;=$B$39,Y$3&lt;EDATE($B$39,MAX(1,'Вводные'!$K$53)),AND($B$35="Да",IFERROR(INDEX('Вводные'!$B$88:$B$91,$B$36),"Нет")="Да")),1,0)</x:f>
      </x:c>
      <x:c r="Z46" s="35" t="n">
        <x:f>IF(AND(Z$3&gt;=$B$39,Z$3&lt;EDATE($B$39,MAX(1,'Вводные'!$K$53)),AND($B$35="Да",IFERROR(INDEX('Вводные'!$B$88:$B$91,$B$36),"Нет")="Да")),1,0)</x:f>
      </x:c>
      <x:c r="AA46" s="35" t="n">
        <x:f>IF(AND(AA$3&gt;=$B$39,AA$3&lt;EDATE($B$39,MAX(1,'Вводные'!$K$53)),AND($B$35="Да",IFERROR(INDEX('Вводные'!$B$88:$B$91,$B$36),"Нет")="Да")),1,0)</x:f>
      </x:c>
      <x:c r="AB46" s="35" t="n">
        <x:f>IF(AND(AB$3&gt;=$B$39,AB$3&lt;EDATE($B$39,MAX(1,'Вводные'!$K$53)),AND($B$35="Да",IFERROR(INDEX('Вводные'!$B$88:$B$91,$B$36),"Нет")="Да")),1,0)</x:f>
      </x:c>
      <x:c r="AC46" s="35" t="n">
        <x:f>IF(AND(AC$3&gt;=$B$39,AC$3&lt;EDATE($B$39,MAX(1,'Вводные'!$K$53)),AND($B$35="Да",IFERROR(INDEX('Вводные'!$B$88:$B$91,$B$36),"Нет")="Да")),1,0)</x:f>
      </x:c>
      <x:c r="AD46" s="35" t="n">
        <x:f>IF(AND(AD$3&gt;=$B$39,AD$3&lt;EDATE($B$39,MAX(1,'Вводные'!$K$53)),AND($B$35="Да",IFERROR(INDEX('Вводные'!$B$88:$B$91,$B$36),"Нет")="Да")),1,0)</x:f>
      </x:c>
      <x:c r="AE46" s="35" t="n">
        <x:f>IF(AND(AE$3&gt;=$B$39,AE$3&lt;EDATE($B$39,MAX(1,'Вводные'!$K$53)),AND($B$35="Да",IFERROR(INDEX('Вводные'!$B$88:$B$91,$B$36),"Нет")="Да")),1,0)</x:f>
      </x:c>
      <x:c r="AF46" s="35" t="n">
        <x:f>IF(AND(AF$3&gt;=$B$39,AF$3&lt;EDATE($B$39,MAX(1,'Вводные'!$K$53)),AND($B$35="Да",IFERROR(INDEX('Вводные'!$B$88:$B$91,$B$36),"Нет")="Да")),1,0)</x:f>
      </x:c>
      <x:c r="AG46" s="35" t="n">
        <x:f>IF(AND(AG$3&gt;=$B$39,AG$3&lt;EDATE($B$39,MAX(1,'Вводные'!$K$53)),AND($B$35="Да",IFERROR(INDEX('Вводные'!$B$88:$B$91,$B$36),"Нет")="Да")),1,0)</x:f>
      </x:c>
      <x:c r="AH46" s="35" t="n">
        <x:f>IF(AND(AH$3&gt;=$B$39,AH$3&lt;EDATE($B$39,MAX(1,'Вводные'!$K$53)),AND($B$35="Да",IFERROR(INDEX('Вводные'!$B$88:$B$91,$B$36),"Нет")="Да")),1,0)</x:f>
      </x:c>
      <x:c r="AI46" s="35" t="n">
        <x:f>IF(AND(AI$3&gt;=$B$39,AI$3&lt;EDATE($B$39,MAX(1,'Вводные'!$K$53)),AND($B$35="Да",IFERROR(INDEX('Вводные'!$B$88:$B$91,$B$36),"Нет")="Да")),1,0)</x:f>
      </x:c>
      <x:c r="AJ46" s="35" t="n">
        <x:f>IF(AND(AJ$3&gt;=$B$39,AJ$3&lt;EDATE($B$39,MAX(1,'Вводные'!$K$53)),AND($B$35="Да",IFERROR(INDEX('Вводные'!$B$88:$B$91,$B$36),"Нет")="Да")),1,0)</x:f>
      </x:c>
      <x:c r="AK46" s="35" t="n">
        <x:f>IF(AND(AK$3&gt;=$B$39,AK$3&lt;EDATE($B$39,MAX(1,'Вводные'!$K$53)),AND($B$35="Да",IFERROR(INDEX('Вводные'!$B$88:$B$91,$B$36),"Нет")="Да")),1,0)</x:f>
      </x:c>
      <x:c r="AL46" s="35" t="n">
        <x:f>IF(AND(AL$3&gt;=$B$39,AL$3&lt;EDATE($B$39,MAX(1,'Вводные'!$K$53)),AND($B$35="Да",IFERROR(INDEX('Вводные'!$B$88:$B$91,$B$36),"Нет")="Да")),1,0)</x:f>
      </x:c>
      <x:c r="AM46" s="35" t="n">
        <x:f>IF(AND(AM$3&gt;=$B$39,AM$3&lt;EDATE($B$39,MAX(1,'Вводные'!$K$53)),AND($B$35="Да",IFERROR(INDEX('Вводные'!$B$88:$B$91,$B$36),"Нет")="Да")),1,0)</x:f>
      </x:c>
      <x:c r="AN46" s="35" t="n">
        <x:f>IF(AND(AN$3&gt;=$B$39,AN$3&lt;EDATE($B$39,MAX(1,'Вводные'!$K$53)),AND($B$35="Да",IFERROR(INDEX('Вводные'!$B$88:$B$91,$B$36),"Нет")="Да")),1,0)</x:f>
      </x:c>
      <x:c r="AO46" s="35" t="n">
        <x:f>IF(AND(AO$3&gt;=$B$39,AO$3&lt;EDATE($B$39,MAX(1,'Вводные'!$K$53)),AND($B$35="Да",IFERROR(INDEX('Вводные'!$B$88:$B$91,$B$36),"Нет")="Да")),1,0)</x:f>
      </x:c>
      <x:c r="AP46" s="35" t="n">
        <x:f>IF(AND(AP$3&gt;=$B$39,AP$3&lt;EDATE($B$39,MAX(1,'Вводные'!$K$53)),AND($B$35="Да",IFERROR(INDEX('Вводные'!$B$88:$B$91,$B$36),"Нет")="Да")),1,0)</x:f>
      </x:c>
      <x:c r="AQ46" s="35" t="n">
        <x:f>IF(AND(AQ$3&gt;=$B$39,AQ$3&lt;EDATE($B$39,MAX(1,'Вводные'!$K$53)),AND($B$35="Да",IFERROR(INDEX('Вводные'!$B$88:$B$91,$B$36),"Нет")="Да")),1,0)</x:f>
      </x:c>
      <x:c r="AR46" s="35" t="n">
        <x:f>IF(AND(AR$3&gt;=$B$39,AR$3&lt;EDATE($B$39,MAX(1,'Вводные'!$K$53)),AND($B$35="Да",IFERROR(INDEX('Вводные'!$B$88:$B$91,$B$36),"Нет")="Да")),1,0)</x:f>
      </x:c>
      <x:c r="AS46" s="35" t="n">
        <x:f>IF(AND(AS$3&gt;=$B$39,AS$3&lt;EDATE($B$39,MAX(1,'Вводные'!$K$53)),AND($B$35="Да",IFERROR(INDEX('Вводные'!$B$88:$B$91,$B$36),"Нет")="Да")),1,0)</x:f>
      </x:c>
      <x:c r="AT46" s="35" t="n">
        <x:f>IF(AND(AT$3&gt;=$B$39,AT$3&lt;EDATE($B$39,MAX(1,'Вводные'!$K$53)),AND($B$35="Да",IFERROR(INDEX('Вводные'!$B$88:$B$91,$B$36),"Нет")="Да")),1,0)</x:f>
      </x:c>
      <x:c r="AU46" s="35" t="n">
        <x:f>IF(AND(AU$3&gt;=$B$39,AU$3&lt;EDATE($B$39,MAX(1,'Вводные'!$K$53)),AND($B$35="Да",IFERROR(INDEX('Вводные'!$B$88:$B$91,$B$36),"Нет")="Да")),1,0)</x:f>
      </x:c>
      <x:c r="AV46" s="35" t="n">
        <x:f>IF(AND(AV$3&gt;=$B$39,AV$3&lt;EDATE($B$39,MAX(1,'Вводные'!$K$53)),AND($B$35="Да",IFERROR(INDEX('Вводные'!$B$88:$B$91,$B$36),"Нет")="Да")),1,0)</x:f>
      </x:c>
      <x:c r="AW46" s="35" t="n">
        <x:f>IF(AND(AW$3&gt;=$B$39,AW$3&lt;EDATE($B$39,MAX(1,'Вводные'!$K$53)),AND($B$35="Да",IFERROR(INDEX('Вводные'!$B$88:$B$91,$B$36),"Нет")="Да")),1,0)</x:f>
      </x:c>
      <x:c r="AX46" s="35" t="n">
        <x:f>IF(AND(AX$3&gt;=$B$39,AX$3&lt;EDATE($B$39,MAX(1,'Вводные'!$K$53)),AND($B$35="Да",IFERROR(INDEX('Вводные'!$B$88:$B$91,$B$36),"Нет")="Да")),1,0)</x:f>
      </x:c>
      <x:c r="AY46" s="35" t="n">
        <x:f>IF(AND(AY$3&gt;=$B$39,AY$3&lt;EDATE($B$39,MAX(1,'Вводные'!$K$53)),AND($B$35="Да",IFERROR(INDEX('Вводные'!$B$88:$B$91,$B$36),"Нет")="Да")),1,0)</x:f>
      </x:c>
      <x:c r="AZ46" s="35" t="n">
        <x:f>IF(AND(AZ$3&gt;=$B$39,AZ$3&lt;EDATE($B$39,MAX(1,'Вводные'!$K$53)),AND($B$35="Да",IFERROR(INDEX('Вводные'!$B$88:$B$91,$B$36),"Нет")="Да")),1,0)</x:f>
      </x:c>
      <x:c r="BA46" s="35" t="n">
        <x:f>IF(AND(BA$3&gt;=$B$39,BA$3&lt;EDATE($B$39,MAX(1,'Вводные'!$K$53)),AND($B$35="Да",IFERROR(INDEX('Вводные'!$B$88:$B$91,$B$36),"Нет")="Да")),1,0)</x:f>
      </x:c>
      <x:c r="BB46" s="35" t="n">
        <x:f>IF(AND(BB$3&gt;=$B$39,BB$3&lt;EDATE($B$39,MAX(1,'Вводные'!$K$53)),AND($B$35="Да",IFERROR(INDEX('Вводные'!$B$88:$B$91,$B$36),"Нет")="Да")),1,0)</x:f>
      </x:c>
      <x:c r="BC46" s="35" t="n">
        <x:f>IF(AND(BC$3&gt;=$B$39,BC$3&lt;EDATE($B$39,MAX(1,'Вводные'!$K$53)),AND($B$35="Да",IFERROR(INDEX('Вводные'!$B$88:$B$91,$B$36),"Нет")="Да")),1,0)</x:f>
      </x:c>
      <x:c r="BD46" s="35" t="n">
        <x:f>IF(AND(BD$3&gt;=$B$39,BD$3&lt;EDATE($B$39,MAX(1,'Вводные'!$K$53)),AND($B$35="Да",IFERROR(INDEX('Вводные'!$B$88:$B$91,$B$36),"Нет")="Да")),1,0)</x:f>
      </x:c>
      <x:c r="BE46" s="35" t="n">
        <x:f>IF(AND(BE$3&gt;=$B$39,BE$3&lt;EDATE($B$39,MAX(1,'Вводные'!$K$53)),AND($B$35="Да",IFERROR(INDEX('Вводные'!$B$88:$B$91,$B$36),"Нет")="Да")),1,0)</x:f>
      </x:c>
      <x:c r="BF46" s="35" t="n">
        <x:f>IF(AND(BF$3&gt;=$B$39,BF$3&lt;EDATE($B$39,MAX(1,'Вводные'!$K$53)),AND($B$35="Да",IFERROR(INDEX('Вводные'!$B$88:$B$91,$B$36),"Нет")="Да")),1,0)</x:f>
      </x:c>
      <x:c r="BG46" s="35" t="n">
        <x:f>IF(AND(BG$3&gt;=$B$39,BG$3&lt;EDATE($B$39,MAX(1,'Вводные'!$K$53)),AND($B$35="Да",IFERROR(INDEX('Вводные'!$B$88:$B$91,$B$36),"Нет")="Да")),1,0)</x:f>
      </x:c>
      <x:c r="BH46" s="35" t="n">
        <x:f>IF(AND(BH$3&gt;=$B$39,BH$3&lt;EDATE($B$39,MAX(1,'Вводные'!$K$53)),AND($B$35="Да",IFERROR(INDEX('Вводные'!$B$88:$B$91,$B$36),"Нет")="Да")),1,0)</x:f>
      </x:c>
      <x:c r="BI46" s="35" t="n">
        <x:f>IF(AND(BI$3&gt;=$B$39,BI$3&lt;EDATE($B$39,MAX(1,'Вводные'!$K$53)),AND($B$35="Да",IFERROR(INDEX('Вводные'!$B$88:$B$91,$B$36),"Нет")="Да")),1,0)</x:f>
      </x:c>
      <x:c r="BJ46" s="35" t="n">
        <x:f>IF(AND(BJ$3&gt;=$B$39,BJ$3&lt;EDATE($B$39,MAX(1,'Вводные'!$K$53)),AND($B$35="Да",IFERROR(INDEX('Вводные'!$B$88:$B$91,$B$36),"Нет")="Да")),1,0)</x:f>
      </x:c>
      <x:c r="BK46" s="35" t="n">
        <x:f>IF(AND(BK$3&gt;=$B$39,BK$3&lt;EDATE($B$39,MAX(1,'Вводные'!$K$53)),AND($B$35="Да",IFERROR(INDEX('Вводные'!$B$88:$B$91,$B$36),"Нет")="Да")),1,0)</x:f>
      </x:c>
      <x:c r="BL46" s="35" t="n">
        <x:f>IF(AND(BL$3&gt;=$B$39,BL$3&lt;EDATE($B$39,MAX(1,'Вводные'!$K$53)),AND($B$35="Да",IFERROR(INDEX('Вводные'!$B$88:$B$91,$B$36),"Нет")="Да")),1,0)</x:f>
      </x:c>
      <x:c r="BM46" s="35" t="n">
        <x:f>IF(AND(BM$3&gt;=$B$39,BM$3&lt;EDATE($B$39,MAX(1,'Вводные'!$K$53)),AND($B$35="Да",IFERROR(INDEX('Вводные'!$B$88:$B$91,$B$36),"Нет")="Да")),1,0)</x:f>
      </x:c>
      <x:c r="BN46" s="35" t="n">
        <x:f>IF(AND(BN$3&gt;=$B$39,BN$3&lt;EDATE($B$39,MAX(1,'Вводные'!$K$53)),AND($B$35="Да",IFERROR(INDEX('Вводные'!$B$88:$B$91,$B$36),"Нет")="Да")),1,0)</x:f>
      </x:c>
      <x:c r="BO46" s="35" t="n">
        <x:f>IF(AND(BO$3&gt;=$B$39,BO$3&lt;EDATE($B$39,MAX(1,'Вводные'!$K$53)),AND($B$35="Да",IFERROR(INDEX('Вводные'!$B$88:$B$91,$B$36),"Нет")="Да")),1,0)</x:f>
      </x:c>
      <x:c r="BP46" s="35" t="n">
        <x:f>IF(AND(BP$3&gt;=$B$39,BP$3&lt;EDATE($B$39,MAX(1,'Вводные'!$K$53)),AND($B$35="Да",IFERROR(INDEX('Вводные'!$B$88:$B$91,$B$36),"Нет")="Да")),1,0)</x:f>
      </x:c>
      <x:c r="BQ46" s="35" t="n">
        <x:f>IF(AND(BQ$3&gt;=$B$39,BQ$3&lt;EDATE($B$39,MAX(1,'Вводные'!$K$53)),AND($B$35="Да",IFERROR(INDEX('Вводные'!$B$88:$B$91,$B$36),"Нет")="Да")),1,0)</x:f>
      </x:c>
      <x:c r="BR46" s="35" t="n">
        <x:f>IF(AND(BR$3&gt;=$B$39,BR$3&lt;EDATE($B$39,MAX(1,'Вводные'!$K$53)),AND($B$35="Да",IFERROR(INDEX('Вводные'!$B$88:$B$91,$B$36),"Нет")="Да")),1,0)</x:f>
      </x:c>
      <x:c r="BS46" s="35" t="n">
        <x:f>IF(AND(BS$3&gt;=$B$39,BS$3&lt;EDATE($B$39,MAX(1,'Вводные'!$K$53)),AND($B$35="Да",IFERROR(INDEX('Вводные'!$B$88:$B$91,$B$36),"Нет")="Да")),1,0)</x:f>
      </x:c>
      <x:c r="BT46" s="35" t="n">
        <x:f>IF(AND(BT$3&gt;=$B$39,BT$3&lt;EDATE($B$39,MAX(1,'Вводные'!$K$53)),AND($B$35="Да",IFERROR(INDEX('Вводные'!$B$88:$B$91,$B$36),"Нет")="Да")),1,0)</x:f>
      </x:c>
      <x:c r="BU46" s="35" t="n">
        <x:f>IF(AND(BU$3&gt;=$B$39,BU$3&lt;EDATE($B$39,MAX(1,'Вводные'!$K$53)),AND($B$35="Да",IFERROR(INDEX('Вводные'!$B$88:$B$91,$B$36),"Нет")="Да")),1,0)</x:f>
      </x:c>
      <x:c r="BV46" s="35" t="n">
        <x:f>IF(AND(BV$3&gt;=$B$39,BV$3&lt;EDATE($B$39,MAX(1,'Вводные'!$K$53)),AND($B$35="Да",IFERROR(INDEX('Вводные'!$B$88:$B$91,$B$36),"Нет")="Да")),1,0)</x:f>
      </x:c>
      <x:c r="BW46" s="35" t="n">
        <x:f>IF(AND(BW$3&gt;=$B$39,BW$3&lt;EDATE($B$39,MAX(1,'Вводные'!$K$53)),AND($B$35="Да",IFERROR(INDEX('Вводные'!$B$88:$B$91,$B$36),"Нет")="Да")),1,0)</x:f>
      </x:c>
      <x:c r="BX46" s="35" t="n">
        <x:f>IF(AND(BX$3&gt;=$B$39,BX$3&lt;EDATE($B$39,MAX(1,'Вводные'!$K$53)),AND($B$35="Да",IFERROR(INDEX('Вводные'!$B$88:$B$91,$B$36),"Нет")="Да")),1,0)</x:f>
      </x:c>
      <x:c r="BY46" s="35" t="n">
        <x:f>IF(AND(BY$3&gt;=$B$39,BY$3&lt;EDATE($B$39,MAX(1,'Вводные'!$K$53)),AND($B$35="Да",IFERROR(INDEX('Вводные'!$B$88:$B$91,$B$36),"Нет")="Да")),1,0)</x:f>
      </x:c>
      <x:c r="BZ46" s="35" t="n">
        <x:f>IF(AND(BZ$3&gt;=$B$39,BZ$3&lt;EDATE($B$39,MAX(1,'Вводные'!$K$53)),AND($B$35="Да",IFERROR(INDEX('Вводные'!$B$88:$B$91,$B$36),"Нет")="Да")),1,0)</x:f>
      </x:c>
      <x:c r="CA46" s="35" t="n">
        <x:f>IF(AND(CA$3&gt;=$B$39,CA$3&lt;EDATE($B$39,MAX(1,'Вводные'!$K$53)),AND($B$35="Да",IFERROR(INDEX('Вводные'!$B$88:$B$91,$B$36),"Нет")="Да")),1,0)</x:f>
      </x:c>
      <x:c r="CB46" s="35" t="n">
        <x:f>IF(AND(CB$3&gt;=$B$39,CB$3&lt;EDATE($B$39,MAX(1,'Вводные'!$K$53)),AND($B$35="Да",IFERROR(INDEX('Вводные'!$B$88:$B$91,$B$36),"Нет")="Да")),1,0)</x:f>
      </x:c>
      <x:c r="CC46" s="35" t="n">
        <x:f>IF(AND(CC$3&gt;=$B$39,CC$3&lt;EDATE($B$39,MAX(1,'Вводные'!$K$53)),AND($B$35="Да",IFERROR(INDEX('Вводные'!$B$88:$B$91,$B$36),"Нет")="Да")),1,0)</x:f>
      </x:c>
      <x:c r="CD46" s="35" t="n">
        <x:f>IF(AND(CD$3&gt;=$B$39,CD$3&lt;EDATE($B$39,MAX(1,'Вводные'!$K$53)),AND($B$35="Да",IFERROR(INDEX('Вводные'!$B$88:$B$91,$B$36),"Нет")="Да")),1,0)</x:f>
      </x:c>
      <x:c r="CE46" s="35" t="n">
        <x:f>IF(AND(CE$3&gt;=$B$39,CE$3&lt;EDATE($B$39,MAX(1,'Вводные'!$K$53)),AND($B$35="Да",IFERROR(INDEX('Вводные'!$B$88:$B$91,$B$36),"Нет")="Да")),1,0)</x:f>
      </x:c>
      <x:c r="CF46" s="35" t="n">
        <x:f>IF(AND(CF$3&gt;=$B$39,CF$3&lt;EDATE($B$39,MAX(1,'Вводные'!$K$53)),AND($B$35="Да",IFERROR(INDEX('Вводные'!$B$88:$B$91,$B$36),"Нет")="Да")),1,0)</x:f>
      </x:c>
      <x:c r="CG46" s="35" t="n">
        <x:f>IF(AND(CG$3&gt;=$B$39,CG$3&lt;EDATE($B$39,MAX(1,'Вводные'!$K$53)),AND($B$35="Да",IFERROR(INDEX('Вводные'!$B$88:$B$91,$B$36),"Нет")="Да")),1,0)</x:f>
      </x:c>
      <x:c r="CH46" s="35" t="n">
        <x:f>IF(AND(CH$3&gt;=$B$39,CH$3&lt;EDATE($B$39,MAX(1,'Вводные'!$K$53)),AND($B$35="Да",IFERROR(INDEX('Вводные'!$B$88:$B$91,$B$36),"Нет")="Да")),1,0)</x:f>
      </x:c>
      <x:c r="CI46" s="35" t="n">
        <x:f>IF(AND(CI$3&gt;=$B$39,CI$3&lt;EDATE($B$39,MAX(1,'Вводные'!$K$53)),AND($B$35="Да",IFERROR(INDEX('Вводные'!$B$88:$B$91,$B$36),"Нет")="Да")),1,0)</x:f>
      </x:c>
      <x:c r="CJ46" s="35" t="n">
        <x:f>IF(AND(CJ$3&gt;=$B$39,CJ$3&lt;EDATE($B$39,MAX(1,'Вводные'!$K$53)),AND($B$35="Да",IFERROR(INDEX('Вводные'!$B$88:$B$91,$B$36),"Нет")="Да")),1,0)</x:f>
      </x:c>
      <x:c r="CK46" s="35" t="n">
        <x:f>IF(AND(CK$3&gt;=$B$39,CK$3&lt;EDATE($B$39,MAX(1,'Вводные'!$K$53)),AND($B$35="Да",IFERROR(INDEX('Вводные'!$B$88:$B$91,$B$36),"Нет")="Да")),1,0)</x:f>
      </x:c>
      <x:c r="CL46" s="35" t="n">
        <x:f>IF(AND(CL$3&gt;=$B$39,CL$3&lt;EDATE($B$39,MAX(1,'Вводные'!$K$53)),AND($B$35="Да",IFERROR(INDEX('Вводные'!$B$88:$B$91,$B$36),"Нет")="Да")),1,0)</x:f>
      </x:c>
      <x:c r="CM46" s="35" t="n">
        <x:f>IF(AND(CM$3&gt;=$B$39,CM$3&lt;EDATE($B$39,MAX(1,'Вводные'!$K$53)),AND($B$35="Да",IFERROR(INDEX('Вводные'!$B$88:$B$91,$B$36),"Нет")="Да")),1,0)</x:f>
      </x:c>
      <x:c r="CN46" s="35" t="n">
        <x:f>IF(AND(CN$3&gt;=$B$39,CN$3&lt;EDATE($B$39,MAX(1,'Вводные'!$K$53)),AND($B$35="Да",IFERROR(INDEX('Вводные'!$B$88:$B$91,$B$36),"Нет")="Да")),1,0)</x:f>
      </x:c>
      <x:c r="CO46" s="35" t="n">
        <x:f>IF(AND(CO$3&gt;=$B$39,CO$3&lt;EDATE($B$39,MAX(1,'Вводные'!$K$53)),AND($B$35="Да",IFERROR(INDEX('Вводные'!$B$88:$B$91,$B$36),"Нет")="Да")),1,0)</x:f>
      </x:c>
      <x:c r="CP46" s="35" t="n">
        <x:f>IF(AND(CP$3&gt;=$B$39,CP$3&lt;EDATE($B$39,MAX(1,'Вводные'!$K$53)),AND($B$35="Да",IFERROR(INDEX('Вводные'!$B$88:$B$91,$B$36),"Нет")="Да")),1,0)</x:f>
      </x:c>
      <x:c r="CQ46" s="35" t="n">
        <x:f>IF(AND(CQ$3&gt;=$B$39,CQ$3&lt;EDATE($B$39,MAX(1,'Вводные'!$K$53)),AND($B$35="Да",IFERROR(INDEX('Вводные'!$B$88:$B$91,$B$36),"Нет")="Да")),1,0)</x:f>
      </x:c>
      <x:c r="CR46" s="35" t="n">
        <x:f>IF(AND(CR$3&gt;=$B$39,CR$3&lt;EDATE($B$39,MAX(1,'Вводные'!$K$53)),AND($B$35="Да",IFERROR(INDEX('Вводные'!$B$88:$B$91,$B$36),"Нет")="Да")),1,0)</x:f>
      </x:c>
      <x:c r="CS46" s="35" t="n">
        <x:f>IF(AND(CS$3&gt;=$B$39,CS$3&lt;EDATE($B$39,MAX(1,'Вводные'!$K$53)),AND($B$35="Да",IFERROR(INDEX('Вводные'!$B$88:$B$91,$B$36),"Нет")="Да")),1,0)</x:f>
      </x:c>
      <x:c r="CT46" s="35" t="n">
        <x:f>IF(AND(CT$3&gt;=$B$39,CT$3&lt;EDATE($B$39,MAX(1,'Вводные'!$K$53)),AND($B$35="Да",IFERROR(INDEX('Вводные'!$B$88:$B$91,$B$36),"Нет")="Да")),1,0)</x:f>
      </x:c>
      <x:c r="CU46" s="35" t="n">
        <x:f>IF(AND(CU$3&gt;=$B$39,CU$3&lt;EDATE($B$39,MAX(1,'Вводные'!$K$53)),AND($B$35="Да",IFERROR(INDEX('Вводные'!$B$88:$B$91,$B$36),"Нет")="Да")),1,0)</x:f>
      </x:c>
      <x:c r="CV46" s="35" t="n">
        <x:f>IF(AND(CV$3&gt;=$B$39,CV$3&lt;EDATE($B$39,MAX(1,'Вводные'!$K$53)),AND($B$35="Да",IFERROR(INDEX('Вводные'!$B$88:$B$91,$B$36),"Нет")="Да")),1,0)</x:f>
      </x:c>
      <x:c r="CW46" s="35" t="n">
        <x:f>IF(AND(CW$3&gt;=$B$39,CW$3&lt;EDATE($B$39,MAX(1,'Вводные'!$K$53)),AND($B$35="Да",IFERROR(INDEX('Вводные'!$B$88:$B$91,$B$36),"Нет")="Да")),1,0)</x:f>
      </x:c>
      <x:c r="CX46" s="35" t="n">
        <x:f>IF(AND(CX$3&gt;=$B$39,CX$3&lt;EDATE($B$39,MAX(1,'Вводные'!$K$53)),AND($B$35="Да",IFERROR(INDEX('Вводные'!$B$88:$B$91,$B$36),"Нет")="Да")),1,0)</x:f>
      </x:c>
      <x:c r="CY46" s="35" t="n">
        <x:f>IF(AND(CY$3&gt;=$B$39,CY$3&lt;EDATE($B$39,MAX(1,'Вводные'!$K$53)),AND($B$35="Да",IFERROR(INDEX('Вводные'!$B$88:$B$91,$B$36),"Нет")="Да")),1,0)</x:f>
      </x:c>
      <x:c r="CZ46" s="35" t="n">
        <x:f>IF(AND(CZ$3&gt;=$B$39,CZ$3&lt;EDATE($B$39,MAX(1,'Вводные'!$K$53)),AND($B$35="Да",IFERROR(INDEX('Вводные'!$B$88:$B$91,$B$36),"Нет")="Да")),1,0)</x:f>
      </x:c>
      <x:c r="DA46" s="35" t="n">
        <x:f>IF(AND(DA$3&gt;=$B$39,DA$3&lt;EDATE($B$39,MAX(1,'Вводные'!$K$53)),AND($B$35="Да",IFERROR(INDEX('Вводные'!$B$88:$B$91,$B$36),"Нет")="Да")),1,0)</x:f>
      </x:c>
      <x:c r="DB46" s="35" t="n">
        <x:f>IF(AND(DB$3&gt;=$B$39,DB$3&lt;EDATE($B$39,MAX(1,'Вводные'!$K$53)),AND($B$35="Да",IFERROR(INDEX('Вводные'!$B$88:$B$91,$B$36),"Нет")="Да")),1,0)</x:f>
      </x:c>
      <x:c r="DC46" s="35" t="n">
        <x:f>IF(AND(DC$3&gt;=$B$39,DC$3&lt;EDATE($B$39,MAX(1,'Вводные'!$K$53)),AND($B$35="Да",IFERROR(INDEX('Вводные'!$B$88:$B$91,$B$36),"Нет")="Да")),1,0)</x:f>
      </x:c>
      <x:c r="DD46" s="35" t="n">
        <x:f>IF(AND(DD$3&gt;=$B$39,DD$3&lt;EDATE($B$39,MAX(1,'Вводные'!$K$53)),AND($B$35="Да",IFERROR(INDEX('Вводные'!$B$88:$B$91,$B$36),"Нет")="Да")),1,0)</x:f>
      </x:c>
      <x:c r="DE46" s="35" t="n">
        <x:f>IF(AND(DE$3&gt;=$B$39,DE$3&lt;EDATE($B$39,MAX(1,'Вводные'!$K$53)),AND($B$35="Да",IFERROR(INDEX('Вводные'!$B$88:$B$91,$B$36),"Нет")="Да")),1,0)</x:f>
      </x:c>
      <x:c r="DF46" s="35" t="n">
        <x:f>IF(AND(DF$3&gt;=$B$39,DF$3&lt;EDATE($B$39,MAX(1,'Вводные'!$K$53)),AND($B$35="Да",IFERROR(INDEX('Вводные'!$B$88:$B$91,$B$36),"Нет")="Да")),1,0)</x:f>
      </x:c>
      <x:c r="DG46" s="35" t="n">
        <x:f>IF(AND(DG$3&gt;=$B$39,DG$3&lt;EDATE($B$39,MAX(1,'Вводные'!$K$53)),AND($B$35="Да",IFERROR(INDEX('Вводные'!$B$88:$B$91,$B$36),"Нет")="Да")),1,0)</x:f>
      </x:c>
      <x:c r="DH46" s="35" t="n">
        <x:f>IF(AND(DH$3&gt;=$B$39,DH$3&lt;EDATE($B$39,MAX(1,'Вводные'!$K$53)),AND($B$35="Да",IFERROR(INDEX('Вводные'!$B$88:$B$91,$B$36),"Нет")="Да")),1,0)</x:f>
      </x:c>
      <x:c r="DI46" s="35" t="n">
        <x:f>IF(AND(DI$3&gt;=$B$39,DI$3&lt;EDATE($B$39,MAX(1,'Вводные'!$K$53)),AND($B$35="Да",IFERROR(INDEX('Вводные'!$B$88:$B$91,$B$36),"Нет")="Да")),1,0)</x:f>
      </x:c>
      <x:c r="DJ46" s="35" t="n">
        <x:f>IF(AND(DJ$3&gt;=$B$39,DJ$3&lt;EDATE($B$39,MAX(1,'Вводные'!$K$53)),AND($B$35="Да",IFERROR(INDEX('Вводные'!$B$88:$B$91,$B$36),"Нет")="Да")),1,0)</x:f>
      </x:c>
      <x:c r="DK46" s="35" t="n">
        <x:f>IF(AND(DK$3&gt;=$B$39,DK$3&lt;EDATE($B$39,MAX(1,'Вводные'!$K$53)),AND($B$35="Да",IFERROR(INDEX('Вводные'!$B$88:$B$91,$B$36),"Нет")="Да")),1,0)</x:f>
      </x:c>
      <x:c r="DL46" s="35" t="n">
        <x:f>IF(AND(DL$3&gt;=$B$39,DL$3&lt;EDATE($B$39,MAX(1,'Вводные'!$K$53)),AND($B$35="Да",IFERROR(INDEX('Вводные'!$B$88:$B$91,$B$36),"Нет")="Да")),1,0)</x:f>
      </x:c>
      <x:c r="DM46" s="35" t="n">
        <x:f>IF(AND(DM$3&gt;=$B$39,DM$3&lt;EDATE($B$39,MAX(1,'Вводные'!$K$53)),AND($B$35="Да",IFERROR(INDEX('Вводные'!$B$88:$B$91,$B$36),"Нет")="Да")),1,0)</x:f>
      </x:c>
      <x:c r="DN46" s="35" t="n">
        <x:f>IF(AND(DN$3&gt;=$B$39,DN$3&lt;EDATE($B$39,MAX(1,'Вводные'!$K$53)),AND($B$35="Да",IFERROR(INDEX('Вводные'!$B$88:$B$91,$B$36),"Нет")="Да")),1,0)</x:f>
      </x:c>
      <x:c r="DO46" s="35" t="n">
        <x:f>IF(AND(DO$3&gt;=$B$39,DO$3&lt;EDATE($B$39,MAX(1,'Вводные'!$K$53)),AND($B$35="Да",IFERROR(INDEX('Вводные'!$B$88:$B$91,$B$36),"Нет")="Да")),1,0)</x:f>
      </x:c>
      <x:c r="DP46" s="35" t="n">
        <x:f>IF(AND(DP$3&gt;=$B$39,DP$3&lt;EDATE($B$39,MAX(1,'Вводные'!$K$53)),AND($B$35="Да",IFERROR(INDEX('Вводные'!$B$88:$B$91,$B$36),"Нет")="Да")),1,0)</x:f>
      </x:c>
      <x:c r="DQ46" s="35" t="n">
        <x:f>IF(AND(DQ$3&gt;=$B$39,DQ$3&lt;EDATE($B$39,MAX(1,'Вводные'!$K$53)),AND($B$35="Да",IFERROR(INDEX('Вводные'!$B$88:$B$91,$B$36),"Нет")="Да")),1,0)</x:f>
      </x:c>
      <x:c r="DR46" s="35" t="n">
        <x:f>IF(AND(DR$3&gt;=$B$39,DR$3&lt;EDATE($B$39,MAX(1,'Вводные'!$K$53)),AND($B$35="Да",IFERROR(INDEX('Вводные'!$B$88:$B$91,$B$36),"Нет")="Да")),1,0)</x:f>
      </x:c>
      <x:c r="DS46" s="35" t="n">
        <x:f>IF(AND(DS$3&gt;=$B$39,DS$3&lt;EDATE($B$39,MAX(1,'Вводные'!$K$53)),AND($B$35="Да",IFERROR(INDEX('Вводные'!$B$88:$B$91,$B$36),"Нет")="Да")),1,0)</x:f>
      </x:c>
      <x:c r="DT46" s="35" t="n">
        <x:f>IF(AND(DT$3&gt;=$B$39,DT$3&lt;EDATE($B$39,MAX(1,'Вводные'!$K$53)),AND($B$35="Да",IFERROR(INDEX('Вводные'!$B$88:$B$91,$B$36),"Нет")="Да")),1,0)</x:f>
      </x:c>
      <x:c r="DU46" s="35" t="n">
        <x:f>IF(AND(DU$3&gt;=$B$39,DU$3&lt;EDATE($B$39,MAX(1,'Вводные'!$K$53)),AND($B$35="Да",IFERROR(INDEX('Вводные'!$B$88:$B$91,$B$36),"Нет")="Да")),1,0)</x:f>
      </x:c>
      <x:c r="DV46" s="35" t="n">
        <x:f>IF(AND(DV$3&gt;=$B$39,DV$3&lt;EDATE($B$39,MAX(1,'Вводные'!$K$53)),AND($B$35="Да",IFERROR(INDEX('Вводные'!$B$88:$B$91,$B$36),"Нет")="Да")),1,0)</x:f>
      </x:c>
      <x:c r="DW46" s="35" t="n">
        <x:f>IF(AND(DW$3&gt;=$B$39,DW$3&lt;EDATE($B$39,MAX(1,'Вводные'!$K$53)),AND($B$35="Да",IFERROR(INDEX('Вводные'!$B$88:$B$91,$B$36),"Нет")="Да")),1,0)</x:f>
      </x:c>
      <x:c r="DX46" s="35" t="n">
        <x:f>IF(AND(DX$3&gt;=$B$39,DX$3&lt;EDATE($B$39,MAX(1,'Вводные'!$K$53)),AND($B$35="Да",IFERROR(INDEX('Вводные'!$B$88:$B$91,$B$36),"Нет")="Да")),1,0)</x:f>
      </x:c>
      <x:c r="DY46" s="35" t="n">
        <x:f>IF(AND(DY$3&gt;=$B$39,DY$3&lt;EDATE($B$39,MAX(1,'Вводные'!$K$53)),AND($B$35="Да",IFERROR(INDEX('Вводные'!$B$88:$B$91,$B$36),"Нет")="Да")),1,0)</x:f>
      </x:c>
      <x:c r="DZ46" s="35" t="n">
        <x:f>IF(AND(DZ$3&gt;=$B$39,DZ$3&lt;EDATE($B$39,MAX(1,'Вводные'!$K$53)),AND($B$35="Да",IFERROR(INDEX('Вводные'!$B$88:$B$91,$B$36),"Нет")="Да")),1,0)</x:f>
      </x:c>
      <x:c r="EA46" s="35" t="n">
        <x:f>IF(AND(EA$3&gt;=$B$39,EA$3&lt;EDATE($B$39,MAX(1,'Вводные'!$K$53)),AND($B$35="Да",IFERROR(INDEX('Вводные'!$B$88:$B$91,$B$36),"Нет")="Да")),1,0)</x:f>
      </x:c>
      <x:c r="EB46" s="35" t="n">
        <x:f>IF(AND(EB$3&gt;=$B$39,EB$3&lt;EDATE($B$39,MAX(1,'Вводные'!$K$53)),AND($B$35="Да",IFERROR(INDEX('Вводные'!$B$88:$B$91,$B$36),"Нет")="Да")),1,0)</x:f>
      </x:c>
      <x:c r="EC46" s="35" t="n">
        <x:f>IF(AND(EC$3&gt;=$B$39,EC$3&lt;EDATE($B$39,MAX(1,'Вводные'!$K$53)),AND($B$35="Да",IFERROR(INDEX('Вводные'!$B$88:$B$91,$B$36),"Нет")="Да")),1,0)</x:f>
      </x:c>
      <x:c r="ED46" s="35" t="n">
        <x:f>IF(AND(ED$3&gt;=$B$39,ED$3&lt;EDATE($B$39,MAX(1,'Вводные'!$K$53)),AND($B$35="Да",IFERROR(INDEX('Вводные'!$B$88:$B$91,$B$36),"Нет")="Да")),1,0)</x:f>
      </x:c>
      <x:c r="EE46" s="35" t="n">
        <x:f>IF(AND(EE$3&gt;=$B$39,EE$3&lt;EDATE($B$39,MAX(1,'Вводные'!$K$53)),AND($B$35="Да",IFERROR(INDEX('Вводные'!$B$88:$B$91,$B$36),"Нет")="Да")),1,0)</x:f>
      </x:c>
      <x:c r="EF46" s="35" t="n">
        <x:f>IF(AND(EF$3&gt;=$B$39,EF$3&lt;EDATE($B$39,MAX(1,'Вводные'!$K$53)),AND($B$35="Да",IFERROR(INDEX('Вводные'!$B$88:$B$91,$B$36),"Нет")="Да")),1,0)</x:f>
      </x:c>
      <x:c r="EG46" s="35" t="n">
        <x:f>IF(AND(EG$3&gt;=$B$39,EG$3&lt;EDATE($B$39,MAX(1,'Вводные'!$K$53)),AND($B$35="Да",IFERROR(INDEX('Вводные'!$B$88:$B$91,$B$36),"Нет")="Да")),1,0)</x:f>
      </x:c>
      <x:c r="EH46" s="35" t="n">
        <x:f>IF(AND(EH$3&gt;=$B$39,EH$3&lt;EDATE($B$39,MAX(1,'Вводные'!$K$53)),AND($B$35="Да",IFERROR(INDEX('Вводные'!$B$88:$B$91,$B$36),"Нет")="Да")),1,0)</x:f>
      </x:c>
      <x:c r="EI46" s="35" t="n">
        <x:f>IF(AND(EI$3&gt;=$B$39,EI$3&lt;EDATE($B$39,MAX(1,'Вводные'!$K$53)),AND($B$35="Да",IFERROR(INDEX('Вводные'!$B$88:$B$91,$B$36),"Нет")="Да")),1,0)</x:f>
      </x:c>
      <x:c r="EJ46" s="35" t="n">
        <x:f>IF(AND(EJ$3&gt;=$B$39,EJ$3&lt;EDATE($B$39,MAX(1,'Вводные'!$K$53)),AND($B$35="Да",IFERROR(INDEX('Вводные'!$B$88:$B$91,$B$36),"Нет")="Да")),1,0)</x:f>
      </x:c>
      <x:c r="EK46" s="35" t="n">
        <x:f>IF(AND(EK$3&gt;=$B$39,EK$3&lt;EDATE($B$39,MAX(1,'Вводные'!$K$53)),AND($B$35="Да",IFERROR(INDEX('Вводные'!$B$88:$B$91,$B$36),"Нет")="Да")),1,0)</x:f>
      </x:c>
      <x:c r="EL46" s="35" t="n">
        <x:f>IF(AND(EL$3&gt;=$B$39,EL$3&lt;EDATE($B$39,MAX(1,'Вводные'!$K$53)),AND($B$35="Да",IFERROR(INDEX('Вводные'!$B$88:$B$91,$B$36),"Нет")="Да")),1,0)</x:f>
      </x:c>
      <x:c r="EM46" s="35" t="n">
        <x:f>IF(AND(EM$3&gt;=$B$39,EM$3&lt;EDATE($B$39,MAX(1,'Вводные'!$K$53)),AND($B$35="Да",IFERROR(INDEX('Вводные'!$B$88:$B$91,$B$36),"Нет")="Да")),1,0)</x:f>
      </x:c>
      <x:c r="EN46" s="35" t="n">
        <x:f>IF(AND(EN$3&gt;=$B$39,EN$3&lt;EDATE($B$39,MAX(1,'Вводные'!$K$53)),AND($B$35="Да",IFERROR(INDEX('Вводные'!$B$88:$B$91,$B$36),"Нет")="Да")),1,0)</x:f>
      </x:c>
      <x:c r="EO46" s="35" t="n">
        <x:f>IF(AND(EO$3&gt;=$B$39,EO$3&lt;EDATE($B$39,MAX(1,'Вводные'!$K$53)),AND($B$35="Да",IFERROR(INDEX('Вводные'!$B$88:$B$91,$B$36),"Нет")="Да")),1,0)</x:f>
      </x:c>
      <x:c r="EP46" s="35" t="n">
        <x:f>IF(AND(EP$3&gt;=$B$39,EP$3&lt;EDATE($B$39,MAX(1,'Вводные'!$K$53)),AND($B$35="Да",IFERROR(INDEX('Вводные'!$B$88:$B$91,$B$36),"Нет")="Да")),1,0)</x:f>
      </x:c>
      <x:c r="EQ46" s="35" t="n">
        <x:f>IF(AND(EQ$3&gt;=$B$39,EQ$3&lt;EDATE($B$39,MAX(1,'Вводные'!$K$53)),AND($B$35="Да",IFERROR(INDEX('Вводные'!$B$88:$B$91,$B$36),"Нет")="Да")),1,0)</x:f>
      </x:c>
      <x:c r="ER46" s="35" t="n">
        <x:f>IF(AND(ER$3&gt;=$B$39,ER$3&lt;EDATE($B$39,MAX(1,'Вводные'!$K$53)),AND($B$35="Да",IFERROR(INDEX('Вводные'!$B$88:$B$91,$B$36),"Нет")="Да")),1,0)</x:f>
      </x:c>
      <x:c r="ES46" s="35" t="n">
        <x:f>IF(AND(ES$3&gt;=$B$39,ES$3&lt;EDATE($B$39,MAX(1,'Вводные'!$K$53)),AND($B$35="Да",IFERROR(INDEX('Вводные'!$B$88:$B$91,$B$36),"Нет")="Да")),1,0)</x:f>
      </x:c>
      <x:c r="ET46" s="35" t="n">
        <x:f>IF(AND(ET$3&gt;=$B$39,ET$3&lt;EDATE($B$39,MAX(1,'Вводные'!$K$53)),AND($B$35="Да",IFERROR(INDEX('Вводные'!$B$88:$B$91,$B$36),"Нет")="Да")),1,0)</x:f>
      </x:c>
      <x:c r="EU46" s="35" t="n">
        <x:f>IF(AND(EU$3&gt;=$B$39,EU$3&lt;EDATE($B$39,MAX(1,'Вводные'!$K$53)),AND($B$35="Да",IFERROR(INDEX('Вводные'!$B$88:$B$91,$B$36),"Нет")="Да")),1,0)</x:f>
      </x:c>
      <x:c r="EV46" s="35" t="n">
        <x:f>IF(AND(EV$3&gt;=$B$39,EV$3&lt;EDATE($B$39,MAX(1,'Вводные'!$K$53)),AND($B$35="Да",IFERROR(INDEX('Вводные'!$B$88:$B$91,$B$36),"Нет")="Да")),1,0)</x:f>
      </x:c>
      <x:c r="EW46" s="35" t="n">
        <x:f>IF(AND(EW$3&gt;=$B$39,EW$3&lt;EDATE($B$39,MAX(1,'Вводные'!$K$53)),AND($B$35="Да",IFERROR(INDEX('Вводные'!$B$88:$B$91,$B$36),"Нет")="Да")),1,0)</x:f>
      </x:c>
      <x:c r="EX46" s="35" t="n">
        <x:f>IF(AND(EX$3&gt;=$B$39,EX$3&lt;EDATE($B$39,MAX(1,'Вводные'!$K$53)),AND($B$35="Да",IFERROR(INDEX('Вводные'!$B$88:$B$91,$B$36),"Нет")="Да")),1,0)</x:f>
      </x:c>
      <x:c r="EY46" s="35" t="n">
        <x:f>IF(AND(EY$3&gt;=$B$39,EY$3&lt;EDATE($B$39,MAX(1,'Вводные'!$K$53)),AND($B$35="Да",IFERROR(INDEX('Вводные'!$B$88:$B$91,$B$36),"Нет")="Да")),1,0)</x:f>
      </x:c>
      <x:c r="EZ46" s="35" t="n">
        <x:f>IF(AND(EZ$3&gt;=$B$39,EZ$3&lt;EDATE($B$39,MAX(1,'Вводные'!$K$53)),AND($B$35="Да",IFERROR(INDEX('Вводные'!$B$88:$B$91,$B$36),"Нет")="Да")),1,0)</x:f>
      </x:c>
      <x:c r="FA46" s="35" t="n">
        <x:f>IF(AND(FA$3&gt;=$B$39,FA$3&lt;EDATE($B$39,MAX(1,'Вводные'!$K$53)),AND($B$35="Да",IFERROR(INDEX('Вводные'!$B$88:$B$91,$B$36),"Нет")="Да")),1,0)</x:f>
      </x:c>
      <x:c r="FB46" s="35" t="n">
        <x:f>IF(AND(FB$3&gt;=$B$39,FB$3&lt;EDATE($B$39,MAX(1,'Вводные'!$K$53)),AND($B$35="Да",IFERROR(INDEX('Вводные'!$B$88:$B$91,$B$36),"Нет")="Да")),1,0)</x:f>
      </x:c>
      <x:c r="FC46" s="35" t="n">
        <x:f>IF(AND(FC$3&gt;=$B$39,FC$3&lt;EDATE($B$39,MAX(1,'Вводные'!$K$53)),AND($B$35="Да",IFERROR(INDEX('Вводные'!$B$88:$B$91,$B$36),"Нет")="Да")),1,0)</x:f>
      </x:c>
      <x:c r="FD46" s="35" t="n">
        <x:f>IF(AND(FD$3&gt;=$B$39,FD$3&lt;EDATE($B$39,MAX(1,'Вводные'!$K$53)),AND($B$35="Да",IFERROR(INDEX('Вводные'!$B$88:$B$91,$B$36),"Нет")="Да")),1,0)</x:f>
      </x:c>
      <x:c r="FE46" s="35" t="n">
        <x:f>IF(AND(FE$3&gt;=$B$39,FE$3&lt;EDATE($B$39,MAX(1,'Вводные'!$K$53)),AND($B$35="Да",IFERROR(INDEX('Вводные'!$B$88:$B$91,$B$36),"Нет")="Да")),1,0)</x:f>
      </x:c>
      <x:c r="FF46" s="35" t="n">
        <x:f>IF(AND(FF$3&gt;=$B$39,FF$3&lt;EDATE($B$39,MAX(1,'Вводные'!$K$53)),AND($B$35="Да",IFERROR(INDEX('Вводные'!$B$88:$B$91,$B$36),"Нет")="Да")),1,0)</x:f>
      </x:c>
      <x:c r="FG46" s="35" t="n">
        <x:f>IF(AND(FG$3&gt;=$B$39,FG$3&lt;EDATE($B$39,MAX(1,'Вводные'!$K$53)),AND($B$35="Да",IFERROR(INDEX('Вводные'!$B$88:$B$91,$B$36),"Нет")="Да")),1,0)</x:f>
      </x:c>
      <x:c r="FH46" s="35" t="n">
        <x:f>IF(AND(FH$3&gt;=$B$39,FH$3&lt;EDATE($B$39,MAX(1,'Вводные'!$K$53)),AND($B$35="Да",IFERROR(INDEX('Вводные'!$B$88:$B$91,$B$36),"Нет")="Да")),1,0)</x:f>
      </x:c>
      <x:c r="FI46" s="35" t="n">
        <x:f>IF(AND(FI$3&gt;=$B$39,FI$3&lt;EDATE($B$39,MAX(1,'Вводные'!$K$53)),AND($B$35="Да",IFERROR(INDEX('Вводные'!$B$88:$B$91,$B$36),"Нет")="Да")),1,0)</x:f>
      </x:c>
      <x:c r="FJ46" s="35" t="n">
        <x:f>IF(AND(FJ$3&gt;=$B$39,FJ$3&lt;EDATE($B$39,MAX(1,'Вводные'!$K$53)),AND($B$35="Да",IFERROR(INDEX('Вводные'!$B$88:$B$91,$B$36),"Нет")="Да")),1,0)</x:f>
      </x:c>
      <x:c r="FK46" s="35" t="n">
        <x:f>IF(AND(FK$3&gt;=$B$39,FK$3&lt;EDATE($B$39,MAX(1,'Вводные'!$K$53)),AND($B$35="Да",IFERROR(INDEX('Вводные'!$B$88:$B$91,$B$36),"Нет")="Да")),1,0)</x:f>
      </x:c>
      <x:c r="FL46" s="35" t="n">
        <x:f>IF(AND(FL$3&gt;=$B$39,FL$3&lt;EDATE($B$39,MAX(1,'Вводные'!$K$53)),AND($B$35="Да",IFERROR(INDEX('Вводные'!$B$88:$B$91,$B$36),"Нет")="Да")),1,0)</x:f>
      </x:c>
      <x:c r="FM46" s="35" t="n">
        <x:f>IF(AND(FM$3&gt;=$B$39,FM$3&lt;EDATE($B$39,MAX(1,'Вводные'!$K$53)),AND($B$35="Да",IFERROR(INDEX('Вводные'!$B$88:$B$91,$B$36),"Нет")="Да")),1,0)</x:f>
      </x:c>
      <x:c r="FN46" s="35" t="n">
        <x:f>IF(AND(FN$3&gt;=$B$39,FN$3&lt;EDATE($B$39,MAX(1,'Вводные'!$K$53)),AND($B$35="Да",IFERROR(INDEX('Вводные'!$B$88:$B$91,$B$36),"Нет")="Да")),1,0)</x:f>
      </x:c>
      <x:c r="FO46" s="35" t="n">
        <x:f>IF(AND(FO$3&gt;=$B$39,FO$3&lt;EDATE($B$39,MAX(1,'Вводные'!$K$53)),AND($B$35="Да",IFERROR(INDEX('Вводные'!$B$88:$B$91,$B$36),"Нет")="Да")),1,0)</x:f>
      </x:c>
      <x:c r="FP46" s="35" t="n">
        <x:f>IF(AND(FP$3&gt;=$B$39,FP$3&lt;EDATE($B$39,MAX(1,'Вводные'!$K$53)),AND($B$35="Да",IFERROR(INDEX('Вводные'!$B$88:$B$91,$B$36),"Нет")="Да")),1,0)</x:f>
      </x:c>
      <x:c r="FQ46" s="35" t="n">
        <x:f>IF(AND(FQ$3&gt;=$B$39,FQ$3&lt;EDATE($B$39,MAX(1,'Вводные'!$K$53)),AND($B$35="Да",IFERROR(INDEX('Вводные'!$B$88:$B$91,$B$36),"Нет")="Да")),1,0)</x:f>
      </x:c>
      <x:c r="FR46" s="35" t="n">
        <x:f>IF(AND(FR$3&gt;=$B$39,FR$3&lt;EDATE($B$39,MAX(1,'Вводные'!$K$53)),AND($B$35="Да",IFERROR(INDEX('Вводные'!$B$88:$B$91,$B$36),"Нет")="Да")),1,0)</x:f>
      </x:c>
      <x:c r="FS46" s="35" t="n">
        <x:f>IF(AND(FS$3&gt;=$B$39,FS$3&lt;EDATE($B$39,MAX(1,'Вводные'!$K$53)),AND($B$35="Да",IFERROR(INDEX('Вводные'!$B$88:$B$91,$B$36),"Нет")="Да")),1,0)</x:f>
      </x:c>
      <x:c r="FT46" s="35" t="n">
        <x:f>IF(AND(FT$3&gt;=$B$39,FT$3&lt;EDATE($B$39,MAX(1,'Вводные'!$K$53)),AND($B$35="Да",IFERROR(INDEX('Вводные'!$B$88:$B$91,$B$36),"Нет")="Да")),1,0)</x:f>
      </x:c>
      <x:c r="FU46" s="35" t="n">
        <x:f>IF(AND(FU$3&gt;=$B$39,FU$3&lt;EDATE($B$39,MAX(1,'Вводные'!$K$53)),AND($B$35="Да",IFERROR(INDEX('Вводные'!$B$88:$B$91,$B$36),"Нет")="Да")),1,0)</x:f>
      </x:c>
      <x:c r="FV46" s="35" t="n">
        <x:f>IF(AND(FV$3&gt;=$B$39,FV$3&lt;EDATE($B$39,MAX(1,'Вводные'!$K$53)),AND($B$35="Да",IFERROR(INDEX('Вводные'!$B$88:$B$91,$B$36),"Нет")="Да")),1,0)</x:f>
      </x:c>
      <x:c r="FW46" s="35" t="n">
        <x:f>IF(AND(FW$3&gt;=$B$39,FW$3&lt;EDATE($B$39,MAX(1,'Вводные'!$K$53)),AND($B$35="Да",IFERROR(INDEX('Вводные'!$B$88:$B$91,$B$36),"Нет")="Да")),1,0)</x:f>
      </x:c>
      <x:c r="FX46" s="35" t="n">
        <x:f>IF(AND(FX$3&gt;=$B$39,FX$3&lt;EDATE($B$39,MAX(1,'Вводные'!$K$53)),AND($B$35="Да",IFERROR(INDEX('Вводные'!$B$88:$B$91,$B$36),"Нет")="Да")),1,0)</x:f>
      </x:c>
      <x:c r="FY46" s="35" t="n">
        <x:f>IF(AND(FY$3&gt;=$B$39,FY$3&lt;EDATE($B$39,MAX(1,'Вводные'!$K$53)),AND($B$35="Да",IFERROR(INDEX('Вводные'!$B$88:$B$91,$B$36),"Нет")="Да")),1,0)</x:f>
      </x:c>
      <x:c r="FZ46" s="35" t="n">
        <x:f>IF(AND(FZ$3&gt;=$B$39,FZ$3&lt;EDATE($B$39,MAX(1,'Вводные'!$K$53)),AND($B$35="Да",IFERROR(INDEX('Вводные'!$B$88:$B$91,$B$36),"Нет")="Да")),1,0)</x:f>
      </x:c>
      <x:c r="GA46" s="35" t="n">
        <x:f>IF(AND(GA$3&gt;=$B$39,GA$3&lt;EDATE($B$39,MAX(1,'Вводные'!$K$53)),AND($B$35="Да",IFERROR(INDEX('Вводные'!$B$88:$B$91,$B$36),"Нет")="Да")),1,0)</x:f>
      </x:c>
    </x:row>
    <x:row r="47">
      <x:c r="A47" t="str">
        <x:v>Нормированный вес до РВЭ</x:v>
      </x:c>
      <x:c r="B47" s="35" t="n">
        <x:f>SUM(D47:GA47)</x:f>
      </x:c>
      <x:c r="C47" t="str">
        <x:v>%</x:v>
      </x:c>
      <x:c r="D47" s="35" t="n">
        <x:f>IFERROR(D46*D45/SUMPRODUCT($D46:$GA46,$D45:$GA45),0)</x:f>
      </x:c>
      <x:c r="E47" s="35" t="n">
        <x:f>IFERROR(E46*E45/SUMPRODUCT($D46:$GA46,$D45:$GA45),0)</x:f>
      </x:c>
      <x:c r="F47" s="35" t="n">
        <x:f>IFERROR(F46*F45/SUMPRODUCT($D46:$GA46,$D45:$GA45),0)</x:f>
      </x:c>
      <x:c r="G47" s="35" t="n">
        <x:f>IFERROR(G46*G45/SUMPRODUCT($D46:$GA46,$D45:$GA45),0)</x:f>
      </x:c>
      <x:c r="H47" s="35" t="n">
        <x:f>IFERROR(H46*H45/SUMPRODUCT($D46:$GA46,$D45:$GA45),0)</x:f>
      </x:c>
      <x:c r="I47" s="35" t="n">
        <x:f>IFERROR(I46*I45/SUMPRODUCT($D46:$GA46,$D45:$GA45),0)</x:f>
      </x:c>
      <x:c r="J47" s="35" t="n">
        <x:f>IFERROR(J46*J45/SUMPRODUCT($D46:$GA46,$D45:$GA45),0)</x:f>
      </x:c>
      <x:c r="K47" s="35" t="n">
        <x:f>IFERROR(K46*K45/SUMPRODUCT($D46:$GA46,$D45:$GA45),0)</x:f>
      </x:c>
      <x:c r="L47" s="35" t="n">
        <x:f>IFERROR(L46*L45/SUMPRODUCT($D46:$GA46,$D45:$GA45),0)</x:f>
      </x:c>
      <x:c r="M47" s="35" t="n">
        <x:f>IFERROR(M46*M45/SUMPRODUCT($D46:$GA46,$D45:$GA45),0)</x:f>
      </x:c>
      <x:c r="N47" s="35" t="n">
        <x:f>IFERROR(N46*N45/SUMPRODUCT($D46:$GA46,$D45:$GA45),0)</x:f>
      </x:c>
      <x:c r="O47" s="35" t="n">
        <x:f>IFERROR(O46*O45/SUMPRODUCT($D46:$GA46,$D45:$GA45),0)</x:f>
      </x:c>
      <x:c r="P47" s="35" t="n">
        <x:f>IFERROR(P46*P45/SUMPRODUCT($D46:$GA46,$D45:$GA45),0)</x:f>
      </x:c>
      <x:c r="Q47" s="35" t="n">
        <x:f>IFERROR(Q46*Q45/SUMPRODUCT($D46:$GA46,$D45:$GA45),0)</x:f>
      </x:c>
      <x:c r="R47" s="35" t="n">
        <x:f>IFERROR(R46*R45/SUMPRODUCT($D46:$GA46,$D45:$GA45),0)</x:f>
      </x:c>
      <x:c r="S47" s="35" t="n">
        <x:f>IFERROR(S46*S45/SUMPRODUCT($D46:$GA46,$D45:$GA45),0)</x:f>
      </x:c>
      <x:c r="T47" s="35" t="n">
        <x:f>IFERROR(T46*T45/SUMPRODUCT($D46:$GA46,$D45:$GA45),0)</x:f>
      </x:c>
      <x:c r="U47" s="35" t="n">
        <x:f>IFERROR(U46*U45/SUMPRODUCT($D46:$GA46,$D45:$GA45),0)</x:f>
      </x:c>
      <x:c r="V47" s="35" t="n">
        <x:f>IFERROR(V46*V45/SUMPRODUCT($D46:$GA46,$D45:$GA45),0)</x:f>
      </x:c>
      <x:c r="W47" s="35" t="n">
        <x:f>IFERROR(W46*W45/SUMPRODUCT($D46:$GA46,$D45:$GA45),0)</x:f>
      </x:c>
      <x:c r="X47" s="35" t="n">
        <x:f>IFERROR(X46*X45/SUMPRODUCT($D46:$GA46,$D45:$GA45),0)</x:f>
      </x:c>
      <x:c r="Y47" s="35" t="n">
        <x:f>IFERROR(Y46*Y45/SUMPRODUCT($D46:$GA46,$D45:$GA45),0)</x:f>
      </x:c>
      <x:c r="Z47" s="35" t="n">
        <x:f>IFERROR(Z46*Z45/SUMPRODUCT($D46:$GA46,$D45:$GA45),0)</x:f>
      </x:c>
      <x:c r="AA47" s="35" t="n">
        <x:f>IFERROR(AA46*AA45/SUMPRODUCT($D46:$GA46,$D45:$GA45),0)</x:f>
      </x:c>
      <x:c r="AB47" s="35" t="n">
        <x:f>IFERROR(AB46*AB45/SUMPRODUCT($D46:$GA46,$D45:$GA45),0)</x:f>
      </x:c>
      <x:c r="AC47" s="35" t="n">
        <x:f>IFERROR(AC46*AC45/SUMPRODUCT($D46:$GA46,$D45:$GA45),0)</x:f>
      </x:c>
      <x:c r="AD47" s="35" t="n">
        <x:f>IFERROR(AD46*AD45/SUMPRODUCT($D46:$GA46,$D45:$GA45),0)</x:f>
      </x:c>
      <x:c r="AE47" s="35" t="n">
        <x:f>IFERROR(AE46*AE45/SUMPRODUCT($D46:$GA46,$D45:$GA45),0)</x:f>
      </x:c>
      <x:c r="AF47" s="35" t="n">
        <x:f>IFERROR(AF46*AF45/SUMPRODUCT($D46:$GA46,$D45:$GA45),0)</x:f>
      </x:c>
      <x:c r="AG47" s="35" t="n">
        <x:f>IFERROR(AG46*AG45/SUMPRODUCT($D46:$GA46,$D45:$GA45),0)</x:f>
      </x:c>
      <x:c r="AH47" s="35" t="n">
        <x:f>IFERROR(AH46*AH45/SUMPRODUCT($D46:$GA46,$D45:$GA45),0)</x:f>
      </x:c>
      <x:c r="AI47" s="35" t="n">
        <x:f>IFERROR(AI46*AI45/SUMPRODUCT($D46:$GA46,$D45:$GA45),0)</x:f>
      </x:c>
      <x:c r="AJ47" s="35" t="n">
        <x:f>IFERROR(AJ46*AJ45/SUMPRODUCT($D46:$GA46,$D45:$GA45),0)</x:f>
      </x:c>
      <x:c r="AK47" s="35" t="n">
        <x:f>IFERROR(AK46*AK45/SUMPRODUCT($D46:$GA46,$D45:$GA45),0)</x:f>
      </x:c>
      <x:c r="AL47" s="35" t="n">
        <x:f>IFERROR(AL46*AL45/SUMPRODUCT($D46:$GA46,$D45:$GA45),0)</x:f>
      </x:c>
      <x:c r="AM47" s="35" t="n">
        <x:f>IFERROR(AM46*AM45/SUMPRODUCT($D46:$GA46,$D45:$GA45),0)</x:f>
      </x:c>
      <x:c r="AN47" s="35" t="n">
        <x:f>IFERROR(AN46*AN45/SUMPRODUCT($D46:$GA46,$D45:$GA45),0)</x:f>
      </x:c>
      <x:c r="AO47" s="35" t="n">
        <x:f>IFERROR(AO46*AO45/SUMPRODUCT($D46:$GA46,$D45:$GA45),0)</x:f>
      </x:c>
      <x:c r="AP47" s="35" t="n">
        <x:f>IFERROR(AP46*AP45/SUMPRODUCT($D46:$GA46,$D45:$GA45),0)</x:f>
      </x:c>
      <x:c r="AQ47" s="35" t="n">
        <x:f>IFERROR(AQ46*AQ45/SUMPRODUCT($D46:$GA46,$D45:$GA45),0)</x:f>
      </x:c>
      <x:c r="AR47" s="35" t="n">
        <x:f>IFERROR(AR46*AR45/SUMPRODUCT($D46:$GA46,$D45:$GA45),0)</x:f>
      </x:c>
      <x:c r="AS47" s="35" t="n">
        <x:f>IFERROR(AS46*AS45/SUMPRODUCT($D46:$GA46,$D45:$GA45),0)</x:f>
      </x:c>
      <x:c r="AT47" s="35" t="n">
        <x:f>IFERROR(AT46*AT45/SUMPRODUCT($D46:$GA46,$D45:$GA45),0)</x:f>
      </x:c>
      <x:c r="AU47" s="35" t="n">
        <x:f>IFERROR(AU46*AU45/SUMPRODUCT($D46:$GA46,$D45:$GA45),0)</x:f>
      </x:c>
      <x:c r="AV47" s="35" t="n">
        <x:f>IFERROR(AV46*AV45/SUMPRODUCT($D46:$GA46,$D45:$GA45),0)</x:f>
      </x:c>
      <x:c r="AW47" s="35" t="n">
        <x:f>IFERROR(AW46*AW45/SUMPRODUCT($D46:$GA46,$D45:$GA45),0)</x:f>
      </x:c>
      <x:c r="AX47" s="35" t="n">
        <x:f>IFERROR(AX46*AX45/SUMPRODUCT($D46:$GA46,$D45:$GA45),0)</x:f>
      </x:c>
      <x:c r="AY47" s="35" t="n">
        <x:f>IFERROR(AY46*AY45/SUMPRODUCT($D46:$GA46,$D45:$GA45),0)</x:f>
      </x:c>
      <x:c r="AZ47" s="35" t="n">
        <x:f>IFERROR(AZ46*AZ45/SUMPRODUCT($D46:$GA46,$D45:$GA45),0)</x:f>
      </x:c>
      <x:c r="BA47" s="35" t="n">
        <x:f>IFERROR(BA46*BA45/SUMPRODUCT($D46:$GA46,$D45:$GA45),0)</x:f>
      </x:c>
      <x:c r="BB47" s="35" t="n">
        <x:f>IFERROR(BB46*BB45/SUMPRODUCT($D46:$GA46,$D45:$GA45),0)</x:f>
      </x:c>
      <x:c r="BC47" s="35" t="n">
        <x:f>IFERROR(BC46*BC45/SUMPRODUCT($D46:$GA46,$D45:$GA45),0)</x:f>
      </x:c>
      <x:c r="BD47" s="35" t="n">
        <x:f>IFERROR(BD46*BD45/SUMPRODUCT($D46:$GA46,$D45:$GA45),0)</x:f>
      </x:c>
      <x:c r="BE47" s="35" t="n">
        <x:f>IFERROR(BE46*BE45/SUMPRODUCT($D46:$GA46,$D45:$GA45),0)</x:f>
      </x:c>
      <x:c r="BF47" s="35" t="n">
        <x:f>IFERROR(BF46*BF45/SUMPRODUCT($D46:$GA46,$D45:$GA45),0)</x:f>
      </x:c>
      <x:c r="BG47" s="35" t="n">
        <x:f>IFERROR(BG46*BG45/SUMPRODUCT($D46:$GA46,$D45:$GA45),0)</x:f>
      </x:c>
      <x:c r="BH47" s="35" t="n">
        <x:f>IFERROR(BH46*BH45/SUMPRODUCT($D46:$GA46,$D45:$GA45),0)</x:f>
      </x:c>
      <x:c r="BI47" s="35" t="n">
        <x:f>IFERROR(BI46*BI45/SUMPRODUCT($D46:$GA46,$D45:$GA45),0)</x:f>
      </x:c>
      <x:c r="BJ47" s="35" t="n">
        <x:f>IFERROR(BJ46*BJ45/SUMPRODUCT($D46:$GA46,$D45:$GA45),0)</x:f>
      </x:c>
      <x:c r="BK47" s="35" t="n">
        <x:f>IFERROR(BK46*BK45/SUMPRODUCT($D46:$GA46,$D45:$GA45),0)</x:f>
      </x:c>
      <x:c r="BL47" s="35" t="n">
        <x:f>IFERROR(BL46*BL45/SUMPRODUCT($D46:$GA46,$D45:$GA45),0)</x:f>
      </x:c>
      <x:c r="BM47" s="35" t="n">
        <x:f>IFERROR(BM46*BM45/SUMPRODUCT($D46:$GA46,$D45:$GA45),0)</x:f>
      </x:c>
      <x:c r="BN47" s="35" t="n">
        <x:f>IFERROR(BN46*BN45/SUMPRODUCT($D46:$GA46,$D45:$GA45),0)</x:f>
      </x:c>
      <x:c r="BO47" s="35" t="n">
        <x:f>IFERROR(BO46*BO45/SUMPRODUCT($D46:$GA46,$D45:$GA45),0)</x:f>
      </x:c>
      <x:c r="BP47" s="35" t="n">
        <x:f>IFERROR(BP46*BP45/SUMPRODUCT($D46:$GA46,$D45:$GA45),0)</x:f>
      </x:c>
      <x:c r="BQ47" s="35" t="n">
        <x:f>IFERROR(BQ46*BQ45/SUMPRODUCT($D46:$GA46,$D45:$GA45),0)</x:f>
      </x:c>
      <x:c r="BR47" s="35" t="n">
        <x:f>IFERROR(BR46*BR45/SUMPRODUCT($D46:$GA46,$D45:$GA45),0)</x:f>
      </x:c>
      <x:c r="BS47" s="35" t="n">
        <x:f>IFERROR(BS46*BS45/SUMPRODUCT($D46:$GA46,$D45:$GA45),0)</x:f>
      </x:c>
      <x:c r="BT47" s="35" t="n">
        <x:f>IFERROR(BT46*BT45/SUMPRODUCT($D46:$GA46,$D45:$GA45),0)</x:f>
      </x:c>
      <x:c r="BU47" s="35" t="n">
        <x:f>IFERROR(BU46*BU45/SUMPRODUCT($D46:$GA46,$D45:$GA45),0)</x:f>
      </x:c>
      <x:c r="BV47" s="35" t="n">
        <x:f>IFERROR(BV46*BV45/SUMPRODUCT($D46:$GA46,$D45:$GA45),0)</x:f>
      </x:c>
      <x:c r="BW47" s="35" t="n">
        <x:f>IFERROR(BW46*BW45/SUMPRODUCT($D46:$GA46,$D45:$GA45),0)</x:f>
      </x:c>
      <x:c r="BX47" s="35" t="n">
        <x:f>IFERROR(BX46*BX45/SUMPRODUCT($D46:$GA46,$D45:$GA45),0)</x:f>
      </x:c>
      <x:c r="BY47" s="35" t="n">
        <x:f>IFERROR(BY46*BY45/SUMPRODUCT($D46:$GA46,$D45:$GA45),0)</x:f>
      </x:c>
      <x:c r="BZ47" s="35" t="n">
        <x:f>IFERROR(BZ46*BZ45/SUMPRODUCT($D46:$GA46,$D45:$GA45),0)</x:f>
      </x:c>
      <x:c r="CA47" s="35" t="n">
        <x:f>IFERROR(CA46*CA45/SUMPRODUCT($D46:$GA46,$D45:$GA45),0)</x:f>
      </x:c>
      <x:c r="CB47" s="35" t="n">
        <x:f>IFERROR(CB46*CB45/SUMPRODUCT($D46:$GA46,$D45:$GA45),0)</x:f>
      </x:c>
      <x:c r="CC47" s="35" t="n">
        <x:f>IFERROR(CC46*CC45/SUMPRODUCT($D46:$GA46,$D45:$GA45),0)</x:f>
      </x:c>
      <x:c r="CD47" s="35" t="n">
        <x:f>IFERROR(CD46*CD45/SUMPRODUCT($D46:$GA46,$D45:$GA45),0)</x:f>
      </x:c>
      <x:c r="CE47" s="35" t="n">
        <x:f>IFERROR(CE46*CE45/SUMPRODUCT($D46:$GA46,$D45:$GA45),0)</x:f>
      </x:c>
      <x:c r="CF47" s="35" t="n">
        <x:f>IFERROR(CF46*CF45/SUMPRODUCT($D46:$GA46,$D45:$GA45),0)</x:f>
      </x:c>
      <x:c r="CG47" s="35" t="n">
        <x:f>IFERROR(CG46*CG45/SUMPRODUCT($D46:$GA46,$D45:$GA45),0)</x:f>
      </x:c>
      <x:c r="CH47" s="35" t="n">
        <x:f>IFERROR(CH46*CH45/SUMPRODUCT($D46:$GA46,$D45:$GA45),0)</x:f>
      </x:c>
      <x:c r="CI47" s="35" t="n">
        <x:f>IFERROR(CI46*CI45/SUMPRODUCT($D46:$GA46,$D45:$GA45),0)</x:f>
      </x:c>
      <x:c r="CJ47" s="35" t="n">
        <x:f>IFERROR(CJ46*CJ45/SUMPRODUCT($D46:$GA46,$D45:$GA45),0)</x:f>
      </x:c>
      <x:c r="CK47" s="35" t="n">
        <x:f>IFERROR(CK46*CK45/SUMPRODUCT($D46:$GA46,$D45:$GA45),0)</x:f>
      </x:c>
      <x:c r="CL47" s="35" t="n">
        <x:f>IFERROR(CL46*CL45/SUMPRODUCT($D46:$GA46,$D45:$GA45),0)</x:f>
      </x:c>
      <x:c r="CM47" s="35" t="n">
        <x:f>IFERROR(CM46*CM45/SUMPRODUCT($D46:$GA46,$D45:$GA45),0)</x:f>
      </x:c>
      <x:c r="CN47" s="35" t="n">
        <x:f>IFERROR(CN46*CN45/SUMPRODUCT($D46:$GA46,$D45:$GA45),0)</x:f>
      </x:c>
      <x:c r="CO47" s="35" t="n">
        <x:f>IFERROR(CO46*CO45/SUMPRODUCT($D46:$GA46,$D45:$GA45),0)</x:f>
      </x:c>
      <x:c r="CP47" s="35" t="n">
        <x:f>IFERROR(CP46*CP45/SUMPRODUCT($D46:$GA46,$D45:$GA45),0)</x:f>
      </x:c>
      <x:c r="CQ47" s="35" t="n">
        <x:f>IFERROR(CQ46*CQ45/SUMPRODUCT($D46:$GA46,$D45:$GA45),0)</x:f>
      </x:c>
      <x:c r="CR47" s="35" t="n">
        <x:f>IFERROR(CR46*CR45/SUMPRODUCT($D46:$GA46,$D45:$GA45),0)</x:f>
      </x:c>
      <x:c r="CS47" s="35" t="n">
        <x:f>IFERROR(CS46*CS45/SUMPRODUCT($D46:$GA46,$D45:$GA45),0)</x:f>
      </x:c>
      <x:c r="CT47" s="35" t="n">
        <x:f>IFERROR(CT46*CT45/SUMPRODUCT($D46:$GA46,$D45:$GA45),0)</x:f>
      </x:c>
      <x:c r="CU47" s="35" t="n">
        <x:f>IFERROR(CU46*CU45/SUMPRODUCT($D46:$GA46,$D45:$GA45),0)</x:f>
      </x:c>
      <x:c r="CV47" s="35" t="n">
        <x:f>IFERROR(CV46*CV45/SUMPRODUCT($D46:$GA46,$D45:$GA45),0)</x:f>
      </x:c>
      <x:c r="CW47" s="35" t="n">
        <x:f>IFERROR(CW46*CW45/SUMPRODUCT($D46:$GA46,$D45:$GA45),0)</x:f>
      </x:c>
      <x:c r="CX47" s="35" t="n">
        <x:f>IFERROR(CX46*CX45/SUMPRODUCT($D46:$GA46,$D45:$GA45),0)</x:f>
      </x:c>
      <x:c r="CY47" s="35" t="n">
        <x:f>IFERROR(CY46*CY45/SUMPRODUCT($D46:$GA46,$D45:$GA45),0)</x:f>
      </x:c>
      <x:c r="CZ47" s="35" t="n">
        <x:f>IFERROR(CZ46*CZ45/SUMPRODUCT($D46:$GA46,$D45:$GA45),0)</x:f>
      </x:c>
      <x:c r="DA47" s="35" t="n">
        <x:f>IFERROR(DA46*DA45/SUMPRODUCT($D46:$GA46,$D45:$GA45),0)</x:f>
      </x:c>
      <x:c r="DB47" s="35" t="n">
        <x:f>IFERROR(DB46*DB45/SUMPRODUCT($D46:$GA46,$D45:$GA45),0)</x:f>
      </x:c>
      <x:c r="DC47" s="35" t="n">
        <x:f>IFERROR(DC46*DC45/SUMPRODUCT($D46:$GA46,$D45:$GA45),0)</x:f>
      </x:c>
      <x:c r="DD47" s="35" t="n">
        <x:f>IFERROR(DD46*DD45/SUMPRODUCT($D46:$GA46,$D45:$GA45),0)</x:f>
      </x:c>
      <x:c r="DE47" s="35" t="n">
        <x:f>IFERROR(DE46*DE45/SUMPRODUCT($D46:$GA46,$D45:$GA45),0)</x:f>
      </x:c>
      <x:c r="DF47" s="35" t="n">
        <x:f>IFERROR(DF46*DF45/SUMPRODUCT($D46:$GA46,$D45:$GA45),0)</x:f>
      </x:c>
      <x:c r="DG47" s="35" t="n">
        <x:f>IFERROR(DG46*DG45/SUMPRODUCT($D46:$GA46,$D45:$GA45),0)</x:f>
      </x:c>
      <x:c r="DH47" s="35" t="n">
        <x:f>IFERROR(DH46*DH45/SUMPRODUCT($D46:$GA46,$D45:$GA45),0)</x:f>
      </x:c>
      <x:c r="DI47" s="35" t="n">
        <x:f>IFERROR(DI46*DI45/SUMPRODUCT($D46:$GA46,$D45:$GA45),0)</x:f>
      </x:c>
      <x:c r="DJ47" s="35" t="n">
        <x:f>IFERROR(DJ46*DJ45/SUMPRODUCT($D46:$GA46,$D45:$GA45),0)</x:f>
      </x:c>
      <x:c r="DK47" s="35" t="n">
        <x:f>IFERROR(DK46*DK45/SUMPRODUCT($D46:$GA46,$D45:$GA45),0)</x:f>
      </x:c>
      <x:c r="DL47" s="35" t="n">
        <x:f>IFERROR(DL46*DL45/SUMPRODUCT($D46:$GA46,$D45:$GA45),0)</x:f>
      </x:c>
      <x:c r="DM47" s="35" t="n">
        <x:f>IFERROR(DM46*DM45/SUMPRODUCT($D46:$GA46,$D45:$GA45),0)</x:f>
      </x:c>
      <x:c r="DN47" s="35" t="n">
        <x:f>IFERROR(DN46*DN45/SUMPRODUCT($D46:$GA46,$D45:$GA45),0)</x:f>
      </x:c>
      <x:c r="DO47" s="35" t="n">
        <x:f>IFERROR(DO46*DO45/SUMPRODUCT($D46:$GA46,$D45:$GA45),0)</x:f>
      </x:c>
      <x:c r="DP47" s="35" t="n">
        <x:f>IFERROR(DP46*DP45/SUMPRODUCT($D46:$GA46,$D45:$GA45),0)</x:f>
      </x:c>
      <x:c r="DQ47" s="35" t="n">
        <x:f>IFERROR(DQ46*DQ45/SUMPRODUCT($D46:$GA46,$D45:$GA45),0)</x:f>
      </x:c>
      <x:c r="DR47" s="35" t="n">
        <x:f>IFERROR(DR46*DR45/SUMPRODUCT($D46:$GA46,$D45:$GA45),0)</x:f>
      </x:c>
      <x:c r="DS47" s="35" t="n">
        <x:f>IFERROR(DS46*DS45/SUMPRODUCT($D46:$GA46,$D45:$GA45),0)</x:f>
      </x:c>
      <x:c r="DT47" s="35" t="n">
        <x:f>IFERROR(DT46*DT45/SUMPRODUCT($D46:$GA46,$D45:$GA45),0)</x:f>
      </x:c>
      <x:c r="DU47" s="35" t="n">
        <x:f>IFERROR(DU46*DU45/SUMPRODUCT($D46:$GA46,$D45:$GA45),0)</x:f>
      </x:c>
      <x:c r="DV47" s="35" t="n">
        <x:f>IFERROR(DV46*DV45/SUMPRODUCT($D46:$GA46,$D45:$GA45),0)</x:f>
      </x:c>
      <x:c r="DW47" s="35" t="n">
        <x:f>IFERROR(DW46*DW45/SUMPRODUCT($D46:$GA46,$D45:$GA45),0)</x:f>
      </x:c>
      <x:c r="DX47" s="35" t="n">
        <x:f>IFERROR(DX46*DX45/SUMPRODUCT($D46:$GA46,$D45:$GA45),0)</x:f>
      </x:c>
      <x:c r="DY47" s="35" t="n">
        <x:f>IFERROR(DY46*DY45/SUMPRODUCT($D46:$GA46,$D45:$GA45),0)</x:f>
      </x:c>
      <x:c r="DZ47" s="35" t="n">
        <x:f>IFERROR(DZ46*DZ45/SUMPRODUCT($D46:$GA46,$D45:$GA45),0)</x:f>
      </x:c>
      <x:c r="EA47" s="35" t="n">
        <x:f>IFERROR(EA46*EA45/SUMPRODUCT($D46:$GA46,$D45:$GA45),0)</x:f>
      </x:c>
      <x:c r="EB47" s="35" t="n">
        <x:f>IFERROR(EB46*EB45/SUMPRODUCT($D46:$GA46,$D45:$GA45),0)</x:f>
      </x:c>
      <x:c r="EC47" s="35" t="n">
        <x:f>IFERROR(EC46*EC45/SUMPRODUCT($D46:$GA46,$D45:$GA45),0)</x:f>
      </x:c>
      <x:c r="ED47" s="35" t="n">
        <x:f>IFERROR(ED46*ED45/SUMPRODUCT($D46:$GA46,$D45:$GA45),0)</x:f>
      </x:c>
      <x:c r="EE47" s="35" t="n">
        <x:f>IFERROR(EE46*EE45/SUMPRODUCT($D46:$GA46,$D45:$GA45),0)</x:f>
      </x:c>
      <x:c r="EF47" s="35" t="n">
        <x:f>IFERROR(EF46*EF45/SUMPRODUCT($D46:$GA46,$D45:$GA45),0)</x:f>
      </x:c>
      <x:c r="EG47" s="35" t="n">
        <x:f>IFERROR(EG46*EG45/SUMPRODUCT($D46:$GA46,$D45:$GA45),0)</x:f>
      </x:c>
      <x:c r="EH47" s="35" t="n">
        <x:f>IFERROR(EH46*EH45/SUMPRODUCT($D46:$GA46,$D45:$GA45),0)</x:f>
      </x:c>
      <x:c r="EI47" s="35" t="n">
        <x:f>IFERROR(EI46*EI45/SUMPRODUCT($D46:$GA46,$D45:$GA45),0)</x:f>
      </x:c>
      <x:c r="EJ47" s="35" t="n">
        <x:f>IFERROR(EJ46*EJ45/SUMPRODUCT($D46:$GA46,$D45:$GA45),0)</x:f>
      </x:c>
      <x:c r="EK47" s="35" t="n">
        <x:f>IFERROR(EK46*EK45/SUMPRODUCT($D46:$GA46,$D45:$GA45),0)</x:f>
      </x:c>
      <x:c r="EL47" s="35" t="n">
        <x:f>IFERROR(EL46*EL45/SUMPRODUCT($D46:$GA46,$D45:$GA45),0)</x:f>
      </x:c>
      <x:c r="EM47" s="35" t="n">
        <x:f>IFERROR(EM46*EM45/SUMPRODUCT($D46:$GA46,$D45:$GA45),0)</x:f>
      </x:c>
      <x:c r="EN47" s="35" t="n">
        <x:f>IFERROR(EN46*EN45/SUMPRODUCT($D46:$GA46,$D45:$GA45),0)</x:f>
      </x:c>
      <x:c r="EO47" s="35" t="n">
        <x:f>IFERROR(EO46*EO45/SUMPRODUCT($D46:$GA46,$D45:$GA45),0)</x:f>
      </x:c>
      <x:c r="EP47" s="35" t="n">
        <x:f>IFERROR(EP46*EP45/SUMPRODUCT($D46:$GA46,$D45:$GA45),0)</x:f>
      </x:c>
      <x:c r="EQ47" s="35" t="n">
        <x:f>IFERROR(EQ46*EQ45/SUMPRODUCT($D46:$GA46,$D45:$GA45),0)</x:f>
      </x:c>
      <x:c r="ER47" s="35" t="n">
        <x:f>IFERROR(ER46*ER45/SUMPRODUCT($D46:$GA46,$D45:$GA45),0)</x:f>
      </x:c>
      <x:c r="ES47" s="35" t="n">
        <x:f>IFERROR(ES46*ES45/SUMPRODUCT($D46:$GA46,$D45:$GA45),0)</x:f>
      </x:c>
      <x:c r="ET47" s="35" t="n">
        <x:f>IFERROR(ET46*ET45/SUMPRODUCT($D46:$GA46,$D45:$GA45),0)</x:f>
      </x:c>
      <x:c r="EU47" s="35" t="n">
        <x:f>IFERROR(EU46*EU45/SUMPRODUCT($D46:$GA46,$D45:$GA45),0)</x:f>
      </x:c>
      <x:c r="EV47" s="35" t="n">
        <x:f>IFERROR(EV46*EV45/SUMPRODUCT($D46:$GA46,$D45:$GA45),0)</x:f>
      </x:c>
      <x:c r="EW47" s="35" t="n">
        <x:f>IFERROR(EW46*EW45/SUMPRODUCT($D46:$GA46,$D45:$GA45),0)</x:f>
      </x:c>
      <x:c r="EX47" s="35" t="n">
        <x:f>IFERROR(EX46*EX45/SUMPRODUCT($D46:$GA46,$D45:$GA45),0)</x:f>
      </x:c>
      <x:c r="EY47" s="35" t="n">
        <x:f>IFERROR(EY46*EY45/SUMPRODUCT($D46:$GA46,$D45:$GA45),0)</x:f>
      </x:c>
      <x:c r="EZ47" s="35" t="n">
        <x:f>IFERROR(EZ46*EZ45/SUMPRODUCT($D46:$GA46,$D45:$GA45),0)</x:f>
      </x:c>
      <x:c r="FA47" s="35" t="n">
        <x:f>IFERROR(FA46*FA45/SUMPRODUCT($D46:$GA46,$D45:$GA45),0)</x:f>
      </x:c>
      <x:c r="FB47" s="35" t="n">
        <x:f>IFERROR(FB46*FB45/SUMPRODUCT($D46:$GA46,$D45:$GA45),0)</x:f>
      </x:c>
      <x:c r="FC47" s="35" t="n">
        <x:f>IFERROR(FC46*FC45/SUMPRODUCT($D46:$GA46,$D45:$GA45),0)</x:f>
      </x:c>
      <x:c r="FD47" s="35" t="n">
        <x:f>IFERROR(FD46*FD45/SUMPRODUCT($D46:$GA46,$D45:$GA45),0)</x:f>
      </x:c>
      <x:c r="FE47" s="35" t="n">
        <x:f>IFERROR(FE46*FE45/SUMPRODUCT($D46:$GA46,$D45:$GA45),0)</x:f>
      </x:c>
      <x:c r="FF47" s="35" t="n">
        <x:f>IFERROR(FF46*FF45/SUMPRODUCT($D46:$GA46,$D45:$GA45),0)</x:f>
      </x:c>
      <x:c r="FG47" s="35" t="n">
        <x:f>IFERROR(FG46*FG45/SUMPRODUCT($D46:$GA46,$D45:$GA45),0)</x:f>
      </x:c>
      <x:c r="FH47" s="35" t="n">
        <x:f>IFERROR(FH46*FH45/SUMPRODUCT($D46:$GA46,$D45:$GA45),0)</x:f>
      </x:c>
      <x:c r="FI47" s="35" t="n">
        <x:f>IFERROR(FI46*FI45/SUMPRODUCT($D46:$GA46,$D45:$GA45),0)</x:f>
      </x:c>
      <x:c r="FJ47" s="35" t="n">
        <x:f>IFERROR(FJ46*FJ45/SUMPRODUCT($D46:$GA46,$D45:$GA45),0)</x:f>
      </x:c>
      <x:c r="FK47" s="35" t="n">
        <x:f>IFERROR(FK46*FK45/SUMPRODUCT($D46:$GA46,$D45:$GA45),0)</x:f>
      </x:c>
      <x:c r="FL47" s="35" t="n">
        <x:f>IFERROR(FL46*FL45/SUMPRODUCT($D46:$GA46,$D45:$GA45),0)</x:f>
      </x:c>
      <x:c r="FM47" s="35" t="n">
        <x:f>IFERROR(FM46*FM45/SUMPRODUCT($D46:$GA46,$D45:$GA45),0)</x:f>
      </x:c>
      <x:c r="FN47" s="35" t="n">
        <x:f>IFERROR(FN46*FN45/SUMPRODUCT($D46:$GA46,$D45:$GA45),0)</x:f>
      </x:c>
      <x:c r="FO47" s="35" t="n">
        <x:f>IFERROR(FO46*FO45/SUMPRODUCT($D46:$GA46,$D45:$GA45),0)</x:f>
      </x:c>
      <x:c r="FP47" s="35" t="n">
        <x:f>IFERROR(FP46*FP45/SUMPRODUCT($D46:$GA46,$D45:$GA45),0)</x:f>
      </x:c>
      <x:c r="FQ47" s="35" t="n">
        <x:f>IFERROR(FQ46*FQ45/SUMPRODUCT($D46:$GA46,$D45:$GA45),0)</x:f>
      </x:c>
      <x:c r="FR47" s="35" t="n">
        <x:f>IFERROR(FR46*FR45/SUMPRODUCT($D46:$GA46,$D45:$GA45),0)</x:f>
      </x:c>
      <x:c r="FS47" s="35" t="n">
        <x:f>IFERROR(FS46*FS45/SUMPRODUCT($D46:$GA46,$D45:$GA45),0)</x:f>
      </x:c>
      <x:c r="FT47" s="35" t="n">
        <x:f>IFERROR(FT46*FT45/SUMPRODUCT($D46:$GA46,$D45:$GA45),0)</x:f>
      </x:c>
      <x:c r="FU47" s="35" t="n">
        <x:f>IFERROR(FU46*FU45/SUMPRODUCT($D46:$GA46,$D45:$GA45),0)</x:f>
      </x:c>
      <x:c r="FV47" s="35" t="n">
        <x:f>IFERROR(FV46*FV45/SUMPRODUCT($D46:$GA46,$D45:$GA45),0)</x:f>
      </x:c>
      <x:c r="FW47" s="35" t="n">
        <x:f>IFERROR(FW46*FW45/SUMPRODUCT($D46:$GA46,$D45:$GA45),0)</x:f>
      </x:c>
      <x:c r="FX47" s="35" t="n">
        <x:f>IFERROR(FX46*FX45/SUMPRODUCT($D46:$GA46,$D45:$GA45),0)</x:f>
      </x:c>
      <x:c r="FY47" s="35" t="n">
        <x:f>IFERROR(FY46*FY45/SUMPRODUCT($D46:$GA46,$D45:$GA45),0)</x:f>
      </x:c>
      <x:c r="FZ47" s="35" t="n">
        <x:f>IFERROR(FZ46*FZ45/SUMPRODUCT($D46:$GA46,$D45:$GA45),0)</x:f>
      </x:c>
      <x:c r="GA47" s="35" t="n">
        <x:f>IFERROR(GA46*GA45/SUMPRODUCT($D46:$GA46,$D45:$GA45),0)</x:f>
      </x:c>
    </x:row>
    <x:row r="48">
      <x:c r="A48" t="str">
        <x:v>Флаг продаж после РВЭ</x:v>
      </x:c>
      <x:c r="B48" s="35"/>
      <x:c r="C48" t="str">
        <x:v>0 / 1</x:v>
      </x:c>
      <x:c r="D48" s="35" t="n">
        <x:f>--AND(D$3&gt;=MAX($B$39,$B$38),D$3&lt;EDATE($B$39,MAX(1,'Вводные'!$K$53)),AND($B$35="Да",IFERROR(INDEX('Вводные'!$B$88:$B$91,$B$36),"Нет")="Да"))</x:f>
      </x:c>
      <x:c r="E48" s="35" t="n">
        <x:f>--AND(E$3&gt;=MAX($B$39,$B$38),E$3&lt;EDATE($B$39,MAX(1,'Вводные'!$K$53)),AND($B$35="Да",IFERROR(INDEX('Вводные'!$B$88:$B$91,$B$36),"Нет")="Да"))</x:f>
      </x:c>
      <x:c r="F48" s="35" t="n">
        <x:f>--AND(F$3&gt;=MAX($B$39,$B$38),F$3&lt;EDATE($B$39,MAX(1,'Вводные'!$K$53)),AND($B$35="Да",IFERROR(INDEX('Вводные'!$B$88:$B$91,$B$36),"Нет")="Да"))</x:f>
      </x:c>
      <x:c r="G48" s="35" t="n">
        <x:f>--AND(G$3&gt;=MAX($B$39,$B$38),G$3&lt;EDATE($B$39,MAX(1,'Вводные'!$K$53)),AND($B$35="Да",IFERROR(INDEX('Вводные'!$B$88:$B$91,$B$36),"Нет")="Да"))</x:f>
      </x:c>
      <x:c r="H48" s="35" t="n">
        <x:f>--AND(H$3&gt;=MAX($B$39,$B$38),H$3&lt;EDATE($B$39,MAX(1,'Вводные'!$K$53)),AND($B$35="Да",IFERROR(INDEX('Вводные'!$B$88:$B$91,$B$36),"Нет")="Да"))</x:f>
      </x:c>
      <x:c r="I48" s="35" t="n">
        <x:f>--AND(I$3&gt;=MAX($B$39,$B$38),I$3&lt;EDATE($B$39,MAX(1,'Вводные'!$K$53)),AND($B$35="Да",IFERROR(INDEX('Вводные'!$B$88:$B$91,$B$36),"Нет")="Да"))</x:f>
      </x:c>
      <x:c r="J48" s="35" t="n">
        <x:f>--AND(J$3&gt;=MAX($B$39,$B$38),J$3&lt;EDATE($B$39,MAX(1,'Вводные'!$K$53)),AND($B$35="Да",IFERROR(INDEX('Вводные'!$B$88:$B$91,$B$36),"Нет")="Да"))</x:f>
      </x:c>
      <x:c r="K48" s="35" t="n">
        <x:f>--AND(K$3&gt;=MAX($B$39,$B$38),K$3&lt;EDATE($B$39,MAX(1,'Вводные'!$K$53)),AND($B$35="Да",IFERROR(INDEX('Вводные'!$B$88:$B$91,$B$36),"Нет")="Да"))</x:f>
      </x:c>
      <x:c r="L48" s="35" t="n">
        <x:f>--AND(L$3&gt;=MAX($B$39,$B$38),L$3&lt;EDATE($B$39,MAX(1,'Вводные'!$K$53)),AND($B$35="Да",IFERROR(INDEX('Вводные'!$B$88:$B$91,$B$36),"Нет")="Да"))</x:f>
      </x:c>
      <x:c r="M48" s="35" t="n">
        <x:f>--AND(M$3&gt;=MAX($B$39,$B$38),M$3&lt;EDATE($B$39,MAX(1,'Вводные'!$K$53)),AND($B$35="Да",IFERROR(INDEX('Вводные'!$B$88:$B$91,$B$36),"Нет")="Да"))</x:f>
      </x:c>
      <x:c r="N48" s="35" t="n">
        <x:f>--AND(N$3&gt;=MAX($B$39,$B$38),N$3&lt;EDATE($B$39,MAX(1,'Вводные'!$K$53)),AND($B$35="Да",IFERROR(INDEX('Вводные'!$B$88:$B$91,$B$36),"Нет")="Да"))</x:f>
      </x:c>
      <x:c r="O48" s="35" t="n">
        <x:f>--AND(O$3&gt;=MAX($B$39,$B$38),O$3&lt;EDATE($B$39,MAX(1,'Вводные'!$K$53)),AND($B$35="Да",IFERROR(INDEX('Вводные'!$B$88:$B$91,$B$36),"Нет")="Да"))</x:f>
      </x:c>
      <x:c r="P48" s="35" t="n">
        <x:f>--AND(P$3&gt;=MAX($B$39,$B$38),P$3&lt;EDATE($B$39,MAX(1,'Вводные'!$K$53)),AND($B$35="Да",IFERROR(INDEX('Вводные'!$B$88:$B$91,$B$36),"Нет")="Да"))</x:f>
      </x:c>
      <x:c r="Q48" s="35" t="n">
        <x:f>--AND(Q$3&gt;=MAX($B$39,$B$38),Q$3&lt;EDATE($B$39,MAX(1,'Вводные'!$K$53)),AND($B$35="Да",IFERROR(INDEX('Вводные'!$B$88:$B$91,$B$36),"Нет")="Да"))</x:f>
      </x:c>
      <x:c r="R48" s="35" t="n">
        <x:f>--AND(R$3&gt;=MAX($B$39,$B$38),R$3&lt;EDATE($B$39,MAX(1,'Вводные'!$K$53)),AND($B$35="Да",IFERROR(INDEX('Вводные'!$B$88:$B$91,$B$36),"Нет")="Да"))</x:f>
      </x:c>
      <x:c r="S48" s="35" t="n">
        <x:f>--AND(S$3&gt;=MAX($B$39,$B$38),S$3&lt;EDATE($B$39,MAX(1,'Вводные'!$K$53)),AND($B$35="Да",IFERROR(INDEX('Вводные'!$B$88:$B$91,$B$36),"Нет")="Да"))</x:f>
      </x:c>
      <x:c r="T48" s="35" t="n">
        <x:f>--AND(T$3&gt;=MAX($B$39,$B$38),T$3&lt;EDATE($B$39,MAX(1,'Вводные'!$K$53)),AND($B$35="Да",IFERROR(INDEX('Вводные'!$B$88:$B$91,$B$36),"Нет")="Да"))</x:f>
      </x:c>
      <x:c r="U48" s="35" t="n">
        <x:f>--AND(U$3&gt;=MAX($B$39,$B$38),U$3&lt;EDATE($B$39,MAX(1,'Вводные'!$K$53)),AND($B$35="Да",IFERROR(INDEX('Вводные'!$B$88:$B$91,$B$36),"Нет")="Да"))</x:f>
      </x:c>
      <x:c r="V48" s="35" t="n">
        <x:f>--AND(V$3&gt;=MAX($B$39,$B$38),V$3&lt;EDATE($B$39,MAX(1,'Вводные'!$K$53)),AND($B$35="Да",IFERROR(INDEX('Вводные'!$B$88:$B$91,$B$36),"Нет")="Да"))</x:f>
      </x:c>
      <x:c r="W48" s="35" t="n">
        <x:f>--AND(W$3&gt;=MAX($B$39,$B$38),W$3&lt;EDATE($B$39,MAX(1,'Вводные'!$K$53)),AND($B$35="Да",IFERROR(INDEX('Вводные'!$B$88:$B$91,$B$36),"Нет")="Да"))</x:f>
      </x:c>
      <x:c r="X48" s="35" t="n">
        <x:f>--AND(X$3&gt;=MAX($B$39,$B$38),X$3&lt;EDATE($B$39,MAX(1,'Вводные'!$K$53)),AND($B$35="Да",IFERROR(INDEX('Вводные'!$B$88:$B$91,$B$36),"Нет")="Да"))</x:f>
      </x:c>
      <x:c r="Y48" s="35" t="n">
        <x:f>--AND(Y$3&gt;=MAX($B$39,$B$38),Y$3&lt;EDATE($B$39,MAX(1,'Вводные'!$K$53)),AND($B$35="Да",IFERROR(INDEX('Вводные'!$B$88:$B$91,$B$36),"Нет")="Да"))</x:f>
      </x:c>
      <x:c r="Z48" s="35" t="n">
        <x:f>--AND(Z$3&gt;=MAX($B$39,$B$38),Z$3&lt;EDATE($B$39,MAX(1,'Вводные'!$K$53)),AND($B$35="Да",IFERROR(INDEX('Вводные'!$B$88:$B$91,$B$36),"Нет")="Да"))</x:f>
      </x:c>
      <x:c r="AA48" s="35" t="n">
        <x:f>--AND(AA$3&gt;=MAX($B$39,$B$38),AA$3&lt;EDATE($B$39,MAX(1,'Вводные'!$K$53)),AND($B$35="Да",IFERROR(INDEX('Вводные'!$B$88:$B$91,$B$36),"Нет")="Да"))</x:f>
      </x:c>
      <x:c r="AB48" s="35" t="n">
        <x:f>--AND(AB$3&gt;=MAX($B$39,$B$38),AB$3&lt;EDATE($B$39,MAX(1,'Вводные'!$K$53)),AND($B$35="Да",IFERROR(INDEX('Вводные'!$B$88:$B$91,$B$36),"Нет")="Да"))</x:f>
      </x:c>
      <x:c r="AC48" s="35" t="n">
        <x:f>--AND(AC$3&gt;=MAX($B$39,$B$38),AC$3&lt;EDATE($B$39,MAX(1,'Вводные'!$K$53)),AND($B$35="Да",IFERROR(INDEX('Вводные'!$B$88:$B$91,$B$36),"Нет")="Да"))</x:f>
      </x:c>
      <x:c r="AD48" s="35" t="n">
        <x:f>--AND(AD$3&gt;=MAX($B$39,$B$38),AD$3&lt;EDATE($B$39,MAX(1,'Вводные'!$K$53)),AND($B$35="Да",IFERROR(INDEX('Вводные'!$B$88:$B$91,$B$36),"Нет")="Да"))</x:f>
      </x:c>
      <x:c r="AE48" s="35" t="n">
        <x:f>--AND(AE$3&gt;=MAX($B$39,$B$38),AE$3&lt;EDATE($B$39,MAX(1,'Вводные'!$K$53)),AND($B$35="Да",IFERROR(INDEX('Вводные'!$B$88:$B$91,$B$36),"Нет")="Да"))</x:f>
      </x:c>
      <x:c r="AF48" s="35" t="n">
        <x:f>--AND(AF$3&gt;=MAX($B$39,$B$38),AF$3&lt;EDATE($B$39,MAX(1,'Вводные'!$K$53)),AND($B$35="Да",IFERROR(INDEX('Вводные'!$B$88:$B$91,$B$36),"Нет")="Да"))</x:f>
      </x:c>
      <x:c r="AG48" s="35" t="n">
        <x:f>--AND(AG$3&gt;=MAX($B$39,$B$38),AG$3&lt;EDATE($B$39,MAX(1,'Вводные'!$K$53)),AND($B$35="Да",IFERROR(INDEX('Вводные'!$B$88:$B$91,$B$36),"Нет")="Да"))</x:f>
      </x:c>
      <x:c r="AH48" s="35" t="n">
        <x:f>--AND(AH$3&gt;=MAX($B$39,$B$38),AH$3&lt;EDATE($B$39,MAX(1,'Вводные'!$K$53)),AND($B$35="Да",IFERROR(INDEX('Вводные'!$B$88:$B$91,$B$36),"Нет")="Да"))</x:f>
      </x:c>
      <x:c r="AI48" s="35" t="n">
        <x:f>--AND(AI$3&gt;=MAX($B$39,$B$38),AI$3&lt;EDATE($B$39,MAX(1,'Вводные'!$K$53)),AND($B$35="Да",IFERROR(INDEX('Вводные'!$B$88:$B$91,$B$36),"Нет")="Да"))</x:f>
      </x:c>
      <x:c r="AJ48" s="35" t="n">
        <x:f>--AND(AJ$3&gt;=MAX($B$39,$B$38),AJ$3&lt;EDATE($B$39,MAX(1,'Вводные'!$K$53)),AND($B$35="Да",IFERROR(INDEX('Вводные'!$B$88:$B$91,$B$36),"Нет")="Да"))</x:f>
      </x:c>
      <x:c r="AK48" s="35" t="n">
        <x:f>--AND(AK$3&gt;=MAX($B$39,$B$38),AK$3&lt;EDATE($B$39,MAX(1,'Вводные'!$K$53)),AND($B$35="Да",IFERROR(INDEX('Вводные'!$B$88:$B$91,$B$36),"Нет")="Да"))</x:f>
      </x:c>
      <x:c r="AL48" s="35" t="n">
        <x:f>--AND(AL$3&gt;=MAX($B$39,$B$38),AL$3&lt;EDATE($B$39,MAX(1,'Вводные'!$K$53)),AND($B$35="Да",IFERROR(INDEX('Вводные'!$B$88:$B$91,$B$36),"Нет")="Да"))</x:f>
      </x:c>
      <x:c r="AM48" s="35" t="n">
        <x:f>--AND(AM$3&gt;=MAX($B$39,$B$38),AM$3&lt;EDATE($B$39,MAX(1,'Вводные'!$K$53)),AND($B$35="Да",IFERROR(INDEX('Вводные'!$B$88:$B$91,$B$36),"Нет")="Да"))</x:f>
      </x:c>
      <x:c r="AN48" s="35" t="n">
        <x:f>--AND(AN$3&gt;=MAX($B$39,$B$38),AN$3&lt;EDATE($B$39,MAX(1,'Вводные'!$K$53)),AND($B$35="Да",IFERROR(INDEX('Вводные'!$B$88:$B$91,$B$36),"Нет")="Да"))</x:f>
      </x:c>
      <x:c r="AO48" s="35" t="n">
        <x:f>--AND(AO$3&gt;=MAX($B$39,$B$38),AO$3&lt;EDATE($B$39,MAX(1,'Вводные'!$K$53)),AND($B$35="Да",IFERROR(INDEX('Вводные'!$B$88:$B$91,$B$36),"Нет")="Да"))</x:f>
      </x:c>
      <x:c r="AP48" s="35" t="n">
        <x:f>--AND(AP$3&gt;=MAX($B$39,$B$38),AP$3&lt;EDATE($B$39,MAX(1,'Вводные'!$K$53)),AND($B$35="Да",IFERROR(INDEX('Вводные'!$B$88:$B$91,$B$36),"Нет")="Да"))</x:f>
      </x:c>
      <x:c r="AQ48" s="35" t="n">
        <x:f>--AND(AQ$3&gt;=MAX($B$39,$B$38),AQ$3&lt;EDATE($B$39,MAX(1,'Вводные'!$K$53)),AND($B$35="Да",IFERROR(INDEX('Вводные'!$B$88:$B$91,$B$36),"Нет")="Да"))</x:f>
      </x:c>
      <x:c r="AR48" s="35" t="n">
        <x:f>--AND(AR$3&gt;=MAX($B$39,$B$38),AR$3&lt;EDATE($B$39,MAX(1,'Вводные'!$K$53)),AND($B$35="Да",IFERROR(INDEX('Вводные'!$B$88:$B$91,$B$36),"Нет")="Да"))</x:f>
      </x:c>
      <x:c r="AS48" s="35" t="n">
        <x:f>--AND(AS$3&gt;=MAX($B$39,$B$38),AS$3&lt;EDATE($B$39,MAX(1,'Вводные'!$K$53)),AND($B$35="Да",IFERROR(INDEX('Вводные'!$B$88:$B$91,$B$36),"Нет")="Да"))</x:f>
      </x:c>
      <x:c r="AT48" s="35" t="n">
        <x:f>--AND(AT$3&gt;=MAX($B$39,$B$38),AT$3&lt;EDATE($B$39,MAX(1,'Вводные'!$K$53)),AND($B$35="Да",IFERROR(INDEX('Вводные'!$B$88:$B$91,$B$36),"Нет")="Да"))</x:f>
      </x:c>
      <x:c r="AU48" s="35" t="n">
        <x:f>--AND(AU$3&gt;=MAX($B$39,$B$38),AU$3&lt;EDATE($B$39,MAX(1,'Вводные'!$K$53)),AND($B$35="Да",IFERROR(INDEX('Вводные'!$B$88:$B$91,$B$36),"Нет")="Да"))</x:f>
      </x:c>
      <x:c r="AV48" s="35" t="n">
        <x:f>--AND(AV$3&gt;=MAX($B$39,$B$38),AV$3&lt;EDATE($B$39,MAX(1,'Вводные'!$K$53)),AND($B$35="Да",IFERROR(INDEX('Вводные'!$B$88:$B$91,$B$36),"Нет")="Да"))</x:f>
      </x:c>
      <x:c r="AW48" s="35" t="n">
        <x:f>--AND(AW$3&gt;=MAX($B$39,$B$38),AW$3&lt;EDATE($B$39,MAX(1,'Вводные'!$K$53)),AND($B$35="Да",IFERROR(INDEX('Вводные'!$B$88:$B$91,$B$36),"Нет")="Да"))</x:f>
      </x:c>
      <x:c r="AX48" s="35" t="n">
        <x:f>--AND(AX$3&gt;=MAX($B$39,$B$38),AX$3&lt;EDATE($B$39,MAX(1,'Вводные'!$K$53)),AND($B$35="Да",IFERROR(INDEX('Вводные'!$B$88:$B$91,$B$36),"Нет")="Да"))</x:f>
      </x:c>
      <x:c r="AY48" s="35" t="n">
        <x:f>--AND(AY$3&gt;=MAX($B$39,$B$38),AY$3&lt;EDATE($B$39,MAX(1,'Вводные'!$K$53)),AND($B$35="Да",IFERROR(INDEX('Вводные'!$B$88:$B$91,$B$36),"Нет")="Да"))</x:f>
      </x:c>
      <x:c r="AZ48" s="35" t="n">
        <x:f>--AND(AZ$3&gt;=MAX($B$39,$B$38),AZ$3&lt;EDATE($B$39,MAX(1,'Вводные'!$K$53)),AND($B$35="Да",IFERROR(INDEX('Вводные'!$B$88:$B$91,$B$36),"Нет")="Да"))</x:f>
      </x:c>
      <x:c r="BA48" s="35" t="n">
        <x:f>--AND(BA$3&gt;=MAX($B$39,$B$38),BA$3&lt;EDATE($B$39,MAX(1,'Вводные'!$K$53)),AND($B$35="Да",IFERROR(INDEX('Вводные'!$B$88:$B$91,$B$36),"Нет")="Да"))</x:f>
      </x:c>
      <x:c r="BB48" s="35" t="n">
        <x:f>--AND(BB$3&gt;=MAX($B$39,$B$38),BB$3&lt;EDATE($B$39,MAX(1,'Вводные'!$K$53)),AND($B$35="Да",IFERROR(INDEX('Вводные'!$B$88:$B$91,$B$36),"Нет")="Да"))</x:f>
      </x:c>
      <x:c r="BC48" s="35" t="n">
        <x:f>--AND(BC$3&gt;=MAX($B$39,$B$38),BC$3&lt;EDATE($B$39,MAX(1,'Вводные'!$K$53)),AND($B$35="Да",IFERROR(INDEX('Вводные'!$B$88:$B$91,$B$36),"Нет")="Да"))</x:f>
      </x:c>
      <x:c r="BD48" s="35" t="n">
        <x:f>--AND(BD$3&gt;=MAX($B$39,$B$38),BD$3&lt;EDATE($B$39,MAX(1,'Вводные'!$K$53)),AND($B$35="Да",IFERROR(INDEX('Вводные'!$B$88:$B$91,$B$36),"Нет")="Да"))</x:f>
      </x:c>
      <x:c r="BE48" s="35" t="n">
        <x:f>--AND(BE$3&gt;=MAX($B$39,$B$38),BE$3&lt;EDATE($B$39,MAX(1,'Вводные'!$K$53)),AND($B$35="Да",IFERROR(INDEX('Вводные'!$B$88:$B$91,$B$36),"Нет")="Да"))</x:f>
      </x:c>
      <x:c r="BF48" s="35" t="n">
        <x:f>--AND(BF$3&gt;=MAX($B$39,$B$38),BF$3&lt;EDATE($B$39,MAX(1,'Вводные'!$K$53)),AND($B$35="Да",IFERROR(INDEX('Вводные'!$B$88:$B$91,$B$36),"Нет")="Да"))</x:f>
      </x:c>
      <x:c r="BG48" s="35" t="n">
        <x:f>--AND(BG$3&gt;=MAX($B$39,$B$38),BG$3&lt;EDATE($B$39,MAX(1,'Вводные'!$K$53)),AND($B$35="Да",IFERROR(INDEX('Вводные'!$B$88:$B$91,$B$36),"Нет")="Да"))</x:f>
      </x:c>
      <x:c r="BH48" s="35" t="n">
        <x:f>--AND(BH$3&gt;=MAX($B$39,$B$38),BH$3&lt;EDATE($B$39,MAX(1,'Вводные'!$K$53)),AND($B$35="Да",IFERROR(INDEX('Вводные'!$B$88:$B$91,$B$36),"Нет")="Да"))</x:f>
      </x:c>
      <x:c r="BI48" s="35" t="n">
        <x:f>--AND(BI$3&gt;=MAX($B$39,$B$38),BI$3&lt;EDATE($B$39,MAX(1,'Вводные'!$K$53)),AND($B$35="Да",IFERROR(INDEX('Вводные'!$B$88:$B$91,$B$36),"Нет")="Да"))</x:f>
      </x:c>
      <x:c r="BJ48" s="35" t="n">
        <x:f>--AND(BJ$3&gt;=MAX($B$39,$B$38),BJ$3&lt;EDATE($B$39,MAX(1,'Вводные'!$K$53)),AND($B$35="Да",IFERROR(INDEX('Вводные'!$B$88:$B$91,$B$36),"Нет")="Да"))</x:f>
      </x:c>
      <x:c r="BK48" s="35" t="n">
        <x:f>--AND(BK$3&gt;=MAX($B$39,$B$38),BK$3&lt;EDATE($B$39,MAX(1,'Вводные'!$K$53)),AND($B$35="Да",IFERROR(INDEX('Вводные'!$B$88:$B$91,$B$36),"Нет")="Да"))</x:f>
      </x:c>
      <x:c r="BL48" s="35" t="n">
        <x:f>--AND(BL$3&gt;=MAX($B$39,$B$38),BL$3&lt;EDATE($B$39,MAX(1,'Вводные'!$K$53)),AND($B$35="Да",IFERROR(INDEX('Вводные'!$B$88:$B$91,$B$36),"Нет")="Да"))</x:f>
      </x:c>
      <x:c r="BM48" s="35" t="n">
        <x:f>--AND(BM$3&gt;=MAX($B$39,$B$38),BM$3&lt;EDATE($B$39,MAX(1,'Вводные'!$K$53)),AND($B$35="Да",IFERROR(INDEX('Вводные'!$B$88:$B$91,$B$36),"Нет")="Да"))</x:f>
      </x:c>
      <x:c r="BN48" s="35" t="n">
        <x:f>--AND(BN$3&gt;=MAX($B$39,$B$38),BN$3&lt;EDATE($B$39,MAX(1,'Вводные'!$K$53)),AND($B$35="Да",IFERROR(INDEX('Вводные'!$B$88:$B$91,$B$36),"Нет")="Да"))</x:f>
      </x:c>
      <x:c r="BO48" s="35" t="n">
        <x:f>--AND(BO$3&gt;=MAX($B$39,$B$38),BO$3&lt;EDATE($B$39,MAX(1,'Вводные'!$K$53)),AND($B$35="Да",IFERROR(INDEX('Вводные'!$B$88:$B$91,$B$36),"Нет")="Да"))</x:f>
      </x:c>
      <x:c r="BP48" s="35" t="n">
        <x:f>--AND(BP$3&gt;=MAX($B$39,$B$38),BP$3&lt;EDATE($B$39,MAX(1,'Вводные'!$K$53)),AND($B$35="Да",IFERROR(INDEX('Вводные'!$B$88:$B$91,$B$36),"Нет")="Да"))</x:f>
      </x:c>
      <x:c r="BQ48" s="35" t="n">
        <x:f>--AND(BQ$3&gt;=MAX($B$39,$B$38),BQ$3&lt;EDATE($B$39,MAX(1,'Вводные'!$K$53)),AND($B$35="Да",IFERROR(INDEX('Вводные'!$B$88:$B$91,$B$36),"Нет")="Да"))</x:f>
      </x:c>
      <x:c r="BR48" s="35" t="n">
        <x:f>--AND(BR$3&gt;=MAX($B$39,$B$38),BR$3&lt;EDATE($B$39,MAX(1,'Вводные'!$K$53)),AND($B$35="Да",IFERROR(INDEX('Вводные'!$B$88:$B$91,$B$36),"Нет")="Да"))</x:f>
      </x:c>
      <x:c r="BS48" s="35" t="n">
        <x:f>--AND(BS$3&gt;=MAX($B$39,$B$38),BS$3&lt;EDATE($B$39,MAX(1,'Вводные'!$K$53)),AND($B$35="Да",IFERROR(INDEX('Вводные'!$B$88:$B$91,$B$36),"Нет")="Да"))</x:f>
      </x:c>
      <x:c r="BT48" s="35" t="n">
        <x:f>--AND(BT$3&gt;=MAX($B$39,$B$38),BT$3&lt;EDATE($B$39,MAX(1,'Вводные'!$K$53)),AND($B$35="Да",IFERROR(INDEX('Вводные'!$B$88:$B$91,$B$36),"Нет")="Да"))</x:f>
      </x:c>
      <x:c r="BU48" s="35" t="n">
        <x:f>--AND(BU$3&gt;=MAX($B$39,$B$38),BU$3&lt;EDATE($B$39,MAX(1,'Вводные'!$K$53)),AND($B$35="Да",IFERROR(INDEX('Вводные'!$B$88:$B$91,$B$36),"Нет")="Да"))</x:f>
      </x:c>
      <x:c r="BV48" s="35" t="n">
        <x:f>--AND(BV$3&gt;=MAX($B$39,$B$38),BV$3&lt;EDATE($B$39,MAX(1,'Вводные'!$K$53)),AND($B$35="Да",IFERROR(INDEX('Вводные'!$B$88:$B$91,$B$36),"Нет")="Да"))</x:f>
      </x:c>
      <x:c r="BW48" s="35" t="n">
        <x:f>--AND(BW$3&gt;=MAX($B$39,$B$38),BW$3&lt;EDATE($B$39,MAX(1,'Вводные'!$K$53)),AND($B$35="Да",IFERROR(INDEX('Вводные'!$B$88:$B$91,$B$36),"Нет")="Да"))</x:f>
      </x:c>
      <x:c r="BX48" s="35" t="n">
        <x:f>--AND(BX$3&gt;=MAX($B$39,$B$38),BX$3&lt;EDATE($B$39,MAX(1,'Вводные'!$K$53)),AND($B$35="Да",IFERROR(INDEX('Вводные'!$B$88:$B$91,$B$36),"Нет")="Да"))</x:f>
      </x:c>
      <x:c r="BY48" s="35" t="n">
        <x:f>--AND(BY$3&gt;=MAX($B$39,$B$38),BY$3&lt;EDATE($B$39,MAX(1,'Вводные'!$K$53)),AND($B$35="Да",IFERROR(INDEX('Вводные'!$B$88:$B$91,$B$36),"Нет")="Да"))</x:f>
      </x:c>
      <x:c r="BZ48" s="35" t="n">
        <x:f>--AND(BZ$3&gt;=MAX($B$39,$B$38),BZ$3&lt;EDATE($B$39,MAX(1,'Вводные'!$K$53)),AND($B$35="Да",IFERROR(INDEX('Вводные'!$B$88:$B$91,$B$36),"Нет")="Да"))</x:f>
      </x:c>
      <x:c r="CA48" s="35" t="n">
        <x:f>--AND(CA$3&gt;=MAX($B$39,$B$38),CA$3&lt;EDATE($B$39,MAX(1,'Вводные'!$K$53)),AND($B$35="Да",IFERROR(INDEX('Вводные'!$B$88:$B$91,$B$36),"Нет")="Да"))</x:f>
      </x:c>
      <x:c r="CB48" s="35" t="n">
        <x:f>--AND(CB$3&gt;=MAX($B$39,$B$38),CB$3&lt;EDATE($B$39,MAX(1,'Вводные'!$K$53)),AND($B$35="Да",IFERROR(INDEX('Вводные'!$B$88:$B$91,$B$36),"Нет")="Да"))</x:f>
      </x:c>
      <x:c r="CC48" s="35" t="n">
        <x:f>--AND(CC$3&gt;=MAX($B$39,$B$38),CC$3&lt;EDATE($B$39,MAX(1,'Вводные'!$K$53)),AND($B$35="Да",IFERROR(INDEX('Вводные'!$B$88:$B$91,$B$36),"Нет")="Да"))</x:f>
      </x:c>
      <x:c r="CD48" s="35" t="n">
        <x:f>--AND(CD$3&gt;=MAX($B$39,$B$38),CD$3&lt;EDATE($B$39,MAX(1,'Вводные'!$K$53)),AND($B$35="Да",IFERROR(INDEX('Вводные'!$B$88:$B$91,$B$36),"Нет")="Да"))</x:f>
      </x:c>
      <x:c r="CE48" s="35" t="n">
        <x:f>--AND(CE$3&gt;=MAX($B$39,$B$38),CE$3&lt;EDATE($B$39,MAX(1,'Вводные'!$K$53)),AND($B$35="Да",IFERROR(INDEX('Вводные'!$B$88:$B$91,$B$36),"Нет")="Да"))</x:f>
      </x:c>
      <x:c r="CF48" s="35" t="n">
        <x:f>--AND(CF$3&gt;=MAX($B$39,$B$38),CF$3&lt;EDATE($B$39,MAX(1,'Вводные'!$K$53)),AND($B$35="Да",IFERROR(INDEX('Вводные'!$B$88:$B$91,$B$36),"Нет")="Да"))</x:f>
      </x:c>
      <x:c r="CG48" s="35" t="n">
        <x:f>--AND(CG$3&gt;=MAX($B$39,$B$38),CG$3&lt;EDATE($B$39,MAX(1,'Вводные'!$K$53)),AND($B$35="Да",IFERROR(INDEX('Вводные'!$B$88:$B$91,$B$36),"Нет")="Да"))</x:f>
      </x:c>
      <x:c r="CH48" s="35" t="n">
        <x:f>--AND(CH$3&gt;=MAX($B$39,$B$38),CH$3&lt;EDATE($B$39,MAX(1,'Вводные'!$K$53)),AND($B$35="Да",IFERROR(INDEX('Вводные'!$B$88:$B$91,$B$36),"Нет")="Да"))</x:f>
      </x:c>
      <x:c r="CI48" s="35" t="n">
        <x:f>--AND(CI$3&gt;=MAX($B$39,$B$38),CI$3&lt;EDATE($B$39,MAX(1,'Вводные'!$K$53)),AND($B$35="Да",IFERROR(INDEX('Вводные'!$B$88:$B$91,$B$36),"Нет")="Да"))</x:f>
      </x:c>
      <x:c r="CJ48" s="35" t="n">
        <x:f>--AND(CJ$3&gt;=MAX($B$39,$B$38),CJ$3&lt;EDATE($B$39,MAX(1,'Вводные'!$K$53)),AND($B$35="Да",IFERROR(INDEX('Вводные'!$B$88:$B$91,$B$36),"Нет")="Да"))</x:f>
      </x:c>
      <x:c r="CK48" s="35" t="n">
        <x:f>--AND(CK$3&gt;=MAX($B$39,$B$38),CK$3&lt;EDATE($B$39,MAX(1,'Вводные'!$K$53)),AND($B$35="Да",IFERROR(INDEX('Вводные'!$B$88:$B$91,$B$36),"Нет")="Да"))</x:f>
      </x:c>
      <x:c r="CL48" s="35" t="n">
        <x:f>--AND(CL$3&gt;=MAX($B$39,$B$38),CL$3&lt;EDATE($B$39,MAX(1,'Вводные'!$K$53)),AND($B$35="Да",IFERROR(INDEX('Вводные'!$B$88:$B$91,$B$36),"Нет")="Да"))</x:f>
      </x:c>
      <x:c r="CM48" s="35" t="n">
        <x:f>--AND(CM$3&gt;=MAX($B$39,$B$38),CM$3&lt;EDATE($B$39,MAX(1,'Вводные'!$K$53)),AND($B$35="Да",IFERROR(INDEX('Вводные'!$B$88:$B$91,$B$36),"Нет")="Да"))</x:f>
      </x:c>
      <x:c r="CN48" s="35" t="n">
        <x:f>--AND(CN$3&gt;=MAX($B$39,$B$38),CN$3&lt;EDATE($B$39,MAX(1,'Вводные'!$K$53)),AND($B$35="Да",IFERROR(INDEX('Вводные'!$B$88:$B$91,$B$36),"Нет")="Да"))</x:f>
      </x:c>
      <x:c r="CO48" s="35" t="n">
        <x:f>--AND(CO$3&gt;=MAX($B$39,$B$38),CO$3&lt;EDATE($B$39,MAX(1,'Вводные'!$K$53)),AND($B$35="Да",IFERROR(INDEX('Вводные'!$B$88:$B$91,$B$36),"Нет")="Да"))</x:f>
      </x:c>
      <x:c r="CP48" s="35" t="n">
        <x:f>--AND(CP$3&gt;=MAX($B$39,$B$38),CP$3&lt;EDATE($B$39,MAX(1,'Вводные'!$K$53)),AND($B$35="Да",IFERROR(INDEX('Вводные'!$B$88:$B$91,$B$36),"Нет")="Да"))</x:f>
      </x:c>
      <x:c r="CQ48" s="35" t="n">
        <x:f>--AND(CQ$3&gt;=MAX($B$39,$B$38),CQ$3&lt;EDATE($B$39,MAX(1,'Вводные'!$K$53)),AND($B$35="Да",IFERROR(INDEX('Вводные'!$B$88:$B$91,$B$36),"Нет")="Да"))</x:f>
      </x:c>
      <x:c r="CR48" s="35" t="n">
        <x:f>--AND(CR$3&gt;=MAX($B$39,$B$38),CR$3&lt;EDATE($B$39,MAX(1,'Вводные'!$K$53)),AND($B$35="Да",IFERROR(INDEX('Вводные'!$B$88:$B$91,$B$36),"Нет")="Да"))</x:f>
      </x:c>
      <x:c r="CS48" s="35" t="n">
        <x:f>--AND(CS$3&gt;=MAX($B$39,$B$38),CS$3&lt;EDATE($B$39,MAX(1,'Вводные'!$K$53)),AND($B$35="Да",IFERROR(INDEX('Вводные'!$B$88:$B$91,$B$36),"Нет")="Да"))</x:f>
      </x:c>
      <x:c r="CT48" s="35" t="n">
        <x:f>--AND(CT$3&gt;=MAX($B$39,$B$38),CT$3&lt;EDATE($B$39,MAX(1,'Вводные'!$K$53)),AND($B$35="Да",IFERROR(INDEX('Вводные'!$B$88:$B$91,$B$36),"Нет")="Да"))</x:f>
      </x:c>
      <x:c r="CU48" s="35" t="n">
        <x:f>--AND(CU$3&gt;=MAX($B$39,$B$38),CU$3&lt;EDATE($B$39,MAX(1,'Вводные'!$K$53)),AND($B$35="Да",IFERROR(INDEX('Вводные'!$B$88:$B$91,$B$36),"Нет")="Да"))</x:f>
      </x:c>
      <x:c r="CV48" s="35" t="n">
        <x:f>--AND(CV$3&gt;=MAX($B$39,$B$38),CV$3&lt;EDATE($B$39,MAX(1,'Вводные'!$K$53)),AND($B$35="Да",IFERROR(INDEX('Вводные'!$B$88:$B$91,$B$36),"Нет")="Да"))</x:f>
      </x:c>
      <x:c r="CW48" s="35" t="n">
        <x:f>--AND(CW$3&gt;=MAX($B$39,$B$38),CW$3&lt;EDATE($B$39,MAX(1,'Вводные'!$K$53)),AND($B$35="Да",IFERROR(INDEX('Вводные'!$B$88:$B$91,$B$36),"Нет")="Да"))</x:f>
      </x:c>
      <x:c r="CX48" s="35" t="n">
        <x:f>--AND(CX$3&gt;=MAX($B$39,$B$38),CX$3&lt;EDATE($B$39,MAX(1,'Вводные'!$K$53)),AND($B$35="Да",IFERROR(INDEX('Вводные'!$B$88:$B$91,$B$36),"Нет")="Да"))</x:f>
      </x:c>
      <x:c r="CY48" s="35" t="n">
        <x:f>--AND(CY$3&gt;=MAX($B$39,$B$38),CY$3&lt;EDATE($B$39,MAX(1,'Вводные'!$K$53)),AND($B$35="Да",IFERROR(INDEX('Вводные'!$B$88:$B$91,$B$36),"Нет")="Да"))</x:f>
      </x:c>
      <x:c r="CZ48" s="35" t="n">
        <x:f>--AND(CZ$3&gt;=MAX($B$39,$B$38),CZ$3&lt;EDATE($B$39,MAX(1,'Вводные'!$K$53)),AND($B$35="Да",IFERROR(INDEX('Вводные'!$B$88:$B$91,$B$36),"Нет")="Да"))</x:f>
      </x:c>
      <x:c r="DA48" s="35" t="n">
        <x:f>--AND(DA$3&gt;=MAX($B$39,$B$38),DA$3&lt;EDATE($B$39,MAX(1,'Вводные'!$K$53)),AND($B$35="Да",IFERROR(INDEX('Вводные'!$B$88:$B$91,$B$36),"Нет")="Да"))</x:f>
      </x:c>
      <x:c r="DB48" s="35" t="n">
        <x:f>--AND(DB$3&gt;=MAX($B$39,$B$38),DB$3&lt;EDATE($B$39,MAX(1,'Вводные'!$K$53)),AND($B$35="Да",IFERROR(INDEX('Вводные'!$B$88:$B$91,$B$36),"Нет")="Да"))</x:f>
      </x:c>
      <x:c r="DC48" s="35" t="n">
        <x:f>--AND(DC$3&gt;=MAX($B$39,$B$38),DC$3&lt;EDATE($B$39,MAX(1,'Вводные'!$K$53)),AND($B$35="Да",IFERROR(INDEX('Вводные'!$B$88:$B$91,$B$36),"Нет")="Да"))</x:f>
      </x:c>
      <x:c r="DD48" s="35" t="n">
        <x:f>--AND(DD$3&gt;=MAX($B$39,$B$38),DD$3&lt;EDATE($B$39,MAX(1,'Вводные'!$K$53)),AND($B$35="Да",IFERROR(INDEX('Вводные'!$B$88:$B$91,$B$36),"Нет")="Да"))</x:f>
      </x:c>
      <x:c r="DE48" s="35" t="n">
        <x:f>--AND(DE$3&gt;=MAX($B$39,$B$38),DE$3&lt;EDATE($B$39,MAX(1,'Вводные'!$K$53)),AND($B$35="Да",IFERROR(INDEX('Вводные'!$B$88:$B$91,$B$36),"Нет")="Да"))</x:f>
      </x:c>
      <x:c r="DF48" s="35" t="n">
        <x:f>--AND(DF$3&gt;=MAX($B$39,$B$38),DF$3&lt;EDATE($B$39,MAX(1,'Вводные'!$K$53)),AND($B$35="Да",IFERROR(INDEX('Вводные'!$B$88:$B$91,$B$36),"Нет")="Да"))</x:f>
      </x:c>
      <x:c r="DG48" s="35" t="n">
        <x:f>--AND(DG$3&gt;=MAX($B$39,$B$38),DG$3&lt;EDATE($B$39,MAX(1,'Вводные'!$K$53)),AND($B$35="Да",IFERROR(INDEX('Вводные'!$B$88:$B$91,$B$36),"Нет")="Да"))</x:f>
      </x:c>
      <x:c r="DH48" s="35" t="n">
        <x:f>--AND(DH$3&gt;=MAX($B$39,$B$38),DH$3&lt;EDATE($B$39,MAX(1,'Вводные'!$K$53)),AND($B$35="Да",IFERROR(INDEX('Вводные'!$B$88:$B$91,$B$36),"Нет")="Да"))</x:f>
      </x:c>
      <x:c r="DI48" s="35" t="n">
        <x:f>--AND(DI$3&gt;=MAX($B$39,$B$38),DI$3&lt;EDATE($B$39,MAX(1,'Вводные'!$K$53)),AND($B$35="Да",IFERROR(INDEX('Вводные'!$B$88:$B$91,$B$36),"Нет")="Да"))</x:f>
      </x:c>
      <x:c r="DJ48" s="35" t="n">
        <x:f>--AND(DJ$3&gt;=MAX($B$39,$B$38),DJ$3&lt;EDATE($B$39,MAX(1,'Вводные'!$K$53)),AND($B$35="Да",IFERROR(INDEX('Вводные'!$B$88:$B$91,$B$36),"Нет")="Да"))</x:f>
      </x:c>
      <x:c r="DK48" s="35" t="n">
        <x:f>--AND(DK$3&gt;=MAX($B$39,$B$38),DK$3&lt;EDATE($B$39,MAX(1,'Вводные'!$K$53)),AND($B$35="Да",IFERROR(INDEX('Вводные'!$B$88:$B$91,$B$36),"Нет")="Да"))</x:f>
      </x:c>
      <x:c r="DL48" s="35" t="n">
        <x:f>--AND(DL$3&gt;=MAX($B$39,$B$38),DL$3&lt;EDATE($B$39,MAX(1,'Вводные'!$K$53)),AND($B$35="Да",IFERROR(INDEX('Вводные'!$B$88:$B$91,$B$36),"Нет")="Да"))</x:f>
      </x:c>
      <x:c r="DM48" s="35" t="n">
        <x:f>--AND(DM$3&gt;=MAX($B$39,$B$38),DM$3&lt;EDATE($B$39,MAX(1,'Вводные'!$K$53)),AND($B$35="Да",IFERROR(INDEX('Вводные'!$B$88:$B$91,$B$36),"Нет")="Да"))</x:f>
      </x:c>
      <x:c r="DN48" s="35" t="n">
        <x:f>--AND(DN$3&gt;=MAX($B$39,$B$38),DN$3&lt;EDATE($B$39,MAX(1,'Вводные'!$K$53)),AND($B$35="Да",IFERROR(INDEX('Вводные'!$B$88:$B$91,$B$36),"Нет")="Да"))</x:f>
      </x:c>
      <x:c r="DO48" s="35" t="n">
        <x:f>--AND(DO$3&gt;=MAX($B$39,$B$38),DO$3&lt;EDATE($B$39,MAX(1,'Вводные'!$K$53)),AND($B$35="Да",IFERROR(INDEX('Вводные'!$B$88:$B$91,$B$36),"Нет")="Да"))</x:f>
      </x:c>
      <x:c r="DP48" s="35" t="n">
        <x:f>--AND(DP$3&gt;=MAX($B$39,$B$38),DP$3&lt;EDATE($B$39,MAX(1,'Вводные'!$K$53)),AND($B$35="Да",IFERROR(INDEX('Вводные'!$B$88:$B$91,$B$36),"Нет")="Да"))</x:f>
      </x:c>
      <x:c r="DQ48" s="35" t="n">
        <x:f>--AND(DQ$3&gt;=MAX($B$39,$B$38),DQ$3&lt;EDATE($B$39,MAX(1,'Вводные'!$K$53)),AND($B$35="Да",IFERROR(INDEX('Вводные'!$B$88:$B$91,$B$36),"Нет")="Да"))</x:f>
      </x:c>
      <x:c r="DR48" s="35" t="n">
        <x:f>--AND(DR$3&gt;=MAX($B$39,$B$38),DR$3&lt;EDATE($B$39,MAX(1,'Вводные'!$K$53)),AND($B$35="Да",IFERROR(INDEX('Вводные'!$B$88:$B$91,$B$36),"Нет")="Да"))</x:f>
      </x:c>
      <x:c r="DS48" s="35" t="n">
        <x:f>--AND(DS$3&gt;=MAX($B$39,$B$38),DS$3&lt;EDATE($B$39,MAX(1,'Вводные'!$K$53)),AND($B$35="Да",IFERROR(INDEX('Вводные'!$B$88:$B$91,$B$36),"Нет")="Да"))</x:f>
      </x:c>
      <x:c r="DT48" s="35" t="n">
        <x:f>--AND(DT$3&gt;=MAX($B$39,$B$38),DT$3&lt;EDATE($B$39,MAX(1,'Вводные'!$K$53)),AND($B$35="Да",IFERROR(INDEX('Вводные'!$B$88:$B$91,$B$36),"Нет")="Да"))</x:f>
      </x:c>
      <x:c r="DU48" s="35" t="n">
        <x:f>--AND(DU$3&gt;=MAX($B$39,$B$38),DU$3&lt;EDATE($B$39,MAX(1,'Вводные'!$K$53)),AND($B$35="Да",IFERROR(INDEX('Вводные'!$B$88:$B$91,$B$36),"Нет")="Да"))</x:f>
      </x:c>
      <x:c r="DV48" s="35" t="n">
        <x:f>--AND(DV$3&gt;=MAX($B$39,$B$38),DV$3&lt;EDATE($B$39,MAX(1,'Вводные'!$K$53)),AND($B$35="Да",IFERROR(INDEX('Вводные'!$B$88:$B$91,$B$36),"Нет")="Да"))</x:f>
      </x:c>
      <x:c r="DW48" s="35" t="n">
        <x:f>--AND(DW$3&gt;=MAX($B$39,$B$38),DW$3&lt;EDATE($B$39,MAX(1,'Вводные'!$K$53)),AND($B$35="Да",IFERROR(INDEX('Вводные'!$B$88:$B$91,$B$36),"Нет")="Да"))</x:f>
      </x:c>
      <x:c r="DX48" s="35" t="n">
        <x:f>--AND(DX$3&gt;=MAX($B$39,$B$38),DX$3&lt;EDATE($B$39,MAX(1,'Вводные'!$K$53)),AND($B$35="Да",IFERROR(INDEX('Вводные'!$B$88:$B$91,$B$36),"Нет")="Да"))</x:f>
      </x:c>
      <x:c r="DY48" s="35" t="n">
        <x:f>--AND(DY$3&gt;=MAX($B$39,$B$38),DY$3&lt;EDATE($B$39,MAX(1,'Вводные'!$K$53)),AND($B$35="Да",IFERROR(INDEX('Вводные'!$B$88:$B$91,$B$36),"Нет")="Да"))</x:f>
      </x:c>
      <x:c r="DZ48" s="35" t="n">
        <x:f>--AND(DZ$3&gt;=MAX($B$39,$B$38),DZ$3&lt;EDATE($B$39,MAX(1,'Вводные'!$K$53)),AND($B$35="Да",IFERROR(INDEX('Вводные'!$B$88:$B$91,$B$36),"Нет")="Да"))</x:f>
      </x:c>
      <x:c r="EA48" s="35" t="n">
        <x:f>--AND(EA$3&gt;=MAX($B$39,$B$38),EA$3&lt;EDATE($B$39,MAX(1,'Вводные'!$K$53)),AND($B$35="Да",IFERROR(INDEX('Вводные'!$B$88:$B$91,$B$36),"Нет")="Да"))</x:f>
      </x:c>
      <x:c r="EB48" s="35" t="n">
        <x:f>--AND(EB$3&gt;=MAX($B$39,$B$38),EB$3&lt;EDATE($B$39,MAX(1,'Вводные'!$K$53)),AND($B$35="Да",IFERROR(INDEX('Вводные'!$B$88:$B$91,$B$36),"Нет")="Да"))</x:f>
      </x:c>
      <x:c r="EC48" s="35" t="n">
        <x:f>--AND(EC$3&gt;=MAX($B$39,$B$38),EC$3&lt;EDATE($B$39,MAX(1,'Вводные'!$K$53)),AND($B$35="Да",IFERROR(INDEX('Вводные'!$B$88:$B$91,$B$36),"Нет")="Да"))</x:f>
      </x:c>
      <x:c r="ED48" s="35" t="n">
        <x:f>--AND(ED$3&gt;=MAX($B$39,$B$38),ED$3&lt;EDATE($B$39,MAX(1,'Вводные'!$K$53)),AND($B$35="Да",IFERROR(INDEX('Вводные'!$B$88:$B$91,$B$36),"Нет")="Да"))</x:f>
      </x:c>
      <x:c r="EE48" s="35" t="n">
        <x:f>--AND(EE$3&gt;=MAX($B$39,$B$38),EE$3&lt;EDATE($B$39,MAX(1,'Вводные'!$K$53)),AND($B$35="Да",IFERROR(INDEX('Вводные'!$B$88:$B$91,$B$36),"Нет")="Да"))</x:f>
      </x:c>
      <x:c r="EF48" s="35" t="n">
        <x:f>--AND(EF$3&gt;=MAX($B$39,$B$38),EF$3&lt;EDATE($B$39,MAX(1,'Вводные'!$K$53)),AND($B$35="Да",IFERROR(INDEX('Вводные'!$B$88:$B$91,$B$36),"Нет")="Да"))</x:f>
      </x:c>
      <x:c r="EG48" s="35" t="n">
        <x:f>--AND(EG$3&gt;=MAX($B$39,$B$38),EG$3&lt;EDATE($B$39,MAX(1,'Вводные'!$K$53)),AND($B$35="Да",IFERROR(INDEX('Вводные'!$B$88:$B$91,$B$36),"Нет")="Да"))</x:f>
      </x:c>
      <x:c r="EH48" s="35" t="n">
        <x:f>--AND(EH$3&gt;=MAX($B$39,$B$38),EH$3&lt;EDATE($B$39,MAX(1,'Вводные'!$K$53)),AND($B$35="Да",IFERROR(INDEX('Вводные'!$B$88:$B$91,$B$36),"Нет")="Да"))</x:f>
      </x:c>
      <x:c r="EI48" s="35" t="n">
        <x:f>--AND(EI$3&gt;=MAX($B$39,$B$38),EI$3&lt;EDATE($B$39,MAX(1,'Вводные'!$K$53)),AND($B$35="Да",IFERROR(INDEX('Вводные'!$B$88:$B$91,$B$36),"Нет")="Да"))</x:f>
      </x:c>
      <x:c r="EJ48" s="35" t="n">
        <x:f>--AND(EJ$3&gt;=MAX($B$39,$B$38),EJ$3&lt;EDATE($B$39,MAX(1,'Вводные'!$K$53)),AND($B$35="Да",IFERROR(INDEX('Вводные'!$B$88:$B$91,$B$36),"Нет")="Да"))</x:f>
      </x:c>
      <x:c r="EK48" s="35" t="n">
        <x:f>--AND(EK$3&gt;=MAX($B$39,$B$38),EK$3&lt;EDATE($B$39,MAX(1,'Вводные'!$K$53)),AND($B$35="Да",IFERROR(INDEX('Вводные'!$B$88:$B$91,$B$36),"Нет")="Да"))</x:f>
      </x:c>
      <x:c r="EL48" s="35" t="n">
        <x:f>--AND(EL$3&gt;=MAX($B$39,$B$38),EL$3&lt;EDATE($B$39,MAX(1,'Вводные'!$K$53)),AND($B$35="Да",IFERROR(INDEX('Вводные'!$B$88:$B$91,$B$36),"Нет")="Да"))</x:f>
      </x:c>
      <x:c r="EM48" s="35" t="n">
        <x:f>--AND(EM$3&gt;=MAX($B$39,$B$38),EM$3&lt;EDATE($B$39,MAX(1,'Вводные'!$K$53)),AND($B$35="Да",IFERROR(INDEX('Вводные'!$B$88:$B$91,$B$36),"Нет")="Да"))</x:f>
      </x:c>
      <x:c r="EN48" s="35" t="n">
        <x:f>--AND(EN$3&gt;=MAX($B$39,$B$38),EN$3&lt;EDATE($B$39,MAX(1,'Вводные'!$K$53)),AND($B$35="Да",IFERROR(INDEX('Вводные'!$B$88:$B$91,$B$36),"Нет")="Да"))</x:f>
      </x:c>
      <x:c r="EO48" s="35" t="n">
        <x:f>--AND(EO$3&gt;=MAX($B$39,$B$38),EO$3&lt;EDATE($B$39,MAX(1,'Вводные'!$K$53)),AND($B$35="Да",IFERROR(INDEX('Вводные'!$B$88:$B$91,$B$36),"Нет")="Да"))</x:f>
      </x:c>
      <x:c r="EP48" s="35" t="n">
        <x:f>--AND(EP$3&gt;=MAX($B$39,$B$38),EP$3&lt;EDATE($B$39,MAX(1,'Вводные'!$K$53)),AND($B$35="Да",IFERROR(INDEX('Вводные'!$B$88:$B$91,$B$36),"Нет")="Да"))</x:f>
      </x:c>
      <x:c r="EQ48" s="35" t="n">
        <x:f>--AND(EQ$3&gt;=MAX($B$39,$B$38),EQ$3&lt;EDATE($B$39,MAX(1,'Вводные'!$K$53)),AND($B$35="Да",IFERROR(INDEX('Вводные'!$B$88:$B$91,$B$36),"Нет")="Да"))</x:f>
      </x:c>
      <x:c r="ER48" s="35" t="n">
        <x:f>--AND(ER$3&gt;=MAX($B$39,$B$38),ER$3&lt;EDATE($B$39,MAX(1,'Вводные'!$K$53)),AND($B$35="Да",IFERROR(INDEX('Вводные'!$B$88:$B$91,$B$36),"Нет")="Да"))</x:f>
      </x:c>
      <x:c r="ES48" s="35" t="n">
        <x:f>--AND(ES$3&gt;=MAX($B$39,$B$38),ES$3&lt;EDATE($B$39,MAX(1,'Вводные'!$K$53)),AND($B$35="Да",IFERROR(INDEX('Вводные'!$B$88:$B$91,$B$36),"Нет")="Да"))</x:f>
      </x:c>
      <x:c r="ET48" s="35" t="n">
        <x:f>--AND(ET$3&gt;=MAX($B$39,$B$38),ET$3&lt;EDATE($B$39,MAX(1,'Вводные'!$K$53)),AND($B$35="Да",IFERROR(INDEX('Вводные'!$B$88:$B$91,$B$36),"Нет")="Да"))</x:f>
      </x:c>
      <x:c r="EU48" s="35" t="n">
        <x:f>--AND(EU$3&gt;=MAX($B$39,$B$38),EU$3&lt;EDATE($B$39,MAX(1,'Вводные'!$K$53)),AND($B$35="Да",IFERROR(INDEX('Вводные'!$B$88:$B$91,$B$36),"Нет")="Да"))</x:f>
      </x:c>
      <x:c r="EV48" s="35" t="n">
        <x:f>--AND(EV$3&gt;=MAX($B$39,$B$38),EV$3&lt;EDATE($B$39,MAX(1,'Вводные'!$K$53)),AND($B$35="Да",IFERROR(INDEX('Вводные'!$B$88:$B$91,$B$36),"Нет")="Да"))</x:f>
      </x:c>
      <x:c r="EW48" s="35" t="n">
        <x:f>--AND(EW$3&gt;=MAX($B$39,$B$38),EW$3&lt;EDATE($B$39,MAX(1,'Вводные'!$K$53)),AND($B$35="Да",IFERROR(INDEX('Вводные'!$B$88:$B$91,$B$36),"Нет")="Да"))</x:f>
      </x:c>
      <x:c r="EX48" s="35" t="n">
        <x:f>--AND(EX$3&gt;=MAX($B$39,$B$38),EX$3&lt;EDATE($B$39,MAX(1,'Вводные'!$K$53)),AND($B$35="Да",IFERROR(INDEX('Вводные'!$B$88:$B$91,$B$36),"Нет")="Да"))</x:f>
      </x:c>
      <x:c r="EY48" s="35" t="n">
        <x:f>--AND(EY$3&gt;=MAX($B$39,$B$38),EY$3&lt;EDATE($B$39,MAX(1,'Вводные'!$K$53)),AND($B$35="Да",IFERROR(INDEX('Вводные'!$B$88:$B$91,$B$36),"Нет")="Да"))</x:f>
      </x:c>
      <x:c r="EZ48" s="35" t="n">
        <x:f>--AND(EZ$3&gt;=MAX($B$39,$B$38),EZ$3&lt;EDATE($B$39,MAX(1,'Вводные'!$K$53)),AND($B$35="Да",IFERROR(INDEX('Вводные'!$B$88:$B$91,$B$36),"Нет")="Да"))</x:f>
      </x:c>
      <x:c r="FA48" s="35" t="n">
        <x:f>--AND(FA$3&gt;=MAX($B$39,$B$38),FA$3&lt;EDATE($B$39,MAX(1,'Вводные'!$K$53)),AND($B$35="Да",IFERROR(INDEX('Вводные'!$B$88:$B$91,$B$36),"Нет")="Да"))</x:f>
      </x:c>
      <x:c r="FB48" s="35" t="n">
        <x:f>--AND(FB$3&gt;=MAX($B$39,$B$38),FB$3&lt;EDATE($B$39,MAX(1,'Вводные'!$K$53)),AND($B$35="Да",IFERROR(INDEX('Вводные'!$B$88:$B$91,$B$36),"Нет")="Да"))</x:f>
      </x:c>
      <x:c r="FC48" s="35" t="n">
        <x:f>--AND(FC$3&gt;=MAX($B$39,$B$38),FC$3&lt;EDATE($B$39,MAX(1,'Вводные'!$K$53)),AND($B$35="Да",IFERROR(INDEX('Вводные'!$B$88:$B$91,$B$36),"Нет")="Да"))</x:f>
      </x:c>
      <x:c r="FD48" s="35" t="n">
        <x:f>--AND(FD$3&gt;=MAX($B$39,$B$38),FD$3&lt;EDATE($B$39,MAX(1,'Вводные'!$K$53)),AND($B$35="Да",IFERROR(INDEX('Вводные'!$B$88:$B$91,$B$36),"Нет")="Да"))</x:f>
      </x:c>
      <x:c r="FE48" s="35" t="n">
        <x:f>--AND(FE$3&gt;=MAX($B$39,$B$38),FE$3&lt;EDATE($B$39,MAX(1,'Вводные'!$K$53)),AND($B$35="Да",IFERROR(INDEX('Вводные'!$B$88:$B$91,$B$36),"Нет")="Да"))</x:f>
      </x:c>
      <x:c r="FF48" s="35" t="n">
        <x:f>--AND(FF$3&gt;=MAX($B$39,$B$38),FF$3&lt;EDATE($B$39,MAX(1,'Вводные'!$K$53)),AND($B$35="Да",IFERROR(INDEX('Вводные'!$B$88:$B$91,$B$36),"Нет")="Да"))</x:f>
      </x:c>
      <x:c r="FG48" s="35" t="n">
        <x:f>--AND(FG$3&gt;=MAX($B$39,$B$38),FG$3&lt;EDATE($B$39,MAX(1,'Вводные'!$K$53)),AND($B$35="Да",IFERROR(INDEX('Вводные'!$B$88:$B$91,$B$36),"Нет")="Да"))</x:f>
      </x:c>
      <x:c r="FH48" s="35" t="n">
        <x:f>--AND(FH$3&gt;=MAX($B$39,$B$38),FH$3&lt;EDATE($B$39,MAX(1,'Вводные'!$K$53)),AND($B$35="Да",IFERROR(INDEX('Вводные'!$B$88:$B$91,$B$36),"Нет")="Да"))</x:f>
      </x:c>
      <x:c r="FI48" s="35" t="n">
        <x:f>--AND(FI$3&gt;=MAX($B$39,$B$38),FI$3&lt;EDATE($B$39,MAX(1,'Вводные'!$K$53)),AND($B$35="Да",IFERROR(INDEX('Вводные'!$B$88:$B$91,$B$36),"Нет")="Да"))</x:f>
      </x:c>
      <x:c r="FJ48" s="35" t="n">
        <x:f>--AND(FJ$3&gt;=MAX($B$39,$B$38),FJ$3&lt;EDATE($B$39,MAX(1,'Вводные'!$K$53)),AND($B$35="Да",IFERROR(INDEX('Вводные'!$B$88:$B$91,$B$36),"Нет")="Да"))</x:f>
      </x:c>
      <x:c r="FK48" s="35" t="n">
        <x:f>--AND(FK$3&gt;=MAX($B$39,$B$38),FK$3&lt;EDATE($B$39,MAX(1,'Вводные'!$K$53)),AND($B$35="Да",IFERROR(INDEX('Вводные'!$B$88:$B$91,$B$36),"Нет")="Да"))</x:f>
      </x:c>
      <x:c r="FL48" s="35" t="n">
        <x:f>--AND(FL$3&gt;=MAX($B$39,$B$38),FL$3&lt;EDATE($B$39,MAX(1,'Вводные'!$K$53)),AND($B$35="Да",IFERROR(INDEX('Вводные'!$B$88:$B$91,$B$36),"Нет")="Да"))</x:f>
      </x:c>
      <x:c r="FM48" s="35" t="n">
        <x:f>--AND(FM$3&gt;=MAX($B$39,$B$38),FM$3&lt;EDATE($B$39,MAX(1,'Вводные'!$K$53)),AND($B$35="Да",IFERROR(INDEX('Вводные'!$B$88:$B$91,$B$36),"Нет")="Да"))</x:f>
      </x:c>
      <x:c r="FN48" s="35" t="n">
        <x:f>--AND(FN$3&gt;=MAX($B$39,$B$38),FN$3&lt;EDATE($B$39,MAX(1,'Вводные'!$K$53)),AND($B$35="Да",IFERROR(INDEX('Вводные'!$B$88:$B$91,$B$36),"Нет")="Да"))</x:f>
      </x:c>
      <x:c r="FO48" s="35" t="n">
        <x:f>--AND(FO$3&gt;=MAX($B$39,$B$38),FO$3&lt;EDATE($B$39,MAX(1,'Вводные'!$K$53)),AND($B$35="Да",IFERROR(INDEX('Вводные'!$B$88:$B$91,$B$36),"Нет")="Да"))</x:f>
      </x:c>
      <x:c r="FP48" s="35" t="n">
        <x:f>--AND(FP$3&gt;=MAX($B$39,$B$38),FP$3&lt;EDATE($B$39,MAX(1,'Вводные'!$K$53)),AND($B$35="Да",IFERROR(INDEX('Вводные'!$B$88:$B$91,$B$36),"Нет")="Да"))</x:f>
      </x:c>
      <x:c r="FQ48" s="35" t="n">
        <x:f>--AND(FQ$3&gt;=MAX($B$39,$B$38),FQ$3&lt;EDATE($B$39,MAX(1,'Вводные'!$K$53)),AND($B$35="Да",IFERROR(INDEX('Вводные'!$B$88:$B$91,$B$36),"Нет")="Да"))</x:f>
      </x:c>
      <x:c r="FR48" s="35" t="n">
        <x:f>--AND(FR$3&gt;=MAX($B$39,$B$38),FR$3&lt;EDATE($B$39,MAX(1,'Вводные'!$K$53)),AND($B$35="Да",IFERROR(INDEX('Вводные'!$B$88:$B$91,$B$36),"Нет")="Да"))</x:f>
      </x:c>
      <x:c r="FS48" s="35" t="n">
        <x:f>--AND(FS$3&gt;=MAX($B$39,$B$38),FS$3&lt;EDATE($B$39,MAX(1,'Вводные'!$K$53)),AND($B$35="Да",IFERROR(INDEX('Вводные'!$B$88:$B$91,$B$36),"Нет")="Да"))</x:f>
      </x:c>
      <x:c r="FT48" s="35" t="n">
        <x:f>--AND(FT$3&gt;=MAX($B$39,$B$38),FT$3&lt;EDATE($B$39,MAX(1,'Вводные'!$K$53)),AND($B$35="Да",IFERROR(INDEX('Вводные'!$B$88:$B$91,$B$36),"Нет")="Да"))</x:f>
      </x:c>
      <x:c r="FU48" s="35" t="n">
        <x:f>--AND(FU$3&gt;=MAX($B$39,$B$38),FU$3&lt;EDATE($B$39,MAX(1,'Вводные'!$K$53)),AND($B$35="Да",IFERROR(INDEX('Вводные'!$B$88:$B$91,$B$36),"Нет")="Да"))</x:f>
      </x:c>
      <x:c r="FV48" s="35" t="n">
        <x:f>--AND(FV$3&gt;=MAX($B$39,$B$38),FV$3&lt;EDATE($B$39,MAX(1,'Вводные'!$K$53)),AND($B$35="Да",IFERROR(INDEX('Вводные'!$B$88:$B$91,$B$36),"Нет")="Да"))</x:f>
      </x:c>
      <x:c r="FW48" s="35" t="n">
        <x:f>--AND(FW$3&gt;=MAX($B$39,$B$38),FW$3&lt;EDATE($B$39,MAX(1,'Вводные'!$K$53)),AND($B$35="Да",IFERROR(INDEX('Вводные'!$B$88:$B$91,$B$36),"Нет")="Да"))</x:f>
      </x:c>
      <x:c r="FX48" s="35" t="n">
        <x:f>--AND(FX$3&gt;=MAX($B$39,$B$38),FX$3&lt;EDATE($B$39,MAX(1,'Вводные'!$K$53)),AND($B$35="Да",IFERROR(INDEX('Вводные'!$B$88:$B$91,$B$36),"Нет")="Да"))</x:f>
      </x:c>
      <x:c r="FY48" s="35" t="n">
        <x:f>--AND(FY$3&gt;=MAX($B$39,$B$38),FY$3&lt;EDATE($B$39,MAX(1,'Вводные'!$K$53)),AND($B$35="Да",IFERROR(INDEX('Вводные'!$B$88:$B$91,$B$36),"Нет")="Да"))</x:f>
      </x:c>
      <x:c r="FZ48" s="35" t="n">
        <x:f>--AND(FZ$3&gt;=MAX($B$39,$B$38),FZ$3&lt;EDATE($B$39,MAX(1,'Вводные'!$K$53)),AND($B$35="Да",IFERROR(INDEX('Вводные'!$B$88:$B$91,$B$36),"Нет")="Да"))</x:f>
      </x:c>
      <x:c r="GA48" s="35" t="n">
        <x:f>--AND(GA$3&gt;=MAX($B$39,$B$38),GA$3&lt;EDATE($B$39,MAX(1,'Вводные'!$K$53)),AND($B$35="Да",IFERROR(INDEX('Вводные'!$B$88:$B$91,$B$36),"Нет")="Да"))</x:f>
      </x:c>
    </x:row>
    <x:row r="49">
      <x:c r="A49" t="str">
        <x:v>Нормированный вес после РВЭ</x:v>
      </x:c>
      <x:c r="B49" s="35" t="n">
        <x:f>SUM(D49:GA49)</x:f>
      </x:c>
      <x:c r="C49" t="str">
        <x:v>%</x:v>
      </x:c>
      <x:c r="D49" s="35" t="n">
        <x:f>IFERROR(D46*D48/SUMPRODUCT($D46:$GA46,$D48:$GA48),0)</x:f>
      </x:c>
      <x:c r="E49" s="35" t="n">
        <x:f>IFERROR(E46*E48/SUMPRODUCT($D46:$GA46,$D48:$GA48),0)</x:f>
      </x:c>
      <x:c r="F49" s="35" t="n">
        <x:f>IFERROR(F46*F48/SUMPRODUCT($D46:$GA46,$D48:$GA48),0)</x:f>
      </x:c>
      <x:c r="G49" s="35" t="n">
        <x:f>IFERROR(G46*G48/SUMPRODUCT($D46:$GA46,$D48:$GA48),0)</x:f>
      </x:c>
      <x:c r="H49" s="35" t="n">
        <x:f>IFERROR(H46*H48/SUMPRODUCT($D46:$GA46,$D48:$GA48),0)</x:f>
      </x:c>
      <x:c r="I49" s="35" t="n">
        <x:f>IFERROR(I46*I48/SUMPRODUCT($D46:$GA46,$D48:$GA48),0)</x:f>
      </x:c>
      <x:c r="J49" s="35" t="n">
        <x:f>IFERROR(J46*J48/SUMPRODUCT($D46:$GA46,$D48:$GA48),0)</x:f>
      </x:c>
      <x:c r="K49" s="35" t="n">
        <x:f>IFERROR(K46*K48/SUMPRODUCT($D46:$GA46,$D48:$GA48),0)</x:f>
      </x:c>
      <x:c r="L49" s="35" t="n">
        <x:f>IFERROR(L46*L48/SUMPRODUCT($D46:$GA46,$D48:$GA48),0)</x:f>
      </x:c>
      <x:c r="M49" s="35" t="n">
        <x:f>IFERROR(M46*M48/SUMPRODUCT($D46:$GA46,$D48:$GA48),0)</x:f>
      </x:c>
      <x:c r="N49" s="35" t="n">
        <x:f>IFERROR(N46*N48/SUMPRODUCT($D46:$GA46,$D48:$GA48),0)</x:f>
      </x:c>
      <x:c r="O49" s="35" t="n">
        <x:f>IFERROR(O46*O48/SUMPRODUCT($D46:$GA46,$D48:$GA48),0)</x:f>
      </x:c>
      <x:c r="P49" s="35" t="n">
        <x:f>IFERROR(P46*P48/SUMPRODUCT($D46:$GA46,$D48:$GA48),0)</x:f>
      </x:c>
      <x:c r="Q49" s="35" t="n">
        <x:f>IFERROR(Q46*Q48/SUMPRODUCT($D46:$GA46,$D48:$GA48),0)</x:f>
      </x:c>
      <x:c r="R49" s="35" t="n">
        <x:f>IFERROR(R46*R48/SUMPRODUCT($D46:$GA46,$D48:$GA48),0)</x:f>
      </x:c>
      <x:c r="S49" s="35" t="n">
        <x:f>IFERROR(S46*S48/SUMPRODUCT($D46:$GA46,$D48:$GA48),0)</x:f>
      </x:c>
      <x:c r="T49" s="35" t="n">
        <x:f>IFERROR(T46*T48/SUMPRODUCT($D46:$GA46,$D48:$GA48),0)</x:f>
      </x:c>
      <x:c r="U49" s="35" t="n">
        <x:f>IFERROR(U46*U48/SUMPRODUCT($D46:$GA46,$D48:$GA48),0)</x:f>
      </x:c>
      <x:c r="V49" s="35" t="n">
        <x:f>IFERROR(V46*V48/SUMPRODUCT($D46:$GA46,$D48:$GA48),0)</x:f>
      </x:c>
      <x:c r="W49" s="35" t="n">
        <x:f>IFERROR(W46*W48/SUMPRODUCT($D46:$GA46,$D48:$GA48),0)</x:f>
      </x:c>
      <x:c r="X49" s="35" t="n">
        <x:f>IFERROR(X46*X48/SUMPRODUCT($D46:$GA46,$D48:$GA48),0)</x:f>
      </x:c>
      <x:c r="Y49" s="35" t="n">
        <x:f>IFERROR(Y46*Y48/SUMPRODUCT($D46:$GA46,$D48:$GA48),0)</x:f>
      </x:c>
      <x:c r="Z49" s="35" t="n">
        <x:f>IFERROR(Z46*Z48/SUMPRODUCT($D46:$GA46,$D48:$GA48),0)</x:f>
      </x:c>
      <x:c r="AA49" s="35" t="n">
        <x:f>IFERROR(AA46*AA48/SUMPRODUCT($D46:$GA46,$D48:$GA48),0)</x:f>
      </x:c>
      <x:c r="AB49" s="35" t="n">
        <x:f>IFERROR(AB46*AB48/SUMPRODUCT($D46:$GA46,$D48:$GA48),0)</x:f>
      </x:c>
      <x:c r="AC49" s="35" t="n">
        <x:f>IFERROR(AC46*AC48/SUMPRODUCT($D46:$GA46,$D48:$GA48),0)</x:f>
      </x:c>
      <x:c r="AD49" s="35" t="n">
        <x:f>IFERROR(AD46*AD48/SUMPRODUCT($D46:$GA46,$D48:$GA48),0)</x:f>
      </x:c>
      <x:c r="AE49" s="35" t="n">
        <x:f>IFERROR(AE46*AE48/SUMPRODUCT($D46:$GA46,$D48:$GA48),0)</x:f>
      </x:c>
      <x:c r="AF49" s="35" t="n">
        <x:f>IFERROR(AF46*AF48/SUMPRODUCT($D46:$GA46,$D48:$GA48),0)</x:f>
      </x:c>
      <x:c r="AG49" s="35" t="n">
        <x:f>IFERROR(AG46*AG48/SUMPRODUCT($D46:$GA46,$D48:$GA48),0)</x:f>
      </x:c>
      <x:c r="AH49" s="35" t="n">
        <x:f>IFERROR(AH46*AH48/SUMPRODUCT($D46:$GA46,$D48:$GA48),0)</x:f>
      </x:c>
      <x:c r="AI49" s="35" t="n">
        <x:f>IFERROR(AI46*AI48/SUMPRODUCT($D46:$GA46,$D48:$GA48),0)</x:f>
      </x:c>
      <x:c r="AJ49" s="35" t="n">
        <x:f>IFERROR(AJ46*AJ48/SUMPRODUCT($D46:$GA46,$D48:$GA48),0)</x:f>
      </x:c>
      <x:c r="AK49" s="35" t="n">
        <x:f>IFERROR(AK46*AK48/SUMPRODUCT($D46:$GA46,$D48:$GA48),0)</x:f>
      </x:c>
      <x:c r="AL49" s="35" t="n">
        <x:f>IFERROR(AL46*AL48/SUMPRODUCT($D46:$GA46,$D48:$GA48),0)</x:f>
      </x:c>
      <x:c r="AM49" s="35" t="n">
        <x:f>IFERROR(AM46*AM48/SUMPRODUCT($D46:$GA46,$D48:$GA48),0)</x:f>
      </x:c>
      <x:c r="AN49" s="35" t="n">
        <x:f>IFERROR(AN46*AN48/SUMPRODUCT($D46:$GA46,$D48:$GA48),0)</x:f>
      </x:c>
      <x:c r="AO49" s="35" t="n">
        <x:f>IFERROR(AO46*AO48/SUMPRODUCT($D46:$GA46,$D48:$GA48),0)</x:f>
      </x:c>
      <x:c r="AP49" s="35" t="n">
        <x:f>IFERROR(AP46*AP48/SUMPRODUCT($D46:$GA46,$D48:$GA48),0)</x:f>
      </x:c>
      <x:c r="AQ49" s="35" t="n">
        <x:f>IFERROR(AQ46*AQ48/SUMPRODUCT($D46:$GA46,$D48:$GA48),0)</x:f>
      </x:c>
      <x:c r="AR49" s="35" t="n">
        <x:f>IFERROR(AR46*AR48/SUMPRODUCT($D46:$GA46,$D48:$GA48),0)</x:f>
      </x:c>
      <x:c r="AS49" s="35" t="n">
        <x:f>IFERROR(AS46*AS48/SUMPRODUCT($D46:$GA46,$D48:$GA48),0)</x:f>
      </x:c>
      <x:c r="AT49" s="35" t="n">
        <x:f>IFERROR(AT46*AT48/SUMPRODUCT($D46:$GA46,$D48:$GA48),0)</x:f>
      </x:c>
      <x:c r="AU49" s="35" t="n">
        <x:f>IFERROR(AU46*AU48/SUMPRODUCT($D46:$GA46,$D48:$GA48),0)</x:f>
      </x:c>
      <x:c r="AV49" s="35" t="n">
        <x:f>IFERROR(AV46*AV48/SUMPRODUCT($D46:$GA46,$D48:$GA48),0)</x:f>
      </x:c>
      <x:c r="AW49" s="35" t="n">
        <x:f>IFERROR(AW46*AW48/SUMPRODUCT($D46:$GA46,$D48:$GA48),0)</x:f>
      </x:c>
      <x:c r="AX49" s="35" t="n">
        <x:f>IFERROR(AX46*AX48/SUMPRODUCT($D46:$GA46,$D48:$GA48),0)</x:f>
      </x:c>
      <x:c r="AY49" s="35" t="n">
        <x:f>IFERROR(AY46*AY48/SUMPRODUCT($D46:$GA46,$D48:$GA48),0)</x:f>
      </x:c>
      <x:c r="AZ49" s="35" t="n">
        <x:f>IFERROR(AZ46*AZ48/SUMPRODUCT($D46:$GA46,$D48:$GA48),0)</x:f>
      </x:c>
      <x:c r="BA49" s="35" t="n">
        <x:f>IFERROR(BA46*BA48/SUMPRODUCT($D46:$GA46,$D48:$GA48),0)</x:f>
      </x:c>
      <x:c r="BB49" s="35" t="n">
        <x:f>IFERROR(BB46*BB48/SUMPRODUCT($D46:$GA46,$D48:$GA48),0)</x:f>
      </x:c>
      <x:c r="BC49" s="35" t="n">
        <x:f>IFERROR(BC46*BC48/SUMPRODUCT($D46:$GA46,$D48:$GA48),0)</x:f>
      </x:c>
      <x:c r="BD49" s="35" t="n">
        <x:f>IFERROR(BD46*BD48/SUMPRODUCT($D46:$GA46,$D48:$GA48),0)</x:f>
      </x:c>
      <x:c r="BE49" s="35" t="n">
        <x:f>IFERROR(BE46*BE48/SUMPRODUCT($D46:$GA46,$D48:$GA48),0)</x:f>
      </x:c>
      <x:c r="BF49" s="35" t="n">
        <x:f>IFERROR(BF46*BF48/SUMPRODUCT($D46:$GA46,$D48:$GA48),0)</x:f>
      </x:c>
      <x:c r="BG49" s="35" t="n">
        <x:f>IFERROR(BG46*BG48/SUMPRODUCT($D46:$GA46,$D48:$GA48),0)</x:f>
      </x:c>
      <x:c r="BH49" s="35" t="n">
        <x:f>IFERROR(BH46*BH48/SUMPRODUCT($D46:$GA46,$D48:$GA48),0)</x:f>
      </x:c>
      <x:c r="BI49" s="35" t="n">
        <x:f>IFERROR(BI46*BI48/SUMPRODUCT($D46:$GA46,$D48:$GA48),0)</x:f>
      </x:c>
      <x:c r="BJ49" s="35" t="n">
        <x:f>IFERROR(BJ46*BJ48/SUMPRODUCT($D46:$GA46,$D48:$GA48),0)</x:f>
      </x:c>
      <x:c r="BK49" s="35" t="n">
        <x:f>IFERROR(BK46*BK48/SUMPRODUCT($D46:$GA46,$D48:$GA48),0)</x:f>
      </x:c>
      <x:c r="BL49" s="35" t="n">
        <x:f>IFERROR(BL46*BL48/SUMPRODUCT($D46:$GA46,$D48:$GA48),0)</x:f>
      </x:c>
      <x:c r="BM49" s="35" t="n">
        <x:f>IFERROR(BM46*BM48/SUMPRODUCT($D46:$GA46,$D48:$GA48),0)</x:f>
      </x:c>
      <x:c r="BN49" s="35" t="n">
        <x:f>IFERROR(BN46*BN48/SUMPRODUCT($D46:$GA46,$D48:$GA48),0)</x:f>
      </x:c>
      <x:c r="BO49" s="35" t="n">
        <x:f>IFERROR(BO46*BO48/SUMPRODUCT($D46:$GA46,$D48:$GA48),0)</x:f>
      </x:c>
      <x:c r="BP49" s="35" t="n">
        <x:f>IFERROR(BP46*BP48/SUMPRODUCT($D46:$GA46,$D48:$GA48),0)</x:f>
      </x:c>
      <x:c r="BQ49" s="35" t="n">
        <x:f>IFERROR(BQ46*BQ48/SUMPRODUCT($D46:$GA46,$D48:$GA48),0)</x:f>
      </x:c>
      <x:c r="BR49" s="35" t="n">
        <x:f>IFERROR(BR46*BR48/SUMPRODUCT($D46:$GA46,$D48:$GA48),0)</x:f>
      </x:c>
      <x:c r="BS49" s="35" t="n">
        <x:f>IFERROR(BS46*BS48/SUMPRODUCT($D46:$GA46,$D48:$GA48),0)</x:f>
      </x:c>
      <x:c r="BT49" s="35" t="n">
        <x:f>IFERROR(BT46*BT48/SUMPRODUCT($D46:$GA46,$D48:$GA48),0)</x:f>
      </x:c>
      <x:c r="BU49" s="35" t="n">
        <x:f>IFERROR(BU46*BU48/SUMPRODUCT($D46:$GA46,$D48:$GA48),0)</x:f>
      </x:c>
      <x:c r="BV49" s="35" t="n">
        <x:f>IFERROR(BV46*BV48/SUMPRODUCT($D46:$GA46,$D48:$GA48),0)</x:f>
      </x:c>
      <x:c r="BW49" s="35" t="n">
        <x:f>IFERROR(BW46*BW48/SUMPRODUCT($D46:$GA46,$D48:$GA48),0)</x:f>
      </x:c>
      <x:c r="BX49" s="35" t="n">
        <x:f>IFERROR(BX46*BX48/SUMPRODUCT($D46:$GA46,$D48:$GA48),0)</x:f>
      </x:c>
      <x:c r="BY49" s="35" t="n">
        <x:f>IFERROR(BY46*BY48/SUMPRODUCT($D46:$GA46,$D48:$GA48),0)</x:f>
      </x:c>
      <x:c r="BZ49" s="35" t="n">
        <x:f>IFERROR(BZ46*BZ48/SUMPRODUCT($D46:$GA46,$D48:$GA48),0)</x:f>
      </x:c>
      <x:c r="CA49" s="35" t="n">
        <x:f>IFERROR(CA46*CA48/SUMPRODUCT($D46:$GA46,$D48:$GA48),0)</x:f>
      </x:c>
      <x:c r="CB49" s="35" t="n">
        <x:f>IFERROR(CB46*CB48/SUMPRODUCT($D46:$GA46,$D48:$GA48),0)</x:f>
      </x:c>
      <x:c r="CC49" s="35" t="n">
        <x:f>IFERROR(CC46*CC48/SUMPRODUCT($D46:$GA46,$D48:$GA48),0)</x:f>
      </x:c>
      <x:c r="CD49" s="35" t="n">
        <x:f>IFERROR(CD46*CD48/SUMPRODUCT($D46:$GA46,$D48:$GA48),0)</x:f>
      </x:c>
      <x:c r="CE49" s="35" t="n">
        <x:f>IFERROR(CE46*CE48/SUMPRODUCT($D46:$GA46,$D48:$GA48),0)</x:f>
      </x:c>
      <x:c r="CF49" s="35" t="n">
        <x:f>IFERROR(CF46*CF48/SUMPRODUCT($D46:$GA46,$D48:$GA48),0)</x:f>
      </x:c>
      <x:c r="CG49" s="35" t="n">
        <x:f>IFERROR(CG46*CG48/SUMPRODUCT($D46:$GA46,$D48:$GA48),0)</x:f>
      </x:c>
      <x:c r="CH49" s="35" t="n">
        <x:f>IFERROR(CH46*CH48/SUMPRODUCT($D46:$GA46,$D48:$GA48),0)</x:f>
      </x:c>
      <x:c r="CI49" s="35" t="n">
        <x:f>IFERROR(CI46*CI48/SUMPRODUCT($D46:$GA46,$D48:$GA48),0)</x:f>
      </x:c>
      <x:c r="CJ49" s="35" t="n">
        <x:f>IFERROR(CJ46*CJ48/SUMPRODUCT($D46:$GA46,$D48:$GA48),0)</x:f>
      </x:c>
      <x:c r="CK49" s="35" t="n">
        <x:f>IFERROR(CK46*CK48/SUMPRODUCT($D46:$GA46,$D48:$GA48),0)</x:f>
      </x:c>
      <x:c r="CL49" s="35" t="n">
        <x:f>IFERROR(CL46*CL48/SUMPRODUCT($D46:$GA46,$D48:$GA48),0)</x:f>
      </x:c>
      <x:c r="CM49" s="35" t="n">
        <x:f>IFERROR(CM46*CM48/SUMPRODUCT($D46:$GA46,$D48:$GA48),0)</x:f>
      </x:c>
      <x:c r="CN49" s="35" t="n">
        <x:f>IFERROR(CN46*CN48/SUMPRODUCT($D46:$GA46,$D48:$GA48),0)</x:f>
      </x:c>
      <x:c r="CO49" s="35" t="n">
        <x:f>IFERROR(CO46*CO48/SUMPRODUCT($D46:$GA46,$D48:$GA48),0)</x:f>
      </x:c>
      <x:c r="CP49" s="35" t="n">
        <x:f>IFERROR(CP46*CP48/SUMPRODUCT($D46:$GA46,$D48:$GA48),0)</x:f>
      </x:c>
      <x:c r="CQ49" s="35" t="n">
        <x:f>IFERROR(CQ46*CQ48/SUMPRODUCT($D46:$GA46,$D48:$GA48),0)</x:f>
      </x:c>
      <x:c r="CR49" s="35" t="n">
        <x:f>IFERROR(CR46*CR48/SUMPRODUCT($D46:$GA46,$D48:$GA48),0)</x:f>
      </x:c>
      <x:c r="CS49" s="35" t="n">
        <x:f>IFERROR(CS46*CS48/SUMPRODUCT($D46:$GA46,$D48:$GA48),0)</x:f>
      </x:c>
      <x:c r="CT49" s="35" t="n">
        <x:f>IFERROR(CT46*CT48/SUMPRODUCT($D46:$GA46,$D48:$GA48),0)</x:f>
      </x:c>
      <x:c r="CU49" s="35" t="n">
        <x:f>IFERROR(CU46*CU48/SUMPRODUCT($D46:$GA46,$D48:$GA48),0)</x:f>
      </x:c>
      <x:c r="CV49" s="35" t="n">
        <x:f>IFERROR(CV46*CV48/SUMPRODUCT($D46:$GA46,$D48:$GA48),0)</x:f>
      </x:c>
      <x:c r="CW49" s="35" t="n">
        <x:f>IFERROR(CW46*CW48/SUMPRODUCT($D46:$GA46,$D48:$GA48),0)</x:f>
      </x:c>
      <x:c r="CX49" s="35" t="n">
        <x:f>IFERROR(CX46*CX48/SUMPRODUCT($D46:$GA46,$D48:$GA48),0)</x:f>
      </x:c>
      <x:c r="CY49" s="35" t="n">
        <x:f>IFERROR(CY46*CY48/SUMPRODUCT($D46:$GA46,$D48:$GA48),0)</x:f>
      </x:c>
      <x:c r="CZ49" s="35" t="n">
        <x:f>IFERROR(CZ46*CZ48/SUMPRODUCT($D46:$GA46,$D48:$GA48),0)</x:f>
      </x:c>
      <x:c r="DA49" s="35" t="n">
        <x:f>IFERROR(DA46*DA48/SUMPRODUCT($D46:$GA46,$D48:$GA48),0)</x:f>
      </x:c>
      <x:c r="DB49" s="35" t="n">
        <x:f>IFERROR(DB46*DB48/SUMPRODUCT($D46:$GA46,$D48:$GA48),0)</x:f>
      </x:c>
      <x:c r="DC49" s="35" t="n">
        <x:f>IFERROR(DC46*DC48/SUMPRODUCT($D46:$GA46,$D48:$GA48),0)</x:f>
      </x:c>
      <x:c r="DD49" s="35" t="n">
        <x:f>IFERROR(DD46*DD48/SUMPRODUCT($D46:$GA46,$D48:$GA48),0)</x:f>
      </x:c>
      <x:c r="DE49" s="35" t="n">
        <x:f>IFERROR(DE46*DE48/SUMPRODUCT($D46:$GA46,$D48:$GA48),0)</x:f>
      </x:c>
      <x:c r="DF49" s="35" t="n">
        <x:f>IFERROR(DF46*DF48/SUMPRODUCT($D46:$GA46,$D48:$GA48),0)</x:f>
      </x:c>
      <x:c r="DG49" s="35" t="n">
        <x:f>IFERROR(DG46*DG48/SUMPRODUCT($D46:$GA46,$D48:$GA48),0)</x:f>
      </x:c>
      <x:c r="DH49" s="35" t="n">
        <x:f>IFERROR(DH46*DH48/SUMPRODUCT($D46:$GA46,$D48:$GA48),0)</x:f>
      </x:c>
      <x:c r="DI49" s="35" t="n">
        <x:f>IFERROR(DI46*DI48/SUMPRODUCT($D46:$GA46,$D48:$GA48),0)</x:f>
      </x:c>
      <x:c r="DJ49" s="35" t="n">
        <x:f>IFERROR(DJ46*DJ48/SUMPRODUCT($D46:$GA46,$D48:$GA48),0)</x:f>
      </x:c>
      <x:c r="DK49" s="35" t="n">
        <x:f>IFERROR(DK46*DK48/SUMPRODUCT($D46:$GA46,$D48:$GA48),0)</x:f>
      </x:c>
      <x:c r="DL49" s="35" t="n">
        <x:f>IFERROR(DL46*DL48/SUMPRODUCT($D46:$GA46,$D48:$GA48),0)</x:f>
      </x:c>
      <x:c r="DM49" s="35" t="n">
        <x:f>IFERROR(DM46*DM48/SUMPRODUCT($D46:$GA46,$D48:$GA48),0)</x:f>
      </x:c>
      <x:c r="DN49" s="35" t="n">
        <x:f>IFERROR(DN46*DN48/SUMPRODUCT($D46:$GA46,$D48:$GA48),0)</x:f>
      </x:c>
      <x:c r="DO49" s="35" t="n">
        <x:f>IFERROR(DO46*DO48/SUMPRODUCT($D46:$GA46,$D48:$GA48),0)</x:f>
      </x:c>
      <x:c r="DP49" s="35" t="n">
        <x:f>IFERROR(DP46*DP48/SUMPRODUCT($D46:$GA46,$D48:$GA48),0)</x:f>
      </x:c>
      <x:c r="DQ49" s="35" t="n">
        <x:f>IFERROR(DQ46*DQ48/SUMPRODUCT($D46:$GA46,$D48:$GA48),0)</x:f>
      </x:c>
      <x:c r="DR49" s="35" t="n">
        <x:f>IFERROR(DR46*DR48/SUMPRODUCT($D46:$GA46,$D48:$GA48),0)</x:f>
      </x:c>
      <x:c r="DS49" s="35" t="n">
        <x:f>IFERROR(DS46*DS48/SUMPRODUCT($D46:$GA46,$D48:$GA48),0)</x:f>
      </x:c>
      <x:c r="DT49" s="35" t="n">
        <x:f>IFERROR(DT46*DT48/SUMPRODUCT($D46:$GA46,$D48:$GA48),0)</x:f>
      </x:c>
      <x:c r="DU49" s="35" t="n">
        <x:f>IFERROR(DU46*DU48/SUMPRODUCT($D46:$GA46,$D48:$GA48),0)</x:f>
      </x:c>
      <x:c r="DV49" s="35" t="n">
        <x:f>IFERROR(DV46*DV48/SUMPRODUCT($D46:$GA46,$D48:$GA48),0)</x:f>
      </x:c>
      <x:c r="DW49" s="35" t="n">
        <x:f>IFERROR(DW46*DW48/SUMPRODUCT($D46:$GA46,$D48:$GA48),0)</x:f>
      </x:c>
      <x:c r="DX49" s="35" t="n">
        <x:f>IFERROR(DX46*DX48/SUMPRODUCT($D46:$GA46,$D48:$GA48),0)</x:f>
      </x:c>
      <x:c r="DY49" s="35" t="n">
        <x:f>IFERROR(DY46*DY48/SUMPRODUCT($D46:$GA46,$D48:$GA48),0)</x:f>
      </x:c>
      <x:c r="DZ49" s="35" t="n">
        <x:f>IFERROR(DZ46*DZ48/SUMPRODUCT($D46:$GA46,$D48:$GA48),0)</x:f>
      </x:c>
      <x:c r="EA49" s="35" t="n">
        <x:f>IFERROR(EA46*EA48/SUMPRODUCT($D46:$GA46,$D48:$GA48),0)</x:f>
      </x:c>
      <x:c r="EB49" s="35" t="n">
        <x:f>IFERROR(EB46*EB48/SUMPRODUCT($D46:$GA46,$D48:$GA48),0)</x:f>
      </x:c>
      <x:c r="EC49" s="35" t="n">
        <x:f>IFERROR(EC46*EC48/SUMPRODUCT($D46:$GA46,$D48:$GA48),0)</x:f>
      </x:c>
      <x:c r="ED49" s="35" t="n">
        <x:f>IFERROR(ED46*ED48/SUMPRODUCT($D46:$GA46,$D48:$GA48),0)</x:f>
      </x:c>
      <x:c r="EE49" s="35" t="n">
        <x:f>IFERROR(EE46*EE48/SUMPRODUCT($D46:$GA46,$D48:$GA48),0)</x:f>
      </x:c>
      <x:c r="EF49" s="35" t="n">
        <x:f>IFERROR(EF46*EF48/SUMPRODUCT($D46:$GA46,$D48:$GA48),0)</x:f>
      </x:c>
      <x:c r="EG49" s="35" t="n">
        <x:f>IFERROR(EG46*EG48/SUMPRODUCT($D46:$GA46,$D48:$GA48),0)</x:f>
      </x:c>
      <x:c r="EH49" s="35" t="n">
        <x:f>IFERROR(EH46*EH48/SUMPRODUCT($D46:$GA46,$D48:$GA48),0)</x:f>
      </x:c>
      <x:c r="EI49" s="35" t="n">
        <x:f>IFERROR(EI46*EI48/SUMPRODUCT($D46:$GA46,$D48:$GA48),0)</x:f>
      </x:c>
      <x:c r="EJ49" s="35" t="n">
        <x:f>IFERROR(EJ46*EJ48/SUMPRODUCT($D46:$GA46,$D48:$GA48),0)</x:f>
      </x:c>
      <x:c r="EK49" s="35" t="n">
        <x:f>IFERROR(EK46*EK48/SUMPRODUCT($D46:$GA46,$D48:$GA48),0)</x:f>
      </x:c>
      <x:c r="EL49" s="35" t="n">
        <x:f>IFERROR(EL46*EL48/SUMPRODUCT($D46:$GA46,$D48:$GA48),0)</x:f>
      </x:c>
      <x:c r="EM49" s="35" t="n">
        <x:f>IFERROR(EM46*EM48/SUMPRODUCT($D46:$GA46,$D48:$GA48),0)</x:f>
      </x:c>
      <x:c r="EN49" s="35" t="n">
        <x:f>IFERROR(EN46*EN48/SUMPRODUCT($D46:$GA46,$D48:$GA48),0)</x:f>
      </x:c>
      <x:c r="EO49" s="35" t="n">
        <x:f>IFERROR(EO46*EO48/SUMPRODUCT($D46:$GA46,$D48:$GA48),0)</x:f>
      </x:c>
      <x:c r="EP49" s="35" t="n">
        <x:f>IFERROR(EP46*EP48/SUMPRODUCT($D46:$GA46,$D48:$GA48),0)</x:f>
      </x:c>
      <x:c r="EQ49" s="35" t="n">
        <x:f>IFERROR(EQ46*EQ48/SUMPRODUCT($D46:$GA46,$D48:$GA48),0)</x:f>
      </x:c>
      <x:c r="ER49" s="35" t="n">
        <x:f>IFERROR(ER46*ER48/SUMPRODUCT($D46:$GA46,$D48:$GA48),0)</x:f>
      </x:c>
      <x:c r="ES49" s="35" t="n">
        <x:f>IFERROR(ES46*ES48/SUMPRODUCT($D46:$GA46,$D48:$GA48),0)</x:f>
      </x:c>
      <x:c r="ET49" s="35" t="n">
        <x:f>IFERROR(ET46*ET48/SUMPRODUCT($D46:$GA46,$D48:$GA48),0)</x:f>
      </x:c>
      <x:c r="EU49" s="35" t="n">
        <x:f>IFERROR(EU46*EU48/SUMPRODUCT($D46:$GA46,$D48:$GA48),0)</x:f>
      </x:c>
      <x:c r="EV49" s="35" t="n">
        <x:f>IFERROR(EV46*EV48/SUMPRODUCT($D46:$GA46,$D48:$GA48),0)</x:f>
      </x:c>
      <x:c r="EW49" s="35" t="n">
        <x:f>IFERROR(EW46*EW48/SUMPRODUCT($D46:$GA46,$D48:$GA48),0)</x:f>
      </x:c>
      <x:c r="EX49" s="35" t="n">
        <x:f>IFERROR(EX46*EX48/SUMPRODUCT($D46:$GA46,$D48:$GA48),0)</x:f>
      </x:c>
      <x:c r="EY49" s="35" t="n">
        <x:f>IFERROR(EY46*EY48/SUMPRODUCT($D46:$GA46,$D48:$GA48),0)</x:f>
      </x:c>
      <x:c r="EZ49" s="35" t="n">
        <x:f>IFERROR(EZ46*EZ48/SUMPRODUCT($D46:$GA46,$D48:$GA48),0)</x:f>
      </x:c>
      <x:c r="FA49" s="35" t="n">
        <x:f>IFERROR(FA46*FA48/SUMPRODUCT($D46:$GA46,$D48:$GA48),0)</x:f>
      </x:c>
      <x:c r="FB49" s="35" t="n">
        <x:f>IFERROR(FB46*FB48/SUMPRODUCT($D46:$GA46,$D48:$GA48),0)</x:f>
      </x:c>
      <x:c r="FC49" s="35" t="n">
        <x:f>IFERROR(FC46*FC48/SUMPRODUCT($D46:$GA46,$D48:$GA48),0)</x:f>
      </x:c>
      <x:c r="FD49" s="35" t="n">
        <x:f>IFERROR(FD46*FD48/SUMPRODUCT($D46:$GA46,$D48:$GA48),0)</x:f>
      </x:c>
      <x:c r="FE49" s="35" t="n">
        <x:f>IFERROR(FE46*FE48/SUMPRODUCT($D46:$GA46,$D48:$GA48),0)</x:f>
      </x:c>
      <x:c r="FF49" s="35" t="n">
        <x:f>IFERROR(FF46*FF48/SUMPRODUCT($D46:$GA46,$D48:$GA48),0)</x:f>
      </x:c>
      <x:c r="FG49" s="35" t="n">
        <x:f>IFERROR(FG46*FG48/SUMPRODUCT($D46:$GA46,$D48:$GA48),0)</x:f>
      </x:c>
      <x:c r="FH49" s="35" t="n">
        <x:f>IFERROR(FH46*FH48/SUMPRODUCT($D46:$GA46,$D48:$GA48),0)</x:f>
      </x:c>
      <x:c r="FI49" s="35" t="n">
        <x:f>IFERROR(FI46*FI48/SUMPRODUCT($D46:$GA46,$D48:$GA48),0)</x:f>
      </x:c>
      <x:c r="FJ49" s="35" t="n">
        <x:f>IFERROR(FJ46*FJ48/SUMPRODUCT($D46:$GA46,$D48:$GA48),0)</x:f>
      </x:c>
      <x:c r="FK49" s="35" t="n">
        <x:f>IFERROR(FK46*FK48/SUMPRODUCT($D46:$GA46,$D48:$GA48),0)</x:f>
      </x:c>
      <x:c r="FL49" s="35" t="n">
        <x:f>IFERROR(FL46*FL48/SUMPRODUCT($D46:$GA46,$D48:$GA48),0)</x:f>
      </x:c>
      <x:c r="FM49" s="35" t="n">
        <x:f>IFERROR(FM46*FM48/SUMPRODUCT($D46:$GA46,$D48:$GA48),0)</x:f>
      </x:c>
      <x:c r="FN49" s="35" t="n">
        <x:f>IFERROR(FN46*FN48/SUMPRODUCT($D46:$GA46,$D48:$GA48),0)</x:f>
      </x:c>
      <x:c r="FO49" s="35" t="n">
        <x:f>IFERROR(FO46*FO48/SUMPRODUCT($D46:$GA46,$D48:$GA48),0)</x:f>
      </x:c>
      <x:c r="FP49" s="35" t="n">
        <x:f>IFERROR(FP46*FP48/SUMPRODUCT($D46:$GA46,$D48:$GA48),0)</x:f>
      </x:c>
      <x:c r="FQ49" s="35" t="n">
        <x:f>IFERROR(FQ46*FQ48/SUMPRODUCT($D46:$GA46,$D48:$GA48),0)</x:f>
      </x:c>
      <x:c r="FR49" s="35" t="n">
        <x:f>IFERROR(FR46*FR48/SUMPRODUCT($D46:$GA46,$D48:$GA48),0)</x:f>
      </x:c>
      <x:c r="FS49" s="35" t="n">
        <x:f>IFERROR(FS46*FS48/SUMPRODUCT($D46:$GA46,$D48:$GA48),0)</x:f>
      </x:c>
      <x:c r="FT49" s="35" t="n">
        <x:f>IFERROR(FT46*FT48/SUMPRODUCT($D46:$GA46,$D48:$GA48),0)</x:f>
      </x:c>
      <x:c r="FU49" s="35" t="n">
        <x:f>IFERROR(FU46*FU48/SUMPRODUCT($D46:$GA46,$D48:$GA48),0)</x:f>
      </x:c>
      <x:c r="FV49" s="35" t="n">
        <x:f>IFERROR(FV46*FV48/SUMPRODUCT($D46:$GA46,$D48:$GA48),0)</x:f>
      </x:c>
      <x:c r="FW49" s="35" t="n">
        <x:f>IFERROR(FW46*FW48/SUMPRODUCT($D46:$GA46,$D48:$GA48),0)</x:f>
      </x:c>
      <x:c r="FX49" s="35" t="n">
        <x:f>IFERROR(FX46*FX48/SUMPRODUCT($D46:$GA46,$D48:$GA48),0)</x:f>
      </x:c>
      <x:c r="FY49" s="35" t="n">
        <x:f>IFERROR(FY46*FY48/SUMPRODUCT($D46:$GA46,$D48:$GA48),0)</x:f>
      </x:c>
      <x:c r="FZ49" s="35" t="n">
        <x:f>IFERROR(FZ46*FZ48/SUMPRODUCT($D46:$GA46,$D48:$GA48),0)</x:f>
      </x:c>
      <x:c r="GA49" s="35" t="n">
        <x:f>IFERROR(GA46*GA48/SUMPRODUCT($D46:$GA46,$D48:$GA48),0)</x:f>
      </x:c>
    </x:row>
    <x:row r="50">
      <x:c r="A50" t="str">
        <x:v>Реализованный объём</x:v>
      </x:c>
      <x:c r="B50" s="132" t="n">
        <x:f>SUM(D50:GA50)</x:f>
      </x:c>
      <x:c r="C50" t="str">
        <x:v>м²</x:v>
      </x:c>
      <x:c r="D50" s="132" t="n">
        <x:f>$B$41*((IF(SUM($D45:$GA45)=0,0,IF(SUM($D48:$GA48)=0,1,'Вводные'!$K$52)))*D47+(1-(IF(SUM($D45:$GA45)=0,0,IF(SUM($D48:$GA48)=0,1,'Вводные'!$K$52))))*D49)</x:f>
      </x:c>
      <x:c r="E50" s="132" t="n">
        <x:f>$B$41*((IF(SUM($D45:$GA45)=0,0,IF(SUM($D48:$GA48)=0,1,'Вводные'!$K$52)))*E47+(1-(IF(SUM($D45:$GA45)=0,0,IF(SUM($D48:$GA48)=0,1,'Вводные'!$K$52))))*E49)</x:f>
      </x:c>
      <x:c r="F50" s="132" t="n">
        <x:f>$B$41*((IF(SUM($D45:$GA45)=0,0,IF(SUM($D48:$GA48)=0,1,'Вводные'!$K$52)))*F47+(1-(IF(SUM($D45:$GA45)=0,0,IF(SUM($D48:$GA48)=0,1,'Вводные'!$K$52))))*F49)</x:f>
      </x:c>
      <x:c r="G50" s="132" t="n">
        <x:f>$B$41*((IF(SUM($D45:$GA45)=0,0,IF(SUM($D48:$GA48)=0,1,'Вводные'!$K$52)))*G47+(1-(IF(SUM($D45:$GA45)=0,0,IF(SUM($D48:$GA48)=0,1,'Вводные'!$K$52))))*G49)</x:f>
      </x:c>
      <x:c r="H50" s="132" t="n">
        <x:f>$B$41*((IF(SUM($D45:$GA45)=0,0,IF(SUM($D48:$GA48)=0,1,'Вводные'!$K$52)))*H47+(1-(IF(SUM($D45:$GA45)=0,0,IF(SUM($D48:$GA48)=0,1,'Вводные'!$K$52))))*H49)</x:f>
      </x:c>
      <x:c r="I50" s="132" t="n">
        <x:f>$B$41*((IF(SUM($D45:$GA45)=0,0,IF(SUM($D48:$GA48)=0,1,'Вводные'!$K$52)))*I47+(1-(IF(SUM($D45:$GA45)=0,0,IF(SUM($D48:$GA48)=0,1,'Вводные'!$K$52))))*I49)</x:f>
      </x:c>
      <x:c r="J50" s="132" t="n">
        <x:f>$B$41*((IF(SUM($D45:$GA45)=0,0,IF(SUM($D48:$GA48)=0,1,'Вводные'!$K$52)))*J47+(1-(IF(SUM($D45:$GA45)=0,0,IF(SUM($D48:$GA48)=0,1,'Вводные'!$K$52))))*J49)</x:f>
      </x:c>
      <x:c r="K50" s="132" t="n">
        <x:f>$B$41*((IF(SUM($D45:$GA45)=0,0,IF(SUM($D48:$GA48)=0,1,'Вводные'!$K$52)))*K47+(1-(IF(SUM($D45:$GA45)=0,0,IF(SUM($D48:$GA48)=0,1,'Вводные'!$K$52))))*K49)</x:f>
      </x:c>
      <x:c r="L50" s="132" t="n">
        <x:f>$B$41*((IF(SUM($D45:$GA45)=0,0,IF(SUM($D48:$GA48)=0,1,'Вводные'!$K$52)))*L47+(1-(IF(SUM($D45:$GA45)=0,0,IF(SUM($D48:$GA48)=0,1,'Вводные'!$K$52))))*L49)</x:f>
      </x:c>
      <x:c r="M50" s="132" t="n">
        <x:f>$B$41*((IF(SUM($D45:$GA45)=0,0,IF(SUM($D48:$GA48)=0,1,'Вводные'!$K$52)))*M47+(1-(IF(SUM($D45:$GA45)=0,0,IF(SUM($D48:$GA48)=0,1,'Вводные'!$K$52))))*M49)</x:f>
      </x:c>
      <x:c r="N50" s="132" t="n">
        <x:f>$B$41*((IF(SUM($D45:$GA45)=0,0,IF(SUM($D48:$GA48)=0,1,'Вводные'!$K$52)))*N47+(1-(IF(SUM($D45:$GA45)=0,0,IF(SUM($D48:$GA48)=0,1,'Вводные'!$K$52))))*N49)</x:f>
      </x:c>
      <x:c r="O50" s="132" t="n">
        <x:f>$B$41*((IF(SUM($D45:$GA45)=0,0,IF(SUM($D48:$GA48)=0,1,'Вводные'!$K$52)))*O47+(1-(IF(SUM($D45:$GA45)=0,0,IF(SUM($D48:$GA48)=0,1,'Вводные'!$K$52))))*O49)</x:f>
      </x:c>
      <x:c r="P50" s="132" t="n">
        <x:f>$B$41*((IF(SUM($D45:$GA45)=0,0,IF(SUM($D48:$GA48)=0,1,'Вводные'!$K$52)))*P47+(1-(IF(SUM($D45:$GA45)=0,0,IF(SUM($D48:$GA48)=0,1,'Вводные'!$K$52))))*P49)</x:f>
      </x:c>
      <x:c r="Q50" s="132" t="n">
        <x:f>$B$41*((IF(SUM($D45:$GA45)=0,0,IF(SUM($D48:$GA48)=0,1,'Вводные'!$K$52)))*Q47+(1-(IF(SUM($D45:$GA45)=0,0,IF(SUM($D48:$GA48)=0,1,'Вводные'!$K$52))))*Q49)</x:f>
      </x:c>
      <x:c r="R50" s="132" t="n">
        <x:f>$B$41*((IF(SUM($D45:$GA45)=0,0,IF(SUM($D48:$GA48)=0,1,'Вводные'!$K$52)))*R47+(1-(IF(SUM($D45:$GA45)=0,0,IF(SUM($D48:$GA48)=0,1,'Вводные'!$K$52))))*R49)</x:f>
      </x:c>
      <x:c r="S50" s="132" t="n">
        <x:f>$B$41*((IF(SUM($D45:$GA45)=0,0,IF(SUM($D48:$GA48)=0,1,'Вводные'!$K$52)))*S47+(1-(IF(SUM($D45:$GA45)=0,0,IF(SUM($D48:$GA48)=0,1,'Вводные'!$K$52))))*S49)</x:f>
      </x:c>
      <x:c r="T50" s="132" t="n">
        <x:f>$B$41*((IF(SUM($D45:$GA45)=0,0,IF(SUM($D48:$GA48)=0,1,'Вводные'!$K$52)))*T47+(1-(IF(SUM($D45:$GA45)=0,0,IF(SUM($D48:$GA48)=0,1,'Вводные'!$K$52))))*T49)</x:f>
      </x:c>
      <x:c r="U50" s="132" t="n">
        <x:f>$B$41*((IF(SUM($D45:$GA45)=0,0,IF(SUM($D48:$GA48)=0,1,'Вводные'!$K$52)))*U47+(1-(IF(SUM($D45:$GA45)=0,0,IF(SUM($D48:$GA48)=0,1,'Вводные'!$K$52))))*U49)</x:f>
      </x:c>
      <x:c r="V50" s="132" t="n">
        <x:f>$B$41*((IF(SUM($D45:$GA45)=0,0,IF(SUM($D48:$GA48)=0,1,'Вводные'!$K$52)))*V47+(1-(IF(SUM($D45:$GA45)=0,0,IF(SUM($D48:$GA48)=0,1,'Вводные'!$K$52))))*V49)</x:f>
      </x:c>
      <x:c r="W50" s="132" t="n">
        <x:f>$B$41*((IF(SUM($D45:$GA45)=0,0,IF(SUM($D48:$GA48)=0,1,'Вводные'!$K$52)))*W47+(1-(IF(SUM($D45:$GA45)=0,0,IF(SUM($D48:$GA48)=0,1,'Вводные'!$K$52))))*W49)</x:f>
      </x:c>
      <x:c r="X50" s="132" t="n">
        <x:f>$B$41*((IF(SUM($D45:$GA45)=0,0,IF(SUM($D48:$GA48)=0,1,'Вводные'!$K$52)))*X47+(1-(IF(SUM($D45:$GA45)=0,0,IF(SUM($D48:$GA48)=0,1,'Вводные'!$K$52))))*X49)</x:f>
      </x:c>
      <x:c r="Y50" s="132" t="n">
        <x:f>$B$41*((IF(SUM($D45:$GA45)=0,0,IF(SUM($D48:$GA48)=0,1,'Вводные'!$K$52)))*Y47+(1-(IF(SUM($D45:$GA45)=0,0,IF(SUM($D48:$GA48)=0,1,'Вводные'!$K$52))))*Y49)</x:f>
      </x:c>
      <x:c r="Z50" s="132" t="n">
        <x:f>$B$41*((IF(SUM($D45:$GA45)=0,0,IF(SUM($D48:$GA48)=0,1,'Вводные'!$K$52)))*Z47+(1-(IF(SUM($D45:$GA45)=0,0,IF(SUM($D48:$GA48)=0,1,'Вводные'!$K$52))))*Z49)</x:f>
      </x:c>
      <x:c r="AA50" s="132" t="n">
        <x:f>$B$41*((IF(SUM($D45:$GA45)=0,0,IF(SUM($D48:$GA48)=0,1,'Вводные'!$K$52)))*AA47+(1-(IF(SUM($D45:$GA45)=0,0,IF(SUM($D48:$GA48)=0,1,'Вводные'!$K$52))))*AA49)</x:f>
      </x:c>
      <x:c r="AB50" s="132" t="n">
        <x:f>$B$41*((IF(SUM($D45:$GA45)=0,0,IF(SUM($D48:$GA48)=0,1,'Вводные'!$K$52)))*AB47+(1-(IF(SUM($D45:$GA45)=0,0,IF(SUM($D48:$GA48)=0,1,'Вводные'!$K$52))))*AB49)</x:f>
      </x:c>
      <x:c r="AC50" s="132" t="n">
        <x:f>$B$41*((IF(SUM($D45:$GA45)=0,0,IF(SUM($D48:$GA48)=0,1,'Вводные'!$K$52)))*AC47+(1-(IF(SUM($D45:$GA45)=0,0,IF(SUM($D48:$GA48)=0,1,'Вводные'!$K$52))))*AC49)</x:f>
      </x:c>
      <x:c r="AD50" s="132" t="n">
        <x:f>$B$41*((IF(SUM($D45:$GA45)=0,0,IF(SUM($D48:$GA48)=0,1,'Вводные'!$K$52)))*AD47+(1-(IF(SUM($D45:$GA45)=0,0,IF(SUM($D48:$GA48)=0,1,'Вводные'!$K$52))))*AD49)</x:f>
      </x:c>
      <x:c r="AE50" s="132" t="n">
        <x:f>$B$41*((IF(SUM($D45:$GA45)=0,0,IF(SUM($D48:$GA48)=0,1,'Вводные'!$K$52)))*AE47+(1-(IF(SUM($D45:$GA45)=0,0,IF(SUM($D48:$GA48)=0,1,'Вводные'!$K$52))))*AE49)</x:f>
      </x:c>
      <x:c r="AF50" s="132" t="n">
        <x:f>$B$41*((IF(SUM($D45:$GA45)=0,0,IF(SUM($D48:$GA48)=0,1,'Вводные'!$K$52)))*AF47+(1-(IF(SUM($D45:$GA45)=0,0,IF(SUM($D48:$GA48)=0,1,'Вводные'!$K$52))))*AF49)</x:f>
      </x:c>
      <x:c r="AG50" s="132" t="n">
        <x:f>$B$41*((IF(SUM($D45:$GA45)=0,0,IF(SUM($D48:$GA48)=0,1,'Вводные'!$K$52)))*AG47+(1-(IF(SUM($D45:$GA45)=0,0,IF(SUM($D48:$GA48)=0,1,'Вводные'!$K$52))))*AG49)</x:f>
      </x:c>
      <x:c r="AH50" s="132" t="n">
        <x:f>$B$41*((IF(SUM($D45:$GA45)=0,0,IF(SUM($D48:$GA48)=0,1,'Вводные'!$K$52)))*AH47+(1-(IF(SUM($D45:$GA45)=0,0,IF(SUM($D48:$GA48)=0,1,'Вводные'!$K$52))))*AH49)</x:f>
      </x:c>
      <x:c r="AI50" s="132" t="n">
        <x:f>$B$41*((IF(SUM($D45:$GA45)=0,0,IF(SUM($D48:$GA48)=0,1,'Вводные'!$K$52)))*AI47+(1-(IF(SUM($D45:$GA45)=0,0,IF(SUM($D48:$GA48)=0,1,'Вводные'!$K$52))))*AI49)</x:f>
      </x:c>
      <x:c r="AJ50" s="132" t="n">
        <x:f>$B$41*((IF(SUM($D45:$GA45)=0,0,IF(SUM($D48:$GA48)=0,1,'Вводные'!$K$52)))*AJ47+(1-(IF(SUM($D45:$GA45)=0,0,IF(SUM($D48:$GA48)=0,1,'Вводные'!$K$52))))*AJ49)</x:f>
      </x:c>
      <x:c r="AK50" s="132" t="n">
        <x:f>$B$41*((IF(SUM($D45:$GA45)=0,0,IF(SUM($D48:$GA48)=0,1,'Вводные'!$K$52)))*AK47+(1-(IF(SUM($D45:$GA45)=0,0,IF(SUM($D48:$GA48)=0,1,'Вводные'!$K$52))))*AK49)</x:f>
      </x:c>
      <x:c r="AL50" s="132" t="n">
        <x:f>$B$41*((IF(SUM($D45:$GA45)=0,0,IF(SUM($D48:$GA48)=0,1,'Вводные'!$K$52)))*AL47+(1-(IF(SUM($D45:$GA45)=0,0,IF(SUM($D48:$GA48)=0,1,'Вводные'!$K$52))))*AL49)</x:f>
      </x:c>
      <x:c r="AM50" s="132" t="n">
        <x:f>$B$41*((IF(SUM($D45:$GA45)=0,0,IF(SUM($D48:$GA48)=0,1,'Вводные'!$K$52)))*AM47+(1-(IF(SUM($D45:$GA45)=0,0,IF(SUM($D48:$GA48)=0,1,'Вводные'!$K$52))))*AM49)</x:f>
      </x:c>
      <x:c r="AN50" s="132" t="n">
        <x:f>$B$41*((IF(SUM($D45:$GA45)=0,0,IF(SUM($D48:$GA48)=0,1,'Вводные'!$K$52)))*AN47+(1-(IF(SUM($D45:$GA45)=0,0,IF(SUM($D48:$GA48)=0,1,'Вводные'!$K$52))))*AN49)</x:f>
      </x:c>
      <x:c r="AO50" s="132" t="n">
        <x:f>$B$41*((IF(SUM($D45:$GA45)=0,0,IF(SUM($D48:$GA48)=0,1,'Вводные'!$K$52)))*AO47+(1-(IF(SUM($D45:$GA45)=0,0,IF(SUM($D48:$GA48)=0,1,'Вводные'!$K$52))))*AO49)</x:f>
      </x:c>
      <x:c r="AP50" s="132" t="n">
        <x:f>$B$41*((IF(SUM($D45:$GA45)=0,0,IF(SUM($D48:$GA48)=0,1,'Вводные'!$K$52)))*AP47+(1-(IF(SUM($D45:$GA45)=0,0,IF(SUM($D48:$GA48)=0,1,'Вводные'!$K$52))))*AP49)</x:f>
      </x:c>
      <x:c r="AQ50" s="132" t="n">
        <x:f>$B$41*((IF(SUM($D45:$GA45)=0,0,IF(SUM($D48:$GA48)=0,1,'Вводные'!$K$52)))*AQ47+(1-(IF(SUM($D45:$GA45)=0,0,IF(SUM($D48:$GA48)=0,1,'Вводные'!$K$52))))*AQ49)</x:f>
      </x:c>
      <x:c r="AR50" s="132" t="n">
        <x:f>$B$41*((IF(SUM($D45:$GA45)=0,0,IF(SUM($D48:$GA48)=0,1,'Вводные'!$K$52)))*AR47+(1-(IF(SUM($D45:$GA45)=0,0,IF(SUM($D48:$GA48)=0,1,'Вводные'!$K$52))))*AR49)</x:f>
      </x:c>
      <x:c r="AS50" s="132" t="n">
        <x:f>$B$41*((IF(SUM($D45:$GA45)=0,0,IF(SUM($D48:$GA48)=0,1,'Вводные'!$K$52)))*AS47+(1-(IF(SUM($D45:$GA45)=0,0,IF(SUM($D48:$GA48)=0,1,'Вводные'!$K$52))))*AS49)</x:f>
      </x:c>
      <x:c r="AT50" s="132" t="n">
        <x:f>$B$41*((IF(SUM($D45:$GA45)=0,0,IF(SUM($D48:$GA48)=0,1,'Вводные'!$K$52)))*AT47+(1-(IF(SUM($D45:$GA45)=0,0,IF(SUM($D48:$GA48)=0,1,'Вводные'!$K$52))))*AT49)</x:f>
      </x:c>
      <x:c r="AU50" s="132" t="n">
        <x:f>$B$41*((IF(SUM($D45:$GA45)=0,0,IF(SUM($D48:$GA48)=0,1,'Вводные'!$K$52)))*AU47+(1-(IF(SUM($D45:$GA45)=0,0,IF(SUM($D48:$GA48)=0,1,'Вводные'!$K$52))))*AU49)</x:f>
      </x:c>
      <x:c r="AV50" s="132" t="n">
        <x:f>$B$41*((IF(SUM($D45:$GA45)=0,0,IF(SUM($D48:$GA48)=0,1,'Вводные'!$K$52)))*AV47+(1-(IF(SUM($D45:$GA45)=0,0,IF(SUM($D48:$GA48)=0,1,'Вводные'!$K$52))))*AV49)</x:f>
      </x:c>
      <x:c r="AW50" s="132" t="n">
        <x:f>$B$41*((IF(SUM($D45:$GA45)=0,0,IF(SUM($D48:$GA48)=0,1,'Вводные'!$K$52)))*AW47+(1-(IF(SUM($D45:$GA45)=0,0,IF(SUM($D48:$GA48)=0,1,'Вводные'!$K$52))))*AW49)</x:f>
      </x:c>
      <x:c r="AX50" s="132" t="n">
        <x:f>$B$41*((IF(SUM($D45:$GA45)=0,0,IF(SUM($D48:$GA48)=0,1,'Вводные'!$K$52)))*AX47+(1-(IF(SUM($D45:$GA45)=0,0,IF(SUM($D48:$GA48)=0,1,'Вводные'!$K$52))))*AX49)</x:f>
      </x:c>
      <x:c r="AY50" s="132" t="n">
        <x:f>$B$41*((IF(SUM($D45:$GA45)=0,0,IF(SUM($D48:$GA48)=0,1,'Вводные'!$K$52)))*AY47+(1-(IF(SUM($D45:$GA45)=0,0,IF(SUM($D48:$GA48)=0,1,'Вводные'!$K$52))))*AY49)</x:f>
      </x:c>
      <x:c r="AZ50" s="132" t="n">
        <x:f>$B$41*((IF(SUM($D45:$GA45)=0,0,IF(SUM($D48:$GA48)=0,1,'Вводные'!$K$52)))*AZ47+(1-(IF(SUM($D45:$GA45)=0,0,IF(SUM($D48:$GA48)=0,1,'Вводные'!$K$52))))*AZ49)</x:f>
      </x:c>
      <x:c r="BA50" s="132" t="n">
        <x:f>$B$41*((IF(SUM($D45:$GA45)=0,0,IF(SUM($D48:$GA48)=0,1,'Вводные'!$K$52)))*BA47+(1-(IF(SUM($D45:$GA45)=0,0,IF(SUM($D48:$GA48)=0,1,'Вводные'!$K$52))))*BA49)</x:f>
      </x:c>
      <x:c r="BB50" s="132" t="n">
        <x:f>$B$41*((IF(SUM($D45:$GA45)=0,0,IF(SUM($D48:$GA48)=0,1,'Вводные'!$K$52)))*BB47+(1-(IF(SUM($D45:$GA45)=0,0,IF(SUM($D48:$GA48)=0,1,'Вводные'!$K$52))))*BB49)</x:f>
      </x:c>
      <x:c r="BC50" s="132" t="n">
        <x:f>$B$41*((IF(SUM($D45:$GA45)=0,0,IF(SUM($D48:$GA48)=0,1,'Вводные'!$K$52)))*BC47+(1-(IF(SUM($D45:$GA45)=0,0,IF(SUM($D48:$GA48)=0,1,'Вводные'!$K$52))))*BC49)</x:f>
      </x:c>
      <x:c r="BD50" s="132" t="n">
        <x:f>$B$41*((IF(SUM($D45:$GA45)=0,0,IF(SUM($D48:$GA48)=0,1,'Вводные'!$K$52)))*BD47+(1-(IF(SUM($D45:$GA45)=0,0,IF(SUM($D48:$GA48)=0,1,'Вводные'!$K$52))))*BD49)</x:f>
      </x:c>
      <x:c r="BE50" s="132" t="n">
        <x:f>$B$41*((IF(SUM($D45:$GA45)=0,0,IF(SUM($D48:$GA48)=0,1,'Вводные'!$K$52)))*BE47+(1-(IF(SUM($D45:$GA45)=0,0,IF(SUM($D48:$GA48)=0,1,'Вводные'!$K$52))))*BE49)</x:f>
      </x:c>
      <x:c r="BF50" s="132" t="n">
        <x:f>$B$41*((IF(SUM($D45:$GA45)=0,0,IF(SUM($D48:$GA48)=0,1,'Вводные'!$K$52)))*BF47+(1-(IF(SUM($D45:$GA45)=0,0,IF(SUM($D48:$GA48)=0,1,'Вводные'!$K$52))))*BF49)</x:f>
      </x:c>
      <x:c r="BG50" s="132" t="n">
        <x:f>$B$41*((IF(SUM($D45:$GA45)=0,0,IF(SUM($D48:$GA48)=0,1,'Вводные'!$K$52)))*BG47+(1-(IF(SUM($D45:$GA45)=0,0,IF(SUM($D48:$GA48)=0,1,'Вводные'!$K$52))))*BG49)</x:f>
      </x:c>
      <x:c r="BH50" s="132" t="n">
        <x:f>$B$41*((IF(SUM($D45:$GA45)=0,0,IF(SUM($D48:$GA48)=0,1,'Вводные'!$K$52)))*BH47+(1-(IF(SUM($D45:$GA45)=0,0,IF(SUM($D48:$GA48)=0,1,'Вводные'!$K$52))))*BH49)</x:f>
      </x:c>
      <x:c r="BI50" s="132" t="n">
        <x:f>$B$41*((IF(SUM($D45:$GA45)=0,0,IF(SUM($D48:$GA48)=0,1,'Вводные'!$K$52)))*BI47+(1-(IF(SUM($D45:$GA45)=0,0,IF(SUM($D48:$GA48)=0,1,'Вводные'!$K$52))))*BI49)</x:f>
      </x:c>
      <x:c r="BJ50" s="132" t="n">
        <x:f>$B$41*((IF(SUM($D45:$GA45)=0,0,IF(SUM($D48:$GA48)=0,1,'Вводные'!$K$52)))*BJ47+(1-(IF(SUM($D45:$GA45)=0,0,IF(SUM($D48:$GA48)=0,1,'Вводные'!$K$52))))*BJ49)</x:f>
      </x:c>
      <x:c r="BK50" s="132" t="n">
        <x:f>$B$41*((IF(SUM($D45:$GA45)=0,0,IF(SUM($D48:$GA48)=0,1,'Вводные'!$K$52)))*BK47+(1-(IF(SUM($D45:$GA45)=0,0,IF(SUM($D48:$GA48)=0,1,'Вводные'!$K$52))))*BK49)</x:f>
      </x:c>
      <x:c r="BL50" s="132" t="n">
        <x:f>$B$41*((IF(SUM($D45:$GA45)=0,0,IF(SUM($D48:$GA48)=0,1,'Вводные'!$K$52)))*BL47+(1-(IF(SUM($D45:$GA45)=0,0,IF(SUM($D48:$GA48)=0,1,'Вводные'!$K$52))))*BL49)</x:f>
      </x:c>
      <x:c r="BM50" s="132" t="n">
        <x:f>$B$41*((IF(SUM($D45:$GA45)=0,0,IF(SUM($D48:$GA48)=0,1,'Вводные'!$K$52)))*BM47+(1-(IF(SUM($D45:$GA45)=0,0,IF(SUM($D48:$GA48)=0,1,'Вводные'!$K$52))))*BM49)</x:f>
      </x:c>
      <x:c r="BN50" s="132" t="n">
        <x:f>$B$41*((IF(SUM($D45:$GA45)=0,0,IF(SUM($D48:$GA48)=0,1,'Вводные'!$K$52)))*BN47+(1-(IF(SUM($D45:$GA45)=0,0,IF(SUM($D48:$GA48)=0,1,'Вводные'!$K$52))))*BN49)</x:f>
      </x:c>
      <x:c r="BO50" s="132" t="n">
        <x:f>$B$41*((IF(SUM($D45:$GA45)=0,0,IF(SUM($D48:$GA48)=0,1,'Вводные'!$K$52)))*BO47+(1-(IF(SUM($D45:$GA45)=0,0,IF(SUM($D48:$GA48)=0,1,'Вводные'!$K$52))))*BO49)</x:f>
      </x:c>
      <x:c r="BP50" s="132" t="n">
        <x:f>$B$41*((IF(SUM($D45:$GA45)=0,0,IF(SUM($D48:$GA48)=0,1,'Вводные'!$K$52)))*BP47+(1-(IF(SUM($D45:$GA45)=0,0,IF(SUM($D48:$GA48)=0,1,'Вводные'!$K$52))))*BP49)</x:f>
      </x:c>
      <x:c r="BQ50" s="132" t="n">
        <x:f>$B$41*((IF(SUM($D45:$GA45)=0,0,IF(SUM($D48:$GA48)=0,1,'Вводные'!$K$52)))*BQ47+(1-(IF(SUM($D45:$GA45)=0,0,IF(SUM($D48:$GA48)=0,1,'Вводные'!$K$52))))*BQ49)</x:f>
      </x:c>
      <x:c r="BR50" s="132" t="n">
        <x:f>$B$41*((IF(SUM($D45:$GA45)=0,0,IF(SUM($D48:$GA48)=0,1,'Вводные'!$K$52)))*BR47+(1-(IF(SUM($D45:$GA45)=0,0,IF(SUM($D48:$GA48)=0,1,'Вводные'!$K$52))))*BR49)</x:f>
      </x:c>
      <x:c r="BS50" s="132" t="n">
        <x:f>$B$41*((IF(SUM($D45:$GA45)=0,0,IF(SUM($D48:$GA48)=0,1,'Вводные'!$K$52)))*BS47+(1-(IF(SUM($D45:$GA45)=0,0,IF(SUM($D48:$GA48)=0,1,'Вводные'!$K$52))))*BS49)</x:f>
      </x:c>
      <x:c r="BT50" s="132" t="n">
        <x:f>$B$41*((IF(SUM($D45:$GA45)=0,0,IF(SUM($D48:$GA48)=0,1,'Вводные'!$K$52)))*BT47+(1-(IF(SUM($D45:$GA45)=0,0,IF(SUM($D48:$GA48)=0,1,'Вводные'!$K$52))))*BT49)</x:f>
      </x:c>
      <x:c r="BU50" s="132" t="n">
        <x:f>$B$41*((IF(SUM($D45:$GA45)=0,0,IF(SUM($D48:$GA48)=0,1,'Вводные'!$K$52)))*BU47+(1-(IF(SUM($D45:$GA45)=0,0,IF(SUM($D48:$GA48)=0,1,'Вводные'!$K$52))))*BU49)</x:f>
      </x:c>
      <x:c r="BV50" s="132" t="n">
        <x:f>$B$41*((IF(SUM($D45:$GA45)=0,0,IF(SUM($D48:$GA48)=0,1,'Вводные'!$K$52)))*BV47+(1-(IF(SUM($D45:$GA45)=0,0,IF(SUM($D48:$GA48)=0,1,'Вводные'!$K$52))))*BV49)</x:f>
      </x:c>
      <x:c r="BW50" s="132" t="n">
        <x:f>$B$41*((IF(SUM($D45:$GA45)=0,0,IF(SUM($D48:$GA48)=0,1,'Вводные'!$K$52)))*BW47+(1-(IF(SUM($D45:$GA45)=0,0,IF(SUM($D48:$GA48)=0,1,'Вводные'!$K$52))))*BW49)</x:f>
      </x:c>
      <x:c r="BX50" s="132" t="n">
        <x:f>$B$41*((IF(SUM($D45:$GA45)=0,0,IF(SUM($D48:$GA48)=0,1,'Вводные'!$K$52)))*BX47+(1-(IF(SUM($D45:$GA45)=0,0,IF(SUM($D48:$GA48)=0,1,'Вводные'!$K$52))))*BX49)</x:f>
      </x:c>
      <x:c r="BY50" s="132" t="n">
        <x:f>$B$41*((IF(SUM($D45:$GA45)=0,0,IF(SUM($D48:$GA48)=0,1,'Вводные'!$K$52)))*BY47+(1-(IF(SUM($D45:$GA45)=0,0,IF(SUM($D48:$GA48)=0,1,'Вводные'!$K$52))))*BY49)</x:f>
      </x:c>
      <x:c r="BZ50" s="132" t="n">
        <x:f>$B$41*((IF(SUM($D45:$GA45)=0,0,IF(SUM($D48:$GA48)=0,1,'Вводные'!$K$52)))*BZ47+(1-(IF(SUM($D45:$GA45)=0,0,IF(SUM($D48:$GA48)=0,1,'Вводные'!$K$52))))*BZ49)</x:f>
      </x:c>
      <x:c r="CA50" s="132" t="n">
        <x:f>$B$41*((IF(SUM($D45:$GA45)=0,0,IF(SUM($D48:$GA48)=0,1,'Вводные'!$K$52)))*CA47+(1-(IF(SUM($D45:$GA45)=0,0,IF(SUM($D48:$GA48)=0,1,'Вводные'!$K$52))))*CA49)</x:f>
      </x:c>
      <x:c r="CB50" s="132" t="n">
        <x:f>$B$41*((IF(SUM($D45:$GA45)=0,0,IF(SUM($D48:$GA48)=0,1,'Вводные'!$K$52)))*CB47+(1-(IF(SUM($D45:$GA45)=0,0,IF(SUM($D48:$GA48)=0,1,'Вводные'!$K$52))))*CB49)</x:f>
      </x:c>
      <x:c r="CC50" s="132" t="n">
        <x:f>$B$41*((IF(SUM($D45:$GA45)=0,0,IF(SUM($D48:$GA48)=0,1,'Вводные'!$K$52)))*CC47+(1-(IF(SUM($D45:$GA45)=0,0,IF(SUM($D48:$GA48)=0,1,'Вводные'!$K$52))))*CC49)</x:f>
      </x:c>
      <x:c r="CD50" s="132" t="n">
        <x:f>$B$41*((IF(SUM($D45:$GA45)=0,0,IF(SUM($D48:$GA48)=0,1,'Вводные'!$K$52)))*CD47+(1-(IF(SUM($D45:$GA45)=0,0,IF(SUM($D48:$GA48)=0,1,'Вводные'!$K$52))))*CD49)</x:f>
      </x:c>
      <x:c r="CE50" s="132" t="n">
        <x:f>$B$41*((IF(SUM($D45:$GA45)=0,0,IF(SUM($D48:$GA48)=0,1,'Вводные'!$K$52)))*CE47+(1-(IF(SUM($D45:$GA45)=0,0,IF(SUM($D48:$GA48)=0,1,'Вводные'!$K$52))))*CE49)</x:f>
      </x:c>
      <x:c r="CF50" s="132" t="n">
        <x:f>$B$41*((IF(SUM($D45:$GA45)=0,0,IF(SUM($D48:$GA48)=0,1,'Вводные'!$K$52)))*CF47+(1-(IF(SUM($D45:$GA45)=0,0,IF(SUM($D48:$GA48)=0,1,'Вводные'!$K$52))))*CF49)</x:f>
      </x:c>
      <x:c r="CG50" s="132" t="n">
        <x:f>$B$41*((IF(SUM($D45:$GA45)=0,0,IF(SUM($D48:$GA48)=0,1,'Вводные'!$K$52)))*CG47+(1-(IF(SUM($D45:$GA45)=0,0,IF(SUM($D48:$GA48)=0,1,'Вводные'!$K$52))))*CG49)</x:f>
      </x:c>
      <x:c r="CH50" s="132" t="n">
        <x:f>$B$41*((IF(SUM($D45:$GA45)=0,0,IF(SUM($D48:$GA48)=0,1,'Вводные'!$K$52)))*CH47+(1-(IF(SUM($D45:$GA45)=0,0,IF(SUM($D48:$GA48)=0,1,'Вводные'!$K$52))))*CH49)</x:f>
      </x:c>
      <x:c r="CI50" s="132" t="n">
        <x:f>$B$41*((IF(SUM($D45:$GA45)=0,0,IF(SUM($D48:$GA48)=0,1,'Вводные'!$K$52)))*CI47+(1-(IF(SUM($D45:$GA45)=0,0,IF(SUM($D48:$GA48)=0,1,'Вводные'!$K$52))))*CI49)</x:f>
      </x:c>
      <x:c r="CJ50" s="132" t="n">
        <x:f>$B$41*((IF(SUM($D45:$GA45)=0,0,IF(SUM($D48:$GA48)=0,1,'Вводные'!$K$52)))*CJ47+(1-(IF(SUM($D45:$GA45)=0,0,IF(SUM($D48:$GA48)=0,1,'Вводные'!$K$52))))*CJ49)</x:f>
      </x:c>
      <x:c r="CK50" s="132" t="n">
        <x:f>$B$41*((IF(SUM($D45:$GA45)=0,0,IF(SUM($D48:$GA48)=0,1,'Вводные'!$K$52)))*CK47+(1-(IF(SUM($D45:$GA45)=0,0,IF(SUM($D48:$GA48)=0,1,'Вводные'!$K$52))))*CK49)</x:f>
      </x:c>
      <x:c r="CL50" s="132" t="n">
        <x:f>$B$41*((IF(SUM($D45:$GA45)=0,0,IF(SUM($D48:$GA48)=0,1,'Вводные'!$K$52)))*CL47+(1-(IF(SUM($D45:$GA45)=0,0,IF(SUM($D48:$GA48)=0,1,'Вводные'!$K$52))))*CL49)</x:f>
      </x:c>
      <x:c r="CM50" s="132" t="n">
        <x:f>$B$41*((IF(SUM($D45:$GA45)=0,0,IF(SUM($D48:$GA48)=0,1,'Вводные'!$K$52)))*CM47+(1-(IF(SUM($D45:$GA45)=0,0,IF(SUM($D48:$GA48)=0,1,'Вводные'!$K$52))))*CM49)</x:f>
      </x:c>
      <x:c r="CN50" s="132" t="n">
        <x:f>$B$41*((IF(SUM($D45:$GA45)=0,0,IF(SUM($D48:$GA48)=0,1,'Вводные'!$K$52)))*CN47+(1-(IF(SUM($D45:$GA45)=0,0,IF(SUM($D48:$GA48)=0,1,'Вводные'!$K$52))))*CN49)</x:f>
      </x:c>
      <x:c r="CO50" s="132" t="n">
        <x:f>$B$41*((IF(SUM($D45:$GA45)=0,0,IF(SUM($D48:$GA48)=0,1,'Вводные'!$K$52)))*CO47+(1-(IF(SUM($D45:$GA45)=0,0,IF(SUM($D48:$GA48)=0,1,'Вводные'!$K$52))))*CO49)</x:f>
      </x:c>
      <x:c r="CP50" s="132" t="n">
        <x:f>$B$41*((IF(SUM($D45:$GA45)=0,0,IF(SUM($D48:$GA48)=0,1,'Вводные'!$K$52)))*CP47+(1-(IF(SUM($D45:$GA45)=0,0,IF(SUM($D48:$GA48)=0,1,'Вводные'!$K$52))))*CP49)</x:f>
      </x:c>
      <x:c r="CQ50" s="132" t="n">
        <x:f>$B$41*((IF(SUM($D45:$GA45)=0,0,IF(SUM($D48:$GA48)=0,1,'Вводные'!$K$52)))*CQ47+(1-(IF(SUM($D45:$GA45)=0,0,IF(SUM($D48:$GA48)=0,1,'Вводные'!$K$52))))*CQ49)</x:f>
      </x:c>
      <x:c r="CR50" s="132" t="n">
        <x:f>$B$41*((IF(SUM($D45:$GA45)=0,0,IF(SUM($D48:$GA48)=0,1,'Вводные'!$K$52)))*CR47+(1-(IF(SUM($D45:$GA45)=0,0,IF(SUM($D48:$GA48)=0,1,'Вводные'!$K$52))))*CR49)</x:f>
      </x:c>
      <x:c r="CS50" s="132" t="n">
        <x:f>$B$41*((IF(SUM($D45:$GA45)=0,0,IF(SUM($D48:$GA48)=0,1,'Вводные'!$K$52)))*CS47+(1-(IF(SUM($D45:$GA45)=0,0,IF(SUM($D48:$GA48)=0,1,'Вводные'!$K$52))))*CS49)</x:f>
      </x:c>
      <x:c r="CT50" s="132" t="n">
        <x:f>$B$41*((IF(SUM($D45:$GA45)=0,0,IF(SUM($D48:$GA48)=0,1,'Вводные'!$K$52)))*CT47+(1-(IF(SUM($D45:$GA45)=0,0,IF(SUM($D48:$GA48)=0,1,'Вводные'!$K$52))))*CT49)</x:f>
      </x:c>
      <x:c r="CU50" s="132" t="n">
        <x:f>$B$41*((IF(SUM($D45:$GA45)=0,0,IF(SUM($D48:$GA48)=0,1,'Вводные'!$K$52)))*CU47+(1-(IF(SUM($D45:$GA45)=0,0,IF(SUM($D48:$GA48)=0,1,'Вводные'!$K$52))))*CU49)</x:f>
      </x:c>
      <x:c r="CV50" s="132" t="n">
        <x:f>$B$41*((IF(SUM($D45:$GA45)=0,0,IF(SUM($D48:$GA48)=0,1,'Вводные'!$K$52)))*CV47+(1-(IF(SUM($D45:$GA45)=0,0,IF(SUM($D48:$GA48)=0,1,'Вводные'!$K$52))))*CV49)</x:f>
      </x:c>
      <x:c r="CW50" s="132" t="n">
        <x:f>$B$41*((IF(SUM($D45:$GA45)=0,0,IF(SUM($D48:$GA48)=0,1,'Вводные'!$K$52)))*CW47+(1-(IF(SUM($D45:$GA45)=0,0,IF(SUM($D48:$GA48)=0,1,'Вводные'!$K$52))))*CW49)</x:f>
      </x:c>
      <x:c r="CX50" s="132" t="n">
        <x:f>$B$41*((IF(SUM($D45:$GA45)=0,0,IF(SUM($D48:$GA48)=0,1,'Вводные'!$K$52)))*CX47+(1-(IF(SUM($D45:$GA45)=0,0,IF(SUM($D48:$GA48)=0,1,'Вводные'!$K$52))))*CX49)</x:f>
      </x:c>
      <x:c r="CY50" s="132" t="n">
        <x:f>$B$41*((IF(SUM($D45:$GA45)=0,0,IF(SUM($D48:$GA48)=0,1,'Вводные'!$K$52)))*CY47+(1-(IF(SUM($D45:$GA45)=0,0,IF(SUM($D48:$GA48)=0,1,'Вводные'!$K$52))))*CY49)</x:f>
      </x:c>
      <x:c r="CZ50" s="132" t="n">
        <x:f>$B$41*((IF(SUM($D45:$GA45)=0,0,IF(SUM($D48:$GA48)=0,1,'Вводные'!$K$52)))*CZ47+(1-(IF(SUM($D45:$GA45)=0,0,IF(SUM($D48:$GA48)=0,1,'Вводные'!$K$52))))*CZ49)</x:f>
      </x:c>
      <x:c r="DA50" s="132" t="n">
        <x:f>$B$41*((IF(SUM($D45:$GA45)=0,0,IF(SUM($D48:$GA48)=0,1,'Вводные'!$K$52)))*DA47+(1-(IF(SUM($D45:$GA45)=0,0,IF(SUM($D48:$GA48)=0,1,'Вводные'!$K$52))))*DA49)</x:f>
      </x:c>
      <x:c r="DB50" s="132" t="n">
        <x:f>$B$41*((IF(SUM($D45:$GA45)=0,0,IF(SUM($D48:$GA48)=0,1,'Вводные'!$K$52)))*DB47+(1-(IF(SUM($D45:$GA45)=0,0,IF(SUM($D48:$GA48)=0,1,'Вводные'!$K$52))))*DB49)</x:f>
      </x:c>
      <x:c r="DC50" s="132" t="n">
        <x:f>$B$41*((IF(SUM($D45:$GA45)=0,0,IF(SUM($D48:$GA48)=0,1,'Вводные'!$K$52)))*DC47+(1-(IF(SUM($D45:$GA45)=0,0,IF(SUM($D48:$GA48)=0,1,'Вводные'!$K$52))))*DC49)</x:f>
      </x:c>
      <x:c r="DD50" s="132" t="n">
        <x:f>$B$41*((IF(SUM($D45:$GA45)=0,0,IF(SUM($D48:$GA48)=0,1,'Вводные'!$K$52)))*DD47+(1-(IF(SUM($D45:$GA45)=0,0,IF(SUM($D48:$GA48)=0,1,'Вводные'!$K$52))))*DD49)</x:f>
      </x:c>
      <x:c r="DE50" s="132" t="n">
        <x:f>$B$41*((IF(SUM($D45:$GA45)=0,0,IF(SUM($D48:$GA48)=0,1,'Вводные'!$K$52)))*DE47+(1-(IF(SUM($D45:$GA45)=0,0,IF(SUM($D48:$GA48)=0,1,'Вводные'!$K$52))))*DE49)</x:f>
      </x:c>
      <x:c r="DF50" s="132" t="n">
        <x:f>$B$41*((IF(SUM($D45:$GA45)=0,0,IF(SUM($D48:$GA48)=0,1,'Вводные'!$K$52)))*DF47+(1-(IF(SUM($D45:$GA45)=0,0,IF(SUM($D48:$GA48)=0,1,'Вводные'!$K$52))))*DF49)</x:f>
      </x:c>
      <x:c r="DG50" s="132" t="n">
        <x:f>$B$41*((IF(SUM($D45:$GA45)=0,0,IF(SUM($D48:$GA48)=0,1,'Вводные'!$K$52)))*DG47+(1-(IF(SUM($D45:$GA45)=0,0,IF(SUM($D48:$GA48)=0,1,'Вводные'!$K$52))))*DG49)</x:f>
      </x:c>
      <x:c r="DH50" s="132" t="n">
        <x:f>$B$41*((IF(SUM($D45:$GA45)=0,0,IF(SUM($D48:$GA48)=0,1,'Вводные'!$K$52)))*DH47+(1-(IF(SUM($D45:$GA45)=0,0,IF(SUM($D48:$GA48)=0,1,'Вводные'!$K$52))))*DH49)</x:f>
      </x:c>
      <x:c r="DI50" s="132" t="n">
        <x:f>$B$41*((IF(SUM($D45:$GA45)=0,0,IF(SUM($D48:$GA48)=0,1,'Вводные'!$K$52)))*DI47+(1-(IF(SUM($D45:$GA45)=0,0,IF(SUM($D48:$GA48)=0,1,'Вводные'!$K$52))))*DI49)</x:f>
      </x:c>
      <x:c r="DJ50" s="132" t="n">
        <x:f>$B$41*((IF(SUM($D45:$GA45)=0,0,IF(SUM($D48:$GA48)=0,1,'Вводные'!$K$52)))*DJ47+(1-(IF(SUM($D45:$GA45)=0,0,IF(SUM($D48:$GA48)=0,1,'Вводные'!$K$52))))*DJ49)</x:f>
      </x:c>
      <x:c r="DK50" s="132" t="n">
        <x:f>$B$41*((IF(SUM($D45:$GA45)=0,0,IF(SUM($D48:$GA48)=0,1,'Вводные'!$K$52)))*DK47+(1-(IF(SUM($D45:$GA45)=0,0,IF(SUM($D48:$GA48)=0,1,'Вводные'!$K$52))))*DK49)</x:f>
      </x:c>
      <x:c r="DL50" s="132" t="n">
        <x:f>$B$41*((IF(SUM($D45:$GA45)=0,0,IF(SUM($D48:$GA48)=0,1,'Вводные'!$K$52)))*DL47+(1-(IF(SUM($D45:$GA45)=0,0,IF(SUM($D48:$GA48)=0,1,'Вводные'!$K$52))))*DL49)</x:f>
      </x:c>
      <x:c r="DM50" s="132" t="n">
        <x:f>$B$41*((IF(SUM($D45:$GA45)=0,0,IF(SUM($D48:$GA48)=0,1,'Вводные'!$K$52)))*DM47+(1-(IF(SUM($D45:$GA45)=0,0,IF(SUM($D48:$GA48)=0,1,'Вводные'!$K$52))))*DM49)</x:f>
      </x:c>
      <x:c r="DN50" s="132" t="n">
        <x:f>$B$41*((IF(SUM($D45:$GA45)=0,0,IF(SUM($D48:$GA48)=0,1,'Вводные'!$K$52)))*DN47+(1-(IF(SUM($D45:$GA45)=0,0,IF(SUM($D48:$GA48)=0,1,'Вводные'!$K$52))))*DN49)</x:f>
      </x:c>
      <x:c r="DO50" s="132" t="n">
        <x:f>$B$41*((IF(SUM($D45:$GA45)=0,0,IF(SUM($D48:$GA48)=0,1,'Вводные'!$K$52)))*DO47+(1-(IF(SUM($D45:$GA45)=0,0,IF(SUM($D48:$GA48)=0,1,'Вводные'!$K$52))))*DO49)</x:f>
      </x:c>
      <x:c r="DP50" s="132" t="n">
        <x:f>$B$41*((IF(SUM($D45:$GA45)=0,0,IF(SUM($D48:$GA48)=0,1,'Вводные'!$K$52)))*DP47+(1-(IF(SUM($D45:$GA45)=0,0,IF(SUM($D48:$GA48)=0,1,'Вводные'!$K$52))))*DP49)</x:f>
      </x:c>
      <x:c r="DQ50" s="132" t="n">
        <x:f>$B$41*((IF(SUM($D45:$GA45)=0,0,IF(SUM($D48:$GA48)=0,1,'Вводные'!$K$52)))*DQ47+(1-(IF(SUM($D45:$GA45)=0,0,IF(SUM($D48:$GA48)=0,1,'Вводные'!$K$52))))*DQ49)</x:f>
      </x:c>
      <x:c r="DR50" s="132" t="n">
        <x:f>$B$41*((IF(SUM($D45:$GA45)=0,0,IF(SUM($D48:$GA48)=0,1,'Вводные'!$K$52)))*DR47+(1-(IF(SUM($D45:$GA45)=0,0,IF(SUM($D48:$GA48)=0,1,'Вводные'!$K$52))))*DR49)</x:f>
      </x:c>
      <x:c r="DS50" s="132" t="n">
        <x:f>$B$41*((IF(SUM($D45:$GA45)=0,0,IF(SUM($D48:$GA48)=0,1,'Вводные'!$K$52)))*DS47+(1-(IF(SUM($D45:$GA45)=0,0,IF(SUM($D48:$GA48)=0,1,'Вводные'!$K$52))))*DS49)</x:f>
      </x:c>
      <x:c r="DT50" s="132" t="n">
        <x:f>$B$41*((IF(SUM($D45:$GA45)=0,0,IF(SUM($D48:$GA48)=0,1,'Вводные'!$K$52)))*DT47+(1-(IF(SUM($D45:$GA45)=0,0,IF(SUM($D48:$GA48)=0,1,'Вводные'!$K$52))))*DT49)</x:f>
      </x:c>
      <x:c r="DU50" s="132" t="n">
        <x:f>$B$41*((IF(SUM($D45:$GA45)=0,0,IF(SUM($D48:$GA48)=0,1,'Вводные'!$K$52)))*DU47+(1-(IF(SUM($D45:$GA45)=0,0,IF(SUM($D48:$GA48)=0,1,'Вводные'!$K$52))))*DU49)</x:f>
      </x:c>
      <x:c r="DV50" s="132" t="n">
        <x:f>$B$41*((IF(SUM($D45:$GA45)=0,0,IF(SUM($D48:$GA48)=0,1,'Вводные'!$K$52)))*DV47+(1-(IF(SUM($D45:$GA45)=0,0,IF(SUM($D48:$GA48)=0,1,'Вводные'!$K$52))))*DV49)</x:f>
      </x:c>
      <x:c r="DW50" s="132" t="n">
        <x:f>$B$41*((IF(SUM($D45:$GA45)=0,0,IF(SUM($D48:$GA48)=0,1,'Вводные'!$K$52)))*DW47+(1-(IF(SUM($D45:$GA45)=0,0,IF(SUM($D48:$GA48)=0,1,'Вводные'!$K$52))))*DW49)</x:f>
      </x:c>
      <x:c r="DX50" s="132" t="n">
        <x:f>$B$41*((IF(SUM($D45:$GA45)=0,0,IF(SUM($D48:$GA48)=0,1,'Вводные'!$K$52)))*DX47+(1-(IF(SUM($D45:$GA45)=0,0,IF(SUM($D48:$GA48)=0,1,'Вводные'!$K$52))))*DX49)</x:f>
      </x:c>
      <x:c r="DY50" s="132" t="n">
        <x:f>$B$41*((IF(SUM($D45:$GA45)=0,0,IF(SUM($D48:$GA48)=0,1,'Вводные'!$K$52)))*DY47+(1-(IF(SUM($D45:$GA45)=0,0,IF(SUM($D48:$GA48)=0,1,'Вводные'!$K$52))))*DY49)</x:f>
      </x:c>
      <x:c r="DZ50" s="132" t="n">
        <x:f>$B$41*((IF(SUM($D45:$GA45)=0,0,IF(SUM($D48:$GA48)=0,1,'Вводные'!$K$52)))*DZ47+(1-(IF(SUM($D45:$GA45)=0,0,IF(SUM($D48:$GA48)=0,1,'Вводные'!$K$52))))*DZ49)</x:f>
      </x:c>
      <x:c r="EA50" s="132" t="n">
        <x:f>$B$41*((IF(SUM($D45:$GA45)=0,0,IF(SUM($D48:$GA48)=0,1,'Вводные'!$K$52)))*EA47+(1-(IF(SUM($D45:$GA45)=0,0,IF(SUM($D48:$GA48)=0,1,'Вводные'!$K$52))))*EA49)</x:f>
      </x:c>
      <x:c r="EB50" s="132" t="n">
        <x:f>$B$41*((IF(SUM($D45:$GA45)=0,0,IF(SUM($D48:$GA48)=0,1,'Вводные'!$K$52)))*EB47+(1-(IF(SUM($D45:$GA45)=0,0,IF(SUM($D48:$GA48)=0,1,'Вводные'!$K$52))))*EB49)</x:f>
      </x:c>
      <x:c r="EC50" s="132" t="n">
        <x:f>$B$41*((IF(SUM($D45:$GA45)=0,0,IF(SUM($D48:$GA48)=0,1,'Вводные'!$K$52)))*EC47+(1-(IF(SUM($D45:$GA45)=0,0,IF(SUM($D48:$GA48)=0,1,'Вводные'!$K$52))))*EC49)</x:f>
      </x:c>
      <x:c r="ED50" s="132" t="n">
        <x:f>$B$41*((IF(SUM($D45:$GA45)=0,0,IF(SUM($D48:$GA48)=0,1,'Вводные'!$K$52)))*ED47+(1-(IF(SUM($D45:$GA45)=0,0,IF(SUM($D48:$GA48)=0,1,'Вводные'!$K$52))))*ED49)</x:f>
      </x:c>
      <x:c r="EE50" s="132" t="n">
        <x:f>$B$41*((IF(SUM($D45:$GA45)=0,0,IF(SUM($D48:$GA48)=0,1,'Вводные'!$K$52)))*EE47+(1-(IF(SUM($D45:$GA45)=0,0,IF(SUM($D48:$GA48)=0,1,'Вводные'!$K$52))))*EE49)</x:f>
      </x:c>
      <x:c r="EF50" s="132" t="n">
        <x:f>$B$41*((IF(SUM($D45:$GA45)=0,0,IF(SUM($D48:$GA48)=0,1,'Вводные'!$K$52)))*EF47+(1-(IF(SUM($D45:$GA45)=0,0,IF(SUM($D48:$GA48)=0,1,'Вводные'!$K$52))))*EF49)</x:f>
      </x:c>
      <x:c r="EG50" s="132" t="n">
        <x:f>$B$41*((IF(SUM($D45:$GA45)=0,0,IF(SUM($D48:$GA48)=0,1,'Вводные'!$K$52)))*EG47+(1-(IF(SUM($D45:$GA45)=0,0,IF(SUM($D48:$GA48)=0,1,'Вводные'!$K$52))))*EG49)</x:f>
      </x:c>
      <x:c r="EH50" s="132" t="n">
        <x:f>$B$41*((IF(SUM($D45:$GA45)=0,0,IF(SUM($D48:$GA48)=0,1,'Вводные'!$K$52)))*EH47+(1-(IF(SUM($D45:$GA45)=0,0,IF(SUM($D48:$GA48)=0,1,'Вводные'!$K$52))))*EH49)</x:f>
      </x:c>
      <x:c r="EI50" s="132" t="n">
        <x:f>$B$41*((IF(SUM($D45:$GA45)=0,0,IF(SUM($D48:$GA48)=0,1,'Вводные'!$K$52)))*EI47+(1-(IF(SUM($D45:$GA45)=0,0,IF(SUM($D48:$GA48)=0,1,'Вводные'!$K$52))))*EI49)</x:f>
      </x:c>
      <x:c r="EJ50" s="132" t="n">
        <x:f>$B$41*((IF(SUM($D45:$GA45)=0,0,IF(SUM($D48:$GA48)=0,1,'Вводные'!$K$52)))*EJ47+(1-(IF(SUM($D45:$GA45)=0,0,IF(SUM($D48:$GA48)=0,1,'Вводные'!$K$52))))*EJ49)</x:f>
      </x:c>
      <x:c r="EK50" s="132" t="n">
        <x:f>$B$41*((IF(SUM($D45:$GA45)=0,0,IF(SUM($D48:$GA48)=0,1,'Вводные'!$K$52)))*EK47+(1-(IF(SUM($D45:$GA45)=0,0,IF(SUM($D48:$GA48)=0,1,'Вводные'!$K$52))))*EK49)</x:f>
      </x:c>
      <x:c r="EL50" s="132" t="n">
        <x:f>$B$41*((IF(SUM($D45:$GA45)=0,0,IF(SUM($D48:$GA48)=0,1,'Вводные'!$K$52)))*EL47+(1-(IF(SUM($D45:$GA45)=0,0,IF(SUM($D48:$GA48)=0,1,'Вводные'!$K$52))))*EL49)</x:f>
      </x:c>
      <x:c r="EM50" s="132" t="n">
        <x:f>$B$41*((IF(SUM($D45:$GA45)=0,0,IF(SUM($D48:$GA48)=0,1,'Вводные'!$K$52)))*EM47+(1-(IF(SUM($D45:$GA45)=0,0,IF(SUM($D48:$GA48)=0,1,'Вводные'!$K$52))))*EM49)</x:f>
      </x:c>
      <x:c r="EN50" s="132" t="n">
        <x:f>$B$41*((IF(SUM($D45:$GA45)=0,0,IF(SUM($D48:$GA48)=0,1,'Вводные'!$K$52)))*EN47+(1-(IF(SUM($D45:$GA45)=0,0,IF(SUM($D48:$GA48)=0,1,'Вводные'!$K$52))))*EN49)</x:f>
      </x:c>
      <x:c r="EO50" s="132" t="n">
        <x:f>$B$41*((IF(SUM($D45:$GA45)=0,0,IF(SUM($D48:$GA48)=0,1,'Вводные'!$K$52)))*EO47+(1-(IF(SUM($D45:$GA45)=0,0,IF(SUM($D48:$GA48)=0,1,'Вводные'!$K$52))))*EO49)</x:f>
      </x:c>
      <x:c r="EP50" s="132" t="n">
        <x:f>$B$41*((IF(SUM($D45:$GA45)=0,0,IF(SUM($D48:$GA48)=0,1,'Вводные'!$K$52)))*EP47+(1-(IF(SUM($D45:$GA45)=0,0,IF(SUM($D48:$GA48)=0,1,'Вводные'!$K$52))))*EP49)</x:f>
      </x:c>
      <x:c r="EQ50" s="132" t="n">
        <x:f>$B$41*((IF(SUM($D45:$GA45)=0,0,IF(SUM($D48:$GA48)=0,1,'Вводные'!$K$52)))*EQ47+(1-(IF(SUM($D45:$GA45)=0,0,IF(SUM($D48:$GA48)=0,1,'Вводные'!$K$52))))*EQ49)</x:f>
      </x:c>
      <x:c r="ER50" s="132" t="n">
        <x:f>$B$41*((IF(SUM($D45:$GA45)=0,0,IF(SUM($D48:$GA48)=0,1,'Вводные'!$K$52)))*ER47+(1-(IF(SUM($D45:$GA45)=0,0,IF(SUM($D48:$GA48)=0,1,'Вводные'!$K$52))))*ER49)</x:f>
      </x:c>
      <x:c r="ES50" s="132" t="n">
        <x:f>$B$41*((IF(SUM($D45:$GA45)=0,0,IF(SUM($D48:$GA48)=0,1,'Вводные'!$K$52)))*ES47+(1-(IF(SUM($D45:$GA45)=0,0,IF(SUM($D48:$GA48)=0,1,'Вводные'!$K$52))))*ES49)</x:f>
      </x:c>
      <x:c r="ET50" s="132" t="n">
        <x:f>$B$41*((IF(SUM($D45:$GA45)=0,0,IF(SUM($D48:$GA48)=0,1,'Вводные'!$K$52)))*ET47+(1-(IF(SUM($D45:$GA45)=0,0,IF(SUM($D48:$GA48)=0,1,'Вводные'!$K$52))))*ET49)</x:f>
      </x:c>
      <x:c r="EU50" s="132" t="n">
        <x:f>$B$41*((IF(SUM($D45:$GA45)=0,0,IF(SUM($D48:$GA48)=0,1,'Вводные'!$K$52)))*EU47+(1-(IF(SUM($D45:$GA45)=0,0,IF(SUM($D48:$GA48)=0,1,'Вводные'!$K$52))))*EU49)</x:f>
      </x:c>
      <x:c r="EV50" s="132" t="n">
        <x:f>$B$41*((IF(SUM($D45:$GA45)=0,0,IF(SUM($D48:$GA48)=0,1,'Вводные'!$K$52)))*EV47+(1-(IF(SUM($D45:$GA45)=0,0,IF(SUM($D48:$GA48)=0,1,'Вводные'!$K$52))))*EV49)</x:f>
      </x:c>
      <x:c r="EW50" s="132" t="n">
        <x:f>$B$41*((IF(SUM($D45:$GA45)=0,0,IF(SUM($D48:$GA48)=0,1,'Вводные'!$K$52)))*EW47+(1-(IF(SUM($D45:$GA45)=0,0,IF(SUM($D48:$GA48)=0,1,'Вводные'!$K$52))))*EW49)</x:f>
      </x:c>
      <x:c r="EX50" s="132" t="n">
        <x:f>$B$41*((IF(SUM($D45:$GA45)=0,0,IF(SUM($D48:$GA48)=0,1,'Вводные'!$K$52)))*EX47+(1-(IF(SUM($D45:$GA45)=0,0,IF(SUM($D48:$GA48)=0,1,'Вводные'!$K$52))))*EX49)</x:f>
      </x:c>
      <x:c r="EY50" s="132" t="n">
        <x:f>$B$41*((IF(SUM($D45:$GA45)=0,0,IF(SUM($D48:$GA48)=0,1,'Вводные'!$K$52)))*EY47+(1-(IF(SUM($D45:$GA45)=0,0,IF(SUM($D48:$GA48)=0,1,'Вводные'!$K$52))))*EY49)</x:f>
      </x:c>
      <x:c r="EZ50" s="132" t="n">
        <x:f>$B$41*((IF(SUM($D45:$GA45)=0,0,IF(SUM($D48:$GA48)=0,1,'Вводные'!$K$52)))*EZ47+(1-(IF(SUM($D45:$GA45)=0,0,IF(SUM($D48:$GA48)=0,1,'Вводные'!$K$52))))*EZ49)</x:f>
      </x:c>
      <x:c r="FA50" s="132" t="n">
        <x:f>$B$41*((IF(SUM($D45:$GA45)=0,0,IF(SUM($D48:$GA48)=0,1,'Вводные'!$K$52)))*FA47+(1-(IF(SUM($D45:$GA45)=0,0,IF(SUM($D48:$GA48)=0,1,'Вводные'!$K$52))))*FA49)</x:f>
      </x:c>
      <x:c r="FB50" s="132" t="n">
        <x:f>$B$41*((IF(SUM($D45:$GA45)=0,0,IF(SUM($D48:$GA48)=0,1,'Вводные'!$K$52)))*FB47+(1-(IF(SUM($D45:$GA45)=0,0,IF(SUM($D48:$GA48)=0,1,'Вводные'!$K$52))))*FB49)</x:f>
      </x:c>
      <x:c r="FC50" s="132" t="n">
        <x:f>$B$41*((IF(SUM($D45:$GA45)=0,0,IF(SUM($D48:$GA48)=0,1,'Вводные'!$K$52)))*FC47+(1-(IF(SUM($D45:$GA45)=0,0,IF(SUM($D48:$GA48)=0,1,'Вводные'!$K$52))))*FC49)</x:f>
      </x:c>
      <x:c r="FD50" s="132" t="n">
        <x:f>$B$41*((IF(SUM($D45:$GA45)=0,0,IF(SUM($D48:$GA48)=0,1,'Вводные'!$K$52)))*FD47+(1-(IF(SUM($D45:$GA45)=0,0,IF(SUM($D48:$GA48)=0,1,'Вводные'!$K$52))))*FD49)</x:f>
      </x:c>
      <x:c r="FE50" s="132" t="n">
        <x:f>$B$41*((IF(SUM($D45:$GA45)=0,0,IF(SUM($D48:$GA48)=0,1,'Вводные'!$K$52)))*FE47+(1-(IF(SUM($D45:$GA45)=0,0,IF(SUM($D48:$GA48)=0,1,'Вводные'!$K$52))))*FE49)</x:f>
      </x:c>
      <x:c r="FF50" s="132" t="n">
        <x:f>$B$41*((IF(SUM($D45:$GA45)=0,0,IF(SUM($D48:$GA48)=0,1,'Вводные'!$K$52)))*FF47+(1-(IF(SUM($D45:$GA45)=0,0,IF(SUM($D48:$GA48)=0,1,'Вводные'!$K$52))))*FF49)</x:f>
      </x:c>
      <x:c r="FG50" s="132" t="n">
        <x:f>$B$41*((IF(SUM($D45:$GA45)=0,0,IF(SUM($D48:$GA48)=0,1,'Вводные'!$K$52)))*FG47+(1-(IF(SUM($D45:$GA45)=0,0,IF(SUM($D48:$GA48)=0,1,'Вводные'!$K$52))))*FG49)</x:f>
      </x:c>
      <x:c r="FH50" s="132" t="n">
        <x:f>$B$41*((IF(SUM($D45:$GA45)=0,0,IF(SUM($D48:$GA48)=0,1,'Вводные'!$K$52)))*FH47+(1-(IF(SUM($D45:$GA45)=0,0,IF(SUM($D48:$GA48)=0,1,'Вводные'!$K$52))))*FH49)</x:f>
      </x:c>
      <x:c r="FI50" s="132" t="n">
        <x:f>$B$41*((IF(SUM($D45:$GA45)=0,0,IF(SUM($D48:$GA48)=0,1,'Вводные'!$K$52)))*FI47+(1-(IF(SUM($D45:$GA45)=0,0,IF(SUM($D48:$GA48)=0,1,'Вводные'!$K$52))))*FI49)</x:f>
      </x:c>
      <x:c r="FJ50" s="132" t="n">
        <x:f>$B$41*((IF(SUM($D45:$GA45)=0,0,IF(SUM($D48:$GA48)=0,1,'Вводные'!$K$52)))*FJ47+(1-(IF(SUM($D45:$GA45)=0,0,IF(SUM($D48:$GA48)=0,1,'Вводные'!$K$52))))*FJ49)</x:f>
      </x:c>
      <x:c r="FK50" s="132" t="n">
        <x:f>$B$41*((IF(SUM($D45:$GA45)=0,0,IF(SUM($D48:$GA48)=0,1,'Вводные'!$K$52)))*FK47+(1-(IF(SUM($D45:$GA45)=0,0,IF(SUM($D48:$GA48)=0,1,'Вводные'!$K$52))))*FK49)</x:f>
      </x:c>
      <x:c r="FL50" s="132" t="n">
        <x:f>$B$41*((IF(SUM($D45:$GA45)=0,0,IF(SUM($D48:$GA48)=0,1,'Вводные'!$K$52)))*FL47+(1-(IF(SUM($D45:$GA45)=0,0,IF(SUM($D48:$GA48)=0,1,'Вводные'!$K$52))))*FL49)</x:f>
      </x:c>
      <x:c r="FM50" s="132" t="n">
        <x:f>$B$41*((IF(SUM($D45:$GA45)=0,0,IF(SUM($D48:$GA48)=0,1,'Вводные'!$K$52)))*FM47+(1-(IF(SUM($D45:$GA45)=0,0,IF(SUM($D48:$GA48)=0,1,'Вводные'!$K$52))))*FM49)</x:f>
      </x:c>
      <x:c r="FN50" s="132" t="n">
        <x:f>$B$41*((IF(SUM($D45:$GA45)=0,0,IF(SUM($D48:$GA48)=0,1,'Вводные'!$K$52)))*FN47+(1-(IF(SUM($D45:$GA45)=0,0,IF(SUM($D48:$GA48)=0,1,'Вводные'!$K$52))))*FN49)</x:f>
      </x:c>
      <x:c r="FO50" s="132" t="n">
        <x:f>$B$41*((IF(SUM($D45:$GA45)=0,0,IF(SUM($D48:$GA48)=0,1,'Вводные'!$K$52)))*FO47+(1-(IF(SUM($D45:$GA45)=0,0,IF(SUM($D48:$GA48)=0,1,'Вводные'!$K$52))))*FO49)</x:f>
      </x:c>
      <x:c r="FP50" s="132" t="n">
        <x:f>$B$41*((IF(SUM($D45:$GA45)=0,0,IF(SUM($D48:$GA48)=0,1,'Вводные'!$K$52)))*FP47+(1-(IF(SUM($D45:$GA45)=0,0,IF(SUM($D48:$GA48)=0,1,'Вводные'!$K$52))))*FP49)</x:f>
      </x:c>
      <x:c r="FQ50" s="132" t="n">
        <x:f>$B$41*((IF(SUM($D45:$GA45)=0,0,IF(SUM($D48:$GA48)=0,1,'Вводные'!$K$52)))*FQ47+(1-(IF(SUM($D45:$GA45)=0,0,IF(SUM($D48:$GA48)=0,1,'Вводные'!$K$52))))*FQ49)</x:f>
      </x:c>
      <x:c r="FR50" s="132" t="n">
        <x:f>$B$41*((IF(SUM($D45:$GA45)=0,0,IF(SUM($D48:$GA48)=0,1,'Вводные'!$K$52)))*FR47+(1-(IF(SUM($D45:$GA45)=0,0,IF(SUM($D48:$GA48)=0,1,'Вводные'!$K$52))))*FR49)</x:f>
      </x:c>
      <x:c r="FS50" s="132" t="n">
        <x:f>$B$41*((IF(SUM($D45:$GA45)=0,0,IF(SUM($D48:$GA48)=0,1,'Вводные'!$K$52)))*FS47+(1-(IF(SUM($D45:$GA45)=0,0,IF(SUM($D48:$GA48)=0,1,'Вводные'!$K$52))))*FS49)</x:f>
      </x:c>
      <x:c r="FT50" s="132" t="n">
        <x:f>$B$41*((IF(SUM($D45:$GA45)=0,0,IF(SUM($D48:$GA48)=0,1,'Вводные'!$K$52)))*FT47+(1-(IF(SUM($D45:$GA45)=0,0,IF(SUM($D48:$GA48)=0,1,'Вводные'!$K$52))))*FT49)</x:f>
      </x:c>
      <x:c r="FU50" s="132" t="n">
        <x:f>$B$41*((IF(SUM($D45:$GA45)=0,0,IF(SUM($D48:$GA48)=0,1,'Вводные'!$K$52)))*FU47+(1-(IF(SUM($D45:$GA45)=0,0,IF(SUM($D48:$GA48)=0,1,'Вводные'!$K$52))))*FU49)</x:f>
      </x:c>
      <x:c r="FV50" s="132" t="n">
        <x:f>$B$41*((IF(SUM($D45:$GA45)=0,0,IF(SUM($D48:$GA48)=0,1,'Вводные'!$K$52)))*FV47+(1-(IF(SUM($D45:$GA45)=0,0,IF(SUM($D48:$GA48)=0,1,'Вводные'!$K$52))))*FV49)</x:f>
      </x:c>
      <x:c r="FW50" s="132" t="n">
        <x:f>$B$41*((IF(SUM($D45:$GA45)=0,0,IF(SUM($D48:$GA48)=0,1,'Вводные'!$K$52)))*FW47+(1-(IF(SUM($D45:$GA45)=0,0,IF(SUM($D48:$GA48)=0,1,'Вводные'!$K$52))))*FW49)</x:f>
      </x:c>
      <x:c r="FX50" s="132" t="n">
        <x:f>$B$41*((IF(SUM($D45:$GA45)=0,0,IF(SUM($D48:$GA48)=0,1,'Вводные'!$K$52)))*FX47+(1-(IF(SUM($D45:$GA45)=0,0,IF(SUM($D48:$GA48)=0,1,'Вводные'!$K$52))))*FX49)</x:f>
      </x:c>
      <x:c r="FY50" s="132" t="n">
        <x:f>$B$41*((IF(SUM($D45:$GA45)=0,0,IF(SUM($D48:$GA48)=0,1,'Вводные'!$K$52)))*FY47+(1-(IF(SUM($D45:$GA45)=0,0,IF(SUM($D48:$GA48)=0,1,'Вводные'!$K$52))))*FY49)</x:f>
      </x:c>
      <x:c r="FZ50" s="132" t="n">
        <x:f>$B$41*((IF(SUM($D45:$GA45)=0,0,IF(SUM($D48:$GA48)=0,1,'Вводные'!$K$52)))*FZ47+(1-(IF(SUM($D45:$GA45)=0,0,IF(SUM($D48:$GA48)=0,1,'Вводные'!$K$52))))*FZ49)</x:f>
      </x:c>
      <x:c r="GA50" s="132" t="n">
        <x:f>$B$41*((IF(SUM($D45:$GA45)=0,0,IF(SUM($D48:$GA48)=0,1,'Вводные'!$K$52)))*GA47+(1-(IF(SUM($D45:$GA45)=0,0,IF(SUM($D48:$GA48)=0,1,'Вводные'!$K$52))))*GA49)</x:f>
      </x:c>
    </x:row>
    <x:row r="51">
      <x:c r="A51" t="str">
        <x:v>Цена реализации</x:v>
      </x:c>
      <x:c r="B51" s="107" t="n">
        <x:f>IFERROR(B52*1000/B50,0)</x:f>
      </x:c>
      <x:c r="C51" t="str">
        <x:v>тыс. ₽/м²</x:v>
      </x:c>
      <x:c r="D51" s="107" t="n">
        <x:f>IF(D50=0,0,'Вводные'!$K$51*'Вводные'!$H$5*INDEX('Вводные'!$S$88:$S$91,$B$36)*INDEX('Вводные'!$AG$88:$AG$91,$B$36)*(1+'Вводные'!$K$54)^MAX(0,MIN((12*(YEAR(D$3)-YEAR($B$39))+MONTH(D$3)-MONTH($B$39)),(12*(YEAR($B$38)-YEAR($B$39))+MONTH($B$38)-MONTH($B$39))))*(1+'Вводные'!$K$55)^MAX(0,(12*(YEAR(D$3)-YEAR($B$38))+MONTH(D$3)-MONTH($B$38))))</x:f>
      </x:c>
      <x:c r="E51" s="107" t="n">
        <x:f>IF(E50=0,0,'Вводные'!$K$51*'Вводные'!$H$5*INDEX('Вводные'!$S$88:$S$91,$B$36)*INDEX('Вводные'!$AG$88:$AG$91,$B$36)*(1+'Вводные'!$K$54)^MAX(0,MIN((12*(YEAR(E$3)-YEAR($B$39))+MONTH(E$3)-MONTH($B$39)),(12*(YEAR($B$38)-YEAR($B$39))+MONTH($B$38)-MONTH($B$39))))*(1+'Вводные'!$K$55)^MAX(0,(12*(YEAR(E$3)-YEAR($B$38))+MONTH(E$3)-MONTH($B$38))))</x:f>
      </x:c>
      <x:c r="F51" s="107" t="n">
        <x:f>IF(F50=0,0,'Вводные'!$K$51*'Вводные'!$H$5*INDEX('Вводные'!$S$88:$S$91,$B$36)*INDEX('Вводные'!$AG$88:$AG$91,$B$36)*(1+'Вводные'!$K$54)^MAX(0,MIN((12*(YEAR(F$3)-YEAR($B$39))+MONTH(F$3)-MONTH($B$39)),(12*(YEAR($B$38)-YEAR($B$39))+MONTH($B$38)-MONTH($B$39))))*(1+'Вводные'!$K$55)^MAX(0,(12*(YEAR(F$3)-YEAR($B$38))+MONTH(F$3)-MONTH($B$38))))</x:f>
      </x:c>
      <x:c r="G51" s="107" t="n">
        <x:f>IF(G50=0,0,'Вводные'!$K$51*'Вводные'!$H$5*INDEX('Вводные'!$S$88:$S$91,$B$36)*INDEX('Вводные'!$AG$88:$AG$91,$B$36)*(1+'Вводные'!$K$54)^MAX(0,MIN((12*(YEAR(G$3)-YEAR($B$39))+MONTH(G$3)-MONTH($B$39)),(12*(YEAR($B$38)-YEAR($B$39))+MONTH($B$38)-MONTH($B$39))))*(1+'Вводные'!$K$55)^MAX(0,(12*(YEAR(G$3)-YEAR($B$38))+MONTH(G$3)-MONTH($B$38))))</x:f>
      </x:c>
      <x:c r="H51" s="107" t="n">
        <x:f>IF(H50=0,0,'Вводные'!$K$51*'Вводные'!$H$5*INDEX('Вводные'!$S$88:$S$91,$B$36)*INDEX('Вводные'!$AG$88:$AG$91,$B$36)*(1+'Вводные'!$K$54)^MAX(0,MIN((12*(YEAR(H$3)-YEAR($B$39))+MONTH(H$3)-MONTH($B$39)),(12*(YEAR($B$38)-YEAR($B$39))+MONTH($B$38)-MONTH($B$39))))*(1+'Вводные'!$K$55)^MAX(0,(12*(YEAR(H$3)-YEAR($B$38))+MONTH(H$3)-MONTH($B$38))))</x:f>
      </x:c>
      <x:c r="I51" s="107" t="n">
        <x:f>IF(I50=0,0,'Вводные'!$K$51*'Вводные'!$H$5*INDEX('Вводные'!$S$88:$S$91,$B$36)*INDEX('Вводные'!$AG$88:$AG$91,$B$36)*(1+'Вводные'!$K$54)^MAX(0,MIN((12*(YEAR(I$3)-YEAR($B$39))+MONTH(I$3)-MONTH($B$39)),(12*(YEAR($B$38)-YEAR($B$39))+MONTH($B$38)-MONTH($B$39))))*(1+'Вводные'!$K$55)^MAX(0,(12*(YEAR(I$3)-YEAR($B$38))+MONTH(I$3)-MONTH($B$38))))</x:f>
      </x:c>
      <x:c r="J51" s="107" t="n">
        <x:f>IF(J50=0,0,'Вводные'!$K$51*'Вводные'!$H$5*INDEX('Вводные'!$S$88:$S$91,$B$36)*INDEX('Вводные'!$AG$88:$AG$91,$B$36)*(1+'Вводные'!$K$54)^MAX(0,MIN((12*(YEAR(J$3)-YEAR($B$39))+MONTH(J$3)-MONTH($B$39)),(12*(YEAR($B$38)-YEAR($B$39))+MONTH($B$38)-MONTH($B$39))))*(1+'Вводные'!$K$55)^MAX(0,(12*(YEAR(J$3)-YEAR($B$38))+MONTH(J$3)-MONTH($B$38))))</x:f>
      </x:c>
      <x:c r="K51" s="107" t="n">
        <x:f>IF(K50=0,0,'Вводные'!$K$51*'Вводные'!$H$5*INDEX('Вводные'!$S$88:$S$91,$B$36)*INDEX('Вводные'!$AG$88:$AG$91,$B$36)*(1+'Вводные'!$K$54)^MAX(0,MIN((12*(YEAR(K$3)-YEAR($B$39))+MONTH(K$3)-MONTH($B$39)),(12*(YEAR($B$38)-YEAR($B$39))+MONTH($B$38)-MONTH($B$39))))*(1+'Вводные'!$K$55)^MAX(0,(12*(YEAR(K$3)-YEAR($B$38))+MONTH(K$3)-MONTH($B$38))))</x:f>
      </x:c>
      <x:c r="L51" s="107" t="n">
        <x:f>IF(L50=0,0,'Вводные'!$K$51*'Вводные'!$H$5*INDEX('Вводные'!$S$88:$S$91,$B$36)*INDEX('Вводные'!$AG$88:$AG$91,$B$36)*(1+'Вводные'!$K$54)^MAX(0,MIN((12*(YEAR(L$3)-YEAR($B$39))+MONTH(L$3)-MONTH($B$39)),(12*(YEAR($B$38)-YEAR($B$39))+MONTH($B$38)-MONTH($B$39))))*(1+'Вводные'!$K$55)^MAX(0,(12*(YEAR(L$3)-YEAR($B$38))+MONTH(L$3)-MONTH($B$38))))</x:f>
      </x:c>
      <x:c r="M51" s="107" t="n">
        <x:f>IF(M50=0,0,'Вводные'!$K$51*'Вводные'!$H$5*INDEX('Вводные'!$S$88:$S$91,$B$36)*INDEX('Вводные'!$AG$88:$AG$91,$B$36)*(1+'Вводные'!$K$54)^MAX(0,MIN((12*(YEAR(M$3)-YEAR($B$39))+MONTH(M$3)-MONTH($B$39)),(12*(YEAR($B$38)-YEAR($B$39))+MONTH($B$38)-MONTH($B$39))))*(1+'Вводные'!$K$55)^MAX(0,(12*(YEAR(M$3)-YEAR($B$38))+MONTH(M$3)-MONTH($B$38))))</x:f>
      </x:c>
      <x:c r="N51" s="107" t="n">
        <x:f>IF(N50=0,0,'Вводные'!$K$51*'Вводные'!$H$5*INDEX('Вводные'!$S$88:$S$91,$B$36)*INDEX('Вводные'!$AG$88:$AG$91,$B$36)*(1+'Вводные'!$K$54)^MAX(0,MIN((12*(YEAR(N$3)-YEAR($B$39))+MONTH(N$3)-MONTH($B$39)),(12*(YEAR($B$38)-YEAR($B$39))+MONTH($B$38)-MONTH($B$39))))*(1+'Вводные'!$K$55)^MAX(0,(12*(YEAR(N$3)-YEAR($B$38))+MONTH(N$3)-MONTH($B$38))))</x:f>
      </x:c>
      <x:c r="O51" s="107" t="n">
        <x:f>IF(O50=0,0,'Вводные'!$K$51*'Вводные'!$H$5*INDEX('Вводные'!$S$88:$S$91,$B$36)*INDEX('Вводные'!$AG$88:$AG$91,$B$36)*(1+'Вводные'!$K$54)^MAX(0,MIN((12*(YEAR(O$3)-YEAR($B$39))+MONTH(O$3)-MONTH($B$39)),(12*(YEAR($B$38)-YEAR($B$39))+MONTH($B$38)-MONTH($B$39))))*(1+'Вводные'!$K$55)^MAX(0,(12*(YEAR(O$3)-YEAR($B$38))+MONTH(O$3)-MONTH($B$38))))</x:f>
      </x:c>
      <x:c r="P51" s="107" t="n">
        <x:f>IF(P50=0,0,'Вводные'!$K$51*'Вводные'!$H$5*INDEX('Вводные'!$S$88:$S$91,$B$36)*INDEX('Вводные'!$AG$88:$AG$91,$B$36)*(1+'Вводные'!$K$54)^MAX(0,MIN((12*(YEAR(P$3)-YEAR($B$39))+MONTH(P$3)-MONTH($B$39)),(12*(YEAR($B$38)-YEAR($B$39))+MONTH($B$38)-MONTH($B$39))))*(1+'Вводные'!$K$55)^MAX(0,(12*(YEAR(P$3)-YEAR($B$38))+MONTH(P$3)-MONTH($B$38))))</x:f>
      </x:c>
      <x:c r="Q51" s="107" t="n">
        <x:f>IF(Q50=0,0,'Вводные'!$K$51*'Вводные'!$H$5*INDEX('Вводные'!$S$88:$S$91,$B$36)*INDEX('Вводные'!$AG$88:$AG$91,$B$36)*(1+'Вводные'!$K$54)^MAX(0,MIN((12*(YEAR(Q$3)-YEAR($B$39))+MONTH(Q$3)-MONTH($B$39)),(12*(YEAR($B$38)-YEAR($B$39))+MONTH($B$38)-MONTH($B$39))))*(1+'Вводные'!$K$55)^MAX(0,(12*(YEAR(Q$3)-YEAR($B$38))+MONTH(Q$3)-MONTH($B$38))))</x:f>
      </x:c>
      <x:c r="R51" s="107" t="n">
        <x:f>IF(R50=0,0,'Вводные'!$K$51*'Вводные'!$H$5*INDEX('Вводные'!$S$88:$S$91,$B$36)*INDEX('Вводные'!$AG$88:$AG$91,$B$36)*(1+'Вводные'!$K$54)^MAX(0,MIN((12*(YEAR(R$3)-YEAR($B$39))+MONTH(R$3)-MONTH($B$39)),(12*(YEAR($B$38)-YEAR($B$39))+MONTH($B$38)-MONTH($B$39))))*(1+'Вводные'!$K$55)^MAX(0,(12*(YEAR(R$3)-YEAR($B$38))+MONTH(R$3)-MONTH($B$38))))</x:f>
      </x:c>
      <x:c r="S51" s="107" t="n">
        <x:f>IF(S50=0,0,'Вводные'!$K$51*'Вводные'!$H$5*INDEX('Вводные'!$S$88:$S$91,$B$36)*INDEX('Вводные'!$AG$88:$AG$91,$B$36)*(1+'Вводные'!$K$54)^MAX(0,MIN((12*(YEAR(S$3)-YEAR($B$39))+MONTH(S$3)-MONTH($B$39)),(12*(YEAR($B$38)-YEAR($B$39))+MONTH($B$38)-MONTH($B$39))))*(1+'Вводные'!$K$55)^MAX(0,(12*(YEAR(S$3)-YEAR($B$38))+MONTH(S$3)-MONTH($B$38))))</x:f>
      </x:c>
      <x:c r="T51" s="107" t="n">
        <x:f>IF(T50=0,0,'Вводные'!$K$51*'Вводные'!$H$5*INDEX('Вводные'!$S$88:$S$91,$B$36)*INDEX('Вводные'!$AG$88:$AG$91,$B$36)*(1+'Вводные'!$K$54)^MAX(0,MIN((12*(YEAR(T$3)-YEAR($B$39))+MONTH(T$3)-MONTH($B$39)),(12*(YEAR($B$38)-YEAR($B$39))+MONTH($B$38)-MONTH($B$39))))*(1+'Вводные'!$K$55)^MAX(0,(12*(YEAR(T$3)-YEAR($B$38))+MONTH(T$3)-MONTH($B$38))))</x:f>
      </x:c>
      <x:c r="U51" s="107" t="n">
        <x:f>IF(U50=0,0,'Вводные'!$K$51*'Вводные'!$H$5*INDEX('Вводные'!$S$88:$S$91,$B$36)*INDEX('Вводные'!$AG$88:$AG$91,$B$36)*(1+'Вводные'!$K$54)^MAX(0,MIN((12*(YEAR(U$3)-YEAR($B$39))+MONTH(U$3)-MONTH($B$39)),(12*(YEAR($B$38)-YEAR($B$39))+MONTH($B$38)-MONTH($B$39))))*(1+'Вводные'!$K$55)^MAX(0,(12*(YEAR(U$3)-YEAR($B$38))+MONTH(U$3)-MONTH($B$38))))</x:f>
      </x:c>
      <x:c r="V51" s="107" t="n">
        <x:f>IF(V50=0,0,'Вводные'!$K$51*'Вводные'!$H$5*INDEX('Вводные'!$S$88:$S$91,$B$36)*INDEX('Вводные'!$AG$88:$AG$91,$B$36)*(1+'Вводные'!$K$54)^MAX(0,MIN((12*(YEAR(V$3)-YEAR($B$39))+MONTH(V$3)-MONTH($B$39)),(12*(YEAR($B$38)-YEAR($B$39))+MONTH($B$38)-MONTH($B$39))))*(1+'Вводные'!$K$55)^MAX(0,(12*(YEAR(V$3)-YEAR($B$38))+MONTH(V$3)-MONTH($B$38))))</x:f>
      </x:c>
      <x:c r="W51" s="107" t="n">
        <x:f>IF(W50=0,0,'Вводные'!$K$51*'Вводные'!$H$5*INDEX('Вводные'!$S$88:$S$91,$B$36)*INDEX('Вводные'!$AG$88:$AG$91,$B$36)*(1+'Вводные'!$K$54)^MAX(0,MIN((12*(YEAR(W$3)-YEAR($B$39))+MONTH(W$3)-MONTH($B$39)),(12*(YEAR($B$38)-YEAR($B$39))+MONTH($B$38)-MONTH($B$39))))*(1+'Вводные'!$K$55)^MAX(0,(12*(YEAR(W$3)-YEAR($B$38))+MONTH(W$3)-MONTH($B$38))))</x:f>
      </x:c>
      <x:c r="X51" s="107" t="n">
        <x:f>IF(X50=0,0,'Вводные'!$K$51*'Вводные'!$H$5*INDEX('Вводные'!$S$88:$S$91,$B$36)*INDEX('Вводные'!$AG$88:$AG$91,$B$36)*(1+'Вводные'!$K$54)^MAX(0,MIN((12*(YEAR(X$3)-YEAR($B$39))+MONTH(X$3)-MONTH($B$39)),(12*(YEAR($B$38)-YEAR($B$39))+MONTH($B$38)-MONTH($B$39))))*(1+'Вводные'!$K$55)^MAX(0,(12*(YEAR(X$3)-YEAR($B$38))+MONTH(X$3)-MONTH($B$38))))</x:f>
      </x:c>
      <x:c r="Y51" s="107" t="n">
        <x:f>IF(Y50=0,0,'Вводные'!$K$51*'Вводные'!$H$5*INDEX('Вводные'!$S$88:$S$91,$B$36)*INDEX('Вводные'!$AG$88:$AG$91,$B$36)*(1+'Вводные'!$K$54)^MAX(0,MIN((12*(YEAR(Y$3)-YEAR($B$39))+MONTH(Y$3)-MONTH($B$39)),(12*(YEAR($B$38)-YEAR($B$39))+MONTH($B$38)-MONTH($B$39))))*(1+'Вводные'!$K$55)^MAX(0,(12*(YEAR(Y$3)-YEAR($B$38))+MONTH(Y$3)-MONTH($B$38))))</x:f>
      </x:c>
      <x:c r="Z51" s="107" t="n">
        <x:f>IF(Z50=0,0,'Вводные'!$K$51*'Вводные'!$H$5*INDEX('Вводные'!$S$88:$S$91,$B$36)*INDEX('Вводные'!$AG$88:$AG$91,$B$36)*(1+'Вводные'!$K$54)^MAX(0,MIN((12*(YEAR(Z$3)-YEAR($B$39))+MONTH(Z$3)-MONTH($B$39)),(12*(YEAR($B$38)-YEAR($B$39))+MONTH($B$38)-MONTH($B$39))))*(1+'Вводные'!$K$55)^MAX(0,(12*(YEAR(Z$3)-YEAR($B$38))+MONTH(Z$3)-MONTH($B$38))))</x:f>
      </x:c>
      <x:c r="AA51" s="107" t="n">
        <x:f>IF(AA50=0,0,'Вводные'!$K$51*'Вводные'!$H$5*INDEX('Вводные'!$S$88:$S$91,$B$36)*INDEX('Вводные'!$AG$88:$AG$91,$B$36)*(1+'Вводные'!$K$54)^MAX(0,MIN((12*(YEAR(AA$3)-YEAR($B$39))+MONTH(AA$3)-MONTH($B$39)),(12*(YEAR($B$38)-YEAR($B$39))+MONTH($B$38)-MONTH($B$39))))*(1+'Вводные'!$K$55)^MAX(0,(12*(YEAR(AA$3)-YEAR($B$38))+MONTH(AA$3)-MONTH($B$38))))</x:f>
      </x:c>
      <x:c r="AB51" s="107" t="n">
        <x:f>IF(AB50=0,0,'Вводные'!$K$51*'Вводные'!$H$5*INDEX('Вводные'!$S$88:$S$91,$B$36)*INDEX('Вводные'!$AG$88:$AG$91,$B$36)*(1+'Вводные'!$K$54)^MAX(0,MIN((12*(YEAR(AB$3)-YEAR($B$39))+MONTH(AB$3)-MONTH($B$39)),(12*(YEAR($B$38)-YEAR($B$39))+MONTH($B$38)-MONTH($B$39))))*(1+'Вводные'!$K$55)^MAX(0,(12*(YEAR(AB$3)-YEAR($B$38))+MONTH(AB$3)-MONTH($B$38))))</x:f>
      </x:c>
      <x:c r="AC51" s="107" t="n">
        <x:f>IF(AC50=0,0,'Вводные'!$K$51*'Вводные'!$H$5*INDEX('Вводные'!$S$88:$S$91,$B$36)*INDEX('Вводные'!$AG$88:$AG$91,$B$36)*(1+'Вводные'!$K$54)^MAX(0,MIN((12*(YEAR(AC$3)-YEAR($B$39))+MONTH(AC$3)-MONTH($B$39)),(12*(YEAR($B$38)-YEAR($B$39))+MONTH($B$38)-MONTH($B$39))))*(1+'Вводные'!$K$55)^MAX(0,(12*(YEAR(AC$3)-YEAR($B$38))+MONTH(AC$3)-MONTH($B$38))))</x:f>
      </x:c>
      <x:c r="AD51" s="107" t="n">
        <x:f>IF(AD50=0,0,'Вводные'!$K$51*'Вводные'!$H$5*INDEX('Вводные'!$S$88:$S$91,$B$36)*INDEX('Вводные'!$AG$88:$AG$91,$B$36)*(1+'Вводные'!$K$54)^MAX(0,MIN((12*(YEAR(AD$3)-YEAR($B$39))+MONTH(AD$3)-MONTH($B$39)),(12*(YEAR($B$38)-YEAR($B$39))+MONTH($B$38)-MONTH($B$39))))*(1+'Вводные'!$K$55)^MAX(0,(12*(YEAR(AD$3)-YEAR($B$38))+MONTH(AD$3)-MONTH($B$38))))</x:f>
      </x:c>
      <x:c r="AE51" s="107" t="n">
        <x:f>IF(AE50=0,0,'Вводные'!$K$51*'Вводные'!$H$5*INDEX('Вводные'!$S$88:$S$91,$B$36)*INDEX('Вводные'!$AG$88:$AG$91,$B$36)*(1+'Вводные'!$K$54)^MAX(0,MIN((12*(YEAR(AE$3)-YEAR($B$39))+MONTH(AE$3)-MONTH($B$39)),(12*(YEAR($B$38)-YEAR($B$39))+MONTH($B$38)-MONTH($B$39))))*(1+'Вводные'!$K$55)^MAX(0,(12*(YEAR(AE$3)-YEAR($B$38))+MONTH(AE$3)-MONTH($B$38))))</x:f>
      </x:c>
      <x:c r="AF51" s="107" t="n">
        <x:f>IF(AF50=0,0,'Вводные'!$K$51*'Вводные'!$H$5*INDEX('Вводные'!$S$88:$S$91,$B$36)*INDEX('Вводные'!$AG$88:$AG$91,$B$36)*(1+'Вводные'!$K$54)^MAX(0,MIN((12*(YEAR(AF$3)-YEAR($B$39))+MONTH(AF$3)-MONTH($B$39)),(12*(YEAR($B$38)-YEAR($B$39))+MONTH($B$38)-MONTH($B$39))))*(1+'Вводные'!$K$55)^MAX(0,(12*(YEAR(AF$3)-YEAR($B$38))+MONTH(AF$3)-MONTH($B$38))))</x:f>
      </x:c>
      <x:c r="AG51" s="107" t="n">
        <x:f>IF(AG50=0,0,'Вводные'!$K$51*'Вводные'!$H$5*INDEX('Вводные'!$S$88:$S$91,$B$36)*INDEX('Вводные'!$AG$88:$AG$91,$B$36)*(1+'Вводные'!$K$54)^MAX(0,MIN((12*(YEAR(AG$3)-YEAR($B$39))+MONTH(AG$3)-MONTH($B$39)),(12*(YEAR($B$38)-YEAR($B$39))+MONTH($B$38)-MONTH($B$39))))*(1+'Вводные'!$K$55)^MAX(0,(12*(YEAR(AG$3)-YEAR($B$38))+MONTH(AG$3)-MONTH($B$38))))</x:f>
      </x:c>
      <x:c r="AH51" s="107" t="n">
        <x:f>IF(AH50=0,0,'Вводные'!$K$51*'Вводные'!$H$5*INDEX('Вводные'!$S$88:$S$91,$B$36)*INDEX('Вводные'!$AG$88:$AG$91,$B$36)*(1+'Вводные'!$K$54)^MAX(0,MIN((12*(YEAR(AH$3)-YEAR($B$39))+MONTH(AH$3)-MONTH($B$39)),(12*(YEAR($B$38)-YEAR($B$39))+MONTH($B$38)-MONTH($B$39))))*(1+'Вводные'!$K$55)^MAX(0,(12*(YEAR(AH$3)-YEAR($B$38))+MONTH(AH$3)-MONTH($B$38))))</x:f>
      </x:c>
      <x:c r="AI51" s="107" t="n">
        <x:f>IF(AI50=0,0,'Вводные'!$K$51*'Вводные'!$H$5*INDEX('Вводные'!$S$88:$S$91,$B$36)*INDEX('Вводные'!$AG$88:$AG$91,$B$36)*(1+'Вводные'!$K$54)^MAX(0,MIN((12*(YEAR(AI$3)-YEAR($B$39))+MONTH(AI$3)-MONTH($B$39)),(12*(YEAR($B$38)-YEAR($B$39))+MONTH($B$38)-MONTH($B$39))))*(1+'Вводные'!$K$55)^MAX(0,(12*(YEAR(AI$3)-YEAR($B$38))+MONTH(AI$3)-MONTH($B$38))))</x:f>
      </x:c>
      <x:c r="AJ51" s="107" t="n">
        <x:f>IF(AJ50=0,0,'Вводные'!$K$51*'Вводные'!$H$5*INDEX('Вводные'!$S$88:$S$91,$B$36)*INDEX('Вводные'!$AG$88:$AG$91,$B$36)*(1+'Вводные'!$K$54)^MAX(0,MIN((12*(YEAR(AJ$3)-YEAR($B$39))+MONTH(AJ$3)-MONTH($B$39)),(12*(YEAR($B$38)-YEAR($B$39))+MONTH($B$38)-MONTH($B$39))))*(1+'Вводные'!$K$55)^MAX(0,(12*(YEAR(AJ$3)-YEAR($B$38))+MONTH(AJ$3)-MONTH($B$38))))</x:f>
      </x:c>
      <x:c r="AK51" s="107" t="n">
        <x:f>IF(AK50=0,0,'Вводные'!$K$51*'Вводные'!$H$5*INDEX('Вводные'!$S$88:$S$91,$B$36)*INDEX('Вводные'!$AG$88:$AG$91,$B$36)*(1+'Вводные'!$K$54)^MAX(0,MIN((12*(YEAR(AK$3)-YEAR($B$39))+MONTH(AK$3)-MONTH($B$39)),(12*(YEAR($B$38)-YEAR($B$39))+MONTH($B$38)-MONTH($B$39))))*(1+'Вводные'!$K$55)^MAX(0,(12*(YEAR(AK$3)-YEAR($B$38))+MONTH(AK$3)-MONTH($B$38))))</x:f>
      </x:c>
      <x:c r="AL51" s="107" t="n">
        <x:f>IF(AL50=0,0,'Вводные'!$K$51*'Вводные'!$H$5*INDEX('Вводные'!$S$88:$S$91,$B$36)*INDEX('Вводные'!$AG$88:$AG$91,$B$36)*(1+'Вводные'!$K$54)^MAX(0,MIN((12*(YEAR(AL$3)-YEAR($B$39))+MONTH(AL$3)-MONTH($B$39)),(12*(YEAR($B$38)-YEAR($B$39))+MONTH($B$38)-MONTH($B$39))))*(1+'Вводные'!$K$55)^MAX(0,(12*(YEAR(AL$3)-YEAR($B$38))+MONTH(AL$3)-MONTH($B$38))))</x:f>
      </x:c>
      <x:c r="AM51" s="107" t="n">
        <x:f>IF(AM50=0,0,'Вводные'!$K$51*'Вводные'!$H$5*INDEX('Вводные'!$S$88:$S$91,$B$36)*INDEX('Вводные'!$AG$88:$AG$91,$B$36)*(1+'Вводные'!$K$54)^MAX(0,MIN((12*(YEAR(AM$3)-YEAR($B$39))+MONTH(AM$3)-MONTH($B$39)),(12*(YEAR($B$38)-YEAR($B$39))+MONTH($B$38)-MONTH($B$39))))*(1+'Вводные'!$K$55)^MAX(0,(12*(YEAR(AM$3)-YEAR($B$38))+MONTH(AM$3)-MONTH($B$38))))</x:f>
      </x:c>
      <x:c r="AN51" s="107" t="n">
        <x:f>IF(AN50=0,0,'Вводные'!$K$51*'Вводные'!$H$5*INDEX('Вводные'!$S$88:$S$91,$B$36)*INDEX('Вводные'!$AG$88:$AG$91,$B$36)*(1+'Вводные'!$K$54)^MAX(0,MIN((12*(YEAR(AN$3)-YEAR($B$39))+MONTH(AN$3)-MONTH($B$39)),(12*(YEAR($B$38)-YEAR($B$39))+MONTH($B$38)-MONTH($B$39))))*(1+'Вводные'!$K$55)^MAX(0,(12*(YEAR(AN$3)-YEAR($B$38))+MONTH(AN$3)-MONTH($B$38))))</x:f>
      </x:c>
      <x:c r="AO51" s="107" t="n">
        <x:f>IF(AO50=0,0,'Вводные'!$K$51*'Вводные'!$H$5*INDEX('Вводные'!$S$88:$S$91,$B$36)*INDEX('Вводные'!$AG$88:$AG$91,$B$36)*(1+'Вводные'!$K$54)^MAX(0,MIN((12*(YEAR(AO$3)-YEAR($B$39))+MONTH(AO$3)-MONTH($B$39)),(12*(YEAR($B$38)-YEAR($B$39))+MONTH($B$38)-MONTH($B$39))))*(1+'Вводные'!$K$55)^MAX(0,(12*(YEAR(AO$3)-YEAR($B$38))+MONTH(AO$3)-MONTH($B$38))))</x:f>
      </x:c>
      <x:c r="AP51" s="107" t="n">
        <x:f>IF(AP50=0,0,'Вводные'!$K$51*'Вводные'!$H$5*INDEX('Вводные'!$S$88:$S$91,$B$36)*INDEX('Вводные'!$AG$88:$AG$91,$B$36)*(1+'Вводные'!$K$54)^MAX(0,MIN((12*(YEAR(AP$3)-YEAR($B$39))+MONTH(AP$3)-MONTH($B$39)),(12*(YEAR($B$38)-YEAR($B$39))+MONTH($B$38)-MONTH($B$39))))*(1+'Вводные'!$K$55)^MAX(0,(12*(YEAR(AP$3)-YEAR($B$38))+MONTH(AP$3)-MONTH($B$38))))</x:f>
      </x:c>
      <x:c r="AQ51" s="107" t="n">
        <x:f>IF(AQ50=0,0,'Вводные'!$K$51*'Вводные'!$H$5*INDEX('Вводные'!$S$88:$S$91,$B$36)*INDEX('Вводные'!$AG$88:$AG$91,$B$36)*(1+'Вводные'!$K$54)^MAX(0,MIN((12*(YEAR(AQ$3)-YEAR($B$39))+MONTH(AQ$3)-MONTH($B$39)),(12*(YEAR($B$38)-YEAR($B$39))+MONTH($B$38)-MONTH($B$39))))*(1+'Вводные'!$K$55)^MAX(0,(12*(YEAR(AQ$3)-YEAR($B$38))+MONTH(AQ$3)-MONTH($B$38))))</x:f>
      </x:c>
      <x:c r="AR51" s="107" t="n">
        <x:f>IF(AR50=0,0,'Вводные'!$K$51*'Вводные'!$H$5*INDEX('Вводные'!$S$88:$S$91,$B$36)*INDEX('Вводные'!$AG$88:$AG$91,$B$36)*(1+'Вводные'!$K$54)^MAX(0,MIN((12*(YEAR(AR$3)-YEAR($B$39))+MONTH(AR$3)-MONTH($B$39)),(12*(YEAR($B$38)-YEAR($B$39))+MONTH($B$38)-MONTH($B$39))))*(1+'Вводные'!$K$55)^MAX(0,(12*(YEAR(AR$3)-YEAR($B$38))+MONTH(AR$3)-MONTH($B$38))))</x:f>
      </x:c>
      <x:c r="AS51" s="107" t="n">
        <x:f>IF(AS50=0,0,'Вводные'!$K$51*'Вводные'!$H$5*INDEX('Вводные'!$S$88:$S$91,$B$36)*INDEX('Вводные'!$AG$88:$AG$91,$B$36)*(1+'Вводные'!$K$54)^MAX(0,MIN((12*(YEAR(AS$3)-YEAR($B$39))+MONTH(AS$3)-MONTH($B$39)),(12*(YEAR($B$38)-YEAR($B$39))+MONTH($B$38)-MONTH($B$39))))*(1+'Вводные'!$K$55)^MAX(0,(12*(YEAR(AS$3)-YEAR($B$38))+MONTH(AS$3)-MONTH($B$38))))</x:f>
      </x:c>
      <x:c r="AT51" s="107" t="n">
        <x:f>IF(AT50=0,0,'Вводные'!$K$51*'Вводные'!$H$5*INDEX('Вводные'!$S$88:$S$91,$B$36)*INDEX('Вводные'!$AG$88:$AG$91,$B$36)*(1+'Вводные'!$K$54)^MAX(0,MIN((12*(YEAR(AT$3)-YEAR($B$39))+MONTH(AT$3)-MONTH($B$39)),(12*(YEAR($B$38)-YEAR($B$39))+MONTH($B$38)-MONTH($B$39))))*(1+'Вводные'!$K$55)^MAX(0,(12*(YEAR(AT$3)-YEAR($B$38))+MONTH(AT$3)-MONTH($B$38))))</x:f>
      </x:c>
      <x:c r="AU51" s="107" t="n">
        <x:f>IF(AU50=0,0,'Вводные'!$K$51*'Вводные'!$H$5*INDEX('Вводные'!$S$88:$S$91,$B$36)*INDEX('Вводные'!$AG$88:$AG$91,$B$36)*(1+'Вводные'!$K$54)^MAX(0,MIN((12*(YEAR(AU$3)-YEAR($B$39))+MONTH(AU$3)-MONTH($B$39)),(12*(YEAR($B$38)-YEAR($B$39))+MONTH($B$38)-MONTH($B$39))))*(1+'Вводные'!$K$55)^MAX(0,(12*(YEAR(AU$3)-YEAR($B$38))+MONTH(AU$3)-MONTH($B$38))))</x:f>
      </x:c>
      <x:c r="AV51" s="107" t="n">
        <x:f>IF(AV50=0,0,'Вводные'!$K$51*'Вводные'!$H$5*INDEX('Вводные'!$S$88:$S$91,$B$36)*INDEX('Вводные'!$AG$88:$AG$91,$B$36)*(1+'Вводные'!$K$54)^MAX(0,MIN((12*(YEAR(AV$3)-YEAR($B$39))+MONTH(AV$3)-MONTH($B$39)),(12*(YEAR($B$38)-YEAR($B$39))+MONTH($B$38)-MONTH($B$39))))*(1+'Вводные'!$K$55)^MAX(0,(12*(YEAR(AV$3)-YEAR($B$38))+MONTH(AV$3)-MONTH($B$38))))</x:f>
      </x:c>
      <x:c r="AW51" s="107" t="n">
        <x:f>IF(AW50=0,0,'Вводные'!$K$51*'Вводные'!$H$5*INDEX('Вводные'!$S$88:$S$91,$B$36)*INDEX('Вводные'!$AG$88:$AG$91,$B$36)*(1+'Вводные'!$K$54)^MAX(0,MIN((12*(YEAR(AW$3)-YEAR($B$39))+MONTH(AW$3)-MONTH($B$39)),(12*(YEAR($B$38)-YEAR($B$39))+MONTH($B$38)-MONTH($B$39))))*(1+'Вводные'!$K$55)^MAX(0,(12*(YEAR(AW$3)-YEAR($B$38))+MONTH(AW$3)-MONTH($B$38))))</x:f>
      </x:c>
      <x:c r="AX51" s="107" t="n">
        <x:f>IF(AX50=0,0,'Вводные'!$K$51*'Вводные'!$H$5*INDEX('Вводные'!$S$88:$S$91,$B$36)*INDEX('Вводные'!$AG$88:$AG$91,$B$36)*(1+'Вводные'!$K$54)^MAX(0,MIN((12*(YEAR(AX$3)-YEAR($B$39))+MONTH(AX$3)-MONTH($B$39)),(12*(YEAR($B$38)-YEAR($B$39))+MONTH($B$38)-MONTH($B$39))))*(1+'Вводные'!$K$55)^MAX(0,(12*(YEAR(AX$3)-YEAR($B$38))+MONTH(AX$3)-MONTH($B$38))))</x:f>
      </x:c>
      <x:c r="AY51" s="107" t="n">
        <x:f>IF(AY50=0,0,'Вводные'!$K$51*'Вводные'!$H$5*INDEX('Вводные'!$S$88:$S$91,$B$36)*INDEX('Вводные'!$AG$88:$AG$91,$B$36)*(1+'Вводные'!$K$54)^MAX(0,MIN((12*(YEAR(AY$3)-YEAR($B$39))+MONTH(AY$3)-MONTH($B$39)),(12*(YEAR($B$38)-YEAR($B$39))+MONTH($B$38)-MONTH($B$39))))*(1+'Вводные'!$K$55)^MAX(0,(12*(YEAR(AY$3)-YEAR($B$38))+MONTH(AY$3)-MONTH($B$38))))</x:f>
      </x:c>
      <x:c r="AZ51" s="107" t="n">
        <x:f>IF(AZ50=0,0,'Вводные'!$K$51*'Вводные'!$H$5*INDEX('Вводные'!$S$88:$S$91,$B$36)*INDEX('Вводные'!$AG$88:$AG$91,$B$36)*(1+'Вводные'!$K$54)^MAX(0,MIN((12*(YEAR(AZ$3)-YEAR($B$39))+MONTH(AZ$3)-MONTH($B$39)),(12*(YEAR($B$38)-YEAR($B$39))+MONTH($B$38)-MONTH($B$39))))*(1+'Вводные'!$K$55)^MAX(0,(12*(YEAR(AZ$3)-YEAR($B$38))+MONTH(AZ$3)-MONTH($B$38))))</x:f>
      </x:c>
      <x:c r="BA51" s="107" t="n">
        <x:f>IF(BA50=0,0,'Вводные'!$K$51*'Вводные'!$H$5*INDEX('Вводные'!$S$88:$S$91,$B$36)*INDEX('Вводные'!$AG$88:$AG$91,$B$36)*(1+'Вводные'!$K$54)^MAX(0,MIN((12*(YEAR(BA$3)-YEAR($B$39))+MONTH(BA$3)-MONTH($B$39)),(12*(YEAR($B$38)-YEAR($B$39))+MONTH($B$38)-MONTH($B$39))))*(1+'Вводные'!$K$55)^MAX(0,(12*(YEAR(BA$3)-YEAR($B$38))+MONTH(BA$3)-MONTH($B$38))))</x:f>
      </x:c>
      <x:c r="BB51" s="107" t="n">
        <x:f>IF(BB50=0,0,'Вводные'!$K$51*'Вводные'!$H$5*INDEX('Вводные'!$S$88:$S$91,$B$36)*INDEX('Вводные'!$AG$88:$AG$91,$B$36)*(1+'Вводные'!$K$54)^MAX(0,MIN((12*(YEAR(BB$3)-YEAR($B$39))+MONTH(BB$3)-MONTH($B$39)),(12*(YEAR($B$38)-YEAR($B$39))+MONTH($B$38)-MONTH($B$39))))*(1+'Вводные'!$K$55)^MAX(0,(12*(YEAR(BB$3)-YEAR($B$38))+MONTH(BB$3)-MONTH($B$38))))</x:f>
      </x:c>
      <x:c r="BC51" s="107" t="n">
        <x:f>IF(BC50=0,0,'Вводные'!$K$51*'Вводные'!$H$5*INDEX('Вводные'!$S$88:$S$91,$B$36)*INDEX('Вводные'!$AG$88:$AG$91,$B$36)*(1+'Вводные'!$K$54)^MAX(0,MIN((12*(YEAR(BC$3)-YEAR($B$39))+MONTH(BC$3)-MONTH($B$39)),(12*(YEAR($B$38)-YEAR($B$39))+MONTH($B$38)-MONTH($B$39))))*(1+'Вводные'!$K$55)^MAX(0,(12*(YEAR(BC$3)-YEAR($B$38))+MONTH(BC$3)-MONTH($B$38))))</x:f>
      </x:c>
      <x:c r="BD51" s="107" t="n">
        <x:f>IF(BD50=0,0,'Вводные'!$K$51*'Вводные'!$H$5*INDEX('Вводные'!$S$88:$S$91,$B$36)*INDEX('Вводные'!$AG$88:$AG$91,$B$36)*(1+'Вводные'!$K$54)^MAX(0,MIN((12*(YEAR(BD$3)-YEAR($B$39))+MONTH(BD$3)-MONTH($B$39)),(12*(YEAR($B$38)-YEAR($B$39))+MONTH($B$38)-MONTH($B$39))))*(1+'Вводные'!$K$55)^MAX(0,(12*(YEAR(BD$3)-YEAR($B$38))+MONTH(BD$3)-MONTH($B$38))))</x:f>
      </x:c>
      <x:c r="BE51" s="107" t="n">
        <x:f>IF(BE50=0,0,'Вводные'!$K$51*'Вводные'!$H$5*INDEX('Вводные'!$S$88:$S$91,$B$36)*INDEX('Вводные'!$AG$88:$AG$91,$B$36)*(1+'Вводные'!$K$54)^MAX(0,MIN((12*(YEAR(BE$3)-YEAR($B$39))+MONTH(BE$3)-MONTH($B$39)),(12*(YEAR($B$38)-YEAR($B$39))+MONTH($B$38)-MONTH($B$39))))*(1+'Вводные'!$K$55)^MAX(0,(12*(YEAR(BE$3)-YEAR($B$38))+MONTH(BE$3)-MONTH($B$38))))</x:f>
      </x:c>
      <x:c r="BF51" s="107" t="n">
        <x:f>IF(BF50=0,0,'Вводные'!$K$51*'Вводные'!$H$5*INDEX('Вводные'!$S$88:$S$91,$B$36)*INDEX('Вводные'!$AG$88:$AG$91,$B$36)*(1+'Вводные'!$K$54)^MAX(0,MIN((12*(YEAR(BF$3)-YEAR($B$39))+MONTH(BF$3)-MONTH($B$39)),(12*(YEAR($B$38)-YEAR($B$39))+MONTH($B$38)-MONTH($B$39))))*(1+'Вводные'!$K$55)^MAX(0,(12*(YEAR(BF$3)-YEAR($B$38))+MONTH(BF$3)-MONTH($B$38))))</x:f>
      </x:c>
      <x:c r="BG51" s="107" t="n">
        <x:f>IF(BG50=0,0,'Вводные'!$K$51*'Вводные'!$H$5*INDEX('Вводные'!$S$88:$S$91,$B$36)*INDEX('Вводные'!$AG$88:$AG$91,$B$36)*(1+'Вводные'!$K$54)^MAX(0,MIN((12*(YEAR(BG$3)-YEAR($B$39))+MONTH(BG$3)-MONTH($B$39)),(12*(YEAR($B$38)-YEAR($B$39))+MONTH($B$38)-MONTH($B$39))))*(1+'Вводные'!$K$55)^MAX(0,(12*(YEAR(BG$3)-YEAR($B$38))+MONTH(BG$3)-MONTH($B$38))))</x:f>
      </x:c>
      <x:c r="BH51" s="107" t="n">
        <x:f>IF(BH50=0,0,'Вводные'!$K$51*'Вводные'!$H$5*INDEX('Вводные'!$S$88:$S$91,$B$36)*INDEX('Вводные'!$AG$88:$AG$91,$B$36)*(1+'Вводные'!$K$54)^MAX(0,MIN((12*(YEAR(BH$3)-YEAR($B$39))+MONTH(BH$3)-MONTH($B$39)),(12*(YEAR($B$38)-YEAR($B$39))+MONTH($B$38)-MONTH($B$39))))*(1+'Вводные'!$K$55)^MAX(0,(12*(YEAR(BH$3)-YEAR($B$38))+MONTH(BH$3)-MONTH($B$38))))</x:f>
      </x:c>
      <x:c r="BI51" s="107" t="n">
        <x:f>IF(BI50=0,0,'Вводные'!$K$51*'Вводные'!$H$5*INDEX('Вводные'!$S$88:$S$91,$B$36)*INDEX('Вводные'!$AG$88:$AG$91,$B$36)*(1+'Вводные'!$K$54)^MAX(0,MIN((12*(YEAR(BI$3)-YEAR($B$39))+MONTH(BI$3)-MONTH($B$39)),(12*(YEAR($B$38)-YEAR($B$39))+MONTH($B$38)-MONTH($B$39))))*(1+'Вводные'!$K$55)^MAX(0,(12*(YEAR(BI$3)-YEAR($B$38))+MONTH(BI$3)-MONTH($B$38))))</x:f>
      </x:c>
      <x:c r="BJ51" s="107" t="n">
        <x:f>IF(BJ50=0,0,'Вводные'!$K$51*'Вводные'!$H$5*INDEX('Вводные'!$S$88:$S$91,$B$36)*INDEX('Вводные'!$AG$88:$AG$91,$B$36)*(1+'Вводные'!$K$54)^MAX(0,MIN((12*(YEAR(BJ$3)-YEAR($B$39))+MONTH(BJ$3)-MONTH($B$39)),(12*(YEAR($B$38)-YEAR($B$39))+MONTH($B$38)-MONTH($B$39))))*(1+'Вводные'!$K$55)^MAX(0,(12*(YEAR(BJ$3)-YEAR($B$38))+MONTH(BJ$3)-MONTH($B$38))))</x:f>
      </x:c>
      <x:c r="BK51" s="107" t="n">
        <x:f>IF(BK50=0,0,'Вводные'!$K$51*'Вводные'!$H$5*INDEX('Вводные'!$S$88:$S$91,$B$36)*INDEX('Вводные'!$AG$88:$AG$91,$B$36)*(1+'Вводные'!$K$54)^MAX(0,MIN((12*(YEAR(BK$3)-YEAR($B$39))+MONTH(BK$3)-MONTH($B$39)),(12*(YEAR($B$38)-YEAR($B$39))+MONTH($B$38)-MONTH($B$39))))*(1+'Вводные'!$K$55)^MAX(0,(12*(YEAR(BK$3)-YEAR($B$38))+MONTH(BK$3)-MONTH($B$38))))</x:f>
      </x:c>
      <x:c r="BL51" s="107" t="n">
        <x:f>IF(BL50=0,0,'Вводные'!$K$51*'Вводные'!$H$5*INDEX('Вводные'!$S$88:$S$91,$B$36)*INDEX('Вводные'!$AG$88:$AG$91,$B$36)*(1+'Вводные'!$K$54)^MAX(0,MIN((12*(YEAR(BL$3)-YEAR($B$39))+MONTH(BL$3)-MONTH($B$39)),(12*(YEAR($B$38)-YEAR($B$39))+MONTH($B$38)-MONTH($B$39))))*(1+'Вводные'!$K$55)^MAX(0,(12*(YEAR(BL$3)-YEAR($B$38))+MONTH(BL$3)-MONTH($B$38))))</x:f>
      </x:c>
      <x:c r="BM51" s="107" t="n">
        <x:f>IF(BM50=0,0,'Вводные'!$K$51*'Вводные'!$H$5*INDEX('Вводные'!$S$88:$S$91,$B$36)*INDEX('Вводные'!$AG$88:$AG$91,$B$36)*(1+'Вводные'!$K$54)^MAX(0,MIN((12*(YEAR(BM$3)-YEAR($B$39))+MONTH(BM$3)-MONTH($B$39)),(12*(YEAR($B$38)-YEAR($B$39))+MONTH($B$38)-MONTH($B$39))))*(1+'Вводные'!$K$55)^MAX(0,(12*(YEAR(BM$3)-YEAR($B$38))+MONTH(BM$3)-MONTH($B$38))))</x:f>
      </x:c>
      <x:c r="BN51" s="107" t="n">
        <x:f>IF(BN50=0,0,'Вводные'!$K$51*'Вводные'!$H$5*INDEX('Вводные'!$S$88:$S$91,$B$36)*INDEX('Вводные'!$AG$88:$AG$91,$B$36)*(1+'Вводные'!$K$54)^MAX(0,MIN((12*(YEAR(BN$3)-YEAR($B$39))+MONTH(BN$3)-MONTH($B$39)),(12*(YEAR($B$38)-YEAR($B$39))+MONTH($B$38)-MONTH($B$39))))*(1+'Вводные'!$K$55)^MAX(0,(12*(YEAR(BN$3)-YEAR($B$38))+MONTH(BN$3)-MONTH($B$38))))</x:f>
      </x:c>
      <x:c r="BO51" s="107" t="n">
        <x:f>IF(BO50=0,0,'Вводные'!$K$51*'Вводные'!$H$5*INDEX('Вводные'!$S$88:$S$91,$B$36)*INDEX('Вводные'!$AG$88:$AG$91,$B$36)*(1+'Вводные'!$K$54)^MAX(0,MIN((12*(YEAR(BO$3)-YEAR($B$39))+MONTH(BO$3)-MONTH($B$39)),(12*(YEAR($B$38)-YEAR($B$39))+MONTH($B$38)-MONTH($B$39))))*(1+'Вводные'!$K$55)^MAX(0,(12*(YEAR(BO$3)-YEAR($B$38))+MONTH(BO$3)-MONTH($B$38))))</x:f>
      </x:c>
      <x:c r="BP51" s="107" t="n">
        <x:f>IF(BP50=0,0,'Вводные'!$K$51*'Вводные'!$H$5*INDEX('Вводные'!$S$88:$S$91,$B$36)*INDEX('Вводные'!$AG$88:$AG$91,$B$36)*(1+'Вводные'!$K$54)^MAX(0,MIN((12*(YEAR(BP$3)-YEAR($B$39))+MONTH(BP$3)-MONTH($B$39)),(12*(YEAR($B$38)-YEAR($B$39))+MONTH($B$38)-MONTH($B$39))))*(1+'Вводные'!$K$55)^MAX(0,(12*(YEAR(BP$3)-YEAR($B$38))+MONTH(BP$3)-MONTH($B$38))))</x:f>
      </x:c>
      <x:c r="BQ51" s="107" t="n">
        <x:f>IF(BQ50=0,0,'Вводные'!$K$51*'Вводные'!$H$5*INDEX('Вводные'!$S$88:$S$91,$B$36)*INDEX('Вводные'!$AG$88:$AG$91,$B$36)*(1+'Вводные'!$K$54)^MAX(0,MIN((12*(YEAR(BQ$3)-YEAR($B$39))+MONTH(BQ$3)-MONTH($B$39)),(12*(YEAR($B$38)-YEAR($B$39))+MONTH($B$38)-MONTH($B$39))))*(1+'Вводные'!$K$55)^MAX(0,(12*(YEAR(BQ$3)-YEAR($B$38))+MONTH(BQ$3)-MONTH($B$38))))</x:f>
      </x:c>
      <x:c r="BR51" s="107" t="n">
        <x:f>IF(BR50=0,0,'Вводные'!$K$51*'Вводные'!$H$5*INDEX('Вводные'!$S$88:$S$91,$B$36)*INDEX('Вводные'!$AG$88:$AG$91,$B$36)*(1+'Вводные'!$K$54)^MAX(0,MIN((12*(YEAR(BR$3)-YEAR($B$39))+MONTH(BR$3)-MONTH($B$39)),(12*(YEAR($B$38)-YEAR($B$39))+MONTH($B$38)-MONTH($B$39))))*(1+'Вводные'!$K$55)^MAX(0,(12*(YEAR(BR$3)-YEAR($B$38))+MONTH(BR$3)-MONTH($B$38))))</x:f>
      </x:c>
      <x:c r="BS51" s="107" t="n">
        <x:f>IF(BS50=0,0,'Вводные'!$K$51*'Вводные'!$H$5*INDEX('Вводные'!$S$88:$S$91,$B$36)*INDEX('Вводные'!$AG$88:$AG$91,$B$36)*(1+'Вводные'!$K$54)^MAX(0,MIN((12*(YEAR(BS$3)-YEAR($B$39))+MONTH(BS$3)-MONTH($B$39)),(12*(YEAR($B$38)-YEAR($B$39))+MONTH($B$38)-MONTH($B$39))))*(1+'Вводные'!$K$55)^MAX(0,(12*(YEAR(BS$3)-YEAR($B$38))+MONTH(BS$3)-MONTH($B$38))))</x:f>
      </x:c>
      <x:c r="BT51" s="107" t="n">
        <x:f>IF(BT50=0,0,'Вводные'!$K$51*'Вводные'!$H$5*INDEX('Вводные'!$S$88:$S$91,$B$36)*INDEX('Вводные'!$AG$88:$AG$91,$B$36)*(1+'Вводные'!$K$54)^MAX(0,MIN((12*(YEAR(BT$3)-YEAR($B$39))+MONTH(BT$3)-MONTH($B$39)),(12*(YEAR($B$38)-YEAR($B$39))+MONTH($B$38)-MONTH($B$39))))*(1+'Вводные'!$K$55)^MAX(0,(12*(YEAR(BT$3)-YEAR($B$38))+MONTH(BT$3)-MONTH($B$38))))</x:f>
      </x:c>
      <x:c r="BU51" s="107" t="n">
        <x:f>IF(BU50=0,0,'Вводные'!$K$51*'Вводные'!$H$5*INDEX('Вводные'!$S$88:$S$91,$B$36)*INDEX('Вводные'!$AG$88:$AG$91,$B$36)*(1+'Вводные'!$K$54)^MAX(0,MIN((12*(YEAR(BU$3)-YEAR($B$39))+MONTH(BU$3)-MONTH($B$39)),(12*(YEAR($B$38)-YEAR($B$39))+MONTH($B$38)-MONTH($B$39))))*(1+'Вводные'!$K$55)^MAX(0,(12*(YEAR(BU$3)-YEAR($B$38))+MONTH(BU$3)-MONTH($B$38))))</x:f>
      </x:c>
      <x:c r="BV51" s="107" t="n">
        <x:f>IF(BV50=0,0,'Вводные'!$K$51*'Вводные'!$H$5*INDEX('Вводные'!$S$88:$S$91,$B$36)*INDEX('Вводные'!$AG$88:$AG$91,$B$36)*(1+'Вводные'!$K$54)^MAX(0,MIN((12*(YEAR(BV$3)-YEAR($B$39))+MONTH(BV$3)-MONTH($B$39)),(12*(YEAR($B$38)-YEAR($B$39))+MONTH($B$38)-MONTH($B$39))))*(1+'Вводные'!$K$55)^MAX(0,(12*(YEAR(BV$3)-YEAR($B$38))+MONTH(BV$3)-MONTH($B$38))))</x:f>
      </x:c>
      <x:c r="BW51" s="107" t="n">
        <x:f>IF(BW50=0,0,'Вводные'!$K$51*'Вводные'!$H$5*INDEX('Вводные'!$S$88:$S$91,$B$36)*INDEX('Вводные'!$AG$88:$AG$91,$B$36)*(1+'Вводные'!$K$54)^MAX(0,MIN((12*(YEAR(BW$3)-YEAR($B$39))+MONTH(BW$3)-MONTH($B$39)),(12*(YEAR($B$38)-YEAR($B$39))+MONTH($B$38)-MONTH($B$39))))*(1+'Вводные'!$K$55)^MAX(0,(12*(YEAR(BW$3)-YEAR($B$38))+MONTH(BW$3)-MONTH($B$38))))</x:f>
      </x:c>
      <x:c r="BX51" s="107" t="n">
        <x:f>IF(BX50=0,0,'Вводные'!$K$51*'Вводные'!$H$5*INDEX('Вводные'!$S$88:$S$91,$B$36)*INDEX('Вводные'!$AG$88:$AG$91,$B$36)*(1+'Вводные'!$K$54)^MAX(0,MIN((12*(YEAR(BX$3)-YEAR($B$39))+MONTH(BX$3)-MONTH($B$39)),(12*(YEAR($B$38)-YEAR($B$39))+MONTH($B$38)-MONTH($B$39))))*(1+'Вводные'!$K$55)^MAX(0,(12*(YEAR(BX$3)-YEAR($B$38))+MONTH(BX$3)-MONTH($B$38))))</x:f>
      </x:c>
      <x:c r="BY51" s="107" t="n">
        <x:f>IF(BY50=0,0,'Вводные'!$K$51*'Вводные'!$H$5*INDEX('Вводные'!$S$88:$S$91,$B$36)*INDEX('Вводные'!$AG$88:$AG$91,$B$36)*(1+'Вводные'!$K$54)^MAX(0,MIN((12*(YEAR(BY$3)-YEAR($B$39))+MONTH(BY$3)-MONTH($B$39)),(12*(YEAR($B$38)-YEAR($B$39))+MONTH($B$38)-MONTH($B$39))))*(1+'Вводные'!$K$55)^MAX(0,(12*(YEAR(BY$3)-YEAR($B$38))+MONTH(BY$3)-MONTH($B$38))))</x:f>
      </x:c>
      <x:c r="BZ51" s="107" t="n">
        <x:f>IF(BZ50=0,0,'Вводные'!$K$51*'Вводные'!$H$5*INDEX('Вводные'!$S$88:$S$91,$B$36)*INDEX('Вводные'!$AG$88:$AG$91,$B$36)*(1+'Вводные'!$K$54)^MAX(0,MIN((12*(YEAR(BZ$3)-YEAR($B$39))+MONTH(BZ$3)-MONTH($B$39)),(12*(YEAR($B$38)-YEAR($B$39))+MONTH($B$38)-MONTH($B$39))))*(1+'Вводные'!$K$55)^MAX(0,(12*(YEAR(BZ$3)-YEAR($B$38))+MONTH(BZ$3)-MONTH($B$38))))</x:f>
      </x:c>
      <x:c r="CA51" s="107" t="n">
        <x:f>IF(CA50=0,0,'Вводные'!$K$51*'Вводные'!$H$5*INDEX('Вводные'!$S$88:$S$91,$B$36)*INDEX('Вводные'!$AG$88:$AG$91,$B$36)*(1+'Вводные'!$K$54)^MAX(0,MIN((12*(YEAR(CA$3)-YEAR($B$39))+MONTH(CA$3)-MONTH($B$39)),(12*(YEAR($B$38)-YEAR($B$39))+MONTH($B$38)-MONTH($B$39))))*(1+'Вводные'!$K$55)^MAX(0,(12*(YEAR(CA$3)-YEAR($B$38))+MONTH(CA$3)-MONTH($B$38))))</x:f>
      </x:c>
      <x:c r="CB51" s="107" t="n">
        <x:f>IF(CB50=0,0,'Вводные'!$K$51*'Вводные'!$H$5*INDEX('Вводные'!$S$88:$S$91,$B$36)*INDEX('Вводные'!$AG$88:$AG$91,$B$36)*(1+'Вводные'!$K$54)^MAX(0,MIN((12*(YEAR(CB$3)-YEAR($B$39))+MONTH(CB$3)-MONTH($B$39)),(12*(YEAR($B$38)-YEAR($B$39))+MONTH($B$38)-MONTH($B$39))))*(1+'Вводные'!$K$55)^MAX(0,(12*(YEAR(CB$3)-YEAR($B$38))+MONTH(CB$3)-MONTH($B$38))))</x:f>
      </x:c>
      <x:c r="CC51" s="107" t="n">
        <x:f>IF(CC50=0,0,'Вводные'!$K$51*'Вводные'!$H$5*INDEX('Вводные'!$S$88:$S$91,$B$36)*INDEX('Вводные'!$AG$88:$AG$91,$B$36)*(1+'Вводные'!$K$54)^MAX(0,MIN((12*(YEAR(CC$3)-YEAR($B$39))+MONTH(CC$3)-MONTH($B$39)),(12*(YEAR($B$38)-YEAR($B$39))+MONTH($B$38)-MONTH($B$39))))*(1+'Вводные'!$K$55)^MAX(0,(12*(YEAR(CC$3)-YEAR($B$38))+MONTH(CC$3)-MONTH($B$38))))</x:f>
      </x:c>
      <x:c r="CD51" s="107" t="n">
        <x:f>IF(CD50=0,0,'Вводные'!$K$51*'Вводные'!$H$5*INDEX('Вводные'!$S$88:$S$91,$B$36)*INDEX('Вводные'!$AG$88:$AG$91,$B$36)*(1+'Вводные'!$K$54)^MAX(0,MIN((12*(YEAR(CD$3)-YEAR($B$39))+MONTH(CD$3)-MONTH($B$39)),(12*(YEAR($B$38)-YEAR($B$39))+MONTH($B$38)-MONTH($B$39))))*(1+'Вводные'!$K$55)^MAX(0,(12*(YEAR(CD$3)-YEAR($B$38))+MONTH(CD$3)-MONTH($B$38))))</x:f>
      </x:c>
      <x:c r="CE51" s="107" t="n">
        <x:f>IF(CE50=0,0,'Вводные'!$K$51*'Вводные'!$H$5*INDEX('Вводные'!$S$88:$S$91,$B$36)*INDEX('Вводные'!$AG$88:$AG$91,$B$36)*(1+'Вводные'!$K$54)^MAX(0,MIN((12*(YEAR(CE$3)-YEAR($B$39))+MONTH(CE$3)-MONTH($B$39)),(12*(YEAR($B$38)-YEAR($B$39))+MONTH($B$38)-MONTH($B$39))))*(1+'Вводные'!$K$55)^MAX(0,(12*(YEAR(CE$3)-YEAR($B$38))+MONTH(CE$3)-MONTH($B$38))))</x:f>
      </x:c>
      <x:c r="CF51" s="107" t="n">
        <x:f>IF(CF50=0,0,'Вводные'!$K$51*'Вводные'!$H$5*INDEX('Вводные'!$S$88:$S$91,$B$36)*INDEX('Вводные'!$AG$88:$AG$91,$B$36)*(1+'Вводные'!$K$54)^MAX(0,MIN((12*(YEAR(CF$3)-YEAR($B$39))+MONTH(CF$3)-MONTH($B$39)),(12*(YEAR($B$38)-YEAR($B$39))+MONTH($B$38)-MONTH($B$39))))*(1+'Вводные'!$K$55)^MAX(0,(12*(YEAR(CF$3)-YEAR($B$38))+MONTH(CF$3)-MONTH($B$38))))</x:f>
      </x:c>
      <x:c r="CG51" s="107" t="n">
        <x:f>IF(CG50=0,0,'Вводные'!$K$51*'Вводные'!$H$5*INDEX('Вводные'!$S$88:$S$91,$B$36)*INDEX('Вводные'!$AG$88:$AG$91,$B$36)*(1+'Вводные'!$K$54)^MAX(0,MIN((12*(YEAR(CG$3)-YEAR($B$39))+MONTH(CG$3)-MONTH($B$39)),(12*(YEAR($B$38)-YEAR($B$39))+MONTH($B$38)-MONTH($B$39))))*(1+'Вводные'!$K$55)^MAX(0,(12*(YEAR(CG$3)-YEAR($B$38))+MONTH(CG$3)-MONTH($B$38))))</x:f>
      </x:c>
      <x:c r="CH51" s="107" t="n">
        <x:f>IF(CH50=0,0,'Вводные'!$K$51*'Вводные'!$H$5*INDEX('Вводные'!$S$88:$S$91,$B$36)*INDEX('Вводные'!$AG$88:$AG$91,$B$36)*(1+'Вводные'!$K$54)^MAX(0,MIN((12*(YEAR(CH$3)-YEAR($B$39))+MONTH(CH$3)-MONTH($B$39)),(12*(YEAR($B$38)-YEAR($B$39))+MONTH($B$38)-MONTH($B$39))))*(1+'Вводные'!$K$55)^MAX(0,(12*(YEAR(CH$3)-YEAR($B$38))+MONTH(CH$3)-MONTH($B$38))))</x:f>
      </x:c>
      <x:c r="CI51" s="107" t="n">
        <x:f>IF(CI50=0,0,'Вводные'!$K$51*'Вводные'!$H$5*INDEX('Вводные'!$S$88:$S$91,$B$36)*INDEX('Вводные'!$AG$88:$AG$91,$B$36)*(1+'Вводные'!$K$54)^MAX(0,MIN((12*(YEAR(CI$3)-YEAR($B$39))+MONTH(CI$3)-MONTH($B$39)),(12*(YEAR($B$38)-YEAR($B$39))+MONTH($B$38)-MONTH($B$39))))*(1+'Вводные'!$K$55)^MAX(0,(12*(YEAR(CI$3)-YEAR($B$38))+MONTH(CI$3)-MONTH($B$38))))</x:f>
      </x:c>
      <x:c r="CJ51" s="107" t="n">
        <x:f>IF(CJ50=0,0,'Вводные'!$K$51*'Вводные'!$H$5*INDEX('Вводные'!$S$88:$S$91,$B$36)*INDEX('Вводные'!$AG$88:$AG$91,$B$36)*(1+'Вводные'!$K$54)^MAX(0,MIN((12*(YEAR(CJ$3)-YEAR($B$39))+MONTH(CJ$3)-MONTH($B$39)),(12*(YEAR($B$38)-YEAR($B$39))+MONTH($B$38)-MONTH($B$39))))*(1+'Вводные'!$K$55)^MAX(0,(12*(YEAR(CJ$3)-YEAR($B$38))+MONTH(CJ$3)-MONTH($B$38))))</x:f>
      </x:c>
      <x:c r="CK51" s="107" t="n">
        <x:f>IF(CK50=0,0,'Вводные'!$K$51*'Вводные'!$H$5*INDEX('Вводные'!$S$88:$S$91,$B$36)*INDEX('Вводные'!$AG$88:$AG$91,$B$36)*(1+'Вводные'!$K$54)^MAX(0,MIN((12*(YEAR(CK$3)-YEAR($B$39))+MONTH(CK$3)-MONTH($B$39)),(12*(YEAR($B$38)-YEAR($B$39))+MONTH($B$38)-MONTH($B$39))))*(1+'Вводные'!$K$55)^MAX(0,(12*(YEAR(CK$3)-YEAR($B$38))+MONTH(CK$3)-MONTH($B$38))))</x:f>
      </x:c>
      <x:c r="CL51" s="107" t="n">
        <x:f>IF(CL50=0,0,'Вводные'!$K$51*'Вводные'!$H$5*INDEX('Вводные'!$S$88:$S$91,$B$36)*INDEX('Вводные'!$AG$88:$AG$91,$B$36)*(1+'Вводные'!$K$54)^MAX(0,MIN((12*(YEAR(CL$3)-YEAR($B$39))+MONTH(CL$3)-MONTH($B$39)),(12*(YEAR($B$38)-YEAR($B$39))+MONTH($B$38)-MONTH($B$39))))*(1+'Вводные'!$K$55)^MAX(0,(12*(YEAR(CL$3)-YEAR($B$38))+MONTH(CL$3)-MONTH($B$38))))</x:f>
      </x:c>
      <x:c r="CM51" s="107" t="n">
        <x:f>IF(CM50=0,0,'Вводные'!$K$51*'Вводные'!$H$5*INDEX('Вводные'!$S$88:$S$91,$B$36)*INDEX('Вводные'!$AG$88:$AG$91,$B$36)*(1+'Вводные'!$K$54)^MAX(0,MIN((12*(YEAR(CM$3)-YEAR($B$39))+MONTH(CM$3)-MONTH($B$39)),(12*(YEAR($B$38)-YEAR($B$39))+MONTH($B$38)-MONTH($B$39))))*(1+'Вводные'!$K$55)^MAX(0,(12*(YEAR(CM$3)-YEAR($B$38))+MONTH(CM$3)-MONTH($B$38))))</x:f>
      </x:c>
      <x:c r="CN51" s="107" t="n">
        <x:f>IF(CN50=0,0,'Вводные'!$K$51*'Вводные'!$H$5*INDEX('Вводные'!$S$88:$S$91,$B$36)*INDEX('Вводные'!$AG$88:$AG$91,$B$36)*(1+'Вводные'!$K$54)^MAX(0,MIN((12*(YEAR(CN$3)-YEAR($B$39))+MONTH(CN$3)-MONTH($B$39)),(12*(YEAR($B$38)-YEAR($B$39))+MONTH($B$38)-MONTH($B$39))))*(1+'Вводные'!$K$55)^MAX(0,(12*(YEAR(CN$3)-YEAR($B$38))+MONTH(CN$3)-MONTH($B$38))))</x:f>
      </x:c>
      <x:c r="CO51" s="107" t="n">
        <x:f>IF(CO50=0,0,'Вводные'!$K$51*'Вводные'!$H$5*INDEX('Вводные'!$S$88:$S$91,$B$36)*INDEX('Вводные'!$AG$88:$AG$91,$B$36)*(1+'Вводные'!$K$54)^MAX(0,MIN((12*(YEAR(CO$3)-YEAR($B$39))+MONTH(CO$3)-MONTH($B$39)),(12*(YEAR($B$38)-YEAR($B$39))+MONTH($B$38)-MONTH($B$39))))*(1+'Вводные'!$K$55)^MAX(0,(12*(YEAR(CO$3)-YEAR($B$38))+MONTH(CO$3)-MONTH($B$38))))</x:f>
      </x:c>
      <x:c r="CP51" s="107" t="n">
        <x:f>IF(CP50=0,0,'Вводные'!$K$51*'Вводные'!$H$5*INDEX('Вводные'!$S$88:$S$91,$B$36)*INDEX('Вводные'!$AG$88:$AG$91,$B$36)*(1+'Вводные'!$K$54)^MAX(0,MIN((12*(YEAR(CP$3)-YEAR($B$39))+MONTH(CP$3)-MONTH($B$39)),(12*(YEAR($B$38)-YEAR($B$39))+MONTH($B$38)-MONTH($B$39))))*(1+'Вводные'!$K$55)^MAX(0,(12*(YEAR(CP$3)-YEAR($B$38))+MONTH(CP$3)-MONTH($B$38))))</x:f>
      </x:c>
      <x:c r="CQ51" s="107" t="n">
        <x:f>IF(CQ50=0,0,'Вводные'!$K$51*'Вводные'!$H$5*INDEX('Вводные'!$S$88:$S$91,$B$36)*INDEX('Вводные'!$AG$88:$AG$91,$B$36)*(1+'Вводные'!$K$54)^MAX(0,MIN((12*(YEAR(CQ$3)-YEAR($B$39))+MONTH(CQ$3)-MONTH($B$39)),(12*(YEAR($B$38)-YEAR($B$39))+MONTH($B$38)-MONTH($B$39))))*(1+'Вводные'!$K$55)^MAX(0,(12*(YEAR(CQ$3)-YEAR($B$38))+MONTH(CQ$3)-MONTH($B$38))))</x:f>
      </x:c>
      <x:c r="CR51" s="107" t="n">
        <x:f>IF(CR50=0,0,'Вводные'!$K$51*'Вводные'!$H$5*INDEX('Вводные'!$S$88:$S$91,$B$36)*INDEX('Вводные'!$AG$88:$AG$91,$B$36)*(1+'Вводные'!$K$54)^MAX(0,MIN((12*(YEAR(CR$3)-YEAR($B$39))+MONTH(CR$3)-MONTH($B$39)),(12*(YEAR($B$38)-YEAR($B$39))+MONTH($B$38)-MONTH($B$39))))*(1+'Вводные'!$K$55)^MAX(0,(12*(YEAR(CR$3)-YEAR($B$38))+MONTH(CR$3)-MONTH($B$38))))</x:f>
      </x:c>
      <x:c r="CS51" s="107" t="n">
        <x:f>IF(CS50=0,0,'Вводные'!$K$51*'Вводные'!$H$5*INDEX('Вводные'!$S$88:$S$91,$B$36)*INDEX('Вводные'!$AG$88:$AG$91,$B$36)*(1+'Вводные'!$K$54)^MAX(0,MIN((12*(YEAR(CS$3)-YEAR($B$39))+MONTH(CS$3)-MONTH($B$39)),(12*(YEAR($B$38)-YEAR($B$39))+MONTH($B$38)-MONTH($B$39))))*(1+'Вводные'!$K$55)^MAX(0,(12*(YEAR(CS$3)-YEAR($B$38))+MONTH(CS$3)-MONTH($B$38))))</x:f>
      </x:c>
      <x:c r="CT51" s="107" t="n">
        <x:f>IF(CT50=0,0,'Вводные'!$K$51*'Вводные'!$H$5*INDEX('Вводные'!$S$88:$S$91,$B$36)*INDEX('Вводные'!$AG$88:$AG$91,$B$36)*(1+'Вводные'!$K$54)^MAX(0,MIN((12*(YEAR(CT$3)-YEAR($B$39))+MONTH(CT$3)-MONTH($B$39)),(12*(YEAR($B$38)-YEAR($B$39))+MONTH($B$38)-MONTH($B$39))))*(1+'Вводные'!$K$55)^MAX(0,(12*(YEAR(CT$3)-YEAR($B$38))+MONTH(CT$3)-MONTH($B$38))))</x:f>
      </x:c>
      <x:c r="CU51" s="107" t="n">
        <x:f>IF(CU50=0,0,'Вводные'!$K$51*'Вводные'!$H$5*INDEX('Вводные'!$S$88:$S$91,$B$36)*INDEX('Вводные'!$AG$88:$AG$91,$B$36)*(1+'Вводные'!$K$54)^MAX(0,MIN((12*(YEAR(CU$3)-YEAR($B$39))+MONTH(CU$3)-MONTH($B$39)),(12*(YEAR($B$38)-YEAR($B$39))+MONTH($B$38)-MONTH($B$39))))*(1+'Вводные'!$K$55)^MAX(0,(12*(YEAR(CU$3)-YEAR($B$38))+MONTH(CU$3)-MONTH($B$38))))</x:f>
      </x:c>
      <x:c r="CV51" s="107" t="n">
        <x:f>IF(CV50=0,0,'Вводные'!$K$51*'Вводные'!$H$5*INDEX('Вводные'!$S$88:$S$91,$B$36)*INDEX('Вводные'!$AG$88:$AG$91,$B$36)*(1+'Вводные'!$K$54)^MAX(0,MIN((12*(YEAR(CV$3)-YEAR($B$39))+MONTH(CV$3)-MONTH($B$39)),(12*(YEAR($B$38)-YEAR($B$39))+MONTH($B$38)-MONTH($B$39))))*(1+'Вводные'!$K$55)^MAX(0,(12*(YEAR(CV$3)-YEAR($B$38))+MONTH(CV$3)-MONTH($B$38))))</x:f>
      </x:c>
      <x:c r="CW51" s="107" t="n">
        <x:f>IF(CW50=0,0,'Вводные'!$K$51*'Вводные'!$H$5*INDEX('Вводные'!$S$88:$S$91,$B$36)*INDEX('Вводные'!$AG$88:$AG$91,$B$36)*(1+'Вводные'!$K$54)^MAX(0,MIN((12*(YEAR(CW$3)-YEAR($B$39))+MONTH(CW$3)-MONTH($B$39)),(12*(YEAR($B$38)-YEAR($B$39))+MONTH($B$38)-MONTH($B$39))))*(1+'Вводные'!$K$55)^MAX(0,(12*(YEAR(CW$3)-YEAR($B$38))+MONTH(CW$3)-MONTH($B$38))))</x:f>
      </x:c>
      <x:c r="CX51" s="107" t="n">
        <x:f>IF(CX50=0,0,'Вводные'!$K$51*'Вводные'!$H$5*INDEX('Вводные'!$S$88:$S$91,$B$36)*INDEX('Вводные'!$AG$88:$AG$91,$B$36)*(1+'Вводные'!$K$54)^MAX(0,MIN((12*(YEAR(CX$3)-YEAR($B$39))+MONTH(CX$3)-MONTH($B$39)),(12*(YEAR($B$38)-YEAR($B$39))+MONTH($B$38)-MONTH($B$39))))*(1+'Вводные'!$K$55)^MAX(0,(12*(YEAR(CX$3)-YEAR($B$38))+MONTH(CX$3)-MONTH($B$38))))</x:f>
      </x:c>
      <x:c r="CY51" s="107" t="n">
        <x:f>IF(CY50=0,0,'Вводные'!$K$51*'Вводные'!$H$5*INDEX('Вводные'!$S$88:$S$91,$B$36)*INDEX('Вводные'!$AG$88:$AG$91,$B$36)*(1+'Вводные'!$K$54)^MAX(0,MIN((12*(YEAR(CY$3)-YEAR($B$39))+MONTH(CY$3)-MONTH($B$39)),(12*(YEAR($B$38)-YEAR($B$39))+MONTH($B$38)-MONTH($B$39))))*(1+'Вводные'!$K$55)^MAX(0,(12*(YEAR(CY$3)-YEAR($B$38))+MONTH(CY$3)-MONTH($B$38))))</x:f>
      </x:c>
      <x:c r="CZ51" s="107" t="n">
        <x:f>IF(CZ50=0,0,'Вводные'!$K$51*'Вводные'!$H$5*INDEX('Вводные'!$S$88:$S$91,$B$36)*INDEX('Вводные'!$AG$88:$AG$91,$B$36)*(1+'Вводные'!$K$54)^MAX(0,MIN((12*(YEAR(CZ$3)-YEAR($B$39))+MONTH(CZ$3)-MONTH($B$39)),(12*(YEAR($B$38)-YEAR($B$39))+MONTH($B$38)-MONTH($B$39))))*(1+'Вводные'!$K$55)^MAX(0,(12*(YEAR(CZ$3)-YEAR($B$38))+MONTH(CZ$3)-MONTH($B$38))))</x:f>
      </x:c>
      <x:c r="DA51" s="107" t="n">
        <x:f>IF(DA50=0,0,'Вводные'!$K$51*'Вводные'!$H$5*INDEX('Вводные'!$S$88:$S$91,$B$36)*INDEX('Вводные'!$AG$88:$AG$91,$B$36)*(1+'Вводные'!$K$54)^MAX(0,MIN((12*(YEAR(DA$3)-YEAR($B$39))+MONTH(DA$3)-MONTH($B$39)),(12*(YEAR($B$38)-YEAR($B$39))+MONTH($B$38)-MONTH($B$39))))*(1+'Вводные'!$K$55)^MAX(0,(12*(YEAR(DA$3)-YEAR($B$38))+MONTH(DA$3)-MONTH($B$38))))</x:f>
      </x:c>
      <x:c r="DB51" s="107" t="n">
        <x:f>IF(DB50=0,0,'Вводные'!$K$51*'Вводные'!$H$5*INDEX('Вводные'!$S$88:$S$91,$B$36)*INDEX('Вводные'!$AG$88:$AG$91,$B$36)*(1+'Вводные'!$K$54)^MAX(0,MIN((12*(YEAR(DB$3)-YEAR($B$39))+MONTH(DB$3)-MONTH($B$39)),(12*(YEAR($B$38)-YEAR($B$39))+MONTH($B$38)-MONTH($B$39))))*(1+'Вводные'!$K$55)^MAX(0,(12*(YEAR(DB$3)-YEAR($B$38))+MONTH(DB$3)-MONTH($B$38))))</x:f>
      </x:c>
      <x:c r="DC51" s="107" t="n">
        <x:f>IF(DC50=0,0,'Вводные'!$K$51*'Вводные'!$H$5*INDEX('Вводные'!$S$88:$S$91,$B$36)*INDEX('Вводные'!$AG$88:$AG$91,$B$36)*(1+'Вводные'!$K$54)^MAX(0,MIN((12*(YEAR(DC$3)-YEAR($B$39))+MONTH(DC$3)-MONTH($B$39)),(12*(YEAR($B$38)-YEAR($B$39))+MONTH($B$38)-MONTH($B$39))))*(1+'Вводные'!$K$55)^MAX(0,(12*(YEAR(DC$3)-YEAR($B$38))+MONTH(DC$3)-MONTH($B$38))))</x:f>
      </x:c>
      <x:c r="DD51" s="107" t="n">
        <x:f>IF(DD50=0,0,'Вводные'!$K$51*'Вводные'!$H$5*INDEX('Вводные'!$S$88:$S$91,$B$36)*INDEX('Вводные'!$AG$88:$AG$91,$B$36)*(1+'Вводные'!$K$54)^MAX(0,MIN((12*(YEAR(DD$3)-YEAR($B$39))+MONTH(DD$3)-MONTH($B$39)),(12*(YEAR($B$38)-YEAR($B$39))+MONTH($B$38)-MONTH($B$39))))*(1+'Вводные'!$K$55)^MAX(0,(12*(YEAR(DD$3)-YEAR($B$38))+MONTH(DD$3)-MONTH($B$38))))</x:f>
      </x:c>
      <x:c r="DE51" s="107" t="n">
        <x:f>IF(DE50=0,0,'Вводные'!$K$51*'Вводные'!$H$5*INDEX('Вводные'!$S$88:$S$91,$B$36)*INDEX('Вводные'!$AG$88:$AG$91,$B$36)*(1+'Вводные'!$K$54)^MAX(0,MIN((12*(YEAR(DE$3)-YEAR($B$39))+MONTH(DE$3)-MONTH($B$39)),(12*(YEAR($B$38)-YEAR($B$39))+MONTH($B$38)-MONTH($B$39))))*(1+'Вводные'!$K$55)^MAX(0,(12*(YEAR(DE$3)-YEAR($B$38))+MONTH(DE$3)-MONTH($B$38))))</x:f>
      </x:c>
      <x:c r="DF51" s="107" t="n">
        <x:f>IF(DF50=0,0,'Вводные'!$K$51*'Вводные'!$H$5*INDEX('Вводные'!$S$88:$S$91,$B$36)*INDEX('Вводные'!$AG$88:$AG$91,$B$36)*(1+'Вводные'!$K$54)^MAX(0,MIN((12*(YEAR(DF$3)-YEAR($B$39))+MONTH(DF$3)-MONTH($B$39)),(12*(YEAR($B$38)-YEAR($B$39))+MONTH($B$38)-MONTH($B$39))))*(1+'Вводные'!$K$55)^MAX(0,(12*(YEAR(DF$3)-YEAR($B$38))+MONTH(DF$3)-MONTH($B$38))))</x:f>
      </x:c>
      <x:c r="DG51" s="107" t="n">
        <x:f>IF(DG50=0,0,'Вводные'!$K$51*'Вводные'!$H$5*INDEX('Вводные'!$S$88:$S$91,$B$36)*INDEX('Вводные'!$AG$88:$AG$91,$B$36)*(1+'Вводные'!$K$54)^MAX(0,MIN((12*(YEAR(DG$3)-YEAR($B$39))+MONTH(DG$3)-MONTH($B$39)),(12*(YEAR($B$38)-YEAR($B$39))+MONTH($B$38)-MONTH($B$39))))*(1+'Вводные'!$K$55)^MAX(0,(12*(YEAR(DG$3)-YEAR($B$38))+MONTH(DG$3)-MONTH($B$38))))</x:f>
      </x:c>
      <x:c r="DH51" s="107" t="n">
        <x:f>IF(DH50=0,0,'Вводные'!$K$51*'Вводные'!$H$5*INDEX('Вводные'!$S$88:$S$91,$B$36)*INDEX('Вводные'!$AG$88:$AG$91,$B$36)*(1+'Вводные'!$K$54)^MAX(0,MIN((12*(YEAR(DH$3)-YEAR($B$39))+MONTH(DH$3)-MONTH($B$39)),(12*(YEAR($B$38)-YEAR($B$39))+MONTH($B$38)-MONTH($B$39))))*(1+'Вводные'!$K$55)^MAX(0,(12*(YEAR(DH$3)-YEAR($B$38))+MONTH(DH$3)-MONTH($B$38))))</x:f>
      </x:c>
      <x:c r="DI51" s="107" t="n">
        <x:f>IF(DI50=0,0,'Вводные'!$K$51*'Вводные'!$H$5*INDEX('Вводные'!$S$88:$S$91,$B$36)*INDEX('Вводные'!$AG$88:$AG$91,$B$36)*(1+'Вводные'!$K$54)^MAX(0,MIN((12*(YEAR(DI$3)-YEAR($B$39))+MONTH(DI$3)-MONTH($B$39)),(12*(YEAR($B$38)-YEAR($B$39))+MONTH($B$38)-MONTH($B$39))))*(1+'Вводные'!$K$55)^MAX(0,(12*(YEAR(DI$3)-YEAR($B$38))+MONTH(DI$3)-MONTH($B$38))))</x:f>
      </x:c>
      <x:c r="DJ51" s="107" t="n">
        <x:f>IF(DJ50=0,0,'Вводные'!$K$51*'Вводные'!$H$5*INDEX('Вводные'!$S$88:$S$91,$B$36)*INDEX('Вводные'!$AG$88:$AG$91,$B$36)*(1+'Вводные'!$K$54)^MAX(0,MIN((12*(YEAR(DJ$3)-YEAR($B$39))+MONTH(DJ$3)-MONTH($B$39)),(12*(YEAR($B$38)-YEAR($B$39))+MONTH($B$38)-MONTH($B$39))))*(1+'Вводные'!$K$55)^MAX(0,(12*(YEAR(DJ$3)-YEAR($B$38))+MONTH(DJ$3)-MONTH($B$38))))</x:f>
      </x:c>
      <x:c r="DK51" s="107" t="n">
        <x:f>IF(DK50=0,0,'Вводные'!$K$51*'Вводные'!$H$5*INDEX('Вводные'!$S$88:$S$91,$B$36)*INDEX('Вводные'!$AG$88:$AG$91,$B$36)*(1+'Вводные'!$K$54)^MAX(0,MIN((12*(YEAR(DK$3)-YEAR($B$39))+MONTH(DK$3)-MONTH($B$39)),(12*(YEAR($B$38)-YEAR($B$39))+MONTH($B$38)-MONTH($B$39))))*(1+'Вводные'!$K$55)^MAX(0,(12*(YEAR(DK$3)-YEAR($B$38))+MONTH(DK$3)-MONTH($B$38))))</x:f>
      </x:c>
      <x:c r="DL51" s="107" t="n">
        <x:f>IF(DL50=0,0,'Вводные'!$K$51*'Вводные'!$H$5*INDEX('Вводные'!$S$88:$S$91,$B$36)*INDEX('Вводные'!$AG$88:$AG$91,$B$36)*(1+'Вводные'!$K$54)^MAX(0,MIN((12*(YEAR(DL$3)-YEAR($B$39))+MONTH(DL$3)-MONTH($B$39)),(12*(YEAR($B$38)-YEAR($B$39))+MONTH($B$38)-MONTH($B$39))))*(1+'Вводные'!$K$55)^MAX(0,(12*(YEAR(DL$3)-YEAR($B$38))+MONTH(DL$3)-MONTH($B$38))))</x:f>
      </x:c>
      <x:c r="DM51" s="107" t="n">
        <x:f>IF(DM50=0,0,'Вводные'!$K$51*'Вводные'!$H$5*INDEX('Вводные'!$S$88:$S$91,$B$36)*INDEX('Вводные'!$AG$88:$AG$91,$B$36)*(1+'Вводные'!$K$54)^MAX(0,MIN((12*(YEAR(DM$3)-YEAR($B$39))+MONTH(DM$3)-MONTH($B$39)),(12*(YEAR($B$38)-YEAR($B$39))+MONTH($B$38)-MONTH($B$39))))*(1+'Вводные'!$K$55)^MAX(0,(12*(YEAR(DM$3)-YEAR($B$38))+MONTH(DM$3)-MONTH($B$38))))</x:f>
      </x:c>
      <x:c r="DN51" s="107" t="n">
        <x:f>IF(DN50=0,0,'Вводные'!$K$51*'Вводные'!$H$5*INDEX('Вводные'!$S$88:$S$91,$B$36)*INDEX('Вводные'!$AG$88:$AG$91,$B$36)*(1+'Вводные'!$K$54)^MAX(0,MIN((12*(YEAR(DN$3)-YEAR($B$39))+MONTH(DN$3)-MONTH($B$39)),(12*(YEAR($B$38)-YEAR($B$39))+MONTH($B$38)-MONTH($B$39))))*(1+'Вводные'!$K$55)^MAX(0,(12*(YEAR(DN$3)-YEAR($B$38))+MONTH(DN$3)-MONTH($B$38))))</x:f>
      </x:c>
      <x:c r="DO51" s="107" t="n">
        <x:f>IF(DO50=0,0,'Вводные'!$K$51*'Вводные'!$H$5*INDEX('Вводные'!$S$88:$S$91,$B$36)*INDEX('Вводные'!$AG$88:$AG$91,$B$36)*(1+'Вводные'!$K$54)^MAX(0,MIN((12*(YEAR(DO$3)-YEAR($B$39))+MONTH(DO$3)-MONTH($B$39)),(12*(YEAR($B$38)-YEAR($B$39))+MONTH($B$38)-MONTH($B$39))))*(1+'Вводные'!$K$55)^MAX(0,(12*(YEAR(DO$3)-YEAR($B$38))+MONTH(DO$3)-MONTH($B$38))))</x:f>
      </x:c>
      <x:c r="DP51" s="107" t="n">
        <x:f>IF(DP50=0,0,'Вводные'!$K$51*'Вводные'!$H$5*INDEX('Вводные'!$S$88:$S$91,$B$36)*INDEX('Вводные'!$AG$88:$AG$91,$B$36)*(1+'Вводные'!$K$54)^MAX(0,MIN((12*(YEAR(DP$3)-YEAR($B$39))+MONTH(DP$3)-MONTH($B$39)),(12*(YEAR($B$38)-YEAR($B$39))+MONTH($B$38)-MONTH($B$39))))*(1+'Вводные'!$K$55)^MAX(0,(12*(YEAR(DP$3)-YEAR($B$38))+MONTH(DP$3)-MONTH($B$38))))</x:f>
      </x:c>
      <x:c r="DQ51" s="107" t="n">
        <x:f>IF(DQ50=0,0,'Вводные'!$K$51*'Вводные'!$H$5*INDEX('Вводные'!$S$88:$S$91,$B$36)*INDEX('Вводные'!$AG$88:$AG$91,$B$36)*(1+'Вводные'!$K$54)^MAX(0,MIN((12*(YEAR(DQ$3)-YEAR($B$39))+MONTH(DQ$3)-MONTH($B$39)),(12*(YEAR($B$38)-YEAR($B$39))+MONTH($B$38)-MONTH($B$39))))*(1+'Вводные'!$K$55)^MAX(0,(12*(YEAR(DQ$3)-YEAR($B$38))+MONTH(DQ$3)-MONTH($B$38))))</x:f>
      </x:c>
      <x:c r="DR51" s="107" t="n">
        <x:f>IF(DR50=0,0,'Вводные'!$K$51*'Вводные'!$H$5*INDEX('Вводные'!$S$88:$S$91,$B$36)*INDEX('Вводные'!$AG$88:$AG$91,$B$36)*(1+'Вводные'!$K$54)^MAX(0,MIN((12*(YEAR(DR$3)-YEAR($B$39))+MONTH(DR$3)-MONTH($B$39)),(12*(YEAR($B$38)-YEAR($B$39))+MONTH($B$38)-MONTH($B$39))))*(1+'Вводные'!$K$55)^MAX(0,(12*(YEAR(DR$3)-YEAR($B$38))+MONTH(DR$3)-MONTH($B$38))))</x:f>
      </x:c>
      <x:c r="DS51" s="107" t="n">
        <x:f>IF(DS50=0,0,'Вводные'!$K$51*'Вводные'!$H$5*INDEX('Вводные'!$S$88:$S$91,$B$36)*INDEX('Вводные'!$AG$88:$AG$91,$B$36)*(1+'Вводные'!$K$54)^MAX(0,MIN((12*(YEAR(DS$3)-YEAR($B$39))+MONTH(DS$3)-MONTH($B$39)),(12*(YEAR($B$38)-YEAR($B$39))+MONTH($B$38)-MONTH($B$39))))*(1+'Вводные'!$K$55)^MAX(0,(12*(YEAR(DS$3)-YEAR($B$38))+MONTH(DS$3)-MONTH($B$38))))</x:f>
      </x:c>
      <x:c r="DT51" s="107" t="n">
        <x:f>IF(DT50=0,0,'Вводные'!$K$51*'Вводные'!$H$5*INDEX('Вводные'!$S$88:$S$91,$B$36)*INDEX('Вводные'!$AG$88:$AG$91,$B$36)*(1+'Вводные'!$K$54)^MAX(0,MIN((12*(YEAR(DT$3)-YEAR($B$39))+MONTH(DT$3)-MONTH($B$39)),(12*(YEAR($B$38)-YEAR($B$39))+MONTH($B$38)-MONTH($B$39))))*(1+'Вводные'!$K$55)^MAX(0,(12*(YEAR(DT$3)-YEAR($B$38))+MONTH(DT$3)-MONTH($B$38))))</x:f>
      </x:c>
      <x:c r="DU51" s="107" t="n">
        <x:f>IF(DU50=0,0,'Вводные'!$K$51*'Вводные'!$H$5*INDEX('Вводные'!$S$88:$S$91,$B$36)*INDEX('Вводные'!$AG$88:$AG$91,$B$36)*(1+'Вводные'!$K$54)^MAX(0,MIN((12*(YEAR(DU$3)-YEAR($B$39))+MONTH(DU$3)-MONTH($B$39)),(12*(YEAR($B$38)-YEAR($B$39))+MONTH($B$38)-MONTH($B$39))))*(1+'Вводные'!$K$55)^MAX(0,(12*(YEAR(DU$3)-YEAR($B$38))+MONTH(DU$3)-MONTH($B$38))))</x:f>
      </x:c>
      <x:c r="DV51" s="107" t="n">
        <x:f>IF(DV50=0,0,'Вводные'!$K$51*'Вводные'!$H$5*INDEX('Вводные'!$S$88:$S$91,$B$36)*INDEX('Вводные'!$AG$88:$AG$91,$B$36)*(1+'Вводные'!$K$54)^MAX(0,MIN((12*(YEAR(DV$3)-YEAR($B$39))+MONTH(DV$3)-MONTH($B$39)),(12*(YEAR($B$38)-YEAR($B$39))+MONTH($B$38)-MONTH($B$39))))*(1+'Вводные'!$K$55)^MAX(0,(12*(YEAR(DV$3)-YEAR($B$38))+MONTH(DV$3)-MONTH($B$38))))</x:f>
      </x:c>
      <x:c r="DW51" s="107" t="n">
        <x:f>IF(DW50=0,0,'Вводные'!$K$51*'Вводные'!$H$5*INDEX('Вводные'!$S$88:$S$91,$B$36)*INDEX('Вводные'!$AG$88:$AG$91,$B$36)*(1+'Вводные'!$K$54)^MAX(0,MIN((12*(YEAR(DW$3)-YEAR($B$39))+MONTH(DW$3)-MONTH($B$39)),(12*(YEAR($B$38)-YEAR($B$39))+MONTH($B$38)-MONTH($B$39))))*(1+'Вводные'!$K$55)^MAX(0,(12*(YEAR(DW$3)-YEAR($B$38))+MONTH(DW$3)-MONTH($B$38))))</x:f>
      </x:c>
      <x:c r="DX51" s="107" t="n">
        <x:f>IF(DX50=0,0,'Вводные'!$K$51*'Вводные'!$H$5*INDEX('Вводные'!$S$88:$S$91,$B$36)*INDEX('Вводные'!$AG$88:$AG$91,$B$36)*(1+'Вводные'!$K$54)^MAX(0,MIN((12*(YEAR(DX$3)-YEAR($B$39))+MONTH(DX$3)-MONTH($B$39)),(12*(YEAR($B$38)-YEAR($B$39))+MONTH($B$38)-MONTH($B$39))))*(1+'Вводные'!$K$55)^MAX(0,(12*(YEAR(DX$3)-YEAR($B$38))+MONTH(DX$3)-MONTH($B$38))))</x:f>
      </x:c>
      <x:c r="DY51" s="107" t="n">
        <x:f>IF(DY50=0,0,'Вводные'!$K$51*'Вводные'!$H$5*INDEX('Вводные'!$S$88:$S$91,$B$36)*INDEX('Вводные'!$AG$88:$AG$91,$B$36)*(1+'Вводные'!$K$54)^MAX(0,MIN((12*(YEAR(DY$3)-YEAR($B$39))+MONTH(DY$3)-MONTH($B$39)),(12*(YEAR($B$38)-YEAR($B$39))+MONTH($B$38)-MONTH($B$39))))*(1+'Вводные'!$K$55)^MAX(0,(12*(YEAR(DY$3)-YEAR($B$38))+MONTH(DY$3)-MONTH($B$38))))</x:f>
      </x:c>
      <x:c r="DZ51" s="107" t="n">
        <x:f>IF(DZ50=0,0,'Вводные'!$K$51*'Вводные'!$H$5*INDEX('Вводные'!$S$88:$S$91,$B$36)*INDEX('Вводные'!$AG$88:$AG$91,$B$36)*(1+'Вводные'!$K$54)^MAX(0,MIN((12*(YEAR(DZ$3)-YEAR($B$39))+MONTH(DZ$3)-MONTH($B$39)),(12*(YEAR($B$38)-YEAR($B$39))+MONTH($B$38)-MONTH($B$39))))*(1+'Вводные'!$K$55)^MAX(0,(12*(YEAR(DZ$3)-YEAR($B$38))+MONTH(DZ$3)-MONTH($B$38))))</x:f>
      </x:c>
      <x:c r="EA51" s="107" t="n">
        <x:f>IF(EA50=0,0,'Вводные'!$K$51*'Вводные'!$H$5*INDEX('Вводные'!$S$88:$S$91,$B$36)*INDEX('Вводные'!$AG$88:$AG$91,$B$36)*(1+'Вводные'!$K$54)^MAX(0,MIN((12*(YEAR(EA$3)-YEAR($B$39))+MONTH(EA$3)-MONTH($B$39)),(12*(YEAR($B$38)-YEAR($B$39))+MONTH($B$38)-MONTH($B$39))))*(1+'Вводные'!$K$55)^MAX(0,(12*(YEAR(EA$3)-YEAR($B$38))+MONTH(EA$3)-MONTH($B$38))))</x:f>
      </x:c>
      <x:c r="EB51" s="107" t="n">
        <x:f>IF(EB50=0,0,'Вводные'!$K$51*'Вводные'!$H$5*INDEX('Вводные'!$S$88:$S$91,$B$36)*INDEX('Вводные'!$AG$88:$AG$91,$B$36)*(1+'Вводные'!$K$54)^MAX(0,MIN((12*(YEAR(EB$3)-YEAR($B$39))+MONTH(EB$3)-MONTH($B$39)),(12*(YEAR($B$38)-YEAR($B$39))+MONTH($B$38)-MONTH($B$39))))*(1+'Вводные'!$K$55)^MAX(0,(12*(YEAR(EB$3)-YEAR($B$38))+MONTH(EB$3)-MONTH($B$38))))</x:f>
      </x:c>
      <x:c r="EC51" s="107" t="n">
        <x:f>IF(EC50=0,0,'Вводные'!$K$51*'Вводные'!$H$5*INDEX('Вводные'!$S$88:$S$91,$B$36)*INDEX('Вводные'!$AG$88:$AG$91,$B$36)*(1+'Вводные'!$K$54)^MAX(0,MIN((12*(YEAR(EC$3)-YEAR($B$39))+MONTH(EC$3)-MONTH($B$39)),(12*(YEAR($B$38)-YEAR($B$39))+MONTH($B$38)-MONTH($B$39))))*(1+'Вводные'!$K$55)^MAX(0,(12*(YEAR(EC$3)-YEAR($B$38))+MONTH(EC$3)-MONTH($B$38))))</x:f>
      </x:c>
      <x:c r="ED51" s="107" t="n">
        <x:f>IF(ED50=0,0,'Вводные'!$K$51*'Вводные'!$H$5*INDEX('Вводные'!$S$88:$S$91,$B$36)*INDEX('Вводные'!$AG$88:$AG$91,$B$36)*(1+'Вводные'!$K$54)^MAX(0,MIN((12*(YEAR(ED$3)-YEAR($B$39))+MONTH(ED$3)-MONTH($B$39)),(12*(YEAR($B$38)-YEAR($B$39))+MONTH($B$38)-MONTH($B$39))))*(1+'Вводные'!$K$55)^MAX(0,(12*(YEAR(ED$3)-YEAR($B$38))+MONTH(ED$3)-MONTH($B$38))))</x:f>
      </x:c>
      <x:c r="EE51" s="107" t="n">
        <x:f>IF(EE50=0,0,'Вводные'!$K$51*'Вводные'!$H$5*INDEX('Вводные'!$S$88:$S$91,$B$36)*INDEX('Вводные'!$AG$88:$AG$91,$B$36)*(1+'Вводные'!$K$54)^MAX(0,MIN((12*(YEAR(EE$3)-YEAR($B$39))+MONTH(EE$3)-MONTH($B$39)),(12*(YEAR($B$38)-YEAR($B$39))+MONTH($B$38)-MONTH($B$39))))*(1+'Вводные'!$K$55)^MAX(0,(12*(YEAR(EE$3)-YEAR($B$38))+MONTH(EE$3)-MONTH($B$38))))</x:f>
      </x:c>
      <x:c r="EF51" s="107" t="n">
        <x:f>IF(EF50=0,0,'Вводные'!$K$51*'Вводные'!$H$5*INDEX('Вводные'!$S$88:$S$91,$B$36)*INDEX('Вводные'!$AG$88:$AG$91,$B$36)*(1+'Вводные'!$K$54)^MAX(0,MIN((12*(YEAR(EF$3)-YEAR($B$39))+MONTH(EF$3)-MONTH($B$39)),(12*(YEAR($B$38)-YEAR($B$39))+MONTH($B$38)-MONTH($B$39))))*(1+'Вводные'!$K$55)^MAX(0,(12*(YEAR(EF$3)-YEAR($B$38))+MONTH(EF$3)-MONTH($B$38))))</x:f>
      </x:c>
      <x:c r="EG51" s="107" t="n">
        <x:f>IF(EG50=0,0,'Вводные'!$K$51*'Вводные'!$H$5*INDEX('Вводные'!$S$88:$S$91,$B$36)*INDEX('Вводные'!$AG$88:$AG$91,$B$36)*(1+'Вводные'!$K$54)^MAX(0,MIN((12*(YEAR(EG$3)-YEAR($B$39))+MONTH(EG$3)-MONTH($B$39)),(12*(YEAR($B$38)-YEAR($B$39))+MONTH($B$38)-MONTH($B$39))))*(1+'Вводные'!$K$55)^MAX(0,(12*(YEAR(EG$3)-YEAR($B$38))+MONTH(EG$3)-MONTH($B$38))))</x:f>
      </x:c>
      <x:c r="EH51" s="107" t="n">
        <x:f>IF(EH50=0,0,'Вводные'!$K$51*'Вводные'!$H$5*INDEX('Вводные'!$S$88:$S$91,$B$36)*INDEX('Вводные'!$AG$88:$AG$91,$B$36)*(1+'Вводные'!$K$54)^MAX(0,MIN((12*(YEAR(EH$3)-YEAR($B$39))+MONTH(EH$3)-MONTH($B$39)),(12*(YEAR($B$38)-YEAR($B$39))+MONTH($B$38)-MONTH($B$39))))*(1+'Вводные'!$K$55)^MAX(0,(12*(YEAR(EH$3)-YEAR($B$38))+MONTH(EH$3)-MONTH($B$38))))</x:f>
      </x:c>
      <x:c r="EI51" s="107" t="n">
        <x:f>IF(EI50=0,0,'Вводные'!$K$51*'Вводные'!$H$5*INDEX('Вводные'!$S$88:$S$91,$B$36)*INDEX('Вводные'!$AG$88:$AG$91,$B$36)*(1+'Вводные'!$K$54)^MAX(0,MIN((12*(YEAR(EI$3)-YEAR($B$39))+MONTH(EI$3)-MONTH($B$39)),(12*(YEAR($B$38)-YEAR($B$39))+MONTH($B$38)-MONTH($B$39))))*(1+'Вводные'!$K$55)^MAX(0,(12*(YEAR(EI$3)-YEAR($B$38))+MONTH(EI$3)-MONTH($B$38))))</x:f>
      </x:c>
      <x:c r="EJ51" s="107" t="n">
        <x:f>IF(EJ50=0,0,'Вводные'!$K$51*'Вводные'!$H$5*INDEX('Вводные'!$S$88:$S$91,$B$36)*INDEX('Вводные'!$AG$88:$AG$91,$B$36)*(1+'Вводные'!$K$54)^MAX(0,MIN((12*(YEAR(EJ$3)-YEAR($B$39))+MONTH(EJ$3)-MONTH($B$39)),(12*(YEAR($B$38)-YEAR($B$39))+MONTH($B$38)-MONTH($B$39))))*(1+'Вводные'!$K$55)^MAX(0,(12*(YEAR(EJ$3)-YEAR($B$38))+MONTH(EJ$3)-MONTH($B$38))))</x:f>
      </x:c>
      <x:c r="EK51" s="107" t="n">
        <x:f>IF(EK50=0,0,'Вводные'!$K$51*'Вводные'!$H$5*INDEX('Вводные'!$S$88:$S$91,$B$36)*INDEX('Вводные'!$AG$88:$AG$91,$B$36)*(1+'Вводные'!$K$54)^MAX(0,MIN((12*(YEAR(EK$3)-YEAR($B$39))+MONTH(EK$3)-MONTH($B$39)),(12*(YEAR($B$38)-YEAR($B$39))+MONTH($B$38)-MONTH($B$39))))*(1+'Вводные'!$K$55)^MAX(0,(12*(YEAR(EK$3)-YEAR($B$38))+MONTH(EK$3)-MONTH($B$38))))</x:f>
      </x:c>
      <x:c r="EL51" s="107" t="n">
        <x:f>IF(EL50=0,0,'Вводные'!$K$51*'Вводные'!$H$5*INDEX('Вводные'!$S$88:$S$91,$B$36)*INDEX('Вводные'!$AG$88:$AG$91,$B$36)*(1+'Вводные'!$K$54)^MAX(0,MIN((12*(YEAR(EL$3)-YEAR($B$39))+MONTH(EL$3)-MONTH($B$39)),(12*(YEAR($B$38)-YEAR($B$39))+MONTH($B$38)-MONTH($B$39))))*(1+'Вводные'!$K$55)^MAX(0,(12*(YEAR(EL$3)-YEAR($B$38))+MONTH(EL$3)-MONTH($B$38))))</x:f>
      </x:c>
      <x:c r="EM51" s="107" t="n">
        <x:f>IF(EM50=0,0,'Вводные'!$K$51*'Вводные'!$H$5*INDEX('Вводные'!$S$88:$S$91,$B$36)*INDEX('Вводные'!$AG$88:$AG$91,$B$36)*(1+'Вводные'!$K$54)^MAX(0,MIN((12*(YEAR(EM$3)-YEAR($B$39))+MONTH(EM$3)-MONTH($B$39)),(12*(YEAR($B$38)-YEAR($B$39))+MONTH($B$38)-MONTH($B$39))))*(1+'Вводные'!$K$55)^MAX(0,(12*(YEAR(EM$3)-YEAR($B$38))+MONTH(EM$3)-MONTH($B$38))))</x:f>
      </x:c>
      <x:c r="EN51" s="107" t="n">
        <x:f>IF(EN50=0,0,'Вводные'!$K$51*'Вводные'!$H$5*INDEX('Вводные'!$S$88:$S$91,$B$36)*INDEX('Вводные'!$AG$88:$AG$91,$B$36)*(1+'Вводные'!$K$54)^MAX(0,MIN((12*(YEAR(EN$3)-YEAR($B$39))+MONTH(EN$3)-MONTH($B$39)),(12*(YEAR($B$38)-YEAR($B$39))+MONTH($B$38)-MONTH($B$39))))*(1+'Вводные'!$K$55)^MAX(0,(12*(YEAR(EN$3)-YEAR($B$38))+MONTH(EN$3)-MONTH($B$38))))</x:f>
      </x:c>
      <x:c r="EO51" s="107" t="n">
        <x:f>IF(EO50=0,0,'Вводные'!$K$51*'Вводные'!$H$5*INDEX('Вводные'!$S$88:$S$91,$B$36)*INDEX('Вводные'!$AG$88:$AG$91,$B$36)*(1+'Вводные'!$K$54)^MAX(0,MIN((12*(YEAR(EO$3)-YEAR($B$39))+MONTH(EO$3)-MONTH($B$39)),(12*(YEAR($B$38)-YEAR($B$39))+MONTH($B$38)-MONTH($B$39))))*(1+'Вводные'!$K$55)^MAX(0,(12*(YEAR(EO$3)-YEAR($B$38))+MONTH(EO$3)-MONTH($B$38))))</x:f>
      </x:c>
      <x:c r="EP51" s="107" t="n">
        <x:f>IF(EP50=0,0,'Вводные'!$K$51*'Вводные'!$H$5*INDEX('Вводные'!$S$88:$S$91,$B$36)*INDEX('Вводные'!$AG$88:$AG$91,$B$36)*(1+'Вводные'!$K$54)^MAX(0,MIN((12*(YEAR(EP$3)-YEAR($B$39))+MONTH(EP$3)-MONTH($B$39)),(12*(YEAR($B$38)-YEAR($B$39))+MONTH($B$38)-MONTH($B$39))))*(1+'Вводные'!$K$55)^MAX(0,(12*(YEAR(EP$3)-YEAR($B$38))+MONTH(EP$3)-MONTH($B$38))))</x:f>
      </x:c>
      <x:c r="EQ51" s="107" t="n">
        <x:f>IF(EQ50=0,0,'Вводные'!$K$51*'Вводные'!$H$5*INDEX('Вводные'!$S$88:$S$91,$B$36)*INDEX('Вводные'!$AG$88:$AG$91,$B$36)*(1+'Вводные'!$K$54)^MAX(0,MIN((12*(YEAR(EQ$3)-YEAR($B$39))+MONTH(EQ$3)-MONTH($B$39)),(12*(YEAR($B$38)-YEAR($B$39))+MONTH($B$38)-MONTH($B$39))))*(1+'Вводные'!$K$55)^MAX(0,(12*(YEAR(EQ$3)-YEAR($B$38))+MONTH(EQ$3)-MONTH($B$38))))</x:f>
      </x:c>
      <x:c r="ER51" s="107" t="n">
        <x:f>IF(ER50=0,0,'Вводные'!$K$51*'Вводные'!$H$5*INDEX('Вводные'!$S$88:$S$91,$B$36)*INDEX('Вводные'!$AG$88:$AG$91,$B$36)*(1+'Вводные'!$K$54)^MAX(0,MIN((12*(YEAR(ER$3)-YEAR($B$39))+MONTH(ER$3)-MONTH($B$39)),(12*(YEAR($B$38)-YEAR($B$39))+MONTH($B$38)-MONTH($B$39))))*(1+'Вводные'!$K$55)^MAX(0,(12*(YEAR(ER$3)-YEAR($B$38))+MONTH(ER$3)-MONTH($B$38))))</x:f>
      </x:c>
      <x:c r="ES51" s="107" t="n">
        <x:f>IF(ES50=0,0,'Вводные'!$K$51*'Вводные'!$H$5*INDEX('Вводные'!$S$88:$S$91,$B$36)*INDEX('Вводные'!$AG$88:$AG$91,$B$36)*(1+'Вводные'!$K$54)^MAX(0,MIN((12*(YEAR(ES$3)-YEAR($B$39))+MONTH(ES$3)-MONTH($B$39)),(12*(YEAR($B$38)-YEAR($B$39))+MONTH($B$38)-MONTH($B$39))))*(1+'Вводные'!$K$55)^MAX(0,(12*(YEAR(ES$3)-YEAR($B$38))+MONTH(ES$3)-MONTH($B$38))))</x:f>
      </x:c>
      <x:c r="ET51" s="107" t="n">
        <x:f>IF(ET50=0,0,'Вводные'!$K$51*'Вводные'!$H$5*INDEX('Вводные'!$S$88:$S$91,$B$36)*INDEX('Вводные'!$AG$88:$AG$91,$B$36)*(1+'Вводные'!$K$54)^MAX(0,MIN((12*(YEAR(ET$3)-YEAR($B$39))+MONTH(ET$3)-MONTH($B$39)),(12*(YEAR($B$38)-YEAR($B$39))+MONTH($B$38)-MONTH($B$39))))*(1+'Вводные'!$K$55)^MAX(0,(12*(YEAR(ET$3)-YEAR($B$38))+MONTH(ET$3)-MONTH($B$38))))</x:f>
      </x:c>
      <x:c r="EU51" s="107" t="n">
        <x:f>IF(EU50=0,0,'Вводные'!$K$51*'Вводные'!$H$5*INDEX('Вводные'!$S$88:$S$91,$B$36)*INDEX('Вводные'!$AG$88:$AG$91,$B$36)*(1+'Вводные'!$K$54)^MAX(0,MIN((12*(YEAR(EU$3)-YEAR($B$39))+MONTH(EU$3)-MONTH($B$39)),(12*(YEAR($B$38)-YEAR($B$39))+MONTH($B$38)-MONTH($B$39))))*(1+'Вводные'!$K$55)^MAX(0,(12*(YEAR(EU$3)-YEAR($B$38))+MONTH(EU$3)-MONTH($B$38))))</x:f>
      </x:c>
      <x:c r="EV51" s="107" t="n">
        <x:f>IF(EV50=0,0,'Вводные'!$K$51*'Вводные'!$H$5*INDEX('Вводные'!$S$88:$S$91,$B$36)*INDEX('Вводные'!$AG$88:$AG$91,$B$36)*(1+'Вводные'!$K$54)^MAX(0,MIN((12*(YEAR(EV$3)-YEAR($B$39))+MONTH(EV$3)-MONTH($B$39)),(12*(YEAR($B$38)-YEAR($B$39))+MONTH($B$38)-MONTH($B$39))))*(1+'Вводные'!$K$55)^MAX(0,(12*(YEAR(EV$3)-YEAR($B$38))+MONTH(EV$3)-MONTH($B$38))))</x:f>
      </x:c>
      <x:c r="EW51" s="107" t="n">
        <x:f>IF(EW50=0,0,'Вводные'!$K$51*'Вводные'!$H$5*INDEX('Вводные'!$S$88:$S$91,$B$36)*INDEX('Вводные'!$AG$88:$AG$91,$B$36)*(1+'Вводные'!$K$54)^MAX(0,MIN((12*(YEAR(EW$3)-YEAR($B$39))+MONTH(EW$3)-MONTH($B$39)),(12*(YEAR($B$38)-YEAR($B$39))+MONTH($B$38)-MONTH($B$39))))*(1+'Вводные'!$K$55)^MAX(0,(12*(YEAR(EW$3)-YEAR($B$38))+MONTH(EW$3)-MONTH($B$38))))</x:f>
      </x:c>
      <x:c r="EX51" s="107" t="n">
        <x:f>IF(EX50=0,0,'Вводные'!$K$51*'Вводные'!$H$5*INDEX('Вводные'!$S$88:$S$91,$B$36)*INDEX('Вводные'!$AG$88:$AG$91,$B$36)*(1+'Вводные'!$K$54)^MAX(0,MIN((12*(YEAR(EX$3)-YEAR($B$39))+MONTH(EX$3)-MONTH($B$39)),(12*(YEAR($B$38)-YEAR($B$39))+MONTH($B$38)-MONTH($B$39))))*(1+'Вводные'!$K$55)^MAX(0,(12*(YEAR(EX$3)-YEAR($B$38))+MONTH(EX$3)-MONTH($B$38))))</x:f>
      </x:c>
      <x:c r="EY51" s="107" t="n">
        <x:f>IF(EY50=0,0,'Вводные'!$K$51*'Вводные'!$H$5*INDEX('Вводные'!$S$88:$S$91,$B$36)*INDEX('Вводные'!$AG$88:$AG$91,$B$36)*(1+'Вводные'!$K$54)^MAX(0,MIN((12*(YEAR(EY$3)-YEAR($B$39))+MONTH(EY$3)-MONTH($B$39)),(12*(YEAR($B$38)-YEAR($B$39))+MONTH($B$38)-MONTH($B$39))))*(1+'Вводные'!$K$55)^MAX(0,(12*(YEAR(EY$3)-YEAR($B$38))+MONTH(EY$3)-MONTH($B$38))))</x:f>
      </x:c>
      <x:c r="EZ51" s="107" t="n">
        <x:f>IF(EZ50=0,0,'Вводные'!$K$51*'Вводные'!$H$5*INDEX('Вводные'!$S$88:$S$91,$B$36)*INDEX('Вводные'!$AG$88:$AG$91,$B$36)*(1+'Вводные'!$K$54)^MAX(0,MIN((12*(YEAR(EZ$3)-YEAR($B$39))+MONTH(EZ$3)-MONTH($B$39)),(12*(YEAR($B$38)-YEAR($B$39))+MONTH($B$38)-MONTH($B$39))))*(1+'Вводные'!$K$55)^MAX(0,(12*(YEAR(EZ$3)-YEAR($B$38))+MONTH(EZ$3)-MONTH($B$38))))</x:f>
      </x:c>
      <x:c r="FA51" s="107" t="n">
        <x:f>IF(FA50=0,0,'Вводные'!$K$51*'Вводные'!$H$5*INDEX('Вводные'!$S$88:$S$91,$B$36)*INDEX('Вводные'!$AG$88:$AG$91,$B$36)*(1+'Вводные'!$K$54)^MAX(0,MIN((12*(YEAR(FA$3)-YEAR($B$39))+MONTH(FA$3)-MONTH($B$39)),(12*(YEAR($B$38)-YEAR($B$39))+MONTH($B$38)-MONTH($B$39))))*(1+'Вводные'!$K$55)^MAX(0,(12*(YEAR(FA$3)-YEAR($B$38))+MONTH(FA$3)-MONTH($B$38))))</x:f>
      </x:c>
      <x:c r="FB51" s="107" t="n">
        <x:f>IF(FB50=0,0,'Вводные'!$K$51*'Вводные'!$H$5*INDEX('Вводные'!$S$88:$S$91,$B$36)*INDEX('Вводные'!$AG$88:$AG$91,$B$36)*(1+'Вводные'!$K$54)^MAX(0,MIN((12*(YEAR(FB$3)-YEAR($B$39))+MONTH(FB$3)-MONTH($B$39)),(12*(YEAR($B$38)-YEAR($B$39))+MONTH($B$38)-MONTH($B$39))))*(1+'Вводные'!$K$55)^MAX(0,(12*(YEAR(FB$3)-YEAR($B$38))+MONTH(FB$3)-MONTH($B$38))))</x:f>
      </x:c>
      <x:c r="FC51" s="107" t="n">
        <x:f>IF(FC50=0,0,'Вводные'!$K$51*'Вводные'!$H$5*INDEX('Вводные'!$S$88:$S$91,$B$36)*INDEX('Вводные'!$AG$88:$AG$91,$B$36)*(1+'Вводные'!$K$54)^MAX(0,MIN((12*(YEAR(FC$3)-YEAR($B$39))+MONTH(FC$3)-MONTH($B$39)),(12*(YEAR($B$38)-YEAR($B$39))+MONTH($B$38)-MONTH($B$39))))*(1+'Вводные'!$K$55)^MAX(0,(12*(YEAR(FC$3)-YEAR($B$38))+MONTH(FC$3)-MONTH($B$38))))</x:f>
      </x:c>
      <x:c r="FD51" s="107" t="n">
        <x:f>IF(FD50=0,0,'Вводные'!$K$51*'Вводные'!$H$5*INDEX('Вводные'!$S$88:$S$91,$B$36)*INDEX('Вводные'!$AG$88:$AG$91,$B$36)*(1+'Вводные'!$K$54)^MAX(0,MIN((12*(YEAR(FD$3)-YEAR($B$39))+MONTH(FD$3)-MONTH($B$39)),(12*(YEAR($B$38)-YEAR($B$39))+MONTH($B$38)-MONTH($B$39))))*(1+'Вводные'!$K$55)^MAX(0,(12*(YEAR(FD$3)-YEAR($B$38))+MONTH(FD$3)-MONTH($B$38))))</x:f>
      </x:c>
      <x:c r="FE51" s="107" t="n">
        <x:f>IF(FE50=0,0,'Вводные'!$K$51*'Вводные'!$H$5*INDEX('Вводные'!$S$88:$S$91,$B$36)*INDEX('Вводные'!$AG$88:$AG$91,$B$36)*(1+'Вводные'!$K$54)^MAX(0,MIN((12*(YEAR(FE$3)-YEAR($B$39))+MONTH(FE$3)-MONTH($B$39)),(12*(YEAR($B$38)-YEAR($B$39))+MONTH($B$38)-MONTH($B$39))))*(1+'Вводные'!$K$55)^MAX(0,(12*(YEAR(FE$3)-YEAR($B$38))+MONTH(FE$3)-MONTH($B$38))))</x:f>
      </x:c>
      <x:c r="FF51" s="107" t="n">
        <x:f>IF(FF50=0,0,'Вводные'!$K$51*'Вводные'!$H$5*INDEX('Вводные'!$S$88:$S$91,$B$36)*INDEX('Вводные'!$AG$88:$AG$91,$B$36)*(1+'Вводные'!$K$54)^MAX(0,MIN((12*(YEAR(FF$3)-YEAR($B$39))+MONTH(FF$3)-MONTH($B$39)),(12*(YEAR($B$38)-YEAR($B$39))+MONTH($B$38)-MONTH($B$39))))*(1+'Вводные'!$K$55)^MAX(0,(12*(YEAR(FF$3)-YEAR($B$38))+MONTH(FF$3)-MONTH($B$38))))</x:f>
      </x:c>
      <x:c r="FG51" s="107" t="n">
        <x:f>IF(FG50=0,0,'Вводные'!$K$51*'Вводные'!$H$5*INDEX('Вводные'!$S$88:$S$91,$B$36)*INDEX('Вводные'!$AG$88:$AG$91,$B$36)*(1+'Вводные'!$K$54)^MAX(0,MIN((12*(YEAR(FG$3)-YEAR($B$39))+MONTH(FG$3)-MONTH($B$39)),(12*(YEAR($B$38)-YEAR($B$39))+MONTH($B$38)-MONTH($B$39))))*(1+'Вводные'!$K$55)^MAX(0,(12*(YEAR(FG$3)-YEAR($B$38))+MONTH(FG$3)-MONTH($B$38))))</x:f>
      </x:c>
      <x:c r="FH51" s="107" t="n">
        <x:f>IF(FH50=0,0,'Вводные'!$K$51*'Вводные'!$H$5*INDEX('Вводные'!$S$88:$S$91,$B$36)*INDEX('Вводные'!$AG$88:$AG$91,$B$36)*(1+'Вводные'!$K$54)^MAX(0,MIN((12*(YEAR(FH$3)-YEAR($B$39))+MONTH(FH$3)-MONTH($B$39)),(12*(YEAR($B$38)-YEAR($B$39))+MONTH($B$38)-MONTH($B$39))))*(1+'Вводные'!$K$55)^MAX(0,(12*(YEAR(FH$3)-YEAR($B$38))+MONTH(FH$3)-MONTH($B$38))))</x:f>
      </x:c>
      <x:c r="FI51" s="107" t="n">
        <x:f>IF(FI50=0,0,'Вводные'!$K$51*'Вводные'!$H$5*INDEX('Вводные'!$S$88:$S$91,$B$36)*INDEX('Вводные'!$AG$88:$AG$91,$B$36)*(1+'Вводные'!$K$54)^MAX(0,MIN((12*(YEAR(FI$3)-YEAR($B$39))+MONTH(FI$3)-MONTH($B$39)),(12*(YEAR($B$38)-YEAR($B$39))+MONTH($B$38)-MONTH($B$39))))*(1+'Вводные'!$K$55)^MAX(0,(12*(YEAR(FI$3)-YEAR($B$38))+MONTH(FI$3)-MONTH($B$38))))</x:f>
      </x:c>
      <x:c r="FJ51" s="107" t="n">
        <x:f>IF(FJ50=0,0,'Вводные'!$K$51*'Вводные'!$H$5*INDEX('Вводные'!$S$88:$S$91,$B$36)*INDEX('Вводные'!$AG$88:$AG$91,$B$36)*(1+'Вводные'!$K$54)^MAX(0,MIN((12*(YEAR(FJ$3)-YEAR($B$39))+MONTH(FJ$3)-MONTH($B$39)),(12*(YEAR($B$38)-YEAR($B$39))+MONTH($B$38)-MONTH($B$39))))*(1+'Вводные'!$K$55)^MAX(0,(12*(YEAR(FJ$3)-YEAR($B$38))+MONTH(FJ$3)-MONTH($B$38))))</x:f>
      </x:c>
      <x:c r="FK51" s="107" t="n">
        <x:f>IF(FK50=0,0,'Вводные'!$K$51*'Вводные'!$H$5*INDEX('Вводные'!$S$88:$S$91,$B$36)*INDEX('Вводные'!$AG$88:$AG$91,$B$36)*(1+'Вводные'!$K$54)^MAX(0,MIN((12*(YEAR(FK$3)-YEAR($B$39))+MONTH(FK$3)-MONTH($B$39)),(12*(YEAR($B$38)-YEAR($B$39))+MONTH($B$38)-MONTH($B$39))))*(1+'Вводные'!$K$55)^MAX(0,(12*(YEAR(FK$3)-YEAR($B$38))+MONTH(FK$3)-MONTH($B$38))))</x:f>
      </x:c>
      <x:c r="FL51" s="107" t="n">
        <x:f>IF(FL50=0,0,'Вводные'!$K$51*'Вводные'!$H$5*INDEX('Вводные'!$S$88:$S$91,$B$36)*INDEX('Вводные'!$AG$88:$AG$91,$B$36)*(1+'Вводные'!$K$54)^MAX(0,MIN((12*(YEAR(FL$3)-YEAR($B$39))+MONTH(FL$3)-MONTH($B$39)),(12*(YEAR($B$38)-YEAR($B$39))+MONTH($B$38)-MONTH($B$39))))*(1+'Вводные'!$K$55)^MAX(0,(12*(YEAR(FL$3)-YEAR($B$38))+MONTH(FL$3)-MONTH($B$38))))</x:f>
      </x:c>
      <x:c r="FM51" s="107" t="n">
        <x:f>IF(FM50=0,0,'Вводные'!$K$51*'Вводные'!$H$5*INDEX('Вводные'!$S$88:$S$91,$B$36)*INDEX('Вводные'!$AG$88:$AG$91,$B$36)*(1+'Вводные'!$K$54)^MAX(0,MIN((12*(YEAR(FM$3)-YEAR($B$39))+MONTH(FM$3)-MONTH($B$39)),(12*(YEAR($B$38)-YEAR($B$39))+MONTH($B$38)-MONTH($B$39))))*(1+'Вводные'!$K$55)^MAX(0,(12*(YEAR(FM$3)-YEAR($B$38))+MONTH(FM$3)-MONTH($B$38))))</x:f>
      </x:c>
      <x:c r="FN51" s="107" t="n">
        <x:f>IF(FN50=0,0,'Вводные'!$K$51*'Вводные'!$H$5*INDEX('Вводные'!$S$88:$S$91,$B$36)*INDEX('Вводные'!$AG$88:$AG$91,$B$36)*(1+'Вводные'!$K$54)^MAX(0,MIN((12*(YEAR(FN$3)-YEAR($B$39))+MONTH(FN$3)-MONTH($B$39)),(12*(YEAR($B$38)-YEAR($B$39))+MONTH($B$38)-MONTH($B$39))))*(1+'Вводные'!$K$55)^MAX(0,(12*(YEAR(FN$3)-YEAR($B$38))+MONTH(FN$3)-MONTH($B$38))))</x:f>
      </x:c>
      <x:c r="FO51" s="107" t="n">
        <x:f>IF(FO50=0,0,'Вводные'!$K$51*'Вводные'!$H$5*INDEX('Вводные'!$S$88:$S$91,$B$36)*INDEX('Вводные'!$AG$88:$AG$91,$B$36)*(1+'Вводные'!$K$54)^MAX(0,MIN((12*(YEAR(FO$3)-YEAR($B$39))+MONTH(FO$3)-MONTH($B$39)),(12*(YEAR($B$38)-YEAR($B$39))+MONTH($B$38)-MONTH($B$39))))*(1+'Вводные'!$K$55)^MAX(0,(12*(YEAR(FO$3)-YEAR($B$38))+MONTH(FO$3)-MONTH($B$38))))</x:f>
      </x:c>
      <x:c r="FP51" s="107" t="n">
        <x:f>IF(FP50=0,0,'Вводные'!$K$51*'Вводные'!$H$5*INDEX('Вводные'!$S$88:$S$91,$B$36)*INDEX('Вводные'!$AG$88:$AG$91,$B$36)*(1+'Вводные'!$K$54)^MAX(0,MIN((12*(YEAR(FP$3)-YEAR($B$39))+MONTH(FP$3)-MONTH($B$39)),(12*(YEAR($B$38)-YEAR($B$39))+MONTH($B$38)-MONTH($B$39))))*(1+'Вводные'!$K$55)^MAX(0,(12*(YEAR(FP$3)-YEAR($B$38))+MONTH(FP$3)-MONTH($B$38))))</x:f>
      </x:c>
      <x:c r="FQ51" s="107" t="n">
        <x:f>IF(FQ50=0,0,'Вводные'!$K$51*'Вводные'!$H$5*INDEX('Вводные'!$S$88:$S$91,$B$36)*INDEX('Вводные'!$AG$88:$AG$91,$B$36)*(1+'Вводные'!$K$54)^MAX(0,MIN((12*(YEAR(FQ$3)-YEAR($B$39))+MONTH(FQ$3)-MONTH($B$39)),(12*(YEAR($B$38)-YEAR($B$39))+MONTH($B$38)-MONTH($B$39))))*(1+'Вводные'!$K$55)^MAX(0,(12*(YEAR(FQ$3)-YEAR($B$38))+MONTH(FQ$3)-MONTH($B$38))))</x:f>
      </x:c>
      <x:c r="FR51" s="107" t="n">
        <x:f>IF(FR50=0,0,'Вводные'!$K$51*'Вводные'!$H$5*INDEX('Вводные'!$S$88:$S$91,$B$36)*INDEX('Вводные'!$AG$88:$AG$91,$B$36)*(1+'Вводные'!$K$54)^MAX(0,MIN((12*(YEAR(FR$3)-YEAR($B$39))+MONTH(FR$3)-MONTH($B$39)),(12*(YEAR($B$38)-YEAR($B$39))+MONTH($B$38)-MONTH($B$39))))*(1+'Вводные'!$K$55)^MAX(0,(12*(YEAR(FR$3)-YEAR($B$38))+MONTH(FR$3)-MONTH($B$38))))</x:f>
      </x:c>
      <x:c r="FS51" s="107" t="n">
        <x:f>IF(FS50=0,0,'Вводные'!$K$51*'Вводные'!$H$5*INDEX('Вводные'!$S$88:$S$91,$B$36)*INDEX('Вводные'!$AG$88:$AG$91,$B$36)*(1+'Вводные'!$K$54)^MAX(0,MIN((12*(YEAR(FS$3)-YEAR($B$39))+MONTH(FS$3)-MONTH($B$39)),(12*(YEAR($B$38)-YEAR($B$39))+MONTH($B$38)-MONTH($B$39))))*(1+'Вводные'!$K$55)^MAX(0,(12*(YEAR(FS$3)-YEAR($B$38))+MONTH(FS$3)-MONTH($B$38))))</x:f>
      </x:c>
      <x:c r="FT51" s="107" t="n">
        <x:f>IF(FT50=0,0,'Вводные'!$K$51*'Вводные'!$H$5*INDEX('Вводные'!$S$88:$S$91,$B$36)*INDEX('Вводные'!$AG$88:$AG$91,$B$36)*(1+'Вводные'!$K$54)^MAX(0,MIN((12*(YEAR(FT$3)-YEAR($B$39))+MONTH(FT$3)-MONTH($B$39)),(12*(YEAR($B$38)-YEAR($B$39))+MONTH($B$38)-MONTH($B$39))))*(1+'Вводные'!$K$55)^MAX(0,(12*(YEAR(FT$3)-YEAR($B$38))+MONTH(FT$3)-MONTH($B$38))))</x:f>
      </x:c>
      <x:c r="FU51" s="107" t="n">
        <x:f>IF(FU50=0,0,'Вводные'!$K$51*'Вводные'!$H$5*INDEX('Вводные'!$S$88:$S$91,$B$36)*INDEX('Вводные'!$AG$88:$AG$91,$B$36)*(1+'Вводные'!$K$54)^MAX(0,MIN((12*(YEAR(FU$3)-YEAR($B$39))+MONTH(FU$3)-MONTH($B$39)),(12*(YEAR($B$38)-YEAR($B$39))+MONTH($B$38)-MONTH($B$39))))*(1+'Вводные'!$K$55)^MAX(0,(12*(YEAR(FU$3)-YEAR($B$38))+MONTH(FU$3)-MONTH($B$38))))</x:f>
      </x:c>
      <x:c r="FV51" s="107" t="n">
        <x:f>IF(FV50=0,0,'Вводные'!$K$51*'Вводные'!$H$5*INDEX('Вводные'!$S$88:$S$91,$B$36)*INDEX('Вводные'!$AG$88:$AG$91,$B$36)*(1+'Вводные'!$K$54)^MAX(0,MIN((12*(YEAR(FV$3)-YEAR($B$39))+MONTH(FV$3)-MONTH($B$39)),(12*(YEAR($B$38)-YEAR($B$39))+MONTH($B$38)-MONTH($B$39))))*(1+'Вводные'!$K$55)^MAX(0,(12*(YEAR(FV$3)-YEAR($B$38))+MONTH(FV$3)-MONTH($B$38))))</x:f>
      </x:c>
      <x:c r="FW51" s="107" t="n">
        <x:f>IF(FW50=0,0,'Вводные'!$K$51*'Вводные'!$H$5*INDEX('Вводные'!$S$88:$S$91,$B$36)*INDEX('Вводные'!$AG$88:$AG$91,$B$36)*(1+'Вводные'!$K$54)^MAX(0,MIN((12*(YEAR(FW$3)-YEAR($B$39))+MONTH(FW$3)-MONTH($B$39)),(12*(YEAR($B$38)-YEAR($B$39))+MONTH($B$38)-MONTH($B$39))))*(1+'Вводные'!$K$55)^MAX(0,(12*(YEAR(FW$3)-YEAR($B$38))+MONTH(FW$3)-MONTH($B$38))))</x:f>
      </x:c>
      <x:c r="FX51" s="107" t="n">
        <x:f>IF(FX50=0,0,'Вводные'!$K$51*'Вводные'!$H$5*INDEX('Вводные'!$S$88:$S$91,$B$36)*INDEX('Вводные'!$AG$88:$AG$91,$B$36)*(1+'Вводные'!$K$54)^MAX(0,MIN((12*(YEAR(FX$3)-YEAR($B$39))+MONTH(FX$3)-MONTH($B$39)),(12*(YEAR($B$38)-YEAR($B$39))+MONTH($B$38)-MONTH($B$39))))*(1+'Вводные'!$K$55)^MAX(0,(12*(YEAR(FX$3)-YEAR($B$38))+MONTH(FX$3)-MONTH($B$38))))</x:f>
      </x:c>
      <x:c r="FY51" s="107" t="n">
        <x:f>IF(FY50=0,0,'Вводные'!$K$51*'Вводные'!$H$5*INDEX('Вводные'!$S$88:$S$91,$B$36)*INDEX('Вводные'!$AG$88:$AG$91,$B$36)*(1+'Вводные'!$K$54)^MAX(0,MIN((12*(YEAR(FY$3)-YEAR($B$39))+MONTH(FY$3)-MONTH($B$39)),(12*(YEAR($B$38)-YEAR($B$39))+MONTH($B$38)-MONTH($B$39))))*(1+'Вводные'!$K$55)^MAX(0,(12*(YEAR(FY$3)-YEAR($B$38))+MONTH(FY$3)-MONTH($B$38))))</x:f>
      </x:c>
      <x:c r="FZ51" s="107" t="n">
        <x:f>IF(FZ50=0,0,'Вводные'!$K$51*'Вводные'!$H$5*INDEX('Вводные'!$S$88:$S$91,$B$36)*INDEX('Вводные'!$AG$88:$AG$91,$B$36)*(1+'Вводные'!$K$54)^MAX(0,MIN((12*(YEAR(FZ$3)-YEAR($B$39))+MONTH(FZ$3)-MONTH($B$39)),(12*(YEAR($B$38)-YEAR($B$39))+MONTH($B$38)-MONTH($B$39))))*(1+'Вводные'!$K$55)^MAX(0,(12*(YEAR(FZ$3)-YEAR($B$38))+MONTH(FZ$3)-MONTH($B$38))))</x:f>
      </x:c>
      <x:c r="GA51" s="107" t="n">
        <x:f>IF(GA50=0,0,'Вводные'!$K$51*'Вводные'!$H$5*INDEX('Вводные'!$S$88:$S$91,$B$36)*INDEX('Вводные'!$AG$88:$AG$91,$B$36)*(1+'Вводные'!$K$54)^MAX(0,MIN((12*(YEAR(GA$3)-YEAR($B$39))+MONTH(GA$3)-MONTH($B$39)),(12*(YEAR($B$38)-YEAR($B$39))+MONTH($B$38)-MONTH($B$39))))*(1+'Вводные'!$K$55)^MAX(0,(12*(YEAR(GA$3)-YEAR($B$38))+MONTH(GA$3)-MONTH($B$38))))</x:f>
      </x:c>
    </x:row>
    <x:row r="52">
      <x:c r="A52" t="str">
        <x:v>Продажи по договорам</x:v>
      </x:c>
      <x:c r="B52" s="107" t="n">
        <x:f>SUM(D52:GA52)</x:f>
      </x:c>
      <x:c r="C52" t="str">
        <x:v>млн ₽</x:v>
      </x:c>
      <x:c r="D52" s="107" t="n">
        <x:f>D50*D51/1000</x:f>
      </x:c>
      <x:c r="E52" s="107" t="n">
        <x:f>E50*E51/1000</x:f>
      </x:c>
      <x:c r="F52" s="107" t="n">
        <x:f>F50*F51/1000</x:f>
      </x:c>
      <x:c r="G52" s="107" t="n">
        <x:f>G50*G51/1000</x:f>
      </x:c>
      <x:c r="H52" s="107" t="n">
        <x:f>H50*H51/1000</x:f>
      </x:c>
      <x:c r="I52" s="107" t="n">
        <x:f>I50*I51/1000</x:f>
      </x:c>
      <x:c r="J52" s="107" t="n">
        <x:f>J50*J51/1000</x:f>
      </x:c>
      <x:c r="K52" s="107" t="n">
        <x:f>K50*K51/1000</x:f>
      </x:c>
      <x:c r="L52" s="107" t="n">
        <x:f>L50*L51/1000</x:f>
      </x:c>
      <x:c r="M52" s="107" t="n">
        <x:f>M50*M51/1000</x:f>
      </x:c>
      <x:c r="N52" s="107" t="n">
        <x:f>N50*N51/1000</x:f>
      </x:c>
      <x:c r="O52" s="107" t="n">
        <x:f>O50*O51/1000</x:f>
      </x:c>
      <x:c r="P52" s="107" t="n">
        <x:f>P50*P51/1000</x:f>
      </x:c>
      <x:c r="Q52" s="107" t="n">
        <x:f>Q50*Q51/1000</x:f>
      </x:c>
      <x:c r="R52" s="107" t="n">
        <x:f>R50*R51/1000</x:f>
      </x:c>
      <x:c r="S52" s="107" t="n">
        <x:f>S50*S51/1000</x:f>
      </x:c>
      <x:c r="T52" s="107" t="n">
        <x:f>T50*T51/1000</x:f>
      </x:c>
      <x:c r="U52" s="107" t="n">
        <x:f>U50*U51/1000</x:f>
      </x:c>
      <x:c r="V52" s="107" t="n">
        <x:f>V50*V51/1000</x:f>
      </x:c>
      <x:c r="W52" s="107" t="n">
        <x:f>W50*W51/1000</x:f>
      </x:c>
      <x:c r="X52" s="107" t="n">
        <x:f>X50*X51/1000</x:f>
      </x:c>
      <x:c r="Y52" s="107" t="n">
        <x:f>Y50*Y51/1000</x:f>
      </x:c>
      <x:c r="Z52" s="107" t="n">
        <x:f>Z50*Z51/1000</x:f>
      </x:c>
      <x:c r="AA52" s="107" t="n">
        <x:f>AA50*AA51/1000</x:f>
      </x:c>
      <x:c r="AB52" s="107" t="n">
        <x:f>AB50*AB51/1000</x:f>
      </x:c>
      <x:c r="AC52" s="107" t="n">
        <x:f>AC50*AC51/1000</x:f>
      </x:c>
      <x:c r="AD52" s="107" t="n">
        <x:f>AD50*AD51/1000</x:f>
      </x:c>
      <x:c r="AE52" s="107" t="n">
        <x:f>AE50*AE51/1000</x:f>
      </x:c>
      <x:c r="AF52" s="107" t="n">
        <x:f>AF50*AF51/1000</x:f>
      </x:c>
      <x:c r="AG52" s="107" t="n">
        <x:f>AG50*AG51/1000</x:f>
      </x:c>
      <x:c r="AH52" s="107" t="n">
        <x:f>AH50*AH51/1000</x:f>
      </x:c>
      <x:c r="AI52" s="107" t="n">
        <x:f>AI50*AI51/1000</x:f>
      </x:c>
      <x:c r="AJ52" s="107" t="n">
        <x:f>AJ50*AJ51/1000</x:f>
      </x:c>
      <x:c r="AK52" s="107" t="n">
        <x:f>AK50*AK51/1000</x:f>
      </x:c>
      <x:c r="AL52" s="107" t="n">
        <x:f>AL50*AL51/1000</x:f>
      </x:c>
      <x:c r="AM52" s="107" t="n">
        <x:f>AM50*AM51/1000</x:f>
      </x:c>
      <x:c r="AN52" s="107" t="n">
        <x:f>AN50*AN51/1000</x:f>
      </x:c>
      <x:c r="AO52" s="107" t="n">
        <x:f>AO50*AO51/1000</x:f>
      </x:c>
      <x:c r="AP52" s="107" t="n">
        <x:f>AP50*AP51/1000</x:f>
      </x:c>
      <x:c r="AQ52" s="107" t="n">
        <x:f>AQ50*AQ51/1000</x:f>
      </x:c>
      <x:c r="AR52" s="107" t="n">
        <x:f>AR50*AR51/1000</x:f>
      </x:c>
      <x:c r="AS52" s="107" t="n">
        <x:f>AS50*AS51/1000</x:f>
      </x:c>
      <x:c r="AT52" s="107" t="n">
        <x:f>AT50*AT51/1000</x:f>
      </x:c>
      <x:c r="AU52" s="107" t="n">
        <x:f>AU50*AU51/1000</x:f>
      </x:c>
      <x:c r="AV52" s="107" t="n">
        <x:f>AV50*AV51/1000</x:f>
      </x:c>
      <x:c r="AW52" s="107" t="n">
        <x:f>AW50*AW51/1000</x:f>
      </x:c>
      <x:c r="AX52" s="107" t="n">
        <x:f>AX50*AX51/1000</x:f>
      </x:c>
      <x:c r="AY52" s="107" t="n">
        <x:f>AY50*AY51/1000</x:f>
      </x:c>
      <x:c r="AZ52" s="107" t="n">
        <x:f>AZ50*AZ51/1000</x:f>
      </x:c>
      <x:c r="BA52" s="107" t="n">
        <x:f>BA50*BA51/1000</x:f>
      </x:c>
      <x:c r="BB52" s="107" t="n">
        <x:f>BB50*BB51/1000</x:f>
      </x:c>
      <x:c r="BC52" s="107" t="n">
        <x:f>BC50*BC51/1000</x:f>
      </x:c>
      <x:c r="BD52" s="107" t="n">
        <x:f>BD50*BD51/1000</x:f>
      </x:c>
      <x:c r="BE52" s="107" t="n">
        <x:f>BE50*BE51/1000</x:f>
      </x:c>
      <x:c r="BF52" s="107" t="n">
        <x:f>BF50*BF51/1000</x:f>
      </x:c>
      <x:c r="BG52" s="107" t="n">
        <x:f>BG50*BG51/1000</x:f>
      </x:c>
      <x:c r="BH52" s="107" t="n">
        <x:f>BH50*BH51/1000</x:f>
      </x:c>
      <x:c r="BI52" s="107" t="n">
        <x:f>BI50*BI51/1000</x:f>
      </x:c>
      <x:c r="BJ52" s="107" t="n">
        <x:f>BJ50*BJ51/1000</x:f>
      </x:c>
      <x:c r="BK52" s="107" t="n">
        <x:f>BK50*BK51/1000</x:f>
      </x:c>
      <x:c r="BL52" s="107" t="n">
        <x:f>BL50*BL51/1000</x:f>
      </x:c>
      <x:c r="BM52" s="107" t="n">
        <x:f>BM50*BM51/1000</x:f>
      </x:c>
      <x:c r="BN52" s="107" t="n">
        <x:f>BN50*BN51/1000</x:f>
      </x:c>
      <x:c r="BO52" s="107" t="n">
        <x:f>BO50*BO51/1000</x:f>
      </x:c>
      <x:c r="BP52" s="107" t="n">
        <x:f>BP50*BP51/1000</x:f>
      </x:c>
      <x:c r="BQ52" s="107" t="n">
        <x:f>BQ50*BQ51/1000</x:f>
      </x:c>
      <x:c r="BR52" s="107" t="n">
        <x:f>BR50*BR51/1000</x:f>
      </x:c>
      <x:c r="BS52" s="107" t="n">
        <x:f>BS50*BS51/1000</x:f>
      </x:c>
      <x:c r="BT52" s="107" t="n">
        <x:f>BT50*BT51/1000</x:f>
      </x:c>
      <x:c r="BU52" s="107" t="n">
        <x:f>BU50*BU51/1000</x:f>
      </x:c>
      <x:c r="BV52" s="107" t="n">
        <x:f>BV50*BV51/1000</x:f>
      </x:c>
      <x:c r="BW52" s="107" t="n">
        <x:f>BW50*BW51/1000</x:f>
      </x:c>
      <x:c r="BX52" s="107" t="n">
        <x:f>BX50*BX51/1000</x:f>
      </x:c>
      <x:c r="BY52" s="107" t="n">
        <x:f>BY50*BY51/1000</x:f>
      </x:c>
      <x:c r="BZ52" s="107" t="n">
        <x:f>BZ50*BZ51/1000</x:f>
      </x:c>
      <x:c r="CA52" s="107" t="n">
        <x:f>CA50*CA51/1000</x:f>
      </x:c>
      <x:c r="CB52" s="107" t="n">
        <x:f>CB50*CB51/1000</x:f>
      </x:c>
      <x:c r="CC52" s="107" t="n">
        <x:f>CC50*CC51/1000</x:f>
      </x:c>
      <x:c r="CD52" s="107" t="n">
        <x:f>CD50*CD51/1000</x:f>
      </x:c>
      <x:c r="CE52" s="107" t="n">
        <x:f>CE50*CE51/1000</x:f>
      </x:c>
      <x:c r="CF52" s="107" t="n">
        <x:f>CF50*CF51/1000</x:f>
      </x:c>
      <x:c r="CG52" s="107" t="n">
        <x:f>CG50*CG51/1000</x:f>
      </x:c>
      <x:c r="CH52" s="107" t="n">
        <x:f>CH50*CH51/1000</x:f>
      </x:c>
      <x:c r="CI52" s="107" t="n">
        <x:f>CI50*CI51/1000</x:f>
      </x:c>
      <x:c r="CJ52" s="107" t="n">
        <x:f>CJ50*CJ51/1000</x:f>
      </x:c>
      <x:c r="CK52" s="107" t="n">
        <x:f>CK50*CK51/1000</x:f>
      </x:c>
      <x:c r="CL52" s="107" t="n">
        <x:f>CL50*CL51/1000</x:f>
      </x:c>
      <x:c r="CM52" s="107" t="n">
        <x:f>CM50*CM51/1000</x:f>
      </x:c>
      <x:c r="CN52" s="107" t="n">
        <x:f>CN50*CN51/1000</x:f>
      </x:c>
      <x:c r="CO52" s="107" t="n">
        <x:f>CO50*CO51/1000</x:f>
      </x:c>
      <x:c r="CP52" s="107" t="n">
        <x:f>CP50*CP51/1000</x:f>
      </x:c>
      <x:c r="CQ52" s="107" t="n">
        <x:f>CQ50*CQ51/1000</x:f>
      </x:c>
      <x:c r="CR52" s="107" t="n">
        <x:f>CR50*CR51/1000</x:f>
      </x:c>
      <x:c r="CS52" s="107" t="n">
        <x:f>CS50*CS51/1000</x:f>
      </x:c>
      <x:c r="CT52" s="107" t="n">
        <x:f>CT50*CT51/1000</x:f>
      </x:c>
      <x:c r="CU52" s="107" t="n">
        <x:f>CU50*CU51/1000</x:f>
      </x:c>
      <x:c r="CV52" s="107" t="n">
        <x:f>CV50*CV51/1000</x:f>
      </x:c>
      <x:c r="CW52" s="107" t="n">
        <x:f>CW50*CW51/1000</x:f>
      </x:c>
      <x:c r="CX52" s="107" t="n">
        <x:f>CX50*CX51/1000</x:f>
      </x:c>
      <x:c r="CY52" s="107" t="n">
        <x:f>CY50*CY51/1000</x:f>
      </x:c>
      <x:c r="CZ52" s="107" t="n">
        <x:f>CZ50*CZ51/1000</x:f>
      </x:c>
      <x:c r="DA52" s="107" t="n">
        <x:f>DA50*DA51/1000</x:f>
      </x:c>
      <x:c r="DB52" s="107" t="n">
        <x:f>DB50*DB51/1000</x:f>
      </x:c>
      <x:c r="DC52" s="107" t="n">
        <x:f>DC50*DC51/1000</x:f>
      </x:c>
      <x:c r="DD52" s="107" t="n">
        <x:f>DD50*DD51/1000</x:f>
      </x:c>
      <x:c r="DE52" s="107" t="n">
        <x:f>DE50*DE51/1000</x:f>
      </x:c>
      <x:c r="DF52" s="107" t="n">
        <x:f>DF50*DF51/1000</x:f>
      </x:c>
      <x:c r="DG52" s="107" t="n">
        <x:f>DG50*DG51/1000</x:f>
      </x:c>
      <x:c r="DH52" s="107" t="n">
        <x:f>DH50*DH51/1000</x:f>
      </x:c>
      <x:c r="DI52" s="107" t="n">
        <x:f>DI50*DI51/1000</x:f>
      </x:c>
      <x:c r="DJ52" s="107" t="n">
        <x:f>DJ50*DJ51/1000</x:f>
      </x:c>
      <x:c r="DK52" s="107" t="n">
        <x:f>DK50*DK51/1000</x:f>
      </x:c>
      <x:c r="DL52" s="107" t="n">
        <x:f>DL50*DL51/1000</x:f>
      </x:c>
      <x:c r="DM52" s="107" t="n">
        <x:f>DM50*DM51/1000</x:f>
      </x:c>
      <x:c r="DN52" s="107" t="n">
        <x:f>DN50*DN51/1000</x:f>
      </x:c>
      <x:c r="DO52" s="107" t="n">
        <x:f>DO50*DO51/1000</x:f>
      </x:c>
      <x:c r="DP52" s="107" t="n">
        <x:f>DP50*DP51/1000</x:f>
      </x:c>
      <x:c r="DQ52" s="107" t="n">
        <x:f>DQ50*DQ51/1000</x:f>
      </x:c>
      <x:c r="DR52" s="107" t="n">
        <x:f>DR50*DR51/1000</x:f>
      </x:c>
      <x:c r="DS52" s="107" t="n">
        <x:f>DS50*DS51/1000</x:f>
      </x:c>
      <x:c r="DT52" s="107" t="n">
        <x:f>DT50*DT51/1000</x:f>
      </x:c>
      <x:c r="DU52" s="107" t="n">
        <x:f>DU50*DU51/1000</x:f>
      </x:c>
      <x:c r="DV52" s="107" t="n">
        <x:f>DV50*DV51/1000</x:f>
      </x:c>
      <x:c r="DW52" s="107" t="n">
        <x:f>DW50*DW51/1000</x:f>
      </x:c>
      <x:c r="DX52" s="107" t="n">
        <x:f>DX50*DX51/1000</x:f>
      </x:c>
      <x:c r="DY52" s="107" t="n">
        <x:f>DY50*DY51/1000</x:f>
      </x:c>
      <x:c r="DZ52" s="107" t="n">
        <x:f>DZ50*DZ51/1000</x:f>
      </x:c>
      <x:c r="EA52" s="107" t="n">
        <x:f>EA50*EA51/1000</x:f>
      </x:c>
      <x:c r="EB52" s="107" t="n">
        <x:f>EB50*EB51/1000</x:f>
      </x:c>
      <x:c r="EC52" s="107" t="n">
        <x:f>EC50*EC51/1000</x:f>
      </x:c>
      <x:c r="ED52" s="107" t="n">
        <x:f>ED50*ED51/1000</x:f>
      </x:c>
      <x:c r="EE52" s="107" t="n">
        <x:f>EE50*EE51/1000</x:f>
      </x:c>
      <x:c r="EF52" s="107" t="n">
        <x:f>EF50*EF51/1000</x:f>
      </x:c>
      <x:c r="EG52" s="107" t="n">
        <x:f>EG50*EG51/1000</x:f>
      </x:c>
      <x:c r="EH52" s="107" t="n">
        <x:f>EH50*EH51/1000</x:f>
      </x:c>
      <x:c r="EI52" s="107" t="n">
        <x:f>EI50*EI51/1000</x:f>
      </x:c>
      <x:c r="EJ52" s="107" t="n">
        <x:f>EJ50*EJ51/1000</x:f>
      </x:c>
      <x:c r="EK52" s="107" t="n">
        <x:f>EK50*EK51/1000</x:f>
      </x:c>
      <x:c r="EL52" s="107" t="n">
        <x:f>EL50*EL51/1000</x:f>
      </x:c>
      <x:c r="EM52" s="107" t="n">
        <x:f>EM50*EM51/1000</x:f>
      </x:c>
      <x:c r="EN52" s="107" t="n">
        <x:f>EN50*EN51/1000</x:f>
      </x:c>
      <x:c r="EO52" s="107" t="n">
        <x:f>EO50*EO51/1000</x:f>
      </x:c>
      <x:c r="EP52" s="107" t="n">
        <x:f>EP50*EP51/1000</x:f>
      </x:c>
      <x:c r="EQ52" s="107" t="n">
        <x:f>EQ50*EQ51/1000</x:f>
      </x:c>
      <x:c r="ER52" s="107" t="n">
        <x:f>ER50*ER51/1000</x:f>
      </x:c>
      <x:c r="ES52" s="107" t="n">
        <x:f>ES50*ES51/1000</x:f>
      </x:c>
      <x:c r="ET52" s="107" t="n">
        <x:f>ET50*ET51/1000</x:f>
      </x:c>
      <x:c r="EU52" s="107" t="n">
        <x:f>EU50*EU51/1000</x:f>
      </x:c>
      <x:c r="EV52" s="107" t="n">
        <x:f>EV50*EV51/1000</x:f>
      </x:c>
      <x:c r="EW52" s="107" t="n">
        <x:f>EW50*EW51/1000</x:f>
      </x:c>
      <x:c r="EX52" s="107" t="n">
        <x:f>EX50*EX51/1000</x:f>
      </x:c>
      <x:c r="EY52" s="107" t="n">
        <x:f>EY50*EY51/1000</x:f>
      </x:c>
      <x:c r="EZ52" s="107" t="n">
        <x:f>EZ50*EZ51/1000</x:f>
      </x:c>
      <x:c r="FA52" s="107" t="n">
        <x:f>FA50*FA51/1000</x:f>
      </x:c>
      <x:c r="FB52" s="107" t="n">
        <x:f>FB50*FB51/1000</x:f>
      </x:c>
      <x:c r="FC52" s="107" t="n">
        <x:f>FC50*FC51/1000</x:f>
      </x:c>
      <x:c r="FD52" s="107" t="n">
        <x:f>FD50*FD51/1000</x:f>
      </x:c>
      <x:c r="FE52" s="107" t="n">
        <x:f>FE50*FE51/1000</x:f>
      </x:c>
      <x:c r="FF52" s="107" t="n">
        <x:f>FF50*FF51/1000</x:f>
      </x:c>
      <x:c r="FG52" s="107" t="n">
        <x:f>FG50*FG51/1000</x:f>
      </x:c>
      <x:c r="FH52" s="107" t="n">
        <x:f>FH50*FH51/1000</x:f>
      </x:c>
      <x:c r="FI52" s="107" t="n">
        <x:f>FI50*FI51/1000</x:f>
      </x:c>
      <x:c r="FJ52" s="107" t="n">
        <x:f>FJ50*FJ51/1000</x:f>
      </x:c>
      <x:c r="FK52" s="107" t="n">
        <x:f>FK50*FK51/1000</x:f>
      </x:c>
      <x:c r="FL52" s="107" t="n">
        <x:f>FL50*FL51/1000</x:f>
      </x:c>
      <x:c r="FM52" s="107" t="n">
        <x:f>FM50*FM51/1000</x:f>
      </x:c>
      <x:c r="FN52" s="107" t="n">
        <x:f>FN50*FN51/1000</x:f>
      </x:c>
      <x:c r="FO52" s="107" t="n">
        <x:f>FO50*FO51/1000</x:f>
      </x:c>
      <x:c r="FP52" s="107" t="n">
        <x:f>FP50*FP51/1000</x:f>
      </x:c>
      <x:c r="FQ52" s="107" t="n">
        <x:f>FQ50*FQ51/1000</x:f>
      </x:c>
      <x:c r="FR52" s="107" t="n">
        <x:f>FR50*FR51/1000</x:f>
      </x:c>
      <x:c r="FS52" s="107" t="n">
        <x:f>FS50*FS51/1000</x:f>
      </x:c>
      <x:c r="FT52" s="107" t="n">
        <x:f>FT50*FT51/1000</x:f>
      </x:c>
      <x:c r="FU52" s="107" t="n">
        <x:f>FU50*FU51/1000</x:f>
      </x:c>
      <x:c r="FV52" s="107" t="n">
        <x:f>FV50*FV51/1000</x:f>
      </x:c>
      <x:c r="FW52" s="107" t="n">
        <x:f>FW50*FW51/1000</x:f>
      </x:c>
      <x:c r="FX52" s="107" t="n">
        <x:f>FX50*FX51/1000</x:f>
      </x:c>
      <x:c r="FY52" s="107" t="n">
        <x:f>FY50*FY51/1000</x:f>
      </x:c>
      <x:c r="FZ52" s="107" t="n">
        <x:f>FZ50*FZ51/1000</x:f>
      </x:c>
      <x:c r="GA52" s="107" t="n">
        <x:f>GA50*GA51/1000</x:f>
      </x:c>
    </x:row>
    <x:row r="53">
      <x:c r="A53" t="str">
        <x:v>Поступления на эскроу</x:v>
      </x:c>
      <x:c r="B53" s="107" t="n">
        <x:f>SUM(D53:GA53)</x:f>
      </x:c>
      <x:c r="C53" t="str">
        <x:v>млн ₽</x:v>
      </x:c>
      <x:c r="D53" s="107" t="n">
        <x:f>IF(D$3&lt;EDATE(INDEX('Вводные'!$D$88:$D$91,$B$36),INDEX('Вводные'!$E$88:$E$91,$B$36)+INDEX('Вводные'!$F$88:$F$91,$B$36)+'Вводные'!$H$9),D52,0)</x:f>
      </x:c>
      <x:c r="E53" s="107" t="n">
        <x:f>IF(E$3&lt;EDATE(INDEX('Вводные'!$D$88:$D$91,$B$36),INDEX('Вводные'!$E$88:$E$91,$B$36)+INDEX('Вводные'!$F$88:$F$91,$B$36)+'Вводные'!$H$9),E52,0)</x:f>
      </x:c>
      <x:c r="F53" s="107" t="n">
        <x:f>IF(F$3&lt;EDATE(INDEX('Вводные'!$D$88:$D$91,$B$36),INDEX('Вводные'!$E$88:$E$91,$B$36)+INDEX('Вводные'!$F$88:$F$91,$B$36)+'Вводные'!$H$9),F52,0)</x:f>
      </x:c>
      <x:c r="G53" s="107" t="n">
        <x:f>IF(G$3&lt;EDATE(INDEX('Вводные'!$D$88:$D$91,$B$36),INDEX('Вводные'!$E$88:$E$91,$B$36)+INDEX('Вводные'!$F$88:$F$91,$B$36)+'Вводные'!$H$9),G52,0)</x:f>
      </x:c>
      <x:c r="H53" s="107" t="n">
        <x:f>IF(H$3&lt;EDATE(INDEX('Вводные'!$D$88:$D$91,$B$36),INDEX('Вводные'!$E$88:$E$91,$B$36)+INDEX('Вводные'!$F$88:$F$91,$B$36)+'Вводные'!$H$9),H52,0)</x:f>
      </x:c>
      <x:c r="I53" s="107" t="n">
        <x:f>IF(I$3&lt;EDATE(INDEX('Вводные'!$D$88:$D$91,$B$36),INDEX('Вводные'!$E$88:$E$91,$B$36)+INDEX('Вводные'!$F$88:$F$91,$B$36)+'Вводные'!$H$9),I52,0)</x:f>
      </x:c>
      <x:c r="J53" s="107" t="n">
        <x:f>IF(J$3&lt;EDATE(INDEX('Вводные'!$D$88:$D$91,$B$36),INDEX('Вводные'!$E$88:$E$91,$B$36)+INDEX('Вводные'!$F$88:$F$91,$B$36)+'Вводные'!$H$9),J52,0)</x:f>
      </x:c>
      <x:c r="K53" s="107" t="n">
        <x:f>IF(K$3&lt;EDATE(INDEX('Вводные'!$D$88:$D$91,$B$36),INDEX('Вводные'!$E$88:$E$91,$B$36)+INDEX('Вводные'!$F$88:$F$91,$B$36)+'Вводные'!$H$9),K52,0)</x:f>
      </x:c>
      <x:c r="L53" s="107" t="n">
        <x:f>IF(L$3&lt;EDATE(INDEX('Вводные'!$D$88:$D$91,$B$36),INDEX('Вводные'!$E$88:$E$91,$B$36)+INDEX('Вводные'!$F$88:$F$91,$B$36)+'Вводные'!$H$9),L52,0)</x:f>
      </x:c>
      <x:c r="M53" s="107" t="n">
        <x:f>IF(M$3&lt;EDATE(INDEX('Вводные'!$D$88:$D$91,$B$36),INDEX('Вводные'!$E$88:$E$91,$B$36)+INDEX('Вводные'!$F$88:$F$91,$B$36)+'Вводные'!$H$9),M52,0)</x:f>
      </x:c>
      <x:c r="N53" s="107" t="n">
        <x:f>IF(N$3&lt;EDATE(INDEX('Вводные'!$D$88:$D$91,$B$36),INDEX('Вводные'!$E$88:$E$91,$B$36)+INDEX('Вводные'!$F$88:$F$91,$B$36)+'Вводные'!$H$9),N52,0)</x:f>
      </x:c>
      <x:c r="O53" s="107" t="n">
        <x:f>IF(O$3&lt;EDATE(INDEX('Вводные'!$D$88:$D$91,$B$36),INDEX('Вводные'!$E$88:$E$91,$B$36)+INDEX('Вводные'!$F$88:$F$91,$B$36)+'Вводные'!$H$9),O52,0)</x:f>
      </x:c>
      <x:c r="P53" s="107" t="n">
        <x:f>IF(P$3&lt;EDATE(INDEX('Вводные'!$D$88:$D$91,$B$36),INDEX('Вводные'!$E$88:$E$91,$B$36)+INDEX('Вводные'!$F$88:$F$91,$B$36)+'Вводные'!$H$9),P52,0)</x:f>
      </x:c>
      <x:c r="Q53" s="107" t="n">
        <x:f>IF(Q$3&lt;EDATE(INDEX('Вводные'!$D$88:$D$91,$B$36),INDEX('Вводные'!$E$88:$E$91,$B$36)+INDEX('Вводные'!$F$88:$F$91,$B$36)+'Вводные'!$H$9),Q52,0)</x:f>
      </x:c>
      <x:c r="R53" s="107" t="n">
        <x:f>IF(R$3&lt;EDATE(INDEX('Вводные'!$D$88:$D$91,$B$36),INDEX('Вводные'!$E$88:$E$91,$B$36)+INDEX('Вводные'!$F$88:$F$91,$B$36)+'Вводные'!$H$9),R52,0)</x:f>
      </x:c>
      <x:c r="S53" s="107" t="n">
        <x:f>IF(S$3&lt;EDATE(INDEX('Вводные'!$D$88:$D$91,$B$36),INDEX('Вводные'!$E$88:$E$91,$B$36)+INDEX('Вводные'!$F$88:$F$91,$B$36)+'Вводные'!$H$9),S52,0)</x:f>
      </x:c>
      <x:c r="T53" s="107" t="n">
        <x:f>IF(T$3&lt;EDATE(INDEX('Вводные'!$D$88:$D$91,$B$36),INDEX('Вводные'!$E$88:$E$91,$B$36)+INDEX('Вводные'!$F$88:$F$91,$B$36)+'Вводные'!$H$9),T52,0)</x:f>
      </x:c>
      <x:c r="U53" s="107" t="n">
        <x:f>IF(U$3&lt;EDATE(INDEX('Вводные'!$D$88:$D$91,$B$36),INDEX('Вводные'!$E$88:$E$91,$B$36)+INDEX('Вводные'!$F$88:$F$91,$B$36)+'Вводные'!$H$9),U52,0)</x:f>
      </x:c>
      <x:c r="V53" s="107" t="n">
        <x:f>IF(V$3&lt;EDATE(INDEX('Вводные'!$D$88:$D$91,$B$36),INDEX('Вводные'!$E$88:$E$91,$B$36)+INDEX('Вводные'!$F$88:$F$91,$B$36)+'Вводные'!$H$9),V52,0)</x:f>
      </x:c>
      <x:c r="W53" s="107" t="n">
        <x:f>IF(W$3&lt;EDATE(INDEX('Вводные'!$D$88:$D$91,$B$36),INDEX('Вводные'!$E$88:$E$91,$B$36)+INDEX('Вводные'!$F$88:$F$91,$B$36)+'Вводные'!$H$9),W52,0)</x:f>
      </x:c>
      <x:c r="X53" s="107" t="n">
        <x:f>IF(X$3&lt;EDATE(INDEX('Вводные'!$D$88:$D$91,$B$36),INDEX('Вводные'!$E$88:$E$91,$B$36)+INDEX('Вводные'!$F$88:$F$91,$B$36)+'Вводные'!$H$9),X52,0)</x:f>
      </x:c>
      <x:c r="Y53" s="107" t="n">
        <x:f>IF(Y$3&lt;EDATE(INDEX('Вводные'!$D$88:$D$91,$B$36),INDEX('Вводные'!$E$88:$E$91,$B$36)+INDEX('Вводные'!$F$88:$F$91,$B$36)+'Вводные'!$H$9),Y52,0)</x:f>
      </x:c>
      <x:c r="Z53" s="107" t="n">
        <x:f>IF(Z$3&lt;EDATE(INDEX('Вводные'!$D$88:$D$91,$B$36),INDEX('Вводные'!$E$88:$E$91,$B$36)+INDEX('Вводные'!$F$88:$F$91,$B$36)+'Вводные'!$H$9),Z52,0)</x:f>
      </x:c>
      <x:c r="AA53" s="107" t="n">
        <x:f>IF(AA$3&lt;EDATE(INDEX('Вводные'!$D$88:$D$91,$B$36),INDEX('Вводные'!$E$88:$E$91,$B$36)+INDEX('Вводные'!$F$88:$F$91,$B$36)+'Вводные'!$H$9),AA52,0)</x:f>
      </x:c>
      <x:c r="AB53" s="107" t="n">
        <x:f>IF(AB$3&lt;EDATE(INDEX('Вводные'!$D$88:$D$91,$B$36),INDEX('Вводные'!$E$88:$E$91,$B$36)+INDEX('Вводные'!$F$88:$F$91,$B$36)+'Вводные'!$H$9),AB52,0)</x:f>
      </x:c>
      <x:c r="AC53" s="107" t="n">
        <x:f>IF(AC$3&lt;EDATE(INDEX('Вводные'!$D$88:$D$91,$B$36),INDEX('Вводные'!$E$88:$E$91,$B$36)+INDEX('Вводные'!$F$88:$F$91,$B$36)+'Вводные'!$H$9),AC52,0)</x:f>
      </x:c>
      <x:c r="AD53" s="107" t="n">
        <x:f>IF(AD$3&lt;EDATE(INDEX('Вводные'!$D$88:$D$91,$B$36),INDEX('Вводные'!$E$88:$E$91,$B$36)+INDEX('Вводные'!$F$88:$F$91,$B$36)+'Вводные'!$H$9),AD52,0)</x:f>
      </x:c>
      <x:c r="AE53" s="107" t="n">
        <x:f>IF(AE$3&lt;EDATE(INDEX('Вводные'!$D$88:$D$91,$B$36),INDEX('Вводные'!$E$88:$E$91,$B$36)+INDEX('Вводные'!$F$88:$F$91,$B$36)+'Вводные'!$H$9),AE52,0)</x:f>
      </x:c>
      <x:c r="AF53" s="107" t="n">
        <x:f>IF(AF$3&lt;EDATE(INDEX('Вводные'!$D$88:$D$91,$B$36),INDEX('Вводные'!$E$88:$E$91,$B$36)+INDEX('Вводные'!$F$88:$F$91,$B$36)+'Вводные'!$H$9),AF52,0)</x:f>
      </x:c>
      <x:c r="AG53" s="107" t="n">
        <x:f>IF(AG$3&lt;EDATE(INDEX('Вводные'!$D$88:$D$91,$B$36),INDEX('Вводные'!$E$88:$E$91,$B$36)+INDEX('Вводные'!$F$88:$F$91,$B$36)+'Вводные'!$H$9),AG52,0)</x:f>
      </x:c>
      <x:c r="AH53" s="107" t="n">
        <x:f>IF(AH$3&lt;EDATE(INDEX('Вводные'!$D$88:$D$91,$B$36),INDEX('Вводные'!$E$88:$E$91,$B$36)+INDEX('Вводные'!$F$88:$F$91,$B$36)+'Вводные'!$H$9),AH52,0)</x:f>
      </x:c>
      <x:c r="AI53" s="107" t="n">
        <x:f>IF(AI$3&lt;EDATE(INDEX('Вводные'!$D$88:$D$91,$B$36),INDEX('Вводные'!$E$88:$E$91,$B$36)+INDEX('Вводные'!$F$88:$F$91,$B$36)+'Вводные'!$H$9),AI52,0)</x:f>
      </x:c>
      <x:c r="AJ53" s="107" t="n">
        <x:f>IF(AJ$3&lt;EDATE(INDEX('Вводные'!$D$88:$D$91,$B$36),INDEX('Вводные'!$E$88:$E$91,$B$36)+INDEX('Вводные'!$F$88:$F$91,$B$36)+'Вводные'!$H$9),AJ52,0)</x:f>
      </x:c>
      <x:c r="AK53" s="107" t="n">
        <x:f>IF(AK$3&lt;EDATE(INDEX('Вводные'!$D$88:$D$91,$B$36),INDEX('Вводные'!$E$88:$E$91,$B$36)+INDEX('Вводные'!$F$88:$F$91,$B$36)+'Вводные'!$H$9),AK52,0)</x:f>
      </x:c>
      <x:c r="AL53" s="107" t="n">
        <x:f>IF(AL$3&lt;EDATE(INDEX('Вводные'!$D$88:$D$91,$B$36),INDEX('Вводные'!$E$88:$E$91,$B$36)+INDEX('Вводные'!$F$88:$F$91,$B$36)+'Вводные'!$H$9),AL52,0)</x:f>
      </x:c>
      <x:c r="AM53" s="107" t="n">
        <x:f>IF(AM$3&lt;EDATE(INDEX('Вводные'!$D$88:$D$91,$B$36),INDEX('Вводные'!$E$88:$E$91,$B$36)+INDEX('Вводные'!$F$88:$F$91,$B$36)+'Вводные'!$H$9),AM52,0)</x:f>
      </x:c>
      <x:c r="AN53" s="107" t="n">
        <x:f>IF(AN$3&lt;EDATE(INDEX('Вводные'!$D$88:$D$91,$B$36),INDEX('Вводные'!$E$88:$E$91,$B$36)+INDEX('Вводные'!$F$88:$F$91,$B$36)+'Вводные'!$H$9),AN52,0)</x:f>
      </x:c>
      <x:c r="AO53" s="107" t="n">
        <x:f>IF(AO$3&lt;EDATE(INDEX('Вводные'!$D$88:$D$91,$B$36),INDEX('Вводные'!$E$88:$E$91,$B$36)+INDEX('Вводные'!$F$88:$F$91,$B$36)+'Вводные'!$H$9),AO52,0)</x:f>
      </x:c>
      <x:c r="AP53" s="107" t="n">
        <x:f>IF(AP$3&lt;EDATE(INDEX('Вводные'!$D$88:$D$91,$B$36),INDEX('Вводные'!$E$88:$E$91,$B$36)+INDEX('Вводные'!$F$88:$F$91,$B$36)+'Вводные'!$H$9),AP52,0)</x:f>
      </x:c>
      <x:c r="AQ53" s="107" t="n">
        <x:f>IF(AQ$3&lt;EDATE(INDEX('Вводные'!$D$88:$D$91,$B$36),INDEX('Вводные'!$E$88:$E$91,$B$36)+INDEX('Вводные'!$F$88:$F$91,$B$36)+'Вводные'!$H$9),AQ52,0)</x:f>
      </x:c>
      <x:c r="AR53" s="107" t="n">
        <x:f>IF(AR$3&lt;EDATE(INDEX('Вводные'!$D$88:$D$91,$B$36),INDEX('Вводные'!$E$88:$E$91,$B$36)+INDEX('Вводные'!$F$88:$F$91,$B$36)+'Вводные'!$H$9),AR52,0)</x:f>
      </x:c>
      <x:c r="AS53" s="107" t="n">
        <x:f>IF(AS$3&lt;EDATE(INDEX('Вводные'!$D$88:$D$91,$B$36),INDEX('Вводные'!$E$88:$E$91,$B$36)+INDEX('Вводные'!$F$88:$F$91,$B$36)+'Вводные'!$H$9),AS52,0)</x:f>
      </x:c>
      <x:c r="AT53" s="107" t="n">
        <x:f>IF(AT$3&lt;EDATE(INDEX('Вводные'!$D$88:$D$91,$B$36),INDEX('Вводные'!$E$88:$E$91,$B$36)+INDEX('Вводные'!$F$88:$F$91,$B$36)+'Вводные'!$H$9),AT52,0)</x:f>
      </x:c>
      <x:c r="AU53" s="107" t="n">
        <x:f>IF(AU$3&lt;EDATE(INDEX('Вводные'!$D$88:$D$91,$B$36),INDEX('Вводные'!$E$88:$E$91,$B$36)+INDEX('Вводные'!$F$88:$F$91,$B$36)+'Вводные'!$H$9),AU52,0)</x:f>
      </x:c>
      <x:c r="AV53" s="107" t="n">
        <x:f>IF(AV$3&lt;EDATE(INDEX('Вводные'!$D$88:$D$91,$B$36),INDEX('Вводные'!$E$88:$E$91,$B$36)+INDEX('Вводные'!$F$88:$F$91,$B$36)+'Вводные'!$H$9),AV52,0)</x:f>
      </x:c>
      <x:c r="AW53" s="107" t="n">
        <x:f>IF(AW$3&lt;EDATE(INDEX('Вводные'!$D$88:$D$91,$B$36),INDEX('Вводные'!$E$88:$E$91,$B$36)+INDEX('Вводные'!$F$88:$F$91,$B$36)+'Вводные'!$H$9),AW52,0)</x:f>
      </x:c>
      <x:c r="AX53" s="107" t="n">
        <x:f>IF(AX$3&lt;EDATE(INDEX('Вводные'!$D$88:$D$91,$B$36),INDEX('Вводные'!$E$88:$E$91,$B$36)+INDEX('Вводные'!$F$88:$F$91,$B$36)+'Вводные'!$H$9),AX52,0)</x:f>
      </x:c>
      <x:c r="AY53" s="107" t="n">
        <x:f>IF(AY$3&lt;EDATE(INDEX('Вводные'!$D$88:$D$91,$B$36),INDEX('Вводные'!$E$88:$E$91,$B$36)+INDEX('Вводные'!$F$88:$F$91,$B$36)+'Вводные'!$H$9),AY52,0)</x:f>
      </x:c>
      <x:c r="AZ53" s="107" t="n">
        <x:f>IF(AZ$3&lt;EDATE(INDEX('Вводные'!$D$88:$D$91,$B$36),INDEX('Вводные'!$E$88:$E$91,$B$36)+INDEX('Вводные'!$F$88:$F$91,$B$36)+'Вводные'!$H$9),AZ52,0)</x:f>
      </x:c>
      <x:c r="BA53" s="107" t="n">
        <x:f>IF(BA$3&lt;EDATE(INDEX('Вводные'!$D$88:$D$91,$B$36),INDEX('Вводные'!$E$88:$E$91,$B$36)+INDEX('Вводные'!$F$88:$F$91,$B$36)+'Вводные'!$H$9),BA52,0)</x:f>
      </x:c>
      <x:c r="BB53" s="107" t="n">
        <x:f>IF(BB$3&lt;EDATE(INDEX('Вводные'!$D$88:$D$91,$B$36),INDEX('Вводные'!$E$88:$E$91,$B$36)+INDEX('Вводные'!$F$88:$F$91,$B$36)+'Вводные'!$H$9),BB52,0)</x:f>
      </x:c>
      <x:c r="BC53" s="107" t="n">
        <x:f>IF(BC$3&lt;EDATE(INDEX('Вводные'!$D$88:$D$91,$B$36),INDEX('Вводные'!$E$88:$E$91,$B$36)+INDEX('Вводные'!$F$88:$F$91,$B$36)+'Вводные'!$H$9),BC52,0)</x:f>
      </x:c>
      <x:c r="BD53" s="107" t="n">
        <x:f>IF(BD$3&lt;EDATE(INDEX('Вводные'!$D$88:$D$91,$B$36),INDEX('Вводные'!$E$88:$E$91,$B$36)+INDEX('Вводные'!$F$88:$F$91,$B$36)+'Вводные'!$H$9),BD52,0)</x:f>
      </x:c>
      <x:c r="BE53" s="107" t="n">
        <x:f>IF(BE$3&lt;EDATE(INDEX('Вводные'!$D$88:$D$91,$B$36),INDEX('Вводные'!$E$88:$E$91,$B$36)+INDEX('Вводные'!$F$88:$F$91,$B$36)+'Вводные'!$H$9),BE52,0)</x:f>
      </x:c>
      <x:c r="BF53" s="107" t="n">
        <x:f>IF(BF$3&lt;EDATE(INDEX('Вводные'!$D$88:$D$91,$B$36),INDEX('Вводные'!$E$88:$E$91,$B$36)+INDEX('Вводные'!$F$88:$F$91,$B$36)+'Вводные'!$H$9),BF52,0)</x:f>
      </x:c>
      <x:c r="BG53" s="107" t="n">
        <x:f>IF(BG$3&lt;EDATE(INDEX('Вводные'!$D$88:$D$91,$B$36),INDEX('Вводные'!$E$88:$E$91,$B$36)+INDEX('Вводные'!$F$88:$F$91,$B$36)+'Вводные'!$H$9),BG52,0)</x:f>
      </x:c>
      <x:c r="BH53" s="107" t="n">
        <x:f>IF(BH$3&lt;EDATE(INDEX('Вводные'!$D$88:$D$91,$B$36),INDEX('Вводные'!$E$88:$E$91,$B$36)+INDEX('Вводные'!$F$88:$F$91,$B$36)+'Вводные'!$H$9),BH52,0)</x:f>
      </x:c>
      <x:c r="BI53" s="107" t="n">
        <x:f>IF(BI$3&lt;EDATE(INDEX('Вводные'!$D$88:$D$91,$B$36),INDEX('Вводные'!$E$88:$E$91,$B$36)+INDEX('Вводные'!$F$88:$F$91,$B$36)+'Вводные'!$H$9),BI52,0)</x:f>
      </x:c>
      <x:c r="BJ53" s="107" t="n">
        <x:f>IF(BJ$3&lt;EDATE(INDEX('Вводные'!$D$88:$D$91,$B$36),INDEX('Вводные'!$E$88:$E$91,$B$36)+INDEX('Вводные'!$F$88:$F$91,$B$36)+'Вводные'!$H$9),BJ52,0)</x:f>
      </x:c>
      <x:c r="BK53" s="107" t="n">
        <x:f>IF(BK$3&lt;EDATE(INDEX('Вводные'!$D$88:$D$91,$B$36),INDEX('Вводные'!$E$88:$E$91,$B$36)+INDEX('Вводные'!$F$88:$F$91,$B$36)+'Вводные'!$H$9),BK52,0)</x:f>
      </x:c>
      <x:c r="BL53" s="107" t="n">
        <x:f>IF(BL$3&lt;EDATE(INDEX('Вводные'!$D$88:$D$91,$B$36),INDEX('Вводные'!$E$88:$E$91,$B$36)+INDEX('Вводные'!$F$88:$F$91,$B$36)+'Вводные'!$H$9),BL52,0)</x:f>
      </x:c>
      <x:c r="BM53" s="107" t="n">
        <x:f>IF(BM$3&lt;EDATE(INDEX('Вводные'!$D$88:$D$91,$B$36),INDEX('Вводные'!$E$88:$E$91,$B$36)+INDEX('Вводные'!$F$88:$F$91,$B$36)+'Вводные'!$H$9),BM52,0)</x:f>
      </x:c>
      <x:c r="BN53" s="107" t="n">
        <x:f>IF(BN$3&lt;EDATE(INDEX('Вводные'!$D$88:$D$91,$B$36),INDEX('Вводные'!$E$88:$E$91,$B$36)+INDEX('Вводные'!$F$88:$F$91,$B$36)+'Вводные'!$H$9),BN52,0)</x:f>
      </x:c>
      <x:c r="BO53" s="107" t="n">
        <x:f>IF(BO$3&lt;EDATE(INDEX('Вводные'!$D$88:$D$91,$B$36),INDEX('Вводные'!$E$88:$E$91,$B$36)+INDEX('Вводные'!$F$88:$F$91,$B$36)+'Вводные'!$H$9),BO52,0)</x:f>
      </x:c>
      <x:c r="BP53" s="107" t="n">
        <x:f>IF(BP$3&lt;EDATE(INDEX('Вводные'!$D$88:$D$91,$B$36),INDEX('Вводные'!$E$88:$E$91,$B$36)+INDEX('Вводные'!$F$88:$F$91,$B$36)+'Вводные'!$H$9),BP52,0)</x:f>
      </x:c>
      <x:c r="BQ53" s="107" t="n">
        <x:f>IF(BQ$3&lt;EDATE(INDEX('Вводные'!$D$88:$D$91,$B$36),INDEX('Вводные'!$E$88:$E$91,$B$36)+INDEX('Вводные'!$F$88:$F$91,$B$36)+'Вводные'!$H$9),BQ52,0)</x:f>
      </x:c>
      <x:c r="BR53" s="107" t="n">
        <x:f>IF(BR$3&lt;EDATE(INDEX('Вводные'!$D$88:$D$91,$B$36),INDEX('Вводные'!$E$88:$E$91,$B$36)+INDEX('Вводные'!$F$88:$F$91,$B$36)+'Вводные'!$H$9),BR52,0)</x:f>
      </x:c>
      <x:c r="BS53" s="107" t="n">
        <x:f>IF(BS$3&lt;EDATE(INDEX('Вводные'!$D$88:$D$91,$B$36),INDEX('Вводные'!$E$88:$E$91,$B$36)+INDEX('Вводные'!$F$88:$F$91,$B$36)+'Вводные'!$H$9),BS52,0)</x:f>
      </x:c>
      <x:c r="BT53" s="107" t="n">
        <x:f>IF(BT$3&lt;EDATE(INDEX('Вводные'!$D$88:$D$91,$B$36),INDEX('Вводные'!$E$88:$E$91,$B$36)+INDEX('Вводные'!$F$88:$F$91,$B$36)+'Вводные'!$H$9),BT52,0)</x:f>
      </x:c>
      <x:c r="BU53" s="107" t="n">
        <x:f>IF(BU$3&lt;EDATE(INDEX('Вводные'!$D$88:$D$91,$B$36),INDEX('Вводные'!$E$88:$E$91,$B$36)+INDEX('Вводные'!$F$88:$F$91,$B$36)+'Вводные'!$H$9),BU52,0)</x:f>
      </x:c>
      <x:c r="BV53" s="107" t="n">
        <x:f>IF(BV$3&lt;EDATE(INDEX('Вводные'!$D$88:$D$91,$B$36),INDEX('Вводные'!$E$88:$E$91,$B$36)+INDEX('Вводные'!$F$88:$F$91,$B$36)+'Вводные'!$H$9),BV52,0)</x:f>
      </x:c>
      <x:c r="BW53" s="107" t="n">
        <x:f>IF(BW$3&lt;EDATE(INDEX('Вводные'!$D$88:$D$91,$B$36),INDEX('Вводные'!$E$88:$E$91,$B$36)+INDEX('Вводные'!$F$88:$F$91,$B$36)+'Вводные'!$H$9),BW52,0)</x:f>
      </x:c>
      <x:c r="BX53" s="107" t="n">
        <x:f>IF(BX$3&lt;EDATE(INDEX('Вводные'!$D$88:$D$91,$B$36),INDEX('Вводные'!$E$88:$E$91,$B$36)+INDEX('Вводные'!$F$88:$F$91,$B$36)+'Вводные'!$H$9),BX52,0)</x:f>
      </x:c>
      <x:c r="BY53" s="107" t="n">
        <x:f>IF(BY$3&lt;EDATE(INDEX('Вводные'!$D$88:$D$91,$B$36),INDEX('Вводные'!$E$88:$E$91,$B$36)+INDEX('Вводные'!$F$88:$F$91,$B$36)+'Вводные'!$H$9),BY52,0)</x:f>
      </x:c>
      <x:c r="BZ53" s="107" t="n">
        <x:f>IF(BZ$3&lt;EDATE(INDEX('Вводные'!$D$88:$D$91,$B$36),INDEX('Вводные'!$E$88:$E$91,$B$36)+INDEX('Вводные'!$F$88:$F$91,$B$36)+'Вводные'!$H$9),BZ52,0)</x:f>
      </x:c>
      <x:c r="CA53" s="107" t="n">
        <x:f>IF(CA$3&lt;EDATE(INDEX('Вводные'!$D$88:$D$91,$B$36),INDEX('Вводные'!$E$88:$E$91,$B$36)+INDEX('Вводные'!$F$88:$F$91,$B$36)+'Вводные'!$H$9),CA52,0)</x:f>
      </x:c>
      <x:c r="CB53" s="107" t="n">
        <x:f>IF(CB$3&lt;EDATE(INDEX('Вводные'!$D$88:$D$91,$B$36),INDEX('Вводные'!$E$88:$E$91,$B$36)+INDEX('Вводные'!$F$88:$F$91,$B$36)+'Вводные'!$H$9),CB52,0)</x:f>
      </x:c>
      <x:c r="CC53" s="107" t="n">
        <x:f>IF(CC$3&lt;EDATE(INDEX('Вводные'!$D$88:$D$91,$B$36),INDEX('Вводные'!$E$88:$E$91,$B$36)+INDEX('Вводные'!$F$88:$F$91,$B$36)+'Вводные'!$H$9),CC52,0)</x:f>
      </x:c>
      <x:c r="CD53" s="107" t="n">
        <x:f>IF(CD$3&lt;EDATE(INDEX('Вводные'!$D$88:$D$91,$B$36),INDEX('Вводные'!$E$88:$E$91,$B$36)+INDEX('Вводные'!$F$88:$F$91,$B$36)+'Вводные'!$H$9),CD52,0)</x:f>
      </x:c>
      <x:c r="CE53" s="107" t="n">
        <x:f>IF(CE$3&lt;EDATE(INDEX('Вводные'!$D$88:$D$91,$B$36),INDEX('Вводные'!$E$88:$E$91,$B$36)+INDEX('Вводные'!$F$88:$F$91,$B$36)+'Вводные'!$H$9),CE52,0)</x:f>
      </x:c>
      <x:c r="CF53" s="107" t="n">
        <x:f>IF(CF$3&lt;EDATE(INDEX('Вводные'!$D$88:$D$91,$B$36),INDEX('Вводные'!$E$88:$E$91,$B$36)+INDEX('Вводные'!$F$88:$F$91,$B$36)+'Вводные'!$H$9),CF52,0)</x:f>
      </x:c>
      <x:c r="CG53" s="107" t="n">
        <x:f>IF(CG$3&lt;EDATE(INDEX('Вводные'!$D$88:$D$91,$B$36),INDEX('Вводные'!$E$88:$E$91,$B$36)+INDEX('Вводные'!$F$88:$F$91,$B$36)+'Вводные'!$H$9),CG52,0)</x:f>
      </x:c>
      <x:c r="CH53" s="107" t="n">
        <x:f>IF(CH$3&lt;EDATE(INDEX('Вводные'!$D$88:$D$91,$B$36),INDEX('Вводные'!$E$88:$E$91,$B$36)+INDEX('Вводные'!$F$88:$F$91,$B$36)+'Вводные'!$H$9),CH52,0)</x:f>
      </x:c>
      <x:c r="CI53" s="107" t="n">
        <x:f>IF(CI$3&lt;EDATE(INDEX('Вводные'!$D$88:$D$91,$B$36),INDEX('Вводные'!$E$88:$E$91,$B$36)+INDEX('Вводные'!$F$88:$F$91,$B$36)+'Вводные'!$H$9),CI52,0)</x:f>
      </x:c>
      <x:c r="CJ53" s="107" t="n">
        <x:f>IF(CJ$3&lt;EDATE(INDEX('Вводные'!$D$88:$D$91,$B$36),INDEX('Вводные'!$E$88:$E$91,$B$36)+INDEX('Вводные'!$F$88:$F$91,$B$36)+'Вводные'!$H$9),CJ52,0)</x:f>
      </x:c>
      <x:c r="CK53" s="107" t="n">
        <x:f>IF(CK$3&lt;EDATE(INDEX('Вводные'!$D$88:$D$91,$B$36),INDEX('Вводные'!$E$88:$E$91,$B$36)+INDEX('Вводные'!$F$88:$F$91,$B$36)+'Вводные'!$H$9),CK52,0)</x:f>
      </x:c>
      <x:c r="CL53" s="107" t="n">
        <x:f>IF(CL$3&lt;EDATE(INDEX('Вводные'!$D$88:$D$91,$B$36),INDEX('Вводные'!$E$88:$E$91,$B$36)+INDEX('Вводные'!$F$88:$F$91,$B$36)+'Вводные'!$H$9),CL52,0)</x:f>
      </x:c>
      <x:c r="CM53" s="107" t="n">
        <x:f>IF(CM$3&lt;EDATE(INDEX('Вводные'!$D$88:$D$91,$B$36),INDEX('Вводные'!$E$88:$E$91,$B$36)+INDEX('Вводные'!$F$88:$F$91,$B$36)+'Вводные'!$H$9),CM52,0)</x:f>
      </x:c>
      <x:c r="CN53" s="107" t="n">
        <x:f>IF(CN$3&lt;EDATE(INDEX('Вводные'!$D$88:$D$91,$B$36),INDEX('Вводные'!$E$88:$E$91,$B$36)+INDEX('Вводные'!$F$88:$F$91,$B$36)+'Вводные'!$H$9),CN52,0)</x:f>
      </x:c>
      <x:c r="CO53" s="107" t="n">
        <x:f>IF(CO$3&lt;EDATE(INDEX('Вводные'!$D$88:$D$91,$B$36),INDEX('Вводные'!$E$88:$E$91,$B$36)+INDEX('Вводные'!$F$88:$F$91,$B$36)+'Вводные'!$H$9),CO52,0)</x:f>
      </x:c>
      <x:c r="CP53" s="107" t="n">
        <x:f>IF(CP$3&lt;EDATE(INDEX('Вводные'!$D$88:$D$91,$B$36),INDEX('Вводные'!$E$88:$E$91,$B$36)+INDEX('Вводные'!$F$88:$F$91,$B$36)+'Вводные'!$H$9),CP52,0)</x:f>
      </x:c>
      <x:c r="CQ53" s="107" t="n">
        <x:f>IF(CQ$3&lt;EDATE(INDEX('Вводные'!$D$88:$D$91,$B$36),INDEX('Вводные'!$E$88:$E$91,$B$36)+INDEX('Вводные'!$F$88:$F$91,$B$36)+'Вводные'!$H$9),CQ52,0)</x:f>
      </x:c>
      <x:c r="CR53" s="107" t="n">
        <x:f>IF(CR$3&lt;EDATE(INDEX('Вводные'!$D$88:$D$91,$B$36),INDEX('Вводные'!$E$88:$E$91,$B$36)+INDEX('Вводные'!$F$88:$F$91,$B$36)+'Вводные'!$H$9),CR52,0)</x:f>
      </x:c>
      <x:c r="CS53" s="107" t="n">
        <x:f>IF(CS$3&lt;EDATE(INDEX('Вводные'!$D$88:$D$91,$B$36),INDEX('Вводные'!$E$88:$E$91,$B$36)+INDEX('Вводные'!$F$88:$F$91,$B$36)+'Вводные'!$H$9),CS52,0)</x:f>
      </x:c>
      <x:c r="CT53" s="107" t="n">
        <x:f>IF(CT$3&lt;EDATE(INDEX('Вводные'!$D$88:$D$91,$B$36),INDEX('Вводные'!$E$88:$E$91,$B$36)+INDEX('Вводные'!$F$88:$F$91,$B$36)+'Вводные'!$H$9),CT52,0)</x:f>
      </x:c>
      <x:c r="CU53" s="107" t="n">
        <x:f>IF(CU$3&lt;EDATE(INDEX('Вводные'!$D$88:$D$91,$B$36),INDEX('Вводные'!$E$88:$E$91,$B$36)+INDEX('Вводные'!$F$88:$F$91,$B$36)+'Вводные'!$H$9),CU52,0)</x:f>
      </x:c>
      <x:c r="CV53" s="107" t="n">
        <x:f>IF(CV$3&lt;EDATE(INDEX('Вводные'!$D$88:$D$91,$B$36),INDEX('Вводные'!$E$88:$E$91,$B$36)+INDEX('Вводные'!$F$88:$F$91,$B$36)+'Вводные'!$H$9),CV52,0)</x:f>
      </x:c>
      <x:c r="CW53" s="107" t="n">
        <x:f>IF(CW$3&lt;EDATE(INDEX('Вводные'!$D$88:$D$91,$B$36),INDEX('Вводные'!$E$88:$E$91,$B$36)+INDEX('Вводные'!$F$88:$F$91,$B$36)+'Вводные'!$H$9),CW52,0)</x:f>
      </x:c>
      <x:c r="CX53" s="107" t="n">
        <x:f>IF(CX$3&lt;EDATE(INDEX('Вводные'!$D$88:$D$91,$B$36),INDEX('Вводные'!$E$88:$E$91,$B$36)+INDEX('Вводные'!$F$88:$F$91,$B$36)+'Вводные'!$H$9),CX52,0)</x:f>
      </x:c>
      <x:c r="CY53" s="107" t="n">
        <x:f>IF(CY$3&lt;EDATE(INDEX('Вводные'!$D$88:$D$91,$B$36),INDEX('Вводные'!$E$88:$E$91,$B$36)+INDEX('Вводные'!$F$88:$F$91,$B$36)+'Вводные'!$H$9),CY52,0)</x:f>
      </x:c>
      <x:c r="CZ53" s="107" t="n">
        <x:f>IF(CZ$3&lt;EDATE(INDEX('Вводные'!$D$88:$D$91,$B$36),INDEX('Вводные'!$E$88:$E$91,$B$36)+INDEX('Вводные'!$F$88:$F$91,$B$36)+'Вводные'!$H$9),CZ52,0)</x:f>
      </x:c>
      <x:c r="DA53" s="107" t="n">
        <x:f>IF(DA$3&lt;EDATE(INDEX('Вводные'!$D$88:$D$91,$B$36),INDEX('Вводные'!$E$88:$E$91,$B$36)+INDEX('Вводные'!$F$88:$F$91,$B$36)+'Вводные'!$H$9),DA52,0)</x:f>
      </x:c>
      <x:c r="DB53" s="107" t="n">
        <x:f>IF(DB$3&lt;EDATE(INDEX('Вводные'!$D$88:$D$91,$B$36),INDEX('Вводные'!$E$88:$E$91,$B$36)+INDEX('Вводные'!$F$88:$F$91,$B$36)+'Вводные'!$H$9),DB52,0)</x:f>
      </x:c>
      <x:c r="DC53" s="107" t="n">
        <x:f>IF(DC$3&lt;EDATE(INDEX('Вводные'!$D$88:$D$91,$B$36),INDEX('Вводные'!$E$88:$E$91,$B$36)+INDEX('Вводные'!$F$88:$F$91,$B$36)+'Вводные'!$H$9),DC52,0)</x:f>
      </x:c>
      <x:c r="DD53" s="107" t="n">
        <x:f>IF(DD$3&lt;EDATE(INDEX('Вводные'!$D$88:$D$91,$B$36),INDEX('Вводные'!$E$88:$E$91,$B$36)+INDEX('Вводные'!$F$88:$F$91,$B$36)+'Вводные'!$H$9),DD52,0)</x:f>
      </x:c>
      <x:c r="DE53" s="107" t="n">
        <x:f>IF(DE$3&lt;EDATE(INDEX('Вводные'!$D$88:$D$91,$B$36),INDEX('Вводные'!$E$88:$E$91,$B$36)+INDEX('Вводные'!$F$88:$F$91,$B$36)+'Вводные'!$H$9),DE52,0)</x:f>
      </x:c>
      <x:c r="DF53" s="107" t="n">
        <x:f>IF(DF$3&lt;EDATE(INDEX('Вводные'!$D$88:$D$91,$B$36),INDEX('Вводные'!$E$88:$E$91,$B$36)+INDEX('Вводные'!$F$88:$F$91,$B$36)+'Вводные'!$H$9),DF52,0)</x:f>
      </x:c>
      <x:c r="DG53" s="107" t="n">
        <x:f>IF(DG$3&lt;EDATE(INDEX('Вводные'!$D$88:$D$91,$B$36),INDEX('Вводные'!$E$88:$E$91,$B$36)+INDEX('Вводные'!$F$88:$F$91,$B$36)+'Вводные'!$H$9),DG52,0)</x:f>
      </x:c>
      <x:c r="DH53" s="107" t="n">
        <x:f>IF(DH$3&lt;EDATE(INDEX('Вводные'!$D$88:$D$91,$B$36),INDEX('Вводные'!$E$88:$E$91,$B$36)+INDEX('Вводные'!$F$88:$F$91,$B$36)+'Вводные'!$H$9),DH52,0)</x:f>
      </x:c>
      <x:c r="DI53" s="107" t="n">
        <x:f>IF(DI$3&lt;EDATE(INDEX('Вводные'!$D$88:$D$91,$B$36),INDEX('Вводные'!$E$88:$E$91,$B$36)+INDEX('Вводные'!$F$88:$F$91,$B$36)+'Вводные'!$H$9),DI52,0)</x:f>
      </x:c>
      <x:c r="DJ53" s="107" t="n">
        <x:f>IF(DJ$3&lt;EDATE(INDEX('Вводные'!$D$88:$D$91,$B$36),INDEX('Вводные'!$E$88:$E$91,$B$36)+INDEX('Вводные'!$F$88:$F$91,$B$36)+'Вводные'!$H$9),DJ52,0)</x:f>
      </x:c>
      <x:c r="DK53" s="107" t="n">
        <x:f>IF(DK$3&lt;EDATE(INDEX('Вводные'!$D$88:$D$91,$B$36),INDEX('Вводные'!$E$88:$E$91,$B$36)+INDEX('Вводные'!$F$88:$F$91,$B$36)+'Вводные'!$H$9),DK52,0)</x:f>
      </x:c>
      <x:c r="DL53" s="107" t="n">
        <x:f>IF(DL$3&lt;EDATE(INDEX('Вводные'!$D$88:$D$91,$B$36),INDEX('Вводные'!$E$88:$E$91,$B$36)+INDEX('Вводные'!$F$88:$F$91,$B$36)+'Вводные'!$H$9),DL52,0)</x:f>
      </x:c>
      <x:c r="DM53" s="107" t="n">
        <x:f>IF(DM$3&lt;EDATE(INDEX('Вводные'!$D$88:$D$91,$B$36),INDEX('Вводные'!$E$88:$E$91,$B$36)+INDEX('Вводные'!$F$88:$F$91,$B$36)+'Вводные'!$H$9),DM52,0)</x:f>
      </x:c>
      <x:c r="DN53" s="107" t="n">
        <x:f>IF(DN$3&lt;EDATE(INDEX('Вводные'!$D$88:$D$91,$B$36),INDEX('Вводные'!$E$88:$E$91,$B$36)+INDEX('Вводные'!$F$88:$F$91,$B$36)+'Вводные'!$H$9),DN52,0)</x:f>
      </x:c>
      <x:c r="DO53" s="107" t="n">
        <x:f>IF(DO$3&lt;EDATE(INDEX('Вводные'!$D$88:$D$91,$B$36),INDEX('Вводные'!$E$88:$E$91,$B$36)+INDEX('Вводные'!$F$88:$F$91,$B$36)+'Вводные'!$H$9),DO52,0)</x:f>
      </x:c>
      <x:c r="DP53" s="107" t="n">
        <x:f>IF(DP$3&lt;EDATE(INDEX('Вводные'!$D$88:$D$91,$B$36),INDEX('Вводные'!$E$88:$E$91,$B$36)+INDEX('Вводные'!$F$88:$F$91,$B$36)+'Вводные'!$H$9),DP52,0)</x:f>
      </x:c>
      <x:c r="DQ53" s="107" t="n">
        <x:f>IF(DQ$3&lt;EDATE(INDEX('Вводные'!$D$88:$D$91,$B$36),INDEX('Вводные'!$E$88:$E$91,$B$36)+INDEX('Вводные'!$F$88:$F$91,$B$36)+'Вводные'!$H$9),DQ52,0)</x:f>
      </x:c>
      <x:c r="DR53" s="107" t="n">
        <x:f>IF(DR$3&lt;EDATE(INDEX('Вводные'!$D$88:$D$91,$B$36),INDEX('Вводные'!$E$88:$E$91,$B$36)+INDEX('Вводные'!$F$88:$F$91,$B$36)+'Вводные'!$H$9),DR52,0)</x:f>
      </x:c>
      <x:c r="DS53" s="107" t="n">
        <x:f>IF(DS$3&lt;EDATE(INDEX('Вводные'!$D$88:$D$91,$B$36),INDEX('Вводные'!$E$88:$E$91,$B$36)+INDEX('Вводные'!$F$88:$F$91,$B$36)+'Вводные'!$H$9),DS52,0)</x:f>
      </x:c>
      <x:c r="DT53" s="107" t="n">
        <x:f>IF(DT$3&lt;EDATE(INDEX('Вводные'!$D$88:$D$91,$B$36),INDEX('Вводные'!$E$88:$E$91,$B$36)+INDEX('Вводные'!$F$88:$F$91,$B$36)+'Вводные'!$H$9),DT52,0)</x:f>
      </x:c>
      <x:c r="DU53" s="107" t="n">
        <x:f>IF(DU$3&lt;EDATE(INDEX('Вводные'!$D$88:$D$91,$B$36),INDEX('Вводные'!$E$88:$E$91,$B$36)+INDEX('Вводные'!$F$88:$F$91,$B$36)+'Вводные'!$H$9),DU52,0)</x:f>
      </x:c>
      <x:c r="DV53" s="107" t="n">
        <x:f>IF(DV$3&lt;EDATE(INDEX('Вводные'!$D$88:$D$91,$B$36),INDEX('Вводные'!$E$88:$E$91,$B$36)+INDEX('Вводные'!$F$88:$F$91,$B$36)+'Вводные'!$H$9),DV52,0)</x:f>
      </x:c>
      <x:c r="DW53" s="107" t="n">
        <x:f>IF(DW$3&lt;EDATE(INDEX('Вводные'!$D$88:$D$91,$B$36),INDEX('Вводные'!$E$88:$E$91,$B$36)+INDEX('Вводные'!$F$88:$F$91,$B$36)+'Вводные'!$H$9),DW52,0)</x:f>
      </x:c>
      <x:c r="DX53" s="107" t="n">
        <x:f>IF(DX$3&lt;EDATE(INDEX('Вводные'!$D$88:$D$91,$B$36),INDEX('Вводные'!$E$88:$E$91,$B$36)+INDEX('Вводные'!$F$88:$F$91,$B$36)+'Вводные'!$H$9),DX52,0)</x:f>
      </x:c>
      <x:c r="DY53" s="107" t="n">
        <x:f>IF(DY$3&lt;EDATE(INDEX('Вводные'!$D$88:$D$91,$B$36),INDEX('Вводные'!$E$88:$E$91,$B$36)+INDEX('Вводные'!$F$88:$F$91,$B$36)+'Вводные'!$H$9),DY52,0)</x:f>
      </x:c>
      <x:c r="DZ53" s="107" t="n">
        <x:f>IF(DZ$3&lt;EDATE(INDEX('Вводные'!$D$88:$D$91,$B$36),INDEX('Вводные'!$E$88:$E$91,$B$36)+INDEX('Вводные'!$F$88:$F$91,$B$36)+'Вводные'!$H$9),DZ52,0)</x:f>
      </x:c>
      <x:c r="EA53" s="107" t="n">
        <x:f>IF(EA$3&lt;EDATE(INDEX('Вводные'!$D$88:$D$91,$B$36),INDEX('Вводные'!$E$88:$E$91,$B$36)+INDEX('Вводные'!$F$88:$F$91,$B$36)+'Вводные'!$H$9),EA52,0)</x:f>
      </x:c>
      <x:c r="EB53" s="107" t="n">
        <x:f>IF(EB$3&lt;EDATE(INDEX('Вводные'!$D$88:$D$91,$B$36),INDEX('Вводные'!$E$88:$E$91,$B$36)+INDEX('Вводные'!$F$88:$F$91,$B$36)+'Вводные'!$H$9),EB52,0)</x:f>
      </x:c>
      <x:c r="EC53" s="107" t="n">
        <x:f>IF(EC$3&lt;EDATE(INDEX('Вводные'!$D$88:$D$91,$B$36),INDEX('Вводные'!$E$88:$E$91,$B$36)+INDEX('Вводные'!$F$88:$F$91,$B$36)+'Вводные'!$H$9),EC52,0)</x:f>
      </x:c>
      <x:c r="ED53" s="107" t="n">
        <x:f>IF(ED$3&lt;EDATE(INDEX('Вводные'!$D$88:$D$91,$B$36),INDEX('Вводные'!$E$88:$E$91,$B$36)+INDEX('Вводные'!$F$88:$F$91,$B$36)+'Вводные'!$H$9),ED52,0)</x:f>
      </x:c>
      <x:c r="EE53" s="107" t="n">
        <x:f>IF(EE$3&lt;EDATE(INDEX('Вводные'!$D$88:$D$91,$B$36),INDEX('Вводные'!$E$88:$E$91,$B$36)+INDEX('Вводные'!$F$88:$F$91,$B$36)+'Вводные'!$H$9),EE52,0)</x:f>
      </x:c>
      <x:c r="EF53" s="107" t="n">
        <x:f>IF(EF$3&lt;EDATE(INDEX('Вводные'!$D$88:$D$91,$B$36),INDEX('Вводные'!$E$88:$E$91,$B$36)+INDEX('Вводные'!$F$88:$F$91,$B$36)+'Вводные'!$H$9),EF52,0)</x:f>
      </x:c>
      <x:c r="EG53" s="107" t="n">
        <x:f>IF(EG$3&lt;EDATE(INDEX('Вводные'!$D$88:$D$91,$B$36),INDEX('Вводные'!$E$88:$E$91,$B$36)+INDEX('Вводные'!$F$88:$F$91,$B$36)+'Вводные'!$H$9),EG52,0)</x:f>
      </x:c>
      <x:c r="EH53" s="107" t="n">
        <x:f>IF(EH$3&lt;EDATE(INDEX('Вводные'!$D$88:$D$91,$B$36),INDEX('Вводные'!$E$88:$E$91,$B$36)+INDEX('Вводные'!$F$88:$F$91,$B$36)+'Вводные'!$H$9),EH52,0)</x:f>
      </x:c>
      <x:c r="EI53" s="107" t="n">
        <x:f>IF(EI$3&lt;EDATE(INDEX('Вводные'!$D$88:$D$91,$B$36),INDEX('Вводные'!$E$88:$E$91,$B$36)+INDEX('Вводные'!$F$88:$F$91,$B$36)+'Вводные'!$H$9),EI52,0)</x:f>
      </x:c>
      <x:c r="EJ53" s="107" t="n">
        <x:f>IF(EJ$3&lt;EDATE(INDEX('Вводные'!$D$88:$D$91,$B$36),INDEX('Вводные'!$E$88:$E$91,$B$36)+INDEX('Вводные'!$F$88:$F$91,$B$36)+'Вводные'!$H$9),EJ52,0)</x:f>
      </x:c>
      <x:c r="EK53" s="107" t="n">
        <x:f>IF(EK$3&lt;EDATE(INDEX('Вводные'!$D$88:$D$91,$B$36),INDEX('Вводные'!$E$88:$E$91,$B$36)+INDEX('Вводные'!$F$88:$F$91,$B$36)+'Вводные'!$H$9),EK52,0)</x:f>
      </x:c>
      <x:c r="EL53" s="107" t="n">
        <x:f>IF(EL$3&lt;EDATE(INDEX('Вводные'!$D$88:$D$91,$B$36),INDEX('Вводные'!$E$88:$E$91,$B$36)+INDEX('Вводные'!$F$88:$F$91,$B$36)+'Вводные'!$H$9),EL52,0)</x:f>
      </x:c>
      <x:c r="EM53" s="107" t="n">
        <x:f>IF(EM$3&lt;EDATE(INDEX('Вводные'!$D$88:$D$91,$B$36),INDEX('Вводные'!$E$88:$E$91,$B$36)+INDEX('Вводные'!$F$88:$F$91,$B$36)+'Вводные'!$H$9),EM52,0)</x:f>
      </x:c>
      <x:c r="EN53" s="107" t="n">
        <x:f>IF(EN$3&lt;EDATE(INDEX('Вводные'!$D$88:$D$91,$B$36),INDEX('Вводные'!$E$88:$E$91,$B$36)+INDEX('Вводные'!$F$88:$F$91,$B$36)+'Вводные'!$H$9),EN52,0)</x:f>
      </x:c>
      <x:c r="EO53" s="107" t="n">
        <x:f>IF(EO$3&lt;EDATE(INDEX('Вводные'!$D$88:$D$91,$B$36),INDEX('Вводные'!$E$88:$E$91,$B$36)+INDEX('Вводные'!$F$88:$F$91,$B$36)+'Вводные'!$H$9),EO52,0)</x:f>
      </x:c>
      <x:c r="EP53" s="107" t="n">
        <x:f>IF(EP$3&lt;EDATE(INDEX('Вводные'!$D$88:$D$91,$B$36),INDEX('Вводные'!$E$88:$E$91,$B$36)+INDEX('Вводные'!$F$88:$F$91,$B$36)+'Вводные'!$H$9),EP52,0)</x:f>
      </x:c>
      <x:c r="EQ53" s="107" t="n">
        <x:f>IF(EQ$3&lt;EDATE(INDEX('Вводные'!$D$88:$D$91,$B$36),INDEX('Вводные'!$E$88:$E$91,$B$36)+INDEX('Вводные'!$F$88:$F$91,$B$36)+'Вводные'!$H$9),EQ52,0)</x:f>
      </x:c>
      <x:c r="ER53" s="107" t="n">
        <x:f>IF(ER$3&lt;EDATE(INDEX('Вводные'!$D$88:$D$91,$B$36),INDEX('Вводные'!$E$88:$E$91,$B$36)+INDEX('Вводные'!$F$88:$F$91,$B$36)+'Вводные'!$H$9),ER52,0)</x:f>
      </x:c>
      <x:c r="ES53" s="107" t="n">
        <x:f>IF(ES$3&lt;EDATE(INDEX('Вводные'!$D$88:$D$91,$B$36),INDEX('Вводные'!$E$88:$E$91,$B$36)+INDEX('Вводные'!$F$88:$F$91,$B$36)+'Вводные'!$H$9),ES52,0)</x:f>
      </x:c>
      <x:c r="ET53" s="107" t="n">
        <x:f>IF(ET$3&lt;EDATE(INDEX('Вводные'!$D$88:$D$91,$B$36),INDEX('Вводные'!$E$88:$E$91,$B$36)+INDEX('Вводные'!$F$88:$F$91,$B$36)+'Вводные'!$H$9),ET52,0)</x:f>
      </x:c>
      <x:c r="EU53" s="107" t="n">
        <x:f>IF(EU$3&lt;EDATE(INDEX('Вводные'!$D$88:$D$91,$B$36),INDEX('Вводные'!$E$88:$E$91,$B$36)+INDEX('Вводные'!$F$88:$F$91,$B$36)+'Вводные'!$H$9),EU52,0)</x:f>
      </x:c>
      <x:c r="EV53" s="107" t="n">
        <x:f>IF(EV$3&lt;EDATE(INDEX('Вводные'!$D$88:$D$91,$B$36),INDEX('Вводные'!$E$88:$E$91,$B$36)+INDEX('Вводные'!$F$88:$F$91,$B$36)+'Вводные'!$H$9),EV52,0)</x:f>
      </x:c>
      <x:c r="EW53" s="107" t="n">
        <x:f>IF(EW$3&lt;EDATE(INDEX('Вводные'!$D$88:$D$91,$B$36),INDEX('Вводные'!$E$88:$E$91,$B$36)+INDEX('Вводные'!$F$88:$F$91,$B$36)+'Вводные'!$H$9),EW52,0)</x:f>
      </x:c>
      <x:c r="EX53" s="107" t="n">
        <x:f>IF(EX$3&lt;EDATE(INDEX('Вводные'!$D$88:$D$91,$B$36),INDEX('Вводные'!$E$88:$E$91,$B$36)+INDEX('Вводные'!$F$88:$F$91,$B$36)+'Вводные'!$H$9),EX52,0)</x:f>
      </x:c>
      <x:c r="EY53" s="107" t="n">
        <x:f>IF(EY$3&lt;EDATE(INDEX('Вводные'!$D$88:$D$91,$B$36),INDEX('Вводные'!$E$88:$E$91,$B$36)+INDEX('Вводные'!$F$88:$F$91,$B$36)+'Вводные'!$H$9),EY52,0)</x:f>
      </x:c>
      <x:c r="EZ53" s="107" t="n">
        <x:f>IF(EZ$3&lt;EDATE(INDEX('Вводные'!$D$88:$D$91,$B$36),INDEX('Вводные'!$E$88:$E$91,$B$36)+INDEX('Вводные'!$F$88:$F$91,$B$36)+'Вводные'!$H$9),EZ52,0)</x:f>
      </x:c>
      <x:c r="FA53" s="107" t="n">
        <x:f>IF(FA$3&lt;EDATE(INDEX('Вводные'!$D$88:$D$91,$B$36),INDEX('Вводные'!$E$88:$E$91,$B$36)+INDEX('Вводные'!$F$88:$F$91,$B$36)+'Вводные'!$H$9),FA52,0)</x:f>
      </x:c>
      <x:c r="FB53" s="107" t="n">
        <x:f>IF(FB$3&lt;EDATE(INDEX('Вводные'!$D$88:$D$91,$B$36),INDEX('Вводные'!$E$88:$E$91,$B$36)+INDEX('Вводные'!$F$88:$F$91,$B$36)+'Вводные'!$H$9),FB52,0)</x:f>
      </x:c>
      <x:c r="FC53" s="107" t="n">
        <x:f>IF(FC$3&lt;EDATE(INDEX('Вводные'!$D$88:$D$91,$B$36),INDEX('Вводные'!$E$88:$E$91,$B$36)+INDEX('Вводные'!$F$88:$F$91,$B$36)+'Вводные'!$H$9),FC52,0)</x:f>
      </x:c>
      <x:c r="FD53" s="107" t="n">
        <x:f>IF(FD$3&lt;EDATE(INDEX('Вводные'!$D$88:$D$91,$B$36),INDEX('Вводные'!$E$88:$E$91,$B$36)+INDEX('Вводные'!$F$88:$F$91,$B$36)+'Вводные'!$H$9),FD52,0)</x:f>
      </x:c>
      <x:c r="FE53" s="107" t="n">
        <x:f>IF(FE$3&lt;EDATE(INDEX('Вводные'!$D$88:$D$91,$B$36),INDEX('Вводные'!$E$88:$E$91,$B$36)+INDEX('Вводные'!$F$88:$F$91,$B$36)+'Вводные'!$H$9),FE52,0)</x:f>
      </x:c>
      <x:c r="FF53" s="107" t="n">
        <x:f>IF(FF$3&lt;EDATE(INDEX('Вводные'!$D$88:$D$91,$B$36),INDEX('Вводные'!$E$88:$E$91,$B$36)+INDEX('Вводные'!$F$88:$F$91,$B$36)+'Вводные'!$H$9),FF52,0)</x:f>
      </x:c>
      <x:c r="FG53" s="107" t="n">
        <x:f>IF(FG$3&lt;EDATE(INDEX('Вводные'!$D$88:$D$91,$B$36),INDEX('Вводные'!$E$88:$E$91,$B$36)+INDEX('Вводные'!$F$88:$F$91,$B$36)+'Вводные'!$H$9),FG52,0)</x:f>
      </x:c>
      <x:c r="FH53" s="107" t="n">
        <x:f>IF(FH$3&lt;EDATE(INDEX('Вводные'!$D$88:$D$91,$B$36),INDEX('Вводные'!$E$88:$E$91,$B$36)+INDEX('Вводные'!$F$88:$F$91,$B$36)+'Вводные'!$H$9),FH52,0)</x:f>
      </x:c>
      <x:c r="FI53" s="107" t="n">
        <x:f>IF(FI$3&lt;EDATE(INDEX('Вводные'!$D$88:$D$91,$B$36),INDEX('Вводные'!$E$88:$E$91,$B$36)+INDEX('Вводные'!$F$88:$F$91,$B$36)+'Вводные'!$H$9),FI52,0)</x:f>
      </x:c>
      <x:c r="FJ53" s="107" t="n">
        <x:f>IF(FJ$3&lt;EDATE(INDEX('Вводные'!$D$88:$D$91,$B$36),INDEX('Вводные'!$E$88:$E$91,$B$36)+INDEX('Вводные'!$F$88:$F$91,$B$36)+'Вводные'!$H$9),FJ52,0)</x:f>
      </x:c>
      <x:c r="FK53" s="107" t="n">
        <x:f>IF(FK$3&lt;EDATE(INDEX('Вводные'!$D$88:$D$91,$B$36),INDEX('Вводные'!$E$88:$E$91,$B$36)+INDEX('Вводные'!$F$88:$F$91,$B$36)+'Вводные'!$H$9),FK52,0)</x:f>
      </x:c>
      <x:c r="FL53" s="107" t="n">
        <x:f>IF(FL$3&lt;EDATE(INDEX('Вводные'!$D$88:$D$91,$B$36),INDEX('Вводные'!$E$88:$E$91,$B$36)+INDEX('Вводные'!$F$88:$F$91,$B$36)+'Вводные'!$H$9),FL52,0)</x:f>
      </x:c>
      <x:c r="FM53" s="107" t="n">
        <x:f>IF(FM$3&lt;EDATE(INDEX('Вводные'!$D$88:$D$91,$B$36),INDEX('Вводные'!$E$88:$E$91,$B$36)+INDEX('Вводные'!$F$88:$F$91,$B$36)+'Вводные'!$H$9),FM52,0)</x:f>
      </x:c>
      <x:c r="FN53" s="107" t="n">
        <x:f>IF(FN$3&lt;EDATE(INDEX('Вводные'!$D$88:$D$91,$B$36),INDEX('Вводные'!$E$88:$E$91,$B$36)+INDEX('Вводные'!$F$88:$F$91,$B$36)+'Вводные'!$H$9),FN52,0)</x:f>
      </x:c>
      <x:c r="FO53" s="107" t="n">
        <x:f>IF(FO$3&lt;EDATE(INDEX('Вводные'!$D$88:$D$91,$B$36),INDEX('Вводные'!$E$88:$E$91,$B$36)+INDEX('Вводные'!$F$88:$F$91,$B$36)+'Вводные'!$H$9),FO52,0)</x:f>
      </x:c>
      <x:c r="FP53" s="107" t="n">
        <x:f>IF(FP$3&lt;EDATE(INDEX('Вводные'!$D$88:$D$91,$B$36),INDEX('Вводные'!$E$88:$E$91,$B$36)+INDEX('Вводные'!$F$88:$F$91,$B$36)+'Вводные'!$H$9),FP52,0)</x:f>
      </x:c>
      <x:c r="FQ53" s="107" t="n">
        <x:f>IF(FQ$3&lt;EDATE(INDEX('Вводные'!$D$88:$D$91,$B$36),INDEX('Вводные'!$E$88:$E$91,$B$36)+INDEX('Вводные'!$F$88:$F$91,$B$36)+'Вводные'!$H$9),FQ52,0)</x:f>
      </x:c>
      <x:c r="FR53" s="107" t="n">
        <x:f>IF(FR$3&lt;EDATE(INDEX('Вводные'!$D$88:$D$91,$B$36),INDEX('Вводные'!$E$88:$E$91,$B$36)+INDEX('Вводные'!$F$88:$F$91,$B$36)+'Вводные'!$H$9),FR52,0)</x:f>
      </x:c>
      <x:c r="FS53" s="107" t="n">
        <x:f>IF(FS$3&lt;EDATE(INDEX('Вводные'!$D$88:$D$91,$B$36),INDEX('Вводные'!$E$88:$E$91,$B$36)+INDEX('Вводные'!$F$88:$F$91,$B$36)+'Вводные'!$H$9),FS52,0)</x:f>
      </x:c>
      <x:c r="FT53" s="107" t="n">
        <x:f>IF(FT$3&lt;EDATE(INDEX('Вводные'!$D$88:$D$91,$B$36),INDEX('Вводные'!$E$88:$E$91,$B$36)+INDEX('Вводные'!$F$88:$F$91,$B$36)+'Вводные'!$H$9),FT52,0)</x:f>
      </x:c>
      <x:c r="FU53" s="107" t="n">
        <x:f>IF(FU$3&lt;EDATE(INDEX('Вводные'!$D$88:$D$91,$B$36),INDEX('Вводные'!$E$88:$E$91,$B$36)+INDEX('Вводные'!$F$88:$F$91,$B$36)+'Вводные'!$H$9),FU52,0)</x:f>
      </x:c>
      <x:c r="FV53" s="107" t="n">
        <x:f>IF(FV$3&lt;EDATE(INDEX('Вводные'!$D$88:$D$91,$B$36),INDEX('Вводные'!$E$88:$E$91,$B$36)+INDEX('Вводные'!$F$88:$F$91,$B$36)+'Вводные'!$H$9),FV52,0)</x:f>
      </x:c>
      <x:c r="FW53" s="107" t="n">
        <x:f>IF(FW$3&lt;EDATE(INDEX('Вводные'!$D$88:$D$91,$B$36),INDEX('Вводные'!$E$88:$E$91,$B$36)+INDEX('Вводные'!$F$88:$F$91,$B$36)+'Вводные'!$H$9),FW52,0)</x:f>
      </x:c>
      <x:c r="FX53" s="107" t="n">
        <x:f>IF(FX$3&lt;EDATE(INDEX('Вводные'!$D$88:$D$91,$B$36),INDEX('Вводные'!$E$88:$E$91,$B$36)+INDEX('Вводные'!$F$88:$F$91,$B$36)+'Вводные'!$H$9),FX52,0)</x:f>
      </x:c>
      <x:c r="FY53" s="107" t="n">
        <x:f>IF(FY$3&lt;EDATE(INDEX('Вводные'!$D$88:$D$91,$B$36),INDEX('Вводные'!$E$88:$E$91,$B$36)+INDEX('Вводные'!$F$88:$F$91,$B$36)+'Вводные'!$H$9),FY52,0)</x:f>
      </x:c>
      <x:c r="FZ53" s="107" t="n">
        <x:f>IF(FZ$3&lt;EDATE(INDEX('Вводные'!$D$88:$D$91,$B$36),INDEX('Вводные'!$E$88:$E$91,$B$36)+INDEX('Вводные'!$F$88:$F$91,$B$36)+'Вводные'!$H$9),FZ52,0)</x:f>
      </x:c>
      <x:c r="GA53" s="107" t="n">
        <x:f>IF(GA$3&lt;EDATE(INDEX('Вводные'!$D$88:$D$91,$B$36),INDEX('Вводные'!$E$88:$E$91,$B$36)+INDEX('Вводные'!$F$88:$F$91,$B$36)+'Вводные'!$H$9),GA52,0)</x:f>
      </x:c>
    </x:row>
    <x:row r="54">
      <x:c r="A54" t="str">
        <x:v>Прямые поступления после РВЭ</x:v>
      </x:c>
      <x:c r="B54" s="107" t="n">
        <x:f>SUM(D54:GA54)</x:f>
      </x:c>
      <x:c r="C54" t="str">
        <x:v>млн ₽</x:v>
      </x:c>
      <x:c r="D54" s="107" t="n">
        <x:f>IF(D$3&gt;=EDATE(INDEX('Вводные'!$D$88:$D$91,$B$36),INDEX('Вводные'!$E$88:$E$91,$B$36)+INDEX('Вводные'!$F$88:$F$91,$B$36)+'Вводные'!$H$9),D52,0)</x:f>
      </x:c>
      <x:c r="E54" s="107" t="n">
        <x:f>IF(E$3&gt;=EDATE(INDEX('Вводные'!$D$88:$D$91,$B$36),INDEX('Вводные'!$E$88:$E$91,$B$36)+INDEX('Вводные'!$F$88:$F$91,$B$36)+'Вводные'!$H$9),E52,0)</x:f>
      </x:c>
      <x:c r="F54" s="107" t="n">
        <x:f>IF(F$3&gt;=EDATE(INDEX('Вводные'!$D$88:$D$91,$B$36),INDEX('Вводные'!$E$88:$E$91,$B$36)+INDEX('Вводные'!$F$88:$F$91,$B$36)+'Вводные'!$H$9),F52,0)</x:f>
      </x:c>
      <x:c r="G54" s="107" t="n">
        <x:f>IF(G$3&gt;=EDATE(INDEX('Вводные'!$D$88:$D$91,$B$36),INDEX('Вводные'!$E$88:$E$91,$B$36)+INDEX('Вводные'!$F$88:$F$91,$B$36)+'Вводные'!$H$9),G52,0)</x:f>
      </x:c>
      <x:c r="H54" s="107" t="n">
        <x:f>IF(H$3&gt;=EDATE(INDEX('Вводные'!$D$88:$D$91,$B$36),INDEX('Вводные'!$E$88:$E$91,$B$36)+INDEX('Вводные'!$F$88:$F$91,$B$36)+'Вводные'!$H$9),H52,0)</x:f>
      </x:c>
      <x:c r="I54" s="107" t="n">
        <x:f>IF(I$3&gt;=EDATE(INDEX('Вводные'!$D$88:$D$91,$B$36),INDEX('Вводные'!$E$88:$E$91,$B$36)+INDEX('Вводные'!$F$88:$F$91,$B$36)+'Вводные'!$H$9),I52,0)</x:f>
      </x:c>
      <x:c r="J54" s="107" t="n">
        <x:f>IF(J$3&gt;=EDATE(INDEX('Вводные'!$D$88:$D$91,$B$36),INDEX('Вводные'!$E$88:$E$91,$B$36)+INDEX('Вводные'!$F$88:$F$91,$B$36)+'Вводные'!$H$9),J52,0)</x:f>
      </x:c>
      <x:c r="K54" s="107" t="n">
        <x:f>IF(K$3&gt;=EDATE(INDEX('Вводные'!$D$88:$D$91,$B$36),INDEX('Вводные'!$E$88:$E$91,$B$36)+INDEX('Вводные'!$F$88:$F$91,$B$36)+'Вводные'!$H$9),K52,0)</x:f>
      </x:c>
      <x:c r="L54" s="107" t="n">
        <x:f>IF(L$3&gt;=EDATE(INDEX('Вводные'!$D$88:$D$91,$B$36),INDEX('Вводные'!$E$88:$E$91,$B$36)+INDEX('Вводные'!$F$88:$F$91,$B$36)+'Вводные'!$H$9),L52,0)</x:f>
      </x:c>
      <x:c r="M54" s="107" t="n">
        <x:f>IF(M$3&gt;=EDATE(INDEX('Вводные'!$D$88:$D$91,$B$36),INDEX('Вводные'!$E$88:$E$91,$B$36)+INDEX('Вводные'!$F$88:$F$91,$B$36)+'Вводные'!$H$9),M52,0)</x:f>
      </x:c>
      <x:c r="N54" s="107" t="n">
        <x:f>IF(N$3&gt;=EDATE(INDEX('Вводные'!$D$88:$D$91,$B$36),INDEX('Вводные'!$E$88:$E$91,$B$36)+INDEX('Вводные'!$F$88:$F$91,$B$36)+'Вводные'!$H$9),N52,0)</x:f>
      </x:c>
      <x:c r="O54" s="107" t="n">
        <x:f>IF(O$3&gt;=EDATE(INDEX('Вводные'!$D$88:$D$91,$B$36),INDEX('Вводные'!$E$88:$E$91,$B$36)+INDEX('Вводные'!$F$88:$F$91,$B$36)+'Вводные'!$H$9),O52,0)</x:f>
      </x:c>
      <x:c r="P54" s="107" t="n">
        <x:f>IF(P$3&gt;=EDATE(INDEX('Вводные'!$D$88:$D$91,$B$36),INDEX('Вводные'!$E$88:$E$91,$B$36)+INDEX('Вводные'!$F$88:$F$91,$B$36)+'Вводные'!$H$9),P52,0)</x:f>
      </x:c>
      <x:c r="Q54" s="107" t="n">
        <x:f>IF(Q$3&gt;=EDATE(INDEX('Вводные'!$D$88:$D$91,$B$36),INDEX('Вводные'!$E$88:$E$91,$B$36)+INDEX('Вводные'!$F$88:$F$91,$B$36)+'Вводные'!$H$9),Q52,0)</x:f>
      </x:c>
      <x:c r="R54" s="107" t="n">
        <x:f>IF(R$3&gt;=EDATE(INDEX('Вводные'!$D$88:$D$91,$B$36),INDEX('Вводные'!$E$88:$E$91,$B$36)+INDEX('Вводные'!$F$88:$F$91,$B$36)+'Вводные'!$H$9),R52,0)</x:f>
      </x:c>
      <x:c r="S54" s="107" t="n">
        <x:f>IF(S$3&gt;=EDATE(INDEX('Вводные'!$D$88:$D$91,$B$36),INDEX('Вводные'!$E$88:$E$91,$B$36)+INDEX('Вводные'!$F$88:$F$91,$B$36)+'Вводные'!$H$9),S52,0)</x:f>
      </x:c>
      <x:c r="T54" s="107" t="n">
        <x:f>IF(T$3&gt;=EDATE(INDEX('Вводные'!$D$88:$D$91,$B$36),INDEX('Вводные'!$E$88:$E$91,$B$36)+INDEX('Вводные'!$F$88:$F$91,$B$36)+'Вводные'!$H$9),T52,0)</x:f>
      </x:c>
      <x:c r="U54" s="107" t="n">
        <x:f>IF(U$3&gt;=EDATE(INDEX('Вводные'!$D$88:$D$91,$B$36),INDEX('Вводные'!$E$88:$E$91,$B$36)+INDEX('Вводные'!$F$88:$F$91,$B$36)+'Вводные'!$H$9),U52,0)</x:f>
      </x:c>
      <x:c r="V54" s="107" t="n">
        <x:f>IF(V$3&gt;=EDATE(INDEX('Вводные'!$D$88:$D$91,$B$36),INDEX('Вводные'!$E$88:$E$91,$B$36)+INDEX('Вводные'!$F$88:$F$91,$B$36)+'Вводные'!$H$9),V52,0)</x:f>
      </x:c>
      <x:c r="W54" s="107" t="n">
        <x:f>IF(W$3&gt;=EDATE(INDEX('Вводные'!$D$88:$D$91,$B$36),INDEX('Вводные'!$E$88:$E$91,$B$36)+INDEX('Вводные'!$F$88:$F$91,$B$36)+'Вводные'!$H$9),W52,0)</x:f>
      </x:c>
      <x:c r="X54" s="107" t="n">
        <x:f>IF(X$3&gt;=EDATE(INDEX('Вводные'!$D$88:$D$91,$B$36),INDEX('Вводные'!$E$88:$E$91,$B$36)+INDEX('Вводные'!$F$88:$F$91,$B$36)+'Вводные'!$H$9),X52,0)</x:f>
      </x:c>
      <x:c r="Y54" s="107" t="n">
        <x:f>IF(Y$3&gt;=EDATE(INDEX('Вводные'!$D$88:$D$91,$B$36),INDEX('Вводные'!$E$88:$E$91,$B$36)+INDEX('Вводные'!$F$88:$F$91,$B$36)+'Вводные'!$H$9),Y52,0)</x:f>
      </x:c>
      <x:c r="Z54" s="107" t="n">
        <x:f>IF(Z$3&gt;=EDATE(INDEX('Вводные'!$D$88:$D$91,$B$36),INDEX('Вводные'!$E$88:$E$91,$B$36)+INDEX('Вводные'!$F$88:$F$91,$B$36)+'Вводные'!$H$9),Z52,0)</x:f>
      </x:c>
      <x:c r="AA54" s="107" t="n">
        <x:f>IF(AA$3&gt;=EDATE(INDEX('Вводные'!$D$88:$D$91,$B$36),INDEX('Вводные'!$E$88:$E$91,$B$36)+INDEX('Вводные'!$F$88:$F$91,$B$36)+'Вводные'!$H$9),AA52,0)</x:f>
      </x:c>
      <x:c r="AB54" s="107" t="n">
        <x:f>IF(AB$3&gt;=EDATE(INDEX('Вводные'!$D$88:$D$91,$B$36),INDEX('Вводные'!$E$88:$E$91,$B$36)+INDEX('Вводные'!$F$88:$F$91,$B$36)+'Вводные'!$H$9),AB52,0)</x:f>
      </x:c>
      <x:c r="AC54" s="107" t="n">
        <x:f>IF(AC$3&gt;=EDATE(INDEX('Вводные'!$D$88:$D$91,$B$36),INDEX('Вводные'!$E$88:$E$91,$B$36)+INDEX('Вводные'!$F$88:$F$91,$B$36)+'Вводные'!$H$9),AC52,0)</x:f>
      </x:c>
      <x:c r="AD54" s="107" t="n">
        <x:f>IF(AD$3&gt;=EDATE(INDEX('Вводные'!$D$88:$D$91,$B$36),INDEX('Вводные'!$E$88:$E$91,$B$36)+INDEX('Вводные'!$F$88:$F$91,$B$36)+'Вводные'!$H$9),AD52,0)</x:f>
      </x:c>
      <x:c r="AE54" s="107" t="n">
        <x:f>IF(AE$3&gt;=EDATE(INDEX('Вводные'!$D$88:$D$91,$B$36),INDEX('Вводные'!$E$88:$E$91,$B$36)+INDEX('Вводные'!$F$88:$F$91,$B$36)+'Вводные'!$H$9),AE52,0)</x:f>
      </x:c>
      <x:c r="AF54" s="107" t="n">
        <x:f>IF(AF$3&gt;=EDATE(INDEX('Вводные'!$D$88:$D$91,$B$36),INDEX('Вводные'!$E$88:$E$91,$B$36)+INDEX('Вводные'!$F$88:$F$91,$B$36)+'Вводные'!$H$9),AF52,0)</x:f>
      </x:c>
      <x:c r="AG54" s="107" t="n">
        <x:f>IF(AG$3&gt;=EDATE(INDEX('Вводные'!$D$88:$D$91,$B$36),INDEX('Вводные'!$E$88:$E$91,$B$36)+INDEX('Вводные'!$F$88:$F$91,$B$36)+'Вводные'!$H$9),AG52,0)</x:f>
      </x:c>
      <x:c r="AH54" s="107" t="n">
        <x:f>IF(AH$3&gt;=EDATE(INDEX('Вводные'!$D$88:$D$91,$B$36),INDEX('Вводные'!$E$88:$E$91,$B$36)+INDEX('Вводные'!$F$88:$F$91,$B$36)+'Вводные'!$H$9),AH52,0)</x:f>
      </x:c>
      <x:c r="AI54" s="107" t="n">
        <x:f>IF(AI$3&gt;=EDATE(INDEX('Вводные'!$D$88:$D$91,$B$36),INDEX('Вводные'!$E$88:$E$91,$B$36)+INDEX('Вводные'!$F$88:$F$91,$B$36)+'Вводные'!$H$9),AI52,0)</x:f>
      </x:c>
      <x:c r="AJ54" s="107" t="n">
        <x:f>IF(AJ$3&gt;=EDATE(INDEX('Вводные'!$D$88:$D$91,$B$36),INDEX('Вводные'!$E$88:$E$91,$B$36)+INDEX('Вводные'!$F$88:$F$91,$B$36)+'Вводные'!$H$9),AJ52,0)</x:f>
      </x:c>
      <x:c r="AK54" s="107" t="n">
        <x:f>IF(AK$3&gt;=EDATE(INDEX('Вводные'!$D$88:$D$91,$B$36),INDEX('Вводные'!$E$88:$E$91,$B$36)+INDEX('Вводные'!$F$88:$F$91,$B$36)+'Вводные'!$H$9),AK52,0)</x:f>
      </x:c>
      <x:c r="AL54" s="107" t="n">
        <x:f>IF(AL$3&gt;=EDATE(INDEX('Вводные'!$D$88:$D$91,$B$36),INDEX('Вводные'!$E$88:$E$91,$B$36)+INDEX('Вводные'!$F$88:$F$91,$B$36)+'Вводные'!$H$9),AL52,0)</x:f>
      </x:c>
      <x:c r="AM54" s="107" t="n">
        <x:f>IF(AM$3&gt;=EDATE(INDEX('Вводные'!$D$88:$D$91,$B$36),INDEX('Вводные'!$E$88:$E$91,$B$36)+INDEX('Вводные'!$F$88:$F$91,$B$36)+'Вводные'!$H$9),AM52,0)</x:f>
      </x:c>
      <x:c r="AN54" s="107" t="n">
        <x:f>IF(AN$3&gt;=EDATE(INDEX('Вводные'!$D$88:$D$91,$B$36),INDEX('Вводные'!$E$88:$E$91,$B$36)+INDEX('Вводные'!$F$88:$F$91,$B$36)+'Вводные'!$H$9),AN52,0)</x:f>
      </x:c>
      <x:c r="AO54" s="107" t="n">
        <x:f>IF(AO$3&gt;=EDATE(INDEX('Вводные'!$D$88:$D$91,$B$36),INDEX('Вводные'!$E$88:$E$91,$B$36)+INDEX('Вводные'!$F$88:$F$91,$B$36)+'Вводные'!$H$9),AO52,0)</x:f>
      </x:c>
      <x:c r="AP54" s="107" t="n">
        <x:f>IF(AP$3&gt;=EDATE(INDEX('Вводные'!$D$88:$D$91,$B$36),INDEX('Вводные'!$E$88:$E$91,$B$36)+INDEX('Вводные'!$F$88:$F$91,$B$36)+'Вводные'!$H$9),AP52,0)</x:f>
      </x:c>
      <x:c r="AQ54" s="107" t="n">
        <x:f>IF(AQ$3&gt;=EDATE(INDEX('Вводные'!$D$88:$D$91,$B$36),INDEX('Вводные'!$E$88:$E$91,$B$36)+INDEX('Вводные'!$F$88:$F$91,$B$36)+'Вводные'!$H$9),AQ52,0)</x:f>
      </x:c>
      <x:c r="AR54" s="107" t="n">
        <x:f>IF(AR$3&gt;=EDATE(INDEX('Вводные'!$D$88:$D$91,$B$36),INDEX('Вводные'!$E$88:$E$91,$B$36)+INDEX('Вводные'!$F$88:$F$91,$B$36)+'Вводные'!$H$9),AR52,0)</x:f>
      </x:c>
      <x:c r="AS54" s="107" t="n">
        <x:f>IF(AS$3&gt;=EDATE(INDEX('Вводные'!$D$88:$D$91,$B$36),INDEX('Вводные'!$E$88:$E$91,$B$36)+INDEX('Вводные'!$F$88:$F$91,$B$36)+'Вводные'!$H$9),AS52,0)</x:f>
      </x:c>
      <x:c r="AT54" s="107" t="n">
        <x:f>IF(AT$3&gt;=EDATE(INDEX('Вводные'!$D$88:$D$91,$B$36),INDEX('Вводные'!$E$88:$E$91,$B$36)+INDEX('Вводные'!$F$88:$F$91,$B$36)+'Вводные'!$H$9),AT52,0)</x:f>
      </x:c>
      <x:c r="AU54" s="107" t="n">
        <x:f>IF(AU$3&gt;=EDATE(INDEX('Вводные'!$D$88:$D$91,$B$36),INDEX('Вводные'!$E$88:$E$91,$B$36)+INDEX('Вводные'!$F$88:$F$91,$B$36)+'Вводные'!$H$9),AU52,0)</x:f>
      </x:c>
      <x:c r="AV54" s="107" t="n">
        <x:f>IF(AV$3&gt;=EDATE(INDEX('Вводные'!$D$88:$D$91,$B$36),INDEX('Вводные'!$E$88:$E$91,$B$36)+INDEX('Вводные'!$F$88:$F$91,$B$36)+'Вводные'!$H$9),AV52,0)</x:f>
      </x:c>
      <x:c r="AW54" s="107" t="n">
        <x:f>IF(AW$3&gt;=EDATE(INDEX('Вводные'!$D$88:$D$91,$B$36),INDEX('Вводные'!$E$88:$E$91,$B$36)+INDEX('Вводные'!$F$88:$F$91,$B$36)+'Вводные'!$H$9),AW52,0)</x:f>
      </x:c>
      <x:c r="AX54" s="107" t="n">
        <x:f>IF(AX$3&gt;=EDATE(INDEX('Вводные'!$D$88:$D$91,$B$36),INDEX('Вводные'!$E$88:$E$91,$B$36)+INDEX('Вводные'!$F$88:$F$91,$B$36)+'Вводные'!$H$9),AX52,0)</x:f>
      </x:c>
      <x:c r="AY54" s="107" t="n">
        <x:f>IF(AY$3&gt;=EDATE(INDEX('Вводные'!$D$88:$D$91,$B$36),INDEX('Вводные'!$E$88:$E$91,$B$36)+INDEX('Вводные'!$F$88:$F$91,$B$36)+'Вводные'!$H$9),AY52,0)</x:f>
      </x:c>
      <x:c r="AZ54" s="107" t="n">
        <x:f>IF(AZ$3&gt;=EDATE(INDEX('Вводные'!$D$88:$D$91,$B$36),INDEX('Вводные'!$E$88:$E$91,$B$36)+INDEX('Вводные'!$F$88:$F$91,$B$36)+'Вводные'!$H$9),AZ52,0)</x:f>
      </x:c>
      <x:c r="BA54" s="107" t="n">
        <x:f>IF(BA$3&gt;=EDATE(INDEX('Вводные'!$D$88:$D$91,$B$36),INDEX('Вводные'!$E$88:$E$91,$B$36)+INDEX('Вводные'!$F$88:$F$91,$B$36)+'Вводные'!$H$9),BA52,0)</x:f>
      </x:c>
      <x:c r="BB54" s="107" t="n">
        <x:f>IF(BB$3&gt;=EDATE(INDEX('Вводные'!$D$88:$D$91,$B$36),INDEX('Вводные'!$E$88:$E$91,$B$36)+INDEX('Вводные'!$F$88:$F$91,$B$36)+'Вводные'!$H$9),BB52,0)</x:f>
      </x:c>
      <x:c r="BC54" s="107" t="n">
        <x:f>IF(BC$3&gt;=EDATE(INDEX('Вводные'!$D$88:$D$91,$B$36),INDEX('Вводные'!$E$88:$E$91,$B$36)+INDEX('Вводные'!$F$88:$F$91,$B$36)+'Вводные'!$H$9),BC52,0)</x:f>
      </x:c>
      <x:c r="BD54" s="107" t="n">
        <x:f>IF(BD$3&gt;=EDATE(INDEX('Вводные'!$D$88:$D$91,$B$36),INDEX('Вводные'!$E$88:$E$91,$B$36)+INDEX('Вводные'!$F$88:$F$91,$B$36)+'Вводные'!$H$9),BD52,0)</x:f>
      </x:c>
      <x:c r="BE54" s="107" t="n">
        <x:f>IF(BE$3&gt;=EDATE(INDEX('Вводные'!$D$88:$D$91,$B$36),INDEX('Вводные'!$E$88:$E$91,$B$36)+INDEX('Вводные'!$F$88:$F$91,$B$36)+'Вводные'!$H$9),BE52,0)</x:f>
      </x:c>
      <x:c r="BF54" s="107" t="n">
        <x:f>IF(BF$3&gt;=EDATE(INDEX('Вводные'!$D$88:$D$91,$B$36),INDEX('Вводные'!$E$88:$E$91,$B$36)+INDEX('Вводные'!$F$88:$F$91,$B$36)+'Вводные'!$H$9),BF52,0)</x:f>
      </x:c>
      <x:c r="BG54" s="107" t="n">
        <x:f>IF(BG$3&gt;=EDATE(INDEX('Вводные'!$D$88:$D$91,$B$36),INDEX('Вводные'!$E$88:$E$91,$B$36)+INDEX('Вводные'!$F$88:$F$91,$B$36)+'Вводные'!$H$9),BG52,0)</x:f>
      </x:c>
      <x:c r="BH54" s="107" t="n">
        <x:f>IF(BH$3&gt;=EDATE(INDEX('Вводные'!$D$88:$D$91,$B$36),INDEX('Вводные'!$E$88:$E$91,$B$36)+INDEX('Вводные'!$F$88:$F$91,$B$36)+'Вводные'!$H$9),BH52,0)</x:f>
      </x:c>
      <x:c r="BI54" s="107" t="n">
        <x:f>IF(BI$3&gt;=EDATE(INDEX('Вводные'!$D$88:$D$91,$B$36),INDEX('Вводные'!$E$88:$E$91,$B$36)+INDEX('Вводные'!$F$88:$F$91,$B$36)+'Вводные'!$H$9),BI52,0)</x:f>
      </x:c>
      <x:c r="BJ54" s="107" t="n">
        <x:f>IF(BJ$3&gt;=EDATE(INDEX('Вводные'!$D$88:$D$91,$B$36),INDEX('Вводные'!$E$88:$E$91,$B$36)+INDEX('Вводные'!$F$88:$F$91,$B$36)+'Вводные'!$H$9),BJ52,0)</x:f>
      </x:c>
      <x:c r="BK54" s="107" t="n">
        <x:f>IF(BK$3&gt;=EDATE(INDEX('Вводные'!$D$88:$D$91,$B$36),INDEX('Вводные'!$E$88:$E$91,$B$36)+INDEX('Вводные'!$F$88:$F$91,$B$36)+'Вводные'!$H$9),BK52,0)</x:f>
      </x:c>
      <x:c r="BL54" s="107" t="n">
        <x:f>IF(BL$3&gt;=EDATE(INDEX('Вводные'!$D$88:$D$91,$B$36),INDEX('Вводные'!$E$88:$E$91,$B$36)+INDEX('Вводные'!$F$88:$F$91,$B$36)+'Вводные'!$H$9),BL52,0)</x:f>
      </x:c>
      <x:c r="BM54" s="107" t="n">
        <x:f>IF(BM$3&gt;=EDATE(INDEX('Вводные'!$D$88:$D$91,$B$36),INDEX('Вводные'!$E$88:$E$91,$B$36)+INDEX('Вводные'!$F$88:$F$91,$B$36)+'Вводные'!$H$9),BM52,0)</x:f>
      </x:c>
      <x:c r="BN54" s="107" t="n">
        <x:f>IF(BN$3&gt;=EDATE(INDEX('Вводные'!$D$88:$D$91,$B$36),INDEX('Вводные'!$E$88:$E$91,$B$36)+INDEX('Вводные'!$F$88:$F$91,$B$36)+'Вводные'!$H$9),BN52,0)</x:f>
      </x:c>
      <x:c r="BO54" s="107" t="n">
        <x:f>IF(BO$3&gt;=EDATE(INDEX('Вводные'!$D$88:$D$91,$B$36),INDEX('Вводные'!$E$88:$E$91,$B$36)+INDEX('Вводные'!$F$88:$F$91,$B$36)+'Вводные'!$H$9),BO52,0)</x:f>
      </x:c>
      <x:c r="BP54" s="107" t="n">
        <x:f>IF(BP$3&gt;=EDATE(INDEX('Вводные'!$D$88:$D$91,$B$36),INDEX('Вводные'!$E$88:$E$91,$B$36)+INDEX('Вводные'!$F$88:$F$91,$B$36)+'Вводные'!$H$9),BP52,0)</x:f>
      </x:c>
      <x:c r="BQ54" s="107" t="n">
        <x:f>IF(BQ$3&gt;=EDATE(INDEX('Вводные'!$D$88:$D$91,$B$36),INDEX('Вводные'!$E$88:$E$91,$B$36)+INDEX('Вводные'!$F$88:$F$91,$B$36)+'Вводные'!$H$9),BQ52,0)</x:f>
      </x:c>
      <x:c r="BR54" s="107" t="n">
        <x:f>IF(BR$3&gt;=EDATE(INDEX('Вводные'!$D$88:$D$91,$B$36),INDEX('Вводные'!$E$88:$E$91,$B$36)+INDEX('Вводные'!$F$88:$F$91,$B$36)+'Вводные'!$H$9),BR52,0)</x:f>
      </x:c>
      <x:c r="BS54" s="107" t="n">
        <x:f>IF(BS$3&gt;=EDATE(INDEX('Вводные'!$D$88:$D$91,$B$36),INDEX('Вводные'!$E$88:$E$91,$B$36)+INDEX('Вводные'!$F$88:$F$91,$B$36)+'Вводные'!$H$9),BS52,0)</x:f>
      </x:c>
      <x:c r="BT54" s="107" t="n">
        <x:f>IF(BT$3&gt;=EDATE(INDEX('Вводные'!$D$88:$D$91,$B$36),INDEX('Вводные'!$E$88:$E$91,$B$36)+INDEX('Вводные'!$F$88:$F$91,$B$36)+'Вводные'!$H$9),BT52,0)</x:f>
      </x:c>
      <x:c r="BU54" s="107" t="n">
        <x:f>IF(BU$3&gt;=EDATE(INDEX('Вводные'!$D$88:$D$91,$B$36),INDEX('Вводные'!$E$88:$E$91,$B$36)+INDEX('Вводные'!$F$88:$F$91,$B$36)+'Вводные'!$H$9),BU52,0)</x:f>
      </x:c>
      <x:c r="BV54" s="107" t="n">
        <x:f>IF(BV$3&gt;=EDATE(INDEX('Вводные'!$D$88:$D$91,$B$36),INDEX('Вводные'!$E$88:$E$91,$B$36)+INDEX('Вводные'!$F$88:$F$91,$B$36)+'Вводные'!$H$9),BV52,0)</x:f>
      </x:c>
      <x:c r="BW54" s="107" t="n">
        <x:f>IF(BW$3&gt;=EDATE(INDEX('Вводные'!$D$88:$D$91,$B$36),INDEX('Вводные'!$E$88:$E$91,$B$36)+INDEX('Вводные'!$F$88:$F$91,$B$36)+'Вводные'!$H$9),BW52,0)</x:f>
      </x:c>
      <x:c r="BX54" s="107" t="n">
        <x:f>IF(BX$3&gt;=EDATE(INDEX('Вводные'!$D$88:$D$91,$B$36),INDEX('Вводные'!$E$88:$E$91,$B$36)+INDEX('Вводные'!$F$88:$F$91,$B$36)+'Вводные'!$H$9),BX52,0)</x:f>
      </x:c>
      <x:c r="BY54" s="107" t="n">
        <x:f>IF(BY$3&gt;=EDATE(INDEX('Вводные'!$D$88:$D$91,$B$36),INDEX('Вводные'!$E$88:$E$91,$B$36)+INDEX('Вводные'!$F$88:$F$91,$B$36)+'Вводные'!$H$9),BY52,0)</x:f>
      </x:c>
      <x:c r="BZ54" s="107" t="n">
        <x:f>IF(BZ$3&gt;=EDATE(INDEX('Вводные'!$D$88:$D$91,$B$36),INDEX('Вводные'!$E$88:$E$91,$B$36)+INDEX('Вводные'!$F$88:$F$91,$B$36)+'Вводные'!$H$9),BZ52,0)</x:f>
      </x:c>
      <x:c r="CA54" s="107" t="n">
        <x:f>IF(CA$3&gt;=EDATE(INDEX('Вводные'!$D$88:$D$91,$B$36),INDEX('Вводные'!$E$88:$E$91,$B$36)+INDEX('Вводные'!$F$88:$F$91,$B$36)+'Вводные'!$H$9),CA52,0)</x:f>
      </x:c>
      <x:c r="CB54" s="107" t="n">
        <x:f>IF(CB$3&gt;=EDATE(INDEX('Вводные'!$D$88:$D$91,$B$36),INDEX('Вводные'!$E$88:$E$91,$B$36)+INDEX('Вводные'!$F$88:$F$91,$B$36)+'Вводные'!$H$9),CB52,0)</x:f>
      </x:c>
      <x:c r="CC54" s="107" t="n">
        <x:f>IF(CC$3&gt;=EDATE(INDEX('Вводные'!$D$88:$D$91,$B$36),INDEX('Вводные'!$E$88:$E$91,$B$36)+INDEX('Вводные'!$F$88:$F$91,$B$36)+'Вводные'!$H$9),CC52,0)</x:f>
      </x:c>
      <x:c r="CD54" s="107" t="n">
        <x:f>IF(CD$3&gt;=EDATE(INDEX('Вводные'!$D$88:$D$91,$B$36),INDEX('Вводные'!$E$88:$E$91,$B$36)+INDEX('Вводные'!$F$88:$F$91,$B$36)+'Вводные'!$H$9),CD52,0)</x:f>
      </x:c>
      <x:c r="CE54" s="107" t="n">
        <x:f>IF(CE$3&gt;=EDATE(INDEX('Вводные'!$D$88:$D$91,$B$36),INDEX('Вводные'!$E$88:$E$91,$B$36)+INDEX('Вводные'!$F$88:$F$91,$B$36)+'Вводные'!$H$9),CE52,0)</x:f>
      </x:c>
      <x:c r="CF54" s="107" t="n">
        <x:f>IF(CF$3&gt;=EDATE(INDEX('Вводные'!$D$88:$D$91,$B$36),INDEX('Вводные'!$E$88:$E$91,$B$36)+INDEX('Вводные'!$F$88:$F$91,$B$36)+'Вводные'!$H$9),CF52,0)</x:f>
      </x:c>
      <x:c r="CG54" s="107" t="n">
        <x:f>IF(CG$3&gt;=EDATE(INDEX('Вводные'!$D$88:$D$91,$B$36),INDEX('Вводные'!$E$88:$E$91,$B$36)+INDEX('Вводные'!$F$88:$F$91,$B$36)+'Вводные'!$H$9),CG52,0)</x:f>
      </x:c>
      <x:c r="CH54" s="107" t="n">
        <x:f>IF(CH$3&gt;=EDATE(INDEX('Вводные'!$D$88:$D$91,$B$36),INDEX('Вводные'!$E$88:$E$91,$B$36)+INDEX('Вводные'!$F$88:$F$91,$B$36)+'Вводные'!$H$9),CH52,0)</x:f>
      </x:c>
      <x:c r="CI54" s="107" t="n">
        <x:f>IF(CI$3&gt;=EDATE(INDEX('Вводные'!$D$88:$D$91,$B$36),INDEX('Вводные'!$E$88:$E$91,$B$36)+INDEX('Вводные'!$F$88:$F$91,$B$36)+'Вводные'!$H$9),CI52,0)</x:f>
      </x:c>
      <x:c r="CJ54" s="107" t="n">
        <x:f>IF(CJ$3&gt;=EDATE(INDEX('Вводные'!$D$88:$D$91,$B$36),INDEX('Вводные'!$E$88:$E$91,$B$36)+INDEX('Вводные'!$F$88:$F$91,$B$36)+'Вводные'!$H$9),CJ52,0)</x:f>
      </x:c>
      <x:c r="CK54" s="107" t="n">
        <x:f>IF(CK$3&gt;=EDATE(INDEX('Вводные'!$D$88:$D$91,$B$36),INDEX('Вводные'!$E$88:$E$91,$B$36)+INDEX('Вводные'!$F$88:$F$91,$B$36)+'Вводные'!$H$9),CK52,0)</x:f>
      </x:c>
      <x:c r="CL54" s="107" t="n">
        <x:f>IF(CL$3&gt;=EDATE(INDEX('Вводные'!$D$88:$D$91,$B$36),INDEX('Вводные'!$E$88:$E$91,$B$36)+INDEX('Вводные'!$F$88:$F$91,$B$36)+'Вводные'!$H$9),CL52,0)</x:f>
      </x:c>
      <x:c r="CM54" s="107" t="n">
        <x:f>IF(CM$3&gt;=EDATE(INDEX('Вводные'!$D$88:$D$91,$B$36),INDEX('Вводные'!$E$88:$E$91,$B$36)+INDEX('Вводные'!$F$88:$F$91,$B$36)+'Вводные'!$H$9),CM52,0)</x:f>
      </x:c>
      <x:c r="CN54" s="107" t="n">
        <x:f>IF(CN$3&gt;=EDATE(INDEX('Вводные'!$D$88:$D$91,$B$36),INDEX('Вводные'!$E$88:$E$91,$B$36)+INDEX('Вводные'!$F$88:$F$91,$B$36)+'Вводные'!$H$9),CN52,0)</x:f>
      </x:c>
      <x:c r="CO54" s="107" t="n">
        <x:f>IF(CO$3&gt;=EDATE(INDEX('Вводные'!$D$88:$D$91,$B$36),INDEX('Вводные'!$E$88:$E$91,$B$36)+INDEX('Вводные'!$F$88:$F$91,$B$36)+'Вводные'!$H$9),CO52,0)</x:f>
      </x:c>
      <x:c r="CP54" s="107" t="n">
        <x:f>IF(CP$3&gt;=EDATE(INDEX('Вводные'!$D$88:$D$91,$B$36),INDEX('Вводные'!$E$88:$E$91,$B$36)+INDEX('Вводные'!$F$88:$F$91,$B$36)+'Вводные'!$H$9),CP52,0)</x:f>
      </x:c>
      <x:c r="CQ54" s="107" t="n">
        <x:f>IF(CQ$3&gt;=EDATE(INDEX('Вводные'!$D$88:$D$91,$B$36),INDEX('Вводные'!$E$88:$E$91,$B$36)+INDEX('Вводные'!$F$88:$F$91,$B$36)+'Вводные'!$H$9),CQ52,0)</x:f>
      </x:c>
      <x:c r="CR54" s="107" t="n">
        <x:f>IF(CR$3&gt;=EDATE(INDEX('Вводные'!$D$88:$D$91,$B$36),INDEX('Вводные'!$E$88:$E$91,$B$36)+INDEX('Вводные'!$F$88:$F$91,$B$36)+'Вводные'!$H$9),CR52,0)</x:f>
      </x:c>
      <x:c r="CS54" s="107" t="n">
        <x:f>IF(CS$3&gt;=EDATE(INDEX('Вводные'!$D$88:$D$91,$B$36),INDEX('Вводные'!$E$88:$E$91,$B$36)+INDEX('Вводные'!$F$88:$F$91,$B$36)+'Вводные'!$H$9),CS52,0)</x:f>
      </x:c>
      <x:c r="CT54" s="107" t="n">
        <x:f>IF(CT$3&gt;=EDATE(INDEX('Вводные'!$D$88:$D$91,$B$36),INDEX('Вводные'!$E$88:$E$91,$B$36)+INDEX('Вводные'!$F$88:$F$91,$B$36)+'Вводные'!$H$9),CT52,0)</x:f>
      </x:c>
      <x:c r="CU54" s="107" t="n">
        <x:f>IF(CU$3&gt;=EDATE(INDEX('Вводные'!$D$88:$D$91,$B$36),INDEX('Вводные'!$E$88:$E$91,$B$36)+INDEX('Вводные'!$F$88:$F$91,$B$36)+'Вводные'!$H$9),CU52,0)</x:f>
      </x:c>
      <x:c r="CV54" s="107" t="n">
        <x:f>IF(CV$3&gt;=EDATE(INDEX('Вводные'!$D$88:$D$91,$B$36),INDEX('Вводные'!$E$88:$E$91,$B$36)+INDEX('Вводные'!$F$88:$F$91,$B$36)+'Вводные'!$H$9),CV52,0)</x:f>
      </x:c>
      <x:c r="CW54" s="107" t="n">
        <x:f>IF(CW$3&gt;=EDATE(INDEX('Вводные'!$D$88:$D$91,$B$36),INDEX('Вводные'!$E$88:$E$91,$B$36)+INDEX('Вводные'!$F$88:$F$91,$B$36)+'Вводные'!$H$9),CW52,0)</x:f>
      </x:c>
      <x:c r="CX54" s="107" t="n">
        <x:f>IF(CX$3&gt;=EDATE(INDEX('Вводные'!$D$88:$D$91,$B$36),INDEX('Вводные'!$E$88:$E$91,$B$36)+INDEX('Вводные'!$F$88:$F$91,$B$36)+'Вводные'!$H$9),CX52,0)</x:f>
      </x:c>
      <x:c r="CY54" s="107" t="n">
        <x:f>IF(CY$3&gt;=EDATE(INDEX('Вводные'!$D$88:$D$91,$B$36),INDEX('Вводные'!$E$88:$E$91,$B$36)+INDEX('Вводные'!$F$88:$F$91,$B$36)+'Вводные'!$H$9),CY52,0)</x:f>
      </x:c>
      <x:c r="CZ54" s="107" t="n">
        <x:f>IF(CZ$3&gt;=EDATE(INDEX('Вводные'!$D$88:$D$91,$B$36),INDEX('Вводные'!$E$88:$E$91,$B$36)+INDEX('Вводные'!$F$88:$F$91,$B$36)+'Вводные'!$H$9),CZ52,0)</x:f>
      </x:c>
      <x:c r="DA54" s="107" t="n">
        <x:f>IF(DA$3&gt;=EDATE(INDEX('Вводные'!$D$88:$D$91,$B$36),INDEX('Вводные'!$E$88:$E$91,$B$36)+INDEX('Вводные'!$F$88:$F$91,$B$36)+'Вводные'!$H$9),DA52,0)</x:f>
      </x:c>
      <x:c r="DB54" s="107" t="n">
        <x:f>IF(DB$3&gt;=EDATE(INDEX('Вводные'!$D$88:$D$91,$B$36),INDEX('Вводные'!$E$88:$E$91,$B$36)+INDEX('Вводные'!$F$88:$F$91,$B$36)+'Вводные'!$H$9),DB52,0)</x:f>
      </x:c>
      <x:c r="DC54" s="107" t="n">
        <x:f>IF(DC$3&gt;=EDATE(INDEX('Вводные'!$D$88:$D$91,$B$36),INDEX('Вводные'!$E$88:$E$91,$B$36)+INDEX('Вводные'!$F$88:$F$91,$B$36)+'Вводные'!$H$9),DC52,0)</x:f>
      </x:c>
      <x:c r="DD54" s="107" t="n">
        <x:f>IF(DD$3&gt;=EDATE(INDEX('Вводные'!$D$88:$D$91,$B$36),INDEX('Вводные'!$E$88:$E$91,$B$36)+INDEX('Вводные'!$F$88:$F$91,$B$36)+'Вводные'!$H$9),DD52,0)</x:f>
      </x:c>
      <x:c r="DE54" s="107" t="n">
        <x:f>IF(DE$3&gt;=EDATE(INDEX('Вводные'!$D$88:$D$91,$B$36),INDEX('Вводные'!$E$88:$E$91,$B$36)+INDEX('Вводные'!$F$88:$F$91,$B$36)+'Вводные'!$H$9),DE52,0)</x:f>
      </x:c>
      <x:c r="DF54" s="107" t="n">
        <x:f>IF(DF$3&gt;=EDATE(INDEX('Вводные'!$D$88:$D$91,$B$36),INDEX('Вводные'!$E$88:$E$91,$B$36)+INDEX('Вводные'!$F$88:$F$91,$B$36)+'Вводные'!$H$9),DF52,0)</x:f>
      </x:c>
      <x:c r="DG54" s="107" t="n">
        <x:f>IF(DG$3&gt;=EDATE(INDEX('Вводные'!$D$88:$D$91,$B$36),INDEX('Вводные'!$E$88:$E$91,$B$36)+INDEX('Вводные'!$F$88:$F$91,$B$36)+'Вводные'!$H$9),DG52,0)</x:f>
      </x:c>
      <x:c r="DH54" s="107" t="n">
        <x:f>IF(DH$3&gt;=EDATE(INDEX('Вводные'!$D$88:$D$91,$B$36),INDEX('Вводные'!$E$88:$E$91,$B$36)+INDEX('Вводные'!$F$88:$F$91,$B$36)+'Вводные'!$H$9),DH52,0)</x:f>
      </x:c>
      <x:c r="DI54" s="107" t="n">
        <x:f>IF(DI$3&gt;=EDATE(INDEX('Вводные'!$D$88:$D$91,$B$36),INDEX('Вводные'!$E$88:$E$91,$B$36)+INDEX('Вводные'!$F$88:$F$91,$B$36)+'Вводные'!$H$9),DI52,0)</x:f>
      </x:c>
      <x:c r="DJ54" s="107" t="n">
        <x:f>IF(DJ$3&gt;=EDATE(INDEX('Вводные'!$D$88:$D$91,$B$36),INDEX('Вводные'!$E$88:$E$91,$B$36)+INDEX('Вводные'!$F$88:$F$91,$B$36)+'Вводные'!$H$9),DJ52,0)</x:f>
      </x:c>
      <x:c r="DK54" s="107" t="n">
        <x:f>IF(DK$3&gt;=EDATE(INDEX('Вводные'!$D$88:$D$91,$B$36),INDEX('Вводные'!$E$88:$E$91,$B$36)+INDEX('Вводные'!$F$88:$F$91,$B$36)+'Вводные'!$H$9),DK52,0)</x:f>
      </x:c>
      <x:c r="DL54" s="107" t="n">
        <x:f>IF(DL$3&gt;=EDATE(INDEX('Вводные'!$D$88:$D$91,$B$36),INDEX('Вводные'!$E$88:$E$91,$B$36)+INDEX('Вводные'!$F$88:$F$91,$B$36)+'Вводные'!$H$9),DL52,0)</x:f>
      </x:c>
      <x:c r="DM54" s="107" t="n">
        <x:f>IF(DM$3&gt;=EDATE(INDEX('Вводные'!$D$88:$D$91,$B$36),INDEX('Вводные'!$E$88:$E$91,$B$36)+INDEX('Вводные'!$F$88:$F$91,$B$36)+'Вводные'!$H$9),DM52,0)</x:f>
      </x:c>
      <x:c r="DN54" s="107" t="n">
        <x:f>IF(DN$3&gt;=EDATE(INDEX('Вводные'!$D$88:$D$91,$B$36),INDEX('Вводные'!$E$88:$E$91,$B$36)+INDEX('Вводные'!$F$88:$F$91,$B$36)+'Вводные'!$H$9),DN52,0)</x:f>
      </x:c>
      <x:c r="DO54" s="107" t="n">
        <x:f>IF(DO$3&gt;=EDATE(INDEX('Вводные'!$D$88:$D$91,$B$36),INDEX('Вводные'!$E$88:$E$91,$B$36)+INDEX('Вводные'!$F$88:$F$91,$B$36)+'Вводные'!$H$9),DO52,0)</x:f>
      </x:c>
      <x:c r="DP54" s="107" t="n">
        <x:f>IF(DP$3&gt;=EDATE(INDEX('Вводные'!$D$88:$D$91,$B$36),INDEX('Вводные'!$E$88:$E$91,$B$36)+INDEX('Вводные'!$F$88:$F$91,$B$36)+'Вводные'!$H$9),DP52,0)</x:f>
      </x:c>
      <x:c r="DQ54" s="107" t="n">
        <x:f>IF(DQ$3&gt;=EDATE(INDEX('Вводные'!$D$88:$D$91,$B$36),INDEX('Вводные'!$E$88:$E$91,$B$36)+INDEX('Вводные'!$F$88:$F$91,$B$36)+'Вводные'!$H$9),DQ52,0)</x:f>
      </x:c>
      <x:c r="DR54" s="107" t="n">
        <x:f>IF(DR$3&gt;=EDATE(INDEX('Вводные'!$D$88:$D$91,$B$36),INDEX('Вводные'!$E$88:$E$91,$B$36)+INDEX('Вводные'!$F$88:$F$91,$B$36)+'Вводные'!$H$9),DR52,0)</x:f>
      </x:c>
      <x:c r="DS54" s="107" t="n">
        <x:f>IF(DS$3&gt;=EDATE(INDEX('Вводные'!$D$88:$D$91,$B$36),INDEX('Вводные'!$E$88:$E$91,$B$36)+INDEX('Вводные'!$F$88:$F$91,$B$36)+'Вводные'!$H$9),DS52,0)</x:f>
      </x:c>
      <x:c r="DT54" s="107" t="n">
        <x:f>IF(DT$3&gt;=EDATE(INDEX('Вводные'!$D$88:$D$91,$B$36),INDEX('Вводные'!$E$88:$E$91,$B$36)+INDEX('Вводные'!$F$88:$F$91,$B$36)+'Вводные'!$H$9),DT52,0)</x:f>
      </x:c>
      <x:c r="DU54" s="107" t="n">
        <x:f>IF(DU$3&gt;=EDATE(INDEX('Вводные'!$D$88:$D$91,$B$36),INDEX('Вводные'!$E$88:$E$91,$B$36)+INDEX('Вводные'!$F$88:$F$91,$B$36)+'Вводные'!$H$9),DU52,0)</x:f>
      </x:c>
      <x:c r="DV54" s="107" t="n">
        <x:f>IF(DV$3&gt;=EDATE(INDEX('Вводные'!$D$88:$D$91,$B$36),INDEX('Вводные'!$E$88:$E$91,$B$36)+INDEX('Вводные'!$F$88:$F$91,$B$36)+'Вводные'!$H$9),DV52,0)</x:f>
      </x:c>
      <x:c r="DW54" s="107" t="n">
        <x:f>IF(DW$3&gt;=EDATE(INDEX('Вводные'!$D$88:$D$91,$B$36),INDEX('Вводные'!$E$88:$E$91,$B$36)+INDEX('Вводные'!$F$88:$F$91,$B$36)+'Вводные'!$H$9),DW52,0)</x:f>
      </x:c>
      <x:c r="DX54" s="107" t="n">
        <x:f>IF(DX$3&gt;=EDATE(INDEX('Вводные'!$D$88:$D$91,$B$36),INDEX('Вводные'!$E$88:$E$91,$B$36)+INDEX('Вводные'!$F$88:$F$91,$B$36)+'Вводные'!$H$9),DX52,0)</x:f>
      </x:c>
      <x:c r="DY54" s="107" t="n">
        <x:f>IF(DY$3&gt;=EDATE(INDEX('Вводные'!$D$88:$D$91,$B$36),INDEX('Вводные'!$E$88:$E$91,$B$36)+INDEX('Вводные'!$F$88:$F$91,$B$36)+'Вводные'!$H$9),DY52,0)</x:f>
      </x:c>
      <x:c r="DZ54" s="107" t="n">
        <x:f>IF(DZ$3&gt;=EDATE(INDEX('Вводные'!$D$88:$D$91,$B$36),INDEX('Вводные'!$E$88:$E$91,$B$36)+INDEX('Вводные'!$F$88:$F$91,$B$36)+'Вводные'!$H$9),DZ52,0)</x:f>
      </x:c>
      <x:c r="EA54" s="107" t="n">
        <x:f>IF(EA$3&gt;=EDATE(INDEX('Вводные'!$D$88:$D$91,$B$36),INDEX('Вводные'!$E$88:$E$91,$B$36)+INDEX('Вводные'!$F$88:$F$91,$B$36)+'Вводные'!$H$9),EA52,0)</x:f>
      </x:c>
      <x:c r="EB54" s="107" t="n">
        <x:f>IF(EB$3&gt;=EDATE(INDEX('Вводные'!$D$88:$D$91,$B$36),INDEX('Вводные'!$E$88:$E$91,$B$36)+INDEX('Вводные'!$F$88:$F$91,$B$36)+'Вводные'!$H$9),EB52,0)</x:f>
      </x:c>
      <x:c r="EC54" s="107" t="n">
        <x:f>IF(EC$3&gt;=EDATE(INDEX('Вводные'!$D$88:$D$91,$B$36),INDEX('Вводные'!$E$88:$E$91,$B$36)+INDEX('Вводные'!$F$88:$F$91,$B$36)+'Вводные'!$H$9),EC52,0)</x:f>
      </x:c>
      <x:c r="ED54" s="107" t="n">
        <x:f>IF(ED$3&gt;=EDATE(INDEX('Вводные'!$D$88:$D$91,$B$36),INDEX('Вводные'!$E$88:$E$91,$B$36)+INDEX('Вводные'!$F$88:$F$91,$B$36)+'Вводные'!$H$9),ED52,0)</x:f>
      </x:c>
      <x:c r="EE54" s="107" t="n">
        <x:f>IF(EE$3&gt;=EDATE(INDEX('Вводные'!$D$88:$D$91,$B$36),INDEX('Вводные'!$E$88:$E$91,$B$36)+INDEX('Вводные'!$F$88:$F$91,$B$36)+'Вводные'!$H$9),EE52,0)</x:f>
      </x:c>
      <x:c r="EF54" s="107" t="n">
        <x:f>IF(EF$3&gt;=EDATE(INDEX('Вводные'!$D$88:$D$91,$B$36),INDEX('Вводные'!$E$88:$E$91,$B$36)+INDEX('Вводные'!$F$88:$F$91,$B$36)+'Вводные'!$H$9),EF52,0)</x:f>
      </x:c>
      <x:c r="EG54" s="107" t="n">
        <x:f>IF(EG$3&gt;=EDATE(INDEX('Вводные'!$D$88:$D$91,$B$36),INDEX('Вводные'!$E$88:$E$91,$B$36)+INDEX('Вводные'!$F$88:$F$91,$B$36)+'Вводные'!$H$9),EG52,0)</x:f>
      </x:c>
      <x:c r="EH54" s="107" t="n">
        <x:f>IF(EH$3&gt;=EDATE(INDEX('Вводные'!$D$88:$D$91,$B$36),INDEX('Вводные'!$E$88:$E$91,$B$36)+INDEX('Вводные'!$F$88:$F$91,$B$36)+'Вводные'!$H$9),EH52,0)</x:f>
      </x:c>
      <x:c r="EI54" s="107" t="n">
        <x:f>IF(EI$3&gt;=EDATE(INDEX('Вводные'!$D$88:$D$91,$B$36),INDEX('Вводные'!$E$88:$E$91,$B$36)+INDEX('Вводные'!$F$88:$F$91,$B$36)+'Вводные'!$H$9),EI52,0)</x:f>
      </x:c>
      <x:c r="EJ54" s="107" t="n">
        <x:f>IF(EJ$3&gt;=EDATE(INDEX('Вводные'!$D$88:$D$91,$B$36),INDEX('Вводные'!$E$88:$E$91,$B$36)+INDEX('Вводные'!$F$88:$F$91,$B$36)+'Вводные'!$H$9),EJ52,0)</x:f>
      </x:c>
      <x:c r="EK54" s="107" t="n">
        <x:f>IF(EK$3&gt;=EDATE(INDEX('Вводные'!$D$88:$D$91,$B$36),INDEX('Вводные'!$E$88:$E$91,$B$36)+INDEX('Вводные'!$F$88:$F$91,$B$36)+'Вводные'!$H$9),EK52,0)</x:f>
      </x:c>
      <x:c r="EL54" s="107" t="n">
        <x:f>IF(EL$3&gt;=EDATE(INDEX('Вводные'!$D$88:$D$91,$B$36),INDEX('Вводные'!$E$88:$E$91,$B$36)+INDEX('Вводные'!$F$88:$F$91,$B$36)+'Вводные'!$H$9),EL52,0)</x:f>
      </x:c>
      <x:c r="EM54" s="107" t="n">
        <x:f>IF(EM$3&gt;=EDATE(INDEX('Вводные'!$D$88:$D$91,$B$36),INDEX('Вводные'!$E$88:$E$91,$B$36)+INDEX('Вводные'!$F$88:$F$91,$B$36)+'Вводные'!$H$9),EM52,0)</x:f>
      </x:c>
      <x:c r="EN54" s="107" t="n">
        <x:f>IF(EN$3&gt;=EDATE(INDEX('Вводные'!$D$88:$D$91,$B$36),INDEX('Вводные'!$E$88:$E$91,$B$36)+INDEX('Вводные'!$F$88:$F$91,$B$36)+'Вводные'!$H$9),EN52,0)</x:f>
      </x:c>
      <x:c r="EO54" s="107" t="n">
        <x:f>IF(EO$3&gt;=EDATE(INDEX('Вводные'!$D$88:$D$91,$B$36),INDEX('Вводные'!$E$88:$E$91,$B$36)+INDEX('Вводные'!$F$88:$F$91,$B$36)+'Вводные'!$H$9),EO52,0)</x:f>
      </x:c>
      <x:c r="EP54" s="107" t="n">
        <x:f>IF(EP$3&gt;=EDATE(INDEX('Вводные'!$D$88:$D$91,$B$36),INDEX('Вводные'!$E$88:$E$91,$B$36)+INDEX('Вводные'!$F$88:$F$91,$B$36)+'Вводные'!$H$9),EP52,0)</x:f>
      </x:c>
      <x:c r="EQ54" s="107" t="n">
        <x:f>IF(EQ$3&gt;=EDATE(INDEX('Вводные'!$D$88:$D$91,$B$36),INDEX('Вводные'!$E$88:$E$91,$B$36)+INDEX('Вводные'!$F$88:$F$91,$B$36)+'Вводные'!$H$9),EQ52,0)</x:f>
      </x:c>
      <x:c r="ER54" s="107" t="n">
        <x:f>IF(ER$3&gt;=EDATE(INDEX('Вводные'!$D$88:$D$91,$B$36),INDEX('Вводные'!$E$88:$E$91,$B$36)+INDEX('Вводные'!$F$88:$F$91,$B$36)+'Вводные'!$H$9),ER52,0)</x:f>
      </x:c>
      <x:c r="ES54" s="107" t="n">
        <x:f>IF(ES$3&gt;=EDATE(INDEX('Вводные'!$D$88:$D$91,$B$36),INDEX('Вводные'!$E$88:$E$91,$B$36)+INDEX('Вводные'!$F$88:$F$91,$B$36)+'Вводные'!$H$9),ES52,0)</x:f>
      </x:c>
      <x:c r="ET54" s="107" t="n">
        <x:f>IF(ET$3&gt;=EDATE(INDEX('Вводные'!$D$88:$D$91,$B$36),INDEX('Вводные'!$E$88:$E$91,$B$36)+INDEX('Вводные'!$F$88:$F$91,$B$36)+'Вводные'!$H$9),ET52,0)</x:f>
      </x:c>
      <x:c r="EU54" s="107" t="n">
        <x:f>IF(EU$3&gt;=EDATE(INDEX('Вводные'!$D$88:$D$91,$B$36),INDEX('Вводные'!$E$88:$E$91,$B$36)+INDEX('Вводные'!$F$88:$F$91,$B$36)+'Вводные'!$H$9),EU52,0)</x:f>
      </x:c>
      <x:c r="EV54" s="107" t="n">
        <x:f>IF(EV$3&gt;=EDATE(INDEX('Вводные'!$D$88:$D$91,$B$36),INDEX('Вводные'!$E$88:$E$91,$B$36)+INDEX('Вводные'!$F$88:$F$91,$B$36)+'Вводные'!$H$9),EV52,0)</x:f>
      </x:c>
      <x:c r="EW54" s="107" t="n">
        <x:f>IF(EW$3&gt;=EDATE(INDEX('Вводные'!$D$88:$D$91,$B$36),INDEX('Вводные'!$E$88:$E$91,$B$36)+INDEX('Вводные'!$F$88:$F$91,$B$36)+'Вводные'!$H$9),EW52,0)</x:f>
      </x:c>
      <x:c r="EX54" s="107" t="n">
        <x:f>IF(EX$3&gt;=EDATE(INDEX('Вводные'!$D$88:$D$91,$B$36),INDEX('Вводные'!$E$88:$E$91,$B$36)+INDEX('Вводные'!$F$88:$F$91,$B$36)+'Вводные'!$H$9),EX52,0)</x:f>
      </x:c>
      <x:c r="EY54" s="107" t="n">
        <x:f>IF(EY$3&gt;=EDATE(INDEX('Вводные'!$D$88:$D$91,$B$36),INDEX('Вводные'!$E$88:$E$91,$B$36)+INDEX('Вводные'!$F$88:$F$91,$B$36)+'Вводные'!$H$9),EY52,0)</x:f>
      </x:c>
      <x:c r="EZ54" s="107" t="n">
        <x:f>IF(EZ$3&gt;=EDATE(INDEX('Вводные'!$D$88:$D$91,$B$36),INDEX('Вводные'!$E$88:$E$91,$B$36)+INDEX('Вводные'!$F$88:$F$91,$B$36)+'Вводные'!$H$9),EZ52,0)</x:f>
      </x:c>
      <x:c r="FA54" s="107" t="n">
        <x:f>IF(FA$3&gt;=EDATE(INDEX('Вводные'!$D$88:$D$91,$B$36),INDEX('Вводные'!$E$88:$E$91,$B$36)+INDEX('Вводные'!$F$88:$F$91,$B$36)+'Вводные'!$H$9),FA52,0)</x:f>
      </x:c>
      <x:c r="FB54" s="107" t="n">
        <x:f>IF(FB$3&gt;=EDATE(INDEX('Вводные'!$D$88:$D$91,$B$36),INDEX('Вводные'!$E$88:$E$91,$B$36)+INDEX('Вводные'!$F$88:$F$91,$B$36)+'Вводные'!$H$9),FB52,0)</x:f>
      </x:c>
      <x:c r="FC54" s="107" t="n">
        <x:f>IF(FC$3&gt;=EDATE(INDEX('Вводные'!$D$88:$D$91,$B$36),INDEX('Вводные'!$E$88:$E$91,$B$36)+INDEX('Вводные'!$F$88:$F$91,$B$36)+'Вводные'!$H$9),FC52,0)</x:f>
      </x:c>
      <x:c r="FD54" s="107" t="n">
        <x:f>IF(FD$3&gt;=EDATE(INDEX('Вводные'!$D$88:$D$91,$B$36),INDEX('Вводные'!$E$88:$E$91,$B$36)+INDEX('Вводные'!$F$88:$F$91,$B$36)+'Вводные'!$H$9),FD52,0)</x:f>
      </x:c>
      <x:c r="FE54" s="107" t="n">
        <x:f>IF(FE$3&gt;=EDATE(INDEX('Вводные'!$D$88:$D$91,$B$36),INDEX('Вводные'!$E$88:$E$91,$B$36)+INDEX('Вводные'!$F$88:$F$91,$B$36)+'Вводные'!$H$9),FE52,0)</x:f>
      </x:c>
      <x:c r="FF54" s="107" t="n">
        <x:f>IF(FF$3&gt;=EDATE(INDEX('Вводные'!$D$88:$D$91,$B$36),INDEX('Вводные'!$E$88:$E$91,$B$36)+INDEX('Вводные'!$F$88:$F$91,$B$36)+'Вводные'!$H$9),FF52,0)</x:f>
      </x:c>
      <x:c r="FG54" s="107" t="n">
        <x:f>IF(FG$3&gt;=EDATE(INDEX('Вводные'!$D$88:$D$91,$B$36),INDEX('Вводные'!$E$88:$E$91,$B$36)+INDEX('Вводные'!$F$88:$F$91,$B$36)+'Вводные'!$H$9),FG52,0)</x:f>
      </x:c>
      <x:c r="FH54" s="107" t="n">
        <x:f>IF(FH$3&gt;=EDATE(INDEX('Вводные'!$D$88:$D$91,$B$36),INDEX('Вводные'!$E$88:$E$91,$B$36)+INDEX('Вводные'!$F$88:$F$91,$B$36)+'Вводные'!$H$9),FH52,0)</x:f>
      </x:c>
      <x:c r="FI54" s="107" t="n">
        <x:f>IF(FI$3&gt;=EDATE(INDEX('Вводные'!$D$88:$D$91,$B$36),INDEX('Вводные'!$E$88:$E$91,$B$36)+INDEX('Вводные'!$F$88:$F$91,$B$36)+'Вводные'!$H$9),FI52,0)</x:f>
      </x:c>
      <x:c r="FJ54" s="107" t="n">
        <x:f>IF(FJ$3&gt;=EDATE(INDEX('Вводные'!$D$88:$D$91,$B$36),INDEX('Вводные'!$E$88:$E$91,$B$36)+INDEX('Вводные'!$F$88:$F$91,$B$36)+'Вводные'!$H$9),FJ52,0)</x:f>
      </x:c>
      <x:c r="FK54" s="107" t="n">
        <x:f>IF(FK$3&gt;=EDATE(INDEX('Вводные'!$D$88:$D$91,$B$36),INDEX('Вводные'!$E$88:$E$91,$B$36)+INDEX('Вводные'!$F$88:$F$91,$B$36)+'Вводные'!$H$9),FK52,0)</x:f>
      </x:c>
      <x:c r="FL54" s="107" t="n">
        <x:f>IF(FL$3&gt;=EDATE(INDEX('Вводные'!$D$88:$D$91,$B$36),INDEX('Вводные'!$E$88:$E$91,$B$36)+INDEX('Вводные'!$F$88:$F$91,$B$36)+'Вводные'!$H$9),FL52,0)</x:f>
      </x:c>
      <x:c r="FM54" s="107" t="n">
        <x:f>IF(FM$3&gt;=EDATE(INDEX('Вводные'!$D$88:$D$91,$B$36),INDEX('Вводные'!$E$88:$E$91,$B$36)+INDEX('Вводные'!$F$88:$F$91,$B$36)+'Вводные'!$H$9),FM52,0)</x:f>
      </x:c>
      <x:c r="FN54" s="107" t="n">
        <x:f>IF(FN$3&gt;=EDATE(INDEX('Вводные'!$D$88:$D$91,$B$36),INDEX('Вводные'!$E$88:$E$91,$B$36)+INDEX('Вводные'!$F$88:$F$91,$B$36)+'Вводные'!$H$9),FN52,0)</x:f>
      </x:c>
      <x:c r="FO54" s="107" t="n">
        <x:f>IF(FO$3&gt;=EDATE(INDEX('Вводные'!$D$88:$D$91,$B$36),INDEX('Вводные'!$E$88:$E$91,$B$36)+INDEX('Вводные'!$F$88:$F$91,$B$36)+'Вводные'!$H$9),FO52,0)</x:f>
      </x:c>
      <x:c r="FP54" s="107" t="n">
        <x:f>IF(FP$3&gt;=EDATE(INDEX('Вводные'!$D$88:$D$91,$B$36),INDEX('Вводные'!$E$88:$E$91,$B$36)+INDEX('Вводные'!$F$88:$F$91,$B$36)+'Вводные'!$H$9),FP52,0)</x:f>
      </x:c>
      <x:c r="FQ54" s="107" t="n">
        <x:f>IF(FQ$3&gt;=EDATE(INDEX('Вводные'!$D$88:$D$91,$B$36),INDEX('Вводные'!$E$88:$E$91,$B$36)+INDEX('Вводные'!$F$88:$F$91,$B$36)+'Вводные'!$H$9),FQ52,0)</x:f>
      </x:c>
      <x:c r="FR54" s="107" t="n">
        <x:f>IF(FR$3&gt;=EDATE(INDEX('Вводные'!$D$88:$D$91,$B$36),INDEX('Вводные'!$E$88:$E$91,$B$36)+INDEX('Вводные'!$F$88:$F$91,$B$36)+'Вводные'!$H$9),FR52,0)</x:f>
      </x:c>
      <x:c r="FS54" s="107" t="n">
        <x:f>IF(FS$3&gt;=EDATE(INDEX('Вводные'!$D$88:$D$91,$B$36),INDEX('Вводные'!$E$88:$E$91,$B$36)+INDEX('Вводные'!$F$88:$F$91,$B$36)+'Вводные'!$H$9),FS52,0)</x:f>
      </x:c>
      <x:c r="FT54" s="107" t="n">
        <x:f>IF(FT$3&gt;=EDATE(INDEX('Вводные'!$D$88:$D$91,$B$36),INDEX('Вводные'!$E$88:$E$91,$B$36)+INDEX('Вводные'!$F$88:$F$91,$B$36)+'Вводные'!$H$9),FT52,0)</x:f>
      </x:c>
      <x:c r="FU54" s="107" t="n">
        <x:f>IF(FU$3&gt;=EDATE(INDEX('Вводные'!$D$88:$D$91,$B$36),INDEX('Вводные'!$E$88:$E$91,$B$36)+INDEX('Вводные'!$F$88:$F$91,$B$36)+'Вводные'!$H$9),FU52,0)</x:f>
      </x:c>
      <x:c r="FV54" s="107" t="n">
        <x:f>IF(FV$3&gt;=EDATE(INDEX('Вводные'!$D$88:$D$91,$B$36),INDEX('Вводные'!$E$88:$E$91,$B$36)+INDEX('Вводные'!$F$88:$F$91,$B$36)+'Вводные'!$H$9),FV52,0)</x:f>
      </x:c>
      <x:c r="FW54" s="107" t="n">
        <x:f>IF(FW$3&gt;=EDATE(INDEX('Вводные'!$D$88:$D$91,$B$36),INDEX('Вводные'!$E$88:$E$91,$B$36)+INDEX('Вводные'!$F$88:$F$91,$B$36)+'Вводные'!$H$9),FW52,0)</x:f>
      </x:c>
      <x:c r="FX54" s="107" t="n">
        <x:f>IF(FX$3&gt;=EDATE(INDEX('Вводные'!$D$88:$D$91,$B$36),INDEX('Вводные'!$E$88:$E$91,$B$36)+INDEX('Вводные'!$F$88:$F$91,$B$36)+'Вводные'!$H$9),FX52,0)</x:f>
      </x:c>
      <x:c r="FY54" s="107" t="n">
        <x:f>IF(FY$3&gt;=EDATE(INDEX('Вводные'!$D$88:$D$91,$B$36),INDEX('Вводные'!$E$88:$E$91,$B$36)+INDEX('Вводные'!$F$88:$F$91,$B$36)+'Вводные'!$H$9),FY52,0)</x:f>
      </x:c>
      <x:c r="FZ54" s="107" t="n">
        <x:f>IF(FZ$3&gt;=EDATE(INDEX('Вводные'!$D$88:$D$91,$B$36),INDEX('Вводные'!$E$88:$E$91,$B$36)+INDEX('Вводные'!$F$88:$F$91,$B$36)+'Вводные'!$H$9),FZ52,0)</x:f>
      </x:c>
      <x:c r="GA54" s="107" t="n">
        <x:f>IF(GA$3&gt;=EDATE(INDEX('Вводные'!$D$88:$D$91,$B$36),INDEX('Вводные'!$E$88:$E$91,$B$36)+INDEX('Вводные'!$F$88:$F$91,$B$36)+'Вводные'!$H$9),GA52,0)</x:f>
      </x:c>
    </x:row>
    <x:row r="55">
      <x:c r="A55" t="str">
        <x:v>Раскрытие эскроу</x:v>
      </x:c>
      <x:c r="B55" s="107" t="n">
        <x:f>SUM(D55:GA55)</x:f>
      </x:c>
      <x:c r="C55" t="str">
        <x:v>млн ₽</x:v>
      </x:c>
      <x:c r="D55" s="107" t="n">
        <x:f>IF(AND(YEAR(D$3)=YEAR(EDATE(INDEX('Вводные'!$D$88:$D$91,$B$36),INDEX('Вводные'!$E$88:$E$91,$B$36)+INDEX('Вводные'!$F$88:$F$91,$B$36)+'Вводные'!$H$9)),MONTH(D$3)=MONTH(EDATE(INDEX('Вводные'!$D$88:$D$91,$B$36),INDEX('Вводные'!$E$88:$E$91,$B$36)+INDEX('Вводные'!$F$88:$F$91,$B$36)+'Вводные'!$H$9)),AND($B$35="Да",IFERROR(INDEX('Вводные'!$B$88:$B$91,$B$36),"Нет")="Да")),MAX(0,SUM($D53:D53)-D53),0)</x:f>
      </x:c>
      <x:c r="E55" s="107" t="n">
        <x:f>IF(AND(YEAR(E$3)=YEAR(EDATE(INDEX('Вводные'!$D$88:$D$91,$B$36),INDEX('Вводные'!$E$88:$E$91,$B$36)+INDEX('Вводные'!$F$88:$F$91,$B$36)+'Вводные'!$H$9)),MONTH(E$3)=MONTH(EDATE(INDEX('Вводные'!$D$88:$D$91,$B$36),INDEX('Вводные'!$E$88:$E$91,$B$36)+INDEX('Вводные'!$F$88:$F$91,$B$36)+'Вводные'!$H$9)),AND($B$35="Да",IFERROR(INDEX('Вводные'!$B$88:$B$91,$B$36),"Нет")="Да")),MAX(0,SUM($D53:E53)-E53),0)</x:f>
      </x:c>
      <x:c r="F55" s="107" t="n">
        <x:f>IF(AND(YEAR(F$3)=YEAR(EDATE(INDEX('Вводные'!$D$88:$D$91,$B$36),INDEX('Вводные'!$E$88:$E$91,$B$36)+INDEX('Вводные'!$F$88:$F$91,$B$36)+'Вводные'!$H$9)),MONTH(F$3)=MONTH(EDATE(INDEX('Вводные'!$D$88:$D$91,$B$36),INDEX('Вводные'!$E$88:$E$91,$B$36)+INDEX('Вводные'!$F$88:$F$91,$B$36)+'Вводные'!$H$9)),AND($B$35="Да",IFERROR(INDEX('Вводные'!$B$88:$B$91,$B$36),"Нет")="Да")),MAX(0,SUM($D53:F53)-F53),0)</x:f>
      </x:c>
      <x:c r="G55" s="107" t="n">
        <x:f>IF(AND(YEAR(G$3)=YEAR(EDATE(INDEX('Вводные'!$D$88:$D$91,$B$36),INDEX('Вводные'!$E$88:$E$91,$B$36)+INDEX('Вводные'!$F$88:$F$91,$B$36)+'Вводные'!$H$9)),MONTH(G$3)=MONTH(EDATE(INDEX('Вводные'!$D$88:$D$91,$B$36),INDEX('Вводные'!$E$88:$E$91,$B$36)+INDEX('Вводные'!$F$88:$F$91,$B$36)+'Вводные'!$H$9)),AND($B$35="Да",IFERROR(INDEX('Вводные'!$B$88:$B$91,$B$36),"Нет")="Да")),MAX(0,SUM($D53:G53)-G53),0)</x:f>
      </x:c>
      <x:c r="H55" s="107" t="n">
        <x:f>IF(AND(YEAR(H$3)=YEAR(EDATE(INDEX('Вводные'!$D$88:$D$91,$B$36),INDEX('Вводные'!$E$88:$E$91,$B$36)+INDEX('Вводные'!$F$88:$F$91,$B$36)+'Вводные'!$H$9)),MONTH(H$3)=MONTH(EDATE(INDEX('Вводные'!$D$88:$D$91,$B$36),INDEX('Вводные'!$E$88:$E$91,$B$36)+INDEX('Вводные'!$F$88:$F$91,$B$36)+'Вводные'!$H$9)),AND($B$35="Да",IFERROR(INDEX('Вводные'!$B$88:$B$91,$B$36),"Нет")="Да")),MAX(0,SUM($D53:H53)-H53),0)</x:f>
      </x:c>
      <x:c r="I55" s="107" t="n">
        <x:f>IF(AND(YEAR(I$3)=YEAR(EDATE(INDEX('Вводные'!$D$88:$D$91,$B$36),INDEX('Вводные'!$E$88:$E$91,$B$36)+INDEX('Вводные'!$F$88:$F$91,$B$36)+'Вводные'!$H$9)),MONTH(I$3)=MONTH(EDATE(INDEX('Вводные'!$D$88:$D$91,$B$36),INDEX('Вводные'!$E$88:$E$91,$B$36)+INDEX('Вводные'!$F$88:$F$91,$B$36)+'Вводные'!$H$9)),AND($B$35="Да",IFERROR(INDEX('Вводные'!$B$88:$B$91,$B$36),"Нет")="Да")),MAX(0,SUM($D53:I53)-I53),0)</x:f>
      </x:c>
      <x:c r="J55" s="107" t="n">
        <x:f>IF(AND(YEAR(J$3)=YEAR(EDATE(INDEX('Вводные'!$D$88:$D$91,$B$36),INDEX('Вводные'!$E$88:$E$91,$B$36)+INDEX('Вводные'!$F$88:$F$91,$B$36)+'Вводные'!$H$9)),MONTH(J$3)=MONTH(EDATE(INDEX('Вводные'!$D$88:$D$91,$B$36),INDEX('Вводные'!$E$88:$E$91,$B$36)+INDEX('Вводные'!$F$88:$F$91,$B$36)+'Вводные'!$H$9)),AND($B$35="Да",IFERROR(INDEX('Вводные'!$B$88:$B$91,$B$36),"Нет")="Да")),MAX(0,SUM($D53:J53)-J53),0)</x:f>
      </x:c>
      <x:c r="K55" s="107" t="n">
        <x:f>IF(AND(YEAR(K$3)=YEAR(EDATE(INDEX('Вводные'!$D$88:$D$91,$B$36),INDEX('Вводные'!$E$88:$E$91,$B$36)+INDEX('Вводные'!$F$88:$F$91,$B$36)+'Вводные'!$H$9)),MONTH(K$3)=MONTH(EDATE(INDEX('Вводные'!$D$88:$D$91,$B$36),INDEX('Вводные'!$E$88:$E$91,$B$36)+INDEX('Вводные'!$F$88:$F$91,$B$36)+'Вводные'!$H$9)),AND($B$35="Да",IFERROR(INDEX('Вводные'!$B$88:$B$91,$B$36),"Нет")="Да")),MAX(0,SUM($D53:K53)-K53),0)</x:f>
      </x:c>
      <x:c r="L55" s="107" t="n">
        <x:f>IF(AND(YEAR(L$3)=YEAR(EDATE(INDEX('Вводные'!$D$88:$D$91,$B$36),INDEX('Вводные'!$E$88:$E$91,$B$36)+INDEX('Вводные'!$F$88:$F$91,$B$36)+'Вводные'!$H$9)),MONTH(L$3)=MONTH(EDATE(INDEX('Вводные'!$D$88:$D$91,$B$36),INDEX('Вводные'!$E$88:$E$91,$B$36)+INDEX('Вводные'!$F$88:$F$91,$B$36)+'Вводные'!$H$9)),AND($B$35="Да",IFERROR(INDEX('Вводные'!$B$88:$B$91,$B$36),"Нет")="Да")),MAX(0,SUM($D53:L53)-L53),0)</x:f>
      </x:c>
      <x:c r="M55" s="107" t="n">
        <x:f>IF(AND(YEAR(M$3)=YEAR(EDATE(INDEX('Вводные'!$D$88:$D$91,$B$36),INDEX('Вводные'!$E$88:$E$91,$B$36)+INDEX('Вводные'!$F$88:$F$91,$B$36)+'Вводные'!$H$9)),MONTH(M$3)=MONTH(EDATE(INDEX('Вводные'!$D$88:$D$91,$B$36),INDEX('Вводные'!$E$88:$E$91,$B$36)+INDEX('Вводные'!$F$88:$F$91,$B$36)+'Вводные'!$H$9)),AND($B$35="Да",IFERROR(INDEX('Вводные'!$B$88:$B$91,$B$36),"Нет")="Да")),MAX(0,SUM($D53:M53)-M53),0)</x:f>
      </x:c>
      <x:c r="N55" s="107" t="n">
        <x:f>IF(AND(YEAR(N$3)=YEAR(EDATE(INDEX('Вводные'!$D$88:$D$91,$B$36),INDEX('Вводные'!$E$88:$E$91,$B$36)+INDEX('Вводные'!$F$88:$F$91,$B$36)+'Вводные'!$H$9)),MONTH(N$3)=MONTH(EDATE(INDEX('Вводные'!$D$88:$D$91,$B$36),INDEX('Вводные'!$E$88:$E$91,$B$36)+INDEX('Вводные'!$F$88:$F$91,$B$36)+'Вводные'!$H$9)),AND($B$35="Да",IFERROR(INDEX('Вводные'!$B$88:$B$91,$B$36),"Нет")="Да")),MAX(0,SUM($D53:N53)-N53),0)</x:f>
      </x:c>
      <x:c r="O55" s="107" t="n">
        <x:f>IF(AND(YEAR(O$3)=YEAR(EDATE(INDEX('Вводные'!$D$88:$D$91,$B$36),INDEX('Вводные'!$E$88:$E$91,$B$36)+INDEX('Вводные'!$F$88:$F$91,$B$36)+'Вводные'!$H$9)),MONTH(O$3)=MONTH(EDATE(INDEX('Вводные'!$D$88:$D$91,$B$36),INDEX('Вводные'!$E$88:$E$91,$B$36)+INDEX('Вводные'!$F$88:$F$91,$B$36)+'Вводные'!$H$9)),AND($B$35="Да",IFERROR(INDEX('Вводные'!$B$88:$B$91,$B$36),"Нет")="Да")),MAX(0,SUM($D53:O53)-O53),0)</x:f>
      </x:c>
      <x:c r="P55" s="107" t="n">
        <x:f>IF(AND(YEAR(P$3)=YEAR(EDATE(INDEX('Вводные'!$D$88:$D$91,$B$36),INDEX('Вводные'!$E$88:$E$91,$B$36)+INDEX('Вводные'!$F$88:$F$91,$B$36)+'Вводные'!$H$9)),MONTH(P$3)=MONTH(EDATE(INDEX('Вводные'!$D$88:$D$91,$B$36),INDEX('Вводные'!$E$88:$E$91,$B$36)+INDEX('Вводные'!$F$88:$F$91,$B$36)+'Вводные'!$H$9)),AND($B$35="Да",IFERROR(INDEX('Вводные'!$B$88:$B$91,$B$36),"Нет")="Да")),MAX(0,SUM($D53:P53)-P53),0)</x:f>
      </x:c>
      <x:c r="Q55" s="107" t="n">
        <x:f>IF(AND(YEAR(Q$3)=YEAR(EDATE(INDEX('Вводные'!$D$88:$D$91,$B$36),INDEX('Вводные'!$E$88:$E$91,$B$36)+INDEX('Вводные'!$F$88:$F$91,$B$36)+'Вводные'!$H$9)),MONTH(Q$3)=MONTH(EDATE(INDEX('Вводные'!$D$88:$D$91,$B$36),INDEX('Вводные'!$E$88:$E$91,$B$36)+INDEX('Вводные'!$F$88:$F$91,$B$36)+'Вводные'!$H$9)),AND($B$35="Да",IFERROR(INDEX('Вводные'!$B$88:$B$91,$B$36),"Нет")="Да")),MAX(0,SUM($D53:Q53)-Q53),0)</x:f>
      </x:c>
      <x:c r="R55" s="107" t="n">
        <x:f>IF(AND(YEAR(R$3)=YEAR(EDATE(INDEX('Вводные'!$D$88:$D$91,$B$36),INDEX('Вводные'!$E$88:$E$91,$B$36)+INDEX('Вводные'!$F$88:$F$91,$B$36)+'Вводные'!$H$9)),MONTH(R$3)=MONTH(EDATE(INDEX('Вводные'!$D$88:$D$91,$B$36),INDEX('Вводные'!$E$88:$E$91,$B$36)+INDEX('Вводные'!$F$88:$F$91,$B$36)+'Вводные'!$H$9)),AND($B$35="Да",IFERROR(INDEX('Вводные'!$B$88:$B$91,$B$36),"Нет")="Да")),MAX(0,SUM($D53:R53)-R53),0)</x:f>
      </x:c>
      <x:c r="S55" s="107" t="n">
        <x:f>IF(AND(YEAR(S$3)=YEAR(EDATE(INDEX('Вводные'!$D$88:$D$91,$B$36),INDEX('Вводные'!$E$88:$E$91,$B$36)+INDEX('Вводные'!$F$88:$F$91,$B$36)+'Вводные'!$H$9)),MONTH(S$3)=MONTH(EDATE(INDEX('Вводные'!$D$88:$D$91,$B$36),INDEX('Вводные'!$E$88:$E$91,$B$36)+INDEX('Вводные'!$F$88:$F$91,$B$36)+'Вводные'!$H$9)),AND($B$35="Да",IFERROR(INDEX('Вводные'!$B$88:$B$91,$B$36),"Нет")="Да")),MAX(0,SUM($D53:S53)-S53),0)</x:f>
      </x:c>
      <x:c r="T55" s="107" t="n">
        <x:f>IF(AND(YEAR(T$3)=YEAR(EDATE(INDEX('Вводные'!$D$88:$D$91,$B$36),INDEX('Вводные'!$E$88:$E$91,$B$36)+INDEX('Вводные'!$F$88:$F$91,$B$36)+'Вводные'!$H$9)),MONTH(T$3)=MONTH(EDATE(INDEX('Вводные'!$D$88:$D$91,$B$36),INDEX('Вводные'!$E$88:$E$91,$B$36)+INDEX('Вводные'!$F$88:$F$91,$B$36)+'Вводные'!$H$9)),AND($B$35="Да",IFERROR(INDEX('Вводные'!$B$88:$B$91,$B$36),"Нет")="Да")),MAX(0,SUM($D53:T53)-T53),0)</x:f>
      </x:c>
      <x:c r="U55" s="107" t="n">
        <x:f>IF(AND(YEAR(U$3)=YEAR(EDATE(INDEX('Вводные'!$D$88:$D$91,$B$36),INDEX('Вводные'!$E$88:$E$91,$B$36)+INDEX('Вводные'!$F$88:$F$91,$B$36)+'Вводные'!$H$9)),MONTH(U$3)=MONTH(EDATE(INDEX('Вводные'!$D$88:$D$91,$B$36),INDEX('Вводные'!$E$88:$E$91,$B$36)+INDEX('Вводные'!$F$88:$F$91,$B$36)+'Вводные'!$H$9)),AND($B$35="Да",IFERROR(INDEX('Вводные'!$B$88:$B$91,$B$36),"Нет")="Да")),MAX(0,SUM($D53:U53)-U53),0)</x:f>
      </x:c>
      <x:c r="V55" s="107" t="n">
        <x:f>IF(AND(YEAR(V$3)=YEAR(EDATE(INDEX('Вводные'!$D$88:$D$91,$B$36),INDEX('Вводные'!$E$88:$E$91,$B$36)+INDEX('Вводные'!$F$88:$F$91,$B$36)+'Вводные'!$H$9)),MONTH(V$3)=MONTH(EDATE(INDEX('Вводные'!$D$88:$D$91,$B$36),INDEX('Вводные'!$E$88:$E$91,$B$36)+INDEX('Вводные'!$F$88:$F$91,$B$36)+'Вводные'!$H$9)),AND($B$35="Да",IFERROR(INDEX('Вводные'!$B$88:$B$91,$B$36),"Нет")="Да")),MAX(0,SUM($D53:V53)-V53),0)</x:f>
      </x:c>
      <x:c r="W55" s="107" t="n">
        <x:f>IF(AND(YEAR(W$3)=YEAR(EDATE(INDEX('Вводные'!$D$88:$D$91,$B$36),INDEX('Вводные'!$E$88:$E$91,$B$36)+INDEX('Вводные'!$F$88:$F$91,$B$36)+'Вводные'!$H$9)),MONTH(W$3)=MONTH(EDATE(INDEX('Вводные'!$D$88:$D$91,$B$36),INDEX('Вводные'!$E$88:$E$91,$B$36)+INDEX('Вводные'!$F$88:$F$91,$B$36)+'Вводные'!$H$9)),AND($B$35="Да",IFERROR(INDEX('Вводные'!$B$88:$B$91,$B$36),"Нет")="Да")),MAX(0,SUM($D53:W53)-W53),0)</x:f>
      </x:c>
      <x:c r="X55" s="107" t="n">
        <x:f>IF(AND(YEAR(X$3)=YEAR(EDATE(INDEX('Вводные'!$D$88:$D$91,$B$36),INDEX('Вводные'!$E$88:$E$91,$B$36)+INDEX('Вводные'!$F$88:$F$91,$B$36)+'Вводные'!$H$9)),MONTH(X$3)=MONTH(EDATE(INDEX('Вводные'!$D$88:$D$91,$B$36),INDEX('Вводные'!$E$88:$E$91,$B$36)+INDEX('Вводные'!$F$88:$F$91,$B$36)+'Вводные'!$H$9)),AND($B$35="Да",IFERROR(INDEX('Вводные'!$B$88:$B$91,$B$36),"Нет")="Да")),MAX(0,SUM($D53:X53)-X53),0)</x:f>
      </x:c>
      <x:c r="Y55" s="107" t="n">
        <x:f>IF(AND(YEAR(Y$3)=YEAR(EDATE(INDEX('Вводные'!$D$88:$D$91,$B$36),INDEX('Вводные'!$E$88:$E$91,$B$36)+INDEX('Вводные'!$F$88:$F$91,$B$36)+'Вводные'!$H$9)),MONTH(Y$3)=MONTH(EDATE(INDEX('Вводные'!$D$88:$D$91,$B$36),INDEX('Вводные'!$E$88:$E$91,$B$36)+INDEX('Вводные'!$F$88:$F$91,$B$36)+'Вводные'!$H$9)),AND($B$35="Да",IFERROR(INDEX('Вводные'!$B$88:$B$91,$B$36),"Нет")="Да")),MAX(0,SUM($D53:Y53)-Y53),0)</x:f>
      </x:c>
      <x:c r="Z55" s="107" t="n">
        <x:f>IF(AND(YEAR(Z$3)=YEAR(EDATE(INDEX('Вводные'!$D$88:$D$91,$B$36),INDEX('Вводные'!$E$88:$E$91,$B$36)+INDEX('Вводные'!$F$88:$F$91,$B$36)+'Вводные'!$H$9)),MONTH(Z$3)=MONTH(EDATE(INDEX('Вводные'!$D$88:$D$91,$B$36),INDEX('Вводные'!$E$88:$E$91,$B$36)+INDEX('Вводные'!$F$88:$F$91,$B$36)+'Вводные'!$H$9)),AND($B$35="Да",IFERROR(INDEX('Вводные'!$B$88:$B$91,$B$36),"Нет")="Да")),MAX(0,SUM($D53:Z53)-Z53),0)</x:f>
      </x:c>
      <x:c r="AA55" s="107" t="n">
        <x:f>IF(AND(YEAR(AA$3)=YEAR(EDATE(INDEX('Вводные'!$D$88:$D$91,$B$36),INDEX('Вводные'!$E$88:$E$91,$B$36)+INDEX('Вводные'!$F$88:$F$91,$B$36)+'Вводные'!$H$9)),MONTH(AA$3)=MONTH(EDATE(INDEX('Вводные'!$D$88:$D$91,$B$36),INDEX('Вводные'!$E$88:$E$91,$B$36)+INDEX('Вводные'!$F$88:$F$91,$B$36)+'Вводные'!$H$9)),AND($B$35="Да",IFERROR(INDEX('Вводные'!$B$88:$B$91,$B$36),"Нет")="Да")),MAX(0,SUM($D53:AA53)-AA53),0)</x:f>
      </x:c>
      <x:c r="AB55" s="107" t="n">
        <x:f>IF(AND(YEAR(AB$3)=YEAR(EDATE(INDEX('Вводные'!$D$88:$D$91,$B$36),INDEX('Вводные'!$E$88:$E$91,$B$36)+INDEX('Вводные'!$F$88:$F$91,$B$36)+'Вводные'!$H$9)),MONTH(AB$3)=MONTH(EDATE(INDEX('Вводные'!$D$88:$D$91,$B$36),INDEX('Вводные'!$E$88:$E$91,$B$36)+INDEX('Вводные'!$F$88:$F$91,$B$36)+'Вводные'!$H$9)),AND($B$35="Да",IFERROR(INDEX('Вводные'!$B$88:$B$91,$B$36),"Нет")="Да")),MAX(0,SUM($D53:AB53)-AB53),0)</x:f>
      </x:c>
      <x:c r="AC55" s="107" t="n">
        <x:f>IF(AND(YEAR(AC$3)=YEAR(EDATE(INDEX('Вводные'!$D$88:$D$91,$B$36),INDEX('Вводные'!$E$88:$E$91,$B$36)+INDEX('Вводные'!$F$88:$F$91,$B$36)+'Вводные'!$H$9)),MONTH(AC$3)=MONTH(EDATE(INDEX('Вводные'!$D$88:$D$91,$B$36),INDEX('Вводные'!$E$88:$E$91,$B$36)+INDEX('Вводные'!$F$88:$F$91,$B$36)+'Вводные'!$H$9)),AND($B$35="Да",IFERROR(INDEX('Вводные'!$B$88:$B$91,$B$36),"Нет")="Да")),MAX(0,SUM($D53:AC53)-AC53),0)</x:f>
      </x:c>
      <x:c r="AD55" s="107" t="n">
        <x:f>IF(AND(YEAR(AD$3)=YEAR(EDATE(INDEX('Вводные'!$D$88:$D$91,$B$36),INDEX('Вводные'!$E$88:$E$91,$B$36)+INDEX('Вводные'!$F$88:$F$91,$B$36)+'Вводные'!$H$9)),MONTH(AD$3)=MONTH(EDATE(INDEX('Вводные'!$D$88:$D$91,$B$36),INDEX('Вводные'!$E$88:$E$91,$B$36)+INDEX('Вводные'!$F$88:$F$91,$B$36)+'Вводные'!$H$9)),AND($B$35="Да",IFERROR(INDEX('Вводные'!$B$88:$B$91,$B$36),"Нет")="Да")),MAX(0,SUM($D53:AD53)-AD53),0)</x:f>
      </x:c>
      <x:c r="AE55" s="107" t="n">
        <x:f>IF(AND(YEAR(AE$3)=YEAR(EDATE(INDEX('Вводные'!$D$88:$D$91,$B$36),INDEX('Вводные'!$E$88:$E$91,$B$36)+INDEX('Вводные'!$F$88:$F$91,$B$36)+'Вводные'!$H$9)),MONTH(AE$3)=MONTH(EDATE(INDEX('Вводные'!$D$88:$D$91,$B$36),INDEX('Вводные'!$E$88:$E$91,$B$36)+INDEX('Вводные'!$F$88:$F$91,$B$36)+'Вводные'!$H$9)),AND($B$35="Да",IFERROR(INDEX('Вводные'!$B$88:$B$91,$B$36),"Нет")="Да")),MAX(0,SUM($D53:AE53)-AE53),0)</x:f>
      </x:c>
      <x:c r="AF55" s="107" t="n">
        <x:f>IF(AND(YEAR(AF$3)=YEAR(EDATE(INDEX('Вводные'!$D$88:$D$91,$B$36),INDEX('Вводные'!$E$88:$E$91,$B$36)+INDEX('Вводные'!$F$88:$F$91,$B$36)+'Вводные'!$H$9)),MONTH(AF$3)=MONTH(EDATE(INDEX('Вводные'!$D$88:$D$91,$B$36),INDEX('Вводные'!$E$88:$E$91,$B$36)+INDEX('Вводные'!$F$88:$F$91,$B$36)+'Вводные'!$H$9)),AND($B$35="Да",IFERROR(INDEX('Вводные'!$B$88:$B$91,$B$36),"Нет")="Да")),MAX(0,SUM($D53:AF53)-AF53),0)</x:f>
      </x:c>
      <x:c r="AG55" s="107" t="n">
        <x:f>IF(AND(YEAR(AG$3)=YEAR(EDATE(INDEX('Вводные'!$D$88:$D$91,$B$36),INDEX('Вводные'!$E$88:$E$91,$B$36)+INDEX('Вводные'!$F$88:$F$91,$B$36)+'Вводные'!$H$9)),MONTH(AG$3)=MONTH(EDATE(INDEX('Вводные'!$D$88:$D$91,$B$36),INDEX('Вводные'!$E$88:$E$91,$B$36)+INDEX('Вводные'!$F$88:$F$91,$B$36)+'Вводные'!$H$9)),AND($B$35="Да",IFERROR(INDEX('Вводные'!$B$88:$B$91,$B$36),"Нет")="Да")),MAX(0,SUM($D53:AG53)-AG53),0)</x:f>
      </x:c>
      <x:c r="AH55" s="107" t="n">
        <x:f>IF(AND(YEAR(AH$3)=YEAR(EDATE(INDEX('Вводные'!$D$88:$D$91,$B$36),INDEX('Вводные'!$E$88:$E$91,$B$36)+INDEX('Вводные'!$F$88:$F$91,$B$36)+'Вводные'!$H$9)),MONTH(AH$3)=MONTH(EDATE(INDEX('Вводные'!$D$88:$D$91,$B$36),INDEX('Вводные'!$E$88:$E$91,$B$36)+INDEX('Вводные'!$F$88:$F$91,$B$36)+'Вводные'!$H$9)),AND($B$35="Да",IFERROR(INDEX('Вводные'!$B$88:$B$91,$B$36),"Нет")="Да")),MAX(0,SUM($D53:AH53)-AH53),0)</x:f>
      </x:c>
      <x:c r="AI55" s="107" t="n">
        <x:f>IF(AND(YEAR(AI$3)=YEAR(EDATE(INDEX('Вводные'!$D$88:$D$91,$B$36),INDEX('Вводные'!$E$88:$E$91,$B$36)+INDEX('Вводные'!$F$88:$F$91,$B$36)+'Вводные'!$H$9)),MONTH(AI$3)=MONTH(EDATE(INDEX('Вводные'!$D$88:$D$91,$B$36),INDEX('Вводные'!$E$88:$E$91,$B$36)+INDEX('Вводные'!$F$88:$F$91,$B$36)+'Вводные'!$H$9)),AND($B$35="Да",IFERROR(INDEX('Вводные'!$B$88:$B$91,$B$36),"Нет")="Да")),MAX(0,SUM($D53:AI53)-AI53),0)</x:f>
      </x:c>
      <x:c r="AJ55" s="107" t="n">
        <x:f>IF(AND(YEAR(AJ$3)=YEAR(EDATE(INDEX('Вводные'!$D$88:$D$91,$B$36),INDEX('Вводные'!$E$88:$E$91,$B$36)+INDEX('Вводные'!$F$88:$F$91,$B$36)+'Вводные'!$H$9)),MONTH(AJ$3)=MONTH(EDATE(INDEX('Вводные'!$D$88:$D$91,$B$36),INDEX('Вводные'!$E$88:$E$91,$B$36)+INDEX('Вводные'!$F$88:$F$91,$B$36)+'Вводные'!$H$9)),AND($B$35="Да",IFERROR(INDEX('Вводные'!$B$88:$B$91,$B$36),"Нет")="Да")),MAX(0,SUM($D53:AJ53)-AJ53),0)</x:f>
      </x:c>
      <x:c r="AK55" s="107" t="n">
        <x:f>IF(AND(YEAR(AK$3)=YEAR(EDATE(INDEX('Вводные'!$D$88:$D$91,$B$36),INDEX('Вводные'!$E$88:$E$91,$B$36)+INDEX('Вводные'!$F$88:$F$91,$B$36)+'Вводные'!$H$9)),MONTH(AK$3)=MONTH(EDATE(INDEX('Вводные'!$D$88:$D$91,$B$36),INDEX('Вводные'!$E$88:$E$91,$B$36)+INDEX('Вводные'!$F$88:$F$91,$B$36)+'Вводные'!$H$9)),AND($B$35="Да",IFERROR(INDEX('Вводные'!$B$88:$B$91,$B$36),"Нет")="Да")),MAX(0,SUM($D53:AK53)-AK53),0)</x:f>
      </x:c>
      <x:c r="AL55" s="107" t="n">
        <x:f>IF(AND(YEAR(AL$3)=YEAR(EDATE(INDEX('Вводные'!$D$88:$D$91,$B$36),INDEX('Вводные'!$E$88:$E$91,$B$36)+INDEX('Вводные'!$F$88:$F$91,$B$36)+'Вводные'!$H$9)),MONTH(AL$3)=MONTH(EDATE(INDEX('Вводные'!$D$88:$D$91,$B$36),INDEX('Вводные'!$E$88:$E$91,$B$36)+INDEX('Вводные'!$F$88:$F$91,$B$36)+'Вводные'!$H$9)),AND($B$35="Да",IFERROR(INDEX('Вводные'!$B$88:$B$91,$B$36),"Нет")="Да")),MAX(0,SUM($D53:AL53)-AL53),0)</x:f>
      </x:c>
      <x:c r="AM55" s="107" t="n">
        <x:f>IF(AND(YEAR(AM$3)=YEAR(EDATE(INDEX('Вводные'!$D$88:$D$91,$B$36),INDEX('Вводные'!$E$88:$E$91,$B$36)+INDEX('Вводные'!$F$88:$F$91,$B$36)+'Вводные'!$H$9)),MONTH(AM$3)=MONTH(EDATE(INDEX('Вводные'!$D$88:$D$91,$B$36),INDEX('Вводные'!$E$88:$E$91,$B$36)+INDEX('Вводные'!$F$88:$F$91,$B$36)+'Вводные'!$H$9)),AND($B$35="Да",IFERROR(INDEX('Вводные'!$B$88:$B$91,$B$36),"Нет")="Да")),MAX(0,SUM($D53:AM53)-AM53),0)</x:f>
      </x:c>
      <x:c r="AN55" s="107" t="n">
        <x:f>IF(AND(YEAR(AN$3)=YEAR(EDATE(INDEX('Вводные'!$D$88:$D$91,$B$36),INDEX('Вводные'!$E$88:$E$91,$B$36)+INDEX('Вводные'!$F$88:$F$91,$B$36)+'Вводные'!$H$9)),MONTH(AN$3)=MONTH(EDATE(INDEX('Вводные'!$D$88:$D$91,$B$36),INDEX('Вводные'!$E$88:$E$91,$B$36)+INDEX('Вводные'!$F$88:$F$91,$B$36)+'Вводные'!$H$9)),AND($B$35="Да",IFERROR(INDEX('Вводные'!$B$88:$B$91,$B$36),"Нет")="Да")),MAX(0,SUM($D53:AN53)-AN53),0)</x:f>
      </x:c>
      <x:c r="AO55" s="107" t="n">
        <x:f>IF(AND(YEAR(AO$3)=YEAR(EDATE(INDEX('Вводные'!$D$88:$D$91,$B$36),INDEX('Вводные'!$E$88:$E$91,$B$36)+INDEX('Вводные'!$F$88:$F$91,$B$36)+'Вводные'!$H$9)),MONTH(AO$3)=MONTH(EDATE(INDEX('Вводные'!$D$88:$D$91,$B$36),INDEX('Вводные'!$E$88:$E$91,$B$36)+INDEX('Вводные'!$F$88:$F$91,$B$36)+'Вводные'!$H$9)),AND($B$35="Да",IFERROR(INDEX('Вводные'!$B$88:$B$91,$B$36),"Нет")="Да")),MAX(0,SUM($D53:AO53)-AO53),0)</x:f>
      </x:c>
      <x:c r="AP55" s="107" t="n">
        <x:f>IF(AND(YEAR(AP$3)=YEAR(EDATE(INDEX('Вводные'!$D$88:$D$91,$B$36),INDEX('Вводные'!$E$88:$E$91,$B$36)+INDEX('Вводные'!$F$88:$F$91,$B$36)+'Вводные'!$H$9)),MONTH(AP$3)=MONTH(EDATE(INDEX('Вводные'!$D$88:$D$91,$B$36),INDEX('Вводные'!$E$88:$E$91,$B$36)+INDEX('Вводные'!$F$88:$F$91,$B$36)+'Вводные'!$H$9)),AND($B$35="Да",IFERROR(INDEX('Вводные'!$B$88:$B$91,$B$36),"Нет")="Да")),MAX(0,SUM($D53:AP53)-AP53),0)</x:f>
      </x:c>
      <x:c r="AQ55" s="107" t="n">
        <x:f>IF(AND(YEAR(AQ$3)=YEAR(EDATE(INDEX('Вводные'!$D$88:$D$91,$B$36),INDEX('Вводные'!$E$88:$E$91,$B$36)+INDEX('Вводные'!$F$88:$F$91,$B$36)+'Вводные'!$H$9)),MONTH(AQ$3)=MONTH(EDATE(INDEX('Вводные'!$D$88:$D$91,$B$36),INDEX('Вводные'!$E$88:$E$91,$B$36)+INDEX('Вводные'!$F$88:$F$91,$B$36)+'Вводные'!$H$9)),AND($B$35="Да",IFERROR(INDEX('Вводные'!$B$88:$B$91,$B$36),"Нет")="Да")),MAX(0,SUM($D53:AQ53)-AQ53),0)</x:f>
      </x:c>
      <x:c r="AR55" s="107" t="n">
        <x:f>IF(AND(YEAR(AR$3)=YEAR(EDATE(INDEX('Вводные'!$D$88:$D$91,$B$36),INDEX('Вводные'!$E$88:$E$91,$B$36)+INDEX('Вводные'!$F$88:$F$91,$B$36)+'Вводные'!$H$9)),MONTH(AR$3)=MONTH(EDATE(INDEX('Вводные'!$D$88:$D$91,$B$36),INDEX('Вводные'!$E$88:$E$91,$B$36)+INDEX('Вводные'!$F$88:$F$91,$B$36)+'Вводные'!$H$9)),AND($B$35="Да",IFERROR(INDEX('Вводные'!$B$88:$B$91,$B$36),"Нет")="Да")),MAX(0,SUM($D53:AR53)-AR53),0)</x:f>
      </x:c>
      <x:c r="AS55" s="107" t="n">
        <x:f>IF(AND(YEAR(AS$3)=YEAR(EDATE(INDEX('Вводные'!$D$88:$D$91,$B$36),INDEX('Вводные'!$E$88:$E$91,$B$36)+INDEX('Вводные'!$F$88:$F$91,$B$36)+'Вводные'!$H$9)),MONTH(AS$3)=MONTH(EDATE(INDEX('Вводные'!$D$88:$D$91,$B$36),INDEX('Вводные'!$E$88:$E$91,$B$36)+INDEX('Вводные'!$F$88:$F$91,$B$36)+'Вводные'!$H$9)),AND($B$35="Да",IFERROR(INDEX('Вводные'!$B$88:$B$91,$B$36),"Нет")="Да")),MAX(0,SUM($D53:AS53)-AS53),0)</x:f>
      </x:c>
      <x:c r="AT55" s="107" t="n">
        <x:f>IF(AND(YEAR(AT$3)=YEAR(EDATE(INDEX('Вводные'!$D$88:$D$91,$B$36),INDEX('Вводные'!$E$88:$E$91,$B$36)+INDEX('Вводные'!$F$88:$F$91,$B$36)+'Вводные'!$H$9)),MONTH(AT$3)=MONTH(EDATE(INDEX('Вводные'!$D$88:$D$91,$B$36),INDEX('Вводные'!$E$88:$E$91,$B$36)+INDEX('Вводные'!$F$88:$F$91,$B$36)+'Вводные'!$H$9)),AND($B$35="Да",IFERROR(INDEX('Вводные'!$B$88:$B$91,$B$36),"Нет")="Да")),MAX(0,SUM($D53:AT53)-AT53),0)</x:f>
      </x:c>
      <x:c r="AU55" s="107" t="n">
        <x:f>IF(AND(YEAR(AU$3)=YEAR(EDATE(INDEX('Вводные'!$D$88:$D$91,$B$36),INDEX('Вводные'!$E$88:$E$91,$B$36)+INDEX('Вводные'!$F$88:$F$91,$B$36)+'Вводные'!$H$9)),MONTH(AU$3)=MONTH(EDATE(INDEX('Вводные'!$D$88:$D$91,$B$36),INDEX('Вводные'!$E$88:$E$91,$B$36)+INDEX('Вводные'!$F$88:$F$91,$B$36)+'Вводные'!$H$9)),AND($B$35="Да",IFERROR(INDEX('Вводные'!$B$88:$B$91,$B$36),"Нет")="Да")),MAX(0,SUM($D53:AU53)-AU53),0)</x:f>
      </x:c>
      <x:c r="AV55" s="107" t="n">
        <x:f>IF(AND(YEAR(AV$3)=YEAR(EDATE(INDEX('Вводные'!$D$88:$D$91,$B$36),INDEX('Вводные'!$E$88:$E$91,$B$36)+INDEX('Вводные'!$F$88:$F$91,$B$36)+'Вводные'!$H$9)),MONTH(AV$3)=MONTH(EDATE(INDEX('Вводные'!$D$88:$D$91,$B$36),INDEX('Вводные'!$E$88:$E$91,$B$36)+INDEX('Вводные'!$F$88:$F$91,$B$36)+'Вводные'!$H$9)),AND($B$35="Да",IFERROR(INDEX('Вводные'!$B$88:$B$91,$B$36),"Нет")="Да")),MAX(0,SUM($D53:AV53)-AV53),0)</x:f>
      </x:c>
      <x:c r="AW55" s="107" t="n">
        <x:f>IF(AND(YEAR(AW$3)=YEAR(EDATE(INDEX('Вводные'!$D$88:$D$91,$B$36),INDEX('Вводные'!$E$88:$E$91,$B$36)+INDEX('Вводные'!$F$88:$F$91,$B$36)+'Вводные'!$H$9)),MONTH(AW$3)=MONTH(EDATE(INDEX('Вводные'!$D$88:$D$91,$B$36),INDEX('Вводные'!$E$88:$E$91,$B$36)+INDEX('Вводные'!$F$88:$F$91,$B$36)+'Вводные'!$H$9)),AND($B$35="Да",IFERROR(INDEX('Вводные'!$B$88:$B$91,$B$36),"Нет")="Да")),MAX(0,SUM($D53:AW53)-AW53),0)</x:f>
      </x:c>
      <x:c r="AX55" s="107" t="n">
        <x:f>IF(AND(YEAR(AX$3)=YEAR(EDATE(INDEX('Вводные'!$D$88:$D$91,$B$36),INDEX('Вводные'!$E$88:$E$91,$B$36)+INDEX('Вводные'!$F$88:$F$91,$B$36)+'Вводные'!$H$9)),MONTH(AX$3)=MONTH(EDATE(INDEX('Вводные'!$D$88:$D$91,$B$36),INDEX('Вводные'!$E$88:$E$91,$B$36)+INDEX('Вводные'!$F$88:$F$91,$B$36)+'Вводные'!$H$9)),AND($B$35="Да",IFERROR(INDEX('Вводные'!$B$88:$B$91,$B$36),"Нет")="Да")),MAX(0,SUM($D53:AX53)-AX53),0)</x:f>
      </x:c>
      <x:c r="AY55" s="107" t="n">
        <x:f>IF(AND(YEAR(AY$3)=YEAR(EDATE(INDEX('Вводные'!$D$88:$D$91,$B$36),INDEX('Вводные'!$E$88:$E$91,$B$36)+INDEX('Вводные'!$F$88:$F$91,$B$36)+'Вводные'!$H$9)),MONTH(AY$3)=MONTH(EDATE(INDEX('Вводные'!$D$88:$D$91,$B$36),INDEX('Вводные'!$E$88:$E$91,$B$36)+INDEX('Вводные'!$F$88:$F$91,$B$36)+'Вводные'!$H$9)),AND($B$35="Да",IFERROR(INDEX('Вводные'!$B$88:$B$91,$B$36),"Нет")="Да")),MAX(0,SUM($D53:AY53)-AY53),0)</x:f>
      </x:c>
      <x:c r="AZ55" s="107" t="n">
        <x:f>IF(AND(YEAR(AZ$3)=YEAR(EDATE(INDEX('Вводные'!$D$88:$D$91,$B$36),INDEX('Вводные'!$E$88:$E$91,$B$36)+INDEX('Вводные'!$F$88:$F$91,$B$36)+'Вводные'!$H$9)),MONTH(AZ$3)=MONTH(EDATE(INDEX('Вводные'!$D$88:$D$91,$B$36),INDEX('Вводные'!$E$88:$E$91,$B$36)+INDEX('Вводные'!$F$88:$F$91,$B$36)+'Вводные'!$H$9)),AND($B$35="Да",IFERROR(INDEX('Вводные'!$B$88:$B$91,$B$36),"Нет")="Да")),MAX(0,SUM($D53:AZ53)-AZ53),0)</x:f>
      </x:c>
      <x:c r="BA55" s="107" t="n">
        <x:f>IF(AND(YEAR(BA$3)=YEAR(EDATE(INDEX('Вводные'!$D$88:$D$91,$B$36),INDEX('Вводные'!$E$88:$E$91,$B$36)+INDEX('Вводные'!$F$88:$F$91,$B$36)+'Вводные'!$H$9)),MONTH(BA$3)=MONTH(EDATE(INDEX('Вводные'!$D$88:$D$91,$B$36),INDEX('Вводные'!$E$88:$E$91,$B$36)+INDEX('Вводные'!$F$88:$F$91,$B$36)+'Вводные'!$H$9)),AND($B$35="Да",IFERROR(INDEX('Вводные'!$B$88:$B$91,$B$36),"Нет")="Да")),MAX(0,SUM($D53:BA53)-BA53),0)</x:f>
      </x:c>
      <x:c r="BB55" s="107" t="n">
        <x:f>IF(AND(YEAR(BB$3)=YEAR(EDATE(INDEX('Вводные'!$D$88:$D$91,$B$36),INDEX('Вводные'!$E$88:$E$91,$B$36)+INDEX('Вводные'!$F$88:$F$91,$B$36)+'Вводные'!$H$9)),MONTH(BB$3)=MONTH(EDATE(INDEX('Вводные'!$D$88:$D$91,$B$36),INDEX('Вводные'!$E$88:$E$91,$B$36)+INDEX('Вводные'!$F$88:$F$91,$B$36)+'Вводные'!$H$9)),AND($B$35="Да",IFERROR(INDEX('Вводные'!$B$88:$B$91,$B$36),"Нет")="Да")),MAX(0,SUM($D53:BB53)-BB53),0)</x:f>
      </x:c>
      <x:c r="BC55" s="107" t="n">
        <x:f>IF(AND(YEAR(BC$3)=YEAR(EDATE(INDEX('Вводные'!$D$88:$D$91,$B$36),INDEX('Вводные'!$E$88:$E$91,$B$36)+INDEX('Вводные'!$F$88:$F$91,$B$36)+'Вводные'!$H$9)),MONTH(BC$3)=MONTH(EDATE(INDEX('Вводные'!$D$88:$D$91,$B$36),INDEX('Вводные'!$E$88:$E$91,$B$36)+INDEX('Вводные'!$F$88:$F$91,$B$36)+'Вводные'!$H$9)),AND($B$35="Да",IFERROR(INDEX('Вводные'!$B$88:$B$91,$B$36),"Нет")="Да")),MAX(0,SUM($D53:BC53)-BC53),0)</x:f>
      </x:c>
      <x:c r="BD55" s="107" t="n">
        <x:f>IF(AND(YEAR(BD$3)=YEAR(EDATE(INDEX('Вводные'!$D$88:$D$91,$B$36),INDEX('Вводные'!$E$88:$E$91,$B$36)+INDEX('Вводные'!$F$88:$F$91,$B$36)+'Вводные'!$H$9)),MONTH(BD$3)=MONTH(EDATE(INDEX('Вводные'!$D$88:$D$91,$B$36),INDEX('Вводные'!$E$88:$E$91,$B$36)+INDEX('Вводные'!$F$88:$F$91,$B$36)+'Вводные'!$H$9)),AND($B$35="Да",IFERROR(INDEX('Вводные'!$B$88:$B$91,$B$36),"Нет")="Да")),MAX(0,SUM($D53:BD53)-BD53),0)</x:f>
      </x:c>
      <x:c r="BE55" s="107" t="n">
        <x:f>IF(AND(YEAR(BE$3)=YEAR(EDATE(INDEX('Вводные'!$D$88:$D$91,$B$36),INDEX('Вводные'!$E$88:$E$91,$B$36)+INDEX('Вводные'!$F$88:$F$91,$B$36)+'Вводные'!$H$9)),MONTH(BE$3)=MONTH(EDATE(INDEX('Вводные'!$D$88:$D$91,$B$36),INDEX('Вводные'!$E$88:$E$91,$B$36)+INDEX('Вводные'!$F$88:$F$91,$B$36)+'Вводные'!$H$9)),AND($B$35="Да",IFERROR(INDEX('Вводные'!$B$88:$B$91,$B$36),"Нет")="Да")),MAX(0,SUM($D53:BE53)-BE53),0)</x:f>
      </x:c>
      <x:c r="BF55" s="107" t="n">
        <x:f>IF(AND(YEAR(BF$3)=YEAR(EDATE(INDEX('Вводные'!$D$88:$D$91,$B$36),INDEX('Вводные'!$E$88:$E$91,$B$36)+INDEX('Вводные'!$F$88:$F$91,$B$36)+'Вводные'!$H$9)),MONTH(BF$3)=MONTH(EDATE(INDEX('Вводные'!$D$88:$D$91,$B$36),INDEX('Вводные'!$E$88:$E$91,$B$36)+INDEX('Вводные'!$F$88:$F$91,$B$36)+'Вводные'!$H$9)),AND($B$35="Да",IFERROR(INDEX('Вводные'!$B$88:$B$91,$B$36),"Нет")="Да")),MAX(0,SUM($D53:BF53)-BF53),0)</x:f>
      </x:c>
      <x:c r="BG55" s="107" t="n">
        <x:f>IF(AND(YEAR(BG$3)=YEAR(EDATE(INDEX('Вводные'!$D$88:$D$91,$B$36),INDEX('Вводные'!$E$88:$E$91,$B$36)+INDEX('Вводные'!$F$88:$F$91,$B$36)+'Вводные'!$H$9)),MONTH(BG$3)=MONTH(EDATE(INDEX('Вводные'!$D$88:$D$91,$B$36),INDEX('Вводные'!$E$88:$E$91,$B$36)+INDEX('Вводные'!$F$88:$F$91,$B$36)+'Вводные'!$H$9)),AND($B$35="Да",IFERROR(INDEX('Вводные'!$B$88:$B$91,$B$36),"Нет")="Да")),MAX(0,SUM($D53:BG53)-BG53),0)</x:f>
      </x:c>
      <x:c r="BH55" s="107" t="n">
        <x:f>IF(AND(YEAR(BH$3)=YEAR(EDATE(INDEX('Вводные'!$D$88:$D$91,$B$36),INDEX('Вводные'!$E$88:$E$91,$B$36)+INDEX('Вводные'!$F$88:$F$91,$B$36)+'Вводные'!$H$9)),MONTH(BH$3)=MONTH(EDATE(INDEX('Вводные'!$D$88:$D$91,$B$36),INDEX('Вводные'!$E$88:$E$91,$B$36)+INDEX('Вводные'!$F$88:$F$91,$B$36)+'Вводные'!$H$9)),AND($B$35="Да",IFERROR(INDEX('Вводные'!$B$88:$B$91,$B$36),"Нет")="Да")),MAX(0,SUM($D53:BH53)-BH53),0)</x:f>
      </x:c>
      <x:c r="BI55" s="107" t="n">
        <x:f>IF(AND(YEAR(BI$3)=YEAR(EDATE(INDEX('Вводные'!$D$88:$D$91,$B$36),INDEX('Вводные'!$E$88:$E$91,$B$36)+INDEX('Вводные'!$F$88:$F$91,$B$36)+'Вводные'!$H$9)),MONTH(BI$3)=MONTH(EDATE(INDEX('Вводные'!$D$88:$D$91,$B$36),INDEX('Вводные'!$E$88:$E$91,$B$36)+INDEX('Вводные'!$F$88:$F$91,$B$36)+'Вводные'!$H$9)),AND($B$35="Да",IFERROR(INDEX('Вводные'!$B$88:$B$91,$B$36),"Нет")="Да")),MAX(0,SUM($D53:BI53)-BI53),0)</x:f>
      </x:c>
      <x:c r="BJ55" s="107" t="n">
        <x:f>IF(AND(YEAR(BJ$3)=YEAR(EDATE(INDEX('Вводные'!$D$88:$D$91,$B$36),INDEX('Вводные'!$E$88:$E$91,$B$36)+INDEX('Вводные'!$F$88:$F$91,$B$36)+'Вводные'!$H$9)),MONTH(BJ$3)=MONTH(EDATE(INDEX('Вводные'!$D$88:$D$91,$B$36),INDEX('Вводные'!$E$88:$E$91,$B$36)+INDEX('Вводные'!$F$88:$F$91,$B$36)+'Вводные'!$H$9)),AND($B$35="Да",IFERROR(INDEX('Вводные'!$B$88:$B$91,$B$36),"Нет")="Да")),MAX(0,SUM($D53:BJ53)-BJ53),0)</x:f>
      </x:c>
      <x:c r="BK55" s="107" t="n">
        <x:f>IF(AND(YEAR(BK$3)=YEAR(EDATE(INDEX('Вводные'!$D$88:$D$91,$B$36),INDEX('Вводные'!$E$88:$E$91,$B$36)+INDEX('Вводные'!$F$88:$F$91,$B$36)+'Вводные'!$H$9)),MONTH(BK$3)=MONTH(EDATE(INDEX('Вводные'!$D$88:$D$91,$B$36),INDEX('Вводные'!$E$88:$E$91,$B$36)+INDEX('Вводные'!$F$88:$F$91,$B$36)+'Вводные'!$H$9)),AND($B$35="Да",IFERROR(INDEX('Вводные'!$B$88:$B$91,$B$36),"Нет")="Да")),MAX(0,SUM($D53:BK53)-BK53),0)</x:f>
      </x:c>
      <x:c r="BL55" s="107" t="n">
        <x:f>IF(AND(YEAR(BL$3)=YEAR(EDATE(INDEX('Вводные'!$D$88:$D$91,$B$36),INDEX('Вводные'!$E$88:$E$91,$B$36)+INDEX('Вводные'!$F$88:$F$91,$B$36)+'Вводные'!$H$9)),MONTH(BL$3)=MONTH(EDATE(INDEX('Вводные'!$D$88:$D$91,$B$36),INDEX('Вводные'!$E$88:$E$91,$B$36)+INDEX('Вводные'!$F$88:$F$91,$B$36)+'Вводные'!$H$9)),AND($B$35="Да",IFERROR(INDEX('Вводные'!$B$88:$B$91,$B$36),"Нет")="Да")),MAX(0,SUM($D53:BL53)-BL53),0)</x:f>
      </x:c>
      <x:c r="BM55" s="107" t="n">
        <x:f>IF(AND(YEAR(BM$3)=YEAR(EDATE(INDEX('Вводные'!$D$88:$D$91,$B$36),INDEX('Вводные'!$E$88:$E$91,$B$36)+INDEX('Вводные'!$F$88:$F$91,$B$36)+'Вводные'!$H$9)),MONTH(BM$3)=MONTH(EDATE(INDEX('Вводные'!$D$88:$D$91,$B$36),INDEX('Вводные'!$E$88:$E$91,$B$36)+INDEX('Вводные'!$F$88:$F$91,$B$36)+'Вводные'!$H$9)),AND($B$35="Да",IFERROR(INDEX('Вводные'!$B$88:$B$91,$B$36),"Нет")="Да")),MAX(0,SUM($D53:BM53)-BM53),0)</x:f>
      </x:c>
      <x:c r="BN55" s="107" t="n">
        <x:f>IF(AND(YEAR(BN$3)=YEAR(EDATE(INDEX('Вводные'!$D$88:$D$91,$B$36),INDEX('Вводные'!$E$88:$E$91,$B$36)+INDEX('Вводные'!$F$88:$F$91,$B$36)+'Вводные'!$H$9)),MONTH(BN$3)=MONTH(EDATE(INDEX('Вводные'!$D$88:$D$91,$B$36),INDEX('Вводные'!$E$88:$E$91,$B$36)+INDEX('Вводные'!$F$88:$F$91,$B$36)+'Вводные'!$H$9)),AND($B$35="Да",IFERROR(INDEX('Вводные'!$B$88:$B$91,$B$36),"Нет")="Да")),MAX(0,SUM($D53:BN53)-BN53),0)</x:f>
      </x:c>
      <x:c r="BO55" s="107" t="n">
        <x:f>IF(AND(YEAR(BO$3)=YEAR(EDATE(INDEX('Вводные'!$D$88:$D$91,$B$36),INDEX('Вводные'!$E$88:$E$91,$B$36)+INDEX('Вводные'!$F$88:$F$91,$B$36)+'Вводные'!$H$9)),MONTH(BO$3)=MONTH(EDATE(INDEX('Вводные'!$D$88:$D$91,$B$36),INDEX('Вводные'!$E$88:$E$91,$B$36)+INDEX('Вводные'!$F$88:$F$91,$B$36)+'Вводные'!$H$9)),AND($B$35="Да",IFERROR(INDEX('Вводные'!$B$88:$B$91,$B$36),"Нет")="Да")),MAX(0,SUM($D53:BO53)-BO53),0)</x:f>
      </x:c>
      <x:c r="BP55" s="107" t="n">
        <x:f>IF(AND(YEAR(BP$3)=YEAR(EDATE(INDEX('Вводные'!$D$88:$D$91,$B$36),INDEX('Вводные'!$E$88:$E$91,$B$36)+INDEX('Вводные'!$F$88:$F$91,$B$36)+'Вводные'!$H$9)),MONTH(BP$3)=MONTH(EDATE(INDEX('Вводные'!$D$88:$D$91,$B$36),INDEX('Вводные'!$E$88:$E$91,$B$36)+INDEX('Вводные'!$F$88:$F$91,$B$36)+'Вводные'!$H$9)),AND($B$35="Да",IFERROR(INDEX('Вводные'!$B$88:$B$91,$B$36),"Нет")="Да")),MAX(0,SUM($D53:BP53)-BP53),0)</x:f>
      </x:c>
      <x:c r="BQ55" s="107" t="n">
        <x:f>IF(AND(YEAR(BQ$3)=YEAR(EDATE(INDEX('Вводные'!$D$88:$D$91,$B$36),INDEX('Вводные'!$E$88:$E$91,$B$36)+INDEX('Вводные'!$F$88:$F$91,$B$36)+'Вводные'!$H$9)),MONTH(BQ$3)=MONTH(EDATE(INDEX('Вводные'!$D$88:$D$91,$B$36),INDEX('Вводные'!$E$88:$E$91,$B$36)+INDEX('Вводные'!$F$88:$F$91,$B$36)+'Вводные'!$H$9)),AND($B$35="Да",IFERROR(INDEX('Вводные'!$B$88:$B$91,$B$36),"Нет")="Да")),MAX(0,SUM($D53:BQ53)-BQ53),0)</x:f>
      </x:c>
      <x:c r="BR55" s="107" t="n">
        <x:f>IF(AND(YEAR(BR$3)=YEAR(EDATE(INDEX('Вводные'!$D$88:$D$91,$B$36),INDEX('Вводные'!$E$88:$E$91,$B$36)+INDEX('Вводные'!$F$88:$F$91,$B$36)+'Вводные'!$H$9)),MONTH(BR$3)=MONTH(EDATE(INDEX('Вводные'!$D$88:$D$91,$B$36),INDEX('Вводные'!$E$88:$E$91,$B$36)+INDEX('Вводные'!$F$88:$F$91,$B$36)+'Вводные'!$H$9)),AND($B$35="Да",IFERROR(INDEX('Вводные'!$B$88:$B$91,$B$36),"Нет")="Да")),MAX(0,SUM($D53:BR53)-BR53),0)</x:f>
      </x:c>
      <x:c r="BS55" s="107" t="n">
        <x:f>IF(AND(YEAR(BS$3)=YEAR(EDATE(INDEX('Вводные'!$D$88:$D$91,$B$36),INDEX('Вводные'!$E$88:$E$91,$B$36)+INDEX('Вводные'!$F$88:$F$91,$B$36)+'Вводные'!$H$9)),MONTH(BS$3)=MONTH(EDATE(INDEX('Вводные'!$D$88:$D$91,$B$36),INDEX('Вводные'!$E$88:$E$91,$B$36)+INDEX('Вводные'!$F$88:$F$91,$B$36)+'Вводные'!$H$9)),AND($B$35="Да",IFERROR(INDEX('Вводные'!$B$88:$B$91,$B$36),"Нет")="Да")),MAX(0,SUM($D53:BS53)-BS53),0)</x:f>
      </x:c>
      <x:c r="BT55" s="107" t="n">
        <x:f>IF(AND(YEAR(BT$3)=YEAR(EDATE(INDEX('Вводные'!$D$88:$D$91,$B$36),INDEX('Вводные'!$E$88:$E$91,$B$36)+INDEX('Вводные'!$F$88:$F$91,$B$36)+'Вводные'!$H$9)),MONTH(BT$3)=MONTH(EDATE(INDEX('Вводные'!$D$88:$D$91,$B$36),INDEX('Вводные'!$E$88:$E$91,$B$36)+INDEX('Вводные'!$F$88:$F$91,$B$36)+'Вводные'!$H$9)),AND($B$35="Да",IFERROR(INDEX('Вводные'!$B$88:$B$91,$B$36),"Нет")="Да")),MAX(0,SUM($D53:BT53)-BT53),0)</x:f>
      </x:c>
      <x:c r="BU55" s="107" t="n">
        <x:f>IF(AND(YEAR(BU$3)=YEAR(EDATE(INDEX('Вводные'!$D$88:$D$91,$B$36),INDEX('Вводные'!$E$88:$E$91,$B$36)+INDEX('Вводные'!$F$88:$F$91,$B$36)+'Вводные'!$H$9)),MONTH(BU$3)=MONTH(EDATE(INDEX('Вводные'!$D$88:$D$91,$B$36),INDEX('Вводные'!$E$88:$E$91,$B$36)+INDEX('Вводные'!$F$88:$F$91,$B$36)+'Вводные'!$H$9)),AND($B$35="Да",IFERROR(INDEX('Вводные'!$B$88:$B$91,$B$36),"Нет")="Да")),MAX(0,SUM($D53:BU53)-BU53),0)</x:f>
      </x:c>
      <x:c r="BV55" s="107" t="n">
        <x:f>IF(AND(YEAR(BV$3)=YEAR(EDATE(INDEX('Вводные'!$D$88:$D$91,$B$36),INDEX('Вводные'!$E$88:$E$91,$B$36)+INDEX('Вводные'!$F$88:$F$91,$B$36)+'Вводные'!$H$9)),MONTH(BV$3)=MONTH(EDATE(INDEX('Вводные'!$D$88:$D$91,$B$36),INDEX('Вводные'!$E$88:$E$91,$B$36)+INDEX('Вводные'!$F$88:$F$91,$B$36)+'Вводные'!$H$9)),AND($B$35="Да",IFERROR(INDEX('Вводные'!$B$88:$B$91,$B$36),"Нет")="Да")),MAX(0,SUM($D53:BV53)-BV53),0)</x:f>
      </x:c>
      <x:c r="BW55" s="107" t="n">
        <x:f>IF(AND(YEAR(BW$3)=YEAR(EDATE(INDEX('Вводные'!$D$88:$D$91,$B$36),INDEX('Вводные'!$E$88:$E$91,$B$36)+INDEX('Вводные'!$F$88:$F$91,$B$36)+'Вводные'!$H$9)),MONTH(BW$3)=MONTH(EDATE(INDEX('Вводные'!$D$88:$D$91,$B$36),INDEX('Вводные'!$E$88:$E$91,$B$36)+INDEX('Вводные'!$F$88:$F$91,$B$36)+'Вводные'!$H$9)),AND($B$35="Да",IFERROR(INDEX('Вводные'!$B$88:$B$91,$B$36),"Нет")="Да")),MAX(0,SUM($D53:BW53)-BW53),0)</x:f>
      </x:c>
      <x:c r="BX55" s="107" t="n">
        <x:f>IF(AND(YEAR(BX$3)=YEAR(EDATE(INDEX('Вводные'!$D$88:$D$91,$B$36),INDEX('Вводные'!$E$88:$E$91,$B$36)+INDEX('Вводные'!$F$88:$F$91,$B$36)+'Вводные'!$H$9)),MONTH(BX$3)=MONTH(EDATE(INDEX('Вводные'!$D$88:$D$91,$B$36),INDEX('Вводные'!$E$88:$E$91,$B$36)+INDEX('Вводные'!$F$88:$F$91,$B$36)+'Вводные'!$H$9)),AND($B$35="Да",IFERROR(INDEX('Вводные'!$B$88:$B$91,$B$36),"Нет")="Да")),MAX(0,SUM($D53:BX53)-BX53),0)</x:f>
      </x:c>
      <x:c r="BY55" s="107" t="n">
        <x:f>IF(AND(YEAR(BY$3)=YEAR(EDATE(INDEX('Вводные'!$D$88:$D$91,$B$36),INDEX('Вводные'!$E$88:$E$91,$B$36)+INDEX('Вводные'!$F$88:$F$91,$B$36)+'Вводные'!$H$9)),MONTH(BY$3)=MONTH(EDATE(INDEX('Вводные'!$D$88:$D$91,$B$36),INDEX('Вводные'!$E$88:$E$91,$B$36)+INDEX('Вводные'!$F$88:$F$91,$B$36)+'Вводные'!$H$9)),AND($B$35="Да",IFERROR(INDEX('Вводные'!$B$88:$B$91,$B$36),"Нет")="Да")),MAX(0,SUM($D53:BY53)-BY53),0)</x:f>
      </x:c>
      <x:c r="BZ55" s="107" t="n">
        <x:f>IF(AND(YEAR(BZ$3)=YEAR(EDATE(INDEX('Вводные'!$D$88:$D$91,$B$36),INDEX('Вводные'!$E$88:$E$91,$B$36)+INDEX('Вводные'!$F$88:$F$91,$B$36)+'Вводные'!$H$9)),MONTH(BZ$3)=MONTH(EDATE(INDEX('Вводные'!$D$88:$D$91,$B$36),INDEX('Вводные'!$E$88:$E$91,$B$36)+INDEX('Вводные'!$F$88:$F$91,$B$36)+'Вводные'!$H$9)),AND($B$35="Да",IFERROR(INDEX('Вводные'!$B$88:$B$91,$B$36),"Нет")="Да")),MAX(0,SUM($D53:BZ53)-BZ53),0)</x:f>
      </x:c>
      <x:c r="CA55" s="107" t="n">
        <x:f>IF(AND(YEAR(CA$3)=YEAR(EDATE(INDEX('Вводные'!$D$88:$D$91,$B$36),INDEX('Вводные'!$E$88:$E$91,$B$36)+INDEX('Вводные'!$F$88:$F$91,$B$36)+'Вводные'!$H$9)),MONTH(CA$3)=MONTH(EDATE(INDEX('Вводные'!$D$88:$D$91,$B$36),INDEX('Вводные'!$E$88:$E$91,$B$36)+INDEX('Вводные'!$F$88:$F$91,$B$36)+'Вводные'!$H$9)),AND($B$35="Да",IFERROR(INDEX('Вводные'!$B$88:$B$91,$B$36),"Нет")="Да")),MAX(0,SUM($D53:CA53)-CA53),0)</x:f>
      </x:c>
      <x:c r="CB55" s="107" t="n">
        <x:f>IF(AND(YEAR(CB$3)=YEAR(EDATE(INDEX('Вводные'!$D$88:$D$91,$B$36),INDEX('Вводные'!$E$88:$E$91,$B$36)+INDEX('Вводные'!$F$88:$F$91,$B$36)+'Вводные'!$H$9)),MONTH(CB$3)=MONTH(EDATE(INDEX('Вводные'!$D$88:$D$91,$B$36),INDEX('Вводные'!$E$88:$E$91,$B$36)+INDEX('Вводные'!$F$88:$F$91,$B$36)+'Вводные'!$H$9)),AND($B$35="Да",IFERROR(INDEX('Вводные'!$B$88:$B$91,$B$36),"Нет")="Да")),MAX(0,SUM($D53:CB53)-CB53),0)</x:f>
      </x:c>
      <x:c r="CC55" s="107" t="n">
        <x:f>IF(AND(YEAR(CC$3)=YEAR(EDATE(INDEX('Вводные'!$D$88:$D$91,$B$36),INDEX('Вводные'!$E$88:$E$91,$B$36)+INDEX('Вводные'!$F$88:$F$91,$B$36)+'Вводные'!$H$9)),MONTH(CC$3)=MONTH(EDATE(INDEX('Вводные'!$D$88:$D$91,$B$36),INDEX('Вводные'!$E$88:$E$91,$B$36)+INDEX('Вводные'!$F$88:$F$91,$B$36)+'Вводные'!$H$9)),AND($B$35="Да",IFERROR(INDEX('Вводные'!$B$88:$B$91,$B$36),"Нет")="Да")),MAX(0,SUM($D53:CC53)-CC53),0)</x:f>
      </x:c>
      <x:c r="CD55" s="107" t="n">
        <x:f>IF(AND(YEAR(CD$3)=YEAR(EDATE(INDEX('Вводные'!$D$88:$D$91,$B$36),INDEX('Вводные'!$E$88:$E$91,$B$36)+INDEX('Вводные'!$F$88:$F$91,$B$36)+'Вводные'!$H$9)),MONTH(CD$3)=MONTH(EDATE(INDEX('Вводные'!$D$88:$D$91,$B$36),INDEX('Вводные'!$E$88:$E$91,$B$36)+INDEX('Вводные'!$F$88:$F$91,$B$36)+'Вводные'!$H$9)),AND($B$35="Да",IFERROR(INDEX('Вводные'!$B$88:$B$91,$B$36),"Нет")="Да")),MAX(0,SUM($D53:CD53)-CD53),0)</x:f>
      </x:c>
      <x:c r="CE55" s="107" t="n">
        <x:f>IF(AND(YEAR(CE$3)=YEAR(EDATE(INDEX('Вводные'!$D$88:$D$91,$B$36),INDEX('Вводные'!$E$88:$E$91,$B$36)+INDEX('Вводные'!$F$88:$F$91,$B$36)+'Вводные'!$H$9)),MONTH(CE$3)=MONTH(EDATE(INDEX('Вводные'!$D$88:$D$91,$B$36),INDEX('Вводные'!$E$88:$E$91,$B$36)+INDEX('Вводные'!$F$88:$F$91,$B$36)+'Вводные'!$H$9)),AND($B$35="Да",IFERROR(INDEX('Вводные'!$B$88:$B$91,$B$36),"Нет")="Да")),MAX(0,SUM($D53:CE53)-CE53),0)</x:f>
      </x:c>
      <x:c r="CF55" s="107" t="n">
        <x:f>IF(AND(YEAR(CF$3)=YEAR(EDATE(INDEX('Вводные'!$D$88:$D$91,$B$36),INDEX('Вводные'!$E$88:$E$91,$B$36)+INDEX('Вводные'!$F$88:$F$91,$B$36)+'Вводные'!$H$9)),MONTH(CF$3)=MONTH(EDATE(INDEX('Вводные'!$D$88:$D$91,$B$36),INDEX('Вводные'!$E$88:$E$91,$B$36)+INDEX('Вводные'!$F$88:$F$91,$B$36)+'Вводные'!$H$9)),AND($B$35="Да",IFERROR(INDEX('Вводные'!$B$88:$B$91,$B$36),"Нет")="Да")),MAX(0,SUM($D53:CF53)-CF53),0)</x:f>
      </x:c>
      <x:c r="CG55" s="107" t="n">
        <x:f>IF(AND(YEAR(CG$3)=YEAR(EDATE(INDEX('Вводные'!$D$88:$D$91,$B$36),INDEX('Вводные'!$E$88:$E$91,$B$36)+INDEX('Вводные'!$F$88:$F$91,$B$36)+'Вводные'!$H$9)),MONTH(CG$3)=MONTH(EDATE(INDEX('Вводные'!$D$88:$D$91,$B$36),INDEX('Вводные'!$E$88:$E$91,$B$36)+INDEX('Вводные'!$F$88:$F$91,$B$36)+'Вводные'!$H$9)),AND($B$35="Да",IFERROR(INDEX('Вводные'!$B$88:$B$91,$B$36),"Нет")="Да")),MAX(0,SUM($D53:CG53)-CG53),0)</x:f>
      </x:c>
      <x:c r="CH55" s="107" t="n">
        <x:f>IF(AND(YEAR(CH$3)=YEAR(EDATE(INDEX('Вводные'!$D$88:$D$91,$B$36),INDEX('Вводные'!$E$88:$E$91,$B$36)+INDEX('Вводные'!$F$88:$F$91,$B$36)+'Вводные'!$H$9)),MONTH(CH$3)=MONTH(EDATE(INDEX('Вводные'!$D$88:$D$91,$B$36),INDEX('Вводные'!$E$88:$E$91,$B$36)+INDEX('Вводные'!$F$88:$F$91,$B$36)+'Вводные'!$H$9)),AND($B$35="Да",IFERROR(INDEX('Вводные'!$B$88:$B$91,$B$36),"Нет")="Да")),MAX(0,SUM($D53:CH53)-CH53),0)</x:f>
      </x:c>
      <x:c r="CI55" s="107" t="n">
        <x:f>IF(AND(YEAR(CI$3)=YEAR(EDATE(INDEX('Вводные'!$D$88:$D$91,$B$36),INDEX('Вводные'!$E$88:$E$91,$B$36)+INDEX('Вводные'!$F$88:$F$91,$B$36)+'Вводные'!$H$9)),MONTH(CI$3)=MONTH(EDATE(INDEX('Вводные'!$D$88:$D$91,$B$36),INDEX('Вводные'!$E$88:$E$91,$B$36)+INDEX('Вводные'!$F$88:$F$91,$B$36)+'Вводные'!$H$9)),AND($B$35="Да",IFERROR(INDEX('Вводные'!$B$88:$B$91,$B$36),"Нет")="Да")),MAX(0,SUM($D53:CI53)-CI53),0)</x:f>
      </x:c>
      <x:c r="CJ55" s="107" t="n">
        <x:f>IF(AND(YEAR(CJ$3)=YEAR(EDATE(INDEX('Вводные'!$D$88:$D$91,$B$36),INDEX('Вводные'!$E$88:$E$91,$B$36)+INDEX('Вводные'!$F$88:$F$91,$B$36)+'Вводные'!$H$9)),MONTH(CJ$3)=MONTH(EDATE(INDEX('Вводные'!$D$88:$D$91,$B$36),INDEX('Вводные'!$E$88:$E$91,$B$36)+INDEX('Вводные'!$F$88:$F$91,$B$36)+'Вводные'!$H$9)),AND($B$35="Да",IFERROR(INDEX('Вводные'!$B$88:$B$91,$B$36),"Нет")="Да")),MAX(0,SUM($D53:CJ53)-CJ53),0)</x:f>
      </x:c>
      <x:c r="CK55" s="107" t="n">
        <x:f>IF(AND(YEAR(CK$3)=YEAR(EDATE(INDEX('Вводные'!$D$88:$D$91,$B$36),INDEX('Вводные'!$E$88:$E$91,$B$36)+INDEX('Вводные'!$F$88:$F$91,$B$36)+'Вводные'!$H$9)),MONTH(CK$3)=MONTH(EDATE(INDEX('Вводные'!$D$88:$D$91,$B$36),INDEX('Вводные'!$E$88:$E$91,$B$36)+INDEX('Вводные'!$F$88:$F$91,$B$36)+'Вводные'!$H$9)),AND($B$35="Да",IFERROR(INDEX('Вводные'!$B$88:$B$91,$B$36),"Нет")="Да")),MAX(0,SUM($D53:CK53)-CK53),0)</x:f>
      </x:c>
      <x:c r="CL55" s="107" t="n">
        <x:f>IF(AND(YEAR(CL$3)=YEAR(EDATE(INDEX('Вводные'!$D$88:$D$91,$B$36),INDEX('Вводные'!$E$88:$E$91,$B$36)+INDEX('Вводные'!$F$88:$F$91,$B$36)+'Вводные'!$H$9)),MONTH(CL$3)=MONTH(EDATE(INDEX('Вводные'!$D$88:$D$91,$B$36),INDEX('Вводные'!$E$88:$E$91,$B$36)+INDEX('Вводные'!$F$88:$F$91,$B$36)+'Вводные'!$H$9)),AND($B$35="Да",IFERROR(INDEX('Вводные'!$B$88:$B$91,$B$36),"Нет")="Да")),MAX(0,SUM($D53:CL53)-CL53),0)</x:f>
      </x:c>
      <x:c r="CM55" s="107" t="n">
        <x:f>IF(AND(YEAR(CM$3)=YEAR(EDATE(INDEX('Вводные'!$D$88:$D$91,$B$36),INDEX('Вводные'!$E$88:$E$91,$B$36)+INDEX('Вводные'!$F$88:$F$91,$B$36)+'Вводные'!$H$9)),MONTH(CM$3)=MONTH(EDATE(INDEX('Вводные'!$D$88:$D$91,$B$36),INDEX('Вводные'!$E$88:$E$91,$B$36)+INDEX('Вводные'!$F$88:$F$91,$B$36)+'Вводные'!$H$9)),AND($B$35="Да",IFERROR(INDEX('Вводные'!$B$88:$B$91,$B$36),"Нет")="Да")),MAX(0,SUM($D53:CM53)-CM53),0)</x:f>
      </x:c>
      <x:c r="CN55" s="107" t="n">
        <x:f>IF(AND(YEAR(CN$3)=YEAR(EDATE(INDEX('Вводные'!$D$88:$D$91,$B$36),INDEX('Вводные'!$E$88:$E$91,$B$36)+INDEX('Вводные'!$F$88:$F$91,$B$36)+'Вводные'!$H$9)),MONTH(CN$3)=MONTH(EDATE(INDEX('Вводные'!$D$88:$D$91,$B$36),INDEX('Вводные'!$E$88:$E$91,$B$36)+INDEX('Вводные'!$F$88:$F$91,$B$36)+'Вводные'!$H$9)),AND($B$35="Да",IFERROR(INDEX('Вводные'!$B$88:$B$91,$B$36),"Нет")="Да")),MAX(0,SUM($D53:CN53)-CN53),0)</x:f>
      </x:c>
      <x:c r="CO55" s="107" t="n">
        <x:f>IF(AND(YEAR(CO$3)=YEAR(EDATE(INDEX('Вводные'!$D$88:$D$91,$B$36),INDEX('Вводные'!$E$88:$E$91,$B$36)+INDEX('Вводные'!$F$88:$F$91,$B$36)+'Вводные'!$H$9)),MONTH(CO$3)=MONTH(EDATE(INDEX('Вводные'!$D$88:$D$91,$B$36),INDEX('Вводные'!$E$88:$E$91,$B$36)+INDEX('Вводные'!$F$88:$F$91,$B$36)+'Вводные'!$H$9)),AND($B$35="Да",IFERROR(INDEX('Вводные'!$B$88:$B$91,$B$36),"Нет")="Да")),MAX(0,SUM($D53:CO53)-CO53),0)</x:f>
      </x:c>
      <x:c r="CP55" s="107" t="n">
        <x:f>IF(AND(YEAR(CP$3)=YEAR(EDATE(INDEX('Вводные'!$D$88:$D$91,$B$36),INDEX('Вводные'!$E$88:$E$91,$B$36)+INDEX('Вводные'!$F$88:$F$91,$B$36)+'Вводные'!$H$9)),MONTH(CP$3)=MONTH(EDATE(INDEX('Вводные'!$D$88:$D$91,$B$36),INDEX('Вводные'!$E$88:$E$91,$B$36)+INDEX('Вводные'!$F$88:$F$91,$B$36)+'Вводные'!$H$9)),AND($B$35="Да",IFERROR(INDEX('Вводные'!$B$88:$B$91,$B$36),"Нет")="Да")),MAX(0,SUM($D53:CP53)-CP53),0)</x:f>
      </x:c>
      <x:c r="CQ55" s="107" t="n">
        <x:f>IF(AND(YEAR(CQ$3)=YEAR(EDATE(INDEX('Вводные'!$D$88:$D$91,$B$36),INDEX('Вводные'!$E$88:$E$91,$B$36)+INDEX('Вводные'!$F$88:$F$91,$B$36)+'Вводные'!$H$9)),MONTH(CQ$3)=MONTH(EDATE(INDEX('Вводные'!$D$88:$D$91,$B$36),INDEX('Вводные'!$E$88:$E$91,$B$36)+INDEX('Вводные'!$F$88:$F$91,$B$36)+'Вводные'!$H$9)),AND($B$35="Да",IFERROR(INDEX('Вводные'!$B$88:$B$91,$B$36),"Нет")="Да")),MAX(0,SUM($D53:CQ53)-CQ53),0)</x:f>
      </x:c>
      <x:c r="CR55" s="107" t="n">
        <x:f>IF(AND(YEAR(CR$3)=YEAR(EDATE(INDEX('Вводные'!$D$88:$D$91,$B$36),INDEX('Вводные'!$E$88:$E$91,$B$36)+INDEX('Вводные'!$F$88:$F$91,$B$36)+'Вводные'!$H$9)),MONTH(CR$3)=MONTH(EDATE(INDEX('Вводные'!$D$88:$D$91,$B$36),INDEX('Вводные'!$E$88:$E$91,$B$36)+INDEX('Вводные'!$F$88:$F$91,$B$36)+'Вводные'!$H$9)),AND($B$35="Да",IFERROR(INDEX('Вводные'!$B$88:$B$91,$B$36),"Нет")="Да")),MAX(0,SUM($D53:CR53)-CR53),0)</x:f>
      </x:c>
      <x:c r="CS55" s="107" t="n">
        <x:f>IF(AND(YEAR(CS$3)=YEAR(EDATE(INDEX('Вводные'!$D$88:$D$91,$B$36),INDEX('Вводные'!$E$88:$E$91,$B$36)+INDEX('Вводные'!$F$88:$F$91,$B$36)+'Вводные'!$H$9)),MONTH(CS$3)=MONTH(EDATE(INDEX('Вводные'!$D$88:$D$91,$B$36),INDEX('Вводные'!$E$88:$E$91,$B$36)+INDEX('Вводные'!$F$88:$F$91,$B$36)+'Вводные'!$H$9)),AND($B$35="Да",IFERROR(INDEX('Вводные'!$B$88:$B$91,$B$36),"Нет")="Да")),MAX(0,SUM($D53:CS53)-CS53),0)</x:f>
      </x:c>
      <x:c r="CT55" s="107" t="n">
        <x:f>IF(AND(YEAR(CT$3)=YEAR(EDATE(INDEX('Вводные'!$D$88:$D$91,$B$36),INDEX('Вводные'!$E$88:$E$91,$B$36)+INDEX('Вводные'!$F$88:$F$91,$B$36)+'Вводные'!$H$9)),MONTH(CT$3)=MONTH(EDATE(INDEX('Вводные'!$D$88:$D$91,$B$36),INDEX('Вводные'!$E$88:$E$91,$B$36)+INDEX('Вводные'!$F$88:$F$91,$B$36)+'Вводные'!$H$9)),AND($B$35="Да",IFERROR(INDEX('Вводные'!$B$88:$B$91,$B$36),"Нет")="Да")),MAX(0,SUM($D53:CT53)-CT53),0)</x:f>
      </x:c>
      <x:c r="CU55" s="107" t="n">
        <x:f>IF(AND(YEAR(CU$3)=YEAR(EDATE(INDEX('Вводные'!$D$88:$D$91,$B$36),INDEX('Вводные'!$E$88:$E$91,$B$36)+INDEX('Вводные'!$F$88:$F$91,$B$36)+'Вводные'!$H$9)),MONTH(CU$3)=MONTH(EDATE(INDEX('Вводные'!$D$88:$D$91,$B$36),INDEX('Вводные'!$E$88:$E$91,$B$36)+INDEX('Вводные'!$F$88:$F$91,$B$36)+'Вводные'!$H$9)),AND($B$35="Да",IFERROR(INDEX('Вводные'!$B$88:$B$91,$B$36),"Нет")="Да")),MAX(0,SUM($D53:CU53)-CU53),0)</x:f>
      </x:c>
      <x:c r="CV55" s="107" t="n">
        <x:f>IF(AND(YEAR(CV$3)=YEAR(EDATE(INDEX('Вводные'!$D$88:$D$91,$B$36),INDEX('Вводные'!$E$88:$E$91,$B$36)+INDEX('Вводные'!$F$88:$F$91,$B$36)+'Вводные'!$H$9)),MONTH(CV$3)=MONTH(EDATE(INDEX('Вводные'!$D$88:$D$91,$B$36),INDEX('Вводные'!$E$88:$E$91,$B$36)+INDEX('Вводные'!$F$88:$F$91,$B$36)+'Вводные'!$H$9)),AND($B$35="Да",IFERROR(INDEX('Вводные'!$B$88:$B$91,$B$36),"Нет")="Да")),MAX(0,SUM($D53:CV53)-CV53),0)</x:f>
      </x:c>
      <x:c r="CW55" s="107" t="n">
        <x:f>IF(AND(YEAR(CW$3)=YEAR(EDATE(INDEX('Вводные'!$D$88:$D$91,$B$36),INDEX('Вводные'!$E$88:$E$91,$B$36)+INDEX('Вводные'!$F$88:$F$91,$B$36)+'Вводные'!$H$9)),MONTH(CW$3)=MONTH(EDATE(INDEX('Вводные'!$D$88:$D$91,$B$36),INDEX('Вводные'!$E$88:$E$91,$B$36)+INDEX('Вводные'!$F$88:$F$91,$B$36)+'Вводные'!$H$9)),AND($B$35="Да",IFERROR(INDEX('Вводные'!$B$88:$B$91,$B$36),"Нет")="Да")),MAX(0,SUM($D53:CW53)-CW53),0)</x:f>
      </x:c>
      <x:c r="CX55" s="107" t="n">
        <x:f>IF(AND(YEAR(CX$3)=YEAR(EDATE(INDEX('Вводные'!$D$88:$D$91,$B$36),INDEX('Вводные'!$E$88:$E$91,$B$36)+INDEX('Вводные'!$F$88:$F$91,$B$36)+'Вводные'!$H$9)),MONTH(CX$3)=MONTH(EDATE(INDEX('Вводные'!$D$88:$D$91,$B$36),INDEX('Вводные'!$E$88:$E$91,$B$36)+INDEX('Вводные'!$F$88:$F$91,$B$36)+'Вводные'!$H$9)),AND($B$35="Да",IFERROR(INDEX('Вводные'!$B$88:$B$91,$B$36),"Нет")="Да")),MAX(0,SUM($D53:CX53)-CX53),0)</x:f>
      </x:c>
      <x:c r="CY55" s="107" t="n">
        <x:f>IF(AND(YEAR(CY$3)=YEAR(EDATE(INDEX('Вводные'!$D$88:$D$91,$B$36),INDEX('Вводные'!$E$88:$E$91,$B$36)+INDEX('Вводные'!$F$88:$F$91,$B$36)+'Вводные'!$H$9)),MONTH(CY$3)=MONTH(EDATE(INDEX('Вводные'!$D$88:$D$91,$B$36),INDEX('Вводные'!$E$88:$E$91,$B$36)+INDEX('Вводные'!$F$88:$F$91,$B$36)+'Вводные'!$H$9)),AND($B$35="Да",IFERROR(INDEX('Вводные'!$B$88:$B$91,$B$36),"Нет")="Да")),MAX(0,SUM($D53:CY53)-CY53),0)</x:f>
      </x:c>
      <x:c r="CZ55" s="107" t="n">
        <x:f>IF(AND(YEAR(CZ$3)=YEAR(EDATE(INDEX('Вводные'!$D$88:$D$91,$B$36),INDEX('Вводные'!$E$88:$E$91,$B$36)+INDEX('Вводные'!$F$88:$F$91,$B$36)+'Вводные'!$H$9)),MONTH(CZ$3)=MONTH(EDATE(INDEX('Вводные'!$D$88:$D$91,$B$36),INDEX('Вводные'!$E$88:$E$91,$B$36)+INDEX('Вводные'!$F$88:$F$91,$B$36)+'Вводные'!$H$9)),AND($B$35="Да",IFERROR(INDEX('Вводные'!$B$88:$B$91,$B$36),"Нет")="Да")),MAX(0,SUM($D53:CZ53)-CZ53),0)</x:f>
      </x:c>
      <x:c r="DA55" s="107" t="n">
        <x:f>IF(AND(YEAR(DA$3)=YEAR(EDATE(INDEX('Вводные'!$D$88:$D$91,$B$36),INDEX('Вводные'!$E$88:$E$91,$B$36)+INDEX('Вводные'!$F$88:$F$91,$B$36)+'Вводные'!$H$9)),MONTH(DA$3)=MONTH(EDATE(INDEX('Вводные'!$D$88:$D$91,$B$36),INDEX('Вводные'!$E$88:$E$91,$B$36)+INDEX('Вводные'!$F$88:$F$91,$B$36)+'Вводные'!$H$9)),AND($B$35="Да",IFERROR(INDEX('Вводные'!$B$88:$B$91,$B$36),"Нет")="Да")),MAX(0,SUM($D53:DA53)-DA53),0)</x:f>
      </x:c>
      <x:c r="DB55" s="107" t="n">
        <x:f>IF(AND(YEAR(DB$3)=YEAR(EDATE(INDEX('Вводные'!$D$88:$D$91,$B$36),INDEX('Вводные'!$E$88:$E$91,$B$36)+INDEX('Вводные'!$F$88:$F$91,$B$36)+'Вводные'!$H$9)),MONTH(DB$3)=MONTH(EDATE(INDEX('Вводные'!$D$88:$D$91,$B$36),INDEX('Вводные'!$E$88:$E$91,$B$36)+INDEX('Вводные'!$F$88:$F$91,$B$36)+'Вводные'!$H$9)),AND($B$35="Да",IFERROR(INDEX('Вводные'!$B$88:$B$91,$B$36),"Нет")="Да")),MAX(0,SUM($D53:DB53)-DB53),0)</x:f>
      </x:c>
      <x:c r="DC55" s="107" t="n">
        <x:f>IF(AND(YEAR(DC$3)=YEAR(EDATE(INDEX('Вводные'!$D$88:$D$91,$B$36),INDEX('Вводные'!$E$88:$E$91,$B$36)+INDEX('Вводные'!$F$88:$F$91,$B$36)+'Вводные'!$H$9)),MONTH(DC$3)=MONTH(EDATE(INDEX('Вводные'!$D$88:$D$91,$B$36),INDEX('Вводные'!$E$88:$E$91,$B$36)+INDEX('Вводные'!$F$88:$F$91,$B$36)+'Вводные'!$H$9)),AND($B$35="Да",IFERROR(INDEX('Вводные'!$B$88:$B$91,$B$36),"Нет")="Да")),MAX(0,SUM($D53:DC53)-DC53),0)</x:f>
      </x:c>
      <x:c r="DD55" s="107" t="n">
        <x:f>IF(AND(YEAR(DD$3)=YEAR(EDATE(INDEX('Вводные'!$D$88:$D$91,$B$36),INDEX('Вводные'!$E$88:$E$91,$B$36)+INDEX('Вводные'!$F$88:$F$91,$B$36)+'Вводные'!$H$9)),MONTH(DD$3)=MONTH(EDATE(INDEX('Вводные'!$D$88:$D$91,$B$36),INDEX('Вводные'!$E$88:$E$91,$B$36)+INDEX('Вводные'!$F$88:$F$91,$B$36)+'Вводные'!$H$9)),AND($B$35="Да",IFERROR(INDEX('Вводные'!$B$88:$B$91,$B$36),"Нет")="Да")),MAX(0,SUM($D53:DD53)-DD53),0)</x:f>
      </x:c>
      <x:c r="DE55" s="107" t="n">
        <x:f>IF(AND(YEAR(DE$3)=YEAR(EDATE(INDEX('Вводные'!$D$88:$D$91,$B$36),INDEX('Вводные'!$E$88:$E$91,$B$36)+INDEX('Вводные'!$F$88:$F$91,$B$36)+'Вводные'!$H$9)),MONTH(DE$3)=MONTH(EDATE(INDEX('Вводные'!$D$88:$D$91,$B$36),INDEX('Вводные'!$E$88:$E$91,$B$36)+INDEX('Вводные'!$F$88:$F$91,$B$36)+'Вводные'!$H$9)),AND($B$35="Да",IFERROR(INDEX('Вводные'!$B$88:$B$91,$B$36),"Нет")="Да")),MAX(0,SUM($D53:DE53)-DE53),0)</x:f>
      </x:c>
      <x:c r="DF55" s="107" t="n">
        <x:f>IF(AND(YEAR(DF$3)=YEAR(EDATE(INDEX('Вводные'!$D$88:$D$91,$B$36),INDEX('Вводные'!$E$88:$E$91,$B$36)+INDEX('Вводные'!$F$88:$F$91,$B$36)+'Вводные'!$H$9)),MONTH(DF$3)=MONTH(EDATE(INDEX('Вводные'!$D$88:$D$91,$B$36),INDEX('Вводные'!$E$88:$E$91,$B$36)+INDEX('Вводные'!$F$88:$F$91,$B$36)+'Вводные'!$H$9)),AND($B$35="Да",IFERROR(INDEX('Вводные'!$B$88:$B$91,$B$36),"Нет")="Да")),MAX(0,SUM($D53:DF53)-DF53),0)</x:f>
      </x:c>
      <x:c r="DG55" s="107" t="n">
        <x:f>IF(AND(YEAR(DG$3)=YEAR(EDATE(INDEX('Вводные'!$D$88:$D$91,$B$36),INDEX('Вводные'!$E$88:$E$91,$B$36)+INDEX('Вводные'!$F$88:$F$91,$B$36)+'Вводные'!$H$9)),MONTH(DG$3)=MONTH(EDATE(INDEX('Вводные'!$D$88:$D$91,$B$36),INDEX('Вводные'!$E$88:$E$91,$B$36)+INDEX('Вводные'!$F$88:$F$91,$B$36)+'Вводные'!$H$9)),AND($B$35="Да",IFERROR(INDEX('Вводные'!$B$88:$B$91,$B$36),"Нет")="Да")),MAX(0,SUM($D53:DG53)-DG53),0)</x:f>
      </x:c>
      <x:c r="DH55" s="107" t="n">
        <x:f>IF(AND(YEAR(DH$3)=YEAR(EDATE(INDEX('Вводные'!$D$88:$D$91,$B$36),INDEX('Вводные'!$E$88:$E$91,$B$36)+INDEX('Вводные'!$F$88:$F$91,$B$36)+'Вводные'!$H$9)),MONTH(DH$3)=MONTH(EDATE(INDEX('Вводные'!$D$88:$D$91,$B$36),INDEX('Вводные'!$E$88:$E$91,$B$36)+INDEX('Вводные'!$F$88:$F$91,$B$36)+'Вводные'!$H$9)),AND($B$35="Да",IFERROR(INDEX('Вводные'!$B$88:$B$91,$B$36),"Нет")="Да")),MAX(0,SUM($D53:DH53)-DH53),0)</x:f>
      </x:c>
      <x:c r="DI55" s="107" t="n">
        <x:f>IF(AND(YEAR(DI$3)=YEAR(EDATE(INDEX('Вводные'!$D$88:$D$91,$B$36),INDEX('Вводные'!$E$88:$E$91,$B$36)+INDEX('Вводные'!$F$88:$F$91,$B$36)+'Вводные'!$H$9)),MONTH(DI$3)=MONTH(EDATE(INDEX('Вводные'!$D$88:$D$91,$B$36),INDEX('Вводные'!$E$88:$E$91,$B$36)+INDEX('Вводные'!$F$88:$F$91,$B$36)+'Вводные'!$H$9)),AND($B$35="Да",IFERROR(INDEX('Вводные'!$B$88:$B$91,$B$36),"Нет")="Да")),MAX(0,SUM($D53:DI53)-DI53),0)</x:f>
      </x:c>
      <x:c r="DJ55" s="107" t="n">
        <x:f>IF(AND(YEAR(DJ$3)=YEAR(EDATE(INDEX('Вводные'!$D$88:$D$91,$B$36),INDEX('Вводные'!$E$88:$E$91,$B$36)+INDEX('Вводные'!$F$88:$F$91,$B$36)+'Вводные'!$H$9)),MONTH(DJ$3)=MONTH(EDATE(INDEX('Вводные'!$D$88:$D$91,$B$36),INDEX('Вводные'!$E$88:$E$91,$B$36)+INDEX('Вводные'!$F$88:$F$91,$B$36)+'Вводные'!$H$9)),AND($B$35="Да",IFERROR(INDEX('Вводные'!$B$88:$B$91,$B$36),"Нет")="Да")),MAX(0,SUM($D53:DJ53)-DJ53),0)</x:f>
      </x:c>
      <x:c r="DK55" s="107" t="n">
        <x:f>IF(AND(YEAR(DK$3)=YEAR(EDATE(INDEX('Вводные'!$D$88:$D$91,$B$36),INDEX('Вводные'!$E$88:$E$91,$B$36)+INDEX('Вводные'!$F$88:$F$91,$B$36)+'Вводные'!$H$9)),MONTH(DK$3)=MONTH(EDATE(INDEX('Вводные'!$D$88:$D$91,$B$36),INDEX('Вводные'!$E$88:$E$91,$B$36)+INDEX('Вводные'!$F$88:$F$91,$B$36)+'Вводные'!$H$9)),AND($B$35="Да",IFERROR(INDEX('Вводные'!$B$88:$B$91,$B$36),"Нет")="Да")),MAX(0,SUM($D53:DK53)-DK53),0)</x:f>
      </x:c>
      <x:c r="DL55" s="107" t="n">
        <x:f>IF(AND(YEAR(DL$3)=YEAR(EDATE(INDEX('Вводные'!$D$88:$D$91,$B$36),INDEX('Вводные'!$E$88:$E$91,$B$36)+INDEX('Вводные'!$F$88:$F$91,$B$36)+'Вводные'!$H$9)),MONTH(DL$3)=MONTH(EDATE(INDEX('Вводные'!$D$88:$D$91,$B$36),INDEX('Вводные'!$E$88:$E$91,$B$36)+INDEX('Вводные'!$F$88:$F$91,$B$36)+'Вводные'!$H$9)),AND($B$35="Да",IFERROR(INDEX('Вводные'!$B$88:$B$91,$B$36),"Нет")="Да")),MAX(0,SUM($D53:DL53)-DL53),0)</x:f>
      </x:c>
      <x:c r="DM55" s="107" t="n">
        <x:f>IF(AND(YEAR(DM$3)=YEAR(EDATE(INDEX('Вводные'!$D$88:$D$91,$B$36),INDEX('Вводные'!$E$88:$E$91,$B$36)+INDEX('Вводные'!$F$88:$F$91,$B$36)+'Вводные'!$H$9)),MONTH(DM$3)=MONTH(EDATE(INDEX('Вводные'!$D$88:$D$91,$B$36),INDEX('Вводные'!$E$88:$E$91,$B$36)+INDEX('Вводные'!$F$88:$F$91,$B$36)+'Вводные'!$H$9)),AND($B$35="Да",IFERROR(INDEX('Вводные'!$B$88:$B$91,$B$36),"Нет")="Да")),MAX(0,SUM($D53:DM53)-DM53),0)</x:f>
      </x:c>
      <x:c r="DN55" s="107" t="n">
        <x:f>IF(AND(YEAR(DN$3)=YEAR(EDATE(INDEX('Вводные'!$D$88:$D$91,$B$36),INDEX('Вводные'!$E$88:$E$91,$B$36)+INDEX('Вводные'!$F$88:$F$91,$B$36)+'Вводные'!$H$9)),MONTH(DN$3)=MONTH(EDATE(INDEX('Вводные'!$D$88:$D$91,$B$36),INDEX('Вводные'!$E$88:$E$91,$B$36)+INDEX('Вводные'!$F$88:$F$91,$B$36)+'Вводные'!$H$9)),AND($B$35="Да",IFERROR(INDEX('Вводные'!$B$88:$B$91,$B$36),"Нет")="Да")),MAX(0,SUM($D53:DN53)-DN53),0)</x:f>
      </x:c>
      <x:c r="DO55" s="107" t="n">
        <x:f>IF(AND(YEAR(DO$3)=YEAR(EDATE(INDEX('Вводные'!$D$88:$D$91,$B$36),INDEX('Вводные'!$E$88:$E$91,$B$36)+INDEX('Вводные'!$F$88:$F$91,$B$36)+'Вводные'!$H$9)),MONTH(DO$3)=MONTH(EDATE(INDEX('Вводные'!$D$88:$D$91,$B$36),INDEX('Вводные'!$E$88:$E$91,$B$36)+INDEX('Вводные'!$F$88:$F$91,$B$36)+'Вводные'!$H$9)),AND($B$35="Да",IFERROR(INDEX('Вводные'!$B$88:$B$91,$B$36),"Нет")="Да")),MAX(0,SUM($D53:DO53)-DO53),0)</x:f>
      </x:c>
      <x:c r="DP55" s="107" t="n">
        <x:f>IF(AND(YEAR(DP$3)=YEAR(EDATE(INDEX('Вводные'!$D$88:$D$91,$B$36),INDEX('Вводные'!$E$88:$E$91,$B$36)+INDEX('Вводные'!$F$88:$F$91,$B$36)+'Вводные'!$H$9)),MONTH(DP$3)=MONTH(EDATE(INDEX('Вводные'!$D$88:$D$91,$B$36),INDEX('Вводные'!$E$88:$E$91,$B$36)+INDEX('Вводные'!$F$88:$F$91,$B$36)+'Вводные'!$H$9)),AND($B$35="Да",IFERROR(INDEX('Вводные'!$B$88:$B$91,$B$36),"Нет")="Да")),MAX(0,SUM($D53:DP53)-DP53),0)</x:f>
      </x:c>
      <x:c r="DQ55" s="107" t="n">
        <x:f>IF(AND(YEAR(DQ$3)=YEAR(EDATE(INDEX('Вводные'!$D$88:$D$91,$B$36),INDEX('Вводные'!$E$88:$E$91,$B$36)+INDEX('Вводные'!$F$88:$F$91,$B$36)+'Вводные'!$H$9)),MONTH(DQ$3)=MONTH(EDATE(INDEX('Вводные'!$D$88:$D$91,$B$36),INDEX('Вводные'!$E$88:$E$91,$B$36)+INDEX('Вводные'!$F$88:$F$91,$B$36)+'Вводные'!$H$9)),AND($B$35="Да",IFERROR(INDEX('Вводные'!$B$88:$B$91,$B$36),"Нет")="Да")),MAX(0,SUM($D53:DQ53)-DQ53),0)</x:f>
      </x:c>
      <x:c r="DR55" s="107" t="n">
        <x:f>IF(AND(YEAR(DR$3)=YEAR(EDATE(INDEX('Вводные'!$D$88:$D$91,$B$36),INDEX('Вводные'!$E$88:$E$91,$B$36)+INDEX('Вводные'!$F$88:$F$91,$B$36)+'Вводные'!$H$9)),MONTH(DR$3)=MONTH(EDATE(INDEX('Вводные'!$D$88:$D$91,$B$36),INDEX('Вводные'!$E$88:$E$91,$B$36)+INDEX('Вводные'!$F$88:$F$91,$B$36)+'Вводные'!$H$9)),AND($B$35="Да",IFERROR(INDEX('Вводные'!$B$88:$B$91,$B$36),"Нет")="Да")),MAX(0,SUM($D53:DR53)-DR53),0)</x:f>
      </x:c>
      <x:c r="DS55" s="107" t="n">
        <x:f>IF(AND(YEAR(DS$3)=YEAR(EDATE(INDEX('Вводные'!$D$88:$D$91,$B$36),INDEX('Вводные'!$E$88:$E$91,$B$36)+INDEX('Вводные'!$F$88:$F$91,$B$36)+'Вводные'!$H$9)),MONTH(DS$3)=MONTH(EDATE(INDEX('Вводные'!$D$88:$D$91,$B$36),INDEX('Вводные'!$E$88:$E$91,$B$36)+INDEX('Вводные'!$F$88:$F$91,$B$36)+'Вводные'!$H$9)),AND($B$35="Да",IFERROR(INDEX('Вводные'!$B$88:$B$91,$B$36),"Нет")="Да")),MAX(0,SUM($D53:GA53)-DS53),0)</x:f>
      </x:c>
      <x:c r="DT55" s="107" t="n">
        <x:f>IF(AND(YEAR(DT$3)=YEAR(EDATE(INDEX('Вводные'!$D$88:$D$91,$B$36),INDEX('Вводные'!$E$88:$E$91,$B$36)+INDEX('Вводные'!$F$88:$F$91,$B$36)+'Вводные'!$H$9)),MONTH(DT$3)=MONTH(EDATE(INDEX('Вводные'!$D$88:$D$91,$B$36),INDEX('Вводные'!$E$88:$E$91,$B$36)+INDEX('Вводные'!$F$88:$F$91,$B$36)+'Вводные'!$H$9)),AND($B$35="Да",IFERROR(INDEX('Вводные'!$B$88:$B$91,$B$36),"Нет")="Да")),MAX(0,SUM($D53:DT53)-DT53),0)</x:f>
      </x:c>
      <x:c r="DU55" s="107" t="n">
        <x:f>IF(AND(YEAR(DU$3)=YEAR(EDATE(INDEX('Вводные'!$D$88:$D$91,$B$36),INDEX('Вводные'!$E$88:$E$91,$B$36)+INDEX('Вводные'!$F$88:$F$91,$B$36)+'Вводные'!$H$9)),MONTH(DU$3)=MONTH(EDATE(INDEX('Вводные'!$D$88:$D$91,$B$36),INDEX('Вводные'!$E$88:$E$91,$B$36)+INDEX('Вводные'!$F$88:$F$91,$B$36)+'Вводные'!$H$9)),AND($B$35="Да",IFERROR(INDEX('Вводные'!$B$88:$B$91,$B$36),"Нет")="Да")),MAX(0,SUM($D53:DU53)-DU53),0)</x:f>
      </x:c>
      <x:c r="DV55" s="107" t="n">
        <x:f>IF(AND(YEAR(DV$3)=YEAR(EDATE(INDEX('Вводные'!$D$88:$D$91,$B$36),INDEX('Вводные'!$E$88:$E$91,$B$36)+INDEX('Вводные'!$F$88:$F$91,$B$36)+'Вводные'!$H$9)),MONTH(DV$3)=MONTH(EDATE(INDEX('Вводные'!$D$88:$D$91,$B$36),INDEX('Вводные'!$E$88:$E$91,$B$36)+INDEX('Вводные'!$F$88:$F$91,$B$36)+'Вводные'!$H$9)),AND($B$35="Да",IFERROR(INDEX('Вводные'!$B$88:$B$91,$B$36),"Нет")="Да")),MAX(0,SUM($D53:DV53)-DV53),0)</x:f>
      </x:c>
      <x:c r="DW55" s="107" t="n">
        <x:f>IF(AND(YEAR(DW$3)=YEAR(EDATE(INDEX('Вводные'!$D$88:$D$91,$B$36),INDEX('Вводные'!$E$88:$E$91,$B$36)+INDEX('Вводные'!$F$88:$F$91,$B$36)+'Вводные'!$H$9)),MONTH(DW$3)=MONTH(EDATE(INDEX('Вводные'!$D$88:$D$91,$B$36),INDEX('Вводные'!$E$88:$E$91,$B$36)+INDEX('Вводные'!$F$88:$F$91,$B$36)+'Вводные'!$H$9)),AND($B$35="Да",IFERROR(INDEX('Вводные'!$B$88:$B$91,$B$36),"Нет")="Да")),MAX(0,SUM($D53:DW53)-DW53),0)</x:f>
      </x:c>
      <x:c r="DX55" s="107" t="n">
        <x:f>IF(AND(YEAR(DX$3)=YEAR(EDATE(INDEX('Вводные'!$D$88:$D$91,$B$36),INDEX('Вводные'!$E$88:$E$91,$B$36)+INDEX('Вводные'!$F$88:$F$91,$B$36)+'Вводные'!$H$9)),MONTH(DX$3)=MONTH(EDATE(INDEX('Вводные'!$D$88:$D$91,$B$36),INDEX('Вводные'!$E$88:$E$91,$B$36)+INDEX('Вводные'!$F$88:$F$91,$B$36)+'Вводные'!$H$9)),AND($B$35="Да",IFERROR(INDEX('Вводные'!$B$88:$B$91,$B$36),"Нет")="Да")),MAX(0,SUM($D53:DX53)-DX53),0)</x:f>
      </x:c>
      <x:c r="DY55" s="107" t="n">
        <x:f>IF(AND(YEAR(DY$3)=YEAR(EDATE(INDEX('Вводные'!$D$88:$D$91,$B$36),INDEX('Вводные'!$E$88:$E$91,$B$36)+INDEX('Вводные'!$F$88:$F$91,$B$36)+'Вводные'!$H$9)),MONTH(DY$3)=MONTH(EDATE(INDEX('Вводные'!$D$88:$D$91,$B$36),INDEX('Вводные'!$E$88:$E$91,$B$36)+INDEX('Вводные'!$F$88:$F$91,$B$36)+'Вводные'!$H$9)),AND($B$35="Да",IFERROR(INDEX('Вводные'!$B$88:$B$91,$B$36),"Нет")="Да")),MAX(0,SUM($D53:DY53)-DY53),0)</x:f>
      </x:c>
      <x:c r="DZ55" s="107" t="n">
        <x:f>IF(AND(YEAR(DZ$3)=YEAR(EDATE(INDEX('Вводные'!$D$88:$D$91,$B$36),INDEX('Вводные'!$E$88:$E$91,$B$36)+INDEX('Вводные'!$F$88:$F$91,$B$36)+'Вводные'!$H$9)),MONTH(DZ$3)=MONTH(EDATE(INDEX('Вводные'!$D$88:$D$91,$B$36),INDEX('Вводные'!$E$88:$E$91,$B$36)+INDEX('Вводные'!$F$88:$F$91,$B$36)+'Вводные'!$H$9)),AND($B$35="Да",IFERROR(INDEX('Вводные'!$B$88:$B$91,$B$36),"Нет")="Да")),MAX(0,SUM($D53:DZ53)-DZ53),0)</x:f>
      </x:c>
      <x:c r="EA55" s="107" t="n">
        <x:f>IF(AND(YEAR(EA$3)=YEAR(EDATE(INDEX('Вводные'!$D$88:$D$91,$B$36),INDEX('Вводные'!$E$88:$E$91,$B$36)+INDEX('Вводные'!$F$88:$F$91,$B$36)+'Вводные'!$H$9)),MONTH(EA$3)=MONTH(EDATE(INDEX('Вводные'!$D$88:$D$91,$B$36),INDEX('Вводные'!$E$88:$E$91,$B$36)+INDEX('Вводные'!$F$88:$F$91,$B$36)+'Вводные'!$H$9)),AND($B$35="Да",IFERROR(INDEX('Вводные'!$B$88:$B$91,$B$36),"Нет")="Да")),MAX(0,SUM($D53:EA53)-EA53),0)</x:f>
      </x:c>
      <x:c r="EB55" s="107" t="n">
        <x:f>IF(AND(YEAR(EB$3)=YEAR(EDATE(INDEX('Вводные'!$D$88:$D$91,$B$36),INDEX('Вводные'!$E$88:$E$91,$B$36)+INDEX('Вводные'!$F$88:$F$91,$B$36)+'Вводные'!$H$9)),MONTH(EB$3)=MONTH(EDATE(INDEX('Вводные'!$D$88:$D$91,$B$36),INDEX('Вводные'!$E$88:$E$91,$B$36)+INDEX('Вводные'!$F$88:$F$91,$B$36)+'Вводные'!$H$9)),AND($B$35="Да",IFERROR(INDEX('Вводные'!$B$88:$B$91,$B$36),"Нет")="Да")),MAX(0,SUM($D53:EB53)-EB53),0)</x:f>
      </x:c>
      <x:c r="EC55" s="107" t="n">
        <x:f>IF(AND(YEAR(EC$3)=YEAR(EDATE(INDEX('Вводные'!$D$88:$D$91,$B$36),INDEX('Вводные'!$E$88:$E$91,$B$36)+INDEX('Вводные'!$F$88:$F$91,$B$36)+'Вводные'!$H$9)),MONTH(EC$3)=MONTH(EDATE(INDEX('Вводные'!$D$88:$D$91,$B$36),INDEX('Вводные'!$E$88:$E$91,$B$36)+INDEX('Вводные'!$F$88:$F$91,$B$36)+'Вводные'!$H$9)),AND($B$35="Да",IFERROR(INDEX('Вводные'!$B$88:$B$91,$B$36),"Нет")="Да")),MAX(0,SUM($D53:EC53)-EC53),0)</x:f>
      </x:c>
      <x:c r="ED55" s="107" t="n">
        <x:f>IF(AND(YEAR(ED$3)=YEAR(EDATE(INDEX('Вводные'!$D$88:$D$91,$B$36),INDEX('Вводные'!$E$88:$E$91,$B$36)+INDEX('Вводные'!$F$88:$F$91,$B$36)+'Вводные'!$H$9)),MONTH(ED$3)=MONTH(EDATE(INDEX('Вводные'!$D$88:$D$91,$B$36),INDEX('Вводные'!$E$88:$E$91,$B$36)+INDEX('Вводные'!$F$88:$F$91,$B$36)+'Вводные'!$H$9)),AND($B$35="Да",IFERROR(INDEX('Вводные'!$B$88:$B$91,$B$36),"Нет")="Да")),MAX(0,SUM($D53:ED53)-ED53),0)</x:f>
      </x:c>
      <x:c r="EE55" s="107" t="n">
        <x:f>IF(AND(YEAR(EE$3)=YEAR(EDATE(INDEX('Вводные'!$D$88:$D$91,$B$36),INDEX('Вводные'!$E$88:$E$91,$B$36)+INDEX('Вводные'!$F$88:$F$91,$B$36)+'Вводные'!$H$9)),MONTH(EE$3)=MONTH(EDATE(INDEX('Вводные'!$D$88:$D$91,$B$36),INDEX('Вводные'!$E$88:$E$91,$B$36)+INDEX('Вводные'!$F$88:$F$91,$B$36)+'Вводные'!$H$9)),AND($B$35="Да",IFERROR(INDEX('Вводные'!$B$88:$B$91,$B$36),"Нет")="Да")),MAX(0,SUM($D53:EE53)-EE53),0)</x:f>
      </x:c>
      <x:c r="EF55" s="107" t="n">
        <x:f>IF(AND(YEAR(EF$3)=YEAR(EDATE(INDEX('Вводные'!$D$88:$D$91,$B$36),INDEX('Вводные'!$E$88:$E$91,$B$36)+INDEX('Вводные'!$F$88:$F$91,$B$36)+'Вводные'!$H$9)),MONTH(EF$3)=MONTH(EDATE(INDEX('Вводные'!$D$88:$D$91,$B$36),INDEX('Вводные'!$E$88:$E$91,$B$36)+INDEX('Вводные'!$F$88:$F$91,$B$36)+'Вводные'!$H$9)),AND($B$35="Да",IFERROR(INDEX('Вводные'!$B$88:$B$91,$B$36),"Нет")="Да")),MAX(0,SUM($D53:EF53)-EF53),0)</x:f>
      </x:c>
      <x:c r="EG55" s="107" t="n">
        <x:f>IF(AND(YEAR(EG$3)=YEAR(EDATE(INDEX('Вводные'!$D$88:$D$91,$B$36),INDEX('Вводные'!$E$88:$E$91,$B$36)+INDEX('Вводные'!$F$88:$F$91,$B$36)+'Вводные'!$H$9)),MONTH(EG$3)=MONTH(EDATE(INDEX('Вводные'!$D$88:$D$91,$B$36),INDEX('Вводные'!$E$88:$E$91,$B$36)+INDEX('Вводные'!$F$88:$F$91,$B$36)+'Вводные'!$H$9)),AND($B$35="Да",IFERROR(INDEX('Вводные'!$B$88:$B$91,$B$36),"Нет")="Да")),MAX(0,SUM($D53:EG53)-EG53),0)</x:f>
      </x:c>
      <x:c r="EH55" s="107" t="n">
        <x:f>IF(AND(YEAR(EH$3)=YEAR(EDATE(INDEX('Вводные'!$D$88:$D$91,$B$36),INDEX('Вводные'!$E$88:$E$91,$B$36)+INDEX('Вводные'!$F$88:$F$91,$B$36)+'Вводные'!$H$9)),MONTH(EH$3)=MONTH(EDATE(INDEX('Вводные'!$D$88:$D$91,$B$36),INDEX('Вводные'!$E$88:$E$91,$B$36)+INDEX('Вводные'!$F$88:$F$91,$B$36)+'Вводные'!$H$9)),AND($B$35="Да",IFERROR(INDEX('Вводные'!$B$88:$B$91,$B$36),"Нет")="Да")),MAX(0,SUM($D53:EH53)-EH53),0)</x:f>
      </x:c>
      <x:c r="EI55" s="107" t="n">
        <x:f>IF(AND(YEAR(EI$3)=YEAR(EDATE(INDEX('Вводные'!$D$88:$D$91,$B$36),INDEX('Вводные'!$E$88:$E$91,$B$36)+INDEX('Вводные'!$F$88:$F$91,$B$36)+'Вводные'!$H$9)),MONTH(EI$3)=MONTH(EDATE(INDEX('Вводные'!$D$88:$D$91,$B$36),INDEX('Вводные'!$E$88:$E$91,$B$36)+INDEX('Вводные'!$F$88:$F$91,$B$36)+'Вводные'!$H$9)),AND($B$35="Да",IFERROR(INDEX('Вводные'!$B$88:$B$91,$B$36),"Нет")="Да")),MAX(0,SUM($D53:EI53)-EI53),0)</x:f>
      </x:c>
      <x:c r="EJ55" s="107" t="n">
        <x:f>IF(AND(YEAR(EJ$3)=YEAR(EDATE(INDEX('Вводные'!$D$88:$D$91,$B$36),INDEX('Вводные'!$E$88:$E$91,$B$36)+INDEX('Вводные'!$F$88:$F$91,$B$36)+'Вводные'!$H$9)),MONTH(EJ$3)=MONTH(EDATE(INDEX('Вводные'!$D$88:$D$91,$B$36),INDEX('Вводные'!$E$88:$E$91,$B$36)+INDEX('Вводные'!$F$88:$F$91,$B$36)+'Вводные'!$H$9)),AND($B$35="Да",IFERROR(INDEX('Вводные'!$B$88:$B$91,$B$36),"Нет")="Да")),MAX(0,SUM($D53:EJ53)-EJ53),0)</x:f>
      </x:c>
      <x:c r="EK55" s="107" t="n">
        <x:f>IF(AND(YEAR(EK$3)=YEAR(EDATE(INDEX('Вводные'!$D$88:$D$91,$B$36),INDEX('Вводные'!$E$88:$E$91,$B$36)+INDEX('Вводные'!$F$88:$F$91,$B$36)+'Вводные'!$H$9)),MONTH(EK$3)=MONTH(EDATE(INDEX('Вводные'!$D$88:$D$91,$B$36),INDEX('Вводные'!$E$88:$E$91,$B$36)+INDEX('Вводные'!$F$88:$F$91,$B$36)+'Вводные'!$H$9)),AND($B$35="Да",IFERROR(INDEX('Вводные'!$B$88:$B$91,$B$36),"Нет")="Да")),MAX(0,SUM($D53:EK53)-EK53),0)</x:f>
      </x:c>
      <x:c r="EL55" s="107" t="n">
        <x:f>IF(AND(YEAR(EL$3)=YEAR(EDATE(INDEX('Вводные'!$D$88:$D$91,$B$36),INDEX('Вводные'!$E$88:$E$91,$B$36)+INDEX('Вводные'!$F$88:$F$91,$B$36)+'Вводные'!$H$9)),MONTH(EL$3)=MONTH(EDATE(INDEX('Вводные'!$D$88:$D$91,$B$36),INDEX('Вводные'!$E$88:$E$91,$B$36)+INDEX('Вводные'!$F$88:$F$91,$B$36)+'Вводные'!$H$9)),AND($B$35="Да",IFERROR(INDEX('Вводные'!$B$88:$B$91,$B$36),"Нет")="Да")),MAX(0,SUM($D53:EL53)-EL53),0)</x:f>
      </x:c>
      <x:c r="EM55" s="107" t="n">
        <x:f>IF(AND(YEAR(EM$3)=YEAR(EDATE(INDEX('Вводные'!$D$88:$D$91,$B$36),INDEX('Вводные'!$E$88:$E$91,$B$36)+INDEX('Вводные'!$F$88:$F$91,$B$36)+'Вводные'!$H$9)),MONTH(EM$3)=MONTH(EDATE(INDEX('Вводные'!$D$88:$D$91,$B$36),INDEX('Вводные'!$E$88:$E$91,$B$36)+INDEX('Вводные'!$F$88:$F$91,$B$36)+'Вводные'!$H$9)),AND($B$35="Да",IFERROR(INDEX('Вводные'!$B$88:$B$91,$B$36),"Нет")="Да")),MAX(0,SUM($D53:EM53)-EM53),0)</x:f>
      </x:c>
      <x:c r="EN55" s="107" t="n">
        <x:f>IF(AND(YEAR(EN$3)=YEAR(EDATE(INDEX('Вводные'!$D$88:$D$91,$B$36),INDEX('Вводные'!$E$88:$E$91,$B$36)+INDEX('Вводные'!$F$88:$F$91,$B$36)+'Вводные'!$H$9)),MONTH(EN$3)=MONTH(EDATE(INDEX('Вводные'!$D$88:$D$91,$B$36),INDEX('Вводные'!$E$88:$E$91,$B$36)+INDEX('Вводные'!$F$88:$F$91,$B$36)+'Вводные'!$H$9)),AND($B$35="Да",IFERROR(INDEX('Вводные'!$B$88:$B$91,$B$36),"Нет")="Да")),MAX(0,SUM($D53:EN53)-EN53),0)</x:f>
      </x:c>
      <x:c r="EO55" s="107" t="n">
        <x:f>IF(AND(YEAR(EO$3)=YEAR(EDATE(INDEX('Вводные'!$D$88:$D$91,$B$36),INDEX('Вводные'!$E$88:$E$91,$B$36)+INDEX('Вводные'!$F$88:$F$91,$B$36)+'Вводные'!$H$9)),MONTH(EO$3)=MONTH(EDATE(INDEX('Вводные'!$D$88:$D$91,$B$36),INDEX('Вводные'!$E$88:$E$91,$B$36)+INDEX('Вводные'!$F$88:$F$91,$B$36)+'Вводные'!$H$9)),AND($B$35="Да",IFERROR(INDEX('Вводные'!$B$88:$B$91,$B$36),"Нет")="Да")),MAX(0,SUM($D53:EO53)-EO53),0)</x:f>
      </x:c>
      <x:c r="EP55" s="107" t="n">
        <x:f>IF(AND(YEAR(EP$3)=YEAR(EDATE(INDEX('Вводные'!$D$88:$D$91,$B$36),INDEX('Вводные'!$E$88:$E$91,$B$36)+INDEX('Вводные'!$F$88:$F$91,$B$36)+'Вводные'!$H$9)),MONTH(EP$3)=MONTH(EDATE(INDEX('Вводные'!$D$88:$D$91,$B$36),INDEX('Вводные'!$E$88:$E$91,$B$36)+INDEX('Вводные'!$F$88:$F$91,$B$36)+'Вводные'!$H$9)),AND($B$35="Да",IFERROR(INDEX('Вводные'!$B$88:$B$91,$B$36),"Нет")="Да")),MAX(0,SUM($D53:EP53)-EP53),0)</x:f>
      </x:c>
      <x:c r="EQ55" s="107" t="n">
        <x:f>IF(AND(YEAR(EQ$3)=YEAR(EDATE(INDEX('Вводные'!$D$88:$D$91,$B$36),INDEX('Вводные'!$E$88:$E$91,$B$36)+INDEX('Вводные'!$F$88:$F$91,$B$36)+'Вводные'!$H$9)),MONTH(EQ$3)=MONTH(EDATE(INDEX('Вводные'!$D$88:$D$91,$B$36),INDEX('Вводные'!$E$88:$E$91,$B$36)+INDEX('Вводные'!$F$88:$F$91,$B$36)+'Вводные'!$H$9)),AND($B$35="Да",IFERROR(INDEX('Вводные'!$B$88:$B$91,$B$36),"Нет")="Да")),MAX(0,SUM($D53:EQ53)-EQ53),0)</x:f>
      </x:c>
      <x:c r="ER55" s="107" t="n">
        <x:f>IF(AND(YEAR(ER$3)=YEAR(EDATE(INDEX('Вводные'!$D$88:$D$91,$B$36),INDEX('Вводные'!$E$88:$E$91,$B$36)+INDEX('Вводные'!$F$88:$F$91,$B$36)+'Вводные'!$H$9)),MONTH(ER$3)=MONTH(EDATE(INDEX('Вводные'!$D$88:$D$91,$B$36),INDEX('Вводные'!$E$88:$E$91,$B$36)+INDEX('Вводные'!$F$88:$F$91,$B$36)+'Вводные'!$H$9)),AND($B$35="Да",IFERROR(INDEX('Вводные'!$B$88:$B$91,$B$36),"Нет")="Да")),MAX(0,SUM($D53:ER53)-ER53),0)</x:f>
      </x:c>
      <x:c r="ES55" s="107" t="n">
        <x:f>IF(AND(YEAR(ES$3)=YEAR(EDATE(INDEX('Вводные'!$D$88:$D$91,$B$36),INDEX('Вводные'!$E$88:$E$91,$B$36)+INDEX('Вводные'!$F$88:$F$91,$B$36)+'Вводные'!$H$9)),MONTH(ES$3)=MONTH(EDATE(INDEX('Вводные'!$D$88:$D$91,$B$36),INDEX('Вводные'!$E$88:$E$91,$B$36)+INDEX('Вводные'!$F$88:$F$91,$B$36)+'Вводные'!$H$9)),AND($B$35="Да",IFERROR(INDEX('Вводные'!$B$88:$B$91,$B$36),"Нет")="Да")),MAX(0,SUM($D53:ES53)-ES53),0)</x:f>
      </x:c>
      <x:c r="ET55" s="107" t="n">
        <x:f>IF(AND(YEAR(ET$3)=YEAR(EDATE(INDEX('Вводные'!$D$88:$D$91,$B$36),INDEX('Вводные'!$E$88:$E$91,$B$36)+INDEX('Вводные'!$F$88:$F$91,$B$36)+'Вводные'!$H$9)),MONTH(ET$3)=MONTH(EDATE(INDEX('Вводные'!$D$88:$D$91,$B$36),INDEX('Вводные'!$E$88:$E$91,$B$36)+INDEX('Вводные'!$F$88:$F$91,$B$36)+'Вводные'!$H$9)),AND($B$35="Да",IFERROR(INDEX('Вводные'!$B$88:$B$91,$B$36),"Нет")="Да")),MAX(0,SUM($D53:ET53)-ET53),0)</x:f>
      </x:c>
      <x:c r="EU55" s="107" t="n">
        <x:f>IF(AND(YEAR(EU$3)=YEAR(EDATE(INDEX('Вводные'!$D$88:$D$91,$B$36),INDEX('Вводные'!$E$88:$E$91,$B$36)+INDEX('Вводные'!$F$88:$F$91,$B$36)+'Вводные'!$H$9)),MONTH(EU$3)=MONTH(EDATE(INDEX('Вводные'!$D$88:$D$91,$B$36),INDEX('Вводные'!$E$88:$E$91,$B$36)+INDEX('Вводные'!$F$88:$F$91,$B$36)+'Вводные'!$H$9)),AND($B$35="Да",IFERROR(INDEX('Вводные'!$B$88:$B$91,$B$36),"Нет")="Да")),MAX(0,SUM($D53:EU53)-EU53),0)</x:f>
      </x:c>
      <x:c r="EV55" s="107" t="n">
        <x:f>IF(AND(YEAR(EV$3)=YEAR(EDATE(INDEX('Вводные'!$D$88:$D$91,$B$36),INDEX('Вводные'!$E$88:$E$91,$B$36)+INDEX('Вводные'!$F$88:$F$91,$B$36)+'Вводные'!$H$9)),MONTH(EV$3)=MONTH(EDATE(INDEX('Вводные'!$D$88:$D$91,$B$36),INDEX('Вводные'!$E$88:$E$91,$B$36)+INDEX('Вводные'!$F$88:$F$91,$B$36)+'Вводные'!$H$9)),AND($B$35="Да",IFERROR(INDEX('Вводные'!$B$88:$B$91,$B$36),"Нет")="Да")),MAX(0,SUM($D53:EV53)-EV53),0)</x:f>
      </x:c>
      <x:c r="EW55" s="107" t="n">
        <x:f>IF(AND(YEAR(EW$3)=YEAR(EDATE(INDEX('Вводные'!$D$88:$D$91,$B$36),INDEX('Вводные'!$E$88:$E$91,$B$36)+INDEX('Вводные'!$F$88:$F$91,$B$36)+'Вводные'!$H$9)),MONTH(EW$3)=MONTH(EDATE(INDEX('Вводные'!$D$88:$D$91,$B$36),INDEX('Вводные'!$E$88:$E$91,$B$36)+INDEX('Вводные'!$F$88:$F$91,$B$36)+'Вводные'!$H$9)),AND($B$35="Да",IFERROR(INDEX('Вводные'!$B$88:$B$91,$B$36),"Нет")="Да")),MAX(0,SUM($D53:EW53)-EW53),0)</x:f>
      </x:c>
      <x:c r="EX55" s="107" t="n">
        <x:f>IF(AND(YEAR(EX$3)=YEAR(EDATE(INDEX('Вводные'!$D$88:$D$91,$B$36),INDEX('Вводные'!$E$88:$E$91,$B$36)+INDEX('Вводные'!$F$88:$F$91,$B$36)+'Вводные'!$H$9)),MONTH(EX$3)=MONTH(EDATE(INDEX('Вводные'!$D$88:$D$91,$B$36),INDEX('Вводные'!$E$88:$E$91,$B$36)+INDEX('Вводные'!$F$88:$F$91,$B$36)+'Вводные'!$H$9)),AND($B$35="Да",IFERROR(INDEX('Вводные'!$B$88:$B$91,$B$36),"Нет")="Да")),MAX(0,SUM($D53:EX53)-EX53),0)</x:f>
      </x:c>
      <x:c r="EY55" s="107" t="n">
        <x:f>IF(AND(YEAR(EY$3)=YEAR(EDATE(INDEX('Вводные'!$D$88:$D$91,$B$36),INDEX('Вводные'!$E$88:$E$91,$B$36)+INDEX('Вводные'!$F$88:$F$91,$B$36)+'Вводные'!$H$9)),MONTH(EY$3)=MONTH(EDATE(INDEX('Вводные'!$D$88:$D$91,$B$36),INDEX('Вводные'!$E$88:$E$91,$B$36)+INDEX('Вводные'!$F$88:$F$91,$B$36)+'Вводные'!$H$9)),AND($B$35="Да",IFERROR(INDEX('Вводные'!$B$88:$B$91,$B$36),"Нет")="Да")),MAX(0,SUM($D53:EY53)-EY53),0)</x:f>
      </x:c>
      <x:c r="EZ55" s="107" t="n">
        <x:f>IF(AND(YEAR(EZ$3)=YEAR(EDATE(INDEX('Вводные'!$D$88:$D$91,$B$36),INDEX('Вводные'!$E$88:$E$91,$B$36)+INDEX('Вводные'!$F$88:$F$91,$B$36)+'Вводные'!$H$9)),MONTH(EZ$3)=MONTH(EDATE(INDEX('Вводные'!$D$88:$D$91,$B$36),INDEX('Вводные'!$E$88:$E$91,$B$36)+INDEX('Вводные'!$F$88:$F$91,$B$36)+'Вводные'!$H$9)),AND($B$35="Да",IFERROR(INDEX('Вводные'!$B$88:$B$91,$B$36),"Нет")="Да")),MAX(0,SUM($D53:EZ53)-EZ53),0)</x:f>
      </x:c>
      <x:c r="FA55" s="107" t="n">
        <x:f>IF(AND(YEAR(FA$3)=YEAR(EDATE(INDEX('Вводные'!$D$88:$D$91,$B$36),INDEX('Вводные'!$E$88:$E$91,$B$36)+INDEX('Вводные'!$F$88:$F$91,$B$36)+'Вводные'!$H$9)),MONTH(FA$3)=MONTH(EDATE(INDEX('Вводные'!$D$88:$D$91,$B$36),INDEX('Вводные'!$E$88:$E$91,$B$36)+INDEX('Вводные'!$F$88:$F$91,$B$36)+'Вводные'!$H$9)),AND($B$35="Да",IFERROR(INDEX('Вводные'!$B$88:$B$91,$B$36),"Нет")="Да")),MAX(0,SUM($D53:FA53)-FA53),0)</x:f>
      </x:c>
      <x:c r="FB55" s="107" t="n">
        <x:f>IF(AND(YEAR(FB$3)=YEAR(EDATE(INDEX('Вводные'!$D$88:$D$91,$B$36),INDEX('Вводные'!$E$88:$E$91,$B$36)+INDEX('Вводные'!$F$88:$F$91,$B$36)+'Вводные'!$H$9)),MONTH(FB$3)=MONTH(EDATE(INDEX('Вводные'!$D$88:$D$91,$B$36),INDEX('Вводные'!$E$88:$E$91,$B$36)+INDEX('Вводные'!$F$88:$F$91,$B$36)+'Вводные'!$H$9)),AND($B$35="Да",IFERROR(INDEX('Вводные'!$B$88:$B$91,$B$36),"Нет")="Да")),MAX(0,SUM($D53:FB53)-FB53),0)</x:f>
      </x:c>
      <x:c r="FC55" s="107" t="n">
        <x:f>IF(AND(YEAR(FC$3)=YEAR(EDATE(INDEX('Вводные'!$D$88:$D$91,$B$36),INDEX('Вводные'!$E$88:$E$91,$B$36)+INDEX('Вводные'!$F$88:$F$91,$B$36)+'Вводные'!$H$9)),MONTH(FC$3)=MONTH(EDATE(INDEX('Вводные'!$D$88:$D$91,$B$36),INDEX('Вводные'!$E$88:$E$91,$B$36)+INDEX('Вводные'!$F$88:$F$91,$B$36)+'Вводные'!$H$9)),AND($B$35="Да",IFERROR(INDEX('Вводные'!$B$88:$B$91,$B$36),"Нет")="Да")),MAX(0,SUM($D53:FC53)-FC53),0)</x:f>
      </x:c>
      <x:c r="FD55" s="107" t="n">
        <x:f>IF(AND(YEAR(FD$3)=YEAR(EDATE(INDEX('Вводные'!$D$88:$D$91,$B$36),INDEX('Вводные'!$E$88:$E$91,$B$36)+INDEX('Вводные'!$F$88:$F$91,$B$36)+'Вводные'!$H$9)),MONTH(FD$3)=MONTH(EDATE(INDEX('Вводные'!$D$88:$D$91,$B$36),INDEX('Вводные'!$E$88:$E$91,$B$36)+INDEX('Вводные'!$F$88:$F$91,$B$36)+'Вводные'!$H$9)),AND($B$35="Да",IFERROR(INDEX('Вводные'!$B$88:$B$91,$B$36),"Нет")="Да")),MAX(0,SUM($D53:FD53)-FD53),0)</x:f>
      </x:c>
      <x:c r="FE55" s="107" t="n">
        <x:f>IF(AND(YEAR(FE$3)=YEAR(EDATE(INDEX('Вводные'!$D$88:$D$91,$B$36),INDEX('Вводные'!$E$88:$E$91,$B$36)+INDEX('Вводные'!$F$88:$F$91,$B$36)+'Вводные'!$H$9)),MONTH(FE$3)=MONTH(EDATE(INDEX('Вводные'!$D$88:$D$91,$B$36),INDEX('Вводные'!$E$88:$E$91,$B$36)+INDEX('Вводные'!$F$88:$F$91,$B$36)+'Вводные'!$H$9)),AND($B$35="Да",IFERROR(INDEX('Вводные'!$B$88:$B$91,$B$36),"Нет")="Да")),MAX(0,SUM($D53:FE53)-FE53),0)</x:f>
      </x:c>
      <x:c r="FF55" s="107" t="n">
        <x:f>IF(AND(YEAR(FF$3)=YEAR(EDATE(INDEX('Вводные'!$D$88:$D$91,$B$36),INDEX('Вводные'!$E$88:$E$91,$B$36)+INDEX('Вводные'!$F$88:$F$91,$B$36)+'Вводные'!$H$9)),MONTH(FF$3)=MONTH(EDATE(INDEX('Вводные'!$D$88:$D$91,$B$36),INDEX('Вводные'!$E$88:$E$91,$B$36)+INDEX('Вводные'!$F$88:$F$91,$B$36)+'Вводные'!$H$9)),AND($B$35="Да",IFERROR(INDEX('Вводные'!$B$88:$B$91,$B$36),"Нет")="Да")),MAX(0,SUM($D53:FF53)-FF53),0)</x:f>
      </x:c>
      <x:c r="FG55" s="107" t="n">
        <x:f>IF(AND(YEAR(FG$3)=YEAR(EDATE(INDEX('Вводные'!$D$88:$D$91,$B$36),INDEX('Вводные'!$E$88:$E$91,$B$36)+INDEX('Вводные'!$F$88:$F$91,$B$36)+'Вводные'!$H$9)),MONTH(FG$3)=MONTH(EDATE(INDEX('Вводные'!$D$88:$D$91,$B$36),INDEX('Вводные'!$E$88:$E$91,$B$36)+INDEX('Вводные'!$F$88:$F$91,$B$36)+'Вводные'!$H$9)),AND($B$35="Да",IFERROR(INDEX('Вводные'!$B$88:$B$91,$B$36),"Нет")="Да")),MAX(0,SUM($D53:FG53)-FG53),0)</x:f>
      </x:c>
      <x:c r="FH55" s="107" t="n">
        <x:f>IF(AND(YEAR(FH$3)=YEAR(EDATE(INDEX('Вводные'!$D$88:$D$91,$B$36),INDEX('Вводные'!$E$88:$E$91,$B$36)+INDEX('Вводные'!$F$88:$F$91,$B$36)+'Вводные'!$H$9)),MONTH(FH$3)=MONTH(EDATE(INDEX('Вводные'!$D$88:$D$91,$B$36),INDEX('Вводные'!$E$88:$E$91,$B$36)+INDEX('Вводные'!$F$88:$F$91,$B$36)+'Вводные'!$H$9)),AND($B$35="Да",IFERROR(INDEX('Вводные'!$B$88:$B$91,$B$36),"Нет")="Да")),MAX(0,SUM($D53:FH53)-FH53),0)</x:f>
      </x:c>
      <x:c r="FI55" s="107" t="n">
        <x:f>IF(AND(YEAR(FI$3)=YEAR(EDATE(INDEX('Вводные'!$D$88:$D$91,$B$36),INDEX('Вводные'!$E$88:$E$91,$B$36)+INDEX('Вводные'!$F$88:$F$91,$B$36)+'Вводные'!$H$9)),MONTH(FI$3)=MONTH(EDATE(INDEX('Вводные'!$D$88:$D$91,$B$36),INDEX('Вводные'!$E$88:$E$91,$B$36)+INDEX('Вводные'!$F$88:$F$91,$B$36)+'Вводные'!$H$9)),AND($B$35="Да",IFERROR(INDEX('Вводные'!$B$88:$B$91,$B$36),"Нет")="Да")),MAX(0,SUM($D53:FI53)-FI53),0)</x:f>
      </x:c>
      <x:c r="FJ55" s="107" t="n">
        <x:f>IF(AND(YEAR(FJ$3)=YEAR(EDATE(INDEX('Вводные'!$D$88:$D$91,$B$36),INDEX('Вводные'!$E$88:$E$91,$B$36)+INDEX('Вводные'!$F$88:$F$91,$B$36)+'Вводные'!$H$9)),MONTH(FJ$3)=MONTH(EDATE(INDEX('Вводные'!$D$88:$D$91,$B$36),INDEX('Вводные'!$E$88:$E$91,$B$36)+INDEX('Вводные'!$F$88:$F$91,$B$36)+'Вводные'!$H$9)),AND($B$35="Да",IFERROR(INDEX('Вводные'!$B$88:$B$91,$B$36),"Нет")="Да")),MAX(0,SUM($D53:FJ53)-FJ53),0)</x:f>
      </x:c>
      <x:c r="FK55" s="107" t="n">
        <x:f>IF(AND(YEAR(FK$3)=YEAR(EDATE(INDEX('Вводные'!$D$88:$D$91,$B$36),INDEX('Вводные'!$E$88:$E$91,$B$36)+INDEX('Вводные'!$F$88:$F$91,$B$36)+'Вводные'!$H$9)),MONTH(FK$3)=MONTH(EDATE(INDEX('Вводные'!$D$88:$D$91,$B$36),INDEX('Вводные'!$E$88:$E$91,$B$36)+INDEX('Вводные'!$F$88:$F$91,$B$36)+'Вводные'!$H$9)),AND($B$35="Да",IFERROR(INDEX('Вводные'!$B$88:$B$91,$B$36),"Нет")="Да")),MAX(0,SUM($D53:FK53)-FK53),0)</x:f>
      </x:c>
      <x:c r="FL55" s="107" t="n">
        <x:f>IF(AND(YEAR(FL$3)=YEAR(EDATE(INDEX('Вводные'!$D$88:$D$91,$B$36),INDEX('Вводные'!$E$88:$E$91,$B$36)+INDEX('Вводные'!$F$88:$F$91,$B$36)+'Вводные'!$H$9)),MONTH(FL$3)=MONTH(EDATE(INDEX('Вводные'!$D$88:$D$91,$B$36),INDEX('Вводные'!$E$88:$E$91,$B$36)+INDEX('Вводные'!$F$88:$F$91,$B$36)+'Вводные'!$H$9)),AND($B$35="Да",IFERROR(INDEX('Вводные'!$B$88:$B$91,$B$36),"Нет")="Да")),MAX(0,SUM($D53:FL53)-FL53),0)</x:f>
      </x:c>
      <x:c r="FM55" s="107" t="n">
        <x:f>IF(AND(YEAR(FM$3)=YEAR(EDATE(INDEX('Вводные'!$D$88:$D$91,$B$36),INDEX('Вводные'!$E$88:$E$91,$B$36)+INDEX('Вводные'!$F$88:$F$91,$B$36)+'Вводные'!$H$9)),MONTH(FM$3)=MONTH(EDATE(INDEX('Вводные'!$D$88:$D$91,$B$36),INDEX('Вводные'!$E$88:$E$91,$B$36)+INDEX('Вводные'!$F$88:$F$91,$B$36)+'Вводные'!$H$9)),AND($B$35="Да",IFERROR(INDEX('Вводные'!$B$88:$B$91,$B$36),"Нет")="Да")),MAX(0,SUM($D53:FM53)-FM53),0)</x:f>
      </x:c>
      <x:c r="FN55" s="107" t="n">
        <x:f>IF(AND(YEAR(FN$3)=YEAR(EDATE(INDEX('Вводные'!$D$88:$D$91,$B$36),INDEX('Вводные'!$E$88:$E$91,$B$36)+INDEX('Вводные'!$F$88:$F$91,$B$36)+'Вводные'!$H$9)),MONTH(FN$3)=MONTH(EDATE(INDEX('Вводные'!$D$88:$D$91,$B$36),INDEX('Вводные'!$E$88:$E$91,$B$36)+INDEX('Вводные'!$F$88:$F$91,$B$36)+'Вводные'!$H$9)),AND($B$35="Да",IFERROR(INDEX('Вводные'!$B$88:$B$91,$B$36),"Нет")="Да")),MAX(0,SUM($D53:FN53)-FN53),0)</x:f>
      </x:c>
      <x:c r="FO55" s="107" t="n">
        <x:f>IF(AND(YEAR(FO$3)=YEAR(EDATE(INDEX('Вводные'!$D$88:$D$91,$B$36),INDEX('Вводные'!$E$88:$E$91,$B$36)+INDEX('Вводные'!$F$88:$F$91,$B$36)+'Вводные'!$H$9)),MONTH(FO$3)=MONTH(EDATE(INDEX('Вводные'!$D$88:$D$91,$B$36),INDEX('Вводные'!$E$88:$E$91,$B$36)+INDEX('Вводные'!$F$88:$F$91,$B$36)+'Вводные'!$H$9)),AND($B$35="Да",IFERROR(INDEX('Вводные'!$B$88:$B$91,$B$36),"Нет")="Да")),MAX(0,SUM($D53:FO53)-FO53),0)</x:f>
      </x:c>
      <x:c r="FP55" s="107" t="n">
        <x:f>IF(AND(YEAR(FP$3)=YEAR(EDATE(INDEX('Вводные'!$D$88:$D$91,$B$36),INDEX('Вводные'!$E$88:$E$91,$B$36)+INDEX('Вводные'!$F$88:$F$91,$B$36)+'Вводные'!$H$9)),MONTH(FP$3)=MONTH(EDATE(INDEX('Вводные'!$D$88:$D$91,$B$36),INDEX('Вводные'!$E$88:$E$91,$B$36)+INDEX('Вводные'!$F$88:$F$91,$B$36)+'Вводные'!$H$9)),AND($B$35="Да",IFERROR(INDEX('Вводные'!$B$88:$B$91,$B$36),"Нет")="Да")),MAX(0,SUM($D53:FP53)-FP53),0)</x:f>
      </x:c>
      <x:c r="FQ55" s="107" t="n">
        <x:f>IF(AND(YEAR(FQ$3)=YEAR(EDATE(INDEX('Вводные'!$D$88:$D$91,$B$36),INDEX('Вводные'!$E$88:$E$91,$B$36)+INDEX('Вводные'!$F$88:$F$91,$B$36)+'Вводные'!$H$9)),MONTH(FQ$3)=MONTH(EDATE(INDEX('Вводные'!$D$88:$D$91,$B$36),INDEX('Вводные'!$E$88:$E$91,$B$36)+INDEX('Вводные'!$F$88:$F$91,$B$36)+'Вводные'!$H$9)),AND($B$35="Да",IFERROR(INDEX('Вводные'!$B$88:$B$91,$B$36),"Нет")="Да")),MAX(0,SUM($D53:FQ53)-FQ53),0)</x:f>
      </x:c>
      <x:c r="FR55" s="107" t="n">
        <x:f>IF(AND(YEAR(FR$3)=YEAR(EDATE(INDEX('Вводные'!$D$88:$D$91,$B$36),INDEX('Вводные'!$E$88:$E$91,$B$36)+INDEX('Вводные'!$F$88:$F$91,$B$36)+'Вводные'!$H$9)),MONTH(FR$3)=MONTH(EDATE(INDEX('Вводные'!$D$88:$D$91,$B$36),INDEX('Вводные'!$E$88:$E$91,$B$36)+INDEX('Вводные'!$F$88:$F$91,$B$36)+'Вводные'!$H$9)),AND($B$35="Да",IFERROR(INDEX('Вводные'!$B$88:$B$91,$B$36),"Нет")="Да")),MAX(0,SUM($D53:FR53)-FR53),0)</x:f>
      </x:c>
      <x:c r="FS55" s="107" t="n">
        <x:f>IF(AND(YEAR(FS$3)=YEAR(EDATE(INDEX('Вводные'!$D$88:$D$91,$B$36),INDEX('Вводные'!$E$88:$E$91,$B$36)+INDEX('Вводные'!$F$88:$F$91,$B$36)+'Вводные'!$H$9)),MONTH(FS$3)=MONTH(EDATE(INDEX('Вводные'!$D$88:$D$91,$B$36),INDEX('Вводные'!$E$88:$E$91,$B$36)+INDEX('Вводные'!$F$88:$F$91,$B$36)+'Вводные'!$H$9)),AND($B$35="Да",IFERROR(INDEX('Вводные'!$B$88:$B$91,$B$36),"Нет")="Да")),MAX(0,SUM($D53:FS53)-FS53),0)</x:f>
      </x:c>
      <x:c r="FT55" s="107" t="n">
        <x:f>IF(AND(YEAR(FT$3)=YEAR(EDATE(INDEX('Вводные'!$D$88:$D$91,$B$36),INDEX('Вводные'!$E$88:$E$91,$B$36)+INDEX('Вводные'!$F$88:$F$91,$B$36)+'Вводные'!$H$9)),MONTH(FT$3)=MONTH(EDATE(INDEX('Вводные'!$D$88:$D$91,$B$36),INDEX('Вводные'!$E$88:$E$91,$B$36)+INDEX('Вводные'!$F$88:$F$91,$B$36)+'Вводные'!$H$9)),AND($B$35="Да",IFERROR(INDEX('Вводные'!$B$88:$B$91,$B$36),"Нет")="Да")),MAX(0,SUM($D53:FT53)-FT53),0)</x:f>
      </x:c>
      <x:c r="FU55" s="107" t="n">
        <x:f>IF(AND(YEAR(FU$3)=YEAR(EDATE(INDEX('Вводные'!$D$88:$D$91,$B$36),INDEX('Вводные'!$E$88:$E$91,$B$36)+INDEX('Вводные'!$F$88:$F$91,$B$36)+'Вводные'!$H$9)),MONTH(FU$3)=MONTH(EDATE(INDEX('Вводные'!$D$88:$D$91,$B$36),INDEX('Вводные'!$E$88:$E$91,$B$36)+INDEX('Вводные'!$F$88:$F$91,$B$36)+'Вводные'!$H$9)),AND($B$35="Да",IFERROR(INDEX('Вводные'!$B$88:$B$91,$B$36),"Нет")="Да")),MAX(0,SUM($D53:FU53)-FU53),0)</x:f>
      </x:c>
      <x:c r="FV55" s="107" t="n">
        <x:f>IF(AND(YEAR(FV$3)=YEAR(EDATE(INDEX('Вводные'!$D$88:$D$91,$B$36),INDEX('Вводные'!$E$88:$E$91,$B$36)+INDEX('Вводные'!$F$88:$F$91,$B$36)+'Вводные'!$H$9)),MONTH(FV$3)=MONTH(EDATE(INDEX('Вводные'!$D$88:$D$91,$B$36),INDEX('Вводные'!$E$88:$E$91,$B$36)+INDEX('Вводные'!$F$88:$F$91,$B$36)+'Вводные'!$H$9)),AND($B$35="Да",IFERROR(INDEX('Вводные'!$B$88:$B$91,$B$36),"Нет")="Да")),MAX(0,SUM($D53:FV53)-FV53),0)</x:f>
      </x:c>
      <x:c r="FW55" s="107" t="n">
        <x:f>IF(AND(YEAR(FW$3)=YEAR(EDATE(INDEX('Вводные'!$D$88:$D$91,$B$36),INDEX('Вводные'!$E$88:$E$91,$B$36)+INDEX('Вводные'!$F$88:$F$91,$B$36)+'Вводные'!$H$9)),MONTH(FW$3)=MONTH(EDATE(INDEX('Вводные'!$D$88:$D$91,$B$36),INDEX('Вводные'!$E$88:$E$91,$B$36)+INDEX('Вводные'!$F$88:$F$91,$B$36)+'Вводные'!$H$9)),AND($B$35="Да",IFERROR(INDEX('Вводные'!$B$88:$B$91,$B$36),"Нет")="Да")),MAX(0,SUM($D53:FW53)-FW53),0)</x:f>
      </x:c>
      <x:c r="FX55" s="107" t="n">
        <x:f>IF(AND(YEAR(FX$3)=YEAR(EDATE(INDEX('Вводные'!$D$88:$D$91,$B$36),INDEX('Вводные'!$E$88:$E$91,$B$36)+INDEX('Вводные'!$F$88:$F$91,$B$36)+'Вводные'!$H$9)),MONTH(FX$3)=MONTH(EDATE(INDEX('Вводные'!$D$88:$D$91,$B$36),INDEX('Вводные'!$E$88:$E$91,$B$36)+INDEX('Вводные'!$F$88:$F$91,$B$36)+'Вводные'!$H$9)),AND($B$35="Да",IFERROR(INDEX('Вводные'!$B$88:$B$91,$B$36),"Нет")="Да")),MAX(0,SUM($D53:FX53)-FX53),0)</x:f>
      </x:c>
      <x:c r="FY55" s="107" t="n">
        <x:f>IF(AND(YEAR(FY$3)=YEAR(EDATE(INDEX('Вводные'!$D$88:$D$91,$B$36),INDEX('Вводные'!$E$88:$E$91,$B$36)+INDEX('Вводные'!$F$88:$F$91,$B$36)+'Вводные'!$H$9)),MONTH(FY$3)=MONTH(EDATE(INDEX('Вводные'!$D$88:$D$91,$B$36),INDEX('Вводные'!$E$88:$E$91,$B$36)+INDEX('Вводные'!$F$88:$F$91,$B$36)+'Вводные'!$H$9)),AND($B$35="Да",IFERROR(INDEX('Вводные'!$B$88:$B$91,$B$36),"Нет")="Да")),MAX(0,SUM($D53:FY53)-FY53),0)</x:f>
      </x:c>
      <x:c r="FZ55" s="107" t="n">
        <x:f>IF(AND(YEAR(FZ$3)=YEAR(EDATE(INDEX('Вводные'!$D$88:$D$91,$B$36),INDEX('Вводные'!$E$88:$E$91,$B$36)+INDEX('Вводные'!$F$88:$F$91,$B$36)+'Вводные'!$H$9)),MONTH(FZ$3)=MONTH(EDATE(INDEX('Вводные'!$D$88:$D$91,$B$36),INDEX('Вводные'!$E$88:$E$91,$B$36)+INDEX('Вводные'!$F$88:$F$91,$B$36)+'Вводные'!$H$9)),AND($B$35="Да",IFERROR(INDEX('Вводные'!$B$88:$B$91,$B$36),"Нет")="Да")),MAX(0,SUM($D53:FZ53)-FZ53),0)</x:f>
      </x:c>
      <x:c r="GA55" s="107" t="n">
        <x:f>IF(AND(YEAR(GA$3)=YEAR(EDATE(INDEX('Вводные'!$D$88:$D$91,$B$36),INDEX('Вводные'!$E$88:$E$91,$B$36)+INDEX('Вводные'!$F$88:$F$91,$B$36)+'Вводные'!$H$9)),MONTH(GA$3)=MONTH(EDATE(INDEX('Вводные'!$D$88:$D$91,$B$36),INDEX('Вводные'!$E$88:$E$91,$B$36)+INDEX('Вводные'!$F$88:$F$91,$B$36)+'Вводные'!$H$9)),AND($B$35="Да",IFERROR(INDEX('Вводные'!$B$88:$B$91,$B$36),"Нет")="Да")),MAX(0,SUM($D53:GA53)-GA53),0)</x:f>
      </x:c>
    </x:row>
    <x:row r="56">
      <x:c r="A56" t="str">
        <x:v>CAPEX</x:v>
      </x:c>
      <x:c r="B56" s="107" t="n">
        <x:f>IF(AND($B$35="Да",IFERROR(INDEX('Вводные'!$B$88:$B$91,$B$36),"Нет")="Да"),$B$40*'Вводные'!$K$49/1000*'Вводные'!$H$6*INDEX('Вводные'!$T$88:$T$91,$B$36)*INDEX('Вводные'!$AH$88:$AH$91,$B$36),0)</x:f>
      </x:c>
      <x:c r="C56" t="str">
        <x:v>млн ₽</x:v>
      </x:c>
      <x:c r="D56" s="107" t="n">
        <x:f>$B$56*D44</x:f>
      </x:c>
      <x:c r="E56" s="107" t="n">
        <x:f>$B$56*E44</x:f>
      </x:c>
      <x:c r="F56" s="107" t="n">
        <x:f>$B$56*F44</x:f>
      </x:c>
      <x:c r="G56" s="107" t="n">
        <x:f>$B$56*G44</x:f>
      </x:c>
      <x:c r="H56" s="107" t="n">
        <x:f>$B$56*H44</x:f>
      </x:c>
      <x:c r="I56" s="107" t="n">
        <x:f>$B$56*I44</x:f>
      </x:c>
      <x:c r="J56" s="107" t="n">
        <x:f>$B$56*J44</x:f>
      </x:c>
      <x:c r="K56" s="107" t="n">
        <x:f>$B$56*K44</x:f>
      </x:c>
      <x:c r="L56" s="107" t="n">
        <x:f>$B$56*L44</x:f>
      </x:c>
      <x:c r="M56" s="107" t="n">
        <x:f>$B$56*M44</x:f>
      </x:c>
      <x:c r="N56" s="107" t="n">
        <x:f>$B$56*N44</x:f>
      </x:c>
      <x:c r="O56" s="107" t="n">
        <x:f>$B$56*O44</x:f>
      </x:c>
      <x:c r="P56" s="107" t="n">
        <x:f>$B$56*P44</x:f>
      </x:c>
      <x:c r="Q56" s="107" t="n">
        <x:f>$B$56*Q44</x:f>
      </x:c>
      <x:c r="R56" s="107" t="n">
        <x:f>$B$56*R44</x:f>
      </x:c>
      <x:c r="S56" s="107" t="n">
        <x:f>$B$56*S44</x:f>
      </x:c>
      <x:c r="T56" s="107" t="n">
        <x:f>$B$56*T44</x:f>
      </x:c>
      <x:c r="U56" s="107" t="n">
        <x:f>$B$56*U44</x:f>
      </x:c>
      <x:c r="V56" s="107" t="n">
        <x:f>$B$56*V44</x:f>
      </x:c>
      <x:c r="W56" s="107" t="n">
        <x:f>$B$56*W44</x:f>
      </x:c>
      <x:c r="X56" s="107" t="n">
        <x:f>$B$56*X44</x:f>
      </x:c>
      <x:c r="Y56" s="107" t="n">
        <x:f>$B$56*Y44</x:f>
      </x:c>
      <x:c r="Z56" s="107" t="n">
        <x:f>$B$56*Z44</x:f>
      </x:c>
      <x:c r="AA56" s="107" t="n">
        <x:f>$B$56*AA44</x:f>
      </x:c>
      <x:c r="AB56" s="107" t="n">
        <x:f>$B$56*AB44</x:f>
      </x:c>
      <x:c r="AC56" s="107" t="n">
        <x:f>$B$56*AC44</x:f>
      </x:c>
      <x:c r="AD56" s="107" t="n">
        <x:f>$B$56*AD44</x:f>
      </x:c>
      <x:c r="AE56" s="107" t="n">
        <x:f>$B$56*AE44</x:f>
      </x:c>
      <x:c r="AF56" s="107" t="n">
        <x:f>$B$56*AF44</x:f>
      </x:c>
      <x:c r="AG56" s="107" t="n">
        <x:f>$B$56*AG44</x:f>
      </x:c>
      <x:c r="AH56" s="107" t="n">
        <x:f>$B$56*AH44</x:f>
      </x:c>
      <x:c r="AI56" s="107" t="n">
        <x:f>$B$56*AI44</x:f>
      </x:c>
      <x:c r="AJ56" s="107" t="n">
        <x:f>$B$56*AJ44</x:f>
      </x:c>
      <x:c r="AK56" s="107" t="n">
        <x:f>$B$56*AK44</x:f>
      </x:c>
      <x:c r="AL56" s="107" t="n">
        <x:f>$B$56*AL44</x:f>
      </x:c>
      <x:c r="AM56" s="107" t="n">
        <x:f>$B$56*AM44</x:f>
      </x:c>
      <x:c r="AN56" s="107" t="n">
        <x:f>$B$56*AN44</x:f>
      </x:c>
      <x:c r="AO56" s="107" t="n">
        <x:f>$B$56*AO44</x:f>
      </x:c>
      <x:c r="AP56" s="107" t="n">
        <x:f>$B$56*AP44</x:f>
      </x:c>
      <x:c r="AQ56" s="107" t="n">
        <x:f>$B$56*AQ44</x:f>
      </x:c>
      <x:c r="AR56" s="107" t="n">
        <x:f>$B$56*AR44</x:f>
      </x:c>
      <x:c r="AS56" s="107" t="n">
        <x:f>$B$56*AS44</x:f>
      </x:c>
      <x:c r="AT56" s="107" t="n">
        <x:f>$B$56*AT44</x:f>
      </x:c>
      <x:c r="AU56" s="107" t="n">
        <x:f>$B$56*AU44</x:f>
      </x:c>
      <x:c r="AV56" s="107" t="n">
        <x:f>$B$56*AV44</x:f>
      </x:c>
      <x:c r="AW56" s="107" t="n">
        <x:f>$B$56*AW44</x:f>
      </x:c>
      <x:c r="AX56" s="107" t="n">
        <x:f>$B$56*AX44</x:f>
      </x:c>
      <x:c r="AY56" s="107" t="n">
        <x:f>$B$56*AY44</x:f>
      </x:c>
      <x:c r="AZ56" s="107" t="n">
        <x:f>$B$56*AZ44</x:f>
      </x:c>
      <x:c r="BA56" s="107" t="n">
        <x:f>$B$56*BA44</x:f>
      </x:c>
      <x:c r="BB56" s="107" t="n">
        <x:f>$B$56*BB44</x:f>
      </x:c>
      <x:c r="BC56" s="107" t="n">
        <x:f>$B$56*BC44</x:f>
      </x:c>
      <x:c r="BD56" s="107" t="n">
        <x:f>$B$56*BD44</x:f>
      </x:c>
      <x:c r="BE56" s="107" t="n">
        <x:f>$B$56*BE44</x:f>
      </x:c>
      <x:c r="BF56" s="107" t="n">
        <x:f>$B$56*BF44</x:f>
      </x:c>
      <x:c r="BG56" s="107" t="n">
        <x:f>$B$56*BG44</x:f>
      </x:c>
      <x:c r="BH56" s="107" t="n">
        <x:f>$B$56*BH44</x:f>
      </x:c>
      <x:c r="BI56" s="107" t="n">
        <x:f>$B$56*BI44</x:f>
      </x:c>
      <x:c r="BJ56" s="107" t="n">
        <x:f>$B$56*BJ44</x:f>
      </x:c>
      <x:c r="BK56" s="107" t="n">
        <x:f>$B$56*BK44</x:f>
      </x:c>
      <x:c r="BL56" s="107" t="n">
        <x:f>$B$56*BL44</x:f>
      </x:c>
      <x:c r="BM56" s="107" t="n">
        <x:f>$B$56*BM44</x:f>
      </x:c>
      <x:c r="BN56" s="107" t="n">
        <x:f>$B$56*BN44</x:f>
      </x:c>
      <x:c r="BO56" s="107" t="n">
        <x:f>$B$56*BO44</x:f>
      </x:c>
      <x:c r="BP56" s="107" t="n">
        <x:f>$B$56*BP44</x:f>
      </x:c>
      <x:c r="BQ56" s="107" t="n">
        <x:f>$B$56*BQ44</x:f>
      </x:c>
      <x:c r="BR56" s="107" t="n">
        <x:f>$B$56*BR44</x:f>
      </x:c>
      <x:c r="BS56" s="107" t="n">
        <x:f>$B$56*BS44</x:f>
      </x:c>
      <x:c r="BT56" s="107" t="n">
        <x:f>$B$56*BT44</x:f>
      </x:c>
      <x:c r="BU56" s="107" t="n">
        <x:f>$B$56*BU44</x:f>
      </x:c>
      <x:c r="BV56" s="107" t="n">
        <x:f>$B$56*BV44</x:f>
      </x:c>
      <x:c r="BW56" s="107" t="n">
        <x:f>$B$56*BW44</x:f>
      </x:c>
      <x:c r="BX56" s="107" t="n">
        <x:f>$B$56*BX44</x:f>
      </x:c>
      <x:c r="BY56" s="107" t="n">
        <x:f>$B$56*BY44</x:f>
      </x:c>
      <x:c r="BZ56" s="107" t="n">
        <x:f>$B$56*BZ44</x:f>
      </x:c>
      <x:c r="CA56" s="107" t="n">
        <x:f>$B$56*CA44</x:f>
      </x:c>
      <x:c r="CB56" s="107" t="n">
        <x:f>$B$56*CB44</x:f>
      </x:c>
      <x:c r="CC56" s="107" t="n">
        <x:f>$B$56*CC44</x:f>
      </x:c>
      <x:c r="CD56" s="107" t="n">
        <x:f>$B$56*CD44</x:f>
      </x:c>
      <x:c r="CE56" s="107" t="n">
        <x:f>$B$56*CE44</x:f>
      </x:c>
      <x:c r="CF56" s="107" t="n">
        <x:f>$B$56*CF44</x:f>
      </x:c>
      <x:c r="CG56" s="107" t="n">
        <x:f>$B$56*CG44</x:f>
      </x:c>
      <x:c r="CH56" s="107" t="n">
        <x:f>$B$56*CH44</x:f>
      </x:c>
      <x:c r="CI56" s="107" t="n">
        <x:f>$B$56*CI44</x:f>
      </x:c>
      <x:c r="CJ56" s="107" t="n">
        <x:f>$B$56*CJ44</x:f>
      </x:c>
      <x:c r="CK56" s="107" t="n">
        <x:f>$B$56*CK44</x:f>
      </x:c>
      <x:c r="CL56" s="107" t="n">
        <x:f>$B$56*CL44</x:f>
      </x:c>
      <x:c r="CM56" s="107" t="n">
        <x:f>$B$56*CM44</x:f>
      </x:c>
      <x:c r="CN56" s="107" t="n">
        <x:f>$B$56*CN44</x:f>
      </x:c>
      <x:c r="CO56" s="107" t="n">
        <x:f>$B$56*CO44</x:f>
      </x:c>
      <x:c r="CP56" s="107" t="n">
        <x:f>$B$56*CP44</x:f>
      </x:c>
      <x:c r="CQ56" s="107" t="n">
        <x:f>$B$56*CQ44</x:f>
      </x:c>
      <x:c r="CR56" s="107" t="n">
        <x:f>$B$56*CR44</x:f>
      </x:c>
      <x:c r="CS56" s="107" t="n">
        <x:f>$B$56*CS44</x:f>
      </x:c>
      <x:c r="CT56" s="107" t="n">
        <x:f>$B$56*CT44</x:f>
      </x:c>
      <x:c r="CU56" s="107" t="n">
        <x:f>$B$56*CU44</x:f>
      </x:c>
      <x:c r="CV56" s="107" t="n">
        <x:f>$B$56*CV44</x:f>
      </x:c>
      <x:c r="CW56" s="107" t="n">
        <x:f>$B$56*CW44</x:f>
      </x:c>
      <x:c r="CX56" s="107" t="n">
        <x:f>$B$56*CX44</x:f>
      </x:c>
      <x:c r="CY56" s="107" t="n">
        <x:f>$B$56*CY44</x:f>
      </x:c>
      <x:c r="CZ56" s="107" t="n">
        <x:f>$B$56*CZ44</x:f>
      </x:c>
      <x:c r="DA56" s="107" t="n">
        <x:f>$B$56*DA44</x:f>
      </x:c>
      <x:c r="DB56" s="107" t="n">
        <x:f>$B$56*DB44</x:f>
      </x:c>
      <x:c r="DC56" s="107" t="n">
        <x:f>$B$56*DC44</x:f>
      </x:c>
      <x:c r="DD56" s="107" t="n">
        <x:f>$B$56*DD44</x:f>
      </x:c>
      <x:c r="DE56" s="107" t="n">
        <x:f>$B$56*DE44</x:f>
      </x:c>
      <x:c r="DF56" s="107" t="n">
        <x:f>$B$56*DF44</x:f>
      </x:c>
      <x:c r="DG56" s="107" t="n">
        <x:f>$B$56*DG44</x:f>
      </x:c>
      <x:c r="DH56" s="107" t="n">
        <x:f>$B$56*DH44</x:f>
      </x:c>
      <x:c r="DI56" s="107" t="n">
        <x:f>$B$56*DI44</x:f>
      </x:c>
      <x:c r="DJ56" s="107" t="n">
        <x:f>$B$56*DJ44</x:f>
      </x:c>
      <x:c r="DK56" s="107" t="n">
        <x:f>$B$56*DK44</x:f>
      </x:c>
      <x:c r="DL56" s="107" t="n">
        <x:f>$B$56*DL44</x:f>
      </x:c>
      <x:c r="DM56" s="107" t="n">
        <x:f>$B$56*DM44</x:f>
      </x:c>
      <x:c r="DN56" s="107" t="n">
        <x:f>$B$56*DN44</x:f>
      </x:c>
      <x:c r="DO56" s="107" t="n">
        <x:f>$B$56*DO44</x:f>
      </x:c>
      <x:c r="DP56" s="107" t="n">
        <x:f>$B$56*DP44</x:f>
      </x:c>
      <x:c r="DQ56" s="107" t="n">
        <x:f>$B$56*DQ44</x:f>
      </x:c>
      <x:c r="DR56" s="107" t="n">
        <x:f>$B$56*DR44</x:f>
      </x:c>
      <x:c r="DS56" s="107" t="n">
        <x:f>$B$56*DS44</x:f>
      </x:c>
      <x:c r="DT56" s="107" t="n">
        <x:f>$B$56*DT44</x:f>
      </x:c>
      <x:c r="DU56" s="107" t="n">
        <x:f>$B$56*DU44</x:f>
      </x:c>
      <x:c r="DV56" s="107" t="n">
        <x:f>$B$56*DV44</x:f>
      </x:c>
      <x:c r="DW56" s="107" t="n">
        <x:f>$B$56*DW44</x:f>
      </x:c>
      <x:c r="DX56" s="107" t="n">
        <x:f>$B$56*DX44</x:f>
      </x:c>
      <x:c r="DY56" s="107" t="n">
        <x:f>$B$56*DY44</x:f>
      </x:c>
      <x:c r="DZ56" s="107" t="n">
        <x:f>$B$56*DZ44</x:f>
      </x:c>
      <x:c r="EA56" s="107" t="n">
        <x:f>$B$56*EA44</x:f>
      </x:c>
      <x:c r="EB56" s="107" t="n">
        <x:f>$B$56*EB44</x:f>
      </x:c>
      <x:c r="EC56" s="107" t="n">
        <x:f>$B$56*EC44</x:f>
      </x:c>
      <x:c r="ED56" s="107" t="n">
        <x:f>$B$56*ED44</x:f>
      </x:c>
      <x:c r="EE56" s="107" t="n">
        <x:f>$B$56*EE44</x:f>
      </x:c>
      <x:c r="EF56" s="107" t="n">
        <x:f>$B$56*EF44</x:f>
      </x:c>
      <x:c r="EG56" s="107" t="n">
        <x:f>$B$56*EG44</x:f>
      </x:c>
      <x:c r="EH56" s="107" t="n">
        <x:f>$B$56*EH44</x:f>
      </x:c>
      <x:c r="EI56" s="107" t="n">
        <x:f>$B$56*EI44</x:f>
      </x:c>
      <x:c r="EJ56" s="107" t="n">
        <x:f>$B$56*EJ44</x:f>
      </x:c>
      <x:c r="EK56" s="107" t="n">
        <x:f>$B$56*EK44</x:f>
      </x:c>
      <x:c r="EL56" s="107" t="n">
        <x:f>$B$56*EL44</x:f>
      </x:c>
      <x:c r="EM56" s="107" t="n">
        <x:f>$B$56*EM44</x:f>
      </x:c>
      <x:c r="EN56" s="107" t="n">
        <x:f>$B$56*EN44</x:f>
      </x:c>
      <x:c r="EO56" s="107" t="n">
        <x:f>$B$56*EO44</x:f>
      </x:c>
      <x:c r="EP56" s="107" t="n">
        <x:f>$B$56*EP44</x:f>
      </x:c>
      <x:c r="EQ56" s="107" t="n">
        <x:f>$B$56*EQ44</x:f>
      </x:c>
      <x:c r="ER56" s="107" t="n">
        <x:f>$B$56*ER44</x:f>
      </x:c>
      <x:c r="ES56" s="107" t="n">
        <x:f>$B$56*ES44</x:f>
      </x:c>
      <x:c r="ET56" s="107" t="n">
        <x:f>$B$56*ET44</x:f>
      </x:c>
      <x:c r="EU56" s="107" t="n">
        <x:f>$B$56*EU44</x:f>
      </x:c>
      <x:c r="EV56" s="107" t="n">
        <x:f>$B$56*EV44</x:f>
      </x:c>
      <x:c r="EW56" s="107" t="n">
        <x:f>$B$56*EW44</x:f>
      </x:c>
      <x:c r="EX56" s="107" t="n">
        <x:f>$B$56*EX44</x:f>
      </x:c>
      <x:c r="EY56" s="107" t="n">
        <x:f>$B$56*EY44</x:f>
      </x:c>
      <x:c r="EZ56" s="107" t="n">
        <x:f>$B$56*EZ44</x:f>
      </x:c>
      <x:c r="FA56" s="107" t="n">
        <x:f>$B$56*FA44</x:f>
      </x:c>
      <x:c r="FB56" s="107" t="n">
        <x:f>$B$56*FB44</x:f>
      </x:c>
      <x:c r="FC56" s="107" t="n">
        <x:f>$B$56*FC44</x:f>
      </x:c>
      <x:c r="FD56" s="107" t="n">
        <x:f>$B$56*FD44</x:f>
      </x:c>
      <x:c r="FE56" s="107" t="n">
        <x:f>$B$56*FE44</x:f>
      </x:c>
      <x:c r="FF56" s="107" t="n">
        <x:f>$B$56*FF44</x:f>
      </x:c>
      <x:c r="FG56" s="107" t="n">
        <x:f>$B$56*FG44</x:f>
      </x:c>
      <x:c r="FH56" s="107" t="n">
        <x:f>$B$56*FH44</x:f>
      </x:c>
      <x:c r="FI56" s="107" t="n">
        <x:f>$B$56*FI44</x:f>
      </x:c>
      <x:c r="FJ56" s="107" t="n">
        <x:f>$B$56*FJ44</x:f>
      </x:c>
      <x:c r="FK56" s="107" t="n">
        <x:f>$B$56*FK44</x:f>
      </x:c>
      <x:c r="FL56" s="107" t="n">
        <x:f>$B$56*FL44</x:f>
      </x:c>
      <x:c r="FM56" s="107" t="n">
        <x:f>$B$56*FM44</x:f>
      </x:c>
      <x:c r="FN56" s="107" t="n">
        <x:f>$B$56*FN44</x:f>
      </x:c>
      <x:c r="FO56" s="107" t="n">
        <x:f>$B$56*FO44</x:f>
      </x:c>
      <x:c r="FP56" s="107" t="n">
        <x:f>$B$56*FP44</x:f>
      </x:c>
      <x:c r="FQ56" s="107" t="n">
        <x:f>$B$56*FQ44</x:f>
      </x:c>
      <x:c r="FR56" s="107" t="n">
        <x:f>$B$56*FR44</x:f>
      </x:c>
      <x:c r="FS56" s="107" t="n">
        <x:f>$B$56*FS44</x:f>
      </x:c>
      <x:c r="FT56" s="107" t="n">
        <x:f>$B$56*FT44</x:f>
      </x:c>
      <x:c r="FU56" s="107" t="n">
        <x:f>$B$56*FU44</x:f>
      </x:c>
      <x:c r="FV56" s="107" t="n">
        <x:f>$B$56*FV44</x:f>
      </x:c>
      <x:c r="FW56" s="107" t="n">
        <x:f>$B$56*FW44</x:f>
      </x:c>
      <x:c r="FX56" s="107" t="n">
        <x:f>$B$56*FX44</x:f>
      </x:c>
      <x:c r="FY56" s="107" t="n">
        <x:f>$B$56*FY44</x:f>
      </x:c>
      <x:c r="FZ56" s="107" t="n">
        <x:f>$B$56*FZ44</x:f>
      </x:c>
      <x:c r="GA56" s="107" t="n">
        <x:f>$B$56*GA44</x:f>
      </x:c>
    </x:row>
    <x:row r="57">
      <x:c r="A57" t="str">
        <x:v>Маркетинг</x:v>
      </x:c>
      <x:c r="B57" s="107" t="n">
        <x:f>SUM(D57:GA57)</x:f>
      </x:c>
      <x:c r="C57" t="str">
        <x:v>млн ₽</x:v>
      </x:c>
      <x:c r="D57" s="107" t="n">
        <x:f>D52*'Вводные'!$B$19</x:f>
      </x:c>
      <x:c r="E57" s="107" t="n">
        <x:f>E52*'Вводные'!$B$19</x:f>
      </x:c>
      <x:c r="F57" s="107" t="n">
        <x:f>F52*'Вводные'!$B$19</x:f>
      </x:c>
      <x:c r="G57" s="107" t="n">
        <x:f>G52*'Вводные'!$B$19</x:f>
      </x:c>
      <x:c r="H57" s="107" t="n">
        <x:f>H52*'Вводные'!$B$19</x:f>
      </x:c>
      <x:c r="I57" s="107" t="n">
        <x:f>I52*'Вводные'!$B$19</x:f>
      </x:c>
      <x:c r="J57" s="107" t="n">
        <x:f>J52*'Вводные'!$B$19</x:f>
      </x:c>
      <x:c r="K57" s="107" t="n">
        <x:f>K52*'Вводные'!$B$19</x:f>
      </x:c>
      <x:c r="L57" s="107" t="n">
        <x:f>L52*'Вводные'!$B$19</x:f>
      </x:c>
      <x:c r="M57" s="107" t="n">
        <x:f>M52*'Вводные'!$B$19</x:f>
      </x:c>
      <x:c r="N57" s="107" t="n">
        <x:f>N52*'Вводные'!$B$19</x:f>
      </x:c>
      <x:c r="O57" s="107" t="n">
        <x:f>O52*'Вводные'!$B$19</x:f>
      </x:c>
      <x:c r="P57" s="107" t="n">
        <x:f>P52*'Вводные'!$B$19</x:f>
      </x:c>
      <x:c r="Q57" s="107" t="n">
        <x:f>Q52*'Вводные'!$B$19</x:f>
      </x:c>
      <x:c r="R57" s="107" t="n">
        <x:f>R52*'Вводные'!$B$19</x:f>
      </x:c>
      <x:c r="S57" s="107" t="n">
        <x:f>S52*'Вводные'!$B$19</x:f>
      </x:c>
      <x:c r="T57" s="107" t="n">
        <x:f>T52*'Вводные'!$B$19</x:f>
      </x:c>
      <x:c r="U57" s="107" t="n">
        <x:f>U52*'Вводные'!$B$19</x:f>
      </x:c>
      <x:c r="V57" s="107" t="n">
        <x:f>V52*'Вводные'!$B$19</x:f>
      </x:c>
      <x:c r="W57" s="107" t="n">
        <x:f>W52*'Вводные'!$B$19</x:f>
      </x:c>
      <x:c r="X57" s="107" t="n">
        <x:f>X52*'Вводные'!$B$19</x:f>
      </x:c>
      <x:c r="Y57" s="107" t="n">
        <x:f>Y52*'Вводные'!$B$19</x:f>
      </x:c>
      <x:c r="Z57" s="107" t="n">
        <x:f>Z52*'Вводные'!$B$19</x:f>
      </x:c>
      <x:c r="AA57" s="107" t="n">
        <x:f>AA52*'Вводные'!$B$19</x:f>
      </x:c>
      <x:c r="AB57" s="107" t="n">
        <x:f>AB52*'Вводные'!$B$19</x:f>
      </x:c>
      <x:c r="AC57" s="107" t="n">
        <x:f>AC52*'Вводные'!$B$19</x:f>
      </x:c>
      <x:c r="AD57" s="107" t="n">
        <x:f>AD52*'Вводные'!$B$19</x:f>
      </x:c>
      <x:c r="AE57" s="107" t="n">
        <x:f>AE52*'Вводные'!$B$19</x:f>
      </x:c>
      <x:c r="AF57" s="107" t="n">
        <x:f>AF52*'Вводные'!$B$19</x:f>
      </x:c>
      <x:c r="AG57" s="107" t="n">
        <x:f>AG52*'Вводные'!$B$19</x:f>
      </x:c>
      <x:c r="AH57" s="107" t="n">
        <x:f>AH52*'Вводные'!$B$19</x:f>
      </x:c>
      <x:c r="AI57" s="107" t="n">
        <x:f>AI52*'Вводные'!$B$19</x:f>
      </x:c>
      <x:c r="AJ57" s="107" t="n">
        <x:f>AJ52*'Вводные'!$B$19</x:f>
      </x:c>
      <x:c r="AK57" s="107" t="n">
        <x:f>AK52*'Вводные'!$B$19</x:f>
      </x:c>
      <x:c r="AL57" s="107" t="n">
        <x:f>AL52*'Вводные'!$B$19</x:f>
      </x:c>
      <x:c r="AM57" s="107" t="n">
        <x:f>AM52*'Вводные'!$B$19</x:f>
      </x:c>
      <x:c r="AN57" s="107" t="n">
        <x:f>AN52*'Вводные'!$B$19</x:f>
      </x:c>
      <x:c r="AO57" s="107" t="n">
        <x:f>AO52*'Вводные'!$B$19</x:f>
      </x:c>
      <x:c r="AP57" s="107" t="n">
        <x:f>AP52*'Вводные'!$B$19</x:f>
      </x:c>
      <x:c r="AQ57" s="107" t="n">
        <x:f>AQ52*'Вводные'!$B$19</x:f>
      </x:c>
      <x:c r="AR57" s="107" t="n">
        <x:f>AR52*'Вводные'!$B$19</x:f>
      </x:c>
      <x:c r="AS57" s="107" t="n">
        <x:f>AS52*'Вводные'!$B$19</x:f>
      </x:c>
      <x:c r="AT57" s="107" t="n">
        <x:f>AT52*'Вводные'!$B$19</x:f>
      </x:c>
      <x:c r="AU57" s="107" t="n">
        <x:f>AU52*'Вводные'!$B$19</x:f>
      </x:c>
      <x:c r="AV57" s="107" t="n">
        <x:f>AV52*'Вводные'!$B$19</x:f>
      </x:c>
      <x:c r="AW57" s="107" t="n">
        <x:f>AW52*'Вводные'!$B$19</x:f>
      </x:c>
      <x:c r="AX57" s="107" t="n">
        <x:f>AX52*'Вводные'!$B$19</x:f>
      </x:c>
      <x:c r="AY57" s="107" t="n">
        <x:f>AY52*'Вводные'!$B$19</x:f>
      </x:c>
      <x:c r="AZ57" s="107" t="n">
        <x:f>AZ52*'Вводные'!$B$19</x:f>
      </x:c>
      <x:c r="BA57" s="107" t="n">
        <x:f>BA52*'Вводные'!$B$19</x:f>
      </x:c>
      <x:c r="BB57" s="107" t="n">
        <x:f>BB52*'Вводные'!$B$19</x:f>
      </x:c>
      <x:c r="BC57" s="107" t="n">
        <x:f>BC52*'Вводные'!$B$19</x:f>
      </x:c>
      <x:c r="BD57" s="107" t="n">
        <x:f>BD52*'Вводные'!$B$19</x:f>
      </x:c>
      <x:c r="BE57" s="107" t="n">
        <x:f>BE52*'Вводные'!$B$19</x:f>
      </x:c>
      <x:c r="BF57" s="107" t="n">
        <x:f>BF52*'Вводные'!$B$19</x:f>
      </x:c>
      <x:c r="BG57" s="107" t="n">
        <x:f>BG52*'Вводные'!$B$19</x:f>
      </x:c>
      <x:c r="BH57" s="107" t="n">
        <x:f>BH52*'Вводные'!$B$19</x:f>
      </x:c>
      <x:c r="BI57" s="107" t="n">
        <x:f>BI52*'Вводные'!$B$19</x:f>
      </x:c>
      <x:c r="BJ57" s="107" t="n">
        <x:f>BJ52*'Вводные'!$B$19</x:f>
      </x:c>
      <x:c r="BK57" s="107" t="n">
        <x:f>BK52*'Вводные'!$B$19</x:f>
      </x:c>
      <x:c r="BL57" s="107" t="n">
        <x:f>BL52*'Вводные'!$B$19</x:f>
      </x:c>
      <x:c r="BM57" s="107" t="n">
        <x:f>BM52*'Вводные'!$B$19</x:f>
      </x:c>
      <x:c r="BN57" s="107" t="n">
        <x:f>BN52*'Вводные'!$B$19</x:f>
      </x:c>
      <x:c r="BO57" s="107" t="n">
        <x:f>BO52*'Вводные'!$B$19</x:f>
      </x:c>
      <x:c r="BP57" s="107" t="n">
        <x:f>BP52*'Вводные'!$B$19</x:f>
      </x:c>
      <x:c r="BQ57" s="107" t="n">
        <x:f>BQ52*'Вводные'!$B$19</x:f>
      </x:c>
      <x:c r="BR57" s="107" t="n">
        <x:f>BR52*'Вводные'!$B$19</x:f>
      </x:c>
      <x:c r="BS57" s="107" t="n">
        <x:f>BS52*'Вводные'!$B$19</x:f>
      </x:c>
      <x:c r="BT57" s="107" t="n">
        <x:f>BT52*'Вводные'!$B$19</x:f>
      </x:c>
      <x:c r="BU57" s="107" t="n">
        <x:f>BU52*'Вводные'!$B$19</x:f>
      </x:c>
      <x:c r="BV57" s="107" t="n">
        <x:f>BV52*'Вводные'!$B$19</x:f>
      </x:c>
      <x:c r="BW57" s="107" t="n">
        <x:f>BW52*'Вводные'!$B$19</x:f>
      </x:c>
      <x:c r="BX57" s="107" t="n">
        <x:f>BX52*'Вводные'!$B$19</x:f>
      </x:c>
      <x:c r="BY57" s="107" t="n">
        <x:f>BY52*'Вводные'!$B$19</x:f>
      </x:c>
      <x:c r="BZ57" s="107" t="n">
        <x:f>BZ52*'Вводные'!$B$19</x:f>
      </x:c>
      <x:c r="CA57" s="107" t="n">
        <x:f>CA52*'Вводные'!$B$19</x:f>
      </x:c>
      <x:c r="CB57" s="107" t="n">
        <x:f>CB52*'Вводные'!$B$19</x:f>
      </x:c>
      <x:c r="CC57" s="107" t="n">
        <x:f>CC52*'Вводные'!$B$19</x:f>
      </x:c>
      <x:c r="CD57" s="107" t="n">
        <x:f>CD52*'Вводные'!$B$19</x:f>
      </x:c>
      <x:c r="CE57" s="107" t="n">
        <x:f>CE52*'Вводные'!$B$19</x:f>
      </x:c>
      <x:c r="CF57" s="107" t="n">
        <x:f>CF52*'Вводные'!$B$19</x:f>
      </x:c>
      <x:c r="CG57" s="107" t="n">
        <x:f>CG52*'Вводные'!$B$19</x:f>
      </x:c>
      <x:c r="CH57" s="107" t="n">
        <x:f>CH52*'Вводные'!$B$19</x:f>
      </x:c>
      <x:c r="CI57" s="107" t="n">
        <x:f>CI52*'Вводные'!$B$19</x:f>
      </x:c>
      <x:c r="CJ57" s="107" t="n">
        <x:f>CJ52*'Вводные'!$B$19</x:f>
      </x:c>
      <x:c r="CK57" s="107" t="n">
        <x:f>CK52*'Вводные'!$B$19</x:f>
      </x:c>
      <x:c r="CL57" s="107" t="n">
        <x:f>CL52*'Вводные'!$B$19</x:f>
      </x:c>
      <x:c r="CM57" s="107" t="n">
        <x:f>CM52*'Вводные'!$B$19</x:f>
      </x:c>
      <x:c r="CN57" s="107" t="n">
        <x:f>CN52*'Вводные'!$B$19</x:f>
      </x:c>
      <x:c r="CO57" s="107" t="n">
        <x:f>CO52*'Вводные'!$B$19</x:f>
      </x:c>
      <x:c r="CP57" s="107" t="n">
        <x:f>CP52*'Вводные'!$B$19</x:f>
      </x:c>
      <x:c r="CQ57" s="107" t="n">
        <x:f>CQ52*'Вводные'!$B$19</x:f>
      </x:c>
      <x:c r="CR57" s="107" t="n">
        <x:f>CR52*'Вводные'!$B$19</x:f>
      </x:c>
      <x:c r="CS57" s="107" t="n">
        <x:f>CS52*'Вводные'!$B$19</x:f>
      </x:c>
      <x:c r="CT57" s="107" t="n">
        <x:f>CT52*'Вводные'!$B$19</x:f>
      </x:c>
      <x:c r="CU57" s="107" t="n">
        <x:f>CU52*'Вводные'!$B$19</x:f>
      </x:c>
      <x:c r="CV57" s="107" t="n">
        <x:f>CV52*'Вводные'!$B$19</x:f>
      </x:c>
      <x:c r="CW57" s="107" t="n">
        <x:f>CW52*'Вводные'!$B$19</x:f>
      </x:c>
      <x:c r="CX57" s="107" t="n">
        <x:f>CX52*'Вводные'!$B$19</x:f>
      </x:c>
      <x:c r="CY57" s="107" t="n">
        <x:f>CY52*'Вводные'!$B$19</x:f>
      </x:c>
      <x:c r="CZ57" s="107" t="n">
        <x:f>CZ52*'Вводные'!$B$19</x:f>
      </x:c>
      <x:c r="DA57" s="107" t="n">
        <x:f>DA52*'Вводные'!$B$19</x:f>
      </x:c>
      <x:c r="DB57" s="107" t="n">
        <x:f>DB52*'Вводные'!$B$19</x:f>
      </x:c>
      <x:c r="DC57" s="107" t="n">
        <x:f>DC52*'Вводные'!$B$19</x:f>
      </x:c>
      <x:c r="DD57" s="107" t="n">
        <x:f>DD52*'Вводные'!$B$19</x:f>
      </x:c>
      <x:c r="DE57" s="107" t="n">
        <x:f>DE52*'Вводные'!$B$19</x:f>
      </x:c>
      <x:c r="DF57" s="107" t="n">
        <x:f>DF52*'Вводные'!$B$19</x:f>
      </x:c>
      <x:c r="DG57" s="107" t="n">
        <x:f>DG52*'Вводные'!$B$19</x:f>
      </x:c>
      <x:c r="DH57" s="107" t="n">
        <x:f>DH52*'Вводные'!$B$19</x:f>
      </x:c>
      <x:c r="DI57" s="107" t="n">
        <x:f>DI52*'Вводные'!$B$19</x:f>
      </x:c>
      <x:c r="DJ57" s="107" t="n">
        <x:f>DJ52*'Вводные'!$B$19</x:f>
      </x:c>
      <x:c r="DK57" s="107" t="n">
        <x:f>DK52*'Вводные'!$B$19</x:f>
      </x:c>
      <x:c r="DL57" s="107" t="n">
        <x:f>DL52*'Вводные'!$B$19</x:f>
      </x:c>
      <x:c r="DM57" s="107" t="n">
        <x:f>DM52*'Вводные'!$B$19</x:f>
      </x:c>
      <x:c r="DN57" s="107" t="n">
        <x:f>DN52*'Вводные'!$B$19</x:f>
      </x:c>
      <x:c r="DO57" s="107" t="n">
        <x:f>DO52*'Вводные'!$B$19</x:f>
      </x:c>
      <x:c r="DP57" s="107" t="n">
        <x:f>DP52*'Вводные'!$B$19</x:f>
      </x:c>
      <x:c r="DQ57" s="107" t="n">
        <x:f>DQ52*'Вводные'!$B$19</x:f>
      </x:c>
      <x:c r="DR57" s="107" t="n">
        <x:f>DR52*'Вводные'!$B$19</x:f>
      </x:c>
      <x:c r="DS57" s="107" t="n">
        <x:f>DS52*'Вводные'!$B$19</x:f>
      </x:c>
      <x:c r="DT57" s="107" t="n">
        <x:f>DT52*'Вводные'!$B$19</x:f>
      </x:c>
      <x:c r="DU57" s="107" t="n">
        <x:f>DU52*'Вводные'!$B$19</x:f>
      </x:c>
      <x:c r="DV57" s="107" t="n">
        <x:f>DV52*'Вводные'!$B$19</x:f>
      </x:c>
      <x:c r="DW57" s="107" t="n">
        <x:f>DW52*'Вводные'!$B$19</x:f>
      </x:c>
      <x:c r="DX57" s="107" t="n">
        <x:f>DX52*'Вводные'!$B$19</x:f>
      </x:c>
      <x:c r="DY57" s="107" t="n">
        <x:f>DY52*'Вводные'!$B$19</x:f>
      </x:c>
      <x:c r="DZ57" s="107" t="n">
        <x:f>DZ52*'Вводные'!$B$19</x:f>
      </x:c>
      <x:c r="EA57" s="107" t="n">
        <x:f>EA52*'Вводные'!$B$19</x:f>
      </x:c>
      <x:c r="EB57" s="107" t="n">
        <x:f>EB52*'Вводные'!$B$19</x:f>
      </x:c>
      <x:c r="EC57" s="107" t="n">
        <x:f>EC52*'Вводные'!$B$19</x:f>
      </x:c>
      <x:c r="ED57" s="107" t="n">
        <x:f>ED52*'Вводные'!$B$19</x:f>
      </x:c>
      <x:c r="EE57" s="107" t="n">
        <x:f>EE52*'Вводные'!$B$19</x:f>
      </x:c>
      <x:c r="EF57" s="107" t="n">
        <x:f>EF52*'Вводные'!$B$19</x:f>
      </x:c>
      <x:c r="EG57" s="107" t="n">
        <x:f>EG52*'Вводные'!$B$19</x:f>
      </x:c>
      <x:c r="EH57" s="107" t="n">
        <x:f>EH52*'Вводные'!$B$19</x:f>
      </x:c>
      <x:c r="EI57" s="107" t="n">
        <x:f>EI52*'Вводные'!$B$19</x:f>
      </x:c>
      <x:c r="EJ57" s="107" t="n">
        <x:f>EJ52*'Вводные'!$B$19</x:f>
      </x:c>
      <x:c r="EK57" s="107" t="n">
        <x:f>EK52*'Вводные'!$B$19</x:f>
      </x:c>
      <x:c r="EL57" s="107" t="n">
        <x:f>EL52*'Вводные'!$B$19</x:f>
      </x:c>
      <x:c r="EM57" s="107" t="n">
        <x:f>EM52*'Вводные'!$B$19</x:f>
      </x:c>
      <x:c r="EN57" s="107" t="n">
        <x:f>EN52*'Вводные'!$B$19</x:f>
      </x:c>
      <x:c r="EO57" s="107" t="n">
        <x:f>EO52*'Вводные'!$B$19</x:f>
      </x:c>
      <x:c r="EP57" s="107" t="n">
        <x:f>EP52*'Вводные'!$B$19</x:f>
      </x:c>
      <x:c r="EQ57" s="107" t="n">
        <x:f>EQ52*'Вводные'!$B$19</x:f>
      </x:c>
      <x:c r="ER57" s="107" t="n">
        <x:f>ER52*'Вводные'!$B$19</x:f>
      </x:c>
      <x:c r="ES57" s="107" t="n">
        <x:f>ES52*'Вводные'!$B$19</x:f>
      </x:c>
      <x:c r="ET57" s="107" t="n">
        <x:f>ET52*'Вводные'!$B$19</x:f>
      </x:c>
      <x:c r="EU57" s="107" t="n">
        <x:f>EU52*'Вводные'!$B$19</x:f>
      </x:c>
      <x:c r="EV57" s="107" t="n">
        <x:f>EV52*'Вводные'!$B$19</x:f>
      </x:c>
      <x:c r="EW57" s="107" t="n">
        <x:f>EW52*'Вводные'!$B$19</x:f>
      </x:c>
      <x:c r="EX57" s="107" t="n">
        <x:f>EX52*'Вводные'!$B$19</x:f>
      </x:c>
      <x:c r="EY57" s="107" t="n">
        <x:f>EY52*'Вводные'!$B$19</x:f>
      </x:c>
      <x:c r="EZ57" s="107" t="n">
        <x:f>EZ52*'Вводные'!$B$19</x:f>
      </x:c>
      <x:c r="FA57" s="107" t="n">
        <x:f>FA52*'Вводные'!$B$19</x:f>
      </x:c>
      <x:c r="FB57" s="107" t="n">
        <x:f>FB52*'Вводные'!$B$19</x:f>
      </x:c>
      <x:c r="FC57" s="107" t="n">
        <x:f>FC52*'Вводные'!$B$19</x:f>
      </x:c>
      <x:c r="FD57" s="107" t="n">
        <x:f>FD52*'Вводные'!$B$19</x:f>
      </x:c>
      <x:c r="FE57" s="107" t="n">
        <x:f>FE52*'Вводные'!$B$19</x:f>
      </x:c>
      <x:c r="FF57" s="107" t="n">
        <x:f>FF52*'Вводные'!$B$19</x:f>
      </x:c>
      <x:c r="FG57" s="107" t="n">
        <x:f>FG52*'Вводные'!$B$19</x:f>
      </x:c>
      <x:c r="FH57" s="107" t="n">
        <x:f>FH52*'Вводные'!$B$19</x:f>
      </x:c>
      <x:c r="FI57" s="107" t="n">
        <x:f>FI52*'Вводные'!$B$19</x:f>
      </x:c>
      <x:c r="FJ57" s="107" t="n">
        <x:f>FJ52*'Вводные'!$B$19</x:f>
      </x:c>
      <x:c r="FK57" s="107" t="n">
        <x:f>FK52*'Вводные'!$B$19</x:f>
      </x:c>
      <x:c r="FL57" s="107" t="n">
        <x:f>FL52*'Вводные'!$B$19</x:f>
      </x:c>
      <x:c r="FM57" s="107" t="n">
        <x:f>FM52*'Вводные'!$B$19</x:f>
      </x:c>
      <x:c r="FN57" s="107" t="n">
        <x:f>FN52*'Вводные'!$B$19</x:f>
      </x:c>
      <x:c r="FO57" s="107" t="n">
        <x:f>FO52*'Вводные'!$B$19</x:f>
      </x:c>
      <x:c r="FP57" s="107" t="n">
        <x:f>FP52*'Вводные'!$B$19</x:f>
      </x:c>
      <x:c r="FQ57" s="107" t="n">
        <x:f>FQ52*'Вводные'!$B$19</x:f>
      </x:c>
      <x:c r="FR57" s="107" t="n">
        <x:f>FR52*'Вводные'!$B$19</x:f>
      </x:c>
      <x:c r="FS57" s="107" t="n">
        <x:f>FS52*'Вводные'!$B$19</x:f>
      </x:c>
      <x:c r="FT57" s="107" t="n">
        <x:f>FT52*'Вводные'!$B$19</x:f>
      </x:c>
      <x:c r="FU57" s="107" t="n">
        <x:f>FU52*'Вводные'!$B$19</x:f>
      </x:c>
      <x:c r="FV57" s="107" t="n">
        <x:f>FV52*'Вводные'!$B$19</x:f>
      </x:c>
      <x:c r="FW57" s="107" t="n">
        <x:f>FW52*'Вводные'!$B$19</x:f>
      </x:c>
      <x:c r="FX57" s="107" t="n">
        <x:f>FX52*'Вводные'!$B$19</x:f>
      </x:c>
      <x:c r="FY57" s="107" t="n">
        <x:f>FY52*'Вводные'!$B$19</x:f>
      </x:c>
      <x:c r="FZ57" s="107" t="n">
        <x:f>FZ52*'Вводные'!$B$19</x:f>
      </x:c>
      <x:c r="GA57" s="107" t="n">
        <x:f>GA52*'Вводные'!$B$19</x:f>
      </x:c>
    </x:row>
    <x:row r="58">
      <x:c r="A58" t="str">
        <x:v>Расходы на продажи</x:v>
      </x:c>
      <x:c r="B58" s="107" t="n">
        <x:f>SUM(D58:GA58)</x:f>
      </x:c>
      <x:c r="C58" t="str">
        <x:v>млн ₽</x:v>
      </x:c>
      <x:c r="D58" s="107" t="n">
        <x:f>D52*'Вводные'!$B$20</x:f>
      </x:c>
      <x:c r="E58" s="107" t="n">
        <x:f>E52*'Вводные'!$B$20</x:f>
      </x:c>
      <x:c r="F58" s="107" t="n">
        <x:f>F52*'Вводные'!$B$20</x:f>
      </x:c>
      <x:c r="G58" s="107" t="n">
        <x:f>G52*'Вводные'!$B$20</x:f>
      </x:c>
      <x:c r="H58" s="107" t="n">
        <x:f>H52*'Вводные'!$B$20</x:f>
      </x:c>
      <x:c r="I58" s="107" t="n">
        <x:f>I52*'Вводные'!$B$20</x:f>
      </x:c>
      <x:c r="J58" s="107" t="n">
        <x:f>J52*'Вводные'!$B$20</x:f>
      </x:c>
      <x:c r="K58" s="107" t="n">
        <x:f>K52*'Вводные'!$B$20</x:f>
      </x:c>
      <x:c r="L58" s="107" t="n">
        <x:f>L52*'Вводные'!$B$20</x:f>
      </x:c>
      <x:c r="M58" s="107" t="n">
        <x:f>M52*'Вводные'!$B$20</x:f>
      </x:c>
      <x:c r="N58" s="107" t="n">
        <x:f>N52*'Вводные'!$B$20</x:f>
      </x:c>
      <x:c r="O58" s="107" t="n">
        <x:f>O52*'Вводные'!$B$20</x:f>
      </x:c>
      <x:c r="P58" s="107" t="n">
        <x:f>P52*'Вводные'!$B$20</x:f>
      </x:c>
      <x:c r="Q58" s="107" t="n">
        <x:f>Q52*'Вводные'!$B$20</x:f>
      </x:c>
      <x:c r="R58" s="107" t="n">
        <x:f>R52*'Вводные'!$B$20</x:f>
      </x:c>
      <x:c r="S58" s="107" t="n">
        <x:f>S52*'Вводные'!$B$20</x:f>
      </x:c>
      <x:c r="T58" s="107" t="n">
        <x:f>T52*'Вводные'!$B$20</x:f>
      </x:c>
      <x:c r="U58" s="107" t="n">
        <x:f>U52*'Вводные'!$B$20</x:f>
      </x:c>
      <x:c r="V58" s="107" t="n">
        <x:f>V52*'Вводные'!$B$20</x:f>
      </x:c>
      <x:c r="W58" s="107" t="n">
        <x:f>W52*'Вводные'!$B$20</x:f>
      </x:c>
      <x:c r="X58" s="107" t="n">
        <x:f>X52*'Вводные'!$B$20</x:f>
      </x:c>
      <x:c r="Y58" s="107" t="n">
        <x:f>Y52*'Вводные'!$B$20</x:f>
      </x:c>
      <x:c r="Z58" s="107" t="n">
        <x:f>Z52*'Вводные'!$B$20</x:f>
      </x:c>
      <x:c r="AA58" s="107" t="n">
        <x:f>AA52*'Вводные'!$B$20</x:f>
      </x:c>
      <x:c r="AB58" s="107" t="n">
        <x:f>AB52*'Вводные'!$B$20</x:f>
      </x:c>
      <x:c r="AC58" s="107" t="n">
        <x:f>AC52*'Вводные'!$B$20</x:f>
      </x:c>
      <x:c r="AD58" s="107" t="n">
        <x:f>AD52*'Вводные'!$B$20</x:f>
      </x:c>
      <x:c r="AE58" s="107" t="n">
        <x:f>AE52*'Вводные'!$B$20</x:f>
      </x:c>
      <x:c r="AF58" s="107" t="n">
        <x:f>AF52*'Вводные'!$B$20</x:f>
      </x:c>
      <x:c r="AG58" s="107" t="n">
        <x:f>AG52*'Вводные'!$B$20</x:f>
      </x:c>
      <x:c r="AH58" s="107" t="n">
        <x:f>AH52*'Вводные'!$B$20</x:f>
      </x:c>
      <x:c r="AI58" s="107" t="n">
        <x:f>AI52*'Вводные'!$B$20</x:f>
      </x:c>
      <x:c r="AJ58" s="107" t="n">
        <x:f>AJ52*'Вводные'!$B$20</x:f>
      </x:c>
      <x:c r="AK58" s="107" t="n">
        <x:f>AK52*'Вводные'!$B$20</x:f>
      </x:c>
      <x:c r="AL58" s="107" t="n">
        <x:f>AL52*'Вводные'!$B$20</x:f>
      </x:c>
      <x:c r="AM58" s="107" t="n">
        <x:f>AM52*'Вводные'!$B$20</x:f>
      </x:c>
      <x:c r="AN58" s="107" t="n">
        <x:f>AN52*'Вводные'!$B$20</x:f>
      </x:c>
      <x:c r="AO58" s="107" t="n">
        <x:f>AO52*'Вводные'!$B$20</x:f>
      </x:c>
      <x:c r="AP58" s="107" t="n">
        <x:f>AP52*'Вводные'!$B$20</x:f>
      </x:c>
      <x:c r="AQ58" s="107" t="n">
        <x:f>AQ52*'Вводные'!$B$20</x:f>
      </x:c>
      <x:c r="AR58" s="107" t="n">
        <x:f>AR52*'Вводные'!$B$20</x:f>
      </x:c>
      <x:c r="AS58" s="107" t="n">
        <x:f>AS52*'Вводные'!$B$20</x:f>
      </x:c>
      <x:c r="AT58" s="107" t="n">
        <x:f>AT52*'Вводные'!$B$20</x:f>
      </x:c>
      <x:c r="AU58" s="107" t="n">
        <x:f>AU52*'Вводные'!$B$20</x:f>
      </x:c>
      <x:c r="AV58" s="107" t="n">
        <x:f>AV52*'Вводные'!$B$20</x:f>
      </x:c>
      <x:c r="AW58" s="107" t="n">
        <x:f>AW52*'Вводные'!$B$20</x:f>
      </x:c>
      <x:c r="AX58" s="107" t="n">
        <x:f>AX52*'Вводные'!$B$20</x:f>
      </x:c>
      <x:c r="AY58" s="107" t="n">
        <x:f>AY52*'Вводные'!$B$20</x:f>
      </x:c>
      <x:c r="AZ58" s="107" t="n">
        <x:f>AZ52*'Вводные'!$B$20</x:f>
      </x:c>
      <x:c r="BA58" s="107" t="n">
        <x:f>BA52*'Вводные'!$B$20</x:f>
      </x:c>
      <x:c r="BB58" s="107" t="n">
        <x:f>BB52*'Вводные'!$B$20</x:f>
      </x:c>
      <x:c r="BC58" s="107" t="n">
        <x:f>BC52*'Вводные'!$B$20</x:f>
      </x:c>
      <x:c r="BD58" s="107" t="n">
        <x:f>BD52*'Вводные'!$B$20</x:f>
      </x:c>
      <x:c r="BE58" s="107" t="n">
        <x:f>BE52*'Вводные'!$B$20</x:f>
      </x:c>
      <x:c r="BF58" s="107" t="n">
        <x:f>BF52*'Вводные'!$B$20</x:f>
      </x:c>
      <x:c r="BG58" s="107" t="n">
        <x:f>BG52*'Вводные'!$B$20</x:f>
      </x:c>
      <x:c r="BH58" s="107" t="n">
        <x:f>BH52*'Вводные'!$B$20</x:f>
      </x:c>
      <x:c r="BI58" s="107" t="n">
        <x:f>BI52*'Вводные'!$B$20</x:f>
      </x:c>
      <x:c r="BJ58" s="107" t="n">
        <x:f>BJ52*'Вводные'!$B$20</x:f>
      </x:c>
      <x:c r="BK58" s="107" t="n">
        <x:f>BK52*'Вводные'!$B$20</x:f>
      </x:c>
      <x:c r="BL58" s="107" t="n">
        <x:f>BL52*'Вводные'!$B$20</x:f>
      </x:c>
      <x:c r="BM58" s="107" t="n">
        <x:f>BM52*'Вводные'!$B$20</x:f>
      </x:c>
      <x:c r="BN58" s="107" t="n">
        <x:f>BN52*'Вводные'!$B$20</x:f>
      </x:c>
      <x:c r="BO58" s="107" t="n">
        <x:f>BO52*'Вводные'!$B$20</x:f>
      </x:c>
      <x:c r="BP58" s="107" t="n">
        <x:f>BP52*'Вводные'!$B$20</x:f>
      </x:c>
      <x:c r="BQ58" s="107" t="n">
        <x:f>BQ52*'Вводные'!$B$20</x:f>
      </x:c>
      <x:c r="BR58" s="107" t="n">
        <x:f>BR52*'Вводные'!$B$20</x:f>
      </x:c>
      <x:c r="BS58" s="107" t="n">
        <x:f>BS52*'Вводные'!$B$20</x:f>
      </x:c>
      <x:c r="BT58" s="107" t="n">
        <x:f>BT52*'Вводные'!$B$20</x:f>
      </x:c>
      <x:c r="BU58" s="107" t="n">
        <x:f>BU52*'Вводные'!$B$20</x:f>
      </x:c>
      <x:c r="BV58" s="107" t="n">
        <x:f>BV52*'Вводные'!$B$20</x:f>
      </x:c>
      <x:c r="BW58" s="107" t="n">
        <x:f>BW52*'Вводные'!$B$20</x:f>
      </x:c>
      <x:c r="BX58" s="107" t="n">
        <x:f>BX52*'Вводные'!$B$20</x:f>
      </x:c>
      <x:c r="BY58" s="107" t="n">
        <x:f>BY52*'Вводные'!$B$20</x:f>
      </x:c>
      <x:c r="BZ58" s="107" t="n">
        <x:f>BZ52*'Вводные'!$B$20</x:f>
      </x:c>
      <x:c r="CA58" s="107" t="n">
        <x:f>CA52*'Вводные'!$B$20</x:f>
      </x:c>
      <x:c r="CB58" s="107" t="n">
        <x:f>CB52*'Вводные'!$B$20</x:f>
      </x:c>
      <x:c r="CC58" s="107" t="n">
        <x:f>CC52*'Вводные'!$B$20</x:f>
      </x:c>
      <x:c r="CD58" s="107" t="n">
        <x:f>CD52*'Вводные'!$B$20</x:f>
      </x:c>
      <x:c r="CE58" s="107" t="n">
        <x:f>CE52*'Вводные'!$B$20</x:f>
      </x:c>
      <x:c r="CF58" s="107" t="n">
        <x:f>CF52*'Вводные'!$B$20</x:f>
      </x:c>
      <x:c r="CG58" s="107" t="n">
        <x:f>CG52*'Вводные'!$B$20</x:f>
      </x:c>
      <x:c r="CH58" s="107" t="n">
        <x:f>CH52*'Вводные'!$B$20</x:f>
      </x:c>
      <x:c r="CI58" s="107" t="n">
        <x:f>CI52*'Вводные'!$B$20</x:f>
      </x:c>
      <x:c r="CJ58" s="107" t="n">
        <x:f>CJ52*'Вводные'!$B$20</x:f>
      </x:c>
      <x:c r="CK58" s="107" t="n">
        <x:f>CK52*'Вводные'!$B$20</x:f>
      </x:c>
      <x:c r="CL58" s="107" t="n">
        <x:f>CL52*'Вводные'!$B$20</x:f>
      </x:c>
      <x:c r="CM58" s="107" t="n">
        <x:f>CM52*'Вводные'!$B$20</x:f>
      </x:c>
      <x:c r="CN58" s="107" t="n">
        <x:f>CN52*'Вводные'!$B$20</x:f>
      </x:c>
      <x:c r="CO58" s="107" t="n">
        <x:f>CO52*'Вводные'!$B$20</x:f>
      </x:c>
      <x:c r="CP58" s="107" t="n">
        <x:f>CP52*'Вводные'!$B$20</x:f>
      </x:c>
      <x:c r="CQ58" s="107" t="n">
        <x:f>CQ52*'Вводные'!$B$20</x:f>
      </x:c>
      <x:c r="CR58" s="107" t="n">
        <x:f>CR52*'Вводные'!$B$20</x:f>
      </x:c>
      <x:c r="CS58" s="107" t="n">
        <x:f>CS52*'Вводные'!$B$20</x:f>
      </x:c>
      <x:c r="CT58" s="107" t="n">
        <x:f>CT52*'Вводные'!$B$20</x:f>
      </x:c>
      <x:c r="CU58" s="107" t="n">
        <x:f>CU52*'Вводные'!$B$20</x:f>
      </x:c>
      <x:c r="CV58" s="107" t="n">
        <x:f>CV52*'Вводные'!$B$20</x:f>
      </x:c>
      <x:c r="CW58" s="107" t="n">
        <x:f>CW52*'Вводные'!$B$20</x:f>
      </x:c>
      <x:c r="CX58" s="107" t="n">
        <x:f>CX52*'Вводные'!$B$20</x:f>
      </x:c>
      <x:c r="CY58" s="107" t="n">
        <x:f>CY52*'Вводные'!$B$20</x:f>
      </x:c>
      <x:c r="CZ58" s="107" t="n">
        <x:f>CZ52*'Вводные'!$B$20</x:f>
      </x:c>
      <x:c r="DA58" s="107" t="n">
        <x:f>DA52*'Вводные'!$B$20</x:f>
      </x:c>
      <x:c r="DB58" s="107" t="n">
        <x:f>DB52*'Вводные'!$B$20</x:f>
      </x:c>
      <x:c r="DC58" s="107" t="n">
        <x:f>DC52*'Вводные'!$B$20</x:f>
      </x:c>
      <x:c r="DD58" s="107" t="n">
        <x:f>DD52*'Вводные'!$B$20</x:f>
      </x:c>
      <x:c r="DE58" s="107" t="n">
        <x:f>DE52*'Вводные'!$B$20</x:f>
      </x:c>
      <x:c r="DF58" s="107" t="n">
        <x:f>DF52*'Вводные'!$B$20</x:f>
      </x:c>
      <x:c r="DG58" s="107" t="n">
        <x:f>DG52*'Вводные'!$B$20</x:f>
      </x:c>
      <x:c r="DH58" s="107" t="n">
        <x:f>DH52*'Вводные'!$B$20</x:f>
      </x:c>
      <x:c r="DI58" s="107" t="n">
        <x:f>DI52*'Вводные'!$B$20</x:f>
      </x:c>
      <x:c r="DJ58" s="107" t="n">
        <x:f>DJ52*'Вводные'!$B$20</x:f>
      </x:c>
      <x:c r="DK58" s="107" t="n">
        <x:f>DK52*'Вводные'!$B$20</x:f>
      </x:c>
      <x:c r="DL58" s="107" t="n">
        <x:f>DL52*'Вводные'!$B$20</x:f>
      </x:c>
      <x:c r="DM58" s="107" t="n">
        <x:f>DM52*'Вводные'!$B$20</x:f>
      </x:c>
      <x:c r="DN58" s="107" t="n">
        <x:f>DN52*'Вводные'!$B$20</x:f>
      </x:c>
      <x:c r="DO58" s="107" t="n">
        <x:f>DO52*'Вводные'!$B$20</x:f>
      </x:c>
      <x:c r="DP58" s="107" t="n">
        <x:f>DP52*'Вводные'!$B$20</x:f>
      </x:c>
      <x:c r="DQ58" s="107" t="n">
        <x:f>DQ52*'Вводные'!$B$20</x:f>
      </x:c>
      <x:c r="DR58" s="107" t="n">
        <x:f>DR52*'Вводные'!$B$20</x:f>
      </x:c>
      <x:c r="DS58" s="107" t="n">
        <x:f>DS52*'Вводные'!$B$20</x:f>
      </x:c>
      <x:c r="DT58" s="107" t="n">
        <x:f>DT52*'Вводные'!$B$20</x:f>
      </x:c>
      <x:c r="DU58" s="107" t="n">
        <x:f>DU52*'Вводные'!$B$20</x:f>
      </x:c>
      <x:c r="DV58" s="107" t="n">
        <x:f>DV52*'Вводные'!$B$20</x:f>
      </x:c>
      <x:c r="DW58" s="107" t="n">
        <x:f>DW52*'Вводные'!$B$20</x:f>
      </x:c>
      <x:c r="DX58" s="107" t="n">
        <x:f>DX52*'Вводные'!$B$20</x:f>
      </x:c>
      <x:c r="DY58" s="107" t="n">
        <x:f>DY52*'Вводные'!$B$20</x:f>
      </x:c>
      <x:c r="DZ58" s="107" t="n">
        <x:f>DZ52*'Вводные'!$B$20</x:f>
      </x:c>
      <x:c r="EA58" s="107" t="n">
        <x:f>EA52*'Вводные'!$B$20</x:f>
      </x:c>
      <x:c r="EB58" s="107" t="n">
        <x:f>EB52*'Вводные'!$B$20</x:f>
      </x:c>
      <x:c r="EC58" s="107" t="n">
        <x:f>EC52*'Вводные'!$B$20</x:f>
      </x:c>
      <x:c r="ED58" s="107" t="n">
        <x:f>ED52*'Вводные'!$B$20</x:f>
      </x:c>
      <x:c r="EE58" s="107" t="n">
        <x:f>EE52*'Вводные'!$B$20</x:f>
      </x:c>
      <x:c r="EF58" s="107" t="n">
        <x:f>EF52*'Вводные'!$B$20</x:f>
      </x:c>
      <x:c r="EG58" s="107" t="n">
        <x:f>EG52*'Вводные'!$B$20</x:f>
      </x:c>
      <x:c r="EH58" s="107" t="n">
        <x:f>EH52*'Вводные'!$B$20</x:f>
      </x:c>
      <x:c r="EI58" s="107" t="n">
        <x:f>EI52*'Вводные'!$B$20</x:f>
      </x:c>
      <x:c r="EJ58" s="107" t="n">
        <x:f>EJ52*'Вводные'!$B$20</x:f>
      </x:c>
      <x:c r="EK58" s="107" t="n">
        <x:f>EK52*'Вводные'!$B$20</x:f>
      </x:c>
      <x:c r="EL58" s="107" t="n">
        <x:f>EL52*'Вводные'!$B$20</x:f>
      </x:c>
      <x:c r="EM58" s="107" t="n">
        <x:f>EM52*'Вводные'!$B$20</x:f>
      </x:c>
      <x:c r="EN58" s="107" t="n">
        <x:f>EN52*'Вводные'!$B$20</x:f>
      </x:c>
      <x:c r="EO58" s="107" t="n">
        <x:f>EO52*'Вводные'!$B$20</x:f>
      </x:c>
      <x:c r="EP58" s="107" t="n">
        <x:f>EP52*'Вводные'!$B$20</x:f>
      </x:c>
      <x:c r="EQ58" s="107" t="n">
        <x:f>EQ52*'Вводные'!$B$20</x:f>
      </x:c>
      <x:c r="ER58" s="107" t="n">
        <x:f>ER52*'Вводные'!$B$20</x:f>
      </x:c>
      <x:c r="ES58" s="107" t="n">
        <x:f>ES52*'Вводные'!$B$20</x:f>
      </x:c>
      <x:c r="ET58" s="107" t="n">
        <x:f>ET52*'Вводные'!$B$20</x:f>
      </x:c>
      <x:c r="EU58" s="107" t="n">
        <x:f>EU52*'Вводные'!$B$20</x:f>
      </x:c>
      <x:c r="EV58" s="107" t="n">
        <x:f>EV52*'Вводные'!$B$20</x:f>
      </x:c>
      <x:c r="EW58" s="107" t="n">
        <x:f>EW52*'Вводные'!$B$20</x:f>
      </x:c>
      <x:c r="EX58" s="107" t="n">
        <x:f>EX52*'Вводные'!$B$20</x:f>
      </x:c>
      <x:c r="EY58" s="107" t="n">
        <x:f>EY52*'Вводные'!$B$20</x:f>
      </x:c>
      <x:c r="EZ58" s="107" t="n">
        <x:f>EZ52*'Вводные'!$B$20</x:f>
      </x:c>
      <x:c r="FA58" s="107" t="n">
        <x:f>FA52*'Вводные'!$B$20</x:f>
      </x:c>
      <x:c r="FB58" s="107" t="n">
        <x:f>FB52*'Вводные'!$B$20</x:f>
      </x:c>
      <x:c r="FC58" s="107" t="n">
        <x:f>FC52*'Вводные'!$B$20</x:f>
      </x:c>
      <x:c r="FD58" s="107" t="n">
        <x:f>FD52*'Вводные'!$B$20</x:f>
      </x:c>
      <x:c r="FE58" s="107" t="n">
        <x:f>FE52*'Вводные'!$B$20</x:f>
      </x:c>
      <x:c r="FF58" s="107" t="n">
        <x:f>FF52*'Вводные'!$B$20</x:f>
      </x:c>
      <x:c r="FG58" s="107" t="n">
        <x:f>FG52*'Вводные'!$B$20</x:f>
      </x:c>
      <x:c r="FH58" s="107" t="n">
        <x:f>FH52*'Вводные'!$B$20</x:f>
      </x:c>
      <x:c r="FI58" s="107" t="n">
        <x:f>FI52*'Вводные'!$B$20</x:f>
      </x:c>
      <x:c r="FJ58" s="107" t="n">
        <x:f>FJ52*'Вводные'!$B$20</x:f>
      </x:c>
      <x:c r="FK58" s="107" t="n">
        <x:f>FK52*'Вводные'!$B$20</x:f>
      </x:c>
      <x:c r="FL58" s="107" t="n">
        <x:f>FL52*'Вводные'!$B$20</x:f>
      </x:c>
      <x:c r="FM58" s="107" t="n">
        <x:f>FM52*'Вводные'!$B$20</x:f>
      </x:c>
      <x:c r="FN58" s="107" t="n">
        <x:f>FN52*'Вводные'!$B$20</x:f>
      </x:c>
      <x:c r="FO58" s="107" t="n">
        <x:f>FO52*'Вводные'!$B$20</x:f>
      </x:c>
      <x:c r="FP58" s="107" t="n">
        <x:f>FP52*'Вводные'!$B$20</x:f>
      </x:c>
      <x:c r="FQ58" s="107" t="n">
        <x:f>FQ52*'Вводные'!$B$20</x:f>
      </x:c>
      <x:c r="FR58" s="107" t="n">
        <x:f>FR52*'Вводные'!$B$20</x:f>
      </x:c>
      <x:c r="FS58" s="107" t="n">
        <x:f>FS52*'Вводные'!$B$20</x:f>
      </x:c>
      <x:c r="FT58" s="107" t="n">
        <x:f>FT52*'Вводные'!$B$20</x:f>
      </x:c>
      <x:c r="FU58" s="107" t="n">
        <x:f>FU52*'Вводные'!$B$20</x:f>
      </x:c>
      <x:c r="FV58" s="107" t="n">
        <x:f>FV52*'Вводные'!$B$20</x:f>
      </x:c>
      <x:c r="FW58" s="107" t="n">
        <x:f>FW52*'Вводные'!$B$20</x:f>
      </x:c>
      <x:c r="FX58" s="107" t="n">
        <x:f>FX52*'Вводные'!$B$20</x:f>
      </x:c>
      <x:c r="FY58" s="107" t="n">
        <x:f>FY52*'Вводные'!$B$20</x:f>
      </x:c>
      <x:c r="FZ58" s="107" t="n">
        <x:f>FZ52*'Вводные'!$B$20</x:f>
      </x:c>
      <x:c r="GA58" s="107" t="n">
        <x:f>GA52*'Вводные'!$B$20</x:f>
      </x:c>
    </x:row>
    <x:row r="59">
      <x:c r="A59" s="348" t="str">
        <x:v>Расходы объекта всего</x:v>
      </x:c>
      <x:c r="B59" s="348" t="n">
        <x:f>SUM(D59:GA59)</x:f>
      </x:c>
      <x:c r="C59" s="348" t="str">
        <x:v>млн ₽</x:v>
      </x:c>
      <x:c r="D59" s="348" t="n">
        <x:f>SUM(D56:D58)</x:f>
      </x:c>
      <x:c r="E59" s="348" t="n">
        <x:f>SUM(E56:E58)</x:f>
      </x:c>
      <x:c r="F59" s="348" t="n">
        <x:f>SUM(F56:F58)</x:f>
      </x:c>
      <x:c r="G59" s="348" t="n">
        <x:f>SUM(G56:G58)</x:f>
      </x:c>
      <x:c r="H59" s="348" t="n">
        <x:f>SUM(H56:H58)</x:f>
      </x:c>
      <x:c r="I59" s="348" t="n">
        <x:f>SUM(I56:I58)</x:f>
      </x:c>
      <x:c r="J59" s="348" t="n">
        <x:f>SUM(J56:J58)</x:f>
      </x:c>
      <x:c r="K59" s="348" t="n">
        <x:f>SUM(K56:K58)</x:f>
      </x:c>
      <x:c r="L59" s="348" t="n">
        <x:f>SUM(L56:L58)</x:f>
      </x:c>
      <x:c r="M59" s="348" t="n">
        <x:f>SUM(M56:M58)</x:f>
      </x:c>
      <x:c r="N59" s="348" t="n">
        <x:f>SUM(N56:N58)</x:f>
      </x:c>
      <x:c r="O59" s="348" t="n">
        <x:f>SUM(O56:O58)</x:f>
      </x:c>
      <x:c r="P59" s="348" t="n">
        <x:f>SUM(P56:P58)</x:f>
      </x:c>
      <x:c r="Q59" s="348" t="n">
        <x:f>SUM(Q56:Q58)</x:f>
      </x:c>
      <x:c r="R59" s="348" t="n">
        <x:f>SUM(R56:R58)</x:f>
      </x:c>
      <x:c r="S59" s="348" t="n">
        <x:f>SUM(S56:S58)</x:f>
      </x:c>
      <x:c r="T59" s="348" t="n">
        <x:f>SUM(T56:T58)</x:f>
      </x:c>
      <x:c r="U59" s="348" t="n">
        <x:f>SUM(U56:U58)</x:f>
      </x:c>
      <x:c r="V59" s="348" t="n">
        <x:f>SUM(V56:V58)</x:f>
      </x:c>
      <x:c r="W59" s="348" t="n">
        <x:f>SUM(W56:W58)</x:f>
      </x:c>
      <x:c r="X59" s="348" t="n">
        <x:f>SUM(X56:X58)</x:f>
      </x:c>
      <x:c r="Y59" s="348" t="n">
        <x:f>SUM(Y56:Y58)</x:f>
      </x:c>
      <x:c r="Z59" s="348" t="n">
        <x:f>SUM(Z56:Z58)</x:f>
      </x:c>
      <x:c r="AA59" s="348" t="n">
        <x:f>SUM(AA56:AA58)</x:f>
      </x:c>
      <x:c r="AB59" s="348" t="n">
        <x:f>SUM(AB56:AB58)</x:f>
      </x:c>
      <x:c r="AC59" s="348" t="n">
        <x:f>SUM(AC56:AC58)</x:f>
      </x:c>
      <x:c r="AD59" s="348" t="n">
        <x:f>SUM(AD56:AD58)</x:f>
      </x:c>
      <x:c r="AE59" s="348" t="n">
        <x:f>SUM(AE56:AE58)</x:f>
      </x:c>
      <x:c r="AF59" s="348" t="n">
        <x:f>SUM(AF56:AF58)</x:f>
      </x:c>
      <x:c r="AG59" s="348" t="n">
        <x:f>SUM(AG56:AG58)</x:f>
      </x:c>
      <x:c r="AH59" s="348" t="n">
        <x:f>SUM(AH56:AH58)</x:f>
      </x:c>
      <x:c r="AI59" s="348" t="n">
        <x:f>SUM(AI56:AI58)</x:f>
      </x:c>
      <x:c r="AJ59" s="348" t="n">
        <x:f>SUM(AJ56:AJ58)</x:f>
      </x:c>
      <x:c r="AK59" s="348" t="n">
        <x:f>SUM(AK56:AK58)</x:f>
      </x:c>
      <x:c r="AL59" s="348" t="n">
        <x:f>SUM(AL56:AL58)</x:f>
      </x:c>
      <x:c r="AM59" s="348" t="n">
        <x:f>SUM(AM56:AM58)</x:f>
      </x:c>
      <x:c r="AN59" s="348" t="n">
        <x:f>SUM(AN56:AN58)</x:f>
      </x:c>
      <x:c r="AO59" s="348" t="n">
        <x:f>SUM(AO56:AO58)</x:f>
      </x:c>
      <x:c r="AP59" s="348" t="n">
        <x:f>SUM(AP56:AP58)</x:f>
      </x:c>
      <x:c r="AQ59" s="348" t="n">
        <x:f>SUM(AQ56:AQ58)</x:f>
      </x:c>
      <x:c r="AR59" s="348" t="n">
        <x:f>SUM(AR56:AR58)</x:f>
      </x:c>
      <x:c r="AS59" s="348" t="n">
        <x:f>SUM(AS56:AS58)</x:f>
      </x:c>
      <x:c r="AT59" s="348" t="n">
        <x:f>SUM(AT56:AT58)</x:f>
      </x:c>
      <x:c r="AU59" s="348" t="n">
        <x:f>SUM(AU56:AU58)</x:f>
      </x:c>
      <x:c r="AV59" s="348" t="n">
        <x:f>SUM(AV56:AV58)</x:f>
      </x:c>
      <x:c r="AW59" s="348" t="n">
        <x:f>SUM(AW56:AW58)</x:f>
      </x:c>
      <x:c r="AX59" s="348" t="n">
        <x:f>SUM(AX56:AX58)</x:f>
      </x:c>
      <x:c r="AY59" s="348" t="n">
        <x:f>SUM(AY56:AY58)</x:f>
      </x:c>
      <x:c r="AZ59" s="348" t="n">
        <x:f>SUM(AZ56:AZ58)</x:f>
      </x:c>
      <x:c r="BA59" s="348" t="n">
        <x:f>SUM(BA56:BA58)</x:f>
      </x:c>
      <x:c r="BB59" s="348" t="n">
        <x:f>SUM(BB56:BB58)</x:f>
      </x:c>
      <x:c r="BC59" s="348" t="n">
        <x:f>SUM(BC56:BC58)</x:f>
      </x:c>
      <x:c r="BD59" s="348" t="n">
        <x:f>SUM(BD56:BD58)</x:f>
      </x:c>
      <x:c r="BE59" s="348" t="n">
        <x:f>SUM(BE56:BE58)</x:f>
      </x:c>
      <x:c r="BF59" s="348" t="n">
        <x:f>SUM(BF56:BF58)</x:f>
      </x:c>
      <x:c r="BG59" s="348" t="n">
        <x:f>SUM(BG56:BG58)</x:f>
      </x:c>
      <x:c r="BH59" s="348" t="n">
        <x:f>SUM(BH56:BH58)</x:f>
      </x:c>
      <x:c r="BI59" s="348" t="n">
        <x:f>SUM(BI56:BI58)</x:f>
      </x:c>
      <x:c r="BJ59" s="348" t="n">
        <x:f>SUM(BJ56:BJ58)</x:f>
      </x:c>
      <x:c r="BK59" s="348" t="n">
        <x:f>SUM(BK56:BK58)</x:f>
      </x:c>
      <x:c r="BL59" s="348" t="n">
        <x:f>SUM(BL56:BL58)</x:f>
      </x:c>
      <x:c r="BM59" s="348" t="n">
        <x:f>SUM(BM56:BM58)</x:f>
      </x:c>
      <x:c r="BN59" s="348" t="n">
        <x:f>SUM(BN56:BN58)</x:f>
      </x:c>
      <x:c r="BO59" s="348" t="n">
        <x:f>SUM(BO56:BO58)</x:f>
      </x:c>
      <x:c r="BP59" s="348" t="n">
        <x:f>SUM(BP56:BP58)</x:f>
      </x:c>
      <x:c r="BQ59" s="348" t="n">
        <x:f>SUM(BQ56:BQ58)</x:f>
      </x:c>
      <x:c r="BR59" s="348" t="n">
        <x:f>SUM(BR56:BR58)</x:f>
      </x:c>
      <x:c r="BS59" s="348" t="n">
        <x:f>SUM(BS56:BS58)</x:f>
      </x:c>
      <x:c r="BT59" s="348" t="n">
        <x:f>SUM(BT56:BT58)</x:f>
      </x:c>
      <x:c r="BU59" s="348" t="n">
        <x:f>SUM(BU56:BU58)</x:f>
      </x:c>
      <x:c r="BV59" s="348" t="n">
        <x:f>SUM(BV56:BV58)</x:f>
      </x:c>
      <x:c r="BW59" s="348" t="n">
        <x:f>SUM(BW56:BW58)</x:f>
      </x:c>
      <x:c r="BX59" s="348" t="n">
        <x:f>SUM(BX56:BX58)</x:f>
      </x:c>
      <x:c r="BY59" s="348" t="n">
        <x:f>SUM(BY56:BY58)</x:f>
      </x:c>
      <x:c r="BZ59" s="348" t="n">
        <x:f>SUM(BZ56:BZ58)</x:f>
      </x:c>
      <x:c r="CA59" s="348" t="n">
        <x:f>SUM(CA56:CA58)</x:f>
      </x:c>
      <x:c r="CB59" s="348" t="n">
        <x:f>SUM(CB56:CB58)</x:f>
      </x:c>
      <x:c r="CC59" s="348" t="n">
        <x:f>SUM(CC56:CC58)</x:f>
      </x:c>
      <x:c r="CD59" s="348" t="n">
        <x:f>SUM(CD56:CD58)</x:f>
      </x:c>
      <x:c r="CE59" s="348" t="n">
        <x:f>SUM(CE56:CE58)</x:f>
      </x:c>
      <x:c r="CF59" s="348" t="n">
        <x:f>SUM(CF56:CF58)</x:f>
      </x:c>
      <x:c r="CG59" s="348" t="n">
        <x:f>SUM(CG56:CG58)</x:f>
      </x:c>
      <x:c r="CH59" s="348" t="n">
        <x:f>SUM(CH56:CH58)</x:f>
      </x:c>
      <x:c r="CI59" s="348" t="n">
        <x:f>SUM(CI56:CI58)</x:f>
      </x:c>
      <x:c r="CJ59" s="348" t="n">
        <x:f>SUM(CJ56:CJ58)</x:f>
      </x:c>
      <x:c r="CK59" s="348" t="n">
        <x:f>SUM(CK56:CK58)</x:f>
      </x:c>
      <x:c r="CL59" s="348" t="n">
        <x:f>SUM(CL56:CL58)</x:f>
      </x:c>
      <x:c r="CM59" s="348" t="n">
        <x:f>SUM(CM56:CM58)</x:f>
      </x:c>
      <x:c r="CN59" s="348" t="n">
        <x:f>SUM(CN56:CN58)</x:f>
      </x:c>
      <x:c r="CO59" s="348" t="n">
        <x:f>SUM(CO56:CO58)</x:f>
      </x:c>
      <x:c r="CP59" s="348" t="n">
        <x:f>SUM(CP56:CP58)</x:f>
      </x:c>
      <x:c r="CQ59" s="348" t="n">
        <x:f>SUM(CQ56:CQ58)</x:f>
      </x:c>
      <x:c r="CR59" s="348" t="n">
        <x:f>SUM(CR56:CR58)</x:f>
      </x:c>
      <x:c r="CS59" s="348" t="n">
        <x:f>SUM(CS56:CS58)</x:f>
      </x:c>
      <x:c r="CT59" s="348" t="n">
        <x:f>SUM(CT56:CT58)</x:f>
      </x:c>
      <x:c r="CU59" s="348" t="n">
        <x:f>SUM(CU56:CU58)</x:f>
      </x:c>
      <x:c r="CV59" s="348" t="n">
        <x:f>SUM(CV56:CV58)</x:f>
      </x:c>
      <x:c r="CW59" s="348" t="n">
        <x:f>SUM(CW56:CW58)</x:f>
      </x:c>
      <x:c r="CX59" s="348" t="n">
        <x:f>SUM(CX56:CX58)</x:f>
      </x:c>
      <x:c r="CY59" s="348" t="n">
        <x:f>SUM(CY56:CY58)</x:f>
      </x:c>
      <x:c r="CZ59" s="348" t="n">
        <x:f>SUM(CZ56:CZ58)</x:f>
      </x:c>
      <x:c r="DA59" s="348" t="n">
        <x:f>SUM(DA56:DA58)</x:f>
      </x:c>
      <x:c r="DB59" s="348" t="n">
        <x:f>SUM(DB56:DB58)</x:f>
      </x:c>
      <x:c r="DC59" s="348" t="n">
        <x:f>SUM(DC56:DC58)</x:f>
      </x:c>
      <x:c r="DD59" s="348" t="n">
        <x:f>SUM(DD56:DD58)</x:f>
      </x:c>
      <x:c r="DE59" s="348" t="n">
        <x:f>SUM(DE56:DE58)</x:f>
      </x:c>
      <x:c r="DF59" s="348" t="n">
        <x:f>SUM(DF56:DF58)</x:f>
      </x:c>
      <x:c r="DG59" s="348" t="n">
        <x:f>SUM(DG56:DG58)</x:f>
      </x:c>
      <x:c r="DH59" s="348" t="n">
        <x:f>SUM(DH56:DH58)</x:f>
      </x:c>
      <x:c r="DI59" s="348" t="n">
        <x:f>SUM(DI56:DI58)</x:f>
      </x:c>
      <x:c r="DJ59" s="348" t="n">
        <x:f>SUM(DJ56:DJ58)</x:f>
      </x:c>
      <x:c r="DK59" s="348" t="n">
        <x:f>SUM(DK56:DK58)</x:f>
      </x:c>
      <x:c r="DL59" s="348" t="n">
        <x:f>SUM(DL56:DL58)</x:f>
      </x:c>
      <x:c r="DM59" s="348" t="n">
        <x:f>SUM(DM56:DM58)</x:f>
      </x:c>
      <x:c r="DN59" s="348" t="n">
        <x:f>SUM(DN56:DN58)</x:f>
      </x:c>
      <x:c r="DO59" s="348" t="n">
        <x:f>SUM(DO56:DO58)</x:f>
      </x:c>
      <x:c r="DP59" s="348" t="n">
        <x:f>SUM(DP56:DP58)</x:f>
      </x:c>
      <x:c r="DQ59" s="348" t="n">
        <x:f>SUM(DQ56:DQ58)</x:f>
      </x:c>
      <x:c r="DR59" s="348" t="n">
        <x:f>SUM(DR56:DR58)</x:f>
      </x:c>
      <x:c r="DS59" s="348" t="n">
        <x:f>SUM(DS56:DS58)</x:f>
      </x:c>
      <x:c r="DT59" s="348" t="n">
        <x:f>SUM(DT56:DT58)</x:f>
      </x:c>
      <x:c r="DU59" s="348" t="n">
        <x:f>SUM(DU56:DU58)</x:f>
      </x:c>
      <x:c r="DV59" s="348" t="n">
        <x:f>SUM(DV56:DV58)</x:f>
      </x:c>
      <x:c r="DW59" s="348" t="n">
        <x:f>SUM(DW56:DW58)</x:f>
      </x:c>
      <x:c r="DX59" s="348" t="n">
        <x:f>SUM(DX56:DX58)</x:f>
      </x:c>
      <x:c r="DY59" s="348" t="n">
        <x:f>SUM(DY56:DY58)</x:f>
      </x:c>
      <x:c r="DZ59" s="348" t="n">
        <x:f>SUM(DZ56:DZ58)</x:f>
      </x:c>
      <x:c r="EA59" s="348" t="n">
        <x:f>SUM(EA56:EA58)</x:f>
      </x:c>
      <x:c r="EB59" s="348" t="n">
        <x:f>SUM(EB56:EB58)</x:f>
      </x:c>
      <x:c r="EC59" s="348" t="n">
        <x:f>SUM(EC56:EC58)</x:f>
      </x:c>
      <x:c r="ED59" s="348" t="n">
        <x:f>SUM(ED56:ED58)</x:f>
      </x:c>
      <x:c r="EE59" s="348" t="n">
        <x:f>SUM(EE56:EE58)</x:f>
      </x:c>
      <x:c r="EF59" s="348" t="n">
        <x:f>SUM(EF56:EF58)</x:f>
      </x:c>
      <x:c r="EG59" s="348" t="n">
        <x:f>SUM(EG56:EG58)</x:f>
      </x:c>
      <x:c r="EH59" s="348" t="n">
        <x:f>SUM(EH56:EH58)</x:f>
      </x:c>
      <x:c r="EI59" s="348" t="n">
        <x:f>SUM(EI56:EI58)</x:f>
      </x:c>
      <x:c r="EJ59" s="348" t="n">
        <x:f>SUM(EJ56:EJ58)</x:f>
      </x:c>
      <x:c r="EK59" s="348" t="n">
        <x:f>SUM(EK56:EK58)</x:f>
      </x:c>
      <x:c r="EL59" s="348" t="n">
        <x:f>SUM(EL56:EL58)</x:f>
      </x:c>
      <x:c r="EM59" s="348" t="n">
        <x:f>SUM(EM56:EM58)</x:f>
      </x:c>
      <x:c r="EN59" s="348" t="n">
        <x:f>SUM(EN56:EN58)</x:f>
      </x:c>
      <x:c r="EO59" s="348" t="n">
        <x:f>SUM(EO56:EO58)</x:f>
      </x:c>
      <x:c r="EP59" s="348" t="n">
        <x:f>SUM(EP56:EP58)</x:f>
      </x:c>
      <x:c r="EQ59" s="348" t="n">
        <x:f>SUM(EQ56:EQ58)</x:f>
      </x:c>
      <x:c r="ER59" s="348" t="n">
        <x:f>SUM(ER56:ER58)</x:f>
      </x:c>
      <x:c r="ES59" s="348" t="n">
        <x:f>SUM(ES56:ES58)</x:f>
      </x:c>
      <x:c r="ET59" s="348" t="n">
        <x:f>SUM(ET56:ET58)</x:f>
      </x:c>
      <x:c r="EU59" s="348" t="n">
        <x:f>SUM(EU56:EU58)</x:f>
      </x:c>
      <x:c r="EV59" s="348" t="n">
        <x:f>SUM(EV56:EV58)</x:f>
      </x:c>
      <x:c r="EW59" s="348" t="n">
        <x:f>SUM(EW56:EW58)</x:f>
      </x:c>
      <x:c r="EX59" s="348" t="n">
        <x:f>SUM(EX56:EX58)</x:f>
      </x:c>
      <x:c r="EY59" s="348" t="n">
        <x:f>SUM(EY56:EY58)</x:f>
      </x:c>
      <x:c r="EZ59" s="348" t="n">
        <x:f>SUM(EZ56:EZ58)</x:f>
      </x:c>
      <x:c r="FA59" s="348" t="n">
        <x:f>SUM(FA56:FA58)</x:f>
      </x:c>
      <x:c r="FB59" s="348" t="n">
        <x:f>SUM(FB56:FB58)</x:f>
      </x:c>
      <x:c r="FC59" s="348" t="n">
        <x:f>SUM(FC56:FC58)</x:f>
      </x:c>
      <x:c r="FD59" s="348" t="n">
        <x:f>SUM(FD56:FD58)</x:f>
      </x:c>
      <x:c r="FE59" s="348" t="n">
        <x:f>SUM(FE56:FE58)</x:f>
      </x:c>
      <x:c r="FF59" s="348" t="n">
        <x:f>SUM(FF56:FF58)</x:f>
      </x:c>
      <x:c r="FG59" s="348" t="n">
        <x:f>SUM(FG56:FG58)</x:f>
      </x:c>
      <x:c r="FH59" s="348" t="n">
        <x:f>SUM(FH56:FH58)</x:f>
      </x:c>
      <x:c r="FI59" s="348" t="n">
        <x:f>SUM(FI56:FI58)</x:f>
      </x:c>
      <x:c r="FJ59" s="348" t="n">
        <x:f>SUM(FJ56:FJ58)</x:f>
      </x:c>
      <x:c r="FK59" s="348" t="n">
        <x:f>SUM(FK56:FK58)</x:f>
      </x:c>
      <x:c r="FL59" s="348" t="n">
        <x:f>SUM(FL56:FL58)</x:f>
      </x:c>
      <x:c r="FM59" s="348" t="n">
        <x:f>SUM(FM56:FM58)</x:f>
      </x:c>
      <x:c r="FN59" s="348" t="n">
        <x:f>SUM(FN56:FN58)</x:f>
      </x:c>
      <x:c r="FO59" s="348" t="n">
        <x:f>SUM(FO56:FO58)</x:f>
      </x:c>
      <x:c r="FP59" s="348" t="n">
        <x:f>SUM(FP56:FP58)</x:f>
      </x:c>
      <x:c r="FQ59" s="348" t="n">
        <x:f>SUM(FQ56:FQ58)</x:f>
      </x:c>
      <x:c r="FR59" s="348" t="n">
        <x:f>SUM(FR56:FR58)</x:f>
      </x:c>
      <x:c r="FS59" s="348" t="n">
        <x:f>SUM(FS56:FS58)</x:f>
      </x:c>
      <x:c r="FT59" s="348" t="n">
        <x:f>SUM(FT56:FT58)</x:f>
      </x:c>
      <x:c r="FU59" s="348" t="n">
        <x:f>SUM(FU56:FU58)</x:f>
      </x:c>
      <x:c r="FV59" s="348" t="n">
        <x:f>SUM(FV56:FV58)</x:f>
      </x:c>
      <x:c r="FW59" s="348" t="n">
        <x:f>SUM(FW56:FW58)</x:f>
      </x:c>
      <x:c r="FX59" s="348" t="n">
        <x:f>SUM(FX56:FX58)</x:f>
      </x:c>
      <x:c r="FY59" s="348" t="n">
        <x:f>SUM(FY56:FY58)</x:f>
      </x:c>
      <x:c r="FZ59" s="348" t="n">
        <x:f>SUM(FZ56:FZ58)</x:f>
      </x:c>
      <x:c r="GA59" s="348" t="n">
        <x:f>SUM(GA56:GA58)</x:f>
      </x:c>
    </x:row>
    <x:row r="62" ht="21" customHeight="1">
      <x:c r="A62" s="281" t="str">
        <x:v>НАЗЕМНЫЙ МНОГОЭТАЖНЫЙ ПАРКИНГ</x:v>
      </x:c>
      <x:c r="B62" s="282" t="str">
        <x:v>НАЗЕМНЫЙ МНОГОЭТАЖНЫЙ ПАРКИНГ</x:v>
      </x:c>
      <x:c r="C62" s="282" t="str">
        <x:v>НАЗЕМНЫЙ МНОГОЭТАЖНЫЙ ПАРКИНГ</x:v>
      </x:c>
      <x:c r="D62" s="282" t="str">
        <x:v>НАЗЕМНЫЙ МНОГОЭТАЖНЫЙ ПАРКИНГ</x:v>
      </x:c>
      <x:c r="E62" s="282" t="str">
        <x:v>НАЗЕМНЫЙ МНОГОЭТАЖНЫЙ ПАРКИНГ</x:v>
      </x:c>
      <x:c r="F62" s="282" t="str">
        <x:v>НАЗЕМНЫЙ МНОГОЭТАЖНЫЙ ПАРКИНГ</x:v>
      </x:c>
      <x:c r="G62" s="282" t="str">
        <x:v>НАЗЕМНЫЙ МНОГОЭТАЖНЫЙ ПАРКИНГ</x:v>
      </x:c>
      <x:c r="H62" s="282" t="str">
        <x:v>НАЗЕМНЫЙ МНОГОЭТАЖНЫЙ ПАРКИНГ</x:v>
      </x:c>
      <x:c r="I62" s="282" t="str">
        <x:v>НАЗЕМНЫЙ МНОГОЭТАЖНЫЙ ПАРКИНГ</x:v>
      </x:c>
      <x:c r="J62" s="282" t="str">
        <x:v>НАЗЕМНЫЙ МНОГОЭТАЖНЫЙ ПАРКИНГ</x:v>
      </x:c>
      <x:c r="K62" s="282" t="str">
        <x:v>НАЗЕМНЫЙ МНОГОЭТАЖНЫЙ ПАРКИНГ</x:v>
      </x:c>
      <x:c r="L62" s="282" t="str">
        <x:v>НАЗЕМНЫЙ МНОГОЭТАЖНЫЙ ПАРКИНГ</x:v>
      </x:c>
      <x:c r="M62" s="282" t="str">
        <x:v>НАЗЕМНЫЙ МНОГОЭТАЖНЫЙ ПАРКИНГ</x:v>
      </x:c>
      <x:c r="N62" s="282" t="str">
        <x:v>НАЗЕМНЫЙ МНОГОЭТАЖНЫЙ ПАРКИНГ</x:v>
      </x:c>
      <x:c r="O62" s="282" t="str">
        <x:v>НАЗЕМНЫЙ МНОГОЭТАЖНЫЙ ПАРКИНГ</x:v>
      </x:c>
      <x:c r="P62" s="282" t="str">
        <x:v>НАЗЕМНЫЙ МНОГОЭТАЖНЫЙ ПАРКИНГ</x:v>
      </x:c>
      <x:c r="Q62" s="282" t="str">
        <x:v>НАЗЕМНЫЙ МНОГОЭТАЖНЫЙ ПАРКИНГ</x:v>
      </x:c>
      <x:c r="R62" s="282" t="str">
        <x:v>НАЗЕМНЫЙ МНОГОЭТАЖНЫЙ ПАРКИНГ</x:v>
      </x:c>
      <x:c r="S62" s="282" t="str">
        <x:v>НАЗЕМНЫЙ МНОГОЭТАЖНЫЙ ПАРКИНГ</x:v>
      </x:c>
      <x:c r="T62" s="282" t="str">
        <x:v>НАЗЕМНЫЙ МНОГОЭТАЖНЫЙ ПАРКИНГ</x:v>
      </x:c>
      <x:c r="U62" s="282" t="str">
        <x:v>НАЗЕМНЫЙ МНОГОЭТАЖНЫЙ ПАРКИНГ</x:v>
      </x:c>
      <x:c r="V62" s="282" t="str">
        <x:v>НАЗЕМНЫЙ МНОГОЭТАЖНЫЙ ПАРКИНГ</x:v>
      </x:c>
      <x:c r="W62" s="282" t="str">
        <x:v>НАЗЕМНЫЙ МНОГОЭТАЖНЫЙ ПАРКИНГ</x:v>
      </x:c>
      <x:c r="X62" s="282" t="str">
        <x:v>НАЗЕМНЫЙ МНОГОЭТАЖНЫЙ ПАРКИНГ</x:v>
      </x:c>
      <x:c r="Y62" s="282" t="str">
        <x:v>НАЗЕМНЫЙ МНОГОЭТАЖНЫЙ ПАРКИНГ</x:v>
      </x:c>
      <x:c r="Z62" s="282" t="str">
        <x:v>НАЗЕМНЫЙ МНОГОЭТАЖНЫЙ ПАРКИНГ</x:v>
      </x:c>
      <x:c r="AA62" s="282" t="str">
        <x:v>НАЗЕМНЫЙ МНОГОЭТАЖНЫЙ ПАРКИНГ</x:v>
      </x:c>
      <x:c r="AB62" s="282" t="str">
        <x:v>НАЗЕМНЫЙ МНОГОЭТАЖНЫЙ ПАРКИНГ</x:v>
      </x:c>
      <x:c r="AC62" s="282" t="str">
        <x:v>НАЗЕМНЫЙ МНОГОЭТАЖНЫЙ ПАРКИНГ</x:v>
      </x:c>
      <x:c r="AD62" s="282" t="str">
        <x:v>НАЗЕМНЫЙ МНОГОЭТАЖНЫЙ ПАРКИНГ</x:v>
      </x:c>
      <x:c r="AE62" s="282" t="str">
        <x:v>НАЗЕМНЫЙ МНОГОЭТАЖНЫЙ ПАРКИНГ</x:v>
      </x:c>
      <x:c r="AF62" s="282" t="str">
        <x:v>НАЗЕМНЫЙ МНОГОЭТАЖНЫЙ ПАРКИНГ</x:v>
      </x:c>
      <x:c r="AG62" s="282" t="str">
        <x:v>НАЗЕМНЫЙ МНОГОЭТАЖНЫЙ ПАРКИНГ</x:v>
      </x:c>
      <x:c r="AH62" s="282" t="str">
        <x:v>НАЗЕМНЫЙ МНОГОЭТАЖНЫЙ ПАРКИНГ</x:v>
      </x:c>
      <x:c r="AI62" s="282" t="str">
        <x:v>НАЗЕМНЫЙ МНОГОЭТАЖНЫЙ ПАРКИНГ</x:v>
      </x:c>
      <x:c r="AJ62" s="282" t="str">
        <x:v>НАЗЕМНЫЙ МНОГОЭТАЖНЫЙ ПАРКИНГ</x:v>
      </x:c>
      <x:c r="AK62" s="282" t="str">
        <x:v>НАЗЕМНЫЙ МНОГОЭТАЖНЫЙ ПАРКИНГ</x:v>
      </x:c>
      <x:c r="AL62" s="282" t="str">
        <x:v>НАЗЕМНЫЙ МНОГОЭТАЖНЫЙ ПАРКИНГ</x:v>
      </x:c>
      <x:c r="AM62" s="282" t="str">
        <x:v>НАЗЕМНЫЙ МНОГОЭТАЖНЫЙ ПАРКИНГ</x:v>
      </x:c>
      <x:c r="AN62" s="282" t="str">
        <x:v>НАЗЕМНЫЙ МНОГОЭТАЖНЫЙ ПАРКИНГ</x:v>
      </x:c>
      <x:c r="AO62" s="282" t="str">
        <x:v>НАЗЕМНЫЙ МНОГОЭТАЖНЫЙ ПАРКИНГ</x:v>
      </x:c>
      <x:c r="AP62" s="282" t="str">
        <x:v>НАЗЕМНЫЙ МНОГОЭТАЖНЫЙ ПАРКИНГ</x:v>
      </x:c>
      <x:c r="AQ62" s="282" t="str">
        <x:v>НАЗЕМНЫЙ МНОГОЭТАЖНЫЙ ПАРКИНГ</x:v>
      </x:c>
      <x:c r="AR62" s="282" t="str">
        <x:v>НАЗЕМНЫЙ МНОГОЭТАЖНЫЙ ПАРКИНГ</x:v>
      </x:c>
      <x:c r="AS62" s="282" t="str">
        <x:v>НАЗЕМНЫЙ МНОГОЭТАЖНЫЙ ПАРКИНГ</x:v>
      </x:c>
      <x:c r="AT62" s="282" t="str">
        <x:v>НАЗЕМНЫЙ МНОГОЭТАЖНЫЙ ПАРКИНГ</x:v>
      </x:c>
      <x:c r="AU62" s="282" t="str">
        <x:v>НАЗЕМНЫЙ МНОГОЭТАЖНЫЙ ПАРКИНГ</x:v>
      </x:c>
      <x:c r="AV62" s="282" t="str">
        <x:v>НАЗЕМНЫЙ МНОГОЭТАЖНЫЙ ПАРКИНГ</x:v>
      </x:c>
      <x:c r="AW62" s="282" t="str">
        <x:v>НАЗЕМНЫЙ МНОГОЭТАЖНЫЙ ПАРКИНГ</x:v>
      </x:c>
      <x:c r="AX62" s="282" t="str">
        <x:v>НАЗЕМНЫЙ МНОГОЭТАЖНЫЙ ПАРКИНГ</x:v>
      </x:c>
      <x:c r="AY62" s="282" t="str">
        <x:v>НАЗЕМНЫЙ МНОГОЭТАЖНЫЙ ПАРКИНГ</x:v>
      </x:c>
      <x:c r="AZ62" s="282" t="str">
        <x:v>НАЗЕМНЫЙ МНОГОЭТАЖНЫЙ ПАРКИНГ</x:v>
      </x:c>
      <x:c r="BA62" s="282" t="str">
        <x:v>НАЗЕМНЫЙ МНОГОЭТАЖНЫЙ ПАРКИНГ</x:v>
      </x:c>
      <x:c r="BB62" s="282" t="str">
        <x:v>НАЗЕМНЫЙ МНОГОЭТАЖНЫЙ ПАРКИНГ</x:v>
      </x:c>
      <x:c r="BC62" s="282" t="str">
        <x:v>НАЗЕМНЫЙ МНОГОЭТАЖНЫЙ ПАРКИНГ</x:v>
      </x:c>
      <x:c r="BD62" s="282" t="str">
        <x:v>НАЗЕМНЫЙ МНОГОЭТАЖНЫЙ ПАРКИНГ</x:v>
      </x:c>
      <x:c r="BE62" s="282" t="str">
        <x:v>НАЗЕМНЫЙ МНОГОЭТАЖНЫЙ ПАРКИНГ</x:v>
      </x:c>
      <x:c r="BF62" s="282" t="str">
        <x:v>НАЗЕМНЫЙ МНОГОЭТАЖНЫЙ ПАРКИНГ</x:v>
      </x:c>
      <x:c r="BG62" s="282" t="str">
        <x:v>НАЗЕМНЫЙ МНОГОЭТАЖНЫЙ ПАРКИНГ</x:v>
      </x:c>
      <x:c r="BH62" s="282" t="str">
        <x:v>НАЗЕМНЫЙ МНОГОЭТАЖНЫЙ ПАРКИНГ</x:v>
      </x:c>
      <x:c r="BI62" s="282" t="str">
        <x:v>НАЗЕМНЫЙ МНОГОЭТАЖНЫЙ ПАРКИНГ</x:v>
      </x:c>
      <x:c r="BJ62" s="282" t="str">
        <x:v>НАЗЕМНЫЙ МНОГОЭТАЖНЫЙ ПАРКИНГ</x:v>
      </x:c>
      <x:c r="BK62" s="282" t="str">
        <x:v>НАЗЕМНЫЙ МНОГОЭТАЖНЫЙ ПАРКИНГ</x:v>
      </x:c>
      <x:c r="BL62" s="282" t="str">
        <x:v>НАЗЕМНЫЙ МНОГОЭТАЖНЫЙ ПАРКИНГ</x:v>
      </x:c>
      <x:c r="BM62" s="282" t="str">
        <x:v>НАЗЕМНЫЙ МНОГОЭТАЖНЫЙ ПАРКИНГ</x:v>
      </x:c>
      <x:c r="BN62" s="282" t="str">
        <x:v>НАЗЕМНЫЙ МНОГОЭТАЖНЫЙ ПАРКИНГ</x:v>
      </x:c>
      <x:c r="BO62" s="282" t="str">
        <x:v>НАЗЕМНЫЙ МНОГОЭТАЖНЫЙ ПАРКИНГ</x:v>
      </x:c>
      <x:c r="BP62" s="282" t="str">
        <x:v>НАЗЕМНЫЙ МНОГОЭТАЖНЫЙ ПАРКИНГ</x:v>
      </x:c>
      <x:c r="BQ62" s="282" t="str">
        <x:v>НАЗЕМНЫЙ МНОГОЭТАЖНЫЙ ПАРКИНГ</x:v>
      </x:c>
      <x:c r="BR62" s="282" t="str">
        <x:v>НАЗЕМНЫЙ МНОГОЭТАЖНЫЙ ПАРКИНГ</x:v>
      </x:c>
      <x:c r="BS62" s="282" t="str">
        <x:v>НАЗЕМНЫЙ МНОГОЭТАЖНЫЙ ПАРКИНГ</x:v>
      </x:c>
      <x:c r="BT62" s="282" t="str">
        <x:v>НАЗЕМНЫЙ МНОГОЭТАЖНЫЙ ПАРКИНГ</x:v>
      </x:c>
      <x:c r="BU62" s="282" t="str">
        <x:v>НАЗЕМНЫЙ МНОГОЭТАЖНЫЙ ПАРКИНГ</x:v>
      </x:c>
      <x:c r="BV62" s="282" t="str">
        <x:v>НАЗЕМНЫЙ МНОГОЭТАЖНЫЙ ПАРКИНГ</x:v>
      </x:c>
      <x:c r="BW62" s="282" t="str">
        <x:v>НАЗЕМНЫЙ МНОГОЭТАЖНЫЙ ПАРКИНГ</x:v>
      </x:c>
      <x:c r="BX62" s="282" t="str">
        <x:v>НАЗЕМНЫЙ МНОГОЭТАЖНЫЙ ПАРКИНГ</x:v>
      </x:c>
      <x:c r="BY62" s="282" t="str">
        <x:v>НАЗЕМНЫЙ МНОГОЭТАЖНЫЙ ПАРКИНГ</x:v>
      </x:c>
      <x:c r="BZ62" s="282" t="str">
        <x:v>НАЗЕМНЫЙ МНОГОЭТАЖНЫЙ ПАРКИНГ</x:v>
      </x:c>
      <x:c r="CA62" s="282" t="str">
        <x:v>НАЗЕМНЫЙ МНОГОЭТАЖНЫЙ ПАРКИНГ</x:v>
      </x:c>
      <x:c r="CB62" s="282" t="str">
        <x:v>НАЗЕМНЫЙ МНОГОЭТАЖНЫЙ ПАРКИНГ</x:v>
      </x:c>
      <x:c r="CC62" s="282" t="str">
        <x:v>НАЗЕМНЫЙ МНОГОЭТАЖНЫЙ ПАРКИНГ</x:v>
      </x:c>
      <x:c r="CD62" s="282" t="str">
        <x:v>НАЗЕМНЫЙ МНОГОЭТАЖНЫЙ ПАРКИНГ</x:v>
      </x:c>
      <x:c r="CE62" s="282" t="str">
        <x:v>НАЗЕМНЫЙ МНОГОЭТАЖНЫЙ ПАРКИНГ</x:v>
      </x:c>
      <x:c r="CF62" s="282" t="str">
        <x:v>НАЗЕМНЫЙ МНОГОЭТАЖНЫЙ ПАРКИНГ</x:v>
      </x:c>
      <x:c r="CG62" s="282" t="str">
        <x:v>НАЗЕМНЫЙ МНОГОЭТАЖНЫЙ ПАРКИНГ</x:v>
      </x:c>
      <x:c r="CH62" s="282" t="str">
        <x:v>НАЗЕМНЫЙ МНОГОЭТАЖНЫЙ ПАРКИНГ</x:v>
      </x:c>
      <x:c r="CI62" s="282" t="str">
        <x:v>НАЗЕМНЫЙ МНОГОЭТАЖНЫЙ ПАРКИНГ</x:v>
      </x:c>
      <x:c r="CJ62" s="282" t="str">
        <x:v>НАЗЕМНЫЙ МНОГОЭТАЖНЫЙ ПАРКИНГ</x:v>
      </x:c>
      <x:c r="CK62" s="282" t="str">
        <x:v>НАЗЕМНЫЙ МНОГОЭТАЖНЫЙ ПАРКИНГ</x:v>
      </x:c>
      <x:c r="CL62" s="282" t="str">
        <x:v>НАЗЕМНЫЙ МНОГОЭТАЖНЫЙ ПАРКИНГ</x:v>
      </x:c>
      <x:c r="CM62" s="282" t="str">
        <x:v>НАЗЕМНЫЙ МНОГОЭТАЖНЫЙ ПАРКИНГ</x:v>
      </x:c>
      <x:c r="CN62" s="282" t="str">
        <x:v>НАЗЕМНЫЙ МНОГОЭТАЖНЫЙ ПАРКИНГ</x:v>
      </x:c>
      <x:c r="CO62" s="282" t="str">
        <x:v>НАЗЕМНЫЙ МНОГОЭТАЖНЫЙ ПАРКИНГ</x:v>
      </x:c>
      <x:c r="CP62" s="282" t="str">
        <x:v>НАЗЕМНЫЙ МНОГОЭТАЖНЫЙ ПАРКИНГ</x:v>
      </x:c>
      <x:c r="CQ62" s="282" t="str">
        <x:v>НАЗЕМНЫЙ МНОГОЭТАЖНЫЙ ПАРКИНГ</x:v>
      </x:c>
      <x:c r="CR62" s="282" t="str">
        <x:v>НАЗЕМНЫЙ МНОГОЭТАЖНЫЙ ПАРКИНГ</x:v>
      </x:c>
      <x:c r="CS62" s="282" t="str">
        <x:v>НАЗЕМНЫЙ МНОГОЭТАЖНЫЙ ПАРКИНГ</x:v>
      </x:c>
      <x:c r="CT62" s="282" t="str">
        <x:v>НАЗЕМНЫЙ МНОГОЭТАЖНЫЙ ПАРКИНГ</x:v>
      </x:c>
      <x:c r="CU62" s="282" t="str">
        <x:v>НАЗЕМНЫЙ МНОГОЭТАЖНЫЙ ПАРКИНГ</x:v>
      </x:c>
      <x:c r="CV62" s="282" t="str">
        <x:v>НАЗЕМНЫЙ МНОГОЭТАЖНЫЙ ПАРКИНГ</x:v>
      </x:c>
      <x:c r="CW62" s="282" t="str">
        <x:v>НАЗЕМНЫЙ МНОГОЭТАЖНЫЙ ПАРКИНГ</x:v>
      </x:c>
      <x:c r="CX62" s="282" t="str">
        <x:v>НАЗЕМНЫЙ МНОГОЭТАЖНЫЙ ПАРКИНГ</x:v>
      </x:c>
      <x:c r="CY62" s="282" t="str">
        <x:v>НАЗЕМНЫЙ МНОГОЭТАЖНЫЙ ПАРКИНГ</x:v>
      </x:c>
      <x:c r="CZ62" s="282" t="str">
        <x:v>НАЗЕМНЫЙ МНОГОЭТАЖНЫЙ ПАРКИНГ</x:v>
      </x:c>
      <x:c r="DA62" s="282" t="str">
        <x:v>НАЗЕМНЫЙ МНОГОЭТАЖНЫЙ ПАРКИНГ</x:v>
      </x:c>
      <x:c r="DB62" s="282" t="str">
        <x:v>НАЗЕМНЫЙ МНОГОЭТАЖНЫЙ ПАРКИНГ</x:v>
      </x:c>
      <x:c r="DC62" s="282" t="str">
        <x:v>НАЗЕМНЫЙ МНОГОЭТАЖНЫЙ ПАРКИНГ</x:v>
      </x:c>
      <x:c r="DD62" s="282" t="str">
        <x:v>НАЗЕМНЫЙ МНОГОЭТАЖНЫЙ ПАРКИНГ</x:v>
      </x:c>
      <x:c r="DE62" s="282" t="str">
        <x:v>НАЗЕМНЫЙ МНОГОЭТАЖНЫЙ ПАРКИНГ</x:v>
      </x:c>
      <x:c r="DF62" s="282" t="str">
        <x:v>НАЗЕМНЫЙ МНОГОЭТАЖНЫЙ ПАРКИНГ</x:v>
      </x:c>
      <x:c r="DG62" s="282" t="str">
        <x:v>НАЗЕМНЫЙ МНОГОЭТАЖНЫЙ ПАРКИНГ</x:v>
      </x:c>
      <x:c r="DH62" s="282" t="str">
        <x:v>НАЗЕМНЫЙ МНОГОЭТАЖНЫЙ ПАРКИНГ</x:v>
      </x:c>
      <x:c r="DI62" s="282" t="str">
        <x:v>НАЗЕМНЫЙ МНОГОЭТАЖНЫЙ ПАРКИНГ</x:v>
      </x:c>
      <x:c r="DJ62" s="282" t="str">
        <x:v>НАЗЕМНЫЙ МНОГОЭТАЖНЫЙ ПАРКИНГ</x:v>
      </x:c>
      <x:c r="DK62" s="282" t="str">
        <x:v>НАЗЕМНЫЙ МНОГОЭТАЖНЫЙ ПАРКИНГ</x:v>
      </x:c>
      <x:c r="DL62" s="282" t="str">
        <x:v>НАЗЕМНЫЙ МНОГОЭТАЖНЫЙ ПАРКИНГ</x:v>
      </x:c>
      <x:c r="DM62" s="282" t="str">
        <x:v>НАЗЕМНЫЙ МНОГОЭТАЖНЫЙ ПАРКИНГ</x:v>
      </x:c>
      <x:c r="DN62" s="282" t="str">
        <x:v>НАЗЕМНЫЙ МНОГОЭТАЖНЫЙ ПАРКИНГ</x:v>
      </x:c>
      <x:c r="DO62" s="282" t="str">
        <x:v>НАЗЕМНЫЙ МНОГОЭТАЖНЫЙ ПАРКИНГ</x:v>
      </x:c>
      <x:c r="DP62" s="282" t="str">
        <x:v>НАЗЕМНЫЙ МНОГОЭТАЖНЫЙ ПАРКИНГ</x:v>
      </x:c>
      <x:c r="DQ62" s="282" t="str">
        <x:v>НАЗЕМНЫЙ МНОГОЭТАЖНЫЙ ПАРКИНГ</x:v>
      </x:c>
      <x:c r="DR62" s="282" t="str">
        <x:v>НАЗЕМНЫЙ МНОГОЭТАЖНЫЙ ПАРКИНГ</x:v>
      </x:c>
      <x:c r="DS62" s="283" t="str">
        <x:v>НАЗЕМНЫЙ МНОГОЭТАЖНЫЙ ПАРКИНГ</x:v>
      </x:c>
      <x:c r="DT62" s="283" t="str"/>
      <x:c r="DU62" s="283" t="str"/>
      <x:c r="DV62" s="283" t="str"/>
      <x:c r="DW62" s="283" t="str"/>
      <x:c r="DX62" s="283" t="str"/>
      <x:c r="DY62" s="283" t="str"/>
      <x:c r="DZ62" s="283" t="str"/>
      <x:c r="EA62" s="283" t="str"/>
      <x:c r="EB62" s="283" t="str"/>
      <x:c r="EC62" s="283" t="str"/>
      <x:c r="ED62" s="283" t="str"/>
      <x:c r="EE62" s="283" t="str"/>
      <x:c r="EF62" s="283" t="str"/>
      <x:c r="EG62" s="283" t="str"/>
      <x:c r="EH62" s="283" t="str"/>
      <x:c r="EI62" s="283" t="str"/>
      <x:c r="EJ62" s="283" t="str"/>
      <x:c r="EK62" s="283" t="str"/>
      <x:c r="EL62" s="283" t="str"/>
      <x:c r="EM62" s="283" t="str"/>
      <x:c r="EN62" s="283" t="str"/>
      <x:c r="EO62" s="283" t="str"/>
      <x:c r="EP62" s="283" t="str"/>
      <x:c r="EQ62" s="283" t="str"/>
      <x:c r="ER62" s="283" t="str"/>
      <x:c r="ES62" s="283" t="str"/>
      <x:c r="ET62" s="283" t="str"/>
      <x:c r="EU62" s="283" t="str"/>
      <x:c r="EV62" s="283" t="str"/>
      <x:c r="EW62" s="283" t="str"/>
      <x:c r="EX62" s="283" t="str"/>
      <x:c r="EY62" s="283" t="str"/>
      <x:c r="EZ62" s="283" t="str"/>
      <x:c r="FA62" s="283" t="str"/>
      <x:c r="FB62" s="283" t="str"/>
      <x:c r="FC62" s="283" t="str"/>
      <x:c r="FD62" s="283" t="str"/>
      <x:c r="FE62" s="283" t="str"/>
      <x:c r="FF62" s="283" t="str"/>
      <x:c r="FG62" s="283" t="str"/>
      <x:c r="FH62" s="283" t="str"/>
      <x:c r="FI62" s="283" t="str"/>
      <x:c r="FJ62" s="283" t="str"/>
      <x:c r="FK62" s="283" t="str"/>
      <x:c r="FL62" s="283" t="str"/>
      <x:c r="FM62" s="283" t="str"/>
      <x:c r="FN62" s="283" t="str"/>
      <x:c r="FO62" s="283" t="str"/>
      <x:c r="FP62" s="283" t="str"/>
      <x:c r="FQ62" s="283" t="str"/>
      <x:c r="FR62" s="283" t="str"/>
      <x:c r="FS62" s="283" t="str"/>
      <x:c r="FT62" s="283" t="str"/>
      <x:c r="FU62" s="283" t="str"/>
      <x:c r="FV62" s="283" t="str"/>
      <x:c r="FW62" s="283" t="str"/>
      <x:c r="FX62" s="283" t="str"/>
      <x:c r="FY62" s="283" t="str"/>
      <x:c r="FZ62" s="283" t="str"/>
      <x:c r="GA62" s="283" t="str"/>
    </x:row>
    <x:row r="63">
      <x:c r="A63" t="str">
        <x:v>Объект включён</x:v>
      </x:c>
      <x:c r="B63" t="str">
        <x:f>'Вводные'!$K$60</x:f>
      </x:c>
      <x:c r="C63" t="str">
        <x:v>Да / Нет</x:v>
      </x:c>
    </x:row>
    <x:row r="64">
      <x:c r="A64" t="str">
        <x:v>Очередь финансирования</x:v>
      </x:c>
      <x:c r="B64" t="n">
        <x:f>'Вводные'!$K$61</x:f>
      </x:c>
      <x:c r="C64" t="str">
        <x:v>1–3</x:v>
      </x:c>
    </x:row>
    <x:row r="65">
      <x:c r="A65" t="str">
        <x:v>Начало строительства</x:v>
      </x:c>
      <x:c r="B65" s="92" t="n">
        <x:f>EDATE('Вводные'!$K$68,'Вводные'!$H$9)</x:f>
      </x:c>
      <x:c r="C65" t="str">
        <x:v>дата</x:v>
      </x:c>
    </x:row>
    <x:row r="66">
      <x:c r="A66" t="str">
        <x:v>РВЭ</x:v>
      </x:c>
      <x:c r="B66" s="92" t="n">
        <x:f>EDATE(B65,'Вводные'!$K$69)</x:f>
      </x:c>
      <x:c r="C66" t="str">
        <x:v>дата</x:v>
      </x:c>
    </x:row>
    <x:row r="67">
      <x:c r="A67" t="str">
        <x:v>Старт продаж</x:v>
      </x:c>
      <x:c r="B67" s="92" t="n">
        <x:f>EDATE('Вводные'!$K$70,'Вводные'!$H$9)</x:f>
      </x:c>
      <x:c r="C67" t="str">
        <x:v>дата</x:v>
      </x:c>
    </x:row>
    <x:row r="68">
      <x:c r="A68" t="str">
        <x:v>Расчётная общая площадь (GBA)</x:v>
      </x:c>
      <x:c r="B68" s="132" t="n">
        <x:f>'Вводные'!$K$66</x:f>
      </x:c>
      <x:c r="C68" t="str">
        <x:v>м²</x:v>
      </x:c>
    </x:row>
    <x:row r="69">
      <x:c r="A69" t="str">
        <x:v>Расчётное количество машино-мест</x:v>
      </x:c>
      <x:c r="B69" s="132" t="n">
        <x:f>'Вводные'!$K$65</x:f>
      </x:c>
      <x:c r="C69" t="str">
        <x:v>шт.</x:v>
      </x:c>
    </x:row>
    <x:row r="70">
      <x:c r="A70" t="str">
        <x:v>Флаг строительства</x:v>
      </x:c>
      <x:c r="B70"/>
      <x:c r="C70" t="str">
        <x:v>0 / 1</x:v>
      </x:c>
      <x:c r="D70" t="n">
        <x:f>--AND(D$3&gt;=$B$65,D$3&lt;$B$66,AND($B$63="Да",IFERROR(INDEX('Вводные'!$B$88:$B$91,$B$64),"Нет")="Да"))</x:f>
      </x:c>
      <x:c r="E70" t="n">
        <x:f>--AND(E$3&gt;=$B$65,E$3&lt;$B$66,AND($B$63="Да",IFERROR(INDEX('Вводные'!$B$88:$B$91,$B$64),"Нет")="Да"))</x:f>
      </x:c>
      <x:c r="F70" t="n">
        <x:f>--AND(F$3&gt;=$B$65,F$3&lt;$B$66,AND($B$63="Да",IFERROR(INDEX('Вводные'!$B$88:$B$91,$B$64),"Нет")="Да"))</x:f>
      </x:c>
      <x:c r="G70" t="n">
        <x:f>--AND(G$3&gt;=$B$65,G$3&lt;$B$66,AND($B$63="Да",IFERROR(INDEX('Вводные'!$B$88:$B$91,$B$64),"Нет")="Да"))</x:f>
      </x:c>
      <x:c r="H70" t="n">
        <x:f>--AND(H$3&gt;=$B$65,H$3&lt;$B$66,AND($B$63="Да",IFERROR(INDEX('Вводные'!$B$88:$B$91,$B$64),"Нет")="Да"))</x:f>
      </x:c>
      <x:c r="I70" t="n">
        <x:f>--AND(I$3&gt;=$B$65,I$3&lt;$B$66,AND($B$63="Да",IFERROR(INDEX('Вводные'!$B$88:$B$91,$B$64),"Нет")="Да"))</x:f>
      </x:c>
      <x:c r="J70" t="n">
        <x:f>--AND(J$3&gt;=$B$65,J$3&lt;$B$66,AND($B$63="Да",IFERROR(INDEX('Вводные'!$B$88:$B$91,$B$64),"Нет")="Да"))</x:f>
      </x:c>
      <x:c r="K70" t="n">
        <x:f>--AND(K$3&gt;=$B$65,K$3&lt;$B$66,AND($B$63="Да",IFERROR(INDEX('Вводные'!$B$88:$B$91,$B$64),"Нет")="Да"))</x:f>
      </x:c>
      <x:c r="L70" t="n">
        <x:f>--AND(L$3&gt;=$B$65,L$3&lt;$B$66,AND($B$63="Да",IFERROR(INDEX('Вводные'!$B$88:$B$91,$B$64),"Нет")="Да"))</x:f>
      </x:c>
      <x:c r="M70" t="n">
        <x:f>--AND(M$3&gt;=$B$65,M$3&lt;$B$66,AND($B$63="Да",IFERROR(INDEX('Вводные'!$B$88:$B$91,$B$64),"Нет")="Да"))</x:f>
      </x:c>
      <x:c r="N70" t="n">
        <x:f>--AND(N$3&gt;=$B$65,N$3&lt;$B$66,AND($B$63="Да",IFERROR(INDEX('Вводные'!$B$88:$B$91,$B$64),"Нет")="Да"))</x:f>
      </x:c>
      <x:c r="O70" t="n">
        <x:f>--AND(O$3&gt;=$B$65,O$3&lt;$B$66,AND($B$63="Да",IFERROR(INDEX('Вводные'!$B$88:$B$91,$B$64),"Нет")="Да"))</x:f>
      </x:c>
      <x:c r="P70" t="n">
        <x:f>--AND(P$3&gt;=$B$65,P$3&lt;$B$66,AND($B$63="Да",IFERROR(INDEX('Вводные'!$B$88:$B$91,$B$64),"Нет")="Да"))</x:f>
      </x:c>
      <x:c r="Q70" t="n">
        <x:f>--AND(Q$3&gt;=$B$65,Q$3&lt;$B$66,AND($B$63="Да",IFERROR(INDEX('Вводные'!$B$88:$B$91,$B$64),"Нет")="Да"))</x:f>
      </x:c>
      <x:c r="R70" t="n">
        <x:f>--AND(R$3&gt;=$B$65,R$3&lt;$B$66,AND($B$63="Да",IFERROR(INDEX('Вводные'!$B$88:$B$91,$B$64),"Нет")="Да"))</x:f>
      </x:c>
      <x:c r="S70" t="n">
        <x:f>--AND(S$3&gt;=$B$65,S$3&lt;$B$66,AND($B$63="Да",IFERROR(INDEX('Вводные'!$B$88:$B$91,$B$64),"Нет")="Да"))</x:f>
      </x:c>
      <x:c r="T70" t="n">
        <x:f>--AND(T$3&gt;=$B$65,T$3&lt;$B$66,AND($B$63="Да",IFERROR(INDEX('Вводные'!$B$88:$B$91,$B$64),"Нет")="Да"))</x:f>
      </x:c>
      <x:c r="U70" t="n">
        <x:f>--AND(U$3&gt;=$B$65,U$3&lt;$B$66,AND($B$63="Да",IFERROR(INDEX('Вводные'!$B$88:$B$91,$B$64),"Нет")="Да"))</x:f>
      </x:c>
      <x:c r="V70" t="n">
        <x:f>--AND(V$3&gt;=$B$65,V$3&lt;$B$66,AND($B$63="Да",IFERROR(INDEX('Вводные'!$B$88:$B$91,$B$64),"Нет")="Да"))</x:f>
      </x:c>
      <x:c r="W70" t="n">
        <x:f>--AND(W$3&gt;=$B$65,W$3&lt;$B$66,AND($B$63="Да",IFERROR(INDEX('Вводные'!$B$88:$B$91,$B$64),"Нет")="Да"))</x:f>
      </x:c>
      <x:c r="X70" t="n">
        <x:f>--AND(X$3&gt;=$B$65,X$3&lt;$B$66,AND($B$63="Да",IFERROR(INDEX('Вводные'!$B$88:$B$91,$B$64),"Нет")="Да"))</x:f>
      </x:c>
      <x:c r="Y70" t="n">
        <x:f>--AND(Y$3&gt;=$B$65,Y$3&lt;$B$66,AND($B$63="Да",IFERROR(INDEX('Вводные'!$B$88:$B$91,$B$64),"Нет")="Да"))</x:f>
      </x:c>
      <x:c r="Z70" t="n">
        <x:f>--AND(Z$3&gt;=$B$65,Z$3&lt;$B$66,AND($B$63="Да",IFERROR(INDEX('Вводные'!$B$88:$B$91,$B$64),"Нет")="Да"))</x:f>
      </x:c>
      <x:c r="AA70" t="n">
        <x:f>--AND(AA$3&gt;=$B$65,AA$3&lt;$B$66,AND($B$63="Да",IFERROR(INDEX('Вводные'!$B$88:$B$91,$B$64),"Нет")="Да"))</x:f>
      </x:c>
      <x:c r="AB70" t="n">
        <x:f>--AND(AB$3&gt;=$B$65,AB$3&lt;$B$66,AND($B$63="Да",IFERROR(INDEX('Вводные'!$B$88:$B$91,$B$64),"Нет")="Да"))</x:f>
      </x:c>
      <x:c r="AC70" t="n">
        <x:f>--AND(AC$3&gt;=$B$65,AC$3&lt;$B$66,AND($B$63="Да",IFERROR(INDEX('Вводные'!$B$88:$B$91,$B$64),"Нет")="Да"))</x:f>
      </x:c>
      <x:c r="AD70" t="n">
        <x:f>--AND(AD$3&gt;=$B$65,AD$3&lt;$B$66,AND($B$63="Да",IFERROR(INDEX('Вводные'!$B$88:$B$91,$B$64),"Нет")="Да"))</x:f>
      </x:c>
      <x:c r="AE70" t="n">
        <x:f>--AND(AE$3&gt;=$B$65,AE$3&lt;$B$66,AND($B$63="Да",IFERROR(INDEX('Вводные'!$B$88:$B$91,$B$64),"Нет")="Да"))</x:f>
      </x:c>
      <x:c r="AF70" t="n">
        <x:f>--AND(AF$3&gt;=$B$65,AF$3&lt;$B$66,AND($B$63="Да",IFERROR(INDEX('Вводные'!$B$88:$B$91,$B$64),"Нет")="Да"))</x:f>
      </x:c>
      <x:c r="AG70" t="n">
        <x:f>--AND(AG$3&gt;=$B$65,AG$3&lt;$B$66,AND($B$63="Да",IFERROR(INDEX('Вводные'!$B$88:$B$91,$B$64),"Нет")="Да"))</x:f>
      </x:c>
      <x:c r="AH70" t="n">
        <x:f>--AND(AH$3&gt;=$B$65,AH$3&lt;$B$66,AND($B$63="Да",IFERROR(INDEX('Вводные'!$B$88:$B$91,$B$64),"Нет")="Да"))</x:f>
      </x:c>
      <x:c r="AI70" t="n">
        <x:f>--AND(AI$3&gt;=$B$65,AI$3&lt;$B$66,AND($B$63="Да",IFERROR(INDEX('Вводные'!$B$88:$B$91,$B$64),"Нет")="Да"))</x:f>
      </x:c>
      <x:c r="AJ70" t="n">
        <x:f>--AND(AJ$3&gt;=$B$65,AJ$3&lt;$B$66,AND($B$63="Да",IFERROR(INDEX('Вводные'!$B$88:$B$91,$B$64),"Нет")="Да"))</x:f>
      </x:c>
      <x:c r="AK70" t="n">
        <x:f>--AND(AK$3&gt;=$B$65,AK$3&lt;$B$66,AND($B$63="Да",IFERROR(INDEX('Вводные'!$B$88:$B$91,$B$64),"Нет")="Да"))</x:f>
      </x:c>
      <x:c r="AL70" t="n">
        <x:f>--AND(AL$3&gt;=$B$65,AL$3&lt;$B$66,AND($B$63="Да",IFERROR(INDEX('Вводные'!$B$88:$B$91,$B$64),"Нет")="Да"))</x:f>
      </x:c>
      <x:c r="AM70" t="n">
        <x:f>--AND(AM$3&gt;=$B$65,AM$3&lt;$B$66,AND($B$63="Да",IFERROR(INDEX('Вводные'!$B$88:$B$91,$B$64),"Нет")="Да"))</x:f>
      </x:c>
      <x:c r="AN70" t="n">
        <x:f>--AND(AN$3&gt;=$B$65,AN$3&lt;$B$66,AND($B$63="Да",IFERROR(INDEX('Вводные'!$B$88:$B$91,$B$64),"Нет")="Да"))</x:f>
      </x:c>
      <x:c r="AO70" t="n">
        <x:f>--AND(AO$3&gt;=$B$65,AO$3&lt;$B$66,AND($B$63="Да",IFERROR(INDEX('Вводные'!$B$88:$B$91,$B$64),"Нет")="Да"))</x:f>
      </x:c>
      <x:c r="AP70" t="n">
        <x:f>--AND(AP$3&gt;=$B$65,AP$3&lt;$B$66,AND($B$63="Да",IFERROR(INDEX('Вводные'!$B$88:$B$91,$B$64),"Нет")="Да"))</x:f>
      </x:c>
      <x:c r="AQ70" t="n">
        <x:f>--AND(AQ$3&gt;=$B$65,AQ$3&lt;$B$66,AND($B$63="Да",IFERROR(INDEX('Вводные'!$B$88:$B$91,$B$64),"Нет")="Да"))</x:f>
      </x:c>
      <x:c r="AR70" t="n">
        <x:f>--AND(AR$3&gt;=$B$65,AR$3&lt;$B$66,AND($B$63="Да",IFERROR(INDEX('Вводные'!$B$88:$B$91,$B$64),"Нет")="Да"))</x:f>
      </x:c>
      <x:c r="AS70" t="n">
        <x:f>--AND(AS$3&gt;=$B$65,AS$3&lt;$B$66,AND($B$63="Да",IFERROR(INDEX('Вводные'!$B$88:$B$91,$B$64),"Нет")="Да"))</x:f>
      </x:c>
      <x:c r="AT70" t="n">
        <x:f>--AND(AT$3&gt;=$B$65,AT$3&lt;$B$66,AND($B$63="Да",IFERROR(INDEX('Вводные'!$B$88:$B$91,$B$64),"Нет")="Да"))</x:f>
      </x:c>
      <x:c r="AU70" t="n">
        <x:f>--AND(AU$3&gt;=$B$65,AU$3&lt;$B$66,AND($B$63="Да",IFERROR(INDEX('Вводные'!$B$88:$B$91,$B$64),"Нет")="Да"))</x:f>
      </x:c>
      <x:c r="AV70" t="n">
        <x:f>--AND(AV$3&gt;=$B$65,AV$3&lt;$B$66,AND($B$63="Да",IFERROR(INDEX('Вводные'!$B$88:$B$91,$B$64),"Нет")="Да"))</x:f>
      </x:c>
      <x:c r="AW70" t="n">
        <x:f>--AND(AW$3&gt;=$B$65,AW$3&lt;$B$66,AND($B$63="Да",IFERROR(INDEX('Вводные'!$B$88:$B$91,$B$64),"Нет")="Да"))</x:f>
      </x:c>
      <x:c r="AX70" t="n">
        <x:f>--AND(AX$3&gt;=$B$65,AX$3&lt;$B$66,AND($B$63="Да",IFERROR(INDEX('Вводные'!$B$88:$B$91,$B$64),"Нет")="Да"))</x:f>
      </x:c>
      <x:c r="AY70" t="n">
        <x:f>--AND(AY$3&gt;=$B$65,AY$3&lt;$B$66,AND($B$63="Да",IFERROR(INDEX('Вводные'!$B$88:$B$91,$B$64),"Нет")="Да"))</x:f>
      </x:c>
      <x:c r="AZ70" t="n">
        <x:f>--AND(AZ$3&gt;=$B$65,AZ$3&lt;$B$66,AND($B$63="Да",IFERROR(INDEX('Вводные'!$B$88:$B$91,$B$64),"Нет")="Да"))</x:f>
      </x:c>
      <x:c r="BA70" t="n">
        <x:f>--AND(BA$3&gt;=$B$65,BA$3&lt;$B$66,AND($B$63="Да",IFERROR(INDEX('Вводные'!$B$88:$B$91,$B$64),"Нет")="Да"))</x:f>
      </x:c>
      <x:c r="BB70" t="n">
        <x:f>--AND(BB$3&gt;=$B$65,BB$3&lt;$B$66,AND($B$63="Да",IFERROR(INDEX('Вводные'!$B$88:$B$91,$B$64),"Нет")="Да"))</x:f>
      </x:c>
      <x:c r="BC70" t="n">
        <x:f>--AND(BC$3&gt;=$B$65,BC$3&lt;$B$66,AND($B$63="Да",IFERROR(INDEX('Вводные'!$B$88:$B$91,$B$64),"Нет")="Да"))</x:f>
      </x:c>
      <x:c r="BD70" t="n">
        <x:f>--AND(BD$3&gt;=$B$65,BD$3&lt;$B$66,AND($B$63="Да",IFERROR(INDEX('Вводные'!$B$88:$B$91,$B$64),"Нет")="Да"))</x:f>
      </x:c>
      <x:c r="BE70" t="n">
        <x:f>--AND(BE$3&gt;=$B$65,BE$3&lt;$B$66,AND($B$63="Да",IFERROR(INDEX('Вводные'!$B$88:$B$91,$B$64),"Нет")="Да"))</x:f>
      </x:c>
      <x:c r="BF70" t="n">
        <x:f>--AND(BF$3&gt;=$B$65,BF$3&lt;$B$66,AND($B$63="Да",IFERROR(INDEX('Вводные'!$B$88:$B$91,$B$64),"Нет")="Да"))</x:f>
      </x:c>
      <x:c r="BG70" t="n">
        <x:f>--AND(BG$3&gt;=$B$65,BG$3&lt;$B$66,AND($B$63="Да",IFERROR(INDEX('Вводные'!$B$88:$B$91,$B$64),"Нет")="Да"))</x:f>
      </x:c>
      <x:c r="BH70" t="n">
        <x:f>--AND(BH$3&gt;=$B$65,BH$3&lt;$B$66,AND($B$63="Да",IFERROR(INDEX('Вводные'!$B$88:$B$91,$B$64),"Нет")="Да"))</x:f>
      </x:c>
      <x:c r="BI70" t="n">
        <x:f>--AND(BI$3&gt;=$B$65,BI$3&lt;$B$66,AND($B$63="Да",IFERROR(INDEX('Вводные'!$B$88:$B$91,$B$64),"Нет")="Да"))</x:f>
      </x:c>
      <x:c r="BJ70" t="n">
        <x:f>--AND(BJ$3&gt;=$B$65,BJ$3&lt;$B$66,AND($B$63="Да",IFERROR(INDEX('Вводные'!$B$88:$B$91,$B$64),"Нет")="Да"))</x:f>
      </x:c>
      <x:c r="BK70" t="n">
        <x:f>--AND(BK$3&gt;=$B$65,BK$3&lt;$B$66,AND($B$63="Да",IFERROR(INDEX('Вводные'!$B$88:$B$91,$B$64),"Нет")="Да"))</x:f>
      </x:c>
      <x:c r="BL70" t="n">
        <x:f>--AND(BL$3&gt;=$B$65,BL$3&lt;$B$66,AND($B$63="Да",IFERROR(INDEX('Вводные'!$B$88:$B$91,$B$64),"Нет")="Да"))</x:f>
      </x:c>
      <x:c r="BM70" t="n">
        <x:f>--AND(BM$3&gt;=$B$65,BM$3&lt;$B$66,AND($B$63="Да",IFERROR(INDEX('Вводные'!$B$88:$B$91,$B$64),"Нет")="Да"))</x:f>
      </x:c>
      <x:c r="BN70" t="n">
        <x:f>--AND(BN$3&gt;=$B$65,BN$3&lt;$B$66,AND($B$63="Да",IFERROR(INDEX('Вводные'!$B$88:$B$91,$B$64),"Нет")="Да"))</x:f>
      </x:c>
      <x:c r="BO70" t="n">
        <x:f>--AND(BO$3&gt;=$B$65,BO$3&lt;$B$66,AND($B$63="Да",IFERROR(INDEX('Вводные'!$B$88:$B$91,$B$64),"Нет")="Да"))</x:f>
      </x:c>
      <x:c r="BP70" t="n">
        <x:f>--AND(BP$3&gt;=$B$65,BP$3&lt;$B$66,AND($B$63="Да",IFERROR(INDEX('Вводные'!$B$88:$B$91,$B$64),"Нет")="Да"))</x:f>
      </x:c>
      <x:c r="BQ70" t="n">
        <x:f>--AND(BQ$3&gt;=$B$65,BQ$3&lt;$B$66,AND($B$63="Да",IFERROR(INDEX('Вводные'!$B$88:$B$91,$B$64),"Нет")="Да"))</x:f>
      </x:c>
      <x:c r="BR70" t="n">
        <x:f>--AND(BR$3&gt;=$B$65,BR$3&lt;$B$66,AND($B$63="Да",IFERROR(INDEX('Вводные'!$B$88:$B$91,$B$64),"Нет")="Да"))</x:f>
      </x:c>
      <x:c r="BS70" t="n">
        <x:f>--AND(BS$3&gt;=$B$65,BS$3&lt;$B$66,AND($B$63="Да",IFERROR(INDEX('Вводные'!$B$88:$B$91,$B$64),"Нет")="Да"))</x:f>
      </x:c>
      <x:c r="BT70" t="n">
        <x:f>--AND(BT$3&gt;=$B$65,BT$3&lt;$B$66,AND($B$63="Да",IFERROR(INDEX('Вводные'!$B$88:$B$91,$B$64),"Нет")="Да"))</x:f>
      </x:c>
      <x:c r="BU70" t="n">
        <x:f>--AND(BU$3&gt;=$B$65,BU$3&lt;$B$66,AND($B$63="Да",IFERROR(INDEX('Вводные'!$B$88:$B$91,$B$64),"Нет")="Да"))</x:f>
      </x:c>
      <x:c r="BV70" t="n">
        <x:f>--AND(BV$3&gt;=$B$65,BV$3&lt;$B$66,AND($B$63="Да",IFERROR(INDEX('Вводные'!$B$88:$B$91,$B$64),"Нет")="Да"))</x:f>
      </x:c>
      <x:c r="BW70" t="n">
        <x:f>--AND(BW$3&gt;=$B$65,BW$3&lt;$B$66,AND($B$63="Да",IFERROR(INDEX('Вводные'!$B$88:$B$91,$B$64),"Нет")="Да"))</x:f>
      </x:c>
      <x:c r="BX70" t="n">
        <x:f>--AND(BX$3&gt;=$B$65,BX$3&lt;$B$66,AND($B$63="Да",IFERROR(INDEX('Вводные'!$B$88:$B$91,$B$64),"Нет")="Да"))</x:f>
      </x:c>
      <x:c r="BY70" t="n">
        <x:f>--AND(BY$3&gt;=$B$65,BY$3&lt;$B$66,AND($B$63="Да",IFERROR(INDEX('Вводные'!$B$88:$B$91,$B$64),"Нет")="Да"))</x:f>
      </x:c>
      <x:c r="BZ70" t="n">
        <x:f>--AND(BZ$3&gt;=$B$65,BZ$3&lt;$B$66,AND($B$63="Да",IFERROR(INDEX('Вводные'!$B$88:$B$91,$B$64),"Нет")="Да"))</x:f>
      </x:c>
      <x:c r="CA70" t="n">
        <x:f>--AND(CA$3&gt;=$B$65,CA$3&lt;$B$66,AND($B$63="Да",IFERROR(INDEX('Вводные'!$B$88:$B$91,$B$64),"Нет")="Да"))</x:f>
      </x:c>
      <x:c r="CB70" t="n">
        <x:f>--AND(CB$3&gt;=$B$65,CB$3&lt;$B$66,AND($B$63="Да",IFERROR(INDEX('Вводные'!$B$88:$B$91,$B$64),"Нет")="Да"))</x:f>
      </x:c>
      <x:c r="CC70" t="n">
        <x:f>--AND(CC$3&gt;=$B$65,CC$3&lt;$B$66,AND($B$63="Да",IFERROR(INDEX('Вводные'!$B$88:$B$91,$B$64),"Нет")="Да"))</x:f>
      </x:c>
      <x:c r="CD70" t="n">
        <x:f>--AND(CD$3&gt;=$B$65,CD$3&lt;$B$66,AND($B$63="Да",IFERROR(INDEX('Вводные'!$B$88:$B$91,$B$64),"Нет")="Да"))</x:f>
      </x:c>
      <x:c r="CE70" t="n">
        <x:f>--AND(CE$3&gt;=$B$65,CE$3&lt;$B$66,AND($B$63="Да",IFERROR(INDEX('Вводные'!$B$88:$B$91,$B$64),"Нет")="Да"))</x:f>
      </x:c>
      <x:c r="CF70" t="n">
        <x:f>--AND(CF$3&gt;=$B$65,CF$3&lt;$B$66,AND($B$63="Да",IFERROR(INDEX('Вводные'!$B$88:$B$91,$B$64),"Нет")="Да"))</x:f>
      </x:c>
      <x:c r="CG70" t="n">
        <x:f>--AND(CG$3&gt;=$B$65,CG$3&lt;$B$66,AND($B$63="Да",IFERROR(INDEX('Вводные'!$B$88:$B$91,$B$64),"Нет")="Да"))</x:f>
      </x:c>
      <x:c r="CH70" t="n">
        <x:f>--AND(CH$3&gt;=$B$65,CH$3&lt;$B$66,AND($B$63="Да",IFERROR(INDEX('Вводные'!$B$88:$B$91,$B$64),"Нет")="Да"))</x:f>
      </x:c>
      <x:c r="CI70" t="n">
        <x:f>--AND(CI$3&gt;=$B$65,CI$3&lt;$B$66,AND($B$63="Да",IFERROR(INDEX('Вводные'!$B$88:$B$91,$B$64),"Нет")="Да"))</x:f>
      </x:c>
      <x:c r="CJ70" t="n">
        <x:f>--AND(CJ$3&gt;=$B$65,CJ$3&lt;$B$66,AND($B$63="Да",IFERROR(INDEX('Вводные'!$B$88:$B$91,$B$64),"Нет")="Да"))</x:f>
      </x:c>
      <x:c r="CK70" t="n">
        <x:f>--AND(CK$3&gt;=$B$65,CK$3&lt;$B$66,AND($B$63="Да",IFERROR(INDEX('Вводные'!$B$88:$B$91,$B$64),"Нет")="Да"))</x:f>
      </x:c>
      <x:c r="CL70" t="n">
        <x:f>--AND(CL$3&gt;=$B$65,CL$3&lt;$B$66,AND($B$63="Да",IFERROR(INDEX('Вводные'!$B$88:$B$91,$B$64),"Нет")="Да"))</x:f>
      </x:c>
      <x:c r="CM70" t="n">
        <x:f>--AND(CM$3&gt;=$B$65,CM$3&lt;$B$66,AND($B$63="Да",IFERROR(INDEX('Вводные'!$B$88:$B$91,$B$64),"Нет")="Да"))</x:f>
      </x:c>
      <x:c r="CN70" t="n">
        <x:f>--AND(CN$3&gt;=$B$65,CN$3&lt;$B$66,AND($B$63="Да",IFERROR(INDEX('Вводные'!$B$88:$B$91,$B$64),"Нет")="Да"))</x:f>
      </x:c>
      <x:c r="CO70" t="n">
        <x:f>--AND(CO$3&gt;=$B$65,CO$3&lt;$B$66,AND($B$63="Да",IFERROR(INDEX('Вводные'!$B$88:$B$91,$B$64),"Нет")="Да"))</x:f>
      </x:c>
      <x:c r="CP70" t="n">
        <x:f>--AND(CP$3&gt;=$B$65,CP$3&lt;$B$66,AND($B$63="Да",IFERROR(INDEX('Вводные'!$B$88:$B$91,$B$64),"Нет")="Да"))</x:f>
      </x:c>
      <x:c r="CQ70" t="n">
        <x:f>--AND(CQ$3&gt;=$B$65,CQ$3&lt;$B$66,AND($B$63="Да",IFERROR(INDEX('Вводные'!$B$88:$B$91,$B$64),"Нет")="Да"))</x:f>
      </x:c>
      <x:c r="CR70" t="n">
        <x:f>--AND(CR$3&gt;=$B$65,CR$3&lt;$B$66,AND($B$63="Да",IFERROR(INDEX('Вводные'!$B$88:$B$91,$B$64),"Нет")="Да"))</x:f>
      </x:c>
      <x:c r="CS70" t="n">
        <x:f>--AND(CS$3&gt;=$B$65,CS$3&lt;$B$66,AND($B$63="Да",IFERROR(INDEX('Вводные'!$B$88:$B$91,$B$64),"Нет")="Да"))</x:f>
      </x:c>
      <x:c r="CT70" t="n">
        <x:f>--AND(CT$3&gt;=$B$65,CT$3&lt;$B$66,AND($B$63="Да",IFERROR(INDEX('Вводные'!$B$88:$B$91,$B$64),"Нет")="Да"))</x:f>
      </x:c>
      <x:c r="CU70" t="n">
        <x:f>--AND(CU$3&gt;=$B$65,CU$3&lt;$B$66,AND($B$63="Да",IFERROR(INDEX('Вводные'!$B$88:$B$91,$B$64),"Нет")="Да"))</x:f>
      </x:c>
      <x:c r="CV70" t="n">
        <x:f>--AND(CV$3&gt;=$B$65,CV$3&lt;$B$66,AND($B$63="Да",IFERROR(INDEX('Вводные'!$B$88:$B$91,$B$64),"Нет")="Да"))</x:f>
      </x:c>
      <x:c r="CW70" t="n">
        <x:f>--AND(CW$3&gt;=$B$65,CW$3&lt;$B$66,AND($B$63="Да",IFERROR(INDEX('Вводные'!$B$88:$B$91,$B$64),"Нет")="Да"))</x:f>
      </x:c>
      <x:c r="CX70" t="n">
        <x:f>--AND(CX$3&gt;=$B$65,CX$3&lt;$B$66,AND($B$63="Да",IFERROR(INDEX('Вводные'!$B$88:$B$91,$B$64),"Нет")="Да"))</x:f>
      </x:c>
      <x:c r="CY70" t="n">
        <x:f>--AND(CY$3&gt;=$B$65,CY$3&lt;$B$66,AND($B$63="Да",IFERROR(INDEX('Вводные'!$B$88:$B$91,$B$64),"Нет")="Да"))</x:f>
      </x:c>
      <x:c r="CZ70" t="n">
        <x:f>--AND(CZ$3&gt;=$B$65,CZ$3&lt;$B$66,AND($B$63="Да",IFERROR(INDEX('Вводные'!$B$88:$B$91,$B$64),"Нет")="Да"))</x:f>
      </x:c>
      <x:c r="DA70" t="n">
        <x:f>--AND(DA$3&gt;=$B$65,DA$3&lt;$B$66,AND($B$63="Да",IFERROR(INDEX('Вводные'!$B$88:$B$91,$B$64),"Нет")="Да"))</x:f>
      </x:c>
      <x:c r="DB70" t="n">
        <x:f>--AND(DB$3&gt;=$B$65,DB$3&lt;$B$66,AND($B$63="Да",IFERROR(INDEX('Вводные'!$B$88:$B$91,$B$64),"Нет")="Да"))</x:f>
      </x:c>
      <x:c r="DC70" t="n">
        <x:f>--AND(DC$3&gt;=$B$65,DC$3&lt;$B$66,AND($B$63="Да",IFERROR(INDEX('Вводные'!$B$88:$B$91,$B$64),"Нет")="Да"))</x:f>
      </x:c>
      <x:c r="DD70" t="n">
        <x:f>--AND(DD$3&gt;=$B$65,DD$3&lt;$B$66,AND($B$63="Да",IFERROR(INDEX('Вводные'!$B$88:$B$91,$B$64),"Нет")="Да"))</x:f>
      </x:c>
      <x:c r="DE70" t="n">
        <x:f>--AND(DE$3&gt;=$B$65,DE$3&lt;$B$66,AND($B$63="Да",IFERROR(INDEX('Вводные'!$B$88:$B$91,$B$64),"Нет")="Да"))</x:f>
      </x:c>
      <x:c r="DF70" t="n">
        <x:f>--AND(DF$3&gt;=$B$65,DF$3&lt;$B$66,AND($B$63="Да",IFERROR(INDEX('Вводные'!$B$88:$B$91,$B$64),"Нет")="Да"))</x:f>
      </x:c>
      <x:c r="DG70" t="n">
        <x:f>--AND(DG$3&gt;=$B$65,DG$3&lt;$B$66,AND($B$63="Да",IFERROR(INDEX('Вводные'!$B$88:$B$91,$B$64),"Нет")="Да"))</x:f>
      </x:c>
      <x:c r="DH70" t="n">
        <x:f>--AND(DH$3&gt;=$B$65,DH$3&lt;$B$66,AND($B$63="Да",IFERROR(INDEX('Вводные'!$B$88:$B$91,$B$64),"Нет")="Да"))</x:f>
      </x:c>
      <x:c r="DI70" t="n">
        <x:f>--AND(DI$3&gt;=$B$65,DI$3&lt;$B$66,AND($B$63="Да",IFERROR(INDEX('Вводные'!$B$88:$B$91,$B$64),"Нет")="Да"))</x:f>
      </x:c>
      <x:c r="DJ70" t="n">
        <x:f>--AND(DJ$3&gt;=$B$65,DJ$3&lt;$B$66,AND($B$63="Да",IFERROR(INDEX('Вводные'!$B$88:$B$91,$B$64),"Нет")="Да"))</x:f>
      </x:c>
      <x:c r="DK70" t="n">
        <x:f>--AND(DK$3&gt;=$B$65,DK$3&lt;$B$66,AND($B$63="Да",IFERROR(INDEX('Вводные'!$B$88:$B$91,$B$64),"Нет")="Да"))</x:f>
      </x:c>
      <x:c r="DL70" t="n">
        <x:f>--AND(DL$3&gt;=$B$65,DL$3&lt;$B$66,AND($B$63="Да",IFERROR(INDEX('Вводные'!$B$88:$B$91,$B$64),"Нет")="Да"))</x:f>
      </x:c>
      <x:c r="DM70" t="n">
        <x:f>--AND(DM$3&gt;=$B$65,DM$3&lt;$B$66,AND($B$63="Да",IFERROR(INDEX('Вводные'!$B$88:$B$91,$B$64),"Нет")="Да"))</x:f>
      </x:c>
      <x:c r="DN70" t="n">
        <x:f>--AND(DN$3&gt;=$B$65,DN$3&lt;$B$66,AND($B$63="Да",IFERROR(INDEX('Вводные'!$B$88:$B$91,$B$64),"Нет")="Да"))</x:f>
      </x:c>
      <x:c r="DO70" t="n">
        <x:f>--AND(DO$3&gt;=$B$65,DO$3&lt;$B$66,AND($B$63="Да",IFERROR(INDEX('Вводные'!$B$88:$B$91,$B$64),"Нет")="Да"))</x:f>
      </x:c>
      <x:c r="DP70" t="n">
        <x:f>--AND(DP$3&gt;=$B$65,DP$3&lt;$B$66,AND($B$63="Да",IFERROR(INDEX('Вводные'!$B$88:$B$91,$B$64),"Нет")="Да"))</x:f>
      </x:c>
      <x:c r="DQ70" t="n">
        <x:f>--AND(DQ$3&gt;=$B$65,DQ$3&lt;$B$66,AND($B$63="Да",IFERROR(INDEX('Вводные'!$B$88:$B$91,$B$64),"Нет")="Да"))</x:f>
      </x:c>
      <x:c r="DR70" t="n">
        <x:f>--AND(DR$3&gt;=$B$65,DR$3&lt;$B$66,AND($B$63="Да",IFERROR(INDEX('Вводные'!$B$88:$B$91,$B$64),"Нет")="Да"))</x:f>
      </x:c>
      <x:c r="DS70" t="n">
        <x:f>--AND(DS$3&gt;=$B$65,DS$3&lt;$B$66,AND($B$63="Да",IFERROR(INDEX('Вводные'!$B$88:$B$91,$B$64),"Нет")="Да"))</x:f>
      </x:c>
      <x:c r="DT70" t="n">
        <x:f>--AND(DT$3&gt;=$B$65,DT$3&lt;$B$66,AND($B$63="Да",IFERROR(INDEX('Вводные'!$B$88:$B$91,$B$64),"Нет")="Да"))</x:f>
      </x:c>
      <x:c r="DU70" t="n">
        <x:f>--AND(DU$3&gt;=$B$65,DU$3&lt;$B$66,AND($B$63="Да",IFERROR(INDEX('Вводные'!$B$88:$B$91,$B$64),"Нет")="Да"))</x:f>
      </x:c>
      <x:c r="DV70" t="n">
        <x:f>--AND(DV$3&gt;=$B$65,DV$3&lt;$B$66,AND($B$63="Да",IFERROR(INDEX('Вводные'!$B$88:$B$91,$B$64),"Нет")="Да"))</x:f>
      </x:c>
      <x:c r="DW70" t="n">
        <x:f>--AND(DW$3&gt;=$B$65,DW$3&lt;$B$66,AND($B$63="Да",IFERROR(INDEX('Вводные'!$B$88:$B$91,$B$64),"Нет")="Да"))</x:f>
      </x:c>
      <x:c r="DX70" t="n">
        <x:f>--AND(DX$3&gt;=$B$65,DX$3&lt;$B$66,AND($B$63="Да",IFERROR(INDEX('Вводные'!$B$88:$B$91,$B$64),"Нет")="Да"))</x:f>
      </x:c>
      <x:c r="DY70" t="n">
        <x:f>--AND(DY$3&gt;=$B$65,DY$3&lt;$B$66,AND($B$63="Да",IFERROR(INDEX('Вводные'!$B$88:$B$91,$B$64),"Нет")="Да"))</x:f>
      </x:c>
      <x:c r="DZ70" t="n">
        <x:f>--AND(DZ$3&gt;=$B$65,DZ$3&lt;$B$66,AND($B$63="Да",IFERROR(INDEX('Вводные'!$B$88:$B$91,$B$64),"Нет")="Да"))</x:f>
      </x:c>
      <x:c r="EA70" t="n">
        <x:f>--AND(EA$3&gt;=$B$65,EA$3&lt;$B$66,AND($B$63="Да",IFERROR(INDEX('Вводные'!$B$88:$B$91,$B$64),"Нет")="Да"))</x:f>
      </x:c>
      <x:c r="EB70" t="n">
        <x:f>--AND(EB$3&gt;=$B$65,EB$3&lt;$B$66,AND($B$63="Да",IFERROR(INDEX('Вводные'!$B$88:$B$91,$B$64),"Нет")="Да"))</x:f>
      </x:c>
      <x:c r="EC70" t="n">
        <x:f>--AND(EC$3&gt;=$B$65,EC$3&lt;$B$66,AND($B$63="Да",IFERROR(INDEX('Вводные'!$B$88:$B$91,$B$64),"Нет")="Да"))</x:f>
      </x:c>
      <x:c r="ED70" t="n">
        <x:f>--AND(ED$3&gt;=$B$65,ED$3&lt;$B$66,AND($B$63="Да",IFERROR(INDEX('Вводные'!$B$88:$B$91,$B$64),"Нет")="Да"))</x:f>
      </x:c>
      <x:c r="EE70" t="n">
        <x:f>--AND(EE$3&gt;=$B$65,EE$3&lt;$B$66,AND($B$63="Да",IFERROR(INDEX('Вводные'!$B$88:$B$91,$B$64),"Нет")="Да"))</x:f>
      </x:c>
      <x:c r="EF70" t="n">
        <x:f>--AND(EF$3&gt;=$B$65,EF$3&lt;$B$66,AND($B$63="Да",IFERROR(INDEX('Вводные'!$B$88:$B$91,$B$64),"Нет")="Да"))</x:f>
      </x:c>
      <x:c r="EG70" t="n">
        <x:f>--AND(EG$3&gt;=$B$65,EG$3&lt;$B$66,AND($B$63="Да",IFERROR(INDEX('Вводные'!$B$88:$B$91,$B$64),"Нет")="Да"))</x:f>
      </x:c>
      <x:c r="EH70" t="n">
        <x:f>--AND(EH$3&gt;=$B$65,EH$3&lt;$B$66,AND($B$63="Да",IFERROR(INDEX('Вводные'!$B$88:$B$91,$B$64),"Нет")="Да"))</x:f>
      </x:c>
      <x:c r="EI70" t="n">
        <x:f>--AND(EI$3&gt;=$B$65,EI$3&lt;$B$66,AND($B$63="Да",IFERROR(INDEX('Вводные'!$B$88:$B$91,$B$64),"Нет")="Да"))</x:f>
      </x:c>
      <x:c r="EJ70" t="n">
        <x:f>--AND(EJ$3&gt;=$B$65,EJ$3&lt;$B$66,AND($B$63="Да",IFERROR(INDEX('Вводные'!$B$88:$B$91,$B$64),"Нет")="Да"))</x:f>
      </x:c>
      <x:c r="EK70" t="n">
        <x:f>--AND(EK$3&gt;=$B$65,EK$3&lt;$B$66,AND($B$63="Да",IFERROR(INDEX('Вводные'!$B$88:$B$91,$B$64),"Нет")="Да"))</x:f>
      </x:c>
      <x:c r="EL70" t="n">
        <x:f>--AND(EL$3&gt;=$B$65,EL$3&lt;$B$66,AND($B$63="Да",IFERROR(INDEX('Вводные'!$B$88:$B$91,$B$64),"Нет")="Да"))</x:f>
      </x:c>
      <x:c r="EM70" t="n">
        <x:f>--AND(EM$3&gt;=$B$65,EM$3&lt;$B$66,AND($B$63="Да",IFERROR(INDEX('Вводные'!$B$88:$B$91,$B$64),"Нет")="Да"))</x:f>
      </x:c>
      <x:c r="EN70" t="n">
        <x:f>--AND(EN$3&gt;=$B$65,EN$3&lt;$B$66,AND($B$63="Да",IFERROR(INDEX('Вводные'!$B$88:$B$91,$B$64),"Нет")="Да"))</x:f>
      </x:c>
      <x:c r="EO70" t="n">
        <x:f>--AND(EO$3&gt;=$B$65,EO$3&lt;$B$66,AND($B$63="Да",IFERROR(INDEX('Вводные'!$B$88:$B$91,$B$64),"Нет")="Да"))</x:f>
      </x:c>
      <x:c r="EP70" t="n">
        <x:f>--AND(EP$3&gt;=$B$65,EP$3&lt;$B$66,AND($B$63="Да",IFERROR(INDEX('Вводные'!$B$88:$B$91,$B$64),"Нет")="Да"))</x:f>
      </x:c>
      <x:c r="EQ70" t="n">
        <x:f>--AND(EQ$3&gt;=$B$65,EQ$3&lt;$B$66,AND($B$63="Да",IFERROR(INDEX('Вводные'!$B$88:$B$91,$B$64),"Нет")="Да"))</x:f>
      </x:c>
      <x:c r="ER70" t="n">
        <x:f>--AND(ER$3&gt;=$B$65,ER$3&lt;$B$66,AND($B$63="Да",IFERROR(INDEX('Вводные'!$B$88:$B$91,$B$64),"Нет")="Да"))</x:f>
      </x:c>
      <x:c r="ES70" t="n">
        <x:f>--AND(ES$3&gt;=$B$65,ES$3&lt;$B$66,AND($B$63="Да",IFERROR(INDEX('Вводные'!$B$88:$B$91,$B$64),"Нет")="Да"))</x:f>
      </x:c>
      <x:c r="ET70" t="n">
        <x:f>--AND(ET$3&gt;=$B$65,ET$3&lt;$B$66,AND($B$63="Да",IFERROR(INDEX('Вводные'!$B$88:$B$91,$B$64),"Нет")="Да"))</x:f>
      </x:c>
      <x:c r="EU70" t="n">
        <x:f>--AND(EU$3&gt;=$B$65,EU$3&lt;$B$66,AND($B$63="Да",IFERROR(INDEX('Вводные'!$B$88:$B$91,$B$64),"Нет")="Да"))</x:f>
      </x:c>
      <x:c r="EV70" t="n">
        <x:f>--AND(EV$3&gt;=$B$65,EV$3&lt;$B$66,AND($B$63="Да",IFERROR(INDEX('Вводные'!$B$88:$B$91,$B$64),"Нет")="Да"))</x:f>
      </x:c>
      <x:c r="EW70" t="n">
        <x:f>--AND(EW$3&gt;=$B$65,EW$3&lt;$B$66,AND($B$63="Да",IFERROR(INDEX('Вводные'!$B$88:$B$91,$B$64),"Нет")="Да"))</x:f>
      </x:c>
      <x:c r="EX70" t="n">
        <x:f>--AND(EX$3&gt;=$B$65,EX$3&lt;$B$66,AND($B$63="Да",IFERROR(INDEX('Вводные'!$B$88:$B$91,$B$64),"Нет")="Да"))</x:f>
      </x:c>
      <x:c r="EY70" t="n">
        <x:f>--AND(EY$3&gt;=$B$65,EY$3&lt;$B$66,AND($B$63="Да",IFERROR(INDEX('Вводные'!$B$88:$B$91,$B$64),"Нет")="Да"))</x:f>
      </x:c>
      <x:c r="EZ70" t="n">
        <x:f>--AND(EZ$3&gt;=$B$65,EZ$3&lt;$B$66,AND($B$63="Да",IFERROR(INDEX('Вводные'!$B$88:$B$91,$B$64),"Нет")="Да"))</x:f>
      </x:c>
      <x:c r="FA70" t="n">
        <x:f>--AND(FA$3&gt;=$B$65,FA$3&lt;$B$66,AND($B$63="Да",IFERROR(INDEX('Вводные'!$B$88:$B$91,$B$64),"Нет")="Да"))</x:f>
      </x:c>
      <x:c r="FB70" t="n">
        <x:f>--AND(FB$3&gt;=$B$65,FB$3&lt;$B$66,AND($B$63="Да",IFERROR(INDEX('Вводные'!$B$88:$B$91,$B$64),"Нет")="Да"))</x:f>
      </x:c>
      <x:c r="FC70" t="n">
        <x:f>--AND(FC$3&gt;=$B$65,FC$3&lt;$B$66,AND($B$63="Да",IFERROR(INDEX('Вводные'!$B$88:$B$91,$B$64),"Нет")="Да"))</x:f>
      </x:c>
      <x:c r="FD70" t="n">
        <x:f>--AND(FD$3&gt;=$B$65,FD$3&lt;$B$66,AND($B$63="Да",IFERROR(INDEX('Вводные'!$B$88:$B$91,$B$64),"Нет")="Да"))</x:f>
      </x:c>
      <x:c r="FE70" t="n">
        <x:f>--AND(FE$3&gt;=$B$65,FE$3&lt;$B$66,AND($B$63="Да",IFERROR(INDEX('Вводные'!$B$88:$B$91,$B$64),"Нет")="Да"))</x:f>
      </x:c>
      <x:c r="FF70" t="n">
        <x:f>--AND(FF$3&gt;=$B$65,FF$3&lt;$B$66,AND($B$63="Да",IFERROR(INDEX('Вводные'!$B$88:$B$91,$B$64),"Нет")="Да"))</x:f>
      </x:c>
      <x:c r="FG70" t="n">
        <x:f>--AND(FG$3&gt;=$B$65,FG$3&lt;$B$66,AND($B$63="Да",IFERROR(INDEX('Вводные'!$B$88:$B$91,$B$64),"Нет")="Да"))</x:f>
      </x:c>
      <x:c r="FH70" t="n">
        <x:f>--AND(FH$3&gt;=$B$65,FH$3&lt;$B$66,AND($B$63="Да",IFERROR(INDEX('Вводные'!$B$88:$B$91,$B$64),"Нет")="Да"))</x:f>
      </x:c>
      <x:c r="FI70" t="n">
        <x:f>--AND(FI$3&gt;=$B$65,FI$3&lt;$B$66,AND($B$63="Да",IFERROR(INDEX('Вводные'!$B$88:$B$91,$B$64),"Нет")="Да"))</x:f>
      </x:c>
      <x:c r="FJ70" t="n">
        <x:f>--AND(FJ$3&gt;=$B$65,FJ$3&lt;$B$66,AND($B$63="Да",IFERROR(INDEX('Вводные'!$B$88:$B$91,$B$64),"Нет")="Да"))</x:f>
      </x:c>
      <x:c r="FK70" t="n">
        <x:f>--AND(FK$3&gt;=$B$65,FK$3&lt;$B$66,AND($B$63="Да",IFERROR(INDEX('Вводные'!$B$88:$B$91,$B$64),"Нет")="Да"))</x:f>
      </x:c>
      <x:c r="FL70" t="n">
        <x:f>--AND(FL$3&gt;=$B$65,FL$3&lt;$B$66,AND($B$63="Да",IFERROR(INDEX('Вводные'!$B$88:$B$91,$B$64),"Нет")="Да"))</x:f>
      </x:c>
      <x:c r="FM70" t="n">
        <x:f>--AND(FM$3&gt;=$B$65,FM$3&lt;$B$66,AND($B$63="Да",IFERROR(INDEX('Вводные'!$B$88:$B$91,$B$64),"Нет")="Да"))</x:f>
      </x:c>
      <x:c r="FN70" t="n">
        <x:f>--AND(FN$3&gt;=$B$65,FN$3&lt;$B$66,AND($B$63="Да",IFERROR(INDEX('Вводные'!$B$88:$B$91,$B$64),"Нет")="Да"))</x:f>
      </x:c>
      <x:c r="FO70" t="n">
        <x:f>--AND(FO$3&gt;=$B$65,FO$3&lt;$B$66,AND($B$63="Да",IFERROR(INDEX('Вводные'!$B$88:$B$91,$B$64),"Нет")="Да"))</x:f>
      </x:c>
      <x:c r="FP70" t="n">
        <x:f>--AND(FP$3&gt;=$B$65,FP$3&lt;$B$66,AND($B$63="Да",IFERROR(INDEX('Вводные'!$B$88:$B$91,$B$64),"Нет")="Да"))</x:f>
      </x:c>
      <x:c r="FQ70" t="n">
        <x:f>--AND(FQ$3&gt;=$B$65,FQ$3&lt;$B$66,AND($B$63="Да",IFERROR(INDEX('Вводные'!$B$88:$B$91,$B$64),"Нет")="Да"))</x:f>
      </x:c>
      <x:c r="FR70" t="n">
        <x:f>--AND(FR$3&gt;=$B$65,FR$3&lt;$B$66,AND($B$63="Да",IFERROR(INDEX('Вводные'!$B$88:$B$91,$B$64),"Нет")="Да"))</x:f>
      </x:c>
      <x:c r="FS70" t="n">
        <x:f>--AND(FS$3&gt;=$B$65,FS$3&lt;$B$66,AND($B$63="Да",IFERROR(INDEX('Вводные'!$B$88:$B$91,$B$64),"Нет")="Да"))</x:f>
      </x:c>
      <x:c r="FT70" t="n">
        <x:f>--AND(FT$3&gt;=$B$65,FT$3&lt;$B$66,AND($B$63="Да",IFERROR(INDEX('Вводные'!$B$88:$B$91,$B$64),"Нет")="Да"))</x:f>
      </x:c>
      <x:c r="FU70" t="n">
        <x:f>--AND(FU$3&gt;=$B$65,FU$3&lt;$B$66,AND($B$63="Да",IFERROR(INDEX('Вводные'!$B$88:$B$91,$B$64),"Нет")="Да"))</x:f>
      </x:c>
      <x:c r="FV70" t="n">
        <x:f>--AND(FV$3&gt;=$B$65,FV$3&lt;$B$66,AND($B$63="Да",IFERROR(INDEX('Вводные'!$B$88:$B$91,$B$64),"Нет")="Да"))</x:f>
      </x:c>
      <x:c r="FW70" t="n">
        <x:f>--AND(FW$3&gt;=$B$65,FW$3&lt;$B$66,AND($B$63="Да",IFERROR(INDEX('Вводные'!$B$88:$B$91,$B$64),"Нет")="Да"))</x:f>
      </x:c>
      <x:c r="FX70" t="n">
        <x:f>--AND(FX$3&gt;=$B$65,FX$3&lt;$B$66,AND($B$63="Да",IFERROR(INDEX('Вводные'!$B$88:$B$91,$B$64),"Нет")="Да"))</x:f>
      </x:c>
      <x:c r="FY70" t="n">
        <x:f>--AND(FY$3&gt;=$B$65,FY$3&lt;$B$66,AND($B$63="Да",IFERROR(INDEX('Вводные'!$B$88:$B$91,$B$64),"Нет")="Да"))</x:f>
      </x:c>
      <x:c r="FZ70" t="n">
        <x:f>--AND(FZ$3&gt;=$B$65,FZ$3&lt;$B$66,AND($B$63="Да",IFERROR(INDEX('Вводные'!$B$88:$B$91,$B$64),"Нет")="Да"))</x:f>
      </x:c>
      <x:c r="GA70" t="n">
        <x:f>--AND(GA$3&gt;=$B$65,GA$3&lt;$B$66,AND($B$63="Да",IFERROR(INDEX('Вводные'!$B$88:$B$91,$B$64),"Нет")="Да"))</x:f>
      </x:c>
    </x:row>
    <x:row r="71">
      <x:c r="A71" t="str">
        <x:v>Вес S-кривой</x:v>
      </x:c>
      <x:c r="B71"/>
      <x:c r="C71" t="str">
        <x:v>вес</x:v>
      </x:c>
      <x:c r="D71" t="n">
        <x:f>IF(D70=0,0,IF(((12*(YEAR(D$3)-YEAR($B$65))+MONTH(D$3)-MONTH($B$65))+1)/MAX(1,'Вводные'!$K$69)&lt;=0.2,0.6,IF(((12*(YEAR(D$3)-YEAR($B$65))+MONTH(D$3)-MONTH($B$65))+1)/MAX(1,'Вводные'!$K$69)&lt;=0.8,1.2,0.8)))</x:f>
      </x:c>
      <x:c r="E71" t="n">
        <x:f>IF(E70=0,0,IF(((12*(YEAR(E$3)-YEAR($B$65))+MONTH(E$3)-MONTH($B$65))+1)/MAX(1,'Вводные'!$K$69)&lt;=0.2,0.6,IF(((12*(YEAR(E$3)-YEAR($B$65))+MONTH(E$3)-MONTH($B$65))+1)/MAX(1,'Вводные'!$K$69)&lt;=0.8,1.2,0.8)))</x:f>
      </x:c>
      <x:c r="F71" t="n">
        <x:f>IF(F70=0,0,IF(((12*(YEAR(F$3)-YEAR($B$65))+MONTH(F$3)-MONTH($B$65))+1)/MAX(1,'Вводные'!$K$69)&lt;=0.2,0.6,IF(((12*(YEAR(F$3)-YEAR($B$65))+MONTH(F$3)-MONTH($B$65))+1)/MAX(1,'Вводные'!$K$69)&lt;=0.8,1.2,0.8)))</x:f>
      </x:c>
      <x:c r="G71" t="n">
        <x:f>IF(G70=0,0,IF(((12*(YEAR(G$3)-YEAR($B$65))+MONTH(G$3)-MONTH($B$65))+1)/MAX(1,'Вводные'!$K$69)&lt;=0.2,0.6,IF(((12*(YEAR(G$3)-YEAR($B$65))+MONTH(G$3)-MONTH($B$65))+1)/MAX(1,'Вводные'!$K$69)&lt;=0.8,1.2,0.8)))</x:f>
      </x:c>
      <x:c r="H71" t="n">
        <x:f>IF(H70=0,0,IF(((12*(YEAR(H$3)-YEAR($B$65))+MONTH(H$3)-MONTH($B$65))+1)/MAX(1,'Вводные'!$K$69)&lt;=0.2,0.6,IF(((12*(YEAR(H$3)-YEAR($B$65))+MONTH(H$3)-MONTH($B$65))+1)/MAX(1,'Вводные'!$K$69)&lt;=0.8,1.2,0.8)))</x:f>
      </x:c>
      <x:c r="I71" t="n">
        <x:f>IF(I70=0,0,IF(((12*(YEAR(I$3)-YEAR($B$65))+MONTH(I$3)-MONTH($B$65))+1)/MAX(1,'Вводные'!$K$69)&lt;=0.2,0.6,IF(((12*(YEAR(I$3)-YEAR($B$65))+MONTH(I$3)-MONTH($B$65))+1)/MAX(1,'Вводные'!$K$69)&lt;=0.8,1.2,0.8)))</x:f>
      </x:c>
      <x:c r="J71" t="n">
        <x:f>IF(J70=0,0,IF(((12*(YEAR(J$3)-YEAR($B$65))+MONTH(J$3)-MONTH($B$65))+1)/MAX(1,'Вводные'!$K$69)&lt;=0.2,0.6,IF(((12*(YEAR(J$3)-YEAR($B$65))+MONTH(J$3)-MONTH($B$65))+1)/MAX(1,'Вводные'!$K$69)&lt;=0.8,1.2,0.8)))</x:f>
      </x:c>
      <x:c r="K71" t="n">
        <x:f>IF(K70=0,0,IF(((12*(YEAR(K$3)-YEAR($B$65))+MONTH(K$3)-MONTH($B$65))+1)/MAX(1,'Вводные'!$K$69)&lt;=0.2,0.6,IF(((12*(YEAR(K$3)-YEAR($B$65))+MONTH(K$3)-MONTH($B$65))+1)/MAX(1,'Вводные'!$K$69)&lt;=0.8,1.2,0.8)))</x:f>
      </x:c>
      <x:c r="L71" t="n">
        <x:f>IF(L70=0,0,IF(((12*(YEAR(L$3)-YEAR($B$65))+MONTH(L$3)-MONTH($B$65))+1)/MAX(1,'Вводные'!$K$69)&lt;=0.2,0.6,IF(((12*(YEAR(L$3)-YEAR($B$65))+MONTH(L$3)-MONTH($B$65))+1)/MAX(1,'Вводные'!$K$69)&lt;=0.8,1.2,0.8)))</x:f>
      </x:c>
      <x:c r="M71" t="n">
        <x:f>IF(M70=0,0,IF(((12*(YEAR(M$3)-YEAR($B$65))+MONTH(M$3)-MONTH($B$65))+1)/MAX(1,'Вводные'!$K$69)&lt;=0.2,0.6,IF(((12*(YEAR(M$3)-YEAR($B$65))+MONTH(M$3)-MONTH($B$65))+1)/MAX(1,'Вводные'!$K$69)&lt;=0.8,1.2,0.8)))</x:f>
      </x:c>
      <x:c r="N71" t="n">
        <x:f>IF(N70=0,0,IF(((12*(YEAR(N$3)-YEAR($B$65))+MONTH(N$3)-MONTH($B$65))+1)/MAX(1,'Вводные'!$K$69)&lt;=0.2,0.6,IF(((12*(YEAR(N$3)-YEAR($B$65))+MONTH(N$3)-MONTH($B$65))+1)/MAX(1,'Вводные'!$K$69)&lt;=0.8,1.2,0.8)))</x:f>
      </x:c>
      <x:c r="O71" t="n">
        <x:f>IF(O70=0,0,IF(((12*(YEAR(O$3)-YEAR($B$65))+MONTH(O$3)-MONTH($B$65))+1)/MAX(1,'Вводные'!$K$69)&lt;=0.2,0.6,IF(((12*(YEAR(O$3)-YEAR($B$65))+MONTH(O$3)-MONTH($B$65))+1)/MAX(1,'Вводные'!$K$69)&lt;=0.8,1.2,0.8)))</x:f>
      </x:c>
      <x:c r="P71" t="n">
        <x:f>IF(P70=0,0,IF(((12*(YEAR(P$3)-YEAR($B$65))+MONTH(P$3)-MONTH($B$65))+1)/MAX(1,'Вводные'!$K$69)&lt;=0.2,0.6,IF(((12*(YEAR(P$3)-YEAR($B$65))+MONTH(P$3)-MONTH($B$65))+1)/MAX(1,'Вводные'!$K$69)&lt;=0.8,1.2,0.8)))</x:f>
      </x:c>
      <x:c r="Q71" t="n">
        <x:f>IF(Q70=0,0,IF(((12*(YEAR(Q$3)-YEAR($B$65))+MONTH(Q$3)-MONTH($B$65))+1)/MAX(1,'Вводные'!$K$69)&lt;=0.2,0.6,IF(((12*(YEAR(Q$3)-YEAR($B$65))+MONTH(Q$3)-MONTH($B$65))+1)/MAX(1,'Вводные'!$K$69)&lt;=0.8,1.2,0.8)))</x:f>
      </x:c>
      <x:c r="R71" t="n">
        <x:f>IF(R70=0,0,IF(((12*(YEAR(R$3)-YEAR($B$65))+MONTH(R$3)-MONTH($B$65))+1)/MAX(1,'Вводные'!$K$69)&lt;=0.2,0.6,IF(((12*(YEAR(R$3)-YEAR($B$65))+MONTH(R$3)-MONTH($B$65))+1)/MAX(1,'Вводные'!$K$69)&lt;=0.8,1.2,0.8)))</x:f>
      </x:c>
      <x:c r="S71" t="n">
        <x:f>IF(S70=0,0,IF(((12*(YEAR(S$3)-YEAR($B$65))+MONTH(S$3)-MONTH($B$65))+1)/MAX(1,'Вводные'!$K$69)&lt;=0.2,0.6,IF(((12*(YEAR(S$3)-YEAR($B$65))+MONTH(S$3)-MONTH($B$65))+1)/MAX(1,'Вводные'!$K$69)&lt;=0.8,1.2,0.8)))</x:f>
      </x:c>
      <x:c r="T71" t="n">
        <x:f>IF(T70=0,0,IF(((12*(YEAR(T$3)-YEAR($B$65))+MONTH(T$3)-MONTH($B$65))+1)/MAX(1,'Вводные'!$K$69)&lt;=0.2,0.6,IF(((12*(YEAR(T$3)-YEAR($B$65))+MONTH(T$3)-MONTH($B$65))+1)/MAX(1,'Вводные'!$K$69)&lt;=0.8,1.2,0.8)))</x:f>
      </x:c>
      <x:c r="U71" t="n">
        <x:f>IF(U70=0,0,IF(((12*(YEAR(U$3)-YEAR($B$65))+MONTH(U$3)-MONTH($B$65))+1)/MAX(1,'Вводные'!$K$69)&lt;=0.2,0.6,IF(((12*(YEAR(U$3)-YEAR($B$65))+MONTH(U$3)-MONTH($B$65))+1)/MAX(1,'Вводные'!$K$69)&lt;=0.8,1.2,0.8)))</x:f>
      </x:c>
      <x:c r="V71" t="n">
        <x:f>IF(V70=0,0,IF(((12*(YEAR(V$3)-YEAR($B$65))+MONTH(V$3)-MONTH($B$65))+1)/MAX(1,'Вводные'!$K$69)&lt;=0.2,0.6,IF(((12*(YEAR(V$3)-YEAR($B$65))+MONTH(V$3)-MONTH($B$65))+1)/MAX(1,'Вводные'!$K$69)&lt;=0.8,1.2,0.8)))</x:f>
      </x:c>
      <x:c r="W71" t="n">
        <x:f>IF(W70=0,0,IF(((12*(YEAR(W$3)-YEAR($B$65))+MONTH(W$3)-MONTH($B$65))+1)/MAX(1,'Вводные'!$K$69)&lt;=0.2,0.6,IF(((12*(YEAR(W$3)-YEAR($B$65))+MONTH(W$3)-MONTH($B$65))+1)/MAX(1,'Вводные'!$K$69)&lt;=0.8,1.2,0.8)))</x:f>
      </x:c>
      <x:c r="X71" t="n">
        <x:f>IF(X70=0,0,IF(((12*(YEAR(X$3)-YEAR($B$65))+MONTH(X$3)-MONTH($B$65))+1)/MAX(1,'Вводные'!$K$69)&lt;=0.2,0.6,IF(((12*(YEAR(X$3)-YEAR($B$65))+MONTH(X$3)-MONTH($B$65))+1)/MAX(1,'Вводные'!$K$69)&lt;=0.8,1.2,0.8)))</x:f>
      </x:c>
      <x:c r="Y71" t="n">
        <x:f>IF(Y70=0,0,IF(((12*(YEAR(Y$3)-YEAR($B$65))+MONTH(Y$3)-MONTH($B$65))+1)/MAX(1,'Вводные'!$K$69)&lt;=0.2,0.6,IF(((12*(YEAR(Y$3)-YEAR($B$65))+MONTH(Y$3)-MONTH($B$65))+1)/MAX(1,'Вводные'!$K$69)&lt;=0.8,1.2,0.8)))</x:f>
      </x:c>
      <x:c r="Z71" t="n">
        <x:f>IF(Z70=0,0,IF(((12*(YEAR(Z$3)-YEAR($B$65))+MONTH(Z$3)-MONTH($B$65))+1)/MAX(1,'Вводные'!$K$69)&lt;=0.2,0.6,IF(((12*(YEAR(Z$3)-YEAR($B$65))+MONTH(Z$3)-MONTH($B$65))+1)/MAX(1,'Вводные'!$K$69)&lt;=0.8,1.2,0.8)))</x:f>
      </x:c>
      <x:c r="AA71" t="n">
        <x:f>IF(AA70=0,0,IF(((12*(YEAR(AA$3)-YEAR($B$65))+MONTH(AA$3)-MONTH($B$65))+1)/MAX(1,'Вводные'!$K$69)&lt;=0.2,0.6,IF(((12*(YEAR(AA$3)-YEAR($B$65))+MONTH(AA$3)-MONTH($B$65))+1)/MAX(1,'Вводные'!$K$69)&lt;=0.8,1.2,0.8)))</x:f>
      </x:c>
      <x:c r="AB71" t="n">
        <x:f>IF(AB70=0,0,IF(((12*(YEAR(AB$3)-YEAR($B$65))+MONTH(AB$3)-MONTH($B$65))+1)/MAX(1,'Вводные'!$K$69)&lt;=0.2,0.6,IF(((12*(YEAR(AB$3)-YEAR($B$65))+MONTH(AB$3)-MONTH($B$65))+1)/MAX(1,'Вводные'!$K$69)&lt;=0.8,1.2,0.8)))</x:f>
      </x:c>
      <x:c r="AC71" t="n">
        <x:f>IF(AC70=0,0,IF(((12*(YEAR(AC$3)-YEAR($B$65))+MONTH(AC$3)-MONTH($B$65))+1)/MAX(1,'Вводные'!$K$69)&lt;=0.2,0.6,IF(((12*(YEAR(AC$3)-YEAR($B$65))+MONTH(AC$3)-MONTH($B$65))+1)/MAX(1,'Вводные'!$K$69)&lt;=0.8,1.2,0.8)))</x:f>
      </x:c>
      <x:c r="AD71" t="n">
        <x:f>IF(AD70=0,0,IF(((12*(YEAR(AD$3)-YEAR($B$65))+MONTH(AD$3)-MONTH($B$65))+1)/MAX(1,'Вводные'!$K$69)&lt;=0.2,0.6,IF(((12*(YEAR(AD$3)-YEAR($B$65))+MONTH(AD$3)-MONTH($B$65))+1)/MAX(1,'Вводные'!$K$69)&lt;=0.8,1.2,0.8)))</x:f>
      </x:c>
      <x:c r="AE71" t="n">
        <x:f>IF(AE70=0,0,IF(((12*(YEAR(AE$3)-YEAR($B$65))+MONTH(AE$3)-MONTH($B$65))+1)/MAX(1,'Вводные'!$K$69)&lt;=0.2,0.6,IF(((12*(YEAR(AE$3)-YEAR($B$65))+MONTH(AE$3)-MONTH($B$65))+1)/MAX(1,'Вводные'!$K$69)&lt;=0.8,1.2,0.8)))</x:f>
      </x:c>
      <x:c r="AF71" t="n">
        <x:f>IF(AF70=0,0,IF(((12*(YEAR(AF$3)-YEAR($B$65))+MONTH(AF$3)-MONTH($B$65))+1)/MAX(1,'Вводные'!$K$69)&lt;=0.2,0.6,IF(((12*(YEAR(AF$3)-YEAR($B$65))+MONTH(AF$3)-MONTH($B$65))+1)/MAX(1,'Вводные'!$K$69)&lt;=0.8,1.2,0.8)))</x:f>
      </x:c>
      <x:c r="AG71" t="n">
        <x:f>IF(AG70=0,0,IF(((12*(YEAR(AG$3)-YEAR($B$65))+MONTH(AG$3)-MONTH($B$65))+1)/MAX(1,'Вводные'!$K$69)&lt;=0.2,0.6,IF(((12*(YEAR(AG$3)-YEAR($B$65))+MONTH(AG$3)-MONTH($B$65))+1)/MAX(1,'Вводные'!$K$69)&lt;=0.8,1.2,0.8)))</x:f>
      </x:c>
      <x:c r="AH71" t="n">
        <x:f>IF(AH70=0,0,IF(((12*(YEAR(AH$3)-YEAR($B$65))+MONTH(AH$3)-MONTH($B$65))+1)/MAX(1,'Вводные'!$K$69)&lt;=0.2,0.6,IF(((12*(YEAR(AH$3)-YEAR($B$65))+MONTH(AH$3)-MONTH($B$65))+1)/MAX(1,'Вводные'!$K$69)&lt;=0.8,1.2,0.8)))</x:f>
      </x:c>
      <x:c r="AI71" t="n">
        <x:f>IF(AI70=0,0,IF(((12*(YEAR(AI$3)-YEAR($B$65))+MONTH(AI$3)-MONTH($B$65))+1)/MAX(1,'Вводные'!$K$69)&lt;=0.2,0.6,IF(((12*(YEAR(AI$3)-YEAR($B$65))+MONTH(AI$3)-MONTH($B$65))+1)/MAX(1,'Вводные'!$K$69)&lt;=0.8,1.2,0.8)))</x:f>
      </x:c>
      <x:c r="AJ71" t="n">
        <x:f>IF(AJ70=0,0,IF(((12*(YEAR(AJ$3)-YEAR($B$65))+MONTH(AJ$3)-MONTH($B$65))+1)/MAX(1,'Вводные'!$K$69)&lt;=0.2,0.6,IF(((12*(YEAR(AJ$3)-YEAR($B$65))+MONTH(AJ$3)-MONTH($B$65))+1)/MAX(1,'Вводные'!$K$69)&lt;=0.8,1.2,0.8)))</x:f>
      </x:c>
      <x:c r="AK71" t="n">
        <x:f>IF(AK70=0,0,IF(((12*(YEAR(AK$3)-YEAR($B$65))+MONTH(AK$3)-MONTH($B$65))+1)/MAX(1,'Вводные'!$K$69)&lt;=0.2,0.6,IF(((12*(YEAR(AK$3)-YEAR($B$65))+MONTH(AK$3)-MONTH($B$65))+1)/MAX(1,'Вводные'!$K$69)&lt;=0.8,1.2,0.8)))</x:f>
      </x:c>
      <x:c r="AL71" t="n">
        <x:f>IF(AL70=0,0,IF(((12*(YEAR(AL$3)-YEAR($B$65))+MONTH(AL$3)-MONTH($B$65))+1)/MAX(1,'Вводные'!$K$69)&lt;=0.2,0.6,IF(((12*(YEAR(AL$3)-YEAR($B$65))+MONTH(AL$3)-MONTH($B$65))+1)/MAX(1,'Вводные'!$K$69)&lt;=0.8,1.2,0.8)))</x:f>
      </x:c>
      <x:c r="AM71" t="n">
        <x:f>IF(AM70=0,0,IF(((12*(YEAR(AM$3)-YEAR($B$65))+MONTH(AM$3)-MONTH($B$65))+1)/MAX(1,'Вводные'!$K$69)&lt;=0.2,0.6,IF(((12*(YEAR(AM$3)-YEAR($B$65))+MONTH(AM$3)-MONTH($B$65))+1)/MAX(1,'Вводные'!$K$69)&lt;=0.8,1.2,0.8)))</x:f>
      </x:c>
      <x:c r="AN71" t="n">
        <x:f>IF(AN70=0,0,IF(((12*(YEAR(AN$3)-YEAR($B$65))+MONTH(AN$3)-MONTH($B$65))+1)/MAX(1,'Вводные'!$K$69)&lt;=0.2,0.6,IF(((12*(YEAR(AN$3)-YEAR($B$65))+MONTH(AN$3)-MONTH($B$65))+1)/MAX(1,'Вводные'!$K$69)&lt;=0.8,1.2,0.8)))</x:f>
      </x:c>
      <x:c r="AO71" t="n">
        <x:f>IF(AO70=0,0,IF(((12*(YEAR(AO$3)-YEAR($B$65))+MONTH(AO$3)-MONTH($B$65))+1)/MAX(1,'Вводные'!$K$69)&lt;=0.2,0.6,IF(((12*(YEAR(AO$3)-YEAR($B$65))+MONTH(AO$3)-MONTH($B$65))+1)/MAX(1,'Вводные'!$K$69)&lt;=0.8,1.2,0.8)))</x:f>
      </x:c>
      <x:c r="AP71" t="n">
        <x:f>IF(AP70=0,0,IF(((12*(YEAR(AP$3)-YEAR($B$65))+MONTH(AP$3)-MONTH($B$65))+1)/MAX(1,'Вводные'!$K$69)&lt;=0.2,0.6,IF(((12*(YEAR(AP$3)-YEAR($B$65))+MONTH(AP$3)-MONTH($B$65))+1)/MAX(1,'Вводные'!$K$69)&lt;=0.8,1.2,0.8)))</x:f>
      </x:c>
      <x:c r="AQ71" t="n">
        <x:f>IF(AQ70=0,0,IF(((12*(YEAR(AQ$3)-YEAR($B$65))+MONTH(AQ$3)-MONTH($B$65))+1)/MAX(1,'Вводные'!$K$69)&lt;=0.2,0.6,IF(((12*(YEAR(AQ$3)-YEAR($B$65))+MONTH(AQ$3)-MONTH($B$65))+1)/MAX(1,'Вводные'!$K$69)&lt;=0.8,1.2,0.8)))</x:f>
      </x:c>
      <x:c r="AR71" t="n">
        <x:f>IF(AR70=0,0,IF(((12*(YEAR(AR$3)-YEAR($B$65))+MONTH(AR$3)-MONTH($B$65))+1)/MAX(1,'Вводные'!$K$69)&lt;=0.2,0.6,IF(((12*(YEAR(AR$3)-YEAR($B$65))+MONTH(AR$3)-MONTH($B$65))+1)/MAX(1,'Вводные'!$K$69)&lt;=0.8,1.2,0.8)))</x:f>
      </x:c>
      <x:c r="AS71" t="n">
        <x:f>IF(AS70=0,0,IF(((12*(YEAR(AS$3)-YEAR($B$65))+MONTH(AS$3)-MONTH($B$65))+1)/MAX(1,'Вводные'!$K$69)&lt;=0.2,0.6,IF(((12*(YEAR(AS$3)-YEAR($B$65))+MONTH(AS$3)-MONTH($B$65))+1)/MAX(1,'Вводные'!$K$69)&lt;=0.8,1.2,0.8)))</x:f>
      </x:c>
      <x:c r="AT71" t="n">
        <x:f>IF(AT70=0,0,IF(((12*(YEAR(AT$3)-YEAR($B$65))+MONTH(AT$3)-MONTH($B$65))+1)/MAX(1,'Вводные'!$K$69)&lt;=0.2,0.6,IF(((12*(YEAR(AT$3)-YEAR($B$65))+MONTH(AT$3)-MONTH($B$65))+1)/MAX(1,'Вводные'!$K$69)&lt;=0.8,1.2,0.8)))</x:f>
      </x:c>
      <x:c r="AU71" t="n">
        <x:f>IF(AU70=0,0,IF(((12*(YEAR(AU$3)-YEAR($B$65))+MONTH(AU$3)-MONTH($B$65))+1)/MAX(1,'Вводные'!$K$69)&lt;=0.2,0.6,IF(((12*(YEAR(AU$3)-YEAR($B$65))+MONTH(AU$3)-MONTH($B$65))+1)/MAX(1,'Вводные'!$K$69)&lt;=0.8,1.2,0.8)))</x:f>
      </x:c>
      <x:c r="AV71" t="n">
        <x:f>IF(AV70=0,0,IF(((12*(YEAR(AV$3)-YEAR($B$65))+MONTH(AV$3)-MONTH($B$65))+1)/MAX(1,'Вводные'!$K$69)&lt;=0.2,0.6,IF(((12*(YEAR(AV$3)-YEAR($B$65))+MONTH(AV$3)-MONTH($B$65))+1)/MAX(1,'Вводные'!$K$69)&lt;=0.8,1.2,0.8)))</x:f>
      </x:c>
      <x:c r="AW71" t="n">
        <x:f>IF(AW70=0,0,IF(((12*(YEAR(AW$3)-YEAR($B$65))+MONTH(AW$3)-MONTH($B$65))+1)/MAX(1,'Вводные'!$K$69)&lt;=0.2,0.6,IF(((12*(YEAR(AW$3)-YEAR($B$65))+MONTH(AW$3)-MONTH($B$65))+1)/MAX(1,'Вводные'!$K$69)&lt;=0.8,1.2,0.8)))</x:f>
      </x:c>
      <x:c r="AX71" t="n">
        <x:f>IF(AX70=0,0,IF(((12*(YEAR(AX$3)-YEAR($B$65))+MONTH(AX$3)-MONTH($B$65))+1)/MAX(1,'Вводные'!$K$69)&lt;=0.2,0.6,IF(((12*(YEAR(AX$3)-YEAR($B$65))+MONTH(AX$3)-MONTH($B$65))+1)/MAX(1,'Вводные'!$K$69)&lt;=0.8,1.2,0.8)))</x:f>
      </x:c>
      <x:c r="AY71" t="n">
        <x:f>IF(AY70=0,0,IF(((12*(YEAR(AY$3)-YEAR($B$65))+MONTH(AY$3)-MONTH($B$65))+1)/MAX(1,'Вводные'!$K$69)&lt;=0.2,0.6,IF(((12*(YEAR(AY$3)-YEAR($B$65))+MONTH(AY$3)-MONTH($B$65))+1)/MAX(1,'Вводные'!$K$69)&lt;=0.8,1.2,0.8)))</x:f>
      </x:c>
      <x:c r="AZ71" t="n">
        <x:f>IF(AZ70=0,0,IF(((12*(YEAR(AZ$3)-YEAR($B$65))+MONTH(AZ$3)-MONTH($B$65))+1)/MAX(1,'Вводные'!$K$69)&lt;=0.2,0.6,IF(((12*(YEAR(AZ$3)-YEAR($B$65))+MONTH(AZ$3)-MONTH($B$65))+1)/MAX(1,'Вводные'!$K$69)&lt;=0.8,1.2,0.8)))</x:f>
      </x:c>
      <x:c r="BA71" t="n">
        <x:f>IF(BA70=0,0,IF(((12*(YEAR(BA$3)-YEAR($B$65))+MONTH(BA$3)-MONTH($B$65))+1)/MAX(1,'Вводные'!$K$69)&lt;=0.2,0.6,IF(((12*(YEAR(BA$3)-YEAR($B$65))+MONTH(BA$3)-MONTH($B$65))+1)/MAX(1,'Вводные'!$K$69)&lt;=0.8,1.2,0.8)))</x:f>
      </x:c>
      <x:c r="BB71" t="n">
        <x:f>IF(BB70=0,0,IF(((12*(YEAR(BB$3)-YEAR($B$65))+MONTH(BB$3)-MONTH($B$65))+1)/MAX(1,'Вводные'!$K$69)&lt;=0.2,0.6,IF(((12*(YEAR(BB$3)-YEAR($B$65))+MONTH(BB$3)-MONTH($B$65))+1)/MAX(1,'Вводные'!$K$69)&lt;=0.8,1.2,0.8)))</x:f>
      </x:c>
      <x:c r="BC71" t="n">
        <x:f>IF(BC70=0,0,IF(((12*(YEAR(BC$3)-YEAR($B$65))+MONTH(BC$3)-MONTH($B$65))+1)/MAX(1,'Вводные'!$K$69)&lt;=0.2,0.6,IF(((12*(YEAR(BC$3)-YEAR($B$65))+MONTH(BC$3)-MONTH($B$65))+1)/MAX(1,'Вводные'!$K$69)&lt;=0.8,1.2,0.8)))</x:f>
      </x:c>
      <x:c r="BD71" t="n">
        <x:f>IF(BD70=0,0,IF(((12*(YEAR(BD$3)-YEAR($B$65))+MONTH(BD$3)-MONTH($B$65))+1)/MAX(1,'Вводные'!$K$69)&lt;=0.2,0.6,IF(((12*(YEAR(BD$3)-YEAR($B$65))+MONTH(BD$3)-MONTH($B$65))+1)/MAX(1,'Вводные'!$K$69)&lt;=0.8,1.2,0.8)))</x:f>
      </x:c>
      <x:c r="BE71" t="n">
        <x:f>IF(BE70=0,0,IF(((12*(YEAR(BE$3)-YEAR($B$65))+MONTH(BE$3)-MONTH($B$65))+1)/MAX(1,'Вводные'!$K$69)&lt;=0.2,0.6,IF(((12*(YEAR(BE$3)-YEAR($B$65))+MONTH(BE$3)-MONTH($B$65))+1)/MAX(1,'Вводные'!$K$69)&lt;=0.8,1.2,0.8)))</x:f>
      </x:c>
      <x:c r="BF71" t="n">
        <x:f>IF(BF70=0,0,IF(((12*(YEAR(BF$3)-YEAR($B$65))+MONTH(BF$3)-MONTH($B$65))+1)/MAX(1,'Вводные'!$K$69)&lt;=0.2,0.6,IF(((12*(YEAR(BF$3)-YEAR($B$65))+MONTH(BF$3)-MONTH($B$65))+1)/MAX(1,'Вводные'!$K$69)&lt;=0.8,1.2,0.8)))</x:f>
      </x:c>
      <x:c r="BG71" t="n">
        <x:f>IF(BG70=0,0,IF(((12*(YEAR(BG$3)-YEAR($B$65))+MONTH(BG$3)-MONTH($B$65))+1)/MAX(1,'Вводные'!$K$69)&lt;=0.2,0.6,IF(((12*(YEAR(BG$3)-YEAR($B$65))+MONTH(BG$3)-MONTH($B$65))+1)/MAX(1,'Вводные'!$K$69)&lt;=0.8,1.2,0.8)))</x:f>
      </x:c>
      <x:c r="BH71" t="n">
        <x:f>IF(BH70=0,0,IF(((12*(YEAR(BH$3)-YEAR($B$65))+MONTH(BH$3)-MONTH($B$65))+1)/MAX(1,'Вводные'!$K$69)&lt;=0.2,0.6,IF(((12*(YEAR(BH$3)-YEAR($B$65))+MONTH(BH$3)-MONTH($B$65))+1)/MAX(1,'Вводные'!$K$69)&lt;=0.8,1.2,0.8)))</x:f>
      </x:c>
      <x:c r="BI71" t="n">
        <x:f>IF(BI70=0,0,IF(((12*(YEAR(BI$3)-YEAR($B$65))+MONTH(BI$3)-MONTH($B$65))+1)/MAX(1,'Вводные'!$K$69)&lt;=0.2,0.6,IF(((12*(YEAR(BI$3)-YEAR($B$65))+MONTH(BI$3)-MONTH($B$65))+1)/MAX(1,'Вводные'!$K$69)&lt;=0.8,1.2,0.8)))</x:f>
      </x:c>
      <x:c r="BJ71" t="n">
        <x:f>IF(BJ70=0,0,IF(((12*(YEAR(BJ$3)-YEAR($B$65))+MONTH(BJ$3)-MONTH($B$65))+1)/MAX(1,'Вводные'!$K$69)&lt;=0.2,0.6,IF(((12*(YEAR(BJ$3)-YEAR($B$65))+MONTH(BJ$3)-MONTH($B$65))+1)/MAX(1,'Вводные'!$K$69)&lt;=0.8,1.2,0.8)))</x:f>
      </x:c>
      <x:c r="BK71" t="n">
        <x:f>IF(BK70=0,0,IF(((12*(YEAR(BK$3)-YEAR($B$65))+MONTH(BK$3)-MONTH($B$65))+1)/MAX(1,'Вводные'!$K$69)&lt;=0.2,0.6,IF(((12*(YEAR(BK$3)-YEAR($B$65))+MONTH(BK$3)-MONTH($B$65))+1)/MAX(1,'Вводные'!$K$69)&lt;=0.8,1.2,0.8)))</x:f>
      </x:c>
      <x:c r="BL71" t="n">
        <x:f>IF(BL70=0,0,IF(((12*(YEAR(BL$3)-YEAR($B$65))+MONTH(BL$3)-MONTH($B$65))+1)/MAX(1,'Вводные'!$K$69)&lt;=0.2,0.6,IF(((12*(YEAR(BL$3)-YEAR($B$65))+MONTH(BL$3)-MONTH($B$65))+1)/MAX(1,'Вводные'!$K$69)&lt;=0.8,1.2,0.8)))</x:f>
      </x:c>
      <x:c r="BM71" t="n">
        <x:f>IF(BM70=0,0,IF(((12*(YEAR(BM$3)-YEAR($B$65))+MONTH(BM$3)-MONTH($B$65))+1)/MAX(1,'Вводные'!$K$69)&lt;=0.2,0.6,IF(((12*(YEAR(BM$3)-YEAR($B$65))+MONTH(BM$3)-MONTH($B$65))+1)/MAX(1,'Вводные'!$K$69)&lt;=0.8,1.2,0.8)))</x:f>
      </x:c>
      <x:c r="BN71" t="n">
        <x:f>IF(BN70=0,0,IF(((12*(YEAR(BN$3)-YEAR($B$65))+MONTH(BN$3)-MONTH($B$65))+1)/MAX(1,'Вводные'!$K$69)&lt;=0.2,0.6,IF(((12*(YEAR(BN$3)-YEAR($B$65))+MONTH(BN$3)-MONTH($B$65))+1)/MAX(1,'Вводные'!$K$69)&lt;=0.8,1.2,0.8)))</x:f>
      </x:c>
      <x:c r="BO71" t="n">
        <x:f>IF(BO70=0,0,IF(((12*(YEAR(BO$3)-YEAR($B$65))+MONTH(BO$3)-MONTH($B$65))+1)/MAX(1,'Вводные'!$K$69)&lt;=0.2,0.6,IF(((12*(YEAR(BO$3)-YEAR($B$65))+MONTH(BO$3)-MONTH($B$65))+1)/MAX(1,'Вводные'!$K$69)&lt;=0.8,1.2,0.8)))</x:f>
      </x:c>
      <x:c r="BP71" t="n">
        <x:f>IF(BP70=0,0,IF(((12*(YEAR(BP$3)-YEAR($B$65))+MONTH(BP$3)-MONTH($B$65))+1)/MAX(1,'Вводные'!$K$69)&lt;=0.2,0.6,IF(((12*(YEAR(BP$3)-YEAR($B$65))+MONTH(BP$3)-MONTH($B$65))+1)/MAX(1,'Вводные'!$K$69)&lt;=0.8,1.2,0.8)))</x:f>
      </x:c>
      <x:c r="BQ71" t="n">
        <x:f>IF(BQ70=0,0,IF(((12*(YEAR(BQ$3)-YEAR($B$65))+MONTH(BQ$3)-MONTH($B$65))+1)/MAX(1,'Вводные'!$K$69)&lt;=0.2,0.6,IF(((12*(YEAR(BQ$3)-YEAR($B$65))+MONTH(BQ$3)-MONTH($B$65))+1)/MAX(1,'Вводные'!$K$69)&lt;=0.8,1.2,0.8)))</x:f>
      </x:c>
      <x:c r="BR71" t="n">
        <x:f>IF(BR70=0,0,IF(((12*(YEAR(BR$3)-YEAR($B$65))+MONTH(BR$3)-MONTH($B$65))+1)/MAX(1,'Вводные'!$K$69)&lt;=0.2,0.6,IF(((12*(YEAR(BR$3)-YEAR($B$65))+MONTH(BR$3)-MONTH($B$65))+1)/MAX(1,'Вводные'!$K$69)&lt;=0.8,1.2,0.8)))</x:f>
      </x:c>
      <x:c r="BS71" t="n">
        <x:f>IF(BS70=0,0,IF(((12*(YEAR(BS$3)-YEAR($B$65))+MONTH(BS$3)-MONTH($B$65))+1)/MAX(1,'Вводные'!$K$69)&lt;=0.2,0.6,IF(((12*(YEAR(BS$3)-YEAR($B$65))+MONTH(BS$3)-MONTH($B$65))+1)/MAX(1,'Вводные'!$K$69)&lt;=0.8,1.2,0.8)))</x:f>
      </x:c>
      <x:c r="BT71" t="n">
        <x:f>IF(BT70=0,0,IF(((12*(YEAR(BT$3)-YEAR($B$65))+MONTH(BT$3)-MONTH($B$65))+1)/MAX(1,'Вводные'!$K$69)&lt;=0.2,0.6,IF(((12*(YEAR(BT$3)-YEAR($B$65))+MONTH(BT$3)-MONTH($B$65))+1)/MAX(1,'Вводные'!$K$69)&lt;=0.8,1.2,0.8)))</x:f>
      </x:c>
      <x:c r="BU71" t="n">
        <x:f>IF(BU70=0,0,IF(((12*(YEAR(BU$3)-YEAR($B$65))+MONTH(BU$3)-MONTH($B$65))+1)/MAX(1,'Вводные'!$K$69)&lt;=0.2,0.6,IF(((12*(YEAR(BU$3)-YEAR($B$65))+MONTH(BU$3)-MONTH($B$65))+1)/MAX(1,'Вводные'!$K$69)&lt;=0.8,1.2,0.8)))</x:f>
      </x:c>
      <x:c r="BV71" t="n">
        <x:f>IF(BV70=0,0,IF(((12*(YEAR(BV$3)-YEAR($B$65))+MONTH(BV$3)-MONTH($B$65))+1)/MAX(1,'Вводные'!$K$69)&lt;=0.2,0.6,IF(((12*(YEAR(BV$3)-YEAR($B$65))+MONTH(BV$3)-MONTH($B$65))+1)/MAX(1,'Вводные'!$K$69)&lt;=0.8,1.2,0.8)))</x:f>
      </x:c>
      <x:c r="BW71" t="n">
        <x:f>IF(BW70=0,0,IF(((12*(YEAR(BW$3)-YEAR($B$65))+MONTH(BW$3)-MONTH($B$65))+1)/MAX(1,'Вводные'!$K$69)&lt;=0.2,0.6,IF(((12*(YEAR(BW$3)-YEAR($B$65))+MONTH(BW$3)-MONTH($B$65))+1)/MAX(1,'Вводные'!$K$69)&lt;=0.8,1.2,0.8)))</x:f>
      </x:c>
      <x:c r="BX71" t="n">
        <x:f>IF(BX70=0,0,IF(((12*(YEAR(BX$3)-YEAR($B$65))+MONTH(BX$3)-MONTH($B$65))+1)/MAX(1,'Вводные'!$K$69)&lt;=0.2,0.6,IF(((12*(YEAR(BX$3)-YEAR($B$65))+MONTH(BX$3)-MONTH($B$65))+1)/MAX(1,'Вводные'!$K$69)&lt;=0.8,1.2,0.8)))</x:f>
      </x:c>
      <x:c r="BY71" t="n">
        <x:f>IF(BY70=0,0,IF(((12*(YEAR(BY$3)-YEAR($B$65))+MONTH(BY$3)-MONTH($B$65))+1)/MAX(1,'Вводные'!$K$69)&lt;=0.2,0.6,IF(((12*(YEAR(BY$3)-YEAR($B$65))+MONTH(BY$3)-MONTH($B$65))+1)/MAX(1,'Вводные'!$K$69)&lt;=0.8,1.2,0.8)))</x:f>
      </x:c>
      <x:c r="BZ71" t="n">
        <x:f>IF(BZ70=0,0,IF(((12*(YEAR(BZ$3)-YEAR($B$65))+MONTH(BZ$3)-MONTH($B$65))+1)/MAX(1,'Вводные'!$K$69)&lt;=0.2,0.6,IF(((12*(YEAR(BZ$3)-YEAR($B$65))+MONTH(BZ$3)-MONTH($B$65))+1)/MAX(1,'Вводные'!$K$69)&lt;=0.8,1.2,0.8)))</x:f>
      </x:c>
      <x:c r="CA71" t="n">
        <x:f>IF(CA70=0,0,IF(((12*(YEAR(CA$3)-YEAR($B$65))+MONTH(CA$3)-MONTH($B$65))+1)/MAX(1,'Вводные'!$K$69)&lt;=0.2,0.6,IF(((12*(YEAR(CA$3)-YEAR($B$65))+MONTH(CA$3)-MONTH($B$65))+1)/MAX(1,'Вводные'!$K$69)&lt;=0.8,1.2,0.8)))</x:f>
      </x:c>
      <x:c r="CB71" t="n">
        <x:f>IF(CB70=0,0,IF(((12*(YEAR(CB$3)-YEAR($B$65))+MONTH(CB$3)-MONTH($B$65))+1)/MAX(1,'Вводные'!$K$69)&lt;=0.2,0.6,IF(((12*(YEAR(CB$3)-YEAR($B$65))+MONTH(CB$3)-MONTH($B$65))+1)/MAX(1,'Вводные'!$K$69)&lt;=0.8,1.2,0.8)))</x:f>
      </x:c>
      <x:c r="CC71" t="n">
        <x:f>IF(CC70=0,0,IF(((12*(YEAR(CC$3)-YEAR($B$65))+MONTH(CC$3)-MONTH($B$65))+1)/MAX(1,'Вводные'!$K$69)&lt;=0.2,0.6,IF(((12*(YEAR(CC$3)-YEAR($B$65))+MONTH(CC$3)-MONTH($B$65))+1)/MAX(1,'Вводные'!$K$69)&lt;=0.8,1.2,0.8)))</x:f>
      </x:c>
      <x:c r="CD71" t="n">
        <x:f>IF(CD70=0,0,IF(((12*(YEAR(CD$3)-YEAR($B$65))+MONTH(CD$3)-MONTH($B$65))+1)/MAX(1,'Вводные'!$K$69)&lt;=0.2,0.6,IF(((12*(YEAR(CD$3)-YEAR($B$65))+MONTH(CD$3)-MONTH($B$65))+1)/MAX(1,'Вводные'!$K$69)&lt;=0.8,1.2,0.8)))</x:f>
      </x:c>
      <x:c r="CE71" t="n">
        <x:f>IF(CE70=0,0,IF(((12*(YEAR(CE$3)-YEAR($B$65))+MONTH(CE$3)-MONTH($B$65))+1)/MAX(1,'Вводные'!$K$69)&lt;=0.2,0.6,IF(((12*(YEAR(CE$3)-YEAR($B$65))+MONTH(CE$3)-MONTH($B$65))+1)/MAX(1,'Вводные'!$K$69)&lt;=0.8,1.2,0.8)))</x:f>
      </x:c>
      <x:c r="CF71" t="n">
        <x:f>IF(CF70=0,0,IF(((12*(YEAR(CF$3)-YEAR($B$65))+MONTH(CF$3)-MONTH($B$65))+1)/MAX(1,'Вводные'!$K$69)&lt;=0.2,0.6,IF(((12*(YEAR(CF$3)-YEAR($B$65))+MONTH(CF$3)-MONTH($B$65))+1)/MAX(1,'Вводные'!$K$69)&lt;=0.8,1.2,0.8)))</x:f>
      </x:c>
      <x:c r="CG71" t="n">
        <x:f>IF(CG70=0,0,IF(((12*(YEAR(CG$3)-YEAR($B$65))+MONTH(CG$3)-MONTH($B$65))+1)/MAX(1,'Вводные'!$K$69)&lt;=0.2,0.6,IF(((12*(YEAR(CG$3)-YEAR($B$65))+MONTH(CG$3)-MONTH($B$65))+1)/MAX(1,'Вводные'!$K$69)&lt;=0.8,1.2,0.8)))</x:f>
      </x:c>
      <x:c r="CH71" t="n">
        <x:f>IF(CH70=0,0,IF(((12*(YEAR(CH$3)-YEAR($B$65))+MONTH(CH$3)-MONTH($B$65))+1)/MAX(1,'Вводные'!$K$69)&lt;=0.2,0.6,IF(((12*(YEAR(CH$3)-YEAR($B$65))+MONTH(CH$3)-MONTH($B$65))+1)/MAX(1,'Вводные'!$K$69)&lt;=0.8,1.2,0.8)))</x:f>
      </x:c>
      <x:c r="CI71" t="n">
        <x:f>IF(CI70=0,0,IF(((12*(YEAR(CI$3)-YEAR($B$65))+MONTH(CI$3)-MONTH($B$65))+1)/MAX(1,'Вводные'!$K$69)&lt;=0.2,0.6,IF(((12*(YEAR(CI$3)-YEAR($B$65))+MONTH(CI$3)-MONTH($B$65))+1)/MAX(1,'Вводные'!$K$69)&lt;=0.8,1.2,0.8)))</x:f>
      </x:c>
      <x:c r="CJ71" t="n">
        <x:f>IF(CJ70=0,0,IF(((12*(YEAR(CJ$3)-YEAR($B$65))+MONTH(CJ$3)-MONTH($B$65))+1)/MAX(1,'Вводные'!$K$69)&lt;=0.2,0.6,IF(((12*(YEAR(CJ$3)-YEAR($B$65))+MONTH(CJ$3)-MONTH($B$65))+1)/MAX(1,'Вводные'!$K$69)&lt;=0.8,1.2,0.8)))</x:f>
      </x:c>
      <x:c r="CK71" t="n">
        <x:f>IF(CK70=0,0,IF(((12*(YEAR(CK$3)-YEAR($B$65))+MONTH(CK$3)-MONTH($B$65))+1)/MAX(1,'Вводные'!$K$69)&lt;=0.2,0.6,IF(((12*(YEAR(CK$3)-YEAR($B$65))+MONTH(CK$3)-MONTH($B$65))+1)/MAX(1,'Вводные'!$K$69)&lt;=0.8,1.2,0.8)))</x:f>
      </x:c>
      <x:c r="CL71" t="n">
        <x:f>IF(CL70=0,0,IF(((12*(YEAR(CL$3)-YEAR($B$65))+MONTH(CL$3)-MONTH($B$65))+1)/MAX(1,'Вводные'!$K$69)&lt;=0.2,0.6,IF(((12*(YEAR(CL$3)-YEAR($B$65))+MONTH(CL$3)-MONTH($B$65))+1)/MAX(1,'Вводные'!$K$69)&lt;=0.8,1.2,0.8)))</x:f>
      </x:c>
      <x:c r="CM71" t="n">
        <x:f>IF(CM70=0,0,IF(((12*(YEAR(CM$3)-YEAR($B$65))+MONTH(CM$3)-MONTH($B$65))+1)/MAX(1,'Вводные'!$K$69)&lt;=0.2,0.6,IF(((12*(YEAR(CM$3)-YEAR($B$65))+MONTH(CM$3)-MONTH($B$65))+1)/MAX(1,'Вводные'!$K$69)&lt;=0.8,1.2,0.8)))</x:f>
      </x:c>
      <x:c r="CN71" t="n">
        <x:f>IF(CN70=0,0,IF(((12*(YEAR(CN$3)-YEAR($B$65))+MONTH(CN$3)-MONTH($B$65))+1)/MAX(1,'Вводные'!$K$69)&lt;=0.2,0.6,IF(((12*(YEAR(CN$3)-YEAR($B$65))+MONTH(CN$3)-MONTH($B$65))+1)/MAX(1,'Вводные'!$K$69)&lt;=0.8,1.2,0.8)))</x:f>
      </x:c>
      <x:c r="CO71" t="n">
        <x:f>IF(CO70=0,0,IF(((12*(YEAR(CO$3)-YEAR($B$65))+MONTH(CO$3)-MONTH($B$65))+1)/MAX(1,'Вводные'!$K$69)&lt;=0.2,0.6,IF(((12*(YEAR(CO$3)-YEAR($B$65))+MONTH(CO$3)-MONTH($B$65))+1)/MAX(1,'Вводные'!$K$69)&lt;=0.8,1.2,0.8)))</x:f>
      </x:c>
      <x:c r="CP71" t="n">
        <x:f>IF(CP70=0,0,IF(((12*(YEAR(CP$3)-YEAR($B$65))+MONTH(CP$3)-MONTH($B$65))+1)/MAX(1,'Вводные'!$K$69)&lt;=0.2,0.6,IF(((12*(YEAR(CP$3)-YEAR($B$65))+MONTH(CP$3)-MONTH($B$65))+1)/MAX(1,'Вводные'!$K$69)&lt;=0.8,1.2,0.8)))</x:f>
      </x:c>
      <x:c r="CQ71" t="n">
        <x:f>IF(CQ70=0,0,IF(((12*(YEAR(CQ$3)-YEAR($B$65))+MONTH(CQ$3)-MONTH($B$65))+1)/MAX(1,'Вводные'!$K$69)&lt;=0.2,0.6,IF(((12*(YEAR(CQ$3)-YEAR($B$65))+MONTH(CQ$3)-MONTH($B$65))+1)/MAX(1,'Вводные'!$K$69)&lt;=0.8,1.2,0.8)))</x:f>
      </x:c>
      <x:c r="CR71" t="n">
        <x:f>IF(CR70=0,0,IF(((12*(YEAR(CR$3)-YEAR($B$65))+MONTH(CR$3)-MONTH($B$65))+1)/MAX(1,'Вводные'!$K$69)&lt;=0.2,0.6,IF(((12*(YEAR(CR$3)-YEAR($B$65))+MONTH(CR$3)-MONTH($B$65))+1)/MAX(1,'Вводные'!$K$69)&lt;=0.8,1.2,0.8)))</x:f>
      </x:c>
      <x:c r="CS71" t="n">
        <x:f>IF(CS70=0,0,IF(((12*(YEAR(CS$3)-YEAR($B$65))+MONTH(CS$3)-MONTH($B$65))+1)/MAX(1,'Вводные'!$K$69)&lt;=0.2,0.6,IF(((12*(YEAR(CS$3)-YEAR($B$65))+MONTH(CS$3)-MONTH($B$65))+1)/MAX(1,'Вводные'!$K$69)&lt;=0.8,1.2,0.8)))</x:f>
      </x:c>
      <x:c r="CT71" t="n">
        <x:f>IF(CT70=0,0,IF(((12*(YEAR(CT$3)-YEAR($B$65))+MONTH(CT$3)-MONTH($B$65))+1)/MAX(1,'Вводные'!$K$69)&lt;=0.2,0.6,IF(((12*(YEAR(CT$3)-YEAR($B$65))+MONTH(CT$3)-MONTH($B$65))+1)/MAX(1,'Вводные'!$K$69)&lt;=0.8,1.2,0.8)))</x:f>
      </x:c>
      <x:c r="CU71" t="n">
        <x:f>IF(CU70=0,0,IF(((12*(YEAR(CU$3)-YEAR($B$65))+MONTH(CU$3)-MONTH($B$65))+1)/MAX(1,'Вводные'!$K$69)&lt;=0.2,0.6,IF(((12*(YEAR(CU$3)-YEAR($B$65))+MONTH(CU$3)-MONTH($B$65))+1)/MAX(1,'Вводные'!$K$69)&lt;=0.8,1.2,0.8)))</x:f>
      </x:c>
      <x:c r="CV71" t="n">
        <x:f>IF(CV70=0,0,IF(((12*(YEAR(CV$3)-YEAR($B$65))+MONTH(CV$3)-MONTH($B$65))+1)/MAX(1,'Вводные'!$K$69)&lt;=0.2,0.6,IF(((12*(YEAR(CV$3)-YEAR($B$65))+MONTH(CV$3)-MONTH($B$65))+1)/MAX(1,'Вводные'!$K$69)&lt;=0.8,1.2,0.8)))</x:f>
      </x:c>
      <x:c r="CW71" t="n">
        <x:f>IF(CW70=0,0,IF(((12*(YEAR(CW$3)-YEAR($B$65))+MONTH(CW$3)-MONTH($B$65))+1)/MAX(1,'Вводные'!$K$69)&lt;=0.2,0.6,IF(((12*(YEAR(CW$3)-YEAR($B$65))+MONTH(CW$3)-MONTH($B$65))+1)/MAX(1,'Вводные'!$K$69)&lt;=0.8,1.2,0.8)))</x:f>
      </x:c>
      <x:c r="CX71" t="n">
        <x:f>IF(CX70=0,0,IF(((12*(YEAR(CX$3)-YEAR($B$65))+MONTH(CX$3)-MONTH($B$65))+1)/MAX(1,'Вводные'!$K$69)&lt;=0.2,0.6,IF(((12*(YEAR(CX$3)-YEAR($B$65))+MONTH(CX$3)-MONTH($B$65))+1)/MAX(1,'Вводные'!$K$69)&lt;=0.8,1.2,0.8)))</x:f>
      </x:c>
      <x:c r="CY71" t="n">
        <x:f>IF(CY70=0,0,IF(((12*(YEAR(CY$3)-YEAR($B$65))+MONTH(CY$3)-MONTH($B$65))+1)/MAX(1,'Вводные'!$K$69)&lt;=0.2,0.6,IF(((12*(YEAR(CY$3)-YEAR($B$65))+MONTH(CY$3)-MONTH($B$65))+1)/MAX(1,'Вводные'!$K$69)&lt;=0.8,1.2,0.8)))</x:f>
      </x:c>
      <x:c r="CZ71" t="n">
        <x:f>IF(CZ70=0,0,IF(((12*(YEAR(CZ$3)-YEAR($B$65))+MONTH(CZ$3)-MONTH($B$65))+1)/MAX(1,'Вводные'!$K$69)&lt;=0.2,0.6,IF(((12*(YEAR(CZ$3)-YEAR($B$65))+MONTH(CZ$3)-MONTH($B$65))+1)/MAX(1,'Вводные'!$K$69)&lt;=0.8,1.2,0.8)))</x:f>
      </x:c>
      <x:c r="DA71" t="n">
        <x:f>IF(DA70=0,0,IF(((12*(YEAR(DA$3)-YEAR($B$65))+MONTH(DA$3)-MONTH($B$65))+1)/MAX(1,'Вводные'!$K$69)&lt;=0.2,0.6,IF(((12*(YEAR(DA$3)-YEAR($B$65))+MONTH(DA$3)-MONTH($B$65))+1)/MAX(1,'Вводные'!$K$69)&lt;=0.8,1.2,0.8)))</x:f>
      </x:c>
      <x:c r="DB71" t="n">
        <x:f>IF(DB70=0,0,IF(((12*(YEAR(DB$3)-YEAR($B$65))+MONTH(DB$3)-MONTH($B$65))+1)/MAX(1,'Вводные'!$K$69)&lt;=0.2,0.6,IF(((12*(YEAR(DB$3)-YEAR($B$65))+MONTH(DB$3)-MONTH($B$65))+1)/MAX(1,'Вводные'!$K$69)&lt;=0.8,1.2,0.8)))</x:f>
      </x:c>
      <x:c r="DC71" t="n">
        <x:f>IF(DC70=0,0,IF(((12*(YEAR(DC$3)-YEAR($B$65))+MONTH(DC$3)-MONTH($B$65))+1)/MAX(1,'Вводные'!$K$69)&lt;=0.2,0.6,IF(((12*(YEAR(DC$3)-YEAR($B$65))+MONTH(DC$3)-MONTH($B$65))+1)/MAX(1,'Вводные'!$K$69)&lt;=0.8,1.2,0.8)))</x:f>
      </x:c>
      <x:c r="DD71" t="n">
        <x:f>IF(DD70=0,0,IF(((12*(YEAR(DD$3)-YEAR($B$65))+MONTH(DD$3)-MONTH($B$65))+1)/MAX(1,'Вводные'!$K$69)&lt;=0.2,0.6,IF(((12*(YEAR(DD$3)-YEAR($B$65))+MONTH(DD$3)-MONTH($B$65))+1)/MAX(1,'Вводные'!$K$69)&lt;=0.8,1.2,0.8)))</x:f>
      </x:c>
      <x:c r="DE71" t="n">
        <x:f>IF(DE70=0,0,IF(((12*(YEAR(DE$3)-YEAR($B$65))+MONTH(DE$3)-MONTH($B$65))+1)/MAX(1,'Вводные'!$K$69)&lt;=0.2,0.6,IF(((12*(YEAR(DE$3)-YEAR($B$65))+MONTH(DE$3)-MONTH($B$65))+1)/MAX(1,'Вводные'!$K$69)&lt;=0.8,1.2,0.8)))</x:f>
      </x:c>
      <x:c r="DF71" t="n">
        <x:f>IF(DF70=0,0,IF(((12*(YEAR(DF$3)-YEAR($B$65))+MONTH(DF$3)-MONTH($B$65))+1)/MAX(1,'Вводные'!$K$69)&lt;=0.2,0.6,IF(((12*(YEAR(DF$3)-YEAR($B$65))+MONTH(DF$3)-MONTH($B$65))+1)/MAX(1,'Вводные'!$K$69)&lt;=0.8,1.2,0.8)))</x:f>
      </x:c>
      <x:c r="DG71" t="n">
        <x:f>IF(DG70=0,0,IF(((12*(YEAR(DG$3)-YEAR($B$65))+MONTH(DG$3)-MONTH($B$65))+1)/MAX(1,'Вводные'!$K$69)&lt;=0.2,0.6,IF(((12*(YEAR(DG$3)-YEAR($B$65))+MONTH(DG$3)-MONTH($B$65))+1)/MAX(1,'Вводные'!$K$69)&lt;=0.8,1.2,0.8)))</x:f>
      </x:c>
      <x:c r="DH71" t="n">
        <x:f>IF(DH70=0,0,IF(((12*(YEAR(DH$3)-YEAR($B$65))+MONTH(DH$3)-MONTH($B$65))+1)/MAX(1,'Вводные'!$K$69)&lt;=0.2,0.6,IF(((12*(YEAR(DH$3)-YEAR($B$65))+MONTH(DH$3)-MONTH($B$65))+1)/MAX(1,'Вводные'!$K$69)&lt;=0.8,1.2,0.8)))</x:f>
      </x:c>
      <x:c r="DI71" t="n">
        <x:f>IF(DI70=0,0,IF(((12*(YEAR(DI$3)-YEAR($B$65))+MONTH(DI$3)-MONTH($B$65))+1)/MAX(1,'Вводные'!$K$69)&lt;=0.2,0.6,IF(((12*(YEAR(DI$3)-YEAR($B$65))+MONTH(DI$3)-MONTH($B$65))+1)/MAX(1,'Вводные'!$K$69)&lt;=0.8,1.2,0.8)))</x:f>
      </x:c>
      <x:c r="DJ71" t="n">
        <x:f>IF(DJ70=0,0,IF(((12*(YEAR(DJ$3)-YEAR($B$65))+MONTH(DJ$3)-MONTH($B$65))+1)/MAX(1,'Вводные'!$K$69)&lt;=0.2,0.6,IF(((12*(YEAR(DJ$3)-YEAR($B$65))+MONTH(DJ$3)-MONTH($B$65))+1)/MAX(1,'Вводные'!$K$69)&lt;=0.8,1.2,0.8)))</x:f>
      </x:c>
      <x:c r="DK71" t="n">
        <x:f>IF(DK70=0,0,IF(((12*(YEAR(DK$3)-YEAR($B$65))+MONTH(DK$3)-MONTH($B$65))+1)/MAX(1,'Вводные'!$K$69)&lt;=0.2,0.6,IF(((12*(YEAR(DK$3)-YEAR($B$65))+MONTH(DK$3)-MONTH($B$65))+1)/MAX(1,'Вводные'!$K$69)&lt;=0.8,1.2,0.8)))</x:f>
      </x:c>
      <x:c r="DL71" t="n">
        <x:f>IF(DL70=0,0,IF(((12*(YEAR(DL$3)-YEAR($B$65))+MONTH(DL$3)-MONTH($B$65))+1)/MAX(1,'Вводные'!$K$69)&lt;=0.2,0.6,IF(((12*(YEAR(DL$3)-YEAR($B$65))+MONTH(DL$3)-MONTH($B$65))+1)/MAX(1,'Вводные'!$K$69)&lt;=0.8,1.2,0.8)))</x:f>
      </x:c>
      <x:c r="DM71" t="n">
        <x:f>IF(DM70=0,0,IF(((12*(YEAR(DM$3)-YEAR($B$65))+MONTH(DM$3)-MONTH($B$65))+1)/MAX(1,'Вводные'!$K$69)&lt;=0.2,0.6,IF(((12*(YEAR(DM$3)-YEAR($B$65))+MONTH(DM$3)-MONTH($B$65))+1)/MAX(1,'Вводные'!$K$69)&lt;=0.8,1.2,0.8)))</x:f>
      </x:c>
      <x:c r="DN71" t="n">
        <x:f>IF(DN70=0,0,IF(((12*(YEAR(DN$3)-YEAR($B$65))+MONTH(DN$3)-MONTH($B$65))+1)/MAX(1,'Вводные'!$K$69)&lt;=0.2,0.6,IF(((12*(YEAR(DN$3)-YEAR($B$65))+MONTH(DN$3)-MONTH($B$65))+1)/MAX(1,'Вводные'!$K$69)&lt;=0.8,1.2,0.8)))</x:f>
      </x:c>
      <x:c r="DO71" t="n">
        <x:f>IF(DO70=0,0,IF(((12*(YEAR(DO$3)-YEAR($B$65))+MONTH(DO$3)-MONTH($B$65))+1)/MAX(1,'Вводные'!$K$69)&lt;=0.2,0.6,IF(((12*(YEAR(DO$3)-YEAR($B$65))+MONTH(DO$3)-MONTH($B$65))+1)/MAX(1,'Вводные'!$K$69)&lt;=0.8,1.2,0.8)))</x:f>
      </x:c>
      <x:c r="DP71" t="n">
        <x:f>IF(DP70=0,0,IF(((12*(YEAR(DP$3)-YEAR($B$65))+MONTH(DP$3)-MONTH($B$65))+1)/MAX(1,'Вводные'!$K$69)&lt;=0.2,0.6,IF(((12*(YEAR(DP$3)-YEAR($B$65))+MONTH(DP$3)-MONTH($B$65))+1)/MAX(1,'Вводные'!$K$69)&lt;=0.8,1.2,0.8)))</x:f>
      </x:c>
      <x:c r="DQ71" t="n">
        <x:f>IF(DQ70=0,0,IF(((12*(YEAR(DQ$3)-YEAR($B$65))+MONTH(DQ$3)-MONTH($B$65))+1)/MAX(1,'Вводные'!$K$69)&lt;=0.2,0.6,IF(((12*(YEAR(DQ$3)-YEAR($B$65))+MONTH(DQ$3)-MONTH($B$65))+1)/MAX(1,'Вводные'!$K$69)&lt;=0.8,1.2,0.8)))</x:f>
      </x:c>
      <x:c r="DR71" t="n">
        <x:f>IF(DR70=0,0,IF(((12*(YEAR(DR$3)-YEAR($B$65))+MONTH(DR$3)-MONTH($B$65))+1)/MAX(1,'Вводные'!$K$69)&lt;=0.2,0.6,IF(((12*(YEAR(DR$3)-YEAR($B$65))+MONTH(DR$3)-MONTH($B$65))+1)/MAX(1,'Вводные'!$K$69)&lt;=0.8,1.2,0.8)))</x:f>
      </x:c>
      <x:c r="DS71" t="n">
        <x:f>IF(DS70=0,0,IF(((12*(YEAR(DS$3)-YEAR($B$65))+MONTH(DS$3)-MONTH($B$65))+1)/MAX(1,'Вводные'!$K$69)&lt;=0.2,0.6,IF(((12*(YEAR(DS$3)-YEAR($B$65))+MONTH(DS$3)-MONTH($B$65))+1)/MAX(1,'Вводные'!$K$69)&lt;=0.8,1.2,0.8)))</x:f>
      </x:c>
      <x:c r="DT71" t="n">
        <x:f>IF(DT70=0,0,IF(((12*(YEAR(DT$3)-YEAR($B$65))+MONTH(DT$3)-MONTH($B$65))+1)/MAX(1,'Вводные'!$K$69)&lt;=0.2,0.6,IF(((12*(YEAR(DT$3)-YEAR($B$65))+MONTH(DT$3)-MONTH($B$65))+1)/MAX(1,'Вводные'!$K$69)&lt;=0.8,1.2,0.8)))</x:f>
      </x:c>
      <x:c r="DU71" t="n">
        <x:f>IF(DU70=0,0,IF(((12*(YEAR(DU$3)-YEAR($B$65))+MONTH(DU$3)-MONTH($B$65))+1)/MAX(1,'Вводные'!$K$69)&lt;=0.2,0.6,IF(((12*(YEAR(DU$3)-YEAR($B$65))+MONTH(DU$3)-MONTH($B$65))+1)/MAX(1,'Вводные'!$K$69)&lt;=0.8,1.2,0.8)))</x:f>
      </x:c>
      <x:c r="DV71" t="n">
        <x:f>IF(DV70=0,0,IF(((12*(YEAR(DV$3)-YEAR($B$65))+MONTH(DV$3)-MONTH($B$65))+1)/MAX(1,'Вводные'!$K$69)&lt;=0.2,0.6,IF(((12*(YEAR(DV$3)-YEAR($B$65))+MONTH(DV$3)-MONTH($B$65))+1)/MAX(1,'Вводные'!$K$69)&lt;=0.8,1.2,0.8)))</x:f>
      </x:c>
      <x:c r="DW71" t="n">
        <x:f>IF(DW70=0,0,IF(((12*(YEAR(DW$3)-YEAR($B$65))+MONTH(DW$3)-MONTH($B$65))+1)/MAX(1,'Вводные'!$K$69)&lt;=0.2,0.6,IF(((12*(YEAR(DW$3)-YEAR($B$65))+MONTH(DW$3)-MONTH($B$65))+1)/MAX(1,'Вводные'!$K$69)&lt;=0.8,1.2,0.8)))</x:f>
      </x:c>
      <x:c r="DX71" t="n">
        <x:f>IF(DX70=0,0,IF(((12*(YEAR(DX$3)-YEAR($B$65))+MONTH(DX$3)-MONTH($B$65))+1)/MAX(1,'Вводные'!$K$69)&lt;=0.2,0.6,IF(((12*(YEAR(DX$3)-YEAR($B$65))+MONTH(DX$3)-MONTH($B$65))+1)/MAX(1,'Вводные'!$K$69)&lt;=0.8,1.2,0.8)))</x:f>
      </x:c>
      <x:c r="DY71" t="n">
        <x:f>IF(DY70=0,0,IF(((12*(YEAR(DY$3)-YEAR($B$65))+MONTH(DY$3)-MONTH($B$65))+1)/MAX(1,'Вводные'!$K$69)&lt;=0.2,0.6,IF(((12*(YEAR(DY$3)-YEAR($B$65))+MONTH(DY$3)-MONTH($B$65))+1)/MAX(1,'Вводные'!$K$69)&lt;=0.8,1.2,0.8)))</x:f>
      </x:c>
      <x:c r="DZ71" t="n">
        <x:f>IF(DZ70=0,0,IF(((12*(YEAR(DZ$3)-YEAR($B$65))+MONTH(DZ$3)-MONTH($B$65))+1)/MAX(1,'Вводные'!$K$69)&lt;=0.2,0.6,IF(((12*(YEAR(DZ$3)-YEAR($B$65))+MONTH(DZ$3)-MONTH($B$65))+1)/MAX(1,'Вводные'!$K$69)&lt;=0.8,1.2,0.8)))</x:f>
      </x:c>
      <x:c r="EA71" t="n">
        <x:f>IF(EA70=0,0,IF(((12*(YEAR(EA$3)-YEAR($B$65))+MONTH(EA$3)-MONTH($B$65))+1)/MAX(1,'Вводные'!$K$69)&lt;=0.2,0.6,IF(((12*(YEAR(EA$3)-YEAR($B$65))+MONTH(EA$3)-MONTH($B$65))+1)/MAX(1,'Вводные'!$K$69)&lt;=0.8,1.2,0.8)))</x:f>
      </x:c>
      <x:c r="EB71" t="n">
        <x:f>IF(EB70=0,0,IF(((12*(YEAR(EB$3)-YEAR($B$65))+MONTH(EB$3)-MONTH($B$65))+1)/MAX(1,'Вводные'!$K$69)&lt;=0.2,0.6,IF(((12*(YEAR(EB$3)-YEAR($B$65))+MONTH(EB$3)-MONTH($B$65))+1)/MAX(1,'Вводные'!$K$69)&lt;=0.8,1.2,0.8)))</x:f>
      </x:c>
      <x:c r="EC71" t="n">
        <x:f>IF(EC70=0,0,IF(((12*(YEAR(EC$3)-YEAR($B$65))+MONTH(EC$3)-MONTH($B$65))+1)/MAX(1,'Вводные'!$K$69)&lt;=0.2,0.6,IF(((12*(YEAR(EC$3)-YEAR($B$65))+MONTH(EC$3)-MONTH($B$65))+1)/MAX(1,'Вводные'!$K$69)&lt;=0.8,1.2,0.8)))</x:f>
      </x:c>
      <x:c r="ED71" t="n">
        <x:f>IF(ED70=0,0,IF(((12*(YEAR(ED$3)-YEAR($B$65))+MONTH(ED$3)-MONTH($B$65))+1)/MAX(1,'Вводные'!$K$69)&lt;=0.2,0.6,IF(((12*(YEAR(ED$3)-YEAR($B$65))+MONTH(ED$3)-MONTH($B$65))+1)/MAX(1,'Вводные'!$K$69)&lt;=0.8,1.2,0.8)))</x:f>
      </x:c>
      <x:c r="EE71" t="n">
        <x:f>IF(EE70=0,0,IF(((12*(YEAR(EE$3)-YEAR($B$65))+MONTH(EE$3)-MONTH($B$65))+1)/MAX(1,'Вводные'!$K$69)&lt;=0.2,0.6,IF(((12*(YEAR(EE$3)-YEAR($B$65))+MONTH(EE$3)-MONTH($B$65))+1)/MAX(1,'Вводные'!$K$69)&lt;=0.8,1.2,0.8)))</x:f>
      </x:c>
      <x:c r="EF71" t="n">
        <x:f>IF(EF70=0,0,IF(((12*(YEAR(EF$3)-YEAR($B$65))+MONTH(EF$3)-MONTH($B$65))+1)/MAX(1,'Вводные'!$K$69)&lt;=0.2,0.6,IF(((12*(YEAR(EF$3)-YEAR($B$65))+MONTH(EF$3)-MONTH($B$65))+1)/MAX(1,'Вводные'!$K$69)&lt;=0.8,1.2,0.8)))</x:f>
      </x:c>
      <x:c r="EG71" t="n">
        <x:f>IF(EG70=0,0,IF(((12*(YEAR(EG$3)-YEAR($B$65))+MONTH(EG$3)-MONTH($B$65))+1)/MAX(1,'Вводные'!$K$69)&lt;=0.2,0.6,IF(((12*(YEAR(EG$3)-YEAR($B$65))+MONTH(EG$3)-MONTH($B$65))+1)/MAX(1,'Вводные'!$K$69)&lt;=0.8,1.2,0.8)))</x:f>
      </x:c>
      <x:c r="EH71" t="n">
        <x:f>IF(EH70=0,0,IF(((12*(YEAR(EH$3)-YEAR($B$65))+MONTH(EH$3)-MONTH($B$65))+1)/MAX(1,'Вводные'!$K$69)&lt;=0.2,0.6,IF(((12*(YEAR(EH$3)-YEAR($B$65))+MONTH(EH$3)-MONTH($B$65))+1)/MAX(1,'Вводные'!$K$69)&lt;=0.8,1.2,0.8)))</x:f>
      </x:c>
      <x:c r="EI71" t="n">
        <x:f>IF(EI70=0,0,IF(((12*(YEAR(EI$3)-YEAR($B$65))+MONTH(EI$3)-MONTH($B$65))+1)/MAX(1,'Вводные'!$K$69)&lt;=0.2,0.6,IF(((12*(YEAR(EI$3)-YEAR($B$65))+MONTH(EI$3)-MONTH($B$65))+1)/MAX(1,'Вводные'!$K$69)&lt;=0.8,1.2,0.8)))</x:f>
      </x:c>
      <x:c r="EJ71" t="n">
        <x:f>IF(EJ70=0,0,IF(((12*(YEAR(EJ$3)-YEAR($B$65))+MONTH(EJ$3)-MONTH($B$65))+1)/MAX(1,'Вводные'!$K$69)&lt;=0.2,0.6,IF(((12*(YEAR(EJ$3)-YEAR($B$65))+MONTH(EJ$3)-MONTH($B$65))+1)/MAX(1,'Вводные'!$K$69)&lt;=0.8,1.2,0.8)))</x:f>
      </x:c>
      <x:c r="EK71" t="n">
        <x:f>IF(EK70=0,0,IF(((12*(YEAR(EK$3)-YEAR($B$65))+MONTH(EK$3)-MONTH($B$65))+1)/MAX(1,'Вводные'!$K$69)&lt;=0.2,0.6,IF(((12*(YEAR(EK$3)-YEAR($B$65))+MONTH(EK$3)-MONTH($B$65))+1)/MAX(1,'Вводные'!$K$69)&lt;=0.8,1.2,0.8)))</x:f>
      </x:c>
      <x:c r="EL71" t="n">
        <x:f>IF(EL70=0,0,IF(((12*(YEAR(EL$3)-YEAR($B$65))+MONTH(EL$3)-MONTH($B$65))+1)/MAX(1,'Вводные'!$K$69)&lt;=0.2,0.6,IF(((12*(YEAR(EL$3)-YEAR($B$65))+MONTH(EL$3)-MONTH($B$65))+1)/MAX(1,'Вводные'!$K$69)&lt;=0.8,1.2,0.8)))</x:f>
      </x:c>
      <x:c r="EM71" t="n">
        <x:f>IF(EM70=0,0,IF(((12*(YEAR(EM$3)-YEAR($B$65))+MONTH(EM$3)-MONTH($B$65))+1)/MAX(1,'Вводные'!$K$69)&lt;=0.2,0.6,IF(((12*(YEAR(EM$3)-YEAR($B$65))+MONTH(EM$3)-MONTH($B$65))+1)/MAX(1,'Вводные'!$K$69)&lt;=0.8,1.2,0.8)))</x:f>
      </x:c>
      <x:c r="EN71" t="n">
        <x:f>IF(EN70=0,0,IF(((12*(YEAR(EN$3)-YEAR($B$65))+MONTH(EN$3)-MONTH($B$65))+1)/MAX(1,'Вводные'!$K$69)&lt;=0.2,0.6,IF(((12*(YEAR(EN$3)-YEAR($B$65))+MONTH(EN$3)-MONTH($B$65))+1)/MAX(1,'Вводные'!$K$69)&lt;=0.8,1.2,0.8)))</x:f>
      </x:c>
      <x:c r="EO71" t="n">
        <x:f>IF(EO70=0,0,IF(((12*(YEAR(EO$3)-YEAR($B$65))+MONTH(EO$3)-MONTH($B$65))+1)/MAX(1,'Вводные'!$K$69)&lt;=0.2,0.6,IF(((12*(YEAR(EO$3)-YEAR($B$65))+MONTH(EO$3)-MONTH($B$65))+1)/MAX(1,'Вводные'!$K$69)&lt;=0.8,1.2,0.8)))</x:f>
      </x:c>
      <x:c r="EP71" t="n">
        <x:f>IF(EP70=0,0,IF(((12*(YEAR(EP$3)-YEAR($B$65))+MONTH(EP$3)-MONTH($B$65))+1)/MAX(1,'Вводные'!$K$69)&lt;=0.2,0.6,IF(((12*(YEAR(EP$3)-YEAR($B$65))+MONTH(EP$3)-MONTH($B$65))+1)/MAX(1,'Вводные'!$K$69)&lt;=0.8,1.2,0.8)))</x:f>
      </x:c>
      <x:c r="EQ71" t="n">
        <x:f>IF(EQ70=0,0,IF(((12*(YEAR(EQ$3)-YEAR($B$65))+MONTH(EQ$3)-MONTH($B$65))+1)/MAX(1,'Вводные'!$K$69)&lt;=0.2,0.6,IF(((12*(YEAR(EQ$3)-YEAR($B$65))+MONTH(EQ$3)-MONTH($B$65))+1)/MAX(1,'Вводные'!$K$69)&lt;=0.8,1.2,0.8)))</x:f>
      </x:c>
      <x:c r="ER71" t="n">
        <x:f>IF(ER70=0,0,IF(((12*(YEAR(ER$3)-YEAR($B$65))+MONTH(ER$3)-MONTH($B$65))+1)/MAX(1,'Вводные'!$K$69)&lt;=0.2,0.6,IF(((12*(YEAR(ER$3)-YEAR($B$65))+MONTH(ER$3)-MONTH($B$65))+1)/MAX(1,'Вводные'!$K$69)&lt;=0.8,1.2,0.8)))</x:f>
      </x:c>
      <x:c r="ES71" t="n">
        <x:f>IF(ES70=0,0,IF(((12*(YEAR(ES$3)-YEAR($B$65))+MONTH(ES$3)-MONTH($B$65))+1)/MAX(1,'Вводные'!$K$69)&lt;=0.2,0.6,IF(((12*(YEAR(ES$3)-YEAR($B$65))+MONTH(ES$3)-MONTH($B$65))+1)/MAX(1,'Вводные'!$K$69)&lt;=0.8,1.2,0.8)))</x:f>
      </x:c>
      <x:c r="ET71" t="n">
        <x:f>IF(ET70=0,0,IF(((12*(YEAR(ET$3)-YEAR($B$65))+MONTH(ET$3)-MONTH($B$65))+1)/MAX(1,'Вводные'!$K$69)&lt;=0.2,0.6,IF(((12*(YEAR(ET$3)-YEAR($B$65))+MONTH(ET$3)-MONTH($B$65))+1)/MAX(1,'Вводные'!$K$69)&lt;=0.8,1.2,0.8)))</x:f>
      </x:c>
      <x:c r="EU71" t="n">
        <x:f>IF(EU70=0,0,IF(((12*(YEAR(EU$3)-YEAR($B$65))+MONTH(EU$3)-MONTH($B$65))+1)/MAX(1,'Вводные'!$K$69)&lt;=0.2,0.6,IF(((12*(YEAR(EU$3)-YEAR($B$65))+MONTH(EU$3)-MONTH($B$65))+1)/MAX(1,'Вводные'!$K$69)&lt;=0.8,1.2,0.8)))</x:f>
      </x:c>
      <x:c r="EV71" t="n">
        <x:f>IF(EV70=0,0,IF(((12*(YEAR(EV$3)-YEAR($B$65))+MONTH(EV$3)-MONTH($B$65))+1)/MAX(1,'Вводные'!$K$69)&lt;=0.2,0.6,IF(((12*(YEAR(EV$3)-YEAR($B$65))+MONTH(EV$3)-MONTH($B$65))+1)/MAX(1,'Вводные'!$K$69)&lt;=0.8,1.2,0.8)))</x:f>
      </x:c>
      <x:c r="EW71" t="n">
        <x:f>IF(EW70=0,0,IF(((12*(YEAR(EW$3)-YEAR($B$65))+MONTH(EW$3)-MONTH($B$65))+1)/MAX(1,'Вводные'!$K$69)&lt;=0.2,0.6,IF(((12*(YEAR(EW$3)-YEAR($B$65))+MONTH(EW$3)-MONTH($B$65))+1)/MAX(1,'Вводные'!$K$69)&lt;=0.8,1.2,0.8)))</x:f>
      </x:c>
      <x:c r="EX71" t="n">
        <x:f>IF(EX70=0,0,IF(((12*(YEAR(EX$3)-YEAR($B$65))+MONTH(EX$3)-MONTH($B$65))+1)/MAX(1,'Вводные'!$K$69)&lt;=0.2,0.6,IF(((12*(YEAR(EX$3)-YEAR($B$65))+MONTH(EX$3)-MONTH($B$65))+1)/MAX(1,'Вводные'!$K$69)&lt;=0.8,1.2,0.8)))</x:f>
      </x:c>
      <x:c r="EY71" t="n">
        <x:f>IF(EY70=0,0,IF(((12*(YEAR(EY$3)-YEAR($B$65))+MONTH(EY$3)-MONTH($B$65))+1)/MAX(1,'Вводные'!$K$69)&lt;=0.2,0.6,IF(((12*(YEAR(EY$3)-YEAR($B$65))+MONTH(EY$3)-MONTH($B$65))+1)/MAX(1,'Вводные'!$K$69)&lt;=0.8,1.2,0.8)))</x:f>
      </x:c>
      <x:c r="EZ71" t="n">
        <x:f>IF(EZ70=0,0,IF(((12*(YEAR(EZ$3)-YEAR($B$65))+MONTH(EZ$3)-MONTH($B$65))+1)/MAX(1,'Вводные'!$K$69)&lt;=0.2,0.6,IF(((12*(YEAR(EZ$3)-YEAR($B$65))+MONTH(EZ$3)-MONTH($B$65))+1)/MAX(1,'Вводные'!$K$69)&lt;=0.8,1.2,0.8)))</x:f>
      </x:c>
      <x:c r="FA71" t="n">
        <x:f>IF(FA70=0,0,IF(((12*(YEAR(FA$3)-YEAR($B$65))+MONTH(FA$3)-MONTH($B$65))+1)/MAX(1,'Вводные'!$K$69)&lt;=0.2,0.6,IF(((12*(YEAR(FA$3)-YEAR($B$65))+MONTH(FA$3)-MONTH($B$65))+1)/MAX(1,'Вводные'!$K$69)&lt;=0.8,1.2,0.8)))</x:f>
      </x:c>
      <x:c r="FB71" t="n">
        <x:f>IF(FB70=0,0,IF(((12*(YEAR(FB$3)-YEAR($B$65))+MONTH(FB$3)-MONTH($B$65))+1)/MAX(1,'Вводные'!$K$69)&lt;=0.2,0.6,IF(((12*(YEAR(FB$3)-YEAR($B$65))+MONTH(FB$3)-MONTH($B$65))+1)/MAX(1,'Вводные'!$K$69)&lt;=0.8,1.2,0.8)))</x:f>
      </x:c>
      <x:c r="FC71" t="n">
        <x:f>IF(FC70=0,0,IF(((12*(YEAR(FC$3)-YEAR($B$65))+MONTH(FC$3)-MONTH($B$65))+1)/MAX(1,'Вводные'!$K$69)&lt;=0.2,0.6,IF(((12*(YEAR(FC$3)-YEAR($B$65))+MONTH(FC$3)-MONTH($B$65))+1)/MAX(1,'Вводные'!$K$69)&lt;=0.8,1.2,0.8)))</x:f>
      </x:c>
      <x:c r="FD71" t="n">
        <x:f>IF(FD70=0,0,IF(((12*(YEAR(FD$3)-YEAR($B$65))+MONTH(FD$3)-MONTH($B$65))+1)/MAX(1,'Вводные'!$K$69)&lt;=0.2,0.6,IF(((12*(YEAR(FD$3)-YEAR($B$65))+MONTH(FD$3)-MONTH($B$65))+1)/MAX(1,'Вводные'!$K$69)&lt;=0.8,1.2,0.8)))</x:f>
      </x:c>
      <x:c r="FE71" t="n">
        <x:f>IF(FE70=0,0,IF(((12*(YEAR(FE$3)-YEAR($B$65))+MONTH(FE$3)-MONTH($B$65))+1)/MAX(1,'Вводные'!$K$69)&lt;=0.2,0.6,IF(((12*(YEAR(FE$3)-YEAR($B$65))+MONTH(FE$3)-MONTH($B$65))+1)/MAX(1,'Вводные'!$K$69)&lt;=0.8,1.2,0.8)))</x:f>
      </x:c>
      <x:c r="FF71" t="n">
        <x:f>IF(FF70=0,0,IF(((12*(YEAR(FF$3)-YEAR($B$65))+MONTH(FF$3)-MONTH($B$65))+1)/MAX(1,'Вводные'!$K$69)&lt;=0.2,0.6,IF(((12*(YEAR(FF$3)-YEAR($B$65))+MONTH(FF$3)-MONTH($B$65))+1)/MAX(1,'Вводные'!$K$69)&lt;=0.8,1.2,0.8)))</x:f>
      </x:c>
      <x:c r="FG71" t="n">
        <x:f>IF(FG70=0,0,IF(((12*(YEAR(FG$3)-YEAR($B$65))+MONTH(FG$3)-MONTH($B$65))+1)/MAX(1,'Вводные'!$K$69)&lt;=0.2,0.6,IF(((12*(YEAR(FG$3)-YEAR($B$65))+MONTH(FG$3)-MONTH($B$65))+1)/MAX(1,'Вводные'!$K$69)&lt;=0.8,1.2,0.8)))</x:f>
      </x:c>
      <x:c r="FH71" t="n">
        <x:f>IF(FH70=0,0,IF(((12*(YEAR(FH$3)-YEAR($B$65))+MONTH(FH$3)-MONTH($B$65))+1)/MAX(1,'Вводные'!$K$69)&lt;=0.2,0.6,IF(((12*(YEAR(FH$3)-YEAR($B$65))+MONTH(FH$3)-MONTH($B$65))+1)/MAX(1,'Вводные'!$K$69)&lt;=0.8,1.2,0.8)))</x:f>
      </x:c>
      <x:c r="FI71" t="n">
        <x:f>IF(FI70=0,0,IF(((12*(YEAR(FI$3)-YEAR($B$65))+MONTH(FI$3)-MONTH($B$65))+1)/MAX(1,'Вводные'!$K$69)&lt;=0.2,0.6,IF(((12*(YEAR(FI$3)-YEAR($B$65))+MONTH(FI$3)-MONTH($B$65))+1)/MAX(1,'Вводные'!$K$69)&lt;=0.8,1.2,0.8)))</x:f>
      </x:c>
      <x:c r="FJ71" t="n">
        <x:f>IF(FJ70=0,0,IF(((12*(YEAR(FJ$3)-YEAR($B$65))+MONTH(FJ$3)-MONTH($B$65))+1)/MAX(1,'Вводные'!$K$69)&lt;=0.2,0.6,IF(((12*(YEAR(FJ$3)-YEAR($B$65))+MONTH(FJ$3)-MONTH($B$65))+1)/MAX(1,'Вводные'!$K$69)&lt;=0.8,1.2,0.8)))</x:f>
      </x:c>
      <x:c r="FK71" t="n">
        <x:f>IF(FK70=0,0,IF(((12*(YEAR(FK$3)-YEAR($B$65))+MONTH(FK$3)-MONTH($B$65))+1)/MAX(1,'Вводные'!$K$69)&lt;=0.2,0.6,IF(((12*(YEAR(FK$3)-YEAR($B$65))+MONTH(FK$3)-MONTH($B$65))+1)/MAX(1,'Вводные'!$K$69)&lt;=0.8,1.2,0.8)))</x:f>
      </x:c>
      <x:c r="FL71" t="n">
        <x:f>IF(FL70=0,0,IF(((12*(YEAR(FL$3)-YEAR($B$65))+MONTH(FL$3)-MONTH($B$65))+1)/MAX(1,'Вводные'!$K$69)&lt;=0.2,0.6,IF(((12*(YEAR(FL$3)-YEAR($B$65))+MONTH(FL$3)-MONTH($B$65))+1)/MAX(1,'Вводные'!$K$69)&lt;=0.8,1.2,0.8)))</x:f>
      </x:c>
      <x:c r="FM71" t="n">
        <x:f>IF(FM70=0,0,IF(((12*(YEAR(FM$3)-YEAR($B$65))+MONTH(FM$3)-MONTH($B$65))+1)/MAX(1,'Вводные'!$K$69)&lt;=0.2,0.6,IF(((12*(YEAR(FM$3)-YEAR($B$65))+MONTH(FM$3)-MONTH($B$65))+1)/MAX(1,'Вводные'!$K$69)&lt;=0.8,1.2,0.8)))</x:f>
      </x:c>
      <x:c r="FN71" t="n">
        <x:f>IF(FN70=0,0,IF(((12*(YEAR(FN$3)-YEAR($B$65))+MONTH(FN$3)-MONTH($B$65))+1)/MAX(1,'Вводные'!$K$69)&lt;=0.2,0.6,IF(((12*(YEAR(FN$3)-YEAR($B$65))+MONTH(FN$3)-MONTH($B$65))+1)/MAX(1,'Вводные'!$K$69)&lt;=0.8,1.2,0.8)))</x:f>
      </x:c>
      <x:c r="FO71" t="n">
        <x:f>IF(FO70=0,0,IF(((12*(YEAR(FO$3)-YEAR($B$65))+MONTH(FO$3)-MONTH($B$65))+1)/MAX(1,'Вводные'!$K$69)&lt;=0.2,0.6,IF(((12*(YEAR(FO$3)-YEAR($B$65))+MONTH(FO$3)-MONTH($B$65))+1)/MAX(1,'Вводные'!$K$69)&lt;=0.8,1.2,0.8)))</x:f>
      </x:c>
      <x:c r="FP71" t="n">
        <x:f>IF(FP70=0,0,IF(((12*(YEAR(FP$3)-YEAR($B$65))+MONTH(FP$3)-MONTH($B$65))+1)/MAX(1,'Вводные'!$K$69)&lt;=0.2,0.6,IF(((12*(YEAR(FP$3)-YEAR($B$65))+MONTH(FP$3)-MONTH($B$65))+1)/MAX(1,'Вводные'!$K$69)&lt;=0.8,1.2,0.8)))</x:f>
      </x:c>
      <x:c r="FQ71" t="n">
        <x:f>IF(FQ70=0,0,IF(((12*(YEAR(FQ$3)-YEAR($B$65))+MONTH(FQ$3)-MONTH($B$65))+1)/MAX(1,'Вводные'!$K$69)&lt;=0.2,0.6,IF(((12*(YEAR(FQ$3)-YEAR($B$65))+MONTH(FQ$3)-MONTH($B$65))+1)/MAX(1,'Вводные'!$K$69)&lt;=0.8,1.2,0.8)))</x:f>
      </x:c>
      <x:c r="FR71" t="n">
        <x:f>IF(FR70=0,0,IF(((12*(YEAR(FR$3)-YEAR($B$65))+MONTH(FR$3)-MONTH($B$65))+1)/MAX(1,'Вводные'!$K$69)&lt;=0.2,0.6,IF(((12*(YEAR(FR$3)-YEAR($B$65))+MONTH(FR$3)-MONTH($B$65))+1)/MAX(1,'Вводные'!$K$69)&lt;=0.8,1.2,0.8)))</x:f>
      </x:c>
      <x:c r="FS71" t="n">
        <x:f>IF(FS70=0,0,IF(((12*(YEAR(FS$3)-YEAR($B$65))+MONTH(FS$3)-MONTH($B$65))+1)/MAX(1,'Вводные'!$K$69)&lt;=0.2,0.6,IF(((12*(YEAR(FS$3)-YEAR($B$65))+MONTH(FS$3)-MONTH($B$65))+1)/MAX(1,'Вводные'!$K$69)&lt;=0.8,1.2,0.8)))</x:f>
      </x:c>
      <x:c r="FT71" t="n">
        <x:f>IF(FT70=0,0,IF(((12*(YEAR(FT$3)-YEAR($B$65))+MONTH(FT$3)-MONTH($B$65))+1)/MAX(1,'Вводные'!$K$69)&lt;=0.2,0.6,IF(((12*(YEAR(FT$3)-YEAR($B$65))+MONTH(FT$3)-MONTH($B$65))+1)/MAX(1,'Вводные'!$K$69)&lt;=0.8,1.2,0.8)))</x:f>
      </x:c>
      <x:c r="FU71" t="n">
        <x:f>IF(FU70=0,0,IF(((12*(YEAR(FU$3)-YEAR($B$65))+MONTH(FU$3)-MONTH($B$65))+1)/MAX(1,'Вводные'!$K$69)&lt;=0.2,0.6,IF(((12*(YEAR(FU$3)-YEAR($B$65))+MONTH(FU$3)-MONTH($B$65))+1)/MAX(1,'Вводные'!$K$69)&lt;=0.8,1.2,0.8)))</x:f>
      </x:c>
      <x:c r="FV71" t="n">
        <x:f>IF(FV70=0,0,IF(((12*(YEAR(FV$3)-YEAR($B$65))+MONTH(FV$3)-MONTH($B$65))+1)/MAX(1,'Вводные'!$K$69)&lt;=0.2,0.6,IF(((12*(YEAR(FV$3)-YEAR($B$65))+MONTH(FV$3)-MONTH($B$65))+1)/MAX(1,'Вводные'!$K$69)&lt;=0.8,1.2,0.8)))</x:f>
      </x:c>
      <x:c r="FW71" t="n">
        <x:f>IF(FW70=0,0,IF(((12*(YEAR(FW$3)-YEAR($B$65))+MONTH(FW$3)-MONTH($B$65))+1)/MAX(1,'Вводные'!$K$69)&lt;=0.2,0.6,IF(((12*(YEAR(FW$3)-YEAR($B$65))+MONTH(FW$3)-MONTH($B$65))+1)/MAX(1,'Вводные'!$K$69)&lt;=0.8,1.2,0.8)))</x:f>
      </x:c>
      <x:c r="FX71" t="n">
        <x:f>IF(FX70=0,0,IF(((12*(YEAR(FX$3)-YEAR($B$65))+MONTH(FX$3)-MONTH($B$65))+1)/MAX(1,'Вводные'!$K$69)&lt;=0.2,0.6,IF(((12*(YEAR(FX$3)-YEAR($B$65))+MONTH(FX$3)-MONTH($B$65))+1)/MAX(1,'Вводные'!$K$69)&lt;=0.8,1.2,0.8)))</x:f>
      </x:c>
      <x:c r="FY71" t="n">
        <x:f>IF(FY70=0,0,IF(((12*(YEAR(FY$3)-YEAR($B$65))+MONTH(FY$3)-MONTH($B$65))+1)/MAX(1,'Вводные'!$K$69)&lt;=0.2,0.6,IF(((12*(YEAR(FY$3)-YEAR($B$65))+MONTH(FY$3)-MONTH($B$65))+1)/MAX(1,'Вводные'!$K$69)&lt;=0.8,1.2,0.8)))</x:f>
      </x:c>
      <x:c r="FZ71" t="n">
        <x:f>IF(FZ70=0,0,IF(((12*(YEAR(FZ$3)-YEAR($B$65))+MONTH(FZ$3)-MONTH($B$65))+1)/MAX(1,'Вводные'!$K$69)&lt;=0.2,0.6,IF(((12*(YEAR(FZ$3)-YEAR($B$65))+MONTH(FZ$3)-MONTH($B$65))+1)/MAX(1,'Вводные'!$K$69)&lt;=0.8,1.2,0.8)))</x:f>
      </x:c>
      <x:c r="GA71" t="n">
        <x:f>IF(GA70=0,0,IF(((12*(YEAR(GA$3)-YEAR($B$65))+MONTH(GA$3)-MONTH($B$65))+1)/MAX(1,'Вводные'!$K$69)&lt;=0.2,0.6,IF(((12*(YEAR(GA$3)-YEAR($B$65))+MONTH(GA$3)-MONTH($B$65))+1)/MAX(1,'Вводные'!$K$69)&lt;=0.8,1.2,0.8)))</x:f>
      </x:c>
    </x:row>
    <x:row r="72">
      <x:c r="A72" t="str">
        <x:v>Нормированный вес строительства</x:v>
      </x:c>
      <x:c r="B72" s="35" t="n">
        <x:f>SUM(D72:GA72)</x:f>
      </x:c>
      <x:c r="C72" t="str">
        <x:v>%</x:v>
      </x:c>
      <x:c r="D72" s="35" t="n">
        <x:f>IFERROR(D71/SUM($D71:$GA71),0)</x:f>
      </x:c>
      <x:c r="E72" s="35" t="n">
        <x:f>IFERROR(E71/SUM($D71:$GA71),0)</x:f>
      </x:c>
      <x:c r="F72" s="35" t="n">
        <x:f>IFERROR(F71/SUM($D71:$GA71),0)</x:f>
      </x:c>
      <x:c r="G72" s="35" t="n">
        <x:f>IFERROR(G71/SUM($D71:$GA71),0)</x:f>
      </x:c>
      <x:c r="H72" s="35" t="n">
        <x:f>IFERROR(H71/SUM($D71:$GA71),0)</x:f>
      </x:c>
      <x:c r="I72" s="35" t="n">
        <x:f>IFERROR(I71/SUM($D71:$GA71),0)</x:f>
      </x:c>
      <x:c r="J72" s="35" t="n">
        <x:f>IFERROR(J71/SUM($D71:$GA71),0)</x:f>
      </x:c>
      <x:c r="K72" s="35" t="n">
        <x:f>IFERROR(K71/SUM($D71:$GA71),0)</x:f>
      </x:c>
      <x:c r="L72" s="35" t="n">
        <x:f>IFERROR(L71/SUM($D71:$GA71),0)</x:f>
      </x:c>
      <x:c r="M72" s="35" t="n">
        <x:f>IFERROR(M71/SUM($D71:$GA71),0)</x:f>
      </x:c>
      <x:c r="N72" s="35" t="n">
        <x:f>IFERROR(N71/SUM($D71:$GA71),0)</x:f>
      </x:c>
      <x:c r="O72" s="35" t="n">
        <x:f>IFERROR(O71/SUM($D71:$GA71),0)</x:f>
      </x:c>
      <x:c r="P72" s="35" t="n">
        <x:f>IFERROR(P71/SUM($D71:$GA71),0)</x:f>
      </x:c>
      <x:c r="Q72" s="35" t="n">
        <x:f>IFERROR(Q71/SUM($D71:$GA71),0)</x:f>
      </x:c>
      <x:c r="R72" s="35" t="n">
        <x:f>IFERROR(R71/SUM($D71:$GA71),0)</x:f>
      </x:c>
      <x:c r="S72" s="35" t="n">
        <x:f>IFERROR(S71/SUM($D71:$GA71),0)</x:f>
      </x:c>
      <x:c r="T72" s="35" t="n">
        <x:f>IFERROR(T71/SUM($D71:$GA71),0)</x:f>
      </x:c>
      <x:c r="U72" s="35" t="n">
        <x:f>IFERROR(U71/SUM($D71:$GA71),0)</x:f>
      </x:c>
      <x:c r="V72" s="35" t="n">
        <x:f>IFERROR(V71/SUM($D71:$GA71),0)</x:f>
      </x:c>
      <x:c r="W72" s="35" t="n">
        <x:f>IFERROR(W71/SUM($D71:$GA71),0)</x:f>
      </x:c>
      <x:c r="X72" s="35" t="n">
        <x:f>IFERROR(X71/SUM($D71:$GA71),0)</x:f>
      </x:c>
      <x:c r="Y72" s="35" t="n">
        <x:f>IFERROR(Y71/SUM($D71:$GA71),0)</x:f>
      </x:c>
      <x:c r="Z72" s="35" t="n">
        <x:f>IFERROR(Z71/SUM($D71:$GA71),0)</x:f>
      </x:c>
      <x:c r="AA72" s="35" t="n">
        <x:f>IFERROR(AA71/SUM($D71:$GA71),0)</x:f>
      </x:c>
      <x:c r="AB72" s="35" t="n">
        <x:f>IFERROR(AB71/SUM($D71:$GA71),0)</x:f>
      </x:c>
      <x:c r="AC72" s="35" t="n">
        <x:f>IFERROR(AC71/SUM($D71:$GA71),0)</x:f>
      </x:c>
      <x:c r="AD72" s="35" t="n">
        <x:f>IFERROR(AD71/SUM($D71:$GA71),0)</x:f>
      </x:c>
      <x:c r="AE72" s="35" t="n">
        <x:f>IFERROR(AE71/SUM($D71:$GA71),0)</x:f>
      </x:c>
      <x:c r="AF72" s="35" t="n">
        <x:f>IFERROR(AF71/SUM($D71:$GA71),0)</x:f>
      </x:c>
      <x:c r="AG72" s="35" t="n">
        <x:f>IFERROR(AG71/SUM($D71:$GA71),0)</x:f>
      </x:c>
      <x:c r="AH72" s="35" t="n">
        <x:f>IFERROR(AH71/SUM($D71:$GA71),0)</x:f>
      </x:c>
      <x:c r="AI72" s="35" t="n">
        <x:f>IFERROR(AI71/SUM($D71:$GA71),0)</x:f>
      </x:c>
      <x:c r="AJ72" s="35" t="n">
        <x:f>IFERROR(AJ71/SUM($D71:$GA71),0)</x:f>
      </x:c>
      <x:c r="AK72" s="35" t="n">
        <x:f>IFERROR(AK71/SUM($D71:$GA71),0)</x:f>
      </x:c>
      <x:c r="AL72" s="35" t="n">
        <x:f>IFERROR(AL71/SUM($D71:$GA71),0)</x:f>
      </x:c>
      <x:c r="AM72" s="35" t="n">
        <x:f>IFERROR(AM71/SUM($D71:$GA71),0)</x:f>
      </x:c>
      <x:c r="AN72" s="35" t="n">
        <x:f>IFERROR(AN71/SUM($D71:$GA71),0)</x:f>
      </x:c>
      <x:c r="AO72" s="35" t="n">
        <x:f>IFERROR(AO71/SUM($D71:$GA71),0)</x:f>
      </x:c>
      <x:c r="AP72" s="35" t="n">
        <x:f>IFERROR(AP71/SUM($D71:$GA71),0)</x:f>
      </x:c>
      <x:c r="AQ72" s="35" t="n">
        <x:f>IFERROR(AQ71/SUM($D71:$GA71),0)</x:f>
      </x:c>
      <x:c r="AR72" s="35" t="n">
        <x:f>IFERROR(AR71/SUM($D71:$GA71),0)</x:f>
      </x:c>
      <x:c r="AS72" s="35" t="n">
        <x:f>IFERROR(AS71/SUM($D71:$GA71),0)</x:f>
      </x:c>
      <x:c r="AT72" s="35" t="n">
        <x:f>IFERROR(AT71/SUM($D71:$GA71),0)</x:f>
      </x:c>
      <x:c r="AU72" s="35" t="n">
        <x:f>IFERROR(AU71/SUM($D71:$GA71),0)</x:f>
      </x:c>
      <x:c r="AV72" s="35" t="n">
        <x:f>IFERROR(AV71/SUM($D71:$GA71),0)</x:f>
      </x:c>
      <x:c r="AW72" s="35" t="n">
        <x:f>IFERROR(AW71/SUM($D71:$GA71),0)</x:f>
      </x:c>
      <x:c r="AX72" s="35" t="n">
        <x:f>IFERROR(AX71/SUM($D71:$GA71),0)</x:f>
      </x:c>
      <x:c r="AY72" s="35" t="n">
        <x:f>IFERROR(AY71/SUM($D71:$GA71),0)</x:f>
      </x:c>
      <x:c r="AZ72" s="35" t="n">
        <x:f>IFERROR(AZ71/SUM($D71:$GA71),0)</x:f>
      </x:c>
      <x:c r="BA72" s="35" t="n">
        <x:f>IFERROR(BA71/SUM($D71:$GA71),0)</x:f>
      </x:c>
      <x:c r="BB72" s="35" t="n">
        <x:f>IFERROR(BB71/SUM($D71:$GA71),0)</x:f>
      </x:c>
      <x:c r="BC72" s="35" t="n">
        <x:f>IFERROR(BC71/SUM($D71:$GA71),0)</x:f>
      </x:c>
      <x:c r="BD72" s="35" t="n">
        <x:f>IFERROR(BD71/SUM($D71:$GA71),0)</x:f>
      </x:c>
      <x:c r="BE72" s="35" t="n">
        <x:f>IFERROR(BE71/SUM($D71:$GA71),0)</x:f>
      </x:c>
      <x:c r="BF72" s="35" t="n">
        <x:f>IFERROR(BF71/SUM($D71:$GA71),0)</x:f>
      </x:c>
      <x:c r="BG72" s="35" t="n">
        <x:f>IFERROR(BG71/SUM($D71:$GA71),0)</x:f>
      </x:c>
      <x:c r="BH72" s="35" t="n">
        <x:f>IFERROR(BH71/SUM($D71:$GA71),0)</x:f>
      </x:c>
      <x:c r="BI72" s="35" t="n">
        <x:f>IFERROR(BI71/SUM($D71:$GA71),0)</x:f>
      </x:c>
      <x:c r="BJ72" s="35" t="n">
        <x:f>IFERROR(BJ71/SUM($D71:$GA71),0)</x:f>
      </x:c>
      <x:c r="BK72" s="35" t="n">
        <x:f>IFERROR(BK71/SUM($D71:$GA71),0)</x:f>
      </x:c>
      <x:c r="BL72" s="35" t="n">
        <x:f>IFERROR(BL71/SUM($D71:$GA71),0)</x:f>
      </x:c>
      <x:c r="BM72" s="35" t="n">
        <x:f>IFERROR(BM71/SUM($D71:$GA71),0)</x:f>
      </x:c>
      <x:c r="BN72" s="35" t="n">
        <x:f>IFERROR(BN71/SUM($D71:$GA71),0)</x:f>
      </x:c>
      <x:c r="BO72" s="35" t="n">
        <x:f>IFERROR(BO71/SUM($D71:$GA71),0)</x:f>
      </x:c>
      <x:c r="BP72" s="35" t="n">
        <x:f>IFERROR(BP71/SUM($D71:$GA71),0)</x:f>
      </x:c>
      <x:c r="BQ72" s="35" t="n">
        <x:f>IFERROR(BQ71/SUM($D71:$GA71),0)</x:f>
      </x:c>
      <x:c r="BR72" s="35" t="n">
        <x:f>IFERROR(BR71/SUM($D71:$GA71),0)</x:f>
      </x:c>
      <x:c r="BS72" s="35" t="n">
        <x:f>IFERROR(BS71/SUM($D71:$GA71),0)</x:f>
      </x:c>
      <x:c r="BT72" s="35" t="n">
        <x:f>IFERROR(BT71/SUM($D71:$GA71),0)</x:f>
      </x:c>
      <x:c r="BU72" s="35" t="n">
        <x:f>IFERROR(BU71/SUM($D71:$GA71),0)</x:f>
      </x:c>
      <x:c r="BV72" s="35" t="n">
        <x:f>IFERROR(BV71/SUM($D71:$GA71),0)</x:f>
      </x:c>
      <x:c r="BW72" s="35" t="n">
        <x:f>IFERROR(BW71/SUM($D71:$GA71),0)</x:f>
      </x:c>
      <x:c r="BX72" s="35" t="n">
        <x:f>IFERROR(BX71/SUM($D71:$GA71),0)</x:f>
      </x:c>
      <x:c r="BY72" s="35" t="n">
        <x:f>IFERROR(BY71/SUM($D71:$GA71),0)</x:f>
      </x:c>
      <x:c r="BZ72" s="35" t="n">
        <x:f>IFERROR(BZ71/SUM($D71:$GA71),0)</x:f>
      </x:c>
      <x:c r="CA72" s="35" t="n">
        <x:f>IFERROR(CA71/SUM($D71:$GA71),0)</x:f>
      </x:c>
      <x:c r="CB72" s="35" t="n">
        <x:f>IFERROR(CB71/SUM($D71:$GA71),0)</x:f>
      </x:c>
      <x:c r="CC72" s="35" t="n">
        <x:f>IFERROR(CC71/SUM($D71:$GA71),0)</x:f>
      </x:c>
      <x:c r="CD72" s="35" t="n">
        <x:f>IFERROR(CD71/SUM($D71:$GA71),0)</x:f>
      </x:c>
      <x:c r="CE72" s="35" t="n">
        <x:f>IFERROR(CE71/SUM($D71:$GA71),0)</x:f>
      </x:c>
      <x:c r="CF72" s="35" t="n">
        <x:f>IFERROR(CF71/SUM($D71:$GA71),0)</x:f>
      </x:c>
      <x:c r="CG72" s="35" t="n">
        <x:f>IFERROR(CG71/SUM($D71:$GA71),0)</x:f>
      </x:c>
      <x:c r="CH72" s="35" t="n">
        <x:f>IFERROR(CH71/SUM($D71:$GA71),0)</x:f>
      </x:c>
      <x:c r="CI72" s="35" t="n">
        <x:f>IFERROR(CI71/SUM($D71:$GA71),0)</x:f>
      </x:c>
      <x:c r="CJ72" s="35" t="n">
        <x:f>IFERROR(CJ71/SUM($D71:$GA71),0)</x:f>
      </x:c>
      <x:c r="CK72" s="35" t="n">
        <x:f>IFERROR(CK71/SUM($D71:$GA71),0)</x:f>
      </x:c>
      <x:c r="CL72" s="35" t="n">
        <x:f>IFERROR(CL71/SUM($D71:$GA71),0)</x:f>
      </x:c>
      <x:c r="CM72" s="35" t="n">
        <x:f>IFERROR(CM71/SUM($D71:$GA71),0)</x:f>
      </x:c>
      <x:c r="CN72" s="35" t="n">
        <x:f>IFERROR(CN71/SUM($D71:$GA71),0)</x:f>
      </x:c>
      <x:c r="CO72" s="35" t="n">
        <x:f>IFERROR(CO71/SUM($D71:$GA71),0)</x:f>
      </x:c>
      <x:c r="CP72" s="35" t="n">
        <x:f>IFERROR(CP71/SUM($D71:$GA71),0)</x:f>
      </x:c>
      <x:c r="CQ72" s="35" t="n">
        <x:f>IFERROR(CQ71/SUM($D71:$GA71),0)</x:f>
      </x:c>
      <x:c r="CR72" s="35" t="n">
        <x:f>IFERROR(CR71/SUM($D71:$GA71),0)</x:f>
      </x:c>
      <x:c r="CS72" s="35" t="n">
        <x:f>IFERROR(CS71/SUM($D71:$GA71),0)</x:f>
      </x:c>
      <x:c r="CT72" s="35" t="n">
        <x:f>IFERROR(CT71/SUM($D71:$GA71),0)</x:f>
      </x:c>
      <x:c r="CU72" s="35" t="n">
        <x:f>IFERROR(CU71/SUM($D71:$GA71),0)</x:f>
      </x:c>
      <x:c r="CV72" s="35" t="n">
        <x:f>IFERROR(CV71/SUM($D71:$GA71),0)</x:f>
      </x:c>
      <x:c r="CW72" s="35" t="n">
        <x:f>IFERROR(CW71/SUM($D71:$GA71),0)</x:f>
      </x:c>
      <x:c r="CX72" s="35" t="n">
        <x:f>IFERROR(CX71/SUM($D71:$GA71),0)</x:f>
      </x:c>
      <x:c r="CY72" s="35" t="n">
        <x:f>IFERROR(CY71/SUM($D71:$GA71),0)</x:f>
      </x:c>
      <x:c r="CZ72" s="35" t="n">
        <x:f>IFERROR(CZ71/SUM($D71:$GA71),0)</x:f>
      </x:c>
      <x:c r="DA72" s="35" t="n">
        <x:f>IFERROR(DA71/SUM($D71:$GA71),0)</x:f>
      </x:c>
      <x:c r="DB72" s="35" t="n">
        <x:f>IFERROR(DB71/SUM($D71:$GA71),0)</x:f>
      </x:c>
      <x:c r="DC72" s="35" t="n">
        <x:f>IFERROR(DC71/SUM($D71:$GA71),0)</x:f>
      </x:c>
      <x:c r="DD72" s="35" t="n">
        <x:f>IFERROR(DD71/SUM($D71:$GA71),0)</x:f>
      </x:c>
      <x:c r="DE72" s="35" t="n">
        <x:f>IFERROR(DE71/SUM($D71:$GA71),0)</x:f>
      </x:c>
      <x:c r="DF72" s="35" t="n">
        <x:f>IFERROR(DF71/SUM($D71:$GA71),0)</x:f>
      </x:c>
      <x:c r="DG72" s="35" t="n">
        <x:f>IFERROR(DG71/SUM($D71:$GA71),0)</x:f>
      </x:c>
      <x:c r="DH72" s="35" t="n">
        <x:f>IFERROR(DH71/SUM($D71:$GA71),0)</x:f>
      </x:c>
      <x:c r="DI72" s="35" t="n">
        <x:f>IFERROR(DI71/SUM($D71:$GA71),0)</x:f>
      </x:c>
      <x:c r="DJ72" s="35" t="n">
        <x:f>IFERROR(DJ71/SUM($D71:$GA71),0)</x:f>
      </x:c>
      <x:c r="DK72" s="35" t="n">
        <x:f>IFERROR(DK71/SUM($D71:$GA71),0)</x:f>
      </x:c>
      <x:c r="DL72" s="35" t="n">
        <x:f>IFERROR(DL71/SUM($D71:$GA71),0)</x:f>
      </x:c>
      <x:c r="DM72" s="35" t="n">
        <x:f>IFERROR(DM71/SUM($D71:$GA71),0)</x:f>
      </x:c>
      <x:c r="DN72" s="35" t="n">
        <x:f>IFERROR(DN71/SUM($D71:$GA71),0)</x:f>
      </x:c>
      <x:c r="DO72" s="35" t="n">
        <x:f>IFERROR(DO71/SUM($D71:$GA71),0)</x:f>
      </x:c>
      <x:c r="DP72" s="35" t="n">
        <x:f>IFERROR(DP71/SUM($D71:$GA71),0)</x:f>
      </x:c>
      <x:c r="DQ72" s="35" t="n">
        <x:f>IFERROR(DQ71/SUM($D71:$GA71),0)</x:f>
      </x:c>
      <x:c r="DR72" s="35" t="n">
        <x:f>IFERROR(DR71/SUM($D71:$GA71),0)</x:f>
      </x:c>
      <x:c r="DS72" s="35" t="n">
        <x:f>IFERROR(DS71/SUM($D71:$GA71),0)</x:f>
      </x:c>
      <x:c r="DT72" s="35" t="n">
        <x:f>IFERROR(DT71/SUM($D71:$GA71),0)</x:f>
      </x:c>
      <x:c r="DU72" s="35" t="n">
        <x:f>IFERROR(DU71/SUM($D71:$GA71),0)</x:f>
      </x:c>
      <x:c r="DV72" s="35" t="n">
        <x:f>IFERROR(DV71/SUM($D71:$GA71),0)</x:f>
      </x:c>
      <x:c r="DW72" s="35" t="n">
        <x:f>IFERROR(DW71/SUM($D71:$GA71),0)</x:f>
      </x:c>
      <x:c r="DX72" s="35" t="n">
        <x:f>IFERROR(DX71/SUM($D71:$GA71),0)</x:f>
      </x:c>
      <x:c r="DY72" s="35" t="n">
        <x:f>IFERROR(DY71/SUM($D71:$GA71),0)</x:f>
      </x:c>
      <x:c r="DZ72" s="35" t="n">
        <x:f>IFERROR(DZ71/SUM($D71:$GA71),0)</x:f>
      </x:c>
      <x:c r="EA72" s="35" t="n">
        <x:f>IFERROR(EA71/SUM($D71:$GA71),0)</x:f>
      </x:c>
      <x:c r="EB72" s="35" t="n">
        <x:f>IFERROR(EB71/SUM($D71:$GA71),0)</x:f>
      </x:c>
      <x:c r="EC72" s="35" t="n">
        <x:f>IFERROR(EC71/SUM($D71:$GA71),0)</x:f>
      </x:c>
      <x:c r="ED72" s="35" t="n">
        <x:f>IFERROR(ED71/SUM($D71:$GA71),0)</x:f>
      </x:c>
      <x:c r="EE72" s="35" t="n">
        <x:f>IFERROR(EE71/SUM($D71:$GA71),0)</x:f>
      </x:c>
      <x:c r="EF72" s="35" t="n">
        <x:f>IFERROR(EF71/SUM($D71:$GA71),0)</x:f>
      </x:c>
      <x:c r="EG72" s="35" t="n">
        <x:f>IFERROR(EG71/SUM($D71:$GA71),0)</x:f>
      </x:c>
      <x:c r="EH72" s="35" t="n">
        <x:f>IFERROR(EH71/SUM($D71:$GA71),0)</x:f>
      </x:c>
      <x:c r="EI72" s="35" t="n">
        <x:f>IFERROR(EI71/SUM($D71:$GA71),0)</x:f>
      </x:c>
      <x:c r="EJ72" s="35" t="n">
        <x:f>IFERROR(EJ71/SUM($D71:$GA71),0)</x:f>
      </x:c>
      <x:c r="EK72" s="35" t="n">
        <x:f>IFERROR(EK71/SUM($D71:$GA71),0)</x:f>
      </x:c>
      <x:c r="EL72" s="35" t="n">
        <x:f>IFERROR(EL71/SUM($D71:$GA71),0)</x:f>
      </x:c>
      <x:c r="EM72" s="35" t="n">
        <x:f>IFERROR(EM71/SUM($D71:$GA71),0)</x:f>
      </x:c>
      <x:c r="EN72" s="35" t="n">
        <x:f>IFERROR(EN71/SUM($D71:$GA71),0)</x:f>
      </x:c>
      <x:c r="EO72" s="35" t="n">
        <x:f>IFERROR(EO71/SUM($D71:$GA71),0)</x:f>
      </x:c>
      <x:c r="EP72" s="35" t="n">
        <x:f>IFERROR(EP71/SUM($D71:$GA71),0)</x:f>
      </x:c>
      <x:c r="EQ72" s="35" t="n">
        <x:f>IFERROR(EQ71/SUM($D71:$GA71),0)</x:f>
      </x:c>
      <x:c r="ER72" s="35" t="n">
        <x:f>IFERROR(ER71/SUM($D71:$GA71),0)</x:f>
      </x:c>
      <x:c r="ES72" s="35" t="n">
        <x:f>IFERROR(ES71/SUM($D71:$GA71),0)</x:f>
      </x:c>
      <x:c r="ET72" s="35" t="n">
        <x:f>IFERROR(ET71/SUM($D71:$GA71),0)</x:f>
      </x:c>
      <x:c r="EU72" s="35" t="n">
        <x:f>IFERROR(EU71/SUM($D71:$GA71),0)</x:f>
      </x:c>
      <x:c r="EV72" s="35" t="n">
        <x:f>IFERROR(EV71/SUM($D71:$GA71),0)</x:f>
      </x:c>
      <x:c r="EW72" s="35" t="n">
        <x:f>IFERROR(EW71/SUM($D71:$GA71),0)</x:f>
      </x:c>
      <x:c r="EX72" s="35" t="n">
        <x:f>IFERROR(EX71/SUM($D71:$GA71),0)</x:f>
      </x:c>
      <x:c r="EY72" s="35" t="n">
        <x:f>IFERROR(EY71/SUM($D71:$GA71),0)</x:f>
      </x:c>
      <x:c r="EZ72" s="35" t="n">
        <x:f>IFERROR(EZ71/SUM($D71:$GA71),0)</x:f>
      </x:c>
      <x:c r="FA72" s="35" t="n">
        <x:f>IFERROR(FA71/SUM($D71:$GA71),0)</x:f>
      </x:c>
      <x:c r="FB72" s="35" t="n">
        <x:f>IFERROR(FB71/SUM($D71:$GA71),0)</x:f>
      </x:c>
      <x:c r="FC72" s="35" t="n">
        <x:f>IFERROR(FC71/SUM($D71:$GA71),0)</x:f>
      </x:c>
      <x:c r="FD72" s="35" t="n">
        <x:f>IFERROR(FD71/SUM($D71:$GA71),0)</x:f>
      </x:c>
      <x:c r="FE72" s="35" t="n">
        <x:f>IFERROR(FE71/SUM($D71:$GA71),0)</x:f>
      </x:c>
      <x:c r="FF72" s="35" t="n">
        <x:f>IFERROR(FF71/SUM($D71:$GA71),0)</x:f>
      </x:c>
      <x:c r="FG72" s="35" t="n">
        <x:f>IFERROR(FG71/SUM($D71:$GA71),0)</x:f>
      </x:c>
      <x:c r="FH72" s="35" t="n">
        <x:f>IFERROR(FH71/SUM($D71:$GA71),0)</x:f>
      </x:c>
      <x:c r="FI72" s="35" t="n">
        <x:f>IFERROR(FI71/SUM($D71:$GA71),0)</x:f>
      </x:c>
      <x:c r="FJ72" s="35" t="n">
        <x:f>IFERROR(FJ71/SUM($D71:$GA71),0)</x:f>
      </x:c>
      <x:c r="FK72" s="35" t="n">
        <x:f>IFERROR(FK71/SUM($D71:$GA71),0)</x:f>
      </x:c>
      <x:c r="FL72" s="35" t="n">
        <x:f>IFERROR(FL71/SUM($D71:$GA71),0)</x:f>
      </x:c>
      <x:c r="FM72" s="35" t="n">
        <x:f>IFERROR(FM71/SUM($D71:$GA71),0)</x:f>
      </x:c>
      <x:c r="FN72" s="35" t="n">
        <x:f>IFERROR(FN71/SUM($D71:$GA71),0)</x:f>
      </x:c>
      <x:c r="FO72" s="35" t="n">
        <x:f>IFERROR(FO71/SUM($D71:$GA71),0)</x:f>
      </x:c>
      <x:c r="FP72" s="35" t="n">
        <x:f>IFERROR(FP71/SUM($D71:$GA71),0)</x:f>
      </x:c>
      <x:c r="FQ72" s="35" t="n">
        <x:f>IFERROR(FQ71/SUM($D71:$GA71),0)</x:f>
      </x:c>
      <x:c r="FR72" s="35" t="n">
        <x:f>IFERROR(FR71/SUM($D71:$GA71),0)</x:f>
      </x:c>
      <x:c r="FS72" s="35" t="n">
        <x:f>IFERROR(FS71/SUM($D71:$GA71),0)</x:f>
      </x:c>
      <x:c r="FT72" s="35" t="n">
        <x:f>IFERROR(FT71/SUM($D71:$GA71),0)</x:f>
      </x:c>
      <x:c r="FU72" s="35" t="n">
        <x:f>IFERROR(FU71/SUM($D71:$GA71),0)</x:f>
      </x:c>
      <x:c r="FV72" s="35" t="n">
        <x:f>IFERROR(FV71/SUM($D71:$GA71),0)</x:f>
      </x:c>
      <x:c r="FW72" s="35" t="n">
        <x:f>IFERROR(FW71/SUM($D71:$GA71),0)</x:f>
      </x:c>
      <x:c r="FX72" s="35" t="n">
        <x:f>IFERROR(FX71/SUM($D71:$GA71),0)</x:f>
      </x:c>
      <x:c r="FY72" s="35" t="n">
        <x:f>IFERROR(FY71/SUM($D71:$GA71),0)</x:f>
      </x:c>
      <x:c r="FZ72" s="35" t="n">
        <x:f>IFERROR(FZ71/SUM($D71:$GA71),0)</x:f>
      </x:c>
      <x:c r="GA72" s="35" t="n">
        <x:f>IFERROR(GA71/SUM($D71:$GA71),0)</x:f>
      </x:c>
    </x:row>
    <x:row r="73">
      <x:c r="A73" t="str">
        <x:v>Флаг продаж до РВЭ</x:v>
      </x:c>
      <x:c r="B73" s="35"/>
      <x:c r="C73" t="str">
        <x:v>0 / 1</x:v>
      </x:c>
      <x:c r="D73" s="35" t="n">
        <x:f>--AND(D$3&gt;=$B$67,D$3&lt;$B$66,D$3&lt;EDATE($B$67,MAX(1,'Вводные'!$K$73)),AND($B$63="Да",IFERROR(INDEX('Вводные'!$B$88:$B$91,$B$64),"Нет")="Да"))</x:f>
      </x:c>
      <x:c r="E73" s="35" t="n">
        <x:f>--AND(E$3&gt;=$B$67,E$3&lt;$B$66,E$3&lt;EDATE($B$67,MAX(1,'Вводные'!$K$73)),AND($B$63="Да",IFERROR(INDEX('Вводные'!$B$88:$B$91,$B$64),"Нет")="Да"))</x:f>
      </x:c>
      <x:c r="F73" s="35" t="n">
        <x:f>--AND(F$3&gt;=$B$67,F$3&lt;$B$66,F$3&lt;EDATE($B$67,MAX(1,'Вводные'!$K$73)),AND($B$63="Да",IFERROR(INDEX('Вводные'!$B$88:$B$91,$B$64),"Нет")="Да"))</x:f>
      </x:c>
      <x:c r="G73" s="35" t="n">
        <x:f>--AND(G$3&gt;=$B$67,G$3&lt;$B$66,G$3&lt;EDATE($B$67,MAX(1,'Вводные'!$K$73)),AND($B$63="Да",IFERROR(INDEX('Вводные'!$B$88:$B$91,$B$64),"Нет")="Да"))</x:f>
      </x:c>
      <x:c r="H73" s="35" t="n">
        <x:f>--AND(H$3&gt;=$B$67,H$3&lt;$B$66,H$3&lt;EDATE($B$67,MAX(1,'Вводные'!$K$73)),AND($B$63="Да",IFERROR(INDEX('Вводные'!$B$88:$B$91,$B$64),"Нет")="Да"))</x:f>
      </x:c>
      <x:c r="I73" s="35" t="n">
        <x:f>--AND(I$3&gt;=$B$67,I$3&lt;$B$66,I$3&lt;EDATE($B$67,MAX(1,'Вводные'!$K$73)),AND($B$63="Да",IFERROR(INDEX('Вводные'!$B$88:$B$91,$B$64),"Нет")="Да"))</x:f>
      </x:c>
      <x:c r="J73" s="35" t="n">
        <x:f>--AND(J$3&gt;=$B$67,J$3&lt;$B$66,J$3&lt;EDATE($B$67,MAX(1,'Вводные'!$K$73)),AND($B$63="Да",IFERROR(INDEX('Вводные'!$B$88:$B$91,$B$64),"Нет")="Да"))</x:f>
      </x:c>
      <x:c r="K73" s="35" t="n">
        <x:f>--AND(K$3&gt;=$B$67,K$3&lt;$B$66,K$3&lt;EDATE($B$67,MAX(1,'Вводные'!$K$73)),AND($B$63="Да",IFERROR(INDEX('Вводные'!$B$88:$B$91,$B$64),"Нет")="Да"))</x:f>
      </x:c>
      <x:c r="L73" s="35" t="n">
        <x:f>--AND(L$3&gt;=$B$67,L$3&lt;$B$66,L$3&lt;EDATE($B$67,MAX(1,'Вводные'!$K$73)),AND($B$63="Да",IFERROR(INDEX('Вводные'!$B$88:$B$91,$B$64),"Нет")="Да"))</x:f>
      </x:c>
      <x:c r="M73" s="35" t="n">
        <x:f>--AND(M$3&gt;=$B$67,M$3&lt;$B$66,M$3&lt;EDATE($B$67,MAX(1,'Вводные'!$K$73)),AND($B$63="Да",IFERROR(INDEX('Вводные'!$B$88:$B$91,$B$64),"Нет")="Да"))</x:f>
      </x:c>
      <x:c r="N73" s="35" t="n">
        <x:f>--AND(N$3&gt;=$B$67,N$3&lt;$B$66,N$3&lt;EDATE($B$67,MAX(1,'Вводные'!$K$73)),AND($B$63="Да",IFERROR(INDEX('Вводные'!$B$88:$B$91,$B$64),"Нет")="Да"))</x:f>
      </x:c>
      <x:c r="O73" s="35" t="n">
        <x:f>--AND(O$3&gt;=$B$67,O$3&lt;$B$66,O$3&lt;EDATE($B$67,MAX(1,'Вводные'!$K$73)),AND($B$63="Да",IFERROR(INDEX('Вводные'!$B$88:$B$91,$B$64),"Нет")="Да"))</x:f>
      </x:c>
      <x:c r="P73" s="35" t="n">
        <x:f>--AND(P$3&gt;=$B$67,P$3&lt;$B$66,P$3&lt;EDATE($B$67,MAX(1,'Вводные'!$K$73)),AND($B$63="Да",IFERROR(INDEX('Вводные'!$B$88:$B$91,$B$64),"Нет")="Да"))</x:f>
      </x:c>
      <x:c r="Q73" s="35" t="n">
        <x:f>--AND(Q$3&gt;=$B$67,Q$3&lt;$B$66,Q$3&lt;EDATE($B$67,MAX(1,'Вводные'!$K$73)),AND($B$63="Да",IFERROR(INDEX('Вводные'!$B$88:$B$91,$B$64),"Нет")="Да"))</x:f>
      </x:c>
      <x:c r="R73" s="35" t="n">
        <x:f>--AND(R$3&gt;=$B$67,R$3&lt;$B$66,R$3&lt;EDATE($B$67,MAX(1,'Вводные'!$K$73)),AND($B$63="Да",IFERROR(INDEX('Вводные'!$B$88:$B$91,$B$64),"Нет")="Да"))</x:f>
      </x:c>
      <x:c r="S73" s="35" t="n">
        <x:f>--AND(S$3&gt;=$B$67,S$3&lt;$B$66,S$3&lt;EDATE($B$67,MAX(1,'Вводные'!$K$73)),AND($B$63="Да",IFERROR(INDEX('Вводные'!$B$88:$B$91,$B$64),"Нет")="Да"))</x:f>
      </x:c>
      <x:c r="T73" s="35" t="n">
        <x:f>--AND(T$3&gt;=$B$67,T$3&lt;$B$66,T$3&lt;EDATE($B$67,MAX(1,'Вводные'!$K$73)),AND($B$63="Да",IFERROR(INDEX('Вводные'!$B$88:$B$91,$B$64),"Нет")="Да"))</x:f>
      </x:c>
      <x:c r="U73" s="35" t="n">
        <x:f>--AND(U$3&gt;=$B$67,U$3&lt;$B$66,U$3&lt;EDATE($B$67,MAX(1,'Вводные'!$K$73)),AND($B$63="Да",IFERROR(INDEX('Вводные'!$B$88:$B$91,$B$64),"Нет")="Да"))</x:f>
      </x:c>
      <x:c r="V73" s="35" t="n">
        <x:f>--AND(V$3&gt;=$B$67,V$3&lt;$B$66,V$3&lt;EDATE($B$67,MAX(1,'Вводные'!$K$73)),AND($B$63="Да",IFERROR(INDEX('Вводные'!$B$88:$B$91,$B$64),"Нет")="Да"))</x:f>
      </x:c>
      <x:c r="W73" s="35" t="n">
        <x:f>--AND(W$3&gt;=$B$67,W$3&lt;$B$66,W$3&lt;EDATE($B$67,MAX(1,'Вводные'!$K$73)),AND($B$63="Да",IFERROR(INDEX('Вводные'!$B$88:$B$91,$B$64),"Нет")="Да"))</x:f>
      </x:c>
      <x:c r="X73" s="35" t="n">
        <x:f>--AND(X$3&gt;=$B$67,X$3&lt;$B$66,X$3&lt;EDATE($B$67,MAX(1,'Вводные'!$K$73)),AND($B$63="Да",IFERROR(INDEX('Вводные'!$B$88:$B$91,$B$64),"Нет")="Да"))</x:f>
      </x:c>
      <x:c r="Y73" s="35" t="n">
        <x:f>--AND(Y$3&gt;=$B$67,Y$3&lt;$B$66,Y$3&lt;EDATE($B$67,MAX(1,'Вводные'!$K$73)),AND($B$63="Да",IFERROR(INDEX('Вводные'!$B$88:$B$91,$B$64),"Нет")="Да"))</x:f>
      </x:c>
      <x:c r="Z73" s="35" t="n">
        <x:f>--AND(Z$3&gt;=$B$67,Z$3&lt;$B$66,Z$3&lt;EDATE($B$67,MAX(1,'Вводные'!$K$73)),AND($B$63="Да",IFERROR(INDEX('Вводные'!$B$88:$B$91,$B$64),"Нет")="Да"))</x:f>
      </x:c>
      <x:c r="AA73" s="35" t="n">
        <x:f>--AND(AA$3&gt;=$B$67,AA$3&lt;$B$66,AA$3&lt;EDATE($B$67,MAX(1,'Вводные'!$K$73)),AND($B$63="Да",IFERROR(INDEX('Вводные'!$B$88:$B$91,$B$64),"Нет")="Да"))</x:f>
      </x:c>
      <x:c r="AB73" s="35" t="n">
        <x:f>--AND(AB$3&gt;=$B$67,AB$3&lt;$B$66,AB$3&lt;EDATE($B$67,MAX(1,'Вводные'!$K$73)),AND($B$63="Да",IFERROR(INDEX('Вводные'!$B$88:$B$91,$B$64),"Нет")="Да"))</x:f>
      </x:c>
      <x:c r="AC73" s="35" t="n">
        <x:f>--AND(AC$3&gt;=$B$67,AC$3&lt;$B$66,AC$3&lt;EDATE($B$67,MAX(1,'Вводные'!$K$73)),AND($B$63="Да",IFERROR(INDEX('Вводные'!$B$88:$B$91,$B$64),"Нет")="Да"))</x:f>
      </x:c>
      <x:c r="AD73" s="35" t="n">
        <x:f>--AND(AD$3&gt;=$B$67,AD$3&lt;$B$66,AD$3&lt;EDATE($B$67,MAX(1,'Вводные'!$K$73)),AND($B$63="Да",IFERROR(INDEX('Вводные'!$B$88:$B$91,$B$64),"Нет")="Да"))</x:f>
      </x:c>
      <x:c r="AE73" s="35" t="n">
        <x:f>--AND(AE$3&gt;=$B$67,AE$3&lt;$B$66,AE$3&lt;EDATE($B$67,MAX(1,'Вводные'!$K$73)),AND($B$63="Да",IFERROR(INDEX('Вводные'!$B$88:$B$91,$B$64),"Нет")="Да"))</x:f>
      </x:c>
      <x:c r="AF73" s="35" t="n">
        <x:f>--AND(AF$3&gt;=$B$67,AF$3&lt;$B$66,AF$3&lt;EDATE($B$67,MAX(1,'Вводные'!$K$73)),AND($B$63="Да",IFERROR(INDEX('Вводные'!$B$88:$B$91,$B$64),"Нет")="Да"))</x:f>
      </x:c>
      <x:c r="AG73" s="35" t="n">
        <x:f>--AND(AG$3&gt;=$B$67,AG$3&lt;$B$66,AG$3&lt;EDATE($B$67,MAX(1,'Вводные'!$K$73)),AND($B$63="Да",IFERROR(INDEX('Вводные'!$B$88:$B$91,$B$64),"Нет")="Да"))</x:f>
      </x:c>
      <x:c r="AH73" s="35" t="n">
        <x:f>--AND(AH$3&gt;=$B$67,AH$3&lt;$B$66,AH$3&lt;EDATE($B$67,MAX(1,'Вводные'!$K$73)),AND($B$63="Да",IFERROR(INDEX('Вводные'!$B$88:$B$91,$B$64),"Нет")="Да"))</x:f>
      </x:c>
      <x:c r="AI73" s="35" t="n">
        <x:f>--AND(AI$3&gt;=$B$67,AI$3&lt;$B$66,AI$3&lt;EDATE($B$67,MAX(1,'Вводные'!$K$73)),AND($B$63="Да",IFERROR(INDEX('Вводные'!$B$88:$B$91,$B$64),"Нет")="Да"))</x:f>
      </x:c>
      <x:c r="AJ73" s="35" t="n">
        <x:f>--AND(AJ$3&gt;=$B$67,AJ$3&lt;$B$66,AJ$3&lt;EDATE($B$67,MAX(1,'Вводные'!$K$73)),AND($B$63="Да",IFERROR(INDEX('Вводные'!$B$88:$B$91,$B$64),"Нет")="Да"))</x:f>
      </x:c>
      <x:c r="AK73" s="35" t="n">
        <x:f>--AND(AK$3&gt;=$B$67,AK$3&lt;$B$66,AK$3&lt;EDATE($B$67,MAX(1,'Вводные'!$K$73)),AND($B$63="Да",IFERROR(INDEX('Вводные'!$B$88:$B$91,$B$64),"Нет")="Да"))</x:f>
      </x:c>
      <x:c r="AL73" s="35" t="n">
        <x:f>--AND(AL$3&gt;=$B$67,AL$3&lt;$B$66,AL$3&lt;EDATE($B$67,MAX(1,'Вводные'!$K$73)),AND($B$63="Да",IFERROR(INDEX('Вводные'!$B$88:$B$91,$B$64),"Нет")="Да"))</x:f>
      </x:c>
      <x:c r="AM73" s="35" t="n">
        <x:f>--AND(AM$3&gt;=$B$67,AM$3&lt;$B$66,AM$3&lt;EDATE($B$67,MAX(1,'Вводные'!$K$73)),AND($B$63="Да",IFERROR(INDEX('Вводные'!$B$88:$B$91,$B$64),"Нет")="Да"))</x:f>
      </x:c>
      <x:c r="AN73" s="35" t="n">
        <x:f>--AND(AN$3&gt;=$B$67,AN$3&lt;$B$66,AN$3&lt;EDATE($B$67,MAX(1,'Вводные'!$K$73)),AND($B$63="Да",IFERROR(INDEX('Вводные'!$B$88:$B$91,$B$64),"Нет")="Да"))</x:f>
      </x:c>
      <x:c r="AO73" s="35" t="n">
        <x:f>--AND(AO$3&gt;=$B$67,AO$3&lt;$B$66,AO$3&lt;EDATE($B$67,MAX(1,'Вводные'!$K$73)),AND($B$63="Да",IFERROR(INDEX('Вводные'!$B$88:$B$91,$B$64),"Нет")="Да"))</x:f>
      </x:c>
      <x:c r="AP73" s="35" t="n">
        <x:f>--AND(AP$3&gt;=$B$67,AP$3&lt;$B$66,AP$3&lt;EDATE($B$67,MAX(1,'Вводные'!$K$73)),AND($B$63="Да",IFERROR(INDEX('Вводные'!$B$88:$B$91,$B$64),"Нет")="Да"))</x:f>
      </x:c>
      <x:c r="AQ73" s="35" t="n">
        <x:f>--AND(AQ$3&gt;=$B$67,AQ$3&lt;$B$66,AQ$3&lt;EDATE($B$67,MAX(1,'Вводные'!$K$73)),AND($B$63="Да",IFERROR(INDEX('Вводные'!$B$88:$B$91,$B$64),"Нет")="Да"))</x:f>
      </x:c>
      <x:c r="AR73" s="35" t="n">
        <x:f>--AND(AR$3&gt;=$B$67,AR$3&lt;$B$66,AR$3&lt;EDATE($B$67,MAX(1,'Вводные'!$K$73)),AND($B$63="Да",IFERROR(INDEX('Вводные'!$B$88:$B$91,$B$64),"Нет")="Да"))</x:f>
      </x:c>
      <x:c r="AS73" s="35" t="n">
        <x:f>--AND(AS$3&gt;=$B$67,AS$3&lt;$B$66,AS$3&lt;EDATE($B$67,MAX(1,'Вводные'!$K$73)),AND($B$63="Да",IFERROR(INDEX('Вводные'!$B$88:$B$91,$B$64),"Нет")="Да"))</x:f>
      </x:c>
      <x:c r="AT73" s="35" t="n">
        <x:f>--AND(AT$3&gt;=$B$67,AT$3&lt;$B$66,AT$3&lt;EDATE($B$67,MAX(1,'Вводные'!$K$73)),AND($B$63="Да",IFERROR(INDEX('Вводные'!$B$88:$B$91,$B$64),"Нет")="Да"))</x:f>
      </x:c>
      <x:c r="AU73" s="35" t="n">
        <x:f>--AND(AU$3&gt;=$B$67,AU$3&lt;$B$66,AU$3&lt;EDATE($B$67,MAX(1,'Вводные'!$K$73)),AND($B$63="Да",IFERROR(INDEX('Вводные'!$B$88:$B$91,$B$64),"Нет")="Да"))</x:f>
      </x:c>
      <x:c r="AV73" s="35" t="n">
        <x:f>--AND(AV$3&gt;=$B$67,AV$3&lt;$B$66,AV$3&lt;EDATE($B$67,MAX(1,'Вводные'!$K$73)),AND($B$63="Да",IFERROR(INDEX('Вводные'!$B$88:$B$91,$B$64),"Нет")="Да"))</x:f>
      </x:c>
      <x:c r="AW73" s="35" t="n">
        <x:f>--AND(AW$3&gt;=$B$67,AW$3&lt;$B$66,AW$3&lt;EDATE($B$67,MAX(1,'Вводные'!$K$73)),AND($B$63="Да",IFERROR(INDEX('Вводные'!$B$88:$B$91,$B$64),"Нет")="Да"))</x:f>
      </x:c>
      <x:c r="AX73" s="35" t="n">
        <x:f>--AND(AX$3&gt;=$B$67,AX$3&lt;$B$66,AX$3&lt;EDATE($B$67,MAX(1,'Вводные'!$K$73)),AND($B$63="Да",IFERROR(INDEX('Вводные'!$B$88:$B$91,$B$64),"Нет")="Да"))</x:f>
      </x:c>
      <x:c r="AY73" s="35" t="n">
        <x:f>--AND(AY$3&gt;=$B$67,AY$3&lt;$B$66,AY$3&lt;EDATE($B$67,MAX(1,'Вводные'!$K$73)),AND($B$63="Да",IFERROR(INDEX('Вводные'!$B$88:$B$91,$B$64),"Нет")="Да"))</x:f>
      </x:c>
      <x:c r="AZ73" s="35" t="n">
        <x:f>--AND(AZ$3&gt;=$B$67,AZ$3&lt;$B$66,AZ$3&lt;EDATE($B$67,MAX(1,'Вводные'!$K$73)),AND($B$63="Да",IFERROR(INDEX('Вводные'!$B$88:$B$91,$B$64),"Нет")="Да"))</x:f>
      </x:c>
      <x:c r="BA73" s="35" t="n">
        <x:f>--AND(BA$3&gt;=$B$67,BA$3&lt;$B$66,BA$3&lt;EDATE($B$67,MAX(1,'Вводные'!$K$73)),AND($B$63="Да",IFERROR(INDEX('Вводные'!$B$88:$B$91,$B$64),"Нет")="Да"))</x:f>
      </x:c>
      <x:c r="BB73" s="35" t="n">
        <x:f>--AND(BB$3&gt;=$B$67,BB$3&lt;$B$66,BB$3&lt;EDATE($B$67,MAX(1,'Вводные'!$K$73)),AND($B$63="Да",IFERROR(INDEX('Вводные'!$B$88:$B$91,$B$64),"Нет")="Да"))</x:f>
      </x:c>
      <x:c r="BC73" s="35" t="n">
        <x:f>--AND(BC$3&gt;=$B$67,BC$3&lt;$B$66,BC$3&lt;EDATE($B$67,MAX(1,'Вводные'!$K$73)),AND($B$63="Да",IFERROR(INDEX('Вводные'!$B$88:$B$91,$B$64),"Нет")="Да"))</x:f>
      </x:c>
      <x:c r="BD73" s="35" t="n">
        <x:f>--AND(BD$3&gt;=$B$67,BD$3&lt;$B$66,BD$3&lt;EDATE($B$67,MAX(1,'Вводные'!$K$73)),AND($B$63="Да",IFERROR(INDEX('Вводные'!$B$88:$B$91,$B$64),"Нет")="Да"))</x:f>
      </x:c>
      <x:c r="BE73" s="35" t="n">
        <x:f>--AND(BE$3&gt;=$B$67,BE$3&lt;$B$66,BE$3&lt;EDATE($B$67,MAX(1,'Вводные'!$K$73)),AND($B$63="Да",IFERROR(INDEX('Вводные'!$B$88:$B$91,$B$64),"Нет")="Да"))</x:f>
      </x:c>
      <x:c r="BF73" s="35" t="n">
        <x:f>--AND(BF$3&gt;=$B$67,BF$3&lt;$B$66,BF$3&lt;EDATE($B$67,MAX(1,'Вводные'!$K$73)),AND($B$63="Да",IFERROR(INDEX('Вводные'!$B$88:$B$91,$B$64),"Нет")="Да"))</x:f>
      </x:c>
      <x:c r="BG73" s="35" t="n">
        <x:f>--AND(BG$3&gt;=$B$67,BG$3&lt;$B$66,BG$3&lt;EDATE($B$67,MAX(1,'Вводные'!$K$73)),AND($B$63="Да",IFERROR(INDEX('Вводные'!$B$88:$B$91,$B$64),"Нет")="Да"))</x:f>
      </x:c>
      <x:c r="BH73" s="35" t="n">
        <x:f>--AND(BH$3&gt;=$B$67,BH$3&lt;$B$66,BH$3&lt;EDATE($B$67,MAX(1,'Вводные'!$K$73)),AND($B$63="Да",IFERROR(INDEX('Вводные'!$B$88:$B$91,$B$64),"Нет")="Да"))</x:f>
      </x:c>
      <x:c r="BI73" s="35" t="n">
        <x:f>--AND(BI$3&gt;=$B$67,BI$3&lt;$B$66,BI$3&lt;EDATE($B$67,MAX(1,'Вводные'!$K$73)),AND($B$63="Да",IFERROR(INDEX('Вводные'!$B$88:$B$91,$B$64),"Нет")="Да"))</x:f>
      </x:c>
      <x:c r="BJ73" s="35" t="n">
        <x:f>--AND(BJ$3&gt;=$B$67,BJ$3&lt;$B$66,BJ$3&lt;EDATE($B$67,MAX(1,'Вводные'!$K$73)),AND($B$63="Да",IFERROR(INDEX('Вводные'!$B$88:$B$91,$B$64),"Нет")="Да"))</x:f>
      </x:c>
      <x:c r="BK73" s="35" t="n">
        <x:f>--AND(BK$3&gt;=$B$67,BK$3&lt;$B$66,BK$3&lt;EDATE($B$67,MAX(1,'Вводные'!$K$73)),AND($B$63="Да",IFERROR(INDEX('Вводные'!$B$88:$B$91,$B$64),"Нет")="Да"))</x:f>
      </x:c>
      <x:c r="BL73" s="35" t="n">
        <x:f>--AND(BL$3&gt;=$B$67,BL$3&lt;$B$66,BL$3&lt;EDATE($B$67,MAX(1,'Вводные'!$K$73)),AND($B$63="Да",IFERROR(INDEX('Вводные'!$B$88:$B$91,$B$64),"Нет")="Да"))</x:f>
      </x:c>
      <x:c r="BM73" s="35" t="n">
        <x:f>--AND(BM$3&gt;=$B$67,BM$3&lt;$B$66,BM$3&lt;EDATE($B$67,MAX(1,'Вводные'!$K$73)),AND($B$63="Да",IFERROR(INDEX('Вводные'!$B$88:$B$91,$B$64),"Нет")="Да"))</x:f>
      </x:c>
      <x:c r="BN73" s="35" t="n">
        <x:f>--AND(BN$3&gt;=$B$67,BN$3&lt;$B$66,BN$3&lt;EDATE($B$67,MAX(1,'Вводные'!$K$73)),AND($B$63="Да",IFERROR(INDEX('Вводные'!$B$88:$B$91,$B$64),"Нет")="Да"))</x:f>
      </x:c>
      <x:c r="BO73" s="35" t="n">
        <x:f>--AND(BO$3&gt;=$B$67,BO$3&lt;$B$66,BO$3&lt;EDATE($B$67,MAX(1,'Вводные'!$K$73)),AND($B$63="Да",IFERROR(INDEX('Вводные'!$B$88:$B$91,$B$64),"Нет")="Да"))</x:f>
      </x:c>
      <x:c r="BP73" s="35" t="n">
        <x:f>--AND(BP$3&gt;=$B$67,BP$3&lt;$B$66,BP$3&lt;EDATE($B$67,MAX(1,'Вводные'!$K$73)),AND($B$63="Да",IFERROR(INDEX('Вводные'!$B$88:$B$91,$B$64),"Нет")="Да"))</x:f>
      </x:c>
      <x:c r="BQ73" s="35" t="n">
        <x:f>--AND(BQ$3&gt;=$B$67,BQ$3&lt;$B$66,BQ$3&lt;EDATE($B$67,MAX(1,'Вводные'!$K$73)),AND($B$63="Да",IFERROR(INDEX('Вводные'!$B$88:$B$91,$B$64),"Нет")="Да"))</x:f>
      </x:c>
      <x:c r="BR73" s="35" t="n">
        <x:f>--AND(BR$3&gt;=$B$67,BR$3&lt;$B$66,BR$3&lt;EDATE($B$67,MAX(1,'Вводные'!$K$73)),AND($B$63="Да",IFERROR(INDEX('Вводные'!$B$88:$B$91,$B$64),"Нет")="Да"))</x:f>
      </x:c>
      <x:c r="BS73" s="35" t="n">
        <x:f>--AND(BS$3&gt;=$B$67,BS$3&lt;$B$66,BS$3&lt;EDATE($B$67,MAX(1,'Вводные'!$K$73)),AND($B$63="Да",IFERROR(INDEX('Вводные'!$B$88:$B$91,$B$64),"Нет")="Да"))</x:f>
      </x:c>
      <x:c r="BT73" s="35" t="n">
        <x:f>--AND(BT$3&gt;=$B$67,BT$3&lt;$B$66,BT$3&lt;EDATE($B$67,MAX(1,'Вводные'!$K$73)),AND($B$63="Да",IFERROR(INDEX('Вводные'!$B$88:$B$91,$B$64),"Нет")="Да"))</x:f>
      </x:c>
      <x:c r="BU73" s="35" t="n">
        <x:f>--AND(BU$3&gt;=$B$67,BU$3&lt;$B$66,BU$3&lt;EDATE($B$67,MAX(1,'Вводные'!$K$73)),AND($B$63="Да",IFERROR(INDEX('Вводные'!$B$88:$B$91,$B$64),"Нет")="Да"))</x:f>
      </x:c>
      <x:c r="BV73" s="35" t="n">
        <x:f>--AND(BV$3&gt;=$B$67,BV$3&lt;$B$66,BV$3&lt;EDATE($B$67,MAX(1,'Вводные'!$K$73)),AND($B$63="Да",IFERROR(INDEX('Вводные'!$B$88:$B$91,$B$64),"Нет")="Да"))</x:f>
      </x:c>
      <x:c r="BW73" s="35" t="n">
        <x:f>--AND(BW$3&gt;=$B$67,BW$3&lt;$B$66,BW$3&lt;EDATE($B$67,MAX(1,'Вводные'!$K$73)),AND($B$63="Да",IFERROR(INDEX('Вводные'!$B$88:$B$91,$B$64),"Нет")="Да"))</x:f>
      </x:c>
      <x:c r="BX73" s="35" t="n">
        <x:f>--AND(BX$3&gt;=$B$67,BX$3&lt;$B$66,BX$3&lt;EDATE($B$67,MAX(1,'Вводные'!$K$73)),AND($B$63="Да",IFERROR(INDEX('Вводные'!$B$88:$B$91,$B$64),"Нет")="Да"))</x:f>
      </x:c>
      <x:c r="BY73" s="35" t="n">
        <x:f>--AND(BY$3&gt;=$B$67,BY$3&lt;$B$66,BY$3&lt;EDATE($B$67,MAX(1,'Вводные'!$K$73)),AND($B$63="Да",IFERROR(INDEX('Вводные'!$B$88:$B$91,$B$64),"Нет")="Да"))</x:f>
      </x:c>
      <x:c r="BZ73" s="35" t="n">
        <x:f>--AND(BZ$3&gt;=$B$67,BZ$3&lt;$B$66,BZ$3&lt;EDATE($B$67,MAX(1,'Вводные'!$K$73)),AND($B$63="Да",IFERROR(INDEX('Вводные'!$B$88:$B$91,$B$64),"Нет")="Да"))</x:f>
      </x:c>
      <x:c r="CA73" s="35" t="n">
        <x:f>--AND(CA$3&gt;=$B$67,CA$3&lt;$B$66,CA$3&lt;EDATE($B$67,MAX(1,'Вводные'!$K$73)),AND($B$63="Да",IFERROR(INDEX('Вводные'!$B$88:$B$91,$B$64),"Нет")="Да"))</x:f>
      </x:c>
      <x:c r="CB73" s="35" t="n">
        <x:f>--AND(CB$3&gt;=$B$67,CB$3&lt;$B$66,CB$3&lt;EDATE($B$67,MAX(1,'Вводные'!$K$73)),AND($B$63="Да",IFERROR(INDEX('Вводные'!$B$88:$B$91,$B$64),"Нет")="Да"))</x:f>
      </x:c>
      <x:c r="CC73" s="35" t="n">
        <x:f>--AND(CC$3&gt;=$B$67,CC$3&lt;$B$66,CC$3&lt;EDATE($B$67,MAX(1,'Вводные'!$K$73)),AND($B$63="Да",IFERROR(INDEX('Вводные'!$B$88:$B$91,$B$64),"Нет")="Да"))</x:f>
      </x:c>
      <x:c r="CD73" s="35" t="n">
        <x:f>--AND(CD$3&gt;=$B$67,CD$3&lt;$B$66,CD$3&lt;EDATE($B$67,MAX(1,'Вводные'!$K$73)),AND($B$63="Да",IFERROR(INDEX('Вводные'!$B$88:$B$91,$B$64),"Нет")="Да"))</x:f>
      </x:c>
      <x:c r="CE73" s="35" t="n">
        <x:f>--AND(CE$3&gt;=$B$67,CE$3&lt;$B$66,CE$3&lt;EDATE($B$67,MAX(1,'Вводные'!$K$73)),AND($B$63="Да",IFERROR(INDEX('Вводные'!$B$88:$B$91,$B$64),"Нет")="Да"))</x:f>
      </x:c>
      <x:c r="CF73" s="35" t="n">
        <x:f>--AND(CF$3&gt;=$B$67,CF$3&lt;$B$66,CF$3&lt;EDATE($B$67,MAX(1,'Вводные'!$K$73)),AND($B$63="Да",IFERROR(INDEX('Вводные'!$B$88:$B$91,$B$64),"Нет")="Да"))</x:f>
      </x:c>
      <x:c r="CG73" s="35" t="n">
        <x:f>--AND(CG$3&gt;=$B$67,CG$3&lt;$B$66,CG$3&lt;EDATE($B$67,MAX(1,'Вводные'!$K$73)),AND($B$63="Да",IFERROR(INDEX('Вводные'!$B$88:$B$91,$B$64),"Нет")="Да"))</x:f>
      </x:c>
      <x:c r="CH73" s="35" t="n">
        <x:f>--AND(CH$3&gt;=$B$67,CH$3&lt;$B$66,CH$3&lt;EDATE($B$67,MAX(1,'Вводные'!$K$73)),AND($B$63="Да",IFERROR(INDEX('Вводные'!$B$88:$B$91,$B$64),"Нет")="Да"))</x:f>
      </x:c>
      <x:c r="CI73" s="35" t="n">
        <x:f>--AND(CI$3&gt;=$B$67,CI$3&lt;$B$66,CI$3&lt;EDATE($B$67,MAX(1,'Вводные'!$K$73)),AND($B$63="Да",IFERROR(INDEX('Вводные'!$B$88:$B$91,$B$64),"Нет")="Да"))</x:f>
      </x:c>
      <x:c r="CJ73" s="35" t="n">
        <x:f>--AND(CJ$3&gt;=$B$67,CJ$3&lt;$B$66,CJ$3&lt;EDATE($B$67,MAX(1,'Вводные'!$K$73)),AND($B$63="Да",IFERROR(INDEX('Вводные'!$B$88:$B$91,$B$64),"Нет")="Да"))</x:f>
      </x:c>
      <x:c r="CK73" s="35" t="n">
        <x:f>--AND(CK$3&gt;=$B$67,CK$3&lt;$B$66,CK$3&lt;EDATE($B$67,MAX(1,'Вводные'!$K$73)),AND($B$63="Да",IFERROR(INDEX('Вводные'!$B$88:$B$91,$B$64),"Нет")="Да"))</x:f>
      </x:c>
      <x:c r="CL73" s="35" t="n">
        <x:f>--AND(CL$3&gt;=$B$67,CL$3&lt;$B$66,CL$3&lt;EDATE($B$67,MAX(1,'Вводные'!$K$73)),AND($B$63="Да",IFERROR(INDEX('Вводные'!$B$88:$B$91,$B$64),"Нет")="Да"))</x:f>
      </x:c>
      <x:c r="CM73" s="35" t="n">
        <x:f>--AND(CM$3&gt;=$B$67,CM$3&lt;$B$66,CM$3&lt;EDATE($B$67,MAX(1,'Вводные'!$K$73)),AND($B$63="Да",IFERROR(INDEX('Вводные'!$B$88:$B$91,$B$64),"Нет")="Да"))</x:f>
      </x:c>
      <x:c r="CN73" s="35" t="n">
        <x:f>--AND(CN$3&gt;=$B$67,CN$3&lt;$B$66,CN$3&lt;EDATE($B$67,MAX(1,'Вводные'!$K$73)),AND($B$63="Да",IFERROR(INDEX('Вводные'!$B$88:$B$91,$B$64),"Нет")="Да"))</x:f>
      </x:c>
      <x:c r="CO73" s="35" t="n">
        <x:f>--AND(CO$3&gt;=$B$67,CO$3&lt;$B$66,CO$3&lt;EDATE($B$67,MAX(1,'Вводные'!$K$73)),AND($B$63="Да",IFERROR(INDEX('Вводные'!$B$88:$B$91,$B$64),"Нет")="Да"))</x:f>
      </x:c>
      <x:c r="CP73" s="35" t="n">
        <x:f>--AND(CP$3&gt;=$B$67,CP$3&lt;$B$66,CP$3&lt;EDATE($B$67,MAX(1,'Вводные'!$K$73)),AND($B$63="Да",IFERROR(INDEX('Вводные'!$B$88:$B$91,$B$64),"Нет")="Да"))</x:f>
      </x:c>
      <x:c r="CQ73" s="35" t="n">
        <x:f>--AND(CQ$3&gt;=$B$67,CQ$3&lt;$B$66,CQ$3&lt;EDATE($B$67,MAX(1,'Вводные'!$K$73)),AND($B$63="Да",IFERROR(INDEX('Вводные'!$B$88:$B$91,$B$64),"Нет")="Да"))</x:f>
      </x:c>
      <x:c r="CR73" s="35" t="n">
        <x:f>--AND(CR$3&gt;=$B$67,CR$3&lt;$B$66,CR$3&lt;EDATE($B$67,MAX(1,'Вводные'!$K$73)),AND($B$63="Да",IFERROR(INDEX('Вводные'!$B$88:$B$91,$B$64),"Нет")="Да"))</x:f>
      </x:c>
      <x:c r="CS73" s="35" t="n">
        <x:f>--AND(CS$3&gt;=$B$67,CS$3&lt;$B$66,CS$3&lt;EDATE($B$67,MAX(1,'Вводные'!$K$73)),AND($B$63="Да",IFERROR(INDEX('Вводные'!$B$88:$B$91,$B$64),"Нет")="Да"))</x:f>
      </x:c>
      <x:c r="CT73" s="35" t="n">
        <x:f>--AND(CT$3&gt;=$B$67,CT$3&lt;$B$66,CT$3&lt;EDATE($B$67,MAX(1,'Вводные'!$K$73)),AND($B$63="Да",IFERROR(INDEX('Вводные'!$B$88:$B$91,$B$64),"Нет")="Да"))</x:f>
      </x:c>
      <x:c r="CU73" s="35" t="n">
        <x:f>--AND(CU$3&gt;=$B$67,CU$3&lt;$B$66,CU$3&lt;EDATE($B$67,MAX(1,'Вводные'!$K$73)),AND($B$63="Да",IFERROR(INDEX('Вводные'!$B$88:$B$91,$B$64),"Нет")="Да"))</x:f>
      </x:c>
      <x:c r="CV73" s="35" t="n">
        <x:f>--AND(CV$3&gt;=$B$67,CV$3&lt;$B$66,CV$3&lt;EDATE($B$67,MAX(1,'Вводные'!$K$73)),AND($B$63="Да",IFERROR(INDEX('Вводные'!$B$88:$B$91,$B$64),"Нет")="Да"))</x:f>
      </x:c>
      <x:c r="CW73" s="35" t="n">
        <x:f>--AND(CW$3&gt;=$B$67,CW$3&lt;$B$66,CW$3&lt;EDATE($B$67,MAX(1,'Вводные'!$K$73)),AND($B$63="Да",IFERROR(INDEX('Вводные'!$B$88:$B$91,$B$64),"Нет")="Да"))</x:f>
      </x:c>
      <x:c r="CX73" s="35" t="n">
        <x:f>--AND(CX$3&gt;=$B$67,CX$3&lt;$B$66,CX$3&lt;EDATE($B$67,MAX(1,'Вводные'!$K$73)),AND($B$63="Да",IFERROR(INDEX('Вводные'!$B$88:$B$91,$B$64),"Нет")="Да"))</x:f>
      </x:c>
      <x:c r="CY73" s="35" t="n">
        <x:f>--AND(CY$3&gt;=$B$67,CY$3&lt;$B$66,CY$3&lt;EDATE($B$67,MAX(1,'Вводные'!$K$73)),AND($B$63="Да",IFERROR(INDEX('Вводные'!$B$88:$B$91,$B$64),"Нет")="Да"))</x:f>
      </x:c>
      <x:c r="CZ73" s="35" t="n">
        <x:f>--AND(CZ$3&gt;=$B$67,CZ$3&lt;$B$66,CZ$3&lt;EDATE($B$67,MAX(1,'Вводные'!$K$73)),AND($B$63="Да",IFERROR(INDEX('Вводные'!$B$88:$B$91,$B$64),"Нет")="Да"))</x:f>
      </x:c>
      <x:c r="DA73" s="35" t="n">
        <x:f>--AND(DA$3&gt;=$B$67,DA$3&lt;$B$66,DA$3&lt;EDATE($B$67,MAX(1,'Вводные'!$K$73)),AND($B$63="Да",IFERROR(INDEX('Вводные'!$B$88:$B$91,$B$64),"Нет")="Да"))</x:f>
      </x:c>
      <x:c r="DB73" s="35" t="n">
        <x:f>--AND(DB$3&gt;=$B$67,DB$3&lt;$B$66,DB$3&lt;EDATE($B$67,MAX(1,'Вводные'!$K$73)),AND($B$63="Да",IFERROR(INDEX('Вводные'!$B$88:$B$91,$B$64),"Нет")="Да"))</x:f>
      </x:c>
      <x:c r="DC73" s="35" t="n">
        <x:f>--AND(DC$3&gt;=$B$67,DC$3&lt;$B$66,DC$3&lt;EDATE($B$67,MAX(1,'Вводные'!$K$73)),AND($B$63="Да",IFERROR(INDEX('Вводные'!$B$88:$B$91,$B$64),"Нет")="Да"))</x:f>
      </x:c>
      <x:c r="DD73" s="35" t="n">
        <x:f>--AND(DD$3&gt;=$B$67,DD$3&lt;$B$66,DD$3&lt;EDATE($B$67,MAX(1,'Вводные'!$K$73)),AND($B$63="Да",IFERROR(INDEX('Вводные'!$B$88:$B$91,$B$64),"Нет")="Да"))</x:f>
      </x:c>
      <x:c r="DE73" s="35" t="n">
        <x:f>--AND(DE$3&gt;=$B$67,DE$3&lt;$B$66,DE$3&lt;EDATE($B$67,MAX(1,'Вводные'!$K$73)),AND($B$63="Да",IFERROR(INDEX('Вводные'!$B$88:$B$91,$B$64),"Нет")="Да"))</x:f>
      </x:c>
      <x:c r="DF73" s="35" t="n">
        <x:f>--AND(DF$3&gt;=$B$67,DF$3&lt;$B$66,DF$3&lt;EDATE($B$67,MAX(1,'Вводные'!$K$73)),AND($B$63="Да",IFERROR(INDEX('Вводные'!$B$88:$B$91,$B$64),"Нет")="Да"))</x:f>
      </x:c>
      <x:c r="DG73" s="35" t="n">
        <x:f>--AND(DG$3&gt;=$B$67,DG$3&lt;$B$66,DG$3&lt;EDATE($B$67,MAX(1,'Вводные'!$K$73)),AND($B$63="Да",IFERROR(INDEX('Вводные'!$B$88:$B$91,$B$64),"Нет")="Да"))</x:f>
      </x:c>
      <x:c r="DH73" s="35" t="n">
        <x:f>--AND(DH$3&gt;=$B$67,DH$3&lt;$B$66,DH$3&lt;EDATE($B$67,MAX(1,'Вводные'!$K$73)),AND($B$63="Да",IFERROR(INDEX('Вводные'!$B$88:$B$91,$B$64),"Нет")="Да"))</x:f>
      </x:c>
      <x:c r="DI73" s="35" t="n">
        <x:f>--AND(DI$3&gt;=$B$67,DI$3&lt;$B$66,DI$3&lt;EDATE($B$67,MAX(1,'Вводные'!$K$73)),AND($B$63="Да",IFERROR(INDEX('Вводные'!$B$88:$B$91,$B$64),"Нет")="Да"))</x:f>
      </x:c>
      <x:c r="DJ73" s="35" t="n">
        <x:f>--AND(DJ$3&gt;=$B$67,DJ$3&lt;$B$66,DJ$3&lt;EDATE($B$67,MAX(1,'Вводные'!$K$73)),AND($B$63="Да",IFERROR(INDEX('Вводные'!$B$88:$B$91,$B$64),"Нет")="Да"))</x:f>
      </x:c>
      <x:c r="DK73" s="35" t="n">
        <x:f>--AND(DK$3&gt;=$B$67,DK$3&lt;$B$66,DK$3&lt;EDATE($B$67,MAX(1,'Вводные'!$K$73)),AND($B$63="Да",IFERROR(INDEX('Вводные'!$B$88:$B$91,$B$64),"Нет")="Да"))</x:f>
      </x:c>
      <x:c r="DL73" s="35" t="n">
        <x:f>--AND(DL$3&gt;=$B$67,DL$3&lt;$B$66,DL$3&lt;EDATE($B$67,MAX(1,'Вводные'!$K$73)),AND($B$63="Да",IFERROR(INDEX('Вводные'!$B$88:$B$91,$B$64),"Нет")="Да"))</x:f>
      </x:c>
      <x:c r="DM73" s="35" t="n">
        <x:f>--AND(DM$3&gt;=$B$67,DM$3&lt;$B$66,DM$3&lt;EDATE($B$67,MAX(1,'Вводные'!$K$73)),AND($B$63="Да",IFERROR(INDEX('Вводные'!$B$88:$B$91,$B$64),"Нет")="Да"))</x:f>
      </x:c>
      <x:c r="DN73" s="35" t="n">
        <x:f>--AND(DN$3&gt;=$B$67,DN$3&lt;$B$66,DN$3&lt;EDATE($B$67,MAX(1,'Вводные'!$K$73)),AND($B$63="Да",IFERROR(INDEX('Вводные'!$B$88:$B$91,$B$64),"Нет")="Да"))</x:f>
      </x:c>
      <x:c r="DO73" s="35" t="n">
        <x:f>--AND(DO$3&gt;=$B$67,DO$3&lt;$B$66,DO$3&lt;EDATE($B$67,MAX(1,'Вводные'!$K$73)),AND($B$63="Да",IFERROR(INDEX('Вводные'!$B$88:$B$91,$B$64),"Нет")="Да"))</x:f>
      </x:c>
      <x:c r="DP73" s="35" t="n">
        <x:f>--AND(DP$3&gt;=$B$67,DP$3&lt;$B$66,DP$3&lt;EDATE($B$67,MAX(1,'Вводные'!$K$73)),AND($B$63="Да",IFERROR(INDEX('Вводные'!$B$88:$B$91,$B$64),"Нет")="Да"))</x:f>
      </x:c>
      <x:c r="DQ73" s="35" t="n">
        <x:f>--AND(DQ$3&gt;=$B$67,DQ$3&lt;$B$66,DQ$3&lt;EDATE($B$67,MAX(1,'Вводные'!$K$73)),AND($B$63="Да",IFERROR(INDEX('Вводные'!$B$88:$B$91,$B$64),"Нет")="Да"))</x:f>
      </x:c>
      <x:c r="DR73" s="35" t="n">
        <x:f>--AND(DR$3&gt;=$B$67,DR$3&lt;$B$66,DR$3&lt;EDATE($B$67,MAX(1,'Вводные'!$K$73)),AND($B$63="Да",IFERROR(INDEX('Вводные'!$B$88:$B$91,$B$64),"Нет")="Да"))</x:f>
      </x:c>
      <x:c r="DS73" s="35" t="n">
        <x:f>--AND(DS$3&gt;=$B$67,DS$3&lt;$B$66,DS$3&lt;EDATE($B$67,MAX(1,'Вводные'!$K$73)),AND($B$63="Да",IFERROR(INDEX('Вводные'!$B$88:$B$91,$B$64),"Нет")="Да"))</x:f>
      </x:c>
      <x:c r="DT73" s="35" t="n">
        <x:f>--AND(DT$3&gt;=$B$67,DT$3&lt;$B$66,DT$3&lt;EDATE($B$67,MAX(1,'Вводные'!$K$73)),AND($B$63="Да",IFERROR(INDEX('Вводные'!$B$88:$B$91,$B$64),"Нет")="Да"))</x:f>
      </x:c>
      <x:c r="DU73" s="35" t="n">
        <x:f>--AND(DU$3&gt;=$B$67,DU$3&lt;$B$66,DU$3&lt;EDATE($B$67,MAX(1,'Вводные'!$K$73)),AND($B$63="Да",IFERROR(INDEX('Вводные'!$B$88:$B$91,$B$64),"Нет")="Да"))</x:f>
      </x:c>
      <x:c r="DV73" s="35" t="n">
        <x:f>--AND(DV$3&gt;=$B$67,DV$3&lt;$B$66,DV$3&lt;EDATE($B$67,MAX(1,'Вводные'!$K$73)),AND($B$63="Да",IFERROR(INDEX('Вводные'!$B$88:$B$91,$B$64),"Нет")="Да"))</x:f>
      </x:c>
      <x:c r="DW73" s="35" t="n">
        <x:f>--AND(DW$3&gt;=$B$67,DW$3&lt;$B$66,DW$3&lt;EDATE($B$67,MAX(1,'Вводные'!$K$73)),AND($B$63="Да",IFERROR(INDEX('Вводные'!$B$88:$B$91,$B$64),"Нет")="Да"))</x:f>
      </x:c>
      <x:c r="DX73" s="35" t="n">
        <x:f>--AND(DX$3&gt;=$B$67,DX$3&lt;$B$66,DX$3&lt;EDATE($B$67,MAX(1,'Вводные'!$K$73)),AND($B$63="Да",IFERROR(INDEX('Вводные'!$B$88:$B$91,$B$64),"Нет")="Да"))</x:f>
      </x:c>
      <x:c r="DY73" s="35" t="n">
        <x:f>--AND(DY$3&gt;=$B$67,DY$3&lt;$B$66,DY$3&lt;EDATE($B$67,MAX(1,'Вводные'!$K$73)),AND($B$63="Да",IFERROR(INDEX('Вводные'!$B$88:$B$91,$B$64),"Нет")="Да"))</x:f>
      </x:c>
      <x:c r="DZ73" s="35" t="n">
        <x:f>--AND(DZ$3&gt;=$B$67,DZ$3&lt;$B$66,DZ$3&lt;EDATE($B$67,MAX(1,'Вводные'!$K$73)),AND($B$63="Да",IFERROR(INDEX('Вводные'!$B$88:$B$91,$B$64),"Нет")="Да"))</x:f>
      </x:c>
      <x:c r="EA73" s="35" t="n">
        <x:f>--AND(EA$3&gt;=$B$67,EA$3&lt;$B$66,EA$3&lt;EDATE($B$67,MAX(1,'Вводные'!$K$73)),AND($B$63="Да",IFERROR(INDEX('Вводные'!$B$88:$B$91,$B$64),"Нет")="Да"))</x:f>
      </x:c>
      <x:c r="EB73" s="35" t="n">
        <x:f>--AND(EB$3&gt;=$B$67,EB$3&lt;$B$66,EB$3&lt;EDATE($B$67,MAX(1,'Вводные'!$K$73)),AND($B$63="Да",IFERROR(INDEX('Вводные'!$B$88:$B$91,$B$64),"Нет")="Да"))</x:f>
      </x:c>
      <x:c r="EC73" s="35" t="n">
        <x:f>--AND(EC$3&gt;=$B$67,EC$3&lt;$B$66,EC$3&lt;EDATE($B$67,MAX(1,'Вводные'!$K$73)),AND($B$63="Да",IFERROR(INDEX('Вводные'!$B$88:$B$91,$B$64),"Нет")="Да"))</x:f>
      </x:c>
      <x:c r="ED73" s="35" t="n">
        <x:f>--AND(ED$3&gt;=$B$67,ED$3&lt;$B$66,ED$3&lt;EDATE($B$67,MAX(1,'Вводные'!$K$73)),AND($B$63="Да",IFERROR(INDEX('Вводные'!$B$88:$B$91,$B$64),"Нет")="Да"))</x:f>
      </x:c>
      <x:c r="EE73" s="35" t="n">
        <x:f>--AND(EE$3&gt;=$B$67,EE$3&lt;$B$66,EE$3&lt;EDATE($B$67,MAX(1,'Вводные'!$K$73)),AND($B$63="Да",IFERROR(INDEX('Вводные'!$B$88:$B$91,$B$64),"Нет")="Да"))</x:f>
      </x:c>
      <x:c r="EF73" s="35" t="n">
        <x:f>--AND(EF$3&gt;=$B$67,EF$3&lt;$B$66,EF$3&lt;EDATE($B$67,MAX(1,'Вводные'!$K$73)),AND($B$63="Да",IFERROR(INDEX('Вводные'!$B$88:$B$91,$B$64),"Нет")="Да"))</x:f>
      </x:c>
      <x:c r="EG73" s="35" t="n">
        <x:f>--AND(EG$3&gt;=$B$67,EG$3&lt;$B$66,EG$3&lt;EDATE($B$67,MAX(1,'Вводные'!$K$73)),AND($B$63="Да",IFERROR(INDEX('Вводные'!$B$88:$B$91,$B$64),"Нет")="Да"))</x:f>
      </x:c>
      <x:c r="EH73" s="35" t="n">
        <x:f>--AND(EH$3&gt;=$B$67,EH$3&lt;$B$66,EH$3&lt;EDATE($B$67,MAX(1,'Вводные'!$K$73)),AND($B$63="Да",IFERROR(INDEX('Вводные'!$B$88:$B$91,$B$64),"Нет")="Да"))</x:f>
      </x:c>
      <x:c r="EI73" s="35" t="n">
        <x:f>--AND(EI$3&gt;=$B$67,EI$3&lt;$B$66,EI$3&lt;EDATE($B$67,MAX(1,'Вводные'!$K$73)),AND($B$63="Да",IFERROR(INDEX('Вводные'!$B$88:$B$91,$B$64),"Нет")="Да"))</x:f>
      </x:c>
      <x:c r="EJ73" s="35" t="n">
        <x:f>--AND(EJ$3&gt;=$B$67,EJ$3&lt;$B$66,EJ$3&lt;EDATE($B$67,MAX(1,'Вводные'!$K$73)),AND($B$63="Да",IFERROR(INDEX('Вводные'!$B$88:$B$91,$B$64),"Нет")="Да"))</x:f>
      </x:c>
      <x:c r="EK73" s="35" t="n">
        <x:f>--AND(EK$3&gt;=$B$67,EK$3&lt;$B$66,EK$3&lt;EDATE($B$67,MAX(1,'Вводные'!$K$73)),AND($B$63="Да",IFERROR(INDEX('Вводные'!$B$88:$B$91,$B$64),"Нет")="Да"))</x:f>
      </x:c>
      <x:c r="EL73" s="35" t="n">
        <x:f>--AND(EL$3&gt;=$B$67,EL$3&lt;$B$66,EL$3&lt;EDATE($B$67,MAX(1,'Вводные'!$K$73)),AND($B$63="Да",IFERROR(INDEX('Вводные'!$B$88:$B$91,$B$64),"Нет")="Да"))</x:f>
      </x:c>
      <x:c r="EM73" s="35" t="n">
        <x:f>--AND(EM$3&gt;=$B$67,EM$3&lt;$B$66,EM$3&lt;EDATE($B$67,MAX(1,'Вводные'!$K$73)),AND($B$63="Да",IFERROR(INDEX('Вводные'!$B$88:$B$91,$B$64),"Нет")="Да"))</x:f>
      </x:c>
      <x:c r="EN73" s="35" t="n">
        <x:f>--AND(EN$3&gt;=$B$67,EN$3&lt;$B$66,EN$3&lt;EDATE($B$67,MAX(1,'Вводные'!$K$73)),AND($B$63="Да",IFERROR(INDEX('Вводные'!$B$88:$B$91,$B$64),"Нет")="Да"))</x:f>
      </x:c>
      <x:c r="EO73" s="35" t="n">
        <x:f>--AND(EO$3&gt;=$B$67,EO$3&lt;$B$66,EO$3&lt;EDATE($B$67,MAX(1,'Вводные'!$K$73)),AND($B$63="Да",IFERROR(INDEX('Вводные'!$B$88:$B$91,$B$64),"Нет")="Да"))</x:f>
      </x:c>
      <x:c r="EP73" s="35" t="n">
        <x:f>--AND(EP$3&gt;=$B$67,EP$3&lt;$B$66,EP$3&lt;EDATE($B$67,MAX(1,'Вводные'!$K$73)),AND($B$63="Да",IFERROR(INDEX('Вводные'!$B$88:$B$91,$B$64),"Нет")="Да"))</x:f>
      </x:c>
      <x:c r="EQ73" s="35" t="n">
        <x:f>--AND(EQ$3&gt;=$B$67,EQ$3&lt;$B$66,EQ$3&lt;EDATE($B$67,MAX(1,'Вводные'!$K$73)),AND($B$63="Да",IFERROR(INDEX('Вводные'!$B$88:$B$91,$B$64),"Нет")="Да"))</x:f>
      </x:c>
      <x:c r="ER73" s="35" t="n">
        <x:f>--AND(ER$3&gt;=$B$67,ER$3&lt;$B$66,ER$3&lt;EDATE($B$67,MAX(1,'Вводные'!$K$73)),AND($B$63="Да",IFERROR(INDEX('Вводные'!$B$88:$B$91,$B$64),"Нет")="Да"))</x:f>
      </x:c>
      <x:c r="ES73" s="35" t="n">
        <x:f>--AND(ES$3&gt;=$B$67,ES$3&lt;$B$66,ES$3&lt;EDATE($B$67,MAX(1,'Вводные'!$K$73)),AND($B$63="Да",IFERROR(INDEX('Вводные'!$B$88:$B$91,$B$64),"Нет")="Да"))</x:f>
      </x:c>
      <x:c r="ET73" s="35" t="n">
        <x:f>--AND(ET$3&gt;=$B$67,ET$3&lt;$B$66,ET$3&lt;EDATE($B$67,MAX(1,'Вводные'!$K$73)),AND($B$63="Да",IFERROR(INDEX('Вводные'!$B$88:$B$91,$B$64),"Нет")="Да"))</x:f>
      </x:c>
      <x:c r="EU73" s="35" t="n">
        <x:f>--AND(EU$3&gt;=$B$67,EU$3&lt;$B$66,EU$3&lt;EDATE($B$67,MAX(1,'Вводные'!$K$73)),AND($B$63="Да",IFERROR(INDEX('Вводные'!$B$88:$B$91,$B$64),"Нет")="Да"))</x:f>
      </x:c>
      <x:c r="EV73" s="35" t="n">
        <x:f>--AND(EV$3&gt;=$B$67,EV$3&lt;$B$66,EV$3&lt;EDATE($B$67,MAX(1,'Вводные'!$K$73)),AND($B$63="Да",IFERROR(INDEX('Вводные'!$B$88:$B$91,$B$64),"Нет")="Да"))</x:f>
      </x:c>
      <x:c r="EW73" s="35" t="n">
        <x:f>--AND(EW$3&gt;=$B$67,EW$3&lt;$B$66,EW$3&lt;EDATE($B$67,MAX(1,'Вводные'!$K$73)),AND($B$63="Да",IFERROR(INDEX('Вводные'!$B$88:$B$91,$B$64),"Нет")="Да"))</x:f>
      </x:c>
      <x:c r="EX73" s="35" t="n">
        <x:f>--AND(EX$3&gt;=$B$67,EX$3&lt;$B$66,EX$3&lt;EDATE($B$67,MAX(1,'Вводные'!$K$73)),AND($B$63="Да",IFERROR(INDEX('Вводные'!$B$88:$B$91,$B$64),"Нет")="Да"))</x:f>
      </x:c>
      <x:c r="EY73" s="35" t="n">
        <x:f>--AND(EY$3&gt;=$B$67,EY$3&lt;$B$66,EY$3&lt;EDATE($B$67,MAX(1,'Вводные'!$K$73)),AND($B$63="Да",IFERROR(INDEX('Вводные'!$B$88:$B$91,$B$64),"Нет")="Да"))</x:f>
      </x:c>
      <x:c r="EZ73" s="35" t="n">
        <x:f>--AND(EZ$3&gt;=$B$67,EZ$3&lt;$B$66,EZ$3&lt;EDATE($B$67,MAX(1,'Вводные'!$K$73)),AND($B$63="Да",IFERROR(INDEX('Вводные'!$B$88:$B$91,$B$64),"Нет")="Да"))</x:f>
      </x:c>
      <x:c r="FA73" s="35" t="n">
        <x:f>--AND(FA$3&gt;=$B$67,FA$3&lt;$B$66,FA$3&lt;EDATE($B$67,MAX(1,'Вводные'!$K$73)),AND($B$63="Да",IFERROR(INDEX('Вводные'!$B$88:$B$91,$B$64),"Нет")="Да"))</x:f>
      </x:c>
      <x:c r="FB73" s="35" t="n">
        <x:f>--AND(FB$3&gt;=$B$67,FB$3&lt;$B$66,FB$3&lt;EDATE($B$67,MAX(1,'Вводные'!$K$73)),AND($B$63="Да",IFERROR(INDEX('Вводные'!$B$88:$B$91,$B$64),"Нет")="Да"))</x:f>
      </x:c>
      <x:c r="FC73" s="35" t="n">
        <x:f>--AND(FC$3&gt;=$B$67,FC$3&lt;$B$66,FC$3&lt;EDATE($B$67,MAX(1,'Вводные'!$K$73)),AND($B$63="Да",IFERROR(INDEX('Вводные'!$B$88:$B$91,$B$64),"Нет")="Да"))</x:f>
      </x:c>
      <x:c r="FD73" s="35" t="n">
        <x:f>--AND(FD$3&gt;=$B$67,FD$3&lt;$B$66,FD$3&lt;EDATE($B$67,MAX(1,'Вводные'!$K$73)),AND($B$63="Да",IFERROR(INDEX('Вводные'!$B$88:$B$91,$B$64),"Нет")="Да"))</x:f>
      </x:c>
      <x:c r="FE73" s="35" t="n">
        <x:f>--AND(FE$3&gt;=$B$67,FE$3&lt;$B$66,FE$3&lt;EDATE($B$67,MAX(1,'Вводные'!$K$73)),AND($B$63="Да",IFERROR(INDEX('Вводные'!$B$88:$B$91,$B$64),"Нет")="Да"))</x:f>
      </x:c>
      <x:c r="FF73" s="35" t="n">
        <x:f>--AND(FF$3&gt;=$B$67,FF$3&lt;$B$66,FF$3&lt;EDATE($B$67,MAX(1,'Вводные'!$K$73)),AND($B$63="Да",IFERROR(INDEX('Вводные'!$B$88:$B$91,$B$64),"Нет")="Да"))</x:f>
      </x:c>
      <x:c r="FG73" s="35" t="n">
        <x:f>--AND(FG$3&gt;=$B$67,FG$3&lt;$B$66,FG$3&lt;EDATE($B$67,MAX(1,'Вводные'!$K$73)),AND($B$63="Да",IFERROR(INDEX('Вводные'!$B$88:$B$91,$B$64),"Нет")="Да"))</x:f>
      </x:c>
      <x:c r="FH73" s="35" t="n">
        <x:f>--AND(FH$3&gt;=$B$67,FH$3&lt;$B$66,FH$3&lt;EDATE($B$67,MAX(1,'Вводные'!$K$73)),AND($B$63="Да",IFERROR(INDEX('Вводные'!$B$88:$B$91,$B$64),"Нет")="Да"))</x:f>
      </x:c>
      <x:c r="FI73" s="35" t="n">
        <x:f>--AND(FI$3&gt;=$B$67,FI$3&lt;$B$66,FI$3&lt;EDATE($B$67,MAX(1,'Вводные'!$K$73)),AND($B$63="Да",IFERROR(INDEX('Вводные'!$B$88:$B$91,$B$64),"Нет")="Да"))</x:f>
      </x:c>
      <x:c r="FJ73" s="35" t="n">
        <x:f>--AND(FJ$3&gt;=$B$67,FJ$3&lt;$B$66,FJ$3&lt;EDATE($B$67,MAX(1,'Вводные'!$K$73)),AND($B$63="Да",IFERROR(INDEX('Вводные'!$B$88:$B$91,$B$64),"Нет")="Да"))</x:f>
      </x:c>
      <x:c r="FK73" s="35" t="n">
        <x:f>--AND(FK$3&gt;=$B$67,FK$3&lt;$B$66,FK$3&lt;EDATE($B$67,MAX(1,'Вводные'!$K$73)),AND($B$63="Да",IFERROR(INDEX('Вводные'!$B$88:$B$91,$B$64),"Нет")="Да"))</x:f>
      </x:c>
      <x:c r="FL73" s="35" t="n">
        <x:f>--AND(FL$3&gt;=$B$67,FL$3&lt;$B$66,FL$3&lt;EDATE($B$67,MAX(1,'Вводные'!$K$73)),AND($B$63="Да",IFERROR(INDEX('Вводные'!$B$88:$B$91,$B$64),"Нет")="Да"))</x:f>
      </x:c>
      <x:c r="FM73" s="35" t="n">
        <x:f>--AND(FM$3&gt;=$B$67,FM$3&lt;$B$66,FM$3&lt;EDATE($B$67,MAX(1,'Вводные'!$K$73)),AND($B$63="Да",IFERROR(INDEX('Вводные'!$B$88:$B$91,$B$64),"Нет")="Да"))</x:f>
      </x:c>
      <x:c r="FN73" s="35" t="n">
        <x:f>--AND(FN$3&gt;=$B$67,FN$3&lt;$B$66,FN$3&lt;EDATE($B$67,MAX(1,'Вводные'!$K$73)),AND($B$63="Да",IFERROR(INDEX('Вводные'!$B$88:$B$91,$B$64),"Нет")="Да"))</x:f>
      </x:c>
      <x:c r="FO73" s="35" t="n">
        <x:f>--AND(FO$3&gt;=$B$67,FO$3&lt;$B$66,FO$3&lt;EDATE($B$67,MAX(1,'Вводные'!$K$73)),AND($B$63="Да",IFERROR(INDEX('Вводные'!$B$88:$B$91,$B$64),"Нет")="Да"))</x:f>
      </x:c>
      <x:c r="FP73" s="35" t="n">
        <x:f>--AND(FP$3&gt;=$B$67,FP$3&lt;$B$66,FP$3&lt;EDATE($B$67,MAX(1,'Вводные'!$K$73)),AND($B$63="Да",IFERROR(INDEX('Вводные'!$B$88:$B$91,$B$64),"Нет")="Да"))</x:f>
      </x:c>
      <x:c r="FQ73" s="35" t="n">
        <x:f>--AND(FQ$3&gt;=$B$67,FQ$3&lt;$B$66,FQ$3&lt;EDATE($B$67,MAX(1,'Вводные'!$K$73)),AND($B$63="Да",IFERROR(INDEX('Вводные'!$B$88:$B$91,$B$64),"Нет")="Да"))</x:f>
      </x:c>
      <x:c r="FR73" s="35" t="n">
        <x:f>--AND(FR$3&gt;=$B$67,FR$3&lt;$B$66,FR$3&lt;EDATE($B$67,MAX(1,'Вводные'!$K$73)),AND($B$63="Да",IFERROR(INDEX('Вводные'!$B$88:$B$91,$B$64),"Нет")="Да"))</x:f>
      </x:c>
      <x:c r="FS73" s="35" t="n">
        <x:f>--AND(FS$3&gt;=$B$67,FS$3&lt;$B$66,FS$3&lt;EDATE($B$67,MAX(1,'Вводные'!$K$73)),AND($B$63="Да",IFERROR(INDEX('Вводные'!$B$88:$B$91,$B$64),"Нет")="Да"))</x:f>
      </x:c>
      <x:c r="FT73" s="35" t="n">
        <x:f>--AND(FT$3&gt;=$B$67,FT$3&lt;$B$66,FT$3&lt;EDATE($B$67,MAX(1,'Вводные'!$K$73)),AND($B$63="Да",IFERROR(INDEX('Вводные'!$B$88:$B$91,$B$64),"Нет")="Да"))</x:f>
      </x:c>
      <x:c r="FU73" s="35" t="n">
        <x:f>--AND(FU$3&gt;=$B$67,FU$3&lt;$B$66,FU$3&lt;EDATE($B$67,MAX(1,'Вводные'!$K$73)),AND($B$63="Да",IFERROR(INDEX('Вводные'!$B$88:$B$91,$B$64),"Нет")="Да"))</x:f>
      </x:c>
      <x:c r="FV73" s="35" t="n">
        <x:f>--AND(FV$3&gt;=$B$67,FV$3&lt;$B$66,FV$3&lt;EDATE($B$67,MAX(1,'Вводные'!$K$73)),AND($B$63="Да",IFERROR(INDEX('Вводные'!$B$88:$B$91,$B$64),"Нет")="Да"))</x:f>
      </x:c>
      <x:c r="FW73" s="35" t="n">
        <x:f>--AND(FW$3&gt;=$B$67,FW$3&lt;$B$66,FW$3&lt;EDATE($B$67,MAX(1,'Вводные'!$K$73)),AND($B$63="Да",IFERROR(INDEX('Вводные'!$B$88:$B$91,$B$64),"Нет")="Да"))</x:f>
      </x:c>
      <x:c r="FX73" s="35" t="n">
        <x:f>--AND(FX$3&gt;=$B$67,FX$3&lt;$B$66,FX$3&lt;EDATE($B$67,MAX(1,'Вводные'!$K$73)),AND($B$63="Да",IFERROR(INDEX('Вводные'!$B$88:$B$91,$B$64),"Нет")="Да"))</x:f>
      </x:c>
      <x:c r="FY73" s="35" t="n">
        <x:f>--AND(FY$3&gt;=$B$67,FY$3&lt;$B$66,FY$3&lt;EDATE($B$67,MAX(1,'Вводные'!$K$73)),AND($B$63="Да",IFERROR(INDEX('Вводные'!$B$88:$B$91,$B$64),"Нет")="Да"))</x:f>
      </x:c>
      <x:c r="FZ73" s="35" t="n">
        <x:f>--AND(FZ$3&gt;=$B$67,FZ$3&lt;$B$66,FZ$3&lt;EDATE($B$67,MAX(1,'Вводные'!$K$73)),AND($B$63="Да",IFERROR(INDEX('Вводные'!$B$88:$B$91,$B$64),"Нет")="Да"))</x:f>
      </x:c>
      <x:c r="GA73" s="35" t="n">
        <x:f>--AND(GA$3&gt;=$B$67,GA$3&lt;$B$66,GA$3&lt;EDATE($B$67,MAX(1,'Вводные'!$K$73)),AND($B$63="Да",IFERROR(INDEX('Вводные'!$B$88:$B$91,$B$64),"Нет")="Да"))</x:f>
      </x:c>
    </x:row>
    <x:row r="74">
      <x:c r="A74" t="str">
        <x:v>Вес темпа продаж</x:v>
      </x:c>
      <x:c r="B74" s="35"/>
      <x:c r="C74" t="str">
        <x:v>вес</x:v>
      </x:c>
      <x:c r="D74" s="35" t="n">
        <x:f>IF(AND(D$3&gt;=$B$67,D$3&lt;EDATE($B$67,MAX(1,'Вводные'!$K$73)),AND($B$63="Да",IFERROR(INDEX('Вводные'!$B$88:$B$91,$B$64),"Нет")="Да")),1,0)</x:f>
      </x:c>
      <x:c r="E74" s="35" t="n">
        <x:f>IF(AND(E$3&gt;=$B$67,E$3&lt;EDATE($B$67,MAX(1,'Вводные'!$K$73)),AND($B$63="Да",IFERROR(INDEX('Вводные'!$B$88:$B$91,$B$64),"Нет")="Да")),1,0)</x:f>
      </x:c>
      <x:c r="F74" s="35" t="n">
        <x:f>IF(AND(F$3&gt;=$B$67,F$3&lt;EDATE($B$67,MAX(1,'Вводные'!$K$73)),AND($B$63="Да",IFERROR(INDEX('Вводные'!$B$88:$B$91,$B$64),"Нет")="Да")),1,0)</x:f>
      </x:c>
      <x:c r="G74" s="35" t="n">
        <x:f>IF(AND(G$3&gt;=$B$67,G$3&lt;EDATE($B$67,MAX(1,'Вводные'!$K$73)),AND($B$63="Да",IFERROR(INDEX('Вводные'!$B$88:$B$91,$B$64),"Нет")="Да")),1,0)</x:f>
      </x:c>
      <x:c r="H74" s="35" t="n">
        <x:f>IF(AND(H$3&gt;=$B$67,H$3&lt;EDATE($B$67,MAX(1,'Вводные'!$K$73)),AND($B$63="Да",IFERROR(INDEX('Вводные'!$B$88:$B$91,$B$64),"Нет")="Да")),1,0)</x:f>
      </x:c>
      <x:c r="I74" s="35" t="n">
        <x:f>IF(AND(I$3&gt;=$B$67,I$3&lt;EDATE($B$67,MAX(1,'Вводные'!$K$73)),AND($B$63="Да",IFERROR(INDEX('Вводные'!$B$88:$B$91,$B$64),"Нет")="Да")),1,0)</x:f>
      </x:c>
      <x:c r="J74" s="35" t="n">
        <x:f>IF(AND(J$3&gt;=$B$67,J$3&lt;EDATE($B$67,MAX(1,'Вводные'!$K$73)),AND($B$63="Да",IFERROR(INDEX('Вводные'!$B$88:$B$91,$B$64),"Нет")="Да")),1,0)</x:f>
      </x:c>
      <x:c r="K74" s="35" t="n">
        <x:f>IF(AND(K$3&gt;=$B$67,K$3&lt;EDATE($B$67,MAX(1,'Вводные'!$K$73)),AND($B$63="Да",IFERROR(INDEX('Вводные'!$B$88:$B$91,$B$64),"Нет")="Да")),1,0)</x:f>
      </x:c>
      <x:c r="L74" s="35" t="n">
        <x:f>IF(AND(L$3&gt;=$B$67,L$3&lt;EDATE($B$67,MAX(1,'Вводные'!$K$73)),AND($B$63="Да",IFERROR(INDEX('Вводные'!$B$88:$B$91,$B$64),"Нет")="Да")),1,0)</x:f>
      </x:c>
      <x:c r="M74" s="35" t="n">
        <x:f>IF(AND(M$3&gt;=$B$67,M$3&lt;EDATE($B$67,MAX(1,'Вводные'!$K$73)),AND($B$63="Да",IFERROR(INDEX('Вводные'!$B$88:$B$91,$B$64),"Нет")="Да")),1,0)</x:f>
      </x:c>
      <x:c r="N74" s="35" t="n">
        <x:f>IF(AND(N$3&gt;=$B$67,N$3&lt;EDATE($B$67,MAX(1,'Вводные'!$K$73)),AND($B$63="Да",IFERROR(INDEX('Вводные'!$B$88:$B$91,$B$64),"Нет")="Да")),1,0)</x:f>
      </x:c>
      <x:c r="O74" s="35" t="n">
        <x:f>IF(AND(O$3&gt;=$B$67,O$3&lt;EDATE($B$67,MAX(1,'Вводные'!$K$73)),AND($B$63="Да",IFERROR(INDEX('Вводные'!$B$88:$B$91,$B$64),"Нет")="Да")),1,0)</x:f>
      </x:c>
      <x:c r="P74" s="35" t="n">
        <x:f>IF(AND(P$3&gt;=$B$67,P$3&lt;EDATE($B$67,MAX(1,'Вводные'!$K$73)),AND($B$63="Да",IFERROR(INDEX('Вводные'!$B$88:$B$91,$B$64),"Нет")="Да")),1,0)</x:f>
      </x:c>
      <x:c r="Q74" s="35" t="n">
        <x:f>IF(AND(Q$3&gt;=$B$67,Q$3&lt;EDATE($B$67,MAX(1,'Вводные'!$K$73)),AND($B$63="Да",IFERROR(INDEX('Вводные'!$B$88:$B$91,$B$64),"Нет")="Да")),1,0)</x:f>
      </x:c>
      <x:c r="R74" s="35" t="n">
        <x:f>IF(AND(R$3&gt;=$B$67,R$3&lt;EDATE($B$67,MAX(1,'Вводные'!$K$73)),AND($B$63="Да",IFERROR(INDEX('Вводные'!$B$88:$B$91,$B$64),"Нет")="Да")),1,0)</x:f>
      </x:c>
      <x:c r="S74" s="35" t="n">
        <x:f>IF(AND(S$3&gt;=$B$67,S$3&lt;EDATE($B$67,MAX(1,'Вводные'!$K$73)),AND($B$63="Да",IFERROR(INDEX('Вводные'!$B$88:$B$91,$B$64),"Нет")="Да")),1,0)</x:f>
      </x:c>
      <x:c r="T74" s="35" t="n">
        <x:f>IF(AND(T$3&gt;=$B$67,T$3&lt;EDATE($B$67,MAX(1,'Вводные'!$K$73)),AND($B$63="Да",IFERROR(INDEX('Вводные'!$B$88:$B$91,$B$64),"Нет")="Да")),1,0)</x:f>
      </x:c>
      <x:c r="U74" s="35" t="n">
        <x:f>IF(AND(U$3&gt;=$B$67,U$3&lt;EDATE($B$67,MAX(1,'Вводные'!$K$73)),AND($B$63="Да",IFERROR(INDEX('Вводные'!$B$88:$B$91,$B$64),"Нет")="Да")),1,0)</x:f>
      </x:c>
      <x:c r="V74" s="35" t="n">
        <x:f>IF(AND(V$3&gt;=$B$67,V$3&lt;EDATE($B$67,MAX(1,'Вводные'!$K$73)),AND($B$63="Да",IFERROR(INDEX('Вводные'!$B$88:$B$91,$B$64),"Нет")="Да")),1,0)</x:f>
      </x:c>
      <x:c r="W74" s="35" t="n">
        <x:f>IF(AND(W$3&gt;=$B$67,W$3&lt;EDATE($B$67,MAX(1,'Вводные'!$K$73)),AND($B$63="Да",IFERROR(INDEX('Вводные'!$B$88:$B$91,$B$64),"Нет")="Да")),1,0)</x:f>
      </x:c>
      <x:c r="X74" s="35" t="n">
        <x:f>IF(AND(X$3&gt;=$B$67,X$3&lt;EDATE($B$67,MAX(1,'Вводные'!$K$73)),AND($B$63="Да",IFERROR(INDEX('Вводные'!$B$88:$B$91,$B$64),"Нет")="Да")),1,0)</x:f>
      </x:c>
      <x:c r="Y74" s="35" t="n">
        <x:f>IF(AND(Y$3&gt;=$B$67,Y$3&lt;EDATE($B$67,MAX(1,'Вводные'!$K$73)),AND($B$63="Да",IFERROR(INDEX('Вводные'!$B$88:$B$91,$B$64),"Нет")="Да")),1,0)</x:f>
      </x:c>
      <x:c r="Z74" s="35" t="n">
        <x:f>IF(AND(Z$3&gt;=$B$67,Z$3&lt;EDATE($B$67,MAX(1,'Вводные'!$K$73)),AND($B$63="Да",IFERROR(INDEX('Вводные'!$B$88:$B$91,$B$64),"Нет")="Да")),1,0)</x:f>
      </x:c>
      <x:c r="AA74" s="35" t="n">
        <x:f>IF(AND(AA$3&gt;=$B$67,AA$3&lt;EDATE($B$67,MAX(1,'Вводные'!$K$73)),AND($B$63="Да",IFERROR(INDEX('Вводные'!$B$88:$B$91,$B$64),"Нет")="Да")),1,0)</x:f>
      </x:c>
      <x:c r="AB74" s="35" t="n">
        <x:f>IF(AND(AB$3&gt;=$B$67,AB$3&lt;EDATE($B$67,MAX(1,'Вводные'!$K$73)),AND($B$63="Да",IFERROR(INDEX('Вводные'!$B$88:$B$91,$B$64),"Нет")="Да")),1,0)</x:f>
      </x:c>
      <x:c r="AC74" s="35" t="n">
        <x:f>IF(AND(AC$3&gt;=$B$67,AC$3&lt;EDATE($B$67,MAX(1,'Вводные'!$K$73)),AND($B$63="Да",IFERROR(INDEX('Вводные'!$B$88:$B$91,$B$64),"Нет")="Да")),1,0)</x:f>
      </x:c>
      <x:c r="AD74" s="35" t="n">
        <x:f>IF(AND(AD$3&gt;=$B$67,AD$3&lt;EDATE($B$67,MAX(1,'Вводные'!$K$73)),AND($B$63="Да",IFERROR(INDEX('Вводные'!$B$88:$B$91,$B$64),"Нет")="Да")),1,0)</x:f>
      </x:c>
      <x:c r="AE74" s="35" t="n">
        <x:f>IF(AND(AE$3&gt;=$B$67,AE$3&lt;EDATE($B$67,MAX(1,'Вводные'!$K$73)),AND($B$63="Да",IFERROR(INDEX('Вводные'!$B$88:$B$91,$B$64),"Нет")="Да")),1,0)</x:f>
      </x:c>
      <x:c r="AF74" s="35" t="n">
        <x:f>IF(AND(AF$3&gt;=$B$67,AF$3&lt;EDATE($B$67,MAX(1,'Вводные'!$K$73)),AND($B$63="Да",IFERROR(INDEX('Вводные'!$B$88:$B$91,$B$64),"Нет")="Да")),1,0)</x:f>
      </x:c>
      <x:c r="AG74" s="35" t="n">
        <x:f>IF(AND(AG$3&gt;=$B$67,AG$3&lt;EDATE($B$67,MAX(1,'Вводные'!$K$73)),AND($B$63="Да",IFERROR(INDEX('Вводные'!$B$88:$B$91,$B$64),"Нет")="Да")),1,0)</x:f>
      </x:c>
      <x:c r="AH74" s="35" t="n">
        <x:f>IF(AND(AH$3&gt;=$B$67,AH$3&lt;EDATE($B$67,MAX(1,'Вводные'!$K$73)),AND($B$63="Да",IFERROR(INDEX('Вводные'!$B$88:$B$91,$B$64),"Нет")="Да")),1,0)</x:f>
      </x:c>
      <x:c r="AI74" s="35" t="n">
        <x:f>IF(AND(AI$3&gt;=$B$67,AI$3&lt;EDATE($B$67,MAX(1,'Вводные'!$K$73)),AND($B$63="Да",IFERROR(INDEX('Вводные'!$B$88:$B$91,$B$64),"Нет")="Да")),1,0)</x:f>
      </x:c>
      <x:c r="AJ74" s="35" t="n">
        <x:f>IF(AND(AJ$3&gt;=$B$67,AJ$3&lt;EDATE($B$67,MAX(1,'Вводные'!$K$73)),AND($B$63="Да",IFERROR(INDEX('Вводные'!$B$88:$B$91,$B$64),"Нет")="Да")),1,0)</x:f>
      </x:c>
      <x:c r="AK74" s="35" t="n">
        <x:f>IF(AND(AK$3&gt;=$B$67,AK$3&lt;EDATE($B$67,MAX(1,'Вводные'!$K$73)),AND($B$63="Да",IFERROR(INDEX('Вводные'!$B$88:$B$91,$B$64),"Нет")="Да")),1,0)</x:f>
      </x:c>
      <x:c r="AL74" s="35" t="n">
        <x:f>IF(AND(AL$3&gt;=$B$67,AL$3&lt;EDATE($B$67,MAX(1,'Вводные'!$K$73)),AND($B$63="Да",IFERROR(INDEX('Вводные'!$B$88:$B$91,$B$64),"Нет")="Да")),1,0)</x:f>
      </x:c>
      <x:c r="AM74" s="35" t="n">
        <x:f>IF(AND(AM$3&gt;=$B$67,AM$3&lt;EDATE($B$67,MAX(1,'Вводные'!$K$73)),AND($B$63="Да",IFERROR(INDEX('Вводные'!$B$88:$B$91,$B$64),"Нет")="Да")),1,0)</x:f>
      </x:c>
      <x:c r="AN74" s="35" t="n">
        <x:f>IF(AND(AN$3&gt;=$B$67,AN$3&lt;EDATE($B$67,MAX(1,'Вводные'!$K$73)),AND($B$63="Да",IFERROR(INDEX('Вводные'!$B$88:$B$91,$B$64),"Нет")="Да")),1,0)</x:f>
      </x:c>
      <x:c r="AO74" s="35" t="n">
        <x:f>IF(AND(AO$3&gt;=$B$67,AO$3&lt;EDATE($B$67,MAX(1,'Вводные'!$K$73)),AND($B$63="Да",IFERROR(INDEX('Вводные'!$B$88:$B$91,$B$64),"Нет")="Да")),1,0)</x:f>
      </x:c>
      <x:c r="AP74" s="35" t="n">
        <x:f>IF(AND(AP$3&gt;=$B$67,AP$3&lt;EDATE($B$67,MAX(1,'Вводные'!$K$73)),AND($B$63="Да",IFERROR(INDEX('Вводные'!$B$88:$B$91,$B$64),"Нет")="Да")),1,0)</x:f>
      </x:c>
      <x:c r="AQ74" s="35" t="n">
        <x:f>IF(AND(AQ$3&gt;=$B$67,AQ$3&lt;EDATE($B$67,MAX(1,'Вводные'!$K$73)),AND($B$63="Да",IFERROR(INDEX('Вводные'!$B$88:$B$91,$B$64),"Нет")="Да")),1,0)</x:f>
      </x:c>
      <x:c r="AR74" s="35" t="n">
        <x:f>IF(AND(AR$3&gt;=$B$67,AR$3&lt;EDATE($B$67,MAX(1,'Вводные'!$K$73)),AND($B$63="Да",IFERROR(INDEX('Вводные'!$B$88:$B$91,$B$64),"Нет")="Да")),1,0)</x:f>
      </x:c>
      <x:c r="AS74" s="35" t="n">
        <x:f>IF(AND(AS$3&gt;=$B$67,AS$3&lt;EDATE($B$67,MAX(1,'Вводные'!$K$73)),AND($B$63="Да",IFERROR(INDEX('Вводные'!$B$88:$B$91,$B$64),"Нет")="Да")),1,0)</x:f>
      </x:c>
      <x:c r="AT74" s="35" t="n">
        <x:f>IF(AND(AT$3&gt;=$B$67,AT$3&lt;EDATE($B$67,MAX(1,'Вводные'!$K$73)),AND($B$63="Да",IFERROR(INDEX('Вводные'!$B$88:$B$91,$B$64),"Нет")="Да")),1,0)</x:f>
      </x:c>
      <x:c r="AU74" s="35" t="n">
        <x:f>IF(AND(AU$3&gt;=$B$67,AU$3&lt;EDATE($B$67,MAX(1,'Вводные'!$K$73)),AND($B$63="Да",IFERROR(INDEX('Вводные'!$B$88:$B$91,$B$64),"Нет")="Да")),1,0)</x:f>
      </x:c>
      <x:c r="AV74" s="35" t="n">
        <x:f>IF(AND(AV$3&gt;=$B$67,AV$3&lt;EDATE($B$67,MAX(1,'Вводные'!$K$73)),AND($B$63="Да",IFERROR(INDEX('Вводные'!$B$88:$B$91,$B$64),"Нет")="Да")),1,0)</x:f>
      </x:c>
      <x:c r="AW74" s="35" t="n">
        <x:f>IF(AND(AW$3&gt;=$B$67,AW$3&lt;EDATE($B$67,MAX(1,'Вводные'!$K$73)),AND($B$63="Да",IFERROR(INDEX('Вводные'!$B$88:$B$91,$B$64),"Нет")="Да")),1,0)</x:f>
      </x:c>
      <x:c r="AX74" s="35" t="n">
        <x:f>IF(AND(AX$3&gt;=$B$67,AX$3&lt;EDATE($B$67,MAX(1,'Вводные'!$K$73)),AND($B$63="Да",IFERROR(INDEX('Вводные'!$B$88:$B$91,$B$64),"Нет")="Да")),1,0)</x:f>
      </x:c>
      <x:c r="AY74" s="35" t="n">
        <x:f>IF(AND(AY$3&gt;=$B$67,AY$3&lt;EDATE($B$67,MAX(1,'Вводные'!$K$73)),AND($B$63="Да",IFERROR(INDEX('Вводные'!$B$88:$B$91,$B$64),"Нет")="Да")),1,0)</x:f>
      </x:c>
      <x:c r="AZ74" s="35" t="n">
        <x:f>IF(AND(AZ$3&gt;=$B$67,AZ$3&lt;EDATE($B$67,MAX(1,'Вводные'!$K$73)),AND($B$63="Да",IFERROR(INDEX('Вводные'!$B$88:$B$91,$B$64),"Нет")="Да")),1,0)</x:f>
      </x:c>
      <x:c r="BA74" s="35" t="n">
        <x:f>IF(AND(BA$3&gt;=$B$67,BA$3&lt;EDATE($B$67,MAX(1,'Вводные'!$K$73)),AND($B$63="Да",IFERROR(INDEX('Вводные'!$B$88:$B$91,$B$64),"Нет")="Да")),1,0)</x:f>
      </x:c>
      <x:c r="BB74" s="35" t="n">
        <x:f>IF(AND(BB$3&gt;=$B$67,BB$3&lt;EDATE($B$67,MAX(1,'Вводные'!$K$73)),AND($B$63="Да",IFERROR(INDEX('Вводные'!$B$88:$B$91,$B$64),"Нет")="Да")),1,0)</x:f>
      </x:c>
      <x:c r="BC74" s="35" t="n">
        <x:f>IF(AND(BC$3&gt;=$B$67,BC$3&lt;EDATE($B$67,MAX(1,'Вводные'!$K$73)),AND($B$63="Да",IFERROR(INDEX('Вводные'!$B$88:$B$91,$B$64),"Нет")="Да")),1,0)</x:f>
      </x:c>
      <x:c r="BD74" s="35" t="n">
        <x:f>IF(AND(BD$3&gt;=$B$67,BD$3&lt;EDATE($B$67,MAX(1,'Вводные'!$K$73)),AND($B$63="Да",IFERROR(INDEX('Вводные'!$B$88:$B$91,$B$64),"Нет")="Да")),1,0)</x:f>
      </x:c>
      <x:c r="BE74" s="35" t="n">
        <x:f>IF(AND(BE$3&gt;=$B$67,BE$3&lt;EDATE($B$67,MAX(1,'Вводные'!$K$73)),AND($B$63="Да",IFERROR(INDEX('Вводные'!$B$88:$B$91,$B$64),"Нет")="Да")),1,0)</x:f>
      </x:c>
      <x:c r="BF74" s="35" t="n">
        <x:f>IF(AND(BF$3&gt;=$B$67,BF$3&lt;EDATE($B$67,MAX(1,'Вводные'!$K$73)),AND($B$63="Да",IFERROR(INDEX('Вводные'!$B$88:$B$91,$B$64),"Нет")="Да")),1,0)</x:f>
      </x:c>
      <x:c r="BG74" s="35" t="n">
        <x:f>IF(AND(BG$3&gt;=$B$67,BG$3&lt;EDATE($B$67,MAX(1,'Вводные'!$K$73)),AND($B$63="Да",IFERROR(INDEX('Вводные'!$B$88:$B$91,$B$64),"Нет")="Да")),1,0)</x:f>
      </x:c>
      <x:c r="BH74" s="35" t="n">
        <x:f>IF(AND(BH$3&gt;=$B$67,BH$3&lt;EDATE($B$67,MAX(1,'Вводные'!$K$73)),AND($B$63="Да",IFERROR(INDEX('Вводные'!$B$88:$B$91,$B$64),"Нет")="Да")),1,0)</x:f>
      </x:c>
      <x:c r="BI74" s="35" t="n">
        <x:f>IF(AND(BI$3&gt;=$B$67,BI$3&lt;EDATE($B$67,MAX(1,'Вводные'!$K$73)),AND($B$63="Да",IFERROR(INDEX('Вводные'!$B$88:$B$91,$B$64),"Нет")="Да")),1,0)</x:f>
      </x:c>
      <x:c r="BJ74" s="35" t="n">
        <x:f>IF(AND(BJ$3&gt;=$B$67,BJ$3&lt;EDATE($B$67,MAX(1,'Вводные'!$K$73)),AND($B$63="Да",IFERROR(INDEX('Вводные'!$B$88:$B$91,$B$64),"Нет")="Да")),1,0)</x:f>
      </x:c>
      <x:c r="BK74" s="35" t="n">
        <x:f>IF(AND(BK$3&gt;=$B$67,BK$3&lt;EDATE($B$67,MAX(1,'Вводные'!$K$73)),AND($B$63="Да",IFERROR(INDEX('Вводные'!$B$88:$B$91,$B$64),"Нет")="Да")),1,0)</x:f>
      </x:c>
      <x:c r="BL74" s="35" t="n">
        <x:f>IF(AND(BL$3&gt;=$B$67,BL$3&lt;EDATE($B$67,MAX(1,'Вводные'!$K$73)),AND($B$63="Да",IFERROR(INDEX('Вводные'!$B$88:$B$91,$B$64),"Нет")="Да")),1,0)</x:f>
      </x:c>
      <x:c r="BM74" s="35" t="n">
        <x:f>IF(AND(BM$3&gt;=$B$67,BM$3&lt;EDATE($B$67,MAX(1,'Вводные'!$K$73)),AND($B$63="Да",IFERROR(INDEX('Вводные'!$B$88:$B$91,$B$64),"Нет")="Да")),1,0)</x:f>
      </x:c>
      <x:c r="BN74" s="35" t="n">
        <x:f>IF(AND(BN$3&gt;=$B$67,BN$3&lt;EDATE($B$67,MAX(1,'Вводные'!$K$73)),AND($B$63="Да",IFERROR(INDEX('Вводные'!$B$88:$B$91,$B$64),"Нет")="Да")),1,0)</x:f>
      </x:c>
      <x:c r="BO74" s="35" t="n">
        <x:f>IF(AND(BO$3&gt;=$B$67,BO$3&lt;EDATE($B$67,MAX(1,'Вводные'!$K$73)),AND($B$63="Да",IFERROR(INDEX('Вводные'!$B$88:$B$91,$B$64),"Нет")="Да")),1,0)</x:f>
      </x:c>
      <x:c r="BP74" s="35" t="n">
        <x:f>IF(AND(BP$3&gt;=$B$67,BP$3&lt;EDATE($B$67,MAX(1,'Вводные'!$K$73)),AND($B$63="Да",IFERROR(INDEX('Вводные'!$B$88:$B$91,$B$64),"Нет")="Да")),1,0)</x:f>
      </x:c>
      <x:c r="BQ74" s="35" t="n">
        <x:f>IF(AND(BQ$3&gt;=$B$67,BQ$3&lt;EDATE($B$67,MAX(1,'Вводные'!$K$73)),AND($B$63="Да",IFERROR(INDEX('Вводные'!$B$88:$B$91,$B$64),"Нет")="Да")),1,0)</x:f>
      </x:c>
      <x:c r="BR74" s="35" t="n">
        <x:f>IF(AND(BR$3&gt;=$B$67,BR$3&lt;EDATE($B$67,MAX(1,'Вводные'!$K$73)),AND($B$63="Да",IFERROR(INDEX('Вводные'!$B$88:$B$91,$B$64),"Нет")="Да")),1,0)</x:f>
      </x:c>
      <x:c r="BS74" s="35" t="n">
        <x:f>IF(AND(BS$3&gt;=$B$67,BS$3&lt;EDATE($B$67,MAX(1,'Вводные'!$K$73)),AND($B$63="Да",IFERROR(INDEX('Вводные'!$B$88:$B$91,$B$64),"Нет")="Да")),1,0)</x:f>
      </x:c>
      <x:c r="BT74" s="35" t="n">
        <x:f>IF(AND(BT$3&gt;=$B$67,BT$3&lt;EDATE($B$67,MAX(1,'Вводные'!$K$73)),AND($B$63="Да",IFERROR(INDEX('Вводные'!$B$88:$B$91,$B$64),"Нет")="Да")),1,0)</x:f>
      </x:c>
      <x:c r="BU74" s="35" t="n">
        <x:f>IF(AND(BU$3&gt;=$B$67,BU$3&lt;EDATE($B$67,MAX(1,'Вводные'!$K$73)),AND($B$63="Да",IFERROR(INDEX('Вводные'!$B$88:$B$91,$B$64),"Нет")="Да")),1,0)</x:f>
      </x:c>
      <x:c r="BV74" s="35" t="n">
        <x:f>IF(AND(BV$3&gt;=$B$67,BV$3&lt;EDATE($B$67,MAX(1,'Вводные'!$K$73)),AND($B$63="Да",IFERROR(INDEX('Вводные'!$B$88:$B$91,$B$64),"Нет")="Да")),1,0)</x:f>
      </x:c>
      <x:c r="BW74" s="35" t="n">
        <x:f>IF(AND(BW$3&gt;=$B$67,BW$3&lt;EDATE($B$67,MAX(1,'Вводные'!$K$73)),AND($B$63="Да",IFERROR(INDEX('Вводные'!$B$88:$B$91,$B$64),"Нет")="Да")),1,0)</x:f>
      </x:c>
      <x:c r="BX74" s="35" t="n">
        <x:f>IF(AND(BX$3&gt;=$B$67,BX$3&lt;EDATE($B$67,MAX(1,'Вводные'!$K$73)),AND($B$63="Да",IFERROR(INDEX('Вводные'!$B$88:$B$91,$B$64),"Нет")="Да")),1,0)</x:f>
      </x:c>
      <x:c r="BY74" s="35" t="n">
        <x:f>IF(AND(BY$3&gt;=$B$67,BY$3&lt;EDATE($B$67,MAX(1,'Вводные'!$K$73)),AND($B$63="Да",IFERROR(INDEX('Вводные'!$B$88:$B$91,$B$64),"Нет")="Да")),1,0)</x:f>
      </x:c>
      <x:c r="BZ74" s="35" t="n">
        <x:f>IF(AND(BZ$3&gt;=$B$67,BZ$3&lt;EDATE($B$67,MAX(1,'Вводные'!$K$73)),AND($B$63="Да",IFERROR(INDEX('Вводные'!$B$88:$B$91,$B$64),"Нет")="Да")),1,0)</x:f>
      </x:c>
      <x:c r="CA74" s="35" t="n">
        <x:f>IF(AND(CA$3&gt;=$B$67,CA$3&lt;EDATE($B$67,MAX(1,'Вводные'!$K$73)),AND($B$63="Да",IFERROR(INDEX('Вводные'!$B$88:$B$91,$B$64),"Нет")="Да")),1,0)</x:f>
      </x:c>
      <x:c r="CB74" s="35" t="n">
        <x:f>IF(AND(CB$3&gt;=$B$67,CB$3&lt;EDATE($B$67,MAX(1,'Вводные'!$K$73)),AND($B$63="Да",IFERROR(INDEX('Вводные'!$B$88:$B$91,$B$64),"Нет")="Да")),1,0)</x:f>
      </x:c>
      <x:c r="CC74" s="35" t="n">
        <x:f>IF(AND(CC$3&gt;=$B$67,CC$3&lt;EDATE($B$67,MAX(1,'Вводные'!$K$73)),AND($B$63="Да",IFERROR(INDEX('Вводные'!$B$88:$B$91,$B$64),"Нет")="Да")),1,0)</x:f>
      </x:c>
      <x:c r="CD74" s="35" t="n">
        <x:f>IF(AND(CD$3&gt;=$B$67,CD$3&lt;EDATE($B$67,MAX(1,'Вводные'!$K$73)),AND($B$63="Да",IFERROR(INDEX('Вводные'!$B$88:$B$91,$B$64),"Нет")="Да")),1,0)</x:f>
      </x:c>
      <x:c r="CE74" s="35" t="n">
        <x:f>IF(AND(CE$3&gt;=$B$67,CE$3&lt;EDATE($B$67,MAX(1,'Вводные'!$K$73)),AND($B$63="Да",IFERROR(INDEX('Вводные'!$B$88:$B$91,$B$64),"Нет")="Да")),1,0)</x:f>
      </x:c>
      <x:c r="CF74" s="35" t="n">
        <x:f>IF(AND(CF$3&gt;=$B$67,CF$3&lt;EDATE($B$67,MAX(1,'Вводные'!$K$73)),AND($B$63="Да",IFERROR(INDEX('Вводные'!$B$88:$B$91,$B$64),"Нет")="Да")),1,0)</x:f>
      </x:c>
      <x:c r="CG74" s="35" t="n">
        <x:f>IF(AND(CG$3&gt;=$B$67,CG$3&lt;EDATE($B$67,MAX(1,'Вводные'!$K$73)),AND($B$63="Да",IFERROR(INDEX('Вводные'!$B$88:$B$91,$B$64),"Нет")="Да")),1,0)</x:f>
      </x:c>
      <x:c r="CH74" s="35" t="n">
        <x:f>IF(AND(CH$3&gt;=$B$67,CH$3&lt;EDATE($B$67,MAX(1,'Вводные'!$K$73)),AND($B$63="Да",IFERROR(INDEX('Вводные'!$B$88:$B$91,$B$64),"Нет")="Да")),1,0)</x:f>
      </x:c>
      <x:c r="CI74" s="35" t="n">
        <x:f>IF(AND(CI$3&gt;=$B$67,CI$3&lt;EDATE($B$67,MAX(1,'Вводные'!$K$73)),AND($B$63="Да",IFERROR(INDEX('Вводные'!$B$88:$B$91,$B$64),"Нет")="Да")),1,0)</x:f>
      </x:c>
      <x:c r="CJ74" s="35" t="n">
        <x:f>IF(AND(CJ$3&gt;=$B$67,CJ$3&lt;EDATE($B$67,MAX(1,'Вводные'!$K$73)),AND($B$63="Да",IFERROR(INDEX('Вводные'!$B$88:$B$91,$B$64),"Нет")="Да")),1,0)</x:f>
      </x:c>
      <x:c r="CK74" s="35" t="n">
        <x:f>IF(AND(CK$3&gt;=$B$67,CK$3&lt;EDATE($B$67,MAX(1,'Вводные'!$K$73)),AND($B$63="Да",IFERROR(INDEX('Вводные'!$B$88:$B$91,$B$64),"Нет")="Да")),1,0)</x:f>
      </x:c>
      <x:c r="CL74" s="35" t="n">
        <x:f>IF(AND(CL$3&gt;=$B$67,CL$3&lt;EDATE($B$67,MAX(1,'Вводные'!$K$73)),AND($B$63="Да",IFERROR(INDEX('Вводные'!$B$88:$B$91,$B$64),"Нет")="Да")),1,0)</x:f>
      </x:c>
      <x:c r="CM74" s="35" t="n">
        <x:f>IF(AND(CM$3&gt;=$B$67,CM$3&lt;EDATE($B$67,MAX(1,'Вводные'!$K$73)),AND($B$63="Да",IFERROR(INDEX('Вводные'!$B$88:$B$91,$B$64),"Нет")="Да")),1,0)</x:f>
      </x:c>
      <x:c r="CN74" s="35" t="n">
        <x:f>IF(AND(CN$3&gt;=$B$67,CN$3&lt;EDATE($B$67,MAX(1,'Вводные'!$K$73)),AND($B$63="Да",IFERROR(INDEX('Вводные'!$B$88:$B$91,$B$64),"Нет")="Да")),1,0)</x:f>
      </x:c>
      <x:c r="CO74" s="35" t="n">
        <x:f>IF(AND(CO$3&gt;=$B$67,CO$3&lt;EDATE($B$67,MAX(1,'Вводные'!$K$73)),AND($B$63="Да",IFERROR(INDEX('Вводные'!$B$88:$B$91,$B$64),"Нет")="Да")),1,0)</x:f>
      </x:c>
      <x:c r="CP74" s="35" t="n">
        <x:f>IF(AND(CP$3&gt;=$B$67,CP$3&lt;EDATE($B$67,MAX(1,'Вводные'!$K$73)),AND($B$63="Да",IFERROR(INDEX('Вводные'!$B$88:$B$91,$B$64),"Нет")="Да")),1,0)</x:f>
      </x:c>
      <x:c r="CQ74" s="35" t="n">
        <x:f>IF(AND(CQ$3&gt;=$B$67,CQ$3&lt;EDATE($B$67,MAX(1,'Вводные'!$K$73)),AND($B$63="Да",IFERROR(INDEX('Вводные'!$B$88:$B$91,$B$64),"Нет")="Да")),1,0)</x:f>
      </x:c>
      <x:c r="CR74" s="35" t="n">
        <x:f>IF(AND(CR$3&gt;=$B$67,CR$3&lt;EDATE($B$67,MAX(1,'Вводные'!$K$73)),AND($B$63="Да",IFERROR(INDEX('Вводные'!$B$88:$B$91,$B$64),"Нет")="Да")),1,0)</x:f>
      </x:c>
      <x:c r="CS74" s="35" t="n">
        <x:f>IF(AND(CS$3&gt;=$B$67,CS$3&lt;EDATE($B$67,MAX(1,'Вводные'!$K$73)),AND($B$63="Да",IFERROR(INDEX('Вводные'!$B$88:$B$91,$B$64),"Нет")="Да")),1,0)</x:f>
      </x:c>
      <x:c r="CT74" s="35" t="n">
        <x:f>IF(AND(CT$3&gt;=$B$67,CT$3&lt;EDATE($B$67,MAX(1,'Вводные'!$K$73)),AND($B$63="Да",IFERROR(INDEX('Вводные'!$B$88:$B$91,$B$64),"Нет")="Да")),1,0)</x:f>
      </x:c>
      <x:c r="CU74" s="35" t="n">
        <x:f>IF(AND(CU$3&gt;=$B$67,CU$3&lt;EDATE($B$67,MAX(1,'Вводные'!$K$73)),AND($B$63="Да",IFERROR(INDEX('Вводные'!$B$88:$B$91,$B$64),"Нет")="Да")),1,0)</x:f>
      </x:c>
      <x:c r="CV74" s="35" t="n">
        <x:f>IF(AND(CV$3&gt;=$B$67,CV$3&lt;EDATE($B$67,MAX(1,'Вводные'!$K$73)),AND($B$63="Да",IFERROR(INDEX('Вводные'!$B$88:$B$91,$B$64),"Нет")="Да")),1,0)</x:f>
      </x:c>
      <x:c r="CW74" s="35" t="n">
        <x:f>IF(AND(CW$3&gt;=$B$67,CW$3&lt;EDATE($B$67,MAX(1,'Вводные'!$K$73)),AND($B$63="Да",IFERROR(INDEX('Вводные'!$B$88:$B$91,$B$64),"Нет")="Да")),1,0)</x:f>
      </x:c>
      <x:c r="CX74" s="35" t="n">
        <x:f>IF(AND(CX$3&gt;=$B$67,CX$3&lt;EDATE($B$67,MAX(1,'Вводные'!$K$73)),AND($B$63="Да",IFERROR(INDEX('Вводные'!$B$88:$B$91,$B$64),"Нет")="Да")),1,0)</x:f>
      </x:c>
      <x:c r="CY74" s="35" t="n">
        <x:f>IF(AND(CY$3&gt;=$B$67,CY$3&lt;EDATE($B$67,MAX(1,'Вводные'!$K$73)),AND($B$63="Да",IFERROR(INDEX('Вводные'!$B$88:$B$91,$B$64),"Нет")="Да")),1,0)</x:f>
      </x:c>
      <x:c r="CZ74" s="35" t="n">
        <x:f>IF(AND(CZ$3&gt;=$B$67,CZ$3&lt;EDATE($B$67,MAX(1,'Вводные'!$K$73)),AND($B$63="Да",IFERROR(INDEX('Вводные'!$B$88:$B$91,$B$64),"Нет")="Да")),1,0)</x:f>
      </x:c>
      <x:c r="DA74" s="35" t="n">
        <x:f>IF(AND(DA$3&gt;=$B$67,DA$3&lt;EDATE($B$67,MAX(1,'Вводные'!$K$73)),AND($B$63="Да",IFERROR(INDEX('Вводные'!$B$88:$B$91,$B$64),"Нет")="Да")),1,0)</x:f>
      </x:c>
      <x:c r="DB74" s="35" t="n">
        <x:f>IF(AND(DB$3&gt;=$B$67,DB$3&lt;EDATE($B$67,MAX(1,'Вводные'!$K$73)),AND($B$63="Да",IFERROR(INDEX('Вводные'!$B$88:$B$91,$B$64),"Нет")="Да")),1,0)</x:f>
      </x:c>
      <x:c r="DC74" s="35" t="n">
        <x:f>IF(AND(DC$3&gt;=$B$67,DC$3&lt;EDATE($B$67,MAX(1,'Вводные'!$K$73)),AND($B$63="Да",IFERROR(INDEX('Вводные'!$B$88:$B$91,$B$64),"Нет")="Да")),1,0)</x:f>
      </x:c>
      <x:c r="DD74" s="35" t="n">
        <x:f>IF(AND(DD$3&gt;=$B$67,DD$3&lt;EDATE($B$67,MAX(1,'Вводные'!$K$73)),AND($B$63="Да",IFERROR(INDEX('Вводные'!$B$88:$B$91,$B$64),"Нет")="Да")),1,0)</x:f>
      </x:c>
      <x:c r="DE74" s="35" t="n">
        <x:f>IF(AND(DE$3&gt;=$B$67,DE$3&lt;EDATE($B$67,MAX(1,'Вводные'!$K$73)),AND($B$63="Да",IFERROR(INDEX('Вводные'!$B$88:$B$91,$B$64),"Нет")="Да")),1,0)</x:f>
      </x:c>
      <x:c r="DF74" s="35" t="n">
        <x:f>IF(AND(DF$3&gt;=$B$67,DF$3&lt;EDATE($B$67,MAX(1,'Вводные'!$K$73)),AND($B$63="Да",IFERROR(INDEX('Вводные'!$B$88:$B$91,$B$64),"Нет")="Да")),1,0)</x:f>
      </x:c>
      <x:c r="DG74" s="35" t="n">
        <x:f>IF(AND(DG$3&gt;=$B$67,DG$3&lt;EDATE($B$67,MAX(1,'Вводные'!$K$73)),AND($B$63="Да",IFERROR(INDEX('Вводные'!$B$88:$B$91,$B$64),"Нет")="Да")),1,0)</x:f>
      </x:c>
      <x:c r="DH74" s="35" t="n">
        <x:f>IF(AND(DH$3&gt;=$B$67,DH$3&lt;EDATE($B$67,MAX(1,'Вводные'!$K$73)),AND($B$63="Да",IFERROR(INDEX('Вводные'!$B$88:$B$91,$B$64),"Нет")="Да")),1,0)</x:f>
      </x:c>
      <x:c r="DI74" s="35" t="n">
        <x:f>IF(AND(DI$3&gt;=$B$67,DI$3&lt;EDATE($B$67,MAX(1,'Вводные'!$K$73)),AND($B$63="Да",IFERROR(INDEX('Вводные'!$B$88:$B$91,$B$64),"Нет")="Да")),1,0)</x:f>
      </x:c>
      <x:c r="DJ74" s="35" t="n">
        <x:f>IF(AND(DJ$3&gt;=$B$67,DJ$3&lt;EDATE($B$67,MAX(1,'Вводные'!$K$73)),AND($B$63="Да",IFERROR(INDEX('Вводные'!$B$88:$B$91,$B$64),"Нет")="Да")),1,0)</x:f>
      </x:c>
      <x:c r="DK74" s="35" t="n">
        <x:f>IF(AND(DK$3&gt;=$B$67,DK$3&lt;EDATE($B$67,MAX(1,'Вводные'!$K$73)),AND($B$63="Да",IFERROR(INDEX('Вводные'!$B$88:$B$91,$B$64),"Нет")="Да")),1,0)</x:f>
      </x:c>
      <x:c r="DL74" s="35" t="n">
        <x:f>IF(AND(DL$3&gt;=$B$67,DL$3&lt;EDATE($B$67,MAX(1,'Вводные'!$K$73)),AND($B$63="Да",IFERROR(INDEX('Вводные'!$B$88:$B$91,$B$64),"Нет")="Да")),1,0)</x:f>
      </x:c>
      <x:c r="DM74" s="35" t="n">
        <x:f>IF(AND(DM$3&gt;=$B$67,DM$3&lt;EDATE($B$67,MAX(1,'Вводные'!$K$73)),AND($B$63="Да",IFERROR(INDEX('Вводные'!$B$88:$B$91,$B$64),"Нет")="Да")),1,0)</x:f>
      </x:c>
      <x:c r="DN74" s="35" t="n">
        <x:f>IF(AND(DN$3&gt;=$B$67,DN$3&lt;EDATE($B$67,MAX(1,'Вводные'!$K$73)),AND($B$63="Да",IFERROR(INDEX('Вводные'!$B$88:$B$91,$B$64),"Нет")="Да")),1,0)</x:f>
      </x:c>
      <x:c r="DO74" s="35" t="n">
        <x:f>IF(AND(DO$3&gt;=$B$67,DO$3&lt;EDATE($B$67,MAX(1,'Вводные'!$K$73)),AND($B$63="Да",IFERROR(INDEX('Вводные'!$B$88:$B$91,$B$64),"Нет")="Да")),1,0)</x:f>
      </x:c>
      <x:c r="DP74" s="35" t="n">
        <x:f>IF(AND(DP$3&gt;=$B$67,DP$3&lt;EDATE($B$67,MAX(1,'Вводные'!$K$73)),AND($B$63="Да",IFERROR(INDEX('Вводные'!$B$88:$B$91,$B$64),"Нет")="Да")),1,0)</x:f>
      </x:c>
      <x:c r="DQ74" s="35" t="n">
        <x:f>IF(AND(DQ$3&gt;=$B$67,DQ$3&lt;EDATE($B$67,MAX(1,'Вводные'!$K$73)),AND($B$63="Да",IFERROR(INDEX('Вводные'!$B$88:$B$91,$B$64),"Нет")="Да")),1,0)</x:f>
      </x:c>
      <x:c r="DR74" s="35" t="n">
        <x:f>IF(AND(DR$3&gt;=$B$67,DR$3&lt;EDATE($B$67,MAX(1,'Вводные'!$K$73)),AND($B$63="Да",IFERROR(INDEX('Вводные'!$B$88:$B$91,$B$64),"Нет")="Да")),1,0)</x:f>
      </x:c>
      <x:c r="DS74" s="35" t="n">
        <x:f>IF(AND(DS$3&gt;=$B$67,DS$3&lt;EDATE($B$67,MAX(1,'Вводные'!$K$73)),AND($B$63="Да",IFERROR(INDEX('Вводные'!$B$88:$B$91,$B$64),"Нет")="Да")),1,0)</x:f>
      </x:c>
      <x:c r="DT74" s="35" t="n">
        <x:f>IF(AND(DT$3&gt;=$B$67,DT$3&lt;EDATE($B$67,MAX(1,'Вводные'!$K$73)),AND($B$63="Да",IFERROR(INDEX('Вводные'!$B$88:$B$91,$B$64),"Нет")="Да")),1,0)</x:f>
      </x:c>
      <x:c r="DU74" s="35" t="n">
        <x:f>IF(AND(DU$3&gt;=$B$67,DU$3&lt;EDATE($B$67,MAX(1,'Вводные'!$K$73)),AND($B$63="Да",IFERROR(INDEX('Вводные'!$B$88:$B$91,$B$64),"Нет")="Да")),1,0)</x:f>
      </x:c>
      <x:c r="DV74" s="35" t="n">
        <x:f>IF(AND(DV$3&gt;=$B$67,DV$3&lt;EDATE($B$67,MAX(1,'Вводные'!$K$73)),AND($B$63="Да",IFERROR(INDEX('Вводные'!$B$88:$B$91,$B$64),"Нет")="Да")),1,0)</x:f>
      </x:c>
      <x:c r="DW74" s="35" t="n">
        <x:f>IF(AND(DW$3&gt;=$B$67,DW$3&lt;EDATE($B$67,MAX(1,'Вводные'!$K$73)),AND($B$63="Да",IFERROR(INDEX('Вводные'!$B$88:$B$91,$B$64),"Нет")="Да")),1,0)</x:f>
      </x:c>
      <x:c r="DX74" s="35" t="n">
        <x:f>IF(AND(DX$3&gt;=$B$67,DX$3&lt;EDATE($B$67,MAX(1,'Вводные'!$K$73)),AND($B$63="Да",IFERROR(INDEX('Вводные'!$B$88:$B$91,$B$64),"Нет")="Да")),1,0)</x:f>
      </x:c>
      <x:c r="DY74" s="35" t="n">
        <x:f>IF(AND(DY$3&gt;=$B$67,DY$3&lt;EDATE($B$67,MAX(1,'Вводные'!$K$73)),AND($B$63="Да",IFERROR(INDEX('Вводные'!$B$88:$B$91,$B$64),"Нет")="Да")),1,0)</x:f>
      </x:c>
      <x:c r="DZ74" s="35" t="n">
        <x:f>IF(AND(DZ$3&gt;=$B$67,DZ$3&lt;EDATE($B$67,MAX(1,'Вводные'!$K$73)),AND($B$63="Да",IFERROR(INDEX('Вводные'!$B$88:$B$91,$B$64),"Нет")="Да")),1,0)</x:f>
      </x:c>
      <x:c r="EA74" s="35" t="n">
        <x:f>IF(AND(EA$3&gt;=$B$67,EA$3&lt;EDATE($B$67,MAX(1,'Вводные'!$K$73)),AND($B$63="Да",IFERROR(INDEX('Вводные'!$B$88:$B$91,$B$64),"Нет")="Да")),1,0)</x:f>
      </x:c>
      <x:c r="EB74" s="35" t="n">
        <x:f>IF(AND(EB$3&gt;=$B$67,EB$3&lt;EDATE($B$67,MAX(1,'Вводные'!$K$73)),AND($B$63="Да",IFERROR(INDEX('Вводные'!$B$88:$B$91,$B$64),"Нет")="Да")),1,0)</x:f>
      </x:c>
      <x:c r="EC74" s="35" t="n">
        <x:f>IF(AND(EC$3&gt;=$B$67,EC$3&lt;EDATE($B$67,MAX(1,'Вводные'!$K$73)),AND($B$63="Да",IFERROR(INDEX('Вводные'!$B$88:$B$91,$B$64),"Нет")="Да")),1,0)</x:f>
      </x:c>
      <x:c r="ED74" s="35" t="n">
        <x:f>IF(AND(ED$3&gt;=$B$67,ED$3&lt;EDATE($B$67,MAX(1,'Вводные'!$K$73)),AND($B$63="Да",IFERROR(INDEX('Вводные'!$B$88:$B$91,$B$64),"Нет")="Да")),1,0)</x:f>
      </x:c>
      <x:c r="EE74" s="35" t="n">
        <x:f>IF(AND(EE$3&gt;=$B$67,EE$3&lt;EDATE($B$67,MAX(1,'Вводные'!$K$73)),AND($B$63="Да",IFERROR(INDEX('Вводные'!$B$88:$B$91,$B$64),"Нет")="Да")),1,0)</x:f>
      </x:c>
      <x:c r="EF74" s="35" t="n">
        <x:f>IF(AND(EF$3&gt;=$B$67,EF$3&lt;EDATE($B$67,MAX(1,'Вводные'!$K$73)),AND($B$63="Да",IFERROR(INDEX('Вводные'!$B$88:$B$91,$B$64),"Нет")="Да")),1,0)</x:f>
      </x:c>
      <x:c r="EG74" s="35" t="n">
        <x:f>IF(AND(EG$3&gt;=$B$67,EG$3&lt;EDATE($B$67,MAX(1,'Вводные'!$K$73)),AND($B$63="Да",IFERROR(INDEX('Вводные'!$B$88:$B$91,$B$64),"Нет")="Да")),1,0)</x:f>
      </x:c>
      <x:c r="EH74" s="35" t="n">
        <x:f>IF(AND(EH$3&gt;=$B$67,EH$3&lt;EDATE($B$67,MAX(1,'Вводные'!$K$73)),AND($B$63="Да",IFERROR(INDEX('Вводные'!$B$88:$B$91,$B$64),"Нет")="Да")),1,0)</x:f>
      </x:c>
      <x:c r="EI74" s="35" t="n">
        <x:f>IF(AND(EI$3&gt;=$B$67,EI$3&lt;EDATE($B$67,MAX(1,'Вводные'!$K$73)),AND($B$63="Да",IFERROR(INDEX('Вводные'!$B$88:$B$91,$B$64),"Нет")="Да")),1,0)</x:f>
      </x:c>
      <x:c r="EJ74" s="35" t="n">
        <x:f>IF(AND(EJ$3&gt;=$B$67,EJ$3&lt;EDATE($B$67,MAX(1,'Вводные'!$K$73)),AND($B$63="Да",IFERROR(INDEX('Вводные'!$B$88:$B$91,$B$64),"Нет")="Да")),1,0)</x:f>
      </x:c>
      <x:c r="EK74" s="35" t="n">
        <x:f>IF(AND(EK$3&gt;=$B$67,EK$3&lt;EDATE($B$67,MAX(1,'Вводные'!$K$73)),AND($B$63="Да",IFERROR(INDEX('Вводные'!$B$88:$B$91,$B$64),"Нет")="Да")),1,0)</x:f>
      </x:c>
      <x:c r="EL74" s="35" t="n">
        <x:f>IF(AND(EL$3&gt;=$B$67,EL$3&lt;EDATE($B$67,MAX(1,'Вводные'!$K$73)),AND($B$63="Да",IFERROR(INDEX('Вводные'!$B$88:$B$91,$B$64),"Нет")="Да")),1,0)</x:f>
      </x:c>
      <x:c r="EM74" s="35" t="n">
        <x:f>IF(AND(EM$3&gt;=$B$67,EM$3&lt;EDATE($B$67,MAX(1,'Вводные'!$K$73)),AND($B$63="Да",IFERROR(INDEX('Вводные'!$B$88:$B$91,$B$64),"Нет")="Да")),1,0)</x:f>
      </x:c>
      <x:c r="EN74" s="35" t="n">
        <x:f>IF(AND(EN$3&gt;=$B$67,EN$3&lt;EDATE($B$67,MAX(1,'Вводные'!$K$73)),AND($B$63="Да",IFERROR(INDEX('Вводные'!$B$88:$B$91,$B$64),"Нет")="Да")),1,0)</x:f>
      </x:c>
      <x:c r="EO74" s="35" t="n">
        <x:f>IF(AND(EO$3&gt;=$B$67,EO$3&lt;EDATE($B$67,MAX(1,'Вводные'!$K$73)),AND($B$63="Да",IFERROR(INDEX('Вводные'!$B$88:$B$91,$B$64),"Нет")="Да")),1,0)</x:f>
      </x:c>
      <x:c r="EP74" s="35" t="n">
        <x:f>IF(AND(EP$3&gt;=$B$67,EP$3&lt;EDATE($B$67,MAX(1,'Вводные'!$K$73)),AND($B$63="Да",IFERROR(INDEX('Вводные'!$B$88:$B$91,$B$64),"Нет")="Да")),1,0)</x:f>
      </x:c>
      <x:c r="EQ74" s="35" t="n">
        <x:f>IF(AND(EQ$3&gt;=$B$67,EQ$3&lt;EDATE($B$67,MAX(1,'Вводные'!$K$73)),AND($B$63="Да",IFERROR(INDEX('Вводные'!$B$88:$B$91,$B$64),"Нет")="Да")),1,0)</x:f>
      </x:c>
      <x:c r="ER74" s="35" t="n">
        <x:f>IF(AND(ER$3&gt;=$B$67,ER$3&lt;EDATE($B$67,MAX(1,'Вводные'!$K$73)),AND($B$63="Да",IFERROR(INDEX('Вводные'!$B$88:$B$91,$B$64),"Нет")="Да")),1,0)</x:f>
      </x:c>
      <x:c r="ES74" s="35" t="n">
        <x:f>IF(AND(ES$3&gt;=$B$67,ES$3&lt;EDATE($B$67,MAX(1,'Вводные'!$K$73)),AND($B$63="Да",IFERROR(INDEX('Вводные'!$B$88:$B$91,$B$64),"Нет")="Да")),1,0)</x:f>
      </x:c>
      <x:c r="ET74" s="35" t="n">
        <x:f>IF(AND(ET$3&gt;=$B$67,ET$3&lt;EDATE($B$67,MAX(1,'Вводные'!$K$73)),AND($B$63="Да",IFERROR(INDEX('Вводные'!$B$88:$B$91,$B$64),"Нет")="Да")),1,0)</x:f>
      </x:c>
      <x:c r="EU74" s="35" t="n">
        <x:f>IF(AND(EU$3&gt;=$B$67,EU$3&lt;EDATE($B$67,MAX(1,'Вводные'!$K$73)),AND($B$63="Да",IFERROR(INDEX('Вводные'!$B$88:$B$91,$B$64),"Нет")="Да")),1,0)</x:f>
      </x:c>
      <x:c r="EV74" s="35" t="n">
        <x:f>IF(AND(EV$3&gt;=$B$67,EV$3&lt;EDATE($B$67,MAX(1,'Вводные'!$K$73)),AND($B$63="Да",IFERROR(INDEX('Вводные'!$B$88:$B$91,$B$64),"Нет")="Да")),1,0)</x:f>
      </x:c>
      <x:c r="EW74" s="35" t="n">
        <x:f>IF(AND(EW$3&gt;=$B$67,EW$3&lt;EDATE($B$67,MAX(1,'Вводные'!$K$73)),AND($B$63="Да",IFERROR(INDEX('Вводные'!$B$88:$B$91,$B$64),"Нет")="Да")),1,0)</x:f>
      </x:c>
      <x:c r="EX74" s="35" t="n">
        <x:f>IF(AND(EX$3&gt;=$B$67,EX$3&lt;EDATE($B$67,MAX(1,'Вводные'!$K$73)),AND($B$63="Да",IFERROR(INDEX('Вводные'!$B$88:$B$91,$B$64),"Нет")="Да")),1,0)</x:f>
      </x:c>
      <x:c r="EY74" s="35" t="n">
        <x:f>IF(AND(EY$3&gt;=$B$67,EY$3&lt;EDATE($B$67,MAX(1,'Вводные'!$K$73)),AND($B$63="Да",IFERROR(INDEX('Вводные'!$B$88:$B$91,$B$64),"Нет")="Да")),1,0)</x:f>
      </x:c>
      <x:c r="EZ74" s="35" t="n">
        <x:f>IF(AND(EZ$3&gt;=$B$67,EZ$3&lt;EDATE($B$67,MAX(1,'Вводные'!$K$73)),AND($B$63="Да",IFERROR(INDEX('Вводные'!$B$88:$B$91,$B$64),"Нет")="Да")),1,0)</x:f>
      </x:c>
      <x:c r="FA74" s="35" t="n">
        <x:f>IF(AND(FA$3&gt;=$B$67,FA$3&lt;EDATE($B$67,MAX(1,'Вводные'!$K$73)),AND($B$63="Да",IFERROR(INDEX('Вводные'!$B$88:$B$91,$B$64),"Нет")="Да")),1,0)</x:f>
      </x:c>
      <x:c r="FB74" s="35" t="n">
        <x:f>IF(AND(FB$3&gt;=$B$67,FB$3&lt;EDATE($B$67,MAX(1,'Вводные'!$K$73)),AND($B$63="Да",IFERROR(INDEX('Вводные'!$B$88:$B$91,$B$64),"Нет")="Да")),1,0)</x:f>
      </x:c>
      <x:c r="FC74" s="35" t="n">
        <x:f>IF(AND(FC$3&gt;=$B$67,FC$3&lt;EDATE($B$67,MAX(1,'Вводные'!$K$73)),AND($B$63="Да",IFERROR(INDEX('Вводные'!$B$88:$B$91,$B$64),"Нет")="Да")),1,0)</x:f>
      </x:c>
      <x:c r="FD74" s="35" t="n">
        <x:f>IF(AND(FD$3&gt;=$B$67,FD$3&lt;EDATE($B$67,MAX(1,'Вводные'!$K$73)),AND($B$63="Да",IFERROR(INDEX('Вводные'!$B$88:$B$91,$B$64),"Нет")="Да")),1,0)</x:f>
      </x:c>
      <x:c r="FE74" s="35" t="n">
        <x:f>IF(AND(FE$3&gt;=$B$67,FE$3&lt;EDATE($B$67,MAX(1,'Вводные'!$K$73)),AND($B$63="Да",IFERROR(INDEX('Вводные'!$B$88:$B$91,$B$64),"Нет")="Да")),1,0)</x:f>
      </x:c>
      <x:c r="FF74" s="35" t="n">
        <x:f>IF(AND(FF$3&gt;=$B$67,FF$3&lt;EDATE($B$67,MAX(1,'Вводные'!$K$73)),AND($B$63="Да",IFERROR(INDEX('Вводные'!$B$88:$B$91,$B$64),"Нет")="Да")),1,0)</x:f>
      </x:c>
      <x:c r="FG74" s="35" t="n">
        <x:f>IF(AND(FG$3&gt;=$B$67,FG$3&lt;EDATE($B$67,MAX(1,'Вводные'!$K$73)),AND($B$63="Да",IFERROR(INDEX('Вводные'!$B$88:$B$91,$B$64),"Нет")="Да")),1,0)</x:f>
      </x:c>
      <x:c r="FH74" s="35" t="n">
        <x:f>IF(AND(FH$3&gt;=$B$67,FH$3&lt;EDATE($B$67,MAX(1,'Вводные'!$K$73)),AND($B$63="Да",IFERROR(INDEX('Вводные'!$B$88:$B$91,$B$64),"Нет")="Да")),1,0)</x:f>
      </x:c>
      <x:c r="FI74" s="35" t="n">
        <x:f>IF(AND(FI$3&gt;=$B$67,FI$3&lt;EDATE($B$67,MAX(1,'Вводные'!$K$73)),AND($B$63="Да",IFERROR(INDEX('Вводные'!$B$88:$B$91,$B$64),"Нет")="Да")),1,0)</x:f>
      </x:c>
      <x:c r="FJ74" s="35" t="n">
        <x:f>IF(AND(FJ$3&gt;=$B$67,FJ$3&lt;EDATE($B$67,MAX(1,'Вводные'!$K$73)),AND($B$63="Да",IFERROR(INDEX('Вводные'!$B$88:$B$91,$B$64),"Нет")="Да")),1,0)</x:f>
      </x:c>
      <x:c r="FK74" s="35" t="n">
        <x:f>IF(AND(FK$3&gt;=$B$67,FK$3&lt;EDATE($B$67,MAX(1,'Вводные'!$K$73)),AND($B$63="Да",IFERROR(INDEX('Вводные'!$B$88:$B$91,$B$64),"Нет")="Да")),1,0)</x:f>
      </x:c>
      <x:c r="FL74" s="35" t="n">
        <x:f>IF(AND(FL$3&gt;=$B$67,FL$3&lt;EDATE($B$67,MAX(1,'Вводные'!$K$73)),AND($B$63="Да",IFERROR(INDEX('Вводные'!$B$88:$B$91,$B$64),"Нет")="Да")),1,0)</x:f>
      </x:c>
      <x:c r="FM74" s="35" t="n">
        <x:f>IF(AND(FM$3&gt;=$B$67,FM$3&lt;EDATE($B$67,MAX(1,'Вводные'!$K$73)),AND($B$63="Да",IFERROR(INDEX('Вводные'!$B$88:$B$91,$B$64),"Нет")="Да")),1,0)</x:f>
      </x:c>
      <x:c r="FN74" s="35" t="n">
        <x:f>IF(AND(FN$3&gt;=$B$67,FN$3&lt;EDATE($B$67,MAX(1,'Вводные'!$K$73)),AND($B$63="Да",IFERROR(INDEX('Вводные'!$B$88:$B$91,$B$64),"Нет")="Да")),1,0)</x:f>
      </x:c>
      <x:c r="FO74" s="35" t="n">
        <x:f>IF(AND(FO$3&gt;=$B$67,FO$3&lt;EDATE($B$67,MAX(1,'Вводные'!$K$73)),AND($B$63="Да",IFERROR(INDEX('Вводные'!$B$88:$B$91,$B$64),"Нет")="Да")),1,0)</x:f>
      </x:c>
      <x:c r="FP74" s="35" t="n">
        <x:f>IF(AND(FP$3&gt;=$B$67,FP$3&lt;EDATE($B$67,MAX(1,'Вводные'!$K$73)),AND($B$63="Да",IFERROR(INDEX('Вводные'!$B$88:$B$91,$B$64),"Нет")="Да")),1,0)</x:f>
      </x:c>
      <x:c r="FQ74" s="35" t="n">
        <x:f>IF(AND(FQ$3&gt;=$B$67,FQ$3&lt;EDATE($B$67,MAX(1,'Вводные'!$K$73)),AND($B$63="Да",IFERROR(INDEX('Вводные'!$B$88:$B$91,$B$64),"Нет")="Да")),1,0)</x:f>
      </x:c>
      <x:c r="FR74" s="35" t="n">
        <x:f>IF(AND(FR$3&gt;=$B$67,FR$3&lt;EDATE($B$67,MAX(1,'Вводные'!$K$73)),AND($B$63="Да",IFERROR(INDEX('Вводные'!$B$88:$B$91,$B$64),"Нет")="Да")),1,0)</x:f>
      </x:c>
      <x:c r="FS74" s="35" t="n">
        <x:f>IF(AND(FS$3&gt;=$B$67,FS$3&lt;EDATE($B$67,MAX(1,'Вводные'!$K$73)),AND($B$63="Да",IFERROR(INDEX('Вводные'!$B$88:$B$91,$B$64),"Нет")="Да")),1,0)</x:f>
      </x:c>
      <x:c r="FT74" s="35" t="n">
        <x:f>IF(AND(FT$3&gt;=$B$67,FT$3&lt;EDATE($B$67,MAX(1,'Вводные'!$K$73)),AND($B$63="Да",IFERROR(INDEX('Вводные'!$B$88:$B$91,$B$64),"Нет")="Да")),1,0)</x:f>
      </x:c>
      <x:c r="FU74" s="35" t="n">
        <x:f>IF(AND(FU$3&gt;=$B$67,FU$3&lt;EDATE($B$67,MAX(1,'Вводные'!$K$73)),AND($B$63="Да",IFERROR(INDEX('Вводные'!$B$88:$B$91,$B$64),"Нет")="Да")),1,0)</x:f>
      </x:c>
      <x:c r="FV74" s="35" t="n">
        <x:f>IF(AND(FV$3&gt;=$B$67,FV$3&lt;EDATE($B$67,MAX(1,'Вводные'!$K$73)),AND($B$63="Да",IFERROR(INDEX('Вводные'!$B$88:$B$91,$B$64),"Нет")="Да")),1,0)</x:f>
      </x:c>
      <x:c r="FW74" s="35" t="n">
        <x:f>IF(AND(FW$3&gt;=$B$67,FW$3&lt;EDATE($B$67,MAX(1,'Вводные'!$K$73)),AND($B$63="Да",IFERROR(INDEX('Вводные'!$B$88:$B$91,$B$64),"Нет")="Да")),1,0)</x:f>
      </x:c>
      <x:c r="FX74" s="35" t="n">
        <x:f>IF(AND(FX$3&gt;=$B$67,FX$3&lt;EDATE($B$67,MAX(1,'Вводные'!$K$73)),AND($B$63="Да",IFERROR(INDEX('Вводные'!$B$88:$B$91,$B$64),"Нет")="Да")),1,0)</x:f>
      </x:c>
      <x:c r="FY74" s="35" t="n">
        <x:f>IF(AND(FY$3&gt;=$B$67,FY$3&lt;EDATE($B$67,MAX(1,'Вводные'!$K$73)),AND($B$63="Да",IFERROR(INDEX('Вводные'!$B$88:$B$91,$B$64),"Нет")="Да")),1,0)</x:f>
      </x:c>
      <x:c r="FZ74" s="35" t="n">
        <x:f>IF(AND(FZ$3&gt;=$B$67,FZ$3&lt;EDATE($B$67,MAX(1,'Вводные'!$K$73)),AND($B$63="Да",IFERROR(INDEX('Вводные'!$B$88:$B$91,$B$64),"Нет")="Да")),1,0)</x:f>
      </x:c>
      <x:c r="GA74" s="35" t="n">
        <x:f>IF(AND(GA$3&gt;=$B$67,GA$3&lt;EDATE($B$67,MAX(1,'Вводные'!$K$73)),AND($B$63="Да",IFERROR(INDEX('Вводные'!$B$88:$B$91,$B$64),"Нет")="Да")),1,0)</x:f>
      </x:c>
    </x:row>
    <x:row r="75">
      <x:c r="A75" t="str">
        <x:v>Нормированный вес до РВЭ</x:v>
      </x:c>
      <x:c r="B75" s="35" t="n">
        <x:f>SUM(D75:GA75)</x:f>
      </x:c>
      <x:c r="C75" t="str">
        <x:v>%</x:v>
      </x:c>
      <x:c r="D75" s="35" t="n">
        <x:f>IFERROR(D74*D73/SUMPRODUCT($D74:$GA74,$D73:$GA73),0)</x:f>
      </x:c>
      <x:c r="E75" s="35" t="n">
        <x:f>IFERROR(E74*E73/SUMPRODUCT($D74:$GA74,$D73:$GA73),0)</x:f>
      </x:c>
      <x:c r="F75" s="35" t="n">
        <x:f>IFERROR(F74*F73/SUMPRODUCT($D74:$GA74,$D73:$GA73),0)</x:f>
      </x:c>
      <x:c r="G75" s="35" t="n">
        <x:f>IFERROR(G74*G73/SUMPRODUCT($D74:$GA74,$D73:$GA73),0)</x:f>
      </x:c>
      <x:c r="H75" s="35" t="n">
        <x:f>IFERROR(H74*H73/SUMPRODUCT($D74:$GA74,$D73:$GA73),0)</x:f>
      </x:c>
      <x:c r="I75" s="35" t="n">
        <x:f>IFERROR(I74*I73/SUMPRODUCT($D74:$GA74,$D73:$GA73),0)</x:f>
      </x:c>
      <x:c r="J75" s="35" t="n">
        <x:f>IFERROR(J74*J73/SUMPRODUCT($D74:$GA74,$D73:$GA73),0)</x:f>
      </x:c>
      <x:c r="K75" s="35" t="n">
        <x:f>IFERROR(K74*K73/SUMPRODUCT($D74:$GA74,$D73:$GA73),0)</x:f>
      </x:c>
      <x:c r="L75" s="35" t="n">
        <x:f>IFERROR(L74*L73/SUMPRODUCT($D74:$GA74,$D73:$GA73),0)</x:f>
      </x:c>
      <x:c r="M75" s="35" t="n">
        <x:f>IFERROR(M74*M73/SUMPRODUCT($D74:$GA74,$D73:$GA73),0)</x:f>
      </x:c>
      <x:c r="N75" s="35" t="n">
        <x:f>IFERROR(N74*N73/SUMPRODUCT($D74:$GA74,$D73:$GA73),0)</x:f>
      </x:c>
      <x:c r="O75" s="35" t="n">
        <x:f>IFERROR(O74*O73/SUMPRODUCT($D74:$GA74,$D73:$GA73),0)</x:f>
      </x:c>
      <x:c r="P75" s="35" t="n">
        <x:f>IFERROR(P74*P73/SUMPRODUCT($D74:$GA74,$D73:$GA73),0)</x:f>
      </x:c>
      <x:c r="Q75" s="35" t="n">
        <x:f>IFERROR(Q74*Q73/SUMPRODUCT($D74:$GA74,$D73:$GA73),0)</x:f>
      </x:c>
      <x:c r="R75" s="35" t="n">
        <x:f>IFERROR(R74*R73/SUMPRODUCT($D74:$GA74,$D73:$GA73),0)</x:f>
      </x:c>
      <x:c r="S75" s="35" t="n">
        <x:f>IFERROR(S74*S73/SUMPRODUCT($D74:$GA74,$D73:$GA73),0)</x:f>
      </x:c>
      <x:c r="T75" s="35" t="n">
        <x:f>IFERROR(T74*T73/SUMPRODUCT($D74:$GA74,$D73:$GA73),0)</x:f>
      </x:c>
      <x:c r="U75" s="35" t="n">
        <x:f>IFERROR(U74*U73/SUMPRODUCT($D74:$GA74,$D73:$GA73),0)</x:f>
      </x:c>
      <x:c r="V75" s="35" t="n">
        <x:f>IFERROR(V74*V73/SUMPRODUCT($D74:$GA74,$D73:$GA73),0)</x:f>
      </x:c>
      <x:c r="W75" s="35" t="n">
        <x:f>IFERROR(W74*W73/SUMPRODUCT($D74:$GA74,$D73:$GA73),0)</x:f>
      </x:c>
      <x:c r="X75" s="35" t="n">
        <x:f>IFERROR(X74*X73/SUMPRODUCT($D74:$GA74,$D73:$GA73),0)</x:f>
      </x:c>
      <x:c r="Y75" s="35" t="n">
        <x:f>IFERROR(Y74*Y73/SUMPRODUCT($D74:$GA74,$D73:$GA73),0)</x:f>
      </x:c>
      <x:c r="Z75" s="35" t="n">
        <x:f>IFERROR(Z74*Z73/SUMPRODUCT($D74:$GA74,$D73:$GA73),0)</x:f>
      </x:c>
      <x:c r="AA75" s="35" t="n">
        <x:f>IFERROR(AA74*AA73/SUMPRODUCT($D74:$GA74,$D73:$GA73),0)</x:f>
      </x:c>
      <x:c r="AB75" s="35" t="n">
        <x:f>IFERROR(AB74*AB73/SUMPRODUCT($D74:$GA74,$D73:$GA73),0)</x:f>
      </x:c>
      <x:c r="AC75" s="35" t="n">
        <x:f>IFERROR(AC74*AC73/SUMPRODUCT($D74:$GA74,$D73:$GA73),0)</x:f>
      </x:c>
      <x:c r="AD75" s="35" t="n">
        <x:f>IFERROR(AD74*AD73/SUMPRODUCT($D74:$GA74,$D73:$GA73),0)</x:f>
      </x:c>
      <x:c r="AE75" s="35" t="n">
        <x:f>IFERROR(AE74*AE73/SUMPRODUCT($D74:$GA74,$D73:$GA73),0)</x:f>
      </x:c>
      <x:c r="AF75" s="35" t="n">
        <x:f>IFERROR(AF74*AF73/SUMPRODUCT($D74:$GA74,$D73:$GA73),0)</x:f>
      </x:c>
      <x:c r="AG75" s="35" t="n">
        <x:f>IFERROR(AG74*AG73/SUMPRODUCT($D74:$GA74,$D73:$GA73),0)</x:f>
      </x:c>
      <x:c r="AH75" s="35" t="n">
        <x:f>IFERROR(AH74*AH73/SUMPRODUCT($D74:$GA74,$D73:$GA73),0)</x:f>
      </x:c>
      <x:c r="AI75" s="35" t="n">
        <x:f>IFERROR(AI74*AI73/SUMPRODUCT($D74:$GA74,$D73:$GA73),0)</x:f>
      </x:c>
      <x:c r="AJ75" s="35" t="n">
        <x:f>IFERROR(AJ74*AJ73/SUMPRODUCT($D74:$GA74,$D73:$GA73),0)</x:f>
      </x:c>
      <x:c r="AK75" s="35" t="n">
        <x:f>IFERROR(AK74*AK73/SUMPRODUCT($D74:$GA74,$D73:$GA73),0)</x:f>
      </x:c>
      <x:c r="AL75" s="35" t="n">
        <x:f>IFERROR(AL74*AL73/SUMPRODUCT($D74:$GA74,$D73:$GA73),0)</x:f>
      </x:c>
      <x:c r="AM75" s="35" t="n">
        <x:f>IFERROR(AM74*AM73/SUMPRODUCT($D74:$GA74,$D73:$GA73),0)</x:f>
      </x:c>
      <x:c r="AN75" s="35" t="n">
        <x:f>IFERROR(AN74*AN73/SUMPRODUCT($D74:$GA74,$D73:$GA73),0)</x:f>
      </x:c>
      <x:c r="AO75" s="35" t="n">
        <x:f>IFERROR(AO74*AO73/SUMPRODUCT($D74:$GA74,$D73:$GA73),0)</x:f>
      </x:c>
      <x:c r="AP75" s="35" t="n">
        <x:f>IFERROR(AP74*AP73/SUMPRODUCT($D74:$GA74,$D73:$GA73),0)</x:f>
      </x:c>
      <x:c r="AQ75" s="35" t="n">
        <x:f>IFERROR(AQ74*AQ73/SUMPRODUCT($D74:$GA74,$D73:$GA73),0)</x:f>
      </x:c>
      <x:c r="AR75" s="35" t="n">
        <x:f>IFERROR(AR74*AR73/SUMPRODUCT($D74:$GA74,$D73:$GA73),0)</x:f>
      </x:c>
      <x:c r="AS75" s="35" t="n">
        <x:f>IFERROR(AS74*AS73/SUMPRODUCT($D74:$GA74,$D73:$GA73),0)</x:f>
      </x:c>
      <x:c r="AT75" s="35" t="n">
        <x:f>IFERROR(AT74*AT73/SUMPRODUCT($D74:$GA74,$D73:$GA73),0)</x:f>
      </x:c>
      <x:c r="AU75" s="35" t="n">
        <x:f>IFERROR(AU74*AU73/SUMPRODUCT($D74:$GA74,$D73:$GA73),0)</x:f>
      </x:c>
      <x:c r="AV75" s="35" t="n">
        <x:f>IFERROR(AV74*AV73/SUMPRODUCT($D74:$GA74,$D73:$GA73),0)</x:f>
      </x:c>
      <x:c r="AW75" s="35" t="n">
        <x:f>IFERROR(AW74*AW73/SUMPRODUCT($D74:$GA74,$D73:$GA73),0)</x:f>
      </x:c>
      <x:c r="AX75" s="35" t="n">
        <x:f>IFERROR(AX74*AX73/SUMPRODUCT($D74:$GA74,$D73:$GA73),0)</x:f>
      </x:c>
      <x:c r="AY75" s="35" t="n">
        <x:f>IFERROR(AY74*AY73/SUMPRODUCT($D74:$GA74,$D73:$GA73),0)</x:f>
      </x:c>
      <x:c r="AZ75" s="35" t="n">
        <x:f>IFERROR(AZ74*AZ73/SUMPRODUCT($D74:$GA74,$D73:$GA73),0)</x:f>
      </x:c>
      <x:c r="BA75" s="35" t="n">
        <x:f>IFERROR(BA74*BA73/SUMPRODUCT($D74:$GA74,$D73:$GA73),0)</x:f>
      </x:c>
      <x:c r="BB75" s="35" t="n">
        <x:f>IFERROR(BB74*BB73/SUMPRODUCT($D74:$GA74,$D73:$GA73),0)</x:f>
      </x:c>
      <x:c r="BC75" s="35" t="n">
        <x:f>IFERROR(BC74*BC73/SUMPRODUCT($D74:$GA74,$D73:$GA73),0)</x:f>
      </x:c>
      <x:c r="BD75" s="35" t="n">
        <x:f>IFERROR(BD74*BD73/SUMPRODUCT($D74:$GA74,$D73:$GA73),0)</x:f>
      </x:c>
      <x:c r="BE75" s="35" t="n">
        <x:f>IFERROR(BE74*BE73/SUMPRODUCT($D74:$GA74,$D73:$GA73),0)</x:f>
      </x:c>
      <x:c r="BF75" s="35" t="n">
        <x:f>IFERROR(BF74*BF73/SUMPRODUCT($D74:$GA74,$D73:$GA73),0)</x:f>
      </x:c>
      <x:c r="BG75" s="35" t="n">
        <x:f>IFERROR(BG74*BG73/SUMPRODUCT($D74:$GA74,$D73:$GA73),0)</x:f>
      </x:c>
      <x:c r="BH75" s="35" t="n">
        <x:f>IFERROR(BH74*BH73/SUMPRODUCT($D74:$GA74,$D73:$GA73),0)</x:f>
      </x:c>
      <x:c r="BI75" s="35" t="n">
        <x:f>IFERROR(BI74*BI73/SUMPRODUCT($D74:$GA74,$D73:$GA73),0)</x:f>
      </x:c>
      <x:c r="BJ75" s="35" t="n">
        <x:f>IFERROR(BJ74*BJ73/SUMPRODUCT($D74:$GA74,$D73:$GA73),0)</x:f>
      </x:c>
      <x:c r="BK75" s="35" t="n">
        <x:f>IFERROR(BK74*BK73/SUMPRODUCT($D74:$GA74,$D73:$GA73),0)</x:f>
      </x:c>
      <x:c r="BL75" s="35" t="n">
        <x:f>IFERROR(BL74*BL73/SUMPRODUCT($D74:$GA74,$D73:$GA73),0)</x:f>
      </x:c>
      <x:c r="BM75" s="35" t="n">
        <x:f>IFERROR(BM74*BM73/SUMPRODUCT($D74:$GA74,$D73:$GA73),0)</x:f>
      </x:c>
      <x:c r="BN75" s="35" t="n">
        <x:f>IFERROR(BN74*BN73/SUMPRODUCT($D74:$GA74,$D73:$GA73),0)</x:f>
      </x:c>
      <x:c r="BO75" s="35" t="n">
        <x:f>IFERROR(BO74*BO73/SUMPRODUCT($D74:$GA74,$D73:$GA73),0)</x:f>
      </x:c>
      <x:c r="BP75" s="35" t="n">
        <x:f>IFERROR(BP74*BP73/SUMPRODUCT($D74:$GA74,$D73:$GA73),0)</x:f>
      </x:c>
      <x:c r="BQ75" s="35" t="n">
        <x:f>IFERROR(BQ74*BQ73/SUMPRODUCT($D74:$GA74,$D73:$GA73),0)</x:f>
      </x:c>
      <x:c r="BR75" s="35" t="n">
        <x:f>IFERROR(BR74*BR73/SUMPRODUCT($D74:$GA74,$D73:$GA73),0)</x:f>
      </x:c>
      <x:c r="BS75" s="35" t="n">
        <x:f>IFERROR(BS74*BS73/SUMPRODUCT($D74:$GA74,$D73:$GA73),0)</x:f>
      </x:c>
      <x:c r="BT75" s="35" t="n">
        <x:f>IFERROR(BT74*BT73/SUMPRODUCT($D74:$GA74,$D73:$GA73),0)</x:f>
      </x:c>
      <x:c r="BU75" s="35" t="n">
        <x:f>IFERROR(BU74*BU73/SUMPRODUCT($D74:$GA74,$D73:$GA73),0)</x:f>
      </x:c>
      <x:c r="BV75" s="35" t="n">
        <x:f>IFERROR(BV74*BV73/SUMPRODUCT($D74:$GA74,$D73:$GA73),0)</x:f>
      </x:c>
      <x:c r="BW75" s="35" t="n">
        <x:f>IFERROR(BW74*BW73/SUMPRODUCT($D74:$GA74,$D73:$GA73),0)</x:f>
      </x:c>
      <x:c r="BX75" s="35" t="n">
        <x:f>IFERROR(BX74*BX73/SUMPRODUCT($D74:$GA74,$D73:$GA73),0)</x:f>
      </x:c>
      <x:c r="BY75" s="35" t="n">
        <x:f>IFERROR(BY74*BY73/SUMPRODUCT($D74:$GA74,$D73:$GA73),0)</x:f>
      </x:c>
      <x:c r="BZ75" s="35" t="n">
        <x:f>IFERROR(BZ74*BZ73/SUMPRODUCT($D74:$GA74,$D73:$GA73),0)</x:f>
      </x:c>
      <x:c r="CA75" s="35" t="n">
        <x:f>IFERROR(CA74*CA73/SUMPRODUCT($D74:$GA74,$D73:$GA73),0)</x:f>
      </x:c>
      <x:c r="CB75" s="35" t="n">
        <x:f>IFERROR(CB74*CB73/SUMPRODUCT($D74:$GA74,$D73:$GA73),0)</x:f>
      </x:c>
      <x:c r="CC75" s="35" t="n">
        <x:f>IFERROR(CC74*CC73/SUMPRODUCT($D74:$GA74,$D73:$GA73),0)</x:f>
      </x:c>
      <x:c r="CD75" s="35" t="n">
        <x:f>IFERROR(CD74*CD73/SUMPRODUCT($D74:$GA74,$D73:$GA73),0)</x:f>
      </x:c>
      <x:c r="CE75" s="35" t="n">
        <x:f>IFERROR(CE74*CE73/SUMPRODUCT($D74:$GA74,$D73:$GA73),0)</x:f>
      </x:c>
      <x:c r="CF75" s="35" t="n">
        <x:f>IFERROR(CF74*CF73/SUMPRODUCT($D74:$GA74,$D73:$GA73),0)</x:f>
      </x:c>
      <x:c r="CG75" s="35" t="n">
        <x:f>IFERROR(CG74*CG73/SUMPRODUCT($D74:$GA74,$D73:$GA73),0)</x:f>
      </x:c>
      <x:c r="CH75" s="35" t="n">
        <x:f>IFERROR(CH74*CH73/SUMPRODUCT($D74:$GA74,$D73:$GA73),0)</x:f>
      </x:c>
      <x:c r="CI75" s="35" t="n">
        <x:f>IFERROR(CI74*CI73/SUMPRODUCT($D74:$GA74,$D73:$GA73),0)</x:f>
      </x:c>
      <x:c r="CJ75" s="35" t="n">
        <x:f>IFERROR(CJ74*CJ73/SUMPRODUCT($D74:$GA74,$D73:$GA73),0)</x:f>
      </x:c>
      <x:c r="CK75" s="35" t="n">
        <x:f>IFERROR(CK74*CK73/SUMPRODUCT($D74:$GA74,$D73:$GA73),0)</x:f>
      </x:c>
      <x:c r="CL75" s="35" t="n">
        <x:f>IFERROR(CL74*CL73/SUMPRODUCT($D74:$GA74,$D73:$GA73),0)</x:f>
      </x:c>
      <x:c r="CM75" s="35" t="n">
        <x:f>IFERROR(CM74*CM73/SUMPRODUCT($D74:$GA74,$D73:$GA73),0)</x:f>
      </x:c>
      <x:c r="CN75" s="35" t="n">
        <x:f>IFERROR(CN74*CN73/SUMPRODUCT($D74:$GA74,$D73:$GA73),0)</x:f>
      </x:c>
      <x:c r="CO75" s="35" t="n">
        <x:f>IFERROR(CO74*CO73/SUMPRODUCT($D74:$GA74,$D73:$GA73),0)</x:f>
      </x:c>
      <x:c r="CP75" s="35" t="n">
        <x:f>IFERROR(CP74*CP73/SUMPRODUCT($D74:$GA74,$D73:$GA73),0)</x:f>
      </x:c>
      <x:c r="CQ75" s="35" t="n">
        <x:f>IFERROR(CQ74*CQ73/SUMPRODUCT($D74:$GA74,$D73:$GA73),0)</x:f>
      </x:c>
      <x:c r="CR75" s="35" t="n">
        <x:f>IFERROR(CR74*CR73/SUMPRODUCT($D74:$GA74,$D73:$GA73),0)</x:f>
      </x:c>
      <x:c r="CS75" s="35" t="n">
        <x:f>IFERROR(CS74*CS73/SUMPRODUCT($D74:$GA74,$D73:$GA73),0)</x:f>
      </x:c>
      <x:c r="CT75" s="35" t="n">
        <x:f>IFERROR(CT74*CT73/SUMPRODUCT($D74:$GA74,$D73:$GA73),0)</x:f>
      </x:c>
      <x:c r="CU75" s="35" t="n">
        <x:f>IFERROR(CU74*CU73/SUMPRODUCT($D74:$GA74,$D73:$GA73),0)</x:f>
      </x:c>
      <x:c r="CV75" s="35" t="n">
        <x:f>IFERROR(CV74*CV73/SUMPRODUCT($D74:$GA74,$D73:$GA73),0)</x:f>
      </x:c>
      <x:c r="CW75" s="35" t="n">
        <x:f>IFERROR(CW74*CW73/SUMPRODUCT($D74:$GA74,$D73:$GA73),0)</x:f>
      </x:c>
      <x:c r="CX75" s="35" t="n">
        <x:f>IFERROR(CX74*CX73/SUMPRODUCT($D74:$GA74,$D73:$GA73),0)</x:f>
      </x:c>
      <x:c r="CY75" s="35" t="n">
        <x:f>IFERROR(CY74*CY73/SUMPRODUCT($D74:$GA74,$D73:$GA73),0)</x:f>
      </x:c>
      <x:c r="CZ75" s="35" t="n">
        <x:f>IFERROR(CZ74*CZ73/SUMPRODUCT($D74:$GA74,$D73:$GA73),0)</x:f>
      </x:c>
      <x:c r="DA75" s="35" t="n">
        <x:f>IFERROR(DA74*DA73/SUMPRODUCT($D74:$GA74,$D73:$GA73),0)</x:f>
      </x:c>
      <x:c r="DB75" s="35" t="n">
        <x:f>IFERROR(DB74*DB73/SUMPRODUCT($D74:$GA74,$D73:$GA73),0)</x:f>
      </x:c>
      <x:c r="DC75" s="35" t="n">
        <x:f>IFERROR(DC74*DC73/SUMPRODUCT($D74:$GA74,$D73:$GA73),0)</x:f>
      </x:c>
      <x:c r="DD75" s="35" t="n">
        <x:f>IFERROR(DD74*DD73/SUMPRODUCT($D74:$GA74,$D73:$GA73),0)</x:f>
      </x:c>
      <x:c r="DE75" s="35" t="n">
        <x:f>IFERROR(DE74*DE73/SUMPRODUCT($D74:$GA74,$D73:$GA73),0)</x:f>
      </x:c>
      <x:c r="DF75" s="35" t="n">
        <x:f>IFERROR(DF74*DF73/SUMPRODUCT($D74:$GA74,$D73:$GA73),0)</x:f>
      </x:c>
      <x:c r="DG75" s="35" t="n">
        <x:f>IFERROR(DG74*DG73/SUMPRODUCT($D74:$GA74,$D73:$GA73),0)</x:f>
      </x:c>
      <x:c r="DH75" s="35" t="n">
        <x:f>IFERROR(DH74*DH73/SUMPRODUCT($D74:$GA74,$D73:$GA73),0)</x:f>
      </x:c>
      <x:c r="DI75" s="35" t="n">
        <x:f>IFERROR(DI74*DI73/SUMPRODUCT($D74:$GA74,$D73:$GA73),0)</x:f>
      </x:c>
      <x:c r="DJ75" s="35" t="n">
        <x:f>IFERROR(DJ74*DJ73/SUMPRODUCT($D74:$GA74,$D73:$GA73),0)</x:f>
      </x:c>
      <x:c r="DK75" s="35" t="n">
        <x:f>IFERROR(DK74*DK73/SUMPRODUCT($D74:$GA74,$D73:$GA73),0)</x:f>
      </x:c>
      <x:c r="DL75" s="35" t="n">
        <x:f>IFERROR(DL74*DL73/SUMPRODUCT($D74:$GA74,$D73:$GA73),0)</x:f>
      </x:c>
      <x:c r="DM75" s="35" t="n">
        <x:f>IFERROR(DM74*DM73/SUMPRODUCT($D74:$GA74,$D73:$GA73),0)</x:f>
      </x:c>
      <x:c r="DN75" s="35" t="n">
        <x:f>IFERROR(DN74*DN73/SUMPRODUCT($D74:$GA74,$D73:$GA73),0)</x:f>
      </x:c>
      <x:c r="DO75" s="35" t="n">
        <x:f>IFERROR(DO74*DO73/SUMPRODUCT($D74:$GA74,$D73:$GA73),0)</x:f>
      </x:c>
      <x:c r="DP75" s="35" t="n">
        <x:f>IFERROR(DP74*DP73/SUMPRODUCT($D74:$GA74,$D73:$GA73),0)</x:f>
      </x:c>
      <x:c r="DQ75" s="35" t="n">
        <x:f>IFERROR(DQ74*DQ73/SUMPRODUCT($D74:$GA74,$D73:$GA73),0)</x:f>
      </x:c>
      <x:c r="DR75" s="35" t="n">
        <x:f>IFERROR(DR74*DR73/SUMPRODUCT($D74:$GA74,$D73:$GA73),0)</x:f>
      </x:c>
      <x:c r="DS75" s="35" t="n">
        <x:f>IFERROR(DS74*DS73/SUMPRODUCT($D74:$GA74,$D73:$GA73),0)</x:f>
      </x:c>
      <x:c r="DT75" s="35" t="n">
        <x:f>IFERROR(DT74*DT73/SUMPRODUCT($D74:$GA74,$D73:$GA73),0)</x:f>
      </x:c>
      <x:c r="DU75" s="35" t="n">
        <x:f>IFERROR(DU74*DU73/SUMPRODUCT($D74:$GA74,$D73:$GA73),0)</x:f>
      </x:c>
      <x:c r="DV75" s="35" t="n">
        <x:f>IFERROR(DV74*DV73/SUMPRODUCT($D74:$GA74,$D73:$GA73),0)</x:f>
      </x:c>
      <x:c r="DW75" s="35" t="n">
        <x:f>IFERROR(DW74*DW73/SUMPRODUCT($D74:$GA74,$D73:$GA73),0)</x:f>
      </x:c>
      <x:c r="DX75" s="35" t="n">
        <x:f>IFERROR(DX74*DX73/SUMPRODUCT($D74:$GA74,$D73:$GA73),0)</x:f>
      </x:c>
      <x:c r="DY75" s="35" t="n">
        <x:f>IFERROR(DY74*DY73/SUMPRODUCT($D74:$GA74,$D73:$GA73),0)</x:f>
      </x:c>
      <x:c r="DZ75" s="35" t="n">
        <x:f>IFERROR(DZ74*DZ73/SUMPRODUCT($D74:$GA74,$D73:$GA73),0)</x:f>
      </x:c>
      <x:c r="EA75" s="35" t="n">
        <x:f>IFERROR(EA74*EA73/SUMPRODUCT($D74:$GA74,$D73:$GA73),0)</x:f>
      </x:c>
      <x:c r="EB75" s="35" t="n">
        <x:f>IFERROR(EB74*EB73/SUMPRODUCT($D74:$GA74,$D73:$GA73),0)</x:f>
      </x:c>
      <x:c r="EC75" s="35" t="n">
        <x:f>IFERROR(EC74*EC73/SUMPRODUCT($D74:$GA74,$D73:$GA73),0)</x:f>
      </x:c>
      <x:c r="ED75" s="35" t="n">
        <x:f>IFERROR(ED74*ED73/SUMPRODUCT($D74:$GA74,$D73:$GA73),0)</x:f>
      </x:c>
      <x:c r="EE75" s="35" t="n">
        <x:f>IFERROR(EE74*EE73/SUMPRODUCT($D74:$GA74,$D73:$GA73),0)</x:f>
      </x:c>
      <x:c r="EF75" s="35" t="n">
        <x:f>IFERROR(EF74*EF73/SUMPRODUCT($D74:$GA74,$D73:$GA73),0)</x:f>
      </x:c>
      <x:c r="EG75" s="35" t="n">
        <x:f>IFERROR(EG74*EG73/SUMPRODUCT($D74:$GA74,$D73:$GA73),0)</x:f>
      </x:c>
      <x:c r="EH75" s="35" t="n">
        <x:f>IFERROR(EH74*EH73/SUMPRODUCT($D74:$GA74,$D73:$GA73),0)</x:f>
      </x:c>
      <x:c r="EI75" s="35" t="n">
        <x:f>IFERROR(EI74*EI73/SUMPRODUCT($D74:$GA74,$D73:$GA73),0)</x:f>
      </x:c>
      <x:c r="EJ75" s="35" t="n">
        <x:f>IFERROR(EJ74*EJ73/SUMPRODUCT($D74:$GA74,$D73:$GA73),0)</x:f>
      </x:c>
      <x:c r="EK75" s="35" t="n">
        <x:f>IFERROR(EK74*EK73/SUMPRODUCT($D74:$GA74,$D73:$GA73),0)</x:f>
      </x:c>
      <x:c r="EL75" s="35" t="n">
        <x:f>IFERROR(EL74*EL73/SUMPRODUCT($D74:$GA74,$D73:$GA73),0)</x:f>
      </x:c>
      <x:c r="EM75" s="35" t="n">
        <x:f>IFERROR(EM74*EM73/SUMPRODUCT($D74:$GA74,$D73:$GA73),0)</x:f>
      </x:c>
      <x:c r="EN75" s="35" t="n">
        <x:f>IFERROR(EN74*EN73/SUMPRODUCT($D74:$GA74,$D73:$GA73),0)</x:f>
      </x:c>
      <x:c r="EO75" s="35" t="n">
        <x:f>IFERROR(EO74*EO73/SUMPRODUCT($D74:$GA74,$D73:$GA73),0)</x:f>
      </x:c>
      <x:c r="EP75" s="35" t="n">
        <x:f>IFERROR(EP74*EP73/SUMPRODUCT($D74:$GA74,$D73:$GA73),0)</x:f>
      </x:c>
      <x:c r="EQ75" s="35" t="n">
        <x:f>IFERROR(EQ74*EQ73/SUMPRODUCT($D74:$GA74,$D73:$GA73),0)</x:f>
      </x:c>
      <x:c r="ER75" s="35" t="n">
        <x:f>IFERROR(ER74*ER73/SUMPRODUCT($D74:$GA74,$D73:$GA73),0)</x:f>
      </x:c>
      <x:c r="ES75" s="35" t="n">
        <x:f>IFERROR(ES74*ES73/SUMPRODUCT($D74:$GA74,$D73:$GA73),0)</x:f>
      </x:c>
      <x:c r="ET75" s="35" t="n">
        <x:f>IFERROR(ET74*ET73/SUMPRODUCT($D74:$GA74,$D73:$GA73),0)</x:f>
      </x:c>
      <x:c r="EU75" s="35" t="n">
        <x:f>IFERROR(EU74*EU73/SUMPRODUCT($D74:$GA74,$D73:$GA73),0)</x:f>
      </x:c>
      <x:c r="EV75" s="35" t="n">
        <x:f>IFERROR(EV74*EV73/SUMPRODUCT($D74:$GA74,$D73:$GA73),0)</x:f>
      </x:c>
      <x:c r="EW75" s="35" t="n">
        <x:f>IFERROR(EW74*EW73/SUMPRODUCT($D74:$GA74,$D73:$GA73),0)</x:f>
      </x:c>
      <x:c r="EX75" s="35" t="n">
        <x:f>IFERROR(EX74*EX73/SUMPRODUCT($D74:$GA74,$D73:$GA73),0)</x:f>
      </x:c>
      <x:c r="EY75" s="35" t="n">
        <x:f>IFERROR(EY74*EY73/SUMPRODUCT($D74:$GA74,$D73:$GA73),0)</x:f>
      </x:c>
      <x:c r="EZ75" s="35" t="n">
        <x:f>IFERROR(EZ74*EZ73/SUMPRODUCT($D74:$GA74,$D73:$GA73),0)</x:f>
      </x:c>
      <x:c r="FA75" s="35" t="n">
        <x:f>IFERROR(FA74*FA73/SUMPRODUCT($D74:$GA74,$D73:$GA73),0)</x:f>
      </x:c>
      <x:c r="FB75" s="35" t="n">
        <x:f>IFERROR(FB74*FB73/SUMPRODUCT($D74:$GA74,$D73:$GA73),0)</x:f>
      </x:c>
      <x:c r="FC75" s="35" t="n">
        <x:f>IFERROR(FC74*FC73/SUMPRODUCT($D74:$GA74,$D73:$GA73),0)</x:f>
      </x:c>
      <x:c r="FD75" s="35" t="n">
        <x:f>IFERROR(FD74*FD73/SUMPRODUCT($D74:$GA74,$D73:$GA73),0)</x:f>
      </x:c>
      <x:c r="FE75" s="35" t="n">
        <x:f>IFERROR(FE74*FE73/SUMPRODUCT($D74:$GA74,$D73:$GA73),0)</x:f>
      </x:c>
      <x:c r="FF75" s="35" t="n">
        <x:f>IFERROR(FF74*FF73/SUMPRODUCT($D74:$GA74,$D73:$GA73),0)</x:f>
      </x:c>
      <x:c r="FG75" s="35" t="n">
        <x:f>IFERROR(FG74*FG73/SUMPRODUCT($D74:$GA74,$D73:$GA73),0)</x:f>
      </x:c>
      <x:c r="FH75" s="35" t="n">
        <x:f>IFERROR(FH74*FH73/SUMPRODUCT($D74:$GA74,$D73:$GA73),0)</x:f>
      </x:c>
      <x:c r="FI75" s="35" t="n">
        <x:f>IFERROR(FI74*FI73/SUMPRODUCT($D74:$GA74,$D73:$GA73),0)</x:f>
      </x:c>
      <x:c r="FJ75" s="35" t="n">
        <x:f>IFERROR(FJ74*FJ73/SUMPRODUCT($D74:$GA74,$D73:$GA73),0)</x:f>
      </x:c>
      <x:c r="FK75" s="35" t="n">
        <x:f>IFERROR(FK74*FK73/SUMPRODUCT($D74:$GA74,$D73:$GA73),0)</x:f>
      </x:c>
      <x:c r="FL75" s="35" t="n">
        <x:f>IFERROR(FL74*FL73/SUMPRODUCT($D74:$GA74,$D73:$GA73),0)</x:f>
      </x:c>
      <x:c r="FM75" s="35" t="n">
        <x:f>IFERROR(FM74*FM73/SUMPRODUCT($D74:$GA74,$D73:$GA73),0)</x:f>
      </x:c>
      <x:c r="FN75" s="35" t="n">
        <x:f>IFERROR(FN74*FN73/SUMPRODUCT($D74:$GA74,$D73:$GA73),0)</x:f>
      </x:c>
      <x:c r="FO75" s="35" t="n">
        <x:f>IFERROR(FO74*FO73/SUMPRODUCT($D74:$GA74,$D73:$GA73),0)</x:f>
      </x:c>
      <x:c r="FP75" s="35" t="n">
        <x:f>IFERROR(FP74*FP73/SUMPRODUCT($D74:$GA74,$D73:$GA73),0)</x:f>
      </x:c>
      <x:c r="FQ75" s="35" t="n">
        <x:f>IFERROR(FQ74*FQ73/SUMPRODUCT($D74:$GA74,$D73:$GA73),0)</x:f>
      </x:c>
      <x:c r="FR75" s="35" t="n">
        <x:f>IFERROR(FR74*FR73/SUMPRODUCT($D74:$GA74,$D73:$GA73),0)</x:f>
      </x:c>
      <x:c r="FS75" s="35" t="n">
        <x:f>IFERROR(FS74*FS73/SUMPRODUCT($D74:$GA74,$D73:$GA73),0)</x:f>
      </x:c>
      <x:c r="FT75" s="35" t="n">
        <x:f>IFERROR(FT74*FT73/SUMPRODUCT($D74:$GA74,$D73:$GA73),0)</x:f>
      </x:c>
      <x:c r="FU75" s="35" t="n">
        <x:f>IFERROR(FU74*FU73/SUMPRODUCT($D74:$GA74,$D73:$GA73),0)</x:f>
      </x:c>
      <x:c r="FV75" s="35" t="n">
        <x:f>IFERROR(FV74*FV73/SUMPRODUCT($D74:$GA74,$D73:$GA73),0)</x:f>
      </x:c>
      <x:c r="FW75" s="35" t="n">
        <x:f>IFERROR(FW74*FW73/SUMPRODUCT($D74:$GA74,$D73:$GA73),0)</x:f>
      </x:c>
      <x:c r="FX75" s="35" t="n">
        <x:f>IFERROR(FX74*FX73/SUMPRODUCT($D74:$GA74,$D73:$GA73),0)</x:f>
      </x:c>
      <x:c r="FY75" s="35" t="n">
        <x:f>IFERROR(FY74*FY73/SUMPRODUCT($D74:$GA74,$D73:$GA73),0)</x:f>
      </x:c>
      <x:c r="FZ75" s="35" t="n">
        <x:f>IFERROR(FZ74*FZ73/SUMPRODUCT($D74:$GA74,$D73:$GA73),0)</x:f>
      </x:c>
      <x:c r="GA75" s="35" t="n">
        <x:f>IFERROR(GA74*GA73/SUMPRODUCT($D74:$GA74,$D73:$GA73),0)</x:f>
      </x:c>
    </x:row>
    <x:row r="76">
      <x:c r="A76" t="str">
        <x:v>Флаг продаж после РВЭ</x:v>
      </x:c>
      <x:c r="B76" s="35"/>
      <x:c r="C76" t="str">
        <x:v>0 / 1</x:v>
      </x:c>
      <x:c r="D76" s="35" t="n">
        <x:f>--AND(D$3&gt;=MAX($B$67,$B$66),D$3&lt;EDATE($B$67,MAX(1,'Вводные'!$K$73)),AND($B$63="Да",IFERROR(INDEX('Вводные'!$B$88:$B$91,$B$64),"Нет")="Да"))</x:f>
      </x:c>
      <x:c r="E76" s="35" t="n">
        <x:f>--AND(E$3&gt;=MAX($B$67,$B$66),E$3&lt;EDATE($B$67,MAX(1,'Вводные'!$K$73)),AND($B$63="Да",IFERROR(INDEX('Вводные'!$B$88:$B$91,$B$64),"Нет")="Да"))</x:f>
      </x:c>
      <x:c r="F76" s="35" t="n">
        <x:f>--AND(F$3&gt;=MAX($B$67,$B$66),F$3&lt;EDATE($B$67,MAX(1,'Вводные'!$K$73)),AND($B$63="Да",IFERROR(INDEX('Вводные'!$B$88:$B$91,$B$64),"Нет")="Да"))</x:f>
      </x:c>
      <x:c r="G76" s="35" t="n">
        <x:f>--AND(G$3&gt;=MAX($B$67,$B$66),G$3&lt;EDATE($B$67,MAX(1,'Вводные'!$K$73)),AND($B$63="Да",IFERROR(INDEX('Вводные'!$B$88:$B$91,$B$64),"Нет")="Да"))</x:f>
      </x:c>
      <x:c r="H76" s="35" t="n">
        <x:f>--AND(H$3&gt;=MAX($B$67,$B$66),H$3&lt;EDATE($B$67,MAX(1,'Вводные'!$K$73)),AND($B$63="Да",IFERROR(INDEX('Вводные'!$B$88:$B$91,$B$64),"Нет")="Да"))</x:f>
      </x:c>
      <x:c r="I76" s="35" t="n">
        <x:f>--AND(I$3&gt;=MAX($B$67,$B$66),I$3&lt;EDATE($B$67,MAX(1,'Вводные'!$K$73)),AND($B$63="Да",IFERROR(INDEX('Вводные'!$B$88:$B$91,$B$64),"Нет")="Да"))</x:f>
      </x:c>
      <x:c r="J76" s="35" t="n">
        <x:f>--AND(J$3&gt;=MAX($B$67,$B$66),J$3&lt;EDATE($B$67,MAX(1,'Вводные'!$K$73)),AND($B$63="Да",IFERROR(INDEX('Вводные'!$B$88:$B$91,$B$64),"Нет")="Да"))</x:f>
      </x:c>
      <x:c r="K76" s="35" t="n">
        <x:f>--AND(K$3&gt;=MAX($B$67,$B$66),K$3&lt;EDATE($B$67,MAX(1,'Вводные'!$K$73)),AND($B$63="Да",IFERROR(INDEX('Вводные'!$B$88:$B$91,$B$64),"Нет")="Да"))</x:f>
      </x:c>
      <x:c r="L76" s="35" t="n">
        <x:f>--AND(L$3&gt;=MAX($B$67,$B$66),L$3&lt;EDATE($B$67,MAX(1,'Вводные'!$K$73)),AND($B$63="Да",IFERROR(INDEX('Вводные'!$B$88:$B$91,$B$64),"Нет")="Да"))</x:f>
      </x:c>
      <x:c r="M76" s="35" t="n">
        <x:f>--AND(M$3&gt;=MAX($B$67,$B$66),M$3&lt;EDATE($B$67,MAX(1,'Вводные'!$K$73)),AND($B$63="Да",IFERROR(INDEX('Вводные'!$B$88:$B$91,$B$64),"Нет")="Да"))</x:f>
      </x:c>
      <x:c r="N76" s="35" t="n">
        <x:f>--AND(N$3&gt;=MAX($B$67,$B$66),N$3&lt;EDATE($B$67,MAX(1,'Вводные'!$K$73)),AND($B$63="Да",IFERROR(INDEX('Вводные'!$B$88:$B$91,$B$64),"Нет")="Да"))</x:f>
      </x:c>
      <x:c r="O76" s="35" t="n">
        <x:f>--AND(O$3&gt;=MAX($B$67,$B$66),O$3&lt;EDATE($B$67,MAX(1,'Вводные'!$K$73)),AND($B$63="Да",IFERROR(INDEX('Вводные'!$B$88:$B$91,$B$64),"Нет")="Да"))</x:f>
      </x:c>
      <x:c r="P76" s="35" t="n">
        <x:f>--AND(P$3&gt;=MAX($B$67,$B$66),P$3&lt;EDATE($B$67,MAX(1,'Вводные'!$K$73)),AND($B$63="Да",IFERROR(INDEX('Вводные'!$B$88:$B$91,$B$64),"Нет")="Да"))</x:f>
      </x:c>
      <x:c r="Q76" s="35" t="n">
        <x:f>--AND(Q$3&gt;=MAX($B$67,$B$66),Q$3&lt;EDATE($B$67,MAX(1,'Вводные'!$K$73)),AND($B$63="Да",IFERROR(INDEX('Вводные'!$B$88:$B$91,$B$64),"Нет")="Да"))</x:f>
      </x:c>
      <x:c r="R76" s="35" t="n">
        <x:f>--AND(R$3&gt;=MAX($B$67,$B$66),R$3&lt;EDATE($B$67,MAX(1,'Вводные'!$K$73)),AND($B$63="Да",IFERROR(INDEX('Вводные'!$B$88:$B$91,$B$64),"Нет")="Да"))</x:f>
      </x:c>
      <x:c r="S76" s="35" t="n">
        <x:f>--AND(S$3&gt;=MAX($B$67,$B$66),S$3&lt;EDATE($B$67,MAX(1,'Вводные'!$K$73)),AND($B$63="Да",IFERROR(INDEX('Вводные'!$B$88:$B$91,$B$64),"Нет")="Да"))</x:f>
      </x:c>
      <x:c r="T76" s="35" t="n">
        <x:f>--AND(T$3&gt;=MAX($B$67,$B$66),T$3&lt;EDATE($B$67,MAX(1,'Вводные'!$K$73)),AND($B$63="Да",IFERROR(INDEX('Вводные'!$B$88:$B$91,$B$64),"Нет")="Да"))</x:f>
      </x:c>
      <x:c r="U76" s="35" t="n">
        <x:f>--AND(U$3&gt;=MAX($B$67,$B$66),U$3&lt;EDATE($B$67,MAX(1,'Вводные'!$K$73)),AND($B$63="Да",IFERROR(INDEX('Вводные'!$B$88:$B$91,$B$64),"Нет")="Да"))</x:f>
      </x:c>
      <x:c r="V76" s="35" t="n">
        <x:f>--AND(V$3&gt;=MAX($B$67,$B$66),V$3&lt;EDATE($B$67,MAX(1,'Вводные'!$K$73)),AND($B$63="Да",IFERROR(INDEX('Вводные'!$B$88:$B$91,$B$64),"Нет")="Да"))</x:f>
      </x:c>
      <x:c r="W76" s="35" t="n">
        <x:f>--AND(W$3&gt;=MAX($B$67,$B$66),W$3&lt;EDATE($B$67,MAX(1,'Вводные'!$K$73)),AND($B$63="Да",IFERROR(INDEX('Вводные'!$B$88:$B$91,$B$64),"Нет")="Да"))</x:f>
      </x:c>
      <x:c r="X76" s="35" t="n">
        <x:f>--AND(X$3&gt;=MAX($B$67,$B$66),X$3&lt;EDATE($B$67,MAX(1,'Вводные'!$K$73)),AND($B$63="Да",IFERROR(INDEX('Вводные'!$B$88:$B$91,$B$64),"Нет")="Да"))</x:f>
      </x:c>
      <x:c r="Y76" s="35" t="n">
        <x:f>--AND(Y$3&gt;=MAX($B$67,$B$66),Y$3&lt;EDATE($B$67,MAX(1,'Вводные'!$K$73)),AND($B$63="Да",IFERROR(INDEX('Вводные'!$B$88:$B$91,$B$64),"Нет")="Да"))</x:f>
      </x:c>
      <x:c r="Z76" s="35" t="n">
        <x:f>--AND(Z$3&gt;=MAX($B$67,$B$66),Z$3&lt;EDATE($B$67,MAX(1,'Вводные'!$K$73)),AND($B$63="Да",IFERROR(INDEX('Вводные'!$B$88:$B$91,$B$64),"Нет")="Да"))</x:f>
      </x:c>
      <x:c r="AA76" s="35" t="n">
        <x:f>--AND(AA$3&gt;=MAX($B$67,$B$66),AA$3&lt;EDATE($B$67,MAX(1,'Вводные'!$K$73)),AND($B$63="Да",IFERROR(INDEX('Вводные'!$B$88:$B$91,$B$64),"Нет")="Да"))</x:f>
      </x:c>
      <x:c r="AB76" s="35" t="n">
        <x:f>--AND(AB$3&gt;=MAX($B$67,$B$66),AB$3&lt;EDATE($B$67,MAX(1,'Вводные'!$K$73)),AND($B$63="Да",IFERROR(INDEX('Вводные'!$B$88:$B$91,$B$64),"Нет")="Да"))</x:f>
      </x:c>
      <x:c r="AC76" s="35" t="n">
        <x:f>--AND(AC$3&gt;=MAX($B$67,$B$66),AC$3&lt;EDATE($B$67,MAX(1,'Вводные'!$K$73)),AND($B$63="Да",IFERROR(INDEX('Вводные'!$B$88:$B$91,$B$64),"Нет")="Да"))</x:f>
      </x:c>
      <x:c r="AD76" s="35" t="n">
        <x:f>--AND(AD$3&gt;=MAX($B$67,$B$66),AD$3&lt;EDATE($B$67,MAX(1,'Вводные'!$K$73)),AND($B$63="Да",IFERROR(INDEX('Вводные'!$B$88:$B$91,$B$64),"Нет")="Да"))</x:f>
      </x:c>
      <x:c r="AE76" s="35" t="n">
        <x:f>--AND(AE$3&gt;=MAX($B$67,$B$66),AE$3&lt;EDATE($B$67,MAX(1,'Вводные'!$K$73)),AND($B$63="Да",IFERROR(INDEX('Вводные'!$B$88:$B$91,$B$64),"Нет")="Да"))</x:f>
      </x:c>
      <x:c r="AF76" s="35" t="n">
        <x:f>--AND(AF$3&gt;=MAX($B$67,$B$66),AF$3&lt;EDATE($B$67,MAX(1,'Вводные'!$K$73)),AND($B$63="Да",IFERROR(INDEX('Вводные'!$B$88:$B$91,$B$64),"Нет")="Да"))</x:f>
      </x:c>
      <x:c r="AG76" s="35" t="n">
        <x:f>--AND(AG$3&gt;=MAX($B$67,$B$66),AG$3&lt;EDATE($B$67,MAX(1,'Вводные'!$K$73)),AND($B$63="Да",IFERROR(INDEX('Вводные'!$B$88:$B$91,$B$64),"Нет")="Да"))</x:f>
      </x:c>
      <x:c r="AH76" s="35" t="n">
        <x:f>--AND(AH$3&gt;=MAX($B$67,$B$66),AH$3&lt;EDATE($B$67,MAX(1,'Вводные'!$K$73)),AND($B$63="Да",IFERROR(INDEX('Вводные'!$B$88:$B$91,$B$64),"Нет")="Да"))</x:f>
      </x:c>
      <x:c r="AI76" s="35" t="n">
        <x:f>--AND(AI$3&gt;=MAX($B$67,$B$66),AI$3&lt;EDATE($B$67,MAX(1,'Вводные'!$K$73)),AND($B$63="Да",IFERROR(INDEX('Вводные'!$B$88:$B$91,$B$64),"Нет")="Да"))</x:f>
      </x:c>
      <x:c r="AJ76" s="35" t="n">
        <x:f>--AND(AJ$3&gt;=MAX($B$67,$B$66),AJ$3&lt;EDATE($B$67,MAX(1,'Вводные'!$K$73)),AND($B$63="Да",IFERROR(INDEX('Вводные'!$B$88:$B$91,$B$64),"Нет")="Да"))</x:f>
      </x:c>
      <x:c r="AK76" s="35" t="n">
        <x:f>--AND(AK$3&gt;=MAX($B$67,$B$66),AK$3&lt;EDATE($B$67,MAX(1,'Вводные'!$K$73)),AND($B$63="Да",IFERROR(INDEX('Вводные'!$B$88:$B$91,$B$64),"Нет")="Да"))</x:f>
      </x:c>
      <x:c r="AL76" s="35" t="n">
        <x:f>--AND(AL$3&gt;=MAX($B$67,$B$66),AL$3&lt;EDATE($B$67,MAX(1,'Вводные'!$K$73)),AND($B$63="Да",IFERROR(INDEX('Вводные'!$B$88:$B$91,$B$64),"Нет")="Да"))</x:f>
      </x:c>
      <x:c r="AM76" s="35" t="n">
        <x:f>--AND(AM$3&gt;=MAX($B$67,$B$66),AM$3&lt;EDATE($B$67,MAX(1,'Вводные'!$K$73)),AND($B$63="Да",IFERROR(INDEX('Вводные'!$B$88:$B$91,$B$64),"Нет")="Да"))</x:f>
      </x:c>
      <x:c r="AN76" s="35" t="n">
        <x:f>--AND(AN$3&gt;=MAX($B$67,$B$66),AN$3&lt;EDATE($B$67,MAX(1,'Вводные'!$K$73)),AND($B$63="Да",IFERROR(INDEX('Вводные'!$B$88:$B$91,$B$64),"Нет")="Да"))</x:f>
      </x:c>
      <x:c r="AO76" s="35" t="n">
        <x:f>--AND(AO$3&gt;=MAX($B$67,$B$66),AO$3&lt;EDATE($B$67,MAX(1,'Вводные'!$K$73)),AND($B$63="Да",IFERROR(INDEX('Вводные'!$B$88:$B$91,$B$64),"Нет")="Да"))</x:f>
      </x:c>
      <x:c r="AP76" s="35" t="n">
        <x:f>--AND(AP$3&gt;=MAX($B$67,$B$66),AP$3&lt;EDATE($B$67,MAX(1,'Вводные'!$K$73)),AND($B$63="Да",IFERROR(INDEX('Вводные'!$B$88:$B$91,$B$64),"Нет")="Да"))</x:f>
      </x:c>
      <x:c r="AQ76" s="35" t="n">
        <x:f>--AND(AQ$3&gt;=MAX($B$67,$B$66),AQ$3&lt;EDATE($B$67,MAX(1,'Вводные'!$K$73)),AND($B$63="Да",IFERROR(INDEX('Вводные'!$B$88:$B$91,$B$64),"Нет")="Да"))</x:f>
      </x:c>
      <x:c r="AR76" s="35" t="n">
        <x:f>--AND(AR$3&gt;=MAX($B$67,$B$66),AR$3&lt;EDATE($B$67,MAX(1,'Вводные'!$K$73)),AND($B$63="Да",IFERROR(INDEX('Вводные'!$B$88:$B$91,$B$64),"Нет")="Да"))</x:f>
      </x:c>
      <x:c r="AS76" s="35" t="n">
        <x:f>--AND(AS$3&gt;=MAX($B$67,$B$66),AS$3&lt;EDATE($B$67,MAX(1,'Вводные'!$K$73)),AND($B$63="Да",IFERROR(INDEX('Вводные'!$B$88:$B$91,$B$64),"Нет")="Да"))</x:f>
      </x:c>
      <x:c r="AT76" s="35" t="n">
        <x:f>--AND(AT$3&gt;=MAX($B$67,$B$66),AT$3&lt;EDATE($B$67,MAX(1,'Вводные'!$K$73)),AND($B$63="Да",IFERROR(INDEX('Вводные'!$B$88:$B$91,$B$64),"Нет")="Да"))</x:f>
      </x:c>
      <x:c r="AU76" s="35" t="n">
        <x:f>--AND(AU$3&gt;=MAX($B$67,$B$66),AU$3&lt;EDATE($B$67,MAX(1,'Вводные'!$K$73)),AND($B$63="Да",IFERROR(INDEX('Вводные'!$B$88:$B$91,$B$64),"Нет")="Да"))</x:f>
      </x:c>
      <x:c r="AV76" s="35" t="n">
        <x:f>--AND(AV$3&gt;=MAX($B$67,$B$66),AV$3&lt;EDATE($B$67,MAX(1,'Вводные'!$K$73)),AND($B$63="Да",IFERROR(INDEX('Вводные'!$B$88:$B$91,$B$64),"Нет")="Да"))</x:f>
      </x:c>
      <x:c r="AW76" s="35" t="n">
        <x:f>--AND(AW$3&gt;=MAX($B$67,$B$66),AW$3&lt;EDATE($B$67,MAX(1,'Вводные'!$K$73)),AND($B$63="Да",IFERROR(INDEX('Вводные'!$B$88:$B$91,$B$64),"Нет")="Да"))</x:f>
      </x:c>
      <x:c r="AX76" s="35" t="n">
        <x:f>--AND(AX$3&gt;=MAX($B$67,$B$66),AX$3&lt;EDATE($B$67,MAX(1,'Вводные'!$K$73)),AND($B$63="Да",IFERROR(INDEX('Вводные'!$B$88:$B$91,$B$64),"Нет")="Да"))</x:f>
      </x:c>
      <x:c r="AY76" s="35" t="n">
        <x:f>--AND(AY$3&gt;=MAX($B$67,$B$66),AY$3&lt;EDATE($B$67,MAX(1,'Вводные'!$K$73)),AND($B$63="Да",IFERROR(INDEX('Вводные'!$B$88:$B$91,$B$64),"Нет")="Да"))</x:f>
      </x:c>
      <x:c r="AZ76" s="35" t="n">
        <x:f>--AND(AZ$3&gt;=MAX($B$67,$B$66),AZ$3&lt;EDATE($B$67,MAX(1,'Вводные'!$K$73)),AND($B$63="Да",IFERROR(INDEX('Вводные'!$B$88:$B$91,$B$64),"Нет")="Да"))</x:f>
      </x:c>
      <x:c r="BA76" s="35" t="n">
        <x:f>--AND(BA$3&gt;=MAX($B$67,$B$66),BA$3&lt;EDATE($B$67,MAX(1,'Вводные'!$K$73)),AND($B$63="Да",IFERROR(INDEX('Вводные'!$B$88:$B$91,$B$64),"Нет")="Да"))</x:f>
      </x:c>
      <x:c r="BB76" s="35" t="n">
        <x:f>--AND(BB$3&gt;=MAX($B$67,$B$66),BB$3&lt;EDATE($B$67,MAX(1,'Вводные'!$K$73)),AND($B$63="Да",IFERROR(INDEX('Вводные'!$B$88:$B$91,$B$64),"Нет")="Да"))</x:f>
      </x:c>
      <x:c r="BC76" s="35" t="n">
        <x:f>--AND(BC$3&gt;=MAX($B$67,$B$66),BC$3&lt;EDATE($B$67,MAX(1,'Вводные'!$K$73)),AND($B$63="Да",IFERROR(INDEX('Вводные'!$B$88:$B$91,$B$64),"Нет")="Да"))</x:f>
      </x:c>
      <x:c r="BD76" s="35" t="n">
        <x:f>--AND(BD$3&gt;=MAX($B$67,$B$66),BD$3&lt;EDATE($B$67,MAX(1,'Вводные'!$K$73)),AND($B$63="Да",IFERROR(INDEX('Вводные'!$B$88:$B$91,$B$64),"Нет")="Да"))</x:f>
      </x:c>
      <x:c r="BE76" s="35" t="n">
        <x:f>--AND(BE$3&gt;=MAX($B$67,$B$66),BE$3&lt;EDATE($B$67,MAX(1,'Вводные'!$K$73)),AND($B$63="Да",IFERROR(INDEX('Вводные'!$B$88:$B$91,$B$64),"Нет")="Да"))</x:f>
      </x:c>
      <x:c r="BF76" s="35" t="n">
        <x:f>--AND(BF$3&gt;=MAX($B$67,$B$66),BF$3&lt;EDATE($B$67,MAX(1,'Вводные'!$K$73)),AND($B$63="Да",IFERROR(INDEX('Вводные'!$B$88:$B$91,$B$64),"Нет")="Да"))</x:f>
      </x:c>
      <x:c r="BG76" s="35" t="n">
        <x:f>--AND(BG$3&gt;=MAX($B$67,$B$66),BG$3&lt;EDATE($B$67,MAX(1,'Вводные'!$K$73)),AND($B$63="Да",IFERROR(INDEX('Вводные'!$B$88:$B$91,$B$64),"Нет")="Да"))</x:f>
      </x:c>
      <x:c r="BH76" s="35" t="n">
        <x:f>--AND(BH$3&gt;=MAX($B$67,$B$66),BH$3&lt;EDATE($B$67,MAX(1,'Вводные'!$K$73)),AND($B$63="Да",IFERROR(INDEX('Вводные'!$B$88:$B$91,$B$64),"Нет")="Да"))</x:f>
      </x:c>
      <x:c r="BI76" s="35" t="n">
        <x:f>--AND(BI$3&gt;=MAX($B$67,$B$66),BI$3&lt;EDATE($B$67,MAX(1,'Вводные'!$K$73)),AND($B$63="Да",IFERROR(INDEX('Вводные'!$B$88:$B$91,$B$64),"Нет")="Да"))</x:f>
      </x:c>
      <x:c r="BJ76" s="35" t="n">
        <x:f>--AND(BJ$3&gt;=MAX($B$67,$B$66),BJ$3&lt;EDATE($B$67,MAX(1,'Вводные'!$K$73)),AND($B$63="Да",IFERROR(INDEX('Вводные'!$B$88:$B$91,$B$64),"Нет")="Да"))</x:f>
      </x:c>
      <x:c r="BK76" s="35" t="n">
        <x:f>--AND(BK$3&gt;=MAX($B$67,$B$66),BK$3&lt;EDATE($B$67,MAX(1,'Вводные'!$K$73)),AND($B$63="Да",IFERROR(INDEX('Вводные'!$B$88:$B$91,$B$64),"Нет")="Да"))</x:f>
      </x:c>
      <x:c r="BL76" s="35" t="n">
        <x:f>--AND(BL$3&gt;=MAX($B$67,$B$66),BL$3&lt;EDATE($B$67,MAX(1,'Вводные'!$K$73)),AND($B$63="Да",IFERROR(INDEX('Вводные'!$B$88:$B$91,$B$64),"Нет")="Да"))</x:f>
      </x:c>
      <x:c r="BM76" s="35" t="n">
        <x:f>--AND(BM$3&gt;=MAX($B$67,$B$66),BM$3&lt;EDATE($B$67,MAX(1,'Вводные'!$K$73)),AND($B$63="Да",IFERROR(INDEX('Вводные'!$B$88:$B$91,$B$64),"Нет")="Да"))</x:f>
      </x:c>
      <x:c r="BN76" s="35" t="n">
        <x:f>--AND(BN$3&gt;=MAX($B$67,$B$66),BN$3&lt;EDATE($B$67,MAX(1,'Вводные'!$K$73)),AND($B$63="Да",IFERROR(INDEX('Вводные'!$B$88:$B$91,$B$64),"Нет")="Да"))</x:f>
      </x:c>
      <x:c r="BO76" s="35" t="n">
        <x:f>--AND(BO$3&gt;=MAX($B$67,$B$66),BO$3&lt;EDATE($B$67,MAX(1,'Вводные'!$K$73)),AND($B$63="Да",IFERROR(INDEX('Вводные'!$B$88:$B$91,$B$64),"Нет")="Да"))</x:f>
      </x:c>
      <x:c r="BP76" s="35" t="n">
        <x:f>--AND(BP$3&gt;=MAX($B$67,$B$66),BP$3&lt;EDATE($B$67,MAX(1,'Вводные'!$K$73)),AND($B$63="Да",IFERROR(INDEX('Вводные'!$B$88:$B$91,$B$64),"Нет")="Да"))</x:f>
      </x:c>
      <x:c r="BQ76" s="35" t="n">
        <x:f>--AND(BQ$3&gt;=MAX($B$67,$B$66),BQ$3&lt;EDATE($B$67,MAX(1,'Вводные'!$K$73)),AND($B$63="Да",IFERROR(INDEX('Вводные'!$B$88:$B$91,$B$64),"Нет")="Да"))</x:f>
      </x:c>
      <x:c r="BR76" s="35" t="n">
        <x:f>--AND(BR$3&gt;=MAX($B$67,$B$66),BR$3&lt;EDATE($B$67,MAX(1,'Вводные'!$K$73)),AND($B$63="Да",IFERROR(INDEX('Вводные'!$B$88:$B$91,$B$64),"Нет")="Да"))</x:f>
      </x:c>
      <x:c r="BS76" s="35" t="n">
        <x:f>--AND(BS$3&gt;=MAX($B$67,$B$66),BS$3&lt;EDATE($B$67,MAX(1,'Вводные'!$K$73)),AND($B$63="Да",IFERROR(INDEX('Вводные'!$B$88:$B$91,$B$64),"Нет")="Да"))</x:f>
      </x:c>
      <x:c r="BT76" s="35" t="n">
        <x:f>--AND(BT$3&gt;=MAX($B$67,$B$66),BT$3&lt;EDATE($B$67,MAX(1,'Вводные'!$K$73)),AND($B$63="Да",IFERROR(INDEX('Вводные'!$B$88:$B$91,$B$64),"Нет")="Да"))</x:f>
      </x:c>
      <x:c r="BU76" s="35" t="n">
        <x:f>--AND(BU$3&gt;=MAX($B$67,$B$66),BU$3&lt;EDATE($B$67,MAX(1,'Вводные'!$K$73)),AND($B$63="Да",IFERROR(INDEX('Вводные'!$B$88:$B$91,$B$64),"Нет")="Да"))</x:f>
      </x:c>
      <x:c r="BV76" s="35" t="n">
        <x:f>--AND(BV$3&gt;=MAX($B$67,$B$66),BV$3&lt;EDATE($B$67,MAX(1,'Вводные'!$K$73)),AND($B$63="Да",IFERROR(INDEX('Вводные'!$B$88:$B$91,$B$64),"Нет")="Да"))</x:f>
      </x:c>
      <x:c r="BW76" s="35" t="n">
        <x:f>--AND(BW$3&gt;=MAX($B$67,$B$66),BW$3&lt;EDATE($B$67,MAX(1,'Вводные'!$K$73)),AND($B$63="Да",IFERROR(INDEX('Вводные'!$B$88:$B$91,$B$64),"Нет")="Да"))</x:f>
      </x:c>
      <x:c r="BX76" s="35" t="n">
        <x:f>--AND(BX$3&gt;=MAX($B$67,$B$66),BX$3&lt;EDATE($B$67,MAX(1,'Вводные'!$K$73)),AND($B$63="Да",IFERROR(INDEX('Вводные'!$B$88:$B$91,$B$64),"Нет")="Да"))</x:f>
      </x:c>
      <x:c r="BY76" s="35" t="n">
        <x:f>--AND(BY$3&gt;=MAX($B$67,$B$66),BY$3&lt;EDATE($B$67,MAX(1,'Вводные'!$K$73)),AND($B$63="Да",IFERROR(INDEX('Вводные'!$B$88:$B$91,$B$64),"Нет")="Да"))</x:f>
      </x:c>
      <x:c r="BZ76" s="35" t="n">
        <x:f>--AND(BZ$3&gt;=MAX($B$67,$B$66),BZ$3&lt;EDATE($B$67,MAX(1,'Вводные'!$K$73)),AND($B$63="Да",IFERROR(INDEX('Вводные'!$B$88:$B$91,$B$64),"Нет")="Да"))</x:f>
      </x:c>
      <x:c r="CA76" s="35" t="n">
        <x:f>--AND(CA$3&gt;=MAX($B$67,$B$66),CA$3&lt;EDATE($B$67,MAX(1,'Вводные'!$K$73)),AND($B$63="Да",IFERROR(INDEX('Вводные'!$B$88:$B$91,$B$64),"Нет")="Да"))</x:f>
      </x:c>
      <x:c r="CB76" s="35" t="n">
        <x:f>--AND(CB$3&gt;=MAX($B$67,$B$66),CB$3&lt;EDATE($B$67,MAX(1,'Вводные'!$K$73)),AND($B$63="Да",IFERROR(INDEX('Вводные'!$B$88:$B$91,$B$64),"Нет")="Да"))</x:f>
      </x:c>
      <x:c r="CC76" s="35" t="n">
        <x:f>--AND(CC$3&gt;=MAX($B$67,$B$66),CC$3&lt;EDATE($B$67,MAX(1,'Вводные'!$K$73)),AND($B$63="Да",IFERROR(INDEX('Вводные'!$B$88:$B$91,$B$64),"Нет")="Да"))</x:f>
      </x:c>
      <x:c r="CD76" s="35" t="n">
        <x:f>--AND(CD$3&gt;=MAX($B$67,$B$66),CD$3&lt;EDATE($B$67,MAX(1,'Вводные'!$K$73)),AND($B$63="Да",IFERROR(INDEX('Вводные'!$B$88:$B$91,$B$64),"Нет")="Да"))</x:f>
      </x:c>
      <x:c r="CE76" s="35" t="n">
        <x:f>--AND(CE$3&gt;=MAX($B$67,$B$66),CE$3&lt;EDATE($B$67,MAX(1,'Вводные'!$K$73)),AND($B$63="Да",IFERROR(INDEX('Вводные'!$B$88:$B$91,$B$64),"Нет")="Да"))</x:f>
      </x:c>
      <x:c r="CF76" s="35" t="n">
        <x:f>--AND(CF$3&gt;=MAX($B$67,$B$66),CF$3&lt;EDATE($B$67,MAX(1,'Вводные'!$K$73)),AND($B$63="Да",IFERROR(INDEX('Вводные'!$B$88:$B$91,$B$64),"Нет")="Да"))</x:f>
      </x:c>
      <x:c r="CG76" s="35" t="n">
        <x:f>--AND(CG$3&gt;=MAX($B$67,$B$66),CG$3&lt;EDATE($B$67,MAX(1,'Вводные'!$K$73)),AND($B$63="Да",IFERROR(INDEX('Вводные'!$B$88:$B$91,$B$64),"Нет")="Да"))</x:f>
      </x:c>
      <x:c r="CH76" s="35" t="n">
        <x:f>--AND(CH$3&gt;=MAX($B$67,$B$66),CH$3&lt;EDATE($B$67,MAX(1,'Вводные'!$K$73)),AND($B$63="Да",IFERROR(INDEX('Вводные'!$B$88:$B$91,$B$64),"Нет")="Да"))</x:f>
      </x:c>
      <x:c r="CI76" s="35" t="n">
        <x:f>--AND(CI$3&gt;=MAX($B$67,$B$66),CI$3&lt;EDATE($B$67,MAX(1,'Вводные'!$K$73)),AND($B$63="Да",IFERROR(INDEX('Вводные'!$B$88:$B$91,$B$64),"Нет")="Да"))</x:f>
      </x:c>
      <x:c r="CJ76" s="35" t="n">
        <x:f>--AND(CJ$3&gt;=MAX($B$67,$B$66),CJ$3&lt;EDATE($B$67,MAX(1,'Вводные'!$K$73)),AND($B$63="Да",IFERROR(INDEX('Вводные'!$B$88:$B$91,$B$64),"Нет")="Да"))</x:f>
      </x:c>
      <x:c r="CK76" s="35" t="n">
        <x:f>--AND(CK$3&gt;=MAX($B$67,$B$66),CK$3&lt;EDATE($B$67,MAX(1,'Вводные'!$K$73)),AND($B$63="Да",IFERROR(INDEX('Вводные'!$B$88:$B$91,$B$64),"Нет")="Да"))</x:f>
      </x:c>
      <x:c r="CL76" s="35" t="n">
        <x:f>--AND(CL$3&gt;=MAX($B$67,$B$66),CL$3&lt;EDATE($B$67,MAX(1,'Вводные'!$K$73)),AND($B$63="Да",IFERROR(INDEX('Вводные'!$B$88:$B$91,$B$64),"Нет")="Да"))</x:f>
      </x:c>
      <x:c r="CM76" s="35" t="n">
        <x:f>--AND(CM$3&gt;=MAX($B$67,$B$66),CM$3&lt;EDATE($B$67,MAX(1,'Вводные'!$K$73)),AND($B$63="Да",IFERROR(INDEX('Вводные'!$B$88:$B$91,$B$64),"Нет")="Да"))</x:f>
      </x:c>
      <x:c r="CN76" s="35" t="n">
        <x:f>--AND(CN$3&gt;=MAX($B$67,$B$66),CN$3&lt;EDATE($B$67,MAX(1,'Вводные'!$K$73)),AND($B$63="Да",IFERROR(INDEX('Вводные'!$B$88:$B$91,$B$64),"Нет")="Да"))</x:f>
      </x:c>
      <x:c r="CO76" s="35" t="n">
        <x:f>--AND(CO$3&gt;=MAX($B$67,$B$66),CO$3&lt;EDATE($B$67,MAX(1,'Вводные'!$K$73)),AND($B$63="Да",IFERROR(INDEX('Вводные'!$B$88:$B$91,$B$64),"Нет")="Да"))</x:f>
      </x:c>
      <x:c r="CP76" s="35" t="n">
        <x:f>--AND(CP$3&gt;=MAX($B$67,$B$66),CP$3&lt;EDATE($B$67,MAX(1,'Вводные'!$K$73)),AND($B$63="Да",IFERROR(INDEX('Вводные'!$B$88:$B$91,$B$64),"Нет")="Да"))</x:f>
      </x:c>
      <x:c r="CQ76" s="35" t="n">
        <x:f>--AND(CQ$3&gt;=MAX($B$67,$B$66),CQ$3&lt;EDATE($B$67,MAX(1,'Вводные'!$K$73)),AND($B$63="Да",IFERROR(INDEX('Вводные'!$B$88:$B$91,$B$64),"Нет")="Да"))</x:f>
      </x:c>
      <x:c r="CR76" s="35" t="n">
        <x:f>--AND(CR$3&gt;=MAX($B$67,$B$66),CR$3&lt;EDATE($B$67,MAX(1,'Вводные'!$K$73)),AND($B$63="Да",IFERROR(INDEX('Вводные'!$B$88:$B$91,$B$64),"Нет")="Да"))</x:f>
      </x:c>
      <x:c r="CS76" s="35" t="n">
        <x:f>--AND(CS$3&gt;=MAX($B$67,$B$66),CS$3&lt;EDATE($B$67,MAX(1,'Вводные'!$K$73)),AND($B$63="Да",IFERROR(INDEX('Вводные'!$B$88:$B$91,$B$64),"Нет")="Да"))</x:f>
      </x:c>
      <x:c r="CT76" s="35" t="n">
        <x:f>--AND(CT$3&gt;=MAX($B$67,$B$66),CT$3&lt;EDATE($B$67,MAX(1,'Вводные'!$K$73)),AND($B$63="Да",IFERROR(INDEX('Вводные'!$B$88:$B$91,$B$64),"Нет")="Да"))</x:f>
      </x:c>
      <x:c r="CU76" s="35" t="n">
        <x:f>--AND(CU$3&gt;=MAX($B$67,$B$66),CU$3&lt;EDATE($B$67,MAX(1,'Вводные'!$K$73)),AND($B$63="Да",IFERROR(INDEX('Вводные'!$B$88:$B$91,$B$64),"Нет")="Да"))</x:f>
      </x:c>
      <x:c r="CV76" s="35" t="n">
        <x:f>--AND(CV$3&gt;=MAX($B$67,$B$66),CV$3&lt;EDATE($B$67,MAX(1,'Вводные'!$K$73)),AND($B$63="Да",IFERROR(INDEX('Вводные'!$B$88:$B$91,$B$64),"Нет")="Да"))</x:f>
      </x:c>
      <x:c r="CW76" s="35" t="n">
        <x:f>--AND(CW$3&gt;=MAX($B$67,$B$66),CW$3&lt;EDATE($B$67,MAX(1,'Вводные'!$K$73)),AND($B$63="Да",IFERROR(INDEX('Вводные'!$B$88:$B$91,$B$64),"Нет")="Да"))</x:f>
      </x:c>
      <x:c r="CX76" s="35" t="n">
        <x:f>--AND(CX$3&gt;=MAX($B$67,$B$66),CX$3&lt;EDATE($B$67,MAX(1,'Вводные'!$K$73)),AND($B$63="Да",IFERROR(INDEX('Вводные'!$B$88:$B$91,$B$64),"Нет")="Да"))</x:f>
      </x:c>
      <x:c r="CY76" s="35" t="n">
        <x:f>--AND(CY$3&gt;=MAX($B$67,$B$66),CY$3&lt;EDATE($B$67,MAX(1,'Вводные'!$K$73)),AND($B$63="Да",IFERROR(INDEX('Вводные'!$B$88:$B$91,$B$64),"Нет")="Да"))</x:f>
      </x:c>
      <x:c r="CZ76" s="35" t="n">
        <x:f>--AND(CZ$3&gt;=MAX($B$67,$B$66),CZ$3&lt;EDATE($B$67,MAX(1,'Вводные'!$K$73)),AND($B$63="Да",IFERROR(INDEX('Вводные'!$B$88:$B$91,$B$64),"Нет")="Да"))</x:f>
      </x:c>
      <x:c r="DA76" s="35" t="n">
        <x:f>--AND(DA$3&gt;=MAX($B$67,$B$66),DA$3&lt;EDATE($B$67,MAX(1,'Вводные'!$K$73)),AND($B$63="Да",IFERROR(INDEX('Вводные'!$B$88:$B$91,$B$64),"Нет")="Да"))</x:f>
      </x:c>
      <x:c r="DB76" s="35" t="n">
        <x:f>--AND(DB$3&gt;=MAX($B$67,$B$66),DB$3&lt;EDATE($B$67,MAX(1,'Вводные'!$K$73)),AND($B$63="Да",IFERROR(INDEX('Вводные'!$B$88:$B$91,$B$64),"Нет")="Да"))</x:f>
      </x:c>
      <x:c r="DC76" s="35" t="n">
        <x:f>--AND(DC$3&gt;=MAX($B$67,$B$66),DC$3&lt;EDATE($B$67,MAX(1,'Вводные'!$K$73)),AND($B$63="Да",IFERROR(INDEX('Вводные'!$B$88:$B$91,$B$64),"Нет")="Да"))</x:f>
      </x:c>
      <x:c r="DD76" s="35" t="n">
        <x:f>--AND(DD$3&gt;=MAX($B$67,$B$66),DD$3&lt;EDATE($B$67,MAX(1,'Вводные'!$K$73)),AND($B$63="Да",IFERROR(INDEX('Вводные'!$B$88:$B$91,$B$64),"Нет")="Да"))</x:f>
      </x:c>
      <x:c r="DE76" s="35" t="n">
        <x:f>--AND(DE$3&gt;=MAX($B$67,$B$66),DE$3&lt;EDATE($B$67,MAX(1,'Вводные'!$K$73)),AND($B$63="Да",IFERROR(INDEX('Вводные'!$B$88:$B$91,$B$64),"Нет")="Да"))</x:f>
      </x:c>
      <x:c r="DF76" s="35" t="n">
        <x:f>--AND(DF$3&gt;=MAX($B$67,$B$66),DF$3&lt;EDATE($B$67,MAX(1,'Вводные'!$K$73)),AND($B$63="Да",IFERROR(INDEX('Вводные'!$B$88:$B$91,$B$64),"Нет")="Да"))</x:f>
      </x:c>
      <x:c r="DG76" s="35" t="n">
        <x:f>--AND(DG$3&gt;=MAX($B$67,$B$66),DG$3&lt;EDATE($B$67,MAX(1,'Вводные'!$K$73)),AND($B$63="Да",IFERROR(INDEX('Вводные'!$B$88:$B$91,$B$64),"Нет")="Да"))</x:f>
      </x:c>
      <x:c r="DH76" s="35" t="n">
        <x:f>--AND(DH$3&gt;=MAX($B$67,$B$66),DH$3&lt;EDATE($B$67,MAX(1,'Вводные'!$K$73)),AND($B$63="Да",IFERROR(INDEX('Вводные'!$B$88:$B$91,$B$64),"Нет")="Да"))</x:f>
      </x:c>
      <x:c r="DI76" s="35" t="n">
        <x:f>--AND(DI$3&gt;=MAX($B$67,$B$66),DI$3&lt;EDATE($B$67,MAX(1,'Вводные'!$K$73)),AND($B$63="Да",IFERROR(INDEX('Вводные'!$B$88:$B$91,$B$64),"Нет")="Да"))</x:f>
      </x:c>
      <x:c r="DJ76" s="35" t="n">
        <x:f>--AND(DJ$3&gt;=MAX($B$67,$B$66),DJ$3&lt;EDATE($B$67,MAX(1,'Вводные'!$K$73)),AND($B$63="Да",IFERROR(INDEX('Вводные'!$B$88:$B$91,$B$64),"Нет")="Да"))</x:f>
      </x:c>
      <x:c r="DK76" s="35" t="n">
        <x:f>--AND(DK$3&gt;=MAX($B$67,$B$66),DK$3&lt;EDATE($B$67,MAX(1,'Вводные'!$K$73)),AND($B$63="Да",IFERROR(INDEX('Вводные'!$B$88:$B$91,$B$64),"Нет")="Да"))</x:f>
      </x:c>
      <x:c r="DL76" s="35" t="n">
        <x:f>--AND(DL$3&gt;=MAX($B$67,$B$66),DL$3&lt;EDATE($B$67,MAX(1,'Вводные'!$K$73)),AND($B$63="Да",IFERROR(INDEX('Вводные'!$B$88:$B$91,$B$64),"Нет")="Да"))</x:f>
      </x:c>
      <x:c r="DM76" s="35" t="n">
        <x:f>--AND(DM$3&gt;=MAX($B$67,$B$66),DM$3&lt;EDATE($B$67,MAX(1,'Вводные'!$K$73)),AND($B$63="Да",IFERROR(INDEX('Вводные'!$B$88:$B$91,$B$64),"Нет")="Да"))</x:f>
      </x:c>
      <x:c r="DN76" s="35" t="n">
        <x:f>--AND(DN$3&gt;=MAX($B$67,$B$66),DN$3&lt;EDATE($B$67,MAX(1,'Вводные'!$K$73)),AND($B$63="Да",IFERROR(INDEX('Вводные'!$B$88:$B$91,$B$64),"Нет")="Да"))</x:f>
      </x:c>
      <x:c r="DO76" s="35" t="n">
        <x:f>--AND(DO$3&gt;=MAX($B$67,$B$66),DO$3&lt;EDATE($B$67,MAX(1,'Вводные'!$K$73)),AND($B$63="Да",IFERROR(INDEX('Вводные'!$B$88:$B$91,$B$64),"Нет")="Да"))</x:f>
      </x:c>
      <x:c r="DP76" s="35" t="n">
        <x:f>--AND(DP$3&gt;=MAX($B$67,$B$66),DP$3&lt;EDATE($B$67,MAX(1,'Вводные'!$K$73)),AND($B$63="Да",IFERROR(INDEX('Вводные'!$B$88:$B$91,$B$64),"Нет")="Да"))</x:f>
      </x:c>
      <x:c r="DQ76" s="35" t="n">
        <x:f>--AND(DQ$3&gt;=MAX($B$67,$B$66),DQ$3&lt;EDATE($B$67,MAX(1,'Вводные'!$K$73)),AND($B$63="Да",IFERROR(INDEX('Вводные'!$B$88:$B$91,$B$64),"Нет")="Да"))</x:f>
      </x:c>
      <x:c r="DR76" s="35" t="n">
        <x:f>--AND(DR$3&gt;=MAX($B$67,$B$66),DR$3&lt;EDATE($B$67,MAX(1,'Вводные'!$K$73)),AND($B$63="Да",IFERROR(INDEX('Вводные'!$B$88:$B$91,$B$64),"Нет")="Да"))</x:f>
      </x:c>
      <x:c r="DS76" s="35" t="n">
        <x:f>--AND(DS$3&gt;=MAX($B$67,$B$66),DS$3&lt;EDATE($B$67,MAX(1,'Вводные'!$K$73)),AND($B$63="Да",IFERROR(INDEX('Вводные'!$B$88:$B$91,$B$64),"Нет")="Да"))</x:f>
      </x:c>
      <x:c r="DT76" s="35" t="n">
        <x:f>--AND(DT$3&gt;=MAX($B$67,$B$66),DT$3&lt;EDATE($B$67,MAX(1,'Вводные'!$K$73)),AND($B$63="Да",IFERROR(INDEX('Вводные'!$B$88:$B$91,$B$64),"Нет")="Да"))</x:f>
      </x:c>
      <x:c r="DU76" s="35" t="n">
        <x:f>--AND(DU$3&gt;=MAX($B$67,$B$66),DU$3&lt;EDATE($B$67,MAX(1,'Вводные'!$K$73)),AND($B$63="Да",IFERROR(INDEX('Вводные'!$B$88:$B$91,$B$64),"Нет")="Да"))</x:f>
      </x:c>
      <x:c r="DV76" s="35" t="n">
        <x:f>--AND(DV$3&gt;=MAX($B$67,$B$66),DV$3&lt;EDATE($B$67,MAX(1,'Вводные'!$K$73)),AND($B$63="Да",IFERROR(INDEX('Вводные'!$B$88:$B$91,$B$64),"Нет")="Да"))</x:f>
      </x:c>
      <x:c r="DW76" s="35" t="n">
        <x:f>--AND(DW$3&gt;=MAX($B$67,$B$66),DW$3&lt;EDATE($B$67,MAX(1,'Вводные'!$K$73)),AND($B$63="Да",IFERROR(INDEX('Вводные'!$B$88:$B$91,$B$64),"Нет")="Да"))</x:f>
      </x:c>
      <x:c r="DX76" s="35" t="n">
        <x:f>--AND(DX$3&gt;=MAX($B$67,$B$66),DX$3&lt;EDATE($B$67,MAX(1,'Вводные'!$K$73)),AND($B$63="Да",IFERROR(INDEX('Вводные'!$B$88:$B$91,$B$64),"Нет")="Да"))</x:f>
      </x:c>
      <x:c r="DY76" s="35" t="n">
        <x:f>--AND(DY$3&gt;=MAX($B$67,$B$66),DY$3&lt;EDATE($B$67,MAX(1,'Вводные'!$K$73)),AND($B$63="Да",IFERROR(INDEX('Вводные'!$B$88:$B$91,$B$64),"Нет")="Да"))</x:f>
      </x:c>
      <x:c r="DZ76" s="35" t="n">
        <x:f>--AND(DZ$3&gt;=MAX($B$67,$B$66),DZ$3&lt;EDATE($B$67,MAX(1,'Вводные'!$K$73)),AND($B$63="Да",IFERROR(INDEX('Вводные'!$B$88:$B$91,$B$64),"Нет")="Да"))</x:f>
      </x:c>
      <x:c r="EA76" s="35" t="n">
        <x:f>--AND(EA$3&gt;=MAX($B$67,$B$66),EA$3&lt;EDATE($B$67,MAX(1,'Вводные'!$K$73)),AND($B$63="Да",IFERROR(INDEX('Вводные'!$B$88:$B$91,$B$64),"Нет")="Да"))</x:f>
      </x:c>
      <x:c r="EB76" s="35" t="n">
        <x:f>--AND(EB$3&gt;=MAX($B$67,$B$66),EB$3&lt;EDATE($B$67,MAX(1,'Вводные'!$K$73)),AND($B$63="Да",IFERROR(INDEX('Вводные'!$B$88:$B$91,$B$64),"Нет")="Да"))</x:f>
      </x:c>
      <x:c r="EC76" s="35" t="n">
        <x:f>--AND(EC$3&gt;=MAX($B$67,$B$66),EC$3&lt;EDATE($B$67,MAX(1,'Вводные'!$K$73)),AND($B$63="Да",IFERROR(INDEX('Вводные'!$B$88:$B$91,$B$64),"Нет")="Да"))</x:f>
      </x:c>
      <x:c r="ED76" s="35" t="n">
        <x:f>--AND(ED$3&gt;=MAX($B$67,$B$66),ED$3&lt;EDATE($B$67,MAX(1,'Вводные'!$K$73)),AND($B$63="Да",IFERROR(INDEX('Вводные'!$B$88:$B$91,$B$64),"Нет")="Да"))</x:f>
      </x:c>
      <x:c r="EE76" s="35" t="n">
        <x:f>--AND(EE$3&gt;=MAX($B$67,$B$66),EE$3&lt;EDATE($B$67,MAX(1,'Вводные'!$K$73)),AND($B$63="Да",IFERROR(INDEX('Вводные'!$B$88:$B$91,$B$64),"Нет")="Да"))</x:f>
      </x:c>
      <x:c r="EF76" s="35" t="n">
        <x:f>--AND(EF$3&gt;=MAX($B$67,$B$66),EF$3&lt;EDATE($B$67,MAX(1,'Вводные'!$K$73)),AND($B$63="Да",IFERROR(INDEX('Вводные'!$B$88:$B$91,$B$64),"Нет")="Да"))</x:f>
      </x:c>
      <x:c r="EG76" s="35" t="n">
        <x:f>--AND(EG$3&gt;=MAX($B$67,$B$66),EG$3&lt;EDATE($B$67,MAX(1,'Вводные'!$K$73)),AND($B$63="Да",IFERROR(INDEX('Вводные'!$B$88:$B$91,$B$64),"Нет")="Да"))</x:f>
      </x:c>
      <x:c r="EH76" s="35" t="n">
        <x:f>--AND(EH$3&gt;=MAX($B$67,$B$66),EH$3&lt;EDATE($B$67,MAX(1,'Вводные'!$K$73)),AND($B$63="Да",IFERROR(INDEX('Вводные'!$B$88:$B$91,$B$64),"Нет")="Да"))</x:f>
      </x:c>
      <x:c r="EI76" s="35" t="n">
        <x:f>--AND(EI$3&gt;=MAX($B$67,$B$66),EI$3&lt;EDATE($B$67,MAX(1,'Вводные'!$K$73)),AND($B$63="Да",IFERROR(INDEX('Вводные'!$B$88:$B$91,$B$64),"Нет")="Да"))</x:f>
      </x:c>
      <x:c r="EJ76" s="35" t="n">
        <x:f>--AND(EJ$3&gt;=MAX($B$67,$B$66),EJ$3&lt;EDATE($B$67,MAX(1,'Вводные'!$K$73)),AND($B$63="Да",IFERROR(INDEX('Вводные'!$B$88:$B$91,$B$64),"Нет")="Да"))</x:f>
      </x:c>
      <x:c r="EK76" s="35" t="n">
        <x:f>--AND(EK$3&gt;=MAX($B$67,$B$66),EK$3&lt;EDATE($B$67,MAX(1,'Вводные'!$K$73)),AND($B$63="Да",IFERROR(INDEX('Вводные'!$B$88:$B$91,$B$64),"Нет")="Да"))</x:f>
      </x:c>
      <x:c r="EL76" s="35" t="n">
        <x:f>--AND(EL$3&gt;=MAX($B$67,$B$66),EL$3&lt;EDATE($B$67,MAX(1,'Вводные'!$K$73)),AND($B$63="Да",IFERROR(INDEX('Вводные'!$B$88:$B$91,$B$64),"Нет")="Да"))</x:f>
      </x:c>
      <x:c r="EM76" s="35" t="n">
        <x:f>--AND(EM$3&gt;=MAX($B$67,$B$66),EM$3&lt;EDATE($B$67,MAX(1,'Вводные'!$K$73)),AND($B$63="Да",IFERROR(INDEX('Вводные'!$B$88:$B$91,$B$64),"Нет")="Да"))</x:f>
      </x:c>
      <x:c r="EN76" s="35" t="n">
        <x:f>--AND(EN$3&gt;=MAX($B$67,$B$66),EN$3&lt;EDATE($B$67,MAX(1,'Вводные'!$K$73)),AND($B$63="Да",IFERROR(INDEX('Вводные'!$B$88:$B$91,$B$64),"Нет")="Да"))</x:f>
      </x:c>
      <x:c r="EO76" s="35" t="n">
        <x:f>--AND(EO$3&gt;=MAX($B$67,$B$66),EO$3&lt;EDATE($B$67,MAX(1,'Вводные'!$K$73)),AND($B$63="Да",IFERROR(INDEX('Вводные'!$B$88:$B$91,$B$64),"Нет")="Да"))</x:f>
      </x:c>
      <x:c r="EP76" s="35" t="n">
        <x:f>--AND(EP$3&gt;=MAX($B$67,$B$66),EP$3&lt;EDATE($B$67,MAX(1,'Вводные'!$K$73)),AND($B$63="Да",IFERROR(INDEX('Вводные'!$B$88:$B$91,$B$64),"Нет")="Да"))</x:f>
      </x:c>
      <x:c r="EQ76" s="35" t="n">
        <x:f>--AND(EQ$3&gt;=MAX($B$67,$B$66),EQ$3&lt;EDATE($B$67,MAX(1,'Вводные'!$K$73)),AND($B$63="Да",IFERROR(INDEX('Вводные'!$B$88:$B$91,$B$64),"Нет")="Да"))</x:f>
      </x:c>
      <x:c r="ER76" s="35" t="n">
        <x:f>--AND(ER$3&gt;=MAX($B$67,$B$66),ER$3&lt;EDATE($B$67,MAX(1,'Вводные'!$K$73)),AND($B$63="Да",IFERROR(INDEX('Вводные'!$B$88:$B$91,$B$64),"Нет")="Да"))</x:f>
      </x:c>
      <x:c r="ES76" s="35" t="n">
        <x:f>--AND(ES$3&gt;=MAX($B$67,$B$66),ES$3&lt;EDATE($B$67,MAX(1,'Вводные'!$K$73)),AND($B$63="Да",IFERROR(INDEX('Вводные'!$B$88:$B$91,$B$64),"Нет")="Да"))</x:f>
      </x:c>
      <x:c r="ET76" s="35" t="n">
        <x:f>--AND(ET$3&gt;=MAX($B$67,$B$66),ET$3&lt;EDATE($B$67,MAX(1,'Вводные'!$K$73)),AND($B$63="Да",IFERROR(INDEX('Вводные'!$B$88:$B$91,$B$64),"Нет")="Да"))</x:f>
      </x:c>
      <x:c r="EU76" s="35" t="n">
        <x:f>--AND(EU$3&gt;=MAX($B$67,$B$66),EU$3&lt;EDATE($B$67,MAX(1,'Вводные'!$K$73)),AND($B$63="Да",IFERROR(INDEX('Вводные'!$B$88:$B$91,$B$64),"Нет")="Да"))</x:f>
      </x:c>
      <x:c r="EV76" s="35" t="n">
        <x:f>--AND(EV$3&gt;=MAX($B$67,$B$66),EV$3&lt;EDATE($B$67,MAX(1,'Вводные'!$K$73)),AND($B$63="Да",IFERROR(INDEX('Вводные'!$B$88:$B$91,$B$64),"Нет")="Да"))</x:f>
      </x:c>
      <x:c r="EW76" s="35" t="n">
        <x:f>--AND(EW$3&gt;=MAX($B$67,$B$66),EW$3&lt;EDATE($B$67,MAX(1,'Вводные'!$K$73)),AND($B$63="Да",IFERROR(INDEX('Вводные'!$B$88:$B$91,$B$64),"Нет")="Да"))</x:f>
      </x:c>
      <x:c r="EX76" s="35" t="n">
        <x:f>--AND(EX$3&gt;=MAX($B$67,$B$66),EX$3&lt;EDATE($B$67,MAX(1,'Вводные'!$K$73)),AND($B$63="Да",IFERROR(INDEX('Вводные'!$B$88:$B$91,$B$64),"Нет")="Да"))</x:f>
      </x:c>
      <x:c r="EY76" s="35" t="n">
        <x:f>--AND(EY$3&gt;=MAX($B$67,$B$66),EY$3&lt;EDATE($B$67,MAX(1,'Вводные'!$K$73)),AND($B$63="Да",IFERROR(INDEX('Вводные'!$B$88:$B$91,$B$64),"Нет")="Да"))</x:f>
      </x:c>
      <x:c r="EZ76" s="35" t="n">
        <x:f>--AND(EZ$3&gt;=MAX($B$67,$B$66),EZ$3&lt;EDATE($B$67,MAX(1,'Вводные'!$K$73)),AND($B$63="Да",IFERROR(INDEX('Вводные'!$B$88:$B$91,$B$64),"Нет")="Да"))</x:f>
      </x:c>
      <x:c r="FA76" s="35" t="n">
        <x:f>--AND(FA$3&gt;=MAX($B$67,$B$66),FA$3&lt;EDATE($B$67,MAX(1,'Вводные'!$K$73)),AND($B$63="Да",IFERROR(INDEX('Вводные'!$B$88:$B$91,$B$64),"Нет")="Да"))</x:f>
      </x:c>
      <x:c r="FB76" s="35" t="n">
        <x:f>--AND(FB$3&gt;=MAX($B$67,$B$66),FB$3&lt;EDATE($B$67,MAX(1,'Вводные'!$K$73)),AND($B$63="Да",IFERROR(INDEX('Вводные'!$B$88:$B$91,$B$64),"Нет")="Да"))</x:f>
      </x:c>
      <x:c r="FC76" s="35" t="n">
        <x:f>--AND(FC$3&gt;=MAX($B$67,$B$66),FC$3&lt;EDATE($B$67,MAX(1,'Вводные'!$K$73)),AND($B$63="Да",IFERROR(INDEX('Вводные'!$B$88:$B$91,$B$64),"Нет")="Да"))</x:f>
      </x:c>
      <x:c r="FD76" s="35" t="n">
        <x:f>--AND(FD$3&gt;=MAX($B$67,$B$66),FD$3&lt;EDATE($B$67,MAX(1,'Вводные'!$K$73)),AND($B$63="Да",IFERROR(INDEX('Вводные'!$B$88:$B$91,$B$64),"Нет")="Да"))</x:f>
      </x:c>
      <x:c r="FE76" s="35" t="n">
        <x:f>--AND(FE$3&gt;=MAX($B$67,$B$66),FE$3&lt;EDATE($B$67,MAX(1,'Вводные'!$K$73)),AND($B$63="Да",IFERROR(INDEX('Вводные'!$B$88:$B$91,$B$64),"Нет")="Да"))</x:f>
      </x:c>
      <x:c r="FF76" s="35" t="n">
        <x:f>--AND(FF$3&gt;=MAX($B$67,$B$66),FF$3&lt;EDATE($B$67,MAX(1,'Вводные'!$K$73)),AND($B$63="Да",IFERROR(INDEX('Вводные'!$B$88:$B$91,$B$64),"Нет")="Да"))</x:f>
      </x:c>
      <x:c r="FG76" s="35" t="n">
        <x:f>--AND(FG$3&gt;=MAX($B$67,$B$66),FG$3&lt;EDATE($B$67,MAX(1,'Вводные'!$K$73)),AND($B$63="Да",IFERROR(INDEX('Вводные'!$B$88:$B$91,$B$64),"Нет")="Да"))</x:f>
      </x:c>
      <x:c r="FH76" s="35" t="n">
        <x:f>--AND(FH$3&gt;=MAX($B$67,$B$66),FH$3&lt;EDATE($B$67,MAX(1,'Вводные'!$K$73)),AND($B$63="Да",IFERROR(INDEX('Вводные'!$B$88:$B$91,$B$64),"Нет")="Да"))</x:f>
      </x:c>
      <x:c r="FI76" s="35" t="n">
        <x:f>--AND(FI$3&gt;=MAX($B$67,$B$66),FI$3&lt;EDATE($B$67,MAX(1,'Вводные'!$K$73)),AND($B$63="Да",IFERROR(INDEX('Вводные'!$B$88:$B$91,$B$64),"Нет")="Да"))</x:f>
      </x:c>
      <x:c r="FJ76" s="35" t="n">
        <x:f>--AND(FJ$3&gt;=MAX($B$67,$B$66),FJ$3&lt;EDATE($B$67,MAX(1,'Вводные'!$K$73)),AND($B$63="Да",IFERROR(INDEX('Вводные'!$B$88:$B$91,$B$64),"Нет")="Да"))</x:f>
      </x:c>
      <x:c r="FK76" s="35" t="n">
        <x:f>--AND(FK$3&gt;=MAX($B$67,$B$66),FK$3&lt;EDATE($B$67,MAX(1,'Вводные'!$K$73)),AND($B$63="Да",IFERROR(INDEX('Вводные'!$B$88:$B$91,$B$64),"Нет")="Да"))</x:f>
      </x:c>
      <x:c r="FL76" s="35" t="n">
        <x:f>--AND(FL$3&gt;=MAX($B$67,$B$66),FL$3&lt;EDATE($B$67,MAX(1,'Вводные'!$K$73)),AND($B$63="Да",IFERROR(INDEX('Вводные'!$B$88:$B$91,$B$64),"Нет")="Да"))</x:f>
      </x:c>
      <x:c r="FM76" s="35" t="n">
        <x:f>--AND(FM$3&gt;=MAX($B$67,$B$66),FM$3&lt;EDATE($B$67,MAX(1,'Вводные'!$K$73)),AND($B$63="Да",IFERROR(INDEX('Вводные'!$B$88:$B$91,$B$64),"Нет")="Да"))</x:f>
      </x:c>
      <x:c r="FN76" s="35" t="n">
        <x:f>--AND(FN$3&gt;=MAX($B$67,$B$66),FN$3&lt;EDATE($B$67,MAX(1,'Вводные'!$K$73)),AND($B$63="Да",IFERROR(INDEX('Вводные'!$B$88:$B$91,$B$64),"Нет")="Да"))</x:f>
      </x:c>
      <x:c r="FO76" s="35" t="n">
        <x:f>--AND(FO$3&gt;=MAX($B$67,$B$66),FO$3&lt;EDATE($B$67,MAX(1,'Вводные'!$K$73)),AND($B$63="Да",IFERROR(INDEX('Вводные'!$B$88:$B$91,$B$64),"Нет")="Да"))</x:f>
      </x:c>
      <x:c r="FP76" s="35" t="n">
        <x:f>--AND(FP$3&gt;=MAX($B$67,$B$66),FP$3&lt;EDATE($B$67,MAX(1,'Вводные'!$K$73)),AND($B$63="Да",IFERROR(INDEX('Вводные'!$B$88:$B$91,$B$64),"Нет")="Да"))</x:f>
      </x:c>
      <x:c r="FQ76" s="35" t="n">
        <x:f>--AND(FQ$3&gt;=MAX($B$67,$B$66),FQ$3&lt;EDATE($B$67,MAX(1,'Вводные'!$K$73)),AND($B$63="Да",IFERROR(INDEX('Вводные'!$B$88:$B$91,$B$64),"Нет")="Да"))</x:f>
      </x:c>
      <x:c r="FR76" s="35" t="n">
        <x:f>--AND(FR$3&gt;=MAX($B$67,$B$66),FR$3&lt;EDATE($B$67,MAX(1,'Вводные'!$K$73)),AND($B$63="Да",IFERROR(INDEX('Вводные'!$B$88:$B$91,$B$64),"Нет")="Да"))</x:f>
      </x:c>
      <x:c r="FS76" s="35" t="n">
        <x:f>--AND(FS$3&gt;=MAX($B$67,$B$66),FS$3&lt;EDATE($B$67,MAX(1,'Вводные'!$K$73)),AND($B$63="Да",IFERROR(INDEX('Вводные'!$B$88:$B$91,$B$64),"Нет")="Да"))</x:f>
      </x:c>
      <x:c r="FT76" s="35" t="n">
        <x:f>--AND(FT$3&gt;=MAX($B$67,$B$66),FT$3&lt;EDATE($B$67,MAX(1,'Вводные'!$K$73)),AND($B$63="Да",IFERROR(INDEX('Вводные'!$B$88:$B$91,$B$64),"Нет")="Да"))</x:f>
      </x:c>
      <x:c r="FU76" s="35" t="n">
        <x:f>--AND(FU$3&gt;=MAX($B$67,$B$66),FU$3&lt;EDATE($B$67,MAX(1,'Вводные'!$K$73)),AND($B$63="Да",IFERROR(INDEX('Вводные'!$B$88:$B$91,$B$64),"Нет")="Да"))</x:f>
      </x:c>
      <x:c r="FV76" s="35" t="n">
        <x:f>--AND(FV$3&gt;=MAX($B$67,$B$66),FV$3&lt;EDATE($B$67,MAX(1,'Вводные'!$K$73)),AND($B$63="Да",IFERROR(INDEX('Вводные'!$B$88:$B$91,$B$64),"Нет")="Да"))</x:f>
      </x:c>
      <x:c r="FW76" s="35" t="n">
        <x:f>--AND(FW$3&gt;=MAX($B$67,$B$66),FW$3&lt;EDATE($B$67,MAX(1,'Вводные'!$K$73)),AND($B$63="Да",IFERROR(INDEX('Вводные'!$B$88:$B$91,$B$64),"Нет")="Да"))</x:f>
      </x:c>
      <x:c r="FX76" s="35" t="n">
        <x:f>--AND(FX$3&gt;=MAX($B$67,$B$66),FX$3&lt;EDATE($B$67,MAX(1,'Вводные'!$K$73)),AND($B$63="Да",IFERROR(INDEX('Вводные'!$B$88:$B$91,$B$64),"Нет")="Да"))</x:f>
      </x:c>
      <x:c r="FY76" s="35" t="n">
        <x:f>--AND(FY$3&gt;=MAX($B$67,$B$66),FY$3&lt;EDATE($B$67,MAX(1,'Вводные'!$K$73)),AND($B$63="Да",IFERROR(INDEX('Вводные'!$B$88:$B$91,$B$64),"Нет")="Да"))</x:f>
      </x:c>
      <x:c r="FZ76" s="35" t="n">
        <x:f>--AND(FZ$3&gt;=MAX($B$67,$B$66),FZ$3&lt;EDATE($B$67,MAX(1,'Вводные'!$K$73)),AND($B$63="Да",IFERROR(INDEX('Вводные'!$B$88:$B$91,$B$64),"Нет")="Да"))</x:f>
      </x:c>
      <x:c r="GA76" s="35" t="n">
        <x:f>--AND(GA$3&gt;=MAX($B$67,$B$66),GA$3&lt;EDATE($B$67,MAX(1,'Вводные'!$K$73)),AND($B$63="Да",IFERROR(INDEX('Вводные'!$B$88:$B$91,$B$64),"Нет")="Да"))</x:f>
      </x:c>
    </x:row>
    <x:row r="77">
      <x:c r="A77" t="str">
        <x:v>Нормированный вес после РВЭ</x:v>
      </x:c>
      <x:c r="B77" s="35" t="n">
        <x:f>SUM(D77:GA77)</x:f>
      </x:c>
      <x:c r="C77" t="str">
        <x:v>%</x:v>
      </x:c>
      <x:c r="D77" s="35" t="n">
        <x:f>IFERROR(D74*D76/SUMPRODUCT($D74:$GA74,$D76:$GA76),0)</x:f>
      </x:c>
      <x:c r="E77" s="35" t="n">
        <x:f>IFERROR(E74*E76/SUMPRODUCT($D74:$GA74,$D76:$GA76),0)</x:f>
      </x:c>
      <x:c r="F77" s="35" t="n">
        <x:f>IFERROR(F74*F76/SUMPRODUCT($D74:$GA74,$D76:$GA76),0)</x:f>
      </x:c>
      <x:c r="G77" s="35" t="n">
        <x:f>IFERROR(G74*G76/SUMPRODUCT($D74:$GA74,$D76:$GA76),0)</x:f>
      </x:c>
      <x:c r="H77" s="35" t="n">
        <x:f>IFERROR(H74*H76/SUMPRODUCT($D74:$GA74,$D76:$GA76),0)</x:f>
      </x:c>
      <x:c r="I77" s="35" t="n">
        <x:f>IFERROR(I74*I76/SUMPRODUCT($D74:$GA74,$D76:$GA76),0)</x:f>
      </x:c>
      <x:c r="J77" s="35" t="n">
        <x:f>IFERROR(J74*J76/SUMPRODUCT($D74:$GA74,$D76:$GA76),0)</x:f>
      </x:c>
      <x:c r="K77" s="35" t="n">
        <x:f>IFERROR(K74*K76/SUMPRODUCT($D74:$GA74,$D76:$GA76),0)</x:f>
      </x:c>
      <x:c r="L77" s="35" t="n">
        <x:f>IFERROR(L74*L76/SUMPRODUCT($D74:$GA74,$D76:$GA76),0)</x:f>
      </x:c>
      <x:c r="M77" s="35" t="n">
        <x:f>IFERROR(M74*M76/SUMPRODUCT($D74:$GA74,$D76:$GA76),0)</x:f>
      </x:c>
      <x:c r="N77" s="35" t="n">
        <x:f>IFERROR(N74*N76/SUMPRODUCT($D74:$GA74,$D76:$GA76),0)</x:f>
      </x:c>
      <x:c r="O77" s="35" t="n">
        <x:f>IFERROR(O74*O76/SUMPRODUCT($D74:$GA74,$D76:$GA76),0)</x:f>
      </x:c>
      <x:c r="P77" s="35" t="n">
        <x:f>IFERROR(P74*P76/SUMPRODUCT($D74:$GA74,$D76:$GA76),0)</x:f>
      </x:c>
      <x:c r="Q77" s="35" t="n">
        <x:f>IFERROR(Q74*Q76/SUMPRODUCT($D74:$GA74,$D76:$GA76),0)</x:f>
      </x:c>
      <x:c r="R77" s="35" t="n">
        <x:f>IFERROR(R74*R76/SUMPRODUCT($D74:$GA74,$D76:$GA76),0)</x:f>
      </x:c>
      <x:c r="S77" s="35" t="n">
        <x:f>IFERROR(S74*S76/SUMPRODUCT($D74:$GA74,$D76:$GA76),0)</x:f>
      </x:c>
      <x:c r="T77" s="35" t="n">
        <x:f>IFERROR(T74*T76/SUMPRODUCT($D74:$GA74,$D76:$GA76),0)</x:f>
      </x:c>
      <x:c r="U77" s="35" t="n">
        <x:f>IFERROR(U74*U76/SUMPRODUCT($D74:$GA74,$D76:$GA76),0)</x:f>
      </x:c>
      <x:c r="V77" s="35" t="n">
        <x:f>IFERROR(V74*V76/SUMPRODUCT($D74:$GA74,$D76:$GA76),0)</x:f>
      </x:c>
      <x:c r="W77" s="35" t="n">
        <x:f>IFERROR(W74*W76/SUMPRODUCT($D74:$GA74,$D76:$GA76),0)</x:f>
      </x:c>
      <x:c r="X77" s="35" t="n">
        <x:f>IFERROR(X74*X76/SUMPRODUCT($D74:$GA74,$D76:$GA76),0)</x:f>
      </x:c>
      <x:c r="Y77" s="35" t="n">
        <x:f>IFERROR(Y74*Y76/SUMPRODUCT($D74:$GA74,$D76:$GA76),0)</x:f>
      </x:c>
      <x:c r="Z77" s="35" t="n">
        <x:f>IFERROR(Z74*Z76/SUMPRODUCT($D74:$GA74,$D76:$GA76),0)</x:f>
      </x:c>
      <x:c r="AA77" s="35" t="n">
        <x:f>IFERROR(AA74*AA76/SUMPRODUCT($D74:$GA74,$D76:$GA76),0)</x:f>
      </x:c>
      <x:c r="AB77" s="35" t="n">
        <x:f>IFERROR(AB74*AB76/SUMPRODUCT($D74:$GA74,$D76:$GA76),0)</x:f>
      </x:c>
      <x:c r="AC77" s="35" t="n">
        <x:f>IFERROR(AC74*AC76/SUMPRODUCT($D74:$GA74,$D76:$GA76),0)</x:f>
      </x:c>
      <x:c r="AD77" s="35" t="n">
        <x:f>IFERROR(AD74*AD76/SUMPRODUCT($D74:$GA74,$D76:$GA76),0)</x:f>
      </x:c>
      <x:c r="AE77" s="35" t="n">
        <x:f>IFERROR(AE74*AE76/SUMPRODUCT($D74:$GA74,$D76:$GA76),0)</x:f>
      </x:c>
      <x:c r="AF77" s="35" t="n">
        <x:f>IFERROR(AF74*AF76/SUMPRODUCT($D74:$GA74,$D76:$GA76),0)</x:f>
      </x:c>
      <x:c r="AG77" s="35" t="n">
        <x:f>IFERROR(AG74*AG76/SUMPRODUCT($D74:$GA74,$D76:$GA76),0)</x:f>
      </x:c>
      <x:c r="AH77" s="35" t="n">
        <x:f>IFERROR(AH74*AH76/SUMPRODUCT($D74:$GA74,$D76:$GA76),0)</x:f>
      </x:c>
      <x:c r="AI77" s="35" t="n">
        <x:f>IFERROR(AI74*AI76/SUMPRODUCT($D74:$GA74,$D76:$GA76),0)</x:f>
      </x:c>
      <x:c r="AJ77" s="35" t="n">
        <x:f>IFERROR(AJ74*AJ76/SUMPRODUCT($D74:$GA74,$D76:$GA76),0)</x:f>
      </x:c>
      <x:c r="AK77" s="35" t="n">
        <x:f>IFERROR(AK74*AK76/SUMPRODUCT($D74:$GA74,$D76:$GA76),0)</x:f>
      </x:c>
      <x:c r="AL77" s="35" t="n">
        <x:f>IFERROR(AL74*AL76/SUMPRODUCT($D74:$GA74,$D76:$GA76),0)</x:f>
      </x:c>
      <x:c r="AM77" s="35" t="n">
        <x:f>IFERROR(AM74*AM76/SUMPRODUCT($D74:$GA74,$D76:$GA76),0)</x:f>
      </x:c>
      <x:c r="AN77" s="35" t="n">
        <x:f>IFERROR(AN74*AN76/SUMPRODUCT($D74:$GA74,$D76:$GA76),0)</x:f>
      </x:c>
      <x:c r="AO77" s="35" t="n">
        <x:f>IFERROR(AO74*AO76/SUMPRODUCT($D74:$GA74,$D76:$GA76),0)</x:f>
      </x:c>
      <x:c r="AP77" s="35" t="n">
        <x:f>IFERROR(AP74*AP76/SUMPRODUCT($D74:$GA74,$D76:$GA76),0)</x:f>
      </x:c>
      <x:c r="AQ77" s="35" t="n">
        <x:f>IFERROR(AQ74*AQ76/SUMPRODUCT($D74:$GA74,$D76:$GA76),0)</x:f>
      </x:c>
      <x:c r="AR77" s="35" t="n">
        <x:f>IFERROR(AR74*AR76/SUMPRODUCT($D74:$GA74,$D76:$GA76),0)</x:f>
      </x:c>
      <x:c r="AS77" s="35" t="n">
        <x:f>IFERROR(AS74*AS76/SUMPRODUCT($D74:$GA74,$D76:$GA76),0)</x:f>
      </x:c>
      <x:c r="AT77" s="35" t="n">
        <x:f>IFERROR(AT74*AT76/SUMPRODUCT($D74:$GA74,$D76:$GA76),0)</x:f>
      </x:c>
      <x:c r="AU77" s="35" t="n">
        <x:f>IFERROR(AU74*AU76/SUMPRODUCT($D74:$GA74,$D76:$GA76),0)</x:f>
      </x:c>
      <x:c r="AV77" s="35" t="n">
        <x:f>IFERROR(AV74*AV76/SUMPRODUCT($D74:$GA74,$D76:$GA76),0)</x:f>
      </x:c>
      <x:c r="AW77" s="35" t="n">
        <x:f>IFERROR(AW74*AW76/SUMPRODUCT($D74:$GA74,$D76:$GA76),0)</x:f>
      </x:c>
      <x:c r="AX77" s="35" t="n">
        <x:f>IFERROR(AX74*AX76/SUMPRODUCT($D74:$GA74,$D76:$GA76),0)</x:f>
      </x:c>
      <x:c r="AY77" s="35" t="n">
        <x:f>IFERROR(AY74*AY76/SUMPRODUCT($D74:$GA74,$D76:$GA76),0)</x:f>
      </x:c>
      <x:c r="AZ77" s="35" t="n">
        <x:f>IFERROR(AZ74*AZ76/SUMPRODUCT($D74:$GA74,$D76:$GA76),0)</x:f>
      </x:c>
      <x:c r="BA77" s="35" t="n">
        <x:f>IFERROR(BA74*BA76/SUMPRODUCT($D74:$GA74,$D76:$GA76),0)</x:f>
      </x:c>
      <x:c r="BB77" s="35" t="n">
        <x:f>IFERROR(BB74*BB76/SUMPRODUCT($D74:$GA74,$D76:$GA76),0)</x:f>
      </x:c>
      <x:c r="BC77" s="35" t="n">
        <x:f>IFERROR(BC74*BC76/SUMPRODUCT($D74:$GA74,$D76:$GA76),0)</x:f>
      </x:c>
      <x:c r="BD77" s="35" t="n">
        <x:f>IFERROR(BD74*BD76/SUMPRODUCT($D74:$GA74,$D76:$GA76),0)</x:f>
      </x:c>
      <x:c r="BE77" s="35" t="n">
        <x:f>IFERROR(BE74*BE76/SUMPRODUCT($D74:$GA74,$D76:$GA76),0)</x:f>
      </x:c>
      <x:c r="BF77" s="35" t="n">
        <x:f>IFERROR(BF74*BF76/SUMPRODUCT($D74:$GA74,$D76:$GA76),0)</x:f>
      </x:c>
      <x:c r="BG77" s="35" t="n">
        <x:f>IFERROR(BG74*BG76/SUMPRODUCT($D74:$GA74,$D76:$GA76),0)</x:f>
      </x:c>
      <x:c r="BH77" s="35" t="n">
        <x:f>IFERROR(BH74*BH76/SUMPRODUCT($D74:$GA74,$D76:$GA76),0)</x:f>
      </x:c>
      <x:c r="BI77" s="35" t="n">
        <x:f>IFERROR(BI74*BI76/SUMPRODUCT($D74:$GA74,$D76:$GA76),0)</x:f>
      </x:c>
      <x:c r="BJ77" s="35" t="n">
        <x:f>IFERROR(BJ74*BJ76/SUMPRODUCT($D74:$GA74,$D76:$GA76),0)</x:f>
      </x:c>
      <x:c r="BK77" s="35" t="n">
        <x:f>IFERROR(BK74*BK76/SUMPRODUCT($D74:$GA74,$D76:$GA76),0)</x:f>
      </x:c>
      <x:c r="BL77" s="35" t="n">
        <x:f>IFERROR(BL74*BL76/SUMPRODUCT($D74:$GA74,$D76:$GA76),0)</x:f>
      </x:c>
      <x:c r="BM77" s="35" t="n">
        <x:f>IFERROR(BM74*BM76/SUMPRODUCT($D74:$GA74,$D76:$GA76),0)</x:f>
      </x:c>
      <x:c r="BN77" s="35" t="n">
        <x:f>IFERROR(BN74*BN76/SUMPRODUCT($D74:$GA74,$D76:$GA76),0)</x:f>
      </x:c>
      <x:c r="BO77" s="35" t="n">
        <x:f>IFERROR(BO74*BO76/SUMPRODUCT($D74:$GA74,$D76:$GA76),0)</x:f>
      </x:c>
      <x:c r="BP77" s="35" t="n">
        <x:f>IFERROR(BP74*BP76/SUMPRODUCT($D74:$GA74,$D76:$GA76),0)</x:f>
      </x:c>
      <x:c r="BQ77" s="35" t="n">
        <x:f>IFERROR(BQ74*BQ76/SUMPRODUCT($D74:$GA74,$D76:$GA76),0)</x:f>
      </x:c>
      <x:c r="BR77" s="35" t="n">
        <x:f>IFERROR(BR74*BR76/SUMPRODUCT($D74:$GA74,$D76:$GA76),0)</x:f>
      </x:c>
      <x:c r="BS77" s="35" t="n">
        <x:f>IFERROR(BS74*BS76/SUMPRODUCT($D74:$GA74,$D76:$GA76),0)</x:f>
      </x:c>
      <x:c r="BT77" s="35" t="n">
        <x:f>IFERROR(BT74*BT76/SUMPRODUCT($D74:$GA74,$D76:$GA76),0)</x:f>
      </x:c>
      <x:c r="BU77" s="35" t="n">
        <x:f>IFERROR(BU74*BU76/SUMPRODUCT($D74:$GA74,$D76:$GA76),0)</x:f>
      </x:c>
      <x:c r="BV77" s="35" t="n">
        <x:f>IFERROR(BV74*BV76/SUMPRODUCT($D74:$GA74,$D76:$GA76),0)</x:f>
      </x:c>
      <x:c r="BW77" s="35" t="n">
        <x:f>IFERROR(BW74*BW76/SUMPRODUCT($D74:$GA74,$D76:$GA76),0)</x:f>
      </x:c>
      <x:c r="BX77" s="35" t="n">
        <x:f>IFERROR(BX74*BX76/SUMPRODUCT($D74:$GA74,$D76:$GA76),0)</x:f>
      </x:c>
      <x:c r="BY77" s="35" t="n">
        <x:f>IFERROR(BY74*BY76/SUMPRODUCT($D74:$GA74,$D76:$GA76),0)</x:f>
      </x:c>
      <x:c r="BZ77" s="35" t="n">
        <x:f>IFERROR(BZ74*BZ76/SUMPRODUCT($D74:$GA74,$D76:$GA76),0)</x:f>
      </x:c>
      <x:c r="CA77" s="35" t="n">
        <x:f>IFERROR(CA74*CA76/SUMPRODUCT($D74:$GA74,$D76:$GA76),0)</x:f>
      </x:c>
      <x:c r="CB77" s="35" t="n">
        <x:f>IFERROR(CB74*CB76/SUMPRODUCT($D74:$GA74,$D76:$GA76),0)</x:f>
      </x:c>
      <x:c r="CC77" s="35" t="n">
        <x:f>IFERROR(CC74*CC76/SUMPRODUCT($D74:$GA74,$D76:$GA76),0)</x:f>
      </x:c>
      <x:c r="CD77" s="35" t="n">
        <x:f>IFERROR(CD74*CD76/SUMPRODUCT($D74:$GA74,$D76:$GA76),0)</x:f>
      </x:c>
      <x:c r="CE77" s="35" t="n">
        <x:f>IFERROR(CE74*CE76/SUMPRODUCT($D74:$GA74,$D76:$GA76),0)</x:f>
      </x:c>
      <x:c r="CF77" s="35" t="n">
        <x:f>IFERROR(CF74*CF76/SUMPRODUCT($D74:$GA74,$D76:$GA76),0)</x:f>
      </x:c>
      <x:c r="CG77" s="35" t="n">
        <x:f>IFERROR(CG74*CG76/SUMPRODUCT($D74:$GA74,$D76:$GA76),0)</x:f>
      </x:c>
      <x:c r="CH77" s="35" t="n">
        <x:f>IFERROR(CH74*CH76/SUMPRODUCT($D74:$GA74,$D76:$GA76),0)</x:f>
      </x:c>
      <x:c r="CI77" s="35" t="n">
        <x:f>IFERROR(CI74*CI76/SUMPRODUCT($D74:$GA74,$D76:$GA76),0)</x:f>
      </x:c>
      <x:c r="CJ77" s="35" t="n">
        <x:f>IFERROR(CJ74*CJ76/SUMPRODUCT($D74:$GA74,$D76:$GA76),0)</x:f>
      </x:c>
      <x:c r="CK77" s="35" t="n">
        <x:f>IFERROR(CK74*CK76/SUMPRODUCT($D74:$GA74,$D76:$GA76),0)</x:f>
      </x:c>
      <x:c r="CL77" s="35" t="n">
        <x:f>IFERROR(CL74*CL76/SUMPRODUCT($D74:$GA74,$D76:$GA76),0)</x:f>
      </x:c>
      <x:c r="CM77" s="35" t="n">
        <x:f>IFERROR(CM74*CM76/SUMPRODUCT($D74:$GA74,$D76:$GA76),0)</x:f>
      </x:c>
      <x:c r="CN77" s="35" t="n">
        <x:f>IFERROR(CN74*CN76/SUMPRODUCT($D74:$GA74,$D76:$GA76),0)</x:f>
      </x:c>
      <x:c r="CO77" s="35" t="n">
        <x:f>IFERROR(CO74*CO76/SUMPRODUCT($D74:$GA74,$D76:$GA76),0)</x:f>
      </x:c>
      <x:c r="CP77" s="35" t="n">
        <x:f>IFERROR(CP74*CP76/SUMPRODUCT($D74:$GA74,$D76:$GA76),0)</x:f>
      </x:c>
      <x:c r="CQ77" s="35" t="n">
        <x:f>IFERROR(CQ74*CQ76/SUMPRODUCT($D74:$GA74,$D76:$GA76),0)</x:f>
      </x:c>
      <x:c r="CR77" s="35" t="n">
        <x:f>IFERROR(CR74*CR76/SUMPRODUCT($D74:$GA74,$D76:$GA76),0)</x:f>
      </x:c>
      <x:c r="CS77" s="35" t="n">
        <x:f>IFERROR(CS74*CS76/SUMPRODUCT($D74:$GA74,$D76:$GA76),0)</x:f>
      </x:c>
      <x:c r="CT77" s="35" t="n">
        <x:f>IFERROR(CT74*CT76/SUMPRODUCT($D74:$GA74,$D76:$GA76),0)</x:f>
      </x:c>
      <x:c r="CU77" s="35" t="n">
        <x:f>IFERROR(CU74*CU76/SUMPRODUCT($D74:$GA74,$D76:$GA76),0)</x:f>
      </x:c>
      <x:c r="CV77" s="35" t="n">
        <x:f>IFERROR(CV74*CV76/SUMPRODUCT($D74:$GA74,$D76:$GA76),0)</x:f>
      </x:c>
      <x:c r="CW77" s="35" t="n">
        <x:f>IFERROR(CW74*CW76/SUMPRODUCT($D74:$GA74,$D76:$GA76),0)</x:f>
      </x:c>
      <x:c r="CX77" s="35" t="n">
        <x:f>IFERROR(CX74*CX76/SUMPRODUCT($D74:$GA74,$D76:$GA76),0)</x:f>
      </x:c>
      <x:c r="CY77" s="35" t="n">
        <x:f>IFERROR(CY74*CY76/SUMPRODUCT($D74:$GA74,$D76:$GA76),0)</x:f>
      </x:c>
      <x:c r="CZ77" s="35" t="n">
        <x:f>IFERROR(CZ74*CZ76/SUMPRODUCT($D74:$GA74,$D76:$GA76),0)</x:f>
      </x:c>
      <x:c r="DA77" s="35" t="n">
        <x:f>IFERROR(DA74*DA76/SUMPRODUCT($D74:$GA74,$D76:$GA76),0)</x:f>
      </x:c>
      <x:c r="DB77" s="35" t="n">
        <x:f>IFERROR(DB74*DB76/SUMPRODUCT($D74:$GA74,$D76:$GA76),0)</x:f>
      </x:c>
      <x:c r="DC77" s="35" t="n">
        <x:f>IFERROR(DC74*DC76/SUMPRODUCT($D74:$GA74,$D76:$GA76),0)</x:f>
      </x:c>
      <x:c r="DD77" s="35" t="n">
        <x:f>IFERROR(DD74*DD76/SUMPRODUCT($D74:$GA74,$D76:$GA76),0)</x:f>
      </x:c>
      <x:c r="DE77" s="35" t="n">
        <x:f>IFERROR(DE74*DE76/SUMPRODUCT($D74:$GA74,$D76:$GA76),0)</x:f>
      </x:c>
      <x:c r="DF77" s="35" t="n">
        <x:f>IFERROR(DF74*DF76/SUMPRODUCT($D74:$GA74,$D76:$GA76),0)</x:f>
      </x:c>
      <x:c r="DG77" s="35" t="n">
        <x:f>IFERROR(DG74*DG76/SUMPRODUCT($D74:$GA74,$D76:$GA76),0)</x:f>
      </x:c>
      <x:c r="DH77" s="35" t="n">
        <x:f>IFERROR(DH74*DH76/SUMPRODUCT($D74:$GA74,$D76:$GA76),0)</x:f>
      </x:c>
      <x:c r="DI77" s="35" t="n">
        <x:f>IFERROR(DI74*DI76/SUMPRODUCT($D74:$GA74,$D76:$GA76),0)</x:f>
      </x:c>
      <x:c r="DJ77" s="35" t="n">
        <x:f>IFERROR(DJ74*DJ76/SUMPRODUCT($D74:$GA74,$D76:$GA76),0)</x:f>
      </x:c>
      <x:c r="DK77" s="35" t="n">
        <x:f>IFERROR(DK74*DK76/SUMPRODUCT($D74:$GA74,$D76:$GA76),0)</x:f>
      </x:c>
      <x:c r="DL77" s="35" t="n">
        <x:f>IFERROR(DL74*DL76/SUMPRODUCT($D74:$GA74,$D76:$GA76),0)</x:f>
      </x:c>
      <x:c r="DM77" s="35" t="n">
        <x:f>IFERROR(DM74*DM76/SUMPRODUCT($D74:$GA74,$D76:$GA76),0)</x:f>
      </x:c>
      <x:c r="DN77" s="35" t="n">
        <x:f>IFERROR(DN74*DN76/SUMPRODUCT($D74:$GA74,$D76:$GA76),0)</x:f>
      </x:c>
      <x:c r="DO77" s="35" t="n">
        <x:f>IFERROR(DO74*DO76/SUMPRODUCT($D74:$GA74,$D76:$GA76),0)</x:f>
      </x:c>
      <x:c r="DP77" s="35" t="n">
        <x:f>IFERROR(DP74*DP76/SUMPRODUCT($D74:$GA74,$D76:$GA76),0)</x:f>
      </x:c>
      <x:c r="DQ77" s="35" t="n">
        <x:f>IFERROR(DQ74*DQ76/SUMPRODUCT($D74:$GA74,$D76:$GA76),0)</x:f>
      </x:c>
      <x:c r="DR77" s="35" t="n">
        <x:f>IFERROR(DR74*DR76/SUMPRODUCT($D74:$GA74,$D76:$GA76),0)</x:f>
      </x:c>
      <x:c r="DS77" s="35" t="n">
        <x:f>IFERROR(DS74*DS76/SUMPRODUCT($D74:$GA74,$D76:$GA76),0)</x:f>
      </x:c>
      <x:c r="DT77" s="35" t="n">
        <x:f>IFERROR(DT74*DT76/SUMPRODUCT($D74:$GA74,$D76:$GA76),0)</x:f>
      </x:c>
      <x:c r="DU77" s="35" t="n">
        <x:f>IFERROR(DU74*DU76/SUMPRODUCT($D74:$GA74,$D76:$GA76),0)</x:f>
      </x:c>
      <x:c r="DV77" s="35" t="n">
        <x:f>IFERROR(DV74*DV76/SUMPRODUCT($D74:$GA74,$D76:$GA76),0)</x:f>
      </x:c>
      <x:c r="DW77" s="35" t="n">
        <x:f>IFERROR(DW74*DW76/SUMPRODUCT($D74:$GA74,$D76:$GA76),0)</x:f>
      </x:c>
      <x:c r="DX77" s="35" t="n">
        <x:f>IFERROR(DX74*DX76/SUMPRODUCT($D74:$GA74,$D76:$GA76),0)</x:f>
      </x:c>
      <x:c r="DY77" s="35" t="n">
        <x:f>IFERROR(DY74*DY76/SUMPRODUCT($D74:$GA74,$D76:$GA76),0)</x:f>
      </x:c>
      <x:c r="DZ77" s="35" t="n">
        <x:f>IFERROR(DZ74*DZ76/SUMPRODUCT($D74:$GA74,$D76:$GA76),0)</x:f>
      </x:c>
      <x:c r="EA77" s="35" t="n">
        <x:f>IFERROR(EA74*EA76/SUMPRODUCT($D74:$GA74,$D76:$GA76),0)</x:f>
      </x:c>
      <x:c r="EB77" s="35" t="n">
        <x:f>IFERROR(EB74*EB76/SUMPRODUCT($D74:$GA74,$D76:$GA76),0)</x:f>
      </x:c>
      <x:c r="EC77" s="35" t="n">
        <x:f>IFERROR(EC74*EC76/SUMPRODUCT($D74:$GA74,$D76:$GA76),0)</x:f>
      </x:c>
      <x:c r="ED77" s="35" t="n">
        <x:f>IFERROR(ED74*ED76/SUMPRODUCT($D74:$GA74,$D76:$GA76),0)</x:f>
      </x:c>
      <x:c r="EE77" s="35" t="n">
        <x:f>IFERROR(EE74*EE76/SUMPRODUCT($D74:$GA74,$D76:$GA76),0)</x:f>
      </x:c>
      <x:c r="EF77" s="35" t="n">
        <x:f>IFERROR(EF74*EF76/SUMPRODUCT($D74:$GA74,$D76:$GA76),0)</x:f>
      </x:c>
      <x:c r="EG77" s="35" t="n">
        <x:f>IFERROR(EG74*EG76/SUMPRODUCT($D74:$GA74,$D76:$GA76),0)</x:f>
      </x:c>
      <x:c r="EH77" s="35" t="n">
        <x:f>IFERROR(EH74*EH76/SUMPRODUCT($D74:$GA74,$D76:$GA76),0)</x:f>
      </x:c>
      <x:c r="EI77" s="35" t="n">
        <x:f>IFERROR(EI74*EI76/SUMPRODUCT($D74:$GA74,$D76:$GA76),0)</x:f>
      </x:c>
      <x:c r="EJ77" s="35" t="n">
        <x:f>IFERROR(EJ74*EJ76/SUMPRODUCT($D74:$GA74,$D76:$GA76),0)</x:f>
      </x:c>
      <x:c r="EK77" s="35" t="n">
        <x:f>IFERROR(EK74*EK76/SUMPRODUCT($D74:$GA74,$D76:$GA76),0)</x:f>
      </x:c>
      <x:c r="EL77" s="35" t="n">
        <x:f>IFERROR(EL74*EL76/SUMPRODUCT($D74:$GA74,$D76:$GA76),0)</x:f>
      </x:c>
      <x:c r="EM77" s="35" t="n">
        <x:f>IFERROR(EM74*EM76/SUMPRODUCT($D74:$GA74,$D76:$GA76),0)</x:f>
      </x:c>
      <x:c r="EN77" s="35" t="n">
        <x:f>IFERROR(EN74*EN76/SUMPRODUCT($D74:$GA74,$D76:$GA76),0)</x:f>
      </x:c>
      <x:c r="EO77" s="35" t="n">
        <x:f>IFERROR(EO74*EO76/SUMPRODUCT($D74:$GA74,$D76:$GA76),0)</x:f>
      </x:c>
      <x:c r="EP77" s="35" t="n">
        <x:f>IFERROR(EP74*EP76/SUMPRODUCT($D74:$GA74,$D76:$GA76),0)</x:f>
      </x:c>
      <x:c r="EQ77" s="35" t="n">
        <x:f>IFERROR(EQ74*EQ76/SUMPRODUCT($D74:$GA74,$D76:$GA76),0)</x:f>
      </x:c>
      <x:c r="ER77" s="35" t="n">
        <x:f>IFERROR(ER74*ER76/SUMPRODUCT($D74:$GA74,$D76:$GA76),0)</x:f>
      </x:c>
      <x:c r="ES77" s="35" t="n">
        <x:f>IFERROR(ES74*ES76/SUMPRODUCT($D74:$GA74,$D76:$GA76),0)</x:f>
      </x:c>
      <x:c r="ET77" s="35" t="n">
        <x:f>IFERROR(ET74*ET76/SUMPRODUCT($D74:$GA74,$D76:$GA76),0)</x:f>
      </x:c>
      <x:c r="EU77" s="35" t="n">
        <x:f>IFERROR(EU74*EU76/SUMPRODUCT($D74:$GA74,$D76:$GA76),0)</x:f>
      </x:c>
      <x:c r="EV77" s="35" t="n">
        <x:f>IFERROR(EV74*EV76/SUMPRODUCT($D74:$GA74,$D76:$GA76),0)</x:f>
      </x:c>
      <x:c r="EW77" s="35" t="n">
        <x:f>IFERROR(EW74*EW76/SUMPRODUCT($D74:$GA74,$D76:$GA76),0)</x:f>
      </x:c>
      <x:c r="EX77" s="35" t="n">
        <x:f>IFERROR(EX74*EX76/SUMPRODUCT($D74:$GA74,$D76:$GA76),0)</x:f>
      </x:c>
      <x:c r="EY77" s="35" t="n">
        <x:f>IFERROR(EY74*EY76/SUMPRODUCT($D74:$GA74,$D76:$GA76),0)</x:f>
      </x:c>
      <x:c r="EZ77" s="35" t="n">
        <x:f>IFERROR(EZ74*EZ76/SUMPRODUCT($D74:$GA74,$D76:$GA76),0)</x:f>
      </x:c>
      <x:c r="FA77" s="35" t="n">
        <x:f>IFERROR(FA74*FA76/SUMPRODUCT($D74:$GA74,$D76:$GA76),0)</x:f>
      </x:c>
      <x:c r="FB77" s="35" t="n">
        <x:f>IFERROR(FB74*FB76/SUMPRODUCT($D74:$GA74,$D76:$GA76),0)</x:f>
      </x:c>
      <x:c r="FC77" s="35" t="n">
        <x:f>IFERROR(FC74*FC76/SUMPRODUCT($D74:$GA74,$D76:$GA76),0)</x:f>
      </x:c>
      <x:c r="FD77" s="35" t="n">
        <x:f>IFERROR(FD74*FD76/SUMPRODUCT($D74:$GA74,$D76:$GA76),0)</x:f>
      </x:c>
      <x:c r="FE77" s="35" t="n">
        <x:f>IFERROR(FE74*FE76/SUMPRODUCT($D74:$GA74,$D76:$GA76),0)</x:f>
      </x:c>
      <x:c r="FF77" s="35" t="n">
        <x:f>IFERROR(FF74*FF76/SUMPRODUCT($D74:$GA74,$D76:$GA76),0)</x:f>
      </x:c>
      <x:c r="FG77" s="35" t="n">
        <x:f>IFERROR(FG74*FG76/SUMPRODUCT($D74:$GA74,$D76:$GA76),0)</x:f>
      </x:c>
      <x:c r="FH77" s="35" t="n">
        <x:f>IFERROR(FH74*FH76/SUMPRODUCT($D74:$GA74,$D76:$GA76),0)</x:f>
      </x:c>
      <x:c r="FI77" s="35" t="n">
        <x:f>IFERROR(FI74*FI76/SUMPRODUCT($D74:$GA74,$D76:$GA76),0)</x:f>
      </x:c>
      <x:c r="FJ77" s="35" t="n">
        <x:f>IFERROR(FJ74*FJ76/SUMPRODUCT($D74:$GA74,$D76:$GA76),0)</x:f>
      </x:c>
      <x:c r="FK77" s="35" t="n">
        <x:f>IFERROR(FK74*FK76/SUMPRODUCT($D74:$GA74,$D76:$GA76),0)</x:f>
      </x:c>
      <x:c r="FL77" s="35" t="n">
        <x:f>IFERROR(FL74*FL76/SUMPRODUCT($D74:$GA74,$D76:$GA76),0)</x:f>
      </x:c>
      <x:c r="FM77" s="35" t="n">
        <x:f>IFERROR(FM74*FM76/SUMPRODUCT($D74:$GA74,$D76:$GA76),0)</x:f>
      </x:c>
      <x:c r="FN77" s="35" t="n">
        <x:f>IFERROR(FN74*FN76/SUMPRODUCT($D74:$GA74,$D76:$GA76),0)</x:f>
      </x:c>
      <x:c r="FO77" s="35" t="n">
        <x:f>IFERROR(FO74*FO76/SUMPRODUCT($D74:$GA74,$D76:$GA76),0)</x:f>
      </x:c>
      <x:c r="FP77" s="35" t="n">
        <x:f>IFERROR(FP74*FP76/SUMPRODUCT($D74:$GA74,$D76:$GA76),0)</x:f>
      </x:c>
      <x:c r="FQ77" s="35" t="n">
        <x:f>IFERROR(FQ74*FQ76/SUMPRODUCT($D74:$GA74,$D76:$GA76),0)</x:f>
      </x:c>
      <x:c r="FR77" s="35" t="n">
        <x:f>IFERROR(FR74*FR76/SUMPRODUCT($D74:$GA74,$D76:$GA76),0)</x:f>
      </x:c>
      <x:c r="FS77" s="35" t="n">
        <x:f>IFERROR(FS74*FS76/SUMPRODUCT($D74:$GA74,$D76:$GA76),0)</x:f>
      </x:c>
      <x:c r="FT77" s="35" t="n">
        <x:f>IFERROR(FT74*FT76/SUMPRODUCT($D74:$GA74,$D76:$GA76),0)</x:f>
      </x:c>
      <x:c r="FU77" s="35" t="n">
        <x:f>IFERROR(FU74*FU76/SUMPRODUCT($D74:$GA74,$D76:$GA76),0)</x:f>
      </x:c>
      <x:c r="FV77" s="35" t="n">
        <x:f>IFERROR(FV74*FV76/SUMPRODUCT($D74:$GA74,$D76:$GA76),0)</x:f>
      </x:c>
      <x:c r="FW77" s="35" t="n">
        <x:f>IFERROR(FW74*FW76/SUMPRODUCT($D74:$GA74,$D76:$GA76),0)</x:f>
      </x:c>
      <x:c r="FX77" s="35" t="n">
        <x:f>IFERROR(FX74*FX76/SUMPRODUCT($D74:$GA74,$D76:$GA76),0)</x:f>
      </x:c>
      <x:c r="FY77" s="35" t="n">
        <x:f>IFERROR(FY74*FY76/SUMPRODUCT($D74:$GA74,$D76:$GA76),0)</x:f>
      </x:c>
      <x:c r="FZ77" s="35" t="n">
        <x:f>IFERROR(FZ74*FZ76/SUMPRODUCT($D74:$GA74,$D76:$GA76),0)</x:f>
      </x:c>
      <x:c r="GA77" s="35" t="n">
        <x:f>IFERROR(GA74*GA76/SUMPRODUCT($D74:$GA74,$D76:$GA76),0)</x:f>
      </x:c>
    </x:row>
    <x:row r="78">
      <x:c r="A78" t="str">
        <x:v>Реализованный объём</x:v>
      </x:c>
      <x:c r="B78" s="132" t="n">
        <x:f>SUM(D78:GA78)</x:f>
      </x:c>
      <x:c r="C78" t="str">
        <x:v>шт.</x:v>
      </x:c>
      <x:c r="D78" s="132" t="n">
        <x:f>$B$69*((IF(SUM($D73:$GA73)=0,0,IF(SUM($D76:$GA76)=0,1,'Вводные'!$K$72)))*D75+(1-(IF(SUM($D73:$GA73)=0,0,IF(SUM($D76:$GA76)=0,1,'Вводные'!$K$72))))*D77)</x:f>
      </x:c>
      <x:c r="E78" s="132" t="n">
        <x:f>$B$69*((IF(SUM($D73:$GA73)=0,0,IF(SUM($D76:$GA76)=0,1,'Вводные'!$K$72)))*E75+(1-(IF(SUM($D73:$GA73)=0,0,IF(SUM($D76:$GA76)=0,1,'Вводные'!$K$72))))*E77)</x:f>
      </x:c>
      <x:c r="F78" s="132" t="n">
        <x:f>$B$69*((IF(SUM($D73:$GA73)=0,0,IF(SUM($D76:$GA76)=0,1,'Вводные'!$K$72)))*F75+(1-(IF(SUM($D73:$GA73)=0,0,IF(SUM($D76:$GA76)=0,1,'Вводные'!$K$72))))*F77)</x:f>
      </x:c>
      <x:c r="G78" s="132" t="n">
        <x:f>$B$69*((IF(SUM($D73:$GA73)=0,0,IF(SUM($D76:$GA76)=0,1,'Вводные'!$K$72)))*G75+(1-(IF(SUM($D73:$GA73)=0,0,IF(SUM($D76:$GA76)=0,1,'Вводные'!$K$72))))*G77)</x:f>
      </x:c>
      <x:c r="H78" s="132" t="n">
        <x:f>$B$69*((IF(SUM($D73:$GA73)=0,0,IF(SUM($D76:$GA76)=0,1,'Вводные'!$K$72)))*H75+(1-(IF(SUM($D73:$GA73)=0,0,IF(SUM($D76:$GA76)=0,1,'Вводные'!$K$72))))*H77)</x:f>
      </x:c>
      <x:c r="I78" s="132" t="n">
        <x:f>$B$69*((IF(SUM($D73:$GA73)=0,0,IF(SUM($D76:$GA76)=0,1,'Вводные'!$K$72)))*I75+(1-(IF(SUM($D73:$GA73)=0,0,IF(SUM($D76:$GA76)=0,1,'Вводные'!$K$72))))*I77)</x:f>
      </x:c>
      <x:c r="J78" s="132" t="n">
        <x:f>$B$69*((IF(SUM($D73:$GA73)=0,0,IF(SUM($D76:$GA76)=0,1,'Вводные'!$K$72)))*J75+(1-(IF(SUM($D73:$GA73)=0,0,IF(SUM($D76:$GA76)=0,1,'Вводные'!$K$72))))*J77)</x:f>
      </x:c>
      <x:c r="K78" s="132" t="n">
        <x:f>$B$69*((IF(SUM($D73:$GA73)=0,0,IF(SUM($D76:$GA76)=0,1,'Вводные'!$K$72)))*K75+(1-(IF(SUM($D73:$GA73)=0,0,IF(SUM($D76:$GA76)=0,1,'Вводные'!$K$72))))*K77)</x:f>
      </x:c>
      <x:c r="L78" s="132" t="n">
        <x:f>$B$69*((IF(SUM($D73:$GA73)=0,0,IF(SUM($D76:$GA76)=0,1,'Вводные'!$K$72)))*L75+(1-(IF(SUM($D73:$GA73)=0,0,IF(SUM($D76:$GA76)=0,1,'Вводные'!$K$72))))*L77)</x:f>
      </x:c>
      <x:c r="M78" s="132" t="n">
        <x:f>$B$69*((IF(SUM($D73:$GA73)=0,0,IF(SUM($D76:$GA76)=0,1,'Вводные'!$K$72)))*M75+(1-(IF(SUM($D73:$GA73)=0,0,IF(SUM($D76:$GA76)=0,1,'Вводные'!$K$72))))*M77)</x:f>
      </x:c>
      <x:c r="N78" s="132" t="n">
        <x:f>$B$69*((IF(SUM($D73:$GA73)=0,0,IF(SUM($D76:$GA76)=0,1,'Вводные'!$K$72)))*N75+(1-(IF(SUM($D73:$GA73)=0,0,IF(SUM($D76:$GA76)=0,1,'Вводные'!$K$72))))*N77)</x:f>
      </x:c>
      <x:c r="O78" s="132" t="n">
        <x:f>$B$69*((IF(SUM($D73:$GA73)=0,0,IF(SUM($D76:$GA76)=0,1,'Вводные'!$K$72)))*O75+(1-(IF(SUM($D73:$GA73)=0,0,IF(SUM($D76:$GA76)=0,1,'Вводные'!$K$72))))*O77)</x:f>
      </x:c>
      <x:c r="P78" s="132" t="n">
        <x:f>$B$69*((IF(SUM($D73:$GA73)=0,0,IF(SUM($D76:$GA76)=0,1,'Вводные'!$K$72)))*P75+(1-(IF(SUM($D73:$GA73)=0,0,IF(SUM($D76:$GA76)=0,1,'Вводные'!$K$72))))*P77)</x:f>
      </x:c>
      <x:c r="Q78" s="132" t="n">
        <x:f>$B$69*((IF(SUM($D73:$GA73)=0,0,IF(SUM($D76:$GA76)=0,1,'Вводные'!$K$72)))*Q75+(1-(IF(SUM($D73:$GA73)=0,0,IF(SUM($D76:$GA76)=0,1,'Вводные'!$K$72))))*Q77)</x:f>
      </x:c>
      <x:c r="R78" s="132" t="n">
        <x:f>$B$69*((IF(SUM($D73:$GA73)=0,0,IF(SUM($D76:$GA76)=0,1,'Вводные'!$K$72)))*R75+(1-(IF(SUM($D73:$GA73)=0,0,IF(SUM($D76:$GA76)=0,1,'Вводные'!$K$72))))*R77)</x:f>
      </x:c>
      <x:c r="S78" s="132" t="n">
        <x:f>$B$69*((IF(SUM($D73:$GA73)=0,0,IF(SUM($D76:$GA76)=0,1,'Вводные'!$K$72)))*S75+(1-(IF(SUM($D73:$GA73)=0,0,IF(SUM($D76:$GA76)=0,1,'Вводные'!$K$72))))*S77)</x:f>
      </x:c>
      <x:c r="T78" s="132" t="n">
        <x:f>$B$69*((IF(SUM($D73:$GA73)=0,0,IF(SUM($D76:$GA76)=0,1,'Вводные'!$K$72)))*T75+(1-(IF(SUM($D73:$GA73)=0,0,IF(SUM($D76:$GA76)=0,1,'Вводные'!$K$72))))*T77)</x:f>
      </x:c>
      <x:c r="U78" s="132" t="n">
        <x:f>$B$69*((IF(SUM($D73:$GA73)=0,0,IF(SUM($D76:$GA76)=0,1,'Вводные'!$K$72)))*U75+(1-(IF(SUM($D73:$GA73)=0,0,IF(SUM($D76:$GA76)=0,1,'Вводные'!$K$72))))*U77)</x:f>
      </x:c>
      <x:c r="V78" s="132" t="n">
        <x:f>$B$69*((IF(SUM($D73:$GA73)=0,0,IF(SUM($D76:$GA76)=0,1,'Вводные'!$K$72)))*V75+(1-(IF(SUM($D73:$GA73)=0,0,IF(SUM($D76:$GA76)=0,1,'Вводные'!$K$72))))*V77)</x:f>
      </x:c>
      <x:c r="W78" s="132" t="n">
        <x:f>$B$69*((IF(SUM($D73:$GA73)=0,0,IF(SUM($D76:$GA76)=0,1,'Вводные'!$K$72)))*W75+(1-(IF(SUM($D73:$GA73)=0,0,IF(SUM($D76:$GA76)=0,1,'Вводные'!$K$72))))*W77)</x:f>
      </x:c>
      <x:c r="X78" s="132" t="n">
        <x:f>$B$69*((IF(SUM($D73:$GA73)=0,0,IF(SUM($D76:$GA76)=0,1,'Вводные'!$K$72)))*X75+(1-(IF(SUM($D73:$GA73)=0,0,IF(SUM($D76:$GA76)=0,1,'Вводные'!$K$72))))*X77)</x:f>
      </x:c>
      <x:c r="Y78" s="132" t="n">
        <x:f>$B$69*((IF(SUM($D73:$GA73)=0,0,IF(SUM($D76:$GA76)=0,1,'Вводные'!$K$72)))*Y75+(1-(IF(SUM($D73:$GA73)=0,0,IF(SUM($D76:$GA76)=0,1,'Вводные'!$K$72))))*Y77)</x:f>
      </x:c>
      <x:c r="Z78" s="132" t="n">
        <x:f>$B$69*((IF(SUM($D73:$GA73)=0,0,IF(SUM($D76:$GA76)=0,1,'Вводные'!$K$72)))*Z75+(1-(IF(SUM($D73:$GA73)=0,0,IF(SUM($D76:$GA76)=0,1,'Вводные'!$K$72))))*Z77)</x:f>
      </x:c>
      <x:c r="AA78" s="132" t="n">
        <x:f>$B$69*((IF(SUM($D73:$GA73)=0,0,IF(SUM($D76:$GA76)=0,1,'Вводные'!$K$72)))*AA75+(1-(IF(SUM($D73:$GA73)=0,0,IF(SUM($D76:$GA76)=0,1,'Вводные'!$K$72))))*AA77)</x:f>
      </x:c>
      <x:c r="AB78" s="132" t="n">
        <x:f>$B$69*((IF(SUM($D73:$GA73)=0,0,IF(SUM($D76:$GA76)=0,1,'Вводные'!$K$72)))*AB75+(1-(IF(SUM($D73:$GA73)=0,0,IF(SUM($D76:$GA76)=0,1,'Вводные'!$K$72))))*AB77)</x:f>
      </x:c>
      <x:c r="AC78" s="132" t="n">
        <x:f>$B$69*((IF(SUM($D73:$GA73)=0,0,IF(SUM($D76:$GA76)=0,1,'Вводные'!$K$72)))*AC75+(1-(IF(SUM($D73:$GA73)=0,0,IF(SUM($D76:$GA76)=0,1,'Вводные'!$K$72))))*AC77)</x:f>
      </x:c>
      <x:c r="AD78" s="132" t="n">
        <x:f>$B$69*((IF(SUM($D73:$GA73)=0,0,IF(SUM($D76:$GA76)=0,1,'Вводные'!$K$72)))*AD75+(1-(IF(SUM($D73:$GA73)=0,0,IF(SUM($D76:$GA76)=0,1,'Вводные'!$K$72))))*AD77)</x:f>
      </x:c>
      <x:c r="AE78" s="132" t="n">
        <x:f>$B$69*((IF(SUM($D73:$GA73)=0,0,IF(SUM($D76:$GA76)=0,1,'Вводные'!$K$72)))*AE75+(1-(IF(SUM($D73:$GA73)=0,0,IF(SUM($D76:$GA76)=0,1,'Вводные'!$K$72))))*AE77)</x:f>
      </x:c>
      <x:c r="AF78" s="132" t="n">
        <x:f>$B$69*((IF(SUM($D73:$GA73)=0,0,IF(SUM($D76:$GA76)=0,1,'Вводные'!$K$72)))*AF75+(1-(IF(SUM($D73:$GA73)=0,0,IF(SUM($D76:$GA76)=0,1,'Вводные'!$K$72))))*AF77)</x:f>
      </x:c>
      <x:c r="AG78" s="132" t="n">
        <x:f>$B$69*((IF(SUM($D73:$GA73)=0,0,IF(SUM($D76:$GA76)=0,1,'Вводные'!$K$72)))*AG75+(1-(IF(SUM($D73:$GA73)=0,0,IF(SUM($D76:$GA76)=0,1,'Вводные'!$K$72))))*AG77)</x:f>
      </x:c>
      <x:c r="AH78" s="132" t="n">
        <x:f>$B$69*((IF(SUM($D73:$GA73)=0,0,IF(SUM($D76:$GA76)=0,1,'Вводные'!$K$72)))*AH75+(1-(IF(SUM($D73:$GA73)=0,0,IF(SUM($D76:$GA76)=0,1,'Вводные'!$K$72))))*AH77)</x:f>
      </x:c>
      <x:c r="AI78" s="132" t="n">
        <x:f>$B$69*((IF(SUM($D73:$GA73)=0,0,IF(SUM($D76:$GA76)=0,1,'Вводные'!$K$72)))*AI75+(1-(IF(SUM($D73:$GA73)=0,0,IF(SUM($D76:$GA76)=0,1,'Вводные'!$K$72))))*AI77)</x:f>
      </x:c>
      <x:c r="AJ78" s="132" t="n">
        <x:f>$B$69*((IF(SUM($D73:$GA73)=0,0,IF(SUM($D76:$GA76)=0,1,'Вводные'!$K$72)))*AJ75+(1-(IF(SUM($D73:$GA73)=0,0,IF(SUM($D76:$GA76)=0,1,'Вводные'!$K$72))))*AJ77)</x:f>
      </x:c>
      <x:c r="AK78" s="132" t="n">
        <x:f>$B$69*((IF(SUM($D73:$GA73)=0,0,IF(SUM($D76:$GA76)=0,1,'Вводные'!$K$72)))*AK75+(1-(IF(SUM($D73:$GA73)=0,0,IF(SUM($D76:$GA76)=0,1,'Вводные'!$K$72))))*AK77)</x:f>
      </x:c>
      <x:c r="AL78" s="132" t="n">
        <x:f>$B$69*((IF(SUM($D73:$GA73)=0,0,IF(SUM($D76:$GA76)=0,1,'Вводные'!$K$72)))*AL75+(1-(IF(SUM($D73:$GA73)=0,0,IF(SUM($D76:$GA76)=0,1,'Вводные'!$K$72))))*AL77)</x:f>
      </x:c>
      <x:c r="AM78" s="132" t="n">
        <x:f>$B$69*((IF(SUM($D73:$GA73)=0,0,IF(SUM($D76:$GA76)=0,1,'Вводные'!$K$72)))*AM75+(1-(IF(SUM($D73:$GA73)=0,0,IF(SUM($D76:$GA76)=0,1,'Вводные'!$K$72))))*AM77)</x:f>
      </x:c>
      <x:c r="AN78" s="132" t="n">
        <x:f>$B$69*((IF(SUM($D73:$GA73)=0,0,IF(SUM($D76:$GA76)=0,1,'Вводные'!$K$72)))*AN75+(1-(IF(SUM($D73:$GA73)=0,0,IF(SUM($D76:$GA76)=0,1,'Вводные'!$K$72))))*AN77)</x:f>
      </x:c>
      <x:c r="AO78" s="132" t="n">
        <x:f>$B$69*((IF(SUM($D73:$GA73)=0,0,IF(SUM($D76:$GA76)=0,1,'Вводные'!$K$72)))*AO75+(1-(IF(SUM($D73:$GA73)=0,0,IF(SUM($D76:$GA76)=0,1,'Вводные'!$K$72))))*AO77)</x:f>
      </x:c>
      <x:c r="AP78" s="132" t="n">
        <x:f>$B$69*((IF(SUM($D73:$GA73)=0,0,IF(SUM($D76:$GA76)=0,1,'Вводные'!$K$72)))*AP75+(1-(IF(SUM($D73:$GA73)=0,0,IF(SUM($D76:$GA76)=0,1,'Вводные'!$K$72))))*AP77)</x:f>
      </x:c>
      <x:c r="AQ78" s="132" t="n">
        <x:f>$B$69*((IF(SUM($D73:$GA73)=0,0,IF(SUM($D76:$GA76)=0,1,'Вводные'!$K$72)))*AQ75+(1-(IF(SUM($D73:$GA73)=0,0,IF(SUM($D76:$GA76)=0,1,'Вводные'!$K$72))))*AQ77)</x:f>
      </x:c>
      <x:c r="AR78" s="132" t="n">
        <x:f>$B$69*((IF(SUM($D73:$GA73)=0,0,IF(SUM($D76:$GA76)=0,1,'Вводные'!$K$72)))*AR75+(1-(IF(SUM($D73:$GA73)=0,0,IF(SUM($D76:$GA76)=0,1,'Вводные'!$K$72))))*AR77)</x:f>
      </x:c>
      <x:c r="AS78" s="132" t="n">
        <x:f>$B$69*((IF(SUM($D73:$GA73)=0,0,IF(SUM($D76:$GA76)=0,1,'Вводные'!$K$72)))*AS75+(1-(IF(SUM($D73:$GA73)=0,0,IF(SUM($D76:$GA76)=0,1,'Вводные'!$K$72))))*AS77)</x:f>
      </x:c>
      <x:c r="AT78" s="132" t="n">
        <x:f>$B$69*((IF(SUM($D73:$GA73)=0,0,IF(SUM($D76:$GA76)=0,1,'Вводные'!$K$72)))*AT75+(1-(IF(SUM($D73:$GA73)=0,0,IF(SUM($D76:$GA76)=0,1,'Вводные'!$K$72))))*AT77)</x:f>
      </x:c>
      <x:c r="AU78" s="132" t="n">
        <x:f>$B$69*((IF(SUM($D73:$GA73)=0,0,IF(SUM($D76:$GA76)=0,1,'Вводные'!$K$72)))*AU75+(1-(IF(SUM($D73:$GA73)=0,0,IF(SUM($D76:$GA76)=0,1,'Вводные'!$K$72))))*AU77)</x:f>
      </x:c>
      <x:c r="AV78" s="132" t="n">
        <x:f>$B$69*((IF(SUM($D73:$GA73)=0,0,IF(SUM($D76:$GA76)=0,1,'Вводные'!$K$72)))*AV75+(1-(IF(SUM($D73:$GA73)=0,0,IF(SUM($D76:$GA76)=0,1,'Вводные'!$K$72))))*AV77)</x:f>
      </x:c>
      <x:c r="AW78" s="132" t="n">
        <x:f>$B$69*((IF(SUM($D73:$GA73)=0,0,IF(SUM($D76:$GA76)=0,1,'Вводные'!$K$72)))*AW75+(1-(IF(SUM($D73:$GA73)=0,0,IF(SUM($D76:$GA76)=0,1,'Вводные'!$K$72))))*AW77)</x:f>
      </x:c>
      <x:c r="AX78" s="132" t="n">
        <x:f>$B$69*((IF(SUM($D73:$GA73)=0,0,IF(SUM($D76:$GA76)=0,1,'Вводные'!$K$72)))*AX75+(1-(IF(SUM($D73:$GA73)=0,0,IF(SUM($D76:$GA76)=0,1,'Вводные'!$K$72))))*AX77)</x:f>
      </x:c>
      <x:c r="AY78" s="132" t="n">
        <x:f>$B$69*((IF(SUM($D73:$GA73)=0,0,IF(SUM($D76:$GA76)=0,1,'Вводные'!$K$72)))*AY75+(1-(IF(SUM($D73:$GA73)=0,0,IF(SUM($D76:$GA76)=0,1,'Вводные'!$K$72))))*AY77)</x:f>
      </x:c>
      <x:c r="AZ78" s="132" t="n">
        <x:f>$B$69*((IF(SUM($D73:$GA73)=0,0,IF(SUM($D76:$GA76)=0,1,'Вводные'!$K$72)))*AZ75+(1-(IF(SUM($D73:$GA73)=0,0,IF(SUM($D76:$GA76)=0,1,'Вводные'!$K$72))))*AZ77)</x:f>
      </x:c>
      <x:c r="BA78" s="132" t="n">
        <x:f>$B$69*((IF(SUM($D73:$GA73)=0,0,IF(SUM($D76:$GA76)=0,1,'Вводные'!$K$72)))*BA75+(1-(IF(SUM($D73:$GA73)=0,0,IF(SUM($D76:$GA76)=0,1,'Вводные'!$K$72))))*BA77)</x:f>
      </x:c>
      <x:c r="BB78" s="132" t="n">
        <x:f>$B$69*((IF(SUM($D73:$GA73)=0,0,IF(SUM($D76:$GA76)=0,1,'Вводные'!$K$72)))*BB75+(1-(IF(SUM($D73:$GA73)=0,0,IF(SUM($D76:$GA76)=0,1,'Вводные'!$K$72))))*BB77)</x:f>
      </x:c>
      <x:c r="BC78" s="132" t="n">
        <x:f>$B$69*((IF(SUM($D73:$GA73)=0,0,IF(SUM($D76:$GA76)=0,1,'Вводные'!$K$72)))*BC75+(1-(IF(SUM($D73:$GA73)=0,0,IF(SUM($D76:$GA76)=0,1,'Вводные'!$K$72))))*BC77)</x:f>
      </x:c>
      <x:c r="BD78" s="132" t="n">
        <x:f>$B$69*((IF(SUM($D73:$GA73)=0,0,IF(SUM($D76:$GA76)=0,1,'Вводные'!$K$72)))*BD75+(1-(IF(SUM($D73:$GA73)=0,0,IF(SUM($D76:$GA76)=0,1,'Вводные'!$K$72))))*BD77)</x:f>
      </x:c>
      <x:c r="BE78" s="132" t="n">
        <x:f>$B$69*((IF(SUM($D73:$GA73)=0,0,IF(SUM($D76:$GA76)=0,1,'Вводные'!$K$72)))*BE75+(1-(IF(SUM($D73:$GA73)=0,0,IF(SUM($D76:$GA76)=0,1,'Вводные'!$K$72))))*BE77)</x:f>
      </x:c>
      <x:c r="BF78" s="132" t="n">
        <x:f>$B$69*((IF(SUM($D73:$GA73)=0,0,IF(SUM($D76:$GA76)=0,1,'Вводные'!$K$72)))*BF75+(1-(IF(SUM($D73:$GA73)=0,0,IF(SUM($D76:$GA76)=0,1,'Вводные'!$K$72))))*BF77)</x:f>
      </x:c>
      <x:c r="BG78" s="132" t="n">
        <x:f>$B$69*((IF(SUM($D73:$GA73)=0,0,IF(SUM($D76:$GA76)=0,1,'Вводные'!$K$72)))*BG75+(1-(IF(SUM($D73:$GA73)=0,0,IF(SUM($D76:$GA76)=0,1,'Вводные'!$K$72))))*BG77)</x:f>
      </x:c>
      <x:c r="BH78" s="132" t="n">
        <x:f>$B$69*((IF(SUM($D73:$GA73)=0,0,IF(SUM($D76:$GA76)=0,1,'Вводные'!$K$72)))*BH75+(1-(IF(SUM($D73:$GA73)=0,0,IF(SUM($D76:$GA76)=0,1,'Вводные'!$K$72))))*BH77)</x:f>
      </x:c>
      <x:c r="BI78" s="132" t="n">
        <x:f>$B$69*((IF(SUM($D73:$GA73)=0,0,IF(SUM($D76:$GA76)=0,1,'Вводные'!$K$72)))*BI75+(1-(IF(SUM($D73:$GA73)=0,0,IF(SUM($D76:$GA76)=0,1,'Вводные'!$K$72))))*BI77)</x:f>
      </x:c>
      <x:c r="BJ78" s="132" t="n">
        <x:f>$B$69*((IF(SUM($D73:$GA73)=0,0,IF(SUM($D76:$GA76)=0,1,'Вводные'!$K$72)))*BJ75+(1-(IF(SUM($D73:$GA73)=0,0,IF(SUM($D76:$GA76)=0,1,'Вводные'!$K$72))))*BJ77)</x:f>
      </x:c>
      <x:c r="BK78" s="132" t="n">
        <x:f>$B$69*((IF(SUM($D73:$GA73)=0,0,IF(SUM($D76:$GA76)=0,1,'Вводные'!$K$72)))*BK75+(1-(IF(SUM($D73:$GA73)=0,0,IF(SUM($D76:$GA76)=0,1,'Вводные'!$K$72))))*BK77)</x:f>
      </x:c>
      <x:c r="BL78" s="132" t="n">
        <x:f>$B$69*((IF(SUM($D73:$GA73)=0,0,IF(SUM($D76:$GA76)=0,1,'Вводные'!$K$72)))*BL75+(1-(IF(SUM($D73:$GA73)=0,0,IF(SUM($D76:$GA76)=0,1,'Вводные'!$K$72))))*BL77)</x:f>
      </x:c>
      <x:c r="BM78" s="132" t="n">
        <x:f>$B$69*((IF(SUM($D73:$GA73)=0,0,IF(SUM($D76:$GA76)=0,1,'Вводные'!$K$72)))*BM75+(1-(IF(SUM($D73:$GA73)=0,0,IF(SUM($D76:$GA76)=0,1,'Вводные'!$K$72))))*BM77)</x:f>
      </x:c>
      <x:c r="BN78" s="132" t="n">
        <x:f>$B$69*((IF(SUM($D73:$GA73)=0,0,IF(SUM($D76:$GA76)=0,1,'Вводные'!$K$72)))*BN75+(1-(IF(SUM($D73:$GA73)=0,0,IF(SUM($D76:$GA76)=0,1,'Вводные'!$K$72))))*BN77)</x:f>
      </x:c>
      <x:c r="BO78" s="132" t="n">
        <x:f>$B$69*((IF(SUM($D73:$GA73)=0,0,IF(SUM($D76:$GA76)=0,1,'Вводные'!$K$72)))*BO75+(1-(IF(SUM($D73:$GA73)=0,0,IF(SUM($D76:$GA76)=0,1,'Вводные'!$K$72))))*BO77)</x:f>
      </x:c>
      <x:c r="BP78" s="132" t="n">
        <x:f>$B$69*((IF(SUM($D73:$GA73)=0,0,IF(SUM($D76:$GA76)=0,1,'Вводные'!$K$72)))*BP75+(1-(IF(SUM($D73:$GA73)=0,0,IF(SUM($D76:$GA76)=0,1,'Вводные'!$K$72))))*BP77)</x:f>
      </x:c>
      <x:c r="BQ78" s="132" t="n">
        <x:f>$B$69*((IF(SUM($D73:$GA73)=0,0,IF(SUM($D76:$GA76)=0,1,'Вводные'!$K$72)))*BQ75+(1-(IF(SUM($D73:$GA73)=0,0,IF(SUM($D76:$GA76)=0,1,'Вводные'!$K$72))))*BQ77)</x:f>
      </x:c>
      <x:c r="BR78" s="132" t="n">
        <x:f>$B$69*((IF(SUM($D73:$GA73)=0,0,IF(SUM($D76:$GA76)=0,1,'Вводные'!$K$72)))*BR75+(1-(IF(SUM($D73:$GA73)=0,0,IF(SUM($D76:$GA76)=0,1,'Вводные'!$K$72))))*BR77)</x:f>
      </x:c>
      <x:c r="BS78" s="132" t="n">
        <x:f>$B$69*((IF(SUM($D73:$GA73)=0,0,IF(SUM($D76:$GA76)=0,1,'Вводные'!$K$72)))*BS75+(1-(IF(SUM($D73:$GA73)=0,0,IF(SUM($D76:$GA76)=0,1,'Вводные'!$K$72))))*BS77)</x:f>
      </x:c>
      <x:c r="BT78" s="132" t="n">
        <x:f>$B$69*((IF(SUM($D73:$GA73)=0,0,IF(SUM($D76:$GA76)=0,1,'Вводные'!$K$72)))*BT75+(1-(IF(SUM($D73:$GA73)=0,0,IF(SUM($D76:$GA76)=0,1,'Вводные'!$K$72))))*BT77)</x:f>
      </x:c>
      <x:c r="BU78" s="132" t="n">
        <x:f>$B$69*((IF(SUM($D73:$GA73)=0,0,IF(SUM($D76:$GA76)=0,1,'Вводные'!$K$72)))*BU75+(1-(IF(SUM($D73:$GA73)=0,0,IF(SUM($D76:$GA76)=0,1,'Вводные'!$K$72))))*BU77)</x:f>
      </x:c>
      <x:c r="BV78" s="132" t="n">
        <x:f>$B$69*((IF(SUM($D73:$GA73)=0,0,IF(SUM($D76:$GA76)=0,1,'Вводные'!$K$72)))*BV75+(1-(IF(SUM($D73:$GA73)=0,0,IF(SUM($D76:$GA76)=0,1,'Вводные'!$K$72))))*BV77)</x:f>
      </x:c>
      <x:c r="BW78" s="132" t="n">
        <x:f>$B$69*((IF(SUM($D73:$GA73)=0,0,IF(SUM($D76:$GA76)=0,1,'Вводные'!$K$72)))*BW75+(1-(IF(SUM($D73:$GA73)=0,0,IF(SUM($D76:$GA76)=0,1,'Вводные'!$K$72))))*BW77)</x:f>
      </x:c>
      <x:c r="BX78" s="132" t="n">
        <x:f>$B$69*((IF(SUM($D73:$GA73)=0,0,IF(SUM($D76:$GA76)=0,1,'Вводные'!$K$72)))*BX75+(1-(IF(SUM($D73:$GA73)=0,0,IF(SUM($D76:$GA76)=0,1,'Вводные'!$K$72))))*BX77)</x:f>
      </x:c>
      <x:c r="BY78" s="132" t="n">
        <x:f>$B$69*((IF(SUM($D73:$GA73)=0,0,IF(SUM($D76:$GA76)=0,1,'Вводные'!$K$72)))*BY75+(1-(IF(SUM($D73:$GA73)=0,0,IF(SUM($D76:$GA76)=0,1,'Вводные'!$K$72))))*BY77)</x:f>
      </x:c>
      <x:c r="BZ78" s="132" t="n">
        <x:f>$B$69*((IF(SUM($D73:$GA73)=0,0,IF(SUM($D76:$GA76)=0,1,'Вводные'!$K$72)))*BZ75+(1-(IF(SUM($D73:$GA73)=0,0,IF(SUM($D76:$GA76)=0,1,'Вводные'!$K$72))))*BZ77)</x:f>
      </x:c>
      <x:c r="CA78" s="132" t="n">
        <x:f>$B$69*((IF(SUM($D73:$GA73)=0,0,IF(SUM($D76:$GA76)=0,1,'Вводные'!$K$72)))*CA75+(1-(IF(SUM($D73:$GA73)=0,0,IF(SUM($D76:$GA76)=0,1,'Вводные'!$K$72))))*CA77)</x:f>
      </x:c>
      <x:c r="CB78" s="132" t="n">
        <x:f>$B$69*((IF(SUM($D73:$GA73)=0,0,IF(SUM($D76:$GA76)=0,1,'Вводные'!$K$72)))*CB75+(1-(IF(SUM($D73:$GA73)=0,0,IF(SUM($D76:$GA76)=0,1,'Вводные'!$K$72))))*CB77)</x:f>
      </x:c>
      <x:c r="CC78" s="132" t="n">
        <x:f>$B$69*((IF(SUM($D73:$GA73)=0,0,IF(SUM($D76:$GA76)=0,1,'Вводные'!$K$72)))*CC75+(1-(IF(SUM($D73:$GA73)=0,0,IF(SUM($D76:$GA76)=0,1,'Вводные'!$K$72))))*CC77)</x:f>
      </x:c>
      <x:c r="CD78" s="132" t="n">
        <x:f>$B$69*((IF(SUM($D73:$GA73)=0,0,IF(SUM($D76:$GA76)=0,1,'Вводные'!$K$72)))*CD75+(1-(IF(SUM($D73:$GA73)=0,0,IF(SUM($D76:$GA76)=0,1,'Вводные'!$K$72))))*CD77)</x:f>
      </x:c>
      <x:c r="CE78" s="132" t="n">
        <x:f>$B$69*((IF(SUM($D73:$GA73)=0,0,IF(SUM($D76:$GA76)=0,1,'Вводные'!$K$72)))*CE75+(1-(IF(SUM($D73:$GA73)=0,0,IF(SUM($D76:$GA76)=0,1,'Вводные'!$K$72))))*CE77)</x:f>
      </x:c>
      <x:c r="CF78" s="132" t="n">
        <x:f>$B$69*((IF(SUM($D73:$GA73)=0,0,IF(SUM($D76:$GA76)=0,1,'Вводные'!$K$72)))*CF75+(1-(IF(SUM($D73:$GA73)=0,0,IF(SUM($D76:$GA76)=0,1,'Вводные'!$K$72))))*CF77)</x:f>
      </x:c>
      <x:c r="CG78" s="132" t="n">
        <x:f>$B$69*((IF(SUM($D73:$GA73)=0,0,IF(SUM($D76:$GA76)=0,1,'Вводные'!$K$72)))*CG75+(1-(IF(SUM($D73:$GA73)=0,0,IF(SUM($D76:$GA76)=0,1,'Вводные'!$K$72))))*CG77)</x:f>
      </x:c>
      <x:c r="CH78" s="132" t="n">
        <x:f>$B$69*((IF(SUM($D73:$GA73)=0,0,IF(SUM($D76:$GA76)=0,1,'Вводные'!$K$72)))*CH75+(1-(IF(SUM($D73:$GA73)=0,0,IF(SUM($D76:$GA76)=0,1,'Вводные'!$K$72))))*CH77)</x:f>
      </x:c>
      <x:c r="CI78" s="132" t="n">
        <x:f>$B$69*((IF(SUM($D73:$GA73)=0,0,IF(SUM($D76:$GA76)=0,1,'Вводные'!$K$72)))*CI75+(1-(IF(SUM($D73:$GA73)=0,0,IF(SUM($D76:$GA76)=0,1,'Вводные'!$K$72))))*CI77)</x:f>
      </x:c>
      <x:c r="CJ78" s="132" t="n">
        <x:f>$B$69*((IF(SUM($D73:$GA73)=0,0,IF(SUM($D76:$GA76)=0,1,'Вводные'!$K$72)))*CJ75+(1-(IF(SUM($D73:$GA73)=0,0,IF(SUM($D76:$GA76)=0,1,'Вводные'!$K$72))))*CJ77)</x:f>
      </x:c>
      <x:c r="CK78" s="132" t="n">
        <x:f>$B$69*((IF(SUM($D73:$GA73)=0,0,IF(SUM($D76:$GA76)=0,1,'Вводные'!$K$72)))*CK75+(1-(IF(SUM($D73:$GA73)=0,0,IF(SUM($D76:$GA76)=0,1,'Вводные'!$K$72))))*CK77)</x:f>
      </x:c>
      <x:c r="CL78" s="132" t="n">
        <x:f>$B$69*((IF(SUM($D73:$GA73)=0,0,IF(SUM($D76:$GA76)=0,1,'Вводные'!$K$72)))*CL75+(1-(IF(SUM($D73:$GA73)=0,0,IF(SUM($D76:$GA76)=0,1,'Вводные'!$K$72))))*CL77)</x:f>
      </x:c>
      <x:c r="CM78" s="132" t="n">
        <x:f>$B$69*((IF(SUM($D73:$GA73)=0,0,IF(SUM($D76:$GA76)=0,1,'Вводные'!$K$72)))*CM75+(1-(IF(SUM($D73:$GA73)=0,0,IF(SUM($D76:$GA76)=0,1,'Вводные'!$K$72))))*CM77)</x:f>
      </x:c>
      <x:c r="CN78" s="132" t="n">
        <x:f>$B$69*((IF(SUM($D73:$GA73)=0,0,IF(SUM($D76:$GA76)=0,1,'Вводные'!$K$72)))*CN75+(1-(IF(SUM($D73:$GA73)=0,0,IF(SUM($D76:$GA76)=0,1,'Вводные'!$K$72))))*CN77)</x:f>
      </x:c>
      <x:c r="CO78" s="132" t="n">
        <x:f>$B$69*((IF(SUM($D73:$GA73)=0,0,IF(SUM($D76:$GA76)=0,1,'Вводные'!$K$72)))*CO75+(1-(IF(SUM($D73:$GA73)=0,0,IF(SUM($D76:$GA76)=0,1,'Вводные'!$K$72))))*CO77)</x:f>
      </x:c>
      <x:c r="CP78" s="132" t="n">
        <x:f>$B$69*((IF(SUM($D73:$GA73)=0,0,IF(SUM($D76:$GA76)=0,1,'Вводные'!$K$72)))*CP75+(1-(IF(SUM($D73:$GA73)=0,0,IF(SUM($D76:$GA76)=0,1,'Вводные'!$K$72))))*CP77)</x:f>
      </x:c>
      <x:c r="CQ78" s="132" t="n">
        <x:f>$B$69*((IF(SUM($D73:$GA73)=0,0,IF(SUM($D76:$GA76)=0,1,'Вводные'!$K$72)))*CQ75+(1-(IF(SUM($D73:$GA73)=0,0,IF(SUM($D76:$GA76)=0,1,'Вводные'!$K$72))))*CQ77)</x:f>
      </x:c>
      <x:c r="CR78" s="132" t="n">
        <x:f>$B$69*((IF(SUM($D73:$GA73)=0,0,IF(SUM($D76:$GA76)=0,1,'Вводные'!$K$72)))*CR75+(1-(IF(SUM($D73:$GA73)=0,0,IF(SUM($D76:$GA76)=0,1,'Вводные'!$K$72))))*CR77)</x:f>
      </x:c>
      <x:c r="CS78" s="132" t="n">
        <x:f>$B$69*((IF(SUM($D73:$GA73)=0,0,IF(SUM($D76:$GA76)=0,1,'Вводные'!$K$72)))*CS75+(1-(IF(SUM($D73:$GA73)=0,0,IF(SUM($D76:$GA76)=0,1,'Вводные'!$K$72))))*CS77)</x:f>
      </x:c>
      <x:c r="CT78" s="132" t="n">
        <x:f>$B$69*((IF(SUM($D73:$GA73)=0,0,IF(SUM($D76:$GA76)=0,1,'Вводные'!$K$72)))*CT75+(1-(IF(SUM($D73:$GA73)=0,0,IF(SUM($D76:$GA76)=0,1,'Вводные'!$K$72))))*CT77)</x:f>
      </x:c>
      <x:c r="CU78" s="132" t="n">
        <x:f>$B$69*((IF(SUM($D73:$GA73)=0,0,IF(SUM($D76:$GA76)=0,1,'Вводные'!$K$72)))*CU75+(1-(IF(SUM($D73:$GA73)=0,0,IF(SUM($D76:$GA76)=0,1,'Вводные'!$K$72))))*CU77)</x:f>
      </x:c>
      <x:c r="CV78" s="132" t="n">
        <x:f>$B$69*((IF(SUM($D73:$GA73)=0,0,IF(SUM($D76:$GA76)=0,1,'Вводные'!$K$72)))*CV75+(1-(IF(SUM($D73:$GA73)=0,0,IF(SUM($D76:$GA76)=0,1,'Вводные'!$K$72))))*CV77)</x:f>
      </x:c>
      <x:c r="CW78" s="132" t="n">
        <x:f>$B$69*((IF(SUM($D73:$GA73)=0,0,IF(SUM($D76:$GA76)=0,1,'Вводные'!$K$72)))*CW75+(1-(IF(SUM($D73:$GA73)=0,0,IF(SUM($D76:$GA76)=0,1,'Вводные'!$K$72))))*CW77)</x:f>
      </x:c>
      <x:c r="CX78" s="132" t="n">
        <x:f>$B$69*((IF(SUM($D73:$GA73)=0,0,IF(SUM($D76:$GA76)=0,1,'Вводные'!$K$72)))*CX75+(1-(IF(SUM($D73:$GA73)=0,0,IF(SUM($D76:$GA76)=0,1,'Вводные'!$K$72))))*CX77)</x:f>
      </x:c>
      <x:c r="CY78" s="132" t="n">
        <x:f>$B$69*((IF(SUM($D73:$GA73)=0,0,IF(SUM($D76:$GA76)=0,1,'Вводные'!$K$72)))*CY75+(1-(IF(SUM($D73:$GA73)=0,0,IF(SUM($D76:$GA76)=0,1,'Вводные'!$K$72))))*CY77)</x:f>
      </x:c>
      <x:c r="CZ78" s="132" t="n">
        <x:f>$B$69*((IF(SUM($D73:$GA73)=0,0,IF(SUM($D76:$GA76)=0,1,'Вводные'!$K$72)))*CZ75+(1-(IF(SUM($D73:$GA73)=0,0,IF(SUM($D76:$GA76)=0,1,'Вводные'!$K$72))))*CZ77)</x:f>
      </x:c>
      <x:c r="DA78" s="132" t="n">
        <x:f>$B$69*((IF(SUM($D73:$GA73)=0,0,IF(SUM($D76:$GA76)=0,1,'Вводные'!$K$72)))*DA75+(1-(IF(SUM($D73:$GA73)=0,0,IF(SUM($D76:$GA76)=0,1,'Вводные'!$K$72))))*DA77)</x:f>
      </x:c>
      <x:c r="DB78" s="132" t="n">
        <x:f>$B$69*((IF(SUM($D73:$GA73)=0,0,IF(SUM($D76:$GA76)=0,1,'Вводные'!$K$72)))*DB75+(1-(IF(SUM($D73:$GA73)=0,0,IF(SUM($D76:$GA76)=0,1,'Вводные'!$K$72))))*DB77)</x:f>
      </x:c>
      <x:c r="DC78" s="132" t="n">
        <x:f>$B$69*((IF(SUM($D73:$GA73)=0,0,IF(SUM($D76:$GA76)=0,1,'Вводные'!$K$72)))*DC75+(1-(IF(SUM($D73:$GA73)=0,0,IF(SUM($D76:$GA76)=0,1,'Вводные'!$K$72))))*DC77)</x:f>
      </x:c>
      <x:c r="DD78" s="132" t="n">
        <x:f>$B$69*((IF(SUM($D73:$GA73)=0,0,IF(SUM($D76:$GA76)=0,1,'Вводные'!$K$72)))*DD75+(1-(IF(SUM($D73:$GA73)=0,0,IF(SUM($D76:$GA76)=0,1,'Вводные'!$K$72))))*DD77)</x:f>
      </x:c>
      <x:c r="DE78" s="132" t="n">
        <x:f>$B$69*((IF(SUM($D73:$GA73)=0,0,IF(SUM($D76:$GA76)=0,1,'Вводные'!$K$72)))*DE75+(1-(IF(SUM($D73:$GA73)=0,0,IF(SUM($D76:$GA76)=0,1,'Вводные'!$K$72))))*DE77)</x:f>
      </x:c>
      <x:c r="DF78" s="132" t="n">
        <x:f>$B$69*((IF(SUM($D73:$GA73)=0,0,IF(SUM($D76:$GA76)=0,1,'Вводные'!$K$72)))*DF75+(1-(IF(SUM($D73:$GA73)=0,0,IF(SUM($D76:$GA76)=0,1,'Вводные'!$K$72))))*DF77)</x:f>
      </x:c>
      <x:c r="DG78" s="132" t="n">
        <x:f>$B$69*((IF(SUM($D73:$GA73)=0,0,IF(SUM($D76:$GA76)=0,1,'Вводные'!$K$72)))*DG75+(1-(IF(SUM($D73:$GA73)=0,0,IF(SUM($D76:$GA76)=0,1,'Вводные'!$K$72))))*DG77)</x:f>
      </x:c>
      <x:c r="DH78" s="132" t="n">
        <x:f>$B$69*((IF(SUM($D73:$GA73)=0,0,IF(SUM($D76:$GA76)=0,1,'Вводные'!$K$72)))*DH75+(1-(IF(SUM($D73:$GA73)=0,0,IF(SUM($D76:$GA76)=0,1,'Вводные'!$K$72))))*DH77)</x:f>
      </x:c>
      <x:c r="DI78" s="132" t="n">
        <x:f>$B$69*((IF(SUM($D73:$GA73)=0,0,IF(SUM($D76:$GA76)=0,1,'Вводные'!$K$72)))*DI75+(1-(IF(SUM($D73:$GA73)=0,0,IF(SUM($D76:$GA76)=0,1,'Вводные'!$K$72))))*DI77)</x:f>
      </x:c>
      <x:c r="DJ78" s="132" t="n">
        <x:f>$B$69*((IF(SUM($D73:$GA73)=0,0,IF(SUM($D76:$GA76)=0,1,'Вводные'!$K$72)))*DJ75+(1-(IF(SUM($D73:$GA73)=0,0,IF(SUM($D76:$GA76)=0,1,'Вводные'!$K$72))))*DJ77)</x:f>
      </x:c>
      <x:c r="DK78" s="132" t="n">
        <x:f>$B$69*((IF(SUM($D73:$GA73)=0,0,IF(SUM($D76:$GA76)=0,1,'Вводные'!$K$72)))*DK75+(1-(IF(SUM($D73:$GA73)=0,0,IF(SUM($D76:$GA76)=0,1,'Вводные'!$K$72))))*DK77)</x:f>
      </x:c>
      <x:c r="DL78" s="132" t="n">
        <x:f>$B$69*((IF(SUM($D73:$GA73)=0,0,IF(SUM($D76:$GA76)=0,1,'Вводные'!$K$72)))*DL75+(1-(IF(SUM($D73:$GA73)=0,0,IF(SUM($D76:$GA76)=0,1,'Вводные'!$K$72))))*DL77)</x:f>
      </x:c>
      <x:c r="DM78" s="132" t="n">
        <x:f>$B$69*((IF(SUM($D73:$GA73)=0,0,IF(SUM($D76:$GA76)=0,1,'Вводные'!$K$72)))*DM75+(1-(IF(SUM($D73:$GA73)=0,0,IF(SUM($D76:$GA76)=0,1,'Вводные'!$K$72))))*DM77)</x:f>
      </x:c>
      <x:c r="DN78" s="132" t="n">
        <x:f>$B$69*((IF(SUM($D73:$GA73)=0,0,IF(SUM($D76:$GA76)=0,1,'Вводные'!$K$72)))*DN75+(1-(IF(SUM($D73:$GA73)=0,0,IF(SUM($D76:$GA76)=0,1,'Вводные'!$K$72))))*DN77)</x:f>
      </x:c>
      <x:c r="DO78" s="132" t="n">
        <x:f>$B$69*((IF(SUM($D73:$GA73)=0,0,IF(SUM($D76:$GA76)=0,1,'Вводные'!$K$72)))*DO75+(1-(IF(SUM($D73:$GA73)=0,0,IF(SUM($D76:$GA76)=0,1,'Вводные'!$K$72))))*DO77)</x:f>
      </x:c>
      <x:c r="DP78" s="132" t="n">
        <x:f>$B$69*((IF(SUM($D73:$GA73)=0,0,IF(SUM($D76:$GA76)=0,1,'Вводные'!$K$72)))*DP75+(1-(IF(SUM($D73:$GA73)=0,0,IF(SUM($D76:$GA76)=0,1,'Вводные'!$K$72))))*DP77)</x:f>
      </x:c>
      <x:c r="DQ78" s="132" t="n">
        <x:f>$B$69*((IF(SUM($D73:$GA73)=0,0,IF(SUM($D76:$GA76)=0,1,'Вводные'!$K$72)))*DQ75+(1-(IF(SUM($D73:$GA73)=0,0,IF(SUM($D76:$GA76)=0,1,'Вводные'!$K$72))))*DQ77)</x:f>
      </x:c>
      <x:c r="DR78" s="132" t="n">
        <x:f>$B$69*((IF(SUM($D73:$GA73)=0,0,IF(SUM($D76:$GA76)=0,1,'Вводные'!$K$72)))*DR75+(1-(IF(SUM($D73:$GA73)=0,0,IF(SUM($D76:$GA76)=0,1,'Вводные'!$K$72))))*DR77)</x:f>
      </x:c>
      <x:c r="DS78" s="132" t="n">
        <x:f>$B$69*((IF(SUM($D73:$GA73)=0,0,IF(SUM($D76:$GA76)=0,1,'Вводные'!$K$72)))*DS75+(1-(IF(SUM($D73:$GA73)=0,0,IF(SUM($D76:$GA76)=0,1,'Вводные'!$K$72))))*DS77)</x:f>
      </x:c>
      <x:c r="DT78" s="132" t="n">
        <x:f>$B$69*((IF(SUM($D73:$GA73)=0,0,IF(SUM($D76:$GA76)=0,1,'Вводные'!$K$72)))*DT75+(1-(IF(SUM($D73:$GA73)=0,0,IF(SUM($D76:$GA76)=0,1,'Вводные'!$K$72))))*DT77)</x:f>
      </x:c>
      <x:c r="DU78" s="132" t="n">
        <x:f>$B$69*((IF(SUM($D73:$GA73)=0,0,IF(SUM($D76:$GA76)=0,1,'Вводные'!$K$72)))*DU75+(1-(IF(SUM($D73:$GA73)=0,0,IF(SUM($D76:$GA76)=0,1,'Вводные'!$K$72))))*DU77)</x:f>
      </x:c>
      <x:c r="DV78" s="132" t="n">
        <x:f>$B$69*((IF(SUM($D73:$GA73)=0,0,IF(SUM($D76:$GA76)=0,1,'Вводные'!$K$72)))*DV75+(1-(IF(SUM($D73:$GA73)=0,0,IF(SUM($D76:$GA76)=0,1,'Вводные'!$K$72))))*DV77)</x:f>
      </x:c>
      <x:c r="DW78" s="132" t="n">
        <x:f>$B$69*((IF(SUM($D73:$GA73)=0,0,IF(SUM($D76:$GA76)=0,1,'Вводные'!$K$72)))*DW75+(1-(IF(SUM($D73:$GA73)=0,0,IF(SUM($D76:$GA76)=0,1,'Вводные'!$K$72))))*DW77)</x:f>
      </x:c>
      <x:c r="DX78" s="132" t="n">
        <x:f>$B$69*((IF(SUM($D73:$GA73)=0,0,IF(SUM($D76:$GA76)=0,1,'Вводные'!$K$72)))*DX75+(1-(IF(SUM($D73:$GA73)=0,0,IF(SUM($D76:$GA76)=0,1,'Вводные'!$K$72))))*DX77)</x:f>
      </x:c>
      <x:c r="DY78" s="132" t="n">
        <x:f>$B$69*((IF(SUM($D73:$GA73)=0,0,IF(SUM($D76:$GA76)=0,1,'Вводные'!$K$72)))*DY75+(1-(IF(SUM($D73:$GA73)=0,0,IF(SUM($D76:$GA76)=0,1,'Вводные'!$K$72))))*DY77)</x:f>
      </x:c>
      <x:c r="DZ78" s="132" t="n">
        <x:f>$B$69*((IF(SUM($D73:$GA73)=0,0,IF(SUM($D76:$GA76)=0,1,'Вводные'!$K$72)))*DZ75+(1-(IF(SUM($D73:$GA73)=0,0,IF(SUM($D76:$GA76)=0,1,'Вводные'!$K$72))))*DZ77)</x:f>
      </x:c>
      <x:c r="EA78" s="132" t="n">
        <x:f>$B$69*((IF(SUM($D73:$GA73)=0,0,IF(SUM($D76:$GA76)=0,1,'Вводные'!$K$72)))*EA75+(1-(IF(SUM($D73:$GA73)=0,0,IF(SUM($D76:$GA76)=0,1,'Вводные'!$K$72))))*EA77)</x:f>
      </x:c>
      <x:c r="EB78" s="132" t="n">
        <x:f>$B$69*((IF(SUM($D73:$GA73)=0,0,IF(SUM($D76:$GA76)=0,1,'Вводные'!$K$72)))*EB75+(1-(IF(SUM($D73:$GA73)=0,0,IF(SUM($D76:$GA76)=0,1,'Вводные'!$K$72))))*EB77)</x:f>
      </x:c>
      <x:c r="EC78" s="132" t="n">
        <x:f>$B$69*((IF(SUM($D73:$GA73)=0,0,IF(SUM($D76:$GA76)=0,1,'Вводные'!$K$72)))*EC75+(1-(IF(SUM($D73:$GA73)=0,0,IF(SUM($D76:$GA76)=0,1,'Вводные'!$K$72))))*EC77)</x:f>
      </x:c>
      <x:c r="ED78" s="132" t="n">
        <x:f>$B$69*((IF(SUM($D73:$GA73)=0,0,IF(SUM($D76:$GA76)=0,1,'Вводные'!$K$72)))*ED75+(1-(IF(SUM($D73:$GA73)=0,0,IF(SUM($D76:$GA76)=0,1,'Вводные'!$K$72))))*ED77)</x:f>
      </x:c>
      <x:c r="EE78" s="132" t="n">
        <x:f>$B$69*((IF(SUM($D73:$GA73)=0,0,IF(SUM($D76:$GA76)=0,1,'Вводные'!$K$72)))*EE75+(1-(IF(SUM($D73:$GA73)=0,0,IF(SUM($D76:$GA76)=0,1,'Вводные'!$K$72))))*EE77)</x:f>
      </x:c>
      <x:c r="EF78" s="132" t="n">
        <x:f>$B$69*((IF(SUM($D73:$GA73)=0,0,IF(SUM($D76:$GA76)=0,1,'Вводные'!$K$72)))*EF75+(1-(IF(SUM($D73:$GA73)=0,0,IF(SUM($D76:$GA76)=0,1,'Вводные'!$K$72))))*EF77)</x:f>
      </x:c>
      <x:c r="EG78" s="132" t="n">
        <x:f>$B$69*((IF(SUM($D73:$GA73)=0,0,IF(SUM($D76:$GA76)=0,1,'Вводные'!$K$72)))*EG75+(1-(IF(SUM($D73:$GA73)=0,0,IF(SUM($D76:$GA76)=0,1,'Вводные'!$K$72))))*EG77)</x:f>
      </x:c>
      <x:c r="EH78" s="132" t="n">
        <x:f>$B$69*((IF(SUM($D73:$GA73)=0,0,IF(SUM($D76:$GA76)=0,1,'Вводные'!$K$72)))*EH75+(1-(IF(SUM($D73:$GA73)=0,0,IF(SUM($D76:$GA76)=0,1,'Вводные'!$K$72))))*EH77)</x:f>
      </x:c>
      <x:c r="EI78" s="132" t="n">
        <x:f>$B$69*((IF(SUM($D73:$GA73)=0,0,IF(SUM($D76:$GA76)=0,1,'Вводные'!$K$72)))*EI75+(1-(IF(SUM($D73:$GA73)=0,0,IF(SUM($D76:$GA76)=0,1,'Вводные'!$K$72))))*EI77)</x:f>
      </x:c>
      <x:c r="EJ78" s="132" t="n">
        <x:f>$B$69*((IF(SUM($D73:$GA73)=0,0,IF(SUM($D76:$GA76)=0,1,'Вводные'!$K$72)))*EJ75+(1-(IF(SUM($D73:$GA73)=0,0,IF(SUM($D76:$GA76)=0,1,'Вводные'!$K$72))))*EJ77)</x:f>
      </x:c>
      <x:c r="EK78" s="132" t="n">
        <x:f>$B$69*((IF(SUM($D73:$GA73)=0,0,IF(SUM($D76:$GA76)=0,1,'Вводные'!$K$72)))*EK75+(1-(IF(SUM($D73:$GA73)=0,0,IF(SUM($D76:$GA76)=0,1,'Вводные'!$K$72))))*EK77)</x:f>
      </x:c>
      <x:c r="EL78" s="132" t="n">
        <x:f>$B$69*((IF(SUM($D73:$GA73)=0,0,IF(SUM($D76:$GA76)=0,1,'Вводные'!$K$72)))*EL75+(1-(IF(SUM($D73:$GA73)=0,0,IF(SUM($D76:$GA76)=0,1,'Вводные'!$K$72))))*EL77)</x:f>
      </x:c>
      <x:c r="EM78" s="132" t="n">
        <x:f>$B$69*((IF(SUM($D73:$GA73)=0,0,IF(SUM($D76:$GA76)=0,1,'Вводные'!$K$72)))*EM75+(1-(IF(SUM($D73:$GA73)=0,0,IF(SUM($D76:$GA76)=0,1,'Вводные'!$K$72))))*EM77)</x:f>
      </x:c>
      <x:c r="EN78" s="132" t="n">
        <x:f>$B$69*((IF(SUM($D73:$GA73)=0,0,IF(SUM($D76:$GA76)=0,1,'Вводные'!$K$72)))*EN75+(1-(IF(SUM($D73:$GA73)=0,0,IF(SUM($D76:$GA76)=0,1,'Вводные'!$K$72))))*EN77)</x:f>
      </x:c>
      <x:c r="EO78" s="132" t="n">
        <x:f>$B$69*((IF(SUM($D73:$GA73)=0,0,IF(SUM($D76:$GA76)=0,1,'Вводные'!$K$72)))*EO75+(1-(IF(SUM($D73:$GA73)=0,0,IF(SUM($D76:$GA76)=0,1,'Вводные'!$K$72))))*EO77)</x:f>
      </x:c>
      <x:c r="EP78" s="132" t="n">
        <x:f>$B$69*((IF(SUM($D73:$GA73)=0,0,IF(SUM($D76:$GA76)=0,1,'Вводные'!$K$72)))*EP75+(1-(IF(SUM($D73:$GA73)=0,0,IF(SUM($D76:$GA76)=0,1,'Вводные'!$K$72))))*EP77)</x:f>
      </x:c>
      <x:c r="EQ78" s="132" t="n">
        <x:f>$B$69*((IF(SUM($D73:$GA73)=0,0,IF(SUM($D76:$GA76)=0,1,'Вводные'!$K$72)))*EQ75+(1-(IF(SUM($D73:$GA73)=0,0,IF(SUM($D76:$GA76)=0,1,'Вводные'!$K$72))))*EQ77)</x:f>
      </x:c>
      <x:c r="ER78" s="132" t="n">
        <x:f>$B$69*((IF(SUM($D73:$GA73)=0,0,IF(SUM($D76:$GA76)=0,1,'Вводные'!$K$72)))*ER75+(1-(IF(SUM($D73:$GA73)=0,0,IF(SUM($D76:$GA76)=0,1,'Вводные'!$K$72))))*ER77)</x:f>
      </x:c>
      <x:c r="ES78" s="132" t="n">
        <x:f>$B$69*((IF(SUM($D73:$GA73)=0,0,IF(SUM($D76:$GA76)=0,1,'Вводные'!$K$72)))*ES75+(1-(IF(SUM($D73:$GA73)=0,0,IF(SUM($D76:$GA76)=0,1,'Вводные'!$K$72))))*ES77)</x:f>
      </x:c>
      <x:c r="ET78" s="132" t="n">
        <x:f>$B$69*((IF(SUM($D73:$GA73)=0,0,IF(SUM($D76:$GA76)=0,1,'Вводные'!$K$72)))*ET75+(1-(IF(SUM($D73:$GA73)=0,0,IF(SUM($D76:$GA76)=0,1,'Вводные'!$K$72))))*ET77)</x:f>
      </x:c>
      <x:c r="EU78" s="132" t="n">
        <x:f>$B$69*((IF(SUM($D73:$GA73)=0,0,IF(SUM($D76:$GA76)=0,1,'Вводные'!$K$72)))*EU75+(1-(IF(SUM($D73:$GA73)=0,0,IF(SUM($D76:$GA76)=0,1,'Вводные'!$K$72))))*EU77)</x:f>
      </x:c>
      <x:c r="EV78" s="132" t="n">
        <x:f>$B$69*((IF(SUM($D73:$GA73)=0,0,IF(SUM($D76:$GA76)=0,1,'Вводные'!$K$72)))*EV75+(1-(IF(SUM($D73:$GA73)=0,0,IF(SUM($D76:$GA76)=0,1,'Вводные'!$K$72))))*EV77)</x:f>
      </x:c>
      <x:c r="EW78" s="132" t="n">
        <x:f>$B$69*((IF(SUM($D73:$GA73)=0,0,IF(SUM($D76:$GA76)=0,1,'Вводные'!$K$72)))*EW75+(1-(IF(SUM($D73:$GA73)=0,0,IF(SUM($D76:$GA76)=0,1,'Вводные'!$K$72))))*EW77)</x:f>
      </x:c>
      <x:c r="EX78" s="132" t="n">
        <x:f>$B$69*((IF(SUM($D73:$GA73)=0,0,IF(SUM($D76:$GA76)=0,1,'Вводные'!$K$72)))*EX75+(1-(IF(SUM($D73:$GA73)=0,0,IF(SUM($D76:$GA76)=0,1,'Вводные'!$K$72))))*EX77)</x:f>
      </x:c>
      <x:c r="EY78" s="132" t="n">
        <x:f>$B$69*((IF(SUM($D73:$GA73)=0,0,IF(SUM($D76:$GA76)=0,1,'Вводные'!$K$72)))*EY75+(1-(IF(SUM($D73:$GA73)=0,0,IF(SUM($D76:$GA76)=0,1,'Вводные'!$K$72))))*EY77)</x:f>
      </x:c>
      <x:c r="EZ78" s="132" t="n">
        <x:f>$B$69*((IF(SUM($D73:$GA73)=0,0,IF(SUM($D76:$GA76)=0,1,'Вводные'!$K$72)))*EZ75+(1-(IF(SUM($D73:$GA73)=0,0,IF(SUM($D76:$GA76)=0,1,'Вводные'!$K$72))))*EZ77)</x:f>
      </x:c>
      <x:c r="FA78" s="132" t="n">
        <x:f>$B$69*((IF(SUM($D73:$GA73)=0,0,IF(SUM($D76:$GA76)=0,1,'Вводные'!$K$72)))*FA75+(1-(IF(SUM($D73:$GA73)=0,0,IF(SUM($D76:$GA76)=0,1,'Вводные'!$K$72))))*FA77)</x:f>
      </x:c>
      <x:c r="FB78" s="132" t="n">
        <x:f>$B$69*((IF(SUM($D73:$GA73)=0,0,IF(SUM($D76:$GA76)=0,1,'Вводные'!$K$72)))*FB75+(1-(IF(SUM($D73:$GA73)=0,0,IF(SUM($D76:$GA76)=0,1,'Вводные'!$K$72))))*FB77)</x:f>
      </x:c>
      <x:c r="FC78" s="132" t="n">
        <x:f>$B$69*((IF(SUM($D73:$GA73)=0,0,IF(SUM($D76:$GA76)=0,1,'Вводные'!$K$72)))*FC75+(1-(IF(SUM($D73:$GA73)=0,0,IF(SUM($D76:$GA76)=0,1,'Вводные'!$K$72))))*FC77)</x:f>
      </x:c>
      <x:c r="FD78" s="132" t="n">
        <x:f>$B$69*((IF(SUM($D73:$GA73)=0,0,IF(SUM($D76:$GA76)=0,1,'Вводные'!$K$72)))*FD75+(1-(IF(SUM($D73:$GA73)=0,0,IF(SUM($D76:$GA76)=0,1,'Вводные'!$K$72))))*FD77)</x:f>
      </x:c>
      <x:c r="FE78" s="132" t="n">
        <x:f>$B$69*((IF(SUM($D73:$GA73)=0,0,IF(SUM($D76:$GA76)=0,1,'Вводные'!$K$72)))*FE75+(1-(IF(SUM($D73:$GA73)=0,0,IF(SUM($D76:$GA76)=0,1,'Вводные'!$K$72))))*FE77)</x:f>
      </x:c>
      <x:c r="FF78" s="132" t="n">
        <x:f>$B$69*((IF(SUM($D73:$GA73)=0,0,IF(SUM($D76:$GA76)=0,1,'Вводные'!$K$72)))*FF75+(1-(IF(SUM($D73:$GA73)=0,0,IF(SUM($D76:$GA76)=0,1,'Вводные'!$K$72))))*FF77)</x:f>
      </x:c>
      <x:c r="FG78" s="132" t="n">
        <x:f>$B$69*((IF(SUM($D73:$GA73)=0,0,IF(SUM($D76:$GA76)=0,1,'Вводные'!$K$72)))*FG75+(1-(IF(SUM($D73:$GA73)=0,0,IF(SUM($D76:$GA76)=0,1,'Вводные'!$K$72))))*FG77)</x:f>
      </x:c>
      <x:c r="FH78" s="132" t="n">
        <x:f>$B$69*((IF(SUM($D73:$GA73)=0,0,IF(SUM($D76:$GA76)=0,1,'Вводные'!$K$72)))*FH75+(1-(IF(SUM($D73:$GA73)=0,0,IF(SUM($D76:$GA76)=0,1,'Вводные'!$K$72))))*FH77)</x:f>
      </x:c>
      <x:c r="FI78" s="132" t="n">
        <x:f>$B$69*((IF(SUM($D73:$GA73)=0,0,IF(SUM($D76:$GA76)=0,1,'Вводные'!$K$72)))*FI75+(1-(IF(SUM($D73:$GA73)=0,0,IF(SUM($D76:$GA76)=0,1,'Вводные'!$K$72))))*FI77)</x:f>
      </x:c>
      <x:c r="FJ78" s="132" t="n">
        <x:f>$B$69*((IF(SUM($D73:$GA73)=0,0,IF(SUM($D76:$GA76)=0,1,'Вводные'!$K$72)))*FJ75+(1-(IF(SUM($D73:$GA73)=0,0,IF(SUM($D76:$GA76)=0,1,'Вводные'!$K$72))))*FJ77)</x:f>
      </x:c>
      <x:c r="FK78" s="132" t="n">
        <x:f>$B$69*((IF(SUM($D73:$GA73)=0,0,IF(SUM($D76:$GA76)=0,1,'Вводные'!$K$72)))*FK75+(1-(IF(SUM($D73:$GA73)=0,0,IF(SUM($D76:$GA76)=0,1,'Вводные'!$K$72))))*FK77)</x:f>
      </x:c>
      <x:c r="FL78" s="132" t="n">
        <x:f>$B$69*((IF(SUM($D73:$GA73)=0,0,IF(SUM($D76:$GA76)=0,1,'Вводные'!$K$72)))*FL75+(1-(IF(SUM($D73:$GA73)=0,0,IF(SUM($D76:$GA76)=0,1,'Вводные'!$K$72))))*FL77)</x:f>
      </x:c>
      <x:c r="FM78" s="132" t="n">
        <x:f>$B$69*((IF(SUM($D73:$GA73)=0,0,IF(SUM($D76:$GA76)=0,1,'Вводные'!$K$72)))*FM75+(1-(IF(SUM($D73:$GA73)=0,0,IF(SUM($D76:$GA76)=0,1,'Вводные'!$K$72))))*FM77)</x:f>
      </x:c>
      <x:c r="FN78" s="132" t="n">
        <x:f>$B$69*((IF(SUM($D73:$GA73)=0,0,IF(SUM($D76:$GA76)=0,1,'Вводные'!$K$72)))*FN75+(1-(IF(SUM($D73:$GA73)=0,0,IF(SUM($D76:$GA76)=0,1,'Вводные'!$K$72))))*FN77)</x:f>
      </x:c>
      <x:c r="FO78" s="132" t="n">
        <x:f>$B$69*((IF(SUM($D73:$GA73)=0,0,IF(SUM($D76:$GA76)=0,1,'Вводные'!$K$72)))*FO75+(1-(IF(SUM($D73:$GA73)=0,0,IF(SUM($D76:$GA76)=0,1,'Вводные'!$K$72))))*FO77)</x:f>
      </x:c>
      <x:c r="FP78" s="132" t="n">
        <x:f>$B$69*((IF(SUM($D73:$GA73)=0,0,IF(SUM($D76:$GA76)=0,1,'Вводные'!$K$72)))*FP75+(1-(IF(SUM($D73:$GA73)=0,0,IF(SUM($D76:$GA76)=0,1,'Вводные'!$K$72))))*FP77)</x:f>
      </x:c>
      <x:c r="FQ78" s="132" t="n">
        <x:f>$B$69*((IF(SUM($D73:$GA73)=0,0,IF(SUM($D76:$GA76)=0,1,'Вводные'!$K$72)))*FQ75+(1-(IF(SUM($D73:$GA73)=0,0,IF(SUM($D76:$GA76)=0,1,'Вводные'!$K$72))))*FQ77)</x:f>
      </x:c>
      <x:c r="FR78" s="132" t="n">
        <x:f>$B$69*((IF(SUM($D73:$GA73)=0,0,IF(SUM($D76:$GA76)=0,1,'Вводные'!$K$72)))*FR75+(1-(IF(SUM($D73:$GA73)=0,0,IF(SUM($D76:$GA76)=0,1,'Вводные'!$K$72))))*FR77)</x:f>
      </x:c>
      <x:c r="FS78" s="132" t="n">
        <x:f>$B$69*((IF(SUM($D73:$GA73)=0,0,IF(SUM($D76:$GA76)=0,1,'Вводные'!$K$72)))*FS75+(1-(IF(SUM($D73:$GA73)=0,0,IF(SUM($D76:$GA76)=0,1,'Вводные'!$K$72))))*FS77)</x:f>
      </x:c>
      <x:c r="FT78" s="132" t="n">
        <x:f>$B$69*((IF(SUM($D73:$GA73)=0,0,IF(SUM($D76:$GA76)=0,1,'Вводные'!$K$72)))*FT75+(1-(IF(SUM($D73:$GA73)=0,0,IF(SUM($D76:$GA76)=0,1,'Вводные'!$K$72))))*FT77)</x:f>
      </x:c>
      <x:c r="FU78" s="132" t="n">
        <x:f>$B$69*((IF(SUM($D73:$GA73)=0,0,IF(SUM($D76:$GA76)=0,1,'Вводные'!$K$72)))*FU75+(1-(IF(SUM($D73:$GA73)=0,0,IF(SUM($D76:$GA76)=0,1,'Вводные'!$K$72))))*FU77)</x:f>
      </x:c>
      <x:c r="FV78" s="132" t="n">
        <x:f>$B$69*((IF(SUM($D73:$GA73)=0,0,IF(SUM($D76:$GA76)=0,1,'Вводные'!$K$72)))*FV75+(1-(IF(SUM($D73:$GA73)=0,0,IF(SUM($D76:$GA76)=0,1,'Вводные'!$K$72))))*FV77)</x:f>
      </x:c>
      <x:c r="FW78" s="132" t="n">
        <x:f>$B$69*((IF(SUM($D73:$GA73)=0,0,IF(SUM($D76:$GA76)=0,1,'Вводные'!$K$72)))*FW75+(1-(IF(SUM($D73:$GA73)=0,0,IF(SUM($D76:$GA76)=0,1,'Вводные'!$K$72))))*FW77)</x:f>
      </x:c>
      <x:c r="FX78" s="132" t="n">
        <x:f>$B$69*((IF(SUM($D73:$GA73)=0,0,IF(SUM($D76:$GA76)=0,1,'Вводные'!$K$72)))*FX75+(1-(IF(SUM($D73:$GA73)=0,0,IF(SUM($D76:$GA76)=0,1,'Вводные'!$K$72))))*FX77)</x:f>
      </x:c>
      <x:c r="FY78" s="132" t="n">
        <x:f>$B$69*((IF(SUM($D73:$GA73)=0,0,IF(SUM($D76:$GA76)=0,1,'Вводные'!$K$72)))*FY75+(1-(IF(SUM($D73:$GA73)=0,0,IF(SUM($D76:$GA76)=0,1,'Вводные'!$K$72))))*FY77)</x:f>
      </x:c>
      <x:c r="FZ78" s="132" t="n">
        <x:f>$B$69*((IF(SUM($D73:$GA73)=0,0,IF(SUM($D76:$GA76)=0,1,'Вводные'!$K$72)))*FZ75+(1-(IF(SUM($D73:$GA73)=0,0,IF(SUM($D76:$GA76)=0,1,'Вводные'!$K$72))))*FZ77)</x:f>
      </x:c>
      <x:c r="GA78" s="132" t="n">
        <x:f>$B$69*((IF(SUM($D73:$GA73)=0,0,IF(SUM($D76:$GA76)=0,1,'Вводные'!$K$72)))*GA75+(1-(IF(SUM($D73:$GA73)=0,0,IF(SUM($D76:$GA76)=0,1,'Вводные'!$K$72))))*GA77)</x:f>
      </x:c>
    </x:row>
    <x:row r="79">
      <x:c r="A79" t="str">
        <x:v>Цена реализации</x:v>
      </x:c>
      <x:c r="B79" s="148" t="n">
        <x:f>IFERROR(B80/B78,0)</x:f>
      </x:c>
      <x:c r="C79" t="str">
        <x:v>млн ₽/место</x:v>
      </x:c>
      <x:c r="D79" s="148" t="n">
        <x:f>IF(D78=0,0,'Вводные'!$K$71*'Вводные'!$H$5*INDEX('Вводные'!$S$88:$S$91,$B$64)*INDEX('Вводные'!$AG$88:$AG$91,$B$64)*(1+'Вводные'!$K$74)^MAX(0,MIN((12*(YEAR(D$3)-YEAR($B$67))+MONTH(D$3)-MONTH($B$67)),(12*(YEAR($B$66)-YEAR($B$67))+MONTH($B$66)-MONTH($B$67))))*(1+'Вводные'!$K$75)^MAX(0,(12*(YEAR(D$3)-YEAR($B$66))+MONTH(D$3)-MONTH($B$66))))</x:f>
      </x:c>
      <x:c r="E79" s="148" t="n">
        <x:f>IF(E78=0,0,'Вводные'!$K$71*'Вводные'!$H$5*INDEX('Вводные'!$S$88:$S$91,$B$64)*INDEX('Вводные'!$AG$88:$AG$91,$B$64)*(1+'Вводные'!$K$74)^MAX(0,MIN((12*(YEAR(E$3)-YEAR($B$67))+MONTH(E$3)-MONTH($B$67)),(12*(YEAR($B$66)-YEAR($B$67))+MONTH($B$66)-MONTH($B$67))))*(1+'Вводные'!$K$75)^MAX(0,(12*(YEAR(E$3)-YEAR($B$66))+MONTH(E$3)-MONTH($B$66))))</x:f>
      </x:c>
      <x:c r="F79" s="148" t="n">
        <x:f>IF(F78=0,0,'Вводные'!$K$71*'Вводные'!$H$5*INDEX('Вводные'!$S$88:$S$91,$B$64)*INDEX('Вводные'!$AG$88:$AG$91,$B$64)*(1+'Вводные'!$K$74)^MAX(0,MIN((12*(YEAR(F$3)-YEAR($B$67))+MONTH(F$3)-MONTH($B$67)),(12*(YEAR($B$66)-YEAR($B$67))+MONTH($B$66)-MONTH($B$67))))*(1+'Вводные'!$K$75)^MAX(0,(12*(YEAR(F$3)-YEAR($B$66))+MONTH(F$3)-MONTH($B$66))))</x:f>
      </x:c>
      <x:c r="G79" s="148" t="n">
        <x:f>IF(G78=0,0,'Вводные'!$K$71*'Вводные'!$H$5*INDEX('Вводные'!$S$88:$S$91,$B$64)*INDEX('Вводные'!$AG$88:$AG$91,$B$64)*(1+'Вводные'!$K$74)^MAX(0,MIN((12*(YEAR(G$3)-YEAR($B$67))+MONTH(G$3)-MONTH($B$67)),(12*(YEAR($B$66)-YEAR($B$67))+MONTH($B$66)-MONTH($B$67))))*(1+'Вводные'!$K$75)^MAX(0,(12*(YEAR(G$3)-YEAR($B$66))+MONTH(G$3)-MONTH($B$66))))</x:f>
      </x:c>
      <x:c r="H79" s="148" t="n">
        <x:f>IF(H78=0,0,'Вводные'!$K$71*'Вводные'!$H$5*INDEX('Вводные'!$S$88:$S$91,$B$64)*INDEX('Вводные'!$AG$88:$AG$91,$B$64)*(1+'Вводные'!$K$74)^MAX(0,MIN((12*(YEAR(H$3)-YEAR($B$67))+MONTH(H$3)-MONTH($B$67)),(12*(YEAR($B$66)-YEAR($B$67))+MONTH($B$66)-MONTH($B$67))))*(1+'Вводные'!$K$75)^MAX(0,(12*(YEAR(H$3)-YEAR($B$66))+MONTH(H$3)-MONTH($B$66))))</x:f>
      </x:c>
      <x:c r="I79" s="148" t="n">
        <x:f>IF(I78=0,0,'Вводные'!$K$71*'Вводные'!$H$5*INDEX('Вводные'!$S$88:$S$91,$B$64)*INDEX('Вводные'!$AG$88:$AG$91,$B$64)*(1+'Вводные'!$K$74)^MAX(0,MIN((12*(YEAR(I$3)-YEAR($B$67))+MONTH(I$3)-MONTH($B$67)),(12*(YEAR($B$66)-YEAR($B$67))+MONTH($B$66)-MONTH($B$67))))*(1+'Вводные'!$K$75)^MAX(0,(12*(YEAR(I$3)-YEAR($B$66))+MONTH(I$3)-MONTH($B$66))))</x:f>
      </x:c>
      <x:c r="J79" s="148" t="n">
        <x:f>IF(J78=0,0,'Вводные'!$K$71*'Вводные'!$H$5*INDEX('Вводные'!$S$88:$S$91,$B$64)*INDEX('Вводные'!$AG$88:$AG$91,$B$64)*(1+'Вводные'!$K$74)^MAX(0,MIN((12*(YEAR(J$3)-YEAR($B$67))+MONTH(J$3)-MONTH($B$67)),(12*(YEAR($B$66)-YEAR($B$67))+MONTH($B$66)-MONTH($B$67))))*(1+'Вводные'!$K$75)^MAX(0,(12*(YEAR(J$3)-YEAR($B$66))+MONTH(J$3)-MONTH($B$66))))</x:f>
      </x:c>
      <x:c r="K79" s="148" t="n">
        <x:f>IF(K78=0,0,'Вводные'!$K$71*'Вводные'!$H$5*INDEX('Вводные'!$S$88:$S$91,$B$64)*INDEX('Вводные'!$AG$88:$AG$91,$B$64)*(1+'Вводные'!$K$74)^MAX(0,MIN((12*(YEAR(K$3)-YEAR($B$67))+MONTH(K$3)-MONTH($B$67)),(12*(YEAR($B$66)-YEAR($B$67))+MONTH($B$66)-MONTH($B$67))))*(1+'Вводные'!$K$75)^MAX(0,(12*(YEAR(K$3)-YEAR($B$66))+MONTH(K$3)-MONTH($B$66))))</x:f>
      </x:c>
      <x:c r="L79" s="148" t="n">
        <x:f>IF(L78=0,0,'Вводные'!$K$71*'Вводные'!$H$5*INDEX('Вводные'!$S$88:$S$91,$B$64)*INDEX('Вводные'!$AG$88:$AG$91,$B$64)*(1+'Вводные'!$K$74)^MAX(0,MIN((12*(YEAR(L$3)-YEAR($B$67))+MONTH(L$3)-MONTH($B$67)),(12*(YEAR($B$66)-YEAR($B$67))+MONTH($B$66)-MONTH($B$67))))*(1+'Вводные'!$K$75)^MAX(0,(12*(YEAR(L$3)-YEAR($B$66))+MONTH(L$3)-MONTH($B$66))))</x:f>
      </x:c>
      <x:c r="M79" s="148" t="n">
        <x:f>IF(M78=0,0,'Вводные'!$K$71*'Вводные'!$H$5*INDEX('Вводные'!$S$88:$S$91,$B$64)*INDEX('Вводные'!$AG$88:$AG$91,$B$64)*(1+'Вводные'!$K$74)^MAX(0,MIN((12*(YEAR(M$3)-YEAR($B$67))+MONTH(M$3)-MONTH($B$67)),(12*(YEAR($B$66)-YEAR($B$67))+MONTH($B$66)-MONTH($B$67))))*(1+'Вводные'!$K$75)^MAX(0,(12*(YEAR(M$3)-YEAR($B$66))+MONTH(M$3)-MONTH($B$66))))</x:f>
      </x:c>
      <x:c r="N79" s="148" t="n">
        <x:f>IF(N78=0,0,'Вводные'!$K$71*'Вводные'!$H$5*INDEX('Вводные'!$S$88:$S$91,$B$64)*INDEX('Вводные'!$AG$88:$AG$91,$B$64)*(1+'Вводные'!$K$74)^MAX(0,MIN((12*(YEAR(N$3)-YEAR($B$67))+MONTH(N$3)-MONTH($B$67)),(12*(YEAR($B$66)-YEAR($B$67))+MONTH($B$66)-MONTH($B$67))))*(1+'Вводные'!$K$75)^MAX(0,(12*(YEAR(N$3)-YEAR($B$66))+MONTH(N$3)-MONTH($B$66))))</x:f>
      </x:c>
      <x:c r="O79" s="148" t="n">
        <x:f>IF(O78=0,0,'Вводные'!$K$71*'Вводные'!$H$5*INDEX('Вводные'!$S$88:$S$91,$B$64)*INDEX('Вводные'!$AG$88:$AG$91,$B$64)*(1+'Вводные'!$K$74)^MAX(0,MIN((12*(YEAR(O$3)-YEAR($B$67))+MONTH(O$3)-MONTH($B$67)),(12*(YEAR($B$66)-YEAR($B$67))+MONTH($B$66)-MONTH($B$67))))*(1+'Вводные'!$K$75)^MAX(0,(12*(YEAR(O$3)-YEAR($B$66))+MONTH(O$3)-MONTH($B$66))))</x:f>
      </x:c>
      <x:c r="P79" s="148" t="n">
        <x:f>IF(P78=0,0,'Вводные'!$K$71*'Вводные'!$H$5*INDEX('Вводные'!$S$88:$S$91,$B$64)*INDEX('Вводные'!$AG$88:$AG$91,$B$64)*(1+'Вводные'!$K$74)^MAX(0,MIN((12*(YEAR(P$3)-YEAR($B$67))+MONTH(P$3)-MONTH($B$67)),(12*(YEAR($B$66)-YEAR($B$67))+MONTH($B$66)-MONTH($B$67))))*(1+'Вводные'!$K$75)^MAX(0,(12*(YEAR(P$3)-YEAR($B$66))+MONTH(P$3)-MONTH($B$66))))</x:f>
      </x:c>
      <x:c r="Q79" s="148" t="n">
        <x:f>IF(Q78=0,0,'Вводные'!$K$71*'Вводные'!$H$5*INDEX('Вводные'!$S$88:$S$91,$B$64)*INDEX('Вводные'!$AG$88:$AG$91,$B$64)*(1+'Вводные'!$K$74)^MAX(0,MIN((12*(YEAR(Q$3)-YEAR($B$67))+MONTH(Q$3)-MONTH($B$67)),(12*(YEAR($B$66)-YEAR($B$67))+MONTH($B$66)-MONTH($B$67))))*(1+'Вводные'!$K$75)^MAX(0,(12*(YEAR(Q$3)-YEAR($B$66))+MONTH(Q$3)-MONTH($B$66))))</x:f>
      </x:c>
      <x:c r="R79" s="148" t="n">
        <x:f>IF(R78=0,0,'Вводные'!$K$71*'Вводные'!$H$5*INDEX('Вводные'!$S$88:$S$91,$B$64)*INDEX('Вводные'!$AG$88:$AG$91,$B$64)*(1+'Вводные'!$K$74)^MAX(0,MIN((12*(YEAR(R$3)-YEAR($B$67))+MONTH(R$3)-MONTH($B$67)),(12*(YEAR($B$66)-YEAR($B$67))+MONTH($B$66)-MONTH($B$67))))*(1+'Вводные'!$K$75)^MAX(0,(12*(YEAR(R$3)-YEAR($B$66))+MONTH(R$3)-MONTH($B$66))))</x:f>
      </x:c>
      <x:c r="S79" s="148" t="n">
        <x:f>IF(S78=0,0,'Вводные'!$K$71*'Вводные'!$H$5*INDEX('Вводные'!$S$88:$S$91,$B$64)*INDEX('Вводные'!$AG$88:$AG$91,$B$64)*(1+'Вводные'!$K$74)^MAX(0,MIN((12*(YEAR(S$3)-YEAR($B$67))+MONTH(S$3)-MONTH($B$67)),(12*(YEAR($B$66)-YEAR($B$67))+MONTH($B$66)-MONTH($B$67))))*(1+'Вводные'!$K$75)^MAX(0,(12*(YEAR(S$3)-YEAR($B$66))+MONTH(S$3)-MONTH($B$66))))</x:f>
      </x:c>
      <x:c r="T79" s="148" t="n">
        <x:f>IF(T78=0,0,'Вводные'!$K$71*'Вводные'!$H$5*INDEX('Вводные'!$S$88:$S$91,$B$64)*INDEX('Вводные'!$AG$88:$AG$91,$B$64)*(1+'Вводные'!$K$74)^MAX(0,MIN((12*(YEAR(T$3)-YEAR($B$67))+MONTH(T$3)-MONTH($B$67)),(12*(YEAR($B$66)-YEAR($B$67))+MONTH($B$66)-MONTH($B$67))))*(1+'Вводные'!$K$75)^MAX(0,(12*(YEAR(T$3)-YEAR($B$66))+MONTH(T$3)-MONTH($B$66))))</x:f>
      </x:c>
      <x:c r="U79" s="148" t="n">
        <x:f>IF(U78=0,0,'Вводные'!$K$71*'Вводные'!$H$5*INDEX('Вводные'!$S$88:$S$91,$B$64)*INDEX('Вводные'!$AG$88:$AG$91,$B$64)*(1+'Вводные'!$K$74)^MAX(0,MIN((12*(YEAR(U$3)-YEAR($B$67))+MONTH(U$3)-MONTH($B$67)),(12*(YEAR($B$66)-YEAR($B$67))+MONTH($B$66)-MONTH($B$67))))*(1+'Вводные'!$K$75)^MAX(0,(12*(YEAR(U$3)-YEAR($B$66))+MONTH(U$3)-MONTH($B$66))))</x:f>
      </x:c>
      <x:c r="V79" s="148" t="n">
        <x:f>IF(V78=0,0,'Вводные'!$K$71*'Вводные'!$H$5*INDEX('Вводные'!$S$88:$S$91,$B$64)*INDEX('Вводные'!$AG$88:$AG$91,$B$64)*(1+'Вводные'!$K$74)^MAX(0,MIN((12*(YEAR(V$3)-YEAR($B$67))+MONTH(V$3)-MONTH($B$67)),(12*(YEAR($B$66)-YEAR($B$67))+MONTH($B$66)-MONTH($B$67))))*(1+'Вводные'!$K$75)^MAX(0,(12*(YEAR(V$3)-YEAR($B$66))+MONTH(V$3)-MONTH($B$66))))</x:f>
      </x:c>
      <x:c r="W79" s="148" t="n">
        <x:f>IF(W78=0,0,'Вводные'!$K$71*'Вводные'!$H$5*INDEX('Вводные'!$S$88:$S$91,$B$64)*INDEX('Вводные'!$AG$88:$AG$91,$B$64)*(1+'Вводные'!$K$74)^MAX(0,MIN((12*(YEAR(W$3)-YEAR($B$67))+MONTH(W$3)-MONTH($B$67)),(12*(YEAR($B$66)-YEAR($B$67))+MONTH($B$66)-MONTH($B$67))))*(1+'Вводные'!$K$75)^MAX(0,(12*(YEAR(W$3)-YEAR($B$66))+MONTH(W$3)-MONTH($B$66))))</x:f>
      </x:c>
      <x:c r="X79" s="148" t="n">
        <x:f>IF(X78=0,0,'Вводные'!$K$71*'Вводные'!$H$5*INDEX('Вводные'!$S$88:$S$91,$B$64)*INDEX('Вводные'!$AG$88:$AG$91,$B$64)*(1+'Вводные'!$K$74)^MAX(0,MIN((12*(YEAR(X$3)-YEAR($B$67))+MONTH(X$3)-MONTH($B$67)),(12*(YEAR($B$66)-YEAR($B$67))+MONTH($B$66)-MONTH($B$67))))*(1+'Вводные'!$K$75)^MAX(0,(12*(YEAR(X$3)-YEAR($B$66))+MONTH(X$3)-MONTH($B$66))))</x:f>
      </x:c>
      <x:c r="Y79" s="148" t="n">
        <x:f>IF(Y78=0,0,'Вводные'!$K$71*'Вводные'!$H$5*INDEX('Вводные'!$S$88:$S$91,$B$64)*INDEX('Вводные'!$AG$88:$AG$91,$B$64)*(1+'Вводные'!$K$74)^MAX(0,MIN((12*(YEAR(Y$3)-YEAR($B$67))+MONTH(Y$3)-MONTH($B$67)),(12*(YEAR($B$66)-YEAR($B$67))+MONTH($B$66)-MONTH($B$67))))*(1+'Вводные'!$K$75)^MAX(0,(12*(YEAR(Y$3)-YEAR($B$66))+MONTH(Y$3)-MONTH($B$66))))</x:f>
      </x:c>
      <x:c r="Z79" s="148" t="n">
        <x:f>IF(Z78=0,0,'Вводные'!$K$71*'Вводные'!$H$5*INDEX('Вводные'!$S$88:$S$91,$B$64)*INDEX('Вводные'!$AG$88:$AG$91,$B$64)*(1+'Вводные'!$K$74)^MAX(0,MIN((12*(YEAR(Z$3)-YEAR($B$67))+MONTH(Z$3)-MONTH($B$67)),(12*(YEAR($B$66)-YEAR($B$67))+MONTH($B$66)-MONTH($B$67))))*(1+'Вводные'!$K$75)^MAX(0,(12*(YEAR(Z$3)-YEAR($B$66))+MONTH(Z$3)-MONTH($B$66))))</x:f>
      </x:c>
      <x:c r="AA79" s="148" t="n">
        <x:f>IF(AA78=0,0,'Вводные'!$K$71*'Вводные'!$H$5*INDEX('Вводные'!$S$88:$S$91,$B$64)*INDEX('Вводные'!$AG$88:$AG$91,$B$64)*(1+'Вводные'!$K$74)^MAX(0,MIN((12*(YEAR(AA$3)-YEAR($B$67))+MONTH(AA$3)-MONTH($B$67)),(12*(YEAR($B$66)-YEAR($B$67))+MONTH($B$66)-MONTH($B$67))))*(1+'Вводные'!$K$75)^MAX(0,(12*(YEAR(AA$3)-YEAR($B$66))+MONTH(AA$3)-MONTH($B$66))))</x:f>
      </x:c>
      <x:c r="AB79" s="148" t="n">
        <x:f>IF(AB78=0,0,'Вводные'!$K$71*'Вводные'!$H$5*INDEX('Вводные'!$S$88:$S$91,$B$64)*INDEX('Вводные'!$AG$88:$AG$91,$B$64)*(1+'Вводные'!$K$74)^MAX(0,MIN((12*(YEAR(AB$3)-YEAR($B$67))+MONTH(AB$3)-MONTH($B$67)),(12*(YEAR($B$66)-YEAR($B$67))+MONTH($B$66)-MONTH($B$67))))*(1+'Вводные'!$K$75)^MAX(0,(12*(YEAR(AB$3)-YEAR($B$66))+MONTH(AB$3)-MONTH($B$66))))</x:f>
      </x:c>
      <x:c r="AC79" s="148" t="n">
        <x:f>IF(AC78=0,0,'Вводные'!$K$71*'Вводные'!$H$5*INDEX('Вводные'!$S$88:$S$91,$B$64)*INDEX('Вводные'!$AG$88:$AG$91,$B$64)*(1+'Вводные'!$K$74)^MAX(0,MIN((12*(YEAR(AC$3)-YEAR($B$67))+MONTH(AC$3)-MONTH($B$67)),(12*(YEAR($B$66)-YEAR($B$67))+MONTH($B$66)-MONTH($B$67))))*(1+'Вводные'!$K$75)^MAX(0,(12*(YEAR(AC$3)-YEAR($B$66))+MONTH(AC$3)-MONTH($B$66))))</x:f>
      </x:c>
      <x:c r="AD79" s="148" t="n">
        <x:f>IF(AD78=0,0,'Вводные'!$K$71*'Вводные'!$H$5*INDEX('Вводные'!$S$88:$S$91,$B$64)*INDEX('Вводные'!$AG$88:$AG$91,$B$64)*(1+'Вводные'!$K$74)^MAX(0,MIN((12*(YEAR(AD$3)-YEAR($B$67))+MONTH(AD$3)-MONTH($B$67)),(12*(YEAR($B$66)-YEAR($B$67))+MONTH($B$66)-MONTH($B$67))))*(1+'Вводные'!$K$75)^MAX(0,(12*(YEAR(AD$3)-YEAR($B$66))+MONTH(AD$3)-MONTH($B$66))))</x:f>
      </x:c>
      <x:c r="AE79" s="148" t="n">
        <x:f>IF(AE78=0,0,'Вводные'!$K$71*'Вводные'!$H$5*INDEX('Вводные'!$S$88:$S$91,$B$64)*INDEX('Вводные'!$AG$88:$AG$91,$B$64)*(1+'Вводные'!$K$74)^MAX(0,MIN((12*(YEAR(AE$3)-YEAR($B$67))+MONTH(AE$3)-MONTH($B$67)),(12*(YEAR($B$66)-YEAR($B$67))+MONTH($B$66)-MONTH($B$67))))*(1+'Вводные'!$K$75)^MAX(0,(12*(YEAR(AE$3)-YEAR($B$66))+MONTH(AE$3)-MONTH($B$66))))</x:f>
      </x:c>
      <x:c r="AF79" s="148" t="n">
        <x:f>IF(AF78=0,0,'Вводные'!$K$71*'Вводные'!$H$5*INDEX('Вводные'!$S$88:$S$91,$B$64)*INDEX('Вводные'!$AG$88:$AG$91,$B$64)*(1+'Вводные'!$K$74)^MAX(0,MIN((12*(YEAR(AF$3)-YEAR($B$67))+MONTH(AF$3)-MONTH($B$67)),(12*(YEAR($B$66)-YEAR($B$67))+MONTH($B$66)-MONTH($B$67))))*(1+'Вводные'!$K$75)^MAX(0,(12*(YEAR(AF$3)-YEAR($B$66))+MONTH(AF$3)-MONTH($B$66))))</x:f>
      </x:c>
      <x:c r="AG79" s="148" t="n">
        <x:f>IF(AG78=0,0,'Вводные'!$K$71*'Вводные'!$H$5*INDEX('Вводные'!$S$88:$S$91,$B$64)*INDEX('Вводные'!$AG$88:$AG$91,$B$64)*(1+'Вводные'!$K$74)^MAX(0,MIN((12*(YEAR(AG$3)-YEAR($B$67))+MONTH(AG$3)-MONTH($B$67)),(12*(YEAR($B$66)-YEAR($B$67))+MONTH($B$66)-MONTH($B$67))))*(1+'Вводные'!$K$75)^MAX(0,(12*(YEAR(AG$3)-YEAR($B$66))+MONTH(AG$3)-MONTH($B$66))))</x:f>
      </x:c>
      <x:c r="AH79" s="148" t="n">
        <x:f>IF(AH78=0,0,'Вводные'!$K$71*'Вводные'!$H$5*INDEX('Вводные'!$S$88:$S$91,$B$64)*INDEX('Вводные'!$AG$88:$AG$91,$B$64)*(1+'Вводные'!$K$74)^MAX(0,MIN((12*(YEAR(AH$3)-YEAR($B$67))+MONTH(AH$3)-MONTH($B$67)),(12*(YEAR($B$66)-YEAR($B$67))+MONTH($B$66)-MONTH($B$67))))*(1+'Вводные'!$K$75)^MAX(0,(12*(YEAR(AH$3)-YEAR($B$66))+MONTH(AH$3)-MONTH($B$66))))</x:f>
      </x:c>
      <x:c r="AI79" s="148" t="n">
        <x:f>IF(AI78=0,0,'Вводные'!$K$71*'Вводные'!$H$5*INDEX('Вводные'!$S$88:$S$91,$B$64)*INDEX('Вводные'!$AG$88:$AG$91,$B$64)*(1+'Вводные'!$K$74)^MAX(0,MIN((12*(YEAR(AI$3)-YEAR($B$67))+MONTH(AI$3)-MONTH($B$67)),(12*(YEAR($B$66)-YEAR($B$67))+MONTH($B$66)-MONTH($B$67))))*(1+'Вводные'!$K$75)^MAX(0,(12*(YEAR(AI$3)-YEAR($B$66))+MONTH(AI$3)-MONTH($B$66))))</x:f>
      </x:c>
      <x:c r="AJ79" s="148" t="n">
        <x:f>IF(AJ78=0,0,'Вводные'!$K$71*'Вводные'!$H$5*INDEX('Вводные'!$S$88:$S$91,$B$64)*INDEX('Вводные'!$AG$88:$AG$91,$B$64)*(1+'Вводные'!$K$74)^MAX(0,MIN((12*(YEAR(AJ$3)-YEAR($B$67))+MONTH(AJ$3)-MONTH($B$67)),(12*(YEAR($B$66)-YEAR($B$67))+MONTH($B$66)-MONTH($B$67))))*(1+'Вводные'!$K$75)^MAX(0,(12*(YEAR(AJ$3)-YEAR($B$66))+MONTH(AJ$3)-MONTH($B$66))))</x:f>
      </x:c>
      <x:c r="AK79" s="148" t="n">
        <x:f>IF(AK78=0,0,'Вводные'!$K$71*'Вводные'!$H$5*INDEX('Вводные'!$S$88:$S$91,$B$64)*INDEX('Вводные'!$AG$88:$AG$91,$B$64)*(1+'Вводные'!$K$74)^MAX(0,MIN((12*(YEAR(AK$3)-YEAR($B$67))+MONTH(AK$3)-MONTH($B$67)),(12*(YEAR($B$66)-YEAR($B$67))+MONTH($B$66)-MONTH($B$67))))*(1+'Вводные'!$K$75)^MAX(0,(12*(YEAR(AK$3)-YEAR($B$66))+MONTH(AK$3)-MONTH($B$66))))</x:f>
      </x:c>
      <x:c r="AL79" s="148" t="n">
        <x:f>IF(AL78=0,0,'Вводные'!$K$71*'Вводные'!$H$5*INDEX('Вводные'!$S$88:$S$91,$B$64)*INDEX('Вводные'!$AG$88:$AG$91,$B$64)*(1+'Вводные'!$K$74)^MAX(0,MIN((12*(YEAR(AL$3)-YEAR($B$67))+MONTH(AL$3)-MONTH($B$67)),(12*(YEAR($B$66)-YEAR($B$67))+MONTH($B$66)-MONTH($B$67))))*(1+'Вводные'!$K$75)^MAX(0,(12*(YEAR(AL$3)-YEAR($B$66))+MONTH(AL$3)-MONTH($B$66))))</x:f>
      </x:c>
      <x:c r="AM79" s="148" t="n">
        <x:f>IF(AM78=0,0,'Вводные'!$K$71*'Вводные'!$H$5*INDEX('Вводные'!$S$88:$S$91,$B$64)*INDEX('Вводные'!$AG$88:$AG$91,$B$64)*(1+'Вводные'!$K$74)^MAX(0,MIN((12*(YEAR(AM$3)-YEAR($B$67))+MONTH(AM$3)-MONTH($B$67)),(12*(YEAR($B$66)-YEAR($B$67))+MONTH($B$66)-MONTH($B$67))))*(1+'Вводные'!$K$75)^MAX(0,(12*(YEAR(AM$3)-YEAR($B$66))+MONTH(AM$3)-MONTH($B$66))))</x:f>
      </x:c>
      <x:c r="AN79" s="148" t="n">
        <x:f>IF(AN78=0,0,'Вводные'!$K$71*'Вводные'!$H$5*INDEX('Вводные'!$S$88:$S$91,$B$64)*INDEX('Вводные'!$AG$88:$AG$91,$B$64)*(1+'Вводные'!$K$74)^MAX(0,MIN((12*(YEAR(AN$3)-YEAR($B$67))+MONTH(AN$3)-MONTH($B$67)),(12*(YEAR($B$66)-YEAR($B$67))+MONTH($B$66)-MONTH($B$67))))*(1+'Вводные'!$K$75)^MAX(0,(12*(YEAR(AN$3)-YEAR($B$66))+MONTH(AN$3)-MONTH($B$66))))</x:f>
      </x:c>
      <x:c r="AO79" s="148" t="n">
        <x:f>IF(AO78=0,0,'Вводные'!$K$71*'Вводные'!$H$5*INDEX('Вводные'!$S$88:$S$91,$B$64)*INDEX('Вводные'!$AG$88:$AG$91,$B$64)*(1+'Вводные'!$K$74)^MAX(0,MIN((12*(YEAR(AO$3)-YEAR($B$67))+MONTH(AO$3)-MONTH($B$67)),(12*(YEAR($B$66)-YEAR($B$67))+MONTH($B$66)-MONTH($B$67))))*(1+'Вводные'!$K$75)^MAX(0,(12*(YEAR(AO$3)-YEAR($B$66))+MONTH(AO$3)-MONTH($B$66))))</x:f>
      </x:c>
      <x:c r="AP79" s="148" t="n">
        <x:f>IF(AP78=0,0,'Вводные'!$K$71*'Вводные'!$H$5*INDEX('Вводные'!$S$88:$S$91,$B$64)*INDEX('Вводные'!$AG$88:$AG$91,$B$64)*(1+'Вводные'!$K$74)^MAX(0,MIN((12*(YEAR(AP$3)-YEAR($B$67))+MONTH(AP$3)-MONTH($B$67)),(12*(YEAR($B$66)-YEAR($B$67))+MONTH($B$66)-MONTH($B$67))))*(1+'Вводные'!$K$75)^MAX(0,(12*(YEAR(AP$3)-YEAR($B$66))+MONTH(AP$3)-MONTH($B$66))))</x:f>
      </x:c>
      <x:c r="AQ79" s="148" t="n">
        <x:f>IF(AQ78=0,0,'Вводные'!$K$71*'Вводные'!$H$5*INDEX('Вводные'!$S$88:$S$91,$B$64)*INDEX('Вводные'!$AG$88:$AG$91,$B$64)*(1+'Вводные'!$K$74)^MAX(0,MIN((12*(YEAR(AQ$3)-YEAR($B$67))+MONTH(AQ$3)-MONTH($B$67)),(12*(YEAR($B$66)-YEAR($B$67))+MONTH($B$66)-MONTH($B$67))))*(1+'Вводные'!$K$75)^MAX(0,(12*(YEAR(AQ$3)-YEAR($B$66))+MONTH(AQ$3)-MONTH($B$66))))</x:f>
      </x:c>
      <x:c r="AR79" s="148" t="n">
        <x:f>IF(AR78=0,0,'Вводные'!$K$71*'Вводные'!$H$5*INDEX('Вводные'!$S$88:$S$91,$B$64)*INDEX('Вводные'!$AG$88:$AG$91,$B$64)*(1+'Вводные'!$K$74)^MAX(0,MIN((12*(YEAR(AR$3)-YEAR($B$67))+MONTH(AR$3)-MONTH($B$67)),(12*(YEAR($B$66)-YEAR($B$67))+MONTH($B$66)-MONTH($B$67))))*(1+'Вводные'!$K$75)^MAX(0,(12*(YEAR(AR$3)-YEAR($B$66))+MONTH(AR$3)-MONTH($B$66))))</x:f>
      </x:c>
      <x:c r="AS79" s="148" t="n">
        <x:f>IF(AS78=0,0,'Вводные'!$K$71*'Вводные'!$H$5*INDEX('Вводные'!$S$88:$S$91,$B$64)*INDEX('Вводные'!$AG$88:$AG$91,$B$64)*(1+'Вводные'!$K$74)^MAX(0,MIN((12*(YEAR(AS$3)-YEAR($B$67))+MONTH(AS$3)-MONTH($B$67)),(12*(YEAR($B$66)-YEAR($B$67))+MONTH($B$66)-MONTH($B$67))))*(1+'Вводные'!$K$75)^MAX(0,(12*(YEAR(AS$3)-YEAR($B$66))+MONTH(AS$3)-MONTH($B$66))))</x:f>
      </x:c>
      <x:c r="AT79" s="148" t="n">
        <x:f>IF(AT78=0,0,'Вводные'!$K$71*'Вводные'!$H$5*INDEX('Вводные'!$S$88:$S$91,$B$64)*INDEX('Вводные'!$AG$88:$AG$91,$B$64)*(1+'Вводные'!$K$74)^MAX(0,MIN((12*(YEAR(AT$3)-YEAR($B$67))+MONTH(AT$3)-MONTH($B$67)),(12*(YEAR($B$66)-YEAR($B$67))+MONTH($B$66)-MONTH($B$67))))*(1+'Вводные'!$K$75)^MAX(0,(12*(YEAR(AT$3)-YEAR($B$66))+MONTH(AT$3)-MONTH($B$66))))</x:f>
      </x:c>
      <x:c r="AU79" s="148" t="n">
        <x:f>IF(AU78=0,0,'Вводные'!$K$71*'Вводные'!$H$5*INDEX('Вводные'!$S$88:$S$91,$B$64)*INDEX('Вводные'!$AG$88:$AG$91,$B$64)*(1+'Вводные'!$K$74)^MAX(0,MIN((12*(YEAR(AU$3)-YEAR($B$67))+MONTH(AU$3)-MONTH($B$67)),(12*(YEAR($B$66)-YEAR($B$67))+MONTH($B$66)-MONTH($B$67))))*(1+'Вводные'!$K$75)^MAX(0,(12*(YEAR(AU$3)-YEAR($B$66))+MONTH(AU$3)-MONTH($B$66))))</x:f>
      </x:c>
      <x:c r="AV79" s="148" t="n">
        <x:f>IF(AV78=0,0,'Вводные'!$K$71*'Вводные'!$H$5*INDEX('Вводные'!$S$88:$S$91,$B$64)*INDEX('Вводные'!$AG$88:$AG$91,$B$64)*(1+'Вводные'!$K$74)^MAX(0,MIN((12*(YEAR(AV$3)-YEAR($B$67))+MONTH(AV$3)-MONTH($B$67)),(12*(YEAR($B$66)-YEAR($B$67))+MONTH($B$66)-MONTH($B$67))))*(1+'Вводные'!$K$75)^MAX(0,(12*(YEAR(AV$3)-YEAR($B$66))+MONTH(AV$3)-MONTH($B$66))))</x:f>
      </x:c>
      <x:c r="AW79" s="148" t="n">
        <x:f>IF(AW78=0,0,'Вводные'!$K$71*'Вводные'!$H$5*INDEX('Вводные'!$S$88:$S$91,$B$64)*INDEX('Вводные'!$AG$88:$AG$91,$B$64)*(1+'Вводные'!$K$74)^MAX(0,MIN((12*(YEAR(AW$3)-YEAR($B$67))+MONTH(AW$3)-MONTH($B$67)),(12*(YEAR($B$66)-YEAR($B$67))+MONTH($B$66)-MONTH($B$67))))*(1+'Вводные'!$K$75)^MAX(0,(12*(YEAR(AW$3)-YEAR($B$66))+MONTH(AW$3)-MONTH($B$66))))</x:f>
      </x:c>
      <x:c r="AX79" s="148" t="n">
        <x:f>IF(AX78=0,0,'Вводные'!$K$71*'Вводные'!$H$5*INDEX('Вводные'!$S$88:$S$91,$B$64)*INDEX('Вводные'!$AG$88:$AG$91,$B$64)*(1+'Вводные'!$K$74)^MAX(0,MIN((12*(YEAR(AX$3)-YEAR($B$67))+MONTH(AX$3)-MONTH($B$67)),(12*(YEAR($B$66)-YEAR($B$67))+MONTH($B$66)-MONTH($B$67))))*(1+'Вводные'!$K$75)^MAX(0,(12*(YEAR(AX$3)-YEAR($B$66))+MONTH(AX$3)-MONTH($B$66))))</x:f>
      </x:c>
      <x:c r="AY79" s="148" t="n">
        <x:f>IF(AY78=0,0,'Вводные'!$K$71*'Вводные'!$H$5*INDEX('Вводные'!$S$88:$S$91,$B$64)*INDEX('Вводные'!$AG$88:$AG$91,$B$64)*(1+'Вводные'!$K$74)^MAX(0,MIN((12*(YEAR(AY$3)-YEAR($B$67))+MONTH(AY$3)-MONTH($B$67)),(12*(YEAR($B$66)-YEAR($B$67))+MONTH($B$66)-MONTH($B$67))))*(1+'Вводные'!$K$75)^MAX(0,(12*(YEAR(AY$3)-YEAR($B$66))+MONTH(AY$3)-MONTH($B$66))))</x:f>
      </x:c>
      <x:c r="AZ79" s="148" t="n">
        <x:f>IF(AZ78=0,0,'Вводные'!$K$71*'Вводные'!$H$5*INDEX('Вводные'!$S$88:$S$91,$B$64)*INDEX('Вводные'!$AG$88:$AG$91,$B$64)*(1+'Вводные'!$K$74)^MAX(0,MIN((12*(YEAR(AZ$3)-YEAR($B$67))+MONTH(AZ$3)-MONTH($B$67)),(12*(YEAR($B$66)-YEAR($B$67))+MONTH($B$66)-MONTH($B$67))))*(1+'Вводные'!$K$75)^MAX(0,(12*(YEAR(AZ$3)-YEAR($B$66))+MONTH(AZ$3)-MONTH($B$66))))</x:f>
      </x:c>
      <x:c r="BA79" s="148" t="n">
        <x:f>IF(BA78=0,0,'Вводные'!$K$71*'Вводные'!$H$5*INDEX('Вводные'!$S$88:$S$91,$B$64)*INDEX('Вводные'!$AG$88:$AG$91,$B$64)*(1+'Вводные'!$K$74)^MAX(0,MIN((12*(YEAR(BA$3)-YEAR($B$67))+MONTH(BA$3)-MONTH($B$67)),(12*(YEAR($B$66)-YEAR($B$67))+MONTH($B$66)-MONTH($B$67))))*(1+'Вводные'!$K$75)^MAX(0,(12*(YEAR(BA$3)-YEAR($B$66))+MONTH(BA$3)-MONTH($B$66))))</x:f>
      </x:c>
      <x:c r="BB79" s="148" t="n">
        <x:f>IF(BB78=0,0,'Вводные'!$K$71*'Вводные'!$H$5*INDEX('Вводные'!$S$88:$S$91,$B$64)*INDEX('Вводные'!$AG$88:$AG$91,$B$64)*(1+'Вводные'!$K$74)^MAX(0,MIN((12*(YEAR(BB$3)-YEAR($B$67))+MONTH(BB$3)-MONTH($B$67)),(12*(YEAR($B$66)-YEAR($B$67))+MONTH($B$66)-MONTH($B$67))))*(1+'Вводные'!$K$75)^MAX(0,(12*(YEAR(BB$3)-YEAR($B$66))+MONTH(BB$3)-MONTH($B$66))))</x:f>
      </x:c>
      <x:c r="BC79" s="148" t="n">
        <x:f>IF(BC78=0,0,'Вводные'!$K$71*'Вводные'!$H$5*INDEX('Вводные'!$S$88:$S$91,$B$64)*INDEX('Вводные'!$AG$88:$AG$91,$B$64)*(1+'Вводные'!$K$74)^MAX(0,MIN((12*(YEAR(BC$3)-YEAR($B$67))+MONTH(BC$3)-MONTH($B$67)),(12*(YEAR($B$66)-YEAR($B$67))+MONTH($B$66)-MONTH($B$67))))*(1+'Вводные'!$K$75)^MAX(0,(12*(YEAR(BC$3)-YEAR($B$66))+MONTH(BC$3)-MONTH($B$66))))</x:f>
      </x:c>
      <x:c r="BD79" s="148" t="n">
        <x:f>IF(BD78=0,0,'Вводные'!$K$71*'Вводные'!$H$5*INDEX('Вводные'!$S$88:$S$91,$B$64)*INDEX('Вводные'!$AG$88:$AG$91,$B$64)*(1+'Вводные'!$K$74)^MAX(0,MIN((12*(YEAR(BD$3)-YEAR($B$67))+MONTH(BD$3)-MONTH($B$67)),(12*(YEAR($B$66)-YEAR($B$67))+MONTH($B$66)-MONTH($B$67))))*(1+'Вводные'!$K$75)^MAX(0,(12*(YEAR(BD$3)-YEAR($B$66))+MONTH(BD$3)-MONTH($B$66))))</x:f>
      </x:c>
      <x:c r="BE79" s="148" t="n">
        <x:f>IF(BE78=0,0,'Вводные'!$K$71*'Вводные'!$H$5*INDEX('Вводные'!$S$88:$S$91,$B$64)*INDEX('Вводные'!$AG$88:$AG$91,$B$64)*(1+'Вводные'!$K$74)^MAX(0,MIN((12*(YEAR(BE$3)-YEAR($B$67))+MONTH(BE$3)-MONTH($B$67)),(12*(YEAR($B$66)-YEAR($B$67))+MONTH($B$66)-MONTH($B$67))))*(1+'Вводные'!$K$75)^MAX(0,(12*(YEAR(BE$3)-YEAR($B$66))+MONTH(BE$3)-MONTH($B$66))))</x:f>
      </x:c>
      <x:c r="BF79" s="148" t="n">
        <x:f>IF(BF78=0,0,'Вводные'!$K$71*'Вводные'!$H$5*INDEX('Вводные'!$S$88:$S$91,$B$64)*INDEX('Вводные'!$AG$88:$AG$91,$B$64)*(1+'Вводные'!$K$74)^MAX(0,MIN((12*(YEAR(BF$3)-YEAR($B$67))+MONTH(BF$3)-MONTH($B$67)),(12*(YEAR($B$66)-YEAR($B$67))+MONTH($B$66)-MONTH($B$67))))*(1+'Вводные'!$K$75)^MAX(0,(12*(YEAR(BF$3)-YEAR($B$66))+MONTH(BF$3)-MONTH($B$66))))</x:f>
      </x:c>
      <x:c r="BG79" s="148" t="n">
        <x:f>IF(BG78=0,0,'Вводные'!$K$71*'Вводные'!$H$5*INDEX('Вводные'!$S$88:$S$91,$B$64)*INDEX('Вводные'!$AG$88:$AG$91,$B$64)*(1+'Вводные'!$K$74)^MAX(0,MIN((12*(YEAR(BG$3)-YEAR($B$67))+MONTH(BG$3)-MONTH($B$67)),(12*(YEAR($B$66)-YEAR($B$67))+MONTH($B$66)-MONTH($B$67))))*(1+'Вводные'!$K$75)^MAX(0,(12*(YEAR(BG$3)-YEAR($B$66))+MONTH(BG$3)-MONTH($B$66))))</x:f>
      </x:c>
      <x:c r="BH79" s="148" t="n">
        <x:f>IF(BH78=0,0,'Вводные'!$K$71*'Вводные'!$H$5*INDEX('Вводные'!$S$88:$S$91,$B$64)*INDEX('Вводные'!$AG$88:$AG$91,$B$64)*(1+'Вводные'!$K$74)^MAX(0,MIN((12*(YEAR(BH$3)-YEAR($B$67))+MONTH(BH$3)-MONTH($B$67)),(12*(YEAR($B$66)-YEAR($B$67))+MONTH($B$66)-MONTH($B$67))))*(1+'Вводные'!$K$75)^MAX(0,(12*(YEAR(BH$3)-YEAR($B$66))+MONTH(BH$3)-MONTH($B$66))))</x:f>
      </x:c>
      <x:c r="BI79" s="148" t="n">
        <x:f>IF(BI78=0,0,'Вводные'!$K$71*'Вводные'!$H$5*INDEX('Вводные'!$S$88:$S$91,$B$64)*INDEX('Вводные'!$AG$88:$AG$91,$B$64)*(1+'Вводные'!$K$74)^MAX(0,MIN((12*(YEAR(BI$3)-YEAR($B$67))+MONTH(BI$3)-MONTH($B$67)),(12*(YEAR($B$66)-YEAR($B$67))+MONTH($B$66)-MONTH($B$67))))*(1+'Вводные'!$K$75)^MAX(0,(12*(YEAR(BI$3)-YEAR($B$66))+MONTH(BI$3)-MONTH($B$66))))</x:f>
      </x:c>
      <x:c r="BJ79" s="148" t="n">
        <x:f>IF(BJ78=0,0,'Вводные'!$K$71*'Вводные'!$H$5*INDEX('Вводные'!$S$88:$S$91,$B$64)*INDEX('Вводные'!$AG$88:$AG$91,$B$64)*(1+'Вводные'!$K$74)^MAX(0,MIN((12*(YEAR(BJ$3)-YEAR($B$67))+MONTH(BJ$3)-MONTH($B$67)),(12*(YEAR($B$66)-YEAR($B$67))+MONTH($B$66)-MONTH($B$67))))*(1+'Вводные'!$K$75)^MAX(0,(12*(YEAR(BJ$3)-YEAR($B$66))+MONTH(BJ$3)-MONTH($B$66))))</x:f>
      </x:c>
      <x:c r="BK79" s="148" t="n">
        <x:f>IF(BK78=0,0,'Вводные'!$K$71*'Вводные'!$H$5*INDEX('Вводные'!$S$88:$S$91,$B$64)*INDEX('Вводные'!$AG$88:$AG$91,$B$64)*(1+'Вводные'!$K$74)^MAX(0,MIN((12*(YEAR(BK$3)-YEAR($B$67))+MONTH(BK$3)-MONTH($B$67)),(12*(YEAR($B$66)-YEAR($B$67))+MONTH($B$66)-MONTH($B$67))))*(1+'Вводные'!$K$75)^MAX(0,(12*(YEAR(BK$3)-YEAR($B$66))+MONTH(BK$3)-MONTH($B$66))))</x:f>
      </x:c>
      <x:c r="BL79" s="148" t="n">
        <x:f>IF(BL78=0,0,'Вводные'!$K$71*'Вводные'!$H$5*INDEX('Вводные'!$S$88:$S$91,$B$64)*INDEX('Вводные'!$AG$88:$AG$91,$B$64)*(1+'Вводные'!$K$74)^MAX(0,MIN((12*(YEAR(BL$3)-YEAR($B$67))+MONTH(BL$3)-MONTH($B$67)),(12*(YEAR($B$66)-YEAR($B$67))+MONTH($B$66)-MONTH($B$67))))*(1+'Вводные'!$K$75)^MAX(0,(12*(YEAR(BL$3)-YEAR($B$66))+MONTH(BL$3)-MONTH($B$66))))</x:f>
      </x:c>
      <x:c r="BM79" s="148" t="n">
        <x:f>IF(BM78=0,0,'Вводные'!$K$71*'Вводные'!$H$5*INDEX('Вводные'!$S$88:$S$91,$B$64)*INDEX('Вводные'!$AG$88:$AG$91,$B$64)*(1+'Вводные'!$K$74)^MAX(0,MIN((12*(YEAR(BM$3)-YEAR($B$67))+MONTH(BM$3)-MONTH($B$67)),(12*(YEAR($B$66)-YEAR($B$67))+MONTH($B$66)-MONTH($B$67))))*(1+'Вводные'!$K$75)^MAX(0,(12*(YEAR(BM$3)-YEAR($B$66))+MONTH(BM$3)-MONTH($B$66))))</x:f>
      </x:c>
      <x:c r="BN79" s="148" t="n">
        <x:f>IF(BN78=0,0,'Вводные'!$K$71*'Вводные'!$H$5*INDEX('Вводные'!$S$88:$S$91,$B$64)*INDEX('Вводные'!$AG$88:$AG$91,$B$64)*(1+'Вводные'!$K$74)^MAX(0,MIN((12*(YEAR(BN$3)-YEAR($B$67))+MONTH(BN$3)-MONTH($B$67)),(12*(YEAR($B$66)-YEAR($B$67))+MONTH($B$66)-MONTH($B$67))))*(1+'Вводные'!$K$75)^MAX(0,(12*(YEAR(BN$3)-YEAR($B$66))+MONTH(BN$3)-MONTH($B$66))))</x:f>
      </x:c>
      <x:c r="BO79" s="148" t="n">
        <x:f>IF(BO78=0,0,'Вводные'!$K$71*'Вводные'!$H$5*INDEX('Вводные'!$S$88:$S$91,$B$64)*INDEX('Вводные'!$AG$88:$AG$91,$B$64)*(1+'Вводные'!$K$74)^MAX(0,MIN((12*(YEAR(BO$3)-YEAR($B$67))+MONTH(BO$3)-MONTH($B$67)),(12*(YEAR($B$66)-YEAR($B$67))+MONTH($B$66)-MONTH($B$67))))*(1+'Вводные'!$K$75)^MAX(0,(12*(YEAR(BO$3)-YEAR($B$66))+MONTH(BO$3)-MONTH($B$66))))</x:f>
      </x:c>
      <x:c r="BP79" s="148" t="n">
        <x:f>IF(BP78=0,0,'Вводные'!$K$71*'Вводные'!$H$5*INDEX('Вводные'!$S$88:$S$91,$B$64)*INDEX('Вводные'!$AG$88:$AG$91,$B$64)*(1+'Вводные'!$K$74)^MAX(0,MIN((12*(YEAR(BP$3)-YEAR($B$67))+MONTH(BP$3)-MONTH($B$67)),(12*(YEAR($B$66)-YEAR($B$67))+MONTH($B$66)-MONTH($B$67))))*(1+'Вводные'!$K$75)^MAX(0,(12*(YEAR(BP$3)-YEAR($B$66))+MONTH(BP$3)-MONTH($B$66))))</x:f>
      </x:c>
      <x:c r="BQ79" s="148" t="n">
        <x:f>IF(BQ78=0,0,'Вводные'!$K$71*'Вводные'!$H$5*INDEX('Вводные'!$S$88:$S$91,$B$64)*INDEX('Вводные'!$AG$88:$AG$91,$B$64)*(1+'Вводные'!$K$74)^MAX(0,MIN((12*(YEAR(BQ$3)-YEAR($B$67))+MONTH(BQ$3)-MONTH($B$67)),(12*(YEAR($B$66)-YEAR($B$67))+MONTH($B$66)-MONTH($B$67))))*(1+'Вводные'!$K$75)^MAX(0,(12*(YEAR(BQ$3)-YEAR($B$66))+MONTH(BQ$3)-MONTH($B$66))))</x:f>
      </x:c>
      <x:c r="BR79" s="148" t="n">
        <x:f>IF(BR78=0,0,'Вводные'!$K$71*'Вводные'!$H$5*INDEX('Вводные'!$S$88:$S$91,$B$64)*INDEX('Вводные'!$AG$88:$AG$91,$B$64)*(1+'Вводные'!$K$74)^MAX(0,MIN((12*(YEAR(BR$3)-YEAR($B$67))+MONTH(BR$3)-MONTH($B$67)),(12*(YEAR($B$66)-YEAR($B$67))+MONTH($B$66)-MONTH($B$67))))*(1+'Вводные'!$K$75)^MAX(0,(12*(YEAR(BR$3)-YEAR($B$66))+MONTH(BR$3)-MONTH($B$66))))</x:f>
      </x:c>
      <x:c r="BS79" s="148" t="n">
        <x:f>IF(BS78=0,0,'Вводные'!$K$71*'Вводные'!$H$5*INDEX('Вводные'!$S$88:$S$91,$B$64)*INDEX('Вводные'!$AG$88:$AG$91,$B$64)*(1+'Вводные'!$K$74)^MAX(0,MIN((12*(YEAR(BS$3)-YEAR($B$67))+MONTH(BS$3)-MONTH($B$67)),(12*(YEAR($B$66)-YEAR($B$67))+MONTH($B$66)-MONTH($B$67))))*(1+'Вводные'!$K$75)^MAX(0,(12*(YEAR(BS$3)-YEAR($B$66))+MONTH(BS$3)-MONTH($B$66))))</x:f>
      </x:c>
      <x:c r="BT79" s="148" t="n">
        <x:f>IF(BT78=0,0,'Вводные'!$K$71*'Вводные'!$H$5*INDEX('Вводные'!$S$88:$S$91,$B$64)*INDEX('Вводные'!$AG$88:$AG$91,$B$64)*(1+'Вводные'!$K$74)^MAX(0,MIN((12*(YEAR(BT$3)-YEAR($B$67))+MONTH(BT$3)-MONTH($B$67)),(12*(YEAR($B$66)-YEAR($B$67))+MONTH($B$66)-MONTH($B$67))))*(1+'Вводные'!$K$75)^MAX(0,(12*(YEAR(BT$3)-YEAR($B$66))+MONTH(BT$3)-MONTH($B$66))))</x:f>
      </x:c>
      <x:c r="BU79" s="148" t="n">
        <x:f>IF(BU78=0,0,'Вводные'!$K$71*'Вводные'!$H$5*INDEX('Вводные'!$S$88:$S$91,$B$64)*INDEX('Вводные'!$AG$88:$AG$91,$B$64)*(1+'Вводные'!$K$74)^MAX(0,MIN((12*(YEAR(BU$3)-YEAR($B$67))+MONTH(BU$3)-MONTH($B$67)),(12*(YEAR($B$66)-YEAR($B$67))+MONTH($B$66)-MONTH($B$67))))*(1+'Вводные'!$K$75)^MAX(0,(12*(YEAR(BU$3)-YEAR($B$66))+MONTH(BU$3)-MONTH($B$66))))</x:f>
      </x:c>
      <x:c r="BV79" s="148" t="n">
        <x:f>IF(BV78=0,0,'Вводные'!$K$71*'Вводные'!$H$5*INDEX('Вводные'!$S$88:$S$91,$B$64)*INDEX('Вводные'!$AG$88:$AG$91,$B$64)*(1+'Вводные'!$K$74)^MAX(0,MIN((12*(YEAR(BV$3)-YEAR($B$67))+MONTH(BV$3)-MONTH($B$67)),(12*(YEAR($B$66)-YEAR($B$67))+MONTH($B$66)-MONTH($B$67))))*(1+'Вводные'!$K$75)^MAX(0,(12*(YEAR(BV$3)-YEAR($B$66))+MONTH(BV$3)-MONTH($B$66))))</x:f>
      </x:c>
      <x:c r="BW79" s="148" t="n">
        <x:f>IF(BW78=0,0,'Вводные'!$K$71*'Вводные'!$H$5*INDEX('Вводные'!$S$88:$S$91,$B$64)*INDEX('Вводные'!$AG$88:$AG$91,$B$64)*(1+'Вводные'!$K$74)^MAX(0,MIN((12*(YEAR(BW$3)-YEAR($B$67))+MONTH(BW$3)-MONTH($B$67)),(12*(YEAR($B$66)-YEAR($B$67))+MONTH($B$66)-MONTH($B$67))))*(1+'Вводные'!$K$75)^MAX(0,(12*(YEAR(BW$3)-YEAR($B$66))+MONTH(BW$3)-MONTH($B$66))))</x:f>
      </x:c>
      <x:c r="BX79" s="148" t="n">
        <x:f>IF(BX78=0,0,'Вводные'!$K$71*'Вводные'!$H$5*INDEX('Вводные'!$S$88:$S$91,$B$64)*INDEX('Вводные'!$AG$88:$AG$91,$B$64)*(1+'Вводные'!$K$74)^MAX(0,MIN((12*(YEAR(BX$3)-YEAR($B$67))+MONTH(BX$3)-MONTH($B$67)),(12*(YEAR($B$66)-YEAR($B$67))+MONTH($B$66)-MONTH($B$67))))*(1+'Вводные'!$K$75)^MAX(0,(12*(YEAR(BX$3)-YEAR($B$66))+MONTH(BX$3)-MONTH($B$66))))</x:f>
      </x:c>
      <x:c r="BY79" s="148" t="n">
        <x:f>IF(BY78=0,0,'Вводные'!$K$71*'Вводные'!$H$5*INDEX('Вводные'!$S$88:$S$91,$B$64)*INDEX('Вводные'!$AG$88:$AG$91,$B$64)*(1+'Вводные'!$K$74)^MAX(0,MIN((12*(YEAR(BY$3)-YEAR($B$67))+MONTH(BY$3)-MONTH($B$67)),(12*(YEAR($B$66)-YEAR($B$67))+MONTH($B$66)-MONTH($B$67))))*(1+'Вводные'!$K$75)^MAX(0,(12*(YEAR(BY$3)-YEAR($B$66))+MONTH(BY$3)-MONTH($B$66))))</x:f>
      </x:c>
      <x:c r="BZ79" s="148" t="n">
        <x:f>IF(BZ78=0,0,'Вводные'!$K$71*'Вводные'!$H$5*INDEX('Вводные'!$S$88:$S$91,$B$64)*INDEX('Вводные'!$AG$88:$AG$91,$B$64)*(1+'Вводные'!$K$74)^MAX(0,MIN((12*(YEAR(BZ$3)-YEAR($B$67))+MONTH(BZ$3)-MONTH($B$67)),(12*(YEAR($B$66)-YEAR($B$67))+MONTH($B$66)-MONTH($B$67))))*(1+'Вводные'!$K$75)^MAX(0,(12*(YEAR(BZ$3)-YEAR($B$66))+MONTH(BZ$3)-MONTH($B$66))))</x:f>
      </x:c>
      <x:c r="CA79" s="148" t="n">
        <x:f>IF(CA78=0,0,'Вводные'!$K$71*'Вводные'!$H$5*INDEX('Вводные'!$S$88:$S$91,$B$64)*INDEX('Вводные'!$AG$88:$AG$91,$B$64)*(1+'Вводные'!$K$74)^MAX(0,MIN((12*(YEAR(CA$3)-YEAR($B$67))+MONTH(CA$3)-MONTH($B$67)),(12*(YEAR($B$66)-YEAR($B$67))+MONTH($B$66)-MONTH($B$67))))*(1+'Вводные'!$K$75)^MAX(0,(12*(YEAR(CA$3)-YEAR($B$66))+MONTH(CA$3)-MONTH($B$66))))</x:f>
      </x:c>
      <x:c r="CB79" s="148" t="n">
        <x:f>IF(CB78=0,0,'Вводные'!$K$71*'Вводные'!$H$5*INDEX('Вводные'!$S$88:$S$91,$B$64)*INDEX('Вводные'!$AG$88:$AG$91,$B$64)*(1+'Вводные'!$K$74)^MAX(0,MIN((12*(YEAR(CB$3)-YEAR($B$67))+MONTH(CB$3)-MONTH($B$67)),(12*(YEAR($B$66)-YEAR($B$67))+MONTH($B$66)-MONTH($B$67))))*(1+'Вводные'!$K$75)^MAX(0,(12*(YEAR(CB$3)-YEAR($B$66))+MONTH(CB$3)-MONTH($B$66))))</x:f>
      </x:c>
      <x:c r="CC79" s="148" t="n">
        <x:f>IF(CC78=0,0,'Вводные'!$K$71*'Вводные'!$H$5*INDEX('Вводные'!$S$88:$S$91,$B$64)*INDEX('Вводные'!$AG$88:$AG$91,$B$64)*(1+'Вводные'!$K$74)^MAX(0,MIN((12*(YEAR(CC$3)-YEAR($B$67))+MONTH(CC$3)-MONTH($B$67)),(12*(YEAR($B$66)-YEAR($B$67))+MONTH($B$66)-MONTH($B$67))))*(1+'Вводные'!$K$75)^MAX(0,(12*(YEAR(CC$3)-YEAR($B$66))+MONTH(CC$3)-MONTH($B$66))))</x:f>
      </x:c>
      <x:c r="CD79" s="148" t="n">
        <x:f>IF(CD78=0,0,'Вводные'!$K$71*'Вводные'!$H$5*INDEX('Вводные'!$S$88:$S$91,$B$64)*INDEX('Вводные'!$AG$88:$AG$91,$B$64)*(1+'Вводные'!$K$74)^MAX(0,MIN((12*(YEAR(CD$3)-YEAR($B$67))+MONTH(CD$3)-MONTH($B$67)),(12*(YEAR($B$66)-YEAR($B$67))+MONTH($B$66)-MONTH($B$67))))*(1+'Вводные'!$K$75)^MAX(0,(12*(YEAR(CD$3)-YEAR($B$66))+MONTH(CD$3)-MONTH($B$66))))</x:f>
      </x:c>
      <x:c r="CE79" s="148" t="n">
        <x:f>IF(CE78=0,0,'Вводные'!$K$71*'Вводные'!$H$5*INDEX('Вводные'!$S$88:$S$91,$B$64)*INDEX('Вводные'!$AG$88:$AG$91,$B$64)*(1+'Вводные'!$K$74)^MAX(0,MIN((12*(YEAR(CE$3)-YEAR($B$67))+MONTH(CE$3)-MONTH($B$67)),(12*(YEAR($B$66)-YEAR($B$67))+MONTH($B$66)-MONTH($B$67))))*(1+'Вводные'!$K$75)^MAX(0,(12*(YEAR(CE$3)-YEAR($B$66))+MONTH(CE$3)-MONTH($B$66))))</x:f>
      </x:c>
      <x:c r="CF79" s="148" t="n">
        <x:f>IF(CF78=0,0,'Вводные'!$K$71*'Вводные'!$H$5*INDEX('Вводные'!$S$88:$S$91,$B$64)*INDEX('Вводные'!$AG$88:$AG$91,$B$64)*(1+'Вводные'!$K$74)^MAX(0,MIN((12*(YEAR(CF$3)-YEAR($B$67))+MONTH(CF$3)-MONTH($B$67)),(12*(YEAR($B$66)-YEAR($B$67))+MONTH($B$66)-MONTH($B$67))))*(1+'Вводные'!$K$75)^MAX(0,(12*(YEAR(CF$3)-YEAR($B$66))+MONTH(CF$3)-MONTH($B$66))))</x:f>
      </x:c>
      <x:c r="CG79" s="148" t="n">
        <x:f>IF(CG78=0,0,'Вводные'!$K$71*'Вводные'!$H$5*INDEX('Вводные'!$S$88:$S$91,$B$64)*INDEX('Вводные'!$AG$88:$AG$91,$B$64)*(1+'Вводные'!$K$74)^MAX(0,MIN((12*(YEAR(CG$3)-YEAR($B$67))+MONTH(CG$3)-MONTH($B$67)),(12*(YEAR($B$66)-YEAR($B$67))+MONTH($B$66)-MONTH($B$67))))*(1+'Вводные'!$K$75)^MAX(0,(12*(YEAR(CG$3)-YEAR($B$66))+MONTH(CG$3)-MONTH($B$66))))</x:f>
      </x:c>
      <x:c r="CH79" s="148" t="n">
        <x:f>IF(CH78=0,0,'Вводные'!$K$71*'Вводные'!$H$5*INDEX('Вводные'!$S$88:$S$91,$B$64)*INDEX('Вводные'!$AG$88:$AG$91,$B$64)*(1+'Вводные'!$K$74)^MAX(0,MIN((12*(YEAR(CH$3)-YEAR($B$67))+MONTH(CH$3)-MONTH($B$67)),(12*(YEAR($B$66)-YEAR($B$67))+MONTH($B$66)-MONTH($B$67))))*(1+'Вводные'!$K$75)^MAX(0,(12*(YEAR(CH$3)-YEAR($B$66))+MONTH(CH$3)-MONTH($B$66))))</x:f>
      </x:c>
      <x:c r="CI79" s="148" t="n">
        <x:f>IF(CI78=0,0,'Вводные'!$K$71*'Вводные'!$H$5*INDEX('Вводные'!$S$88:$S$91,$B$64)*INDEX('Вводные'!$AG$88:$AG$91,$B$64)*(1+'Вводные'!$K$74)^MAX(0,MIN((12*(YEAR(CI$3)-YEAR($B$67))+MONTH(CI$3)-MONTH($B$67)),(12*(YEAR($B$66)-YEAR($B$67))+MONTH($B$66)-MONTH($B$67))))*(1+'Вводные'!$K$75)^MAX(0,(12*(YEAR(CI$3)-YEAR($B$66))+MONTH(CI$3)-MONTH($B$66))))</x:f>
      </x:c>
      <x:c r="CJ79" s="148" t="n">
        <x:f>IF(CJ78=0,0,'Вводные'!$K$71*'Вводные'!$H$5*INDEX('Вводные'!$S$88:$S$91,$B$64)*INDEX('Вводные'!$AG$88:$AG$91,$B$64)*(1+'Вводные'!$K$74)^MAX(0,MIN((12*(YEAR(CJ$3)-YEAR($B$67))+MONTH(CJ$3)-MONTH($B$67)),(12*(YEAR($B$66)-YEAR($B$67))+MONTH($B$66)-MONTH($B$67))))*(1+'Вводные'!$K$75)^MAX(0,(12*(YEAR(CJ$3)-YEAR($B$66))+MONTH(CJ$3)-MONTH($B$66))))</x:f>
      </x:c>
      <x:c r="CK79" s="148" t="n">
        <x:f>IF(CK78=0,0,'Вводные'!$K$71*'Вводные'!$H$5*INDEX('Вводные'!$S$88:$S$91,$B$64)*INDEX('Вводные'!$AG$88:$AG$91,$B$64)*(1+'Вводные'!$K$74)^MAX(0,MIN((12*(YEAR(CK$3)-YEAR($B$67))+MONTH(CK$3)-MONTH($B$67)),(12*(YEAR($B$66)-YEAR($B$67))+MONTH($B$66)-MONTH($B$67))))*(1+'Вводные'!$K$75)^MAX(0,(12*(YEAR(CK$3)-YEAR($B$66))+MONTH(CK$3)-MONTH($B$66))))</x:f>
      </x:c>
      <x:c r="CL79" s="148" t="n">
        <x:f>IF(CL78=0,0,'Вводные'!$K$71*'Вводные'!$H$5*INDEX('Вводные'!$S$88:$S$91,$B$64)*INDEX('Вводные'!$AG$88:$AG$91,$B$64)*(1+'Вводные'!$K$74)^MAX(0,MIN((12*(YEAR(CL$3)-YEAR($B$67))+MONTH(CL$3)-MONTH($B$67)),(12*(YEAR($B$66)-YEAR($B$67))+MONTH($B$66)-MONTH($B$67))))*(1+'Вводные'!$K$75)^MAX(0,(12*(YEAR(CL$3)-YEAR($B$66))+MONTH(CL$3)-MONTH($B$66))))</x:f>
      </x:c>
      <x:c r="CM79" s="148" t="n">
        <x:f>IF(CM78=0,0,'Вводные'!$K$71*'Вводные'!$H$5*INDEX('Вводные'!$S$88:$S$91,$B$64)*INDEX('Вводные'!$AG$88:$AG$91,$B$64)*(1+'Вводные'!$K$74)^MAX(0,MIN((12*(YEAR(CM$3)-YEAR($B$67))+MONTH(CM$3)-MONTH($B$67)),(12*(YEAR($B$66)-YEAR($B$67))+MONTH($B$66)-MONTH($B$67))))*(1+'Вводные'!$K$75)^MAX(0,(12*(YEAR(CM$3)-YEAR($B$66))+MONTH(CM$3)-MONTH($B$66))))</x:f>
      </x:c>
      <x:c r="CN79" s="148" t="n">
        <x:f>IF(CN78=0,0,'Вводные'!$K$71*'Вводные'!$H$5*INDEX('Вводные'!$S$88:$S$91,$B$64)*INDEX('Вводные'!$AG$88:$AG$91,$B$64)*(1+'Вводные'!$K$74)^MAX(0,MIN((12*(YEAR(CN$3)-YEAR($B$67))+MONTH(CN$3)-MONTH($B$67)),(12*(YEAR($B$66)-YEAR($B$67))+MONTH($B$66)-MONTH($B$67))))*(1+'Вводные'!$K$75)^MAX(0,(12*(YEAR(CN$3)-YEAR($B$66))+MONTH(CN$3)-MONTH($B$66))))</x:f>
      </x:c>
      <x:c r="CO79" s="148" t="n">
        <x:f>IF(CO78=0,0,'Вводные'!$K$71*'Вводные'!$H$5*INDEX('Вводные'!$S$88:$S$91,$B$64)*INDEX('Вводные'!$AG$88:$AG$91,$B$64)*(1+'Вводные'!$K$74)^MAX(0,MIN((12*(YEAR(CO$3)-YEAR($B$67))+MONTH(CO$3)-MONTH($B$67)),(12*(YEAR($B$66)-YEAR($B$67))+MONTH($B$66)-MONTH($B$67))))*(1+'Вводные'!$K$75)^MAX(0,(12*(YEAR(CO$3)-YEAR($B$66))+MONTH(CO$3)-MONTH($B$66))))</x:f>
      </x:c>
      <x:c r="CP79" s="148" t="n">
        <x:f>IF(CP78=0,0,'Вводные'!$K$71*'Вводные'!$H$5*INDEX('Вводные'!$S$88:$S$91,$B$64)*INDEX('Вводные'!$AG$88:$AG$91,$B$64)*(1+'Вводные'!$K$74)^MAX(0,MIN((12*(YEAR(CP$3)-YEAR($B$67))+MONTH(CP$3)-MONTH($B$67)),(12*(YEAR($B$66)-YEAR($B$67))+MONTH($B$66)-MONTH($B$67))))*(1+'Вводные'!$K$75)^MAX(0,(12*(YEAR(CP$3)-YEAR($B$66))+MONTH(CP$3)-MONTH($B$66))))</x:f>
      </x:c>
      <x:c r="CQ79" s="148" t="n">
        <x:f>IF(CQ78=0,0,'Вводные'!$K$71*'Вводные'!$H$5*INDEX('Вводные'!$S$88:$S$91,$B$64)*INDEX('Вводные'!$AG$88:$AG$91,$B$64)*(1+'Вводные'!$K$74)^MAX(0,MIN((12*(YEAR(CQ$3)-YEAR($B$67))+MONTH(CQ$3)-MONTH($B$67)),(12*(YEAR($B$66)-YEAR($B$67))+MONTH($B$66)-MONTH($B$67))))*(1+'Вводные'!$K$75)^MAX(0,(12*(YEAR(CQ$3)-YEAR($B$66))+MONTH(CQ$3)-MONTH($B$66))))</x:f>
      </x:c>
      <x:c r="CR79" s="148" t="n">
        <x:f>IF(CR78=0,0,'Вводные'!$K$71*'Вводные'!$H$5*INDEX('Вводные'!$S$88:$S$91,$B$64)*INDEX('Вводные'!$AG$88:$AG$91,$B$64)*(1+'Вводные'!$K$74)^MAX(0,MIN((12*(YEAR(CR$3)-YEAR($B$67))+MONTH(CR$3)-MONTH($B$67)),(12*(YEAR($B$66)-YEAR($B$67))+MONTH($B$66)-MONTH($B$67))))*(1+'Вводные'!$K$75)^MAX(0,(12*(YEAR(CR$3)-YEAR($B$66))+MONTH(CR$3)-MONTH($B$66))))</x:f>
      </x:c>
      <x:c r="CS79" s="148" t="n">
        <x:f>IF(CS78=0,0,'Вводные'!$K$71*'Вводные'!$H$5*INDEX('Вводные'!$S$88:$S$91,$B$64)*INDEX('Вводные'!$AG$88:$AG$91,$B$64)*(1+'Вводные'!$K$74)^MAX(0,MIN((12*(YEAR(CS$3)-YEAR($B$67))+MONTH(CS$3)-MONTH($B$67)),(12*(YEAR($B$66)-YEAR($B$67))+MONTH($B$66)-MONTH($B$67))))*(1+'Вводные'!$K$75)^MAX(0,(12*(YEAR(CS$3)-YEAR($B$66))+MONTH(CS$3)-MONTH($B$66))))</x:f>
      </x:c>
      <x:c r="CT79" s="148" t="n">
        <x:f>IF(CT78=0,0,'Вводные'!$K$71*'Вводные'!$H$5*INDEX('Вводные'!$S$88:$S$91,$B$64)*INDEX('Вводные'!$AG$88:$AG$91,$B$64)*(1+'Вводные'!$K$74)^MAX(0,MIN((12*(YEAR(CT$3)-YEAR($B$67))+MONTH(CT$3)-MONTH($B$67)),(12*(YEAR($B$66)-YEAR($B$67))+MONTH($B$66)-MONTH($B$67))))*(1+'Вводные'!$K$75)^MAX(0,(12*(YEAR(CT$3)-YEAR($B$66))+MONTH(CT$3)-MONTH($B$66))))</x:f>
      </x:c>
      <x:c r="CU79" s="148" t="n">
        <x:f>IF(CU78=0,0,'Вводные'!$K$71*'Вводные'!$H$5*INDEX('Вводные'!$S$88:$S$91,$B$64)*INDEX('Вводные'!$AG$88:$AG$91,$B$64)*(1+'Вводные'!$K$74)^MAX(0,MIN((12*(YEAR(CU$3)-YEAR($B$67))+MONTH(CU$3)-MONTH($B$67)),(12*(YEAR($B$66)-YEAR($B$67))+MONTH($B$66)-MONTH($B$67))))*(1+'Вводные'!$K$75)^MAX(0,(12*(YEAR(CU$3)-YEAR($B$66))+MONTH(CU$3)-MONTH($B$66))))</x:f>
      </x:c>
      <x:c r="CV79" s="148" t="n">
        <x:f>IF(CV78=0,0,'Вводные'!$K$71*'Вводные'!$H$5*INDEX('Вводные'!$S$88:$S$91,$B$64)*INDEX('Вводные'!$AG$88:$AG$91,$B$64)*(1+'Вводные'!$K$74)^MAX(0,MIN((12*(YEAR(CV$3)-YEAR($B$67))+MONTH(CV$3)-MONTH($B$67)),(12*(YEAR($B$66)-YEAR($B$67))+MONTH($B$66)-MONTH($B$67))))*(1+'Вводные'!$K$75)^MAX(0,(12*(YEAR(CV$3)-YEAR($B$66))+MONTH(CV$3)-MONTH($B$66))))</x:f>
      </x:c>
      <x:c r="CW79" s="148" t="n">
        <x:f>IF(CW78=0,0,'Вводные'!$K$71*'Вводные'!$H$5*INDEX('Вводные'!$S$88:$S$91,$B$64)*INDEX('Вводные'!$AG$88:$AG$91,$B$64)*(1+'Вводные'!$K$74)^MAX(0,MIN((12*(YEAR(CW$3)-YEAR($B$67))+MONTH(CW$3)-MONTH($B$67)),(12*(YEAR($B$66)-YEAR($B$67))+MONTH($B$66)-MONTH($B$67))))*(1+'Вводные'!$K$75)^MAX(0,(12*(YEAR(CW$3)-YEAR($B$66))+MONTH(CW$3)-MONTH($B$66))))</x:f>
      </x:c>
      <x:c r="CX79" s="148" t="n">
        <x:f>IF(CX78=0,0,'Вводные'!$K$71*'Вводные'!$H$5*INDEX('Вводные'!$S$88:$S$91,$B$64)*INDEX('Вводные'!$AG$88:$AG$91,$B$64)*(1+'Вводные'!$K$74)^MAX(0,MIN((12*(YEAR(CX$3)-YEAR($B$67))+MONTH(CX$3)-MONTH($B$67)),(12*(YEAR($B$66)-YEAR($B$67))+MONTH($B$66)-MONTH($B$67))))*(1+'Вводные'!$K$75)^MAX(0,(12*(YEAR(CX$3)-YEAR($B$66))+MONTH(CX$3)-MONTH($B$66))))</x:f>
      </x:c>
      <x:c r="CY79" s="148" t="n">
        <x:f>IF(CY78=0,0,'Вводные'!$K$71*'Вводные'!$H$5*INDEX('Вводные'!$S$88:$S$91,$B$64)*INDEX('Вводные'!$AG$88:$AG$91,$B$64)*(1+'Вводные'!$K$74)^MAX(0,MIN((12*(YEAR(CY$3)-YEAR($B$67))+MONTH(CY$3)-MONTH($B$67)),(12*(YEAR($B$66)-YEAR($B$67))+MONTH($B$66)-MONTH($B$67))))*(1+'Вводные'!$K$75)^MAX(0,(12*(YEAR(CY$3)-YEAR($B$66))+MONTH(CY$3)-MONTH($B$66))))</x:f>
      </x:c>
      <x:c r="CZ79" s="148" t="n">
        <x:f>IF(CZ78=0,0,'Вводные'!$K$71*'Вводные'!$H$5*INDEX('Вводные'!$S$88:$S$91,$B$64)*INDEX('Вводные'!$AG$88:$AG$91,$B$64)*(1+'Вводные'!$K$74)^MAX(0,MIN((12*(YEAR(CZ$3)-YEAR($B$67))+MONTH(CZ$3)-MONTH($B$67)),(12*(YEAR($B$66)-YEAR($B$67))+MONTH($B$66)-MONTH($B$67))))*(1+'Вводные'!$K$75)^MAX(0,(12*(YEAR(CZ$3)-YEAR($B$66))+MONTH(CZ$3)-MONTH($B$66))))</x:f>
      </x:c>
      <x:c r="DA79" s="148" t="n">
        <x:f>IF(DA78=0,0,'Вводные'!$K$71*'Вводные'!$H$5*INDEX('Вводные'!$S$88:$S$91,$B$64)*INDEX('Вводные'!$AG$88:$AG$91,$B$64)*(1+'Вводные'!$K$74)^MAX(0,MIN((12*(YEAR(DA$3)-YEAR($B$67))+MONTH(DA$3)-MONTH($B$67)),(12*(YEAR($B$66)-YEAR($B$67))+MONTH($B$66)-MONTH($B$67))))*(1+'Вводные'!$K$75)^MAX(0,(12*(YEAR(DA$3)-YEAR($B$66))+MONTH(DA$3)-MONTH($B$66))))</x:f>
      </x:c>
      <x:c r="DB79" s="148" t="n">
        <x:f>IF(DB78=0,0,'Вводные'!$K$71*'Вводные'!$H$5*INDEX('Вводные'!$S$88:$S$91,$B$64)*INDEX('Вводные'!$AG$88:$AG$91,$B$64)*(1+'Вводные'!$K$74)^MAX(0,MIN((12*(YEAR(DB$3)-YEAR($B$67))+MONTH(DB$3)-MONTH($B$67)),(12*(YEAR($B$66)-YEAR($B$67))+MONTH($B$66)-MONTH($B$67))))*(1+'Вводные'!$K$75)^MAX(0,(12*(YEAR(DB$3)-YEAR($B$66))+MONTH(DB$3)-MONTH($B$66))))</x:f>
      </x:c>
      <x:c r="DC79" s="148" t="n">
        <x:f>IF(DC78=0,0,'Вводные'!$K$71*'Вводные'!$H$5*INDEX('Вводные'!$S$88:$S$91,$B$64)*INDEX('Вводные'!$AG$88:$AG$91,$B$64)*(1+'Вводные'!$K$74)^MAX(0,MIN((12*(YEAR(DC$3)-YEAR($B$67))+MONTH(DC$3)-MONTH($B$67)),(12*(YEAR($B$66)-YEAR($B$67))+MONTH($B$66)-MONTH($B$67))))*(1+'Вводные'!$K$75)^MAX(0,(12*(YEAR(DC$3)-YEAR($B$66))+MONTH(DC$3)-MONTH($B$66))))</x:f>
      </x:c>
      <x:c r="DD79" s="148" t="n">
        <x:f>IF(DD78=0,0,'Вводные'!$K$71*'Вводные'!$H$5*INDEX('Вводные'!$S$88:$S$91,$B$64)*INDEX('Вводные'!$AG$88:$AG$91,$B$64)*(1+'Вводные'!$K$74)^MAX(0,MIN((12*(YEAR(DD$3)-YEAR($B$67))+MONTH(DD$3)-MONTH($B$67)),(12*(YEAR($B$66)-YEAR($B$67))+MONTH($B$66)-MONTH($B$67))))*(1+'Вводные'!$K$75)^MAX(0,(12*(YEAR(DD$3)-YEAR($B$66))+MONTH(DD$3)-MONTH($B$66))))</x:f>
      </x:c>
      <x:c r="DE79" s="148" t="n">
        <x:f>IF(DE78=0,0,'Вводные'!$K$71*'Вводные'!$H$5*INDEX('Вводные'!$S$88:$S$91,$B$64)*INDEX('Вводные'!$AG$88:$AG$91,$B$64)*(1+'Вводные'!$K$74)^MAX(0,MIN((12*(YEAR(DE$3)-YEAR($B$67))+MONTH(DE$3)-MONTH($B$67)),(12*(YEAR($B$66)-YEAR($B$67))+MONTH($B$66)-MONTH($B$67))))*(1+'Вводные'!$K$75)^MAX(0,(12*(YEAR(DE$3)-YEAR($B$66))+MONTH(DE$3)-MONTH($B$66))))</x:f>
      </x:c>
      <x:c r="DF79" s="148" t="n">
        <x:f>IF(DF78=0,0,'Вводные'!$K$71*'Вводные'!$H$5*INDEX('Вводные'!$S$88:$S$91,$B$64)*INDEX('Вводные'!$AG$88:$AG$91,$B$64)*(1+'Вводные'!$K$74)^MAX(0,MIN((12*(YEAR(DF$3)-YEAR($B$67))+MONTH(DF$3)-MONTH($B$67)),(12*(YEAR($B$66)-YEAR($B$67))+MONTH($B$66)-MONTH($B$67))))*(1+'Вводные'!$K$75)^MAX(0,(12*(YEAR(DF$3)-YEAR($B$66))+MONTH(DF$3)-MONTH($B$66))))</x:f>
      </x:c>
      <x:c r="DG79" s="148" t="n">
        <x:f>IF(DG78=0,0,'Вводные'!$K$71*'Вводные'!$H$5*INDEX('Вводные'!$S$88:$S$91,$B$64)*INDEX('Вводные'!$AG$88:$AG$91,$B$64)*(1+'Вводные'!$K$74)^MAX(0,MIN((12*(YEAR(DG$3)-YEAR($B$67))+MONTH(DG$3)-MONTH($B$67)),(12*(YEAR($B$66)-YEAR($B$67))+MONTH($B$66)-MONTH($B$67))))*(1+'Вводные'!$K$75)^MAX(0,(12*(YEAR(DG$3)-YEAR($B$66))+MONTH(DG$3)-MONTH($B$66))))</x:f>
      </x:c>
      <x:c r="DH79" s="148" t="n">
        <x:f>IF(DH78=0,0,'Вводные'!$K$71*'Вводные'!$H$5*INDEX('Вводные'!$S$88:$S$91,$B$64)*INDEX('Вводные'!$AG$88:$AG$91,$B$64)*(1+'Вводные'!$K$74)^MAX(0,MIN((12*(YEAR(DH$3)-YEAR($B$67))+MONTH(DH$3)-MONTH($B$67)),(12*(YEAR($B$66)-YEAR($B$67))+MONTH($B$66)-MONTH($B$67))))*(1+'Вводные'!$K$75)^MAX(0,(12*(YEAR(DH$3)-YEAR($B$66))+MONTH(DH$3)-MONTH($B$66))))</x:f>
      </x:c>
      <x:c r="DI79" s="148" t="n">
        <x:f>IF(DI78=0,0,'Вводные'!$K$71*'Вводные'!$H$5*INDEX('Вводные'!$S$88:$S$91,$B$64)*INDEX('Вводные'!$AG$88:$AG$91,$B$64)*(1+'Вводные'!$K$74)^MAX(0,MIN((12*(YEAR(DI$3)-YEAR($B$67))+MONTH(DI$3)-MONTH($B$67)),(12*(YEAR($B$66)-YEAR($B$67))+MONTH($B$66)-MONTH($B$67))))*(1+'Вводные'!$K$75)^MAX(0,(12*(YEAR(DI$3)-YEAR($B$66))+MONTH(DI$3)-MONTH($B$66))))</x:f>
      </x:c>
      <x:c r="DJ79" s="148" t="n">
        <x:f>IF(DJ78=0,0,'Вводные'!$K$71*'Вводные'!$H$5*INDEX('Вводные'!$S$88:$S$91,$B$64)*INDEX('Вводные'!$AG$88:$AG$91,$B$64)*(1+'Вводные'!$K$74)^MAX(0,MIN((12*(YEAR(DJ$3)-YEAR($B$67))+MONTH(DJ$3)-MONTH($B$67)),(12*(YEAR($B$66)-YEAR($B$67))+MONTH($B$66)-MONTH($B$67))))*(1+'Вводные'!$K$75)^MAX(0,(12*(YEAR(DJ$3)-YEAR($B$66))+MONTH(DJ$3)-MONTH($B$66))))</x:f>
      </x:c>
      <x:c r="DK79" s="148" t="n">
        <x:f>IF(DK78=0,0,'Вводные'!$K$71*'Вводные'!$H$5*INDEX('Вводные'!$S$88:$S$91,$B$64)*INDEX('Вводные'!$AG$88:$AG$91,$B$64)*(1+'Вводные'!$K$74)^MAX(0,MIN((12*(YEAR(DK$3)-YEAR($B$67))+MONTH(DK$3)-MONTH($B$67)),(12*(YEAR($B$66)-YEAR($B$67))+MONTH($B$66)-MONTH($B$67))))*(1+'Вводные'!$K$75)^MAX(0,(12*(YEAR(DK$3)-YEAR($B$66))+MONTH(DK$3)-MONTH($B$66))))</x:f>
      </x:c>
      <x:c r="DL79" s="148" t="n">
        <x:f>IF(DL78=0,0,'Вводные'!$K$71*'Вводные'!$H$5*INDEX('Вводные'!$S$88:$S$91,$B$64)*INDEX('Вводные'!$AG$88:$AG$91,$B$64)*(1+'Вводные'!$K$74)^MAX(0,MIN((12*(YEAR(DL$3)-YEAR($B$67))+MONTH(DL$3)-MONTH($B$67)),(12*(YEAR($B$66)-YEAR($B$67))+MONTH($B$66)-MONTH($B$67))))*(1+'Вводные'!$K$75)^MAX(0,(12*(YEAR(DL$3)-YEAR($B$66))+MONTH(DL$3)-MONTH($B$66))))</x:f>
      </x:c>
      <x:c r="DM79" s="148" t="n">
        <x:f>IF(DM78=0,0,'Вводные'!$K$71*'Вводные'!$H$5*INDEX('Вводные'!$S$88:$S$91,$B$64)*INDEX('Вводные'!$AG$88:$AG$91,$B$64)*(1+'Вводные'!$K$74)^MAX(0,MIN((12*(YEAR(DM$3)-YEAR($B$67))+MONTH(DM$3)-MONTH($B$67)),(12*(YEAR($B$66)-YEAR($B$67))+MONTH($B$66)-MONTH($B$67))))*(1+'Вводные'!$K$75)^MAX(0,(12*(YEAR(DM$3)-YEAR($B$66))+MONTH(DM$3)-MONTH($B$66))))</x:f>
      </x:c>
      <x:c r="DN79" s="148" t="n">
        <x:f>IF(DN78=0,0,'Вводные'!$K$71*'Вводные'!$H$5*INDEX('Вводные'!$S$88:$S$91,$B$64)*INDEX('Вводные'!$AG$88:$AG$91,$B$64)*(1+'Вводные'!$K$74)^MAX(0,MIN((12*(YEAR(DN$3)-YEAR($B$67))+MONTH(DN$3)-MONTH($B$67)),(12*(YEAR($B$66)-YEAR($B$67))+MONTH($B$66)-MONTH($B$67))))*(1+'Вводные'!$K$75)^MAX(0,(12*(YEAR(DN$3)-YEAR($B$66))+MONTH(DN$3)-MONTH($B$66))))</x:f>
      </x:c>
      <x:c r="DO79" s="148" t="n">
        <x:f>IF(DO78=0,0,'Вводные'!$K$71*'Вводные'!$H$5*INDEX('Вводные'!$S$88:$S$91,$B$64)*INDEX('Вводные'!$AG$88:$AG$91,$B$64)*(1+'Вводные'!$K$74)^MAX(0,MIN((12*(YEAR(DO$3)-YEAR($B$67))+MONTH(DO$3)-MONTH($B$67)),(12*(YEAR($B$66)-YEAR($B$67))+MONTH($B$66)-MONTH($B$67))))*(1+'Вводные'!$K$75)^MAX(0,(12*(YEAR(DO$3)-YEAR($B$66))+MONTH(DO$3)-MONTH($B$66))))</x:f>
      </x:c>
      <x:c r="DP79" s="148" t="n">
        <x:f>IF(DP78=0,0,'Вводные'!$K$71*'Вводные'!$H$5*INDEX('Вводные'!$S$88:$S$91,$B$64)*INDEX('Вводные'!$AG$88:$AG$91,$B$64)*(1+'Вводные'!$K$74)^MAX(0,MIN((12*(YEAR(DP$3)-YEAR($B$67))+MONTH(DP$3)-MONTH($B$67)),(12*(YEAR($B$66)-YEAR($B$67))+MONTH($B$66)-MONTH($B$67))))*(1+'Вводные'!$K$75)^MAX(0,(12*(YEAR(DP$3)-YEAR($B$66))+MONTH(DP$3)-MONTH($B$66))))</x:f>
      </x:c>
      <x:c r="DQ79" s="148" t="n">
        <x:f>IF(DQ78=0,0,'Вводные'!$K$71*'Вводные'!$H$5*INDEX('Вводные'!$S$88:$S$91,$B$64)*INDEX('Вводные'!$AG$88:$AG$91,$B$64)*(1+'Вводные'!$K$74)^MAX(0,MIN((12*(YEAR(DQ$3)-YEAR($B$67))+MONTH(DQ$3)-MONTH($B$67)),(12*(YEAR($B$66)-YEAR($B$67))+MONTH($B$66)-MONTH($B$67))))*(1+'Вводные'!$K$75)^MAX(0,(12*(YEAR(DQ$3)-YEAR($B$66))+MONTH(DQ$3)-MONTH($B$66))))</x:f>
      </x:c>
      <x:c r="DR79" s="148" t="n">
        <x:f>IF(DR78=0,0,'Вводные'!$K$71*'Вводные'!$H$5*INDEX('Вводные'!$S$88:$S$91,$B$64)*INDEX('Вводные'!$AG$88:$AG$91,$B$64)*(1+'Вводные'!$K$74)^MAX(0,MIN((12*(YEAR(DR$3)-YEAR($B$67))+MONTH(DR$3)-MONTH($B$67)),(12*(YEAR($B$66)-YEAR($B$67))+MONTH($B$66)-MONTH($B$67))))*(1+'Вводные'!$K$75)^MAX(0,(12*(YEAR(DR$3)-YEAR($B$66))+MONTH(DR$3)-MONTH($B$66))))</x:f>
      </x:c>
      <x:c r="DS79" s="148" t="n">
        <x:f>IF(DS78=0,0,'Вводные'!$K$71*'Вводные'!$H$5*INDEX('Вводные'!$S$88:$S$91,$B$64)*INDEX('Вводные'!$AG$88:$AG$91,$B$64)*(1+'Вводные'!$K$74)^MAX(0,MIN((12*(YEAR(DS$3)-YEAR($B$67))+MONTH(DS$3)-MONTH($B$67)),(12*(YEAR($B$66)-YEAR($B$67))+MONTH($B$66)-MONTH($B$67))))*(1+'Вводные'!$K$75)^MAX(0,(12*(YEAR(DS$3)-YEAR($B$66))+MONTH(DS$3)-MONTH($B$66))))</x:f>
      </x:c>
      <x:c r="DT79" s="148" t="n">
        <x:f>IF(DT78=0,0,'Вводные'!$K$71*'Вводные'!$H$5*INDEX('Вводные'!$S$88:$S$91,$B$64)*INDEX('Вводные'!$AG$88:$AG$91,$B$64)*(1+'Вводные'!$K$74)^MAX(0,MIN((12*(YEAR(DT$3)-YEAR($B$67))+MONTH(DT$3)-MONTH($B$67)),(12*(YEAR($B$66)-YEAR($B$67))+MONTH($B$66)-MONTH($B$67))))*(1+'Вводные'!$K$75)^MAX(0,(12*(YEAR(DT$3)-YEAR($B$66))+MONTH(DT$3)-MONTH($B$66))))</x:f>
      </x:c>
      <x:c r="DU79" s="148" t="n">
        <x:f>IF(DU78=0,0,'Вводные'!$K$71*'Вводные'!$H$5*INDEX('Вводные'!$S$88:$S$91,$B$64)*INDEX('Вводные'!$AG$88:$AG$91,$B$64)*(1+'Вводные'!$K$74)^MAX(0,MIN((12*(YEAR(DU$3)-YEAR($B$67))+MONTH(DU$3)-MONTH($B$67)),(12*(YEAR($B$66)-YEAR($B$67))+MONTH($B$66)-MONTH($B$67))))*(1+'Вводные'!$K$75)^MAX(0,(12*(YEAR(DU$3)-YEAR($B$66))+MONTH(DU$3)-MONTH($B$66))))</x:f>
      </x:c>
      <x:c r="DV79" s="148" t="n">
        <x:f>IF(DV78=0,0,'Вводные'!$K$71*'Вводные'!$H$5*INDEX('Вводные'!$S$88:$S$91,$B$64)*INDEX('Вводные'!$AG$88:$AG$91,$B$64)*(1+'Вводные'!$K$74)^MAX(0,MIN((12*(YEAR(DV$3)-YEAR($B$67))+MONTH(DV$3)-MONTH($B$67)),(12*(YEAR($B$66)-YEAR($B$67))+MONTH($B$66)-MONTH($B$67))))*(1+'Вводные'!$K$75)^MAX(0,(12*(YEAR(DV$3)-YEAR($B$66))+MONTH(DV$3)-MONTH($B$66))))</x:f>
      </x:c>
      <x:c r="DW79" s="148" t="n">
        <x:f>IF(DW78=0,0,'Вводные'!$K$71*'Вводные'!$H$5*INDEX('Вводные'!$S$88:$S$91,$B$64)*INDEX('Вводные'!$AG$88:$AG$91,$B$64)*(1+'Вводные'!$K$74)^MAX(0,MIN((12*(YEAR(DW$3)-YEAR($B$67))+MONTH(DW$3)-MONTH($B$67)),(12*(YEAR($B$66)-YEAR($B$67))+MONTH($B$66)-MONTH($B$67))))*(1+'Вводные'!$K$75)^MAX(0,(12*(YEAR(DW$3)-YEAR($B$66))+MONTH(DW$3)-MONTH($B$66))))</x:f>
      </x:c>
      <x:c r="DX79" s="148" t="n">
        <x:f>IF(DX78=0,0,'Вводные'!$K$71*'Вводные'!$H$5*INDEX('Вводные'!$S$88:$S$91,$B$64)*INDEX('Вводные'!$AG$88:$AG$91,$B$64)*(1+'Вводные'!$K$74)^MAX(0,MIN((12*(YEAR(DX$3)-YEAR($B$67))+MONTH(DX$3)-MONTH($B$67)),(12*(YEAR($B$66)-YEAR($B$67))+MONTH($B$66)-MONTH($B$67))))*(1+'Вводные'!$K$75)^MAX(0,(12*(YEAR(DX$3)-YEAR($B$66))+MONTH(DX$3)-MONTH($B$66))))</x:f>
      </x:c>
      <x:c r="DY79" s="148" t="n">
        <x:f>IF(DY78=0,0,'Вводные'!$K$71*'Вводные'!$H$5*INDEX('Вводные'!$S$88:$S$91,$B$64)*INDEX('Вводные'!$AG$88:$AG$91,$B$64)*(1+'Вводные'!$K$74)^MAX(0,MIN((12*(YEAR(DY$3)-YEAR($B$67))+MONTH(DY$3)-MONTH($B$67)),(12*(YEAR($B$66)-YEAR($B$67))+MONTH($B$66)-MONTH($B$67))))*(1+'Вводные'!$K$75)^MAX(0,(12*(YEAR(DY$3)-YEAR($B$66))+MONTH(DY$3)-MONTH($B$66))))</x:f>
      </x:c>
      <x:c r="DZ79" s="148" t="n">
        <x:f>IF(DZ78=0,0,'Вводные'!$K$71*'Вводные'!$H$5*INDEX('Вводные'!$S$88:$S$91,$B$64)*INDEX('Вводные'!$AG$88:$AG$91,$B$64)*(1+'Вводные'!$K$74)^MAX(0,MIN((12*(YEAR(DZ$3)-YEAR($B$67))+MONTH(DZ$3)-MONTH($B$67)),(12*(YEAR($B$66)-YEAR($B$67))+MONTH($B$66)-MONTH($B$67))))*(1+'Вводные'!$K$75)^MAX(0,(12*(YEAR(DZ$3)-YEAR($B$66))+MONTH(DZ$3)-MONTH($B$66))))</x:f>
      </x:c>
      <x:c r="EA79" s="148" t="n">
        <x:f>IF(EA78=0,0,'Вводные'!$K$71*'Вводные'!$H$5*INDEX('Вводные'!$S$88:$S$91,$B$64)*INDEX('Вводные'!$AG$88:$AG$91,$B$64)*(1+'Вводные'!$K$74)^MAX(0,MIN((12*(YEAR(EA$3)-YEAR($B$67))+MONTH(EA$3)-MONTH($B$67)),(12*(YEAR($B$66)-YEAR($B$67))+MONTH($B$66)-MONTH($B$67))))*(1+'Вводные'!$K$75)^MAX(0,(12*(YEAR(EA$3)-YEAR($B$66))+MONTH(EA$3)-MONTH($B$66))))</x:f>
      </x:c>
      <x:c r="EB79" s="148" t="n">
        <x:f>IF(EB78=0,0,'Вводные'!$K$71*'Вводные'!$H$5*INDEX('Вводные'!$S$88:$S$91,$B$64)*INDEX('Вводные'!$AG$88:$AG$91,$B$64)*(1+'Вводные'!$K$74)^MAX(0,MIN((12*(YEAR(EB$3)-YEAR($B$67))+MONTH(EB$3)-MONTH($B$67)),(12*(YEAR($B$66)-YEAR($B$67))+MONTH($B$66)-MONTH($B$67))))*(1+'Вводные'!$K$75)^MAX(0,(12*(YEAR(EB$3)-YEAR($B$66))+MONTH(EB$3)-MONTH($B$66))))</x:f>
      </x:c>
      <x:c r="EC79" s="148" t="n">
        <x:f>IF(EC78=0,0,'Вводные'!$K$71*'Вводные'!$H$5*INDEX('Вводные'!$S$88:$S$91,$B$64)*INDEX('Вводные'!$AG$88:$AG$91,$B$64)*(1+'Вводные'!$K$74)^MAX(0,MIN((12*(YEAR(EC$3)-YEAR($B$67))+MONTH(EC$3)-MONTH($B$67)),(12*(YEAR($B$66)-YEAR($B$67))+MONTH($B$66)-MONTH($B$67))))*(1+'Вводные'!$K$75)^MAX(0,(12*(YEAR(EC$3)-YEAR($B$66))+MONTH(EC$3)-MONTH($B$66))))</x:f>
      </x:c>
      <x:c r="ED79" s="148" t="n">
        <x:f>IF(ED78=0,0,'Вводные'!$K$71*'Вводные'!$H$5*INDEX('Вводные'!$S$88:$S$91,$B$64)*INDEX('Вводные'!$AG$88:$AG$91,$B$64)*(1+'Вводные'!$K$74)^MAX(0,MIN((12*(YEAR(ED$3)-YEAR($B$67))+MONTH(ED$3)-MONTH($B$67)),(12*(YEAR($B$66)-YEAR($B$67))+MONTH($B$66)-MONTH($B$67))))*(1+'Вводные'!$K$75)^MAX(0,(12*(YEAR(ED$3)-YEAR($B$66))+MONTH(ED$3)-MONTH($B$66))))</x:f>
      </x:c>
      <x:c r="EE79" s="148" t="n">
        <x:f>IF(EE78=0,0,'Вводные'!$K$71*'Вводные'!$H$5*INDEX('Вводные'!$S$88:$S$91,$B$64)*INDEX('Вводные'!$AG$88:$AG$91,$B$64)*(1+'Вводные'!$K$74)^MAX(0,MIN((12*(YEAR(EE$3)-YEAR($B$67))+MONTH(EE$3)-MONTH($B$67)),(12*(YEAR($B$66)-YEAR($B$67))+MONTH($B$66)-MONTH($B$67))))*(1+'Вводные'!$K$75)^MAX(0,(12*(YEAR(EE$3)-YEAR($B$66))+MONTH(EE$3)-MONTH($B$66))))</x:f>
      </x:c>
      <x:c r="EF79" s="148" t="n">
        <x:f>IF(EF78=0,0,'Вводные'!$K$71*'Вводные'!$H$5*INDEX('Вводные'!$S$88:$S$91,$B$64)*INDEX('Вводные'!$AG$88:$AG$91,$B$64)*(1+'Вводные'!$K$74)^MAX(0,MIN((12*(YEAR(EF$3)-YEAR($B$67))+MONTH(EF$3)-MONTH($B$67)),(12*(YEAR($B$66)-YEAR($B$67))+MONTH($B$66)-MONTH($B$67))))*(1+'Вводные'!$K$75)^MAX(0,(12*(YEAR(EF$3)-YEAR($B$66))+MONTH(EF$3)-MONTH($B$66))))</x:f>
      </x:c>
      <x:c r="EG79" s="148" t="n">
        <x:f>IF(EG78=0,0,'Вводные'!$K$71*'Вводные'!$H$5*INDEX('Вводные'!$S$88:$S$91,$B$64)*INDEX('Вводные'!$AG$88:$AG$91,$B$64)*(1+'Вводные'!$K$74)^MAX(0,MIN((12*(YEAR(EG$3)-YEAR($B$67))+MONTH(EG$3)-MONTH($B$67)),(12*(YEAR($B$66)-YEAR($B$67))+MONTH($B$66)-MONTH($B$67))))*(1+'Вводные'!$K$75)^MAX(0,(12*(YEAR(EG$3)-YEAR($B$66))+MONTH(EG$3)-MONTH($B$66))))</x:f>
      </x:c>
      <x:c r="EH79" s="148" t="n">
        <x:f>IF(EH78=0,0,'Вводные'!$K$71*'Вводные'!$H$5*INDEX('Вводные'!$S$88:$S$91,$B$64)*INDEX('Вводные'!$AG$88:$AG$91,$B$64)*(1+'Вводные'!$K$74)^MAX(0,MIN((12*(YEAR(EH$3)-YEAR($B$67))+MONTH(EH$3)-MONTH($B$67)),(12*(YEAR($B$66)-YEAR($B$67))+MONTH($B$66)-MONTH($B$67))))*(1+'Вводные'!$K$75)^MAX(0,(12*(YEAR(EH$3)-YEAR($B$66))+MONTH(EH$3)-MONTH($B$66))))</x:f>
      </x:c>
      <x:c r="EI79" s="148" t="n">
        <x:f>IF(EI78=0,0,'Вводные'!$K$71*'Вводные'!$H$5*INDEX('Вводные'!$S$88:$S$91,$B$64)*INDEX('Вводные'!$AG$88:$AG$91,$B$64)*(1+'Вводные'!$K$74)^MAX(0,MIN((12*(YEAR(EI$3)-YEAR($B$67))+MONTH(EI$3)-MONTH($B$67)),(12*(YEAR($B$66)-YEAR($B$67))+MONTH($B$66)-MONTH($B$67))))*(1+'Вводные'!$K$75)^MAX(0,(12*(YEAR(EI$3)-YEAR($B$66))+MONTH(EI$3)-MONTH($B$66))))</x:f>
      </x:c>
      <x:c r="EJ79" s="148" t="n">
        <x:f>IF(EJ78=0,0,'Вводные'!$K$71*'Вводные'!$H$5*INDEX('Вводные'!$S$88:$S$91,$B$64)*INDEX('Вводные'!$AG$88:$AG$91,$B$64)*(1+'Вводные'!$K$74)^MAX(0,MIN((12*(YEAR(EJ$3)-YEAR($B$67))+MONTH(EJ$3)-MONTH($B$67)),(12*(YEAR($B$66)-YEAR($B$67))+MONTH($B$66)-MONTH($B$67))))*(1+'Вводные'!$K$75)^MAX(0,(12*(YEAR(EJ$3)-YEAR($B$66))+MONTH(EJ$3)-MONTH($B$66))))</x:f>
      </x:c>
      <x:c r="EK79" s="148" t="n">
        <x:f>IF(EK78=0,0,'Вводные'!$K$71*'Вводные'!$H$5*INDEX('Вводные'!$S$88:$S$91,$B$64)*INDEX('Вводные'!$AG$88:$AG$91,$B$64)*(1+'Вводные'!$K$74)^MAX(0,MIN((12*(YEAR(EK$3)-YEAR($B$67))+MONTH(EK$3)-MONTH($B$67)),(12*(YEAR($B$66)-YEAR($B$67))+MONTH($B$66)-MONTH($B$67))))*(1+'Вводные'!$K$75)^MAX(0,(12*(YEAR(EK$3)-YEAR($B$66))+MONTH(EK$3)-MONTH($B$66))))</x:f>
      </x:c>
      <x:c r="EL79" s="148" t="n">
        <x:f>IF(EL78=0,0,'Вводные'!$K$71*'Вводные'!$H$5*INDEX('Вводные'!$S$88:$S$91,$B$64)*INDEX('Вводные'!$AG$88:$AG$91,$B$64)*(1+'Вводные'!$K$74)^MAX(0,MIN((12*(YEAR(EL$3)-YEAR($B$67))+MONTH(EL$3)-MONTH($B$67)),(12*(YEAR($B$66)-YEAR($B$67))+MONTH($B$66)-MONTH($B$67))))*(1+'Вводные'!$K$75)^MAX(0,(12*(YEAR(EL$3)-YEAR($B$66))+MONTH(EL$3)-MONTH($B$66))))</x:f>
      </x:c>
      <x:c r="EM79" s="148" t="n">
        <x:f>IF(EM78=0,0,'Вводные'!$K$71*'Вводные'!$H$5*INDEX('Вводные'!$S$88:$S$91,$B$64)*INDEX('Вводные'!$AG$88:$AG$91,$B$64)*(1+'Вводные'!$K$74)^MAX(0,MIN((12*(YEAR(EM$3)-YEAR($B$67))+MONTH(EM$3)-MONTH($B$67)),(12*(YEAR($B$66)-YEAR($B$67))+MONTH($B$66)-MONTH($B$67))))*(1+'Вводные'!$K$75)^MAX(0,(12*(YEAR(EM$3)-YEAR($B$66))+MONTH(EM$3)-MONTH($B$66))))</x:f>
      </x:c>
      <x:c r="EN79" s="148" t="n">
        <x:f>IF(EN78=0,0,'Вводные'!$K$71*'Вводные'!$H$5*INDEX('Вводные'!$S$88:$S$91,$B$64)*INDEX('Вводные'!$AG$88:$AG$91,$B$64)*(1+'Вводные'!$K$74)^MAX(0,MIN((12*(YEAR(EN$3)-YEAR($B$67))+MONTH(EN$3)-MONTH($B$67)),(12*(YEAR($B$66)-YEAR($B$67))+MONTH($B$66)-MONTH($B$67))))*(1+'Вводные'!$K$75)^MAX(0,(12*(YEAR(EN$3)-YEAR($B$66))+MONTH(EN$3)-MONTH($B$66))))</x:f>
      </x:c>
      <x:c r="EO79" s="148" t="n">
        <x:f>IF(EO78=0,0,'Вводные'!$K$71*'Вводные'!$H$5*INDEX('Вводные'!$S$88:$S$91,$B$64)*INDEX('Вводные'!$AG$88:$AG$91,$B$64)*(1+'Вводные'!$K$74)^MAX(0,MIN((12*(YEAR(EO$3)-YEAR($B$67))+MONTH(EO$3)-MONTH($B$67)),(12*(YEAR($B$66)-YEAR($B$67))+MONTH($B$66)-MONTH($B$67))))*(1+'Вводные'!$K$75)^MAX(0,(12*(YEAR(EO$3)-YEAR($B$66))+MONTH(EO$3)-MONTH($B$66))))</x:f>
      </x:c>
      <x:c r="EP79" s="148" t="n">
        <x:f>IF(EP78=0,0,'Вводные'!$K$71*'Вводные'!$H$5*INDEX('Вводные'!$S$88:$S$91,$B$64)*INDEX('Вводные'!$AG$88:$AG$91,$B$64)*(1+'Вводные'!$K$74)^MAX(0,MIN((12*(YEAR(EP$3)-YEAR($B$67))+MONTH(EP$3)-MONTH($B$67)),(12*(YEAR($B$66)-YEAR($B$67))+MONTH($B$66)-MONTH($B$67))))*(1+'Вводные'!$K$75)^MAX(0,(12*(YEAR(EP$3)-YEAR($B$66))+MONTH(EP$3)-MONTH($B$66))))</x:f>
      </x:c>
      <x:c r="EQ79" s="148" t="n">
        <x:f>IF(EQ78=0,0,'Вводные'!$K$71*'Вводные'!$H$5*INDEX('Вводные'!$S$88:$S$91,$B$64)*INDEX('Вводные'!$AG$88:$AG$91,$B$64)*(1+'Вводные'!$K$74)^MAX(0,MIN((12*(YEAR(EQ$3)-YEAR($B$67))+MONTH(EQ$3)-MONTH($B$67)),(12*(YEAR($B$66)-YEAR($B$67))+MONTH($B$66)-MONTH($B$67))))*(1+'Вводные'!$K$75)^MAX(0,(12*(YEAR(EQ$3)-YEAR($B$66))+MONTH(EQ$3)-MONTH($B$66))))</x:f>
      </x:c>
      <x:c r="ER79" s="148" t="n">
        <x:f>IF(ER78=0,0,'Вводные'!$K$71*'Вводные'!$H$5*INDEX('Вводные'!$S$88:$S$91,$B$64)*INDEX('Вводные'!$AG$88:$AG$91,$B$64)*(1+'Вводные'!$K$74)^MAX(0,MIN((12*(YEAR(ER$3)-YEAR($B$67))+MONTH(ER$3)-MONTH($B$67)),(12*(YEAR($B$66)-YEAR($B$67))+MONTH($B$66)-MONTH($B$67))))*(1+'Вводные'!$K$75)^MAX(0,(12*(YEAR(ER$3)-YEAR($B$66))+MONTH(ER$3)-MONTH($B$66))))</x:f>
      </x:c>
      <x:c r="ES79" s="148" t="n">
        <x:f>IF(ES78=0,0,'Вводные'!$K$71*'Вводные'!$H$5*INDEX('Вводные'!$S$88:$S$91,$B$64)*INDEX('Вводные'!$AG$88:$AG$91,$B$64)*(1+'Вводные'!$K$74)^MAX(0,MIN((12*(YEAR(ES$3)-YEAR($B$67))+MONTH(ES$3)-MONTH($B$67)),(12*(YEAR($B$66)-YEAR($B$67))+MONTH($B$66)-MONTH($B$67))))*(1+'Вводные'!$K$75)^MAX(0,(12*(YEAR(ES$3)-YEAR($B$66))+MONTH(ES$3)-MONTH($B$66))))</x:f>
      </x:c>
      <x:c r="ET79" s="148" t="n">
        <x:f>IF(ET78=0,0,'Вводные'!$K$71*'Вводные'!$H$5*INDEX('Вводные'!$S$88:$S$91,$B$64)*INDEX('Вводные'!$AG$88:$AG$91,$B$64)*(1+'Вводные'!$K$74)^MAX(0,MIN((12*(YEAR(ET$3)-YEAR($B$67))+MONTH(ET$3)-MONTH($B$67)),(12*(YEAR($B$66)-YEAR($B$67))+MONTH($B$66)-MONTH($B$67))))*(1+'Вводные'!$K$75)^MAX(0,(12*(YEAR(ET$3)-YEAR($B$66))+MONTH(ET$3)-MONTH($B$66))))</x:f>
      </x:c>
      <x:c r="EU79" s="148" t="n">
        <x:f>IF(EU78=0,0,'Вводные'!$K$71*'Вводные'!$H$5*INDEX('Вводные'!$S$88:$S$91,$B$64)*INDEX('Вводные'!$AG$88:$AG$91,$B$64)*(1+'Вводные'!$K$74)^MAX(0,MIN((12*(YEAR(EU$3)-YEAR($B$67))+MONTH(EU$3)-MONTH($B$67)),(12*(YEAR($B$66)-YEAR($B$67))+MONTH($B$66)-MONTH($B$67))))*(1+'Вводные'!$K$75)^MAX(0,(12*(YEAR(EU$3)-YEAR($B$66))+MONTH(EU$3)-MONTH($B$66))))</x:f>
      </x:c>
      <x:c r="EV79" s="148" t="n">
        <x:f>IF(EV78=0,0,'Вводные'!$K$71*'Вводные'!$H$5*INDEX('Вводные'!$S$88:$S$91,$B$64)*INDEX('Вводные'!$AG$88:$AG$91,$B$64)*(1+'Вводные'!$K$74)^MAX(0,MIN((12*(YEAR(EV$3)-YEAR($B$67))+MONTH(EV$3)-MONTH($B$67)),(12*(YEAR($B$66)-YEAR($B$67))+MONTH($B$66)-MONTH($B$67))))*(1+'Вводные'!$K$75)^MAX(0,(12*(YEAR(EV$3)-YEAR($B$66))+MONTH(EV$3)-MONTH($B$66))))</x:f>
      </x:c>
      <x:c r="EW79" s="148" t="n">
        <x:f>IF(EW78=0,0,'Вводные'!$K$71*'Вводные'!$H$5*INDEX('Вводные'!$S$88:$S$91,$B$64)*INDEX('Вводные'!$AG$88:$AG$91,$B$64)*(1+'Вводные'!$K$74)^MAX(0,MIN((12*(YEAR(EW$3)-YEAR($B$67))+MONTH(EW$3)-MONTH($B$67)),(12*(YEAR($B$66)-YEAR($B$67))+MONTH($B$66)-MONTH($B$67))))*(1+'Вводные'!$K$75)^MAX(0,(12*(YEAR(EW$3)-YEAR($B$66))+MONTH(EW$3)-MONTH($B$66))))</x:f>
      </x:c>
      <x:c r="EX79" s="148" t="n">
        <x:f>IF(EX78=0,0,'Вводные'!$K$71*'Вводные'!$H$5*INDEX('Вводные'!$S$88:$S$91,$B$64)*INDEX('Вводные'!$AG$88:$AG$91,$B$64)*(1+'Вводные'!$K$74)^MAX(0,MIN((12*(YEAR(EX$3)-YEAR($B$67))+MONTH(EX$3)-MONTH($B$67)),(12*(YEAR($B$66)-YEAR($B$67))+MONTH($B$66)-MONTH($B$67))))*(1+'Вводные'!$K$75)^MAX(0,(12*(YEAR(EX$3)-YEAR($B$66))+MONTH(EX$3)-MONTH($B$66))))</x:f>
      </x:c>
      <x:c r="EY79" s="148" t="n">
        <x:f>IF(EY78=0,0,'Вводные'!$K$71*'Вводные'!$H$5*INDEX('Вводные'!$S$88:$S$91,$B$64)*INDEX('Вводные'!$AG$88:$AG$91,$B$64)*(1+'Вводные'!$K$74)^MAX(0,MIN((12*(YEAR(EY$3)-YEAR($B$67))+MONTH(EY$3)-MONTH($B$67)),(12*(YEAR($B$66)-YEAR($B$67))+MONTH($B$66)-MONTH($B$67))))*(1+'Вводные'!$K$75)^MAX(0,(12*(YEAR(EY$3)-YEAR($B$66))+MONTH(EY$3)-MONTH($B$66))))</x:f>
      </x:c>
      <x:c r="EZ79" s="148" t="n">
        <x:f>IF(EZ78=0,0,'Вводные'!$K$71*'Вводные'!$H$5*INDEX('Вводные'!$S$88:$S$91,$B$64)*INDEX('Вводные'!$AG$88:$AG$91,$B$64)*(1+'Вводные'!$K$74)^MAX(0,MIN((12*(YEAR(EZ$3)-YEAR($B$67))+MONTH(EZ$3)-MONTH($B$67)),(12*(YEAR($B$66)-YEAR($B$67))+MONTH($B$66)-MONTH($B$67))))*(1+'Вводные'!$K$75)^MAX(0,(12*(YEAR(EZ$3)-YEAR($B$66))+MONTH(EZ$3)-MONTH($B$66))))</x:f>
      </x:c>
      <x:c r="FA79" s="148" t="n">
        <x:f>IF(FA78=0,0,'Вводные'!$K$71*'Вводные'!$H$5*INDEX('Вводные'!$S$88:$S$91,$B$64)*INDEX('Вводные'!$AG$88:$AG$91,$B$64)*(1+'Вводные'!$K$74)^MAX(0,MIN((12*(YEAR(FA$3)-YEAR($B$67))+MONTH(FA$3)-MONTH($B$67)),(12*(YEAR($B$66)-YEAR($B$67))+MONTH($B$66)-MONTH($B$67))))*(1+'Вводные'!$K$75)^MAX(0,(12*(YEAR(FA$3)-YEAR($B$66))+MONTH(FA$3)-MONTH($B$66))))</x:f>
      </x:c>
      <x:c r="FB79" s="148" t="n">
        <x:f>IF(FB78=0,0,'Вводные'!$K$71*'Вводные'!$H$5*INDEX('Вводные'!$S$88:$S$91,$B$64)*INDEX('Вводные'!$AG$88:$AG$91,$B$64)*(1+'Вводные'!$K$74)^MAX(0,MIN((12*(YEAR(FB$3)-YEAR($B$67))+MONTH(FB$3)-MONTH($B$67)),(12*(YEAR($B$66)-YEAR($B$67))+MONTH($B$66)-MONTH($B$67))))*(1+'Вводные'!$K$75)^MAX(0,(12*(YEAR(FB$3)-YEAR($B$66))+MONTH(FB$3)-MONTH($B$66))))</x:f>
      </x:c>
      <x:c r="FC79" s="148" t="n">
        <x:f>IF(FC78=0,0,'Вводные'!$K$71*'Вводные'!$H$5*INDEX('Вводные'!$S$88:$S$91,$B$64)*INDEX('Вводные'!$AG$88:$AG$91,$B$64)*(1+'Вводные'!$K$74)^MAX(0,MIN((12*(YEAR(FC$3)-YEAR($B$67))+MONTH(FC$3)-MONTH($B$67)),(12*(YEAR($B$66)-YEAR($B$67))+MONTH($B$66)-MONTH($B$67))))*(1+'Вводные'!$K$75)^MAX(0,(12*(YEAR(FC$3)-YEAR($B$66))+MONTH(FC$3)-MONTH($B$66))))</x:f>
      </x:c>
      <x:c r="FD79" s="148" t="n">
        <x:f>IF(FD78=0,0,'Вводные'!$K$71*'Вводные'!$H$5*INDEX('Вводные'!$S$88:$S$91,$B$64)*INDEX('Вводные'!$AG$88:$AG$91,$B$64)*(1+'Вводные'!$K$74)^MAX(0,MIN((12*(YEAR(FD$3)-YEAR($B$67))+MONTH(FD$3)-MONTH($B$67)),(12*(YEAR($B$66)-YEAR($B$67))+MONTH($B$66)-MONTH($B$67))))*(1+'Вводные'!$K$75)^MAX(0,(12*(YEAR(FD$3)-YEAR($B$66))+MONTH(FD$3)-MONTH($B$66))))</x:f>
      </x:c>
      <x:c r="FE79" s="148" t="n">
        <x:f>IF(FE78=0,0,'Вводные'!$K$71*'Вводные'!$H$5*INDEX('Вводные'!$S$88:$S$91,$B$64)*INDEX('Вводные'!$AG$88:$AG$91,$B$64)*(1+'Вводные'!$K$74)^MAX(0,MIN((12*(YEAR(FE$3)-YEAR($B$67))+MONTH(FE$3)-MONTH($B$67)),(12*(YEAR($B$66)-YEAR($B$67))+MONTH($B$66)-MONTH($B$67))))*(1+'Вводные'!$K$75)^MAX(0,(12*(YEAR(FE$3)-YEAR($B$66))+MONTH(FE$3)-MONTH($B$66))))</x:f>
      </x:c>
      <x:c r="FF79" s="148" t="n">
        <x:f>IF(FF78=0,0,'Вводные'!$K$71*'Вводные'!$H$5*INDEX('Вводные'!$S$88:$S$91,$B$64)*INDEX('Вводные'!$AG$88:$AG$91,$B$64)*(1+'Вводные'!$K$74)^MAX(0,MIN((12*(YEAR(FF$3)-YEAR($B$67))+MONTH(FF$3)-MONTH($B$67)),(12*(YEAR($B$66)-YEAR($B$67))+MONTH($B$66)-MONTH($B$67))))*(1+'Вводные'!$K$75)^MAX(0,(12*(YEAR(FF$3)-YEAR($B$66))+MONTH(FF$3)-MONTH($B$66))))</x:f>
      </x:c>
      <x:c r="FG79" s="148" t="n">
        <x:f>IF(FG78=0,0,'Вводные'!$K$71*'Вводные'!$H$5*INDEX('Вводные'!$S$88:$S$91,$B$64)*INDEX('Вводные'!$AG$88:$AG$91,$B$64)*(1+'Вводные'!$K$74)^MAX(0,MIN((12*(YEAR(FG$3)-YEAR($B$67))+MONTH(FG$3)-MONTH($B$67)),(12*(YEAR($B$66)-YEAR($B$67))+MONTH($B$66)-MONTH($B$67))))*(1+'Вводные'!$K$75)^MAX(0,(12*(YEAR(FG$3)-YEAR($B$66))+MONTH(FG$3)-MONTH($B$66))))</x:f>
      </x:c>
      <x:c r="FH79" s="148" t="n">
        <x:f>IF(FH78=0,0,'Вводные'!$K$71*'Вводные'!$H$5*INDEX('Вводные'!$S$88:$S$91,$B$64)*INDEX('Вводные'!$AG$88:$AG$91,$B$64)*(1+'Вводные'!$K$74)^MAX(0,MIN((12*(YEAR(FH$3)-YEAR($B$67))+MONTH(FH$3)-MONTH($B$67)),(12*(YEAR($B$66)-YEAR($B$67))+MONTH($B$66)-MONTH($B$67))))*(1+'Вводные'!$K$75)^MAX(0,(12*(YEAR(FH$3)-YEAR($B$66))+MONTH(FH$3)-MONTH($B$66))))</x:f>
      </x:c>
      <x:c r="FI79" s="148" t="n">
        <x:f>IF(FI78=0,0,'Вводные'!$K$71*'Вводные'!$H$5*INDEX('Вводные'!$S$88:$S$91,$B$64)*INDEX('Вводные'!$AG$88:$AG$91,$B$64)*(1+'Вводные'!$K$74)^MAX(0,MIN((12*(YEAR(FI$3)-YEAR($B$67))+MONTH(FI$3)-MONTH($B$67)),(12*(YEAR($B$66)-YEAR($B$67))+MONTH($B$66)-MONTH($B$67))))*(1+'Вводные'!$K$75)^MAX(0,(12*(YEAR(FI$3)-YEAR($B$66))+MONTH(FI$3)-MONTH($B$66))))</x:f>
      </x:c>
      <x:c r="FJ79" s="148" t="n">
        <x:f>IF(FJ78=0,0,'Вводные'!$K$71*'Вводные'!$H$5*INDEX('Вводные'!$S$88:$S$91,$B$64)*INDEX('Вводные'!$AG$88:$AG$91,$B$64)*(1+'Вводные'!$K$74)^MAX(0,MIN((12*(YEAR(FJ$3)-YEAR($B$67))+MONTH(FJ$3)-MONTH($B$67)),(12*(YEAR($B$66)-YEAR($B$67))+MONTH($B$66)-MONTH($B$67))))*(1+'Вводные'!$K$75)^MAX(0,(12*(YEAR(FJ$3)-YEAR($B$66))+MONTH(FJ$3)-MONTH($B$66))))</x:f>
      </x:c>
      <x:c r="FK79" s="148" t="n">
        <x:f>IF(FK78=0,0,'Вводные'!$K$71*'Вводные'!$H$5*INDEX('Вводные'!$S$88:$S$91,$B$64)*INDEX('Вводные'!$AG$88:$AG$91,$B$64)*(1+'Вводные'!$K$74)^MAX(0,MIN((12*(YEAR(FK$3)-YEAR($B$67))+MONTH(FK$3)-MONTH($B$67)),(12*(YEAR($B$66)-YEAR($B$67))+MONTH($B$66)-MONTH($B$67))))*(1+'Вводные'!$K$75)^MAX(0,(12*(YEAR(FK$3)-YEAR($B$66))+MONTH(FK$3)-MONTH($B$66))))</x:f>
      </x:c>
      <x:c r="FL79" s="148" t="n">
        <x:f>IF(FL78=0,0,'Вводные'!$K$71*'Вводные'!$H$5*INDEX('Вводные'!$S$88:$S$91,$B$64)*INDEX('Вводные'!$AG$88:$AG$91,$B$64)*(1+'Вводные'!$K$74)^MAX(0,MIN((12*(YEAR(FL$3)-YEAR($B$67))+MONTH(FL$3)-MONTH($B$67)),(12*(YEAR($B$66)-YEAR($B$67))+MONTH($B$66)-MONTH($B$67))))*(1+'Вводные'!$K$75)^MAX(0,(12*(YEAR(FL$3)-YEAR($B$66))+MONTH(FL$3)-MONTH($B$66))))</x:f>
      </x:c>
      <x:c r="FM79" s="148" t="n">
        <x:f>IF(FM78=0,0,'Вводные'!$K$71*'Вводные'!$H$5*INDEX('Вводные'!$S$88:$S$91,$B$64)*INDEX('Вводные'!$AG$88:$AG$91,$B$64)*(1+'Вводные'!$K$74)^MAX(0,MIN((12*(YEAR(FM$3)-YEAR($B$67))+MONTH(FM$3)-MONTH($B$67)),(12*(YEAR($B$66)-YEAR($B$67))+MONTH($B$66)-MONTH($B$67))))*(1+'Вводные'!$K$75)^MAX(0,(12*(YEAR(FM$3)-YEAR($B$66))+MONTH(FM$3)-MONTH($B$66))))</x:f>
      </x:c>
      <x:c r="FN79" s="148" t="n">
        <x:f>IF(FN78=0,0,'Вводные'!$K$71*'Вводные'!$H$5*INDEX('Вводные'!$S$88:$S$91,$B$64)*INDEX('Вводные'!$AG$88:$AG$91,$B$64)*(1+'Вводные'!$K$74)^MAX(0,MIN((12*(YEAR(FN$3)-YEAR($B$67))+MONTH(FN$3)-MONTH($B$67)),(12*(YEAR($B$66)-YEAR($B$67))+MONTH($B$66)-MONTH($B$67))))*(1+'Вводные'!$K$75)^MAX(0,(12*(YEAR(FN$3)-YEAR($B$66))+MONTH(FN$3)-MONTH($B$66))))</x:f>
      </x:c>
      <x:c r="FO79" s="148" t="n">
        <x:f>IF(FO78=0,0,'Вводные'!$K$71*'Вводные'!$H$5*INDEX('Вводные'!$S$88:$S$91,$B$64)*INDEX('Вводные'!$AG$88:$AG$91,$B$64)*(1+'Вводные'!$K$74)^MAX(0,MIN((12*(YEAR(FO$3)-YEAR($B$67))+MONTH(FO$3)-MONTH($B$67)),(12*(YEAR($B$66)-YEAR($B$67))+MONTH($B$66)-MONTH($B$67))))*(1+'Вводные'!$K$75)^MAX(0,(12*(YEAR(FO$3)-YEAR($B$66))+MONTH(FO$3)-MONTH($B$66))))</x:f>
      </x:c>
      <x:c r="FP79" s="148" t="n">
        <x:f>IF(FP78=0,0,'Вводные'!$K$71*'Вводные'!$H$5*INDEX('Вводные'!$S$88:$S$91,$B$64)*INDEX('Вводные'!$AG$88:$AG$91,$B$64)*(1+'Вводные'!$K$74)^MAX(0,MIN((12*(YEAR(FP$3)-YEAR($B$67))+MONTH(FP$3)-MONTH($B$67)),(12*(YEAR($B$66)-YEAR($B$67))+MONTH($B$66)-MONTH($B$67))))*(1+'Вводные'!$K$75)^MAX(0,(12*(YEAR(FP$3)-YEAR($B$66))+MONTH(FP$3)-MONTH($B$66))))</x:f>
      </x:c>
      <x:c r="FQ79" s="148" t="n">
        <x:f>IF(FQ78=0,0,'Вводные'!$K$71*'Вводные'!$H$5*INDEX('Вводные'!$S$88:$S$91,$B$64)*INDEX('Вводные'!$AG$88:$AG$91,$B$64)*(1+'Вводные'!$K$74)^MAX(0,MIN((12*(YEAR(FQ$3)-YEAR($B$67))+MONTH(FQ$3)-MONTH($B$67)),(12*(YEAR($B$66)-YEAR($B$67))+MONTH($B$66)-MONTH($B$67))))*(1+'Вводные'!$K$75)^MAX(0,(12*(YEAR(FQ$3)-YEAR($B$66))+MONTH(FQ$3)-MONTH($B$66))))</x:f>
      </x:c>
      <x:c r="FR79" s="148" t="n">
        <x:f>IF(FR78=0,0,'Вводные'!$K$71*'Вводные'!$H$5*INDEX('Вводные'!$S$88:$S$91,$B$64)*INDEX('Вводные'!$AG$88:$AG$91,$B$64)*(1+'Вводные'!$K$74)^MAX(0,MIN((12*(YEAR(FR$3)-YEAR($B$67))+MONTH(FR$3)-MONTH($B$67)),(12*(YEAR($B$66)-YEAR($B$67))+MONTH($B$66)-MONTH($B$67))))*(1+'Вводные'!$K$75)^MAX(0,(12*(YEAR(FR$3)-YEAR($B$66))+MONTH(FR$3)-MONTH($B$66))))</x:f>
      </x:c>
      <x:c r="FS79" s="148" t="n">
        <x:f>IF(FS78=0,0,'Вводные'!$K$71*'Вводные'!$H$5*INDEX('Вводные'!$S$88:$S$91,$B$64)*INDEX('Вводные'!$AG$88:$AG$91,$B$64)*(1+'Вводные'!$K$74)^MAX(0,MIN((12*(YEAR(FS$3)-YEAR($B$67))+MONTH(FS$3)-MONTH($B$67)),(12*(YEAR($B$66)-YEAR($B$67))+MONTH($B$66)-MONTH($B$67))))*(1+'Вводные'!$K$75)^MAX(0,(12*(YEAR(FS$3)-YEAR($B$66))+MONTH(FS$3)-MONTH($B$66))))</x:f>
      </x:c>
      <x:c r="FT79" s="148" t="n">
        <x:f>IF(FT78=0,0,'Вводные'!$K$71*'Вводные'!$H$5*INDEX('Вводные'!$S$88:$S$91,$B$64)*INDEX('Вводные'!$AG$88:$AG$91,$B$64)*(1+'Вводные'!$K$74)^MAX(0,MIN((12*(YEAR(FT$3)-YEAR($B$67))+MONTH(FT$3)-MONTH($B$67)),(12*(YEAR($B$66)-YEAR($B$67))+MONTH($B$66)-MONTH($B$67))))*(1+'Вводные'!$K$75)^MAX(0,(12*(YEAR(FT$3)-YEAR($B$66))+MONTH(FT$3)-MONTH($B$66))))</x:f>
      </x:c>
      <x:c r="FU79" s="148" t="n">
        <x:f>IF(FU78=0,0,'Вводные'!$K$71*'Вводные'!$H$5*INDEX('Вводные'!$S$88:$S$91,$B$64)*INDEX('Вводные'!$AG$88:$AG$91,$B$64)*(1+'Вводные'!$K$74)^MAX(0,MIN((12*(YEAR(FU$3)-YEAR($B$67))+MONTH(FU$3)-MONTH($B$67)),(12*(YEAR($B$66)-YEAR($B$67))+MONTH($B$66)-MONTH($B$67))))*(1+'Вводные'!$K$75)^MAX(0,(12*(YEAR(FU$3)-YEAR($B$66))+MONTH(FU$3)-MONTH($B$66))))</x:f>
      </x:c>
      <x:c r="FV79" s="148" t="n">
        <x:f>IF(FV78=0,0,'Вводные'!$K$71*'Вводные'!$H$5*INDEX('Вводные'!$S$88:$S$91,$B$64)*INDEX('Вводные'!$AG$88:$AG$91,$B$64)*(1+'Вводные'!$K$74)^MAX(0,MIN((12*(YEAR(FV$3)-YEAR($B$67))+MONTH(FV$3)-MONTH($B$67)),(12*(YEAR($B$66)-YEAR($B$67))+MONTH($B$66)-MONTH($B$67))))*(1+'Вводные'!$K$75)^MAX(0,(12*(YEAR(FV$3)-YEAR($B$66))+MONTH(FV$3)-MONTH($B$66))))</x:f>
      </x:c>
      <x:c r="FW79" s="148" t="n">
        <x:f>IF(FW78=0,0,'Вводные'!$K$71*'Вводные'!$H$5*INDEX('Вводные'!$S$88:$S$91,$B$64)*INDEX('Вводные'!$AG$88:$AG$91,$B$64)*(1+'Вводные'!$K$74)^MAX(0,MIN((12*(YEAR(FW$3)-YEAR($B$67))+MONTH(FW$3)-MONTH($B$67)),(12*(YEAR($B$66)-YEAR($B$67))+MONTH($B$66)-MONTH($B$67))))*(1+'Вводные'!$K$75)^MAX(0,(12*(YEAR(FW$3)-YEAR($B$66))+MONTH(FW$3)-MONTH($B$66))))</x:f>
      </x:c>
      <x:c r="FX79" s="148" t="n">
        <x:f>IF(FX78=0,0,'Вводные'!$K$71*'Вводные'!$H$5*INDEX('Вводные'!$S$88:$S$91,$B$64)*INDEX('Вводные'!$AG$88:$AG$91,$B$64)*(1+'Вводные'!$K$74)^MAX(0,MIN((12*(YEAR(FX$3)-YEAR($B$67))+MONTH(FX$3)-MONTH($B$67)),(12*(YEAR($B$66)-YEAR($B$67))+MONTH($B$66)-MONTH($B$67))))*(1+'Вводные'!$K$75)^MAX(0,(12*(YEAR(FX$3)-YEAR($B$66))+MONTH(FX$3)-MONTH($B$66))))</x:f>
      </x:c>
      <x:c r="FY79" s="148" t="n">
        <x:f>IF(FY78=0,0,'Вводные'!$K$71*'Вводные'!$H$5*INDEX('Вводные'!$S$88:$S$91,$B$64)*INDEX('Вводные'!$AG$88:$AG$91,$B$64)*(1+'Вводные'!$K$74)^MAX(0,MIN((12*(YEAR(FY$3)-YEAR($B$67))+MONTH(FY$3)-MONTH($B$67)),(12*(YEAR($B$66)-YEAR($B$67))+MONTH($B$66)-MONTH($B$67))))*(1+'Вводные'!$K$75)^MAX(0,(12*(YEAR(FY$3)-YEAR($B$66))+MONTH(FY$3)-MONTH($B$66))))</x:f>
      </x:c>
      <x:c r="FZ79" s="148" t="n">
        <x:f>IF(FZ78=0,0,'Вводные'!$K$71*'Вводные'!$H$5*INDEX('Вводные'!$S$88:$S$91,$B$64)*INDEX('Вводные'!$AG$88:$AG$91,$B$64)*(1+'Вводные'!$K$74)^MAX(0,MIN((12*(YEAR(FZ$3)-YEAR($B$67))+MONTH(FZ$3)-MONTH($B$67)),(12*(YEAR($B$66)-YEAR($B$67))+MONTH($B$66)-MONTH($B$67))))*(1+'Вводные'!$K$75)^MAX(0,(12*(YEAR(FZ$3)-YEAR($B$66))+MONTH(FZ$3)-MONTH($B$66))))</x:f>
      </x:c>
      <x:c r="GA79" s="148" t="n">
        <x:f>IF(GA78=0,0,'Вводные'!$K$71*'Вводные'!$H$5*INDEX('Вводные'!$S$88:$S$91,$B$64)*INDEX('Вводные'!$AG$88:$AG$91,$B$64)*(1+'Вводные'!$K$74)^MAX(0,MIN((12*(YEAR(GA$3)-YEAR($B$67))+MONTH(GA$3)-MONTH($B$67)),(12*(YEAR($B$66)-YEAR($B$67))+MONTH($B$66)-MONTH($B$67))))*(1+'Вводные'!$K$75)^MAX(0,(12*(YEAR(GA$3)-YEAR($B$66))+MONTH(GA$3)-MONTH($B$66))))</x:f>
      </x:c>
    </x:row>
    <x:row r="80">
      <x:c r="A80" t="str">
        <x:v>Продажи по договорам</x:v>
      </x:c>
      <x:c r="B80" s="107" t="n">
        <x:f>SUM(D80:GA80)</x:f>
      </x:c>
      <x:c r="C80" t="str">
        <x:v>млн ₽</x:v>
      </x:c>
      <x:c r="D80" s="107" t="n">
        <x:f>D78*D79</x:f>
      </x:c>
      <x:c r="E80" s="107" t="n">
        <x:f>E78*E79</x:f>
      </x:c>
      <x:c r="F80" s="107" t="n">
        <x:f>F78*F79</x:f>
      </x:c>
      <x:c r="G80" s="107" t="n">
        <x:f>G78*G79</x:f>
      </x:c>
      <x:c r="H80" s="107" t="n">
        <x:f>H78*H79</x:f>
      </x:c>
      <x:c r="I80" s="107" t="n">
        <x:f>I78*I79</x:f>
      </x:c>
      <x:c r="J80" s="107" t="n">
        <x:f>J78*J79</x:f>
      </x:c>
      <x:c r="K80" s="107" t="n">
        <x:f>K78*K79</x:f>
      </x:c>
      <x:c r="L80" s="107" t="n">
        <x:f>L78*L79</x:f>
      </x:c>
      <x:c r="M80" s="107" t="n">
        <x:f>M78*M79</x:f>
      </x:c>
      <x:c r="N80" s="107" t="n">
        <x:f>N78*N79</x:f>
      </x:c>
      <x:c r="O80" s="107" t="n">
        <x:f>O78*O79</x:f>
      </x:c>
      <x:c r="P80" s="107" t="n">
        <x:f>P78*P79</x:f>
      </x:c>
      <x:c r="Q80" s="107" t="n">
        <x:f>Q78*Q79</x:f>
      </x:c>
      <x:c r="R80" s="107" t="n">
        <x:f>R78*R79</x:f>
      </x:c>
      <x:c r="S80" s="107" t="n">
        <x:f>S78*S79</x:f>
      </x:c>
      <x:c r="T80" s="107" t="n">
        <x:f>T78*T79</x:f>
      </x:c>
      <x:c r="U80" s="107" t="n">
        <x:f>U78*U79</x:f>
      </x:c>
      <x:c r="V80" s="107" t="n">
        <x:f>V78*V79</x:f>
      </x:c>
      <x:c r="W80" s="107" t="n">
        <x:f>W78*W79</x:f>
      </x:c>
      <x:c r="X80" s="107" t="n">
        <x:f>X78*X79</x:f>
      </x:c>
      <x:c r="Y80" s="107" t="n">
        <x:f>Y78*Y79</x:f>
      </x:c>
      <x:c r="Z80" s="107" t="n">
        <x:f>Z78*Z79</x:f>
      </x:c>
      <x:c r="AA80" s="107" t="n">
        <x:f>AA78*AA79</x:f>
      </x:c>
      <x:c r="AB80" s="107" t="n">
        <x:f>AB78*AB79</x:f>
      </x:c>
      <x:c r="AC80" s="107" t="n">
        <x:f>AC78*AC79</x:f>
      </x:c>
      <x:c r="AD80" s="107" t="n">
        <x:f>AD78*AD79</x:f>
      </x:c>
      <x:c r="AE80" s="107" t="n">
        <x:f>AE78*AE79</x:f>
      </x:c>
      <x:c r="AF80" s="107" t="n">
        <x:f>AF78*AF79</x:f>
      </x:c>
      <x:c r="AG80" s="107" t="n">
        <x:f>AG78*AG79</x:f>
      </x:c>
      <x:c r="AH80" s="107" t="n">
        <x:f>AH78*AH79</x:f>
      </x:c>
      <x:c r="AI80" s="107" t="n">
        <x:f>AI78*AI79</x:f>
      </x:c>
      <x:c r="AJ80" s="107" t="n">
        <x:f>AJ78*AJ79</x:f>
      </x:c>
      <x:c r="AK80" s="107" t="n">
        <x:f>AK78*AK79</x:f>
      </x:c>
      <x:c r="AL80" s="107" t="n">
        <x:f>AL78*AL79</x:f>
      </x:c>
      <x:c r="AM80" s="107" t="n">
        <x:f>AM78*AM79</x:f>
      </x:c>
      <x:c r="AN80" s="107" t="n">
        <x:f>AN78*AN79</x:f>
      </x:c>
      <x:c r="AO80" s="107" t="n">
        <x:f>AO78*AO79</x:f>
      </x:c>
      <x:c r="AP80" s="107" t="n">
        <x:f>AP78*AP79</x:f>
      </x:c>
      <x:c r="AQ80" s="107" t="n">
        <x:f>AQ78*AQ79</x:f>
      </x:c>
      <x:c r="AR80" s="107" t="n">
        <x:f>AR78*AR79</x:f>
      </x:c>
      <x:c r="AS80" s="107" t="n">
        <x:f>AS78*AS79</x:f>
      </x:c>
      <x:c r="AT80" s="107" t="n">
        <x:f>AT78*AT79</x:f>
      </x:c>
      <x:c r="AU80" s="107" t="n">
        <x:f>AU78*AU79</x:f>
      </x:c>
      <x:c r="AV80" s="107" t="n">
        <x:f>AV78*AV79</x:f>
      </x:c>
      <x:c r="AW80" s="107" t="n">
        <x:f>AW78*AW79</x:f>
      </x:c>
      <x:c r="AX80" s="107" t="n">
        <x:f>AX78*AX79</x:f>
      </x:c>
      <x:c r="AY80" s="107" t="n">
        <x:f>AY78*AY79</x:f>
      </x:c>
      <x:c r="AZ80" s="107" t="n">
        <x:f>AZ78*AZ79</x:f>
      </x:c>
      <x:c r="BA80" s="107" t="n">
        <x:f>BA78*BA79</x:f>
      </x:c>
      <x:c r="BB80" s="107" t="n">
        <x:f>BB78*BB79</x:f>
      </x:c>
      <x:c r="BC80" s="107" t="n">
        <x:f>BC78*BC79</x:f>
      </x:c>
      <x:c r="BD80" s="107" t="n">
        <x:f>BD78*BD79</x:f>
      </x:c>
      <x:c r="BE80" s="107" t="n">
        <x:f>BE78*BE79</x:f>
      </x:c>
      <x:c r="BF80" s="107" t="n">
        <x:f>BF78*BF79</x:f>
      </x:c>
      <x:c r="BG80" s="107" t="n">
        <x:f>BG78*BG79</x:f>
      </x:c>
      <x:c r="BH80" s="107" t="n">
        <x:f>BH78*BH79</x:f>
      </x:c>
      <x:c r="BI80" s="107" t="n">
        <x:f>BI78*BI79</x:f>
      </x:c>
      <x:c r="BJ80" s="107" t="n">
        <x:f>BJ78*BJ79</x:f>
      </x:c>
      <x:c r="BK80" s="107" t="n">
        <x:f>BK78*BK79</x:f>
      </x:c>
      <x:c r="BL80" s="107" t="n">
        <x:f>BL78*BL79</x:f>
      </x:c>
      <x:c r="BM80" s="107" t="n">
        <x:f>BM78*BM79</x:f>
      </x:c>
      <x:c r="BN80" s="107" t="n">
        <x:f>BN78*BN79</x:f>
      </x:c>
      <x:c r="BO80" s="107" t="n">
        <x:f>BO78*BO79</x:f>
      </x:c>
      <x:c r="BP80" s="107" t="n">
        <x:f>BP78*BP79</x:f>
      </x:c>
      <x:c r="BQ80" s="107" t="n">
        <x:f>BQ78*BQ79</x:f>
      </x:c>
      <x:c r="BR80" s="107" t="n">
        <x:f>BR78*BR79</x:f>
      </x:c>
      <x:c r="BS80" s="107" t="n">
        <x:f>BS78*BS79</x:f>
      </x:c>
      <x:c r="BT80" s="107" t="n">
        <x:f>BT78*BT79</x:f>
      </x:c>
      <x:c r="BU80" s="107" t="n">
        <x:f>BU78*BU79</x:f>
      </x:c>
      <x:c r="BV80" s="107" t="n">
        <x:f>BV78*BV79</x:f>
      </x:c>
      <x:c r="BW80" s="107" t="n">
        <x:f>BW78*BW79</x:f>
      </x:c>
      <x:c r="BX80" s="107" t="n">
        <x:f>BX78*BX79</x:f>
      </x:c>
      <x:c r="BY80" s="107" t="n">
        <x:f>BY78*BY79</x:f>
      </x:c>
      <x:c r="BZ80" s="107" t="n">
        <x:f>BZ78*BZ79</x:f>
      </x:c>
      <x:c r="CA80" s="107" t="n">
        <x:f>CA78*CA79</x:f>
      </x:c>
      <x:c r="CB80" s="107" t="n">
        <x:f>CB78*CB79</x:f>
      </x:c>
      <x:c r="CC80" s="107" t="n">
        <x:f>CC78*CC79</x:f>
      </x:c>
      <x:c r="CD80" s="107" t="n">
        <x:f>CD78*CD79</x:f>
      </x:c>
      <x:c r="CE80" s="107" t="n">
        <x:f>CE78*CE79</x:f>
      </x:c>
      <x:c r="CF80" s="107" t="n">
        <x:f>CF78*CF79</x:f>
      </x:c>
      <x:c r="CG80" s="107" t="n">
        <x:f>CG78*CG79</x:f>
      </x:c>
      <x:c r="CH80" s="107" t="n">
        <x:f>CH78*CH79</x:f>
      </x:c>
      <x:c r="CI80" s="107" t="n">
        <x:f>CI78*CI79</x:f>
      </x:c>
      <x:c r="CJ80" s="107" t="n">
        <x:f>CJ78*CJ79</x:f>
      </x:c>
      <x:c r="CK80" s="107" t="n">
        <x:f>CK78*CK79</x:f>
      </x:c>
      <x:c r="CL80" s="107" t="n">
        <x:f>CL78*CL79</x:f>
      </x:c>
      <x:c r="CM80" s="107" t="n">
        <x:f>CM78*CM79</x:f>
      </x:c>
      <x:c r="CN80" s="107" t="n">
        <x:f>CN78*CN79</x:f>
      </x:c>
      <x:c r="CO80" s="107" t="n">
        <x:f>CO78*CO79</x:f>
      </x:c>
      <x:c r="CP80" s="107" t="n">
        <x:f>CP78*CP79</x:f>
      </x:c>
      <x:c r="CQ80" s="107" t="n">
        <x:f>CQ78*CQ79</x:f>
      </x:c>
      <x:c r="CR80" s="107" t="n">
        <x:f>CR78*CR79</x:f>
      </x:c>
      <x:c r="CS80" s="107" t="n">
        <x:f>CS78*CS79</x:f>
      </x:c>
      <x:c r="CT80" s="107" t="n">
        <x:f>CT78*CT79</x:f>
      </x:c>
      <x:c r="CU80" s="107" t="n">
        <x:f>CU78*CU79</x:f>
      </x:c>
      <x:c r="CV80" s="107" t="n">
        <x:f>CV78*CV79</x:f>
      </x:c>
      <x:c r="CW80" s="107" t="n">
        <x:f>CW78*CW79</x:f>
      </x:c>
      <x:c r="CX80" s="107" t="n">
        <x:f>CX78*CX79</x:f>
      </x:c>
      <x:c r="CY80" s="107" t="n">
        <x:f>CY78*CY79</x:f>
      </x:c>
      <x:c r="CZ80" s="107" t="n">
        <x:f>CZ78*CZ79</x:f>
      </x:c>
      <x:c r="DA80" s="107" t="n">
        <x:f>DA78*DA79</x:f>
      </x:c>
      <x:c r="DB80" s="107" t="n">
        <x:f>DB78*DB79</x:f>
      </x:c>
      <x:c r="DC80" s="107" t="n">
        <x:f>DC78*DC79</x:f>
      </x:c>
      <x:c r="DD80" s="107" t="n">
        <x:f>DD78*DD79</x:f>
      </x:c>
      <x:c r="DE80" s="107" t="n">
        <x:f>DE78*DE79</x:f>
      </x:c>
      <x:c r="DF80" s="107" t="n">
        <x:f>DF78*DF79</x:f>
      </x:c>
      <x:c r="DG80" s="107" t="n">
        <x:f>DG78*DG79</x:f>
      </x:c>
      <x:c r="DH80" s="107" t="n">
        <x:f>DH78*DH79</x:f>
      </x:c>
      <x:c r="DI80" s="107" t="n">
        <x:f>DI78*DI79</x:f>
      </x:c>
      <x:c r="DJ80" s="107" t="n">
        <x:f>DJ78*DJ79</x:f>
      </x:c>
      <x:c r="DK80" s="107" t="n">
        <x:f>DK78*DK79</x:f>
      </x:c>
      <x:c r="DL80" s="107" t="n">
        <x:f>DL78*DL79</x:f>
      </x:c>
      <x:c r="DM80" s="107" t="n">
        <x:f>DM78*DM79</x:f>
      </x:c>
      <x:c r="DN80" s="107" t="n">
        <x:f>DN78*DN79</x:f>
      </x:c>
      <x:c r="DO80" s="107" t="n">
        <x:f>DO78*DO79</x:f>
      </x:c>
      <x:c r="DP80" s="107" t="n">
        <x:f>DP78*DP79</x:f>
      </x:c>
      <x:c r="DQ80" s="107" t="n">
        <x:f>DQ78*DQ79</x:f>
      </x:c>
      <x:c r="DR80" s="107" t="n">
        <x:f>DR78*DR79</x:f>
      </x:c>
      <x:c r="DS80" s="107" t="n">
        <x:f>DS78*DS79</x:f>
      </x:c>
      <x:c r="DT80" s="107" t="n">
        <x:f>DT78*DT79</x:f>
      </x:c>
      <x:c r="DU80" s="107" t="n">
        <x:f>DU78*DU79</x:f>
      </x:c>
      <x:c r="DV80" s="107" t="n">
        <x:f>DV78*DV79</x:f>
      </x:c>
      <x:c r="DW80" s="107" t="n">
        <x:f>DW78*DW79</x:f>
      </x:c>
      <x:c r="DX80" s="107" t="n">
        <x:f>DX78*DX79</x:f>
      </x:c>
      <x:c r="DY80" s="107" t="n">
        <x:f>DY78*DY79</x:f>
      </x:c>
      <x:c r="DZ80" s="107" t="n">
        <x:f>DZ78*DZ79</x:f>
      </x:c>
      <x:c r="EA80" s="107" t="n">
        <x:f>EA78*EA79</x:f>
      </x:c>
      <x:c r="EB80" s="107" t="n">
        <x:f>EB78*EB79</x:f>
      </x:c>
      <x:c r="EC80" s="107" t="n">
        <x:f>EC78*EC79</x:f>
      </x:c>
      <x:c r="ED80" s="107" t="n">
        <x:f>ED78*ED79</x:f>
      </x:c>
      <x:c r="EE80" s="107" t="n">
        <x:f>EE78*EE79</x:f>
      </x:c>
      <x:c r="EF80" s="107" t="n">
        <x:f>EF78*EF79</x:f>
      </x:c>
      <x:c r="EG80" s="107" t="n">
        <x:f>EG78*EG79</x:f>
      </x:c>
      <x:c r="EH80" s="107" t="n">
        <x:f>EH78*EH79</x:f>
      </x:c>
      <x:c r="EI80" s="107" t="n">
        <x:f>EI78*EI79</x:f>
      </x:c>
      <x:c r="EJ80" s="107" t="n">
        <x:f>EJ78*EJ79</x:f>
      </x:c>
      <x:c r="EK80" s="107" t="n">
        <x:f>EK78*EK79</x:f>
      </x:c>
      <x:c r="EL80" s="107" t="n">
        <x:f>EL78*EL79</x:f>
      </x:c>
      <x:c r="EM80" s="107" t="n">
        <x:f>EM78*EM79</x:f>
      </x:c>
      <x:c r="EN80" s="107" t="n">
        <x:f>EN78*EN79</x:f>
      </x:c>
      <x:c r="EO80" s="107" t="n">
        <x:f>EO78*EO79</x:f>
      </x:c>
      <x:c r="EP80" s="107" t="n">
        <x:f>EP78*EP79</x:f>
      </x:c>
      <x:c r="EQ80" s="107" t="n">
        <x:f>EQ78*EQ79</x:f>
      </x:c>
      <x:c r="ER80" s="107" t="n">
        <x:f>ER78*ER79</x:f>
      </x:c>
      <x:c r="ES80" s="107" t="n">
        <x:f>ES78*ES79</x:f>
      </x:c>
      <x:c r="ET80" s="107" t="n">
        <x:f>ET78*ET79</x:f>
      </x:c>
      <x:c r="EU80" s="107" t="n">
        <x:f>EU78*EU79</x:f>
      </x:c>
      <x:c r="EV80" s="107" t="n">
        <x:f>EV78*EV79</x:f>
      </x:c>
      <x:c r="EW80" s="107" t="n">
        <x:f>EW78*EW79</x:f>
      </x:c>
      <x:c r="EX80" s="107" t="n">
        <x:f>EX78*EX79</x:f>
      </x:c>
      <x:c r="EY80" s="107" t="n">
        <x:f>EY78*EY79</x:f>
      </x:c>
      <x:c r="EZ80" s="107" t="n">
        <x:f>EZ78*EZ79</x:f>
      </x:c>
      <x:c r="FA80" s="107" t="n">
        <x:f>FA78*FA79</x:f>
      </x:c>
      <x:c r="FB80" s="107" t="n">
        <x:f>FB78*FB79</x:f>
      </x:c>
      <x:c r="FC80" s="107" t="n">
        <x:f>FC78*FC79</x:f>
      </x:c>
      <x:c r="FD80" s="107" t="n">
        <x:f>FD78*FD79</x:f>
      </x:c>
      <x:c r="FE80" s="107" t="n">
        <x:f>FE78*FE79</x:f>
      </x:c>
      <x:c r="FF80" s="107" t="n">
        <x:f>FF78*FF79</x:f>
      </x:c>
      <x:c r="FG80" s="107" t="n">
        <x:f>FG78*FG79</x:f>
      </x:c>
      <x:c r="FH80" s="107" t="n">
        <x:f>FH78*FH79</x:f>
      </x:c>
      <x:c r="FI80" s="107" t="n">
        <x:f>FI78*FI79</x:f>
      </x:c>
      <x:c r="FJ80" s="107" t="n">
        <x:f>FJ78*FJ79</x:f>
      </x:c>
      <x:c r="FK80" s="107" t="n">
        <x:f>FK78*FK79</x:f>
      </x:c>
      <x:c r="FL80" s="107" t="n">
        <x:f>FL78*FL79</x:f>
      </x:c>
      <x:c r="FM80" s="107" t="n">
        <x:f>FM78*FM79</x:f>
      </x:c>
      <x:c r="FN80" s="107" t="n">
        <x:f>FN78*FN79</x:f>
      </x:c>
      <x:c r="FO80" s="107" t="n">
        <x:f>FO78*FO79</x:f>
      </x:c>
      <x:c r="FP80" s="107" t="n">
        <x:f>FP78*FP79</x:f>
      </x:c>
      <x:c r="FQ80" s="107" t="n">
        <x:f>FQ78*FQ79</x:f>
      </x:c>
      <x:c r="FR80" s="107" t="n">
        <x:f>FR78*FR79</x:f>
      </x:c>
      <x:c r="FS80" s="107" t="n">
        <x:f>FS78*FS79</x:f>
      </x:c>
      <x:c r="FT80" s="107" t="n">
        <x:f>FT78*FT79</x:f>
      </x:c>
      <x:c r="FU80" s="107" t="n">
        <x:f>FU78*FU79</x:f>
      </x:c>
      <x:c r="FV80" s="107" t="n">
        <x:f>FV78*FV79</x:f>
      </x:c>
      <x:c r="FW80" s="107" t="n">
        <x:f>FW78*FW79</x:f>
      </x:c>
      <x:c r="FX80" s="107" t="n">
        <x:f>FX78*FX79</x:f>
      </x:c>
      <x:c r="FY80" s="107" t="n">
        <x:f>FY78*FY79</x:f>
      </x:c>
      <x:c r="FZ80" s="107" t="n">
        <x:f>FZ78*FZ79</x:f>
      </x:c>
      <x:c r="GA80" s="107" t="n">
        <x:f>GA78*GA79</x:f>
      </x:c>
    </x:row>
    <x:row r="81">
      <x:c r="A81" t="str">
        <x:v>Поступления на эскроу</x:v>
      </x:c>
      <x:c r="B81" s="107" t="n">
        <x:f>SUM(D81:GA81)</x:f>
      </x:c>
      <x:c r="C81" t="str">
        <x:v>млн ₽</x:v>
      </x:c>
      <x:c r="D81" s="107" t="n">
        <x:f>IF(D$3&lt;EDATE(INDEX('Вводные'!$D$88:$D$91,$B$64),INDEX('Вводные'!$E$88:$E$91,$B$64)+INDEX('Вводные'!$F$88:$F$91,$B$64)+'Вводные'!$H$9),D80,0)</x:f>
      </x:c>
      <x:c r="E81" s="107" t="n">
        <x:f>IF(E$3&lt;EDATE(INDEX('Вводные'!$D$88:$D$91,$B$64),INDEX('Вводные'!$E$88:$E$91,$B$64)+INDEX('Вводные'!$F$88:$F$91,$B$64)+'Вводные'!$H$9),E80,0)</x:f>
      </x:c>
      <x:c r="F81" s="107" t="n">
        <x:f>IF(F$3&lt;EDATE(INDEX('Вводные'!$D$88:$D$91,$B$64),INDEX('Вводные'!$E$88:$E$91,$B$64)+INDEX('Вводные'!$F$88:$F$91,$B$64)+'Вводные'!$H$9),F80,0)</x:f>
      </x:c>
      <x:c r="G81" s="107" t="n">
        <x:f>IF(G$3&lt;EDATE(INDEX('Вводные'!$D$88:$D$91,$B$64),INDEX('Вводные'!$E$88:$E$91,$B$64)+INDEX('Вводные'!$F$88:$F$91,$B$64)+'Вводные'!$H$9),G80,0)</x:f>
      </x:c>
      <x:c r="H81" s="107" t="n">
        <x:f>IF(H$3&lt;EDATE(INDEX('Вводные'!$D$88:$D$91,$B$64),INDEX('Вводные'!$E$88:$E$91,$B$64)+INDEX('Вводные'!$F$88:$F$91,$B$64)+'Вводные'!$H$9),H80,0)</x:f>
      </x:c>
      <x:c r="I81" s="107" t="n">
        <x:f>IF(I$3&lt;EDATE(INDEX('Вводные'!$D$88:$D$91,$B$64),INDEX('Вводные'!$E$88:$E$91,$B$64)+INDEX('Вводные'!$F$88:$F$91,$B$64)+'Вводные'!$H$9),I80,0)</x:f>
      </x:c>
      <x:c r="J81" s="107" t="n">
        <x:f>IF(J$3&lt;EDATE(INDEX('Вводные'!$D$88:$D$91,$B$64),INDEX('Вводные'!$E$88:$E$91,$B$64)+INDEX('Вводные'!$F$88:$F$91,$B$64)+'Вводные'!$H$9),J80,0)</x:f>
      </x:c>
      <x:c r="K81" s="107" t="n">
        <x:f>IF(K$3&lt;EDATE(INDEX('Вводные'!$D$88:$D$91,$B$64),INDEX('Вводные'!$E$88:$E$91,$B$64)+INDEX('Вводные'!$F$88:$F$91,$B$64)+'Вводные'!$H$9),K80,0)</x:f>
      </x:c>
      <x:c r="L81" s="107" t="n">
        <x:f>IF(L$3&lt;EDATE(INDEX('Вводные'!$D$88:$D$91,$B$64),INDEX('Вводные'!$E$88:$E$91,$B$64)+INDEX('Вводные'!$F$88:$F$91,$B$64)+'Вводные'!$H$9),L80,0)</x:f>
      </x:c>
      <x:c r="M81" s="107" t="n">
        <x:f>IF(M$3&lt;EDATE(INDEX('Вводные'!$D$88:$D$91,$B$64),INDEX('Вводные'!$E$88:$E$91,$B$64)+INDEX('Вводные'!$F$88:$F$91,$B$64)+'Вводные'!$H$9),M80,0)</x:f>
      </x:c>
      <x:c r="N81" s="107" t="n">
        <x:f>IF(N$3&lt;EDATE(INDEX('Вводные'!$D$88:$D$91,$B$64),INDEX('Вводные'!$E$88:$E$91,$B$64)+INDEX('Вводные'!$F$88:$F$91,$B$64)+'Вводные'!$H$9),N80,0)</x:f>
      </x:c>
      <x:c r="O81" s="107" t="n">
        <x:f>IF(O$3&lt;EDATE(INDEX('Вводные'!$D$88:$D$91,$B$64),INDEX('Вводные'!$E$88:$E$91,$B$64)+INDEX('Вводные'!$F$88:$F$91,$B$64)+'Вводные'!$H$9),O80,0)</x:f>
      </x:c>
      <x:c r="P81" s="107" t="n">
        <x:f>IF(P$3&lt;EDATE(INDEX('Вводные'!$D$88:$D$91,$B$64),INDEX('Вводные'!$E$88:$E$91,$B$64)+INDEX('Вводные'!$F$88:$F$91,$B$64)+'Вводные'!$H$9),P80,0)</x:f>
      </x:c>
      <x:c r="Q81" s="107" t="n">
        <x:f>IF(Q$3&lt;EDATE(INDEX('Вводные'!$D$88:$D$91,$B$64),INDEX('Вводные'!$E$88:$E$91,$B$64)+INDEX('Вводные'!$F$88:$F$91,$B$64)+'Вводные'!$H$9),Q80,0)</x:f>
      </x:c>
      <x:c r="R81" s="107" t="n">
        <x:f>IF(R$3&lt;EDATE(INDEX('Вводные'!$D$88:$D$91,$B$64),INDEX('Вводные'!$E$88:$E$91,$B$64)+INDEX('Вводные'!$F$88:$F$91,$B$64)+'Вводные'!$H$9),R80,0)</x:f>
      </x:c>
      <x:c r="S81" s="107" t="n">
        <x:f>IF(S$3&lt;EDATE(INDEX('Вводные'!$D$88:$D$91,$B$64),INDEX('Вводные'!$E$88:$E$91,$B$64)+INDEX('Вводные'!$F$88:$F$91,$B$64)+'Вводные'!$H$9),S80,0)</x:f>
      </x:c>
      <x:c r="T81" s="107" t="n">
        <x:f>IF(T$3&lt;EDATE(INDEX('Вводные'!$D$88:$D$91,$B$64),INDEX('Вводные'!$E$88:$E$91,$B$64)+INDEX('Вводные'!$F$88:$F$91,$B$64)+'Вводные'!$H$9),T80,0)</x:f>
      </x:c>
      <x:c r="U81" s="107" t="n">
        <x:f>IF(U$3&lt;EDATE(INDEX('Вводные'!$D$88:$D$91,$B$64),INDEX('Вводные'!$E$88:$E$91,$B$64)+INDEX('Вводные'!$F$88:$F$91,$B$64)+'Вводные'!$H$9),U80,0)</x:f>
      </x:c>
      <x:c r="V81" s="107" t="n">
        <x:f>IF(V$3&lt;EDATE(INDEX('Вводные'!$D$88:$D$91,$B$64),INDEX('Вводные'!$E$88:$E$91,$B$64)+INDEX('Вводные'!$F$88:$F$91,$B$64)+'Вводные'!$H$9),V80,0)</x:f>
      </x:c>
      <x:c r="W81" s="107" t="n">
        <x:f>IF(W$3&lt;EDATE(INDEX('Вводные'!$D$88:$D$91,$B$64),INDEX('Вводные'!$E$88:$E$91,$B$64)+INDEX('Вводные'!$F$88:$F$91,$B$64)+'Вводные'!$H$9),W80,0)</x:f>
      </x:c>
      <x:c r="X81" s="107" t="n">
        <x:f>IF(X$3&lt;EDATE(INDEX('Вводные'!$D$88:$D$91,$B$64),INDEX('Вводные'!$E$88:$E$91,$B$64)+INDEX('Вводные'!$F$88:$F$91,$B$64)+'Вводные'!$H$9),X80,0)</x:f>
      </x:c>
      <x:c r="Y81" s="107" t="n">
        <x:f>IF(Y$3&lt;EDATE(INDEX('Вводные'!$D$88:$D$91,$B$64),INDEX('Вводные'!$E$88:$E$91,$B$64)+INDEX('Вводные'!$F$88:$F$91,$B$64)+'Вводные'!$H$9),Y80,0)</x:f>
      </x:c>
      <x:c r="Z81" s="107" t="n">
        <x:f>IF(Z$3&lt;EDATE(INDEX('Вводные'!$D$88:$D$91,$B$64),INDEX('Вводные'!$E$88:$E$91,$B$64)+INDEX('Вводные'!$F$88:$F$91,$B$64)+'Вводные'!$H$9),Z80,0)</x:f>
      </x:c>
      <x:c r="AA81" s="107" t="n">
        <x:f>IF(AA$3&lt;EDATE(INDEX('Вводные'!$D$88:$D$91,$B$64),INDEX('Вводные'!$E$88:$E$91,$B$64)+INDEX('Вводные'!$F$88:$F$91,$B$64)+'Вводные'!$H$9),AA80,0)</x:f>
      </x:c>
      <x:c r="AB81" s="107" t="n">
        <x:f>IF(AB$3&lt;EDATE(INDEX('Вводные'!$D$88:$D$91,$B$64),INDEX('Вводные'!$E$88:$E$91,$B$64)+INDEX('Вводные'!$F$88:$F$91,$B$64)+'Вводные'!$H$9),AB80,0)</x:f>
      </x:c>
      <x:c r="AC81" s="107" t="n">
        <x:f>IF(AC$3&lt;EDATE(INDEX('Вводные'!$D$88:$D$91,$B$64),INDEX('Вводные'!$E$88:$E$91,$B$64)+INDEX('Вводные'!$F$88:$F$91,$B$64)+'Вводные'!$H$9),AC80,0)</x:f>
      </x:c>
      <x:c r="AD81" s="107" t="n">
        <x:f>IF(AD$3&lt;EDATE(INDEX('Вводные'!$D$88:$D$91,$B$64),INDEX('Вводные'!$E$88:$E$91,$B$64)+INDEX('Вводные'!$F$88:$F$91,$B$64)+'Вводные'!$H$9),AD80,0)</x:f>
      </x:c>
      <x:c r="AE81" s="107" t="n">
        <x:f>IF(AE$3&lt;EDATE(INDEX('Вводные'!$D$88:$D$91,$B$64),INDEX('Вводные'!$E$88:$E$91,$B$64)+INDEX('Вводные'!$F$88:$F$91,$B$64)+'Вводные'!$H$9),AE80,0)</x:f>
      </x:c>
      <x:c r="AF81" s="107" t="n">
        <x:f>IF(AF$3&lt;EDATE(INDEX('Вводные'!$D$88:$D$91,$B$64),INDEX('Вводные'!$E$88:$E$91,$B$64)+INDEX('Вводные'!$F$88:$F$91,$B$64)+'Вводные'!$H$9),AF80,0)</x:f>
      </x:c>
      <x:c r="AG81" s="107" t="n">
        <x:f>IF(AG$3&lt;EDATE(INDEX('Вводные'!$D$88:$D$91,$B$64),INDEX('Вводные'!$E$88:$E$91,$B$64)+INDEX('Вводные'!$F$88:$F$91,$B$64)+'Вводные'!$H$9),AG80,0)</x:f>
      </x:c>
      <x:c r="AH81" s="107" t="n">
        <x:f>IF(AH$3&lt;EDATE(INDEX('Вводные'!$D$88:$D$91,$B$64),INDEX('Вводные'!$E$88:$E$91,$B$64)+INDEX('Вводные'!$F$88:$F$91,$B$64)+'Вводные'!$H$9),AH80,0)</x:f>
      </x:c>
      <x:c r="AI81" s="107" t="n">
        <x:f>IF(AI$3&lt;EDATE(INDEX('Вводные'!$D$88:$D$91,$B$64),INDEX('Вводные'!$E$88:$E$91,$B$64)+INDEX('Вводные'!$F$88:$F$91,$B$64)+'Вводные'!$H$9),AI80,0)</x:f>
      </x:c>
      <x:c r="AJ81" s="107" t="n">
        <x:f>IF(AJ$3&lt;EDATE(INDEX('Вводные'!$D$88:$D$91,$B$64),INDEX('Вводные'!$E$88:$E$91,$B$64)+INDEX('Вводные'!$F$88:$F$91,$B$64)+'Вводные'!$H$9),AJ80,0)</x:f>
      </x:c>
      <x:c r="AK81" s="107" t="n">
        <x:f>IF(AK$3&lt;EDATE(INDEX('Вводные'!$D$88:$D$91,$B$64),INDEX('Вводные'!$E$88:$E$91,$B$64)+INDEX('Вводные'!$F$88:$F$91,$B$64)+'Вводные'!$H$9),AK80,0)</x:f>
      </x:c>
      <x:c r="AL81" s="107" t="n">
        <x:f>IF(AL$3&lt;EDATE(INDEX('Вводные'!$D$88:$D$91,$B$64),INDEX('Вводные'!$E$88:$E$91,$B$64)+INDEX('Вводные'!$F$88:$F$91,$B$64)+'Вводные'!$H$9),AL80,0)</x:f>
      </x:c>
      <x:c r="AM81" s="107" t="n">
        <x:f>IF(AM$3&lt;EDATE(INDEX('Вводные'!$D$88:$D$91,$B$64),INDEX('Вводные'!$E$88:$E$91,$B$64)+INDEX('Вводные'!$F$88:$F$91,$B$64)+'Вводные'!$H$9),AM80,0)</x:f>
      </x:c>
      <x:c r="AN81" s="107" t="n">
        <x:f>IF(AN$3&lt;EDATE(INDEX('Вводные'!$D$88:$D$91,$B$64),INDEX('Вводные'!$E$88:$E$91,$B$64)+INDEX('Вводные'!$F$88:$F$91,$B$64)+'Вводные'!$H$9),AN80,0)</x:f>
      </x:c>
      <x:c r="AO81" s="107" t="n">
        <x:f>IF(AO$3&lt;EDATE(INDEX('Вводные'!$D$88:$D$91,$B$64),INDEX('Вводные'!$E$88:$E$91,$B$64)+INDEX('Вводные'!$F$88:$F$91,$B$64)+'Вводные'!$H$9),AO80,0)</x:f>
      </x:c>
      <x:c r="AP81" s="107" t="n">
        <x:f>IF(AP$3&lt;EDATE(INDEX('Вводные'!$D$88:$D$91,$B$64),INDEX('Вводные'!$E$88:$E$91,$B$64)+INDEX('Вводные'!$F$88:$F$91,$B$64)+'Вводные'!$H$9),AP80,0)</x:f>
      </x:c>
      <x:c r="AQ81" s="107" t="n">
        <x:f>IF(AQ$3&lt;EDATE(INDEX('Вводные'!$D$88:$D$91,$B$64),INDEX('Вводные'!$E$88:$E$91,$B$64)+INDEX('Вводные'!$F$88:$F$91,$B$64)+'Вводные'!$H$9),AQ80,0)</x:f>
      </x:c>
      <x:c r="AR81" s="107" t="n">
        <x:f>IF(AR$3&lt;EDATE(INDEX('Вводные'!$D$88:$D$91,$B$64),INDEX('Вводные'!$E$88:$E$91,$B$64)+INDEX('Вводные'!$F$88:$F$91,$B$64)+'Вводные'!$H$9),AR80,0)</x:f>
      </x:c>
      <x:c r="AS81" s="107" t="n">
        <x:f>IF(AS$3&lt;EDATE(INDEX('Вводные'!$D$88:$D$91,$B$64),INDEX('Вводные'!$E$88:$E$91,$B$64)+INDEX('Вводные'!$F$88:$F$91,$B$64)+'Вводные'!$H$9),AS80,0)</x:f>
      </x:c>
      <x:c r="AT81" s="107" t="n">
        <x:f>IF(AT$3&lt;EDATE(INDEX('Вводные'!$D$88:$D$91,$B$64),INDEX('Вводные'!$E$88:$E$91,$B$64)+INDEX('Вводные'!$F$88:$F$91,$B$64)+'Вводные'!$H$9),AT80,0)</x:f>
      </x:c>
      <x:c r="AU81" s="107" t="n">
        <x:f>IF(AU$3&lt;EDATE(INDEX('Вводные'!$D$88:$D$91,$B$64),INDEX('Вводные'!$E$88:$E$91,$B$64)+INDEX('Вводные'!$F$88:$F$91,$B$64)+'Вводные'!$H$9),AU80,0)</x:f>
      </x:c>
      <x:c r="AV81" s="107" t="n">
        <x:f>IF(AV$3&lt;EDATE(INDEX('Вводные'!$D$88:$D$91,$B$64),INDEX('Вводные'!$E$88:$E$91,$B$64)+INDEX('Вводные'!$F$88:$F$91,$B$64)+'Вводные'!$H$9),AV80,0)</x:f>
      </x:c>
      <x:c r="AW81" s="107" t="n">
        <x:f>IF(AW$3&lt;EDATE(INDEX('Вводные'!$D$88:$D$91,$B$64),INDEX('Вводные'!$E$88:$E$91,$B$64)+INDEX('Вводные'!$F$88:$F$91,$B$64)+'Вводные'!$H$9),AW80,0)</x:f>
      </x:c>
      <x:c r="AX81" s="107" t="n">
        <x:f>IF(AX$3&lt;EDATE(INDEX('Вводные'!$D$88:$D$91,$B$64),INDEX('Вводные'!$E$88:$E$91,$B$64)+INDEX('Вводные'!$F$88:$F$91,$B$64)+'Вводные'!$H$9),AX80,0)</x:f>
      </x:c>
      <x:c r="AY81" s="107" t="n">
        <x:f>IF(AY$3&lt;EDATE(INDEX('Вводные'!$D$88:$D$91,$B$64),INDEX('Вводные'!$E$88:$E$91,$B$64)+INDEX('Вводные'!$F$88:$F$91,$B$64)+'Вводные'!$H$9),AY80,0)</x:f>
      </x:c>
      <x:c r="AZ81" s="107" t="n">
        <x:f>IF(AZ$3&lt;EDATE(INDEX('Вводные'!$D$88:$D$91,$B$64),INDEX('Вводные'!$E$88:$E$91,$B$64)+INDEX('Вводные'!$F$88:$F$91,$B$64)+'Вводные'!$H$9),AZ80,0)</x:f>
      </x:c>
      <x:c r="BA81" s="107" t="n">
        <x:f>IF(BA$3&lt;EDATE(INDEX('Вводные'!$D$88:$D$91,$B$64),INDEX('Вводные'!$E$88:$E$91,$B$64)+INDEX('Вводные'!$F$88:$F$91,$B$64)+'Вводные'!$H$9),BA80,0)</x:f>
      </x:c>
      <x:c r="BB81" s="107" t="n">
        <x:f>IF(BB$3&lt;EDATE(INDEX('Вводные'!$D$88:$D$91,$B$64),INDEX('Вводные'!$E$88:$E$91,$B$64)+INDEX('Вводные'!$F$88:$F$91,$B$64)+'Вводные'!$H$9),BB80,0)</x:f>
      </x:c>
      <x:c r="BC81" s="107" t="n">
        <x:f>IF(BC$3&lt;EDATE(INDEX('Вводные'!$D$88:$D$91,$B$64),INDEX('Вводные'!$E$88:$E$91,$B$64)+INDEX('Вводные'!$F$88:$F$91,$B$64)+'Вводные'!$H$9),BC80,0)</x:f>
      </x:c>
      <x:c r="BD81" s="107" t="n">
        <x:f>IF(BD$3&lt;EDATE(INDEX('Вводные'!$D$88:$D$91,$B$64),INDEX('Вводные'!$E$88:$E$91,$B$64)+INDEX('Вводные'!$F$88:$F$91,$B$64)+'Вводные'!$H$9),BD80,0)</x:f>
      </x:c>
      <x:c r="BE81" s="107" t="n">
        <x:f>IF(BE$3&lt;EDATE(INDEX('Вводные'!$D$88:$D$91,$B$64),INDEX('Вводные'!$E$88:$E$91,$B$64)+INDEX('Вводные'!$F$88:$F$91,$B$64)+'Вводные'!$H$9),BE80,0)</x:f>
      </x:c>
      <x:c r="BF81" s="107" t="n">
        <x:f>IF(BF$3&lt;EDATE(INDEX('Вводные'!$D$88:$D$91,$B$64),INDEX('Вводные'!$E$88:$E$91,$B$64)+INDEX('Вводные'!$F$88:$F$91,$B$64)+'Вводные'!$H$9),BF80,0)</x:f>
      </x:c>
      <x:c r="BG81" s="107" t="n">
        <x:f>IF(BG$3&lt;EDATE(INDEX('Вводные'!$D$88:$D$91,$B$64),INDEX('Вводные'!$E$88:$E$91,$B$64)+INDEX('Вводные'!$F$88:$F$91,$B$64)+'Вводные'!$H$9),BG80,0)</x:f>
      </x:c>
      <x:c r="BH81" s="107" t="n">
        <x:f>IF(BH$3&lt;EDATE(INDEX('Вводные'!$D$88:$D$91,$B$64),INDEX('Вводные'!$E$88:$E$91,$B$64)+INDEX('Вводные'!$F$88:$F$91,$B$64)+'Вводные'!$H$9),BH80,0)</x:f>
      </x:c>
      <x:c r="BI81" s="107" t="n">
        <x:f>IF(BI$3&lt;EDATE(INDEX('Вводные'!$D$88:$D$91,$B$64),INDEX('Вводные'!$E$88:$E$91,$B$64)+INDEX('Вводные'!$F$88:$F$91,$B$64)+'Вводные'!$H$9),BI80,0)</x:f>
      </x:c>
      <x:c r="BJ81" s="107" t="n">
        <x:f>IF(BJ$3&lt;EDATE(INDEX('Вводные'!$D$88:$D$91,$B$64),INDEX('Вводные'!$E$88:$E$91,$B$64)+INDEX('Вводные'!$F$88:$F$91,$B$64)+'Вводные'!$H$9),BJ80,0)</x:f>
      </x:c>
      <x:c r="BK81" s="107" t="n">
        <x:f>IF(BK$3&lt;EDATE(INDEX('Вводные'!$D$88:$D$91,$B$64),INDEX('Вводные'!$E$88:$E$91,$B$64)+INDEX('Вводные'!$F$88:$F$91,$B$64)+'Вводные'!$H$9),BK80,0)</x:f>
      </x:c>
      <x:c r="BL81" s="107" t="n">
        <x:f>IF(BL$3&lt;EDATE(INDEX('Вводные'!$D$88:$D$91,$B$64),INDEX('Вводные'!$E$88:$E$91,$B$64)+INDEX('Вводные'!$F$88:$F$91,$B$64)+'Вводные'!$H$9),BL80,0)</x:f>
      </x:c>
      <x:c r="BM81" s="107" t="n">
        <x:f>IF(BM$3&lt;EDATE(INDEX('Вводные'!$D$88:$D$91,$B$64),INDEX('Вводные'!$E$88:$E$91,$B$64)+INDEX('Вводные'!$F$88:$F$91,$B$64)+'Вводные'!$H$9),BM80,0)</x:f>
      </x:c>
      <x:c r="BN81" s="107" t="n">
        <x:f>IF(BN$3&lt;EDATE(INDEX('Вводные'!$D$88:$D$91,$B$64),INDEX('Вводные'!$E$88:$E$91,$B$64)+INDEX('Вводные'!$F$88:$F$91,$B$64)+'Вводные'!$H$9),BN80,0)</x:f>
      </x:c>
      <x:c r="BO81" s="107" t="n">
        <x:f>IF(BO$3&lt;EDATE(INDEX('Вводные'!$D$88:$D$91,$B$64),INDEX('Вводные'!$E$88:$E$91,$B$64)+INDEX('Вводные'!$F$88:$F$91,$B$64)+'Вводные'!$H$9),BO80,0)</x:f>
      </x:c>
      <x:c r="BP81" s="107" t="n">
        <x:f>IF(BP$3&lt;EDATE(INDEX('Вводные'!$D$88:$D$91,$B$64),INDEX('Вводные'!$E$88:$E$91,$B$64)+INDEX('Вводные'!$F$88:$F$91,$B$64)+'Вводные'!$H$9),BP80,0)</x:f>
      </x:c>
      <x:c r="BQ81" s="107" t="n">
        <x:f>IF(BQ$3&lt;EDATE(INDEX('Вводные'!$D$88:$D$91,$B$64),INDEX('Вводные'!$E$88:$E$91,$B$64)+INDEX('Вводные'!$F$88:$F$91,$B$64)+'Вводные'!$H$9),BQ80,0)</x:f>
      </x:c>
      <x:c r="BR81" s="107" t="n">
        <x:f>IF(BR$3&lt;EDATE(INDEX('Вводные'!$D$88:$D$91,$B$64),INDEX('Вводные'!$E$88:$E$91,$B$64)+INDEX('Вводные'!$F$88:$F$91,$B$64)+'Вводные'!$H$9),BR80,0)</x:f>
      </x:c>
      <x:c r="BS81" s="107" t="n">
        <x:f>IF(BS$3&lt;EDATE(INDEX('Вводные'!$D$88:$D$91,$B$64),INDEX('Вводные'!$E$88:$E$91,$B$64)+INDEX('Вводные'!$F$88:$F$91,$B$64)+'Вводные'!$H$9),BS80,0)</x:f>
      </x:c>
      <x:c r="BT81" s="107" t="n">
        <x:f>IF(BT$3&lt;EDATE(INDEX('Вводные'!$D$88:$D$91,$B$64),INDEX('Вводные'!$E$88:$E$91,$B$64)+INDEX('Вводные'!$F$88:$F$91,$B$64)+'Вводные'!$H$9),BT80,0)</x:f>
      </x:c>
      <x:c r="BU81" s="107" t="n">
        <x:f>IF(BU$3&lt;EDATE(INDEX('Вводные'!$D$88:$D$91,$B$64),INDEX('Вводные'!$E$88:$E$91,$B$64)+INDEX('Вводные'!$F$88:$F$91,$B$64)+'Вводные'!$H$9),BU80,0)</x:f>
      </x:c>
      <x:c r="BV81" s="107" t="n">
        <x:f>IF(BV$3&lt;EDATE(INDEX('Вводные'!$D$88:$D$91,$B$64),INDEX('Вводные'!$E$88:$E$91,$B$64)+INDEX('Вводные'!$F$88:$F$91,$B$64)+'Вводные'!$H$9),BV80,0)</x:f>
      </x:c>
      <x:c r="BW81" s="107" t="n">
        <x:f>IF(BW$3&lt;EDATE(INDEX('Вводные'!$D$88:$D$91,$B$64),INDEX('Вводные'!$E$88:$E$91,$B$64)+INDEX('Вводные'!$F$88:$F$91,$B$64)+'Вводные'!$H$9),BW80,0)</x:f>
      </x:c>
      <x:c r="BX81" s="107" t="n">
        <x:f>IF(BX$3&lt;EDATE(INDEX('Вводные'!$D$88:$D$91,$B$64),INDEX('Вводные'!$E$88:$E$91,$B$64)+INDEX('Вводные'!$F$88:$F$91,$B$64)+'Вводные'!$H$9),BX80,0)</x:f>
      </x:c>
      <x:c r="BY81" s="107" t="n">
        <x:f>IF(BY$3&lt;EDATE(INDEX('Вводные'!$D$88:$D$91,$B$64),INDEX('Вводные'!$E$88:$E$91,$B$64)+INDEX('Вводные'!$F$88:$F$91,$B$64)+'Вводные'!$H$9),BY80,0)</x:f>
      </x:c>
      <x:c r="BZ81" s="107" t="n">
        <x:f>IF(BZ$3&lt;EDATE(INDEX('Вводные'!$D$88:$D$91,$B$64),INDEX('Вводные'!$E$88:$E$91,$B$64)+INDEX('Вводные'!$F$88:$F$91,$B$64)+'Вводные'!$H$9),BZ80,0)</x:f>
      </x:c>
      <x:c r="CA81" s="107" t="n">
        <x:f>IF(CA$3&lt;EDATE(INDEX('Вводные'!$D$88:$D$91,$B$64),INDEX('Вводные'!$E$88:$E$91,$B$64)+INDEX('Вводные'!$F$88:$F$91,$B$64)+'Вводные'!$H$9),CA80,0)</x:f>
      </x:c>
      <x:c r="CB81" s="107" t="n">
        <x:f>IF(CB$3&lt;EDATE(INDEX('Вводные'!$D$88:$D$91,$B$64),INDEX('Вводные'!$E$88:$E$91,$B$64)+INDEX('Вводные'!$F$88:$F$91,$B$64)+'Вводные'!$H$9),CB80,0)</x:f>
      </x:c>
      <x:c r="CC81" s="107" t="n">
        <x:f>IF(CC$3&lt;EDATE(INDEX('Вводные'!$D$88:$D$91,$B$64),INDEX('Вводные'!$E$88:$E$91,$B$64)+INDEX('Вводные'!$F$88:$F$91,$B$64)+'Вводные'!$H$9),CC80,0)</x:f>
      </x:c>
      <x:c r="CD81" s="107" t="n">
        <x:f>IF(CD$3&lt;EDATE(INDEX('Вводные'!$D$88:$D$91,$B$64),INDEX('Вводные'!$E$88:$E$91,$B$64)+INDEX('Вводные'!$F$88:$F$91,$B$64)+'Вводные'!$H$9),CD80,0)</x:f>
      </x:c>
      <x:c r="CE81" s="107" t="n">
        <x:f>IF(CE$3&lt;EDATE(INDEX('Вводные'!$D$88:$D$91,$B$64),INDEX('Вводные'!$E$88:$E$91,$B$64)+INDEX('Вводные'!$F$88:$F$91,$B$64)+'Вводные'!$H$9),CE80,0)</x:f>
      </x:c>
      <x:c r="CF81" s="107" t="n">
        <x:f>IF(CF$3&lt;EDATE(INDEX('Вводные'!$D$88:$D$91,$B$64),INDEX('Вводные'!$E$88:$E$91,$B$64)+INDEX('Вводные'!$F$88:$F$91,$B$64)+'Вводные'!$H$9),CF80,0)</x:f>
      </x:c>
      <x:c r="CG81" s="107" t="n">
        <x:f>IF(CG$3&lt;EDATE(INDEX('Вводные'!$D$88:$D$91,$B$64),INDEX('Вводные'!$E$88:$E$91,$B$64)+INDEX('Вводные'!$F$88:$F$91,$B$64)+'Вводные'!$H$9),CG80,0)</x:f>
      </x:c>
      <x:c r="CH81" s="107" t="n">
        <x:f>IF(CH$3&lt;EDATE(INDEX('Вводные'!$D$88:$D$91,$B$64),INDEX('Вводные'!$E$88:$E$91,$B$64)+INDEX('Вводные'!$F$88:$F$91,$B$64)+'Вводные'!$H$9),CH80,0)</x:f>
      </x:c>
      <x:c r="CI81" s="107" t="n">
        <x:f>IF(CI$3&lt;EDATE(INDEX('Вводные'!$D$88:$D$91,$B$64),INDEX('Вводные'!$E$88:$E$91,$B$64)+INDEX('Вводные'!$F$88:$F$91,$B$64)+'Вводные'!$H$9),CI80,0)</x:f>
      </x:c>
      <x:c r="CJ81" s="107" t="n">
        <x:f>IF(CJ$3&lt;EDATE(INDEX('Вводные'!$D$88:$D$91,$B$64),INDEX('Вводные'!$E$88:$E$91,$B$64)+INDEX('Вводные'!$F$88:$F$91,$B$64)+'Вводные'!$H$9),CJ80,0)</x:f>
      </x:c>
      <x:c r="CK81" s="107" t="n">
        <x:f>IF(CK$3&lt;EDATE(INDEX('Вводные'!$D$88:$D$91,$B$64),INDEX('Вводные'!$E$88:$E$91,$B$64)+INDEX('Вводные'!$F$88:$F$91,$B$64)+'Вводные'!$H$9),CK80,0)</x:f>
      </x:c>
      <x:c r="CL81" s="107" t="n">
        <x:f>IF(CL$3&lt;EDATE(INDEX('Вводные'!$D$88:$D$91,$B$64),INDEX('Вводные'!$E$88:$E$91,$B$64)+INDEX('Вводные'!$F$88:$F$91,$B$64)+'Вводные'!$H$9),CL80,0)</x:f>
      </x:c>
      <x:c r="CM81" s="107" t="n">
        <x:f>IF(CM$3&lt;EDATE(INDEX('Вводные'!$D$88:$D$91,$B$64),INDEX('Вводные'!$E$88:$E$91,$B$64)+INDEX('Вводные'!$F$88:$F$91,$B$64)+'Вводные'!$H$9),CM80,0)</x:f>
      </x:c>
      <x:c r="CN81" s="107" t="n">
        <x:f>IF(CN$3&lt;EDATE(INDEX('Вводные'!$D$88:$D$91,$B$64),INDEX('Вводные'!$E$88:$E$91,$B$64)+INDEX('Вводные'!$F$88:$F$91,$B$64)+'Вводные'!$H$9),CN80,0)</x:f>
      </x:c>
      <x:c r="CO81" s="107" t="n">
        <x:f>IF(CO$3&lt;EDATE(INDEX('Вводные'!$D$88:$D$91,$B$64),INDEX('Вводные'!$E$88:$E$91,$B$64)+INDEX('Вводные'!$F$88:$F$91,$B$64)+'Вводные'!$H$9),CO80,0)</x:f>
      </x:c>
      <x:c r="CP81" s="107" t="n">
        <x:f>IF(CP$3&lt;EDATE(INDEX('Вводные'!$D$88:$D$91,$B$64),INDEX('Вводные'!$E$88:$E$91,$B$64)+INDEX('Вводные'!$F$88:$F$91,$B$64)+'Вводные'!$H$9),CP80,0)</x:f>
      </x:c>
      <x:c r="CQ81" s="107" t="n">
        <x:f>IF(CQ$3&lt;EDATE(INDEX('Вводные'!$D$88:$D$91,$B$64),INDEX('Вводные'!$E$88:$E$91,$B$64)+INDEX('Вводные'!$F$88:$F$91,$B$64)+'Вводные'!$H$9),CQ80,0)</x:f>
      </x:c>
      <x:c r="CR81" s="107" t="n">
        <x:f>IF(CR$3&lt;EDATE(INDEX('Вводные'!$D$88:$D$91,$B$64),INDEX('Вводные'!$E$88:$E$91,$B$64)+INDEX('Вводные'!$F$88:$F$91,$B$64)+'Вводные'!$H$9),CR80,0)</x:f>
      </x:c>
      <x:c r="CS81" s="107" t="n">
        <x:f>IF(CS$3&lt;EDATE(INDEX('Вводные'!$D$88:$D$91,$B$64),INDEX('Вводные'!$E$88:$E$91,$B$64)+INDEX('Вводные'!$F$88:$F$91,$B$64)+'Вводные'!$H$9),CS80,0)</x:f>
      </x:c>
      <x:c r="CT81" s="107" t="n">
        <x:f>IF(CT$3&lt;EDATE(INDEX('Вводные'!$D$88:$D$91,$B$64),INDEX('Вводные'!$E$88:$E$91,$B$64)+INDEX('Вводные'!$F$88:$F$91,$B$64)+'Вводные'!$H$9),CT80,0)</x:f>
      </x:c>
      <x:c r="CU81" s="107" t="n">
        <x:f>IF(CU$3&lt;EDATE(INDEX('Вводные'!$D$88:$D$91,$B$64),INDEX('Вводные'!$E$88:$E$91,$B$64)+INDEX('Вводные'!$F$88:$F$91,$B$64)+'Вводные'!$H$9),CU80,0)</x:f>
      </x:c>
      <x:c r="CV81" s="107" t="n">
        <x:f>IF(CV$3&lt;EDATE(INDEX('Вводные'!$D$88:$D$91,$B$64),INDEX('Вводные'!$E$88:$E$91,$B$64)+INDEX('Вводные'!$F$88:$F$91,$B$64)+'Вводные'!$H$9),CV80,0)</x:f>
      </x:c>
      <x:c r="CW81" s="107" t="n">
        <x:f>IF(CW$3&lt;EDATE(INDEX('Вводные'!$D$88:$D$91,$B$64),INDEX('Вводные'!$E$88:$E$91,$B$64)+INDEX('Вводные'!$F$88:$F$91,$B$64)+'Вводные'!$H$9),CW80,0)</x:f>
      </x:c>
      <x:c r="CX81" s="107" t="n">
        <x:f>IF(CX$3&lt;EDATE(INDEX('Вводные'!$D$88:$D$91,$B$64),INDEX('Вводные'!$E$88:$E$91,$B$64)+INDEX('Вводные'!$F$88:$F$91,$B$64)+'Вводные'!$H$9),CX80,0)</x:f>
      </x:c>
      <x:c r="CY81" s="107" t="n">
        <x:f>IF(CY$3&lt;EDATE(INDEX('Вводные'!$D$88:$D$91,$B$64),INDEX('Вводные'!$E$88:$E$91,$B$64)+INDEX('Вводные'!$F$88:$F$91,$B$64)+'Вводные'!$H$9),CY80,0)</x:f>
      </x:c>
      <x:c r="CZ81" s="107" t="n">
        <x:f>IF(CZ$3&lt;EDATE(INDEX('Вводные'!$D$88:$D$91,$B$64),INDEX('Вводные'!$E$88:$E$91,$B$64)+INDEX('Вводные'!$F$88:$F$91,$B$64)+'Вводные'!$H$9),CZ80,0)</x:f>
      </x:c>
      <x:c r="DA81" s="107" t="n">
        <x:f>IF(DA$3&lt;EDATE(INDEX('Вводные'!$D$88:$D$91,$B$64),INDEX('Вводные'!$E$88:$E$91,$B$64)+INDEX('Вводные'!$F$88:$F$91,$B$64)+'Вводные'!$H$9),DA80,0)</x:f>
      </x:c>
      <x:c r="DB81" s="107" t="n">
        <x:f>IF(DB$3&lt;EDATE(INDEX('Вводные'!$D$88:$D$91,$B$64),INDEX('Вводные'!$E$88:$E$91,$B$64)+INDEX('Вводные'!$F$88:$F$91,$B$64)+'Вводные'!$H$9),DB80,0)</x:f>
      </x:c>
      <x:c r="DC81" s="107" t="n">
        <x:f>IF(DC$3&lt;EDATE(INDEX('Вводные'!$D$88:$D$91,$B$64),INDEX('Вводные'!$E$88:$E$91,$B$64)+INDEX('Вводные'!$F$88:$F$91,$B$64)+'Вводные'!$H$9),DC80,0)</x:f>
      </x:c>
      <x:c r="DD81" s="107" t="n">
        <x:f>IF(DD$3&lt;EDATE(INDEX('Вводные'!$D$88:$D$91,$B$64),INDEX('Вводные'!$E$88:$E$91,$B$64)+INDEX('Вводные'!$F$88:$F$91,$B$64)+'Вводные'!$H$9),DD80,0)</x:f>
      </x:c>
      <x:c r="DE81" s="107" t="n">
        <x:f>IF(DE$3&lt;EDATE(INDEX('Вводные'!$D$88:$D$91,$B$64),INDEX('Вводные'!$E$88:$E$91,$B$64)+INDEX('Вводные'!$F$88:$F$91,$B$64)+'Вводные'!$H$9),DE80,0)</x:f>
      </x:c>
      <x:c r="DF81" s="107" t="n">
        <x:f>IF(DF$3&lt;EDATE(INDEX('Вводные'!$D$88:$D$91,$B$64),INDEX('Вводные'!$E$88:$E$91,$B$64)+INDEX('Вводные'!$F$88:$F$91,$B$64)+'Вводные'!$H$9),DF80,0)</x:f>
      </x:c>
      <x:c r="DG81" s="107" t="n">
        <x:f>IF(DG$3&lt;EDATE(INDEX('Вводные'!$D$88:$D$91,$B$64),INDEX('Вводные'!$E$88:$E$91,$B$64)+INDEX('Вводные'!$F$88:$F$91,$B$64)+'Вводные'!$H$9),DG80,0)</x:f>
      </x:c>
      <x:c r="DH81" s="107" t="n">
        <x:f>IF(DH$3&lt;EDATE(INDEX('Вводные'!$D$88:$D$91,$B$64),INDEX('Вводные'!$E$88:$E$91,$B$64)+INDEX('Вводные'!$F$88:$F$91,$B$64)+'Вводные'!$H$9),DH80,0)</x:f>
      </x:c>
      <x:c r="DI81" s="107" t="n">
        <x:f>IF(DI$3&lt;EDATE(INDEX('Вводные'!$D$88:$D$91,$B$64),INDEX('Вводные'!$E$88:$E$91,$B$64)+INDEX('Вводные'!$F$88:$F$91,$B$64)+'Вводные'!$H$9),DI80,0)</x:f>
      </x:c>
      <x:c r="DJ81" s="107" t="n">
        <x:f>IF(DJ$3&lt;EDATE(INDEX('Вводные'!$D$88:$D$91,$B$64),INDEX('Вводные'!$E$88:$E$91,$B$64)+INDEX('Вводные'!$F$88:$F$91,$B$64)+'Вводные'!$H$9),DJ80,0)</x:f>
      </x:c>
      <x:c r="DK81" s="107" t="n">
        <x:f>IF(DK$3&lt;EDATE(INDEX('Вводные'!$D$88:$D$91,$B$64),INDEX('Вводные'!$E$88:$E$91,$B$64)+INDEX('Вводные'!$F$88:$F$91,$B$64)+'Вводные'!$H$9),DK80,0)</x:f>
      </x:c>
      <x:c r="DL81" s="107" t="n">
        <x:f>IF(DL$3&lt;EDATE(INDEX('Вводные'!$D$88:$D$91,$B$64),INDEX('Вводные'!$E$88:$E$91,$B$64)+INDEX('Вводные'!$F$88:$F$91,$B$64)+'Вводные'!$H$9),DL80,0)</x:f>
      </x:c>
      <x:c r="DM81" s="107" t="n">
        <x:f>IF(DM$3&lt;EDATE(INDEX('Вводные'!$D$88:$D$91,$B$64),INDEX('Вводные'!$E$88:$E$91,$B$64)+INDEX('Вводные'!$F$88:$F$91,$B$64)+'Вводные'!$H$9),DM80,0)</x:f>
      </x:c>
      <x:c r="DN81" s="107" t="n">
        <x:f>IF(DN$3&lt;EDATE(INDEX('Вводные'!$D$88:$D$91,$B$64),INDEX('Вводные'!$E$88:$E$91,$B$64)+INDEX('Вводные'!$F$88:$F$91,$B$64)+'Вводные'!$H$9),DN80,0)</x:f>
      </x:c>
      <x:c r="DO81" s="107" t="n">
        <x:f>IF(DO$3&lt;EDATE(INDEX('Вводные'!$D$88:$D$91,$B$64),INDEX('Вводные'!$E$88:$E$91,$B$64)+INDEX('Вводные'!$F$88:$F$91,$B$64)+'Вводные'!$H$9),DO80,0)</x:f>
      </x:c>
      <x:c r="DP81" s="107" t="n">
        <x:f>IF(DP$3&lt;EDATE(INDEX('Вводные'!$D$88:$D$91,$B$64),INDEX('Вводные'!$E$88:$E$91,$B$64)+INDEX('Вводные'!$F$88:$F$91,$B$64)+'Вводные'!$H$9),DP80,0)</x:f>
      </x:c>
      <x:c r="DQ81" s="107" t="n">
        <x:f>IF(DQ$3&lt;EDATE(INDEX('Вводные'!$D$88:$D$91,$B$64),INDEX('Вводные'!$E$88:$E$91,$B$64)+INDEX('Вводные'!$F$88:$F$91,$B$64)+'Вводные'!$H$9),DQ80,0)</x:f>
      </x:c>
      <x:c r="DR81" s="107" t="n">
        <x:f>IF(DR$3&lt;EDATE(INDEX('Вводные'!$D$88:$D$91,$B$64),INDEX('Вводные'!$E$88:$E$91,$B$64)+INDEX('Вводные'!$F$88:$F$91,$B$64)+'Вводные'!$H$9),DR80,0)</x:f>
      </x:c>
      <x:c r="DS81" s="107" t="n">
        <x:f>IF(DS$3&lt;EDATE(INDEX('Вводные'!$D$88:$D$91,$B$64),INDEX('Вводные'!$E$88:$E$91,$B$64)+INDEX('Вводные'!$F$88:$F$91,$B$64)+'Вводные'!$H$9),DS80,0)</x:f>
      </x:c>
      <x:c r="DT81" s="107" t="n">
        <x:f>IF(DT$3&lt;EDATE(INDEX('Вводные'!$D$88:$D$91,$B$64),INDEX('Вводные'!$E$88:$E$91,$B$64)+INDEX('Вводные'!$F$88:$F$91,$B$64)+'Вводные'!$H$9),DT80,0)</x:f>
      </x:c>
      <x:c r="DU81" s="107" t="n">
        <x:f>IF(DU$3&lt;EDATE(INDEX('Вводные'!$D$88:$D$91,$B$64),INDEX('Вводные'!$E$88:$E$91,$B$64)+INDEX('Вводные'!$F$88:$F$91,$B$64)+'Вводные'!$H$9),DU80,0)</x:f>
      </x:c>
      <x:c r="DV81" s="107" t="n">
        <x:f>IF(DV$3&lt;EDATE(INDEX('Вводные'!$D$88:$D$91,$B$64),INDEX('Вводные'!$E$88:$E$91,$B$64)+INDEX('Вводные'!$F$88:$F$91,$B$64)+'Вводные'!$H$9),DV80,0)</x:f>
      </x:c>
      <x:c r="DW81" s="107" t="n">
        <x:f>IF(DW$3&lt;EDATE(INDEX('Вводные'!$D$88:$D$91,$B$64),INDEX('Вводные'!$E$88:$E$91,$B$64)+INDEX('Вводные'!$F$88:$F$91,$B$64)+'Вводные'!$H$9),DW80,0)</x:f>
      </x:c>
      <x:c r="DX81" s="107" t="n">
        <x:f>IF(DX$3&lt;EDATE(INDEX('Вводные'!$D$88:$D$91,$B$64),INDEX('Вводные'!$E$88:$E$91,$B$64)+INDEX('Вводные'!$F$88:$F$91,$B$64)+'Вводные'!$H$9),DX80,0)</x:f>
      </x:c>
      <x:c r="DY81" s="107" t="n">
        <x:f>IF(DY$3&lt;EDATE(INDEX('Вводные'!$D$88:$D$91,$B$64),INDEX('Вводные'!$E$88:$E$91,$B$64)+INDEX('Вводные'!$F$88:$F$91,$B$64)+'Вводные'!$H$9),DY80,0)</x:f>
      </x:c>
      <x:c r="DZ81" s="107" t="n">
        <x:f>IF(DZ$3&lt;EDATE(INDEX('Вводные'!$D$88:$D$91,$B$64),INDEX('Вводные'!$E$88:$E$91,$B$64)+INDEX('Вводные'!$F$88:$F$91,$B$64)+'Вводные'!$H$9),DZ80,0)</x:f>
      </x:c>
      <x:c r="EA81" s="107" t="n">
        <x:f>IF(EA$3&lt;EDATE(INDEX('Вводные'!$D$88:$D$91,$B$64),INDEX('Вводные'!$E$88:$E$91,$B$64)+INDEX('Вводные'!$F$88:$F$91,$B$64)+'Вводные'!$H$9),EA80,0)</x:f>
      </x:c>
      <x:c r="EB81" s="107" t="n">
        <x:f>IF(EB$3&lt;EDATE(INDEX('Вводные'!$D$88:$D$91,$B$64),INDEX('Вводные'!$E$88:$E$91,$B$64)+INDEX('Вводные'!$F$88:$F$91,$B$64)+'Вводные'!$H$9),EB80,0)</x:f>
      </x:c>
      <x:c r="EC81" s="107" t="n">
        <x:f>IF(EC$3&lt;EDATE(INDEX('Вводные'!$D$88:$D$91,$B$64),INDEX('Вводные'!$E$88:$E$91,$B$64)+INDEX('Вводные'!$F$88:$F$91,$B$64)+'Вводные'!$H$9),EC80,0)</x:f>
      </x:c>
      <x:c r="ED81" s="107" t="n">
        <x:f>IF(ED$3&lt;EDATE(INDEX('Вводные'!$D$88:$D$91,$B$64),INDEX('Вводные'!$E$88:$E$91,$B$64)+INDEX('Вводные'!$F$88:$F$91,$B$64)+'Вводные'!$H$9),ED80,0)</x:f>
      </x:c>
      <x:c r="EE81" s="107" t="n">
        <x:f>IF(EE$3&lt;EDATE(INDEX('Вводные'!$D$88:$D$91,$B$64),INDEX('Вводные'!$E$88:$E$91,$B$64)+INDEX('Вводные'!$F$88:$F$91,$B$64)+'Вводные'!$H$9),EE80,0)</x:f>
      </x:c>
      <x:c r="EF81" s="107" t="n">
        <x:f>IF(EF$3&lt;EDATE(INDEX('Вводные'!$D$88:$D$91,$B$64),INDEX('Вводные'!$E$88:$E$91,$B$64)+INDEX('Вводные'!$F$88:$F$91,$B$64)+'Вводные'!$H$9),EF80,0)</x:f>
      </x:c>
      <x:c r="EG81" s="107" t="n">
        <x:f>IF(EG$3&lt;EDATE(INDEX('Вводные'!$D$88:$D$91,$B$64),INDEX('Вводные'!$E$88:$E$91,$B$64)+INDEX('Вводные'!$F$88:$F$91,$B$64)+'Вводные'!$H$9),EG80,0)</x:f>
      </x:c>
      <x:c r="EH81" s="107" t="n">
        <x:f>IF(EH$3&lt;EDATE(INDEX('Вводные'!$D$88:$D$91,$B$64),INDEX('Вводные'!$E$88:$E$91,$B$64)+INDEX('Вводные'!$F$88:$F$91,$B$64)+'Вводные'!$H$9),EH80,0)</x:f>
      </x:c>
      <x:c r="EI81" s="107" t="n">
        <x:f>IF(EI$3&lt;EDATE(INDEX('Вводные'!$D$88:$D$91,$B$64),INDEX('Вводные'!$E$88:$E$91,$B$64)+INDEX('Вводные'!$F$88:$F$91,$B$64)+'Вводные'!$H$9),EI80,0)</x:f>
      </x:c>
      <x:c r="EJ81" s="107" t="n">
        <x:f>IF(EJ$3&lt;EDATE(INDEX('Вводные'!$D$88:$D$91,$B$64),INDEX('Вводные'!$E$88:$E$91,$B$64)+INDEX('Вводные'!$F$88:$F$91,$B$64)+'Вводные'!$H$9),EJ80,0)</x:f>
      </x:c>
      <x:c r="EK81" s="107" t="n">
        <x:f>IF(EK$3&lt;EDATE(INDEX('Вводные'!$D$88:$D$91,$B$64),INDEX('Вводные'!$E$88:$E$91,$B$64)+INDEX('Вводные'!$F$88:$F$91,$B$64)+'Вводные'!$H$9),EK80,0)</x:f>
      </x:c>
      <x:c r="EL81" s="107" t="n">
        <x:f>IF(EL$3&lt;EDATE(INDEX('Вводные'!$D$88:$D$91,$B$64),INDEX('Вводные'!$E$88:$E$91,$B$64)+INDEX('Вводные'!$F$88:$F$91,$B$64)+'Вводные'!$H$9),EL80,0)</x:f>
      </x:c>
      <x:c r="EM81" s="107" t="n">
        <x:f>IF(EM$3&lt;EDATE(INDEX('Вводные'!$D$88:$D$91,$B$64),INDEX('Вводные'!$E$88:$E$91,$B$64)+INDEX('Вводные'!$F$88:$F$91,$B$64)+'Вводные'!$H$9),EM80,0)</x:f>
      </x:c>
      <x:c r="EN81" s="107" t="n">
        <x:f>IF(EN$3&lt;EDATE(INDEX('Вводные'!$D$88:$D$91,$B$64),INDEX('Вводные'!$E$88:$E$91,$B$64)+INDEX('Вводные'!$F$88:$F$91,$B$64)+'Вводные'!$H$9),EN80,0)</x:f>
      </x:c>
      <x:c r="EO81" s="107" t="n">
        <x:f>IF(EO$3&lt;EDATE(INDEX('Вводные'!$D$88:$D$91,$B$64),INDEX('Вводные'!$E$88:$E$91,$B$64)+INDEX('Вводные'!$F$88:$F$91,$B$64)+'Вводные'!$H$9),EO80,0)</x:f>
      </x:c>
      <x:c r="EP81" s="107" t="n">
        <x:f>IF(EP$3&lt;EDATE(INDEX('Вводные'!$D$88:$D$91,$B$64),INDEX('Вводные'!$E$88:$E$91,$B$64)+INDEX('Вводные'!$F$88:$F$91,$B$64)+'Вводные'!$H$9),EP80,0)</x:f>
      </x:c>
      <x:c r="EQ81" s="107" t="n">
        <x:f>IF(EQ$3&lt;EDATE(INDEX('Вводные'!$D$88:$D$91,$B$64),INDEX('Вводные'!$E$88:$E$91,$B$64)+INDEX('Вводные'!$F$88:$F$91,$B$64)+'Вводные'!$H$9),EQ80,0)</x:f>
      </x:c>
      <x:c r="ER81" s="107" t="n">
        <x:f>IF(ER$3&lt;EDATE(INDEX('Вводные'!$D$88:$D$91,$B$64),INDEX('Вводные'!$E$88:$E$91,$B$64)+INDEX('Вводные'!$F$88:$F$91,$B$64)+'Вводные'!$H$9),ER80,0)</x:f>
      </x:c>
      <x:c r="ES81" s="107" t="n">
        <x:f>IF(ES$3&lt;EDATE(INDEX('Вводные'!$D$88:$D$91,$B$64),INDEX('Вводные'!$E$88:$E$91,$B$64)+INDEX('Вводные'!$F$88:$F$91,$B$64)+'Вводные'!$H$9),ES80,0)</x:f>
      </x:c>
      <x:c r="ET81" s="107" t="n">
        <x:f>IF(ET$3&lt;EDATE(INDEX('Вводные'!$D$88:$D$91,$B$64),INDEX('Вводные'!$E$88:$E$91,$B$64)+INDEX('Вводные'!$F$88:$F$91,$B$64)+'Вводные'!$H$9),ET80,0)</x:f>
      </x:c>
      <x:c r="EU81" s="107" t="n">
        <x:f>IF(EU$3&lt;EDATE(INDEX('Вводные'!$D$88:$D$91,$B$64),INDEX('Вводные'!$E$88:$E$91,$B$64)+INDEX('Вводные'!$F$88:$F$91,$B$64)+'Вводные'!$H$9),EU80,0)</x:f>
      </x:c>
      <x:c r="EV81" s="107" t="n">
        <x:f>IF(EV$3&lt;EDATE(INDEX('Вводные'!$D$88:$D$91,$B$64),INDEX('Вводные'!$E$88:$E$91,$B$64)+INDEX('Вводные'!$F$88:$F$91,$B$64)+'Вводные'!$H$9),EV80,0)</x:f>
      </x:c>
      <x:c r="EW81" s="107" t="n">
        <x:f>IF(EW$3&lt;EDATE(INDEX('Вводные'!$D$88:$D$91,$B$64),INDEX('Вводные'!$E$88:$E$91,$B$64)+INDEX('Вводные'!$F$88:$F$91,$B$64)+'Вводные'!$H$9),EW80,0)</x:f>
      </x:c>
      <x:c r="EX81" s="107" t="n">
        <x:f>IF(EX$3&lt;EDATE(INDEX('Вводные'!$D$88:$D$91,$B$64),INDEX('Вводные'!$E$88:$E$91,$B$64)+INDEX('Вводные'!$F$88:$F$91,$B$64)+'Вводные'!$H$9),EX80,0)</x:f>
      </x:c>
      <x:c r="EY81" s="107" t="n">
        <x:f>IF(EY$3&lt;EDATE(INDEX('Вводные'!$D$88:$D$91,$B$64),INDEX('Вводные'!$E$88:$E$91,$B$64)+INDEX('Вводные'!$F$88:$F$91,$B$64)+'Вводные'!$H$9),EY80,0)</x:f>
      </x:c>
      <x:c r="EZ81" s="107" t="n">
        <x:f>IF(EZ$3&lt;EDATE(INDEX('Вводные'!$D$88:$D$91,$B$64),INDEX('Вводные'!$E$88:$E$91,$B$64)+INDEX('Вводные'!$F$88:$F$91,$B$64)+'Вводные'!$H$9),EZ80,0)</x:f>
      </x:c>
      <x:c r="FA81" s="107" t="n">
        <x:f>IF(FA$3&lt;EDATE(INDEX('Вводные'!$D$88:$D$91,$B$64),INDEX('Вводные'!$E$88:$E$91,$B$64)+INDEX('Вводные'!$F$88:$F$91,$B$64)+'Вводные'!$H$9),FA80,0)</x:f>
      </x:c>
      <x:c r="FB81" s="107" t="n">
        <x:f>IF(FB$3&lt;EDATE(INDEX('Вводные'!$D$88:$D$91,$B$64),INDEX('Вводные'!$E$88:$E$91,$B$64)+INDEX('Вводные'!$F$88:$F$91,$B$64)+'Вводные'!$H$9),FB80,0)</x:f>
      </x:c>
      <x:c r="FC81" s="107" t="n">
        <x:f>IF(FC$3&lt;EDATE(INDEX('Вводные'!$D$88:$D$91,$B$64),INDEX('Вводные'!$E$88:$E$91,$B$64)+INDEX('Вводные'!$F$88:$F$91,$B$64)+'Вводные'!$H$9),FC80,0)</x:f>
      </x:c>
      <x:c r="FD81" s="107" t="n">
        <x:f>IF(FD$3&lt;EDATE(INDEX('Вводные'!$D$88:$D$91,$B$64),INDEX('Вводные'!$E$88:$E$91,$B$64)+INDEX('Вводные'!$F$88:$F$91,$B$64)+'Вводные'!$H$9),FD80,0)</x:f>
      </x:c>
      <x:c r="FE81" s="107" t="n">
        <x:f>IF(FE$3&lt;EDATE(INDEX('Вводные'!$D$88:$D$91,$B$64),INDEX('Вводные'!$E$88:$E$91,$B$64)+INDEX('Вводные'!$F$88:$F$91,$B$64)+'Вводные'!$H$9),FE80,0)</x:f>
      </x:c>
      <x:c r="FF81" s="107" t="n">
        <x:f>IF(FF$3&lt;EDATE(INDEX('Вводные'!$D$88:$D$91,$B$64),INDEX('Вводные'!$E$88:$E$91,$B$64)+INDEX('Вводные'!$F$88:$F$91,$B$64)+'Вводные'!$H$9),FF80,0)</x:f>
      </x:c>
      <x:c r="FG81" s="107" t="n">
        <x:f>IF(FG$3&lt;EDATE(INDEX('Вводные'!$D$88:$D$91,$B$64),INDEX('Вводные'!$E$88:$E$91,$B$64)+INDEX('Вводные'!$F$88:$F$91,$B$64)+'Вводные'!$H$9),FG80,0)</x:f>
      </x:c>
      <x:c r="FH81" s="107" t="n">
        <x:f>IF(FH$3&lt;EDATE(INDEX('Вводные'!$D$88:$D$91,$B$64),INDEX('Вводные'!$E$88:$E$91,$B$64)+INDEX('Вводные'!$F$88:$F$91,$B$64)+'Вводные'!$H$9),FH80,0)</x:f>
      </x:c>
      <x:c r="FI81" s="107" t="n">
        <x:f>IF(FI$3&lt;EDATE(INDEX('Вводные'!$D$88:$D$91,$B$64),INDEX('Вводные'!$E$88:$E$91,$B$64)+INDEX('Вводные'!$F$88:$F$91,$B$64)+'Вводные'!$H$9),FI80,0)</x:f>
      </x:c>
      <x:c r="FJ81" s="107" t="n">
        <x:f>IF(FJ$3&lt;EDATE(INDEX('Вводные'!$D$88:$D$91,$B$64),INDEX('Вводные'!$E$88:$E$91,$B$64)+INDEX('Вводные'!$F$88:$F$91,$B$64)+'Вводные'!$H$9),FJ80,0)</x:f>
      </x:c>
      <x:c r="FK81" s="107" t="n">
        <x:f>IF(FK$3&lt;EDATE(INDEX('Вводные'!$D$88:$D$91,$B$64),INDEX('Вводные'!$E$88:$E$91,$B$64)+INDEX('Вводные'!$F$88:$F$91,$B$64)+'Вводные'!$H$9),FK80,0)</x:f>
      </x:c>
      <x:c r="FL81" s="107" t="n">
        <x:f>IF(FL$3&lt;EDATE(INDEX('Вводные'!$D$88:$D$91,$B$64),INDEX('Вводные'!$E$88:$E$91,$B$64)+INDEX('Вводные'!$F$88:$F$91,$B$64)+'Вводные'!$H$9),FL80,0)</x:f>
      </x:c>
      <x:c r="FM81" s="107" t="n">
        <x:f>IF(FM$3&lt;EDATE(INDEX('Вводные'!$D$88:$D$91,$B$64),INDEX('Вводные'!$E$88:$E$91,$B$64)+INDEX('Вводные'!$F$88:$F$91,$B$64)+'Вводные'!$H$9),FM80,0)</x:f>
      </x:c>
      <x:c r="FN81" s="107" t="n">
        <x:f>IF(FN$3&lt;EDATE(INDEX('Вводные'!$D$88:$D$91,$B$64),INDEX('Вводные'!$E$88:$E$91,$B$64)+INDEX('Вводные'!$F$88:$F$91,$B$64)+'Вводные'!$H$9),FN80,0)</x:f>
      </x:c>
      <x:c r="FO81" s="107" t="n">
        <x:f>IF(FO$3&lt;EDATE(INDEX('Вводные'!$D$88:$D$91,$B$64),INDEX('Вводные'!$E$88:$E$91,$B$64)+INDEX('Вводные'!$F$88:$F$91,$B$64)+'Вводные'!$H$9),FO80,0)</x:f>
      </x:c>
      <x:c r="FP81" s="107" t="n">
        <x:f>IF(FP$3&lt;EDATE(INDEX('Вводные'!$D$88:$D$91,$B$64),INDEX('Вводные'!$E$88:$E$91,$B$64)+INDEX('Вводные'!$F$88:$F$91,$B$64)+'Вводные'!$H$9),FP80,0)</x:f>
      </x:c>
      <x:c r="FQ81" s="107" t="n">
        <x:f>IF(FQ$3&lt;EDATE(INDEX('Вводные'!$D$88:$D$91,$B$64),INDEX('Вводные'!$E$88:$E$91,$B$64)+INDEX('Вводные'!$F$88:$F$91,$B$64)+'Вводные'!$H$9),FQ80,0)</x:f>
      </x:c>
      <x:c r="FR81" s="107" t="n">
        <x:f>IF(FR$3&lt;EDATE(INDEX('Вводные'!$D$88:$D$91,$B$64),INDEX('Вводные'!$E$88:$E$91,$B$64)+INDEX('Вводные'!$F$88:$F$91,$B$64)+'Вводные'!$H$9),FR80,0)</x:f>
      </x:c>
      <x:c r="FS81" s="107" t="n">
        <x:f>IF(FS$3&lt;EDATE(INDEX('Вводные'!$D$88:$D$91,$B$64),INDEX('Вводные'!$E$88:$E$91,$B$64)+INDEX('Вводные'!$F$88:$F$91,$B$64)+'Вводные'!$H$9),FS80,0)</x:f>
      </x:c>
      <x:c r="FT81" s="107" t="n">
        <x:f>IF(FT$3&lt;EDATE(INDEX('Вводные'!$D$88:$D$91,$B$64),INDEX('Вводные'!$E$88:$E$91,$B$64)+INDEX('Вводные'!$F$88:$F$91,$B$64)+'Вводные'!$H$9),FT80,0)</x:f>
      </x:c>
      <x:c r="FU81" s="107" t="n">
        <x:f>IF(FU$3&lt;EDATE(INDEX('Вводные'!$D$88:$D$91,$B$64),INDEX('Вводные'!$E$88:$E$91,$B$64)+INDEX('Вводные'!$F$88:$F$91,$B$64)+'Вводные'!$H$9),FU80,0)</x:f>
      </x:c>
      <x:c r="FV81" s="107" t="n">
        <x:f>IF(FV$3&lt;EDATE(INDEX('Вводные'!$D$88:$D$91,$B$64),INDEX('Вводные'!$E$88:$E$91,$B$64)+INDEX('Вводные'!$F$88:$F$91,$B$64)+'Вводные'!$H$9),FV80,0)</x:f>
      </x:c>
      <x:c r="FW81" s="107" t="n">
        <x:f>IF(FW$3&lt;EDATE(INDEX('Вводные'!$D$88:$D$91,$B$64),INDEX('Вводные'!$E$88:$E$91,$B$64)+INDEX('Вводные'!$F$88:$F$91,$B$64)+'Вводные'!$H$9),FW80,0)</x:f>
      </x:c>
      <x:c r="FX81" s="107" t="n">
        <x:f>IF(FX$3&lt;EDATE(INDEX('Вводные'!$D$88:$D$91,$B$64),INDEX('Вводные'!$E$88:$E$91,$B$64)+INDEX('Вводные'!$F$88:$F$91,$B$64)+'Вводные'!$H$9),FX80,0)</x:f>
      </x:c>
      <x:c r="FY81" s="107" t="n">
        <x:f>IF(FY$3&lt;EDATE(INDEX('Вводные'!$D$88:$D$91,$B$64),INDEX('Вводные'!$E$88:$E$91,$B$64)+INDEX('Вводные'!$F$88:$F$91,$B$64)+'Вводные'!$H$9),FY80,0)</x:f>
      </x:c>
      <x:c r="FZ81" s="107" t="n">
        <x:f>IF(FZ$3&lt;EDATE(INDEX('Вводные'!$D$88:$D$91,$B$64),INDEX('Вводные'!$E$88:$E$91,$B$64)+INDEX('Вводные'!$F$88:$F$91,$B$64)+'Вводные'!$H$9),FZ80,0)</x:f>
      </x:c>
      <x:c r="GA81" s="107" t="n">
        <x:f>IF(GA$3&lt;EDATE(INDEX('Вводные'!$D$88:$D$91,$B$64),INDEX('Вводные'!$E$88:$E$91,$B$64)+INDEX('Вводные'!$F$88:$F$91,$B$64)+'Вводные'!$H$9),GA80,0)</x:f>
      </x:c>
    </x:row>
    <x:row r="82">
      <x:c r="A82" t="str">
        <x:v>Прямые поступления после РВЭ</x:v>
      </x:c>
      <x:c r="B82" s="107" t="n">
        <x:f>SUM(D82:GA82)</x:f>
      </x:c>
      <x:c r="C82" t="str">
        <x:v>млн ₽</x:v>
      </x:c>
      <x:c r="D82" s="107" t="n">
        <x:f>IF(D$3&gt;=EDATE(INDEX('Вводные'!$D$88:$D$91,$B$64),INDEX('Вводные'!$E$88:$E$91,$B$64)+INDEX('Вводные'!$F$88:$F$91,$B$64)+'Вводные'!$H$9),D80,0)</x:f>
      </x:c>
      <x:c r="E82" s="107" t="n">
        <x:f>IF(E$3&gt;=EDATE(INDEX('Вводные'!$D$88:$D$91,$B$64),INDEX('Вводные'!$E$88:$E$91,$B$64)+INDEX('Вводные'!$F$88:$F$91,$B$64)+'Вводные'!$H$9),E80,0)</x:f>
      </x:c>
      <x:c r="F82" s="107" t="n">
        <x:f>IF(F$3&gt;=EDATE(INDEX('Вводные'!$D$88:$D$91,$B$64),INDEX('Вводные'!$E$88:$E$91,$B$64)+INDEX('Вводные'!$F$88:$F$91,$B$64)+'Вводные'!$H$9),F80,0)</x:f>
      </x:c>
      <x:c r="G82" s="107" t="n">
        <x:f>IF(G$3&gt;=EDATE(INDEX('Вводные'!$D$88:$D$91,$B$64),INDEX('Вводные'!$E$88:$E$91,$B$64)+INDEX('Вводные'!$F$88:$F$91,$B$64)+'Вводные'!$H$9),G80,0)</x:f>
      </x:c>
      <x:c r="H82" s="107" t="n">
        <x:f>IF(H$3&gt;=EDATE(INDEX('Вводные'!$D$88:$D$91,$B$64),INDEX('Вводные'!$E$88:$E$91,$B$64)+INDEX('Вводные'!$F$88:$F$91,$B$64)+'Вводные'!$H$9),H80,0)</x:f>
      </x:c>
      <x:c r="I82" s="107" t="n">
        <x:f>IF(I$3&gt;=EDATE(INDEX('Вводные'!$D$88:$D$91,$B$64),INDEX('Вводные'!$E$88:$E$91,$B$64)+INDEX('Вводные'!$F$88:$F$91,$B$64)+'Вводные'!$H$9),I80,0)</x:f>
      </x:c>
      <x:c r="J82" s="107" t="n">
        <x:f>IF(J$3&gt;=EDATE(INDEX('Вводные'!$D$88:$D$91,$B$64),INDEX('Вводные'!$E$88:$E$91,$B$64)+INDEX('Вводные'!$F$88:$F$91,$B$64)+'Вводные'!$H$9),J80,0)</x:f>
      </x:c>
      <x:c r="K82" s="107" t="n">
        <x:f>IF(K$3&gt;=EDATE(INDEX('Вводные'!$D$88:$D$91,$B$64),INDEX('Вводные'!$E$88:$E$91,$B$64)+INDEX('Вводные'!$F$88:$F$91,$B$64)+'Вводные'!$H$9),K80,0)</x:f>
      </x:c>
      <x:c r="L82" s="107" t="n">
        <x:f>IF(L$3&gt;=EDATE(INDEX('Вводные'!$D$88:$D$91,$B$64),INDEX('Вводные'!$E$88:$E$91,$B$64)+INDEX('Вводные'!$F$88:$F$91,$B$64)+'Вводные'!$H$9),L80,0)</x:f>
      </x:c>
      <x:c r="M82" s="107" t="n">
        <x:f>IF(M$3&gt;=EDATE(INDEX('Вводные'!$D$88:$D$91,$B$64),INDEX('Вводные'!$E$88:$E$91,$B$64)+INDEX('Вводные'!$F$88:$F$91,$B$64)+'Вводные'!$H$9),M80,0)</x:f>
      </x:c>
      <x:c r="N82" s="107" t="n">
        <x:f>IF(N$3&gt;=EDATE(INDEX('Вводные'!$D$88:$D$91,$B$64),INDEX('Вводные'!$E$88:$E$91,$B$64)+INDEX('Вводные'!$F$88:$F$91,$B$64)+'Вводные'!$H$9),N80,0)</x:f>
      </x:c>
      <x:c r="O82" s="107" t="n">
        <x:f>IF(O$3&gt;=EDATE(INDEX('Вводные'!$D$88:$D$91,$B$64),INDEX('Вводные'!$E$88:$E$91,$B$64)+INDEX('Вводные'!$F$88:$F$91,$B$64)+'Вводные'!$H$9),O80,0)</x:f>
      </x:c>
      <x:c r="P82" s="107" t="n">
        <x:f>IF(P$3&gt;=EDATE(INDEX('Вводные'!$D$88:$D$91,$B$64),INDEX('Вводные'!$E$88:$E$91,$B$64)+INDEX('Вводные'!$F$88:$F$91,$B$64)+'Вводные'!$H$9),P80,0)</x:f>
      </x:c>
      <x:c r="Q82" s="107" t="n">
        <x:f>IF(Q$3&gt;=EDATE(INDEX('Вводные'!$D$88:$D$91,$B$64),INDEX('Вводные'!$E$88:$E$91,$B$64)+INDEX('Вводные'!$F$88:$F$91,$B$64)+'Вводные'!$H$9),Q80,0)</x:f>
      </x:c>
      <x:c r="R82" s="107" t="n">
        <x:f>IF(R$3&gt;=EDATE(INDEX('Вводные'!$D$88:$D$91,$B$64),INDEX('Вводные'!$E$88:$E$91,$B$64)+INDEX('Вводные'!$F$88:$F$91,$B$64)+'Вводные'!$H$9),R80,0)</x:f>
      </x:c>
      <x:c r="S82" s="107" t="n">
        <x:f>IF(S$3&gt;=EDATE(INDEX('Вводные'!$D$88:$D$91,$B$64),INDEX('Вводные'!$E$88:$E$91,$B$64)+INDEX('Вводные'!$F$88:$F$91,$B$64)+'Вводные'!$H$9),S80,0)</x:f>
      </x:c>
      <x:c r="T82" s="107" t="n">
        <x:f>IF(T$3&gt;=EDATE(INDEX('Вводные'!$D$88:$D$91,$B$64),INDEX('Вводные'!$E$88:$E$91,$B$64)+INDEX('Вводные'!$F$88:$F$91,$B$64)+'Вводные'!$H$9),T80,0)</x:f>
      </x:c>
      <x:c r="U82" s="107" t="n">
        <x:f>IF(U$3&gt;=EDATE(INDEX('Вводные'!$D$88:$D$91,$B$64),INDEX('Вводные'!$E$88:$E$91,$B$64)+INDEX('Вводные'!$F$88:$F$91,$B$64)+'Вводные'!$H$9),U80,0)</x:f>
      </x:c>
      <x:c r="V82" s="107" t="n">
        <x:f>IF(V$3&gt;=EDATE(INDEX('Вводные'!$D$88:$D$91,$B$64),INDEX('Вводные'!$E$88:$E$91,$B$64)+INDEX('Вводные'!$F$88:$F$91,$B$64)+'Вводные'!$H$9),V80,0)</x:f>
      </x:c>
      <x:c r="W82" s="107" t="n">
        <x:f>IF(W$3&gt;=EDATE(INDEX('Вводные'!$D$88:$D$91,$B$64),INDEX('Вводные'!$E$88:$E$91,$B$64)+INDEX('Вводные'!$F$88:$F$91,$B$64)+'Вводные'!$H$9),W80,0)</x:f>
      </x:c>
      <x:c r="X82" s="107" t="n">
        <x:f>IF(X$3&gt;=EDATE(INDEX('Вводные'!$D$88:$D$91,$B$64),INDEX('Вводные'!$E$88:$E$91,$B$64)+INDEX('Вводные'!$F$88:$F$91,$B$64)+'Вводные'!$H$9),X80,0)</x:f>
      </x:c>
      <x:c r="Y82" s="107" t="n">
        <x:f>IF(Y$3&gt;=EDATE(INDEX('Вводные'!$D$88:$D$91,$B$64),INDEX('Вводные'!$E$88:$E$91,$B$64)+INDEX('Вводные'!$F$88:$F$91,$B$64)+'Вводные'!$H$9),Y80,0)</x:f>
      </x:c>
      <x:c r="Z82" s="107" t="n">
        <x:f>IF(Z$3&gt;=EDATE(INDEX('Вводные'!$D$88:$D$91,$B$64),INDEX('Вводные'!$E$88:$E$91,$B$64)+INDEX('Вводные'!$F$88:$F$91,$B$64)+'Вводные'!$H$9),Z80,0)</x:f>
      </x:c>
      <x:c r="AA82" s="107" t="n">
        <x:f>IF(AA$3&gt;=EDATE(INDEX('Вводные'!$D$88:$D$91,$B$64),INDEX('Вводные'!$E$88:$E$91,$B$64)+INDEX('Вводные'!$F$88:$F$91,$B$64)+'Вводные'!$H$9),AA80,0)</x:f>
      </x:c>
      <x:c r="AB82" s="107" t="n">
        <x:f>IF(AB$3&gt;=EDATE(INDEX('Вводные'!$D$88:$D$91,$B$64),INDEX('Вводные'!$E$88:$E$91,$B$64)+INDEX('Вводные'!$F$88:$F$91,$B$64)+'Вводные'!$H$9),AB80,0)</x:f>
      </x:c>
      <x:c r="AC82" s="107" t="n">
        <x:f>IF(AC$3&gt;=EDATE(INDEX('Вводные'!$D$88:$D$91,$B$64),INDEX('Вводные'!$E$88:$E$91,$B$64)+INDEX('Вводные'!$F$88:$F$91,$B$64)+'Вводные'!$H$9),AC80,0)</x:f>
      </x:c>
      <x:c r="AD82" s="107" t="n">
        <x:f>IF(AD$3&gt;=EDATE(INDEX('Вводные'!$D$88:$D$91,$B$64),INDEX('Вводные'!$E$88:$E$91,$B$64)+INDEX('Вводные'!$F$88:$F$91,$B$64)+'Вводные'!$H$9),AD80,0)</x:f>
      </x:c>
      <x:c r="AE82" s="107" t="n">
        <x:f>IF(AE$3&gt;=EDATE(INDEX('Вводные'!$D$88:$D$91,$B$64),INDEX('Вводные'!$E$88:$E$91,$B$64)+INDEX('Вводные'!$F$88:$F$91,$B$64)+'Вводные'!$H$9),AE80,0)</x:f>
      </x:c>
      <x:c r="AF82" s="107" t="n">
        <x:f>IF(AF$3&gt;=EDATE(INDEX('Вводные'!$D$88:$D$91,$B$64),INDEX('Вводные'!$E$88:$E$91,$B$64)+INDEX('Вводные'!$F$88:$F$91,$B$64)+'Вводные'!$H$9),AF80,0)</x:f>
      </x:c>
      <x:c r="AG82" s="107" t="n">
        <x:f>IF(AG$3&gt;=EDATE(INDEX('Вводные'!$D$88:$D$91,$B$64),INDEX('Вводные'!$E$88:$E$91,$B$64)+INDEX('Вводные'!$F$88:$F$91,$B$64)+'Вводные'!$H$9),AG80,0)</x:f>
      </x:c>
      <x:c r="AH82" s="107" t="n">
        <x:f>IF(AH$3&gt;=EDATE(INDEX('Вводные'!$D$88:$D$91,$B$64),INDEX('Вводные'!$E$88:$E$91,$B$64)+INDEX('Вводные'!$F$88:$F$91,$B$64)+'Вводные'!$H$9),AH80,0)</x:f>
      </x:c>
      <x:c r="AI82" s="107" t="n">
        <x:f>IF(AI$3&gt;=EDATE(INDEX('Вводные'!$D$88:$D$91,$B$64),INDEX('Вводные'!$E$88:$E$91,$B$64)+INDEX('Вводные'!$F$88:$F$91,$B$64)+'Вводные'!$H$9),AI80,0)</x:f>
      </x:c>
      <x:c r="AJ82" s="107" t="n">
        <x:f>IF(AJ$3&gt;=EDATE(INDEX('Вводные'!$D$88:$D$91,$B$64),INDEX('Вводные'!$E$88:$E$91,$B$64)+INDEX('Вводные'!$F$88:$F$91,$B$64)+'Вводные'!$H$9),AJ80,0)</x:f>
      </x:c>
      <x:c r="AK82" s="107" t="n">
        <x:f>IF(AK$3&gt;=EDATE(INDEX('Вводные'!$D$88:$D$91,$B$64),INDEX('Вводные'!$E$88:$E$91,$B$64)+INDEX('Вводные'!$F$88:$F$91,$B$64)+'Вводные'!$H$9),AK80,0)</x:f>
      </x:c>
      <x:c r="AL82" s="107" t="n">
        <x:f>IF(AL$3&gt;=EDATE(INDEX('Вводные'!$D$88:$D$91,$B$64),INDEX('Вводные'!$E$88:$E$91,$B$64)+INDEX('Вводные'!$F$88:$F$91,$B$64)+'Вводные'!$H$9),AL80,0)</x:f>
      </x:c>
      <x:c r="AM82" s="107" t="n">
        <x:f>IF(AM$3&gt;=EDATE(INDEX('Вводные'!$D$88:$D$91,$B$64),INDEX('Вводные'!$E$88:$E$91,$B$64)+INDEX('Вводные'!$F$88:$F$91,$B$64)+'Вводные'!$H$9),AM80,0)</x:f>
      </x:c>
      <x:c r="AN82" s="107" t="n">
        <x:f>IF(AN$3&gt;=EDATE(INDEX('Вводные'!$D$88:$D$91,$B$64),INDEX('Вводные'!$E$88:$E$91,$B$64)+INDEX('Вводные'!$F$88:$F$91,$B$64)+'Вводные'!$H$9),AN80,0)</x:f>
      </x:c>
      <x:c r="AO82" s="107" t="n">
        <x:f>IF(AO$3&gt;=EDATE(INDEX('Вводные'!$D$88:$D$91,$B$64),INDEX('Вводные'!$E$88:$E$91,$B$64)+INDEX('Вводные'!$F$88:$F$91,$B$64)+'Вводные'!$H$9),AO80,0)</x:f>
      </x:c>
      <x:c r="AP82" s="107" t="n">
        <x:f>IF(AP$3&gt;=EDATE(INDEX('Вводные'!$D$88:$D$91,$B$64),INDEX('Вводные'!$E$88:$E$91,$B$64)+INDEX('Вводные'!$F$88:$F$91,$B$64)+'Вводные'!$H$9),AP80,0)</x:f>
      </x:c>
      <x:c r="AQ82" s="107" t="n">
        <x:f>IF(AQ$3&gt;=EDATE(INDEX('Вводные'!$D$88:$D$91,$B$64),INDEX('Вводные'!$E$88:$E$91,$B$64)+INDEX('Вводные'!$F$88:$F$91,$B$64)+'Вводные'!$H$9),AQ80,0)</x:f>
      </x:c>
      <x:c r="AR82" s="107" t="n">
        <x:f>IF(AR$3&gt;=EDATE(INDEX('Вводные'!$D$88:$D$91,$B$64),INDEX('Вводные'!$E$88:$E$91,$B$64)+INDEX('Вводные'!$F$88:$F$91,$B$64)+'Вводные'!$H$9),AR80,0)</x:f>
      </x:c>
      <x:c r="AS82" s="107" t="n">
        <x:f>IF(AS$3&gt;=EDATE(INDEX('Вводные'!$D$88:$D$91,$B$64),INDEX('Вводные'!$E$88:$E$91,$B$64)+INDEX('Вводные'!$F$88:$F$91,$B$64)+'Вводные'!$H$9),AS80,0)</x:f>
      </x:c>
      <x:c r="AT82" s="107" t="n">
        <x:f>IF(AT$3&gt;=EDATE(INDEX('Вводные'!$D$88:$D$91,$B$64),INDEX('Вводные'!$E$88:$E$91,$B$64)+INDEX('Вводные'!$F$88:$F$91,$B$64)+'Вводные'!$H$9),AT80,0)</x:f>
      </x:c>
      <x:c r="AU82" s="107" t="n">
        <x:f>IF(AU$3&gt;=EDATE(INDEX('Вводные'!$D$88:$D$91,$B$64),INDEX('Вводные'!$E$88:$E$91,$B$64)+INDEX('Вводные'!$F$88:$F$91,$B$64)+'Вводные'!$H$9),AU80,0)</x:f>
      </x:c>
      <x:c r="AV82" s="107" t="n">
        <x:f>IF(AV$3&gt;=EDATE(INDEX('Вводные'!$D$88:$D$91,$B$64),INDEX('Вводные'!$E$88:$E$91,$B$64)+INDEX('Вводные'!$F$88:$F$91,$B$64)+'Вводные'!$H$9),AV80,0)</x:f>
      </x:c>
      <x:c r="AW82" s="107" t="n">
        <x:f>IF(AW$3&gt;=EDATE(INDEX('Вводные'!$D$88:$D$91,$B$64),INDEX('Вводные'!$E$88:$E$91,$B$64)+INDEX('Вводные'!$F$88:$F$91,$B$64)+'Вводные'!$H$9),AW80,0)</x:f>
      </x:c>
      <x:c r="AX82" s="107" t="n">
        <x:f>IF(AX$3&gt;=EDATE(INDEX('Вводные'!$D$88:$D$91,$B$64),INDEX('Вводные'!$E$88:$E$91,$B$64)+INDEX('Вводные'!$F$88:$F$91,$B$64)+'Вводные'!$H$9),AX80,0)</x:f>
      </x:c>
      <x:c r="AY82" s="107" t="n">
        <x:f>IF(AY$3&gt;=EDATE(INDEX('Вводные'!$D$88:$D$91,$B$64),INDEX('Вводные'!$E$88:$E$91,$B$64)+INDEX('Вводные'!$F$88:$F$91,$B$64)+'Вводные'!$H$9),AY80,0)</x:f>
      </x:c>
      <x:c r="AZ82" s="107" t="n">
        <x:f>IF(AZ$3&gt;=EDATE(INDEX('Вводные'!$D$88:$D$91,$B$64),INDEX('Вводные'!$E$88:$E$91,$B$64)+INDEX('Вводные'!$F$88:$F$91,$B$64)+'Вводные'!$H$9),AZ80,0)</x:f>
      </x:c>
      <x:c r="BA82" s="107" t="n">
        <x:f>IF(BA$3&gt;=EDATE(INDEX('Вводные'!$D$88:$D$91,$B$64),INDEX('Вводные'!$E$88:$E$91,$B$64)+INDEX('Вводные'!$F$88:$F$91,$B$64)+'Вводные'!$H$9),BA80,0)</x:f>
      </x:c>
      <x:c r="BB82" s="107" t="n">
        <x:f>IF(BB$3&gt;=EDATE(INDEX('Вводные'!$D$88:$D$91,$B$64),INDEX('Вводные'!$E$88:$E$91,$B$64)+INDEX('Вводные'!$F$88:$F$91,$B$64)+'Вводные'!$H$9),BB80,0)</x:f>
      </x:c>
      <x:c r="BC82" s="107" t="n">
        <x:f>IF(BC$3&gt;=EDATE(INDEX('Вводные'!$D$88:$D$91,$B$64),INDEX('Вводные'!$E$88:$E$91,$B$64)+INDEX('Вводные'!$F$88:$F$91,$B$64)+'Вводные'!$H$9),BC80,0)</x:f>
      </x:c>
      <x:c r="BD82" s="107" t="n">
        <x:f>IF(BD$3&gt;=EDATE(INDEX('Вводные'!$D$88:$D$91,$B$64),INDEX('Вводные'!$E$88:$E$91,$B$64)+INDEX('Вводные'!$F$88:$F$91,$B$64)+'Вводные'!$H$9),BD80,0)</x:f>
      </x:c>
      <x:c r="BE82" s="107" t="n">
        <x:f>IF(BE$3&gt;=EDATE(INDEX('Вводные'!$D$88:$D$91,$B$64),INDEX('Вводные'!$E$88:$E$91,$B$64)+INDEX('Вводные'!$F$88:$F$91,$B$64)+'Вводные'!$H$9),BE80,0)</x:f>
      </x:c>
      <x:c r="BF82" s="107" t="n">
        <x:f>IF(BF$3&gt;=EDATE(INDEX('Вводные'!$D$88:$D$91,$B$64),INDEX('Вводные'!$E$88:$E$91,$B$64)+INDEX('Вводные'!$F$88:$F$91,$B$64)+'Вводные'!$H$9),BF80,0)</x:f>
      </x:c>
      <x:c r="BG82" s="107" t="n">
        <x:f>IF(BG$3&gt;=EDATE(INDEX('Вводные'!$D$88:$D$91,$B$64),INDEX('Вводные'!$E$88:$E$91,$B$64)+INDEX('Вводные'!$F$88:$F$91,$B$64)+'Вводные'!$H$9),BG80,0)</x:f>
      </x:c>
      <x:c r="BH82" s="107" t="n">
        <x:f>IF(BH$3&gt;=EDATE(INDEX('Вводные'!$D$88:$D$91,$B$64),INDEX('Вводные'!$E$88:$E$91,$B$64)+INDEX('Вводные'!$F$88:$F$91,$B$64)+'Вводные'!$H$9),BH80,0)</x:f>
      </x:c>
      <x:c r="BI82" s="107" t="n">
        <x:f>IF(BI$3&gt;=EDATE(INDEX('Вводные'!$D$88:$D$91,$B$64),INDEX('Вводные'!$E$88:$E$91,$B$64)+INDEX('Вводные'!$F$88:$F$91,$B$64)+'Вводные'!$H$9),BI80,0)</x:f>
      </x:c>
      <x:c r="BJ82" s="107" t="n">
        <x:f>IF(BJ$3&gt;=EDATE(INDEX('Вводные'!$D$88:$D$91,$B$64),INDEX('Вводные'!$E$88:$E$91,$B$64)+INDEX('Вводные'!$F$88:$F$91,$B$64)+'Вводные'!$H$9),BJ80,0)</x:f>
      </x:c>
      <x:c r="BK82" s="107" t="n">
        <x:f>IF(BK$3&gt;=EDATE(INDEX('Вводные'!$D$88:$D$91,$B$64),INDEX('Вводные'!$E$88:$E$91,$B$64)+INDEX('Вводные'!$F$88:$F$91,$B$64)+'Вводные'!$H$9),BK80,0)</x:f>
      </x:c>
      <x:c r="BL82" s="107" t="n">
        <x:f>IF(BL$3&gt;=EDATE(INDEX('Вводные'!$D$88:$D$91,$B$64),INDEX('Вводные'!$E$88:$E$91,$B$64)+INDEX('Вводные'!$F$88:$F$91,$B$64)+'Вводные'!$H$9),BL80,0)</x:f>
      </x:c>
      <x:c r="BM82" s="107" t="n">
        <x:f>IF(BM$3&gt;=EDATE(INDEX('Вводные'!$D$88:$D$91,$B$64),INDEX('Вводные'!$E$88:$E$91,$B$64)+INDEX('Вводные'!$F$88:$F$91,$B$64)+'Вводные'!$H$9),BM80,0)</x:f>
      </x:c>
      <x:c r="BN82" s="107" t="n">
        <x:f>IF(BN$3&gt;=EDATE(INDEX('Вводные'!$D$88:$D$91,$B$64),INDEX('Вводные'!$E$88:$E$91,$B$64)+INDEX('Вводные'!$F$88:$F$91,$B$64)+'Вводные'!$H$9),BN80,0)</x:f>
      </x:c>
      <x:c r="BO82" s="107" t="n">
        <x:f>IF(BO$3&gt;=EDATE(INDEX('Вводные'!$D$88:$D$91,$B$64),INDEX('Вводные'!$E$88:$E$91,$B$64)+INDEX('Вводные'!$F$88:$F$91,$B$64)+'Вводные'!$H$9),BO80,0)</x:f>
      </x:c>
      <x:c r="BP82" s="107" t="n">
        <x:f>IF(BP$3&gt;=EDATE(INDEX('Вводные'!$D$88:$D$91,$B$64),INDEX('Вводные'!$E$88:$E$91,$B$64)+INDEX('Вводные'!$F$88:$F$91,$B$64)+'Вводные'!$H$9),BP80,0)</x:f>
      </x:c>
      <x:c r="BQ82" s="107" t="n">
        <x:f>IF(BQ$3&gt;=EDATE(INDEX('Вводные'!$D$88:$D$91,$B$64),INDEX('Вводные'!$E$88:$E$91,$B$64)+INDEX('Вводные'!$F$88:$F$91,$B$64)+'Вводные'!$H$9),BQ80,0)</x:f>
      </x:c>
      <x:c r="BR82" s="107" t="n">
        <x:f>IF(BR$3&gt;=EDATE(INDEX('Вводные'!$D$88:$D$91,$B$64),INDEX('Вводные'!$E$88:$E$91,$B$64)+INDEX('Вводные'!$F$88:$F$91,$B$64)+'Вводные'!$H$9),BR80,0)</x:f>
      </x:c>
      <x:c r="BS82" s="107" t="n">
        <x:f>IF(BS$3&gt;=EDATE(INDEX('Вводные'!$D$88:$D$91,$B$64),INDEX('Вводные'!$E$88:$E$91,$B$64)+INDEX('Вводные'!$F$88:$F$91,$B$64)+'Вводные'!$H$9),BS80,0)</x:f>
      </x:c>
      <x:c r="BT82" s="107" t="n">
        <x:f>IF(BT$3&gt;=EDATE(INDEX('Вводные'!$D$88:$D$91,$B$64),INDEX('Вводные'!$E$88:$E$91,$B$64)+INDEX('Вводные'!$F$88:$F$91,$B$64)+'Вводные'!$H$9),BT80,0)</x:f>
      </x:c>
      <x:c r="BU82" s="107" t="n">
        <x:f>IF(BU$3&gt;=EDATE(INDEX('Вводные'!$D$88:$D$91,$B$64),INDEX('Вводные'!$E$88:$E$91,$B$64)+INDEX('Вводные'!$F$88:$F$91,$B$64)+'Вводные'!$H$9),BU80,0)</x:f>
      </x:c>
      <x:c r="BV82" s="107" t="n">
        <x:f>IF(BV$3&gt;=EDATE(INDEX('Вводные'!$D$88:$D$91,$B$64),INDEX('Вводные'!$E$88:$E$91,$B$64)+INDEX('Вводные'!$F$88:$F$91,$B$64)+'Вводные'!$H$9),BV80,0)</x:f>
      </x:c>
      <x:c r="BW82" s="107" t="n">
        <x:f>IF(BW$3&gt;=EDATE(INDEX('Вводные'!$D$88:$D$91,$B$64),INDEX('Вводные'!$E$88:$E$91,$B$64)+INDEX('Вводные'!$F$88:$F$91,$B$64)+'Вводные'!$H$9),BW80,0)</x:f>
      </x:c>
      <x:c r="BX82" s="107" t="n">
        <x:f>IF(BX$3&gt;=EDATE(INDEX('Вводные'!$D$88:$D$91,$B$64),INDEX('Вводные'!$E$88:$E$91,$B$64)+INDEX('Вводные'!$F$88:$F$91,$B$64)+'Вводные'!$H$9),BX80,0)</x:f>
      </x:c>
      <x:c r="BY82" s="107" t="n">
        <x:f>IF(BY$3&gt;=EDATE(INDEX('Вводные'!$D$88:$D$91,$B$64),INDEX('Вводные'!$E$88:$E$91,$B$64)+INDEX('Вводные'!$F$88:$F$91,$B$64)+'Вводные'!$H$9),BY80,0)</x:f>
      </x:c>
      <x:c r="BZ82" s="107" t="n">
        <x:f>IF(BZ$3&gt;=EDATE(INDEX('Вводные'!$D$88:$D$91,$B$64),INDEX('Вводные'!$E$88:$E$91,$B$64)+INDEX('Вводные'!$F$88:$F$91,$B$64)+'Вводные'!$H$9),BZ80,0)</x:f>
      </x:c>
      <x:c r="CA82" s="107" t="n">
        <x:f>IF(CA$3&gt;=EDATE(INDEX('Вводные'!$D$88:$D$91,$B$64),INDEX('Вводные'!$E$88:$E$91,$B$64)+INDEX('Вводные'!$F$88:$F$91,$B$64)+'Вводные'!$H$9),CA80,0)</x:f>
      </x:c>
      <x:c r="CB82" s="107" t="n">
        <x:f>IF(CB$3&gt;=EDATE(INDEX('Вводные'!$D$88:$D$91,$B$64),INDEX('Вводные'!$E$88:$E$91,$B$64)+INDEX('Вводные'!$F$88:$F$91,$B$64)+'Вводные'!$H$9),CB80,0)</x:f>
      </x:c>
      <x:c r="CC82" s="107" t="n">
        <x:f>IF(CC$3&gt;=EDATE(INDEX('Вводные'!$D$88:$D$91,$B$64),INDEX('Вводные'!$E$88:$E$91,$B$64)+INDEX('Вводные'!$F$88:$F$91,$B$64)+'Вводные'!$H$9),CC80,0)</x:f>
      </x:c>
      <x:c r="CD82" s="107" t="n">
        <x:f>IF(CD$3&gt;=EDATE(INDEX('Вводные'!$D$88:$D$91,$B$64),INDEX('Вводные'!$E$88:$E$91,$B$64)+INDEX('Вводные'!$F$88:$F$91,$B$64)+'Вводные'!$H$9),CD80,0)</x:f>
      </x:c>
      <x:c r="CE82" s="107" t="n">
        <x:f>IF(CE$3&gt;=EDATE(INDEX('Вводные'!$D$88:$D$91,$B$64),INDEX('Вводные'!$E$88:$E$91,$B$64)+INDEX('Вводные'!$F$88:$F$91,$B$64)+'Вводные'!$H$9),CE80,0)</x:f>
      </x:c>
      <x:c r="CF82" s="107" t="n">
        <x:f>IF(CF$3&gt;=EDATE(INDEX('Вводные'!$D$88:$D$91,$B$64),INDEX('Вводные'!$E$88:$E$91,$B$64)+INDEX('Вводные'!$F$88:$F$91,$B$64)+'Вводные'!$H$9),CF80,0)</x:f>
      </x:c>
      <x:c r="CG82" s="107" t="n">
        <x:f>IF(CG$3&gt;=EDATE(INDEX('Вводные'!$D$88:$D$91,$B$64),INDEX('Вводные'!$E$88:$E$91,$B$64)+INDEX('Вводные'!$F$88:$F$91,$B$64)+'Вводные'!$H$9),CG80,0)</x:f>
      </x:c>
      <x:c r="CH82" s="107" t="n">
        <x:f>IF(CH$3&gt;=EDATE(INDEX('Вводные'!$D$88:$D$91,$B$64),INDEX('Вводные'!$E$88:$E$91,$B$64)+INDEX('Вводные'!$F$88:$F$91,$B$64)+'Вводные'!$H$9),CH80,0)</x:f>
      </x:c>
      <x:c r="CI82" s="107" t="n">
        <x:f>IF(CI$3&gt;=EDATE(INDEX('Вводные'!$D$88:$D$91,$B$64),INDEX('Вводные'!$E$88:$E$91,$B$64)+INDEX('Вводные'!$F$88:$F$91,$B$64)+'Вводные'!$H$9),CI80,0)</x:f>
      </x:c>
      <x:c r="CJ82" s="107" t="n">
        <x:f>IF(CJ$3&gt;=EDATE(INDEX('Вводные'!$D$88:$D$91,$B$64),INDEX('Вводные'!$E$88:$E$91,$B$64)+INDEX('Вводные'!$F$88:$F$91,$B$64)+'Вводные'!$H$9),CJ80,0)</x:f>
      </x:c>
      <x:c r="CK82" s="107" t="n">
        <x:f>IF(CK$3&gt;=EDATE(INDEX('Вводные'!$D$88:$D$91,$B$64),INDEX('Вводные'!$E$88:$E$91,$B$64)+INDEX('Вводные'!$F$88:$F$91,$B$64)+'Вводные'!$H$9),CK80,0)</x:f>
      </x:c>
      <x:c r="CL82" s="107" t="n">
        <x:f>IF(CL$3&gt;=EDATE(INDEX('Вводные'!$D$88:$D$91,$B$64),INDEX('Вводные'!$E$88:$E$91,$B$64)+INDEX('Вводные'!$F$88:$F$91,$B$64)+'Вводные'!$H$9),CL80,0)</x:f>
      </x:c>
      <x:c r="CM82" s="107" t="n">
        <x:f>IF(CM$3&gt;=EDATE(INDEX('Вводные'!$D$88:$D$91,$B$64),INDEX('Вводные'!$E$88:$E$91,$B$64)+INDEX('Вводные'!$F$88:$F$91,$B$64)+'Вводные'!$H$9),CM80,0)</x:f>
      </x:c>
      <x:c r="CN82" s="107" t="n">
        <x:f>IF(CN$3&gt;=EDATE(INDEX('Вводные'!$D$88:$D$91,$B$64),INDEX('Вводные'!$E$88:$E$91,$B$64)+INDEX('Вводные'!$F$88:$F$91,$B$64)+'Вводные'!$H$9),CN80,0)</x:f>
      </x:c>
      <x:c r="CO82" s="107" t="n">
        <x:f>IF(CO$3&gt;=EDATE(INDEX('Вводные'!$D$88:$D$91,$B$64),INDEX('Вводные'!$E$88:$E$91,$B$64)+INDEX('Вводные'!$F$88:$F$91,$B$64)+'Вводные'!$H$9),CO80,0)</x:f>
      </x:c>
      <x:c r="CP82" s="107" t="n">
        <x:f>IF(CP$3&gt;=EDATE(INDEX('Вводные'!$D$88:$D$91,$B$64),INDEX('Вводные'!$E$88:$E$91,$B$64)+INDEX('Вводные'!$F$88:$F$91,$B$64)+'Вводные'!$H$9),CP80,0)</x:f>
      </x:c>
      <x:c r="CQ82" s="107" t="n">
        <x:f>IF(CQ$3&gt;=EDATE(INDEX('Вводные'!$D$88:$D$91,$B$64),INDEX('Вводные'!$E$88:$E$91,$B$64)+INDEX('Вводные'!$F$88:$F$91,$B$64)+'Вводные'!$H$9),CQ80,0)</x:f>
      </x:c>
      <x:c r="CR82" s="107" t="n">
        <x:f>IF(CR$3&gt;=EDATE(INDEX('Вводные'!$D$88:$D$91,$B$64),INDEX('Вводные'!$E$88:$E$91,$B$64)+INDEX('Вводные'!$F$88:$F$91,$B$64)+'Вводные'!$H$9),CR80,0)</x:f>
      </x:c>
      <x:c r="CS82" s="107" t="n">
        <x:f>IF(CS$3&gt;=EDATE(INDEX('Вводные'!$D$88:$D$91,$B$64),INDEX('Вводные'!$E$88:$E$91,$B$64)+INDEX('Вводные'!$F$88:$F$91,$B$64)+'Вводные'!$H$9),CS80,0)</x:f>
      </x:c>
      <x:c r="CT82" s="107" t="n">
        <x:f>IF(CT$3&gt;=EDATE(INDEX('Вводные'!$D$88:$D$91,$B$64),INDEX('Вводные'!$E$88:$E$91,$B$64)+INDEX('Вводные'!$F$88:$F$91,$B$64)+'Вводные'!$H$9),CT80,0)</x:f>
      </x:c>
      <x:c r="CU82" s="107" t="n">
        <x:f>IF(CU$3&gt;=EDATE(INDEX('Вводные'!$D$88:$D$91,$B$64),INDEX('Вводные'!$E$88:$E$91,$B$64)+INDEX('Вводные'!$F$88:$F$91,$B$64)+'Вводные'!$H$9),CU80,0)</x:f>
      </x:c>
      <x:c r="CV82" s="107" t="n">
        <x:f>IF(CV$3&gt;=EDATE(INDEX('Вводные'!$D$88:$D$91,$B$64),INDEX('Вводные'!$E$88:$E$91,$B$64)+INDEX('Вводные'!$F$88:$F$91,$B$64)+'Вводные'!$H$9),CV80,0)</x:f>
      </x:c>
      <x:c r="CW82" s="107" t="n">
        <x:f>IF(CW$3&gt;=EDATE(INDEX('Вводные'!$D$88:$D$91,$B$64),INDEX('Вводные'!$E$88:$E$91,$B$64)+INDEX('Вводные'!$F$88:$F$91,$B$64)+'Вводные'!$H$9),CW80,0)</x:f>
      </x:c>
      <x:c r="CX82" s="107" t="n">
        <x:f>IF(CX$3&gt;=EDATE(INDEX('Вводные'!$D$88:$D$91,$B$64),INDEX('Вводные'!$E$88:$E$91,$B$64)+INDEX('Вводные'!$F$88:$F$91,$B$64)+'Вводные'!$H$9),CX80,0)</x:f>
      </x:c>
      <x:c r="CY82" s="107" t="n">
        <x:f>IF(CY$3&gt;=EDATE(INDEX('Вводные'!$D$88:$D$91,$B$64),INDEX('Вводные'!$E$88:$E$91,$B$64)+INDEX('Вводные'!$F$88:$F$91,$B$64)+'Вводные'!$H$9),CY80,0)</x:f>
      </x:c>
      <x:c r="CZ82" s="107" t="n">
        <x:f>IF(CZ$3&gt;=EDATE(INDEX('Вводные'!$D$88:$D$91,$B$64),INDEX('Вводные'!$E$88:$E$91,$B$64)+INDEX('Вводные'!$F$88:$F$91,$B$64)+'Вводные'!$H$9),CZ80,0)</x:f>
      </x:c>
      <x:c r="DA82" s="107" t="n">
        <x:f>IF(DA$3&gt;=EDATE(INDEX('Вводные'!$D$88:$D$91,$B$64),INDEX('Вводные'!$E$88:$E$91,$B$64)+INDEX('Вводные'!$F$88:$F$91,$B$64)+'Вводные'!$H$9),DA80,0)</x:f>
      </x:c>
      <x:c r="DB82" s="107" t="n">
        <x:f>IF(DB$3&gt;=EDATE(INDEX('Вводные'!$D$88:$D$91,$B$64),INDEX('Вводные'!$E$88:$E$91,$B$64)+INDEX('Вводные'!$F$88:$F$91,$B$64)+'Вводные'!$H$9),DB80,0)</x:f>
      </x:c>
      <x:c r="DC82" s="107" t="n">
        <x:f>IF(DC$3&gt;=EDATE(INDEX('Вводные'!$D$88:$D$91,$B$64),INDEX('Вводные'!$E$88:$E$91,$B$64)+INDEX('Вводные'!$F$88:$F$91,$B$64)+'Вводные'!$H$9),DC80,0)</x:f>
      </x:c>
      <x:c r="DD82" s="107" t="n">
        <x:f>IF(DD$3&gt;=EDATE(INDEX('Вводные'!$D$88:$D$91,$B$64),INDEX('Вводные'!$E$88:$E$91,$B$64)+INDEX('Вводные'!$F$88:$F$91,$B$64)+'Вводные'!$H$9),DD80,0)</x:f>
      </x:c>
      <x:c r="DE82" s="107" t="n">
        <x:f>IF(DE$3&gt;=EDATE(INDEX('Вводные'!$D$88:$D$91,$B$64),INDEX('Вводные'!$E$88:$E$91,$B$64)+INDEX('Вводные'!$F$88:$F$91,$B$64)+'Вводные'!$H$9),DE80,0)</x:f>
      </x:c>
      <x:c r="DF82" s="107" t="n">
        <x:f>IF(DF$3&gt;=EDATE(INDEX('Вводные'!$D$88:$D$91,$B$64),INDEX('Вводные'!$E$88:$E$91,$B$64)+INDEX('Вводные'!$F$88:$F$91,$B$64)+'Вводные'!$H$9),DF80,0)</x:f>
      </x:c>
      <x:c r="DG82" s="107" t="n">
        <x:f>IF(DG$3&gt;=EDATE(INDEX('Вводные'!$D$88:$D$91,$B$64),INDEX('Вводные'!$E$88:$E$91,$B$64)+INDEX('Вводные'!$F$88:$F$91,$B$64)+'Вводные'!$H$9),DG80,0)</x:f>
      </x:c>
      <x:c r="DH82" s="107" t="n">
        <x:f>IF(DH$3&gt;=EDATE(INDEX('Вводные'!$D$88:$D$91,$B$64),INDEX('Вводные'!$E$88:$E$91,$B$64)+INDEX('Вводные'!$F$88:$F$91,$B$64)+'Вводные'!$H$9),DH80,0)</x:f>
      </x:c>
      <x:c r="DI82" s="107" t="n">
        <x:f>IF(DI$3&gt;=EDATE(INDEX('Вводные'!$D$88:$D$91,$B$64),INDEX('Вводные'!$E$88:$E$91,$B$64)+INDEX('Вводные'!$F$88:$F$91,$B$64)+'Вводные'!$H$9),DI80,0)</x:f>
      </x:c>
      <x:c r="DJ82" s="107" t="n">
        <x:f>IF(DJ$3&gt;=EDATE(INDEX('Вводные'!$D$88:$D$91,$B$64),INDEX('Вводные'!$E$88:$E$91,$B$64)+INDEX('Вводные'!$F$88:$F$91,$B$64)+'Вводные'!$H$9),DJ80,0)</x:f>
      </x:c>
      <x:c r="DK82" s="107" t="n">
        <x:f>IF(DK$3&gt;=EDATE(INDEX('Вводные'!$D$88:$D$91,$B$64),INDEX('Вводные'!$E$88:$E$91,$B$64)+INDEX('Вводные'!$F$88:$F$91,$B$64)+'Вводные'!$H$9),DK80,0)</x:f>
      </x:c>
      <x:c r="DL82" s="107" t="n">
        <x:f>IF(DL$3&gt;=EDATE(INDEX('Вводные'!$D$88:$D$91,$B$64),INDEX('Вводные'!$E$88:$E$91,$B$64)+INDEX('Вводные'!$F$88:$F$91,$B$64)+'Вводные'!$H$9),DL80,0)</x:f>
      </x:c>
      <x:c r="DM82" s="107" t="n">
        <x:f>IF(DM$3&gt;=EDATE(INDEX('Вводные'!$D$88:$D$91,$B$64),INDEX('Вводные'!$E$88:$E$91,$B$64)+INDEX('Вводные'!$F$88:$F$91,$B$64)+'Вводные'!$H$9),DM80,0)</x:f>
      </x:c>
      <x:c r="DN82" s="107" t="n">
        <x:f>IF(DN$3&gt;=EDATE(INDEX('Вводные'!$D$88:$D$91,$B$64),INDEX('Вводные'!$E$88:$E$91,$B$64)+INDEX('Вводные'!$F$88:$F$91,$B$64)+'Вводные'!$H$9),DN80,0)</x:f>
      </x:c>
      <x:c r="DO82" s="107" t="n">
        <x:f>IF(DO$3&gt;=EDATE(INDEX('Вводные'!$D$88:$D$91,$B$64),INDEX('Вводные'!$E$88:$E$91,$B$64)+INDEX('Вводные'!$F$88:$F$91,$B$64)+'Вводные'!$H$9),DO80,0)</x:f>
      </x:c>
      <x:c r="DP82" s="107" t="n">
        <x:f>IF(DP$3&gt;=EDATE(INDEX('Вводные'!$D$88:$D$91,$B$64),INDEX('Вводные'!$E$88:$E$91,$B$64)+INDEX('Вводные'!$F$88:$F$91,$B$64)+'Вводные'!$H$9),DP80,0)</x:f>
      </x:c>
      <x:c r="DQ82" s="107" t="n">
        <x:f>IF(DQ$3&gt;=EDATE(INDEX('Вводные'!$D$88:$D$91,$B$64),INDEX('Вводные'!$E$88:$E$91,$B$64)+INDEX('Вводные'!$F$88:$F$91,$B$64)+'Вводные'!$H$9),DQ80,0)</x:f>
      </x:c>
      <x:c r="DR82" s="107" t="n">
        <x:f>IF(DR$3&gt;=EDATE(INDEX('Вводные'!$D$88:$D$91,$B$64),INDEX('Вводные'!$E$88:$E$91,$B$64)+INDEX('Вводные'!$F$88:$F$91,$B$64)+'Вводные'!$H$9),DR80,0)</x:f>
      </x:c>
      <x:c r="DS82" s="107" t="n">
        <x:f>IF(DS$3&gt;=EDATE(INDEX('Вводные'!$D$88:$D$91,$B$64),INDEX('Вводные'!$E$88:$E$91,$B$64)+INDEX('Вводные'!$F$88:$F$91,$B$64)+'Вводные'!$H$9),DS80,0)</x:f>
      </x:c>
      <x:c r="DT82" s="107" t="n">
        <x:f>IF(DT$3&gt;=EDATE(INDEX('Вводные'!$D$88:$D$91,$B$64),INDEX('Вводные'!$E$88:$E$91,$B$64)+INDEX('Вводные'!$F$88:$F$91,$B$64)+'Вводные'!$H$9),DT80,0)</x:f>
      </x:c>
      <x:c r="DU82" s="107" t="n">
        <x:f>IF(DU$3&gt;=EDATE(INDEX('Вводные'!$D$88:$D$91,$B$64),INDEX('Вводные'!$E$88:$E$91,$B$64)+INDEX('Вводные'!$F$88:$F$91,$B$64)+'Вводные'!$H$9),DU80,0)</x:f>
      </x:c>
      <x:c r="DV82" s="107" t="n">
        <x:f>IF(DV$3&gt;=EDATE(INDEX('Вводные'!$D$88:$D$91,$B$64),INDEX('Вводные'!$E$88:$E$91,$B$64)+INDEX('Вводные'!$F$88:$F$91,$B$64)+'Вводные'!$H$9),DV80,0)</x:f>
      </x:c>
      <x:c r="DW82" s="107" t="n">
        <x:f>IF(DW$3&gt;=EDATE(INDEX('Вводные'!$D$88:$D$91,$B$64),INDEX('Вводные'!$E$88:$E$91,$B$64)+INDEX('Вводные'!$F$88:$F$91,$B$64)+'Вводные'!$H$9),DW80,0)</x:f>
      </x:c>
      <x:c r="DX82" s="107" t="n">
        <x:f>IF(DX$3&gt;=EDATE(INDEX('Вводные'!$D$88:$D$91,$B$64),INDEX('Вводные'!$E$88:$E$91,$B$64)+INDEX('Вводные'!$F$88:$F$91,$B$64)+'Вводные'!$H$9),DX80,0)</x:f>
      </x:c>
      <x:c r="DY82" s="107" t="n">
        <x:f>IF(DY$3&gt;=EDATE(INDEX('Вводные'!$D$88:$D$91,$B$64),INDEX('Вводные'!$E$88:$E$91,$B$64)+INDEX('Вводные'!$F$88:$F$91,$B$64)+'Вводные'!$H$9),DY80,0)</x:f>
      </x:c>
      <x:c r="DZ82" s="107" t="n">
        <x:f>IF(DZ$3&gt;=EDATE(INDEX('Вводные'!$D$88:$D$91,$B$64),INDEX('Вводные'!$E$88:$E$91,$B$64)+INDEX('Вводные'!$F$88:$F$91,$B$64)+'Вводные'!$H$9),DZ80,0)</x:f>
      </x:c>
      <x:c r="EA82" s="107" t="n">
        <x:f>IF(EA$3&gt;=EDATE(INDEX('Вводные'!$D$88:$D$91,$B$64),INDEX('Вводные'!$E$88:$E$91,$B$64)+INDEX('Вводные'!$F$88:$F$91,$B$64)+'Вводные'!$H$9),EA80,0)</x:f>
      </x:c>
      <x:c r="EB82" s="107" t="n">
        <x:f>IF(EB$3&gt;=EDATE(INDEX('Вводные'!$D$88:$D$91,$B$64),INDEX('Вводные'!$E$88:$E$91,$B$64)+INDEX('Вводные'!$F$88:$F$91,$B$64)+'Вводные'!$H$9),EB80,0)</x:f>
      </x:c>
      <x:c r="EC82" s="107" t="n">
        <x:f>IF(EC$3&gt;=EDATE(INDEX('Вводные'!$D$88:$D$91,$B$64),INDEX('Вводные'!$E$88:$E$91,$B$64)+INDEX('Вводные'!$F$88:$F$91,$B$64)+'Вводные'!$H$9),EC80,0)</x:f>
      </x:c>
      <x:c r="ED82" s="107" t="n">
        <x:f>IF(ED$3&gt;=EDATE(INDEX('Вводные'!$D$88:$D$91,$B$64),INDEX('Вводные'!$E$88:$E$91,$B$64)+INDEX('Вводные'!$F$88:$F$91,$B$64)+'Вводные'!$H$9),ED80,0)</x:f>
      </x:c>
      <x:c r="EE82" s="107" t="n">
        <x:f>IF(EE$3&gt;=EDATE(INDEX('Вводные'!$D$88:$D$91,$B$64),INDEX('Вводные'!$E$88:$E$91,$B$64)+INDEX('Вводные'!$F$88:$F$91,$B$64)+'Вводные'!$H$9),EE80,0)</x:f>
      </x:c>
      <x:c r="EF82" s="107" t="n">
        <x:f>IF(EF$3&gt;=EDATE(INDEX('Вводные'!$D$88:$D$91,$B$64),INDEX('Вводные'!$E$88:$E$91,$B$64)+INDEX('Вводные'!$F$88:$F$91,$B$64)+'Вводные'!$H$9),EF80,0)</x:f>
      </x:c>
      <x:c r="EG82" s="107" t="n">
        <x:f>IF(EG$3&gt;=EDATE(INDEX('Вводные'!$D$88:$D$91,$B$64),INDEX('Вводные'!$E$88:$E$91,$B$64)+INDEX('Вводные'!$F$88:$F$91,$B$64)+'Вводные'!$H$9),EG80,0)</x:f>
      </x:c>
      <x:c r="EH82" s="107" t="n">
        <x:f>IF(EH$3&gt;=EDATE(INDEX('Вводные'!$D$88:$D$91,$B$64),INDEX('Вводные'!$E$88:$E$91,$B$64)+INDEX('Вводные'!$F$88:$F$91,$B$64)+'Вводные'!$H$9),EH80,0)</x:f>
      </x:c>
      <x:c r="EI82" s="107" t="n">
        <x:f>IF(EI$3&gt;=EDATE(INDEX('Вводные'!$D$88:$D$91,$B$64),INDEX('Вводные'!$E$88:$E$91,$B$64)+INDEX('Вводные'!$F$88:$F$91,$B$64)+'Вводные'!$H$9),EI80,0)</x:f>
      </x:c>
      <x:c r="EJ82" s="107" t="n">
        <x:f>IF(EJ$3&gt;=EDATE(INDEX('Вводные'!$D$88:$D$91,$B$64),INDEX('Вводные'!$E$88:$E$91,$B$64)+INDEX('Вводные'!$F$88:$F$91,$B$64)+'Вводные'!$H$9),EJ80,0)</x:f>
      </x:c>
      <x:c r="EK82" s="107" t="n">
        <x:f>IF(EK$3&gt;=EDATE(INDEX('Вводные'!$D$88:$D$91,$B$64),INDEX('Вводные'!$E$88:$E$91,$B$64)+INDEX('Вводные'!$F$88:$F$91,$B$64)+'Вводные'!$H$9),EK80,0)</x:f>
      </x:c>
      <x:c r="EL82" s="107" t="n">
        <x:f>IF(EL$3&gt;=EDATE(INDEX('Вводные'!$D$88:$D$91,$B$64),INDEX('Вводные'!$E$88:$E$91,$B$64)+INDEX('Вводные'!$F$88:$F$91,$B$64)+'Вводные'!$H$9),EL80,0)</x:f>
      </x:c>
      <x:c r="EM82" s="107" t="n">
        <x:f>IF(EM$3&gt;=EDATE(INDEX('Вводные'!$D$88:$D$91,$B$64),INDEX('Вводные'!$E$88:$E$91,$B$64)+INDEX('Вводные'!$F$88:$F$91,$B$64)+'Вводные'!$H$9),EM80,0)</x:f>
      </x:c>
      <x:c r="EN82" s="107" t="n">
        <x:f>IF(EN$3&gt;=EDATE(INDEX('Вводные'!$D$88:$D$91,$B$64),INDEX('Вводные'!$E$88:$E$91,$B$64)+INDEX('Вводные'!$F$88:$F$91,$B$64)+'Вводные'!$H$9),EN80,0)</x:f>
      </x:c>
      <x:c r="EO82" s="107" t="n">
        <x:f>IF(EO$3&gt;=EDATE(INDEX('Вводные'!$D$88:$D$91,$B$64),INDEX('Вводные'!$E$88:$E$91,$B$64)+INDEX('Вводные'!$F$88:$F$91,$B$64)+'Вводные'!$H$9),EO80,0)</x:f>
      </x:c>
      <x:c r="EP82" s="107" t="n">
        <x:f>IF(EP$3&gt;=EDATE(INDEX('Вводные'!$D$88:$D$91,$B$64),INDEX('Вводные'!$E$88:$E$91,$B$64)+INDEX('Вводные'!$F$88:$F$91,$B$64)+'Вводные'!$H$9),EP80,0)</x:f>
      </x:c>
      <x:c r="EQ82" s="107" t="n">
        <x:f>IF(EQ$3&gt;=EDATE(INDEX('Вводные'!$D$88:$D$91,$B$64),INDEX('Вводные'!$E$88:$E$91,$B$64)+INDEX('Вводные'!$F$88:$F$91,$B$64)+'Вводные'!$H$9),EQ80,0)</x:f>
      </x:c>
      <x:c r="ER82" s="107" t="n">
        <x:f>IF(ER$3&gt;=EDATE(INDEX('Вводные'!$D$88:$D$91,$B$64),INDEX('Вводные'!$E$88:$E$91,$B$64)+INDEX('Вводные'!$F$88:$F$91,$B$64)+'Вводные'!$H$9),ER80,0)</x:f>
      </x:c>
      <x:c r="ES82" s="107" t="n">
        <x:f>IF(ES$3&gt;=EDATE(INDEX('Вводные'!$D$88:$D$91,$B$64),INDEX('Вводные'!$E$88:$E$91,$B$64)+INDEX('Вводные'!$F$88:$F$91,$B$64)+'Вводные'!$H$9),ES80,0)</x:f>
      </x:c>
      <x:c r="ET82" s="107" t="n">
        <x:f>IF(ET$3&gt;=EDATE(INDEX('Вводные'!$D$88:$D$91,$B$64),INDEX('Вводные'!$E$88:$E$91,$B$64)+INDEX('Вводные'!$F$88:$F$91,$B$64)+'Вводные'!$H$9),ET80,0)</x:f>
      </x:c>
      <x:c r="EU82" s="107" t="n">
        <x:f>IF(EU$3&gt;=EDATE(INDEX('Вводные'!$D$88:$D$91,$B$64),INDEX('Вводные'!$E$88:$E$91,$B$64)+INDEX('Вводные'!$F$88:$F$91,$B$64)+'Вводные'!$H$9),EU80,0)</x:f>
      </x:c>
      <x:c r="EV82" s="107" t="n">
        <x:f>IF(EV$3&gt;=EDATE(INDEX('Вводные'!$D$88:$D$91,$B$64),INDEX('Вводные'!$E$88:$E$91,$B$64)+INDEX('Вводные'!$F$88:$F$91,$B$64)+'Вводные'!$H$9),EV80,0)</x:f>
      </x:c>
      <x:c r="EW82" s="107" t="n">
        <x:f>IF(EW$3&gt;=EDATE(INDEX('Вводные'!$D$88:$D$91,$B$64),INDEX('Вводные'!$E$88:$E$91,$B$64)+INDEX('Вводные'!$F$88:$F$91,$B$64)+'Вводные'!$H$9),EW80,0)</x:f>
      </x:c>
      <x:c r="EX82" s="107" t="n">
        <x:f>IF(EX$3&gt;=EDATE(INDEX('Вводные'!$D$88:$D$91,$B$64),INDEX('Вводные'!$E$88:$E$91,$B$64)+INDEX('Вводные'!$F$88:$F$91,$B$64)+'Вводные'!$H$9),EX80,0)</x:f>
      </x:c>
      <x:c r="EY82" s="107" t="n">
        <x:f>IF(EY$3&gt;=EDATE(INDEX('Вводные'!$D$88:$D$91,$B$64),INDEX('Вводные'!$E$88:$E$91,$B$64)+INDEX('Вводные'!$F$88:$F$91,$B$64)+'Вводные'!$H$9),EY80,0)</x:f>
      </x:c>
      <x:c r="EZ82" s="107" t="n">
        <x:f>IF(EZ$3&gt;=EDATE(INDEX('Вводные'!$D$88:$D$91,$B$64),INDEX('Вводные'!$E$88:$E$91,$B$64)+INDEX('Вводные'!$F$88:$F$91,$B$64)+'Вводные'!$H$9),EZ80,0)</x:f>
      </x:c>
      <x:c r="FA82" s="107" t="n">
        <x:f>IF(FA$3&gt;=EDATE(INDEX('Вводные'!$D$88:$D$91,$B$64),INDEX('Вводные'!$E$88:$E$91,$B$64)+INDEX('Вводные'!$F$88:$F$91,$B$64)+'Вводные'!$H$9),FA80,0)</x:f>
      </x:c>
      <x:c r="FB82" s="107" t="n">
        <x:f>IF(FB$3&gt;=EDATE(INDEX('Вводные'!$D$88:$D$91,$B$64),INDEX('Вводные'!$E$88:$E$91,$B$64)+INDEX('Вводные'!$F$88:$F$91,$B$64)+'Вводные'!$H$9),FB80,0)</x:f>
      </x:c>
      <x:c r="FC82" s="107" t="n">
        <x:f>IF(FC$3&gt;=EDATE(INDEX('Вводные'!$D$88:$D$91,$B$64),INDEX('Вводные'!$E$88:$E$91,$B$64)+INDEX('Вводные'!$F$88:$F$91,$B$64)+'Вводные'!$H$9),FC80,0)</x:f>
      </x:c>
      <x:c r="FD82" s="107" t="n">
        <x:f>IF(FD$3&gt;=EDATE(INDEX('Вводные'!$D$88:$D$91,$B$64),INDEX('Вводные'!$E$88:$E$91,$B$64)+INDEX('Вводные'!$F$88:$F$91,$B$64)+'Вводные'!$H$9),FD80,0)</x:f>
      </x:c>
      <x:c r="FE82" s="107" t="n">
        <x:f>IF(FE$3&gt;=EDATE(INDEX('Вводные'!$D$88:$D$91,$B$64),INDEX('Вводные'!$E$88:$E$91,$B$64)+INDEX('Вводные'!$F$88:$F$91,$B$64)+'Вводные'!$H$9),FE80,0)</x:f>
      </x:c>
      <x:c r="FF82" s="107" t="n">
        <x:f>IF(FF$3&gt;=EDATE(INDEX('Вводные'!$D$88:$D$91,$B$64),INDEX('Вводные'!$E$88:$E$91,$B$64)+INDEX('Вводные'!$F$88:$F$91,$B$64)+'Вводные'!$H$9),FF80,0)</x:f>
      </x:c>
      <x:c r="FG82" s="107" t="n">
        <x:f>IF(FG$3&gt;=EDATE(INDEX('Вводные'!$D$88:$D$91,$B$64),INDEX('Вводные'!$E$88:$E$91,$B$64)+INDEX('Вводные'!$F$88:$F$91,$B$64)+'Вводные'!$H$9),FG80,0)</x:f>
      </x:c>
      <x:c r="FH82" s="107" t="n">
        <x:f>IF(FH$3&gt;=EDATE(INDEX('Вводные'!$D$88:$D$91,$B$64),INDEX('Вводные'!$E$88:$E$91,$B$64)+INDEX('Вводные'!$F$88:$F$91,$B$64)+'Вводные'!$H$9),FH80,0)</x:f>
      </x:c>
      <x:c r="FI82" s="107" t="n">
        <x:f>IF(FI$3&gt;=EDATE(INDEX('Вводные'!$D$88:$D$91,$B$64),INDEX('Вводные'!$E$88:$E$91,$B$64)+INDEX('Вводные'!$F$88:$F$91,$B$64)+'Вводные'!$H$9),FI80,0)</x:f>
      </x:c>
      <x:c r="FJ82" s="107" t="n">
        <x:f>IF(FJ$3&gt;=EDATE(INDEX('Вводные'!$D$88:$D$91,$B$64),INDEX('Вводные'!$E$88:$E$91,$B$64)+INDEX('Вводные'!$F$88:$F$91,$B$64)+'Вводные'!$H$9),FJ80,0)</x:f>
      </x:c>
      <x:c r="FK82" s="107" t="n">
        <x:f>IF(FK$3&gt;=EDATE(INDEX('Вводные'!$D$88:$D$91,$B$64),INDEX('Вводные'!$E$88:$E$91,$B$64)+INDEX('Вводные'!$F$88:$F$91,$B$64)+'Вводные'!$H$9),FK80,0)</x:f>
      </x:c>
      <x:c r="FL82" s="107" t="n">
        <x:f>IF(FL$3&gt;=EDATE(INDEX('Вводные'!$D$88:$D$91,$B$64),INDEX('Вводные'!$E$88:$E$91,$B$64)+INDEX('Вводные'!$F$88:$F$91,$B$64)+'Вводные'!$H$9),FL80,0)</x:f>
      </x:c>
      <x:c r="FM82" s="107" t="n">
        <x:f>IF(FM$3&gt;=EDATE(INDEX('Вводные'!$D$88:$D$91,$B$64),INDEX('Вводные'!$E$88:$E$91,$B$64)+INDEX('Вводные'!$F$88:$F$91,$B$64)+'Вводные'!$H$9),FM80,0)</x:f>
      </x:c>
      <x:c r="FN82" s="107" t="n">
        <x:f>IF(FN$3&gt;=EDATE(INDEX('Вводные'!$D$88:$D$91,$B$64),INDEX('Вводные'!$E$88:$E$91,$B$64)+INDEX('Вводные'!$F$88:$F$91,$B$64)+'Вводные'!$H$9),FN80,0)</x:f>
      </x:c>
      <x:c r="FO82" s="107" t="n">
        <x:f>IF(FO$3&gt;=EDATE(INDEX('Вводные'!$D$88:$D$91,$B$64),INDEX('Вводные'!$E$88:$E$91,$B$64)+INDEX('Вводные'!$F$88:$F$91,$B$64)+'Вводные'!$H$9),FO80,0)</x:f>
      </x:c>
      <x:c r="FP82" s="107" t="n">
        <x:f>IF(FP$3&gt;=EDATE(INDEX('Вводные'!$D$88:$D$91,$B$64),INDEX('Вводные'!$E$88:$E$91,$B$64)+INDEX('Вводные'!$F$88:$F$91,$B$64)+'Вводные'!$H$9),FP80,0)</x:f>
      </x:c>
      <x:c r="FQ82" s="107" t="n">
        <x:f>IF(FQ$3&gt;=EDATE(INDEX('Вводные'!$D$88:$D$91,$B$64),INDEX('Вводные'!$E$88:$E$91,$B$64)+INDEX('Вводные'!$F$88:$F$91,$B$64)+'Вводные'!$H$9),FQ80,0)</x:f>
      </x:c>
      <x:c r="FR82" s="107" t="n">
        <x:f>IF(FR$3&gt;=EDATE(INDEX('Вводные'!$D$88:$D$91,$B$64),INDEX('Вводные'!$E$88:$E$91,$B$64)+INDEX('Вводные'!$F$88:$F$91,$B$64)+'Вводные'!$H$9),FR80,0)</x:f>
      </x:c>
      <x:c r="FS82" s="107" t="n">
        <x:f>IF(FS$3&gt;=EDATE(INDEX('Вводные'!$D$88:$D$91,$B$64),INDEX('Вводные'!$E$88:$E$91,$B$64)+INDEX('Вводные'!$F$88:$F$91,$B$64)+'Вводные'!$H$9),FS80,0)</x:f>
      </x:c>
      <x:c r="FT82" s="107" t="n">
        <x:f>IF(FT$3&gt;=EDATE(INDEX('Вводные'!$D$88:$D$91,$B$64),INDEX('Вводные'!$E$88:$E$91,$B$64)+INDEX('Вводные'!$F$88:$F$91,$B$64)+'Вводные'!$H$9),FT80,0)</x:f>
      </x:c>
      <x:c r="FU82" s="107" t="n">
        <x:f>IF(FU$3&gt;=EDATE(INDEX('Вводные'!$D$88:$D$91,$B$64),INDEX('Вводные'!$E$88:$E$91,$B$64)+INDEX('Вводные'!$F$88:$F$91,$B$64)+'Вводные'!$H$9),FU80,0)</x:f>
      </x:c>
      <x:c r="FV82" s="107" t="n">
        <x:f>IF(FV$3&gt;=EDATE(INDEX('Вводные'!$D$88:$D$91,$B$64),INDEX('Вводные'!$E$88:$E$91,$B$64)+INDEX('Вводные'!$F$88:$F$91,$B$64)+'Вводные'!$H$9),FV80,0)</x:f>
      </x:c>
      <x:c r="FW82" s="107" t="n">
        <x:f>IF(FW$3&gt;=EDATE(INDEX('Вводные'!$D$88:$D$91,$B$64),INDEX('Вводные'!$E$88:$E$91,$B$64)+INDEX('Вводные'!$F$88:$F$91,$B$64)+'Вводные'!$H$9),FW80,0)</x:f>
      </x:c>
      <x:c r="FX82" s="107" t="n">
        <x:f>IF(FX$3&gt;=EDATE(INDEX('Вводные'!$D$88:$D$91,$B$64),INDEX('Вводные'!$E$88:$E$91,$B$64)+INDEX('Вводные'!$F$88:$F$91,$B$64)+'Вводные'!$H$9),FX80,0)</x:f>
      </x:c>
      <x:c r="FY82" s="107" t="n">
        <x:f>IF(FY$3&gt;=EDATE(INDEX('Вводные'!$D$88:$D$91,$B$64),INDEX('Вводные'!$E$88:$E$91,$B$64)+INDEX('Вводные'!$F$88:$F$91,$B$64)+'Вводные'!$H$9),FY80,0)</x:f>
      </x:c>
      <x:c r="FZ82" s="107" t="n">
        <x:f>IF(FZ$3&gt;=EDATE(INDEX('Вводные'!$D$88:$D$91,$B$64),INDEX('Вводные'!$E$88:$E$91,$B$64)+INDEX('Вводные'!$F$88:$F$91,$B$64)+'Вводные'!$H$9),FZ80,0)</x:f>
      </x:c>
      <x:c r="GA82" s="107" t="n">
        <x:f>IF(GA$3&gt;=EDATE(INDEX('Вводные'!$D$88:$D$91,$B$64),INDEX('Вводные'!$E$88:$E$91,$B$64)+INDEX('Вводные'!$F$88:$F$91,$B$64)+'Вводные'!$H$9),GA80,0)</x:f>
      </x:c>
    </x:row>
    <x:row r="83">
      <x:c r="A83" t="str">
        <x:v>Раскрытие эскроу</x:v>
      </x:c>
      <x:c r="B83" s="107" t="n">
        <x:f>SUM(D83:GA83)</x:f>
      </x:c>
      <x:c r="C83" t="str">
        <x:v>млн ₽</x:v>
      </x:c>
      <x:c r="D83" s="107" t="n">
        <x:f>IF(AND(YEAR(D$3)=YEAR(EDATE(INDEX('Вводные'!$D$88:$D$91,$B$64),INDEX('Вводные'!$E$88:$E$91,$B$64)+INDEX('Вводные'!$F$88:$F$91,$B$64)+'Вводные'!$H$9)),MONTH(D$3)=MONTH(EDATE(INDEX('Вводные'!$D$88:$D$91,$B$64),INDEX('Вводные'!$E$88:$E$91,$B$64)+INDEX('Вводные'!$F$88:$F$91,$B$64)+'Вводные'!$H$9)),AND($B$63="Да",IFERROR(INDEX('Вводные'!$B$88:$B$91,$B$64),"Нет")="Да")),MAX(0,SUM($D81:D81)-D81),0)</x:f>
      </x:c>
      <x:c r="E83" s="107" t="n">
        <x:f>IF(AND(YEAR(E$3)=YEAR(EDATE(INDEX('Вводные'!$D$88:$D$91,$B$64),INDEX('Вводные'!$E$88:$E$91,$B$64)+INDEX('Вводные'!$F$88:$F$91,$B$64)+'Вводные'!$H$9)),MONTH(E$3)=MONTH(EDATE(INDEX('Вводные'!$D$88:$D$91,$B$64),INDEX('Вводные'!$E$88:$E$91,$B$64)+INDEX('Вводные'!$F$88:$F$91,$B$64)+'Вводные'!$H$9)),AND($B$63="Да",IFERROR(INDEX('Вводные'!$B$88:$B$91,$B$64),"Нет")="Да")),MAX(0,SUM($D81:E81)-E81),0)</x:f>
      </x:c>
      <x:c r="F83" s="107" t="n">
        <x:f>IF(AND(YEAR(F$3)=YEAR(EDATE(INDEX('Вводные'!$D$88:$D$91,$B$64),INDEX('Вводные'!$E$88:$E$91,$B$64)+INDEX('Вводные'!$F$88:$F$91,$B$64)+'Вводные'!$H$9)),MONTH(F$3)=MONTH(EDATE(INDEX('Вводные'!$D$88:$D$91,$B$64),INDEX('Вводные'!$E$88:$E$91,$B$64)+INDEX('Вводные'!$F$88:$F$91,$B$64)+'Вводные'!$H$9)),AND($B$63="Да",IFERROR(INDEX('Вводные'!$B$88:$B$91,$B$64),"Нет")="Да")),MAX(0,SUM($D81:F81)-F81),0)</x:f>
      </x:c>
      <x:c r="G83" s="107" t="n">
        <x:f>IF(AND(YEAR(G$3)=YEAR(EDATE(INDEX('Вводные'!$D$88:$D$91,$B$64),INDEX('Вводные'!$E$88:$E$91,$B$64)+INDEX('Вводные'!$F$88:$F$91,$B$64)+'Вводные'!$H$9)),MONTH(G$3)=MONTH(EDATE(INDEX('Вводные'!$D$88:$D$91,$B$64),INDEX('Вводные'!$E$88:$E$91,$B$64)+INDEX('Вводные'!$F$88:$F$91,$B$64)+'Вводные'!$H$9)),AND($B$63="Да",IFERROR(INDEX('Вводные'!$B$88:$B$91,$B$64),"Нет")="Да")),MAX(0,SUM($D81:G81)-G81),0)</x:f>
      </x:c>
      <x:c r="H83" s="107" t="n">
        <x:f>IF(AND(YEAR(H$3)=YEAR(EDATE(INDEX('Вводные'!$D$88:$D$91,$B$64),INDEX('Вводные'!$E$88:$E$91,$B$64)+INDEX('Вводные'!$F$88:$F$91,$B$64)+'Вводные'!$H$9)),MONTH(H$3)=MONTH(EDATE(INDEX('Вводные'!$D$88:$D$91,$B$64),INDEX('Вводные'!$E$88:$E$91,$B$64)+INDEX('Вводные'!$F$88:$F$91,$B$64)+'Вводные'!$H$9)),AND($B$63="Да",IFERROR(INDEX('Вводные'!$B$88:$B$91,$B$64),"Нет")="Да")),MAX(0,SUM($D81:H81)-H81),0)</x:f>
      </x:c>
      <x:c r="I83" s="107" t="n">
        <x:f>IF(AND(YEAR(I$3)=YEAR(EDATE(INDEX('Вводные'!$D$88:$D$91,$B$64),INDEX('Вводные'!$E$88:$E$91,$B$64)+INDEX('Вводные'!$F$88:$F$91,$B$64)+'Вводные'!$H$9)),MONTH(I$3)=MONTH(EDATE(INDEX('Вводные'!$D$88:$D$91,$B$64),INDEX('Вводные'!$E$88:$E$91,$B$64)+INDEX('Вводные'!$F$88:$F$91,$B$64)+'Вводные'!$H$9)),AND($B$63="Да",IFERROR(INDEX('Вводные'!$B$88:$B$91,$B$64),"Нет")="Да")),MAX(0,SUM($D81:I81)-I81),0)</x:f>
      </x:c>
      <x:c r="J83" s="107" t="n">
        <x:f>IF(AND(YEAR(J$3)=YEAR(EDATE(INDEX('Вводные'!$D$88:$D$91,$B$64),INDEX('Вводные'!$E$88:$E$91,$B$64)+INDEX('Вводные'!$F$88:$F$91,$B$64)+'Вводные'!$H$9)),MONTH(J$3)=MONTH(EDATE(INDEX('Вводные'!$D$88:$D$91,$B$64),INDEX('Вводные'!$E$88:$E$91,$B$64)+INDEX('Вводные'!$F$88:$F$91,$B$64)+'Вводные'!$H$9)),AND($B$63="Да",IFERROR(INDEX('Вводные'!$B$88:$B$91,$B$64),"Нет")="Да")),MAX(0,SUM($D81:J81)-J81),0)</x:f>
      </x:c>
      <x:c r="K83" s="107" t="n">
        <x:f>IF(AND(YEAR(K$3)=YEAR(EDATE(INDEX('Вводные'!$D$88:$D$91,$B$64),INDEX('Вводные'!$E$88:$E$91,$B$64)+INDEX('Вводные'!$F$88:$F$91,$B$64)+'Вводные'!$H$9)),MONTH(K$3)=MONTH(EDATE(INDEX('Вводные'!$D$88:$D$91,$B$64),INDEX('Вводные'!$E$88:$E$91,$B$64)+INDEX('Вводные'!$F$88:$F$91,$B$64)+'Вводные'!$H$9)),AND($B$63="Да",IFERROR(INDEX('Вводные'!$B$88:$B$91,$B$64),"Нет")="Да")),MAX(0,SUM($D81:K81)-K81),0)</x:f>
      </x:c>
      <x:c r="L83" s="107" t="n">
        <x:f>IF(AND(YEAR(L$3)=YEAR(EDATE(INDEX('Вводные'!$D$88:$D$91,$B$64),INDEX('Вводные'!$E$88:$E$91,$B$64)+INDEX('Вводные'!$F$88:$F$91,$B$64)+'Вводные'!$H$9)),MONTH(L$3)=MONTH(EDATE(INDEX('Вводные'!$D$88:$D$91,$B$64),INDEX('Вводные'!$E$88:$E$91,$B$64)+INDEX('Вводные'!$F$88:$F$91,$B$64)+'Вводные'!$H$9)),AND($B$63="Да",IFERROR(INDEX('Вводные'!$B$88:$B$91,$B$64),"Нет")="Да")),MAX(0,SUM($D81:L81)-L81),0)</x:f>
      </x:c>
      <x:c r="M83" s="107" t="n">
        <x:f>IF(AND(YEAR(M$3)=YEAR(EDATE(INDEX('Вводные'!$D$88:$D$91,$B$64),INDEX('Вводные'!$E$88:$E$91,$B$64)+INDEX('Вводные'!$F$88:$F$91,$B$64)+'Вводные'!$H$9)),MONTH(M$3)=MONTH(EDATE(INDEX('Вводные'!$D$88:$D$91,$B$64),INDEX('Вводные'!$E$88:$E$91,$B$64)+INDEX('Вводные'!$F$88:$F$91,$B$64)+'Вводные'!$H$9)),AND($B$63="Да",IFERROR(INDEX('Вводные'!$B$88:$B$91,$B$64),"Нет")="Да")),MAX(0,SUM($D81:M81)-M81),0)</x:f>
      </x:c>
      <x:c r="N83" s="107" t="n">
        <x:f>IF(AND(YEAR(N$3)=YEAR(EDATE(INDEX('Вводные'!$D$88:$D$91,$B$64),INDEX('Вводные'!$E$88:$E$91,$B$64)+INDEX('Вводные'!$F$88:$F$91,$B$64)+'Вводные'!$H$9)),MONTH(N$3)=MONTH(EDATE(INDEX('Вводные'!$D$88:$D$91,$B$64),INDEX('Вводные'!$E$88:$E$91,$B$64)+INDEX('Вводные'!$F$88:$F$91,$B$64)+'Вводные'!$H$9)),AND($B$63="Да",IFERROR(INDEX('Вводные'!$B$88:$B$91,$B$64),"Нет")="Да")),MAX(0,SUM($D81:N81)-N81),0)</x:f>
      </x:c>
      <x:c r="O83" s="107" t="n">
        <x:f>IF(AND(YEAR(O$3)=YEAR(EDATE(INDEX('Вводные'!$D$88:$D$91,$B$64),INDEX('Вводные'!$E$88:$E$91,$B$64)+INDEX('Вводные'!$F$88:$F$91,$B$64)+'Вводные'!$H$9)),MONTH(O$3)=MONTH(EDATE(INDEX('Вводные'!$D$88:$D$91,$B$64),INDEX('Вводные'!$E$88:$E$91,$B$64)+INDEX('Вводные'!$F$88:$F$91,$B$64)+'Вводные'!$H$9)),AND($B$63="Да",IFERROR(INDEX('Вводные'!$B$88:$B$91,$B$64),"Нет")="Да")),MAX(0,SUM($D81:O81)-O81),0)</x:f>
      </x:c>
      <x:c r="P83" s="107" t="n">
        <x:f>IF(AND(YEAR(P$3)=YEAR(EDATE(INDEX('Вводные'!$D$88:$D$91,$B$64),INDEX('Вводные'!$E$88:$E$91,$B$64)+INDEX('Вводные'!$F$88:$F$91,$B$64)+'Вводные'!$H$9)),MONTH(P$3)=MONTH(EDATE(INDEX('Вводные'!$D$88:$D$91,$B$64),INDEX('Вводные'!$E$88:$E$91,$B$64)+INDEX('Вводные'!$F$88:$F$91,$B$64)+'Вводные'!$H$9)),AND($B$63="Да",IFERROR(INDEX('Вводные'!$B$88:$B$91,$B$64),"Нет")="Да")),MAX(0,SUM($D81:P81)-P81),0)</x:f>
      </x:c>
      <x:c r="Q83" s="107" t="n">
        <x:f>IF(AND(YEAR(Q$3)=YEAR(EDATE(INDEX('Вводные'!$D$88:$D$91,$B$64),INDEX('Вводные'!$E$88:$E$91,$B$64)+INDEX('Вводные'!$F$88:$F$91,$B$64)+'Вводные'!$H$9)),MONTH(Q$3)=MONTH(EDATE(INDEX('Вводные'!$D$88:$D$91,$B$64),INDEX('Вводные'!$E$88:$E$91,$B$64)+INDEX('Вводные'!$F$88:$F$91,$B$64)+'Вводные'!$H$9)),AND($B$63="Да",IFERROR(INDEX('Вводные'!$B$88:$B$91,$B$64),"Нет")="Да")),MAX(0,SUM($D81:Q81)-Q81),0)</x:f>
      </x:c>
      <x:c r="R83" s="107" t="n">
        <x:f>IF(AND(YEAR(R$3)=YEAR(EDATE(INDEX('Вводные'!$D$88:$D$91,$B$64),INDEX('Вводные'!$E$88:$E$91,$B$64)+INDEX('Вводные'!$F$88:$F$91,$B$64)+'Вводные'!$H$9)),MONTH(R$3)=MONTH(EDATE(INDEX('Вводные'!$D$88:$D$91,$B$64),INDEX('Вводные'!$E$88:$E$91,$B$64)+INDEX('Вводные'!$F$88:$F$91,$B$64)+'Вводные'!$H$9)),AND($B$63="Да",IFERROR(INDEX('Вводные'!$B$88:$B$91,$B$64),"Нет")="Да")),MAX(0,SUM($D81:R81)-R81),0)</x:f>
      </x:c>
      <x:c r="S83" s="107" t="n">
        <x:f>IF(AND(YEAR(S$3)=YEAR(EDATE(INDEX('Вводные'!$D$88:$D$91,$B$64),INDEX('Вводные'!$E$88:$E$91,$B$64)+INDEX('Вводные'!$F$88:$F$91,$B$64)+'Вводные'!$H$9)),MONTH(S$3)=MONTH(EDATE(INDEX('Вводные'!$D$88:$D$91,$B$64),INDEX('Вводные'!$E$88:$E$91,$B$64)+INDEX('Вводные'!$F$88:$F$91,$B$64)+'Вводные'!$H$9)),AND($B$63="Да",IFERROR(INDEX('Вводные'!$B$88:$B$91,$B$64),"Нет")="Да")),MAX(0,SUM($D81:S81)-S81),0)</x:f>
      </x:c>
      <x:c r="T83" s="107" t="n">
        <x:f>IF(AND(YEAR(T$3)=YEAR(EDATE(INDEX('Вводные'!$D$88:$D$91,$B$64),INDEX('Вводные'!$E$88:$E$91,$B$64)+INDEX('Вводные'!$F$88:$F$91,$B$64)+'Вводные'!$H$9)),MONTH(T$3)=MONTH(EDATE(INDEX('Вводные'!$D$88:$D$91,$B$64),INDEX('Вводные'!$E$88:$E$91,$B$64)+INDEX('Вводные'!$F$88:$F$91,$B$64)+'Вводные'!$H$9)),AND($B$63="Да",IFERROR(INDEX('Вводные'!$B$88:$B$91,$B$64),"Нет")="Да")),MAX(0,SUM($D81:T81)-T81),0)</x:f>
      </x:c>
      <x:c r="U83" s="107" t="n">
        <x:f>IF(AND(YEAR(U$3)=YEAR(EDATE(INDEX('Вводные'!$D$88:$D$91,$B$64),INDEX('Вводные'!$E$88:$E$91,$B$64)+INDEX('Вводные'!$F$88:$F$91,$B$64)+'Вводные'!$H$9)),MONTH(U$3)=MONTH(EDATE(INDEX('Вводные'!$D$88:$D$91,$B$64),INDEX('Вводные'!$E$88:$E$91,$B$64)+INDEX('Вводные'!$F$88:$F$91,$B$64)+'Вводные'!$H$9)),AND($B$63="Да",IFERROR(INDEX('Вводные'!$B$88:$B$91,$B$64),"Нет")="Да")),MAX(0,SUM($D81:U81)-U81),0)</x:f>
      </x:c>
      <x:c r="V83" s="107" t="n">
        <x:f>IF(AND(YEAR(V$3)=YEAR(EDATE(INDEX('Вводные'!$D$88:$D$91,$B$64),INDEX('Вводные'!$E$88:$E$91,$B$64)+INDEX('Вводные'!$F$88:$F$91,$B$64)+'Вводные'!$H$9)),MONTH(V$3)=MONTH(EDATE(INDEX('Вводные'!$D$88:$D$91,$B$64),INDEX('Вводные'!$E$88:$E$91,$B$64)+INDEX('Вводные'!$F$88:$F$91,$B$64)+'Вводные'!$H$9)),AND($B$63="Да",IFERROR(INDEX('Вводные'!$B$88:$B$91,$B$64),"Нет")="Да")),MAX(0,SUM($D81:V81)-V81),0)</x:f>
      </x:c>
      <x:c r="W83" s="107" t="n">
        <x:f>IF(AND(YEAR(W$3)=YEAR(EDATE(INDEX('Вводные'!$D$88:$D$91,$B$64),INDEX('Вводные'!$E$88:$E$91,$B$64)+INDEX('Вводные'!$F$88:$F$91,$B$64)+'Вводные'!$H$9)),MONTH(W$3)=MONTH(EDATE(INDEX('Вводные'!$D$88:$D$91,$B$64),INDEX('Вводные'!$E$88:$E$91,$B$64)+INDEX('Вводные'!$F$88:$F$91,$B$64)+'Вводные'!$H$9)),AND($B$63="Да",IFERROR(INDEX('Вводные'!$B$88:$B$91,$B$64),"Нет")="Да")),MAX(0,SUM($D81:W81)-W81),0)</x:f>
      </x:c>
      <x:c r="X83" s="107" t="n">
        <x:f>IF(AND(YEAR(X$3)=YEAR(EDATE(INDEX('Вводные'!$D$88:$D$91,$B$64),INDEX('Вводные'!$E$88:$E$91,$B$64)+INDEX('Вводные'!$F$88:$F$91,$B$64)+'Вводные'!$H$9)),MONTH(X$3)=MONTH(EDATE(INDEX('Вводные'!$D$88:$D$91,$B$64),INDEX('Вводные'!$E$88:$E$91,$B$64)+INDEX('Вводные'!$F$88:$F$91,$B$64)+'Вводные'!$H$9)),AND($B$63="Да",IFERROR(INDEX('Вводные'!$B$88:$B$91,$B$64),"Нет")="Да")),MAX(0,SUM($D81:X81)-X81),0)</x:f>
      </x:c>
      <x:c r="Y83" s="107" t="n">
        <x:f>IF(AND(YEAR(Y$3)=YEAR(EDATE(INDEX('Вводные'!$D$88:$D$91,$B$64),INDEX('Вводные'!$E$88:$E$91,$B$64)+INDEX('Вводные'!$F$88:$F$91,$B$64)+'Вводные'!$H$9)),MONTH(Y$3)=MONTH(EDATE(INDEX('Вводные'!$D$88:$D$91,$B$64),INDEX('Вводные'!$E$88:$E$91,$B$64)+INDEX('Вводные'!$F$88:$F$91,$B$64)+'Вводные'!$H$9)),AND($B$63="Да",IFERROR(INDEX('Вводные'!$B$88:$B$91,$B$64),"Нет")="Да")),MAX(0,SUM($D81:Y81)-Y81),0)</x:f>
      </x:c>
      <x:c r="Z83" s="107" t="n">
        <x:f>IF(AND(YEAR(Z$3)=YEAR(EDATE(INDEX('Вводные'!$D$88:$D$91,$B$64),INDEX('Вводные'!$E$88:$E$91,$B$64)+INDEX('Вводные'!$F$88:$F$91,$B$64)+'Вводные'!$H$9)),MONTH(Z$3)=MONTH(EDATE(INDEX('Вводные'!$D$88:$D$91,$B$64),INDEX('Вводные'!$E$88:$E$91,$B$64)+INDEX('Вводные'!$F$88:$F$91,$B$64)+'Вводные'!$H$9)),AND($B$63="Да",IFERROR(INDEX('Вводные'!$B$88:$B$91,$B$64),"Нет")="Да")),MAX(0,SUM($D81:Z81)-Z81),0)</x:f>
      </x:c>
      <x:c r="AA83" s="107" t="n">
        <x:f>IF(AND(YEAR(AA$3)=YEAR(EDATE(INDEX('Вводные'!$D$88:$D$91,$B$64),INDEX('Вводные'!$E$88:$E$91,$B$64)+INDEX('Вводные'!$F$88:$F$91,$B$64)+'Вводные'!$H$9)),MONTH(AA$3)=MONTH(EDATE(INDEX('Вводные'!$D$88:$D$91,$B$64),INDEX('Вводные'!$E$88:$E$91,$B$64)+INDEX('Вводные'!$F$88:$F$91,$B$64)+'Вводные'!$H$9)),AND($B$63="Да",IFERROR(INDEX('Вводные'!$B$88:$B$91,$B$64),"Нет")="Да")),MAX(0,SUM($D81:AA81)-AA81),0)</x:f>
      </x:c>
      <x:c r="AB83" s="107" t="n">
        <x:f>IF(AND(YEAR(AB$3)=YEAR(EDATE(INDEX('Вводные'!$D$88:$D$91,$B$64),INDEX('Вводные'!$E$88:$E$91,$B$64)+INDEX('Вводные'!$F$88:$F$91,$B$64)+'Вводные'!$H$9)),MONTH(AB$3)=MONTH(EDATE(INDEX('Вводные'!$D$88:$D$91,$B$64),INDEX('Вводные'!$E$88:$E$91,$B$64)+INDEX('Вводные'!$F$88:$F$91,$B$64)+'Вводные'!$H$9)),AND($B$63="Да",IFERROR(INDEX('Вводные'!$B$88:$B$91,$B$64),"Нет")="Да")),MAX(0,SUM($D81:AB81)-AB81),0)</x:f>
      </x:c>
      <x:c r="AC83" s="107" t="n">
        <x:f>IF(AND(YEAR(AC$3)=YEAR(EDATE(INDEX('Вводные'!$D$88:$D$91,$B$64),INDEX('Вводные'!$E$88:$E$91,$B$64)+INDEX('Вводные'!$F$88:$F$91,$B$64)+'Вводные'!$H$9)),MONTH(AC$3)=MONTH(EDATE(INDEX('Вводные'!$D$88:$D$91,$B$64),INDEX('Вводные'!$E$88:$E$91,$B$64)+INDEX('Вводные'!$F$88:$F$91,$B$64)+'Вводные'!$H$9)),AND($B$63="Да",IFERROR(INDEX('Вводные'!$B$88:$B$91,$B$64),"Нет")="Да")),MAX(0,SUM($D81:AC81)-AC81),0)</x:f>
      </x:c>
      <x:c r="AD83" s="107" t="n">
        <x:f>IF(AND(YEAR(AD$3)=YEAR(EDATE(INDEX('Вводные'!$D$88:$D$91,$B$64),INDEX('Вводные'!$E$88:$E$91,$B$64)+INDEX('Вводные'!$F$88:$F$91,$B$64)+'Вводные'!$H$9)),MONTH(AD$3)=MONTH(EDATE(INDEX('Вводные'!$D$88:$D$91,$B$64),INDEX('Вводные'!$E$88:$E$91,$B$64)+INDEX('Вводные'!$F$88:$F$91,$B$64)+'Вводные'!$H$9)),AND($B$63="Да",IFERROR(INDEX('Вводные'!$B$88:$B$91,$B$64),"Нет")="Да")),MAX(0,SUM($D81:AD81)-AD81),0)</x:f>
      </x:c>
      <x:c r="AE83" s="107" t="n">
        <x:f>IF(AND(YEAR(AE$3)=YEAR(EDATE(INDEX('Вводные'!$D$88:$D$91,$B$64),INDEX('Вводные'!$E$88:$E$91,$B$64)+INDEX('Вводные'!$F$88:$F$91,$B$64)+'Вводные'!$H$9)),MONTH(AE$3)=MONTH(EDATE(INDEX('Вводные'!$D$88:$D$91,$B$64),INDEX('Вводные'!$E$88:$E$91,$B$64)+INDEX('Вводные'!$F$88:$F$91,$B$64)+'Вводные'!$H$9)),AND($B$63="Да",IFERROR(INDEX('Вводные'!$B$88:$B$91,$B$64),"Нет")="Да")),MAX(0,SUM($D81:AE81)-AE81),0)</x:f>
      </x:c>
      <x:c r="AF83" s="107" t="n">
        <x:f>IF(AND(YEAR(AF$3)=YEAR(EDATE(INDEX('Вводные'!$D$88:$D$91,$B$64),INDEX('Вводные'!$E$88:$E$91,$B$64)+INDEX('Вводные'!$F$88:$F$91,$B$64)+'Вводные'!$H$9)),MONTH(AF$3)=MONTH(EDATE(INDEX('Вводные'!$D$88:$D$91,$B$64),INDEX('Вводные'!$E$88:$E$91,$B$64)+INDEX('Вводные'!$F$88:$F$91,$B$64)+'Вводные'!$H$9)),AND($B$63="Да",IFERROR(INDEX('Вводные'!$B$88:$B$91,$B$64),"Нет")="Да")),MAX(0,SUM($D81:AF81)-AF81),0)</x:f>
      </x:c>
      <x:c r="AG83" s="107" t="n">
        <x:f>IF(AND(YEAR(AG$3)=YEAR(EDATE(INDEX('Вводные'!$D$88:$D$91,$B$64),INDEX('Вводные'!$E$88:$E$91,$B$64)+INDEX('Вводные'!$F$88:$F$91,$B$64)+'Вводные'!$H$9)),MONTH(AG$3)=MONTH(EDATE(INDEX('Вводные'!$D$88:$D$91,$B$64),INDEX('Вводные'!$E$88:$E$91,$B$64)+INDEX('Вводные'!$F$88:$F$91,$B$64)+'Вводные'!$H$9)),AND($B$63="Да",IFERROR(INDEX('Вводные'!$B$88:$B$91,$B$64),"Нет")="Да")),MAX(0,SUM($D81:AG81)-AG81),0)</x:f>
      </x:c>
      <x:c r="AH83" s="107" t="n">
        <x:f>IF(AND(YEAR(AH$3)=YEAR(EDATE(INDEX('Вводные'!$D$88:$D$91,$B$64),INDEX('Вводные'!$E$88:$E$91,$B$64)+INDEX('Вводные'!$F$88:$F$91,$B$64)+'Вводные'!$H$9)),MONTH(AH$3)=MONTH(EDATE(INDEX('Вводные'!$D$88:$D$91,$B$64),INDEX('Вводные'!$E$88:$E$91,$B$64)+INDEX('Вводные'!$F$88:$F$91,$B$64)+'Вводные'!$H$9)),AND($B$63="Да",IFERROR(INDEX('Вводные'!$B$88:$B$91,$B$64),"Нет")="Да")),MAX(0,SUM($D81:AH81)-AH81),0)</x:f>
      </x:c>
      <x:c r="AI83" s="107" t="n">
        <x:f>IF(AND(YEAR(AI$3)=YEAR(EDATE(INDEX('Вводные'!$D$88:$D$91,$B$64),INDEX('Вводные'!$E$88:$E$91,$B$64)+INDEX('Вводные'!$F$88:$F$91,$B$64)+'Вводные'!$H$9)),MONTH(AI$3)=MONTH(EDATE(INDEX('Вводные'!$D$88:$D$91,$B$64),INDEX('Вводные'!$E$88:$E$91,$B$64)+INDEX('Вводные'!$F$88:$F$91,$B$64)+'Вводные'!$H$9)),AND($B$63="Да",IFERROR(INDEX('Вводные'!$B$88:$B$91,$B$64),"Нет")="Да")),MAX(0,SUM($D81:AI81)-AI81),0)</x:f>
      </x:c>
      <x:c r="AJ83" s="107" t="n">
        <x:f>IF(AND(YEAR(AJ$3)=YEAR(EDATE(INDEX('Вводные'!$D$88:$D$91,$B$64),INDEX('Вводные'!$E$88:$E$91,$B$64)+INDEX('Вводные'!$F$88:$F$91,$B$64)+'Вводные'!$H$9)),MONTH(AJ$3)=MONTH(EDATE(INDEX('Вводные'!$D$88:$D$91,$B$64),INDEX('Вводные'!$E$88:$E$91,$B$64)+INDEX('Вводные'!$F$88:$F$91,$B$64)+'Вводные'!$H$9)),AND($B$63="Да",IFERROR(INDEX('Вводные'!$B$88:$B$91,$B$64),"Нет")="Да")),MAX(0,SUM($D81:AJ81)-AJ81),0)</x:f>
      </x:c>
      <x:c r="AK83" s="107" t="n">
        <x:f>IF(AND(YEAR(AK$3)=YEAR(EDATE(INDEX('Вводные'!$D$88:$D$91,$B$64),INDEX('Вводные'!$E$88:$E$91,$B$64)+INDEX('Вводные'!$F$88:$F$91,$B$64)+'Вводные'!$H$9)),MONTH(AK$3)=MONTH(EDATE(INDEX('Вводные'!$D$88:$D$91,$B$64),INDEX('Вводные'!$E$88:$E$91,$B$64)+INDEX('Вводные'!$F$88:$F$91,$B$64)+'Вводные'!$H$9)),AND($B$63="Да",IFERROR(INDEX('Вводные'!$B$88:$B$91,$B$64),"Нет")="Да")),MAX(0,SUM($D81:AK81)-AK81),0)</x:f>
      </x:c>
      <x:c r="AL83" s="107" t="n">
        <x:f>IF(AND(YEAR(AL$3)=YEAR(EDATE(INDEX('Вводные'!$D$88:$D$91,$B$64),INDEX('Вводные'!$E$88:$E$91,$B$64)+INDEX('Вводные'!$F$88:$F$91,$B$64)+'Вводные'!$H$9)),MONTH(AL$3)=MONTH(EDATE(INDEX('Вводные'!$D$88:$D$91,$B$64),INDEX('Вводные'!$E$88:$E$91,$B$64)+INDEX('Вводные'!$F$88:$F$91,$B$64)+'Вводные'!$H$9)),AND($B$63="Да",IFERROR(INDEX('Вводные'!$B$88:$B$91,$B$64),"Нет")="Да")),MAX(0,SUM($D81:AL81)-AL81),0)</x:f>
      </x:c>
      <x:c r="AM83" s="107" t="n">
        <x:f>IF(AND(YEAR(AM$3)=YEAR(EDATE(INDEX('Вводные'!$D$88:$D$91,$B$64),INDEX('Вводные'!$E$88:$E$91,$B$64)+INDEX('Вводные'!$F$88:$F$91,$B$64)+'Вводные'!$H$9)),MONTH(AM$3)=MONTH(EDATE(INDEX('Вводные'!$D$88:$D$91,$B$64),INDEX('Вводные'!$E$88:$E$91,$B$64)+INDEX('Вводные'!$F$88:$F$91,$B$64)+'Вводные'!$H$9)),AND($B$63="Да",IFERROR(INDEX('Вводные'!$B$88:$B$91,$B$64),"Нет")="Да")),MAX(0,SUM($D81:AM81)-AM81),0)</x:f>
      </x:c>
      <x:c r="AN83" s="107" t="n">
        <x:f>IF(AND(YEAR(AN$3)=YEAR(EDATE(INDEX('Вводные'!$D$88:$D$91,$B$64),INDEX('Вводные'!$E$88:$E$91,$B$64)+INDEX('Вводные'!$F$88:$F$91,$B$64)+'Вводные'!$H$9)),MONTH(AN$3)=MONTH(EDATE(INDEX('Вводные'!$D$88:$D$91,$B$64),INDEX('Вводные'!$E$88:$E$91,$B$64)+INDEX('Вводные'!$F$88:$F$91,$B$64)+'Вводные'!$H$9)),AND($B$63="Да",IFERROR(INDEX('Вводные'!$B$88:$B$91,$B$64),"Нет")="Да")),MAX(0,SUM($D81:AN81)-AN81),0)</x:f>
      </x:c>
      <x:c r="AO83" s="107" t="n">
        <x:f>IF(AND(YEAR(AO$3)=YEAR(EDATE(INDEX('Вводные'!$D$88:$D$91,$B$64),INDEX('Вводные'!$E$88:$E$91,$B$64)+INDEX('Вводные'!$F$88:$F$91,$B$64)+'Вводные'!$H$9)),MONTH(AO$3)=MONTH(EDATE(INDEX('Вводные'!$D$88:$D$91,$B$64),INDEX('Вводные'!$E$88:$E$91,$B$64)+INDEX('Вводные'!$F$88:$F$91,$B$64)+'Вводные'!$H$9)),AND($B$63="Да",IFERROR(INDEX('Вводные'!$B$88:$B$91,$B$64),"Нет")="Да")),MAX(0,SUM($D81:AO81)-AO81),0)</x:f>
      </x:c>
      <x:c r="AP83" s="107" t="n">
        <x:f>IF(AND(YEAR(AP$3)=YEAR(EDATE(INDEX('Вводные'!$D$88:$D$91,$B$64),INDEX('Вводные'!$E$88:$E$91,$B$64)+INDEX('Вводные'!$F$88:$F$91,$B$64)+'Вводные'!$H$9)),MONTH(AP$3)=MONTH(EDATE(INDEX('Вводные'!$D$88:$D$91,$B$64),INDEX('Вводные'!$E$88:$E$91,$B$64)+INDEX('Вводные'!$F$88:$F$91,$B$64)+'Вводные'!$H$9)),AND($B$63="Да",IFERROR(INDEX('Вводные'!$B$88:$B$91,$B$64),"Нет")="Да")),MAX(0,SUM($D81:AP81)-AP81),0)</x:f>
      </x:c>
      <x:c r="AQ83" s="107" t="n">
        <x:f>IF(AND(YEAR(AQ$3)=YEAR(EDATE(INDEX('Вводные'!$D$88:$D$91,$B$64),INDEX('Вводные'!$E$88:$E$91,$B$64)+INDEX('Вводные'!$F$88:$F$91,$B$64)+'Вводные'!$H$9)),MONTH(AQ$3)=MONTH(EDATE(INDEX('Вводные'!$D$88:$D$91,$B$64),INDEX('Вводные'!$E$88:$E$91,$B$64)+INDEX('Вводные'!$F$88:$F$91,$B$64)+'Вводные'!$H$9)),AND($B$63="Да",IFERROR(INDEX('Вводные'!$B$88:$B$91,$B$64),"Нет")="Да")),MAX(0,SUM($D81:AQ81)-AQ81),0)</x:f>
      </x:c>
      <x:c r="AR83" s="107" t="n">
        <x:f>IF(AND(YEAR(AR$3)=YEAR(EDATE(INDEX('Вводные'!$D$88:$D$91,$B$64),INDEX('Вводные'!$E$88:$E$91,$B$64)+INDEX('Вводные'!$F$88:$F$91,$B$64)+'Вводные'!$H$9)),MONTH(AR$3)=MONTH(EDATE(INDEX('Вводные'!$D$88:$D$91,$B$64),INDEX('Вводные'!$E$88:$E$91,$B$64)+INDEX('Вводные'!$F$88:$F$91,$B$64)+'Вводные'!$H$9)),AND($B$63="Да",IFERROR(INDEX('Вводные'!$B$88:$B$91,$B$64),"Нет")="Да")),MAX(0,SUM($D81:AR81)-AR81),0)</x:f>
      </x:c>
      <x:c r="AS83" s="107" t="n">
        <x:f>IF(AND(YEAR(AS$3)=YEAR(EDATE(INDEX('Вводные'!$D$88:$D$91,$B$64),INDEX('Вводные'!$E$88:$E$91,$B$64)+INDEX('Вводные'!$F$88:$F$91,$B$64)+'Вводные'!$H$9)),MONTH(AS$3)=MONTH(EDATE(INDEX('Вводные'!$D$88:$D$91,$B$64),INDEX('Вводные'!$E$88:$E$91,$B$64)+INDEX('Вводные'!$F$88:$F$91,$B$64)+'Вводные'!$H$9)),AND($B$63="Да",IFERROR(INDEX('Вводные'!$B$88:$B$91,$B$64),"Нет")="Да")),MAX(0,SUM($D81:AS81)-AS81),0)</x:f>
      </x:c>
      <x:c r="AT83" s="107" t="n">
        <x:f>IF(AND(YEAR(AT$3)=YEAR(EDATE(INDEX('Вводные'!$D$88:$D$91,$B$64),INDEX('Вводные'!$E$88:$E$91,$B$64)+INDEX('Вводные'!$F$88:$F$91,$B$64)+'Вводные'!$H$9)),MONTH(AT$3)=MONTH(EDATE(INDEX('Вводные'!$D$88:$D$91,$B$64),INDEX('Вводные'!$E$88:$E$91,$B$64)+INDEX('Вводные'!$F$88:$F$91,$B$64)+'Вводные'!$H$9)),AND($B$63="Да",IFERROR(INDEX('Вводные'!$B$88:$B$91,$B$64),"Нет")="Да")),MAX(0,SUM($D81:AT81)-AT81),0)</x:f>
      </x:c>
      <x:c r="AU83" s="107" t="n">
        <x:f>IF(AND(YEAR(AU$3)=YEAR(EDATE(INDEX('Вводные'!$D$88:$D$91,$B$64),INDEX('Вводные'!$E$88:$E$91,$B$64)+INDEX('Вводные'!$F$88:$F$91,$B$64)+'Вводные'!$H$9)),MONTH(AU$3)=MONTH(EDATE(INDEX('Вводные'!$D$88:$D$91,$B$64),INDEX('Вводные'!$E$88:$E$91,$B$64)+INDEX('Вводные'!$F$88:$F$91,$B$64)+'Вводные'!$H$9)),AND($B$63="Да",IFERROR(INDEX('Вводные'!$B$88:$B$91,$B$64),"Нет")="Да")),MAX(0,SUM($D81:AU81)-AU81),0)</x:f>
      </x:c>
      <x:c r="AV83" s="107" t="n">
        <x:f>IF(AND(YEAR(AV$3)=YEAR(EDATE(INDEX('Вводные'!$D$88:$D$91,$B$64),INDEX('Вводные'!$E$88:$E$91,$B$64)+INDEX('Вводные'!$F$88:$F$91,$B$64)+'Вводные'!$H$9)),MONTH(AV$3)=MONTH(EDATE(INDEX('Вводные'!$D$88:$D$91,$B$64),INDEX('Вводные'!$E$88:$E$91,$B$64)+INDEX('Вводные'!$F$88:$F$91,$B$64)+'Вводные'!$H$9)),AND($B$63="Да",IFERROR(INDEX('Вводные'!$B$88:$B$91,$B$64),"Нет")="Да")),MAX(0,SUM($D81:AV81)-AV81),0)</x:f>
      </x:c>
      <x:c r="AW83" s="107" t="n">
        <x:f>IF(AND(YEAR(AW$3)=YEAR(EDATE(INDEX('Вводные'!$D$88:$D$91,$B$64),INDEX('Вводные'!$E$88:$E$91,$B$64)+INDEX('Вводные'!$F$88:$F$91,$B$64)+'Вводные'!$H$9)),MONTH(AW$3)=MONTH(EDATE(INDEX('Вводные'!$D$88:$D$91,$B$64),INDEX('Вводные'!$E$88:$E$91,$B$64)+INDEX('Вводные'!$F$88:$F$91,$B$64)+'Вводные'!$H$9)),AND($B$63="Да",IFERROR(INDEX('Вводные'!$B$88:$B$91,$B$64),"Нет")="Да")),MAX(0,SUM($D81:AW81)-AW81),0)</x:f>
      </x:c>
      <x:c r="AX83" s="107" t="n">
        <x:f>IF(AND(YEAR(AX$3)=YEAR(EDATE(INDEX('Вводные'!$D$88:$D$91,$B$64),INDEX('Вводные'!$E$88:$E$91,$B$64)+INDEX('Вводные'!$F$88:$F$91,$B$64)+'Вводные'!$H$9)),MONTH(AX$3)=MONTH(EDATE(INDEX('Вводные'!$D$88:$D$91,$B$64),INDEX('Вводные'!$E$88:$E$91,$B$64)+INDEX('Вводные'!$F$88:$F$91,$B$64)+'Вводные'!$H$9)),AND($B$63="Да",IFERROR(INDEX('Вводные'!$B$88:$B$91,$B$64),"Нет")="Да")),MAX(0,SUM($D81:AX81)-AX81),0)</x:f>
      </x:c>
      <x:c r="AY83" s="107" t="n">
        <x:f>IF(AND(YEAR(AY$3)=YEAR(EDATE(INDEX('Вводные'!$D$88:$D$91,$B$64),INDEX('Вводные'!$E$88:$E$91,$B$64)+INDEX('Вводные'!$F$88:$F$91,$B$64)+'Вводные'!$H$9)),MONTH(AY$3)=MONTH(EDATE(INDEX('Вводные'!$D$88:$D$91,$B$64),INDEX('Вводные'!$E$88:$E$91,$B$64)+INDEX('Вводные'!$F$88:$F$91,$B$64)+'Вводные'!$H$9)),AND($B$63="Да",IFERROR(INDEX('Вводные'!$B$88:$B$91,$B$64),"Нет")="Да")),MAX(0,SUM($D81:AY81)-AY81),0)</x:f>
      </x:c>
      <x:c r="AZ83" s="107" t="n">
        <x:f>IF(AND(YEAR(AZ$3)=YEAR(EDATE(INDEX('Вводные'!$D$88:$D$91,$B$64),INDEX('Вводные'!$E$88:$E$91,$B$64)+INDEX('Вводные'!$F$88:$F$91,$B$64)+'Вводные'!$H$9)),MONTH(AZ$3)=MONTH(EDATE(INDEX('Вводные'!$D$88:$D$91,$B$64),INDEX('Вводные'!$E$88:$E$91,$B$64)+INDEX('Вводные'!$F$88:$F$91,$B$64)+'Вводные'!$H$9)),AND($B$63="Да",IFERROR(INDEX('Вводные'!$B$88:$B$91,$B$64),"Нет")="Да")),MAX(0,SUM($D81:AZ81)-AZ81),0)</x:f>
      </x:c>
      <x:c r="BA83" s="107" t="n">
        <x:f>IF(AND(YEAR(BA$3)=YEAR(EDATE(INDEX('Вводные'!$D$88:$D$91,$B$64),INDEX('Вводные'!$E$88:$E$91,$B$64)+INDEX('Вводные'!$F$88:$F$91,$B$64)+'Вводные'!$H$9)),MONTH(BA$3)=MONTH(EDATE(INDEX('Вводные'!$D$88:$D$91,$B$64),INDEX('Вводные'!$E$88:$E$91,$B$64)+INDEX('Вводные'!$F$88:$F$91,$B$64)+'Вводные'!$H$9)),AND($B$63="Да",IFERROR(INDEX('Вводные'!$B$88:$B$91,$B$64),"Нет")="Да")),MAX(0,SUM($D81:BA81)-BA81),0)</x:f>
      </x:c>
      <x:c r="BB83" s="107" t="n">
        <x:f>IF(AND(YEAR(BB$3)=YEAR(EDATE(INDEX('Вводные'!$D$88:$D$91,$B$64),INDEX('Вводные'!$E$88:$E$91,$B$64)+INDEX('Вводные'!$F$88:$F$91,$B$64)+'Вводные'!$H$9)),MONTH(BB$3)=MONTH(EDATE(INDEX('Вводные'!$D$88:$D$91,$B$64),INDEX('Вводные'!$E$88:$E$91,$B$64)+INDEX('Вводные'!$F$88:$F$91,$B$64)+'Вводные'!$H$9)),AND($B$63="Да",IFERROR(INDEX('Вводные'!$B$88:$B$91,$B$64),"Нет")="Да")),MAX(0,SUM($D81:BB81)-BB81),0)</x:f>
      </x:c>
      <x:c r="BC83" s="107" t="n">
        <x:f>IF(AND(YEAR(BC$3)=YEAR(EDATE(INDEX('Вводные'!$D$88:$D$91,$B$64),INDEX('Вводные'!$E$88:$E$91,$B$64)+INDEX('Вводные'!$F$88:$F$91,$B$64)+'Вводные'!$H$9)),MONTH(BC$3)=MONTH(EDATE(INDEX('Вводные'!$D$88:$D$91,$B$64),INDEX('Вводные'!$E$88:$E$91,$B$64)+INDEX('Вводные'!$F$88:$F$91,$B$64)+'Вводные'!$H$9)),AND($B$63="Да",IFERROR(INDEX('Вводные'!$B$88:$B$91,$B$64),"Нет")="Да")),MAX(0,SUM($D81:BC81)-BC81),0)</x:f>
      </x:c>
      <x:c r="BD83" s="107" t="n">
        <x:f>IF(AND(YEAR(BD$3)=YEAR(EDATE(INDEX('Вводные'!$D$88:$D$91,$B$64),INDEX('Вводные'!$E$88:$E$91,$B$64)+INDEX('Вводные'!$F$88:$F$91,$B$64)+'Вводные'!$H$9)),MONTH(BD$3)=MONTH(EDATE(INDEX('Вводные'!$D$88:$D$91,$B$64),INDEX('Вводные'!$E$88:$E$91,$B$64)+INDEX('Вводные'!$F$88:$F$91,$B$64)+'Вводные'!$H$9)),AND($B$63="Да",IFERROR(INDEX('Вводные'!$B$88:$B$91,$B$64),"Нет")="Да")),MAX(0,SUM($D81:BD81)-BD81),0)</x:f>
      </x:c>
      <x:c r="BE83" s="107" t="n">
        <x:f>IF(AND(YEAR(BE$3)=YEAR(EDATE(INDEX('Вводные'!$D$88:$D$91,$B$64),INDEX('Вводные'!$E$88:$E$91,$B$64)+INDEX('Вводные'!$F$88:$F$91,$B$64)+'Вводные'!$H$9)),MONTH(BE$3)=MONTH(EDATE(INDEX('Вводные'!$D$88:$D$91,$B$64),INDEX('Вводные'!$E$88:$E$91,$B$64)+INDEX('Вводные'!$F$88:$F$91,$B$64)+'Вводные'!$H$9)),AND($B$63="Да",IFERROR(INDEX('Вводные'!$B$88:$B$91,$B$64),"Нет")="Да")),MAX(0,SUM($D81:BE81)-BE81),0)</x:f>
      </x:c>
      <x:c r="BF83" s="107" t="n">
        <x:f>IF(AND(YEAR(BF$3)=YEAR(EDATE(INDEX('Вводные'!$D$88:$D$91,$B$64),INDEX('Вводные'!$E$88:$E$91,$B$64)+INDEX('Вводные'!$F$88:$F$91,$B$64)+'Вводные'!$H$9)),MONTH(BF$3)=MONTH(EDATE(INDEX('Вводные'!$D$88:$D$91,$B$64),INDEX('Вводные'!$E$88:$E$91,$B$64)+INDEX('Вводные'!$F$88:$F$91,$B$64)+'Вводные'!$H$9)),AND($B$63="Да",IFERROR(INDEX('Вводные'!$B$88:$B$91,$B$64),"Нет")="Да")),MAX(0,SUM($D81:BF81)-BF81),0)</x:f>
      </x:c>
      <x:c r="BG83" s="107" t="n">
        <x:f>IF(AND(YEAR(BG$3)=YEAR(EDATE(INDEX('Вводные'!$D$88:$D$91,$B$64),INDEX('Вводные'!$E$88:$E$91,$B$64)+INDEX('Вводные'!$F$88:$F$91,$B$64)+'Вводные'!$H$9)),MONTH(BG$3)=MONTH(EDATE(INDEX('Вводные'!$D$88:$D$91,$B$64),INDEX('Вводные'!$E$88:$E$91,$B$64)+INDEX('Вводные'!$F$88:$F$91,$B$64)+'Вводные'!$H$9)),AND($B$63="Да",IFERROR(INDEX('Вводные'!$B$88:$B$91,$B$64),"Нет")="Да")),MAX(0,SUM($D81:BG81)-BG81),0)</x:f>
      </x:c>
      <x:c r="BH83" s="107" t="n">
        <x:f>IF(AND(YEAR(BH$3)=YEAR(EDATE(INDEX('Вводные'!$D$88:$D$91,$B$64),INDEX('Вводные'!$E$88:$E$91,$B$64)+INDEX('Вводные'!$F$88:$F$91,$B$64)+'Вводные'!$H$9)),MONTH(BH$3)=MONTH(EDATE(INDEX('Вводные'!$D$88:$D$91,$B$64),INDEX('Вводные'!$E$88:$E$91,$B$64)+INDEX('Вводные'!$F$88:$F$91,$B$64)+'Вводные'!$H$9)),AND($B$63="Да",IFERROR(INDEX('Вводные'!$B$88:$B$91,$B$64),"Нет")="Да")),MAX(0,SUM($D81:BH81)-BH81),0)</x:f>
      </x:c>
      <x:c r="BI83" s="107" t="n">
        <x:f>IF(AND(YEAR(BI$3)=YEAR(EDATE(INDEX('Вводные'!$D$88:$D$91,$B$64),INDEX('Вводные'!$E$88:$E$91,$B$64)+INDEX('Вводные'!$F$88:$F$91,$B$64)+'Вводные'!$H$9)),MONTH(BI$3)=MONTH(EDATE(INDEX('Вводные'!$D$88:$D$91,$B$64),INDEX('Вводные'!$E$88:$E$91,$B$64)+INDEX('Вводные'!$F$88:$F$91,$B$64)+'Вводные'!$H$9)),AND($B$63="Да",IFERROR(INDEX('Вводные'!$B$88:$B$91,$B$64),"Нет")="Да")),MAX(0,SUM($D81:BI81)-BI81),0)</x:f>
      </x:c>
      <x:c r="BJ83" s="107" t="n">
        <x:f>IF(AND(YEAR(BJ$3)=YEAR(EDATE(INDEX('Вводные'!$D$88:$D$91,$B$64),INDEX('Вводные'!$E$88:$E$91,$B$64)+INDEX('Вводные'!$F$88:$F$91,$B$64)+'Вводные'!$H$9)),MONTH(BJ$3)=MONTH(EDATE(INDEX('Вводные'!$D$88:$D$91,$B$64),INDEX('Вводные'!$E$88:$E$91,$B$64)+INDEX('Вводные'!$F$88:$F$91,$B$64)+'Вводные'!$H$9)),AND($B$63="Да",IFERROR(INDEX('Вводные'!$B$88:$B$91,$B$64),"Нет")="Да")),MAX(0,SUM($D81:BJ81)-BJ81),0)</x:f>
      </x:c>
      <x:c r="BK83" s="107" t="n">
        <x:f>IF(AND(YEAR(BK$3)=YEAR(EDATE(INDEX('Вводные'!$D$88:$D$91,$B$64),INDEX('Вводные'!$E$88:$E$91,$B$64)+INDEX('Вводные'!$F$88:$F$91,$B$64)+'Вводные'!$H$9)),MONTH(BK$3)=MONTH(EDATE(INDEX('Вводные'!$D$88:$D$91,$B$64),INDEX('Вводные'!$E$88:$E$91,$B$64)+INDEX('Вводные'!$F$88:$F$91,$B$64)+'Вводные'!$H$9)),AND($B$63="Да",IFERROR(INDEX('Вводные'!$B$88:$B$91,$B$64),"Нет")="Да")),MAX(0,SUM($D81:BK81)-BK81),0)</x:f>
      </x:c>
      <x:c r="BL83" s="107" t="n">
        <x:f>IF(AND(YEAR(BL$3)=YEAR(EDATE(INDEX('Вводные'!$D$88:$D$91,$B$64),INDEX('Вводные'!$E$88:$E$91,$B$64)+INDEX('Вводные'!$F$88:$F$91,$B$64)+'Вводные'!$H$9)),MONTH(BL$3)=MONTH(EDATE(INDEX('Вводные'!$D$88:$D$91,$B$64),INDEX('Вводные'!$E$88:$E$91,$B$64)+INDEX('Вводные'!$F$88:$F$91,$B$64)+'Вводные'!$H$9)),AND($B$63="Да",IFERROR(INDEX('Вводные'!$B$88:$B$91,$B$64),"Нет")="Да")),MAX(0,SUM($D81:BL81)-BL81),0)</x:f>
      </x:c>
      <x:c r="BM83" s="107" t="n">
        <x:f>IF(AND(YEAR(BM$3)=YEAR(EDATE(INDEX('Вводные'!$D$88:$D$91,$B$64),INDEX('Вводные'!$E$88:$E$91,$B$64)+INDEX('Вводные'!$F$88:$F$91,$B$64)+'Вводные'!$H$9)),MONTH(BM$3)=MONTH(EDATE(INDEX('Вводные'!$D$88:$D$91,$B$64),INDEX('Вводные'!$E$88:$E$91,$B$64)+INDEX('Вводные'!$F$88:$F$91,$B$64)+'Вводные'!$H$9)),AND($B$63="Да",IFERROR(INDEX('Вводные'!$B$88:$B$91,$B$64),"Нет")="Да")),MAX(0,SUM($D81:BM81)-BM81),0)</x:f>
      </x:c>
      <x:c r="BN83" s="107" t="n">
        <x:f>IF(AND(YEAR(BN$3)=YEAR(EDATE(INDEX('Вводные'!$D$88:$D$91,$B$64),INDEX('Вводные'!$E$88:$E$91,$B$64)+INDEX('Вводные'!$F$88:$F$91,$B$64)+'Вводные'!$H$9)),MONTH(BN$3)=MONTH(EDATE(INDEX('Вводные'!$D$88:$D$91,$B$64),INDEX('Вводные'!$E$88:$E$91,$B$64)+INDEX('Вводные'!$F$88:$F$91,$B$64)+'Вводные'!$H$9)),AND($B$63="Да",IFERROR(INDEX('Вводные'!$B$88:$B$91,$B$64),"Нет")="Да")),MAX(0,SUM($D81:BN81)-BN81),0)</x:f>
      </x:c>
      <x:c r="BO83" s="107" t="n">
        <x:f>IF(AND(YEAR(BO$3)=YEAR(EDATE(INDEX('Вводные'!$D$88:$D$91,$B$64),INDEX('Вводные'!$E$88:$E$91,$B$64)+INDEX('Вводные'!$F$88:$F$91,$B$64)+'Вводные'!$H$9)),MONTH(BO$3)=MONTH(EDATE(INDEX('Вводные'!$D$88:$D$91,$B$64),INDEX('Вводные'!$E$88:$E$91,$B$64)+INDEX('Вводные'!$F$88:$F$91,$B$64)+'Вводные'!$H$9)),AND($B$63="Да",IFERROR(INDEX('Вводные'!$B$88:$B$91,$B$64),"Нет")="Да")),MAX(0,SUM($D81:BO81)-BO81),0)</x:f>
      </x:c>
      <x:c r="BP83" s="107" t="n">
        <x:f>IF(AND(YEAR(BP$3)=YEAR(EDATE(INDEX('Вводные'!$D$88:$D$91,$B$64),INDEX('Вводные'!$E$88:$E$91,$B$64)+INDEX('Вводные'!$F$88:$F$91,$B$64)+'Вводные'!$H$9)),MONTH(BP$3)=MONTH(EDATE(INDEX('Вводные'!$D$88:$D$91,$B$64),INDEX('Вводные'!$E$88:$E$91,$B$64)+INDEX('Вводные'!$F$88:$F$91,$B$64)+'Вводные'!$H$9)),AND($B$63="Да",IFERROR(INDEX('Вводные'!$B$88:$B$91,$B$64),"Нет")="Да")),MAX(0,SUM($D81:BP81)-BP81),0)</x:f>
      </x:c>
      <x:c r="BQ83" s="107" t="n">
        <x:f>IF(AND(YEAR(BQ$3)=YEAR(EDATE(INDEX('Вводные'!$D$88:$D$91,$B$64),INDEX('Вводные'!$E$88:$E$91,$B$64)+INDEX('Вводные'!$F$88:$F$91,$B$64)+'Вводные'!$H$9)),MONTH(BQ$3)=MONTH(EDATE(INDEX('Вводные'!$D$88:$D$91,$B$64),INDEX('Вводные'!$E$88:$E$91,$B$64)+INDEX('Вводные'!$F$88:$F$91,$B$64)+'Вводные'!$H$9)),AND($B$63="Да",IFERROR(INDEX('Вводные'!$B$88:$B$91,$B$64),"Нет")="Да")),MAX(0,SUM($D81:BQ81)-BQ81),0)</x:f>
      </x:c>
      <x:c r="BR83" s="107" t="n">
        <x:f>IF(AND(YEAR(BR$3)=YEAR(EDATE(INDEX('Вводные'!$D$88:$D$91,$B$64),INDEX('Вводные'!$E$88:$E$91,$B$64)+INDEX('Вводные'!$F$88:$F$91,$B$64)+'Вводные'!$H$9)),MONTH(BR$3)=MONTH(EDATE(INDEX('Вводные'!$D$88:$D$91,$B$64),INDEX('Вводные'!$E$88:$E$91,$B$64)+INDEX('Вводные'!$F$88:$F$91,$B$64)+'Вводные'!$H$9)),AND($B$63="Да",IFERROR(INDEX('Вводные'!$B$88:$B$91,$B$64),"Нет")="Да")),MAX(0,SUM($D81:BR81)-BR81),0)</x:f>
      </x:c>
      <x:c r="BS83" s="107" t="n">
        <x:f>IF(AND(YEAR(BS$3)=YEAR(EDATE(INDEX('Вводные'!$D$88:$D$91,$B$64),INDEX('Вводные'!$E$88:$E$91,$B$64)+INDEX('Вводные'!$F$88:$F$91,$B$64)+'Вводные'!$H$9)),MONTH(BS$3)=MONTH(EDATE(INDEX('Вводные'!$D$88:$D$91,$B$64),INDEX('Вводные'!$E$88:$E$91,$B$64)+INDEX('Вводные'!$F$88:$F$91,$B$64)+'Вводные'!$H$9)),AND($B$63="Да",IFERROR(INDEX('Вводные'!$B$88:$B$91,$B$64),"Нет")="Да")),MAX(0,SUM($D81:BS81)-BS81),0)</x:f>
      </x:c>
      <x:c r="BT83" s="107" t="n">
        <x:f>IF(AND(YEAR(BT$3)=YEAR(EDATE(INDEX('Вводные'!$D$88:$D$91,$B$64),INDEX('Вводные'!$E$88:$E$91,$B$64)+INDEX('Вводные'!$F$88:$F$91,$B$64)+'Вводные'!$H$9)),MONTH(BT$3)=MONTH(EDATE(INDEX('Вводные'!$D$88:$D$91,$B$64),INDEX('Вводные'!$E$88:$E$91,$B$64)+INDEX('Вводные'!$F$88:$F$91,$B$64)+'Вводные'!$H$9)),AND($B$63="Да",IFERROR(INDEX('Вводные'!$B$88:$B$91,$B$64),"Нет")="Да")),MAX(0,SUM($D81:BT81)-BT81),0)</x:f>
      </x:c>
      <x:c r="BU83" s="107" t="n">
        <x:f>IF(AND(YEAR(BU$3)=YEAR(EDATE(INDEX('Вводные'!$D$88:$D$91,$B$64),INDEX('Вводные'!$E$88:$E$91,$B$64)+INDEX('Вводные'!$F$88:$F$91,$B$64)+'Вводные'!$H$9)),MONTH(BU$3)=MONTH(EDATE(INDEX('Вводные'!$D$88:$D$91,$B$64),INDEX('Вводные'!$E$88:$E$91,$B$64)+INDEX('Вводные'!$F$88:$F$91,$B$64)+'Вводные'!$H$9)),AND($B$63="Да",IFERROR(INDEX('Вводные'!$B$88:$B$91,$B$64),"Нет")="Да")),MAX(0,SUM($D81:BU81)-BU81),0)</x:f>
      </x:c>
      <x:c r="BV83" s="107" t="n">
        <x:f>IF(AND(YEAR(BV$3)=YEAR(EDATE(INDEX('Вводные'!$D$88:$D$91,$B$64),INDEX('Вводные'!$E$88:$E$91,$B$64)+INDEX('Вводные'!$F$88:$F$91,$B$64)+'Вводные'!$H$9)),MONTH(BV$3)=MONTH(EDATE(INDEX('Вводные'!$D$88:$D$91,$B$64),INDEX('Вводные'!$E$88:$E$91,$B$64)+INDEX('Вводные'!$F$88:$F$91,$B$64)+'Вводные'!$H$9)),AND($B$63="Да",IFERROR(INDEX('Вводные'!$B$88:$B$91,$B$64),"Нет")="Да")),MAX(0,SUM($D81:BV81)-BV81),0)</x:f>
      </x:c>
      <x:c r="BW83" s="107" t="n">
        <x:f>IF(AND(YEAR(BW$3)=YEAR(EDATE(INDEX('Вводные'!$D$88:$D$91,$B$64),INDEX('Вводные'!$E$88:$E$91,$B$64)+INDEX('Вводные'!$F$88:$F$91,$B$64)+'Вводные'!$H$9)),MONTH(BW$3)=MONTH(EDATE(INDEX('Вводные'!$D$88:$D$91,$B$64),INDEX('Вводные'!$E$88:$E$91,$B$64)+INDEX('Вводные'!$F$88:$F$91,$B$64)+'Вводные'!$H$9)),AND($B$63="Да",IFERROR(INDEX('Вводные'!$B$88:$B$91,$B$64),"Нет")="Да")),MAX(0,SUM($D81:BW81)-BW81),0)</x:f>
      </x:c>
      <x:c r="BX83" s="107" t="n">
        <x:f>IF(AND(YEAR(BX$3)=YEAR(EDATE(INDEX('Вводные'!$D$88:$D$91,$B$64),INDEX('Вводные'!$E$88:$E$91,$B$64)+INDEX('Вводные'!$F$88:$F$91,$B$64)+'Вводные'!$H$9)),MONTH(BX$3)=MONTH(EDATE(INDEX('Вводные'!$D$88:$D$91,$B$64),INDEX('Вводные'!$E$88:$E$91,$B$64)+INDEX('Вводные'!$F$88:$F$91,$B$64)+'Вводные'!$H$9)),AND($B$63="Да",IFERROR(INDEX('Вводные'!$B$88:$B$91,$B$64),"Нет")="Да")),MAX(0,SUM($D81:BX81)-BX81),0)</x:f>
      </x:c>
      <x:c r="BY83" s="107" t="n">
        <x:f>IF(AND(YEAR(BY$3)=YEAR(EDATE(INDEX('Вводные'!$D$88:$D$91,$B$64),INDEX('Вводные'!$E$88:$E$91,$B$64)+INDEX('Вводные'!$F$88:$F$91,$B$64)+'Вводные'!$H$9)),MONTH(BY$3)=MONTH(EDATE(INDEX('Вводные'!$D$88:$D$91,$B$64),INDEX('Вводные'!$E$88:$E$91,$B$64)+INDEX('Вводные'!$F$88:$F$91,$B$64)+'Вводные'!$H$9)),AND($B$63="Да",IFERROR(INDEX('Вводные'!$B$88:$B$91,$B$64),"Нет")="Да")),MAX(0,SUM($D81:BY81)-BY81),0)</x:f>
      </x:c>
      <x:c r="BZ83" s="107" t="n">
        <x:f>IF(AND(YEAR(BZ$3)=YEAR(EDATE(INDEX('Вводные'!$D$88:$D$91,$B$64),INDEX('Вводные'!$E$88:$E$91,$B$64)+INDEX('Вводные'!$F$88:$F$91,$B$64)+'Вводные'!$H$9)),MONTH(BZ$3)=MONTH(EDATE(INDEX('Вводные'!$D$88:$D$91,$B$64),INDEX('Вводные'!$E$88:$E$91,$B$64)+INDEX('Вводные'!$F$88:$F$91,$B$64)+'Вводные'!$H$9)),AND($B$63="Да",IFERROR(INDEX('Вводные'!$B$88:$B$91,$B$64),"Нет")="Да")),MAX(0,SUM($D81:BZ81)-BZ81),0)</x:f>
      </x:c>
      <x:c r="CA83" s="107" t="n">
        <x:f>IF(AND(YEAR(CA$3)=YEAR(EDATE(INDEX('Вводные'!$D$88:$D$91,$B$64),INDEX('Вводные'!$E$88:$E$91,$B$64)+INDEX('Вводные'!$F$88:$F$91,$B$64)+'Вводные'!$H$9)),MONTH(CA$3)=MONTH(EDATE(INDEX('Вводные'!$D$88:$D$91,$B$64),INDEX('Вводные'!$E$88:$E$91,$B$64)+INDEX('Вводные'!$F$88:$F$91,$B$64)+'Вводные'!$H$9)),AND($B$63="Да",IFERROR(INDEX('Вводные'!$B$88:$B$91,$B$64),"Нет")="Да")),MAX(0,SUM($D81:CA81)-CA81),0)</x:f>
      </x:c>
      <x:c r="CB83" s="107" t="n">
        <x:f>IF(AND(YEAR(CB$3)=YEAR(EDATE(INDEX('Вводные'!$D$88:$D$91,$B$64),INDEX('Вводные'!$E$88:$E$91,$B$64)+INDEX('Вводные'!$F$88:$F$91,$B$64)+'Вводные'!$H$9)),MONTH(CB$3)=MONTH(EDATE(INDEX('Вводные'!$D$88:$D$91,$B$64),INDEX('Вводные'!$E$88:$E$91,$B$64)+INDEX('Вводные'!$F$88:$F$91,$B$64)+'Вводные'!$H$9)),AND($B$63="Да",IFERROR(INDEX('Вводные'!$B$88:$B$91,$B$64),"Нет")="Да")),MAX(0,SUM($D81:CB81)-CB81),0)</x:f>
      </x:c>
      <x:c r="CC83" s="107" t="n">
        <x:f>IF(AND(YEAR(CC$3)=YEAR(EDATE(INDEX('Вводные'!$D$88:$D$91,$B$64),INDEX('Вводные'!$E$88:$E$91,$B$64)+INDEX('Вводные'!$F$88:$F$91,$B$64)+'Вводные'!$H$9)),MONTH(CC$3)=MONTH(EDATE(INDEX('Вводные'!$D$88:$D$91,$B$64),INDEX('Вводные'!$E$88:$E$91,$B$64)+INDEX('Вводные'!$F$88:$F$91,$B$64)+'Вводные'!$H$9)),AND($B$63="Да",IFERROR(INDEX('Вводные'!$B$88:$B$91,$B$64),"Нет")="Да")),MAX(0,SUM($D81:CC81)-CC81),0)</x:f>
      </x:c>
      <x:c r="CD83" s="107" t="n">
        <x:f>IF(AND(YEAR(CD$3)=YEAR(EDATE(INDEX('Вводные'!$D$88:$D$91,$B$64),INDEX('Вводные'!$E$88:$E$91,$B$64)+INDEX('Вводные'!$F$88:$F$91,$B$64)+'Вводные'!$H$9)),MONTH(CD$3)=MONTH(EDATE(INDEX('Вводные'!$D$88:$D$91,$B$64),INDEX('Вводные'!$E$88:$E$91,$B$64)+INDEX('Вводные'!$F$88:$F$91,$B$64)+'Вводные'!$H$9)),AND($B$63="Да",IFERROR(INDEX('Вводные'!$B$88:$B$91,$B$64),"Нет")="Да")),MAX(0,SUM($D81:CD81)-CD81),0)</x:f>
      </x:c>
      <x:c r="CE83" s="107" t="n">
        <x:f>IF(AND(YEAR(CE$3)=YEAR(EDATE(INDEX('Вводные'!$D$88:$D$91,$B$64),INDEX('Вводные'!$E$88:$E$91,$B$64)+INDEX('Вводные'!$F$88:$F$91,$B$64)+'Вводные'!$H$9)),MONTH(CE$3)=MONTH(EDATE(INDEX('Вводные'!$D$88:$D$91,$B$64),INDEX('Вводные'!$E$88:$E$91,$B$64)+INDEX('Вводные'!$F$88:$F$91,$B$64)+'Вводные'!$H$9)),AND($B$63="Да",IFERROR(INDEX('Вводные'!$B$88:$B$91,$B$64),"Нет")="Да")),MAX(0,SUM($D81:CE81)-CE81),0)</x:f>
      </x:c>
      <x:c r="CF83" s="107" t="n">
        <x:f>IF(AND(YEAR(CF$3)=YEAR(EDATE(INDEX('Вводные'!$D$88:$D$91,$B$64),INDEX('Вводные'!$E$88:$E$91,$B$64)+INDEX('Вводные'!$F$88:$F$91,$B$64)+'Вводные'!$H$9)),MONTH(CF$3)=MONTH(EDATE(INDEX('Вводные'!$D$88:$D$91,$B$64),INDEX('Вводные'!$E$88:$E$91,$B$64)+INDEX('Вводные'!$F$88:$F$91,$B$64)+'Вводные'!$H$9)),AND($B$63="Да",IFERROR(INDEX('Вводные'!$B$88:$B$91,$B$64),"Нет")="Да")),MAX(0,SUM($D81:CF81)-CF81),0)</x:f>
      </x:c>
      <x:c r="CG83" s="107" t="n">
        <x:f>IF(AND(YEAR(CG$3)=YEAR(EDATE(INDEX('Вводные'!$D$88:$D$91,$B$64),INDEX('Вводные'!$E$88:$E$91,$B$64)+INDEX('Вводные'!$F$88:$F$91,$B$64)+'Вводные'!$H$9)),MONTH(CG$3)=MONTH(EDATE(INDEX('Вводные'!$D$88:$D$91,$B$64),INDEX('Вводные'!$E$88:$E$91,$B$64)+INDEX('Вводные'!$F$88:$F$91,$B$64)+'Вводные'!$H$9)),AND($B$63="Да",IFERROR(INDEX('Вводные'!$B$88:$B$91,$B$64),"Нет")="Да")),MAX(0,SUM($D81:CG81)-CG81),0)</x:f>
      </x:c>
      <x:c r="CH83" s="107" t="n">
        <x:f>IF(AND(YEAR(CH$3)=YEAR(EDATE(INDEX('Вводные'!$D$88:$D$91,$B$64),INDEX('Вводные'!$E$88:$E$91,$B$64)+INDEX('Вводные'!$F$88:$F$91,$B$64)+'Вводные'!$H$9)),MONTH(CH$3)=MONTH(EDATE(INDEX('Вводные'!$D$88:$D$91,$B$64),INDEX('Вводные'!$E$88:$E$91,$B$64)+INDEX('Вводные'!$F$88:$F$91,$B$64)+'Вводные'!$H$9)),AND($B$63="Да",IFERROR(INDEX('Вводные'!$B$88:$B$91,$B$64),"Нет")="Да")),MAX(0,SUM($D81:CH81)-CH81),0)</x:f>
      </x:c>
      <x:c r="CI83" s="107" t="n">
        <x:f>IF(AND(YEAR(CI$3)=YEAR(EDATE(INDEX('Вводные'!$D$88:$D$91,$B$64),INDEX('Вводные'!$E$88:$E$91,$B$64)+INDEX('Вводные'!$F$88:$F$91,$B$64)+'Вводные'!$H$9)),MONTH(CI$3)=MONTH(EDATE(INDEX('Вводные'!$D$88:$D$91,$B$64),INDEX('Вводные'!$E$88:$E$91,$B$64)+INDEX('Вводные'!$F$88:$F$91,$B$64)+'Вводные'!$H$9)),AND($B$63="Да",IFERROR(INDEX('Вводные'!$B$88:$B$91,$B$64),"Нет")="Да")),MAX(0,SUM($D81:CI81)-CI81),0)</x:f>
      </x:c>
      <x:c r="CJ83" s="107" t="n">
        <x:f>IF(AND(YEAR(CJ$3)=YEAR(EDATE(INDEX('Вводные'!$D$88:$D$91,$B$64),INDEX('Вводные'!$E$88:$E$91,$B$64)+INDEX('Вводные'!$F$88:$F$91,$B$64)+'Вводные'!$H$9)),MONTH(CJ$3)=MONTH(EDATE(INDEX('Вводные'!$D$88:$D$91,$B$64),INDEX('Вводные'!$E$88:$E$91,$B$64)+INDEX('Вводные'!$F$88:$F$91,$B$64)+'Вводные'!$H$9)),AND($B$63="Да",IFERROR(INDEX('Вводные'!$B$88:$B$91,$B$64),"Нет")="Да")),MAX(0,SUM($D81:CJ81)-CJ81),0)</x:f>
      </x:c>
      <x:c r="CK83" s="107" t="n">
        <x:f>IF(AND(YEAR(CK$3)=YEAR(EDATE(INDEX('Вводные'!$D$88:$D$91,$B$64),INDEX('Вводные'!$E$88:$E$91,$B$64)+INDEX('Вводные'!$F$88:$F$91,$B$64)+'Вводные'!$H$9)),MONTH(CK$3)=MONTH(EDATE(INDEX('Вводные'!$D$88:$D$91,$B$64),INDEX('Вводные'!$E$88:$E$91,$B$64)+INDEX('Вводные'!$F$88:$F$91,$B$64)+'Вводные'!$H$9)),AND($B$63="Да",IFERROR(INDEX('Вводные'!$B$88:$B$91,$B$64),"Нет")="Да")),MAX(0,SUM($D81:CK81)-CK81),0)</x:f>
      </x:c>
      <x:c r="CL83" s="107" t="n">
        <x:f>IF(AND(YEAR(CL$3)=YEAR(EDATE(INDEX('Вводные'!$D$88:$D$91,$B$64),INDEX('Вводные'!$E$88:$E$91,$B$64)+INDEX('Вводные'!$F$88:$F$91,$B$64)+'Вводные'!$H$9)),MONTH(CL$3)=MONTH(EDATE(INDEX('Вводные'!$D$88:$D$91,$B$64),INDEX('Вводные'!$E$88:$E$91,$B$64)+INDEX('Вводные'!$F$88:$F$91,$B$64)+'Вводные'!$H$9)),AND($B$63="Да",IFERROR(INDEX('Вводные'!$B$88:$B$91,$B$64),"Нет")="Да")),MAX(0,SUM($D81:CL81)-CL81),0)</x:f>
      </x:c>
      <x:c r="CM83" s="107" t="n">
        <x:f>IF(AND(YEAR(CM$3)=YEAR(EDATE(INDEX('Вводные'!$D$88:$D$91,$B$64),INDEX('Вводные'!$E$88:$E$91,$B$64)+INDEX('Вводные'!$F$88:$F$91,$B$64)+'Вводные'!$H$9)),MONTH(CM$3)=MONTH(EDATE(INDEX('Вводные'!$D$88:$D$91,$B$64),INDEX('Вводные'!$E$88:$E$91,$B$64)+INDEX('Вводные'!$F$88:$F$91,$B$64)+'Вводные'!$H$9)),AND($B$63="Да",IFERROR(INDEX('Вводные'!$B$88:$B$91,$B$64),"Нет")="Да")),MAX(0,SUM($D81:CM81)-CM81),0)</x:f>
      </x:c>
      <x:c r="CN83" s="107" t="n">
        <x:f>IF(AND(YEAR(CN$3)=YEAR(EDATE(INDEX('Вводные'!$D$88:$D$91,$B$64),INDEX('Вводные'!$E$88:$E$91,$B$64)+INDEX('Вводные'!$F$88:$F$91,$B$64)+'Вводные'!$H$9)),MONTH(CN$3)=MONTH(EDATE(INDEX('Вводные'!$D$88:$D$91,$B$64),INDEX('Вводные'!$E$88:$E$91,$B$64)+INDEX('Вводные'!$F$88:$F$91,$B$64)+'Вводные'!$H$9)),AND($B$63="Да",IFERROR(INDEX('Вводные'!$B$88:$B$91,$B$64),"Нет")="Да")),MAX(0,SUM($D81:CN81)-CN81),0)</x:f>
      </x:c>
      <x:c r="CO83" s="107" t="n">
        <x:f>IF(AND(YEAR(CO$3)=YEAR(EDATE(INDEX('Вводные'!$D$88:$D$91,$B$64),INDEX('Вводные'!$E$88:$E$91,$B$64)+INDEX('Вводные'!$F$88:$F$91,$B$64)+'Вводные'!$H$9)),MONTH(CO$3)=MONTH(EDATE(INDEX('Вводные'!$D$88:$D$91,$B$64),INDEX('Вводные'!$E$88:$E$91,$B$64)+INDEX('Вводные'!$F$88:$F$91,$B$64)+'Вводные'!$H$9)),AND($B$63="Да",IFERROR(INDEX('Вводные'!$B$88:$B$91,$B$64),"Нет")="Да")),MAX(0,SUM($D81:CO81)-CO81),0)</x:f>
      </x:c>
      <x:c r="CP83" s="107" t="n">
        <x:f>IF(AND(YEAR(CP$3)=YEAR(EDATE(INDEX('Вводные'!$D$88:$D$91,$B$64),INDEX('Вводные'!$E$88:$E$91,$B$64)+INDEX('Вводные'!$F$88:$F$91,$B$64)+'Вводные'!$H$9)),MONTH(CP$3)=MONTH(EDATE(INDEX('Вводные'!$D$88:$D$91,$B$64),INDEX('Вводные'!$E$88:$E$91,$B$64)+INDEX('Вводные'!$F$88:$F$91,$B$64)+'Вводные'!$H$9)),AND($B$63="Да",IFERROR(INDEX('Вводные'!$B$88:$B$91,$B$64),"Нет")="Да")),MAX(0,SUM($D81:CP81)-CP81),0)</x:f>
      </x:c>
      <x:c r="CQ83" s="107" t="n">
        <x:f>IF(AND(YEAR(CQ$3)=YEAR(EDATE(INDEX('Вводные'!$D$88:$D$91,$B$64),INDEX('Вводные'!$E$88:$E$91,$B$64)+INDEX('Вводные'!$F$88:$F$91,$B$64)+'Вводные'!$H$9)),MONTH(CQ$3)=MONTH(EDATE(INDEX('Вводные'!$D$88:$D$91,$B$64),INDEX('Вводные'!$E$88:$E$91,$B$64)+INDEX('Вводные'!$F$88:$F$91,$B$64)+'Вводные'!$H$9)),AND($B$63="Да",IFERROR(INDEX('Вводные'!$B$88:$B$91,$B$64),"Нет")="Да")),MAX(0,SUM($D81:CQ81)-CQ81),0)</x:f>
      </x:c>
      <x:c r="CR83" s="107" t="n">
        <x:f>IF(AND(YEAR(CR$3)=YEAR(EDATE(INDEX('Вводные'!$D$88:$D$91,$B$64),INDEX('Вводные'!$E$88:$E$91,$B$64)+INDEX('Вводные'!$F$88:$F$91,$B$64)+'Вводные'!$H$9)),MONTH(CR$3)=MONTH(EDATE(INDEX('Вводные'!$D$88:$D$91,$B$64),INDEX('Вводные'!$E$88:$E$91,$B$64)+INDEX('Вводные'!$F$88:$F$91,$B$64)+'Вводные'!$H$9)),AND($B$63="Да",IFERROR(INDEX('Вводные'!$B$88:$B$91,$B$64),"Нет")="Да")),MAX(0,SUM($D81:CR81)-CR81),0)</x:f>
      </x:c>
      <x:c r="CS83" s="107" t="n">
        <x:f>IF(AND(YEAR(CS$3)=YEAR(EDATE(INDEX('Вводные'!$D$88:$D$91,$B$64),INDEX('Вводные'!$E$88:$E$91,$B$64)+INDEX('Вводные'!$F$88:$F$91,$B$64)+'Вводные'!$H$9)),MONTH(CS$3)=MONTH(EDATE(INDEX('Вводные'!$D$88:$D$91,$B$64),INDEX('Вводные'!$E$88:$E$91,$B$64)+INDEX('Вводные'!$F$88:$F$91,$B$64)+'Вводные'!$H$9)),AND($B$63="Да",IFERROR(INDEX('Вводные'!$B$88:$B$91,$B$64),"Нет")="Да")),MAX(0,SUM($D81:CS81)-CS81),0)</x:f>
      </x:c>
      <x:c r="CT83" s="107" t="n">
        <x:f>IF(AND(YEAR(CT$3)=YEAR(EDATE(INDEX('Вводные'!$D$88:$D$91,$B$64),INDEX('Вводные'!$E$88:$E$91,$B$64)+INDEX('Вводные'!$F$88:$F$91,$B$64)+'Вводные'!$H$9)),MONTH(CT$3)=MONTH(EDATE(INDEX('Вводные'!$D$88:$D$91,$B$64),INDEX('Вводные'!$E$88:$E$91,$B$64)+INDEX('Вводные'!$F$88:$F$91,$B$64)+'Вводные'!$H$9)),AND($B$63="Да",IFERROR(INDEX('Вводные'!$B$88:$B$91,$B$64),"Нет")="Да")),MAX(0,SUM($D81:CT81)-CT81),0)</x:f>
      </x:c>
      <x:c r="CU83" s="107" t="n">
        <x:f>IF(AND(YEAR(CU$3)=YEAR(EDATE(INDEX('Вводные'!$D$88:$D$91,$B$64),INDEX('Вводные'!$E$88:$E$91,$B$64)+INDEX('Вводные'!$F$88:$F$91,$B$64)+'Вводные'!$H$9)),MONTH(CU$3)=MONTH(EDATE(INDEX('Вводные'!$D$88:$D$91,$B$64),INDEX('Вводные'!$E$88:$E$91,$B$64)+INDEX('Вводные'!$F$88:$F$91,$B$64)+'Вводные'!$H$9)),AND($B$63="Да",IFERROR(INDEX('Вводные'!$B$88:$B$91,$B$64),"Нет")="Да")),MAX(0,SUM($D81:CU81)-CU81),0)</x:f>
      </x:c>
      <x:c r="CV83" s="107" t="n">
        <x:f>IF(AND(YEAR(CV$3)=YEAR(EDATE(INDEX('Вводные'!$D$88:$D$91,$B$64),INDEX('Вводные'!$E$88:$E$91,$B$64)+INDEX('Вводные'!$F$88:$F$91,$B$64)+'Вводные'!$H$9)),MONTH(CV$3)=MONTH(EDATE(INDEX('Вводные'!$D$88:$D$91,$B$64),INDEX('Вводные'!$E$88:$E$91,$B$64)+INDEX('Вводные'!$F$88:$F$91,$B$64)+'Вводные'!$H$9)),AND($B$63="Да",IFERROR(INDEX('Вводные'!$B$88:$B$91,$B$64),"Нет")="Да")),MAX(0,SUM($D81:CV81)-CV81),0)</x:f>
      </x:c>
      <x:c r="CW83" s="107" t="n">
        <x:f>IF(AND(YEAR(CW$3)=YEAR(EDATE(INDEX('Вводные'!$D$88:$D$91,$B$64),INDEX('Вводные'!$E$88:$E$91,$B$64)+INDEX('Вводные'!$F$88:$F$91,$B$64)+'Вводные'!$H$9)),MONTH(CW$3)=MONTH(EDATE(INDEX('Вводные'!$D$88:$D$91,$B$64),INDEX('Вводные'!$E$88:$E$91,$B$64)+INDEX('Вводные'!$F$88:$F$91,$B$64)+'Вводные'!$H$9)),AND($B$63="Да",IFERROR(INDEX('Вводные'!$B$88:$B$91,$B$64),"Нет")="Да")),MAX(0,SUM($D81:CW81)-CW81),0)</x:f>
      </x:c>
      <x:c r="CX83" s="107" t="n">
        <x:f>IF(AND(YEAR(CX$3)=YEAR(EDATE(INDEX('Вводные'!$D$88:$D$91,$B$64),INDEX('Вводные'!$E$88:$E$91,$B$64)+INDEX('Вводные'!$F$88:$F$91,$B$64)+'Вводные'!$H$9)),MONTH(CX$3)=MONTH(EDATE(INDEX('Вводные'!$D$88:$D$91,$B$64),INDEX('Вводные'!$E$88:$E$91,$B$64)+INDEX('Вводные'!$F$88:$F$91,$B$64)+'Вводные'!$H$9)),AND($B$63="Да",IFERROR(INDEX('Вводные'!$B$88:$B$91,$B$64),"Нет")="Да")),MAX(0,SUM($D81:CX81)-CX81),0)</x:f>
      </x:c>
      <x:c r="CY83" s="107" t="n">
        <x:f>IF(AND(YEAR(CY$3)=YEAR(EDATE(INDEX('Вводные'!$D$88:$D$91,$B$64),INDEX('Вводные'!$E$88:$E$91,$B$64)+INDEX('Вводные'!$F$88:$F$91,$B$64)+'Вводные'!$H$9)),MONTH(CY$3)=MONTH(EDATE(INDEX('Вводные'!$D$88:$D$91,$B$64),INDEX('Вводные'!$E$88:$E$91,$B$64)+INDEX('Вводные'!$F$88:$F$91,$B$64)+'Вводные'!$H$9)),AND($B$63="Да",IFERROR(INDEX('Вводные'!$B$88:$B$91,$B$64),"Нет")="Да")),MAX(0,SUM($D81:CY81)-CY81),0)</x:f>
      </x:c>
      <x:c r="CZ83" s="107" t="n">
        <x:f>IF(AND(YEAR(CZ$3)=YEAR(EDATE(INDEX('Вводные'!$D$88:$D$91,$B$64),INDEX('Вводные'!$E$88:$E$91,$B$64)+INDEX('Вводные'!$F$88:$F$91,$B$64)+'Вводные'!$H$9)),MONTH(CZ$3)=MONTH(EDATE(INDEX('Вводные'!$D$88:$D$91,$B$64),INDEX('Вводные'!$E$88:$E$91,$B$64)+INDEX('Вводные'!$F$88:$F$91,$B$64)+'Вводные'!$H$9)),AND($B$63="Да",IFERROR(INDEX('Вводные'!$B$88:$B$91,$B$64),"Нет")="Да")),MAX(0,SUM($D81:CZ81)-CZ81),0)</x:f>
      </x:c>
      <x:c r="DA83" s="107" t="n">
        <x:f>IF(AND(YEAR(DA$3)=YEAR(EDATE(INDEX('Вводные'!$D$88:$D$91,$B$64),INDEX('Вводные'!$E$88:$E$91,$B$64)+INDEX('Вводные'!$F$88:$F$91,$B$64)+'Вводные'!$H$9)),MONTH(DA$3)=MONTH(EDATE(INDEX('Вводные'!$D$88:$D$91,$B$64),INDEX('Вводные'!$E$88:$E$91,$B$64)+INDEX('Вводные'!$F$88:$F$91,$B$64)+'Вводные'!$H$9)),AND($B$63="Да",IFERROR(INDEX('Вводные'!$B$88:$B$91,$B$64),"Нет")="Да")),MAX(0,SUM($D81:DA81)-DA81),0)</x:f>
      </x:c>
      <x:c r="DB83" s="107" t="n">
        <x:f>IF(AND(YEAR(DB$3)=YEAR(EDATE(INDEX('Вводные'!$D$88:$D$91,$B$64),INDEX('Вводные'!$E$88:$E$91,$B$64)+INDEX('Вводные'!$F$88:$F$91,$B$64)+'Вводные'!$H$9)),MONTH(DB$3)=MONTH(EDATE(INDEX('Вводные'!$D$88:$D$91,$B$64),INDEX('Вводные'!$E$88:$E$91,$B$64)+INDEX('Вводные'!$F$88:$F$91,$B$64)+'Вводные'!$H$9)),AND($B$63="Да",IFERROR(INDEX('Вводные'!$B$88:$B$91,$B$64),"Нет")="Да")),MAX(0,SUM($D81:DB81)-DB81),0)</x:f>
      </x:c>
      <x:c r="DC83" s="107" t="n">
        <x:f>IF(AND(YEAR(DC$3)=YEAR(EDATE(INDEX('Вводные'!$D$88:$D$91,$B$64),INDEX('Вводные'!$E$88:$E$91,$B$64)+INDEX('Вводные'!$F$88:$F$91,$B$64)+'Вводные'!$H$9)),MONTH(DC$3)=MONTH(EDATE(INDEX('Вводные'!$D$88:$D$91,$B$64),INDEX('Вводные'!$E$88:$E$91,$B$64)+INDEX('Вводные'!$F$88:$F$91,$B$64)+'Вводные'!$H$9)),AND($B$63="Да",IFERROR(INDEX('Вводные'!$B$88:$B$91,$B$64),"Нет")="Да")),MAX(0,SUM($D81:DC81)-DC81),0)</x:f>
      </x:c>
      <x:c r="DD83" s="107" t="n">
        <x:f>IF(AND(YEAR(DD$3)=YEAR(EDATE(INDEX('Вводные'!$D$88:$D$91,$B$64),INDEX('Вводные'!$E$88:$E$91,$B$64)+INDEX('Вводные'!$F$88:$F$91,$B$64)+'Вводные'!$H$9)),MONTH(DD$3)=MONTH(EDATE(INDEX('Вводные'!$D$88:$D$91,$B$64),INDEX('Вводные'!$E$88:$E$91,$B$64)+INDEX('Вводные'!$F$88:$F$91,$B$64)+'Вводные'!$H$9)),AND($B$63="Да",IFERROR(INDEX('Вводные'!$B$88:$B$91,$B$64),"Нет")="Да")),MAX(0,SUM($D81:DD81)-DD81),0)</x:f>
      </x:c>
      <x:c r="DE83" s="107" t="n">
        <x:f>IF(AND(YEAR(DE$3)=YEAR(EDATE(INDEX('Вводные'!$D$88:$D$91,$B$64),INDEX('Вводные'!$E$88:$E$91,$B$64)+INDEX('Вводные'!$F$88:$F$91,$B$64)+'Вводные'!$H$9)),MONTH(DE$3)=MONTH(EDATE(INDEX('Вводные'!$D$88:$D$91,$B$64),INDEX('Вводные'!$E$88:$E$91,$B$64)+INDEX('Вводные'!$F$88:$F$91,$B$64)+'Вводные'!$H$9)),AND($B$63="Да",IFERROR(INDEX('Вводные'!$B$88:$B$91,$B$64),"Нет")="Да")),MAX(0,SUM($D81:DE81)-DE81),0)</x:f>
      </x:c>
      <x:c r="DF83" s="107" t="n">
        <x:f>IF(AND(YEAR(DF$3)=YEAR(EDATE(INDEX('Вводные'!$D$88:$D$91,$B$64),INDEX('Вводные'!$E$88:$E$91,$B$64)+INDEX('Вводные'!$F$88:$F$91,$B$64)+'Вводные'!$H$9)),MONTH(DF$3)=MONTH(EDATE(INDEX('Вводные'!$D$88:$D$91,$B$64),INDEX('Вводные'!$E$88:$E$91,$B$64)+INDEX('Вводные'!$F$88:$F$91,$B$64)+'Вводные'!$H$9)),AND($B$63="Да",IFERROR(INDEX('Вводные'!$B$88:$B$91,$B$64),"Нет")="Да")),MAX(0,SUM($D81:DF81)-DF81),0)</x:f>
      </x:c>
      <x:c r="DG83" s="107" t="n">
        <x:f>IF(AND(YEAR(DG$3)=YEAR(EDATE(INDEX('Вводные'!$D$88:$D$91,$B$64),INDEX('Вводные'!$E$88:$E$91,$B$64)+INDEX('Вводные'!$F$88:$F$91,$B$64)+'Вводные'!$H$9)),MONTH(DG$3)=MONTH(EDATE(INDEX('Вводные'!$D$88:$D$91,$B$64),INDEX('Вводные'!$E$88:$E$91,$B$64)+INDEX('Вводные'!$F$88:$F$91,$B$64)+'Вводные'!$H$9)),AND($B$63="Да",IFERROR(INDEX('Вводные'!$B$88:$B$91,$B$64),"Нет")="Да")),MAX(0,SUM($D81:DG81)-DG81),0)</x:f>
      </x:c>
      <x:c r="DH83" s="107" t="n">
        <x:f>IF(AND(YEAR(DH$3)=YEAR(EDATE(INDEX('Вводные'!$D$88:$D$91,$B$64),INDEX('Вводные'!$E$88:$E$91,$B$64)+INDEX('Вводные'!$F$88:$F$91,$B$64)+'Вводные'!$H$9)),MONTH(DH$3)=MONTH(EDATE(INDEX('Вводные'!$D$88:$D$91,$B$64),INDEX('Вводные'!$E$88:$E$91,$B$64)+INDEX('Вводные'!$F$88:$F$91,$B$64)+'Вводные'!$H$9)),AND($B$63="Да",IFERROR(INDEX('Вводные'!$B$88:$B$91,$B$64),"Нет")="Да")),MAX(0,SUM($D81:DH81)-DH81),0)</x:f>
      </x:c>
      <x:c r="DI83" s="107" t="n">
        <x:f>IF(AND(YEAR(DI$3)=YEAR(EDATE(INDEX('Вводные'!$D$88:$D$91,$B$64),INDEX('Вводные'!$E$88:$E$91,$B$64)+INDEX('Вводные'!$F$88:$F$91,$B$64)+'Вводные'!$H$9)),MONTH(DI$3)=MONTH(EDATE(INDEX('Вводные'!$D$88:$D$91,$B$64),INDEX('Вводные'!$E$88:$E$91,$B$64)+INDEX('Вводные'!$F$88:$F$91,$B$64)+'Вводные'!$H$9)),AND($B$63="Да",IFERROR(INDEX('Вводные'!$B$88:$B$91,$B$64),"Нет")="Да")),MAX(0,SUM($D81:DI81)-DI81),0)</x:f>
      </x:c>
      <x:c r="DJ83" s="107" t="n">
        <x:f>IF(AND(YEAR(DJ$3)=YEAR(EDATE(INDEX('Вводные'!$D$88:$D$91,$B$64),INDEX('Вводные'!$E$88:$E$91,$B$64)+INDEX('Вводные'!$F$88:$F$91,$B$64)+'Вводные'!$H$9)),MONTH(DJ$3)=MONTH(EDATE(INDEX('Вводные'!$D$88:$D$91,$B$64),INDEX('Вводные'!$E$88:$E$91,$B$64)+INDEX('Вводные'!$F$88:$F$91,$B$64)+'Вводные'!$H$9)),AND($B$63="Да",IFERROR(INDEX('Вводные'!$B$88:$B$91,$B$64),"Нет")="Да")),MAX(0,SUM($D81:DJ81)-DJ81),0)</x:f>
      </x:c>
      <x:c r="DK83" s="107" t="n">
        <x:f>IF(AND(YEAR(DK$3)=YEAR(EDATE(INDEX('Вводные'!$D$88:$D$91,$B$64),INDEX('Вводные'!$E$88:$E$91,$B$64)+INDEX('Вводные'!$F$88:$F$91,$B$64)+'Вводные'!$H$9)),MONTH(DK$3)=MONTH(EDATE(INDEX('Вводные'!$D$88:$D$91,$B$64),INDEX('Вводные'!$E$88:$E$91,$B$64)+INDEX('Вводные'!$F$88:$F$91,$B$64)+'Вводные'!$H$9)),AND($B$63="Да",IFERROR(INDEX('Вводные'!$B$88:$B$91,$B$64),"Нет")="Да")),MAX(0,SUM($D81:DK81)-DK81),0)</x:f>
      </x:c>
      <x:c r="DL83" s="107" t="n">
        <x:f>IF(AND(YEAR(DL$3)=YEAR(EDATE(INDEX('Вводные'!$D$88:$D$91,$B$64),INDEX('Вводные'!$E$88:$E$91,$B$64)+INDEX('Вводные'!$F$88:$F$91,$B$64)+'Вводные'!$H$9)),MONTH(DL$3)=MONTH(EDATE(INDEX('Вводные'!$D$88:$D$91,$B$64),INDEX('Вводные'!$E$88:$E$91,$B$64)+INDEX('Вводные'!$F$88:$F$91,$B$64)+'Вводные'!$H$9)),AND($B$63="Да",IFERROR(INDEX('Вводные'!$B$88:$B$91,$B$64),"Нет")="Да")),MAX(0,SUM($D81:DL81)-DL81),0)</x:f>
      </x:c>
      <x:c r="DM83" s="107" t="n">
        <x:f>IF(AND(YEAR(DM$3)=YEAR(EDATE(INDEX('Вводные'!$D$88:$D$91,$B$64),INDEX('Вводные'!$E$88:$E$91,$B$64)+INDEX('Вводные'!$F$88:$F$91,$B$64)+'Вводные'!$H$9)),MONTH(DM$3)=MONTH(EDATE(INDEX('Вводные'!$D$88:$D$91,$B$64),INDEX('Вводные'!$E$88:$E$91,$B$64)+INDEX('Вводные'!$F$88:$F$91,$B$64)+'Вводные'!$H$9)),AND($B$63="Да",IFERROR(INDEX('Вводные'!$B$88:$B$91,$B$64),"Нет")="Да")),MAX(0,SUM($D81:DM81)-DM81),0)</x:f>
      </x:c>
      <x:c r="DN83" s="107" t="n">
        <x:f>IF(AND(YEAR(DN$3)=YEAR(EDATE(INDEX('Вводные'!$D$88:$D$91,$B$64),INDEX('Вводные'!$E$88:$E$91,$B$64)+INDEX('Вводные'!$F$88:$F$91,$B$64)+'Вводные'!$H$9)),MONTH(DN$3)=MONTH(EDATE(INDEX('Вводные'!$D$88:$D$91,$B$64),INDEX('Вводные'!$E$88:$E$91,$B$64)+INDEX('Вводные'!$F$88:$F$91,$B$64)+'Вводные'!$H$9)),AND($B$63="Да",IFERROR(INDEX('Вводные'!$B$88:$B$91,$B$64),"Нет")="Да")),MAX(0,SUM($D81:DN81)-DN81),0)</x:f>
      </x:c>
      <x:c r="DO83" s="107" t="n">
        <x:f>IF(AND(YEAR(DO$3)=YEAR(EDATE(INDEX('Вводные'!$D$88:$D$91,$B$64),INDEX('Вводные'!$E$88:$E$91,$B$64)+INDEX('Вводные'!$F$88:$F$91,$B$64)+'Вводные'!$H$9)),MONTH(DO$3)=MONTH(EDATE(INDEX('Вводные'!$D$88:$D$91,$B$64),INDEX('Вводные'!$E$88:$E$91,$B$64)+INDEX('Вводные'!$F$88:$F$91,$B$64)+'Вводные'!$H$9)),AND($B$63="Да",IFERROR(INDEX('Вводные'!$B$88:$B$91,$B$64),"Нет")="Да")),MAX(0,SUM($D81:DO81)-DO81),0)</x:f>
      </x:c>
      <x:c r="DP83" s="107" t="n">
        <x:f>IF(AND(YEAR(DP$3)=YEAR(EDATE(INDEX('Вводные'!$D$88:$D$91,$B$64),INDEX('Вводные'!$E$88:$E$91,$B$64)+INDEX('Вводные'!$F$88:$F$91,$B$64)+'Вводные'!$H$9)),MONTH(DP$3)=MONTH(EDATE(INDEX('Вводные'!$D$88:$D$91,$B$64),INDEX('Вводные'!$E$88:$E$91,$B$64)+INDEX('Вводные'!$F$88:$F$91,$B$64)+'Вводные'!$H$9)),AND($B$63="Да",IFERROR(INDEX('Вводные'!$B$88:$B$91,$B$64),"Нет")="Да")),MAX(0,SUM($D81:DP81)-DP81),0)</x:f>
      </x:c>
      <x:c r="DQ83" s="107" t="n">
        <x:f>IF(AND(YEAR(DQ$3)=YEAR(EDATE(INDEX('Вводные'!$D$88:$D$91,$B$64),INDEX('Вводные'!$E$88:$E$91,$B$64)+INDEX('Вводные'!$F$88:$F$91,$B$64)+'Вводные'!$H$9)),MONTH(DQ$3)=MONTH(EDATE(INDEX('Вводные'!$D$88:$D$91,$B$64),INDEX('Вводные'!$E$88:$E$91,$B$64)+INDEX('Вводные'!$F$88:$F$91,$B$64)+'Вводные'!$H$9)),AND($B$63="Да",IFERROR(INDEX('Вводные'!$B$88:$B$91,$B$64),"Нет")="Да")),MAX(0,SUM($D81:DQ81)-DQ81),0)</x:f>
      </x:c>
      <x:c r="DR83" s="107" t="n">
        <x:f>IF(AND(YEAR(DR$3)=YEAR(EDATE(INDEX('Вводные'!$D$88:$D$91,$B$64),INDEX('Вводные'!$E$88:$E$91,$B$64)+INDEX('Вводные'!$F$88:$F$91,$B$64)+'Вводные'!$H$9)),MONTH(DR$3)=MONTH(EDATE(INDEX('Вводные'!$D$88:$D$91,$B$64),INDEX('Вводные'!$E$88:$E$91,$B$64)+INDEX('Вводные'!$F$88:$F$91,$B$64)+'Вводные'!$H$9)),AND($B$63="Да",IFERROR(INDEX('Вводные'!$B$88:$B$91,$B$64),"Нет")="Да")),MAX(0,SUM($D81:DR81)-DR81),0)</x:f>
      </x:c>
      <x:c r="DS83" s="107" t="n">
        <x:f>IF(AND(YEAR(DS$3)=YEAR(EDATE(INDEX('Вводные'!$D$88:$D$91,$B$64),INDEX('Вводные'!$E$88:$E$91,$B$64)+INDEX('Вводные'!$F$88:$F$91,$B$64)+'Вводные'!$H$9)),MONTH(DS$3)=MONTH(EDATE(INDEX('Вводные'!$D$88:$D$91,$B$64),INDEX('Вводные'!$E$88:$E$91,$B$64)+INDEX('Вводные'!$F$88:$F$91,$B$64)+'Вводные'!$H$9)),AND($B$63="Да",IFERROR(INDEX('Вводные'!$B$88:$B$91,$B$64),"Нет")="Да")),MAX(0,SUM($D81:GA81)-DS81),0)</x:f>
      </x:c>
      <x:c r="DT83" s="107" t="n">
        <x:f>IF(AND(YEAR(DT$3)=YEAR(EDATE(INDEX('Вводные'!$D$88:$D$91,$B$64),INDEX('Вводные'!$E$88:$E$91,$B$64)+INDEX('Вводные'!$F$88:$F$91,$B$64)+'Вводные'!$H$9)),MONTH(DT$3)=MONTH(EDATE(INDEX('Вводные'!$D$88:$D$91,$B$64),INDEX('Вводные'!$E$88:$E$91,$B$64)+INDEX('Вводные'!$F$88:$F$91,$B$64)+'Вводные'!$H$9)),AND($B$63="Да",IFERROR(INDEX('Вводные'!$B$88:$B$91,$B$64),"Нет")="Да")),MAX(0,SUM($D81:DT81)-DT81),0)</x:f>
      </x:c>
      <x:c r="DU83" s="107" t="n">
        <x:f>IF(AND(YEAR(DU$3)=YEAR(EDATE(INDEX('Вводные'!$D$88:$D$91,$B$64),INDEX('Вводные'!$E$88:$E$91,$B$64)+INDEX('Вводные'!$F$88:$F$91,$B$64)+'Вводные'!$H$9)),MONTH(DU$3)=MONTH(EDATE(INDEX('Вводные'!$D$88:$D$91,$B$64),INDEX('Вводные'!$E$88:$E$91,$B$64)+INDEX('Вводные'!$F$88:$F$91,$B$64)+'Вводные'!$H$9)),AND($B$63="Да",IFERROR(INDEX('Вводные'!$B$88:$B$91,$B$64),"Нет")="Да")),MAX(0,SUM($D81:DU81)-DU81),0)</x:f>
      </x:c>
      <x:c r="DV83" s="107" t="n">
        <x:f>IF(AND(YEAR(DV$3)=YEAR(EDATE(INDEX('Вводные'!$D$88:$D$91,$B$64),INDEX('Вводные'!$E$88:$E$91,$B$64)+INDEX('Вводные'!$F$88:$F$91,$B$64)+'Вводные'!$H$9)),MONTH(DV$3)=MONTH(EDATE(INDEX('Вводные'!$D$88:$D$91,$B$64),INDEX('Вводные'!$E$88:$E$91,$B$64)+INDEX('Вводные'!$F$88:$F$91,$B$64)+'Вводные'!$H$9)),AND($B$63="Да",IFERROR(INDEX('Вводные'!$B$88:$B$91,$B$64),"Нет")="Да")),MAX(0,SUM($D81:DV81)-DV81),0)</x:f>
      </x:c>
      <x:c r="DW83" s="107" t="n">
        <x:f>IF(AND(YEAR(DW$3)=YEAR(EDATE(INDEX('Вводные'!$D$88:$D$91,$B$64),INDEX('Вводные'!$E$88:$E$91,$B$64)+INDEX('Вводные'!$F$88:$F$91,$B$64)+'Вводные'!$H$9)),MONTH(DW$3)=MONTH(EDATE(INDEX('Вводные'!$D$88:$D$91,$B$64),INDEX('Вводные'!$E$88:$E$91,$B$64)+INDEX('Вводные'!$F$88:$F$91,$B$64)+'Вводные'!$H$9)),AND($B$63="Да",IFERROR(INDEX('Вводные'!$B$88:$B$91,$B$64),"Нет")="Да")),MAX(0,SUM($D81:DW81)-DW81),0)</x:f>
      </x:c>
      <x:c r="DX83" s="107" t="n">
        <x:f>IF(AND(YEAR(DX$3)=YEAR(EDATE(INDEX('Вводные'!$D$88:$D$91,$B$64),INDEX('Вводные'!$E$88:$E$91,$B$64)+INDEX('Вводные'!$F$88:$F$91,$B$64)+'Вводные'!$H$9)),MONTH(DX$3)=MONTH(EDATE(INDEX('Вводные'!$D$88:$D$91,$B$64),INDEX('Вводные'!$E$88:$E$91,$B$64)+INDEX('Вводные'!$F$88:$F$91,$B$64)+'Вводные'!$H$9)),AND($B$63="Да",IFERROR(INDEX('Вводные'!$B$88:$B$91,$B$64),"Нет")="Да")),MAX(0,SUM($D81:DX81)-DX81),0)</x:f>
      </x:c>
      <x:c r="DY83" s="107" t="n">
        <x:f>IF(AND(YEAR(DY$3)=YEAR(EDATE(INDEX('Вводные'!$D$88:$D$91,$B$64),INDEX('Вводные'!$E$88:$E$91,$B$64)+INDEX('Вводные'!$F$88:$F$91,$B$64)+'Вводные'!$H$9)),MONTH(DY$3)=MONTH(EDATE(INDEX('Вводные'!$D$88:$D$91,$B$64),INDEX('Вводные'!$E$88:$E$91,$B$64)+INDEX('Вводные'!$F$88:$F$91,$B$64)+'Вводные'!$H$9)),AND($B$63="Да",IFERROR(INDEX('Вводные'!$B$88:$B$91,$B$64),"Нет")="Да")),MAX(0,SUM($D81:DY81)-DY81),0)</x:f>
      </x:c>
      <x:c r="DZ83" s="107" t="n">
        <x:f>IF(AND(YEAR(DZ$3)=YEAR(EDATE(INDEX('Вводные'!$D$88:$D$91,$B$64),INDEX('Вводные'!$E$88:$E$91,$B$64)+INDEX('Вводные'!$F$88:$F$91,$B$64)+'Вводные'!$H$9)),MONTH(DZ$3)=MONTH(EDATE(INDEX('Вводные'!$D$88:$D$91,$B$64),INDEX('Вводные'!$E$88:$E$91,$B$64)+INDEX('Вводные'!$F$88:$F$91,$B$64)+'Вводные'!$H$9)),AND($B$63="Да",IFERROR(INDEX('Вводные'!$B$88:$B$91,$B$64),"Нет")="Да")),MAX(0,SUM($D81:DZ81)-DZ81),0)</x:f>
      </x:c>
      <x:c r="EA83" s="107" t="n">
        <x:f>IF(AND(YEAR(EA$3)=YEAR(EDATE(INDEX('Вводные'!$D$88:$D$91,$B$64),INDEX('Вводные'!$E$88:$E$91,$B$64)+INDEX('Вводные'!$F$88:$F$91,$B$64)+'Вводные'!$H$9)),MONTH(EA$3)=MONTH(EDATE(INDEX('Вводные'!$D$88:$D$91,$B$64),INDEX('Вводные'!$E$88:$E$91,$B$64)+INDEX('Вводные'!$F$88:$F$91,$B$64)+'Вводные'!$H$9)),AND($B$63="Да",IFERROR(INDEX('Вводные'!$B$88:$B$91,$B$64),"Нет")="Да")),MAX(0,SUM($D81:EA81)-EA81),0)</x:f>
      </x:c>
      <x:c r="EB83" s="107" t="n">
        <x:f>IF(AND(YEAR(EB$3)=YEAR(EDATE(INDEX('Вводные'!$D$88:$D$91,$B$64),INDEX('Вводные'!$E$88:$E$91,$B$64)+INDEX('Вводные'!$F$88:$F$91,$B$64)+'Вводные'!$H$9)),MONTH(EB$3)=MONTH(EDATE(INDEX('Вводные'!$D$88:$D$91,$B$64),INDEX('Вводные'!$E$88:$E$91,$B$64)+INDEX('Вводные'!$F$88:$F$91,$B$64)+'Вводные'!$H$9)),AND($B$63="Да",IFERROR(INDEX('Вводные'!$B$88:$B$91,$B$64),"Нет")="Да")),MAX(0,SUM($D81:EB81)-EB81),0)</x:f>
      </x:c>
      <x:c r="EC83" s="107" t="n">
        <x:f>IF(AND(YEAR(EC$3)=YEAR(EDATE(INDEX('Вводные'!$D$88:$D$91,$B$64),INDEX('Вводные'!$E$88:$E$91,$B$64)+INDEX('Вводные'!$F$88:$F$91,$B$64)+'Вводные'!$H$9)),MONTH(EC$3)=MONTH(EDATE(INDEX('Вводные'!$D$88:$D$91,$B$64),INDEX('Вводные'!$E$88:$E$91,$B$64)+INDEX('Вводные'!$F$88:$F$91,$B$64)+'Вводные'!$H$9)),AND($B$63="Да",IFERROR(INDEX('Вводные'!$B$88:$B$91,$B$64),"Нет")="Да")),MAX(0,SUM($D81:EC81)-EC81),0)</x:f>
      </x:c>
      <x:c r="ED83" s="107" t="n">
        <x:f>IF(AND(YEAR(ED$3)=YEAR(EDATE(INDEX('Вводные'!$D$88:$D$91,$B$64),INDEX('Вводные'!$E$88:$E$91,$B$64)+INDEX('Вводные'!$F$88:$F$91,$B$64)+'Вводные'!$H$9)),MONTH(ED$3)=MONTH(EDATE(INDEX('Вводные'!$D$88:$D$91,$B$64),INDEX('Вводные'!$E$88:$E$91,$B$64)+INDEX('Вводные'!$F$88:$F$91,$B$64)+'Вводные'!$H$9)),AND($B$63="Да",IFERROR(INDEX('Вводные'!$B$88:$B$91,$B$64),"Нет")="Да")),MAX(0,SUM($D81:ED81)-ED81),0)</x:f>
      </x:c>
      <x:c r="EE83" s="107" t="n">
        <x:f>IF(AND(YEAR(EE$3)=YEAR(EDATE(INDEX('Вводные'!$D$88:$D$91,$B$64),INDEX('Вводные'!$E$88:$E$91,$B$64)+INDEX('Вводные'!$F$88:$F$91,$B$64)+'Вводные'!$H$9)),MONTH(EE$3)=MONTH(EDATE(INDEX('Вводные'!$D$88:$D$91,$B$64),INDEX('Вводные'!$E$88:$E$91,$B$64)+INDEX('Вводные'!$F$88:$F$91,$B$64)+'Вводные'!$H$9)),AND($B$63="Да",IFERROR(INDEX('Вводные'!$B$88:$B$91,$B$64),"Нет")="Да")),MAX(0,SUM($D81:EE81)-EE81),0)</x:f>
      </x:c>
      <x:c r="EF83" s="107" t="n">
        <x:f>IF(AND(YEAR(EF$3)=YEAR(EDATE(INDEX('Вводные'!$D$88:$D$91,$B$64),INDEX('Вводные'!$E$88:$E$91,$B$64)+INDEX('Вводные'!$F$88:$F$91,$B$64)+'Вводные'!$H$9)),MONTH(EF$3)=MONTH(EDATE(INDEX('Вводные'!$D$88:$D$91,$B$64),INDEX('Вводные'!$E$88:$E$91,$B$64)+INDEX('Вводные'!$F$88:$F$91,$B$64)+'Вводные'!$H$9)),AND($B$63="Да",IFERROR(INDEX('Вводные'!$B$88:$B$91,$B$64),"Нет")="Да")),MAX(0,SUM($D81:EF81)-EF81),0)</x:f>
      </x:c>
      <x:c r="EG83" s="107" t="n">
        <x:f>IF(AND(YEAR(EG$3)=YEAR(EDATE(INDEX('Вводные'!$D$88:$D$91,$B$64),INDEX('Вводные'!$E$88:$E$91,$B$64)+INDEX('Вводные'!$F$88:$F$91,$B$64)+'Вводные'!$H$9)),MONTH(EG$3)=MONTH(EDATE(INDEX('Вводные'!$D$88:$D$91,$B$64),INDEX('Вводные'!$E$88:$E$91,$B$64)+INDEX('Вводные'!$F$88:$F$91,$B$64)+'Вводные'!$H$9)),AND($B$63="Да",IFERROR(INDEX('Вводные'!$B$88:$B$91,$B$64),"Нет")="Да")),MAX(0,SUM($D81:EG81)-EG81),0)</x:f>
      </x:c>
      <x:c r="EH83" s="107" t="n">
        <x:f>IF(AND(YEAR(EH$3)=YEAR(EDATE(INDEX('Вводные'!$D$88:$D$91,$B$64),INDEX('Вводные'!$E$88:$E$91,$B$64)+INDEX('Вводные'!$F$88:$F$91,$B$64)+'Вводные'!$H$9)),MONTH(EH$3)=MONTH(EDATE(INDEX('Вводные'!$D$88:$D$91,$B$64),INDEX('Вводные'!$E$88:$E$91,$B$64)+INDEX('Вводные'!$F$88:$F$91,$B$64)+'Вводные'!$H$9)),AND($B$63="Да",IFERROR(INDEX('Вводные'!$B$88:$B$91,$B$64),"Нет")="Да")),MAX(0,SUM($D81:EH81)-EH81),0)</x:f>
      </x:c>
      <x:c r="EI83" s="107" t="n">
        <x:f>IF(AND(YEAR(EI$3)=YEAR(EDATE(INDEX('Вводные'!$D$88:$D$91,$B$64),INDEX('Вводные'!$E$88:$E$91,$B$64)+INDEX('Вводные'!$F$88:$F$91,$B$64)+'Вводные'!$H$9)),MONTH(EI$3)=MONTH(EDATE(INDEX('Вводные'!$D$88:$D$91,$B$64),INDEX('Вводные'!$E$88:$E$91,$B$64)+INDEX('Вводные'!$F$88:$F$91,$B$64)+'Вводные'!$H$9)),AND($B$63="Да",IFERROR(INDEX('Вводные'!$B$88:$B$91,$B$64),"Нет")="Да")),MAX(0,SUM($D81:EI81)-EI81),0)</x:f>
      </x:c>
      <x:c r="EJ83" s="107" t="n">
        <x:f>IF(AND(YEAR(EJ$3)=YEAR(EDATE(INDEX('Вводные'!$D$88:$D$91,$B$64),INDEX('Вводные'!$E$88:$E$91,$B$64)+INDEX('Вводные'!$F$88:$F$91,$B$64)+'Вводные'!$H$9)),MONTH(EJ$3)=MONTH(EDATE(INDEX('Вводные'!$D$88:$D$91,$B$64),INDEX('Вводные'!$E$88:$E$91,$B$64)+INDEX('Вводные'!$F$88:$F$91,$B$64)+'Вводные'!$H$9)),AND($B$63="Да",IFERROR(INDEX('Вводные'!$B$88:$B$91,$B$64),"Нет")="Да")),MAX(0,SUM($D81:EJ81)-EJ81),0)</x:f>
      </x:c>
      <x:c r="EK83" s="107" t="n">
        <x:f>IF(AND(YEAR(EK$3)=YEAR(EDATE(INDEX('Вводные'!$D$88:$D$91,$B$64),INDEX('Вводные'!$E$88:$E$91,$B$64)+INDEX('Вводные'!$F$88:$F$91,$B$64)+'Вводные'!$H$9)),MONTH(EK$3)=MONTH(EDATE(INDEX('Вводные'!$D$88:$D$91,$B$64),INDEX('Вводные'!$E$88:$E$91,$B$64)+INDEX('Вводные'!$F$88:$F$91,$B$64)+'Вводные'!$H$9)),AND($B$63="Да",IFERROR(INDEX('Вводные'!$B$88:$B$91,$B$64),"Нет")="Да")),MAX(0,SUM($D81:EK81)-EK81),0)</x:f>
      </x:c>
      <x:c r="EL83" s="107" t="n">
        <x:f>IF(AND(YEAR(EL$3)=YEAR(EDATE(INDEX('Вводные'!$D$88:$D$91,$B$64),INDEX('Вводные'!$E$88:$E$91,$B$64)+INDEX('Вводные'!$F$88:$F$91,$B$64)+'Вводные'!$H$9)),MONTH(EL$3)=MONTH(EDATE(INDEX('Вводные'!$D$88:$D$91,$B$64),INDEX('Вводные'!$E$88:$E$91,$B$64)+INDEX('Вводные'!$F$88:$F$91,$B$64)+'Вводные'!$H$9)),AND($B$63="Да",IFERROR(INDEX('Вводные'!$B$88:$B$91,$B$64),"Нет")="Да")),MAX(0,SUM($D81:EL81)-EL81),0)</x:f>
      </x:c>
      <x:c r="EM83" s="107" t="n">
        <x:f>IF(AND(YEAR(EM$3)=YEAR(EDATE(INDEX('Вводные'!$D$88:$D$91,$B$64),INDEX('Вводные'!$E$88:$E$91,$B$64)+INDEX('Вводные'!$F$88:$F$91,$B$64)+'Вводные'!$H$9)),MONTH(EM$3)=MONTH(EDATE(INDEX('Вводные'!$D$88:$D$91,$B$64),INDEX('Вводные'!$E$88:$E$91,$B$64)+INDEX('Вводные'!$F$88:$F$91,$B$64)+'Вводные'!$H$9)),AND($B$63="Да",IFERROR(INDEX('Вводные'!$B$88:$B$91,$B$64),"Нет")="Да")),MAX(0,SUM($D81:EM81)-EM81),0)</x:f>
      </x:c>
      <x:c r="EN83" s="107" t="n">
        <x:f>IF(AND(YEAR(EN$3)=YEAR(EDATE(INDEX('Вводные'!$D$88:$D$91,$B$64),INDEX('Вводные'!$E$88:$E$91,$B$64)+INDEX('Вводные'!$F$88:$F$91,$B$64)+'Вводные'!$H$9)),MONTH(EN$3)=MONTH(EDATE(INDEX('Вводные'!$D$88:$D$91,$B$64),INDEX('Вводные'!$E$88:$E$91,$B$64)+INDEX('Вводные'!$F$88:$F$91,$B$64)+'Вводные'!$H$9)),AND($B$63="Да",IFERROR(INDEX('Вводные'!$B$88:$B$91,$B$64),"Нет")="Да")),MAX(0,SUM($D81:EN81)-EN81),0)</x:f>
      </x:c>
      <x:c r="EO83" s="107" t="n">
        <x:f>IF(AND(YEAR(EO$3)=YEAR(EDATE(INDEX('Вводные'!$D$88:$D$91,$B$64),INDEX('Вводные'!$E$88:$E$91,$B$64)+INDEX('Вводные'!$F$88:$F$91,$B$64)+'Вводные'!$H$9)),MONTH(EO$3)=MONTH(EDATE(INDEX('Вводные'!$D$88:$D$91,$B$64),INDEX('Вводные'!$E$88:$E$91,$B$64)+INDEX('Вводные'!$F$88:$F$91,$B$64)+'Вводные'!$H$9)),AND($B$63="Да",IFERROR(INDEX('Вводные'!$B$88:$B$91,$B$64),"Нет")="Да")),MAX(0,SUM($D81:EO81)-EO81),0)</x:f>
      </x:c>
      <x:c r="EP83" s="107" t="n">
        <x:f>IF(AND(YEAR(EP$3)=YEAR(EDATE(INDEX('Вводные'!$D$88:$D$91,$B$64),INDEX('Вводные'!$E$88:$E$91,$B$64)+INDEX('Вводные'!$F$88:$F$91,$B$64)+'Вводные'!$H$9)),MONTH(EP$3)=MONTH(EDATE(INDEX('Вводные'!$D$88:$D$91,$B$64),INDEX('Вводные'!$E$88:$E$91,$B$64)+INDEX('Вводные'!$F$88:$F$91,$B$64)+'Вводные'!$H$9)),AND($B$63="Да",IFERROR(INDEX('Вводные'!$B$88:$B$91,$B$64),"Нет")="Да")),MAX(0,SUM($D81:EP81)-EP81),0)</x:f>
      </x:c>
      <x:c r="EQ83" s="107" t="n">
        <x:f>IF(AND(YEAR(EQ$3)=YEAR(EDATE(INDEX('Вводные'!$D$88:$D$91,$B$64),INDEX('Вводные'!$E$88:$E$91,$B$64)+INDEX('Вводные'!$F$88:$F$91,$B$64)+'Вводные'!$H$9)),MONTH(EQ$3)=MONTH(EDATE(INDEX('Вводные'!$D$88:$D$91,$B$64),INDEX('Вводные'!$E$88:$E$91,$B$64)+INDEX('Вводные'!$F$88:$F$91,$B$64)+'Вводные'!$H$9)),AND($B$63="Да",IFERROR(INDEX('Вводные'!$B$88:$B$91,$B$64),"Нет")="Да")),MAX(0,SUM($D81:EQ81)-EQ81),0)</x:f>
      </x:c>
      <x:c r="ER83" s="107" t="n">
        <x:f>IF(AND(YEAR(ER$3)=YEAR(EDATE(INDEX('Вводные'!$D$88:$D$91,$B$64),INDEX('Вводные'!$E$88:$E$91,$B$64)+INDEX('Вводные'!$F$88:$F$91,$B$64)+'Вводные'!$H$9)),MONTH(ER$3)=MONTH(EDATE(INDEX('Вводные'!$D$88:$D$91,$B$64),INDEX('Вводные'!$E$88:$E$91,$B$64)+INDEX('Вводные'!$F$88:$F$91,$B$64)+'Вводные'!$H$9)),AND($B$63="Да",IFERROR(INDEX('Вводные'!$B$88:$B$91,$B$64),"Нет")="Да")),MAX(0,SUM($D81:ER81)-ER81),0)</x:f>
      </x:c>
      <x:c r="ES83" s="107" t="n">
        <x:f>IF(AND(YEAR(ES$3)=YEAR(EDATE(INDEX('Вводные'!$D$88:$D$91,$B$64),INDEX('Вводные'!$E$88:$E$91,$B$64)+INDEX('Вводные'!$F$88:$F$91,$B$64)+'Вводные'!$H$9)),MONTH(ES$3)=MONTH(EDATE(INDEX('Вводные'!$D$88:$D$91,$B$64),INDEX('Вводные'!$E$88:$E$91,$B$64)+INDEX('Вводные'!$F$88:$F$91,$B$64)+'Вводные'!$H$9)),AND($B$63="Да",IFERROR(INDEX('Вводные'!$B$88:$B$91,$B$64),"Нет")="Да")),MAX(0,SUM($D81:ES81)-ES81),0)</x:f>
      </x:c>
      <x:c r="ET83" s="107" t="n">
        <x:f>IF(AND(YEAR(ET$3)=YEAR(EDATE(INDEX('Вводные'!$D$88:$D$91,$B$64),INDEX('Вводные'!$E$88:$E$91,$B$64)+INDEX('Вводные'!$F$88:$F$91,$B$64)+'Вводные'!$H$9)),MONTH(ET$3)=MONTH(EDATE(INDEX('Вводные'!$D$88:$D$91,$B$64),INDEX('Вводные'!$E$88:$E$91,$B$64)+INDEX('Вводные'!$F$88:$F$91,$B$64)+'Вводные'!$H$9)),AND($B$63="Да",IFERROR(INDEX('Вводные'!$B$88:$B$91,$B$64),"Нет")="Да")),MAX(0,SUM($D81:ET81)-ET81),0)</x:f>
      </x:c>
      <x:c r="EU83" s="107" t="n">
        <x:f>IF(AND(YEAR(EU$3)=YEAR(EDATE(INDEX('Вводные'!$D$88:$D$91,$B$64),INDEX('Вводные'!$E$88:$E$91,$B$64)+INDEX('Вводные'!$F$88:$F$91,$B$64)+'Вводные'!$H$9)),MONTH(EU$3)=MONTH(EDATE(INDEX('Вводные'!$D$88:$D$91,$B$64),INDEX('Вводные'!$E$88:$E$91,$B$64)+INDEX('Вводные'!$F$88:$F$91,$B$64)+'Вводные'!$H$9)),AND($B$63="Да",IFERROR(INDEX('Вводные'!$B$88:$B$91,$B$64),"Нет")="Да")),MAX(0,SUM($D81:EU81)-EU81),0)</x:f>
      </x:c>
      <x:c r="EV83" s="107" t="n">
        <x:f>IF(AND(YEAR(EV$3)=YEAR(EDATE(INDEX('Вводные'!$D$88:$D$91,$B$64),INDEX('Вводные'!$E$88:$E$91,$B$64)+INDEX('Вводные'!$F$88:$F$91,$B$64)+'Вводные'!$H$9)),MONTH(EV$3)=MONTH(EDATE(INDEX('Вводные'!$D$88:$D$91,$B$64),INDEX('Вводные'!$E$88:$E$91,$B$64)+INDEX('Вводные'!$F$88:$F$91,$B$64)+'Вводные'!$H$9)),AND($B$63="Да",IFERROR(INDEX('Вводные'!$B$88:$B$91,$B$64),"Нет")="Да")),MAX(0,SUM($D81:EV81)-EV81),0)</x:f>
      </x:c>
      <x:c r="EW83" s="107" t="n">
        <x:f>IF(AND(YEAR(EW$3)=YEAR(EDATE(INDEX('Вводные'!$D$88:$D$91,$B$64),INDEX('Вводные'!$E$88:$E$91,$B$64)+INDEX('Вводные'!$F$88:$F$91,$B$64)+'Вводные'!$H$9)),MONTH(EW$3)=MONTH(EDATE(INDEX('Вводные'!$D$88:$D$91,$B$64),INDEX('Вводные'!$E$88:$E$91,$B$64)+INDEX('Вводные'!$F$88:$F$91,$B$64)+'Вводные'!$H$9)),AND($B$63="Да",IFERROR(INDEX('Вводные'!$B$88:$B$91,$B$64),"Нет")="Да")),MAX(0,SUM($D81:EW81)-EW81),0)</x:f>
      </x:c>
      <x:c r="EX83" s="107" t="n">
        <x:f>IF(AND(YEAR(EX$3)=YEAR(EDATE(INDEX('Вводные'!$D$88:$D$91,$B$64),INDEX('Вводные'!$E$88:$E$91,$B$64)+INDEX('Вводные'!$F$88:$F$91,$B$64)+'Вводные'!$H$9)),MONTH(EX$3)=MONTH(EDATE(INDEX('Вводные'!$D$88:$D$91,$B$64),INDEX('Вводные'!$E$88:$E$91,$B$64)+INDEX('Вводные'!$F$88:$F$91,$B$64)+'Вводные'!$H$9)),AND($B$63="Да",IFERROR(INDEX('Вводные'!$B$88:$B$91,$B$64),"Нет")="Да")),MAX(0,SUM($D81:EX81)-EX81),0)</x:f>
      </x:c>
      <x:c r="EY83" s="107" t="n">
        <x:f>IF(AND(YEAR(EY$3)=YEAR(EDATE(INDEX('Вводные'!$D$88:$D$91,$B$64),INDEX('Вводные'!$E$88:$E$91,$B$64)+INDEX('Вводные'!$F$88:$F$91,$B$64)+'Вводные'!$H$9)),MONTH(EY$3)=MONTH(EDATE(INDEX('Вводные'!$D$88:$D$91,$B$64),INDEX('Вводные'!$E$88:$E$91,$B$64)+INDEX('Вводные'!$F$88:$F$91,$B$64)+'Вводные'!$H$9)),AND($B$63="Да",IFERROR(INDEX('Вводные'!$B$88:$B$91,$B$64),"Нет")="Да")),MAX(0,SUM($D81:EY81)-EY81),0)</x:f>
      </x:c>
      <x:c r="EZ83" s="107" t="n">
        <x:f>IF(AND(YEAR(EZ$3)=YEAR(EDATE(INDEX('Вводные'!$D$88:$D$91,$B$64),INDEX('Вводные'!$E$88:$E$91,$B$64)+INDEX('Вводные'!$F$88:$F$91,$B$64)+'Вводные'!$H$9)),MONTH(EZ$3)=MONTH(EDATE(INDEX('Вводные'!$D$88:$D$91,$B$64),INDEX('Вводные'!$E$88:$E$91,$B$64)+INDEX('Вводные'!$F$88:$F$91,$B$64)+'Вводные'!$H$9)),AND($B$63="Да",IFERROR(INDEX('Вводные'!$B$88:$B$91,$B$64),"Нет")="Да")),MAX(0,SUM($D81:EZ81)-EZ81),0)</x:f>
      </x:c>
      <x:c r="FA83" s="107" t="n">
        <x:f>IF(AND(YEAR(FA$3)=YEAR(EDATE(INDEX('Вводные'!$D$88:$D$91,$B$64),INDEX('Вводные'!$E$88:$E$91,$B$64)+INDEX('Вводные'!$F$88:$F$91,$B$64)+'Вводные'!$H$9)),MONTH(FA$3)=MONTH(EDATE(INDEX('Вводные'!$D$88:$D$91,$B$64),INDEX('Вводные'!$E$88:$E$91,$B$64)+INDEX('Вводные'!$F$88:$F$91,$B$64)+'Вводные'!$H$9)),AND($B$63="Да",IFERROR(INDEX('Вводные'!$B$88:$B$91,$B$64),"Нет")="Да")),MAX(0,SUM($D81:FA81)-FA81),0)</x:f>
      </x:c>
      <x:c r="FB83" s="107" t="n">
        <x:f>IF(AND(YEAR(FB$3)=YEAR(EDATE(INDEX('Вводные'!$D$88:$D$91,$B$64),INDEX('Вводные'!$E$88:$E$91,$B$64)+INDEX('Вводные'!$F$88:$F$91,$B$64)+'Вводные'!$H$9)),MONTH(FB$3)=MONTH(EDATE(INDEX('Вводные'!$D$88:$D$91,$B$64),INDEX('Вводные'!$E$88:$E$91,$B$64)+INDEX('Вводные'!$F$88:$F$91,$B$64)+'Вводные'!$H$9)),AND($B$63="Да",IFERROR(INDEX('Вводные'!$B$88:$B$91,$B$64),"Нет")="Да")),MAX(0,SUM($D81:FB81)-FB81),0)</x:f>
      </x:c>
      <x:c r="FC83" s="107" t="n">
        <x:f>IF(AND(YEAR(FC$3)=YEAR(EDATE(INDEX('Вводные'!$D$88:$D$91,$B$64),INDEX('Вводные'!$E$88:$E$91,$B$64)+INDEX('Вводные'!$F$88:$F$91,$B$64)+'Вводные'!$H$9)),MONTH(FC$3)=MONTH(EDATE(INDEX('Вводные'!$D$88:$D$91,$B$64),INDEX('Вводные'!$E$88:$E$91,$B$64)+INDEX('Вводные'!$F$88:$F$91,$B$64)+'Вводные'!$H$9)),AND($B$63="Да",IFERROR(INDEX('Вводные'!$B$88:$B$91,$B$64),"Нет")="Да")),MAX(0,SUM($D81:FC81)-FC81),0)</x:f>
      </x:c>
      <x:c r="FD83" s="107" t="n">
        <x:f>IF(AND(YEAR(FD$3)=YEAR(EDATE(INDEX('Вводные'!$D$88:$D$91,$B$64),INDEX('Вводные'!$E$88:$E$91,$B$64)+INDEX('Вводные'!$F$88:$F$91,$B$64)+'Вводные'!$H$9)),MONTH(FD$3)=MONTH(EDATE(INDEX('Вводные'!$D$88:$D$91,$B$64),INDEX('Вводные'!$E$88:$E$91,$B$64)+INDEX('Вводные'!$F$88:$F$91,$B$64)+'Вводные'!$H$9)),AND($B$63="Да",IFERROR(INDEX('Вводные'!$B$88:$B$91,$B$64),"Нет")="Да")),MAX(0,SUM($D81:FD81)-FD81),0)</x:f>
      </x:c>
      <x:c r="FE83" s="107" t="n">
        <x:f>IF(AND(YEAR(FE$3)=YEAR(EDATE(INDEX('Вводные'!$D$88:$D$91,$B$64),INDEX('Вводные'!$E$88:$E$91,$B$64)+INDEX('Вводные'!$F$88:$F$91,$B$64)+'Вводные'!$H$9)),MONTH(FE$3)=MONTH(EDATE(INDEX('Вводные'!$D$88:$D$91,$B$64),INDEX('Вводные'!$E$88:$E$91,$B$64)+INDEX('Вводные'!$F$88:$F$91,$B$64)+'Вводные'!$H$9)),AND($B$63="Да",IFERROR(INDEX('Вводные'!$B$88:$B$91,$B$64),"Нет")="Да")),MAX(0,SUM($D81:FE81)-FE81),0)</x:f>
      </x:c>
      <x:c r="FF83" s="107" t="n">
        <x:f>IF(AND(YEAR(FF$3)=YEAR(EDATE(INDEX('Вводные'!$D$88:$D$91,$B$64),INDEX('Вводные'!$E$88:$E$91,$B$64)+INDEX('Вводные'!$F$88:$F$91,$B$64)+'Вводные'!$H$9)),MONTH(FF$3)=MONTH(EDATE(INDEX('Вводные'!$D$88:$D$91,$B$64),INDEX('Вводные'!$E$88:$E$91,$B$64)+INDEX('Вводные'!$F$88:$F$91,$B$64)+'Вводные'!$H$9)),AND($B$63="Да",IFERROR(INDEX('Вводные'!$B$88:$B$91,$B$64),"Нет")="Да")),MAX(0,SUM($D81:FF81)-FF81),0)</x:f>
      </x:c>
      <x:c r="FG83" s="107" t="n">
        <x:f>IF(AND(YEAR(FG$3)=YEAR(EDATE(INDEX('Вводные'!$D$88:$D$91,$B$64),INDEX('Вводные'!$E$88:$E$91,$B$64)+INDEX('Вводные'!$F$88:$F$91,$B$64)+'Вводные'!$H$9)),MONTH(FG$3)=MONTH(EDATE(INDEX('Вводные'!$D$88:$D$91,$B$64),INDEX('Вводные'!$E$88:$E$91,$B$64)+INDEX('Вводные'!$F$88:$F$91,$B$64)+'Вводные'!$H$9)),AND($B$63="Да",IFERROR(INDEX('Вводные'!$B$88:$B$91,$B$64),"Нет")="Да")),MAX(0,SUM($D81:FG81)-FG81),0)</x:f>
      </x:c>
      <x:c r="FH83" s="107" t="n">
        <x:f>IF(AND(YEAR(FH$3)=YEAR(EDATE(INDEX('Вводные'!$D$88:$D$91,$B$64),INDEX('Вводные'!$E$88:$E$91,$B$64)+INDEX('Вводные'!$F$88:$F$91,$B$64)+'Вводные'!$H$9)),MONTH(FH$3)=MONTH(EDATE(INDEX('Вводные'!$D$88:$D$91,$B$64),INDEX('Вводные'!$E$88:$E$91,$B$64)+INDEX('Вводные'!$F$88:$F$91,$B$64)+'Вводные'!$H$9)),AND($B$63="Да",IFERROR(INDEX('Вводные'!$B$88:$B$91,$B$64),"Нет")="Да")),MAX(0,SUM($D81:FH81)-FH81),0)</x:f>
      </x:c>
      <x:c r="FI83" s="107" t="n">
        <x:f>IF(AND(YEAR(FI$3)=YEAR(EDATE(INDEX('Вводные'!$D$88:$D$91,$B$64),INDEX('Вводные'!$E$88:$E$91,$B$64)+INDEX('Вводные'!$F$88:$F$91,$B$64)+'Вводные'!$H$9)),MONTH(FI$3)=MONTH(EDATE(INDEX('Вводные'!$D$88:$D$91,$B$64),INDEX('Вводные'!$E$88:$E$91,$B$64)+INDEX('Вводные'!$F$88:$F$91,$B$64)+'Вводные'!$H$9)),AND($B$63="Да",IFERROR(INDEX('Вводные'!$B$88:$B$91,$B$64),"Нет")="Да")),MAX(0,SUM($D81:FI81)-FI81),0)</x:f>
      </x:c>
      <x:c r="FJ83" s="107" t="n">
        <x:f>IF(AND(YEAR(FJ$3)=YEAR(EDATE(INDEX('Вводные'!$D$88:$D$91,$B$64),INDEX('Вводные'!$E$88:$E$91,$B$64)+INDEX('Вводные'!$F$88:$F$91,$B$64)+'Вводные'!$H$9)),MONTH(FJ$3)=MONTH(EDATE(INDEX('Вводные'!$D$88:$D$91,$B$64),INDEX('Вводные'!$E$88:$E$91,$B$64)+INDEX('Вводные'!$F$88:$F$91,$B$64)+'Вводные'!$H$9)),AND($B$63="Да",IFERROR(INDEX('Вводные'!$B$88:$B$91,$B$64),"Нет")="Да")),MAX(0,SUM($D81:FJ81)-FJ81),0)</x:f>
      </x:c>
      <x:c r="FK83" s="107" t="n">
        <x:f>IF(AND(YEAR(FK$3)=YEAR(EDATE(INDEX('Вводные'!$D$88:$D$91,$B$64),INDEX('Вводные'!$E$88:$E$91,$B$64)+INDEX('Вводные'!$F$88:$F$91,$B$64)+'Вводные'!$H$9)),MONTH(FK$3)=MONTH(EDATE(INDEX('Вводные'!$D$88:$D$91,$B$64),INDEX('Вводные'!$E$88:$E$91,$B$64)+INDEX('Вводные'!$F$88:$F$91,$B$64)+'Вводные'!$H$9)),AND($B$63="Да",IFERROR(INDEX('Вводные'!$B$88:$B$91,$B$64),"Нет")="Да")),MAX(0,SUM($D81:FK81)-FK81),0)</x:f>
      </x:c>
      <x:c r="FL83" s="107" t="n">
        <x:f>IF(AND(YEAR(FL$3)=YEAR(EDATE(INDEX('Вводные'!$D$88:$D$91,$B$64),INDEX('Вводные'!$E$88:$E$91,$B$64)+INDEX('Вводные'!$F$88:$F$91,$B$64)+'Вводные'!$H$9)),MONTH(FL$3)=MONTH(EDATE(INDEX('Вводные'!$D$88:$D$91,$B$64),INDEX('Вводные'!$E$88:$E$91,$B$64)+INDEX('Вводные'!$F$88:$F$91,$B$64)+'Вводные'!$H$9)),AND($B$63="Да",IFERROR(INDEX('Вводные'!$B$88:$B$91,$B$64),"Нет")="Да")),MAX(0,SUM($D81:FL81)-FL81),0)</x:f>
      </x:c>
      <x:c r="FM83" s="107" t="n">
        <x:f>IF(AND(YEAR(FM$3)=YEAR(EDATE(INDEX('Вводные'!$D$88:$D$91,$B$64),INDEX('Вводные'!$E$88:$E$91,$B$64)+INDEX('Вводные'!$F$88:$F$91,$B$64)+'Вводные'!$H$9)),MONTH(FM$3)=MONTH(EDATE(INDEX('Вводные'!$D$88:$D$91,$B$64),INDEX('Вводные'!$E$88:$E$91,$B$64)+INDEX('Вводные'!$F$88:$F$91,$B$64)+'Вводные'!$H$9)),AND($B$63="Да",IFERROR(INDEX('Вводные'!$B$88:$B$91,$B$64),"Нет")="Да")),MAX(0,SUM($D81:FM81)-FM81),0)</x:f>
      </x:c>
      <x:c r="FN83" s="107" t="n">
        <x:f>IF(AND(YEAR(FN$3)=YEAR(EDATE(INDEX('Вводные'!$D$88:$D$91,$B$64),INDEX('Вводные'!$E$88:$E$91,$B$64)+INDEX('Вводные'!$F$88:$F$91,$B$64)+'Вводные'!$H$9)),MONTH(FN$3)=MONTH(EDATE(INDEX('Вводные'!$D$88:$D$91,$B$64),INDEX('Вводные'!$E$88:$E$91,$B$64)+INDEX('Вводные'!$F$88:$F$91,$B$64)+'Вводные'!$H$9)),AND($B$63="Да",IFERROR(INDEX('Вводные'!$B$88:$B$91,$B$64),"Нет")="Да")),MAX(0,SUM($D81:FN81)-FN81),0)</x:f>
      </x:c>
      <x:c r="FO83" s="107" t="n">
        <x:f>IF(AND(YEAR(FO$3)=YEAR(EDATE(INDEX('Вводные'!$D$88:$D$91,$B$64),INDEX('Вводные'!$E$88:$E$91,$B$64)+INDEX('Вводные'!$F$88:$F$91,$B$64)+'Вводные'!$H$9)),MONTH(FO$3)=MONTH(EDATE(INDEX('Вводные'!$D$88:$D$91,$B$64),INDEX('Вводные'!$E$88:$E$91,$B$64)+INDEX('Вводные'!$F$88:$F$91,$B$64)+'Вводные'!$H$9)),AND($B$63="Да",IFERROR(INDEX('Вводные'!$B$88:$B$91,$B$64),"Нет")="Да")),MAX(0,SUM($D81:FO81)-FO81),0)</x:f>
      </x:c>
      <x:c r="FP83" s="107" t="n">
        <x:f>IF(AND(YEAR(FP$3)=YEAR(EDATE(INDEX('Вводные'!$D$88:$D$91,$B$64),INDEX('Вводные'!$E$88:$E$91,$B$64)+INDEX('Вводные'!$F$88:$F$91,$B$64)+'Вводные'!$H$9)),MONTH(FP$3)=MONTH(EDATE(INDEX('Вводные'!$D$88:$D$91,$B$64),INDEX('Вводные'!$E$88:$E$91,$B$64)+INDEX('Вводные'!$F$88:$F$91,$B$64)+'Вводные'!$H$9)),AND($B$63="Да",IFERROR(INDEX('Вводные'!$B$88:$B$91,$B$64),"Нет")="Да")),MAX(0,SUM($D81:FP81)-FP81),0)</x:f>
      </x:c>
      <x:c r="FQ83" s="107" t="n">
        <x:f>IF(AND(YEAR(FQ$3)=YEAR(EDATE(INDEX('Вводные'!$D$88:$D$91,$B$64),INDEX('Вводные'!$E$88:$E$91,$B$64)+INDEX('Вводные'!$F$88:$F$91,$B$64)+'Вводные'!$H$9)),MONTH(FQ$3)=MONTH(EDATE(INDEX('Вводные'!$D$88:$D$91,$B$64),INDEX('Вводные'!$E$88:$E$91,$B$64)+INDEX('Вводные'!$F$88:$F$91,$B$64)+'Вводные'!$H$9)),AND($B$63="Да",IFERROR(INDEX('Вводные'!$B$88:$B$91,$B$64),"Нет")="Да")),MAX(0,SUM($D81:FQ81)-FQ81),0)</x:f>
      </x:c>
      <x:c r="FR83" s="107" t="n">
        <x:f>IF(AND(YEAR(FR$3)=YEAR(EDATE(INDEX('Вводные'!$D$88:$D$91,$B$64),INDEX('Вводные'!$E$88:$E$91,$B$64)+INDEX('Вводные'!$F$88:$F$91,$B$64)+'Вводные'!$H$9)),MONTH(FR$3)=MONTH(EDATE(INDEX('Вводные'!$D$88:$D$91,$B$64),INDEX('Вводные'!$E$88:$E$91,$B$64)+INDEX('Вводные'!$F$88:$F$91,$B$64)+'Вводные'!$H$9)),AND($B$63="Да",IFERROR(INDEX('Вводные'!$B$88:$B$91,$B$64),"Нет")="Да")),MAX(0,SUM($D81:FR81)-FR81),0)</x:f>
      </x:c>
      <x:c r="FS83" s="107" t="n">
        <x:f>IF(AND(YEAR(FS$3)=YEAR(EDATE(INDEX('Вводные'!$D$88:$D$91,$B$64),INDEX('Вводные'!$E$88:$E$91,$B$64)+INDEX('Вводные'!$F$88:$F$91,$B$64)+'Вводные'!$H$9)),MONTH(FS$3)=MONTH(EDATE(INDEX('Вводные'!$D$88:$D$91,$B$64),INDEX('Вводные'!$E$88:$E$91,$B$64)+INDEX('Вводные'!$F$88:$F$91,$B$64)+'Вводные'!$H$9)),AND($B$63="Да",IFERROR(INDEX('Вводные'!$B$88:$B$91,$B$64),"Нет")="Да")),MAX(0,SUM($D81:FS81)-FS81),0)</x:f>
      </x:c>
      <x:c r="FT83" s="107" t="n">
        <x:f>IF(AND(YEAR(FT$3)=YEAR(EDATE(INDEX('Вводные'!$D$88:$D$91,$B$64),INDEX('Вводные'!$E$88:$E$91,$B$64)+INDEX('Вводные'!$F$88:$F$91,$B$64)+'Вводные'!$H$9)),MONTH(FT$3)=MONTH(EDATE(INDEX('Вводные'!$D$88:$D$91,$B$64),INDEX('Вводные'!$E$88:$E$91,$B$64)+INDEX('Вводные'!$F$88:$F$91,$B$64)+'Вводные'!$H$9)),AND($B$63="Да",IFERROR(INDEX('Вводные'!$B$88:$B$91,$B$64),"Нет")="Да")),MAX(0,SUM($D81:FT81)-FT81),0)</x:f>
      </x:c>
      <x:c r="FU83" s="107" t="n">
        <x:f>IF(AND(YEAR(FU$3)=YEAR(EDATE(INDEX('Вводные'!$D$88:$D$91,$B$64),INDEX('Вводные'!$E$88:$E$91,$B$64)+INDEX('Вводные'!$F$88:$F$91,$B$64)+'Вводные'!$H$9)),MONTH(FU$3)=MONTH(EDATE(INDEX('Вводные'!$D$88:$D$91,$B$64),INDEX('Вводные'!$E$88:$E$91,$B$64)+INDEX('Вводные'!$F$88:$F$91,$B$64)+'Вводные'!$H$9)),AND($B$63="Да",IFERROR(INDEX('Вводные'!$B$88:$B$91,$B$64),"Нет")="Да")),MAX(0,SUM($D81:FU81)-FU81),0)</x:f>
      </x:c>
      <x:c r="FV83" s="107" t="n">
        <x:f>IF(AND(YEAR(FV$3)=YEAR(EDATE(INDEX('Вводные'!$D$88:$D$91,$B$64),INDEX('Вводные'!$E$88:$E$91,$B$64)+INDEX('Вводные'!$F$88:$F$91,$B$64)+'Вводные'!$H$9)),MONTH(FV$3)=MONTH(EDATE(INDEX('Вводные'!$D$88:$D$91,$B$64),INDEX('Вводные'!$E$88:$E$91,$B$64)+INDEX('Вводные'!$F$88:$F$91,$B$64)+'Вводные'!$H$9)),AND($B$63="Да",IFERROR(INDEX('Вводные'!$B$88:$B$91,$B$64),"Нет")="Да")),MAX(0,SUM($D81:FV81)-FV81),0)</x:f>
      </x:c>
      <x:c r="FW83" s="107" t="n">
        <x:f>IF(AND(YEAR(FW$3)=YEAR(EDATE(INDEX('Вводные'!$D$88:$D$91,$B$64),INDEX('Вводные'!$E$88:$E$91,$B$64)+INDEX('Вводные'!$F$88:$F$91,$B$64)+'Вводные'!$H$9)),MONTH(FW$3)=MONTH(EDATE(INDEX('Вводные'!$D$88:$D$91,$B$64),INDEX('Вводные'!$E$88:$E$91,$B$64)+INDEX('Вводные'!$F$88:$F$91,$B$64)+'Вводные'!$H$9)),AND($B$63="Да",IFERROR(INDEX('Вводные'!$B$88:$B$91,$B$64),"Нет")="Да")),MAX(0,SUM($D81:FW81)-FW81),0)</x:f>
      </x:c>
      <x:c r="FX83" s="107" t="n">
        <x:f>IF(AND(YEAR(FX$3)=YEAR(EDATE(INDEX('Вводные'!$D$88:$D$91,$B$64),INDEX('Вводные'!$E$88:$E$91,$B$64)+INDEX('Вводные'!$F$88:$F$91,$B$64)+'Вводные'!$H$9)),MONTH(FX$3)=MONTH(EDATE(INDEX('Вводные'!$D$88:$D$91,$B$64),INDEX('Вводные'!$E$88:$E$91,$B$64)+INDEX('Вводные'!$F$88:$F$91,$B$64)+'Вводные'!$H$9)),AND($B$63="Да",IFERROR(INDEX('Вводные'!$B$88:$B$91,$B$64),"Нет")="Да")),MAX(0,SUM($D81:FX81)-FX81),0)</x:f>
      </x:c>
      <x:c r="FY83" s="107" t="n">
        <x:f>IF(AND(YEAR(FY$3)=YEAR(EDATE(INDEX('Вводные'!$D$88:$D$91,$B$64),INDEX('Вводные'!$E$88:$E$91,$B$64)+INDEX('Вводные'!$F$88:$F$91,$B$64)+'Вводные'!$H$9)),MONTH(FY$3)=MONTH(EDATE(INDEX('Вводные'!$D$88:$D$91,$B$64),INDEX('Вводные'!$E$88:$E$91,$B$64)+INDEX('Вводные'!$F$88:$F$91,$B$64)+'Вводные'!$H$9)),AND($B$63="Да",IFERROR(INDEX('Вводные'!$B$88:$B$91,$B$64),"Нет")="Да")),MAX(0,SUM($D81:FY81)-FY81),0)</x:f>
      </x:c>
      <x:c r="FZ83" s="107" t="n">
        <x:f>IF(AND(YEAR(FZ$3)=YEAR(EDATE(INDEX('Вводные'!$D$88:$D$91,$B$64),INDEX('Вводные'!$E$88:$E$91,$B$64)+INDEX('Вводные'!$F$88:$F$91,$B$64)+'Вводные'!$H$9)),MONTH(FZ$3)=MONTH(EDATE(INDEX('Вводные'!$D$88:$D$91,$B$64),INDEX('Вводные'!$E$88:$E$91,$B$64)+INDEX('Вводные'!$F$88:$F$91,$B$64)+'Вводные'!$H$9)),AND($B$63="Да",IFERROR(INDEX('Вводные'!$B$88:$B$91,$B$64),"Нет")="Да")),MAX(0,SUM($D81:FZ81)-FZ81),0)</x:f>
      </x:c>
      <x:c r="GA83" s="107" t="n">
        <x:f>IF(AND(YEAR(GA$3)=YEAR(EDATE(INDEX('Вводные'!$D$88:$D$91,$B$64),INDEX('Вводные'!$E$88:$E$91,$B$64)+INDEX('Вводные'!$F$88:$F$91,$B$64)+'Вводные'!$H$9)),MONTH(GA$3)=MONTH(EDATE(INDEX('Вводные'!$D$88:$D$91,$B$64),INDEX('Вводные'!$E$88:$E$91,$B$64)+INDEX('Вводные'!$F$88:$F$91,$B$64)+'Вводные'!$H$9)),AND($B$63="Да",IFERROR(INDEX('Вводные'!$B$88:$B$91,$B$64),"Нет")="Да")),MAX(0,SUM($D81:GA81)-GA81),0)</x:f>
      </x:c>
    </x:row>
    <x:row r="84">
      <x:c r="A84" t="str">
        <x:v>CAPEX</x:v>
      </x:c>
      <x:c r="B84" s="107" t="n">
        <x:f>IF(AND($B$63="Да",IFERROR(INDEX('Вводные'!$B$88:$B$91,$B$64),"Нет")="Да"),$B$69*'Вводные'!$K$67*'Вводные'!$H$6*INDEX('Вводные'!$T$88:$T$91,$B$64)*INDEX('Вводные'!$AH$88:$AH$91,$B$64),0)</x:f>
      </x:c>
      <x:c r="C84" t="str">
        <x:v>млн ₽</x:v>
      </x:c>
      <x:c r="D84" s="107" t="n">
        <x:f>$B$84*D72</x:f>
      </x:c>
      <x:c r="E84" s="107" t="n">
        <x:f>$B$84*E72</x:f>
      </x:c>
      <x:c r="F84" s="107" t="n">
        <x:f>$B$84*F72</x:f>
      </x:c>
      <x:c r="G84" s="107" t="n">
        <x:f>$B$84*G72</x:f>
      </x:c>
      <x:c r="H84" s="107" t="n">
        <x:f>$B$84*H72</x:f>
      </x:c>
      <x:c r="I84" s="107" t="n">
        <x:f>$B$84*I72</x:f>
      </x:c>
      <x:c r="J84" s="107" t="n">
        <x:f>$B$84*J72</x:f>
      </x:c>
      <x:c r="K84" s="107" t="n">
        <x:f>$B$84*K72</x:f>
      </x:c>
      <x:c r="L84" s="107" t="n">
        <x:f>$B$84*L72</x:f>
      </x:c>
      <x:c r="M84" s="107" t="n">
        <x:f>$B$84*M72</x:f>
      </x:c>
      <x:c r="N84" s="107" t="n">
        <x:f>$B$84*N72</x:f>
      </x:c>
      <x:c r="O84" s="107" t="n">
        <x:f>$B$84*O72</x:f>
      </x:c>
      <x:c r="P84" s="107" t="n">
        <x:f>$B$84*P72</x:f>
      </x:c>
      <x:c r="Q84" s="107" t="n">
        <x:f>$B$84*Q72</x:f>
      </x:c>
      <x:c r="R84" s="107" t="n">
        <x:f>$B$84*R72</x:f>
      </x:c>
      <x:c r="S84" s="107" t="n">
        <x:f>$B$84*S72</x:f>
      </x:c>
      <x:c r="T84" s="107" t="n">
        <x:f>$B$84*T72</x:f>
      </x:c>
      <x:c r="U84" s="107" t="n">
        <x:f>$B$84*U72</x:f>
      </x:c>
      <x:c r="V84" s="107" t="n">
        <x:f>$B$84*V72</x:f>
      </x:c>
      <x:c r="W84" s="107" t="n">
        <x:f>$B$84*W72</x:f>
      </x:c>
      <x:c r="X84" s="107" t="n">
        <x:f>$B$84*X72</x:f>
      </x:c>
      <x:c r="Y84" s="107" t="n">
        <x:f>$B$84*Y72</x:f>
      </x:c>
      <x:c r="Z84" s="107" t="n">
        <x:f>$B$84*Z72</x:f>
      </x:c>
      <x:c r="AA84" s="107" t="n">
        <x:f>$B$84*AA72</x:f>
      </x:c>
      <x:c r="AB84" s="107" t="n">
        <x:f>$B$84*AB72</x:f>
      </x:c>
      <x:c r="AC84" s="107" t="n">
        <x:f>$B$84*AC72</x:f>
      </x:c>
      <x:c r="AD84" s="107" t="n">
        <x:f>$B$84*AD72</x:f>
      </x:c>
      <x:c r="AE84" s="107" t="n">
        <x:f>$B$84*AE72</x:f>
      </x:c>
      <x:c r="AF84" s="107" t="n">
        <x:f>$B$84*AF72</x:f>
      </x:c>
      <x:c r="AG84" s="107" t="n">
        <x:f>$B$84*AG72</x:f>
      </x:c>
      <x:c r="AH84" s="107" t="n">
        <x:f>$B$84*AH72</x:f>
      </x:c>
      <x:c r="AI84" s="107" t="n">
        <x:f>$B$84*AI72</x:f>
      </x:c>
      <x:c r="AJ84" s="107" t="n">
        <x:f>$B$84*AJ72</x:f>
      </x:c>
      <x:c r="AK84" s="107" t="n">
        <x:f>$B$84*AK72</x:f>
      </x:c>
      <x:c r="AL84" s="107" t="n">
        <x:f>$B$84*AL72</x:f>
      </x:c>
      <x:c r="AM84" s="107" t="n">
        <x:f>$B$84*AM72</x:f>
      </x:c>
      <x:c r="AN84" s="107" t="n">
        <x:f>$B$84*AN72</x:f>
      </x:c>
      <x:c r="AO84" s="107" t="n">
        <x:f>$B$84*AO72</x:f>
      </x:c>
      <x:c r="AP84" s="107" t="n">
        <x:f>$B$84*AP72</x:f>
      </x:c>
      <x:c r="AQ84" s="107" t="n">
        <x:f>$B$84*AQ72</x:f>
      </x:c>
      <x:c r="AR84" s="107" t="n">
        <x:f>$B$84*AR72</x:f>
      </x:c>
      <x:c r="AS84" s="107" t="n">
        <x:f>$B$84*AS72</x:f>
      </x:c>
      <x:c r="AT84" s="107" t="n">
        <x:f>$B$84*AT72</x:f>
      </x:c>
      <x:c r="AU84" s="107" t="n">
        <x:f>$B$84*AU72</x:f>
      </x:c>
      <x:c r="AV84" s="107" t="n">
        <x:f>$B$84*AV72</x:f>
      </x:c>
      <x:c r="AW84" s="107" t="n">
        <x:f>$B$84*AW72</x:f>
      </x:c>
      <x:c r="AX84" s="107" t="n">
        <x:f>$B$84*AX72</x:f>
      </x:c>
      <x:c r="AY84" s="107" t="n">
        <x:f>$B$84*AY72</x:f>
      </x:c>
      <x:c r="AZ84" s="107" t="n">
        <x:f>$B$84*AZ72</x:f>
      </x:c>
      <x:c r="BA84" s="107" t="n">
        <x:f>$B$84*BA72</x:f>
      </x:c>
      <x:c r="BB84" s="107" t="n">
        <x:f>$B$84*BB72</x:f>
      </x:c>
      <x:c r="BC84" s="107" t="n">
        <x:f>$B$84*BC72</x:f>
      </x:c>
      <x:c r="BD84" s="107" t="n">
        <x:f>$B$84*BD72</x:f>
      </x:c>
      <x:c r="BE84" s="107" t="n">
        <x:f>$B$84*BE72</x:f>
      </x:c>
      <x:c r="BF84" s="107" t="n">
        <x:f>$B$84*BF72</x:f>
      </x:c>
      <x:c r="BG84" s="107" t="n">
        <x:f>$B$84*BG72</x:f>
      </x:c>
      <x:c r="BH84" s="107" t="n">
        <x:f>$B$84*BH72</x:f>
      </x:c>
      <x:c r="BI84" s="107" t="n">
        <x:f>$B$84*BI72</x:f>
      </x:c>
      <x:c r="BJ84" s="107" t="n">
        <x:f>$B$84*BJ72</x:f>
      </x:c>
      <x:c r="BK84" s="107" t="n">
        <x:f>$B$84*BK72</x:f>
      </x:c>
      <x:c r="BL84" s="107" t="n">
        <x:f>$B$84*BL72</x:f>
      </x:c>
      <x:c r="BM84" s="107" t="n">
        <x:f>$B$84*BM72</x:f>
      </x:c>
      <x:c r="BN84" s="107" t="n">
        <x:f>$B$84*BN72</x:f>
      </x:c>
      <x:c r="BO84" s="107" t="n">
        <x:f>$B$84*BO72</x:f>
      </x:c>
      <x:c r="BP84" s="107" t="n">
        <x:f>$B$84*BP72</x:f>
      </x:c>
      <x:c r="BQ84" s="107" t="n">
        <x:f>$B$84*BQ72</x:f>
      </x:c>
      <x:c r="BR84" s="107" t="n">
        <x:f>$B$84*BR72</x:f>
      </x:c>
      <x:c r="BS84" s="107" t="n">
        <x:f>$B$84*BS72</x:f>
      </x:c>
      <x:c r="BT84" s="107" t="n">
        <x:f>$B$84*BT72</x:f>
      </x:c>
      <x:c r="BU84" s="107" t="n">
        <x:f>$B$84*BU72</x:f>
      </x:c>
      <x:c r="BV84" s="107" t="n">
        <x:f>$B$84*BV72</x:f>
      </x:c>
      <x:c r="BW84" s="107" t="n">
        <x:f>$B$84*BW72</x:f>
      </x:c>
      <x:c r="BX84" s="107" t="n">
        <x:f>$B$84*BX72</x:f>
      </x:c>
      <x:c r="BY84" s="107" t="n">
        <x:f>$B$84*BY72</x:f>
      </x:c>
      <x:c r="BZ84" s="107" t="n">
        <x:f>$B$84*BZ72</x:f>
      </x:c>
      <x:c r="CA84" s="107" t="n">
        <x:f>$B$84*CA72</x:f>
      </x:c>
      <x:c r="CB84" s="107" t="n">
        <x:f>$B$84*CB72</x:f>
      </x:c>
      <x:c r="CC84" s="107" t="n">
        <x:f>$B$84*CC72</x:f>
      </x:c>
      <x:c r="CD84" s="107" t="n">
        <x:f>$B$84*CD72</x:f>
      </x:c>
      <x:c r="CE84" s="107" t="n">
        <x:f>$B$84*CE72</x:f>
      </x:c>
      <x:c r="CF84" s="107" t="n">
        <x:f>$B$84*CF72</x:f>
      </x:c>
      <x:c r="CG84" s="107" t="n">
        <x:f>$B$84*CG72</x:f>
      </x:c>
      <x:c r="CH84" s="107" t="n">
        <x:f>$B$84*CH72</x:f>
      </x:c>
      <x:c r="CI84" s="107" t="n">
        <x:f>$B$84*CI72</x:f>
      </x:c>
      <x:c r="CJ84" s="107" t="n">
        <x:f>$B$84*CJ72</x:f>
      </x:c>
      <x:c r="CK84" s="107" t="n">
        <x:f>$B$84*CK72</x:f>
      </x:c>
      <x:c r="CL84" s="107" t="n">
        <x:f>$B$84*CL72</x:f>
      </x:c>
      <x:c r="CM84" s="107" t="n">
        <x:f>$B$84*CM72</x:f>
      </x:c>
      <x:c r="CN84" s="107" t="n">
        <x:f>$B$84*CN72</x:f>
      </x:c>
      <x:c r="CO84" s="107" t="n">
        <x:f>$B$84*CO72</x:f>
      </x:c>
      <x:c r="CP84" s="107" t="n">
        <x:f>$B$84*CP72</x:f>
      </x:c>
      <x:c r="CQ84" s="107" t="n">
        <x:f>$B$84*CQ72</x:f>
      </x:c>
      <x:c r="CR84" s="107" t="n">
        <x:f>$B$84*CR72</x:f>
      </x:c>
      <x:c r="CS84" s="107" t="n">
        <x:f>$B$84*CS72</x:f>
      </x:c>
      <x:c r="CT84" s="107" t="n">
        <x:f>$B$84*CT72</x:f>
      </x:c>
      <x:c r="CU84" s="107" t="n">
        <x:f>$B$84*CU72</x:f>
      </x:c>
      <x:c r="CV84" s="107" t="n">
        <x:f>$B$84*CV72</x:f>
      </x:c>
      <x:c r="CW84" s="107" t="n">
        <x:f>$B$84*CW72</x:f>
      </x:c>
      <x:c r="CX84" s="107" t="n">
        <x:f>$B$84*CX72</x:f>
      </x:c>
      <x:c r="CY84" s="107" t="n">
        <x:f>$B$84*CY72</x:f>
      </x:c>
      <x:c r="CZ84" s="107" t="n">
        <x:f>$B$84*CZ72</x:f>
      </x:c>
      <x:c r="DA84" s="107" t="n">
        <x:f>$B$84*DA72</x:f>
      </x:c>
      <x:c r="DB84" s="107" t="n">
        <x:f>$B$84*DB72</x:f>
      </x:c>
      <x:c r="DC84" s="107" t="n">
        <x:f>$B$84*DC72</x:f>
      </x:c>
      <x:c r="DD84" s="107" t="n">
        <x:f>$B$84*DD72</x:f>
      </x:c>
      <x:c r="DE84" s="107" t="n">
        <x:f>$B$84*DE72</x:f>
      </x:c>
      <x:c r="DF84" s="107" t="n">
        <x:f>$B$84*DF72</x:f>
      </x:c>
      <x:c r="DG84" s="107" t="n">
        <x:f>$B$84*DG72</x:f>
      </x:c>
      <x:c r="DH84" s="107" t="n">
        <x:f>$B$84*DH72</x:f>
      </x:c>
      <x:c r="DI84" s="107" t="n">
        <x:f>$B$84*DI72</x:f>
      </x:c>
      <x:c r="DJ84" s="107" t="n">
        <x:f>$B$84*DJ72</x:f>
      </x:c>
      <x:c r="DK84" s="107" t="n">
        <x:f>$B$84*DK72</x:f>
      </x:c>
      <x:c r="DL84" s="107" t="n">
        <x:f>$B$84*DL72</x:f>
      </x:c>
      <x:c r="DM84" s="107" t="n">
        <x:f>$B$84*DM72</x:f>
      </x:c>
      <x:c r="DN84" s="107" t="n">
        <x:f>$B$84*DN72</x:f>
      </x:c>
      <x:c r="DO84" s="107" t="n">
        <x:f>$B$84*DO72</x:f>
      </x:c>
      <x:c r="DP84" s="107" t="n">
        <x:f>$B$84*DP72</x:f>
      </x:c>
      <x:c r="DQ84" s="107" t="n">
        <x:f>$B$84*DQ72</x:f>
      </x:c>
      <x:c r="DR84" s="107" t="n">
        <x:f>$B$84*DR72</x:f>
      </x:c>
      <x:c r="DS84" s="107" t="n">
        <x:f>$B$84*DS72</x:f>
      </x:c>
      <x:c r="DT84" s="107" t="n">
        <x:f>$B$84*DT72</x:f>
      </x:c>
      <x:c r="DU84" s="107" t="n">
        <x:f>$B$84*DU72</x:f>
      </x:c>
      <x:c r="DV84" s="107" t="n">
        <x:f>$B$84*DV72</x:f>
      </x:c>
      <x:c r="DW84" s="107" t="n">
        <x:f>$B$84*DW72</x:f>
      </x:c>
      <x:c r="DX84" s="107" t="n">
        <x:f>$B$84*DX72</x:f>
      </x:c>
      <x:c r="DY84" s="107" t="n">
        <x:f>$B$84*DY72</x:f>
      </x:c>
      <x:c r="DZ84" s="107" t="n">
        <x:f>$B$84*DZ72</x:f>
      </x:c>
      <x:c r="EA84" s="107" t="n">
        <x:f>$B$84*EA72</x:f>
      </x:c>
      <x:c r="EB84" s="107" t="n">
        <x:f>$B$84*EB72</x:f>
      </x:c>
      <x:c r="EC84" s="107" t="n">
        <x:f>$B$84*EC72</x:f>
      </x:c>
      <x:c r="ED84" s="107" t="n">
        <x:f>$B$84*ED72</x:f>
      </x:c>
      <x:c r="EE84" s="107" t="n">
        <x:f>$B$84*EE72</x:f>
      </x:c>
      <x:c r="EF84" s="107" t="n">
        <x:f>$B$84*EF72</x:f>
      </x:c>
      <x:c r="EG84" s="107" t="n">
        <x:f>$B$84*EG72</x:f>
      </x:c>
      <x:c r="EH84" s="107" t="n">
        <x:f>$B$84*EH72</x:f>
      </x:c>
      <x:c r="EI84" s="107" t="n">
        <x:f>$B$84*EI72</x:f>
      </x:c>
      <x:c r="EJ84" s="107" t="n">
        <x:f>$B$84*EJ72</x:f>
      </x:c>
      <x:c r="EK84" s="107" t="n">
        <x:f>$B$84*EK72</x:f>
      </x:c>
      <x:c r="EL84" s="107" t="n">
        <x:f>$B$84*EL72</x:f>
      </x:c>
      <x:c r="EM84" s="107" t="n">
        <x:f>$B$84*EM72</x:f>
      </x:c>
      <x:c r="EN84" s="107" t="n">
        <x:f>$B$84*EN72</x:f>
      </x:c>
      <x:c r="EO84" s="107" t="n">
        <x:f>$B$84*EO72</x:f>
      </x:c>
      <x:c r="EP84" s="107" t="n">
        <x:f>$B$84*EP72</x:f>
      </x:c>
      <x:c r="EQ84" s="107" t="n">
        <x:f>$B$84*EQ72</x:f>
      </x:c>
      <x:c r="ER84" s="107" t="n">
        <x:f>$B$84*ER72</x:f>
      </x:c>
      <x:c r="ES84" s="107" t="n">
        <x:f>$B$84*ES72</x:f>
      </x:c>
      <x:c r="ET84" s="107" t="n">
        <x:f>$B$84*ET72</x:f>
      </x:c>
      <x:c r="EU84" s="107" t="n">
        <x:f>$B$84*EU72</x:f>
      </x:c>
      <x:c r="EV84" s="107" t="n">
        <x:f>$B$84*EV72</x:f>
      </x:c>
      <x:c r="EW84" s="107" t="n">
        <x:f>$B$84*EW72</x:f>
      </x:c>
      <x:c r="EX84" s="107" t="n">
        <x:f>$B$84*EX72</x:f>
      </x:c>
      <x:c r="EY84" s="107" t="n">
        <x:f>$B$84*EY72</x:f>
      </x:c>
      <x:c r="EZ84" s="107" t="n">
        <x:f>$B$84*EZ72</x:f>
      </x:c>
      <x:c r="FA84" s="107" t="n">
        <x:f>$B$84*FA72</x:f>
      </x:c>
      <x:c r="FB84" s="107" t="n">
        <x:f>$B$84*FB72</x:f>
      </x:c>
      <x:c r="FC84" s="107" t="n">
        <x:f>$B$84*FC72</x:f>
      </x:c>
      <x:c r="FD84" s="107" t="n">
        <x:f>$B$84*FD72</x:f>
      </x:c>
      <x:c r="FE84" s="107" t="n">
        <x:f>$B$84*FE72</x:f>
      </x:c>
      <x:c r="FF84" s="107" t="n">
        <x:f>$B$84*FF72</x:f>
      </x:c>
      <x:c r="FG84" s="107" t="n">
        <x:f>$B$84*FG72</x:f>
      </x:c>
      <x:c r="FH84" s="107" t="n">
        <x:f>$B$84*FH72</x:f>
      </x:c>
      <x:c r="FI84" s="107" t="n">
        <x:f>$B$84*FI72</x:f>
      </x:c>
      <x:c r="FJ84" s="107" t="n">
        <x:f>$B$84*FJ72</x:f>
      </x:c>
      <x:c r="FK84" s="107" t="n">
        <x:f>$B$84*FK72</x:f>
      </x:c>
      <x:c r="FL84" s="107" t="n">
        <x:f>$B$84*FL72</x:f>
      </x:c>
      <x:c r="FM84" s="107" t="n">
        <x:f>$B$84*FM72</x:f>
      </x:c>
      <x:c r="FN84" s="107" t="n">
        <x:f>$B$84*FN72</x:f>
      </x:c>
      <x:c r="FO84" s="107" t="n">
        <x:f>$B$84*FO72</x:f>
      </x:c>
      <x:c r="FP84" s="107" t="n">
        <x:f>$B$84*FP72</x:f>
      </x:c>
      <x:c r="FQ84" s="107" t="n">
        <x:f>$B$84*FQ72</x:f>
      </x:c>
      <x:c r="FR84" s="107" t="n">
        <x:f>$B$84*FR72</x:f>
      </x:c>
      <x:c r="FS84" s="107" t="n">
        <x:f>$B$84*FS72</x:f>
      </x:c>
      <x:c r="FT84" s="107" t="n">
        <x:f>$B$84*FT72</x:f>
      </x:c>
      <x:c r="FU84" s="107" t="n">
        <x:f>$B$84*FU72</x:f>
      </x:c>
      <x:c r="FV84" s="107" t="n">
        <x:f>$B$84*FV72</x:f>
      </x:c>
      <x:c r="FW84" s="107" t="n">
        <x:f>$B$84*FW72</x:f>
      </x:c>
      <x:c r="FX84" s="107" t="n">
        <x:f>$B$84*FX72</x:f>
      </x:c>
      <x:c r="FY84" s="107" t="n">
        <x:f>$B$84*FY72</x:f>
      </x:c>
      <x:c r="FZ84" s="107" t="n">
        <x:f>$B$84*FZ72</x:f>
      </x:c>
      <x:c r="GA84" s="107" t="n">
        <x:f>$B$84*GA72</x:f>
      </x:c>
    </x:row>
    <x:row r="85">
      <x:c r="A85" t="str">
        <x:v>Маркетинг</x:v>
      </x:c>
      <x:c r="B85" s="107" t="n">
        <x:f>SUM(D85:GA85)</x:f>
      </x:c>
      <x:c r="C85" t="str">
        <x:v>млн ₽</x:v>
      </x:c>
      <x:c r="D85" s="107" t="n">
        <x:f>D80*'Вводные'!$B$19</x:f>
      </x:c>
      <x:c r="E85" s="107" t="n">
        <x:f>E80*'Вводные'!$B$19</x:f>
      </x:c>
      <x:c r="F85" s="107" t="n">
        <x:f>F80*'Вводные'!$B$19</x:f>
      </x:c>
      <x:c r="G85" s="107" t="n">
        <x:f>G80*'Вводные'!$B$19</x:f>
      </x:c>
      <x:c r="H85" s="107" t="n">
        <x:f>H80*'Вводные'!$B$19</x:f>
      </x:c>
      <x:c r="I85" s="107" t="n">
        <x:f>I80*'Вводные'!$B$19</x:f>
      </x:c>
      <x:c r="J85" s="107" t="n">
        <x:f>J80*'Вводные'!$B$19</x:f>
      </x:c>
      <x:c r="K85" s="107" t="n">
        <x:f>K80*'Вводные'!$B$19</x:f>
      </x:c>
      <x:c r="L85" s="107" t="n">
        <x:f>L80*'Вводные'!$B$19</x:f>
      </x:c>
      <x:c r="M85" s="107" t="n">
        <x:f>M80*'Вводные'!$B$19</x:f>
      </x:c>
      <x:c r="N85" s="107" t="n">
        <x:f>N80*'Вводные'!$B$19</x:f>
      </x:c>
      <x:c r="O85" s="107" t="n">
        <x:f>O80*'Вводные'!$B$19</x:f>
      </x:c>
      <x:c r="P85" s="107" t="n">
        <x:f>P80*'Вводные'!$B$19</x:f>
      </x:c>
      <x:c r="Q85" s="107" t="n">
        <x:f>Q80*'Вводные'!$B$19</x:f>
      </x:c>
      <x:c r="R85" s="107" t="n">
        <x:f>R80*'Вводные'!$B$19</x:f>
      </x:c>
      <x:c r="S85" s="107" t="n">
        <x:f>S80*'Вводные'!$B$19</x:f>
      </x:c>
      <x:c r="T85" s="107" t="n">
        <x:f>T80*'Вводные'!$B$19</x:f>
      </x:c>
      <x:c r="U85" s="107" t="n">
        <x:f>U80*'Вводные'!$B$19</x:f>
      </x:c>
      <x:c r="V85" s="107" t="n">
        <x:f>V80*'Вводные'!$B$19</x:f>
      </x:c>
      <x:c r="W85" s="107" t="n">
        <x:f>W80*'Вводные'!$B$19</x:f>
      </x:c>
      <x:c r="X85" s="107" t="n">
        <x:f>X80*'Вводные'!$B$19</x:f>
      </x:c>
      <x:c r="Y85" s="107" t="n">
        <x:f>Y80*'Вводные'!$B$19</x:f>
      </x:c>
      <x:c r="Z85" s="107" t="n">
        <x:f>Z80*'Вводные'!$B$19</x:f>
      </x:c>
      <x:c r="AA85" s="107" t="n">
        <x:f>AA80*'Вводные'!$B$19</x:f>
      </x:c>
      <x:c r="AB85" s="107" t="n">
        <x:f>AB80*'Вводные'!$B$19</x:f>
      </x:c>
      <x:c r="AC85" s="107" t="n">
        <x:f>AC80*'Вводные'!$B$19</x:f>
      </x:c>
      <x:c r="AD85" s="107" t="n">
        <x:f>AD80*'Вводные'!$B$19</x:f>
      </x:c>
      <x:c r="AE85" s="107" t="n">
        <x:f>AE80*'Вводные'!$B$19</x:f>
      </x:c>
      <x:c r="AF85" s="107" t="n">
        <x:f>AF80*'Вводные'!$B$19</x:f>
      </x:c>
      <x:c r="AG85" s="107" t="n">
        <x:f>AG80*'Вводные'!$B$19</x:f>
      </x:c>
      <x:c r="AH85" s="107" t="n">
        <x:f>AH80*'Вводные'!$B$19</x:f>
      </x:c>
      <x:c r="AI85" s="107" t="n">
        <x:f>AI80*'Вводные'!$B$19</x:f>
      </x:c>
      <x:c r="AJ85" s="107" t="n">
        <x:f>AJ80*'Вводные'!$B$19</x:f>
      </x:c>
      <x:c r="AK85" s="107" t="n">
        <x:f>AK80*'Вводные'!$B$19</x:f>
      </x:c>
      <x:c r="AL85" s="107" t="n">
        <x:f>AL80*'Вводные'!$B$19</x:f>
      </x:c>
      <x:c r="AM85" s="107" t="n">
        <x:f>AM80*'Вводные'!$B$19</x:f>
      </x:c>
      <x:c r="AN85" s="107" t="n">
        <x:f>AN80*'Вводные'!$B$19</x:f>
      </x:c>
      <x:c r="AO85" s="107" t="n">
        <x:f>AO80*'Вводные'!$B$19</x:f>
      </x:c>
      <x:c r="AP85" s="107" t="n">
        <x:f>AP80*'Вводные'!$B$19</x:f>
      </x:c>
      <x:c r="AQ85" s="107" t="n">
        <x:f>AQ80*'Вводные'!$B$19</x:f>
      </x:c>
      <x:c r="AR85" s="107" t="n">
        <x:f>AR80*'Вводные'!$B$19</x:f>
      </x:c>
      <x:c r="AS85" s="107" t="n">
        <x:f>AS80*'Вводные'!$B$19</x:f>
      </x:c>
      <x:c r="AT85" s="107" t="n">
        <x:f>AT80*'Вводные'!$B$19</x:f>
      </x:c>
      <x:c r="AU85" s="107" t="n">
        <x:f>AU80*'Вводные'!$B$19</x:f>
      </x:c>
      <x:c r="AV85" s="107" t="n">
        <x:f>AV80*'Вводные'!$B$19</x:f>
      </x:c>
      <x:c r="AW85" s="107" t="n">
        <x:f>AW80*'Вводные'!$B$19</x:f>
      </x:c>
      <x:c r="AX85" s="107" t="n">
        <x:f>AX80*'Вводные'!$B$19</x:f>
      </x:c>
      <x:c r="AY85" s="107" t="n">
        <x:f>AY80*'Вводные'!$B$19</x:f>
      </x:c>
      <x:c r="AZ85" s="107" t="n">
        <x:f>AZ80*'Вводные'!$B$19</x:f>
      </x:c>
      <x:c r="BA85" s="107" t="n">
        <x:f>BA80*'Вводные'!$B$19</x:f>
      </x:c>
      <x:c r="BB85" s="107" t="n">
        <x:f>BB80*'Вводные'!$B$19</x:f>
      </x:c>
      <x:c r="BC85" s="107" t="n">
        <x:f>BC80*'Вводные'!$B$19</x:f>
      </x:c>
      <x:c r="BD85" s="107" t="n">
        <x:f>BD80*'Вводные'!$B$19</x:f>
      </x:c>
      <x:c r="BE85" s="107" t="n">
        <x:f>BE80*'Вводные'!$B$19</x:f>
      </x:c>
      <x:c r="BF85" s="107" t="n">
        <x:f>BF80*'Вводные'!$B$19</x:f>
      </x:c>
      <x:c r="BG85" s="107" t="n">
        <x:f>BG80*'Вводные'!$B$19</x:f>
      </x:c>
      <x:c r="BH85" s="107" t="n">
        <x:f>BH80*'Вводные'!$B$19</x:f>
      </x:c>
      <x:c r="BI85" s="107" t="n">
        <x:f>BI80*'Вводные'!$B$19</x:f>
      </x:c>
      <x:c r="BJ85" s="107" t="n">
        <x:f>BJ80*'Вводные'!$B$19</x:f>
      </x:c>
      <x:c r="BK85" s="107" t="n">
        <x:f>BK80*'Вводные'!$B$19</x:f>
      </x:c>
      <x:c r="BL85" s="107" t="n">
        <x:f>BL80*'Вводные'!$B$19</x:f>
      </x:c>
      <x:c r="BM85" s="107" t="n">
        <x:f>BM80*'Вводные'!$B$19</x:f>
      </x:c>
      <x:c r="BN85" s="107" t="n">
        <x:f>BN80*'Вводные'!$B$19</x:f>
      </x:c>
      <x:c r="BO85" s="107" t="n">
        <x:f>BO80*'Вводные'!$B$19</x:f>
      </x:c>
      <x:c r="BP85" s="107" t="n">
        <x:f>BP80*'Вводные'!$B$19</x:f>
      </x:c>
      <x:c r="BQ85" s="107" t="n">
        <x:f>BQ80*'Вводные'!$B$19</x:f>
      </x:c>
      <x:c r="BR85" s="107" t="n">
        <x:f>BR80*'Вводные'!$B$19</x:f>
      </x:c>
      <x:c r="BS85" s="107" t="n">
        <x:f>BS80*'Вводные'!$B$19</x:f>
      </x:c>
      <x:c r="BT85" s="107" t="n">
        <x:f>BT80*'Вводные'!$B$19</x:f>
      </x:c>
      <x:c r="BU85" s="107" t="n">
        <x:f>BU80*'Вводные'!$B$19</x:f>
      </x:c>
      <x:c r="BV85" s="107" t="n">
        <x:f>BV80*'Вводные'!$B$19</x:f>
      </x:c>
      <x:c r="BW85" s="107" t="n">
        <x:f>BW80*'Вводные'!$B$19</x:f>
      </x:c>
      <x:c r="BX85" s="107" t="n">
        <x:f>BX80*'Вводные'!$B$19</x:f>
      </x:c>
      <x:c r="BY85" s="107" t="n">
        <x:f>BY80*'Вводные'!$B$19</x:f>
      </x:c>
      <x:c r="BZ85" s="107" t="n">
        <x:f>BZ80*'Вводные'!$B$19</x:f>
      </x:c>
      <x:c r="CA85" s="107" t="n">
        <x:f>CA80*'Вводные'!$B$19</x:f>
      </x:c>
      <x:c r="CB85" s="107" t="n">
        <x:f>CB80*'Вводные'!$B$19</x:f>
      </x:c>
      <x:c r="CC85" s="107" t="n">
        <x:f>CC80*'Вводные'!$B$19</x:f>
      </x:c>
      <x:c r="CD85" s="107" t="n">
        <x:f>CD80*'Вводные'!$B$19</x:f>
      </x:c>
      <x:c r="CE85" s="107" t="n">
        <x:f>CE80*'Вводные'!$B$19</x:f>
      </x:c>
      <x:c r="CF85" s="107" t="n">
        <x:f>CF80*'Вводные'!$B$19</x:f>
      </x:c>
      <x:c r="CG85" s="107" t="n">
        <x:f>CG80*'Вводные'!$B$19</x:f>
      </x:c>
      <x:c r="CH85" s="107" t="n">
        <x:f>CH80*'Вводные'!$B$19</x:f>
      </x:c>
      <x:c r="CI85" s="107" t="n">
        <x:f>CI80*'Вводные'!$B$19</x:f>
      </x:c>
      <x:c r="CJ85" s="107" t="n">
        <x:f>CJ80*'Вводные'!$B$19</x:f>
      </x:c>
      <x:c r="CK85" s="107" t="n">
        <x:f>CK80*'Вводные'!$B$19</x:f>
      </x:c>
      <x:c r="CL85" s="107" t="n">
        <x:f>CL80*'Вводные'!$B$19</x:f>
      </x:c>
      <x:c r="CM85" s="107" t="n">
        <x:f>CM80*'Вводные'!$B$19</x:f>
      </x:c>
      <x:c r="CN85" s="107" t="n">
        <x:f>CN80*'Вводные'!$B$19</x:f>
      </x:c>
      <x:c r="CO85" s="107" t="n">
        <x:f>CO80*'Вводные'!$B$19</x:f>
      </x:c>
      <x:c r="CP85" s="107" t="n">
        <x:f>CP80*'Вводные'!$B$19</x:f>
      </x:c>
      <x:c r="CQ85" s="107" t="n">
        <x:f>CQ80*'Вводные'!$B$19</x:f>
      </x:c>
      <x:c r="CR85" s="107" t="n">
        <x:f>CR80*'Вводные'!$B$19</x:f>
      </x:c>
      <x:c r="CS85" s="107" t="n">
        <x:f>CS80*'Вводные'!$B$19</x:f>
      </x:c>
      <x:c r="CT85" s="107" t="n">
        <x:f>CT80*'Вводные'!$B$19</x:f>
      </x:c>
      <x:c r="CU85" s="107" t="n">
        <x:f>CU80*'Вводные'!$B$19</x:f>
      </x:c>
      <x:c r="CV85" s="107" t="n">
        <x:f>CV80*'Вводные'!$B$19</x:f>
      </x:c>
      <x:c r="CW85" s="107" t="n">
        <x:f>CW80*'Вводные'!$B$19</x:f>
      </x:c>
      <x:c r="CX85" s="107" t="n">
        <x:f>CX80*'Вводные'!$B$19</x:f>
      </x:c>
      <x:c r="CY85" s="107" t="n">
        <x:f>CY80*'Вводные'!$B$19</x:f>
      </x:c>
      <x:c r="CZ85" s="107" t="n">
        <x:f>CZ80*'Вводные'!$B$19</x:f>
      </x:c>
      <x:c r="DA85" s="107" t="n">
        <x:f>DA80*'Вводные'!$B$19</x:f>
      </x:c>
      <x:c r="DB85" s="107" t="n">
        <x:f>DB80*'Вводные'!$B$19</x:f>
      </x:c>
      <x:c r="DC85" s="107" t="n">
        <x:f>DC80*'Вводные'!$B$19</x:f>
      </x:c>
      <x:c r="DD85" s="107" t="n">
        <x:f>DD80*'Вводные'!$B$19</x:f>
      </x:c>
      <x:c r="DE85" s="107" t="n">
        <x:f>DE80*'Вводные'!$B$19</x:f>
      </x:c>
      <x:c r="DF85" s="107" t="n">
        <x:f>DF80*'Вводные'!$B$19</x:f>
      </x:c>
      <x:c r="DG85" s="107" t="n">
        <x:f>DG80*'Вводные'!$B$19</x:f>
      </x:c>
      <x:c r="DH85" s="107" t="n">
        <x:f>DH80*'Вводные'!$B$19</x:f>
      </x:c>
      <x:c r="DI85" s="107" t="n">
        <x:f>DI80*'Вводные'!$B$19</x:f>
      </x:c>
      <x:c r="DJ85" s="107" t="n">
        <x:f>DJ80*'Вводные'!$B$19</x:f>
      </x:c>
      <x:c r="DK85" s="107" t="n">
        <x:f>DK80*'Вводные'!$B$19</x:f>
      </x:c>
      <x:c r="DL85" s="107" t="n">
        <x:f>DL80*'Вводные'!$B$19</x:f>
      </x:c>
      <x:c r="DM85" s="107" t="n">
        <x:f>DM80*'Вводные'!$B$19</x:f>
      </x:c>
      <x:c r="DN85" s="107" t="n">
        <x:f>DN80*'Вводные'!$B$19</x:f>
      </x:c>
      <x:c r="DO85" s="107" t="n">
        <x:f>DO80*'Вводные'!$B$19</x:f>
      </x:c>
      <x:c r="DP85" s="107" t="n">
        <x:f>DP80*'Вводные'!$B$19</x:f>
      </x:c>
      <x:c r="DQ85" s="107" t="n">
        <x:f>DQ80*'Вводные'!$B$19</x:f>
      </x:c>
      <x:c r="DR85" s="107" t="n">
        <x:f>DR80*'Вводные'!$B$19</x:f>
      </x:c>
      <x:c r="DS85" s="107" t="n">
        <x:f>DS80*'Вводные'!$B$19</x:f>
      </x:c>
      <x:c r="DT85" s="107" t="n">
        <x:f>DT80*'Вводные'!$B$19</x:f>
      </x:c>
      <x:c r="DU85" s="107" t="n">
        <x:f>DU80*'Вводные'!$B$19</x:f>
      </x:c>
      <x:c r="DV85" s="107" t="n">
        <x:f>DV80*'Вводные'!$B$19</x:f>
      </x:c>
      <x:c r="DW85" s="107" t="n">
        <x:f>DW80*'Вводные'!$B$19</x:f>
      </x:c>
      <x:c r="DX85" s="107" t="n">
        <x:f>DX80*'Вводные'!$B$19</x:f>
      </x:c>
      <x:c r="DY85" s="107" t="n">
        <x:f>DY80*'Вводные'!$B$19</x:f>
      </x:c>
      <x:c r="DZ85" s="107" t="n">
        <x:f>DZ80*'Вводные'!$B$19</x:f>
      </x:c>
      <x:c r="EA85" s="107" t="n">
        <x:f>EA80*'Вводные'!$B$19</x:f>
      </x:c>
      <x:c r="EB85" s="107" t="n">
        <x:f>EB80*'Вводные'!$B$19</x:f>
      </x:c>
      <x:c r="EC85" s="107" t="n">
        <x:f>EC80*'Вводные'!$B$19</x:f>
      </x:c>
      <x:c r="ED85" s="107" t="n">
        <x:f>ED80*'Вводные'!$B$19</x:f>
      </x:c>
      <x:c r="EE85" s="107" t="n">
        <x:f>EE80*'Вводные'!$B$19</x:f>
      </x:c>
      <x:c r="EF85" s="107" t="n">
        <x:f>EF80*'Вводные'!$B$19</x:f>
      </x:c>
      <x:c r="EG85" s="107" t="n">
        <x:f>EG80*'Вводные'!$B$19</x:f>
      </x:c>
      <x:c r="EH85" s="107" t="n">
        <x:f>EH80*'Вводные'!$B$19</x:f>
      </x:c>
      <x:c r="EI85" s="107" t="n">
        <x:f>EI80*'Вводные'!$B$19</x:f>
      </x:c>
      <x:c r="EJ85" s="107" t="n">
        <x:f>EJ80*'Вводные'!$B$19</x:f>
      </x:c>
      <x:c r="EK85" s="107" t="n">
        <x:f>EK80*'Вводные'!$B$19</x:f>
      </x:c>
      <x:c r="EL85" s="107" t="n">
        <x:f>EL80*'Вводные'!$B$19</x:f>
      </x:c>
      <x:c r="EM85" s="107" t="n">
        <x:f>EM80*'Вводные'!$B$19</x:f>
      </x:c>
      <x:c r="EN85" s="107" t="n">
        <x:f>EN80*'Вводные'!$B$19</x:f>
      </x:c>
      <x:c r="EO85" s="107" t="n">
        <x:f>EO80*'Вводные'!$B$19</x:f>
      </x:c>
      <x:c r="EP85" s="107" t="n">
        <x:f>EP80*'Вводные'!$B$19</x:f>
      </x:c>
      <x:c r="EQ85" s="107" t="n">
        <x:f>EQ80*'Вводные'!$B$19</x:f>
      </x:c>
      <x:c r="ER85" s="107" t="n">
        <x:f>ER80*'Вводные'!$B$19</x:f>
      </x:c>
      <x:c r="ES85" s="107" t="n">
        <x:f>ES80*'Вводные'!$B$19</x:f>
      </x:c>
      <x:c r="ET85" s="107" t="n">
        <x:f>ET80*'Вводные'!$B$19</x:f>
      </x:c>
      <x:c r="EU85" s="107" t="n">
        <x:f>EU80*'Вводные'!$B$19</x:f>
      </x:c>
      <x:c r="EV85" s="107" t="n">
        <x:f>EV80*'Вводные'!$B$19</x:f>
      </x:c>
      <x:c r="EW85" s="107" t="n">
        <x:f>EW80*'Вводные'!$B$19</x:f>
      </x:c>
      <x:c r="EX85" s="107" t="n">
        <x:f>EX80*'Вводные'!$B$19</x:f>
      </x:c>
      <x:c r="EY85" s="107" t="n">
        <x:f>EY80*'Вводные'!$B$19</x:f>
      </x:c>
      <x:c r="EZ85" s="107" t="n">
        <x:f>EZ80*'Вводные'!$B$19</x:f>
      </x:c>
      <x:c r="FA85" s="107" t="n">
        <x:f>FA80*'Вводные'!$B$19</x:f>
      </x:c>
      <x:c r="FB85" s="107" t="n">
        <x:f>FB80*'Вводные'!$B$19</x:f>
      </x:c>
      <x:c r="FC85" s="107" t="n">
        <x:f>FC80*'Вводные'!$B$19</x:f>
      </x:c>
      <x:c r="FD85" s="107" t="n">
        <x:f>FD80*'Вводные'!$B$19</x:f>
      </x:c>
      <x:c r="FE85" s="107" t="n">
        <x:f>FE80*'Вводные'!$B$19</x:f>
      </x:c>
      <x:c r="FF85" s="107" t="n">
        <x:f>FF80*'Вводные'!$B$19</x:f>
      </x:c>
      <x:c r="FG85" s="107" t="n">
        <x:f>FG80*'Вводные'!$B$19</x:f>
      </x:c>
      <x:c r="FH85" s="107" t="n">
        <x:f>FH80*'Вводные'!$B$19</x:f>
      </x:c>
      <x:c r="FI85" s="107" t="n">
        <x:f>FI80*'Вводные'!$B$19</x:f>
      </x:c>
      <x:c r="FJ85" s="107" t="n">
        <x:f>FJ80*'Вводные'!$B$19</x:f>
      </x:c>
      <x:c r="FK85" s="107" t="n">
        <x:f>FK80*'Вводные'!$B$19</x:f>
      </x:c>
      <x:c r="FL85" s="107" t="n">
        <x:f>FL80*'Вводные'!$B$19</x:f>
      </x:c>
      <x:c r="FM85" s="107" t="n">
        <x:f>FM80*'Вводные'!$B$19</x:f>
      </x:c>
      <x:c r="FN85" s="107" t="n">
        <x:f>FN80*'Вводные'!$B$19</x:f>
      </x:c>
      <x:c r="FO85" s="107" t="n">
        <x:f>FO80*'Вводные'!$B$19</x:f>
      </x:c>
      <x:c r="FP85" s="107" t="n">
        <x:f>FP80*'Вводные'!$B$19</x:f>
      </x:c>
      <x:c r="FQ85" s="107" t="n">
        <x:f>FQ80*'Вводные'!$B$19</x:f>
      </x:c>
      <x:c r="FR85" s="107" t="n">
        <x:f>FR80*'Вводные'!$B$19</x:f>
      </x:c>
      <x:c r="FS85" s="107" t="n">
        <x:f>FS80*'Вводные'!$B$19</x:f>
      </x:c>
      <x:c r="FT85" s="107" t="n">
        <x:f>FT80*'Вводные'!$B$19</x:f>
      </x:c>
      <x:c r="FU85" s="107" t="n">
        <x:f>FU80*'Вводные'!$B$19</x:f>
      </x:c>
      <x:c r="FV85" s="107" t="n">
        <x:f>FV80*'Вводные'!$B$19</x:f>
      </x:c>
      <x:c r="FW85" s="107" t="n">
        <x:f>FW80*'Вводные'!$B$19</x:f>
      </x:c>
      <x:c r="FX85" s="107" t="n">
        <x:f>FX80*'Вводные'!$B$19</x:f>
      </x:c>
      <x:c r="FY85" s="107" t="n">
        <x:f>FY80*'Вводные'!$B$19</x:f>
      </x:c>
      <x:c r="FZ85" s="107" t="n">
        <x:f>FZ80*'Вводные'!$B$19</x:f>
      </x:c>
      <x:c r="GA85" s="107" t="n">
        <x:f>GA80*'Вводные'!$B$19</x:f>
      </x:c>
    </x:row>
    <x:row r="86">
      <x:c r="A86" t="str">
        <x:v>Расходы на продажи</x:v>
      </x:c>
      <x:c r="B86" s="107" t="n">
        <x:f>SUM(D86:GA86)</x:f>
      </x:c>
      <x:c r="C86" t="str">
        <x:v>млн ₽</x:v>
      </x:c>
      <x:c r="D86" s="107" t="n">
        <x:f>D80*'Вводные'!$B$20</x:f>
      </x:c>
      <x:c r="E86" s="107" t="n">
        <x:f>E80*'Вводные'!$B$20</x:f>
      </x:c>
      <x:c r="F86" s="107" t="n">
        <x:f>F80*'Вводные'!$B$20</x:f>
      </x:c>
      <x:c r="G86" s="107" t="n">
        <x:f>G80*'Вводные'!$B$20</x:f>
      </x:c>
      <x:c r="H86" s="107" t="n">
        <x:f>H80*'Вводные'!$B$20</x:f>
      </x:c>
      <x:c r="I86" s="107" t="n">
        <x:f>I80*'Вводные'!$B$20</x:f>
      </x:c>
      <x:c r="J86" s="107" t="n">
        <x:f>J80*'Вводные'!$B$20</x:f>
      </x:c>
      <x:c r="K86" s="107" t="n">
        <x:f>K80*'Вводные'!$B$20</x:f>
      </x:c>
      <x:c r="L86" s="107" t="n">
        <x:f>L80*'Вводные'!$B$20</x:f>
      </x:c>
      <x:c r="M86" s="107" t="n">
        <x:f>M80*'Вводные'!$B$20</x:f>
      </x:c>
      <x:c r="N86" s="107" t="n">
        <x:f>N80*'Вводные'!$B$20</x:f>
      </x:c>
      <x:c r="O86" s="107" t="n">
        <x:f>O80*'Вводные'!$B$20</x:f>
      </x:c>
      <x:c r="P86" s="107" t="n">
        <x:f>P80*'Вводные'!$B$20</x:f>
      </x:c>
      <x:c r="Q86" s="107" t="n">
        <x:f>Q80*'Вводные'!$B$20</x:f>
      </x:c>
      <x:c r="R86" s="107" t="n">
        <x:f>R80*'Вводные'!$B$20</x:f>
      </x:c>
      <x:c r="S86" s="107" t="n">
        <x:f>S80*'Вводные'!$B$20</x:f>
      </x:c>
      <x:c r="T86" s="107" t="n">
        <x:f>T80*'Вводные'!$B$20</x:f>
      </x:c>
      <x:c r="U86" s="107" t="n">
        <x:f>U80*'Вводные'!$B$20</x:f>
      </x:c>
      <x:c r="V86" s="107" t="n">
        <x:f>V80*'Вводные'!$B$20</x:f>
      </x:c>
      <x:c r="W86" s="107" t="n">
        <x:f>W80*'Вводные'!$B$20</x:f>
      </x:c>
      <x:c r="X86" s="107" t="n">
        <x:f>X80*'Вводные'!$B$20</x:f>
      </x:c>
      <x:c r="Y86" s="107" t="n">
        <x:f>Y80*'Вводные'!$B$20</x:f>
      </x:c>
      <x:c r="Z86" s="107" t="n">
        <x:f>Z80*'Вводные'!$B$20</x:f>
      </x:c>
      <x:c r="AA86" s="107" t="n">
        <x:f>AA80*'Вводные'!$B$20</x:f>
      </x:c>
      <x:c r="AB86" s="107" t="n">
        <x:f>AB80*'Вводные'!$B$20</x:f>
      </x:c>
      <x:c r="AC86" s="107" t="n">
        <x:f>AC80*'Вводные'!$B$20</x:f>
      </x:c>
      <x:c r="AD86" s="107" t="n">
        <x:f>AD80*'Вводные'!$B$20</x:f>
      </x:c>
      <x:c r="AE86" s="107" t="n">
        <x:f>AE80*'Вводные'!$B$20</x:f>
      </x:c>
      <x:c r="AF86" s="107" t="n">
        <x:f>AF80*'Вводные'!$B$20</x:f>
      </x:c>
      <x:c r="AG86" s="107" t="n">
        <x:f>AG80*'Вводные'!$B$20</x:f>
      </x:c>
      <x:c r="AH86" s="107" t="n">
        <x:f>AH80*'Вводные'!$B$20</x:f>
      </x:c>
      <x:c r="AI86" s="107" t="n">
        <x:f>AI80*'Вводные'!$B$20</x:f>
      </x:c>
      <x:c r="AJ86" s="107" t="n">
        <x:f>AJ80*'Вводные'!$B$20</x:f>
      </x:c>
      <x:c r="AK86" s="107" t="n">
        <x:f>AK80*'Вводные'!$B$20</x:f>
      </x:c>
      <x:c r="AL86" s="107" t="n">
        <x:f>AL80*'Вводные'!$B$20</x:f>
      </x:c>
      <x:c r="AM86" s="107" t="n">
        <x:f>AM80*'Вводные'!$B$20</x:f>
      </x:c>
      <x:c r="AN86" s="107" t="n">
        <x:f>AN80*'Вводные'!$B$20</x:f>
      </x:c>
      <x:c r="AO86" s="107" t="n">
        <x:f>AO80*'Вводные'!$B$20</x:f>
      </x:c>
      <x:c r="AP86" s="107" t="n">
        <x:f>AP80*'Вводные'!$B$20</x:f>
      </x:c>
      <x:c r="AQ86" s="107" t="n">
        <x:f>AQ80*'Вводные'!$B$20</x:f>
      </x:c>
      <x:c r="AR86" s="107" t="n">
        <x:f>AR80*'Вводные'!$B$20</x:f>
      </x:c>
      <x:c r="AS86" s="107" t="n">
        <x:f>AS80*'Вводные'!$B$20</x:f>
      </x:c>
      <x:c r="AT86" s="107" t="n">
        <x:f>AT80*'Вводные'!$B$20</x:f>
      </x:c>
      <x:c r="AU86" s="107" t="n">
        <x:f>AU80*'Вводные'!$B$20</x:f>
      </x:c>
      <x:c r="AV86" s="107" t="n">
        <x:f>AV80*'Вводные'!$B$20</x:f>
      </x:c>
      <x:c r="AW86" s="107" t="n">
        <x:f>AW80*'Вводные'!$B$20</x:f>
      </x:c>
      <x:c r="AX86" s="107" t="n">
        <x:f>AX80*'Вводные'!$B$20</x:f>
      </x:c>
      <x:c r="AY86" s="107" t="n">
        <x:f>AY80*'Вводные'!$B$20</x:f>
      </x:c>
      <x:c r="AZ86" s="107" t="n">
        <x:f>AZ80*'Вводные'!$B$20</x:f>
      </x:c>
      <x:c r="BA86" s="107" t="n">
        <x:f>BA80*'Вводные'!$B$20</x:f>
      </x:c>
      <x:c r="BB86" s="107" t="n">
        <x:f>BB80*'Вводные'!$B$20</x:f>
      </x:c>
      <x:c r="BC86" s="107" t="n">
        <x:f>BC80*'Вводные'!$B$20</x:f>
      </x:c>
      <x:c r="BD86" s="107" t="n">
        <x:f>BD80*'Вводные'!$B$20</x:f>
      </x:c>
      <x:c r="BE86" s="107" t="n">
        <x:f>BE80*'Вводные'!$B$20</x:f>
      </x:c>
      <x:c r="BF86" s="107" t="n">
        <x:f>BF80*'Вводные'!$B$20</x:f>
      </x:c>
      <x:c r="BG86" s="107" t="n">
        <x:f>BG80*'Вводные'!$B$20</x:f>
      </x:c>
      <x:c r="BH86" s="107" t="n">
        <x:f>BH80*'Вводные'!$B$20</x:f>
      </x:c>
      <x:c r="BI86" s="107" t="n">
        <x:f>BI80*'Вводные'!$B$20</x:f>
      </x:c>
      <x:c r="BJ86" s="107" t="n">
        <x:f>BJ80*'Вводные'!$B$20</x:f>
      </x:c>
      <x:c r="BK86" s="107" t="n">
        <x:f>BK80*'Вводные'!$B$20</x:f>
      </x:c>
      <x:c r="BL86" s="107" t="n">
        <x:f>BL80*'Вводные'!$B$20</x:f>
      </x:c>
      <x:c r="BM86" s="107" t="n">
        <x:f>BM80*'Вводные'!$B$20</x:f>
      </x:c>
      <x:c r="BN86" s="107" t="n">
        <x:f>BN80*'Вводные'!$B$20</x:f>
      </x:c>
      <x:c r="BO86" s="107" t="n">
        <x:f>BO80*'Вводные'!$B$20</x:f>
      </x:c>
      <x:c r="BP86" s="107" t="n">
        <x:f>BP80*'Вводные'!$B$20</x:f>
      </x:c>
      <x:c r="BQ86" s="107" t="n">
        <x:f>BQ80*'Вводные'!$B$20</x:f>
      </x:c>
      <x:c r="BR86" s="107" t="n">
        <x:f>BR80*'Вводные'!$B$20</x:f>
      </x:c>
      <x:c r="BS86" s="107" t="n">
        <x:f>BS80*'Вводные'!$B$20</x:f>
      </x:c>
      <x:c r="BT86" s="107" t="n">
        <x:f>BT80*'Вводные'!$B$20</x:f>
      </x:c>
      <x:c r="BU86" s="107" t="n">
        <x:f>BU80*'Вводные'!$B$20</x:f>
      </x:c>
      <x:c r="BV86" s="107" t="n">
        <x:f>BV80*'Вводные'!$B$20</x:f>
      </x:c>
      <x:c r="BW86" s="107" t="n">
        <x:f>BW80*'Вводные'!$B$20</x:f>
      </x:c>
      <x:c r="BX86" s="107" t="n">
        <x:f>BX80*'Вводные'!$B$20</x:f>
      </x:c>
      <x:c r="BY86" s="107" t="n">
        <x:f>BY80*'Вводные'!$B$20</x:f>
      </x:c>
      <x:c r="BZ86" s="107" t="n">
        <x:f>BZ80*'Вводные'!$B$20</x:f>
      </x:c>
      <x:c r="CA86" s="107" t="n">
        <x:f>CA80*'Вводные'!$B$20</x:f>
      </x:c>
      <x:c r="CB86" s="107" t="n">
        <x:f>CB80*'Вводные'!$B$20</x:f>
      </x:c>
      <x:c r="CC86" s="107" t="n">
        <x:f>CC80*'Вводные'!$B$20</x:f>
      </x:c>
      <x:c r="CD86" s="107" t="n">
        <x:f>CD80*'Вводные'!$B$20</x:f>
      </x:c>
      <x:c r="CE86" s="107" t="n">
        <x:f>CE80*'Вводные'!$B$20</x:f>
      </x:c>
      <x:c r="CF86" s="107" t="n">
        <x:f>CF80*'Вводные'!$B$20</x:f>
      </x:c>
      <x:c r="CG86" s="107" t="n">
        <x:f>CG80*'Вводные'!$B$20</x:f>
      </x:c>
      <x:c r="CH86" s="107" t="n">
        <x:f>CH80*'Вводные'!$B$20</x:f>
      </x:c>
      <x:c r="CI86" s="107" t="n">
        <x:f>CI80*'Вводные'!$B$20</x:f>
      </x:c>
      <x:c r="CJ86" s="107" t="n">
        <x:f>CJ80*'Вводные'!$B$20</x:f>
      </x:c>
      <x:c r="CK86" s="107" t="n">
        <x:f>CK80*'Вводные'!$B$20</x:f>
      </x:c>
      <x:c r="CL86" s="107" t="n">
        <x:f>CL80*'Вводные'!$B$20</x:f>
      </x:c>
      <x:c r="CM86" s="107" t="n">
        <x:f>CM80*'Вводные'!$B$20</x:f>
      </x:c>
      <x:c r="CN86" s="107" t="n">
        <x:f>CN80*'Вводные'!$B$20</x:f>
      </x:c>
      <x:c r="CO86" s="107" t="n">
        <x:f>CO80*'Вводные'!$B$20</x:f>
      </x:c>
      <x:c r="CP86" s="107" t="n">
        <x:f>CP80*'Вводные'!$B$20</x:f>
      </x:c>
      <x:c r="CQ86" s="107" t="n">
        <x:f>CQ80*'Вводные'!$B$20</x:f>
      </x:c>
      <x:c r="CR86" s="107" t="n">
        <x:f>CR80*'Вводные'!$B$20</x:f>
      </x:c>
      <x:c r="CS86" s="107" t="n">
        <x:f>CS80*'Вводные'!$B$20</x:f>
      </x:c>
      <x:c r="CT86" s="107" t="n">
        <x:f>CT80*'Вводные'!$B$20</x:f>
      </x:c>
      <x:c r="CU86" s="107" t="n">
        <x:f>CU80*'Вводные'!$B$20</x:f>
      </x:c>
      <x:c r="CV86" s="107" t="n">
        <x:f>CV80*'Вводные'!$B$20</x:f>
      </x:c>
      <x:c r="CW86" s="107" t="n">
        <x:f>CW80*'Вводные'!$B$20</x:f>
      </x:c>
      <x:c r="CX86" s="107" t="n">
        <x:f>CX80*'Вводные'!$B$20</x:f>
      </x:c>
      <x:c r="CY86" s="107" t="n">
        <x:f>CY80*'Вводные'!$B$20</x:f>
      </x:c>
      <x:c r="CZ86" s="107" t="n">
        <x:f>CZ80*'Вводные'!$B$20</x:f>
      </x:c>
      <x:c r="DA86" s="107" t="n">
        <x:f>DA80*'Вводные'!$B$20</x:f>
      </x:c>
      <x:c r="DB86" s="107" t="n">
        <x:f>DB80*'Вводные'!$B$20</x:f>
      </x:c>
      <x:c r="DC86" s="107" t="n">
        <x:f>DC80*'Вводные'!$B$20</x:f>
      </x:c>
      <x:c r="DD86" s="107" t="n">
        <x:f>DD80*'Вводные'!$B$20</x:f>
      </x:c>
      <x:c r="DE86" s="107" t="n">
        <x:f>DE80*'Вводные'!$B$20</x:f>
      </x:c>
      <x:c r="DF86" s="107" t="n">
        <x:f>DF80*'Вводные'!$B$20</x:f>
      </x:c>
      <x:c r="DG86" s="107" t="n">
        <x:f>DG80*'Вводные'!$B$20</x:f>
      </x:c>
      <x:c r="DH86" s="107" t="n">
        <x:f>DH80*'Вводные'!$B$20</x:f>
      </x:c>
      <x:c r="DI86" s="107" t="n">
        <x:f>DI80*'Вводные'!$B$20</x:f>
      </x:c>
      <x:c r="DJ86" s="107" t="n">
        <x:f>DJ80*'Вводные'!$B$20</x:f>
      </x:c>
      <x:c r="DK86" s="107" t="n">
        <x:f>DK80*'Вводные'!$B$20</x:f>
      </x:c>
      <x:c r="DL86" s="107" t="n">
        <x:f>DL80*'Вводные'!$B$20</x:f>
      </x:c>
      <x:c r="DM86" s="107" t="n">
        <x:f>DM80*'Вводные'!$B$20</x:f>
      </x:c>
      <x:c r="DN86" s="107" t="n">
        <x:f>DN80*'Вводные'!$B$20</x:f>
      </x:c>
      <x:c r="DO86" s="107" t="n">
        <x:f>DO80*'Вводные'!$B$20</x:f>
      </x:c>
      <x:c r="DP86" s="107" t="n">
        <x:f>DP80*'Вводные'!$B$20</x:f>
      </x:c>
      <x:c r="DQ86" s="107" t="n">
        <x:f>DQ80*'Вводные'!$B$20</x:f>
      </x:c>
      <x:c r="DR86" s="107" t="n">
        <x:f>DR80*'Вводные'!$B$20</x:f>
      </x:c>
      <x:c r="DS86" s="107" t="n">
        <x:f>DS80*'Вводные'!$B$20</x:f>
      </x:c>
      <x:c r="DT86" s="107" t="n">
        <x:f>DT80*'Вводные'!$B$20</x:f>
      </x:c>
      <x:c r="DU86" s="107" t="n">
        <x:f>DU80*'Вводные'!$B$20</x:f>
      </x:c>
      <x:c r="DV86" s="107" t="n">
        <x:f>DV80*'Вводные'!$B$20</x:f>
      </x:c>
      <x:c r="DW86" s="107" t="n">
        <x:f>DW80*'Вводные'!$B$20</x:f>
      </x:c>
      <x:c r="DX86" s="107" t="n">
        <x:f>DX80*'Вводные'!$B$20</x:f>
      </x:c>
      <x:c r="DY86" s="107" t="n">
        <x:f>DY80*'Вводные'!$B$20</x:f>
      </x:c>
      <x:c r="DZ86" s="107" t="n">
        <x:f>DZ80*'Вводные'!$B$20</x:f>
      </x:c>
      <x:c r="EA86" s="107" t="n">
        <x:f>EA80*'Вводные'!$B$20</x:f>
      </x:c>
      <x:c r="EB86" s="107" t="n">
        <x:f>EB80*'Вводные'!$B$20</x:f>
      </x:c>
      <x:c r="EC86" s="107" t="n">
        <x:f>EC80*'Вводные'!$B$20</x:f>
      </x:c>
      <x:c r="ED86" s="107" t="n">
        <x:f>ED80*'Вводные'!$B$20</x:f>
      </x:c>
      <x:c r="EE86" s="107" t="n">
        <x:f>EE80*'Вводные'!$B$20</x:f>
      </x:c>
      <x:c r="EF86" s="107" t="n">
        <x:f>EF80*'Вводные'!$B$20</x:f>
      </x:c>
      <x:c r="EG86" s="107" t="n">
        <x:f>EG80*'Вводные'!$B$20</x:f>
      </x:c>
      <x:c r="EH86" s="107" t="n">
        <x:f>EH80*'Вводные'!$B$20</x:f>
      </x:c>
      <x:c r="EI86" s="107" t="n">
        <x:f>EI80*'Вводные'!$B$20</x:f>
      </x:c>
      <x:c r="EJ86" s="107" t="n">
        <x:f>EJ80*'Вводные'!$B$20</x:f>
      </x:c>
      <x:c r="EK86" s="107" t="n">
        <x:f>EK80*'Вводные'!$B$20</x:f>
      </x:c>
      <x:c r="EL86" s="107" t="n">
        <x:f>EL80*'Вводные'!$B$20</x:f>
      </x:c>
      <x:c r="EM86" s="107" t="n">
        <x:f>EM80*'Вводные'!$B$20</x:f>
      </x:c>
      <x:c r="EN86" s="107" t="n">
        <x:f>EN80*'Вводные'!$B$20</x:f>
      </x:c>
      <x:c r="EO86" s="107" t="n">
        <x:f>EO80*'Вводные'!$B$20</x:f>
      </x:c>
      <x:c r="EP86" s="107" t="n">
        <x:f>EP80*'Вводные'!$B$20</x:f>
      </x:c>
      <x:c r="EQ86" s="107" t="n">
        <x:f>EQ80*'Вводные'!$B$20</x:f>
      </x:c>
      <x:c r="ER86" s="107" t="n">
        <x:f>ER80*'Вводные'!$B$20</x:f>
      </x:c>
      <x:c r="ES86" s="107" t="n">
        <x:f>ES80*'Вводные'!$B$20</x:f>
      </x:c>
      <x:c r="ET86" s="107" t="n">
        <x:f>ET80*'Вводные'!$B$20</x:f>
      </x:c>
      <x:c r="EU86" s="107" t="n">
        <x:f>EU80*'Вводные'!$B$20</x:f>
      </x:c>
      <x:c r="EV86" s="107" t="n">
        <x:f>EV80*'Вводные'!$B$20</x:f>
      </x:c>
      <x:c r="EW86" s="107" t="n">
        <x:f>EW80*'Вводные'!$B$20</x:f>
      </x:c>
      <x:c r="EX86" s="107" t="n">
        <x:f>EX80*'Вводные'!$B$20</x:f>
      </x:c>
      <x:c r="EY86" s="107" t="n">
        <x:f>EY80*'Вводные'!$B$20</x:f>
      </x:c>
      <x:c r="EZ86" s="107" t="n">
        <x:f>EZ80*'Вводные'!$B$20</x:f>
      </x:c>
      <x:c r="FA86" s="107" t="n">
        <x:f>FA80*'Вводные'!$B$20</x:f>
      </x:c>
      <x:c r="FB86" s="107" t="n">
        <x:f>FB80*'Вводные'!$B$20</x:f>
      </x:c>
      <x:c r="FC86" s="107" t="n">
        <x:f>FC80*'Вводные'!$B$20</x:f>
      </x:c>
      <x:c r="FD86" s="107" t="n">
        <x:f>FD80*'Вводные'!$B$20</x:f>
      </x:c>
      <x:c r="FE86" s="107" t="n">
        <x:f>FE80*'Вводные'!$B$20</x:f>
      </x:c>
      <x:c r="FF86" s="107" t="n">
        <x:f>FF80*'Вводные'!$B$20</x:f>
      </x:c>
      <x:c r="FG86" s="107" t="n">
        <x:f>FG80*'Вводные'!$B$20</x:f>
      </x:c>
      <x:c r="FH86" s="107" t="n">
        <x:f>FH80*'Вводные'!$B$20</x:f>
      </x:c>
      <x:c r="FI86" s="107" t="n">
        <x:f>FI80*'Вводные'!$B$20</x:f>
      </x:c>
      <x:c r="FJ86" s="107" t="n">
        <x:f>FJ80*'Вводные'!$B$20</x:f>
      </x:c>
      <x:c r="FK86" s="107" t="n">
        <x:f>FK80*'Вводные'!$B$20</x:f>
      </x:c>
      <x:c r="FL86" s="107" t="n">
        <x:f>FL80*'Вводные'!$B$20</x:f>
      </x:c>
      <x:c r="FM86" s="107" t="n">
        <x:f>FM80*'Вводные'!$B$20</x:f>
      </x:c>
      <x:c r="FN86" s="107" t="n">
        <x:f>FN80*'Вводные'!$B$20</x:f>
      </x:c>
      <x:c r="FO86" s="107" t="n">
        <x:f>FO80*'Вводные'!$B$20</x:f>
      </x:c>
      <x:c r="FP86" s="107" t="n">
        <x:f>FP80*'Вводные'!$B$20</x:f>
      </x:c>
      <x:c r="FQ86" s="107" t="n">
        <x:f>FQ80*'Вводные'!$B$20</x:f>
      </x:c>
      <x:c r="FR86" s="107" t="n">
        <x:f>FR80*'Вводные'!$B$20</x:f>
      </x:c>
      <x:c r="FS86" s="107" t="n">
        <x:f>FS80*'Вводные'!$B$20</x:f>
      </x:c>
      <x:c r="FT86" s="107" t="n">
        <x:f>FT80*'Вводные'!$B$20</x:f>
      </x:c>
      <x:c r="FU86" s="107" t="n">
        <x:f>FU80*'Вводные'!$B$20</x:f>
      </x:c>
      <x:c r="FV86" s="107" t="n">
        <x:f>FV80*'Вводные'!$B$20</x:f>
      </x:c>
      <x:c r="FW86" s="107" t="n">
        <x:f>FW80*'Вводные'!$B$20</x:f>
      </x:c>
      <x:c r="FX86" s="107" t="n">
        <x:f>FX80*'Вводные'!$B$20</x:f>
      </x:c>
      <x:c r="FY86" s="107" t="n">
        <x:f>FY80*'Вводные'!$B$20</x:f>
      </x:c>
      <x:c r="FZ86" s="107" t="n">
        <x:f>FZ80*'Вводные'!$B$20</x:f>
      </x:c>
      <x:c r="GA86" s="107" t="n">
        <x:f>GA80*'Вводные'!$B$20</x:f>
      </x:c>
    </x:row>
    <x:row r="87">
      <x:c r="A87" s="348" t="str">
        <x:v>Расходы объекта всего</x:v>
      </x:c>
      <x:c r="B87" s="348" t="n">
        <x:f>SUM(D87:GA87)</x:f>
      </x:c>
      <x:c r="C87" s="348" t="str">
        <x:v>млн ₽</x:v>
      </x:c>
      <x:c r="D87" s="348" t="n">
        <x:f>SUM(D84:D86)</x:f>
      </x:c>
      <x:c r="E87" s="348" t="n">
        <x:f>SUM(E84:E86)</x:f>
      </x:c>
      <x:c r="F87" s="348" t="n">
        <x:f>SUM(F84:F86)</x:f>
      </x:c>
      <x:c r="G87" s="348" t="n">
        <x:f>SUM(G84:G86)</x:f>
      </x:c>
      <x:c r="H87" s="348" t="n">
        <x:f>SUM(H84:H86)</x:f>
      </x:c>
      <x:c r="I87" s="348" t="n">
        <x:f>SUM(I84:I86)</x:f>
      </x:c>
      <x:c r="J87" s="348" t="n">
        <x:f>SUM(J84:J86)</x:f>
      </x:c>
      <x:c r="K87" s="348" t="n">
        <x:f>SUM(K84:K86)</x:f>
      </x:c>
      <x:c r="L87" s="348" t="n">
        <x:f>SUM(L84:L86)</x:f>
      </x:c>
      <x:c r="M87" s="348" t="n">
        <x:f>SUM(M84:M86)</x:f>
      </x:c>
      <x:c r="N87" s="348" t="n">
        <x:f>SUM(N84:N86)</x:f>
      </x:c>
      <x:c r="O87" s="348" t="n">
        <x:f>SUM(O84:O86)</x:f>
      </x:c>
      <x:c r="P87" s="348" t="n">
        <x:f>SUM(P84:P86)</x:f>
      </x:c>
      <x:c r="Q87" s="348" t="n">
        <x:f>SUM(Q84:Q86)</x:f>
      </x:c>
      <x:c r="R87" s="348" t="n">
        <x:f>SUM(R84:R86)</x:f>
      </x:c>
      <x:c r="S87" s="348" t="n">
        <x:f>SUM(S84:S86)</x:f>
      </x:c>
      <x:c r="T87" s="348" t="n">
        <x:f>SUM(T84:T86)</x:f>
      </x:c>
      <x:c r="U87" s="348" t="n">
        <x:f>SUM(U84:U86)</x:f>
      </x:c>
      <x:c r="V87" s="348" t="n">
        <x:f>SUM(V84:V86)</x:f>
      </x:c>
      <x:c r="W87" s="348" t="n">
        <x:f>SUM(W84:W86)</x:f>
      </x:c>
      <x:c r="X87" s="348" t="n">
        <x:f>SUM(X84:X86)</x:f>
      </x:c>
      <x:c r="Y87" s="348" t="n">
        <x:f>SUM(Y84:Y86)</x:f>
      </x:c>
      <x:c r="Z87" s="348" t="n">
        <x:f>SUM(Z84:Z86)</x:f>
      </x:c>
      <x:c r="AA87" s="348" t="n">
        <x:f>SUM(AA84:AA86)</x:f>
      </x:c>
      <x:c r="AB87" s="348" t="n">
        <x:f>SUM(AB84:AB86)</x:f>
      </x:c>
      <x:c r="AC87" s="348" t="n">
        <x:f>SUM(AC84:AC86)</x:f>
      </x:c>
      <x:c r="AD87" s="348" t="n">
        <x:f>SUM(AD84:AD86)</x:f>
      </x:c>
      <x:c r="AE87" s="348" t="n">
        <x:f>SUM(AE84:AE86)</x:f>
      </x:c>
      <x:c r="AF87" s="348" t="n">
        <x:f>SUM(AF84:AF86)</x:f>
      </x:c>
      <x:c r="AG87" s="348" t="n">
        <x:f>SUM(AG84:AG86)</x:f>
      </x:c>
      <x:c r="AH87" s="348" t="n">
        <x:f>SUM(AH84:AH86)</x:f>
      </x:c>
      <x:c r="AI87" s="348" t="n">
        <x:f>SUM(AI84:AI86)</x:f>
      </x:c>
      <x:c r="AJ87" s="348" t="n">
        <x:f>SUM(AJ84:AJ86)</x:f>
      </x:c>
      <x:c r="AK87" s="348" t="n">
        <x:f>SUM(AK84:AK86)</x:f>
      </x:c>
      <x:c r="AL87" s="348" t="n">
        <x:f>SUM(AL84:AL86)</x:f>
      </x:c>
      <x:c r="AM87" s="348" t="n">
        <x:f>SUM(AM84:AM86)</x:f>
      </x:c>
      <x:c r="AN87" s="348" t="n">
        <x:f>SUM(AN84:AN86)</x:f>
      </x:c>
      <x:c r="AO87" s="348" t="n">
        <x:f>SUM(AO84:AO86)</x:f>
      </x:c>
      <x:c r="AP87" s="348" t="n">
        <x:f>SUM(AP84:AP86)</x:f>
      </x:c>
      <x:c r="AQ87" s="348" t="n">
        <x:f>SUM(AQ84:AQ86)</x:f>
      </x:c>
      <x:c r="AR87" s="348" t="n">
        <x:f>SUM(AR84:AR86)</x:f>
      </x:c>
      <x:c r="AS87" s="348" t="n">
        <x:f>SUM(AS84:AS86)</x:f>
      </x:c>
      <x:c r="AT87" s="348" t="n">
        <x:f>SUM(AT84:AT86)</x:f>
      </x:c>
      <x:c r="AU87" s="348" t="n">
        <x:f>SUM(AU84:AU86)</x:f>
      </x:c>
      <x:c r="AV87" s="348" t="n">
        <x:f>SUM(AV84:AV86)</x:f>
      </x:c>
      <x:c r="AW87" s="348" t="n">
        <x:f>SUM(AW84:AW86)</x:f>
      </x:c>
      <x:c r="AX87" s="348" t="n">
        <x:f>SUM(AX84:AX86)</x:f>
      </x:c>
      <x:c r="AY87" s="348" t="n">
        <x:f>SUM(AY84:AY86)</x:f>
      </x:c>
      <x:c r="AZ87" s="348" t="n">
        <x:f>SUM(AZ84:AZ86)</x:f>
      </x:c>
      <x:c r="BA87" s="348" t="n">
        <x:f>SUM(BA84:BA86)</x:f>
      </x:c>
      <x:c r="BB87" s="348" t="n">
        <x:f>SUM(BB84:BB86)</x:f>
      </x:c>
      <x:c r="BC87" s="348" t="n">
        <x:f>SUM(BC84:BC86)</x:f>
      </x:c>
      <x:c r="BD87" s="348" t="n">
        <x:f>SUM(BD84:BD86)</x:f>
      </x:c>
      <x:c r="BE87" s="348" t="n">
        <x:f>SUM(BE84:BE86)</x:f>
      </x:c>
      <x:c r="BF87" s="348" t="n">
        <x:f>SUM(BF84:BF86)</x:f>
      </x:c>
      <x:c r="BG87" s="348" t="n">
        <x:f>SUM(BG84:BG86)</x:f>
      </x:c>
      <x:c r="BH87" s="348" t="n">
        <x:f>SUM(BH84:BH86)</x:f>
      </x:c>
      <x:c r="BI87" s="348" t="n">
        <x:f>SUM(BI84:BI86)</x:f>
      </x:c>
      <x:c r="BJ87" s="348" t="n">
        <x:f>SUM(BJ84:BJ86)</x:f>
      </x:c>
      <x:c r="BK87" s="348" t="n">
        <x:f>SUM(BK84:BK86)</x:f>
      </x:c>
      <x:c r="BL87" s="348" t="n">
        <x:f>SUM(BL84:BL86)</x:f>
      </x:c>
      <x:c r="BM87" s="348" t="n">
        <x:f>SUM(BM84:BM86)</x:f>
      </x:c>
      <x:c r="BN87" s="348" t="n">
        <x:f>SUM(BN84:BN86)</x:f>
      </x:c>
      <x:c r="BO87" s="348" t="n">
        <x:f>SUM(BO84:BO86)</x:f>
      </x:c>
      <x:c r="BP87" s="348" t="n">
        <x:f>SUM(BP84:BP86)</x:f>
      </x:c>
      <x:c r="BQ87" s="348" t="n">
        <x:f>SUM(BQ84:BQ86)</x:f>
      </x:c>
      <x:c r="BR87" s="348" t="n">
        <x:f>SUM(BR84:BR86)</x:f>
      </x:c>
      <x:c r="BS87" s="348" t="n">
        <x:f>SUM(BS84:BS86)</x:f>
      </x:c>
      <x:c r="BT87" s="348" t="n">
        <x:f>SUM(BT84:BT86)</x:f>
      </x:c>
      <x:c r="BU87" s="348" t="n">
        <x:f>SUM(BU84:BU86)</x:f>
      </x:c>
      <x:c r="BV87" s="348" t="n">
        <x:f>SUM(BV84:BV86)</x:f>
      </x:c>
      <x:c r="BW87" s="348" t="n">
        <x:f>SUM(BW84:BW86)</x:f>
      </x:c>
      <x:c r="BX87" s="348" t="n">
        <x:f>SUM(BX84:BX86)</x:f>
      </x:c>
      <x:c r="BY87" s="348" t="n">
        <x:f>SUM(BY84:BY86)</x:f>
      </x:c>
      <x:c r="BZ87" s="348" t="n">
        <x:f>SUM(BZ84:BZ86)</x:f>
      </x:c>
      <x:c r="CA87" s="348" t="n">
        <x:f>SUM(CA84:CA86)</x:f>
      </x:c>
      <x:c r="CB87" s="348" t="n">
        <x:f>SUM(CB84:CB86)</x:f>
      </x:c>
      <x:c r="CC87" s="348" t="n">
        <x:f>SUM(CC84:CC86)</x:f>
      </x:c>
      <x:c r="CD87" s="348" t="n">
        <x:f>SUM(CD84:CD86)</x:f>
      </x:c>
      <x:c r="CE87" s="348" t="n">
        <x:f>SUM(CE84:CE86)</x:f>
      </x:c>
      <x:c r="CF87" s="348" t="n">
        <x:f>SUM(CF84:CF86)</x:f>
      </x:c>
      <x:c r="CG87" s="348" t="n">
        <x:f>SUM(CG84:CG86)</x:f>
      </x:c>
      <x:c r="CH87" s="348" t="n">
        <x:f>SUM(CH84:CH86)</x:f>
      </x:c>
      <x:c r="CI87" s="348" t="n">
        <x:f>SUM(CI84:CI86)</x:f>
      </x:c>
      <x:c r="CJ87" s="348" t="n">
        <x:f>SUM(CJ84:CJ86)</x:f>
      </x:c>
      <x:c r="CK87" s="348" t="n">
        <x:f>SUM(CK84:CK86)</x:f>
      </x:c>
      <x:c r="CL87" s="348" t="n">
        <x:f>SUM(CL84:CL86)</x:f>
      </x:c>
      <x:c r="CM87" s="348" t="n">
        <x:f>SUM(CM84:CM86)</x:f>
      </x:c>
      <x:c r="CN87" s="348" t="n">
        <x:f>SUM(CN84:CN86)</x:f>
      </x:c>
      <x:c r="CO87" s="348" t="n">
        <x:f>SUM(CO84:CO86)</x:f>
      </x:c>
      <x:c r="CP87" s="348" t="n">
        <x:f>SUM(CP84:CP86)</x:f>
      </x:c>
      <x:c r="CQ87" s="348" t="n">
        <x:f>SUM(CQ84:CQ86)</x:f>
      </x:c>
      <x:c r="CR87" s="348" t="n">
        <x:f>SUM(CR84:CR86)</x:f>
      </x:c>
      <x:c r="CS87" s="348" t="n">
        <x:f>SUM(CS84:CS86)</x:f>
      </x:c>
      <x:c r="CT87" s="348" t="n">
        <x:f>SUM(CT84:CT86)</x:f>
      </x:c>
      <x:c r="CU87" s="348" t="n">
        <x:f>SUM(CU84:CU86)</x:f>
      </x:c>
      <x:c r="CV87" s="348" t="n">
        <x:f>SUM(CV84:CV86)</x:f>
      </x:c>
      <x:c r="CW87" s="348" t="n">
        <x:f>SUM(CW84:CW86)</x:f>
      </x:c>
      <x:c r="CX87" s="348" t="n">
        <x:f>SUM(CX84:CX86)</x:f>
      </x:c>
      <x:c r="CY87" s="348" t="n">
        <x:f>SUM(CY84:CY86)</x:f>
      </x:c>
      <x:c r="CZ87" s="348" t="n">
        <x:f>SUM(CZ84:CZ86)</x:f>
      </x:c>
      <x:c r="DA87" s="348" t="n">
        <x:f>SUM(DA84:DA86)</x:f>
      </x:c>
      <x:c r="DB87" s="348" t="n">
        <x:f>SUM(DB84:DB86)</x:f>
      </x:c>
      <x:c r="DC87" s="348" t="n">
        <x:f>SUM(DC84:DC86)</x:f>
      </x:c>
      <x:c r="DD87" s="348" t="n">
        <x:f>SUM(DD84:DD86)</x:f>
      </x:c>
      <x:c r="DE87" s="348" t="n">
        <x:f>SUM(DE84:DE86)</x:f>
      </x:c>
      <x:c r="DF87" s="348" t="n">
        <x:f>SUM(DF84:DF86)</x:f>
      </x:c>
      <x:c r="DG87" s="348" t="n">
        <x:f>SUM(DG84:DG86)</x:f>
      </x:c>
      <x:c r="DH87" s="348" t="n">
        <x:f>SUM(DH84:DH86)</x:f>
      </x:c>
      <x:c r="DI87" s="348" t="n">
        <x:f>SUM(DI84:DI86)</x:f>
      </x:c>
      <x:c r="DJ87" s="348" t="n">
        <x:f>SUM(DJ84:DJ86)</x:f>
      </x:c>
      <x:c r="DK87" s="348" t="n">
        <x:f>SUM(DK84:DK86)</x:f>
      </x:c>
      <x:c r="DL87" s="348" t="n">
        <x:f>SUM(DL84:DL86)</x:f>
      </x:c>
      <x:c r="DM87" s="348" t="n">
        <x:f>SUM(DM84:DM86)</x:f>
      </x:c>
      <x:c r="DN87" s="348" t="n">
        <x:f>SUM(DN84:DN86)</x:f>
      </x:c>
      <x:c r="DO87" s="348" t="n">
        <x:f>SUM(DO84:DO86)</x:f>
      </x:c>
      <x:c r="DP87" s="348" t="n">
        <x:f>SUM(DP84:DP86)</x:f>
      </x:c>
      <x:c r="DQ87" s="348" t="n">
        <x:f>SUM(DQ84:DQ86)</x:f>
      </x:c>
      <x:c r="DR87" s="348" t="n">
        <x:f>SUM(DR84:DR86)</x:f>
      </x:c>
      <x:c r="DS87" s="348" t="n">
        <x:f>SUM(DS84:DS86)</x:f>
      </x:c>
      <x:c r="DT87" s="348" t="n">
        <x:f>SUM(DT84:DT86)</x:f>
      </x:c>
      <x:c r="DU87" s="348" t="n">
        <x:f>SUM(DU84:DU86)</x:f>
      </x:c>
      <x:c r="DV87" s="348" t="n">
        <x:f>SUM(DV84:DV86)</x:f>
      </x:c>
      <x:c r="DW87" s="348" t="n">
        <x:f>SUM(DW84:DW86)</x:f>
      </x:c>
      <x:c r="DX87" s="348" t="n">
        <x:f>SUM(DX84:DX86)</x:f>
      </x:c>
      <x:c r="DY87" s="348" t="n">
        <x:f>SUM(DY84:DY86)</x:f>
      </x:c>
      <x:c r="DZ87" s="348" t="n">
        <x:f>SUM(DZ84:DZ86)</x:f>
      </x:c>
      <x:c r="EA87" s="348" t="n">
        <x:f>SUM(EA84:EA86)</x:f>
      </x:c>
      <x:c r="EB87" s="348" t="n">
        <x:f>SUM(EB84:EB86)</x:f>
      </x:c>
      <x:c r="EC87" s="348" t="n">
        <x:f>SUM(EC84:EC86)</x:f>
      </x:c>
      <x:c r="ED87" s="348" t="n">
        <x:f>SUM(ED84:ED86)</x:f>
      </x:c>
      <x:c r="EE87" s="348" t="n">
        <x:f>SUM(EE84:EE86)</x:f>
      </x:c>
      <x:c r="EF87" s="348" t="n">
        <x:f>SUM(EF84:EF86)</x:f>
      </x:c>
      <x:c r="EG87" s="348" t="n">
        <x:f>SUM(EG84:EG86)</x:f>
      </x:c>
      <x:c r="EH87" s="348" t="n">
        <x:f>SUM(EH84:EH86)</x:f>
      </x:c>
      <x:c r="EI87" s="348" t="n">
        <x:f>SUM(EI84:EI86)</x:f>
      </x:c>
      <x:c r="EJ87" s="348" t="n">
        <x:f>SUM(EJ84:EJ86)</x:f>
      </x:c>
      <x:c r="EK87" s="348" t="n">
        <x:f>SUM(EK84:EK86)</x:f>
      </x:c>
      <x:c r="EL87" s="348" t="n">
        <x:f>SUM(EL84:EL86)</x:f>
      </x:c>
      <x:c r="EM87" s="348" t="n">
        <x:f>SUM(EM84:EM86)</x:f>
      </x:c>
      <x:c r="EN87" s="348" t="n">
        <x:f>SUM(EN84:EN86)</x:f>
      </x:c>
      <x:c r="EO87" s="348" t="n">
        <x:f>SUM(EO84:EO86)</x:f>
      </x:c>
      <x:c r="EP87" s="348" t="n">
        <x:f>SUM(EP84:EP86)</x:f>
      </x:c>
      <x:c r="EQ87" s="348" t="n">
        <x:f>SUM(EQ84:EQ86)</x:f>
      </x:c>
      <x:c r="ER87" s="348" t="n">
        <x:f>SUM(ER84:ER86)</x:f>
      </x:c>
      <x:c r="ES87" s="348" t="n">
        <x:f>SUM(ES84:ES86)</x:f>
      </x:c>
      <x:c r="ET87" s="348" t="n">
        <x:f>SUM(ET84:ET86)</x:f>
      </x:c>
      <x:c r="EU87" s="348" t="n">
        <x:f>SUM(EU84:EU86)</x:f>
      </x:c>
      <x:c r="EV87" s="348" t="n">
        <x:f>SUM(EV84:EV86)</x:f>
      </x:c>
      <x:c r="EW87" s="348" t="n">
        <x:f>SUM(EW84:EW86)</x:f>
      </x:c>
      <x:c r="EX87" s="348" t="n">
        <x:f>SUM(EX84:EX86)</x:f>
      </x:c>
      <x:c r="EY87" s="348" t="n">
        <x:f>SUM(EY84:EY86)</x:f>
      </x:c>
      <x:c r="EZ87" s="348" t="n">
        <x:f>SUM(EZ84:EZ86)</x:f>
      </x:c>
      <x:c r="FA87" s="348" t="n">
        <x:f>SUM(FA84:FA86)</x:f>
      </x:c>
      <x:c r="FB87" s="348" t="n">
        <x:f>SUM(FB84:FB86)</x:f>
      </x:c>
      <x:c r="FC87" s="348" t="n">
        <x:f>SUM(FC84:FC86)</x:f>
      </x:c>
      <x:c r="FD87" s="348" t="n">
        <x:f>SUM(FD84:FD86)</x:f>
      </x:c>
      <x:c r="FE87" s="348" t="n">
        <x:f>SUM(FE84:FE86)</x:f>
      </x:c>
      <x:c r="FF87" s="348" t="n">
        <x:f>SUM(FF84:FF86)</x:f>
      </x:c>
      <x:c r="FG87" s="348" t="n">
        <x:f>SUM(FG84:FG86)</x:f>
      </x:c>
      <x:c r="FH87" s="348" t="n">
        <x:f>SUM(FH84:FH86)</x:f>
      </x:c>
      <x:c r="FI87" s="348" t="n">
        <x:f>SUM(FI84:FI86)</x:f>
      </x:c>
      <x:c r="FJ87" s="348" t="n">
        <x:f>SUM(FJ84:FJ86)</x:f>
      </x:c>
      <x:c r="FK87" s="348" t="n">
        <x:f>SUM(FK84:FK86)</x:f>
      </x:c>
      <x:c r="FL87" s="348" t="n">
        <x:f>SUM(FL84:FL86)</x:f>
      </x:c>
      <x:c r="FM87" s="348" t="n">
        <x:f>SUM(FM84:FM86)</x:f>
      </x:c>
      <x:c r="FN87" s="348" t="n">
        <x:f>SUM(FN84:FN86)</x:f>
      </x:c>
      <x:c r="FO87" s="348" t="n">
        <x:f>SUM(FO84:FO86)</x:f>
      </x:c>
      <x:c r="FP87" s="348" t="n">
        <x:f>SUM(FP84:FP86)</x:f>
      </x:c>
      <x:c r="FQ87" s="348" t="n">
        <x:f>SUM(FQ84:FQ86)</x:f>
      </x:c>
      <x:c r="FR87" s="348" t="n">
        <x:f>SUM(FR84:FR86)</x:f>
      </x:c>
      <x:c r="FS87" s="348" t="n">
        <x:f>SUM(FS84:FS86)</x:f>
      </x:c>
      <x:c r="FT87" s="348" t="n">
        <x:f>SUM(FT84:FT86)</x:f>
      </x:c>
      <x:c r="FU87" s="348" t="n">
        <x:f>SUM(FU84:FU86)</x:f>
      </x:c>
      <x:c r="FV87" s="348" t="n">
        <x:f>SUM(FV84:FV86)</x:f>
      </x:c>
      <x:c r="FW87" s="348" t="n">
        <x:f>SUM(FW84:FW86)</x:f>
      </x:c>
      <x:c r="FX87" s="348" t="n">
        <x:f>SUM(FX84:FX86)</x:f>
      </x:c>
      <x:c r="FY87" s="348" t="n">
        <x:f>SUM(FY84:FY86)</x:f>
      </x:c>
      <x:c r="FZ87" s="348" t="n">
        <x:f>SUM(FZ84:FZ86)</x:f>
      </x:c>
      <x:c r="GA87" s="348" t="n">
        <x:f>SUM(GA84:GA86)</x:f>
      </x:c>
    </x:row>
    <x:row r="90" ht="21" customHeight="1">
      <x:c r="A90" s="281" t="str">
        <x:v>АЛЛОКАЦИЯ ОБЪЕКТОВ ПО ОЧЕРЕДЯМ</x:v>
      </x:c>
      <x:c r="B90" s="282" t="str">
        <x:v>АЛЛОКАЦИЯ ОБЪЕКТОВ ПО ОЧЕРЕДЯМ</x:v>
      </x:c>
      <x:c r="C90" s="282" t="str">
        <x:v>АЛЛОКАЦИЯ ОБЪЕКТОВ ПО ОЧЕРЕДЯМ</x:v>
      </x:c>
      <x:c r="D90" s="282" t="str">
        <x:v>АЛЛОКАЦИЯ ОБЪЕКТОВ ПО ОЧЕРЕДЯМ</x:v>
      </x:c>
      <x:c r="E90" s="282" t="str">
        <x:v>АЛЛОКАЦИЯ ОБЪЕКТОВ ПО ОЧЕРЕДЯМ</x:v>
      </x:c>
      <x:c r="F90" s="282" t="str">
        <x:v>АЛЛОКАЦИЯ ОБЪЕКТОВ ПО ОЧЕРЕДЯМ</x:v>
      </x:c>
      <x:c r="G90" s="282" t="str">
        <x:v>АЛЛОКАЦИЯ ОБЪЕКТОВ ПО ОЧЕРЕДЯМ</x:v>
      </x:c>
      <x:c r="H90" s="282" t="str">
        <x:v>АЛЛОКАЦИЯ ОБЪЕКТОВ ПО ОЧЕРЕДЯМ</x:v>
      </x:c>
      <x:c r="I90" s="282" t="str">
        <x:v>АЛЛОКАЦИЯ ОБЪЕКТОВ ПО ОЧЕРЕДЯМ</x:v>
      </x:c>
      <x:c r="J90" s="282" t="str">
        <x:v>АЛЛОКАЦИЯ ОБЪЕКТОВ ПО ОЧЕРЕДЯМ</x:v>
      </x:c>
      <x:c r="K90" s="282" t="str">
        <x:v>АЛЛОКАЦИЯ ОБЪЕКТОВ ПО ОЧЕРЕДЯМ</x:v>
      </x:c>
      <x:c r="L90" s="282" t="str">
        <x:v>АЛЛОКАЦИЯ ОБЪЕКТОВ ПО ОЧЕРЕДЯМ</x:v>
      </x:c>
      <x:c r="M90" s="282" t="str">
        <x:v>АЛЛОКАЦИЯ ОБЪЕКТОВ ПО ОЧЕРЕДЯМ</x:v>
      </x:c>
      <x:c r="N90" s="282" t="str">
        <x:v>АЛЛОКАЦИЯ ОБЪЕКТОВ ПО ОЧЕРЕДЯМ</x:v>
      </x:c>
      <x:c r="O90" s="282" t="str">
        <x:v>АЛЛОКАЦИЯ ОБЪЕКТОВ ПО ОЧЕРЕДЯМ</x:v>
      </x:c>
      <x:c r="P90" s="282" t="str">
        <x:v>АЛЛОКАЦИЯ ОБЪЕКТОВ ПО ОЧЕРЕДЯМ</x:v>
      </x:c>
      <x:c r="Q90" s="282" t="str">
        <x:v>АЛЛОКАЦИЯ ОБЪЕКТОВ ПО ОЧЕРЕДЯМ</x:v>
      </x:c>
      <x:c r="R90" s="282" t="str">
        <x:v>АЛЛОКАЦИЯ ОБЪЕКТОВ ПО ОЧЕРЕДЯМ</x:v>
      </x:c>
      <x:c r="S90" s="282" t="str">
        <x:v>АЛЛОКАЦИЯ ОБЪЕКТОВ ПО ОЧЕРЕДЯМ</x:v>
      </x:c>
      <x:c r="T90" s="282" t="str">
        <x:v>АЛЛОКАЦИЯ ОБЪЕКТОВ ПО ОЧЕРЕДЯМ</x:v>
      </x:c>
      <x:c r="U90" s="282" t="str">
        <x:v>АЛЛОКАЦИЯ ОБЪЕКТОВ ПО ОЧЕРЕДЯМ</x:v>
      </x:c>
      <x:c r="V90" s="282" t="str">
        <x:v>АЛЛОКАЦИЯ ОБЪЕКТОВ ПО ОЧЕРЕДЯМ</x:v>
      </x:c>
      <x:c r="W90" s="282" t="str">
        <x:v>АЛЛОКАЦИЯ ОБЪЕКТОВ ПО ОЧЕРЕДЯМ</x:v>
      </x:c>
      <x:c r="X90" s="282" t="str">
        <x:v>АЛЛОКАЦИЯ ОБЪЕКТОВ ПО ОЧЕРЕДЯМ</x:v>
      </x:c>
      <x:c r="Y90" s="282" t="str">
        <x:v>АЛЛОКАЦИЯ ОБЪЕКТОВ ПО ОЧЕРЕДЯМ</x:v>
      </x:c>
      <x:c r="Z90" s="282" t="str">
        <x:v>АЛЛОКАЦИЯ ОБЪЕКТОВ ПО ОЧЕРЕДЯМ</x:v>
      </x:c>
      <x:c r="AA90" s="282" t="str">
        <x:v>АЛЛОКАЦИЯ ОБЪЕКТОВ ПО ОЧЕРЕДЯМ</x:v>
      </x:c>
      <x:c r="AB90" s="282" t="str">
        <x:v>АЛЛОКАЦИЯ ОБЪЕКТОВ ПО ОЧЕРЕДЯМ</x:v>
      </x:c>
      <x:c r="AC90" s="282" t="str">
        <x:v>АЛЛОКАЦИЯ ОБЪЕКТОВ ПО ОЧЕРЕДЯМ</x:v>
      </x:c>
      <x:c r="AD90" s="282" t="str">
        <x:v>АЛЛОКАЦИЯ ОБЪЕКТОВ ПО ОЧЕРЕДЯМ</x:v>
      </x:c>
      <x:c r="AE90" s="282" t="str">
        <x:v>АЛЛОКАЦИЯ ОБЪЕКТОВ ПО ОЧЕРЕДЯМ</x:v>
      </x:c>
      <x:c r="AF90" s="282" t="str">
        <x:v>АЛЛОКАЦИЯ ОБЪЕКТОВ ПО ОЧЕРЕДЯМ</x:v>
      </x:c>
      <x:c r="AG90" s="282" t="str">
        <x:v>АЛЛОКАЦИЯ ОБЪЕКТОВ ПО ОЧЕРЕДЯМ</x:v>
      </x:c>
      <x:c r="AH90" s="282" t="str">
        <x:v>АЛЛОКАЦИЯ ОБЪЕКТОВ ПО ОЧЕРЕДЯМ</x:v>
      </x:c>
      <x:c r="AI90" s="282" t="str">
        <x:v>АЛЛОКАЦИЯ ОБЪЕКТОВ ПО ОЧЕРЕДЯМ</x:v>
      </x:c>
      <x:c r="AJ90" s="282" t="str">
        <x:v>АЛЛОКАЦИЯ ОБЪЕКТОВ ПО ОЧЕРЕДЯМ</x:v>
      </x:c>
      <x:c r="AK90" s="282" t="str">
        <x:v>АЛЛОКАЦИЯ ОБЪЕКТОВ ПО ОЧЕРЕДЯМ</x:v>
      </x:c>
      <x:c r="AL90" s="282" t="str">
        <x:v>АЛЛОКАЦИЯ ОБЪЕКТОВ ПО ОЧЕРЕДЯМ</x:v>
      </x:c>
      <x:c r="AM90" s="282" t="str">
        <x:v>АЛЛОКАЦИЯ ОБЪЕКТОВ ПО ОЧЕРЕДЯМ</x:v>
      </x:c>
      <x:c r="AN90" s="282" t="str">
        <x:v>АЛЛОКАЦИЯ ОБЪЕКТОВ ПО ОЧЕРЕДЯМ</x:v>
      </x:c>
      <x:c r="AO90" s="282" t="str">
        <x:v>АЛЛОКАЦИЯ ОБЪЕКТОВ ПО ОЧЕРЕДЯМ</x:v>
      </x:c>
      <x:c r="AP90" s="282" t="str">
        <x:v>АЛЛОКАЦИЯ ОБЪЕКТОВ ПО ОЧЕРЕДЯМ</x:v>
      </x:c>
      <x:c r="AQ90" s="282" t="str">
        <x:v>АЛЛОКАЦИЯ ОБЪЕКТОВ ПО ОЧЕРЕДЯМ</x:v>
      </x:c>
      <x:c r="AR90" s="282" t="str">
        <x:v>АЛЛОКАЦИЯ ОБЪЕКТОВ ПО ОЧЕРЕДЯМ</x:v>
      </x:c>
      <x:c r="AS90" s="282" t="str">
        <x:v>АЛЛОКАЦИЯ ОБЪЕКТОВ ПО ОЧЕРЕДЯМ</x:v>
      </x:c>
      <x:c r="AT90" s="282" t="str">
        <x:v>АЛЛОКАЦИЯ ОБЪЕКТОВ ПО ОЧЕРЕДЯМ</x:v>
      </x:c>
      <x:c r="AU90" s="282" t="str">
        <x:v>АЛЛОКАЦИЯ ОБЪЕКТОВ ПО ОЧЕРЕДЯМ</x:v>
      </x:c>
      <x:c r="AV90" s="282" t="str">
        <x:v>АЛЛОКАЦИЯ ОБЪЕКТОВ ПО ОЧЕРЕДЯМ</x:v>
      </x:c>
      <x:c r="AW90" s="282" t="str">
        <x:v>АЛЛОКАЦИЯ ОБЪЕКТОВ ПО ОЧЕРЕДЯМ</x:v>
      </x:c>
      <x:c r="AX90" s="282" t="str">
        <x:v>АЛЛОКАЦИЯ ОБЪЕКТОВ ПО ОЧЕРЕДЯМ</x:v>
      </x:c>
      <x:c r="AY90" s="282" t="str">
        <x:v>АЛЛОКАЦИЯ ОБЪЕКТОВ ПО ОЧЕРЕДЯМ</x:v>
      </x:c>
      <x:c r="AZ90" s="282" t="str">
        <x:v>АЛЛОКАЦИЯ ОБЪЕКТОВ ПО ОЧЕРЕДЯМ</x:v>
      </x:c>
      <x:c r="BA90" s="282" t="str">
        <x:v>АЛЛОКАЦИЯ ОБЪЕКТОВ ПО ОЧЕРЕДЯМ</x:v>
      </x:c>
      <x:c r="BB90" s="282" t="str">
        <x:v>АЛЛОКАЦИЯ ОБЪЕКТОВ ПО ОЧЕРЕДЯМ</x:v>
      </x:c>
      <x:c r="BC90" s="282" t="str">
        <x:v>АЛЛОКАЦИЯ ОБЪЕКТОВ ПО ОЧЕРЕДЯМ</x:v>
      </x:c>
      <x:c r="BD90" s="282" t="str">
        <x:v>АЛЛОКАЦИЯ ОБЪЕКТОВ ПО ОЧЕРЕДЯМ</x:v>
      </x:c>
      <x:c r="BE90" s="282" t="str">
        <x:v>АЛЛОКАЦИЯ ОБЪЕКТОВ ПО ОЧЕРЕДЯМ</x:v>
      </x:c>
      <x:c r="BF90" s="282" t="str">
        <x:v>АЛЛОКАЦИЯ ОБЪЕКТОВ ПО ОЧЕРЕДЯМ</x:v>
      </x:c>
      <x:c r="BG90" s="282" t="str">
        <x:v>АЛЛОКАЦИЯ ОБЪЕКТОВ ПО ОЧЕРЕДЯМ</x:v>
      </x:c>
      <x:c r="BH90" s="282" t="str">
        <x:v>АЛЛОКАЦИЯ ОБЪЕКТОВ ПО ОЧЕРЕДЯМ</x:v>
      </x:c>
      <x:c r="BI90" s="282" t="str">
        <x:v>АЛЛОКАЦИЯ ОБЪЕКТОВ ПО ОЧЕРЕДЯМ</x:v>
      </x:c>
      <x:c r="BJ90" s="282" t="str">
        <x:v>АЛЛОКАЦИЯ ОБЪЕКТОВ ПО ОЧЕРЕДЯМ</x:v>
      </x:c>
      <x:c r="BK90" s="282" t="str">
        <x:v>АЛЛОКАЦИЯ ОБЪЕКТОВ ПО ОЧЕРЕДЯМ</x:v>
      </x:c>
      <x:c r="BL90" s="282" t="str">
        <x:v>АЛЛОКАЦИЯ ОБЪЕКТОВ ПО ОЧЕРЕДЯМ</x:v>
      </x:c>
      <x:c r="BM90" s="282" t="str">
        <x:v>АЛЛОКАЦИЯ ОБЪЕКТОВ ПО ОЧЕРЕДЯМ</x:v>
      </x:c>
      <x:c r="BN90" s="282" t="str">
        <x:v>АЛЛОКАЦИЯ ОБЪЕКТОВ ПО ОЧЕРЕДЯМ</x:v>
      </x:c>
      <x:c r="BO90" s="282" t="str">
        <x:v>АЛЛОКАЦИЯ ОБЪЕКТОВ ПО ОЧЕРЕДЯМ</x:v>
      </x:c>
      <x:c r="BP90" s="282" t="str">
        <x:v>АЛЛОКАЦИЯ ОБЪЕКТОВ ПО ОЧЕРЕДЯМ</x:v>
      </x:c>
      <x:c r="BQ90" s="282" t="str">
        <x:v>АЛЛОКАЦИЯ ОБЪЕКТОВ ПО ОЧЕРЕДЯМ</x:v>
      </x:c>
      <x:c r="BR90" s="282" t="str">
        <x:v>АЛЛОКАЦИЯ ОБЪЕКТОВ ПО ОЧЕРЕДЯМ</x:v>
      </x:c>
      <x:c r="BS90" s="282" t="str">
        <x:v>АЛЛОКАЦИЯ ОБЪЕКТОВ ПО ОЧЕРЕДЯМ</x:v>
      </x:c>
      <x:c r="BT90" s="282" t="str">
        <x:v>АЛЛОКАЦИЯ ОБЪЕКТОВ ПО ОЧЕРЕДЯМ</x:v>
      </x:c>
      <x:c r="BU90" s="282" t="str">
        <x:v>АЛЛОКАЦИЯ ОБЪЕКТОВ ПО ОЧЕРЕДЯМ</x:v>
      </x:c>
      <x:c r="BV90" s="282" t="str">
        <x:v>АЛЛОКАЦИЯ ОБЪЕКТОВ ПО ОЧЕРЕДЯМ</x:v>
      </x:c>
      <x:c r="BW90" s="282" t="str">
        <x:v>АЛЛОКАЦИЯ ОБЪЕКТОВ ПО ОЧЕРЕДЯМ</x:v>
      </x:c>
      <x:c r="BX90" s="282" t="str">
        <x:v>АЛЛОКАЦИЯ ОБЪЕКТОВ ПО ОЧЕРЕДЯМ</x:v>
      </x:c>
      <x:c r="BY90" s="282" t="str">
        <x:v>АЛЛОКАЦИЯ ОБЪЕКТОВ ПО ОЧЕРЕДЯМ</x:v>
      </x:c>
      <x:c r="BZ90" s="282" t="str">
        <x:v>АЛЛОКАЦИЯ ОБЪЕКТОВ ПО ОЧЕРЕДЯМ</x:v>
      </x:c>
      <x:c r="CA90" s="282" t="str">
        <x:v>АЛЛОКАЦИЯ ОБЪЕКТОВ ПО ОЧЕРЕДЯМ</x:v>
      </x:c>
      <x:c r="CB90" s="282" t="str">
        <x:v>АЛЛОКАЦИЯ ОБЪЕКТОВ ПО ОЧЕРЕДЯМ</x:v>
      </x:c>
      <x:c r="CC90" s="282" t="str">
        <x:v>АЛЛОКАЦИЯ ОБЪЕКТОВ ПО ОЧЕРЕДЯМ</x:v>
      </x:c>
      <x:c r="CD90" s="282" t="str">
        <x:v>АЛЛОКАЦИЯ ОБЪЕКТОВ ПО ОЧЕРЕДЯМ</x:v>
      </x:c>
      <x:c r="CE90" s="282" t="str">
        <x:v>АЛЛОКАЦИЯ ОБЪЕКТОВ ПО ОЧЕРЕДЯМ</x:v>
      </x:c>
      <x:c r="CF90" s="282" t="str">
        <x:v>АЛЛОКАЦИЯ ОБЪЕКТОВ ПО ОЧЕРЕДЯМ</x:v>
      </x:c>
      <x:c r="CG90" s="282" t="str">
        <x:v>АЛЛОКАЦИЯ ОБЪЕКТОВ ПО ОЧЕРЕДЯМ</x:v>
      </x:c>
      <x:c r="CH90" s="282" t="str">
        <x:v>АЛЛОКАЦИЯ ОБЪЕКТОВ ПО ОЧЕРЕДЯМ</x:v>
      </x:c>
      <x:c r="CI90" s="282" t="str">
        <x:v>АЛЛОКАЦИЯ ОБЪЕКТОВ ПО ОЧЕРЕДЯМ</x:v>
      </x:c>
      <x:c r="CJ90" s="282" t="str">
        <x:v>АЛЛОКАЦИЯ ОБЪЕКТОВ ПО ОЧЕРЕДЯМ</x:v>
      </x:c>
      <x:c r="CK90" s="282" t="str">
        <x:v>АЛЛОКАЦИЯ ОБЪЕКТОВ ПО ОЧЕРЕДЯМ</x:v>
      </x:c>
      <x:c r="CL90" s="282" t="str">
        <x:v>АЛЛОКАЦИЯ ОБЪЕКТОВ ПО ОЧЕРЕДЯМ</x:v>
      </x:c>
      <x:c r="CM90" s="282" t="str">
        <x:v>АЛЛОКАЦИЯ ОБЪЕКТОВ ПО ОЧЕРЕДЯМ</x:v>
      </x:c>
      <x:c r="CN90" s="282" t="str">
        <x:v>АЛЛОКАЦИЯ ОБЪЕКТОВ ПО ОЧЕРЕДЯМ</x:v>
      </x:c>
      <x:c r="CO90" s="282" t="str">
        <x:v>АЛЛОКАЦИЯ ОБЪЕКТОВ ПО ОЧЕРЕДЯМ</x:v>
      </x:c>
      <x:c r="CP90" s="282" t="str">
        <x:v>АЛЛОКАЦИЯ ОБЪЕКТОВ ПО ОЧЕРЕДЯМ</x:v>
      </x:c>
      <x:c r="CQ90" s="282" t="str">
        <x:v>АЛЛОКАЦИЯ ОБЪЕКТОВ ПО ОЧЕРЕДЯМ</x:v>
      </x:c>
      <x:c r="CR90" s="282" t="str">
        <x:v>АЛЛОКАЦИЯ ОБЪЕКТОВ ПО ОЧЕРЕДЯМ</x:v>
      </x:c>
      <x:c r="CS90" s="282" t="str">
        <x:v>АЛЛОКАЦИЯ ОБЪЕКТОВ ПО ОЧЕРЕДЯМ</x:v>
      </x:c>
      <x:c r="CT90" s="282" t="str">
        <x:v>АЛЛОКАЦИЯ ОБЪЕКТОВ ПО ОЧЕРЕДЯМ</x:v>
      </x:c>
      <x:c r="CU90" s="282" t="str">
        <x:v>АЛЛОКАЦИЯ ОБЪЕКТОВ ПО ОЧЕРЕДЯМ</x:v>
      </x:c>
      <x:c r="CV90" s="282" t="str">
        <x:v>АЛЛОКАЦИЯ ОБЪЕКТОВ ПО ОЧЕРЕДЯМ</x:v>
      </x:c>
      <x:c r="CW90" s="282" t="str">
        <x:v>АЛЛОКАЦИЯ ОБЪЕКТОВ ПО ОЧЕРЕДЯМ</x:v>
      </x:c>
      <x:c r="CX90" s="282" t="str">
        <x:v>АЛЛОКАЦИЯ ОБЪЕКТОВ ПО ОЧЕРЕДЯМ</x:v>
      </x:c>
      <x:c r="CY90" s="282" t="str">
        <x:v>АЛЛОКАЦИЯ ОБЪЕКТОВ ПО ОЧЕРЕДЯМ</x:v>
      </x:c>
      <x:c r="CZ90" s="282" t="str">
        <x:v>АЛЛОКАЦИЯ ОБЪЕКТОВ ПО ОЧЕРЕДЯМ</x:v>
      </x:c>
      <x:c r="DA90" s="282" t="str">
        <x:v>АЛЛОКАЦИЯ ОБЪЕКТОВ ПО ОЧЕРЕДЯМ</x:v>
      </x:c>
      <x:c r="DB90" s="282" t="str">
        <x:v>АЛЛОКАЦИЯ ОБЪЕКТОВ ПО ОЧЕРЕДЯМ</x:v>
      </x:c>
      <x:c r="DC90" s="282" t="str">
        <x:v>АЛЛОКАЦИЯ ОБЪЕКТОВ ПО ОЧЕРЕДЯМ</x:v>
      </x:c>
      <x:c r="DD90" s="282" t="str">
        <x:v>АЛЛОКАЦИЯ ОБЪЕКТОВ ПО ОЧЕРЕДЯМ</x:v>
      </x:c>
      <x:c r="DE90" s="282" t="str">
        <x:v>АЛЛОКАЦИЯ ОБЪЕКТОВ ПО ОЧЕРЕДЯМ</x:v>
      </x:c>
      <x:c r="DF90" s="282" t="str">
        <x:v>АЛЛОКАЦИЯ ОБЪЕКТОВ ПО ОЧЕРЕДЯМ</x:v>
      </x:c>
      <x:c r="DG90" s="282" t="str">
        <x:v>АЛЛОКАЦИЯ ОБЪЕКТОВ ПО ОЧЕРЕДЯМ</x:v>
      </x:c>
      <x:c r="DH90" s="282" t="str">
        <x:v>АЛЛОКАЦИЯ ОБЪЕКТОВ ПО ОЧЕРЕДЯМ</x:v>
      </x:c>
      <x:c r="DI90" s="282" t="str">
        <x:v>АЛЛОКАЦИЯ ОБЪЕКТОВ ПО ОЧЕРЕДЯМ</x:v>
      </x:c>
      <x:c r="DJ90" s="282" t="str">
        <x:v>АЛЛОКАЦИЯ ОБЪЕКТОВ ПО ОЧЕРЕДЯМ</x:v>
      </x:c>
      <x:c r="DK90" s="282" t="str">
        <x:v>АЛЛОКАЦИЯ ОБЪЕКТОВ ПО ОЧЕРЕДЯМ</x:v>
      </x:c>
      <x:c r="DL90" s="282" t="str">
        <x:v>АЛЛОКАЦИЯ ОБЪЕКТОВ ПО ОЧЕРЕДЯМ</x:v>
      </x:c>
      <x:c r="DM90" s="282" t="str">
        <x:v>АЛЛОКАЦИЯ ОБЪЕКТОВ ПО ОЧЕРЕДЯМ</x:v>
      </x:c>
      <x:c r="DN90" s="282" t="str">
        <x:v>АЛЛОКАЦИЯ ОБЪЕКТОВ ПО ОЧЕРЕДЯМ</x:v>
      </x:c>
      <x:c r="DO90" s="282" t="str">
        <x:v>АЛЛОКАЦИЯ ОБЪЕКТОВ ПО ОЧЕРЕДЯМ</x:v>
      </x:c>
      <x:c r="DP90" s="282" t="str">
        <x:v>АЛЛОКАЦИЯ ОБЪЕКТОВ ПО ОЧЕРЕДЯМ</x:v>
      </x:c>
      <x:c r="DQ90" s="282" t="str">
        <x:v>АЛЛОКАЦИЯ ОБЪЕКТОВ ПО ОЧЕРЕДЯМ</x:v>
      </x:c>
      <x:c r="DR90" s="282" t="str">
        <x:v>АЛЛОКАЦИЯ ОБЪЕКТОВ ПО ОЧЕРЕДЯМ</x:v>
      </x:c>
      <x:c r="DS90" s="283" t="str">
        <x:v>АЛЛОКАЦИЯ ОБЪЕКТОВ ПО ОЧЕРЕДЯМ</x:v>
      </x:c>
      <x:c r="DT90" s="283" t="str"/>
      <x:c r="DU90" s="283" t="str"/>
      <x:c r="DV90" s="283" t="str"/>
      <x:c r="DW90" s="283" t="str"/>
      <x:c r="DX90" s="283" t="str"/>
      <x:c r="DY90" s="283" t="str"/>
      <x:c r="DZ90" s="283" t="str"/>
      <x:c r="EA90" s="283" t="str"/>
      <x:c r="EB90" s="283" t="str"/>
      <x:c r="EC90" s="283" t="str"/>
      <x:c r="ED90" s="283" t="str"/>
      <x:c r="EE90" s="283" t="str"/>
      <x:c r="EF90" s="283" t="str"/>
      <x:c r="EG90" s="283" t="str"/>
      <x:c r="EH90" s="283" t="str"/>
      <x:c r="EI90" s="283" t="str"/>
      <x:c r="EJ90" s="283" t="str"/>
      <x:c r="EK90" s="283" t="str"/>
      <x:c r="EL90" s="283" t="str"/>
      <x:c r="EM90" s="283" t="str"/>
      <x:c r="EN90" s="283" t="str"/>
      <x:c r="EO90" s="283" t="str"/>
      <x:c r="EP90" s="283" t="str"/>
      <x:c r="EQ90" s="283" t="str"/>
      <x:c r="ER90" s="283" t="str"/>
      <x:c r="ES90" s="283" t="str"/>
      <x:c r="ET90" s="283" t="str"/>
      <x:c r="EU90" s="283" t="str"/>
      <x:c r="EV90" s="283" t="str"/>
      <x:c r="EW90" s="283" t="str"/>
      <x:c r="EX90" s="283" t="str"/>
      <x:c r="EY90" s="283" t="str"/>
      <x:c r="EZ90" s="283" t="str"/>
      <x:c r="FA90" s="283" t="str"/>
      <x:c r="FB90" s="283" t="str"/>
      <x:c r="FC90" s="283" t="str"/>
      <x:c r="FD90" s="283" t="str"/>
      <x:c r="FE90" s="283" t="str"/>
      <x:c r="FF90" s="283" t="str"/>
      <x:c r="FG90" s="283" t="str"/>
      <x:c r="FH90" s="283" t="str"/>
      <x:c r="FI90" s="283" t="str"/>
      <x:c r="FJ90" s="283" t="str"/>
      <x:c r="FK90" s="283" t="str"/>
      <x:c r="FL90" s="283" t="str"/>
      <x:c r="FM90" s="283" t="str"/>
      <x:c r="FN90" s="283" t="str"/>
      <x:c r="FO90" s="283" t="str"/>
      <x:c r="FP90" s="283" t="str"/>
      <x:c r="FQ90" s="283" t="str"/>
      <x:c r="FR90" s="283" t="str"/>
      <x:c r="FS90" s="283" t="str"/>
      <x:c r="FT90" s="283" t="str"/>
      <x:c r="FU90" s="283" t="str"/>
      <x:c r="FV90" s="283" t="str"/>
      <x:c r="FW90" s="283" t="str"/>
      <x:c r="FX90" s="283" t="str"/>
      <x:c r="FY90" s="283" t="str"/>
      <x:c r="FZ90" s="283" t="str"/>
      <x:c r="GA90" s="283" t="str"/>
    </x:row>
    <x:row r="91">
      <x:c r="A91" s="289" t="str">
        <x:v>Показатель</x:v>
      </x:c>
      <x:c r="B91" s="289" t="str">
        <x:v>Итого</x:v>
      </x:c>
      <x:c r="C91" s="289" t="str">
        <x:v>Ед.</x:v>
      </x:c>
      <x:c r="D91" s="350" t="n">
        <x:f>'Ставки'!D$3</x:f>
      </x:c>
      <x:c r="E91" s="350" t="n">
        <x:f>'Ставки'!E$3</x:f>
      </x:c>
      <x:c r="F91" s="350" t="n">
        <x:f>'Ставки'!F$3</x:f>
      </x:c>
      <x:c r="G91" s="350" t="n">
        <x:f>'Ставки'!G$3</x:f>
      </x:c>
      <x:c r="H91" s="350" t="n">
        <x:f>'Ставки'!H$3</x:f>
      </x:c>
      <x:c r="I91" s="350" t="n">
        <x:f>'Ставки'!I$3</x:f>
      </x:c>
      <x:c r="J91" s="350" t="n">
        <x:f>'Ставки'!J$3</x:f>
      </x:c>
      <x:c r="K91" s="350" t="n">
        <x:f>'Ставки'!K$3</x:f>
      </x:c>
      <x:c r="L91" s="350" t="n">
        <x:f>'Ставки'!L$3</x:f>
      </x:c>
      <x:c r="M91" s="350" t="n">
        <x:f>'Ставки'!M$3</x:f>
      </x:c>
      <x:c r="N91" s="350" t="n">
        <x:f>'Ставки'!N$3</x:f>
      </x:c>
      <x:c r="O91" s="350" t="n">
        <x:f>'Ставки'!O$3</x:f>
      </x:c>
      <x:c r="P91" s="350" t="n">
        <x:f>'Ставки'!P$3</x:f>
      </x:c>
      <x:c r="Q91" s="350" t="n">
        <x:f>'Ставки'!Q$3</x:f>
      </x:c>
      <x:c r="R91" s="350" t="n">
        <x:f>'Ставки'!R$3</x:f>
      </x:c>
      <x:c r="S91" s="350" t="n">
        <x:f>'Ставки'!S$3</x:f>
      </x:c>
      <x:c r="T91" s="350" t="n">
        <x:f>'Ставки'!T$3</x:f>
      </x:c>
      <x:c r="U91" s="350" t="n">
        <x:f>'Ставки'!U$3</x:f>
      </x:c>
      <x:c r="V91" s="350" t="n">
        <x:f>'Ставки'!V$3</x:f>
      </x:c>
      <x:c r="W91" s="350" t="n">
        <x:f>'Ставки'!W$3</x:f>
      </x:c>
      <x:c r="X91" s="350" t="n">
        <x:f>'Ставки'!X$3</x:f>
      </x:c>
      <x:c r="Y91" s="350" t="n">
        <x:f>'Ставки'!Y$3</x:f>
      </x:c>
      <x:c r="Z91" s="350" t="n">
        <x:f>'Ставки'!Z$3</x:f>
      </x:c>
      <x:c r="AA91" s="350" t="n">
        <x:f>'Ставки'!AA$3</x:f>
      </x:c>
      <x:c r="AB91" s="350" t="n">
        <x:f>'Ставки'!AB$3</x:f>
      </x:c>
      <x:c r="AC91" s="350" t="n">
        <x:f>'Ставки'!AC$3</x:f>
      </x:c>
      <x:c r="AD91" s="350" t="n">
        <x:f>'Ставки'!AD$3</x:f>
      </x:c>
      <x:c r="AE91" s="350" t="n">
        <x:f>'Ставки'!AE$3</x:f>
      </x:c>
      <x:c r="AF91" s="350" t="n">
        <x:f>'Ставки'!AF$3</x:f>
      </x:c>
      <x:c r="AG91" s="350" t="n">
        <x:f>'Ставки'!AG$3</x:f>
      </x:c>
      <x:c r="AH91" s="350" t="n">
        <x:f>'Ставки'!AH$3</x:f>
      </x:c>
      <x:c r="AI91" s="350" t="n">
        <x:f>'Ставки'!AI$3</x:f>
      </x:c>
      <x:c r="AJ91" s="350" t="n">
        <x:f>'Ставки'!AJ$3</x:f>
      </x:c>
      <x:c r="AK91" s="350" t="n">
        <x:f>'Ставки'!AK$3</x:f>
      </x:c>
      <x:c r="AL91" s="350" t="n">
        <x:f>'Ставки'!AL$3</x:f>
      </x:c>
      <x:c r="AM91" s="350" t="n">
        <x:f>'Ставки'!AM$3</x:f>
      </x:c>
      <x:c r="AN91" s="350" t="n">
        <x:f>'Ставки'!AN$3</x:f>
      </x:c>
      <x:c r="AO91" s="350" t="n">
        <x:f>'Ставки'!AO$3</x:f>
      </x:c>
      <x:c r="AP91" s="350" t="n">
        <x:f>'Ставки'!AP$3</x:f>
      </x:c>
      <x:c r="AQ91" s="350" t="n">
        <x:f>'Ставки'!AQ$3</x:f>
      </x:c>
      <x:c r="AR91" s="350" t="n">
        <x:f>'Ставки'!AR$3</x:f>
      </x:c>
      <x:c r="AS91" s="350" t="n">
        <x:f>'Ставки'!AS$3</x:f>
      </x:c>
      <x:c r="AT91" s="350" t="n">
        <x:f>'Ставки'!AT$3</x:f>
      </x:c>
      <x:c r="AU91" s="350" t="n">
        <x:f>'Ставки'!AU$3</x:f>
      </x:c>
      <x:c r="AV91" s="350" t="n">
        <x:f>'Ставки'!AV$3</x:f>
      </x:c>
      <x:c r="AW91" s="350" t="n">
        <x:f>'Ставки'!AW$3</x:f>
      </x:c>
      <x:c r="AX91" s="350" t="n">
        <x:f>'Ставки'!AX$3</x:f>
      </x:c>
      <x:c r="AY91" s="350" t="n">
        <x:f>'Ставки'!AY$3</x:f>
      </x:c>
      <x:c r="AZ91" s="350" t="n">
        <x:f>'Ставки'!AZ$3</x:f>
      </x:c>
      <x:c r="BA91" s="350" t="n">
        <x:f>'Ставки'!BA$3</x:f>
      </x:c>
      <x:c r="BB91" s="350" t="n">
        <x:f>'Ставки'!BB$3</x:f>
      </x:c>
      <x:c r="BC91" s="350" t="n">
        <x:f>'Ставки'!BC$3</x:f>
      </x:c>
      <x:c r="BD91" s="350" t="n">
        <x:f>'Ставки'!BD$3</x:f>
      </x:c>
      <x:c r="BE91" s="350" t="n">
        <x:f>'Ставки'!BE$3</x:f>
      </x:c>
      <x:c r="BF91" s="350" t="n">
        <x:f>'Ставки'!BF$3</x:f>
      </x:c>
      <x:c r="BG91" s="350" t="n">
        <x:f>'Ставки'!BG$3</x:f>
      </x:c>
      <x:c r="BH91" s="350" t="n">
        <x:f>'Ставки'!BH$3</x:f>
      </x:c>
      <x:c r="BI91" s="350" t="n">
        <x:f>'Ставки'!BI$3</x:f>
      </x:c>
      <x:c r="BJ91" s="350" t="n">
        <x:f>'Ставки'!BJ$3</x:f>
      </x:c>
      <x:c r="BK91" s="350" t="n">
        <x:f>'Ставки'!BK$3</x:f>
      </x:c>
      <x:c r="BL91" s="350" t="n">
        <x:f>'Ставки'!BL$3</x:f>
      </x:c>
      <x:c r="BM91" s="350" t="n">
        <x:f>'Ставки'!BM$3</x:f>
      </x:c>
      <x:c r="BN91" s="350" t="n">
        <x:f>'Ставки'!BN$3</x:f>
      </x:c>
      <x:c r="BO91" s="350" t="n">
        <x:f>'Ставки'!BO$3</x:f>
      </x:c>
      <x:c r="BP91" s="350" t="n">
        <x:f>'Ставки'!BP$3</x:f>
      </x:c>
      <x:c r="BQ91" s="350" t="n">
        <x:f>'Ставки'!BQ$3</x:f>
      </x:c>
      <x:c r="BR91" s="350" t="n">
        <x:f>'Ставки'!BR$3</x:f>
      </x:c>
      <x:c r="BS91" s="350" t="n">
        <x:f>'Ставки'!BS$3</x:f>
      </x:c>
      <x:c r="BT91" s="350" t="n">
        <x:f>'Ставки'!BT$3</x:f>
      </x:c>
      <x:c r="BU91" s="350" t="n">
        <x:f>'Ставки'!BU$3</x:f>
      </x:c>
      <x:c r="BV91" s="350" t="n">
        <x:f>'Ставки'!BV$3</x:f>
      </x:c>
      <x:c r="BW91" s="350" t="n">
        <x:f>'Ставки'!BW$3</x:f>
      </x:c>
      <x:c r="BX91" s="350" t="n">
        <x:f>'Ставки'!BX$3</x:f>
      </x:c>
      <x:c r="BY91" s="350" t="n">
        <x:f>'Ставки'!BY$3</x:f>
      </x:c>
      <x:c r="BZ91" s="350" t="n">
        <x:f>'Ставки'!BZ$3</x:f>
      </x:c>
      <x:c r="CA91" s="350" t="n">
        <x:f>'Ставки'!CA$3</x:f>
      </x:c>
      <x:c r="CB91" s="350" t="n">
        <x:f>'Ставки'!CB$3</x:f>
      </x:c>
      <x:c r="CC91" s="350" t="n">
        <x:f>'Ставки'!CC$3</x:f>
      </x:c>
      <x:c r="CD91" s="350" t="n">
        <x:f>'Ставки'!CD$3</x:f>
      </x:c>
      <x:c r="CE91" s="350" t="n">
        <x:f>'Ставки'!CE$3</x:f>
      </x:c>
      <x:c r="CF91" s="350" t="n">
        <x:f>'Ставки'!CF$3</x:f>
      </x:c>
      <x:c r="CG91" s="350" t="n">
        <x:f>'Ставки'!CG$3</x:f>
      </x:c>
      <x:c r="CH91" s="350" t="n">
        <x:f>'Ставки'!CH$3</x:f>
      </x:c>
      <x:c r="CI91" s="350" t="n">
        <x:f>'Ставки'!CI$3</x:f>
      </x:c>
      <x:c r="CJ91" s="350" t="n">
        <x:f>'Ставки'!CJ$3</x:f>
      </x:c>
      <x:c r="CK91" s="350" t="n">
        <x:f>'Ставки'!CK$3</x:f>
      </x:c>
      <x:c r="CL91" s="350" t="n">
        <x:f>'Ставки'!CL$3</x:f>
      </x:c>
      <x:c r="CM91" s="350" t="n">
        <x:f>'Ставки'!CM$3</x:f>
      </x:c>
      <x:c r="CN91" s="350" t="n">
        <x:f>'Ставки'!CN$3</x:f>
      </x:c>
      <x:c r="CO91" s="350" t="n">
        <x:f>'Ставки'!CO$3</x:f>
      </x:c>
      <x:c r="CP91" s="350" t="n">
        <x:f>'Ставки'!CP$3</x:f>
      </x:c>
      <x:c r="CQ91" s="350" t="n">
        <x:f>'Ставки'!CQ$3</x:f>
      </x:c>
      <x:c r="CR91" s="350" t="n">
        <x:f>'Ставки'!CR$3</x:f>
      </x:c>
      <x:c r="CS91" s="350" t="n">
        <x:f>'Ставки'!CS$3</x:f>
      </x:c>
      <x:c r="CT91" s="350" t="n">
        <x:f>'Ставки'!CT$3</x:f>
      </x:c>
      <x:c r="CU91" s="350" t="n">
        <x:f>'Ставки'!CU$3</x:f>
      </x:c>
      <x:c r="CV91" s="350" t="n">
        <x:f>'Ставки'!CV$3</x:f>
      </x:c>
      <x:c r="CW91" s="350" t="n">
        <x:f>'Ставки'!CW$3</x:f>
      </x:c>
      <x:c r="CX91" s="350" t="n">
        <x:f>'Ставки'!CX$3</x:f>
      </x:c>
      <x:c r="CY91" s="350" t="n">
        <x:f>'Ставки'!CY$3</x:f>
      </x:c>
      <x:c r="CZ91" s="350" t="n">
        <x:f>'Ставки'!CZ$3</x:f>
      </x:c>
      <x:c r="DA91" s="350" t="n">
        <x:f>'Ставки'!DA$3</x:f>
      </x:c>
      <x:c r="DB91" s="350" t="n">
        <x:f>'Ставки'!DB$3</x:f>
      </x:c>
      <x:c r="DC91" s="350" t="n">
        <x:f>'Ставки'!DC$3</x:f>
      </x:c>
      <x:c r="DD91" s="350" t="n">
        <x:f>'Ставки'!DD$3</x:f>
      </x:c>
      <x:c r="DE91" s="350" t="n">
        <x:f>'Ставки'!DE$3</x:f>
      </x:c>
      <x:c r="DF91" s="350" t="n">
        <x:f>'Ставки'!DF$3</x:f>
      </x:c>
      <x:c r="DG91" s="350" t="n">
        <x:f>'Ставки'!DG$3</x:f>
      </x:c>
      <x:c r="DH91" s="350" t="n">
        <x:f>'Ставки'!DH$3</x:f>
      </x:c>
      <x:c r="DI91" s="350" t="n">
        <x:f>'Ставки'!DI$3</x:f>
      </x:c>
      <x:c r="DJ91" s="350" t="n">
        <x:f>'Ставки'!DJ$3</x:f>
      </x:c>
      <x:c r="DK91" s="350" t="n">
        <x:f>'Ставки'!DK$3</x:f>
      </x:c>
      <x:c r="DL91" s="350" t="n">
        <x:f>'Ставки'!DL$3</x:f>
      </x:c>
      <x:c r="DM91" s="350" t="n">
        <x:f>'Ставки'!DM$3</x:f>
      </x:c>
      <x:c r="DN91" s="350" t="n">
        <x:f>'Ставки'!DN$3</x:f>
      </x:c>
      <x:c r="DO91" s="350" t="n">
        <x:f>'Ставки'!DO$3</x:f>
      </x:c>
      <x:c r="DP91" s="350" t="n">
        <x:f>'Ставки'!DP$3</x:f>
      </x:c>
      <x:c r="DQ91" s="350" t="n">
        <x:f>'Ставки'!DQ$3</x:f>
      </x:c>
      <x:c r="DR91" s="350" t="n">
        <x:f>'Ставки'!DR$3</x:f>
      </x:c>
      <x:c r="DS91" s="350" t="n">
        <x:f>'Ставки'!DS$3</x:f>
      </x:c>
      <x:c r="DT91" s="350" t="n">
        <x:f>'Ставки'!DT$3</x:f>
      </x:c>
      <x:c r="DU91" s="350" t="n">
        <x:f>'Ставки'!DU$3</x:f>
      </x:c>
      <x:c r="DV91" s="350" t="n">
        <x:f>'Ставки'!DV$3</x:f>
      </x:c>
      <x:c r="DW91" s="350" t="n">
        <x:f>'Ставки'!DW$3</x:f>
      </x:c>
      <x:c r="DX91" s="350" t="n">
        <x:f>'Ставки'!DX$3</x:f>
      </x:c>
      <x:c r="DY91" s="350" t="n">
        <x:f>'Ставки'!DY$3</x:f>
      </x:c>
      <x:c r="DZ91" s="350" t="n">
        <x:f>'Ставки'!DZ$3</x:f>
      </x:c>
      <x:c r="EA91" s="350" t="n">
        <x:f>'Ставки'!EA$3</x:f>
      </x:c>
      <x:c r="EB91" s="350" t="n">
        <x:f>'Ставки'!EB$3</x:f>
      </x:c>
      <x:c r="EC91" s="350" t="n">
        <x:f>'Ставки'!EC$3</x:f>
      </x:c>
      <x:c r="ED91" s="350" t="n">
        <x:f>'Ставки'!ED$3</x:f>
      </x:c>
      <x:c r="EE91" s="350" t="n">
        <x:f>'Ставки'!EE$3</x:f>
      </x:c>
      <x:c r="EF91" s="350" t="n">
        <x:f>'Ставки'!EF$3</x:f>
      </x:c>
      <x:c r="EG91" s="350" t="n">
        <x:f>'Ставки'!EG$3</x:f>
      </x:c>
      <x:c r="EH91" s="350" t="n">
        <x:f>'Ставки'!EH$3</x:f>
      </x:c>
      <x:c r="EI91" s="350" t="n">
        <x:f>'Ставки'!EI$3</x:f>
      </x:c>
      <x:c r="EJ91" s="350" t="n">
        <x:f>'Ставки'!EJ$3</x:f>
      </x:c>
      <x:c r="EK91" s="350" t="n">
        <x:f>'Ставки'!EK$3</x:f>
      </x:c>
      <x:c r="EL91" s="350" t="n">
        <x:f>'Ставки'!EL$3</x:f>
      </x:c>
      <x:c r="EM91" s="350" t="n">
        <x:f>'Ставки'!EM$3</x:f>
      </x:c>
      <x:c r="EN91" s="350" t="n">
        <x:f>'Ставки'!EN$3</x:f>
      </x:c>
      <x:c r="EO91" s="350" t="n">
        <x:f>'Ставки'!EO$3</x:f>
      </x:c>
      <x:c r="EP91" s="350" t="n">
        <x:f>'Ставки'!EP$3</x:f>
      </x:c>
      <x:c r="EQ91" s="350" t="n">
        <x:f>'Ставки'!EQ$3</x:f>
      </x:c>
      <x:c r="ER91" s="350" t="n">
        <x:f>'Ставки'!ER$3</x:f>
      </x:c>
      <x:c r="ES91" s="350" t="n">
        <x:f>'Ставки'!ES$3</x:f>
      </x:c>
      <x:c r="ET91" s="350" t="n">
        <x:f>'Ставки'!ET$3</x:f>
      </x:c>
      <x:c r="EU91" s="350" t="n">
        <x:f>'Ставки'!EU$3</x:f>
      </x:c>
      <x:c r="EV91" s="350" t="n">
        <x:f>'Ставки'!EV$3</x:f>
      </x:c>
      <x:c r="EW91" s="350" t="n">
        <x:f>'Ставки'!EW$3</x:f>
      </x:c>
      <x:c r="EX91" s="350" t="n">
        <x:f>'Ставки'!EX$3</x:f>
      </x:c>
      <x:c r="EY91" s="350" t="n">
        <x:f>'Ставки'!EY$3</x:f>
      </x:c>
      <x:c r="EZ91" s="350" t="n">
        <x:f>'Ставки'!EZ$3</x:f>
      </x:c>
      <x:c r="FA91" s="350" t="n">
        <x:f>'Ставки'!FA$3</x:f>
      </x:c>
      <x:c r="FB91" s="350" t="n">
        <x:f>'Ставки'!FB$3</x:f>
      </x:c>
      <x:c r="FC91" s="350" t="n">
        <x:f>'Ставки'!FC$3</x:f>
      </x:c>
      <x:c r="FD91" s="350" t="n">
        <x:f>'Ставки'!FD$3</x:f>
      </x:c>
      <x:c r="FE91" s="350" t="n">
        <x:f>'Ставки'!FE$3</x:f>
      </x:c>
      <x:c r="FF91" s="350" t="n">
        <x:f>'Ставки'!FF$3</x:f>
      </x:c>
      <x:c r="FG91" s="350" t="n">
        <x:f>'Ставки'!FG$3</x:f>
      </x:c>
      <x:c r="FH91" s="350" t="n">
        <x:f>'Ставки'!FH$3</x:f>
      </x:c>
      <x:c r="FI91" s="350" t="n">
        <x:f>'Ставки'!FI$3</x:f>
      </x:c>
      <x:c r="FJ91" s="350" t="n">
        <x:f>'Ставки'!FJ$3</x:f>
      </x:c>
      <x:c r="FK91" s="350" t="n">
        <x:f>'Ставки'!FK$3</x:f>
      </x:c>
      <x:c r="FL91" s="350" t="n">
        <x:f>'Ставки'!FL$3</x:f>
      </x:c>
      <x:c r="FM91" s="350" t="n">
        <x:f>'Ставки'!FM$3</x:f>
      </x:c>
      <x:c r="FN91" s="350" t="n">
        <x:f>'Ставки'!FN$3</x:f>
      </x:c>
      <x:c r="FO91" s="350" t="n">
        <x:f>'Ставки'!FO$3</x:f>
      </x:c>
      <x:c r="FP91" s="350" t="n">
        <x:f>'Ставки'!FP$3</x:f>
      </x:c>
      <x:c r="FQ91" s="350" t="n">
        <x:f>'Ставки'!FQ$3</x:f>
      </x:c>
      <x:c r="FR91" s="350" t="n">
        <x:f>'Ставки'!FR$3</x:f>
      </x:c>
      <x:c r="FS91" s="350" t="n">
        <x:f>'Ставки'!FS$3</x:f>
      </x:c>
      <x:c r="FT91" s="350" t="n">
        <x:f>'Ставки'!FT$3</x:f>
      </x:c>
      <x:c r="FU91" s="350" t="n">
        <x:f>'Ставки'!FU$3</x:f>
      </x:c>
      <x:c r="FV91" s="350" t="n">
        <x:f>'Ставки'!FV$3</x:f>
      </x:c>
      <x:c r="FW91" s="350" t="n">
        <x:f>'Ставки'!FW$3</x:f>
      </x:c>
      <x:c r="FX91" s="350" t="n">
        <x:f>'Ставки'!FX$3</x:f>
      </x:c>
      <x:c r="FY91" s="350" t="n">
        <x:f>'Ставки'!FY$3</x:f>
      </x:c>
      <x:c r="FZ91" s="350" t="n">
        <x:f>'Ставки'!FZ$3</x:f>
      </x:c>
      <x:c r="GA91" s="350" t="n">
        <x:f>'Ставки'!GA$3</x:f>
      </x:c>
    </x:row>
    <x:row r="92">
      <x:c r="A92" t="str">
        <x:v>Очередь 1 — Выручка объектов</x:v>
      </x:c>
      <x:c r="B92" s="107" t="n">
        <x:f>SUM(D92:GA92)</x:f>
      </x:c>
      <x:c r="C92" t="str">
        <x:v>млн ₽</x:v>
      </x:c>
      <x:c r="D92" s="107" t="n">
        <x:f>SUM(IF($B$8=1,D24,0),IF($B$36=1,D52,0),IF($B$64=1,D80,0))</x:f>
      </x:c>
      <x:c r="E92" s="107" t="n">
        <x:f>SUM(IF($B$8=1,E24,0),IF($B$36=1,E52,0),IF($B$64=1,E80,0))</x:f>
      </x:c>
      <x:c r="F92" s="107" t="n">
        <x:f>SUM(IF($B$8=1,F24,0),IF($B$36=1,F52,0),IF($B$64=1,F80,0))</x:f>
      </x:c>
      <x:c r="G92" s="107" t="n">
        <x:f>SUM(IF($B$8=1,G24,0),IF($B$36=1,G52,0),IF($B$64=1,G80,0))</x:f>
      </x:c>
      <x:c r="H92" s="107" t="n">
        <x:f>SUM(IF($B$8=1,H24,0),IF($B$36=1,H52,0),IF($B$64=1,H80,0))</x:f>
      </x:c>
      <x:c r="I92" s="107" t="n">
        <x:f>SUM(IF($B$8=1,I24,0),IF($B$36=1,I52,0),IF($B$64=1,I80,0))</x:f>
      </x:c>
      <x:c r="J92" s="107" t="n">
        <x:f>SUM(IF($B$8=1,J24,0),IF($B$36=1,J52,0),IF($B$64=1,J80,0))</x:f>
      </x:c>
      <x:c r="K92" s="107" t="n">
        <x:f>SUM(IF($B$8=1,K24,0),IF($B$36=1,K52,0),IF($B$64=1,K80,0))</x:f>
      </x:c>
      <x:c r="L92" s="107" t="n">
        <x:f>SUM(IF($B$8=1,L24,0),IF($B$36=1,L52,0),IF($B$64=1,L80,0))</x:f>
      </x:c>
      <x:c r="M92" s="107" t="n">
        <x:f>SUM(IF($B$8=1,M24,0),IF($B$36=1,M52,0),IF($B$64=1,M80,0))</x:f>
      </x:c>
      <x:c r="N92" s="107" t="n">
        <x:f>SUM(IF($B$8=1,N24,0),IF($B$36=1,N52,0),IF($B$64=1,N80,0))</x:f>
      </x:c>
      <x:c r="O92" s="107" t="n">
        <x:f>SUM(IF($B$8=1,O24,0),IF($B$36=1,O52,0),IF($B$64=1,O80,0))</x:f>
      </x:c>
      <x:c r="P92" s="107" t="n">
        <x:f>SUM(IF($B$8=1,P24,0),IF($B$36=1,P52,0),IF($B$64=1,P80,0))</x:f>
      </x:c>
      <x:c r="Q92" s="107" t="n">
        <x:f>SUM(IF($B$8=1,Q24,0),IF($B$36=1,Q52,0),IF($B$64=1,Q80,0))</x:f>
      </x:c>
      <x:c r="R92" s="107" t="n">
        <x:f>SUM(IF($B$8=1,R24,0),IF($B$36=1,R52,0),IF($B$64=1,R80,0))</x:f>
      </x:c>
      <x:c r="S92" s="107" t="n">
        <x:f>SUM(IF($B$8=1,S24,0),IF($B$36=1,S52,0),IF($B$64=1,S80,0))</x:f>
      </x:c>
      <x:c r="T92" s="107" t="n">
        <x:f>SUM(IF($B$8=1,T24,0),IF($B$36=1,T52,0),IF($B$64=1,T80,0))</x:f>
      </x:c>
      <x:c r="U92" s="107" t="n">
        <x:f>SUM(IF($B$8=1,U24,0),IF($B$36=1,U52,0),IF($B$64=1,U80,0))</x:f>
      </x:c>
      <x:c r="V92" s="107" t="n">
        <x:f>SUM(IF($B$8=1,V24,0),IF($B$36=1,V52,0),IF($B$64=1,V80,0))</x:f>
      </x:c>
      <x:c r="W92" s="107" t="n">
        <x:f>SUM(IF($B$8=1,W24,0),IF($B$36=1,W52,0),IF($B$64=1,W80,0))</x:f>
      </x:c>
      <x:c r="X92" s="107" t="n">
        <x:f>SUM(IF($B$8=1,X24,0),IF($B$36=1,X52,0),IF($B$64=1,X80,0))</x:f>
      </x:c>
      <x:c r="Y92" s="107" t="n">
        <x:f>SUM(IF($B$8=1,Y24,0),IF($B$36=1,Y52,0),IF($B$64=1,Y80,0))</x:f>
      </x:c>
      <x:c r="Z92" s="107" t="n">
        <x:f>SUM(IF($B$8=1,Z24,0),IF($B$36=1,Z52,0),IF($B$64=1,Z80,0))</x:f>
      </x:c>
      <x:c r="AA92" s="107" t="n">
        <x:f>SUM(IF($B$8=1,AA24,0),IF($B$36=1,AA52,0),IF($B$64=1,AA80,0))</x:f>
      </x:c>
      <x:c r="AB92" s="107" t="n">
        <x:f>SUM(IF($B$8=1,AB24,0),IF($B$36=1,AB52,0),IF($B$64=1,AB80,0))</x:f>
      </x:c>
      <x:c r="AC92" s="107" t="n">
        <x:f>SUM(IF($B$8=1,AC24,0),IF($B$36=1,AC52,0),IF($B$64=1,AC80,0))</x:f>
      </x:c>
      <x:c r="AD92" s="107" t="n">
        <x:f>SUM(IF($B$8=1,AD24,0),IF($B$36=1,AD52,0),IF($B$64=1,AD80,0))</x:f>
      </x:c>
      <x:c r="AE92" s="107" t="n">
        <x:f>SUM(IF($B$8=1,AE24,0),IF($B$36=1,AE52,0),IF($B$64=1,AE80,0))</x:f>
      </x:c>
      <x:c r="AF92" s="107" t="n">
        <x:f>SUM(IF($B$8=1,AF24,0),IF($B$36=1,AF52,0),IF($B$64=1,AF80,0))</x:f>
      </x:c>
      <x:c r="AG92" s="107" t="n">
        <x:f>SUM(IF($B$8=1,AG24,0),IF($B$36=1,AG52,0),IF($B$64=1,AG80,0))</x:f>
      </x:c>
      <x:c r="AH92" s="107" t="n">
        <x:f>SUM(IF($B$8=1,AH24,0),IF($B$36=1,AH52,0),IF($B$64=1,AH80,0))</x:f>
      </x:c>
      <x:c r="AI92" s="107" t="n">
        <x:f>SUM(IF($B$8=1,AI24,0),IF($B$36=1,AI52,0),IF($B$64=1,AI80,0))</x:f>
      </x:c>
      <x:c r="AJ92" s="107" t="n">
        <x:f>SUM(IF($B$8=1,AJ24,0),IF($B$36=1,AJ52,0),IF($B$64=1,AJ80,0))</x:f>
      </x:c>
      <x:c r="AK92" s="107" t="n">
        <x:f>SUM(IF($B$8=1,AK24,0),IF($B$36=1,AK52,0),IF($B$64=1,AK80,0))</x:f>
      </x:c>
      <x:c r="AL92" s="107" t="n">
        <x:f>SUM(IF($B$8=1,AL24,0),IF($B$36=1,AL52,0),IF($B$64=1,AL80,0))</x:f>
      </x:c>
      <x:c r="AM92" s="107" t="n">
        <x:f>SUM(IF($B$8=1,AM24,0),IF($B$36=1,AM52,0),IF($B$64=1,AM80,0))</x:f>
      </x:c>
      <x:c r="AN92" s="107" t="n">
        <x:f>SUM(IF($B$8=1,AN24,0),IF($B$36=1,AN52,0),IF($B$64=1,AN80,0))</x:f>
      </x:c>
      <x:c r="AO92" s="107" t="n">
        <x:f>SUM(IF($B$8=1,AO24,0),IF($B$36=1,AO52,0),IF($B$64=1,AO80,0))</x:f>
      </x:c>
      <x:c r="AP92" s="107" t="n">
        <x:f>SUM(IF($B$8=1,AP24,0),IF($B$36=1,AP52,0),IF($B$64=1,AP80,0))</x:f>
      </x:c>
      <x:c r="AQ92" s="107" t="n">
        <x:f>SUM(IF($B$8=1,AQ24,0),IF($B$36=1,AQ52,0),IF($B$64=1,AQ80,0))</x:f>
      </x:c>
      <x:c r="AR92" s="107" t="n">
        <x:f>SUM(IF($B$8=1,AR24,0),IF($B$36=1,AR52,0),IF($B$64=1,AR80,0))</x:f>
      </x:c>
      <x:c r="AS92" s="107" t="n">
        <x:f>SUM(IF($B$8=1,AS24,0),IF($B$36=1,AS52,0),IF($B$64=1,AS80,0))</x:f>
      </x:c>
      <x:c r="AT92" s="107" t="n">
        <x:f>SUM(IF($B$8=1,AT24,0),IF($B$36=1,AT52,0),IF($B$64=1,AT80,0))</x:f>
      </x:c>
      <x:c r="AU92" s="107" t="n">
        <x:f>SUM(IF($B$8=1,AU24,0),IF($B$36=1,AU52,0),IF($B$64=1,AU80,0))</x:f>
      </x:c>
      <x:c r="AV92" s="107" t="n">
        <x:f>SUM(IF($B$8=1,AV24,0),IF($B$36=1,AV52,0),IF($B$64=1,AV80,0))</x:f>
      </x:c>
      <x:c r="AW92" s="107" t="n">
        <x:f>SUM(IF($B$8=1,AW24,0),IF($B$36=1,AW52,0),IF($B$64=1,AW80,0))</x:f>
      </x:c>
      <x:c r="AX92" s="107" t="n">
        <x:f>SUM(IF($B$8=1,AX24,0),IF($B$36=1,AX52,0),IF($B$64=1,AX80,0))</x:f>
      </x:c>
      <x:c r="AY92" s="107" t="n">
        <x:f>SUM(IF($B$8=1,AY24,0),IF($B$36=1,AY52,0),IF($B$64=1,AY80,0))</x:f>
      </x:c>
      <x:c r="AZ92" s="107" t="n">
        <x:f>SUM(IF($B$8=1,AZ24,0),IF($B$36=1,AZ52,0),IF($B$64=1,AZ80,0))</x:f>
      </x:c>
      <x:c r="BA92" s="107" t="n">
        <x:f>SUM(IF($B$8=1,BA24,0),IF($B$36=1,BA52,0),IF($B$64=1,BA80,0))</x:f>
      </x:c>
      <x:c r="BB92" s="107" t="n">
        <x:f>SUM(IF($B$8=1,BB24,0),IF($B$36=1,BB52,0),IF($B$64=1,BB80,0))</x:f>
      </x:c>
      <x:c r="BC92" s="107" t="n">
        <x:f>SUM(IF($B$8=1,BC24,0),IF($B$36=1,BC52,0),IF($B$64=1,BC80,0))</x:f>
      </x:c>
      <x:c r="BD92" s="107" t="n">
        <x:f>SUM(IF($B$8=1,BD24,0),IF($B$36=1,BD52,0),IF($B$64=1,BD80,0))</x:f>
      </x:c>
      <x:c r="BE92" s="107" t="n">
        <x:f>SUM(IF($B$8=1,BE24,0),IF($B$36=1,BE52,0),IF($B$64=1,BE80,0))</x:f>
      </x:c>
      <x:c r="BF92" s="107" t="n">
        <x:f>SUM(IF($B$8=1,BF24,0),IF($B$36=1,BF52,0),IF($B$64=1,BF80,0))</x:f>
      </x:c>
      <x:c r="BG92" s="107" t="n">
        <x:f>SUM(IF($B$8=1,BG24,0),IF($B$36=1,BG52,0),IF($B$64=1,BG80,0))</x:f>
      </x:c>
      <x:c r="BH92" s="107" t="n">
        <x:f>SUM(IF($B$8=1,BH24,0),IF($B$36=1,BH52,0),IF($B$64=1,BH80,0))</x:f>
      </x:c>
      <x:c r="BI92" s="107" t="n">
        <x:f>SUM(IF($B$8=1,BI24,0),IF($B$36=1,BI52,0),IF($B$64=1,BI80,0))</x:f>
      </x:c>
      <x:c r="BJ92" s="107" t="n">
        <x:f>SUM(IF($B$8=1,BJ24,0),IF($B$36=1,BJ52,0),IF($B$64=1,BJ80,0))</x:f>
      </x:c>
      <x:c r="BK92" s="107" t="n">
        <x:f>SUM(IF($B$8=1,BK24,0),IF($B$36=1,BK52,0),IF($B$64=1,BK80,0))</x:f>
      </x:c>
      <x:c r="BL92" s="107" t="n">
        <x:f>SUM(IF($B$8=1,BL24,0),IF($B$36=1,BL52,0),IF($B$64=1,BL80,0))</x:f>
      </x:c>
      <x:c r="BM92" s="107" t="n">
        <x:f>SUM(IF($B$8=1,BM24,0),IF($B$36=1,BM52,0),IF($B$64=1,BM80,0))</x:f>
      </x:c>
      <x:c r="BN92" s="107" t="n">
        <x:f>SUM(IF($B$8=1,BN24,0),IF($B$36=1,BN52,0),IF($B$64=1,BN80,0))</x:f>
      </x:c>
      <x:c r="BO92" s="107" t="n">
        <x:f>SUM(IF($B$8=1,BO24,0),IF($B$36=1,BO52,0),IF($B$64=1,BO80,0))</x:f>
      </x:c>
      <x:c r="BP92" s="107" t="n">
        <x:f>SUM(IF($B$8=1,BP24,0),IF($B$36=1,BP52,0),IF($B$64=1,BP80,0))</x:f>
      </x:c>
      <x:c r="BQ92" s="107" t="n">
        <x:f>SUM(IF($B$8=1,BQ24,0),IF($B$36=1,BQ52,0),IF($B$64=1,BQ80,0))</x:f>
      </x:c>
      <x:c r="BR92" s="107" t="n">
        <x:f>SUM(IF($B$8=1,BR24,0),IF($B$36=1,BR52,0),IF($B$64=1,BR80,0))</x:f>
      </x:c>
      <x:c r="BS92" s="107" t="n">
        <x:f>SUM(IF($B$8=1,BS24,0),IF($B$36=1,BS52,0),IF($B$64=1,BS80,0))</x:f>
      </x:c>
      <x:c r="BT92" s="107" t="n">
        <x:f>SUM(IF($B$8=1,BT24,0),IF($B$36=1,BT52,0),IF($B$64=1,BT80,0))</x:f>
      </x:c>
      <x:c r="BU92" s="107" t="n">
        <x:f>SUM(IF($B$8=1,BU24,0),IF($B$36=1,BU52,0),IF($B$64=1,BU80,0))</x:f>
      </x:c>
      <x:c r="BV92" s="107" t="n">
        <x:f>SUM(IF($B$8=1,BV24,0),IF($B$36=1,BV52,0),IF($B$64=1,BV80,0))</x:f>
      </x:c>
      <x:c r="BW92" s="107" t="n">
        <x:f>SUM(IF($B$8=1,BW24,0),IF($B$36=1,BW52,0),IF($B$64=1,BW80,0))</x:f>
      </x:c>
      <x:c r="BX92" s="107" t="n">
        <x:f>SUM(IF($B$8=1,BX24,0),IF($B$36=1,BX52,0),IF($B$64=1,BX80,0))</x:f>
      </x:c>
      <x:c r="BY92" s="107" t="n">
        <x:f>SUM(IF($B$8=1,BY24,0),IF($B$36=1,BY52,0),IF($B$64=1,BY80,0))</x:f>
      </x:c>
      <x:c r="BZ92" s="107" t="n">
        <x:f>SUM(IF($B$8=1,BZ24,0),IF($B$36=1,BZ52,0),IF($B$64=1,BZ80,0))</x:f>
      </x:c>
      <x:c r="CA92" s="107" t="n">
        <x:f>SUM(IF($B$8=1,CA24,0),IF($B$36=1,CA52,0),IF($B$64=1,CA80,0))</x:f>
      </x:c>
      <x:c r="CB92" s="107" t="n">
        <x:f>SUM(IF($B$8=1,CB24,0),IF($B$36=1,CB52,0),IF($B$64=1,CB80,0))</x:f>
      </x:c>
      <x:c r="CC92" s="107" t="n">
        <x:f>SUM(IF($B$8=1,CC24,0),IF($B$36=1,CC52,0),IF($B$64=1,CC80,0))</x:f>
      </x:c>
      <x:c r="CD92" s="107" t="n">
        <x:f>SUM(IF($B$8=1,CD24,0),IF($B$36=1,CD52,0),IF($B$64=1,CD80,0))</x:f>
      </x:c>
      <x:c r="CE92" s="107" t="n">
        <x:f>SUM(IF($B$8=1,CE24,0),IF($B$36=1,CE52,0),IF($B$64=1,CE80,0))</x:f>
      </x:c>
      <x:c r="CF92" s="107" t="n">
        <x:f>SUM(IF($B$8=1,CF24,0),IF($B$36=1,CF52,0),IF($B$64=1,CF80,0))</x:f>
      </x:c>
      <x:c r="CG92" s="107" t="n">
        <x:f>SUM(IF($B$8=1,CG24,0),IF($B$36=1,CG52,0),IF($B$64=1,CG80,0))</x:f>
      </x:c>
      <x:c r="CH92" s="107" t="n">
        <x:f>SUM(IF($B$8=1,CH24,0),IF($B$36=1,CH52,0),IF($B$64=1,CH80,0))</x:f>
      </x:c>
      <x:c r="CI92" s="107" t="n">
        <x:f>SUM(IF($B$8=1,CI24,0),IF($B$36=1,CI52,0),IF($B$64=1,CI80,0))</x:f>
      </x:c>
      <x:c r="CJ92" s="107" t="n">
        <x:f>SUM(IF($B$8=1,CJ24,0),IF($B$36=1,CJ52,0),IF($B$64=1,CJ80,0))</x:f>
      </x:c>
      <x:c r="CK92" s="107" t="n">
        <x:f>SUM(IF($B$8=1,CK24,0),IF($B$36=1,CK52,0),IF($B$64=1,CK80,0))</x:f>
      </x:c>
      <x:c r="CL92" s="107" t="n">
        <x:f>SUM(IF($B$8=1,CL24,0),IF($B$36=1,CL52,0),IF($B$64=1,CL80,0))</x:f>
      </x:c>
      <x:c r="CM92" s="107" t="n">
        <x:f>SUM(IF($B$8=1,CM24,0),IF($B$36=1,CM52,0),IF($B$64=1,CM80,0))</x:f>
      </x:c>
      <x:c r="CN92" s="107" t="n">
        <x:f>SUM(IF($B$8=1,CN24,0),IF($B$36=1,CN52,0),IF($B$64=1,CN80,0))</x:f>
      </x:c>
      <x:c r="CO92" s="107" t="n">
        <x:f>SUM(IF($B$8=1,CO24,0),IF($B$36=1,CO52,0),IF($B$64=1,CO80,0))</x:f>
      </x:c>
      <x:c r="CP92" s="107" t="n">
        <x:f>SUM(IF($B$8=1,CP24,0),IF($B$36=1,CP52,0),IF($B$64=1,CP80,0))</x:f>
      </x:c>
      <x:c r="CQ92" s="107" t="n">
        <x:f>SUM(IF($B$8=1,CQ24,0),IF($B$36=1,CQ52,0),IF($B$64=1,CQ80,0))</x:f>
      </x:c>
      <x:c r="CR92" s="107" t="n">
        <x:f>SUM(IF($B$8=1,CR24,0),IF($B$36=1,CR52,0),IF($B$64=1,CR80,0))</x:f>
      </x:c>
      <x:c r="CS92" s="107" t="n">
        <x:f>SUM(IF($B$8=1,CS24,0),IF($B$36=1,CS52,0),IF($B$64=1,CS80,0))</x:f>
      </x:c>
      <x:c r="CT92" s="107" t="n">
        <x:f>SUM(IF($B$8=1,CT24,0),IF($B$36=1,CT52,0),IF($B$64=1,CT80,0))</x:f>
      </x:c>
      <x:c r="CU92" s="107" t="n">
        <x:f>SUM(IF($B$8=1,CU24,0),IF($B$36=1,CU52,0),IF($B$64=1,CU80,0))</x:f>
      </x:c>
      <x:c r="CV92" s="107" t="n">
        <x:f>SUM(IF($B$8=1,CV24,0),IF($B$36=1,CV52,0),IF($B$64=1,CV80,0))</x:f>
      </x:c>
      <x:c r="CW92" s="107" t="n">
        <x:f>SUM(IF($B$8=1,CW24,0),IF($B$36=1,CW52,0),IF($B$64=1,CW80,0))</x:f>
      </x:c>
      <x:c r="CX92" s="107" t="n">
        <x:f>SUM(IF($B$8=1,CX24,0),IF($B$36=1,CX52,0),IF($B$64=1,CX80,0))</x:f>
      </x:c>
      <x:c r="CY92" s="107" t="n">
        <x:f>SUM(IF($B$8=1,CY24,0),IF($B$36=1,CY52,0),IF($B$64=1,CY80,0))</x:f>
      </x:c>
      <x:c r="CZ92" s="107" t="n">
        <x:f>SUM(IF($B$8=1,CZ24,0),IF($B$36=1,CZ52,0),IF($B$64=1,CZ80,0))</x:f>
      </x:c>
      <x:c r="DA92" s="107" t="n">
        <x:f>SUM(IF($B$8=1,DA24,0),IF($B$36=1,DA52,0),IF($B$64=1,DA80,0))</x:f>
      </x:c>
      <x:c r="DB92" s="107" t="n">
        <x:f>SUM(IF($B$8=1,DB24,0),IF($B$36=1,DB52,0),IF($B$64=1,DB80,0))</x:f>
      </x:c>
      <x:c r="DC92" s="107" t="n">
        <x:f>SUM(IF($B$8=1,DC24,0),IF($B$36=1,DC52,0),IF($B$64=1,DC80,0))</x:f>
      </x:c>
      <x:c r="DD92" s="107" t="n">
        <x:f>SUM(IF($B$8=1,DD24,0),IF($B$36=1,DD52,0),IF($B$64=1,DD80,0))</x:f>
      </x:c>
      <x:c r="DE92" s="107" t="n">
        <x:f>SUM(IF($B$8=1,DE24,0),IF($B$36=1,DE52,0),IF($B$64=1,DE80,0))</x:f>
      </x:c>
      <x:c r="DF92" s="107" t="n">
        <x:f>SUM(IF($B$8=1,DF24,0),IF($B$36=1,DF52,0),IF($B$64=1,DF80,0))</x:f>
      </x:c>
      <x:c r="DG92" s="107" t="n">
        <x:f>SUM(IF($B$8=1,DG24,0),IF($B$36=1,DG52,0),IF($B$64=1,DG80,0))</x:f>
      </x:c>
      <x:c r="DH92" s="107" t="n">
        <x:f>SUM(IF($B$8=1,DH24,0),IF($B$36=1,DH52,0),IF($B$64=1,DH80,0))</x:f>
      </x:c>
      <x:c r="DI92" s="107" t="n">
        <x:f>SUM(IF($B$8=1,DI24,0),IF($B$36=1,DI52,0),IF($B$64=1,DI80,0))</x:f>
      </x:c>
      <x:c r="DJ92" s="107" t="n">
        <x:f>SUM(IF($B$8=1,DJ24,0),IF($B$36=1,DJ52,0),IF($B$64=1,DJ80,0))</x:f>
      </x:c>
      <x:c r="DK92" s="107" t="n">
        <x:f>SUM(IF($B$8=1,DK24,0),IF($B$36=1,DK52,0),IF($B$64=1,DK80,0))</x:f>
      </x:c>
      <x:c r="DL92" s="107" t="n">
        <x:f>SUM(IF($B$8=1,DL24,0),IF($B$36=1,DL52,0),IF($B$64=1,DL80,0))</x:f>
      </x:c>
      <x:c r="DM92" s="107" t="n">
        <x:f>SUM(IF($B$8=1,DM24,0),IF($B$36=1,DM52,0),IF($B$64=1,DM80,0))</x:f>
      </x:c>
      <x:c r="DN92" s="107" t="n">
        <x:f>SUM(IF($B$8=1,DN24,0),IF($B$36=1,DN52,0),IF($B$64=1,DN80,0))</x:f>
      </x:c>
      <x:c r="DO92" s="107" t="n">
        <x:f>SUM(IF($B$8=1,DO24,0),IF($B$36=1,DO52,0),IF($B$64=1,DO80,0))</x:f>
      </x:c>
      <x:c r="DP92" s="107" t="n">
        <x:f>SUM(IF($B$8=1,DP24,0),IF($B$36=1,DP52,0),IF($B$64=1,DP80,0))</x:f>
      </x:c>
      <x:c r="DQ92" s="107" t="n">
        <x:f>SUM(IF($B$8=1,DQ24,0),IF($B$36=1,DQ52,0),IF($B$64=1,DQ80,0))</x:f>
      </x:c>
      <x:c r="DR92" s="107" t="n">
        <x:f>SUM(IF($B$8=1,DR24,0),IF($B$36=1,DR52,0),IF($B$64=1,DR80,0))</x:f>
      </x:c>
      <x:c r="DS92" s="107" t="n">
        <x:f>SUM(IF($B$8=1,DS24,0),IF($B$36=1,DS52,0),IF($B$64=1,DS80,0))</x:f>
      </x:c>
      <x:c r="DT92" s="107" t="n">
        <x:f>SUM(IF($B$8=1,DT24,0),IF($B$36=1,DT52,0),IF($B$64=1,DT80,0))</x:f>
      </x:c>
      <x:c r="DU92" s="107" t="n">
        <x:f>SUM(IF($B$8=1,DU24,0),IF($B$36=1,DU52,0),IF($B$64=1,DU80,0))</x:f>
      </x:c>
      <x:c r="DV92" s="107" t="n">
        <x:f>SUM(IF($B$8=1,DV24,0),IF($B$36=1,DV52,0),IF($B$64=1,DV80,0))</x:f>
      </x:c>
      <x:c r="DW92" s="107" t="n">
        <x:f>SUM(IF($B$8=1,DW24,0),IF($B$36=1,DW52,0),IF($B$64=1,DW80,0))</x:f>
      </x:c>
      <x:c r="DX92" s="107" t="n">
        <x:f>SUM(IF($B$8=1,DX24,0),IF($B$36=1,DX52,0),IF($B$64=1,DX80,0))</x:f>
      </x:c>
      <x:c r="DY92" s="107" t="n">
        <x:f>SUM(IF($B$8=1,DY24,0),IF($B$36=1,DY52,0),IF($B$64=1,DY80,0))</x:f>
      </x:c>
      <x:c r="DZ92" s="107" t="n">
        <x:f>SUM(IF($B$8=1,DZ24,0),IF($B$36=1,DZ52,0),IF($B$64=1,DZ80,0))</x:f>
      </x:c>
      <x:c r="EA92" s="107" t="n">
        <x:f>SUM(IF($B$8=1,EA24,0),IF($B$36=1,EA52,0),IF($B$64=1,EA80,0))</x:f>
      </x:c>
      <x:c r="EB92" s="107" t="n">
        <x:f>SUM(IF($B$8=1,EB24,0),IF($B$36=1,EB52,0),IF($B$64=1,EB80,0))</x:f>
      </x:c>
      <x:c r="EC92" s="107" t="n">
        <x:f>SUM(IF($B$8=1,EC24,0),IF($B$36=1,EC52,0),IF($B$64=1,EC80,0))</x:f>
      </x:c>
      <x:c r="ED92" s="107" t="n">
        <x:f>SUM(IF($B$8=1,ED24,0),IF($B$36=1,ED52,0),IF($B$64=1,ED80,0))</x:f>
      </x:c>
      <x:c r="EE92" s="107" t="n">
        <x:f>SUM(IF($B$8=1,EE24,0),IF($B$36=1,EE52,0),IF($B$64=1,EE80,0))</x:f>
      </x:c>
      <x:c r="EF92" s="107" t="n">
        <x:f>SUM(IF($B$8=1,EF24,0),IF($B$36=1,EF52,0),IF($B$64=1,EF80,0))</x:f>
      </x:c>
      <x:c r="EG92" s="107" t="n">
        <x:f>SUM(IF($B$8=1,EG24,0),IF($B$36=1,EG52,0),IF($B$64=1,EG80,0))</x:f>
      </x:c>
      <x:c r="EH92" s="107" t="n">
        <x:f>SUM(IF($B$8=1,EH24,0),IF($B$36=1,EH52,0),IF($B$64=1,EH80,0))</x:f>
      </x:c>
      <x:c r="EI92" s="107" t="n">
        <x:f>SUM(IF($B$8=1,EI24,0),IF($B$36=1,EI52,0),IF($B$64=1,EI80,0))</x:f>
      </x:c>
      <x:c r="EJ92" s="107" t="n">
        <x:f>SUM(IF($B$8=1,EJ24,0),IF($B$36=1,EJ52,0),IF($B$64=1,EJ80,0))</x:f>
      </x:c>
      <x:c r="EK92" s="107" t="n">
        <x:f>SUM(IF($B$8=1,EK24,0),IF($B$36=1,EK52,0),IF($B$64=1,EK80,0))</x:f>
      </x:c>
      <x:c r="EL92" s="107" t="n">
        <x:f>SUM(IF($B$8=1,EL24,0),IF($B$36=1,EL52,0),IF($B$64=1,EL80,0))</x:f>
      </x:c>
      <x:c r="EM92" s="107" t="n">
        <x:f>SUM(IF($B$8=1,EM24,0),IF($B$36=1,EM52,0),IF($B$64=1,EM80,0))</x:f>
      </x:c>
      <x:c r="EN92" s="107" t="n">
        <x:f>SUM(IF($B$8=1,EN24,0),IF($B$36=1,EN52,0),IF($B$64=1,EN80,0))</x:f>
      </x:c>
      <x:c r="EO92" s="107" t="n">
        <x:f>SUM(IF($B$8=1,EO24,0),IF($B$36=1,EO52,0),IF($B$64=1,EO80,0))</x:f>
      </x:c>
      <x:c r="EP92" s="107" t="n">
        <x:f>SUM(IF($B$8=1,EP24,0),IF($B$36=1,EP52,0),IF($B$64=1,EP80,0))</x:f>
      </x:c>
      <x:c r="EQ92" s="107" t="n">
        <x:f>SUM(IF($B$8=1,EQ24,0),IF($B$36=1,EQ52,0),IF($B$64=1,EQ80,0))</x:f>
      </x:c>
      <x:c r="ER92" s="107" t="n">
        <x:f>SUM(IF($B$8=1,ER24,0),IF($B$36=1,ER52,0),IF($B$64=1,ER80,0))</x:f>
      </x:c>
      <x:c r="ES92" s="107" t="n">
        <x:f>SUM(IF($B$8=1,ES24,0),IF($B$36=1,ES52,0),IF($B$64=1,ES80,0))</x:f>
      </x:c>
      <x:c r="ET92" s="107" t="n">
        <x:f>SUM(IF($B$8=1,ET24,0),IF($B$36=1,ET52,0),IF($B$64=1,ET80,0))</x:f>
      </x:c>
      <x:c r="EU92" s="107" t="n">
        <x:f>SUM(IF($B$8=1,EU24,0),IF($B$36=1,EU52,0),IF($B$64=1,EU80,0))</x:f>
      </x:c>
      <x:c r="EV92" s="107" t="n">
        <x:f>SUM(IF($B$8=1,EV24,0),IF($B$36=1,EV52,0),IF($B$64=1,EV80,0))</x:f>
      </x:c>
      <x:c r="EW92" s="107" t="n">
        <x:f>SUM(IF($B$8=1,EW24,0),IF($B$36=1,EW52,0),IF($B$64=1,EW80,0))</x:f>
      </x:c>
      <x:c r="EX92" s="107" t="n">
        <x:f>SUM(IF($B$8=1,EX24,0),IF($B$36=1,EX52,0),IF($B$64=1,EX80,0))</x:f>
      </x:c>
      <x:c r="EY92" s="107" t="n">
        <x:f>SUM(IF($B$8=1,EY24,0),IF($B$36=1,EY52,0),IF($B$64=1,EY80,0))</x:f>
      </x:c>
      <x:c r="EZ92" s="107" t="n">
        <x:f>SUM(IF($B$8=1,EZ24,0),IF($B$36=1,EZ52,0),IF($B$64=1,EZ80,0))</x:f>
      </x:c>
      <x:c r="FA92" s="107" t="n">
        <x:f>SUM(IF($B$8=1,FA24,0),IF($B$36=1,FA52,0),IF($B$64=1,FA80,0))</x:f>
      </x:c>
      <x:c r="FB92" s="107" t="n">
        <x:f>SUM(IF($B$8=1,FB24,0),IF($B$36=1,FB52,0),IF($B$64=1,FB80,0))</x:f>
      </x:c>
      <x:c r="FC92" s="107" t="n">
        <x:f>SUM(IF($B$8=1,FC24,0),IF($B$36=1,FC52,0),IF($B$64=1,FC80,0))</x:f>
      </x:c>
      <x:c r="FD92" s="107" t="n">
        <x:f>SUM(IF($B$8=1,FD24,0),IF($B$36=1,FD52,0),IF($B$64=1,FD80,0))</x:f>
      </x:c>
      <x:c r="FE92" s="107" t="n">
        <x:f>SUM(IF($B$8=1,FE24,0),IF($B$36=1,FE52,0),IF($B$64=1,FE80,0))</x:f>
      </x:c>
      <x:c r="FF92" s="107" t="n">
        <x:f>SUM(IF($B$8=1,FF24,0),IF($B$36=1,FF52,0),IF($B$64=1,FF80,0))</x:f>
      </x:c>
      <x:c r="FG92" s="107" t="n">
        <x:f>SUM(IF($B$8=1,FG24,0),IF($B$36=1,FG52,0),IF($B$64=1,FG80,0))</x:f>
      </x:c>
      <x:c r="FH92" s="107" t="n">
        <x:f>SUM(IF($B$8=1,FH24,0),IF($B$36=1,FH52,0),IF($B$64=1,FH80,0))</x:f>
      </x:c>
      <x:c r="FI92" s="107" t="n">
        <x:f>SUM(IF($B$8=1,FI24,0),IF($B$36=1,FI52,0),IF($B$64=1,FI80,0))</x:f>
      </x:c>
      <x:c r="FJ92" s="107" t="n">
        <x:f>SUM(IF($B$8=1,FJ24,0),IF($B$36=1,FJ52,0),IF($B$64=1,FJ80,0))</x:f>
      </x:c>
      <x:c r="FK92" s="107" t="n">
        <x:f>SUM(IF($B$8=1,FK24,0),IF($B$36=1,FK52,0),IF($B$64=1,FK80,0))</x:f>
      </x:c>
      <x:c r="FL92" s="107" t="n">
        <x:f>SUM(IF($B$8=1,FL24,0),IF($B$36=1,FL52,0),IF($B$64=1,FL80,0))</x:f>
      </x:c>
      <x:c r="FM92" s="107" t="n">
        <x:f>SUM(IF($B$8=1,FM24,0),IF($B$36=1,FM52,0),IF($B$64=1,FM80,0))</x:f>
      </x:c>
      <x:c r="FN92" s="107" t="n">
        <x:f>SUM(IF($B$8=1,FN24,0),IF($B$36=1,FN52,0),IF($B$64=1,FN80,0))</x:f>
      </x:c>
      <x:c r="FO92" s="107" t="n">
        <x:f>SUM(IF($B$8=1,FO24,0),IF($B$36=1,FO52,0),IF($B$64=1,FO80,0))</x:f>
      </x:c>
      <x:c r="FP92" s="107" t="n">
        <x:f>SUM(IF($B$8=1,FP24,0),IF($B$36=1,FP52,0),IF($B$64=1,FP80,0))</x:f>
      </x:c>
      <x:c r="FQ92" s="107" t="n">
        <x:f>SUM(IF($B$8=1,FQ24,0),IF($B$36=1,FQ52,0),IF($B$64=1,FQ80,0))</x:f>
      </x:c>
      <x:c r="FR92" s="107" t="n">
        <x:f>SUM(IF($B$8=1,FR24,0),IF($B$36=1,FR52,0),IF($B$64=1,FR80,0))</x:f>
      </x:c>
      <x:c r="FS92" s="107" t="n">
        <x:f>SUM(IF($B$8=1,FS24,0),IF($B$36=1,FS52,0),IF($B$64=1,FS80,0))</x:f>
      </x:c>
      <x:c r="FT92" s="107" t="n">
        <x:f>SUM(IF($B$8=1,FT24,0),IF($B$36=1,FT52,0),IF($B$64=1,FT80,0))</x:f>
      </x:c>
      <x:c r="FU92" s="107" t="n">
        <x:f>SUM(IF($B$8=1,FU24,0),IF($B$36=1,FU52,0),IF($B$64=1,FU80,0))</x:f>
      </x:c>
      <x:c r="FV92" s="107" t="n">
        <x:f>SUM(IF($B$8=1,FV24,0),IF($B$36=1,FV52,0),IF($B$64=1,FV80,0))</x:f>
      </x:c>
      <x:c r="FW92" s="107" t="n">
        <x:f>SUM(IF($B$8=1,FW24,0),IF($B$36=1,FW52,0),IF($B$64=1,FW80,0))</x:f>
      </x:c>
      <x:c r="FX92" s="107" t="n">
        <x:f>SUM(IF($B$8=1,FX24,0),IF($B$36=1,FX52,0),IF($B$64=1,FX80,0))</x:f>
      </x:c>
      <x:c r="FY92" s="107" t="n">
        <x:f>SUM(IF($B$8=1,FY24,0),IF($B$36=1,FY52,0),IF($B$64=1,FY80,0))</x:f>
      </x:c>
      <x:c r="FZ92" s="107" t="n">
        <x:f>SUM(IF($B$8=1,FZ24,0),IF($B$36=1,FZ52,0),IF($B$64=1,FZ80,0))</x:f>
      </x:c>
      <x:c r="GA92" s="107" t="n">
        <x:f>SUM(IF($B$8=1,GA24,0),IF($B$36=1,GA52,0),IF($B$64=1,GA80,0))</x:f>
      </x:c>
    </x:row>
    <x:row r="93">
      <x:c r="A93" t="str">
        <x:v>Очередь 1 — Поступления объектов на эскроу</x:v>
      </x:c>
      <x:c r="B93" s="107" t="n">
        <x:f>SUM(D93:GA93)</x:f>
      </x:c>
      <x:c r="C93" t="str">
        <x:v>млн ₽</x:v>
      </x:c>
      <x:c r="D93" s="107" t="n">
        <x:f>SUM(IF($B$8=1,D25,0),IF($B$36=1,D53,0),IF($B$64=1,D81,0))</x:f>
      </x:c>
      <x:c r="E93" s="107" t="n">
        <x:f>SUM(IF($B$8=1,E25,0),IF($B$36=1,E53,0),IF($B$64=1,E81,0))</x:f>
      </x:c>
      <x:c r="F93" s="107" t="n">
        <x:f>SUM(IF($B$8=1,F25,0),IF($B$36=1,F53,0),IF($B$64=1,F81,0))</x:f>
      </x:c>
      <x:c r="G93" s="107" t="n">
        <x:f>SUM(IF($B$8=1,G25,0),IF($B$36=1,G53,0),IF($B$64=1,G81,0))</x:f>
      </x:c>
      <x:c r="H93" s="107" t="n">
        <x:f>SUM(IF($B$8=1,H25,0),IF($B$36=1,H53,0),IF($B$64=1,H81,0))</x:f>
      </x:c>
      <x:c r="I93" s="107" t="n">
        <x:f>SUM(IF($B$8=1,I25,0),IF($B$36=1,I53,0),IF($B$64=1,I81,0))</x:f>
      </x:c>
      <x:c r="J93" s="107" t="n">
        <x:f>SUM(IF($B$8=1,J25,0),IF($B$36=1,J53,0),IF($B$64=1,J81,0))</x:f>
      </x:c>
      <x:c r="K93" s="107" t="n">
        <x:f>SUM(IF($B$8=1,K25,0),IF($B$36=1,K53,0),IF($B$64=1,K81,0))</x:f>
      </x:c>
      <x:c r="L93" s="107" t="n">
        <x:f>SUM(IF($B$8=1,L25,0),IF($B$36=1,L53,0),IF($B$64=1,L81,0))</x:f>
      </x:c>
      <x:c r="M93" s="107" t="n">
        <x:f>SUM(IF($B$8=1,M25,0),IF($B$36=1,M53,0),IF($B$64=1,M81,0))</x:f>
      </x:c>
      <x:c r="N93" s="107" t="n">
        <x:f>SUM(IF($B$8=1,N25,0),IF($B$36=1,N53,0),IF($B$64=1,N81,0))</x:f>
      </x:c>
      <x:c r="O93" s="107" t="n">
        <x:f>SUM(IF($B$8=1,O25,0),IF($B$36=1,O53,0),IF($B$64=1,O81,0))</x:f>
      </x:c>
      <x:c r="P93" s="107" t="n">
        <x:f>SUM(IF($B$8=1,P25,0),IF($B$36=1,P53,0),IF($B$64=1,P81,0))</x:f>
      </x:c>
      <x:c r="Q93" s="107" t="n">
        <x:f>SUM(IF($B$8=1,Q25,0),IF($B$36=1,Q53,0),IF($B$64=1,Q81,0))</x:f>
      </x:c>
      <x:c r="R93" s="107" t="n">
        <x:f>SUM(IF($B$8=1,R25,0),IF($B$36=1,R53,0),IF($B$64=1,R81,0))</x:f>
      </x:c>
      <x:c r="S93" s="107" t="n">
        <x:f>SUM(IF($B$8=1,S25,0),IF($B$36=1,S53,0),IF($B$64=1,S81,0))</x:f>
      </x:c>
      <x:c r="T93" s="107" t="n">
        <x:f>SUM(IF($B$8=1,T25,0),IF($B$36=1,T53,0),IF($B$64=1,T81,0))</x:f>
      </x:c>
      <x:c r="U93" s="107" t="n">
        <x:f>SUM(IF($B$8=1,U25,0),IF($B$36=1,U53,0),IF($B$64=1,U81,0))</x:f>
      </x:c>
      <x:c r="V93" s="107" t="n">
        <x:f>SUM(IF($B$8=1,V25,0),IF($B$36=1,V53,0),IF($B$64=1,V81,0))</x:f>
      </x:c>
      <x:c r="W93" s="107" t="n">
        <x:f>SUM(IF($B$8=1,W25,0),IF($B$36=1,W53,0),IF($B$64=1,W81,0))</x:f>
      </x:c>
      <x:c r="X93" s="107" t="n">
        <x:f>SUM(IF($B$8=1,X25,0),IF($B$36=1,X53,0),IF($B$64=1,X81,0))</x:f>
      </x:c>
      <x:c r="Y93" s="107" t="n">
        <x:f>SUM(IF($B$8=1,Y25,0),IF($B$36=1,Y53,0),IF($B$64=1,Y81,0))</x:f>
      </x:c>
      <x:c r="Z93" s="107" t="n">
        <x:f>SUM(IF($B$8=1,Z25,0),IF($B$36=1,Z53,0),IF($B$64=1,Z81,0))</x:f>
      </x:c>
      <x:c r="AA93" s="107" t="n">
        <x:f>SUM(IF($B$8=1,AA25,0),IF($B$36=1,AA53,0),IF($B$64=1,AA81,0))</x:f>
      </x:c>
      <x:c r="AB93" s="107" t="n">
        <x:f>SUM(IF($B$8=1,AB25,0),IF($B$36=1,AB53,0),IF($B$64=1,AB81,0))</x:f>
      </x:c>
      <x:c r="AC93" s="107" t="n">
        <x:f>SUM(IF($B$8=1,AC25,0),IF($B$36=1,AC53,0),IF($B$64=1,AC81,0))</x:f>
      </x:c>
      <x:c r="AD93" s="107" t="n">
        <x:f>SUM(IF($B$8=1,AD25,0),IF($B$36=1,AD53,0),IF($B$64=1,AD81,0))</x:f>
      </x:c>
      <x:c r="AE93" s="107" t="n">
        <x:f>SUM(IF($B$8=1,AE25,0),IF($B$36=1,AE53,0),IF($B$64=1,AE81,0))</x:f>
      </x:c>
      <x:c r="AF93" s="107" t="n">
        <x:f>SUM(IF($B$8=1,AF25,0),IF($B$36=1,AF53,0),IF($B$64=1,AF81,0))</x:f>
      </x:c>
      <x:c r="AG93" s="107" t="n">
        <x:f>SUM(IF($B$8=1,AG25,0),IF($B$36=1,AG53,0),IF($B$64=1,AG81,0))</x:f>
      </x:c>
      <x:c r="AH93" s="107" t="n">
        <x:f>SUM(IF($B$8=1,AH25,0),IF($B$36=1,AH53,0),IF($B$64=1,AH81,0))</x:f>
      </x:c>
      <x:c r="AI93" s="107" t="n">
        <x:f>SUM(IF($B$8=1,AI25,0),IF($B$36=1,AI53,0),IF($B$64=1,AI81,0))</x:f>
      </x:c>
      <x:c r="AJ93" s="107" t="n">
        <x:f>SUM(IF($B$8=1,AJ25,0),IF($B$36=1,AJ53,0),IF($B$64=1,AJ81,0))</x:f>
      </x:c>
      <x:c r="AK93" s="107" t="n">
        <x:f>SUM(IF($B$8=1,AK25,0),IF($B$36=1,AK53,0),IF($B$64=1,AK81,0))</x:f>
      </x:c>
      <x:c r="AL93" s="107" t="n">
        <x:f>SUM(IF($B$8=1,AL25,0),IF($B$36=1,AL53,0),IF($B$64=1,AL81,0))</x:f>
      </x:c>
      <x:c r="AM93" s="107" t="n">
        <x:f>SUM(IF($B$8=1,AM25,0),IF($B$36=1,AM53,0),IF($B$64=1,AM81,0))</x:f>
      </x:c>
      <x:c r="AN93" s="107" t="n">
        <x:f>SUM(IF($B$8=1,AN25,0),IF($B$36=1,AN53,0),IF($B$64=1,AN81,0))</x:f>
      </x:c>
      <x:c r="AO93" s="107" t="n">
        <x:f>SUM(IF($B$8=1,AO25,0),IF($B$36=1,AO53,0),IF($B$64=1,AO81,0))</x:f>
      </x:c>
      <x:c r="AP93" s="107" t="n">
        <x:f>SUM(IF($B$8=1,AP25,0),IF($B$36=1,AP53,0),IF($B$64=1,AP81,0))</x:f>
      </x:c>
      <x:c r="AQ93" s="107" t="n">
        <x:f>SUM(IF($B$8=1,AQ25,0),IF($B$36=1,AQ53,0),IF($B$64=1,AQ81,0))</x:f>
      </x:c>
      <x:c r="AR93" s="107" t="n">
        <x:f>SUM(IF($B$8=1,AR25,0),IF($B$36=1,AR53,0),IF($B$64=1,AR81,0))</x:f>
      </x:c>
      <x:c r="AS93" s="107" t="n">
        <x:f>SUM(IF($B$8=1,AS25,0),IF($B$36=1,AS53,0),IF($B$64=1,AS81,0))</x:f>
      </x:c>
      <x:c r="AT93" s="107" t="n">
        <x:f>SUM(IF($B$8=1,AT25,0),IF($B$36=1,AT53,0),IF($B$64=1,AT81,0))</x:f>
      </x:c>
      <x:c r="AU93" s="107" t="n">
        <x:f>SUM(IF($B$8=1,AU25,0),IF($B$36=1,AU53,0),IF($B$64=1,AU81,0))</x:f>
      </x:c>
      <x:c r="AV93" s="107" t="n">
        <x:f>SUM(IF($B$8=1,AV25,0),IF($B$36=1,AV53,0),IF($B$64=1,AV81,0))</x:f>
      </x:c>
      <x:c r="AW93" s="107" t="n">
        <x:f>SUM(IF($B$8=1,AW25,0),IF($B$36=1,AW53,0),IF($B$64=1,AW81,0))</x:f>
      </x:c>
      <x:c r="AX93" s="107" t="n">
        <x:f>SUM(IF($B$8=1,AX25,0),IF($B$36=1,AX53,0),IF($B$64=1,AX81,0))</x:f>
      </x:c>
      <x:c r="AY93" s="107" t="n">
        <x:f>SUM(IF($B$8=1,AY25,0),IF($B$36=1,AY53,0),IF($B$64=1,AY81,0))</x:f>
      </x:c>
      <x:c r="AZ93" s="107" t="n">
        <x:f>SUM(IF($B$8=1,AZ25,0),IF($B$36=1,AZ53,0),IF($B$64=1,AZ81,0))</x:f>
      </x:c>
      <x:c r="BA93" s="107" t="n">
        <x:f>SUM(IF($B$8=1,BA25,0),IF($B$36=1,BA53,0),IF($B$64=1,BA81,0))</x:f>
      </x:c>
      <x:c r="BB93" s="107" t="n">
        <x:f>SUM(IF($B$8=1,BB25,0),IF($B$36=1,BB53,0),IF($B$64=1,BB81,0))</x:f>
      </x:c>
      <x:c r="BC93" s="107" t="n">
        <x:f>SUM(IF($B$8=1,BC25,0),IF($B$36=1,BC53,0),IF($B$64=1,BC81,0))</x:f>
      </x:c>
      <x:c r="BD93" s="107" t="n">
        <x:f>SUM(IF($B$8=1,BD25,0),IF($B$36=1,BD53,0),IF($B$64=1,BD81,0))</x:f>
      </x:c>
      <x:c r="BE93" s="107" t="n">
        <x:f>SUM(IF($B$8=1,BE25,0),IF($B$36=1,BE53,0),IF($B$64=1,BE81,0))</x:f>
      </x:c>
      <x:c r="BF93" s="107" t="n">
        <x:f>SUM(IF($B$8=1,BF25,0),IF($B$36=1,BF53,0),IF($B$64=1,BF81,0))</x:f>
      </x:c>
      <x:c r="BG93" s="107" t="n">
        <x:f>SUM(IF($B$8=1,BG25,0),IF($B$36=1,BG53,0),IF($B$64=1,BG81,0))</x:f>
      </x:c>
      <x:c r="BH93" s="107" t="n">
        <x:f>SUM(IF($B$8=1,BH25,0),IF($B$36=1,BH53,0),IF($B$64=1,BH81,0))</x:f>
      </x:c>
      <x:c r="BI93" s="107" t="n">
        <x:f>SUM(IF($B$8=1,BI25,0),IF($B$36=1,BI53,0),IF($B$64=1,BI81,0))</x:f>
      </x:c>
      <x:c r="BJ93" s="107" t="n">
        <x:f>SUM(IF($B$8=1,BJ25,0),IF($B$36=1,BJ53,0),IF($B$64=1,BJ81,0))</x:f>
      </x:c>
      <x:c r="BK93" s="107" t="n">
        <x:f>SUM(IF($B$8=1,BK25,0),IF($B$36=1,BK53,0),IF($B$64=1,BK81,0))</x:f>
      </x:c>
      <x:c r="BL93" s="107" t="n">
        <x:f>SUM(IF($B$8=1,BL25,0),IF($B$36=1,BL53,0),IF($B$64=1,BL81,0))</x:f>
      </x:c>
      <x:c r="BM93" s="107" t="n">
        <x:f>SUM(IF($B$8=1,BM25,0),IF($B$36=1,BM53,0),IF($B$64=1,BM81,0))</x:f>
      </x:c>
      <x:c r="BN93" s="107" t="n">
        <x:f>SUM(IF($B$8=1,BN25,0),IF($B$36=1,BN53,0),IF($B$64=1,BN81,0))</x:f>
      </x:c>
      <x:c r="BO93" s="107" t="n">
        <x:f>SUM(IF($B$8=1,BO25,0),IF($B$36=1,BO53,0),IF($B$64=1,BO81,0))</x:f>
      </x:c>
      <x:c r="BP93" s="107" t="n">
        <x:f>SUM(IF($B$8=1,BP25,0),IF($B$36=1,BP53,0),IF($B$64=1,BP81,0))</x:f>
      </x:c>
      <x:c r="BQ93" s="107" t="n">
        <x:f>SUM(IF($B$8=1,BQ25,0),IF($B$36=1,BQ53,0),IF($B$64=1,BQ81,0))</x:f>
      </x:c>
      <x:c r="BR93" s="107" t="n">
        <x:f>SUM(IF($B$8=1,BR25,0),IF($B$36=1,BR53,0),IF($B$64=1,BR81,0))</x:f>
      </x:c>
      <x:c r="BS93" s="107" t="n">
        <x:f>SUM(IF($B$8=1,BS25,0),IF($B$36=1,BS53,0),IF($B$64=1,BS81,0))</x:f>
      </x:c>
      <x:c r="BT93" s="107" t="n">
        <x:f>SUM(IF($B$8=1,BT25,0),IF($B$36=1,BT53,0),IF($B$64=1,BT81,0))</x:f>
      </x:c>
      <x:c r="BU93" s="107" t="n">
        <x:f>SUM(IF($B$8=1,BU25,0),IF($B$36=1,BU53,0),IF($B$64=1,BU81,0))</x:f>
      </x:c>
      <x:c r="BV93" s="107" t="n">
        <x:f>SUM(IF($B$8=1,BV25,0),IF($B$36=1,BV53,0),IF($B$64=1,BV81,0))</x:f>
      </x:c>
      <x:c r="BW93" s="107" t="n">
        <x:f>SUM(IF($B$8=1,BW25,0),IF($B$36=1,BW53,0),IF($B$64=1,BW81,0))</x:f>
      </x:c>
      <x:c r="BX93" s="107" t="n">
        <x:f>SUM(IF($B$8=1,BX25,0),IF($B$36=1,BX53,0),IF($B$64=1,BX81,0))</x:f>
      </x:c>
      <x:c r="BY93" s="107" t="n">
        <x:f>SUM(IF($B$8=1,BY25,0),IF($B$36=1,BY53,0),IF($B$64=1,BY81,0))</x:f>
      </x:c>
      <x:c r="BZ93" s="107" t="n">
        <x:f>SUM(IF($B$8=1,BZ25,0),IF($B$36=1,BZ53,0),IF($B$64=1,BZ81,0))</x:f>
      </x:c>
      <x:c r="CA93" s="107" t="n">
        <x:f>SUM(IF($B$8=1,CA25,0),IF($B$36=1,CA53,0),IF($B$64=1,CA81,0))</x:f>
      </x:c>
      <x:c r="CB93" s="107" t="n">
        <x:f>SUM(IF($B$8=1,CB25,0),IF($B$36=1,CB53,0),IF($B$64=1,CB81,0))</x:f>
      </x:c>
      <x:c r="CC93" s="107" t="n">
        <x:f>SUM(IF($B$8=1,CC25,0),IF($B$36=1,CC53,0),IF($B$64=1,CC81,0))</x:f>
      </x:c>
      <x:c r="CD93" s="107" t="n">
        <x:f>SUM(IF($B$8=1,CD25,0),IF($B$36=1,CD53,0),IF($B$64=1,CD81,0))</x:f>
      </x:c>
      <x:c r="CE93" s="107" t="n">
        <x:f>SUM(IF($B$8=1,CE25,0),IF($B$36=1,CE53,0),IF($B$64=1,CE81,0))</x:f>
      </x:c>
      <x:c r="CF93" s="107" t="n">
        <x:f>SUM(IF($B$8=1,CF25,0),IF($B$36=1,CF53,0),IF($B$64=1,CF81,0))</x:f>
      </x:c>
      <x:c r="CG93" s="107" t="n">
        <x:f>SUM(IF($B$8=1,CG25,0),IF($B$36=1,CG53,0),IF($B$64=1,CG81,0))</x:f>
      </x:c>
      <x:c r="CH93" s="107" t="n">
        <x:f>SUM(IF($B$8=1,CH25,0),IF($B$36=1,CH53,0),IF($B$64=1,CH81,0))</x:f>
      </x:c>
      <x:c r="CI93" s="107" t="n">
        <x:f>SUM(IF($B$8=1,CI25,0),IF($B$36=1,CI53,0),IF($B$64=1,CI81,0))</x:f>
      </x:c>
      <x:c r="CJ93" s="107" t="n">
        <x:f>SUM(IF($B$8=1,CJ25,0),IF($B$36=1,CJ53,0),IF($B$64=1,CJ81,0))</x:f>
      </x:c>
      <x:c r="CK93" s="107" t="n">
        <x:f>SUM(IF($B$8=1,CK25,0),IF($B$36=1,CK53,0),IF($B$64=1,CK81,0))</x:f>
      </x:c>
      <x:c r="CL93" s="107" t="n">
        <x:f>SUM(IF($B$8=1,CL25,0),IF($B$36=1,CL53,0),IF($B$64=1,CL81,0))</x:f>
      </x:c>
      <x:c r="CM93" s="107" t="n">
        <x:f>SUM(IF($B$8=1,CM25,0),IF($B$36=1,CM53,0),IF($B$64=1,CM81,0))</x:f>
      </x:c>
      <x:c r="CN93" s="107" t="n">
        <x:f>SUM(IF($B$8=1,CN25,0),IF($B$36=1,CN53,0),IF($B$64=1,CN81,0))</x:f>
      </x:c>
      <x:c r="CO93" s="107" t="n">
        <x:f>SUM(IF($B$8=1,CO25,0),IF($B$36=1,CO53,0),IF($B$64=1,CO81,0))</x:f>
      </x:c>
      <x:c r="CP93" s="107" t="n">
        <x:f>SUM(IF($B$8=1,CP25,0),IF($B$36=1,CP53,0),IF($B$64=1,CP81,0))</x:f>
      </x:c>
      <x:c r="CQ93" s="107" t="n">
        <x:f>SUM(IF($B$8=1,CQ25,0),IF($B$36=1,CQ53,0),IF($B$64=1,CQ81,0))</x:f>
      </x:c>
      <x:c r="CR93" s="107" t="n">
        <x:f>SUM(IF($B$8=1,CR25,0),IF($B$36=1,CR53,0),IF($B$64=1,CR81,0))</x:f>
      </x:c>
      <x:c r="CS93" s="107" t="n">
        <x:f>SUM(IF($B$8=1,CS25,0),IF($B$36=1,CS53,0),IF($B$64=1,CS81,0))</x:f>
      </x:c>
      <x:c r="CT93" s="107" t="n">
        <x:f>SUM(IF($B$8=1,CT25,0),IF($B$36=1,CT53,0),IF($B$64=1,CT81,0))</x:f>
      </x:c>
      <x:c r="CU93" s="107" t="n">
        <x:f>SUM(IF($B$8=1,CU25,0),IF($B$36=1,CU53,0),IF($B$64=1,CU81,0))</x:f>
      </x:c>
      <x:c r="CV93" s="107" t="n">
        <x:f>SUM(IF($B$8=1,CV25,0),IF($B$36=1,CV53,0),IF($B$64=1,CV81,0))</x:f>
      </x:c>
      <x:c r="CW93" s="107" t="n">
        <x:f>SUM(IF($B$8=1,CW25,0),IF($B$36=1,CW53,0),IF($B$64=1,CW81,0))</x:f>
      </x:c>
      <x:c r="CX93" s="107" t="n">
        <x:f>SUM(IF($B$8=1,CX25,0),IF($B$36=1,CX53,0),IF($B$64=1,CX81,0))</x:f>
      </x:c>
      <x:c r="CY93" s="107" t="n">
        <x:f>SUM(IF($B$8=1,CY25,0),IF($B$36=1,CY53,0),IF($B$64=1,CY81,0))</x:f>
      </x:c>
      <x:c r="CZ93" s="107" t="n">
        <x:f>SUM(IF($B$8=1,CZ25,0),IF($B$36=1,CZ53,0),IF($B$64=1,CZ81,0))</x:f>
      </x:c>
      <x:c r="DA93" s="107" t="n">
        <x:f>SUM(IF($B$8=1,DA25,0),IF($B$36=1,DA53,0),IF($B$64=1,DA81,0))</x:f>
      </x:c>
      <x:c r="DB93" s="107" t="n">
        <x:f>SUM(IF($B$8=1,DB25,0),IF($B$36=1,DB53,0),IF($B$64=1,DB81,0))</x:f>
      </x:c>
      <x:c r="DC93" s="107" t="n">
        <x:f>SUM(IF($B$8=1,DC25,0),IF($B$36=1,DC53,0),IF($B$64=1,DC81,0))</x:f>
      </x:c>
      <x:c r="DD93" s="107" t="n">
        <x:f>SUM(IF($B$8=1,DD25,0),IF($B$36=1,DD53,0),IF($B$64=1,DD81,0))</x:f>
      </x:c>
      <x:c r="DE93" s="107" t="n">
        <x:f>SUM(IF($B$8=1,DE25,0),IF($B$36=1,DE53,0),IF($B$64=1,DE81,0))</x:f>
      </x:c>
      <x:c r="DF93" s="107" t="n">
        <x:f>SUM(IF($B$8=1,DF25,0),IF($B$36=1,DF53,0),IF($B$64=1,DF81,0))</x:f>
      </x:c>
      <x:c r="DG93" s="107" t="n">
        <x:f>SUM(IF($B$8=1,DG25,0),IF($B$36=1,DG53,0),IF($B$64=1,DG81,0))</x:f>
      </x:c>
      <x:c r="DH93" s="107" t="n">
        <x:f>SUM(IF($B$8=1,DH25,0),IF($B$36=1,DH53,0),IF($B$64=1,DH81,0))</x:f>
      </x:c>
      <x:c r="DI93" s="107" t="n">
        <x:f>SUM(IF($B$8=1,DI25,0),IF($B$36=1,DI53,0),IF($B$64=1,DI81,0))</x:f>
      </x:c>
      <x:c r="DJ93" s="107" t="n">
        <x:f>SUM(IF($B$8=1,DJ25,0),IF($B$36=1,DJ53,0),IF($B$64=1,DJ81,0))</x:f>
      </x:c>
      <x:c r="DK93" s="107" t="n">
        <x:f>SUM(IF($B$8=1,DK25,0),IF($B$36=1,DK53,0),IF($B$64=1,DK81,0))</x:f>
      </x:c>
      <x:c r="DL93" s="107" t="n">
        <x:f>SUM(IF($B$8=1,DL25,0),IF($B$36=1,DL53,0),IF($B$64=1,DL81,0))</x:f>
      </x:c>
      <x:c r="DM93" s="107" t="n">
        <x:f>SUM(IF($B$8=1,DM25,0),IF($B$36=1,DM53,0),IF($B$64=1,DM81,0))</x:f>
      </x:c>
      <x:c r="DN93" s="107" t="n">
        <x:f>SUM(IF($B$8=1,DN25,0),IF($B$36=1,DN53,0),IF($B$64=1,DN81,0))</x:f>
      </x:c>
      <x:c r="DO93" s="107" t="n">
        <x:f>SUM(IF($B$8=1,DO25,0),IF($B$36=1,DO53,0),IF($B$64=1,DO81,0))</x:f>
      </x:c>
      <x:c r="DP93" s="107" t="n">
        <x:f>SUM(IF($B$8=1,DP25,0),IF($B$36=1,DP53,0),IF($B$64=1,DP81,0))</x:f>
      </x:c>
      <x:c r="DQ93" s="107" t="n">
        <x:f>SUM(IF($B$8=1,DQ25,0),IF($B$36=1,DQ53,0),IF($B$64=1,DQ81,0))</x:f>
      </x:c>
      <x:c r="DR93" s="107" t="n">
        <x:f>SUM(IF($B$8=1,DR25,0),IF($B$36=1,DR53,0),IF($B$64=1,DR81,0))</x:f>
      </x:c>
      <x:c r="DS93" s="107" t="n">
        <x:f>SUM(IF($B$8=1,DS25,0),IF($B$36=1,DS53,0),IF($B$64=1,DS81,0))</x:f>
      </x:c>
      <x:c r="DT93" s="107" t="n">
        <x:f>SUM(IF($B$8=1,DT25,0),IF($B$36=1,DT53,0),IF($B$64=1,DT81,0))</x:f>
      </x:c>
      <x:c r="DU93" s="107" t="n">
        <x:f>SUM(IF($B$8=1,DU25,0),IF($B$36=1,DU53,0),IF($B$64=1,DU81,0))</x:f>
      </x:c>
      <x:c r="DV93" s="107" t="n">
        <x:f>SUM(IF($B$8=1,DV25,0),IF($B$36=1,DV53,0),IF($B$64=1,DV81,0))</x:f>
      </x:c>
      <x:c r="DW93" s="107" t="n">
        <x:f>SUM(IF($B$8=1,DW25,0),IF($B$36=1,DW53,0),IF($B$64=1,DW81,0))</x:f>
      </x:c>
      <x:c r="DX93" s="107" t="n">
        <x:f>SUM(IF($B$8=1,DX25,0),IF($B$36=1,DX53,0),IF($B$64=1,DX81,0))</x:f>
      </x:c>
      <x:c r="DY93" s="107" t="n">
        <x:f>SUM(IF($B$8=1,DY25,0),IF($B$36=1,DY53,0),IF($B$64=1,DY81,0))</x:f>
      </x:c>
      <x:c r="DZ93" s="107" t="n">
        <x:f>SUM(IF($B$8=1,DZ25,0),IF($B$36=1,DZ53,0),IF($B$64=1,DZ81,0))</x:f>
      </x:c>
      <x:c r="EA93" s="107" t="n">
        <x:f>SUM(IF($B$8=1,EA25,0),IF($B$36=1,EA53,0),IF($B$64=1,EA81,0))</x:f>
      </x:c>
      <x:c r="EB93" s="107" t="n">
        <x:f>SUM(IF($B$8=1,EB25,0),IF($B$36=1,EB53,0),IF($B$64=1,EB81,0))</x:f>
      </x:c>
      <x:c r="EC93" s="107" t="n">
        <x:f>SUM(IF($B$8=1,EC25,0),IF($B$36=1,EC53,0),IF($B$64=1,EC81,0))</x:f>
      </x:c>
      <x:c r="ED93" s="107" t="n">
        <x:f>SUM(IF($B$8=1,ED25,0),IF($B$36=1,ED53,0),IF($B$64=1,ED81,0))</x:f>
      </x:c>
      <x:c r="EE93" s="107" t="n">
        <x:f>SUM(IF($B$8=1,EE25,0),IF($B$36=1,EE53,0),IF($B$64=1,EE81,0))</x:f>
      </x:c>
      <x:c r="EF93" s="107" t="n">
        <x:f>SUM(IF($B$8=1,EF25,0),IF($B$36=1,EF53,0),IF($B$64=1,EF81,0))</x:f>
      </x:c>
      <x:c r="EG93" s="107" t="n">
        <x:f>SUM(IF($B$8=1,EG25,0),IF($B$36=1,EG53,0),IF($B$64=1,EG81,0))</x:f>
      </x:c>
      <x:c r="EH93" s="107" t="n">
        <x:f>SUM(IF($B$8=1,EH25,0),IF($B$36=1,EH53,0),IF($B$64=1,EH81,0))</x:f>
      </x:c>
      <x:c r="EI93" s="107" t="n">
        <x:f>SUM(IF($B$8=1,EI25,0),IF($B$36=1,EI53,0),IF($B$64=1,EI81,0))</x:f>
      </x:c>
      <x:c r="EJ93" s="107" t="n">
        <x:f>SUM(IF($B$8=1,EJ25,0),IF($B$36=1,EJ53,0),IF($B$64=1,EJ81,0))</x:f>
      </x:c>
      <x:c r="EK93" s="107" t="n">
        <x:f>SUM(IF($B$8=1,EK25,0),IF($B$36=1,EK53,0),IF($B$64=1,EK81,0))</x:f>
      </x:c>
      <x:c r="EL93" s="107" t="n">
        <x:f>SUM(IF($B$8=1,EL25,0),IF($B$36=1,EL53,0),IF($B$64=1,EL81,0))</x:f>
      </x:c>
      <x:c r="EM93" s="107" t="n">
        <x:f>SUM(IF($B$8=1,EM25,0),IF($B$36=1,EM53,0),IF($B$64=1,EM81,0))</x:f>
      </x:c>
      <x:c r="EN93" s="107" t="n">
        <x:f>SUM(IF($B$8=1,EN25,0),IF($B$36=1,EN53,0),IF($B$64=1,EN81,0))</x:f>
      </x:c>
      <x:c r="EO93" s="107" t="n">
        <x:f>SUM(IF($B$8=1,EO25,0),IF($B$36=1,EO53,0),IF($B$64=1,EO81,0))</x:f>
      </x:c>
      <x:c r="EP93" s="107" t="n">
        <x:f>SUM(IF($B$8=1,EP25,0),IF($B$36=1,EP53,0),IF($B$64=1,EP81,0))</x:f>
      </x:c>
      <x:c r="EQ93" s="107" t="n">
        <x:f>SUM(IF($B$8=1,EQ25,0),IF($B$36=1,EQ53,0),IF($B$64=1,EQ81,0))</x:f>
      </x:c>
      <x:c r="ER93" s="107" t="n">
        <x:f>SUM(IF($B$8=1,ER25,0),IF($B$36=1,ER53,0),IF($B$64=1,ER81,0))</x:f>
      </x:c>
      <x:c r="ES93" s="107" t="n">
        <x:f>SUM(IF($B$8=1,ES25,0),IF($B$36=1,ES53,0),IF($B$64=1,ES81,0))</x:f>
      </x:c>
      <x:c r="ET93" s="107" t="n">
        <x:f>SUM(IF($B$8=1,ET25,0),IF($B$36=1,ET53,0),IF($B$64=1,ET81,0))</x:f>
      </x:c>
      <x:c r="EU93" s="107" t="n">
        <x:f>SUM(IF($B$8=1,EU25,0),IF($B$36=1,EU53,0),IF($B$64=1,EU81,0))</x:f>
      </x:c>
      <x:c r="EV93" s="107" t="n">
        <x:f>SUM(IF($B$8=1,EV25,0),IF($B$36=1,EV53,0),IF($B$64=1,EV81,0))</x:f>
      </x:c>
      <x:c r="EW93" s="107" t="n">
        <x:f>SUM(IF($B$8=1,EW25,0),IF($B$36=1,EW53,0),IF($B$64=1,EW81,0))</x:f>
      </x:c>
      <x:c r="EX93" s="107" t="n">
        <x:f>SUM(IF($B$8=1,EX25,0),IF($B$36=1,EX53,0),IF($B$64=1,EX81,0))</x:f>
      </x:c>
      <x:c r="EY93" s="107" t="n">
        <x:f>SUM(IF($B$8=1,EY25,0),IF($B$36=1,EY53,0),IF($B$64=1,EY81,0))</x:f>
      </x:c>
      <x:c r="EZ93" s="107" t="n">
        <x:f>SUM(IF($B$8=1,EZ25,0),IF($B$36=1,EZ53,0),IF($B$64=1,EZ81,0))</x:f>
      </x:c>
      <x:c r="FA93" s="107" t="n">
        <x:f>SUM(IF($B$8=1,FA25,0),IF($B$36=1,FA53,0),IF($B$64=1,FA81,0))</x:f>
      </x:c>
      <x:c r="FB93" s="107" t="n">
        <x:f>SUM(IF($B$8=1,FB25,0),IF($B$36=1,FB53,0),IF($B$64=1,FB81,0))</x:f>
      </x:c>
      <x:c r="FC93" s="107" t="n">
        <x:f>SUM(IF($B$8=1,FC25,0),IF($B$36=1,FC53,0),IF($B$64=1,FC81,0))</x:f>
      </x:c>
      <x:c r="FD93" s="107" t="n">
        <x:f>SUM(IF($B$8=1,FD25,0),IF($B$36=1,FD53,0),IF($B$64=1,FD81,0))</x:f>
      </x:c>
      <x:c r="FE93" s="107" t="n">
        <x:f>SUM(IF($B$8=1,FE25,0),IF($B$36=1,FE53,0),IF($B$64=1,FE81,0))</x:f>
      </x:c>
      <x:c r="FF93" s="107" t="n">
        <x:f>SUM(IF($B$8=1,FF25,0),IF($B$36=1,FF53,0),IF($B$64=1,FF81,0))</x:f>
      </x:c>
      <x:c r="FG93" s="107" t="n">
        <x:f>SUM(IF($B$8=1,FG25,0),IF($B$36=1,FG53,0),IF($B$64=1,FG81,0))</x:f>
      </x:c>
      <x:c r="FH93" s="107" t="n">
        <x:f>SUM(IF($B$8=1,FH25,0),IF($B$36=1,FH53,0),IF($B$64=1,FH81,0))</x:f>
      </x:c>
      <x:c r="FI93" s="107" t="n">
        <x:f>SUM(IF($B$8=1,FI25,0),IF($B$36=1,FI53,0),IF($B$64=1,FI81,0))</x:f>
      </x:c>
      <x:c r="FJ93" s="107" t="n">
        <x:f>SUM(IF($B$8=1,FJ25,0),IF($B$36=1,FJ53,0),IF($B$64=1,FJ81,0))</x:f>
      </x:c>
      <x:c r="FK93" s="107" t="n">
        <x:f>SUM(IF($B$8=1,FK25,0),IF($B$36=1,FK53,0),IF($B$64=1,FK81,0))</x:f>
      </x:c>
      <x:c r="FL93" s="107" t="n">
        <x:f>SUM(IF($B$8=1,FL25,0),IF($B$36=1,FL53,0),IF($B$64=1,FL81,0))</x:f>
      </x:c>
      <x:c r="FM93" s="107" t="n">
        <x:f>SUM(IF($B$8=1,FM25,0),IF($B$36=1,FM53,0),IF($B$64=1,FM81,0))</x:f>
      </x:c>
      <x:c r="FN93" s="107" t="n">
        <x:f>SUM(IF($B$8=1,FN25,0),IF($B$36=1,FN53,0),IF($B$64=1,FN81,0))</x:f>
      </x:c>
      <x:c r="FO93" s="107" t="n">
        <x:f>SUM(IF($B$8=1,FO25,0),IF($B$36=1,FO53,0),IF($B$64=1,FO81,0))</x:f>
      </x:c>
      <x:c r="FP93" s="107" t="n">
        <x:f>SUM(IF($B$8=1,FP25,0),IF($B$36=1,FP53,0),IF($B$64=1,FP81,0))</x:f>
      </x:c>
      <x:c r="FQ93" s="107" t="n">
        <x:f>SUM(IF($B$8=1,FQ25,0),IF($B$36=1,FQ53,0),IF($B$64=1,FQ81,0))</x:f>
      </x:c>
      <x:c r="FR93" s="107" t="n">
        <x:f>SUM(IF($B$8=1,FR25,0),IF($B$36=1,FR53,0),IF($B$64=1,FR81,0))</x:f>
      </x:c>
      <x:c r="FS93" s="107" t="n">
        <x:f>SUM(IF($B$8=1,FS25,0),IF($B$36=1,FS53,0),IF($B$64=1,FS81,0))</x:f>
      </x:c>
      <x:c r="FT93" s="107" t="n">
        <x:f>SUM(IF($B$8=1,FT25,0),IF($B$36=1,FT53,0),IF($B$64=1,FT81,0))</x:f>
      </x:c>
      <x:c r="FU93" s="107" t="n">
        <x:f>SUM(IF($B$8=1,FU25,0),IF($B$36=1,FU53,0),IF($B$64=1,FU81,0))</x:f>
      </x:c>
      <x:c r="FV93" s="107" t="n">
        <x:f>SUM(IF($B$8=1,FV25,0),IF($B$36=1,FV53,0),IF($B$64=1,FV81,0))</x:f>
      </x:c>
      <x:c r="FW93" s="107" t="n">
        <x:f>SUM(IF($B$8=1,FW25,0),IF($B$36=1,FW53,0),IF($B$64=1,FW81,0))</x:f>
      </x:c>
      <x:c r="FX93" s="107" t="n">
        <x:f>SUM(IF($B$8=1,FX25,0),IF($B$36=1,FX53,0),IF($B$64=1,FX81,0))</x:f>
      </x:c>
      <x:c r="FY93" s="107" t="n">
        <x:f>SUM(IF($B$8=1,FY25,0),IF($B$36=1,FY53,0),IF($B$64=1,FY81,0))</x:f>
      </x:c>
      <x:c r="FZ93" s="107" t="n">
        <x:f>SUM(IF($B$8=1,FZ25,0),IF($B$36=1,FZ53,0),IF($B$64=1,FZ81,0))</x:f>
      </x:c>
      <x:c r="GA93" s="107" t="n">
        <x:f>SUM(IF($B$8=1,GA25,0),IF($B$36=1,GA53,0),IF($B$64=1,GA81,0))</x:f>
      </x:c>
    </x:row>
    <x:row r="94">
      <x:c r="A94" t="str">
        <x:v>Очередь 1 — Прямые поступления объектов</x:v>
      </x:c>
      <x:c r="B94" s="107" t="n">
        <x:f>SUM(D94:GA94)</x:f>
      </x:c>
      <x:c r="C94" t="str">
        <x:v>млн ₽</x:v>
      </x:c>
      <x:c r="D94" s="107" t="n">
        <x:f>SUM(IF($B$8=1,D26,0),IF($B$36=1,D54,0),IF($B$64=1,D82,0))</x:f>
      </x:c>
      <x:c r="E94" s="107" t="n">
        <x:f>SUM(IF($B$8=1,E26,0),IF($B$36=1,E54,0),IF($B$64=1,E82,0))</x:f>
      </x:c>
      <x:c r="F94" s="107" t="n">
        <x:f>SUM(IF($B$8=1,F26,0),IF($B$36=1,F54,0),IF($B$64=1,F82,0))</x:f>
      </x:c>
      <x:c r="G94" s="107" t="n">
        <x:f>SUM(IF($B$8=1,G26,0),IF($B$36=1,G54,0),IF($B$64=1,G82,0))</x:f>
      </x:c>
      <x:c r="H94" s="107" t="n">
        <x:f>SUM(IF($B$8=1,H26,0),IF($B$36=1,H54,0),IF($B$64=1,H82,0))</x:f>
      </x:c>
      <x:c r="I94" s="107" t="n">
        <x:f>SUM(IF($B$8=1,I26,0),IF($B$36=1,I54,0),IF($B$64=1,I82,0))</x:f>
      </x:c>
      <x:c r="J94" s="107" t="n">
        <x:f>SUM(IF($B$8=1,J26,0),IF($B$36=1,J54,0),IF($B$64=1,J82,0))</x:f>
      </x:c>
      <x:c r="K94" s="107" t="n">
        <x:f>SUM(IF($B$8=1,K26,0),IF($B$36=1,K54,0),IF($B$64=1,K82,0))</x:f>
      </x:c>
      <x:c r="L94" s="107" t="n">
        <x:f>SUM(IF($B$8=1,L26,0),IF($B$36=1,L54,0),IF($B$64=1,L82,0))</x:f>
      </x:c>
      <x:c r="M94" s="107" t="n">
        <x:f>SUM(IF($B$8=1,M26,0),IF($B$36=1,M54,0),IF($B$64=1,M82,0))</x:f>
      </x:c>
      <x:c r="N94" s="107" t="n">
        <x:f>SUM(IF($B$8=1,N26,0),IF($B$36=1,N54,0),IF($B$64=1,N82,0))</x:f>
      </x:c>
      <x:c r="O94" s="107" t="n">
        <x:f>SUM(IF($B$8=1,O26,0),IF($B$36=1,O54,0),IF($B$64=1,O82,0))</x:f>
      </x:c>
      <x:c r="P94" s="107" t="n">
        <x:f>SUM(IF($B$8=1,P26,0),IF($B$36=1,P54,0),IF($B$64=1,P82,0))</x:f>
      </x:c>
      <x:c r="Q94" s="107" t="n">
        <x:f>SUM(IF($B$8=1,Q26,0),IF($B$36=1,Q54,0),IF($B$64=1,Q82,0))</x:f>
      </x:c>
      <x:c r="R94" s="107" t="n">
        <x:f>SUM(IF($B$8=1,R26,0),IF($B$36=1,R54,0),IF($B$64=1,R82,0))</x:f>
      </x:c>
      <x:c r="S94" s="107" t="n">
        <x:f>SUM(IF($B$8=1,S26,0),IF($B$36=1,S54,0),IF($B$64=1,S82,0))</x:f>
      </x:c>
      <x:c r="T94" s="107" t="n">
        <x:f>SUM(IF($B$8=1,T26,0),IF($B$36=1,T54,0),IF($B$64=1,T82,0))</x:f>
      </x:c>
      <x:c r="U94" s="107" t="n">
        <x:f>SUM(IF($B$8=1,U26,0),IF($B$36=1,U54,0),IF($B$64=1,U82,0))</x:f>
      </x:c>
      <x:c r="V94" s="107" t="n">
        <x:f>SUM(IF($B$8=1,V26,0),IF($B$36=1,V54,0),IF($B$64=1,V82,0))</x:f>
      </x:c>
      <x:c r="W94" s="107" t="n">
        <x:f>SUM(IF($B$8=1,W26,0),IF($B$36=1,W54,0),IF($B$64=1,W82,0))</x:f>
      </x:c>
      <x:c r="X94" s="107" t="n">
        <x:f>SUM(IF($B$8=1,X26,0),IF($B$36=1,X54,0),IF($B$64=1,X82,0))</x:f>
      </x:c>
      <x:c r="Y94" s="107" t="n">
        <x:f>SUM(IF($B$8=1,Y26,0),IF($B$36=1,Y54,0),IF($B$64=1,Y82,0))</x:f>
      </x:c>
      <x:c r="Z94" s="107" t="n">
        <x:f>SUM(IF($B$8=1,Z26,0),IF($B$36=1,Z54,0),IF($B$64=1,Z82,0))</x:f>
      </x:c>
      <x:c r="AA94" s="107" t="n">
        <x:f>SUM(IF($B$8=1,AA26,0),IF($B$36=1,AA54,0),IF($B$64=1,AA82,0))</x:f>
      </x:c>
      <x:c r="AB94" s="107" t="n">
        <x:f>SUM(IF($B$8=1,AB26,0),IF($B$36=1,AB54,0),IF($B$64=1,AB82,0))</x:f>
      </x:c>
      <x:c r="AC94" s="107" t="n">
        <x:f>SUM(IF($B$8=1,AC26,0),IF($B$36=1,AC54,0),IF($B$64=1,AC82,0))</x:f>
      </x:c>
      <x:c r="AD94" s="107" t="n">
        <x:f>SUM(IF($B$8=1,AD26,0),IF($B$36=1,AD54,0),IF($B$64=1,AD82,0))</x:f>
      </x:c>
      <x:c r="AE94" s="107" t="n">
        <x:f>SUM(IF($B$8=1,AE26,0),IF($B$36=1,AE54,0),IF($B$64=1,AE82,0))</x:f>
      </x:c>
      <x:c r="AF94" s="107" t="n">
        <x:f>SUM(IF($B$8=1,AF26,0),IF($B$36=1,AF54,0),IF($B$64=1,AF82,0))</x:f>
      </x:c>
      <x:c r="AG94" s="107" t="n">
        <x:f>SUM(IF($B$8=1,AG26,0),IF($B$36=1,AG54,0),IF($B$64=1,AG82,0))</x:f>
      </x:c>
      <x:c r="AH94" s="107" t="n">
        <x:f>SUM(IF($B$8=1,AH26,0),IF($B$36=1,AH54,0),IF($B$64=1,AH82,0))</x:f>
      </x:c>
      <x:c r="AI94" s="107" t="n">
        <x:f>SUM(IF($B$8=1,AI26,0),IF($B$36=1,AI54,0),IF($B$64=1,AI82,0))</x:f>
      </x:c>
      <x:c r="AJ94" s="107" t="n">
        <x:f>SUM(IF($B$8=1,AJ26,0),IF($B$36=1,AJ54,0),IF($B$64=1,AJ82,0))</x:f>
      </x:c>
      <x:c r="AK94" s="107" t="n">
        <x:f>SUM(IF($B$8=1,AK26,0),IF($B$36=1,AK54,0),IF($B$64=1,AK82,0))</x:f>
      </x:c>
      <x:c r="AL94" s="107" t="n">
        <x:f>SUM(IF($B$8=1,AL26,0),IF($B$36=1,AL54,0),IF($B$64=1,AL82,0))</x:f>
      </x:c>
      <x:c r="AM94" s="107" t="n">
        <x:f>SUM(IF($B$8=1,AM26,0),IF($B$36=1,AM54,0),IF($B$64=1,AM82,0))</x:f>
      </x:c>
      <x:c r="AN94" s="107" t="n">
        <x:f>SUM(IF($B$8=1,AN26,0),IF($B$36=1,AN54,0),IF($B$64=1,AN82,0))</x:f>
      </x:c>
      <x:c r="AO94" s="107" t="n">
        <x:f>SUM(IF($B$8=1,AO26,0),IF($B$36=1,AO54,0),IF($B$64=1,AO82,0))</x:f>
      </x:c>
      <x:c r="AP94" s="107" t="n">
        <x:f>SUM(IF($B$8=1,AP26,0),IF($B$36=1,AP54,0),IF($B$64=1,AP82,0))</x:f>
      </x:c>
      <x:c r="AQ94" s="107" t="n">
        <x:f>SUM(IF($B$8=1,AQ26,0),IF($B$36=1,AQ54,0),IF($B$64=1,AQ82,0))</x:f>
      </x:c>
      <x:c r="AR94" s="107" t="n">
        <x:f>SUM(IF($B$8=1,AR26,0),IF($B$36=1,AR54,0),IF($B$64=1,AR82,0))</x:f>
      </x:c>
      <x:c r="AS94" s="107" t="n">
        <x:f>SUM(IF($B$8=1,AS26,0),IF($B$36=1,AS54,0),IF($B$64=1,AS82,0))</x:f>
      </x:c>
      <x:c r="AT94" s="107" t="n">
        <x:f>SUM(IF($B$8=1,AT26,0),IF($B$36=1,AT54,0),IF($B$64=1,AT82,0))</x:f>
      </x:c>
      <x:c r="AU94" s="107" t="n">
        <x:f>SUM(IF($B$8=1,AU26,0),IF($B$36=1,AU54,0),IF($B$64=1,AU82,0))</x:f>
      </x:c>
      <x:c r="AV94" s="107" t="n">
        <x:f>SUM(IF($B$8=1,AV26,0),IF($B$36=1,AV54,0),IF($B$64=1,AV82,0))</x:f>
      </x:c>
      <x:c r="AW94" s="107" t="n">
        <x:f>SUM(IF($B$8=1,AW26,0),IF($B$36=1,AW54,0),IF($B$64=1,AW82,0))</x:f>
      </x:c>
      <x:c r="AX94" s="107" t="n">
        <x:f>SUM(IF($B$8=1,AX26,0),IF($B$36=1,AX54,0),IF($B$64=1,AX82,0))</x:f>
      </x:c>
      <x:c r="AY94" s="107" t="n">
        <x:f>SUM(IF($B$8=1,AY26,0),IF($B$36=1,AY54,0),IF($B$64=1,AY82,0))</x:f>
      </x:c>
      <x:c r="AZ94" s="107" t="n">
        <x:f>SUM(IF($B$8=1,AZ26,0),IF($B$36=1,AZ54,0),IF($B$64=1,AZ82,0))</x:f>
      </x:c>
      <x:c r="BA94" s="107" t="n">
        <x:f>SUM(IF($B$8=1,BA26,0),IF($B$36=1,BA54,0),IF($B$64=1,BA82,0))</x:f>
      </x:c>
      <x:c r="BB94" s="107" t="n">
        <x:f>SUM(IF($B$8=1,BB26,0),IF($B$36=1,BB54,0),IF($B$64=1,BB82,0))</x:f>
      </x:c>
      <x:c r="BC94" s="107" t="n">
        <x:f>SUM(IF($B$8=1,BC26,0),IF($B$36=1,BC54,0),IF($B$64=1,BC82,0))</x:f>
      </x:c>
      <x:c r="BD94" s="107" t="n">
        <x:f>SUM(IF($B$8=1,BD26,0),IF($B$36=1,BD54,0),IF($B$64=1,BD82,0))</x:f>
      </x:c>
      <x:c r="BE94" s="107" t="n">
        <x:f>SUM(IF($B$8=1,BE26,0),IF($B$36=1,BE54,0),IF($B$64=1,BE82,0))</x:f>
      </x:c>
      <x:c r="BF94" s="107" t="n">
        <x:f>SUM(IF($B$8=1,BF26,0),IF($B$36=1,BF54,0),IF($B$64=1,BF82,0))</x:f>
      </x:c>
      <x:c r="BG94" s="107" t="n">
        <x:f>SUM(IF($B$8=1,BG26,0),IF($B$36=1,BG54,0),IF($B$64=1,BG82,0))</x:f>
      </x:c>
      <x:c r="BH94" s="107" t="n">
        <x:f>SUM(IF($B$8=1,BH26,0),IF($B$36=1,BH54,0),IF($B$64=1,BH82,0))</x:f>
      </x:c>
      <x:c r="BI94" s="107" t="n">
        <x:f>SUM(IF($B$8=1,BI26,0),IF($B$36=1,BI54,0),IF($B$64=1,BI82,0))</x:f>
      </x:c>
      <x:c r="BJ94" s="107" t="n">
        <x:f>SUM(IF($B$8=1,BJ26,0),IF($B$36=1,BJ54,0),IF($B$64=1,BJ82,0))</x:f>
      </x:c>
      <x:c r="BK94" s="107" t="n">
        <x:f>SUM(IF($B$8=1,BK26,0),IF($B$36=1,BK54,0),IF($B$64=1,BK82,0))</x:f>
      </x:c>
      <x:c r="BL94" s="107" t="n">
        <x:f>SUM(IF($B$8=1,BL26,0),IF($B$36=1,BL54,0),IF($B$64=1,BL82,0))</x:f>
      </x:c>
      <x:c r="BM94" s="107" t="n">
        <x:f>SUM(IF($B$8=1,BM26,0),IF($B$36=1,BM54,0),IF($B$64=1,BM82,0))</x:f>
      </x:c>
      <x:c r="BN94" s="107" t="n">
        <x:f>SUM(IF($B$8=1,BN26,0),IF($B$36=1,BN54,0),IF($B$64=1,BN82,0))</x:f>
      </x:c>
      <x:c r="BO94" s="107" t="n">
        <x:f>SUM(IF($B$8=1,BO26,0),IF($B$36=1,BO54,0),IF($B$64=1,BO82,0))</x:f>
      </x:c>
      <x:c r="BP94" s="107" t="n">
        <x:f>SUM(IF($B$8=1,BP26,0),IF($B$36=1,BP54,0),IF($B$64=1,BP82,0))</x:f>
      </x:c>
      <x:c r="BQ94" s="107" t="n">
        <x:f>SUM(IF($B$8=1,BQ26,0),IF($B$36=1,BQ54,0),IF($B$64=1,BQ82,0))</x:f>
      </x:c>
      <x:c r="BR94" s="107" t="n">
        <x:f>SUM(IF($B$8=1,BR26,0),IF($B$36=1,BR54,0),IF($B$64=1,BR82,0))</x:f>
      </x:c>
      <x:c r="BS94" s="107" t="n">
        <x:f>SUM(IF($B$8=1,BS26,0),IF($B$36=1,BS54,0),IF($B$64=1,BS82,0))</x:f>
      </x:c>
      <x:c r="BT94" s="107" t="n">
        <x:f>SUM(IF($B$8=1,BT26,0),IF($B$36=1,BT54,0),IF($B$64=1,BT82,0))</x:f>
      </x:c>
      <x:c r="BU94" s="107" t="n">
        <x:f>SUM(IF($B$8=1,BU26,0),IF($B$36=1,BU54,0),IF($B$64=1,BU82,0))</x:f>
      </x:c>
      <x:c r="BV94" s="107" t="n">
        <x:f>SUM(IF($B$8=1,BV26,0),IF($B$36=1,BV54,0),IF($B$64=1,BV82,0))</x:f>
      </x:c>
      <x:c r="BW94" s="107" t="n">
        <x:f>SUM(IF($B$8=1,BW26,0),IF($B$36=1,BW54,0),IF($B$64=1,BW82,0))</x:f>
      </x:c>
      <x:c r="BX94" s="107" t="n">
        <x:f>SUM(IF($B$8=1,BX26,0),IF($B$36=1,BX54,0),IF($B$64=1,BX82,0))</x:f>
      </x:c>
      <x:c r="BY94" s="107" t="n">
        <x:f>SUM(IF($B$8=1,BY26,0),IF($B$36=1,BY54,0),IF($B$64=1,BY82,0))</x:f>
      </x:c>
      <x:c r="BZ94" s="107" t="n">
        <x:f>SUM(IF($B$8=1,BZ26,0),IF($B$36=1,BZ54,0),IF($B$64=1,BZ82,0))</x:f>
      </x:c>
      <x:c r="CA94" s="107" t="n">
        <x:f>SUM(IF($B$8=1,CA26,0),IF($B$36=1,CA54,0),IF($B$64=1,CA82,0))</x:f>
      </x:c>
      <x:c r="CB94" s="107" t="n">
        <x:f>SUM(IF($B$8=1,CB26,0),IF($B$36=1,CB54,0),IF($B$64=1,CB82,0))</x:f>
      </x:c>
      <x:c r="CC94" s="107" t="n">
        <x:f>SUM(IF($B$8=1,CC26,0),IF($B$36=1,CC54,0),IF($B$64=1,CC82,0))</x:f>
      </x:c>
      <x:c r="CD94" s="107" t="n">
        <x:f>SUM(IF($B$8=1,CD26,0),IF($B$36=1,CD54,0),IF($B$64=1,CD82,0))</x:f>
      </x:c>
      <x:c r="CE94" s="107" t="n">
        <x:f>SUM(IF($B$8=1,CE26,0),IF($B$36=1,CE54,0),IF($B$64=1,CE82,0))</x:f>
      </x:c>
      <x:c r="CF94" s="107" t="n">
        <x:f>SUM(IF($B$8=1,CF26,0),IF($B$36=1,CF54,0),IF($B$64=1,CF82,0))</x:f>
      </x:c>
      <x:c r="CG94" s="107" t="n">
        <x:f>SUM(IF($B$8=1,CG26,0),IF($B$36=1,CG54,0),IF($B$64=1,CG82,0))</x:f>
      </x:c>
      <x:c r="CH94" s="107" t="n">
        <x:f>SUM(IF($B$8=1,CH26,0),IF($B$36=1,CH54,0),IF($B$64=1,CH82,0))</x:f>
      </x:c>
      <x:c r="CI94" s="107" t="n">
        <x:f>SUM(IF($B$8=1,CI26,0),IF($B$36=1,CI54,0),IF($B$64=1,CI82,0))</x:f>
      </x:c>
      <x:c r="CJ94" s="107" t="n">
        <x:f>SUM(IF($B$8=1,CJ26,0),IF($B$36=1,CJ54,0),IF($B$64=1,CJ82,0))</x:f>
      </x:c>
      <x:c r="CK94" s="107" t="n">
        <x:f>SUM(IF($B$8=1,CK26,0),IF($B$36=1,CK54,0),IF($B$64=1,CK82,0))</x:f>
      </x:c>
      <x:c r="CL94" s="107" t="n">
        <x:f>SUM(IF($B$8=1,CL26,0),IF($B$36=1,CL54,0),IF($B$64=1,CL82,0))</x:f>
      </x:c>
      <x:c r="CM94" s="107" t="n">
        <x:f>SUM(IF($B$8=1,CM26,0),IF($B$36=1,CM54,0),IF($B$64=1,CM82,0))</x:f>
      </x:c>
      <x:c r="CN94" s="107" t="n">
        <x:f>SUM(IF($B$8=1,CN26,0),IF($B$36=1,CN54,0),IF($B$64=1,CN82,0))</x:f>
      </x:c>
      <x:c r="CO94" s="107" t="n">
        <x:f>SUM(IF($B$8=1,CO26,0),IF($B$36=1,CO54,0),IF($B$64=1,CO82,0))</x:f>
      </x:c>
      <x:c r="CP94" s="107" t="n">
        <x:f>SUM(IF($B$8=1,CP26,0),IF($B$36=1,CP54,0),IF($B$64=1,CP82,0))</x:f>
      </x:c>
      <x:c r="CQ94" s="107" t="n">
        <x:f>SUM(IF($B$8=1,CQ26,0),IF($B$36=1,CQ54,0),IF($B$64=1,CQ82,0))</x:f>
      </x:c>
      <x:c r="CR94" s="107" t="n">
        <x:f>SUM(IF($B$8=1,CR26,0),IF($B$36=1,CR54,0),IF($B$64=1,CR82,0))</x:f>
      </x:c>
      <x:c r="CS94" s="107" t="n">
        <x:f>SUM(IF($B$8=1,CS26,0),IF($B$36=1,CS54,0),IF($B$64=1,CS82,0))</x:f>
      </x:c>
      <x:c r="CT94" s="107" t="n">
        <x:f>SUM(IF($B$8=1,CT26,0),IF($B$36=1,CT54,0),IF($B$64=1,CT82,0))</x:f>
      </x:c>
      <x:c r="CU94" s="107" t="n">
        <x:f>SUM(IF($B$8=1,CU26,0),IF($B$36=1,CU54,0),IF($B$64=1,CU82,0))</x:f>
      </x:c>
      <x:c r="CV94" s="107" t="n">
        <x:f>SUM(IF($B$8=1,CV26,0),IF($B$36=1,CV54,0),IF($B$64=1,CV82,0))</x:f>
      </x:c>
      <x:c r="CW94" s="107" t="n">
        <x:f>SUM(IF($B$8=1,CW26,0),IF($B$36=1,CW54,0),IF($B$64=1,CW82,0))</x:f>
      </x:c>
      <x:c r="CX94" s="107" t="n">
        <x:f>SUM(IF($B$8=1,CX26,0),IF($B$36=1,CX54,0),IF($B$64=1,CX82,0))</x:f>
      </x:c>
      <x:c r="CY94" s="107" t="n">
        <x:f>SUM(IF($B$8=1,CY26,0),IF($B$36=1,CY54,0),IF($B$64=1,CY82,0))</x:f>
      </x:c>
      <x:c r="CZ94" s="107" t="n">
        <x:f>SUM(IF($B$8=1,CZ26,0),IF($B$36=1,CZ54,0),IF($B$64=1,CZ82,0))</x:f>
      </x:c>
      <x:c r="DA94" s="107" t="n">
        <x:f>SUM(IF($B$8=1,DA26,0),IF($B$36=1,DA54,0),IF($B$64=1,DA82,0))</x:f>
      </x:c>
      <x:c r="DB94" s="107" t="n">
        <x:f>SUM(IF($B$8=1,DB26,0),IF($B$36=1,DB54,0),IF($B$64=1,DB82,0))</x:f>
      </x:c>
      <x:c r="DC94" s="107" t="n">
        <x:f>SUM(IF($B$8=1,DC26,0),IF($B$36=1,DC54,0),IF($B$64=1,DC82,0))</x:f>
      </x:c>
      <x:c r="DD94" s="107" t="n">
        <x:f>SUM(IF($B$8=1,DD26,0),IF($B$36=1,DD54,0),IF($B$64=1,DD82,0))</x:f>
      </x:c>
      <x:c r="DE94" s="107" t="n">
        <x:f>SUM(IF($B$8=1,DE26,0),IF($B$36=1,DE54,0),IF($B$64=1,DE82,0))</x:f>
      </x:c>
      <x:c r="DF94" s="107" t="n">
        <x:f>SUM(IF($B$8=1,DF26,0),IF($B$36=1,DF54,0),IF($B$64=1,DF82,0))</x:f>
      </x:c>
      <x:c r="DG94" s="107" t="n">
        <x:f>SUM(IF($B$8=1,DG26,0),IF($B$36=1,DG54,0),IF($B$64=1,DG82,0))</x:f>
      </x:c>
      <x:c r="DH94" s="107" t="n">
        <x:f>SUM(IF($B$8=1,DH26,0),IF($B$36=1,DH54,0),IF($B$64=1,DH82,0))</x:f>
      </x:c>
      <x:c r="DI94" s="107" t="n">
        <x:f>SUM(IF($B$8=1,DI26,0),IF($B$36=1,DI54,0),IF($B$64=1,DI82,0))</x:f>
      </x:c>
      <x:c r="DJ94" s="107" t="n">
        <x:f>SUM(IF($B$8=1,DJ26,0),IF($B$36=1,DJ54,0),IF($B$64=1,DJ82,0))</x:f>
      </x:c>
      <x:c r="DK94" s="107" t="n">
        <x:f>SUM(IF($B$8=1,DK26,0),IF($B$36=1,DK54,0),IF($B$64=1,DK82,0))</x:f>
      </x:c>
      <x:c r="DL94" s="107" t="n">
        <x:f>SUM(IF($B$8=1,DL26,0),IF($B$36=1,DL54,0),IF($B$64=1,DL82,0))</x:f>
      </x:c>
      <x:c r="DM94" s="107" t="n">
        <x:f>SUM(IF($B$8=1,DM26,0),IF($B$36=1,DM54,0),IF($B$64=1,DM82,0))</x:f>
      </x:c>
      <x:c r="DN94" s="107" t="n">
        <x:f>SUM(IF($B$8=1,DN26,0),IF($B$36=1,DN54,0),IF($B$64=1,DN82,0))</x:f>
      </x:c>
      <x:c r="DO94" s="107" t="n">
        <x:f>SUM(IF($B$8=1,DO26,0),IF($B$36=1,DO54,0),IF($B$64=1,DO82,0))</x:f>
      </x:c>
      <x:c r="DP94" s="107" t="n">
        <x:f>SUM(IF($B$8=1,DP26,0),IF($B$36=1,DP54,0),IF($B$64=1,DP82,0))</x:f>
      </x:c>
      <x:c r="DQ94" s="107" t="n">
        <x:f>SUM(IF($B$8=1,DQ26,0),IF($B$36=1,DQ54,0),IF($B$64=1,DQ82,0))</x:f>
      </x:c>
      <x:c r="DR94" s="107" t="n">
        <x:f>SUM(IF($B$8=1,DR26,0),IF($B$36=1,DR54,0),IF($B$64=1,DR82,0))</x:f>
      </x:c>
      <x:c r="DS94" s="107" t="n">
        <x:f>SUM(IF($B$8=1,DS26,0),IF($B$36=1,DS54,0),IF($B$64=1,DS82,0))</x:f>
      </x:c>
      <x:c r="DT94" s="107" t="n">
        <x:f>SUM(IF($B$8=1,DT26,0),IF($B$36=1,DT54,0),IF($B$64=1,DT82,0))</x:f>
      </x:c>
      <x:c r="DU94" s="107" t="n">
        <x:f>SUM(IF($B$8=1,DU26,0),IF($B$36=1,DU54,0),IF($B$64=1,DU82,0))</x:f>
      </x:c>
      <x:c r="DV94" s="107" t="n">
        <x:f>SUM(IF($B$8=1,DV26,0),IF($B$36=1,DV54,0),IF($B$64=1,DV82,0))</x:f>
      </x:c>
      <x:c r="DW94" s="107" t="n">
        <x:f>SUM(IF($B$8=1,DW26,0),IF($B$36=1,DW54,0),IF($B$64=1,DW82,0))</x:f>
      </x:c>
      <x:c r="DX94" s="107" t="n">
        <x:f>SUM(IF($B$8=1,DX26,0),IF($B$36=1,DX54,0),IF($B$64=1,DX82,0))</x:f>
      </x:c>
      <x:c r="DY94" s="107" t="n">
        <x:f>SUM(IF($B$8=1,DY26,0),IF($B$36=1,DY54,0),IF($B$64=1,DY82,0))</x:f>
      </x:c>
      <x:c r="DZ94" s="107" t="n">
        <x:f>SUM(IF($B$8=1,DZ26,0),IF($B$36=1,DZ54,0),IF($B$64=1,DZ82,0))</x:f>
      </x:c>
      <x:c r="EA94" s="107" t="n">
        <x:f>SUM(IF($B$8=1,EA26,0),IF($B$36=1,EA54,0),IF($B$64=1,EA82,0))</x:f>
      </x:c>
      <x:c r="EB94" s="107" t="n">
        <x:f>SUM(IF($B$8=1,EB26,0),IF($B$36=1,EB54,0),IF($B$64=1,EB82,0))</x:f>
      </x:c>
      <x:c r="EC94" s="107" t="n">
        <x:f>SUM(IF($B$8=1,EC26,0),IF($B$36=1,EC54,0),IF($B$64=1,EC82,0))</x:f>
      </x:c>
      <x:c r="ED94" s="107" t="n">
        <x:f>SUM(IF($B$8=1,ED26,0),IF($B$36=1,ED54,0),IF($B$64=1,ED82,0))</x:f>
      </x:c>
      <x:c r="EE94" s="107" t="n">
        <x:f>SUM(IF($B$8=1,EE26,0),IF($B$36=1,EE54,0),IF($B$64=1,EE82,0))</x:f>
      </x:c>
      <x:c r="EF94" s="107" t="n">
        <x:f>SUM(IF($B$8=1,EF26,0),IF($B$36=1,EF54,0),IF($B$64=1,EF82,0))</x:f>
      </x:c>
      <x:c r="EG94" s="107" t="n">
        <x:f>SUM(IF($B$8=1,EG26,0),IF($B$36=1,EG54,0),IF($B$64=1,EG82,0))</x:f>
      </x:c>
      <x:c r="EH94" s="107" t="n">
        <x:f>SUM(IF($B$8=1,EH26,0),IF($B$36=1,EH54,0),IF($B$64=1,EH82,0))</x:f>
      </x:c>
      <x:c r="EI94" s="107" t="n">
        <x:f>SUM(IF($B$8=1,EI26,0),IF($B$36=1,EI54,0),IF($B$64=1,EI82,0))</x:f>
      </x:c>
      <x:c r="EJ94" s="107" t="n">
        <x:f>SUM(IF($B$8=1,EJ26,0),IF($B$36=1,EJ54,0),IF($B$64=1,EJ82,0))</x:f>
      </x:c>
      <x:c r="EK94" s="107" t="n">
        <x:f>SUM(IF($B$8=1,EK26,0),IF($B$36=1,EK54,0),IF($B$64=1,EK82,0))</x:f>
      </x:c>
      <x:c r="EL94" s="107" t="n">
        <x:f>SUM(IF($B$8=1,EL26,0),IF($B$36=1,EL54,0),IF($B$64=1,EL82,0))</x:f>
      </x:c>
      <x:c r="EM94" s="107" t="n">
        <x:f>SUM(IF($B$8=1,EM26,0),IF($B$36=1,EM54,0),IF($B$64=1,EM82,0))</x:f>
      </x:c>
      <x:c r="EN94" s="107" t="n">
        <x:f>SUM(IF($B$8=1,EN26,0),IF($B$36=1,EN54,0),IF($B$64=1,EN82,0))</x:f>
      </x:c>
      <x:c r="EO94" s="107" t="n">
        <x:f>SUM(IF($B$8=1,EO26,0),IF($B$36=1,EO54,0),IF($B$64=1,EO82,0))</x:f>
      </x:c>
      <x:c r="EP94" s="107" t="n">
        <x:f>SUM(IF($B$8=1,EP26,0),IF($B$36=1,EP54,0),IF($B$64=1,EP82,0))</x:f>
      </x:c>
      <x:c r="EQ94" s="107" t="n">
        <x:f>SUM(IF($B$8=1,EQ26,0),IF($B$36=1,EQ54,0),IF($B$64=1,EQ82,0))</x:f>
      </x:c>
      <x:c r="ER94" s="107" t="n">
        <x:f>SUM(IF($B$8=1,ER26,0),IF($B$36=1,ER54,0),IF($B$64=1,ER82,0))</x:f>
      </x:c>
      <x:c r="ES94" s="107" t="n">
        <x:f>SUM(IF($B$8=1,ES26,0),IF($B$36=1,ES54,0),IF($B$64=1,ES82,0))</x:f>
      </x:c>
      <x:c r="ET94" s="107" t="n">
        <x:f>SUM(IF($B$8=1,ET26,0),IF($B$36=1,ET54,0),IF($B$64=1,ET82,0))</x:f>
      </x:c>
      <x:c r="EU94" s="107" t="n">
        <x:f>SUM(IF($B$8=1,EU26,0),IF($B$36=1,EU54,0),IF($B$64=1,EU82,0))</x:f>
      </x:c>
      <x:c r="EV94" s="107" t="n">
        <x:f>SUM(IF($B$8=1,EV26,0),IF($B$36=1,EV54,0),IF($B$64=1,EV82,0))</x:f>
      </x:c>
      <x:c r="EW94" s="107" t="n">
        <x:f>SUM(IF($B$8=1,EW26,0),IF($B$36=1,EW54,0),IF($B$64=1,EW82,0))</x:f>
      </x:c>
      <x:c r="EX94" s="107" t="n">
        <x:f>SUM(IF($B$8=1,EX26,0),IF($B$36=1,EX54,0),IF($B$64=1,EX82,0))</x:f>
      </x:c>
      <x:c r="EY94" s="107" t="n">
        <x:f>SUM(IF($B$8=1,EY26,0),IF($B$36=1,EY54,0),IF($B$64=1,EY82,0))</x:f>
      </x:c>
      <x:c r="EZ94" s="107" t="n">
        <x:f>SUM(IF($B$8=1,EZ26,0),IF($B$36=1,EZ54,0),IF($B$64=1,EZ82,0))</x:f>
      </x:c>
      <x:c r="FA94" s="107" t="n">
        <x:f>SUM(IF($B$8=1,FA26,0),IF($B$36=1,FA54,0),IF($B$64=1,FA82,0))</x:f>
      </x:c>
      <x:c r="FB94" s="107" t="n">
        <x:f>SUM(IF($B$8=1,FB26,0),IF($B$36=1,FB54,0),IF($B$64=1,FB82,0))</x:f>
      </x:c>
      <x:c r="FC94" s="107" t="n">
        <x:f>SUM(IF($B$8=1,FC26,0),IF($B$36=1,FC54,0),IF($B$64=1,FC82,0))</x:f>
      </x:c>
      <x:c r="FD94" s="107" t="n">
        <x:f>SUM(IF($B$8=1,FD26,0),IF($B$36=1,FD54,0),IF($B$64=1,FD82,0))</x:f>
      </x:c>
      <x:c r="FE94" s="107" t="n">
        <x:f>SUM(IF($B$8=1,FE26,0),IF($B$36=1,FE54,0),IF($B$64=1,FE82,0))</x:f>
      </x:c>
      <x:c r="FF94" s="107" t="n">
        <x:f>SUM(IF($B$8=1,FF26,0),IF($B$36=1,FF54,0),IF($B$64=1,FF82,0))</x:f>
      </x:c>
      <x:c r="FG94" s="107" t="n">
        <x:f>SUM(IF($B$8=1,FG26,0),IF($B$36=1,FG54,0),IF($B$64=1,FG82,0))</x:f>
      </x:c>
      <x:c r="FH94" s="107" t="n">
        <x:f>SUM(IF($B$8=1,FH26,0),IF($B$36=1,FH54,0),IF($B$64=1,FH82,0))</x:f>
      </x:c>
      <x:c r="FI94" s="107" t="n">
        <x:f>SUM(IF($B$8=1,FI26,0),IF($B$36=1,FI54,0),IF($B$64=1,FI82,0))</x:f>
      </x:c>
      <x:c r="FJ94" s="107" t="n">
        <x:f>SUM(IF($B$8=1,FJ26,0),IF($B$36=1,FJ54,0),IF($B$64=1,FJ82,0))</x:f>
      </x:c>
      <x:c r="FK94" s="107" t="n">
        <x:f>SUM(IF($B$8=1,FK26,0),IF($B$36=1,FK54,0),IF($B$64=1,FK82,0))</x:f>
      </x:c>
      <x:c r="FL94" s="107" t="n">
        <x:f>SUM(IF($B$8=1,FL26,0),IF($B$36=1,FL54,0),IF($B$64=1,FL82,0))</x:f>
      </x:c>
      <x:c r="FM94" s="107" t="n">
        <x:f>SUM(IF($B$8=1,FM26,0),IF($B$36=1,FM54,0),IF($B$64=1,FM82,0))</x:f>
      </x:c>
      <x:c r="FN94" s="107" t="n">
        <x:f>SUM(IF($B$8=1,FN26,0),IF($B$36=1,FN54,0),IF($B$64=1,FN82,0))</x:f>
      </x:c>
      <x:c r="FO94" s="107" t="n">
        <x:f>SUM(IF($B$8=1,FO26,0),IF($B$36=1,FO54,0),IF($B$64=1,FO82,0))</x:f>
      </x:c>
      <x:c r="FP94" s="107" t="n">
        <x:f>SUM(IF($B$8=1,FP26,0),IF($B$36=1,FP54,0),IF($B$64=1,FP82,0))</x:f>
      </x:c>
      <x:c r="FQ94" s="107" t="n">
        <x:f>SUM(IF($B$8=1,FQ26,0),IF($B$36=1,FQ54,0),IF($B$64=1,FQ82,0))</x:f>
      </x:c>
      <x:c r="FR94" s="107" t="n">
        <x:f>SUM(IF($B$8=1,FR26,0),IF($B$36=1,FR54,0),IF($B$64=1,FR82,0))</x:f>
      </x:c>
      <x:c r="FS94" s="107" t="n">
        <x:f>SUM(IF($B$8=1,FS26,0),IF($B$36=1,FS54,0),IF($B$64=1,FS82,0))</x:f>
      </x:c>
      <x:c r="FT94" s="107" t="n">
        <x:f>SUM(IF($B$8=1,FT26,0),IF($B$36=1,FT54,0),IF($B$64=1,FT82,0))</x:f>
      </x:c>
      <x:c r="FU94" s="107" t="n">
        <x:f>SUM(IF($B$8=1,FU26,0),IF($B$36=1,FU54,0),IF($B$64=1,FU82,0))</x:f>
      </x:c>
      <x:c r="FV94" s="107" t="n">
        <x:f>SUM(IF($B$8=1,FV26,0),IF($B$36=1,FV54,0),IF($B$64=1,FV82,0))</x:f>
      </x:c>
      <x:c r="FW94" s="107" t="n">
        <x:f>SUM(IF($B$8=1,FW26,0),IF($B$36=1,FW54,0),IF($B$64=1,FW82,0))</x:f>
      </x:c>
      <x:c r="FX94" s="107" t="n">
        <x:f>SUM(IF($B$8=1,FX26,0),IF($B$36=1,FX54,0),IF($B$64=1,FX82,0))</x:f>
      </x:c>
      <x:c r="FY94" s="107" t="n">
        <x:f>SUM(IF($B$8=1,FY26,0),IF($B$36=1,FY54,0),IF($B$64=1,FY82,0))</x:f>
      </x:c>
      <x:c r="FZ94" s="107" t="n">
        <x:f>SUM(IF($B$8=1,FZ26,0),IF($B$36=1,FZ54,0),IF($B$64=1,FZ82,0))</x:f>
      </x:c>
      <x:c r="GA94" s="107" t="n">
        <x:f>SUM(IF($B$8=1,GA26,0),IF($B$36=1,GA54,0),IF($B$64=1,GA82,0))</x:f>
      </x:c>
    </x:row>
    <x:row r="95">
      <x:c r="A95" t="str">
        <x:v>Очередь 1 — Раскрытие эскроу объектов</x:v>
      </x:c>
      <x:c r="B95" s="107" t="n">
        <x:f>SUM(D95:GA95)</x:f>
      </x:c>
      <x:c r="C95" t="str">
        <x:v>млн ₽</x:v>
      </x:c>
      <x:c r="D95" s="107" t="n">
        <x:f>SUM(IF($B$8=1,D27,0),IF($B$36=1,D55,0),IF($B$64=1,D83,0))</x:f>
      </x:c>
      <x:c r="E95" s="107" t="n">
        <x:f>SUM(IF($B$8=1,E27,0),IF($B$36=1,E55,0),IF($B$64=1,E83,0))</x:f>
      </x:c>
      <x:c r="F95" s="107" t="n">
        <x:f>SUM(IF($B$8=1,F27,0),IF($B$36=1,F55,0),IF($B$64=1,F83,0))</x:f>
      </x:c>
      <x:c r="G95" s="107" t="n">
        <x:f>SUM(IF($B$8=1,G27,0),IF($B$36=1,G55,0),IF($B$64=1,G83,0))</x:f>
      </x:c>
      <x:c r="H95" s="107" t="n">
        <x:f>SUM(IF($B$8=1,H27,0),IF($B$36=1,H55,0),IF($B$64=1,H83,0))</x:f>
      </x:c>
      <x:c r="I95" s="107" t="n">
        <x:f>SUM(IF($B$8=1,I27,0),IF($B$36=1,I55,0),IF($B$64=1,I83,0))</x:f>
      </x:c>
      <x:c r="J95" s="107" t="n">
        <x:f>SUM(IF($B$8=1,J27,0),IF($B$36=1,J55,0),IF($B$64=1,J83,0))</x:f>
      </x:c>
      <x:c r="K95" s="107" t="n">
        <x:f>SUM(IF($B$8=1,K27,0),IF($B$36=1,K55,0),IF($B$64=1,K83,0))</x:f>
      </x:c>
      <x:c r="L95" s="107" t="n">
        <x:f>SUM(IF($B$8=1,L27,0),IF($B$36=1,L55,0),IF($B$64=1,L83,0))</x:f>
      </x:c>
      <x:c r="M95" s="107" t="n">
        <x:f>SUM(IF($B$8=1,M27,0),IF($B$36=1,M55,0),IF($B$64=1,M83,0))</x:f>
      </x:c>
      <x:c r="N95" s="107" t="n">
        <x:f>SUM(IF($B$8=1,N27,0),IF($B$36=1,N55,0),IF($B$64=1,N83,0))</x:f>
      </x:c>
      <x:c r="O95" s="107" t="n">
        <x:f>SUM(IF($B$8=1,O27,0),IF($B$36=1,O55,0),IF($B$64=1,O83,0))</x:f>
      </x:c>
      <x:c r="P95" s="107" t="n">
        <x:f>SUM(IF($B$8=1,P27,0),IF($B$36=1,P55,0),IF($B$64=1,P83,0))</x:f>
      </x:c>
      <x:c r="Q95" s="107" t="n">
        <x:f>SUM(IF($B$8=1,Q27,0),IF($B$36=1,Q55,0),IF($B$64=1,Q83,0))</x:f>
      </x:c>
      <x:c r="R95" s="107" t="n">
        <x:f>SUM(IF($B$8=1,R27,0),IF($B$36=1,R55,0),IF($B$64=1,R83,0))</x:f>
      </x:c>
      <x:c r="S95" s="107" t="n">
        <x:f>SUM(IF($B$8=1,S27,0),IF($B$36=1,S55,0),IF($B$64=1,S83,0))</x:f>
      </x:c>
      <x:c r="T95" s="107" t="n">
        <x:f>SUM(IF($B$8=1,T27,0),IF($B$36=1,T55,0),IF($B$64=1,T83,0))</x:f>
      </x:c>
      <x:c r="U95" s="107" t="n">
        <x:f>SUM(IF($B$8=1,U27,0),IF($B$36=1,U55,0),IF($B$64=1,U83,0))</x:f>
      </x:c>
      <x:c r="V95" s="107" t="n">
        <x:f>SUM(IF($B$8=1,V27,0),IF($B$36=1,V55,0),IF($B$64=1,V83,0))</x:f>
      </x:c>
      <x:c r="W95" s="107" t="n">
        <x:f>SUM(IF($B$8=1,W27,0),IF($B$36=1,W55,0),IF($B$64=1,W83,0))</x:f>
      </x:c>
      <x:c r="X95" s="107" t="n">
        <x:f>SUM(IF($B$8=1,X27,0),IF($B$36=1,X55,0),IF($B$64=1,X83,0))</x:f>
      </x:c>
      <x:c r="Y95" s="107" t="n">
        <x:f>SUM(IF($B$8=1,Y27,0),IF($B$36=1,Y55,0),IF($B$64=1,Y83,0))</x:f>
      </x:c>
      <x:c r="Z95" s="107" t="n">
        <x:f>SUM(IF($B$8=1,Z27,0),IF($B$36=1,Z55,0),IF($B$64=1,Z83,0))</x:f>
      </x:c>
      <x:c r="AA95" s="107" t="n">
        <x:f>SUM(IF($B$8=1,AA27,0),IF($B$36=1,AA55,0),IF($B$64=1,AA83,0))</x:f>
      </x:c>
      <x:c r="AB95" s="107" t="n">
        <x:f>SUM(IF($B$8=1,AB27,0),IF($B$36=1,AB55,0),IF($B$64=1,AB83,0))</x:f>
      </x:c>
      <x:c r="AC95" s="107" t="n">
        <x:f>SUM(IF($B$8=1,AC27,0),IF($B$36=1,AC55,0),IF($B$64=1,AC83,0))</x:f>
      </x:c>
      <x:c r="AD95" s="107" t="n">
        <x:f>SUM(IF($B$8=1,AD27,0),IF($B$36=1,AD55,0),IF($B$64=1,AD83,0))</x:f>
      </x:c>
      <x:c r="AE95" s="107" t="n">
        <x:f>SUM(IF($B$8=1,AE27,0),IF($B$36=1,AE55,0),IF($B$64=1,AE83,0))</x:f>
      </x:c>
      <x:c r="AF95" s="107" t="n">
        <x:f>SUM(IF($B$8=1,AF27,0),IF($B$36=1,AF55,0),IF($B$64=1,AF83,0))</x:f>
      </x:c>
      <x:c r="AG95" s="107" t="n">
        <x:f>SUM(IF($B$8=1,AG27,0),IF($B$36=1,AG55,0),IF($B$64=1,AG83,0))</x:f>
      </x:c>
      <x:c r="AH95" s="107" t="n">
        <x:f>SUM(IF($B$8=1,AH27,0),IF($B$36=1,AH55,0),IF($B$64=1,AH83,0))</x:f>
      </x:c>
      <x:c r="AI95" s="107" t="n">
        <x:f>SUM(IF($B$8=1,AI27,0),IF($B$36=1,AI55,0),IF($B$64=1,AI83,0))</x:f>
      </x:c>
      <x:c r="AJ95" s="107" t="n">
        <x:f>SUM(IF($B$8=1,AJ27,0),IF($B$36=1,AJ55,0),IF($B$64=1,AJ83,0))</x:f>
      </x:c>
      <x:c r="AK95" s="107" t="n">
        <x:f>SUM(IF($B$8=1,AK27,0),IF($B$36=1,AK55,0),IF($B$64=1,AK83,0))</x:f>
      </x:c>
      <x:c r="AL95" s="107" t="n">
        <x:f>SUM(IF($B$8=1,AL27,0),IF($B$36=1,AL55,0),IF($B$64=1,AL83,0))</x:f>
      </x:c>
      <x:c r="AM95" s="107" t="n">
        <x:f>SUM(IF($B$8=1,AM27,0),IF($B$36=1,AM55,0),IF($B$64=1,AM83,0))</x:f>
      </x:c>
      <x:c r="AN95" s="107" t="n">
        <x:f>SUM(IF($B$8=1,AN27,0),IF($B$36=1,AN55,0),IF($B$64=1,AN83,0))</x:f>
      </x:c>
      <x:c r="AO95" s="107" t="n">
        <x:f>SUM(IF($B$8=1,AO27,0),IF($B$36=1,AO55,0),IF($B$64=1,AO83,0))</x:f>
      </x:c>
      <x:c r="AP95" s="107" t="n">
        <x:f>SUM(IF($B$8=1,AP27,0),IF($B$36=1,AP55,0),IF($B$64=1,AP83,0))</x:f>
      </x:c>
      <x:c r="AQ95" s="107" t="n">
        <x:f>SUM(IF($B$8=1,AQ27,0),IF($B$36=1,AQ55,0),IF($B$64=1,AQ83,0))</x:f>
      </x:c>
      <x:c r="AR95" s="107" t="n">
        <x:f>SUM(IF($B$8=1,AR27,0),IF($B$36=1,AR55,0),IF($B$64=1,AR83,0))</x:f>
      </x:c>
      <x:c r="AS95" s="107" t="n">
        <x:f>SUM(IF($B$8=1,AS27,0),IF($B$36=1,AS55,0),IF($B$64=1,AS83,0))</x:f>
      </x:c>
      <x:c r="AT95" s="107" t="n">
        <x:f>SUM(IF($B$8=1,AT27,0),IF($B$36=1,AT55,0),IF($B$64=1,AT83,0))</x:f>
      </x:c>
      <x:c r="AU95" s="107" t="n">
        <x:f>SUM(IF($B$8=1,AU27,0),IF($B$36=1,AU55,0),IF($B$64=1,AU83,0))</x:f>
      </x:c>
      <x:c r="AV95" s="107" t="n">
        <x:f>SUM(IF($B$8=1,AV27,0),IF($B$36=1,AV55,0),IF($B$64=1,AV83,0))</x:f>
      </x:c>
      <x:c r="AW95" s="107" t="n">
        <x:f>SUM(IF($B$8=1,AW27,0),IF($B$36=1,AW55,0),IF($B$64=1,AW83,0))</x:f>
      </x:c>
      <x:c r="AX95" s="107" t="n">
        <x:f>SUM(IF($B$8=1,AX27,0),IF($B$36=1,AX55,0),IF($B$64=1,AX83,0))</x:f>
      </x:c>
      <x:c r="AY95" s="107" t="n">
        <x:f>SUM(IF($B$8=1,AY27,0),IF($B$36=1,AY55,0),IF($B$64=1,AY83,0))</x:f>
      </x:c>
      <x:c r="AZ95" s="107" t="n">
        <x:f>SUM(IF($B$8=1,AZ27,0),IF($B$36=1,AZ55,0),IF($B$64=1,AZ83,0))</x:f>
      </x:c>
      <x:c r="BA95" s="107" t="n">
        <x:f>SUM(IF($B$8=1,BA27,0),IF($B$36=1,BA55,0),IF($B$64=1,BA83,0))</x:f>
      </x:c>
      <x:c r="BB95" s="107" t="n">
        <x:f>SUM(IF($B$8=1,BB27,0),IF($B$36=1,BB55,0),IF($B$64=1,BB83,0))</x:f>
      </x:c>
      <x:c r="BC95" s="107" t="n">
        <x:f>SUM(IF($B$8=1,BC27,0),IF($B$36=1,BC55,0),IF($B$64=1,BC83,0))</x:f>
      </x:c>
      <x:c r="BD95" s="107" t="n">
        <x:f>SUM(IF($B$8=1,BD27,0),IF($B$36=1,BD55,0),IF($B$64=1,BD83,0))</x:f>
      </x:c>
      <x:c r="BE95" s="107" t="n">
        <x:f>SUM(IF($B$8=1,BE27,0),IF($B$36=1,BE55,0),IF($B$64=1,BE83,0))</x:f>
      </x:c>
      <x:c r="BF95" s="107" t="n">
        <x:f>SUM(IF($B$8=1,BF27,0),IF($B$36=1,BF55,0),IF($B$64=1,BF83,0))</x:f>
      </x:c>
      <x:c r="BG95" s="107" t="n">
        <x:f>SUM(IF($B$8=1,BG27,0),IF($B$36=1,BG55,0),IF($B$64=1,BG83,0))</x:f>
      </x:c>
      <x:c r="BH95" s="107" t="n">
        <x:f>SUM(IF($B$8=1,BH27,0),IF($B$36=1,BH55,0),IF($B$64=1,BH83,0))</x:f>
      </x:c>
      <x:c r="BI95" s="107" t="n">
        <x:f>SUM(IF($B$8=1,BI27,0),IF($B$36=1,BI55,0),IF($B$64=1,BI83,0))</x:f>
      </x:c>
      <x:c r="BJ95" s="107" t="n">
        <x:f>SUM(IF($B$8=1,BJ27,0),IF($B$36=1,BJ55,0),IF($B$64=1,BJ83,0))</x:f>
      </x:c>
      <x:c r="BK95" s="107" t="n">
        <x:f>SUM(IF($B$8=1,BK27,0),IF($B$36=1,BK55,0),IF($B$64=1,BK83,0))</x:f>
      </x:c>
      <x:c r="BL95" s="107" t="n">
        <x:f>SUM(IF($B$8=1,BL27,0),IF($B$36=1,BL55,0),IF($B$64=1,BL83,0))</x:f>
      </x:c>
      <x:c r="BM95" s="107" t="n">
        <x:f>SUM(IF($B$8=1,BM27,0),IF($B$36=1,BM55,0),IF($B$64=1,BM83,0))</x:f>
      </x:c>
      <x:c r="BN95" s="107" t="n">
        <x:f>SUM(IF($B$8=1,BN27,0),IF($B$36=1,BN55,0),IF($B$64=1,BN83,0))</x:f>
      </x:c>
      <x:c r="BO95" s="107" t="n">
        <x:f>SUM(IF($B$8=1,BO27,0),IF($B$36=1,BO55,0),IF($B$64=1,BO83,0))</x:f>
      </x:c>
      <x:c r="BP95" s="107" t="n">
        <x:f>SUM(IF($B$8=1,BP27,0),IF($B$36=1,BP55,0),IF($B$64=1,BP83,0))</x:f>
      </x:c>
      <x:c r="BQ95" s="107" t="n">
        <x:f>SUM(IF($B$8=1,BQ27,0),IF($B$36=1,BQ55,0),IF($B$64=1,BQ83,0))</x:f>
      </x:c>
      <x:c r="BR95" s="107" t="n">
        <x:f>SUM(IF($B$8=1,BR27,0),IF($B$36=1,BR55,0),IF($B$64=1,BR83,0))</x:f>
      </x:c>
      <x:c r="BS95" s="107" t="n">
        <x:f>SUM(IF($B$8=1,BS27,0),IF($B$36=1,BS55,0),IF($B$64=1,BS83,0))</x:f>
      </x:c>
      <x:c r="BT95" s="107" t="n">
        <x:f>SUM(IF($B$8=1,BT27,0),IF($B$36=1,BT55,0),IF($B$64=1,BT83,0))</x:f>
      </x:c>
      <x:c r="BU95" s="107" t="n">
        <x:f>SUM(IF($B$8=1,BU27,0),IF($B$36=1,BU55,0),IF($B$64=1,BU83,0))</x:f>
      </x:c>
      <x:c r="BV95" s="107" t="n">
        <x:f>SUM(IF($B$8=1,BV27,0),IF($B$36=1,BV55,0),IF($B$64=1,BV83,0))</x:f>
      </x:c>
      <x:c r="BW95" s="107" t="n">
        <x:f>SUM(IF($B$8=1,BW27,0),IF($B$36=1,BW55,0),IF($B$64=1,BW83,0))</x:f>
      </x:c>
      <x:c r="BX95" s="107" t="n">
        <x:f>SUM(IF($B$8=1,BX27,0),IF($B$36=1,BX55,0),IF($B$64=1,BX83,0))</x:f>
      </x:c>
      <x:c r="BY95" s="107" t="n">
        <x:f>SUM(IF($B$8=1,BY27,0),IF($B$36=1,BY55,0),IF($B$64=1,BY83,0))</x:f>
      </x:c>
      <x:c r="BZ95" s="107" t="n">
        <x:f>SUM(IF($B$8=1,BZ27,0),IF($B$36=1,BZ55,0),IF($B$64=1,BZ83,0))</x:f>
      </x:c>
      <x:c r="CA95" s="107" t="n">
        <x:f>SUM(IF($B$8=1,CA27,0),IF($B$36=1,CA55,0),IF($B$64=1,CA83,0))</x:f>
      </x:c>
      <x:c r="CB95" s="107" t="n">
        <x:f>SUM(IF($B$8=1,CB27,0),IF($B$36=1,CB55,0),IF($B$64=1,CB83,0))</x:f>
      </x:c>
      <x:c r="CC95" s="107" t="n">
        <x:f>SUM(IF($B$8=1,CC27,0),IF($B$36=1,CC55,0),IF($B$64=1,CC83,0))</x:f>
      </x:c>
      <x:c r="CD95" s="107" t="n">
        <x:f>SUM(IF($B$8=1,CD27,0),IF($B$36=1,CD55,0),IF($B$64=1,CD83,0))</x:f>
      </x:c>
      <x:c r="CE95" s="107" t="n">
        <x:f>SUM(IF($B$8=1,CE27,0),IF($B$36=1,CE55,0),IF($B$64=1,CE83,0))</x:f>
      </x:c>
      <x:c r="CF95" s="107" t="n">
        <x:f>SUM(IF($B$8=1,CF27,0),IF($B$36=1,CF55,0),IF($B$64=1,CF83,0))</x:f>
      </x:c>
      <x:c r="CG95" s="107" t="n">
        <x:f>SUM(IF($B$8=1,CG27,0),IF($B$36=1,CG55,0),IF($B$64=1,CG83,0))</x:f>
      </x:c>
      <x:c r="CH95" s="107" t="n">
        <x:f>SUM(IF($B$8=1,CH27,0),IF($B$36=1,CH55,0),IF($B$64=1,CH83,0))</x:f>
      </x:c>
      <x:c r="CI95" s="107" t="n">
        <x:f>SUM(IF($B$8=1,CI27,0),IF($B$36=1,CI55,0),IF($B$64=1,CI83,0))</x:f>
      </x:c>
      <x:c r="CJ95" s="107" t="n">
        <x:f>SUM(IF($B$8=1,CJ27,0),IF($B$36=1,CJ55,0),IF($B$64=1,CJ83,0))</x:f>
      </x:c>
      <x:c r="CK95" s="107" t="n">
        <x:f>SUM(IF($B$8=1,CK27,0),IF($B$36=1,CK55,0),IF($B$64=1,CK83,0))</x:f>
      </x:c>
      <x:c r="CL95" s="107" t="n">
        <x:f>SUM(IF($B$8=1,CL27,0),IF($B$36=1,CL55,0),IF($B$64=1,CL83,0))</x:f>
      </x:c>
      <x:c r="CM95" s="107" t="n">
        <x:f>SUM(IF($B$8=1,CM27,0),IF($B$36=1,CM55,0),IF($B$64=1,CM83,0))</x:f>
      </x:c>
      <x:c r="CN95" s="107" t="n">
        <x:f>SUM(IF($B$8=1,CN27,0),IF($B$36=1,CN55,0),IF($B$64=1,CN83,0))</x:f>
      </x:c>
      <x:c r="CO95" s="107" t="n">
        <x:f>SUM(IF($B$8=1,CO27,0),IF($B$36=1,CO55,0),IF($B$64=1,CO83,0))</x:f>
      </x:c>
      <x:c r="CP95" s="107" t="n">
        <x:f>SUM(IF($B$8=1,CP27,0),IF($B$36=1,CP55,0),IF($B$64=1,CP83,0))</x:f>
      </x:c>
      <x:c r="CQ95" s="107" t="n">
        <x:f>SUM(IF($B$8=1,CQ27,0),IF($B$36=1,CQ55,0),IF($B$64=1,CQ83,0))</x:f>
      </x:c>
      <x:c r="CR95" s="107" t="n">
        <x:f>SUM(IF($B$8=1,CR27,0),IF($B$36=1,CR55,0),IF($B$64=1,CR83,0))</x:f>
      </x:c>
      <x:c r="CS95" s="107" t="n">
        <x:f>SUM(IF($B$8=1,CS27,0),IF($B$36=1,CS55,0),IF($B$64=1,CS83,0))</x:f>
      </x:c>
      <x:c r="CT95" s="107" t="n">
        <x:f>SUM(IF($B$8=1,CT27,0),IF($B$36=1,CT55,0),IF($B$64=1,CT83,0))</x:f>
      </x:c>
      <x:c r="CU95" s="107" t="n">
        <x:f>SUM(IF($B$8=1,CU27,0),IF($B$36=1,CU55,0),IF($B$64=1,CU83,0))</x:f>
      </x:c>
      <x:c r="CV95" s="107" t="n">
        <x:f>SUM(IF($B$8=1,CV27,0),IF($B$36=1,CV55,0),IF($B$64=1,CV83,0))</x:f>
      </x:c>
      <x:c r="CW95" s="107" t="n">
        <x:f>SUM(IF($B$8=1,CW27,0),IF($B$36=1,CW55,0),IF($B$64=1,CW83,0))</x:f>
      </x:c>
      <x:c r="CX95" s="107" t="n">
        <x:f>SUM(IF($B$8=1,CX27,0),IF($B$36=1,CX55,0),IF($B$64=1,CX83,0))</x:f>
      </x:c>
      <x:c r="CY95" s="107" t="n">
        <x:f>SUM(IF($B$8=1,CY27,0),IF($B$36=1,CY55,0),IF($B$64=1,CY83,0))</x:f>
      </x:c>
      <x:c r="CZ95" s="107" t="n">
        <x:f>SUM(IF($B$8=1,CZ27,0),IF($B$36=1,CZ55,0),IF($B$64=1,CZ83,0))</x:f>
      </x:c>
      <x:c r="DA95" s="107" t="n">
        <x:f>SUM(IF($B$8=1,DA27,0),IF($B$36=1,DA55,0),IF($B$64=1,DA83,0))</x:f>
      </x:c>
      <x:c r="DB95" s="107" t="n">
        <x:f>SUM(IF($B$8=1,DB27,0),IF($B$36=1,DB55,0),IF($B$64=1,DB83,0))</x:f>
      </x:c>
      <x:c r="DC95" s="107" t="n">
        <x:f>SUM(IF($B$8=1,DC27,0),IF($B$36=1,DC55,0),IF($B$64=1,DC83,0))</x:f>
      </x:c>
      <x:c r="DD95" s="107" t="n">
        <x:f>SUM(IF($B$8=1,DD27,0),IF($B$36=1,DD55,0),IF($B$64=1,DD83,0))</x:f>
      </x:c>
      <x:c r="DE95" s="107" t="n">
        <x:f>SUM(IF($B$8=1,DE27,0),IF($B$36=1,DE55,0),IF($B$64=1,DE83,0))</x:f>
      </x:c>
      <x:c r="DF95" s="107" t="n">
        <x:f>SUM(IF($B$8=1,DF27,0),IF($B$36=1,DF55,0),IF($B$64=1,DF83,0))</x:f>
      </x:c>
      <x:c r="DG95" s="107" t="n">
        <x:f>SUM(IF($B$8=1,DG27,0),IF($B$36=1,DG55,0),IF($B$64=1,DG83,0))</x:f>
      </x:c>
      <x:c r="DH95" s="107" t="n">
        <x:f>SUM(IF($B$8=1,DH27,0),IF($B$36=1,DH55,0),IF($B$64=1,DH83,0))</x:f>
      </x:c>
      <x:c r="DI95" s="107" t="n">
        <x:f>SUM(IF($B$8=1,DI27,0),IF($B$36=1,DI55,0),IF($B$64=1,DI83,0))</x:f>
      </x:c>
      <x:c r="DJ95" s="107" t="n">
        <x:f>SUM(IF($B$8=1,DJ27,0),IF($B$36=1,DJ55,0),IF($B$64=1,DJ83,0))</x:f>
      </x:c>
      <x:c r="DK95" s="107" t="n">
        <x:f>SUM(IF($B$8=1,DK27,0),IF($B$36=1,DK55,0),IF($B$64=1,DK83,0))</x:f>
      </x:c>
      <x:c r="DL95" s="107" t="n">
        <x:f>SUM(IF($B$8=1,DL27,0),IF($B$36=1,DL55,0),IF($B$64=1,DL83,0))</x:f>
      </x:c>
      <x:c r="DM95" s="107" t="n">
        <x:f>SUM(IF($B$8=1,DM27,0),IF($B$36=1,DM55,0),IF($B$64=1,DM83,0))</x:f>
      </x:c>
      <x:c r="DN95" s="107" t="n">
        <x:f>SUM(IF($B$8=1,DN27,0),IF($B$36=1,DN55,0),IF($B$64=1,DN83,0))</x:f>
      </x:c>
      <x:c r="DO95" s="107" t="n">
        <x:f>SUM(IF($B$8=1,DO27,0),IF($B$36=1,DO55,0),IF($B$64=1,DO83,0))</x:f>
      </x:c>
      <x:c r="DP95" s="107" t="n">
        <x:f>SUM(IF($B$8=1,DP27,0),IF($B$36=1,DP55,0),IF($B$64=1,DP83,0))</x:f>
      </x:c>
      <x:c r="DQ95" s="107" t="n">
        <x:f>SUM(IF($B$8=1,DQ27,0),IF($B$36=1,DQ55,0),IF($B$64=1,DQ83,0))</x:f>
      </x:c>
      <x:c r="DR95" s="107" t="n">
        <x:f>SUM(IF($B$8=1,DR27,0),IF($B$36=1,DR55,0),IF($B$64=1,DR83,0))</x:f>
      </x:c>
      <x:c r="DS95" s="107" t="n">
        <x:f>SUM(IF($B$8=1,DS27,0),IF($B$36=1,DS55,0),IF($B$64=1,DS83,0))</x:f>
      </x:c>
      <x:c r="DT95" s="107" t="n">
        <x:f>SUM(IF($B$8=1,DT27,0),IF($B$36=1,DT55,0),IF($B$64=1,DT83,0))</x:f>
      </x:c>
      <x:c r="DU95" s="107" t="n">
        <x:f>SUM(IF($B$8=1,DU27,0),IF($B$36=1,DU55,0),IF($B$64=1,DU83,0))</x:f>
      </x:c>
      <x:c r="DV95" s="107" t="n">
        <x:f>SUM(IF($B$8=1,DV27,0),IF($B$36=1,DV55,0),IF($B$64=1,DV83,0))</x:f>
      </x:c>
      <x:c r="DW95" s="107" t="n">
        <x:f>SUM(IF($B$8=1,DW27,0),IF($B$36=1,DW55,0),IF($B$64=1,DW83,0))</x:f>
      </x:c>
      <x:c r="DX95" s="107" t="n">
        <x:f>SUM(IF($B$8=1,DX27,0),IF($B$36=1,DX55,0),IF($B$64=1,DX83,0))</x:f>
      </x:c>
      <x:c r="DY95" s="107" t="n">
        <x:f>SUM(IF($B$8=1,DY27,0),IF($B$36=1,DY55,0),IF($B$64=1,DY83,0))</x:f>
      </x:c>
      <x:c r="DZ95" s="107" t="n">
        <x:f>SUM(IF($B$8=1,DZ27,0),IF($B$36=1,DZ55,0),IF($B$64=1,DZ83,0))</x:f>
      </x:c>
      <x:c r="EA95" s="107" t="n">
        <x:f>SUM(IF($B$8=1,EA27,0),IF($B$36=1,EA55,0),IF($B$64=1,EA83,0))</x:f>
      </x:c>
      <x:c r="EB95" s="107" t="n">
        <x:f>SUM(IF($B$8=1,EB27,0),IF($B$36=1,EB55,0),IF($B$64=1,EB83,0))</x:f>
      </x:c>
      <x:c r="EC95" s="107" t="n">
        <x:f>SUM(IF($B$8=1,EC27,0),IF($B$36=1,EC55,0),IF($B$64=1,EC83,0))</x:f>
      </x:c>
      <x:c r="ED95" s="107" t="n">
        <x:f>SUM(IF($B$8=1,ED27,0),IF($B$36=1,ED55,0),IF($B$64=1,ED83,0))</x:f>
      </x:c>
      <x:c r="EE95" s="107" t="n">
        <x:f>SUM(IF($B$8=1,EE27,0),IF($B$36=1,EE55,0),IF($B$64=1,EE83,0))</x:f>
      </x:c>
      <x:c r="EF95" s="107" t="n">
        <x:f>SUM(IF($B$8=1,EF27,0),IF($B$36=1,EF55,0),IF($B$64=1,EF83,0))</x:f>
      </x:c>
      <x:c r="EG95" s="107" t="n">
        <x:f>SUM(IF($B$8=1,EG27,0),IF($B$36=1,EG55,0),IF($B$64=1,EG83,0))</x:f>
      </x:c>
      <x:c r="EH95" s="107" t="n">
        <x:f>SUM(IF($B$8=1,EH27,0),IF($B$36=1,EH55,0),IF($B$64=1,EH83,0))</x:f>
      </x:c>
      <x:c r="EI95" s="107" t="n">
        <x:f>SUM(IF($B$8=1,EI27,0),IF($B$36=1,EI55,0),IF($B$64=1,EI83,0))</x:f>
      </x:c>
      <x:c r="EJ95" s="107" t="n">
        <x:f>SUM(IF($B$8=1,EJ27,0),IF($B$36=1,EJ55,0),IF($B$64=1,EJ83,0))</x:f>
      </x:c>
      <x:c r="EK95" s="107" t="n">
        <x:f>SUM(IF($B$8=1,EK27,0),IF($B$36=1,EK55,0),IF($B$64=1,EK83,0))</x:f>
      </x:c>
      <x:c r="EL95" s="107" t="n">
        <x:f>SUM(IF($B$8=1,EL27,0),IF($B$36=1,EL55,0),IF($B$64=1,EL83,0))</x:f>
      </x:c>
      <x:c r="EM95" s="107" t="n">
        <x:f>SUM(IF($B$8=1,EM27,0),IF($B$36=1,EM55,0),IF($B$64=1,EM83,0))</x:f>
      </x:c>
      <x:c r="EN95" s="107" t="n">
        <x:f>SUM(IF($B$8=1,EN27,0),IF($B$36=1,EN55,0),IF($B$64=1,EN83,0))</x:f>
      </x:c>
      <x:c r="EO95" s="107" t="n">
        <x:f>SUM(IF($B$8=1,EO27,0),IF($B$36=1,EO55,0),IF($B$64=1,EO83,0))</x:f>
      </x:c>
      <x:c r="EP95" s="107" t="n">
        <x:f>SUM(IF($B$8=1,EP27,0),IF($B$36=1,EP55,0),IF($B$64=1,EP83,0))</x:f>
      </x:c>
      <x:c r="EQ95" s="107" t="n">
        <x:f>SUM(IF($B$8=1,EQ27,0),IF($B$36=1,EQ55,0),IF($B$64=1,EQ83,0))</x:f>
      </x:c>
      <x:c r="ER95" s="107" t="n">
        <x:f>SUM(IF($B$8=1,ER27,0),IF($B$36=1,ER55,0),IF($B$64=1,ER83,0))</x:f>
      </x:c>
      <x:c r="ES95" s="107" t="n">
        <x:f>SUM(IF($B$8=1,ES27,0),IF($B$36=1,ES55,0),IF($B$64=1,ES83,0))</x:f>
      </x:c>
      <x:c r="ET95" s="107" t="n">
        <x:f>SUM(IF($B$8=1,ET27,0),IF($B$36=1,ET55,0),IF($B$64=1,ET83,0))</x:f>
      </x:c>
      <x:c r="EU95" s="107" t="n">
        <x:f>SUM(IF($B$8=1,EU27,0),IF($B$36=1,EU55,0),IF($B$64=1,EU83,0))</x:f>
      </x:c>
      <x:c r="EV95" s="107" t="n">
        <x:f>SUM(IF($B$8=1,EV27,0),IF($B$36=1,EV55,0),IF($B$64=1,EV83,0))</x:f>
      </x:c>
      <x:c r="EW95" s="107" t="n">
        <x:f>SUM(IF($B$8=1,EW27,0),IF($B$36=1,EW55,0),IF($B$64=1,EW83,0))</x:f>
      </x:c>
      <x:c r="EX95" s="107" t="n">
        <x:f>SUM(IF($B$8=1,EX27,0),IF($B$36=1,EX55,0),IF($B$64=1,EX83,0))</x:f>
      </x:c>
      <x:c r="EY95" s="107" t="n">
        <x:f>SUM(IF($B$8=1,EY27,0),IF($B$36=1,EY55,0),IF($B$64=1,EY83,0))</x:f>
      </x:c>
      <x:c r="EZ95" s="107" t="n">
        <x:f>SUM(IF($B$8=1,EZ27,0),IF($B$36=1,EZ55,0),IF($B$64=1,EZ83,0))</x:f>
      </x:c>
      <x:c r="FA95" s="107" t="n">
        <x:f>SUM(IF($B$8=1,FA27,0),IF($B$36=1,FA55,0),IF($B$64=1,FA83,0))</x:f>
      </x:c>
      <x:c r="FB95" s="107" t="n">
        <x:f>SUM(IF($B$8=1,FB27,0),IF($B$36=1,FB55,0),IF($B$64=1,FB83,0))</x:f>
      </x:c>
      <x:c r="FC95" s="107" t="n">
        <x:f>SUM(IF($B$8=1,FC27,0),IF($B$36=1,FC55,0),IF($B$64=1,FC83,0))</x:f>
      </x:c>
      <x:c r="FD95" s="107" t="n">
        <x:f>SUM(IF($B$8=1,FD27,0),IF($B$36=1,FD55,0),IF($B$64=1,FD83,0))</x:f>
      </x:c>
      <x:c r="FE95" s="107" t="n">
        <x:f>SUM(IF($B$8=1,FE27,0),IF($B$36=1,FE55,0),IF($B$64=1,FE83,0))</x:f>
      </x:c>
      <x:c r="FF95" s="107" t="n">
        <x:f>SUM(IF($B$8=1,FF27,0),IF($B$36=1,FF55,0),IF($B$64=1,FF83,0))</x:f>
      </x:c>
      <x:c r="FG95" s="107" t="n">
        <x:f>SUM(IF($B$8=1,FG27,0),IF($B$36=1,FG55,0),IF($B$64=1,FG83,0))</x:f>
      </x:c>
      <x:c r="FH95" s="107" t="n">
        <x:f>SUM(IF($B$8=1,FH27,0),IF($B$36=1,FH55,0),IF($B$64=1,FH83,0))</x:f>
      </x:c>
      <x:c r="FI95" s="107" t="n">
        <x:f>SUM(IF($B$8=1,FI27,0),IF($B$36=1,FI55,0),IF($B$64=1,FI83,0))</x:f>
      </x:c>
      <x:c r="FJ95" s="107" t="n">
        <x:f>SUM(IF($B$8=1,FJ27,0),IF($B$36=1,FJ55,0),IF($B$64=1,FJ83,0))</x:f>
      </x:c>
      <x:c r="FK95" s="107" t="n">
        <x:f>SUM(IF($B$8=1,FK27,0),IF($B$36=1,FK55,0),IF($B$64=1,FK83,0))</x:f>
      </x:c>
      <x:c r="FL95" s="107" t="n">
        <x:f>SUM(IF($B$8=1,FL27,0),IF($B$36=1,FL55,0),IF($B$64=1,FL83,0))</x:f>
      </x:c>
      <x:c r="FM95" s="107" t="n">
        <x:f>SUM(IF($B$8=1,FM27,0),IF($B$36=1,FM55,0),IF($B$64=1,FM83,0))</x:f>
      </x:c>
      <x:c r="FN95" s="107" t="n">
        <x:f>SUM(IF($B$8=1,FN27,0),IF($B$36=1,FN55,0),IF($B$64=1,FN83,0))</x:f>
      </x:c>
      <x:c r="FO95" s="107" t="n">
        <x:f>SUM(IF($B$8=1,FO27,0),IF($B$36=1,FO55,0),IF($B$64=1,FO83,0))</x:f>
      </x:c>
      <x:c r="FP95" s="107" t="n">
        <x:f>SUM(IF($B$8=1,FP27,0),IF($B$36=1,FP55,0),IF($B$64=1,FP83,0))</x:f>
      </x:c>
      <x:c r="FQ95" s="107" t="n">
        <x:f>SUM(IF($B$8=1,FQ27,0),IF($B$36=1,FQ55,0),IF($B$64=1,FQ83,0))</x:f>
      </x:c>
      <x:c r="FR95" s="107" t="n">
        <x:f>SUM(IF($B$8=1,FR27,0),IF($B$36=1,FR55,0),IF($B$64=1,FR83,0))</x:f>
      </x:c>
      <x:c r="FS95" s="107" t="n">
        <x:f>SUM(IF($B$8=1,FS27,0),IF($B$36=1,FS55,0),IF($B$64=1,FS83,0))</x:f>
      </x:c>
      <x:c r="FT95" s="107" t="n">
        <x:f>SUM(IF($B$8=1,FT27,0),IF($B$36=1,FT55,0),IF($B$64=1,FT83,0))</x:f>
      </x:c>
      <x:c r="FU95" s="107" t="n">
        <x:f>SUM(IF($B$8=1,FU27,0),IF($B$36=1,FU55,0),IF($B$64=1,FU83,0))</x:f>
      </x:c>
      <x:c r="FV95" s="107" t="n">
        <x:f>SUM(IF($B$8=1,FV27,0),IF($B$36=1,FV55,0),IF($B$64=1,FV83,0))</x:f>
      </x:c>
      <x:c r="FW95" s="107" t="n">
        <x:f>SUM(IF($B$8=1,FW27,0),IF($B$36=1,FW55,0),IF($B$64=1,FW83,0))</x:f>
      </x:c>
      <x:c r="FX95" s="107" t="n">
        <x:f>SUM(IF($B$8=1,FX27,0),IF($B$36=1,FX55,0),IF($B$64=1,FX83,0))</x:f>
      </x:c>
      <x:c r="FY95" s="107" t="n">
        <x:f>SUM(IF($B$8=1,FY27,0),IF($B$36=1,FY55,0),IF($B$64=1,FY83,0))</x:f>
      </x:c>
      <x:c r="FZ95" s="107" t="n">
        <x:f>SUM(IF($B$8=1,FZ27,0),IF($B$36=1,FZ55,0),IF($B$64=1,FZ83,0))</x:f>
      </x:c>
      <x:c r="GA95" s="107" t="n">
        <x:f>SUM(IF($B$8=1,GA27,0),IF($B$36=1,GA55,0),IF($B$64=1,GA83,0))</x:f>
      </x:c>
    </x:row>
    <x:row r="96">
      <x:c r="A96" t="str">
        <x:v>Очередь 1 — CAPEX объектов</x:v>
      </x:c>
      <x:c r="B96" s="107" t="n">
        <x:f>SUM(D96:GA96)</x:f>
      </x:c>
      <x:c r="C96" t="str">
        <x:v>млн ₽</x:v>
      </x:c>
      <x:c r="D96" s="107" t="n">
        <x:f>SUM(IF($B$8=1,D28,0),IF($B$36=1,D56,0),IF($B$64=1,D84,0))</x:f>
      </x:c>
      <x:c r="E96" s="107" t="n">
        <x:f>SUM(IF($B$8=1,E28,0),IF($B$36=1,E56,0),IF($B$64=1,E84,0))</x:f>
      </x:c>
      <x:c r="F96" s="107" t="n">
        <x:f>SUM(IF($B$8=1,F28,0),IF($B$36=1,F56,0),IF($B$64=1,F84,0))</x:f>
      </x:c>
      <x:c r="G96" s="107" t="n">
        <x:f>SUM(IF($B$8=1,G28,0),IF($B$36=1,G56,0),IF($B$64=1,G84,0))</x:f>
      </x:c>
      <x:c r="H96" s="107" t="n">
        <x:f>SUM(IF($B$8=1,H28,0),IF($B$36=1,H56,0),IF($B$64=1,H84,0))</x:f>
      </x:c>
      <x:c r="I96" s="107" t="n">
        <x:f>SUM(IF($B$8=1,I28,0),IF($B$36=1,I56,0),IF($B$64=1,I84,0))</x:f>
      </x:c>
      <x:c r="J96" s="107" t="n">
        <x:f>SUM(IF($B$8=1,J28,0),IF($B$36=1,J56,0),IF($B$64=1,J84,0))</x:f>
      </x:c>
      <x:c r="K96" s="107" t="n">
        <x:f>SUM(IF($B$8=1,K28,0),IF($B$36=1,K56,0),IF($B$64=1,K84,0))</x:f>
      </x:c>
      <x:c r="L96" s="107" t="n">
        <x:f>SUM(IF($B$8=1,L28,0),IF($B$36=1,L56,0),IF($B$64=1,L84,0))</x:f>
      </x:c>
      <x:c r="M96" s="107" t="n">
        <x:f>SUM(IF($B$8=1,M28,0),IF($B$36=1,M56,0),IF($B$64=1,M84,0))</x:f>
      </x:c>
      <x:c r="N96" s="107" t="n">
        <x:f>SUM(IF($B$8=1,N28,0),IF($B$36=1,N56,0),IF($B$64=1,N84,0))</x:f>
      </x:c>
      <x:c r="O96" s="107" t="n">
        <x:f>SUM(IF($B$8=1,O28,0),IF($B$36=1,O56,0),IF($B$64=1,O84,0))</x:f>
      </x:c>
      <x:c r="P96" s="107" t="n">
        <x:f>SUM(IF($B$8=1,P28,0),IF($B$36=1,P56,0),IF($B$64=1,P84,0))</x:f>
      </x:c>
      <x:c r="Q96" s="107" t="n">
        <x:f>SUM(IF($B$8=1,Q28,0),IF($B$36=1,Q56,0),IF($B$64=1,Q84,0))</x:f>
      </x:c>
      <x:c r="R96" s="107" t="n">
        <x:f>SUM(IF($B$8=1,R28,0),IF($B$36=1,R56,0),IF($B$64=1,R84,0))</x:f>
      </x:c>
      <x:c r="S96" s="107" t="n">
        <x:f>SUM(IF($B$8=1,S28,0),IF($B$36=1,S56,0),IF($B$64=1,S84,0))</x:f>
      </x:c>
      <x:c r="T96" s="107" t="n">
        <x:f>SUM(IF($B$8=1,T28,0),IF($B$36=1,T56,0),IF($B$64=1,T84,0))</x:f>
      </x:c>
      <x:c r="U96" s="107" t="n">
        <x:f>SUM(IF($B$8=1,U28,0),IF($B$36=1,U56,0),IF($B$64=1,U84,0))</x:f>
      </x:c>
      <x:c r="V96" s="107" t="n">
        <x:f>SUM(IF($B$8=1,V28,0),IF($B$36=1,V56,0),IF($B$64=1,V84,0))</x:f>
      </x:c>
      <x:c r="W96" s="107" t="n">
        <x:f>SUM(IF($B$8=1,W28,0),IF($B$36=1,W56,0),IF($B$64=1,W84,0))</x:f>
      </x:c>
      <x:c r="X96" s="107" t="n">
        <x:f>SUM(IF($B$8=1,X28,0),IF($B$36=1,X56,0),IF($B$64=1,X84,0))</x:f>
      </x:c>
      <x:c r="Y96" s="107" t="n">
        <x:f>SUM(IF($B$8=1,Y28,0),IF($B$36=1,Y56,0),IF($B$64=1,Y84,0))</x:f>
      </x:c>
      <x:c r="Z96" s="107" t="n">
        <x:f>SUM(IF($B$8=1,Z28,0),IF($B$36=1,Z56,0),IF($B$64=1,Z84,0))</x:f>
      </x:c>
      <x:c r="AA96" s="107" t="n">
        <x:f>SUM(IF($B$8=1,AA28,0),IF($B$36=1,AA56,0),IF($B$64=1,AA84,0))</x:f>
      </x:c>
      <x:c r="AB96" s="107" t="n">
        <x:f>SUM(IF($B$8=1,AB28,0),IF($B$36=1,AB56,0),IF($B$64=1,AB84,0))</x:f>
      </x:c>
      <x:c r="AC96" s="107" t="n">
        <x:f>SUM(IF($B$8=1,AC28,0),IF($B$36=1,AC56,0),IF($B$64=1,AC84,0))</x:f>
      </x:c>
      <x:c r="AD96" s="107" t="n">
        <x:f>SUM(IF($B$8=1,AD28,0),IF($B$36=1,AD56,0),IF($B$64=1,AD84,0))</x:f>
      </x:c>
      <x:c r="AE96" s="107" t="n">
        <x:f>SUM(IF($B$8=1,AE28,0),IF($B$36=1,AE56,0),IF($B$64=1,AE84,0))</x:f>
      </x:c>
      <x:c r="AF96" s="107" t="n">
        <x:f>SUM(IF($B$8=1,AF28,0),IF($B$36=1,AF56,0),IF($B$64=1,AF84,0))</x:f>
      </x:c>
      <x:c r="AG96" s="107" t="n">
        <x:f>SUM(IF($B$8=1,AG28,0),IF($B$36=1,AG56,0),IF($B$64=1,AG84,0))</x:f>
      </x:c>
      <x:c r="AH96" s="107" t="n">
        <x:f>SUM(IF($B$8=1,AH28,0),IF($B$36=1,AH56,0),IF($B$64=1,AH84,0))</x:f>
      </x:c>
      <x:c r="AI96" s="107" t="n">
        <x:f>SUM(IF($B$8=1,AI28,0),IF($B$36=1,AI56,0),IF($B$64=1,AI84,0))</x:f>
      </x:c>
      <x:c r="AJ96" s="107" t="n">
        <x:f>SUM(IF($B$8=1,AJ28,0),IF($B$36=1,AJ56,0),IF($B$64=1,AJ84,0))</x:f>
      </x:c>
      <x:c r="AK96" s="107" t="n">
        <x:f>SUM(IF($B$8=1,AK28,0),IF($B$36=1,AK56,0),IF($B$64=1,AK84,0))</x:f>
      </x:c>
      <x:c r="AL96" s="107" t="n">
        <x:f>SUM(IF($B$8=1,AL28,0),IF($B$36=1,AL56,0),IF($B$64=1,AL84,0))</x:f>
      </x:c>
      <x:c r="AM96" s="107" t="n">
        <x:f>SUM(IF($B$8=1,AM28,0),IF($B$36=1,AM56,0),IF($B$64=1,AM84,0))</x:f>
      </x:c>
      <x:c r="AN96" s="107" t="n">
        <x:f>SUM(IF($B$8=1,AN28,0),IF($B$36=1,AN56,0),IF($B$64=1,AN84,0))</x:f>
      </x:c>
      <x:c r="AO96" s="107" t="n">
        <x:f>SUM(IF($B$8=1,AO28,0),IF($B$36=1,AO56,0),IF($B$64=1,AO84,0))</x:f>
      </x:c>
      <x:c r="AP96" s="107" t="n">
        <x:f>SUM(IF($B$8=1,AP28,0),IF($B$36=1,AP56,0),IF($B$64=1,AP84,0))</x:f>
      </x:c>
      <x:c r="AQ96" s="107" t="n">
        <x:f>SUM(IF($B$8=1,AQ28,0),IF($B$36=1,AQ56,0),IF($B$64=1,AQ84,0))</x:f>
      </x:c>
      <x:c r="AR96" s="107" t="n">
        <x:f>SUM(IF($B$8=1,AR28,0),IF($B$36=1,AR56,0),IF($B$64=1,AR84,0))</x:f>
      </x:c>
      <x:c r="AS96" s="107" t="n">
        <x:f>SUM(IF($B$8=1,AS28,0),IF($B$36=1,AS56,0),IF($B$64=1,AS84,0))</x:f>
      </x:c>
      <x:c r="AT96" s="107" t="n">
        <x:f>SUM(IF($B$8=1,AT28,0),IF($B$36=1,AT56,0),IF($B$64=1,AT84,0))</x:f>
      </x:c>
      <x:c r="AU96" s="107" t="n">
        <x:f>SUM(IF($B$8=1,AU28,0),IF($B$36=1,AU56,0),IF($B$64=1,AU84,0))</x:f>
      </x:c>
      <x:c r="AV96" s="107" t="n">
        <x:f>SUM(IF($B$8=1,AV28,0),IF($B$36=1,AV56,0),IF($B$64=1,AV84,0))</x:f>
      </x:c>
      <x:c r="AW96" s="107" t="n">
        <x:f>SUM(IF($B$8=1,AW28,0),IF($B$36=1,AW56,0),IF($B$64=1,AW84,0))</x:f>
      </x:c>
      <x:c r="AX96" s="107" t="n">
        <x:f>SUM(IF($B$8=1,AX28,0),IF($B$36=1,AX56,0),IF($B$64=1,AX84,0))</x:f>
      </x:c>
      <x:c r="AY96" s="107" t="n">
        <x:f>SUM(IF($B$8=1,AY28,0),IF($B$36=1,AY56,0),IF($B$64=1,AY84,0))</x:f>
      </x:c>
      <x:c r="AZ96" s="107" t="n">
        <x:f>SUM(IF($B$8=1,AZ28,0),IF($B$36=1,AZ56,0),IF($B$64=1,AZ84,0))</x:f>
      </x:c>
      <x:c r="BA96" s="107" t="n">
        <x:f>SUM(IF($B$8=1,BA28,0),IF($B$36=1,BA56,0),IF($B$64=1,BA84,0))</x:f>
      </x:c>
      <x:c r="BB96" s="107" t="n">
        <x:f>SUM(IF($B$8=1,BB28,0),IF($B$36=1,BB56,0),IF($B$64=1,BB84,0))</x:f>
      </x:c>
      <x:c r="BC96" s="107" t="n">
        <x:f>SUM(IF($B$8=1,BC28,0),IF($B$36=1,BC56,0),IF($B$64=1,BC84,0))</x:f>
      </x:c>
      <x:c r="BD96" s="107" t="n">
        <x:f>SUM(IF($B$8=1,BD28,0),IF($B$36=1,BD56,0),IF($B$64=1,BD84,0))</x:f>
      </x:c>
      <x:c r="BE96" s="107" t="n">
        <x:f>SUM(IF($B$8=1,BE28,0),IF($B$36=1,BE56,0),IF($B$64=1,BE84,0))</x:f>
      </x:c>
      <x:c r="BF96" s="107" t="n">
        <x:f>SUM(IF($B$8=1,BF28,0),IF($B$36=1,BF56,0),IF($B$64=1,BF84,0))</x:f>
      </x:c>
      <x:c r="BG96" s="107" t="n">
        <x:f>SUM(IF($B$8=1,BG28,0),IF($B$36=1,BG56,0),IF($B$64=1,BG84,0))</x:f>
      </x:c>
      <x:c r="BH96" s="107" t="n">
        <x:f>SUM(IF($B$8=1,BH28,0),IF($B$36=1,BH56,0),IF($B$64=1,BH84,0))</x:f>
      </x:c>
      <x:c r="BI96" s="107" t="n">
        <x:f>SUM(IF($B$8=1,BI28,0),IF($B$36=1,BI56,0),IF($B$64=1,BI84,0))</x:f>
      </x:c>
      <x:c r="BJ96" s="107" t="n">
        <x:f>SUM(IF($B$8=1,BJ28,0),IF($B$36=1,BJ56,0),IF($B$64=1,BJ84,0))</x:f>
      </x:c>
      <x:c r="BK96" s="107" t="n">
        <x:f>SUM(IF($B$8=1,BK28,0),IF($B$36=1,BK56,0),IF($B$64=1,BK84,0))</x:f>
      </x:c>
      <x:c r="BL96" s="107" t="n">
        <x:f>SUM(IF($B$8=1,BL28,0),IF($B$36=1,BL56,0),IF($B$64=1,BL84,0))</x:f>
      </x:c>
      <x:c r="BM96" s="107" t="n">
        <x:f>SUM(IF($B$8=1,BM28,0),IF($B$36=1,BM56,0),IF($B$64=1,BM84,0))</x:f>
      </x:c>
      <x:c r="BN96" s="107" t="n">
        <x:f>SUM(IF($B$8=1,BN28,0),IF($B$36=1,BN56,0),IF($B$64=1,BN84,0))</x:f>
      </x:c>
      <x:c r="BO96" s="107" t="n">
        <x:f>SUM(IF($B$8=1,BO28,0),IF($B$36=1,BO56,0),IF($B$64=1,BO84,0))</x:f>
      </x:c>
      <x:c r="BP96" s="107" t="n">
        <x:f>SUM(IF($B$8=1,BP28,0),IF($B$36=1,BP56,0),IF($B$64=1,BP84,0))</x:f>
      </x:c>
      <x:c r="BQ96" s="107" t="n">
        <x:f>SUM(IF($B$8=1,BQ28,0),IF($B$36=1,BQ56,0),IF($B$64=1,BQ84,0))</x:f>
      </x:c>
      <x:c r="BR96" s="107" t="n">
        <x:f>SUM(IF($B$8=1,BR28,0),IF($B$36=1,BR56,0),IF($B$64=1,BR84,0))</x:f>
      </x:c>
      <x:c r="BS96" s="107" t="n">
        <x:f>SUM(IF($B$8=1,BS28,0),IF($B$36=1,BS56,0),IF($B$64=1,BS84,0))</x:f>
      </x:c>
      <x:c r="BT96" s="107" t="n">
        <x:f>SUM(IF($B$8=1,BT28,0),IF($B$36=1,BT56,0),IF($B$64=1,BT84,0))</x:f>
      </x:c>
      <x:c r="BU96" s="107" t="n">
        <x:f>SUM(IF($B$8=1,BU28,0),IF($B$36=1,BU56,0),IF($B$64=1,BU84,0))</x:f>
      </x:c>
      <x:c r="BV96" s="107" t="n">
        <x:f>SUM(IF($B$8=1,BV28,0),IF($B$36=1,BV56,0),IF($B$64=1,BV84,0))</x:f>
      </x:c>
      <x:c r="BW96" s="107" t="n">
        <x:f>SUM(IF($B$8=1,BW28,0),IF($B$36=1,BW56,0),IF($B$64=1,BW84,0))</x:f>
      </x:c>
      <x:c r="BX96" s="107" t="n">
        <x:f>SUM(IF($B$8=1,BX28,0),IF($B$36=1,BX56,0),IF($B$64=1,BX84,0))</x:f>
      </x:c>
      <x:c r="BY96" s="107" t="n">
        <x:f>SUM(IF($B$8=1,BY28,0),IF($B$36=1,BY56,0),IF($B$64=1,BY84,0))</x:f>
      </x:c>
      <x:c r="BZ96" s="107" t="n">
        <x:f>SUM(IF($B$8=1,BZ28,0),IF($B$36=1,BZ56,0),IF($B$64=1,BZ84,0))</x:f>
      </x:c>
      <x:c r="CA96" s="107" t="n">
        <x:f>SUM(IF($B$8=1,CA28,0),IF($B$36=1,CA56,0),IF($B$64=1,CA84,0))</x:f>
      </x:c>
      <x:c r="CB96" s="107" t="n">
        <x:f>SUM(IF($B$8=1,CB28,0),IF($B$36=1,CB56,0),IF($B$64=1,CB84,0))</x:f>
      </x:c>
      <x:c r="CC96" s="107" t="n">
        <x:f>SUM(IF($B$8=1,CC28,0),IF($B$36=1,CC56,0),IF($B$64=1,CC84,0))</x:f>
      </x:c>
      <x:c r="CD96" s="107" t="n">
        <x:f>SUM(IF($B$8=1,CD28,0),IF($B$36=1,CD56,0),IF($B$64=1,CD84,0))</x:f>
      </x:c>
      <x:c r="CE96" s="107" t="n">
        <x:f>SUM(IF($B$8=1,CE28,0),IF($B$36=1,CE56,0),IF($B$64=1,CE84,0))</x:f>
      </x:c>
      <x:c r="CF96" s="107" t="n">
        <x:f>SUM(IF($B$8=1,CF28,0),IF($B$36=1,CF56,0),IF($B$64=1,CF84,0))</x:f>
      </x:c>
      <x:c r="CG96" s="107" t="n">
        <x:f>SUM(IF($B$8=1,CG28,0),IF($B$36=1,CG56,0),IF($B$64=1,CG84,0))</x:f>
      </x:c>
      <x:c r="CH96" s="107" t="n">
        <x:f>SUM(IF($B$8=1,CH28,0),IF($B$36=1,CH56,0),IF($B$64=1,CH84,0))</x:f>
      </x:c>
      <x:c r="CI96" s="107" t="n">
        <x:f>SUM(IF($B$8=1,CI28,0),IF($B$36=1,CI56,0),IF($B$64=1,CI84,0))</x:f>
      </x:c>
      <x:c r="CJ96" s="107" t="n">
        <x:f>SUM(IF($B$8=1,CJ28,0),IF($B$36=1,CJ56,0),IF($B$64=1,CJ84,0))</x:f>
      </x:c>
      <x:c r="CK96" s="107" t="n">
        <x:f>SUM(IF($B$8=1,CK28,0),IF($B$36=1,CK56,0),IF($B$64=1,CK84,0))</x:f>
      </x:c>
      <x:c r="CL96" s="107" t="n">
        <x:f>SUM(IF($B$8=1,CL28,0),IF($B$36=1,CL56,0),IF($B$64=1,CL84,0))</x:f>
      </x:c>
      <x:c r="CM96" s="107" t="n">
        <x:f>SUM(IF($B$8=1,CM28,0),IF($B$36=1,CM56,0),IF($B$64=1,CM84,0))</x:f>
      </x:c>
      <x:c r="CN96" s="107" t="n">
        <x:f>SUM(IF($B$8=1,CN28,0),IF($B$36=1,CN56,0),IF($B$64=1,CN84,0))</x:f>
      </x:c>
      <x:c r="CO96" s="107" t="n">
        <x:f>SUM(IF($B$8=1,CO28,0),IF($B$36=1,CO56,0),IF($B$64=1,CO84,0))</x:f>
      </x:c>
      <x:c r="CP96" s="107" t="n">
        <x:f>SUM(IF($B$8=1,CP28,0),IF($B$36=1,CP56,0),IF($B$64=1,CP84,0))</x:f>
      </x:c>
      <x:c r="CQ96" s="107" t="n">
        <x:f>SUM(IF($B$8=1,CQ28,0),IF($B$36=1,CQ56,0),IF($B$64=1,CQ84,0))</x:f>
      </x:c>
      <x:c r="CR96" s="107" t="n">
        <x:f>SUM(IF($B$8=1,CR28,0),IF($B$36=1,CR56,0),IF($B$64=1,CR84,0))</x:f>
      </x:c>
      <x:c r="CS96" s="107" t="n">
        <x:f>SUM(IF($B$8=1,CS28,0),IF($B$36=1,CS56,0),IF($B$64=1,CS84,0))</x:f>
      </x:c>
      <x:c r="CT96" s="107" t="n">
        <x:f>SUM(IF($B$8=1,CT28,0),IF($B$36=1,CT56,0),IF($B$64=1,CT84,0))</x:f>
      </x:c>
      <x:c r="CU96" s="107" t="n">
        <x:f>SUM(IF($B$8=1,CU28,0),IF($B$36=1,CU56,0),IF($B$64=1,CU84,0))</x:f>
      </x:c>
      <x:c r="CV96" s="107" t="n">
        <x:f>SUM(IF($B$8=1,CV28,0),IF($B$36=1,CV56,0),IF($B$64=1,CV84,0))</x:f>
      </x:c>
      <x:c r="CW96" s="107" t="n">
        <x:f>SUM(IF($B$8=1,CW28,0),IF($B$36=1,CW56,0),IF($B$64=1,CW84,0))</x:f>
      </x:c>
      <x:c r="CX96" s="107" t="n">
        <x:f>SUM(IF($B$8=1,CX28,0),IF($B$36=1,CX56,0),IF($B$64=1,CX84,0))</x:f>
      </x:c>
      <x:c r="CY96" s="107" t="n">
        <x:f>SUM(IF($B$8=1,CY28,0),IF($B$36=1,CY56,0),IF($B$64=1,CY84,0))</x:f>
      </x:c>
      <x:c r="CZ96" s="107" t="n">
        <x:f>SUM(IF($B$8=1,CZ28,0),IF($B$36=1,CZ56,0),IF($B$64=1,CZ84,0))</x:f>
      </x:c>
      <x:c r="DA96" s="107" t="n">
        <x:f>SUM(IF($B$8=1,DA28,0),IF($B$36=1,DA56,0),IF($B$64=1,DA84,0))</x:f>
      </x:c>
      <x:c r="DB96" s="107" t="n">
        <x:f>SUM(IF($B$8=1,DB28,0),IF($B$36=1,DB56,0),IF($B$64=1,DB84,0))</x:f>
      </x:c>
      <x:c r="DC96" s="107" t="n">
        <x:f>SUM(IF($B$8=1,DC28,0),IF($B$36=1,DC56,0),IF($B$64=1,DC84,0))</x:f>
      </x:c>
      <x:c r="DD96" s="107" t="n">
        <x:f>SUM(IF($B$8=1,DD28,0),IF($B$36=1,DD56,0),IF($B$64=1,DD84,0))</x:f>
      </x:c>
      <x:c r="DE96" s="107" t="n">
        <x:f>SUM(IF($B$8=1,DE28,0),IF($B$36=1,DE56,0),IF($B$64=1,DE84,0))</x:f>
      </x:c>
      <x:c r="DF96" s="107" t="n">
        <x:f>SUM(IF($B$8=1,DF28,0),IF($B$36=1,DF56,0),IF($B$64=1,DF84,0))</x:f>
      </x:c>
      <x:c r="DG96" s="107" t="n">
        <x:f>SUM(IF($B$8=1,DG28,0),IF($B$36=1,DG56,0),IF($B$64=1,DG84,0))</x:f>
      </x:c>
      <x:c r="DH96" s="107" t="n">
        <x:f>SUM(IF($B$8=1,DH28,0),IF($B$36=1,DH56,0),IF($B$64=1,DH84,0))</x:f>
      </x:c>
      <x:c r="DI96" s="107" t="n">
        <x:f>SUM(IF($B$8=1,DI28,0),IF($B$36=1,DI56,0),IF($B$64=1,DI84,0))</x:f>
      </x:c>
      <x:c r="DJ96" s="107" t="n">
        <x:f>SUM(IF($B$8=1,DJ28,0),IF($B$36=1,DJ56,0),IF($B$64=1,DJ84,0))</x:f>
      </x:c>
      <x:c r="DK96" s="107" t="n">
        <x:f>SUM(IF($B$8=1,DK28,0),IF($B$36=1,DK56,0),IF($B$64=1,DK84,0))</x:f>
      </x:c>
      <x:c r="DL96" s="107" t="n">
        <x:f>SUM(IF($B$8=1,DL28,0),IF($B$36=1,DL56,0),IF($B$64=1,DL84,0))</x:f>
      </x:c>
      <x:c r="DM96" s="107" t="n">
        <x:f>SUM(IF($B$8=1,DM28,0),IF($B$36=1,DM56,0),IF($B$64=1,DM84,0))</x:f>
      </x:c>
      <x:c r="DN96" s="107" t="n">
        <x:f>SUM(IF($B$8=1,DN28,0),IF($B$36=1,DN56,0),IF($B$64=1,DN84,0))</x:f>
      </x:c>
      <x:c r="DO96" s="107" t="n">
        <x:f>SUM(IF($B$8=1,DO28,0),IF($B$36=1,DO56,0),IF($B$64=1,DO84,0))</x:f>
      </x:c>
      <x:c r="DP96" s="107" t="n">
        <x:f>SUM(IF($B$8=1,DP28,0),IF($B$36=1,DP56,0),IF($B$64=1,DP84,0))</x:f>
      </x:c>
      <x:c r="DQ96" s="107" t="n">
        <x:f>SUM(IF($B$8=1,DQ28,0),IF($B$36=1,DQ56,0),IF($B$64=1,DQ84,0))</x:f>
      </x:c>
      <x:c r="DR96" s="107" t="n">
        <x:f>SUM(IF($B$8=1,DR28,0),IF($B$36=1,DR56,0),IF($B$64=1,DR84,0))</x:f>
      </x:c>
      <x:c r="DS96" s="107" t="n">
        <x:f>SUM(IF($B$8=1,DS28,0),IF($B$36=1,DS56,0),IF($B$64=1,DS84,0))</x:f>
      </x:c>
      <x:c r="DT96" s="107" t="n">
        <x:f>SUM(IF($B$8=1,DT28,0),IF($B$36=1,DT56,0),IF($B$64=1,DT84,0))</x:f>
      </x:c>
      <x:c r="DU96" s="107" t="n">
        <x:f>SUM(IF($B$8=1,DU28,0),IF($B$36=1,DU56,0),IF($B$64=1,DU84,0))</x:f>
      </x:c>
      <x:c r="DV96" s="107" t="n">
        <x:f>SUM(IF($B$8=1,DV28,0),IF($B$36=1,DV56,0),IF($B$64=1,DV84,0))</x:f>
      </x:c>
      <x:c r="DW96" s="107" t="n">
        <x:f>SUM(IF($B$8=1,DW28,0),IF($B$36=1,DW56,0),IF($B$64=1,DW84,0))</x:f>
      </x:c>
      <x:c r="DX96" s="107" t="n">
        <x:f>SUM(IF($B$8=1,DX28,0),IF($B$36=1,DX56,0),IF($B$64=1,DX84,0))</x:f>
      </x:c>
      <x:c r="DY96" s="107" t="n">
        <x:f>SUM(IF($B$8=1,DY28,0),IF($B$36=1,DY56,0),IF($B$64=1,DY84,0))</x:f>
      </x:c>
      <x:c r="DZ96" s="107" t="n">
        <x:f>SUM(IF($B$8=1,DZ28,0),IF($B$36=1,DZ56,0),IF($B$64=1,DZ84,0))</x:f>
      </x:c>
      <x:c r="EA96" s="107" t="n">
        <x:f>SUM(IF($B$8=1,EA28,0),IF($B$36=1,EA56,0),IF($B$64=1,EA84,0))</x:f>
      </x:c>
      <x:c r="EB96" s="107" t="n">
        <x:f>SUM(IF($B$8=1,EB28,0),IF($B$36=1,EB56,0),IF($B$64=1,EB84,0))</x:f>
      </x:c>
      <x:c r="EC96" s="107" t="n">
        <x:f>SUM(IF($B$8=1,EC28,0),IF($B$36=1,EC56,0),IF($B$64=1,EC84,0))</x:f>
      </x:c>
      <x:c r="ED96" s="107" t="n">
        <x:f>SUM(IF($B$8=1,ED28,0),IF($B$36=1,ED56,0),IF($B$64=1,ED84,0))</x:f>
      </x:c>
      <x:c r="EE96" s="107" t="n">
        <x:f>SUM(IF($B$8=1,EE28,0),IF($B$36=1,EE56,0),IF($B$64=1,EE84,0))</x:f>
      </x:c>
      <x:c r="EF96" s="107" t="n">
        <x:f>SUM(IF($B$8=1,EF28,0),IF($B$36=1,EF56,0),IF($B$64=1,EF84,0))</x:f>
      </x:c>
      <x:c r="EG96" s="107" t="n">
        <x:f>SUM(IF($B$8=1,EG28,0),IF($B$36=1,EG56,0),IF($B$64=1,EG84,0))</x:f>
      </x:c>
      <x:c r="EH96" s="107" t="n">
        <x:f>SUM(IF($B$8=1,EH28,0),IF($B$36=1,EH56,0),IF($B$64=1,EH84,0))</x:f>
      </x:c>
      <x:c r="EI96" s="107" t="n">
        <x:f>SUM(IF($B$8=1,EI28,0),IF($B$36=1,EI56,0),IF($B$64=1,EI84,0))</x:f>
      </x:c>
      <x:c r="EJ96" s="107" t="n">
        <x:f>SUM(IF($B$8=1,EJ28,0),IF($B$36=1,EJ56,0),IF($B$64=1,EJ84,0))</x:f>
      </x:c>
      <x:c r="EK96" s="107" t="n">
        <x:f>SUM(IF($B$8=1,EK28,0),IF($B$36=1,EK56,0),IF($B$64=1,EK84,0))</x:f>
      </x:c>
      <x:c r="EL96" s="107" t="n">
        <x:f>SUM(IF($B$8=1,EL28,0),IF($B$36=1,EL56,0),IF($B$64=1,EL84,0))</x:f>
      </x:c>
      <x:c r="EM96" s="107" t="n">
        <x:f>SUM(IF($B$8=1,EM28,0),IF($B$36=1,EM56,0),IF($B$64=1,EM84,0))</x:f>
      </x:c>
      <x:c r="EN96" s="107" t="n">
        <x:f>SUM(IF($B$8=1,EN28,0),IF($B$36=1,EN56,0),IF($B$64=1,EN84,0))</x:f>
      </x:c>
      <x:c r="EO96" s="107" t="n">
        <x:f>SUM(IF($B$8=1,EO28,0),IF($B$36=1,EO56,0),IF($B$64=1,EO84,0))</x:f>
      </x:c>
      <x:c r="EP96" s="107" t="n">
        <x:f>SUM(IF($B$8=1,EP28,0),IF($B$36=1,EP56,0),IF($B$64=1,EP84,0))</x:f>
      </x:c>
      <x:c r="EQ96" s="107" t="n">
        <x:f>SUM(IF($B$8=1,EQ28,0),IF($B$36=1,EQ56,0),IF($B$64=1,EQ84,0))</x:f>
      </x:c>
      <x:c r="ER96" s="107" t="n">
        <x:f>SUM(IF($B$8=1,ER28,0),IF($B$36=1,ER56,0),IF($B$64=1,ER84,0))</x:f>
      </x:c>
      <x:c r="ES96" s="107" t="n">
        <x:f>SUM(IF($B$8=1,ES28,0),IF($B$36=1,ES56,0),IF($B$64=1,ES84,0))</x:f>
      </x:c>
      <x:c r="ET96" s="107" t="n">
        <x:f>SUM(IF($B$8=1,ET28,0),IF($B$36=1,ET56,0),IF($B$64=1,ET84,0))</x:f>
      </x:c>
      <x:c r="EU96" s="107" t="n">
        <x:f>SUM(IF($B$8=1,EU28,0),IF($B$36=1,EU56,0),IF($B$64=1,EU84,0))</x:f>
      </x:c>
      <x:c r="EV96" s="107" t="n">
        <x:f>SUM(IF($B$8=1,EV28,0),IF($B$36=1,EV56,0),IF($B$64=1,EV84,0))</x:f>
      </x:c>
      <x:c r="EW96" s="107" t="n">
        <x:f>SUM(IF($B$8=1,EW28,0),IF($B$36=1,EW56,0),IF($B$64=1,EW84,0))</x:f>
      </x:c>
      <x:c r="EX96" s="107" t="n">
        <x:f>SUM(IF($B$8=1,EX28,0),IF($B$36=1,EX56,0),IF($B$64=1,EX84,0))</x:f>
      </x:c>
      <x:c r="EY96" s="107" t="n">
        <x:f>SUM(IF($B$8=1,EY28,0),IF($B$36=1,EY56,0),IF($B$64=1,EY84,0))</x:f>
      </x:c>
      <x:c r="EZ96" s="107" t="n">
        <x:f>SUM(IF($B$8=1,EZ28,0),IF($B$36=1,EZ56,0),IF($B$64=1,EZ84,0))</x:f>
      </x:c>
      <x:c r="FA96" s="107" t="n">
        <x:f>SUM(IF($B$8=1,FA28,0),IF($B$36=1,FA56,0),IF($B$64=1,FA84,0))</x:f>
      </x:c>
      <x:c r="FB96" s="107" t="n">
        <x:f>SUM(IF($B$8=1,FB28,0),IF($B$36=1,FB56,0),IF($B$64=1,FB84,0))</x:f>
      </x:c>
      <x:c r="FC96" s="107" t="n">
        <x:f>SUM(IF($B$8=1,FC28,0),IF($B$36=1,FC56,0),IF($B$64=1,FC84,0))</x:f>
      </x:c>
      <x:c r="FD96" s="107" t="n">
        <x:f>SUM(IF($B$8=1,FD28,0),IF($B$36=1,FD56,0),IF($B$64=1,FD84,0))</x:f>
      </x:c>
      <x:c r="FE96" s="107" t="n">
        <x:f>SUM(IF($B$8=1,FE28,0),IF($B$36=1,FE56,0),IF($B$64=1,FE84,0))</x:f>
      </x:c>
      <x:c r="FF96" s="107" t="n">
        <x:f>SUM(IF($B$8=1,FF28,0),IF($B$36=1,FF56,0),IF($B$64=1,FF84,0))</x:f>
      </x:c>
      <x:c r="FG96" s="107" t="n">
        <x:f>SUM(IF($B$8=1,FG28,0),IF($B$36=1,FG56,0),IF($B$64=1,FG84,0))</x:f>
      </x:c>
      <x:c r="FH96" s="107" t="n">
        <x:f>SUM(IF($B$8=1,FH28,0),IF($B$36=1,FH56,0),IF($B$64=1,FH84,0))</x:f>
      </x:c>
      <x:c r="FI96" s="107" t="n">
        <x:f>SUM(IF($B$8=1,FI28,0),IF($B$36=1,FI56,0),IF($B$64=1,FI84,0))</x:f>
      </x:c>
      <x:c r="FJ96" s="107" t="n">
        <x:f>SUM(IF($B$8=1,FJ28,0),IF($B$36=1,FJ56,0),IF($B$64=1,FJ84,0))</x:f>
      </x:c>
      <x:c r="FK96" s="107" t="n">
        <x:f>SUM(IF($B$8=1,FK28,0),IF($B$36=1,FK56,0),IF($B$64=1,FK84,0))</x:f>
      </x:c>
      <x:c r="FL96" s="107" t="n">
        <x:f>SUM(IF($B$8=1,FL28,0),IF($B$36=1,FL56,0),IF($B$64=1,FL84,0))</x:f>
      </x:c>
      <x:c r="FM96" s="107" t="n">
        <x:f>SUM(IF($B$8=1,FM28,0),IF($B$36=1,FM56,0),IF($B$64=1,FM84,0))</x:f>
      </x:c>
      <x:c r="FN96" s="107" t="n">
        <x:f>SUM(IF($B$8=1,FN28,0),IF($B$36=1,FN56,0),IF($B$64=1,FN84,0))</x:f>
      </x:c>
      <x:c r="FO96" s="107" t="n">
        <x:f>SUM(IF($B$8=1,FO28,0),IF($B$36=1,FO56,0),IF($B$64=1,FO84,0))</x:f>
      </x:c>
      <x:c r="FP96" s="107" t="n">
        <x:f>SUM(IF($B$8=1,FP28,0),IF($B$36=1,FP56,0),IF($B$64=1,FP84,0))</x:f>
      </x:c>
      <x:c r="FQ96" s="107" t="n">
        <x:f>SUM(IF($B$8=1,FQ28,0),IF($B$36=1,FQ56,0),IF($B$64=1,FQ84,0))</x:f>
      </x:c>
      <x:c r="FR96" s="107" t="n">
        <x:f>SUM(IF($B$8=1,FR28,0),IF($B$36=1,FR56,0),IF($B$64=1,FR84,0))</x:f>
      </x:c>
      <x:c r="FS96" s="107" t="n">
        <x:f>SUM(IF($B$8=1,FS28,0),IF($B$36=1,FS56,0),IF($B$64=1,FS84,0))</x:f>
      </x:c>
      <x:c r="FT96" s="107" t="n">
        <x:f>SUM(IF($B$8=1,FT28,0),IF($B$36=1,FT56,0),IF($B$64=1,FT84,0))</x:f>
      </x:c>
      <x:c r="FU96" s="107" t="n">
        <x:f>SUM(IF($B$8=1,FU28,0),IF($B$36=1,FU56,0),IF($B$64=1,FU84,0))</x:f>
      </x:c>
      <x:c r="FV96" s="107" t="n">
        <x:f>SUM(IF($B$8=1,FV28,0),IF($B$36=1,FV56,0),IF($B$64=1,FV84,0))</x:f>
      </x:c>
      <x:c r="FW96" s="107" t="n">
        <x:f>SUM(IF($B$8=1,FW28,0),IF($B$36=1,FW56,0),IF($B$64=1,FW84,0))</x:f>
      </x:c>
      <x:c r="FX96" s="107" t="n">
        <x:f>SUM(IF($B$8=1,FX28,0),IF($B$36=1,FX56,0),IF($B$64=1,FX84,0))</x:f>
      </x:c>
      <x:c r="FY96" s="107" t="n">
        <x:f>SUM(IF($B$8=1,FY28,0),IF($B$36=1,FY56,0),IF($B$64=1,FY84,0))</x:f>
      </x:c>
      <x:c r="FZ96" s="107" t="n">
        <x:f>SUM(IF($B$8=1,FZ28,0),IF($B$36=1,FZ56,0),IF($B$64=1,FZ84,0))</x:f>
      </x:c>
      <x:c r="GA96" s="107" t="n">
        <x:f>SUM(IF($B$8=1,GA28,0),IF($B$36=1,GA56,0),IF($B$64=1,GA84,0))</x:f>
      </x:c>
    </x:row>
    <x:row r="97">
      <x:c r="A97" t="str">
        <x:v>Очередь 1 — Маркетинг объектов</x:v>
      </x:c>
      <x:c r="B97" s="107" t="n">
        <x:f>SUM(D97:GA97)</x:f>
      </x:c>
      <x:c r="C97" t="str">
        <x:v>млн ₽</x:v>
      </x:c>
      <x:c r="D97" s="107" t="n">
        <x:f>SUM(IF($B$8=1,D29,0),IF($B$36=1,D57,0),IF($B$64=1,D85,0))</x:f>
      </x:c>
      <x:c r="E97" s="107" t="n">
        <x:f>SUM(IF($B$8=1,E29,0),IF($B$36=1,E57,0),IF($B$64=1,E85,0))</x:f>
      </x:c>
      <x:c r="F97" s="107" t="n">
        <x:f>SUM(IF($B$8=1,F29,0),IF($B$36=1,F57,0),IF($B$64=1,F85,0))</x:f>
      </x:c>
      <x:c r="G97" s="107" t="n">
        <x:f>SUM(IF($B$8=1,G29,0),IF($B$36=1,G57,0),IF($B$64=1,G85,0))</x:f>
      </x:c>
      <x:c r="H97" s="107" t="n">
        <x:f>SUM(IF($B$8=1,H29,0),IF($B$36=1,H57,0),IF($B$64=1,H85,0))</x:f>
      </x:c>
      <x:c r="I97" s="107" t="n">
        <x:f>SUM(IF($B$8=1,I29,0),IF($B$36=1,I57,0),IF($B$64=1,I85,0))</x:f>
      </x:c>
      <x:c r="J97" s="107" t="n">
        <x:f>SUM(IF($B$8=1,J29,0),IF($B$36=1,J57,0),IF($B$64=1,J85,0))</x:f>
      </x:c>
      <x:c r="K97" s="107" t="n">
        <x:f>SUM(IF($B$8=1,K29,0),IF($B$36=1,K57,0),IF($B$64=1,K85,0))</x:f>
      </x:c>
      <x:c r="L97" s="107" t="n">
        <x:f>SUM(IF($B$8=1,L29,0),IF($B$36=1,L57,0),IF($B$64=1,L85,0))</x:f>
      </x:c>
      <x:c r="M97" s="107" t="n">
        <x:f>SUM(IF($B$8=1,M29,0),IF($B$36=1,M57,0),IF($B$64=1,M85,0))</x:f>
      </x:c>
      <x:c r="N97" s="107" t="n">
        <x:f>SUM(IF($B$8=1,N29,0),IF($B$36=1,N57,0),IF($B$64=1,N85,0))</x:f>
      </x:c>
      <x:c r="O97" s="107" t="n">
        <x:f>SUM(IF($B$8=1,O29,0),IF($B$36=1,O57,0),IF($B$64=1,O85,0))</x:f>
      </x:c>
      <x:c r="P97" s="107" t="n">
        <x:f>SUM(IF($B$8=1,P29,0),IF($B$36=1,P57,0),IF($B$64=1,P85,0))</x:f>
      </x:c>
      <x:c r="Q97" s="107" t="n">
        <x:f>SUM(IF($B$8=1,Q29,0),IF($B$36=1,Q57,0),IF($B$64=1,Q85,0))</x:f>
      </x:c>
      <x:c r="R97" s="107" t="n">
        <x:f>SUM(IF($B$8=1,R29,0),IF($B$36=1,R57,0),IF($B$64=1,R85,0))</x:f>
      </x:c>
      <x:c r="S97" s="107" t="n">
        <x:f>SUM(IF($B$8=1,S29,0),IF($B$36=1,S57,0),IF($B$64=1,S85,0))</x:f>
      </x:c>
      <x:c r="T97" s="107" t="n">
        <x:f>SUM(IF($B$8=1,T29,0),IF($B$36=1,T57,0),IF($B$64=1,T85,0))</x:f>
      </x:c>
      <x:c r="U97" s="107" t="n">
        <x:f>SUM(IF($B$8=1,U29,0),IF($B$36=1,U57,0),IF($B$64=1,U85,0))</x:f>
      </x:c>
      <x:c r="V97" s="107" t="n">
        <x:f>SUM(IF($B$8=1,V29,0),IF($B$36=1,V57,0),IF($B$64=1,V85,0))</x:f>
      </x:c>
      <x:c r="W97" s="107" t="n">
        <x:f>SUM(IF($B$8=1,W29,0),IF($B$36=1,W57,0),IF($B$64=1,W85,0))</x:f>
      </x:c>
      <x:c r="X97" s="107" t="n">
        <x:f>SUM(IF($B$8=1,X29,0),IF($B$36=1,X57,0),IF($B$64=1,X85,0))</x:f>
      </x:c>
      <x:c r="Y97" s="107" t="n">
        <x:f>SUM(IF($B$8=1,Y29,0),IF($B$36=1,Y57,0),IF($B$64=1,Y85,0))</x:f>
      </x:c>
      <x:c r="Z97" s="107" t="n">
        <x:f>SUM(IF($B$8=1,Z29,0),IF($B$36=1,Z57,0),IF($B$64=1,Z85,0))</x:f>
      </x:c>
      <x:c r="AA97" s="107" t="n">
        <x:f>SUM(IF($B$8=1,AA29,0),IF($B$36=1,AA57,0),IF($B$64=1,AA85,0))</x:f>
      </x:c>
      <x:c r="AB97" s="107" t="n">
        <x:f>SUM(IF($B$8=1,AB29,0),IF($B$36=1,AB57,0),IF($B$64=1,AB85,0))</x:f>
      </x:c>
      <x:c r="AC97" s="107" t="n">
        <x:f>SUM(IF($B$8=1,AC29,0),IF($B$36=1,AC57,0),IF($B$64=1,AC85,0))</x:f>
      </x:c>
      <x:c r="AD97" s="107" t="n">
        <x:f>SUM(IF($B$8=1,AD29,0),IF($B$36=1,AD57,0),IF($B$64=1,AD85,0))</x:f>
      </x:c>
      <x:c r="AE97" s="107" t="n">
        <x:f>SUM(IF($B$8=1,AE29,0),IF($B$36=1,AE57,0),IF($B$64=1,AE85,0))</x:f>
      </x:c>
      <x:c r="AF97" s="107" t="n">
        <x:f>SUM(IF($B$8=1,AF29,0),IF($B$36=1,AF57,0),IF($B$64=1,AF85,0))</x:f>
      </x:c>
      <x:c r="AG97" s="107" t="n">
        <x:f>SUM(IF($B$8=1,AG29,0),IF($B$36=1,AG57,0),IF($B$64=1,AG85,0))</x:f>
      </x:c>
      <x:c r="AH97" s="107" t="n">
        <x:f>SUM(IF($B$8=1,AH29,0),IF($B$36=1,AH57,0),IF($B$64=1,AH85,0))</x:f>
      </x:c>
      <x:c r="AI97" s="107" t="n">
        <x:f>SUM(IF($B$8=1,AI29,0),IF($B$36=1,AI57,0),IF($B$64=1,AI85,0))</x:f>
      </x:c>
      <x:c r="AJ97" s="107" t="n">
        <x:f>SUM(IF($B$8=1,AJ29,0),IF($B$36=1,AJ57,0),IF($B$64=1,AJ85,0))</x:f>
      </x:c>
      <x:c r="AK97" s="107" t="n">
        <x:f>SUM(IF($B$8=1,AK29,0),IF($B$36=1,AK57,0),IF($B$64=1,AK85,0))</x:f>
      </x:c>
      <x:c r="AL97" s="107" t="n">
        <x:f>SUM(IF($B$8=1,AL29,0),IF($B$36=1,AL57,0),IF($B$64=1,AL85,0))</x:f>
      </x:c>
      <x:c r="AM97" s="107" t="n">
        <x:f>SUM(IF($B$8=1,AM29,0),IF($B$36=1,AM57,0),IF($B$64=1,AM85,0))</x:f>
      </x:c>
      <x:c r="AN97" s="107" t="n">
        <x:f>SUM(IF($B$8=1,AN29,0),IF($B$36=1,AN57,0),IF($B$64=1,AN85,0))</x:f>
      </x:c>
      <x:c r="AO97" s="107" t="n">
        <x:f>SUM(IF($B$8=1,AO29,0),IF($B$36=1,AO57,0),IF($B$64=1,AO85,0))</x:f>
      </x:c>
      <x:c r="AP97" s="107" t="n">
        <x:f>SUM(IF($B$8=1,AP29,0),IF($B$36=1,AP57,0),IF($B$64=1,AP85,0))</x:f>
      </x:c>
      <x:c r="AQ97" s="107" t="n">
        <x:f>SUM(IF($B$8=1,AQ29,0),IF($B$36=1,AQ57,0),IF($B$64=1,AQ85,0))</x:f>
      </x:c>
      <x:c r="AR97" s="107" t="n">
        <x:f>SUM(IF($B$8=1,AR29,0),IF($B$36=1,AR57,0),IF($B$64=1,AR85,0))</x:f>
      </x:c>
      <x:c r="AS97" s="107" t="n">
        <x:f>SUM(IF($B$8=1,AS29,0),IF($B$36=1,AS57,0),IF($B$64=1,AS85,0))</x:f>
      </x:c>
      <x:c r="AT97" s="107" t="n">
        <x:f>SUM(IF($B$8=1,AT29,0),IF($B$36=1,AT57,0),IF($B$64=1,AT85,0))</x:f>
      </x:c>
      <x:c r="AU97" s="107" t="n">
        <x:f>SUM(IF($B$8=1,AU29,0),IF($B$36=1,AU57,0),IF($B$64=1,AU85,0))</x:f>
      </x:c>
      <x:c r="AV97" s="107" t="n">
        <x:f>SUM(IF($B$8=1,AV29,0),IF($B$36=1,AV57,0),IF($B$64=1,AV85,0))</x:f>
      </x:c>
      <x:c r="AW97" s="107" t="n">
        <x:f>SUM(IF($B$8=1,AW29,0),IF($B$36=1,AW57,0),IF($B$64=1,AW85,0))</x:f>
      </x:c>
      <x:c r="AX97" s="107" t="n">
        <x:f>SUM(IF($B$8=1,AX29,0),IF($B$36=1,AX57,0),IF($B$64=1,AX85,0))</x:f>
      </x:c>
      <x:c r="AY97" s="107" t="n">
        <x:f>SUM(IF($B$8=1,AY29,0),IF($B$36=1,AY57,0),IF($B$64=1,AY85,0))</x:f>
      </x:c>
      <x:c r="AZ97" s="107" t="n">
        <x:f>SUM(IF($B$8=1,AZ29,0),IF($B$36=1,AZ57,0),IF($B$64=1,AZ85,0))</x:f>
      </x:c>
      <x:c r="BA97" s="107" t="n">
        <x:f>SUM(IF($B$8=1,BA29,0),IF($B$36=1,BA57,0),IF($B$64=1,BA85,0))</x:f>
      </x:c>
      <x:c r="BB97" s="107" t="n">
        <x:f>SUM(IF($B$8=1,BB29,0),IF($B$36=1,BB57,0),IF($B$64=1,BB85,0))</x:f>
      </x:c>
      <x:c r="BC97" s="107" t="n">
        <x:f>SUM(IF($B$8=1,BC29,0),IF($B$36=1,BC57,0),IF($B$64=1,BC85,0))</x:f>
      </x:c>
      <x:c r="BD97" s="107" t="n">
        <x:f>SUM(IF($B$8=1,BD29,0),IF($B$36=1,BD57,0),IF($B$64=1,BD85,0))</x:f>
      </x:c>
      <x:c r="BE97" s="107" t="n">
        <x:f>SUM(IF($B$8=1,BE29,0),IF($B$36=1,BE57,0),IF($B$64=1,BE85,0))</x:f>
      </x:c>
      <x:c r="BF97" s="107" t="n">
        <x:f>SUM(IF($B$8=1,BF29,0),IF($B$36=1,BF57,0),IF($B$64=1,BF85,0))</x:f>
      </x:c>
      <x:c r="BG97" s="107" t="n">
        <x:f>SUM(IF($B$8=1,BG29,0),IF($B$36=1,BG57,0),IF($B$64=1,BG85,0))</x:f>
      </x:c>
      <x:c r="BH97" s="107" t="n">
        <x:f>SUM(IF($B$8=1,BH29,0),IF($B$36=1,BH57,0),IF($B$64=1,BH85,0))</x:f>
      </x:c>
      <x:c r="BI97" s="107" t="n">
        <x:f>SUM(IF($B$8=1,BI29,0),IF($B$36=1,BI57,0),IF($B$64=1,BI85,0))</x:f>
      </x:c>
      <x:c r="BJ97" s="107" t="n">
        <x:f>SUM(IF($B$8=1,BJ29,0),IF($B$36=1,BJ57,0),IF($B$64=1,BJ85,0))</x:f>
      </x:c>
      <x:c r="BK97" s="107" t="n">
        <x:f>SUM(IF($B$8=1,BK29,0),IF($B$36=1,BK57,0),IF($B$64=1,BK85,0))</x:f>
      </x:c>
      <x:c r="BL97" s="107" t="n">
        <x:f>SUM(IF($B$8=1,BL29,0),IF($B$36=1,BL57,0),IF($B$64=1,BL85,0))</x:f>
      </x:c>
      <x:c r="BM97" s="107" t="n">
        <x:f>SUM(IF($B$8=1,BM29,0),IF($B$36=1,BM57,0),IF($B$64=1,BM85,0))</x:f>
      </x:c>
      <x:c r="BN97" s="107" t="n">
        <x:f>SUM(IF($B$8=1,BN29,0),IF($B$36=1,BN57,0),IF($B$64=1,BN85,0))</x:f>
      </x:c>
      <x:c r="BO97" s="107" t="n">
        <x:f>SUM(IF($B$8=1,BO29,0),IF($B$36=1,BO57,0),IF($B$64=1,BO85,0))</x:f>
      </x:c>
      <x:c r="BP97" s="107" t="n">
        <x:f>SUM(IF($B$8=1,BP29,0),IF($B$36=1,BP57,0),IF($B$64=1,BP85,0))</x:f>
      </x:c>
      <x:c r="BQ97" s="107" t="n">
        <x:f>SUM(IF($B$8=1,BQ29,0),IF($B$36=1,BQ57,0),IF($B$64=1,BQ85,0))</x:f>
      </x:c>
      <x:c r="BR97" s="107" t="n">
        <x:f>SUM(IF($B$8=1,BR29,0),IF($B$36=1,BR57,0),IF($B$64=1,BR85,0))</x:f>
      </x:c>
      <x:c r="BS97" s="107" t="n">
        <x:f>SUM(IF($B$8=1,BS29,0),IF($B$36=1,BS57,0),IF($B$64=1,BS85,0))</x:f>
      </x:c>
      <x:c r="BT97" s="107" t="n">
        <x:f>SUM(IF($B$8=1,BT29,0),IF($B$36=1,BT57,0),IF($B$64=1,BT85,0))</x:f>
      </x:c>
      <x:c r="BU97" s="107" t="n">
        <x:f>SUM(IF($B$8=1,BU29,0),IF($B$36=1,BU57,0),IF($B$64=1,BU85,0))</x:f>
      </x:c>
      <x:c r="BV97" s="107" t="n">
        <x:f>SUM(IF($B$8=1,BV29,0),IF($B$36=1,BV57,0),IF($B$64=1,BV85,0))</x:f>
      </x:c>
      <x:c r="BW97" s="107" t="n">
        <x:f>SUM(IF($B$8=1,BW29,0),IF($B$36=1,BW57,0),IF($B$64=1,BW85,0))</x:f>
      </x:c>
      <x:c r="BX97" s="107" t="n">
        <x:f>SUM(IF($B$8=1,BX29,0),IF($B$36=1,BX57,0),IF($B$64=1,BX85,0))</x:f>
      </x:c>
      <x:c r="BY97" s="107" t="n">
        <x:f>SUM(IF($B$8=1,BY29,0),IF($B$36=1,BY57,0),IF($B$64=1,BY85,0))</x:f>
      </x:c>
      <x:c r="BZ97" s="107" t="n">
        <x:f>SUM(IF($B$8=1,BZ29,0),IF($B$36=1,BZ57,0),IF($B$64=1,BZ85,0))</x:f>
      </x:c>
      <x:c r="CA97" s="107" t="n">
        <x:f>SUM(IF($B$8=1,CA29,0),IF($B$36=1,CA57,0),IF($B$64=1,CA85,0))</x:f>
      </x:c>
      <x:c r="CB97" s="107" t="n">
        <x:f>SUM(IF($B$8=1,CB29,0),IF($B$36=1,CB57,0),IF($B$64=1,CB85,0))</x:f>
      </x:c>
      <x:c r="CC97" s="107" t="n">
        <x:f>SUM(IF($B$8=1,CC29,0),IF($B$36=1,CC57,0),IF($B$64=1,CC85,0))</x:f>
      </x:c>
      <x:c r="CD97" s="107" t="n">
        <x:f>SUM(IF($B$8=1,CD29,0),IF($B$36=1,CD57,0),IF($B$64=1,CD85,0))</x:f>
      </x:c>
      <x:c r="CE97" s="107" t="n">
        <x:f>SUM(IF($B$8=1,CE29,0),IF($B$36=1,CE57,0),IF($B$64=1,CE85,0))</x:f>
      </x:c>
      <x:c r="CF97" s="107" t="n">
        <x:f>SUM(IF($B$8=1,CF29,0),IF($B$36=1,CF57,0),IF($B$64=1,CF85,0))</x:f>
      </x:c>
      <x:c r="CG97" s="107" t="n">
        <x:f>SUM(IF($B$8=1,CG29,0),IF($B$36=1,CG57,0),IF($B$64=1,CG85,0))</x:f>
      </x:c>
      <x:c r="CH97" s="107" t="n">
        <x:f>SUM(IF($B$8=1,CH29,0),IF($B$36=1,CH57,0),IF($B$64=1,CH85,0))</x:f>
      </x:c>
      <x:c r="CI97" s="107" t="n">
        <x:f>SUM(IF($B$8=1,CI29,0),IF($B$36=1,CI57,0),IF($B$64=1,CI85,0))</x:f>
      </x:c>
      <x:c r="CJ97" s="107" t="n">
        <x:f>SUM(IF($B$8=1,CJ29,0),IF($B$36=1,CJ57,0),IF($B$64=1,CJ85,0))</x:f>
      </x:c>
      <x:c r="CK97" s="107" t="n">
        <x:f>SUM(IF($B$8=1,CK29,0),IF($B$36=1,CK57,0),IF($B$64=1,CK85,0))</x:f>
      </x:c>
      <x:c r="CL97" s="107" t="n">
        <x:f>SUM(IF($B$8=1,CL29,0),IF($B$36=1,CL57,0),IF($B$64=1,CL85,0))</x:f>
      </x:c>
      <x:c r="CM97" s="107" t="n">
        <x:f>SUM(IF($B$8=1,CM29,0),IF($B$36=1,CM57,0),IF($B$64=1,CM85,0))</x:f>
      </x:c>
      <x:c r="CN97" s="107" t="n">
        <x:f>SUM(IF($B$8=1,CN29,0),IF($B$36=1,CN57,0),IF($B$64=1,CN85,0))</x:f>
      </x:c>
      <x:c r="CO97" s="107" t="n">
        <x:f>SUM(IF($B$8=1,CO29,0),IF($B$36=1,CO57,0),IF($B$64=1,CO85,0))</x:f>
      </x:c>
      <x:c r="CP97" s="107" t="n">
        <x:f>SUM(IF($B$8=1,CP29,0),IF($B$36=1,CP57,0),IF($B$64=1,CP85,0))</x:f>
      </x:c>
      <x:c r="CQ97" s="107" t="n">
        <x:f>SUM(IF($B$8=1,CQ29,0),IF($B$36=1,CQ57,0),IF($B$64=1,CQ85,0))</x:f>
      </x:c>
      <x:c r="CR97" s="107" t="n">
        <x:f>SUM(IF($B$8=1,CR29,0),IF($B$36=1,CR57,0),IF($B$64=1,CR85,0))</x:f>
      </x:c>
      <x:c r="CS97" s="107" t="n">
        <x:f>SUM(IF($B$8=1,CS29,0),IF($B$36=1,CS57,0),IF($B$64=1,CS85,0))</x:f>
      </x:c>
      <x:c r="CT97" s="107" t="n">
        <x:f>SUM(IF($B$8=1,CT29,0),IF($B$36=1,CT57,0),IF($B$64=1,CT85,0))</x:f>
      </x:c>
      <x:c r="CU97" s="107" t="n">
        <x:f>SUM(IF($B$8=1,CU29,0),IF($B$36=1,CU57,0),IF($B$64=1,CU85,0))</x:f>
      </x:c>
      <x:c r="CV97" s="107" t="n">
        <x:f>SUM(IF($B$8=1,CV29,0),IF($B$36=1,CV57,0),IF($B$64=1,CV85,0))</x:f>
      </x:c>
      <x:c r="CW97" s="107" t="n">
        <x:f>SUM(IF($B$8=1,CW29,0),IF($B$36=1,CW57,0),IF($B$64=1,CW85,0))</x:f>
      </x:c>
      <x:c r="CX97" s="107" t="n">
        <x:f>SUM(IF($B$8=1,CX29,0),IF($B$36=1,CX57,0),IF($B$64=1,CX85,0))</x:f>
      </x:c>
      <x:c r="CY97" s="107" t="n">
        <x:f>SUM(IF($B$8=1,CY29,0),IF($B$36=1,CY57,0),IF($B$64=1,CY85,0))</x:f>
      </x:c>
      <x:c r="CZ97" s="107" t="n">
        <x:f>SUM(IF($B$8=1,CZ29,0),IF($B$36=1,CZ57,0),IF($B$64=1,CZ85,0))</x:f>
      </x:c>
      <x:c r="DA97" s="107" t="n">
        <x:f>SUM(IF($B$8=1,DA29,0),IF($B$36=1,DA57,0),IF($B$64=1,DA85,0))</x:f>
      </x:c>
      <x:c r="DB97" s="107" t="n">
        <x:f>SUM(IF($B$8=1,DB29,0),IF($B$36=1,DB57,0),IF($B$64=1,DB85,0))</x:f>
      </x:c>
      <x:c r="DC97" s="107" t="n">
        <x:f>SUM(IF($B$8=1,DC29,0),IF($B$36=1,DC57,0),IF($B$64=1,DC85,0))</x:f>
      </x:c>
      <x:c r="DD97" s="107" t="n">
        <x:f>SUM(IF($B$8=1,DD29,0),IF($B$36=1,DD57,0),IF($B$64=1,DD85,0))</x:f>
      </x:c>
      <x:c r="DE97" s="107" t="n">
        <x:f>SUM(IF($B$8=1,DE29,0),IF($B$36=1,DE57,0),IF($B$64=1,DE85,0))</x:f>
      </x:c>
      <x:c r="DF97" s="107" t="n">
        <x:f>SUM(IF($B$8=1,DF29,0),IF($B$36=1,DF57,0),IF($B$64=1,DF85,0))</x:f>
      </x:c>
      <x:c r="DG97" s="107" t="n">
        <x:f>SUM(IF($B$8=1,DG29,0),IF($B$36=1,DG57,0),IF($B$64=1,DG85,0))</x:f>
      </x:c>
      <x:c r="DH97" s="107" t="n">
        <x:f>SUM(IF($B$8=1,DH29,0),IF($B$36=1,DH57,0),IF($B$64=1,DH85,0))</x:f>
      </x:c>
      <x:c r="DI97" s="107" t="n">
        <x:f>SUM(IF($B$8=1,DI29,0),IF($B$36=1,DI57,0),IF($B$64=1,DI85,0))</x:f>
      </x:c>
      <x:c r="DJ97" s="107" t="n">
        <x:f>SUM(IF($B$8=1,DJ29,0),IF($B$36=1,DJ57,0),IF($B$64=1,DJ85,0))</x:f>
      </x:c>
      <x:c r="DK97" s="107" t="n">
        <x:f>SUM(IF($B$8=1,DK29,0),IF($B$36=1,DK57,0),IF($B$64=1,DK85,0))</x:f>
      </x:c>
      <x:c r="DL97" s="107" t="n">
        <x:f>SUM(IF($B$8=1,DL29,0),IF($B$36=1,DL57,0),IF($B$64=1,DL85,0))</x:f>
      </x:c>
      <x:c r="DM97" s="107" t="n">
        <x:f>SUM(IF($B$8=1,DM29,0),IF($B$36=1,DM57,0),IF($B$64=1,DM85,0))</x:f>
      </x:c>
      <x:c r="DN97" s="107" t="n">
        <x:f>SUM(IF($B$8=1,DN29,0),IF($B$36=1,DN57,0),IF($B$64=1,DN85,0))</x:f>
      </x:c>
      <x:c r="DO97" s="107" t="n">
        <x:f>SUM(IF($B$8=1,DO29,0),IF($B$36=1,DO57,0),IF($B$64=1,DO85,0))</x:f>
      </x:c>
      <x:c r="DP97" s="107" t="n">
        <x:f>SUM(IF($B$8=1,DP29,0),IF($B$36=1,DP57,0),IF($B$64=1,DP85,0))</x:f>
      </x:c>
      <x:c r="DQ97" s="107" t="n">
        <x:f>SUM(IF($B$8=1,DQ29,0),IF($B$36=1,DQ57,0),IF($B$64=1,DQ85,0))</x:f>
      </x:c>
      <x:c r="DR97" s="107" t="n">
        <x:f>SUM(IF($B$8=1,DR29,0),IF($B$36=1,DR57,0),IF($B$64=1,DR85,0))</x:f>
      </x:c>
      <x:c r="DS97" s="107" t="n">
        <x:f>SUM(IF($B$8=1,DS29,0),IF($B$36=1,DS57,0),IF($B$64=1,DS85,0))</x:f>
      </x:c>
      <x:c r="DT97" s="107" t="n">
        <x:f>SUM(IF($B$8=1,DT29,0),IF($B$36=1,DT57,0),IF($B$64=1,DT85,0))</x:f>
      </x:c>
      <x:c r="DU97" s="107" t="n">
        <x:f>SUM(IF($B$8=1,DU29,0),IF($B$36=1,DU57,0),IF($B$64=1,DU85,0))</x:f>
      </x:c>
      <x:c r="DV97" s="107" t="n">
        <x:f>SUM(IF($B$8=1,DV29,0),IF($B$36=1,DV57,0),IF($B$64=1,DV85,0))</x:f>
      </x:c>
      <x:c r="DW97" s="107" t="n">
        <x:f>SUM(IF($B$8=1,DW29,0),IF($B$36=1,DW57,0),IF($B$64=1,DW85,0))</x:f>
      </x:c>
      <x:c r="DX97" s="107" t="n">
        <x:f>SUM(IF($B$8=1,DX29,0),IF($B$36=1,DX57,0),IF($B$64=1,DX85,0))</x:f>
      </x:c>
      <x:c r="DY97" s="107" t="n">
        <x:f>SUM(IF($B$8=1,DY29,0),IF($B$36=1,DY57,0),IF($B$64=1,DY85,0))</x:f>
      </x:c>
      <x:c r="DZ97" s="107" t="n">
        <x:f>SUM(IF($B$8=1,DZ29,0),IF($B$36=1,DZ57,0),IF($B$64=1,DZ85,0))</x:f>
      </x:c>
      <x:c r="EA97" s="107" t="n">
        <x:f>SUM(IF($B$8=1,EA29,0),IF($B$36=1,EA57,0),IF($B$64=1,EA85,0))</x:f>
      </x:c>
      <x:c r="EB97" s="107" t="n">
        <x:f>SUM(IF($B$8=1,EB29,0),IF($B$36=1,EB57,0),IF($B$64=1,EB85,0))</x:f>
      </x:c>
      <x:c r="EC97" s="107" t="n">
        <x:f>SUM(IF($B$8=1,EC29,0),IF($B$36=1,EC57,0),IF($B$64=1,EC85,0))</x:f>
      </x:c>
      <x:c r="ED97" s="107" t="n">
        <x:f>SUM(IF($B$8=1,ED29,0),IF($B$36=1,ED57,0),IF($B$64=1,ED85,0))</x:f>
      </x:c>
      <x:c r="EE97" s="107" t="n">
        <x:f>SUM(IF($B$8=1,EE29,0),IF($B$36=1,EE57,0),IF($B$64=1,EE85,0))</x:f>
      </x:c>
      <x:c r="EF97" s="107" t="n">
        <x:f>SUM(IF($B$8=1,EF29,0),IF($B$36=1,EF57,0),IF($B$64=1,EF85,0))</x:f>
      </x:c>
      <x:c r="EG97" s="107" t="n">
        <x:f>SUM(IF($B$8=1,EG29,0),IF($B$36=1,EG57,0),IF($B$64=1,EG85,0))</x:f>
      </x:c>
      <x:c r="EH97" s="107" t="n">
        <x:f>SUM(IF($B$8=1,EH29,0),IF($B$36=1,EH57,0),IF($B$64=1,EH85,0))</x:f>
      </x:c>
      <x:c r="EI97" s="107" t="n">
        <x:f>SUM(IF($B$8=1,EI29,0),IF($B$36=1,EI57,0),IF($B$64=1,EI85,0))</x:f>
      </x:c>
      <x:c r="EJ97" s="107" t="n">
        <x:f>SUM(IF($B$8=1,EJ29,0),IF($B$36=1,EJ57,0),IF($B$64=1,EJ85,0))</x:f>
      </x:c>
      <x:c r="EK97" s="107" t="n">
        <x:f>SUM(IF($B$8=1,EK29,0),IF($B$36=1,EK57,0),IF($B$64=1,EK85,0))</x:f>
      </x:c>
      <x:c r="EL97" s="107" t="n">
        <x:f>SUM(IF($B$8=1,EL29,0),IF($B$36=1,EL57,0),IF($B$64=1,EL85,0))</x:f>
      </x:c>
      <x:c r="EM97" s="107" t="n">
        <x:f>SUM(IF($B$8=1,EM29,0),IF($B$36=1,EM57,0),IF($B$64=1,EM85,0))</x:f>
      </x:c>
      <x:c r="EN97" s="107" t="n">
        <x:f>SUM(IF($B$8=1,EN29,0),IF($B$36=1,EN57,0),IF($B$64=1,EN85,0))</x:f>
      </x:c>
      <x:c r="EO97" s="107" t="n">
        <x:f>SUM(IF($B$8=1,EO29,0),IF($B$36=1,EO57,0),IF($B$64=1,EO85,0))</x:f>
      </x:c>
      <x:c r="EP97" s="107" t="n">
        <x:f>SUM(IF($B$8=1,EP29,0),IF($B$36=1,EP57,0),IF($B$64=1,EP85,0))</x:f>
      </x:c>
      <x:c r="EQ97" s="107" t="n">
        <x:f>SUM(IF($B$8=1,EQ29,0),IF($B$36=1,EQ57,0),IF($B$64=1,EQ85,0))</x:f>
      </x:c>
      <x:c r="ER97" s="107" t="n">
        <x:f>SUM(IF($B$8=1,ER29,0),IF($B$36=1,ER57,0),IF($B$64=1,ER85,0))</x:f>
      </x:c>
      <x:c r="ES97" s="107" t="n">
        <x:f>SUM(IF($B$8=1,ES29,0),IF($B$36=1,ES57,0),IF($B$64=1,ES85,0))</x:f>
      </x:c>
      <x:c r="ET97" s="107" t="n">
        <x:f>SUM(IF($B$8=1,ET29,0),IF($B$36=1,ET57,0),IF($B$64=1,ET85,0))</x:f>
      </x:c>
      <x:c r="EU97" s="107" t="n">
        <x:f>SUM(IF($B$8=1,EU29,0),IF($B$36=1,EU57,0),IF($B$64=1,EU85,0))</x:f>
      </x:c>
      <x:c r="EV97" s="107" t="n">
        <x:f>SUM(IF($B$8=1,EV29,0),IF($B$36=1,EV57,0),IF($B$64=1,EV85,0))</x:f>
      </x:c>
      <x:c r="EW97" s="107" t="n">
        <x:f>SUM(IF($B$8=1,EW29,0),IF($B$36=1,EW57,0),IF($B$64=1,EW85,0))</x:f>
      </x:c>
      <x:c r="EX97" s="107" t="n">
        <x:f>SUM(IF($B$8=1,EX29,0),IF($B$36=1,EX57,0),IF($B$64=1,EX85,0))</x:f>
      </x:c>
      <x:c r="EY97" s="107" t="n">
        <x:f>SUM(IF($B$8=1,EY29,0),IF($B$36=1,EY57,0),IF($B$64=1,EY85,0))</x:f>
      </x:c>
      <x:c r="EZ97" s="107" t="n">
        <x:f>SUM(IF($B$8=1,EZ29,0),IF($B$36=1,EZ57,0),IF($B$64=1,EZ85,0))</x:f>
      </x:c>
      <x:c r="FA97" s="107" t="n">
        <x:f>SUM(IF($B$8=1,FA29,0),IF($B$36=1,FA57,0),IF($B$64=1,FA85,0))</x:f>
      </x:c>
      <x:c r="FB97" s="107" t="n">
        <x:f>SUM(IF($B$8=1,FB29,0),IF($B$36=1,FB57,0),IF($B$64=1,FB85,0))</x:f>
      </x:c>
      <x:c r="FC97" s="107" t="n">
        <x:f>SUM(IF($B$8=1,FC29,0),IF($B$36=1,FC57,0),IF($B$64=1,FC85,0))</x:f>
      </x:c>
      <x:c r="FD97" s="107" t="n">
        <x:f>SUM(IF($B$8=1,FD29,0),IF($B$36=1,FD57,0),IF($B$64=1,FD85,0))</x:f>
      </x:c>
      <x:c r="FE97" s="107" t="n">
        <x:f>SUM(IF($B$8=1,FE29,0),IF($B$36=1,FE57,0),IF($B$64=1,FE85,0))</x:f>
      </x:c>
      <x:c r="FF97" s="107" t="n">
        <x:f>SUM(IF($B$8=1,FF29,0),IF($B$36=1,FF57,0),IF($B$64=1,FF85,0))</x:f>
      </x:c>
      <x:c r="FG97" s="107" t="n">
        <x:f>SUM(IF($B$8=1,FG29,0),IF($B$36=1,FG57,0),IF($B$64=1,FG85,0))</x:f>
      </x:c>
      <x:c r="FH97" s="107" t="n">
        <x:f>SUM(IF($B$8=1,FH29,0),IF($B$36=1,FH57,0),IF($B$64=1,FH85,0))</x:f>
      </x:c>
      <x:c r="FI97" s="107" t="n">
        <x:f>SUM(IF($B$8=1,FI29,0),IF($B$36=1,FI57,0),IF($B$64=1,FI85,0))</x:f>
      </x:c>
      <x:c r="FJ97" s="107" t="n">
        <x:f>SUM(IF($B$8=1,FJ29,0),IF($B$36=1,FJ57,0),IF($B$64=1,FJ85,0))</x:f>
      </x:c>
      <x:c r="FK97" s="107" t="n">
        <x:f>SUM(IF($B$8=1,FK29,0),IF($B$36=1,FK57,0),IF($B$64=1,FK85,0))</x:f>
      </x:c>
      <x:c r="FL97" s="107" t="n">
        <x:f>SUM(IF($B$8=1,FL29,0),IF($B$36=1,FL57,0),IF($B$64=1,FL85,0))</x:f>
      </x:c>
      <x:c r="FM97" s="107" t="n">
        <x:f>SUM(IF($B$8=1,FM29,0),IF($B$36=1,FM57,0),IF($B$64=1,FM85,0))</x:f>
      </x:c>
      <x:c r="FN97" s="107" t="n">
        <x:f>SUM(IF($B$8=1,FN29,0),IF($B$36=1,FN57,0),IF($B$64=1,FN85,0))</x:f>
      </x:c>
      <x:c r="FO97" s="107" t="n">
        <x:f>SUM(IF($B$8=1,FO29,0),IF($B$36=1,FO57,0),IF($B$64=1,FO85,0))</x:f>
      </x:c>
      <x:c r="FP97" s="107" t="n">
        <x:f>SUM(IF($B$8=1,FP29,0),IF($B$36=1,FP57,0),IF($B$64=1,FP85,0))</x:f>
      </x:c>
      <x:c r="FQ97" s="107" t="n">
        <x:f>SUM(IF($B$8=1,FQ29,0),IF($B$36=1,FQ57,0),IF($B$64=1,FQ85,0))</x:f>
      </x:c>
      <x:c r="FR97" s="107" t="n">
        <x:f>SUM(IF($B$8=1,FR29,0),IF($B$36=1,FR57,0),IF($B$64=1,FR85,0))</x:f>
      </x:c>
      <x:c r="FS97" s="107" t="n">
        <x:f>SUM(IF($B$8=1,FS29,0),IF($B$36=1,FS57,0),IF($B$64=1,FS85,0))</x:f>
      </x:c>
      <x:c r="FT97" s="107" t="n">
        <x:f>SUM(IF($B$8=1,FT29,0),IF($B$36=1,FT57,0),IF($B$64=1,FT85,0))</x:f>
      </x:c>
      <x:c r="FU97" s="107" t="n">
        <x:f>SUM(IF($B$8=1,FU29,0),IF($B$36=1,FU57,0),IF($B$64=1,FU85,0))</x:f>
      </x:c>
      <x:c r="FV97" s="107" t="n">
        <x:f>SUM(IF($B$8=1,FV29,0),IF($B$36=1,FV57,0),IF($B$64=1,FV85,0))</x:f>
      </x:c>
      <x:c r="FW97" s="107" t="n">
        <x:f>SUM(IF($B$8=1,FW29,0),IF($B$36=1,FW57,0),IF($B$64=1,FW85,0))</x:f>
      </x:c>
      <x:c r="FX97" s="107" t="n">
        <x:f>SUM(IF($B$8=1,FX29,0),IF($B$36=1,FX57,0),IF($B$64=1,FX85,0))</x:f>
      </x:c>
      <x:c r="FY97" s="107" t="n">
        <x:f>SUM(IF($B$8=1,FY29,0),IF($B$36=1,FY57,0),IF($B$64=1,FY85,0))</x:f>
      </x:c>
      <x:c r="FZ97" s="107" t="n">
        <x:f>SUM(IF($B$8=1,FZ29,0),IF($B$36=1,FZ57,0),IF($B$64=1,FZ85,0))</x:f>
      </x:c>
      <x:c r="GA97" s="107" t="n">
        <x:f>SUM(IF($B$8=1,GA29,0),IF($B$36=1,GA57,0),IF($B$64=1,GA85,0))</x:f>
      </x:c>
    </x:row>
    <x:row r="98">
      <x:c r="A98" s="348" t="str">
        <x:v>Очередь 1 — Расходы на продажи объектов</x:v>
      </x:c>
      <x:c r="B98" s="348" t="n">
        <x:f>SUM(D98:GA98)</x:f>
      </x:c>
      <x:c r="C98" s="348" t="str">
        <x:v>млн ₽</x:v>
      </x:c>
      <x:c r="D98" s="348" t="n">
        <x:f>SUM(IF($B$8=1,D30,0),IF($B$36=1,D58,0),IF($B$64=1,D86,0))</x:f>
      </x:c>
      <x:c r="E98" s="348" t="n">
        <x:f>SUM(IF($B$8=1,E30,0),IF($B$36=1,E58,0),IF($B$64=1,E86,0))</x:f>
      </x:c>
      <x:c r="F98" s="348" t="n">
        <x:f>SUM(IF($B$8=1,F30,0),IF($B$36=1,F58,0),IF($B$64=1,F86,0))</x:f>
      </x:c>
      <x:c r="G98" s="348" t="n">
        <x:f>SUM(IF($B$8=1,G30,0),IF($B$36=1,G58,0),IF($B$64=1,G86,0))</x:f>
      </x:c>
      <x:c r="H98" s="348" t="n">
        <x:f>SUM(IF($B$8=1,H30,0),IF($B$36=1,H58,0),IF($B$64=1,H86,0))</x:f>
      </x:c>
      <x:c r="I98" s="348" t="n">
        <x:f>SUM(IF($B$8=1,I30,0),IF($B$36=1,I58,0),IF($B$64=1,I86,0))</x:f>
      </x:c>
      <x:c r="J98" s="348" t="n">
        <x:f>SUM(IF($B$8=1,J30,0),IF($B$36=1,J58,0),IF($B$64=1,J86,0))</x:f>
      </x:c>
      <x:c r="K98" s="348" t="n">
        <x:f>SUM(IF($B$8=1,K30,0),IF($B$36=1,K58,0),IF($B$64=1,K86,0))</x:f>
      </x:c>
      <x:c r="L98" s="348" t="n">
        <x:f>SUM(IF($B$8=1,L30,0),IF($B$36=1,L58,0),IF($B$64=1,L86,0))</x:f>
      </x:c>
      <x:c r="M98" s="348" t="n">
        <x:f>SUM(IF($B$8=1,M30,0),IF($B$36=1,M58,0),IF($B$64=1,M86,0))</x:f>
      </x:c>
      <x:c r="N98" s="348" t="n">
        <x:f>SUM(IF($B$8=1,N30,0),IF($B$36=1,N58,0),IF($B$64=1,N86,0))</x:f>
      </x:c>
      <x:c r="O98" s="348" t="n">
        <x:f>SUM(IF($B$8=1,O30,0),IF($B$36=1,O58,0),IF($B$64=1,O86,0))</x:f>
      </x:c>
      <x:c r="P98" s="348" t="n">
        <x:f>SUM(IF($B$8=1,P30,0),IF($B$36=1,P58,0),IF($B$64=1,P86,0))</x:f>
      </x:c>
      <x:c r="Q98" s="348" t="n">
        <x:f>SUM(IF($B$8=1,Q30,0),IF($B$36=1,Q58,0),IF($B$64=1,Q86,0))</x:f>
      </x:c>
      <x:c r="R98" s="348" t="n">
        <x:f>SUM(IF($B$8=1,R30,0),IF($B$36=1,R58,0),IF($B$64=1,R86,0))</x:f>
      </x:c>
      <x:c r="S98" s="348" t="n">
        <x:f>SUM(IF($B$8=1,S30,0),IF($B$36=1,S58,0),IF($B$64=1,S86,0))</x:f>
      </x:c>
      <x:c r="T98" s="348" t="n">
        <x:f>SUM(IF($B$8=1,T30,0),IF($B$36=1,T58,0),IF($B$64=1,T86,0))</x:f>
      </x:c>
      <x:c r="U98" s="348" t="n">
        <x:f>SUM(IF($B$8=1,U30,0),IF($B$36=1,U58,0),IF($B$64=1,U86,0))</x:f>
      </x:c>
      <x:c r="V98" s="348" t="n">
        <x:f>SUM(IF($B$8=1,V30,0),IF($B$36=1,V58,0),IF($B$64=1,V86,0))</x:f>
      </x:c>
      <x:c r="W98" s="348" t="n">
        <x:f>SUM(IF($B$8=1,W30,0),IF($B$36=1,W58,0),IF($B$64=1,W86,0))</x:f>
      </x:c>
      <x:c r="X98" s="348" t="n">
        <x:f>SUM(IF($B$8=1,X30,0),IF($B$36=1,X58,0),IF($B$64=1,X86,0))</x:f>
      </x:c>
      <x:c r="Y98" s="348" t="n">
        <x:f>SUM(IF($B$8=1,Y30,0),IF($B$36=1,Y58,0),IF($B$64=1,Y86,0))</x:f>
      </x:c>
      <x:c r="Z98" s="348" t="n">
        <x:f>SUM(IF($B$8=1,Z30,0),IF($B$36=1,Z58,0),IF($B$64=1,Z86,0))</x:f>
      </x:c>
      <x:c r="AA98" s="348" t="n">
        <x:f>SUM(IF($B$8=1,AA30,0),IF($B$36=1,AA58,0),IF($B$64=1,AA86,0))</x:f>
      </x:c>
      <x:c r="AB98" s="348" t="n">
        <x:f>SUM(IF($B$8=1,AB30,0),IF($B$36=1,AB58,0),IF($B$64=1,AB86,0))</x:f>
      </x:c>
      <x:c r="AC98" s="348" t="n">
        <x:f>SUM(IF($B$8=1,AC30,0),IF($B$36=1,AC58,0),IF($B$64=1,AC86,0))</x:f>
      </x:c>
      <x:c r="AD98" s="348" t="n">
        <x:f>SUM(IF($B$8=1,AD30,0),IF($B$36=1,AD58,0),IF($B$64=1,AD86,0))</x:f>
      </x:c>
      <x:c r="AE98" s="348" t="n">
        <x:f>SUM(IF($B$8=1,AE30,0),IF($B$36=1,AE58,0),IF($B$64=1,AE86,0))</x:f>
      </x:c>
      <x:c r="AF98" s="348" t="n">
        <x:f>SUM(IF($B$8=1,AF30,0),IF($B$36=1,AF58,0),IF($B$64=1,AF86,0))</x:f>
      </x:c>
      <x:c r="AG98" s="348" t="n">
        <x:f>SUM(IF($B$8=1,AG30,0),IF($B$36=1,AG58,0),IF($B$64=1,AG86,0))</x:f>
      </x:c>
      <x:c r="AH98" s="348" t="n">
        <x:f>SUM(IF($B$8=1,AH30,0),IF($B$36=1,AH58,0),IF($B$64=1,AH86,0))</x:f>
      </x:c>
      <x:c r="AI98" s="348" t="n">
        <x:f>SUM(IF($B$8=1,AI30,0),IF($B$36=1,AI58,0),IF($B$64=1,AI86,0))</x:f>
      </x:c>
      <x:c r="AJ98" s="348" t="n">
        <x:f>SUM(IF($B$8=1,AJ30,0),IF($B$36=1,AJ58,0),IF($B$64=1,AJ86,0))</x:f>
      </x:c>
      <x:c r="AK98" s="348" t="n">
        <x:f>SUM(IF($B$8=1,AK30,0),IF($B$36=1,AK58,0),IF($B$64=1,AK86,0))</x:f>
      </x:c>
      <x:c r="AL98" s="348" t="n">
        <x:f>SUM(IF($B$8=1,AL30,0),IF($B$36=1,AL58,0),IF($B$64=1,AL86,0))</x:f>
      </x:c>
      <x:c r="AM98" s="348" t="n">
        <x:f>SUM(IF($B$8=1,AM30,0),IF($B$36=1,AM58,0),IF($B$64=1,AM86,0))</x:f>
      </x:c>
      <x:c r="AN98" s="348" t="n">
        <x:f>SUM(IF($B$8=1,AN30,0),IF($B$36=1,AN58,0),IF($B$64=1,AN86,0))</x:f>
      </x:c>
      <x:c r="AO98" s="348" t="n">
        <x:f>SUM(IF($B$8=1,AO30,0),IF($B$36=1,AO58,0),IF($B$64=1,AO86,0))</x:f>
      </x:c>
      <x:c r="AP98" s="348" t="n">
        <x:f>SUM(IF($B$8=1,AP30,0),IF($B$36=1,AP58,0),IF($B$64=1,AP86,0))</x:f>
      </x:c>
      <x:c r="AQ98" s="348" t="n">
        <x:f>SUM(IF($B$8=1,AQ30,0),IF($B$36=1,AQ58,0),IF($B$64=1,AQ86,0))</x:f>
      </x:c>
      <x:c r="AR98" s="348" t="n">
        <x:f>SUM(IF($B$8=1,AR30,0),IF($B$36=1,AR58,0),IF($B$64=1,AR86,0))</x:f>
      </x:c>
      <x:c r="AS98" s="348" t="n">
        <x:f>SUM(IF($B$8=1,AS30,0),IF($B$36=1,AS58,0),IF($B$64=1,AS86,0))</x:f>
      </x:c>
      <x:c r="AT98" s="348" t="n">
        <x:f>SUM(IF($B$8=1,AT30,0),IF($B$36=1,AT58,0),IF($B$64=1,AT86,0))</x:f>
      </x:c>
      <x:c r="AU98" s="348" t="n">
        <x:f>SUM(IF($B$8=1,AU30,0),IF($B$36=1,AU58,0),IF($B$64=1,AU86,0))</x:f>
      </x:c>
      <x:c r="AV98" s="348" t="n">
        <x:f>SUM(IF($B$8=1,AV30,0),IF($B$36=1,AV58,0),IF($B$64=1,AV86,0))</x:f>
      </x:c>
      <x:c r="AW98" s="348" t="n">
        <x:f>SUM(IF($B$8=1,AW30,0),IF($B$36=1,AW58,0),IF($B$64=1,AW86,0))</x:f>
      </x:c>
      <x:c r="AX98" s="348" t="n">
        <x:f>SUM(IF($B$8=1,AX30,0),IF($B$36=1,AX58,0),IF($B$64=1,AX86,0))</x:f>
      </x:c>
      <x:c r="AY98" s="348" t="n">
        <x:f>SUM(IF($B$8=1,AY30,0),IF($B$36=1,AY58,0),IF($B$64=1,AY86,0))</x:f>
      </x:c>
      <x:c r="AZ98" s="348" t="n">
        <x:f>SUM(IF($B$8=1,AZ30,0),IF($B$36=1,AZ58,0),IF($B$64=1,AZ86,0))</x:f>
      </x:c>
      <x:c r="BA98" s="348" t="n">
        <x:f>SUM(IF($B$8=1,BA30,0),IF($B$36=1,BA58,0),IF($B$64=1,BA86,0))</x:f>
      </x:c>
      <x:c r="BB98" s="348" t="n">
        <x:f>SUM(IF($B$8=1,BB30,0),IF($B$36=1,BB58,0),IF($B$64=1,BB86,0))</x:f>
      </x:c>
      <x:c r="BC98" s="348" t="n">
        <x:f>SUM(IF($B$8=1,BC30,0),IF($B$36=1,BC58,0),IF($B$64=1,BC86,0))</x:f>
      </x:c>
      <x:c r="BD98" s="348" t="n">
        <x:f>SUM(IF($B$8=1,BD30,0),IF($B$36=1,BD58,0),IF($B$64=1,BD86,0))</x:f>
      </x:c>
      <x:c r="BE98" s="348" t="n">
        <x:f>SUM(IF($B$8=1,BE30,0),IF($B$36=1,BE58,0),IF($B$64=1,BE86,0))</x:f>
      </x:c>
      <x:c r="BF98" s="348" t="n">
        <x:f>SUM(IF($B$8=1,BF30,0),IF($B$36=1,BF58,0),IF($B$64=1,BF86,0))</x:f>
      </x:c>
      <x:c r="BG98" s="348" t="n">
        <x:f>SUM(IF($B$8=1,BG30,0),IF($B$36=1,BG58,0),IF($B$64=1,BG86,0))</x:f>
      </x:c>
      <x:c r="BH98" s="348" t="n">
        <x:f>SUM(IF($B$8=1,BH30,0),IF($B$36=1,BH58,0),IF($B$64=1,BH86,0))</x:f>
      </x:c>
      <x:c r="BI98" s="348" t="n">
        <x:f>SUM(IF($B$8=1,BI30,0),IF($B$36=1,BI58,0),IF($B$64=1,BI86,0))</x:f>
      </x:c>
      <x:c r="BJ98" s="348" t="n">
        <x:f>SUM(IF($B$8=1,BJ30,0),IF($B$36=1,BJ58,0),IF($B$64=1,BJ86,0))</x:f>
      </x:c>
      <x:c r="BK98" s="348" t="n">
        <x:f>SUM(IF($B$8=1,BK30,0),IF($B$36=1,BK58,0),IF($B$64=1,BK86,0))</x:f>
      </x:c>
      <x:c r="BL98" s="348" t="n">
        <x:f>SUM(IF($B$8=1,BL30,0),IF($B$36=1,BL58,0),IF($B$64=1,BL86,0))</x:f>
      </x:c>
      <x:c r="BM98" s="348" t="n">
        <x:f>SUM(IF($B$8=1,BM30,0),IF($B$36=1,BM58,0),IF($B$64=1,BM86,0))</x:f>
      </x:c>
      <x:c r="BN98" s="348" t="n">
        <x:f>SUM(IF($B$8=1,BN30,0),IF($B$36=1,BN58,0),IF($B$64=1,BN86,0))</x:f>
      </x:c>
      <x:c r="BO98" s="348" t="n">
        <x:f>SUM(IF($B$8=1,BO30,0),IF($B$36=1,BO58,0),IF($B$64=1,BO86,0))</x:f>
      </x:c>
      <x:c r="BP98" s="348" t="n">
        <x:f>SUM(IF($B$8=1,BP30,0),IF($B$36=1,BP58,0),IF($B$64=1,BP86,0))</x:f>
      </x:c>
      <x:c r="BQ98" s="348" t="n">
        <x:f>SUM(IF($B$8=1,BQ30,0),IF($B$36=1,BQ58,0),IF($B$64=1,BQ86,0))</x:f>
      </x:c>
      <x:c r="BR98" s="348" t="n">
        <x:f>SUM(IF($B$8=1,BR30,0),IF($B$36=1,BR58,0),IF($B$64=1,BR86,0))</x:f>
      </x:c>
      <x:c r="BS98" s="348" t="n">
        <x:f>SUM(IF($B$8=1,BS30,0),IF($B$36=1,BS58,0),IF($B$64=1,BS86,0))</x:f>
      </x:c>
      <x:c r="BT98" s="348" t="n">
        <x:f>SUM(IF($B$8=1,BT30,0),IF($B$36=1,BT58,0),IF($B$64=1,BT86,0))</x:f>
      </x:c>
      <x:c r="BU98" s="348" t="n">
        <x:f>SUM(IF($B$8=1,BU30,0),IF($B$36=1,BU58,0),IF($B$64=1,BU86,0))</x:f>
      </x:c>
      <x:c r="BV98" s="348" t="n">
        <x:f>SUM(IF($B$8=1,BV30,0),IF($B$36=1,BV58,0),IF($B$64=1,BV86,0))</x:f>
      </x:c>
      <x:c r="BW98" s="348" t="n">
        <x:f>SUM(IF($B$8=1,BW30,0),IF($B$36=1,BW58,0),IF($B$64=1,BW86,0))</x:f>
      </x:c>
      <x:c r="BX98" s="348" t="n">
        <x:f>SUM(IF($B$8=1,BX30,0),IF($B$36=1,BX58,0),IF($B$64=1,BX86,0))</x:f>
      </x:c>
      <x:c r="BY98" s="348" t="n">
        <x:f>SUM(IF($B$8=1,BY30,0),IF($B$36=1,BY58,0),IF($B$64=1,BY86,0))</x:f>
      </x:c>
      <x:c r="BZ98" s="348" t="n">
        <x:f>SUM(IF($B$8=1,BZ30,0),IF($B$36=1,BZ58,0),IF($B$64=1,BZ86,0))</x:f>
      </x:c>
      <x:c r="CA98" s="348" t="n">
        <x:f>SUM(IF($B$8=1,CA30,0),IF($B$36=1,CA58,0),IF($B$64=1,CA86,0))</x:f>
      </x:c>
      <x:c r="CB98" s="348" t="n">
        <x:f>SUM(IF($B$8=1,CB30,0),IF($B$36=1,CB58,0),IF($B$64=1,CB86,0))</x:f>
      </x:c>
      <x:c r="CC98" s="348" t="n">
        <x:f>SUM(IF($B$8=1,CC30,0),IF($B$36=1,CC58,0),IF($B$64=1,CC86,0))</x:f>
      </x:c>
      <x:c r="CD98" s="348" t="n">
        <x:f>SUM(IF($B$8=1,CD30,0),IF($B$36=1,CD58,0),IF($B$64=1,CD86,0))</x:f>
      </x:c>
      <x:c r="CE98" s="348" t="n">
        <x:f>SUM(IF($B$8=1,CE30,0),IF($B$36=1,CE58,0),IF($B$64=1,CE86,0))</x:f>
      </x:c>
      <x:c r="CF98" s="348" t="n">
        <x:f>SUM(IF($B$8=1,CF30,0),IF($B$36=1,CF58,0),IF($B$64=1,CF86,0))</x:f>
      </x:c>
      <x:c r="CG98" s="348" t="n">
        <x:f>SUM(IF($B$8=1,CG30,0),IF($B$36=1,CG58,0),IF($B$64=1,CG86,0))</x:f>
      </x:c>
      <x:c r="CH98" s="348" t="n">
        <x:f>SUM(IF($B$8=1,CH30,0),IF($B$36=1,CH58,0),IF($B$64=1,CH86,0))</x:f>
      </x:c>
      <x:c r="CI98" s="348" t="n">
        <x:f>SUM(IF($B$8=1,CI30,0),IF($B$36=1,CI58,0),IF($B$64=1,CI86,0))</x:f>
      </x:c>
      <x:c r="CJ98" s="348" t="n">
        <x:f>SUM(IF($B$8=1,CJ30,0),IF($B$36=1,CJ58,0),IF($B$64=1,CJ86,0))</x:f>
      </x:c>
      <x:c r="CK98" s="348" t="n">
        <x:f>SUM(IF($B$8=1,CK30,0),IF($B$36=1,CK58,0),IF($B$64=1,CK86,0))</x:f>
      </x:c>
      <x:c r="CL98" s="348" t="n">
        <x:f>SUM(IF($B$8=1,CL30,0),IF($B$36=1,CL58,0),IF($B$64=1,CL86,0))</x:f>
      </x:c>
      <x:c r="CM98" s="348" t="n">
        <x:f>SUM(IF($B$8=1,CM30,0),IF($B$36=1,CM58,0),IF($B$64=1,CM86,0))</x:f>
      </x:c>
      <x:c r="CN98" s="348" t="n">
        <x:f>SUM(IF($B$8=1,CN30,0),IF($B$36=1,CN58,0),IF($B$64=1,CN86,0))</x:f>
      </x:c>
      <x:c r="CO98" s="348" t="n">
        <x:f>SUM(IF($B$8=1,CO30,0),IF($B$36=1,CO58,0),IF($B$64=1,CO86,0))</x:f>
      </x:c>
      <x:c r="CP98" s="348" t="n">
        <x:f>SUM(IF($B$8=1,CP30,0),IF($B$36=1,CP58,0),IF($B$64=1,CP86,0))</x:f>
      </x:c>
      <x:c r="CQ98" s="348" t="n">
        <x:f>SUM(IF($B$8=1,CQ30,0),IF($B$36=1,CQ58,0),IF($B$64=1,CQ86,0))</x:f>
      </x:c>
      <x:c r="CR98" s="348" t="n">
        <x:f>SUM(IF($B$8=1,CR30,0),IF($B$36=1,CR58,0),IF($B$64=1,CR86,0))</x:f>
      </x:c>
      <x:c r="CS98" s="348" t="n">
        <x:f>SUM(IF($B$8=1,CS30,0),IF($B$36=1,CS58,0),IF($B$64=1,CS86,0))</x:f>
      </x:c>
      <x:c r="CT98" s="348" t="n">
        <x:f>SUM(IF($B$8=1,CT30,0),IF($B$36=1,CT58,0),IF($B$64=1,CT86,0))</x:f>
      </x:c>
      <x:c r="CU98" s="348" t="n">
        <x:f>SUM(IF($B$8=1,CU30,0),IF($B$36=1,CU58,0),IF($B$64=1,CU86,0))</x:f>
      </x:c>
      <x:c r="CV98" s="348" t="n">
        <x:f>SUM(IF($B$8=1,CV30,0),IF($B$36=1,CV58,0),IF($B$64=1,CV86,0))</x:f>
      </x:c>
      <x:c r="CW98" s="348" t="n">
        <x:f>SUM(IF($B$8=1,CW30,0),IF($B$36=1,CW58,0),IF($B$64=1,CW86,0))</x:f>
      </x:c>
      <x:c r="CX98" s="348" t="n">
        <x:f>SUM(IF($B$8=1,CX30,0),IF($B$36=1,CX58,0),IF($B$64=1,CX86,0))</x:f>
      </x:c>
      <x:c r="CY98" s="348" t="n">
        <x:f>SUM(IF($B$8=1,CY30,0),IF($B$36=1,CY58,0),IF($B$64=1,CY86,0))</x:f>
      </x:c>
      <x:c r="CZ98" s="348" t="n">
        <x:f>SUM(IF($B$8=1,CZ30,0),IF($B$36=1,CZ58,0),IF($B$64=1,CZ86,0))</x:f>
      </x:c>
      <x:c r="DA98" s="348" t="n">
        <x:f>SUM(IF($B$8=1,DA30,0),IF($B$36=1,DA58,0),IF($B$64=1,DA86,0))</x:f>
      </x:c>
      <x:c r="DB98" s="348" t="n">
        <x:f>SUM(IF($B$8=1,DB30,0),IF($B$36=1,DB58,0),IF($B$64=1,DB86,0))</x:f>
      </x:c>
      <x:c r="DC98" s="348" t="n">
        <x:f>SUM(IF($B$8=1,DC30,0),IF($B$36=1,DC58,0),IF($B$64=1,DC86,0))</x:f>
      </x:c>
      <x:c r="DD98" s="348" t="n">
        <x:f>SUM(IF($B$8=1,DD30,0),IF($B$36=1,DD58,0),IF($B$64=1,DD86,0))</x:f>
      </x:c>
      <x:c r="DE98" s="348" t="n">
        <x:f>SUM(IF($B$8=1,DE30,0),IF($B$36=1,DE58,0),IF($B$64=1,DE86,0))</x:f>
      </x:c>
      <x:c r="DF98" s="348" t="n">
        <x:f>SUM(IF($B$8=1,DF30,0),IF($B$36=1,DF58,0),IF($B$64=1,DF86,0))</x:f>
      </x:c>
      <x:c r="DG98" s="348" t="n">
        <x:f>SUM(IF($B$8=1,DG30,0),IF($B$36=1,DG58,0),IF($B$64=1,DG86,0))</x:f>
      </x:c>
      <x:c r="DH98" s="348" t="n">
        <x:f>SUM(IF($B$8=1,DH30,0),IF($B$36=1,DH58,0),IF($B$64=1,DH86,0))</x:f>
      </x:c>
      <x:c r="DI98" s="348" t="n">
        <x:f>SUM(IF($B$8=1,DI30,0),IF($B$36=1,DI58,0),IF($B$64=1,DI86,0))</x:f>
      </x:c>
      <x:c r="DJ98" s="348" t="n">
        <x:f>SUM(IF($B$8=1,DJ30,0),IF($B$36=1,DJ58,0),IF($B$64=1,DJ86,0))</x:f>
      </x:c>
      <x:c r="DK98" s="348" t="n">
        <x:f>SUM(IF($B$8=1,DK30,0),IF($B$36=1,DK58,0),IF($B$64=1,DK86,0))</x:f>
      </x:c>
      <x:c r="DL98" s="348" t="n">
        <x:f>SUM(IF($B$8=1,DL30,0),IF($B$36=1,DL58,0),IF($B$64=1,DL86,0))</x:f>
      </x:c>
      <x:c r="DM98" s="348" t="n">
        <x:f>SUM(IF($B$8=1,DM30,0),IF($B$36=1,DM58,0),IF($B$64=1,DM86,0))</x:f>
      </x:c>
      <x:c r="DN98" s="348" t="n">
        <x:f>SUM(IF($B$8=1,DN30,0),IF($B$36=1,DN58,0),IF($B$64=1,DN86,0))</x:f>
      </x:c>
      <x:c r="DO98" s="348" t="n">
        <x:f>SUM(IF($B$8=1,DO30,0),IF($B$36=1,DO58,0),IF($B$64=1,DO86,0))</x:f>
      </x:c>
      <x:c r="DP98" s="348" t="n">
        <x:f>SUM(IF($B$8=1,DP30,0),IF($B$36=1,DP58,0),IF($B$64=1,DP86,0))</x:f>
      </x:c>
      <x:c r="DQ98" s="348" t="n">
        <x:f>SUM(IF($B$8=1,DQ30,0),IF($B$36=1,DQ58,0),IF($B$64=1,DQ86,0))</x:f>
      </x:c>
      <x:c r="DR98" s="348" t="n">
        <x:f>SUM(IF($B$8=1,DR30,0),IF($B$36=1,DR58,0),IF($B$64=1,DR86,0))</x:f>
      </x:c>
      <x:c r="DS98" s="348" t="n">
        <x:f>SUM(IF($B$8=1,DS30,0),IF($B$36=1,DS58,0),IF($B$64=1,DS86,0))</x:f>
      </x:c>
      <x:c r="DT98" s="348" t="n">
        <x:f>SUM(IF($B$8=1,DT30,0),IF($B$36=1,DT58,0),IF($B$64=1,DT86,0))</x:f>
      </x:c>
      <x:c r="DU98" s="348" t="n">
        <x:f>SUM(IF($B$8=1,DU30,0),IF($B$36=1,DU58,0),IF($B$64=1,DU86,0))</x:f>
      </x:c>
      <x:c r="DV98" s="348" t="n">
        <x:f>SUM(IF($B$8=1,DV30,0),IF($B$36=1,DV58,0),IF($B$64=1,DV86,0))</x:f>
      </x:c>
      <x:c r="DW98" s="348" t="n">
        <x:f>SUM(IF($B$8=1,DW30,0),IF($B$36=1,DW58,0),IF($B$64=1,DW86,0))</x:f>
      </x:c>
      <x:c r="DX98" s="348" t="n">
        <x:f>SUM(IF($B$8=1,DX30,0),IF($B$36=1,DX58,0),IF($B$64=1,DX86,0))</x:f>
      </x:c>
      <x:c r="DY98" s="348" t="n">
        <x:f>SUM(IF($B$8=1,DY30,0),IF($B$36=1,DY58,0),IF($B$64=1,DY86,0))</x:f>
      </x:c>
      <x:c r="DZ98" s="348" t="n">
        <x:f>SUM(IF($B$8=1,DZ30,0),IF($B$36=1,DZ58,0),IF($B$64=1,DZ86,0))</x:f>
      </x:c>
      <x:c r="EA98" s="348" t="n">
        <x:f>SUM(IF($B$8=1,EA30,0),IF($B$36=1,EA58,0),IF($B$64=1,EA86,0))</x:f>
      </x:c>
      <x:c r="EB98" s="348" t="n">
        <x:f>SUM(IF($B$8=1,EB30,0),IF($B$36=1,EB58,0),IF($B$64=1,EB86,0))</x:f>
      </x:c>
      <x:c r="EC98" s="348" t="n">
        <x:f>SUM(IF($B$8=1,EC30,0),IF($B$36=1,EC58,0),IF($B$64=1,EC86,0))</x:f>
      </x:c>
      <x:c r="ED98" s="348" t="n">
        <x:f>SUM(IF($B$8=1,ED30,0),IF($B$36=1,ED58,0),IF($B$64=1,ED86,0))</x:f>
      </x:c>
      <x:c r="EE98" s="348" t="n">
        <x:f>SUM(IF($B$8=1,EE30,0),IF($B$36=1,EE58,0),IF($B$64=1,EE86,0))</x:f>
      </x:c>
      <x:c r="EF98" s="348" t="n">
        <x:f>SUM(IF($B$8=1,EF30,0),IF($B$36=1,EF58,0),IF($B$64=1,EF86,0))</x:f>
      </x:c>
      <x:c r="EG98" s="348" t="n">
        <x:f>SUM(IF($B$8=1,EG30,0),IF($B$36=1,EG58,0),IF($B$64=1,EG86,0))</x:f>
      </x:c>
      <x:c r="EH98" s="348" t="n">
        <x:f>SUM(IF($B$8=1,EH30,0),IF($B$36=1,EH58,0),IF($B$64=1,EH86,0))</x:f>
      </x:c>
      <x:c r="EI98" s="348" t="n">
        <x:f>SUM(IF($B$8=1,EI30,0),IF($B$36=1,EI58,0),IF($B$64=1,EI86,0))</x:f>
      </x:c>
      <x:c r="EJ98" s="348" t="n">
        <x:f>SUM(IF($B$8=1,EJ30,0),IF($B$36=1,EJ58,0),IF($B$64=1,EJ86,0))</x:f>
      </x:c>
      <x:c r="EK98" s="348" t="n">
        <x:f>SUM(IF($B$8=1,EK30,0),IF($B$36=1,EK58,0),IF($B$64=1,EK86,0))</x:f>
      </x:c>
      <x:c r="EL98" s="348" t="n">
        <x:f>SUM(IF($B$8=1,EL30,0),IF($B$36=1,EL58,0),IF($B$64=1,EL86,0))</x:f>
      </x:c>
      <x:c r="EM98" s="348" t="n">
        <x:f>SUM(IF($B$8=1,EM30,0),IF($B$36=1,EM58,0),IF($B$64=1,EM86,0))</x:f>
      </x:c>
      <x:c r="EN98" s="348" t="n">
        <x:f>SUM(IF($B$8=1,EN30,0),IF($B$36=1,EN58,0),IF($B$64=1,EN86,0))</x:f>
      </x:c>
      <x:c r="EO98" s="348" t="n">
        <x:f>SUM(IF($B$8=1,EO30,0),IF($B$36=1,EO58,0),IF($B$64=1,EO86,0))</x:f>
      </x:c>
      <x:c r="EP98" s="348" t="n">
        <x:f>SUM(IF($B$8=1,EP30,0),IF($B$36=1,EP58,0),IF($B$64=1,EP86,0))</x:f>
      </x:c>
      <x:c r="EQ98" s="348" t="n">
        <x:f>SUM(IF($B$8=1,EQ30,0),IF($B$36=1,EQ58,0),IF($B$64=1,EQ86,0))</x:f>
      </x:c>
      <x:c r="ER98" s="348" t="n">
        <x:f>SUM(IF($B$8=1,ER30,0),IF($B$36=1,ER58,0),IF($B$64=1,ER86,0))</x:f>
      </x:c>
      <x:c r="ES98" s="348" t="n">
        <x:f>SUM(IF($B$8=1,ES30,0),IF($B$36=1,ES58,0),IF($B$64=1,ES86,0))</x:f>
      </x:c>
      <x:c r="ET98" s="348" t="n">
        <x:f>SUM(IF($B$8=1,ET30,0),IF($B$36=1,ET58,0),IF($B$64=1,ET86,0))</x:f>
      </x:c>
      <x:c r="EU98" s="348" t="n">
        <x:f>SUM(IF($B$8=1,EU30,0),IF($B$36=1,EU58,0),IF($B$64=1,EU86,0))</x:f>
      </x:c>
      <x:c r="EV98" s="348" t="n">
        <x:f>SUM(IF($B$8=1,EV30,0),IF($B$36=1,EV58,0),IF($B$64=1,EV86,0))</x:f>
      </x:c>
      <x:c r="EW98" s="348" t="n">
        <x:f>SUM(IF($B$8=1,EW30,0),IF($B$36=1,EW58,0),IF($B$64=1,EW86,0))</x:f>
      </x:c>
      <x:c r="EX98" s="348" t="n">
        <x:f>SUM(IF($B$8=1,EX30,0),IF($B$36=1,EX58,0),IF($B$64=1,EX86,0))</x:f>
      </x:c>
      <x:c r="EY98" s="348" t="n">
        <x:f>SUM(IF($B$8=1,EY30,0),IF($B$36=1,EY58,0),IF($B$64=1,EY86,0))</x:f>
      </x:c>
      <x:c r="EZ98" s="348" t="n">
        <x:f>SUM(IF($B$8=1,EZ30,0),IF($B$36=1,EZ58,0),IF($B$64=1,EZ86,0))</x:f>
      </x:c>
      <x:c r="FA98" s="348" t="n">
        <x:f>SUM(IF($B$8=1,FA30,0),IF($B$36=1,FA58,0),IF($B$64=1,FA86,0))</x:f>
      </x:c>
      <x:c r="FB98" s="348" t="n">
        <x:f>SUM(IF($B$8=1,FB30,0),IF($B$36=1,FB58,0),IF($B$64=1,FB86,0))</x:f>
      </x:c>
      <x:c r="FC98" s="348" t="n">
        <x:f>SUM(IF($B$8=1,FC30,0),IF($B$36=1,FC58,0),IF($B$64=1,FC86,0))</x:f>
      </x:c>
      <x:c r="FD98" s="348" t="n">
        <x:f>SUM(IF($B$8=1,FD30,0),IF($B$36=1,FD58,0),IF($B$64=1,FD86,0))</x:f>
      </x:c>
      <x:c r="FE98" s="348" t="n">
        <x:f>SUM(IF($B$8=1,FE30,0),IF($B$36=1,FE58,0),IF($B$64=1,FE86,0))</x:f>
      </x:c>
      <x:c r="FF98" s="348" t="n">
        <x:f>SUM(IF($B$8=1,FF30,0),IF($B$36=1,FF58,0),IF($B$64=1,FF86,0))</x:f>
      </x:c>
      <x:c r="FG98" s="348" t="n">
        <x:f>SUM(IF($B$8=1,FG30,0),IF($B$36=1,FG58,0),IF($B$64=1,FG86,0))</x:f>
      </x:c>
      <x:c r="FH98" s="348" t="n">
        <x:f>SUM(IF($B$8=1,FH30,0),IF($B$36=1,FH58,0),IF($B$64=1,FH86,0))</x:f>
      </x:c>
      <x:c r="FI98" s="348" t="n">
        <x:f>SUM(IF($B$8=1,FI30,0),IF($B$36=1,FI58,0),IF($B$64=1,FI86,0))</x:f>
      </x:c>
      <x:c r="FJ98" s="348" t="n">
        <x:f>SUM(IF($B$8=1,FJ30,0),IF($B$36=1,FJ58,0),IF($B$64=1,FJ86,0))</x:f>
      </x:c>
      <x:c r="FK98" s="348" t="n">
        <x:f>SUM(IF($B$8=1,FK30,0),IF($B$36=1,FK58,0),IF($B$64=1,FK86,0))</x:f>
      </x:c>
      <x:c r="FL98" s="348" t="n">
        <x:f>SUM(IF($B$8=1,FL30,0),IF($B$36=1,FL58,0),IF($B$64=1,FL86,0))</x:f>
      </x:c>
      <x:c r="FM98" s="348" t="n">
        <x:f>SUM(IF($B$8=1,FM30,0),IF($B$36=1,FM58,0),IF($B$64=1,FM86,0))</x:f>
      </x:c>
      <x:c r="FN98" s="348" t="n">
        <x:f>SUM(IF($B$8=1,FN30,0),IF($B$36=1,FN58,0),IF($B$64=1,FN86,0))</x:f>
      </x:c>
      <x:c r="FO98" s="348" t="n">
        <x:f>SUM(IF($B$8=1,FO30,0),IF($B$36=1,FO58,0),IF($B$64=1,FO86,0))</x:f>
      </x:c>
      <x:c r="FP98" s="348" t="n">
        <x:f>SUM(IF($B$8=1,FP30,0),IF($B$36=1,FP58,0),IF($B$64=1,FP86,0))</x:f>
      </x:c>
      <x:c r="FQ98" s="348" t="n">
        <x:f>SUM(IF($B$8=1,FQ30,0),IF($B$36=1,FQ58,0),IF($B$64=1,FQ86,0))</x:f>
      </x:c>
      <x:c r="FR98" s="348" t="n">
        <x:f>SUM(IF($B$8=1,FR30,0),IF($B$36=1,FR58,0),IF($B$64=1,FR86,0))</x:f>
      </x:c>
      <x:c r="FS98" s="348" t="n">
        <x:f>SUM(IF($B$8=1,FS30,0),IF($B$36=1,FS58,0),IF($B$64=1,FS86,0))</x:f>
      </x:c>
      <x:c r="FT98" s="348" t="n">
        <x:f>SUM(IF($B$8=1,FT30,0),IF($B$36=1,FT58,0),IF($B$64=1,FT86,0))</x:f>
      </x:c>
      <x:c r="FU98" s="348" t="n">
        <x:f>SUM(IF($B$8=1,FU30,0),IF($B$36=1,FU58,0),IF($B$64=1,FU86,0))</x:f>
      </x:c>
      <x:c r="FV98" s="348" t="n">
        <x:f>SUM(IF($B$8=1,FV30,0),IF($B$36=1,FV58,0),IF($B$64=1,FV86,0))</x:f>
      </x:c>
      <x:c r="FW98" s="348" t="n">
        <x:f>SUM(IF($B$8=1,FW30,0),IF($B$36=1,FW58,0),IF($B$64=1,FW86,0))</x:f>
      </x:c>
      <x:c r="FX98" s="348" t="n">
        <x:f>SUM(IF($B$8=1,FX30,0),IF($B$36=1,FX58,0),IF($B$64=1,FX86,0))</x:f>
      </x:c>
      <x:c r="FY98" s="348" t="n">
        <x:f>SUM(IF($B$8=1,FY30,0),IF($B$36=1,FY58,0),IF($B$64=1,FY86,0))</x:f>
      </x:c>
      <x:c r="FZ98" s="348" t="n">
        <x:f>SUM(IF($B$8=1,FZ30,0),IF($B$36=1,FZ58,0),IF($B$64=1,FZ86,0))</x:f>
      </x:c>
      <x:c r="GA98" s="348" t="n">
        <x:f>SUM(IF($B$8=1,GA30,0),IF($B$36=1,GA58,0),IF($B$64=1,GA86,0))</x:f>
      </x:c>
    </x:row>
    <x:row r="100">
      <x:c r="A100" t="str">
        <x:v>Очередь 2 — Выручка объектов</x:v>
      </x:c>
      <x:c r="B100" s="107" t="n">
        <x:f>SUM(D100:GA100)</x:f>
      </x:c>
      <x:c r="C100" t="str">
        <x:v>млн ₽</x:v>
      </x:c>
      <x:c r="D100" s="107" t="n">
        <x:f>SUM(IF($B$8=2,D24,0),IF($B$36=2,D52,0),IF($B$64=2,D80,0))</x:f>
      </x:c>
      <x:c r="E100" s="107" t="n">
        <x:f>SUM(IF($B$8=2,E24,0),IF($B$36=2,E52,0),IF($B$64=2,E80,0))</x:f>
      </x:c>
      <x:c r="F100" s="107" t="n">
        <x:f>SUM(IF($B$8=2,F24,0),IF($B$36=2,F52,0),IF($B$64=2,F80,0))</x:f>
      </x:c>
      <x:c r="G100" s="107" t="n">
        <x:f>SUM(IF($B$8=2,G24,0),IF($B$36=2,G52,0),IF($B$64=2,G80,0))</x:f>
      </x:c>
      <x:c r="H100" s="107" t="n">
        <x:f>SUM(IF($B$8=2,H24,0),IF($B$36=2,H52,0),IF($B$64=2,H80,0))</x:f>
      </x:c>
      <x:c r="I100" s="107" t="n">
        <x:f>SUM(IF($B$8=2,I24,0),IF($B$36=2,I52,0),IF($B$64=2,I80,0))</x:f>
      </x:c>
      <x:c r="J100" s="107" t="n">
        <x:f>SUM(IF($B$8=2,J24,0),IF($B$36=2,J52,0),IF($B$64=2,J80,0))</x:f>
      </x:c>
      <x:c r="K100" s="107" t="n">
        <x:f>SUM(IF($B$8=2,K24,0),IF($B$36=2,K52,0),IF($B$64=2,K80,0))</x:f>
      </x:c>
      <x:c r="L100" s="107" t="n">
        <x:f>SUM(IF($B$8=2,L24,0),IF($B$36=2,L52,0),IF($B$64=2,L80,0))</x:f>
      </x:c>
      <x:c r="M100" s="107" t="n">
        <x:f>SUM(IF($B$8=2,M24,0),IF($B$36=2,M52,0),IF($B$64=2,M80,0))</x:f>
      </x:c>
      <x:c r="N100" s="107" t="n">
        <x:f>SUM(IF($B$8=2,N24,0),IF($B$36=2,N52,0),IF($B$64=2,N80,0))</x:f>
      </x:c>
      <x:c r="O100" s="107" t="n">
        <x:f>SUM(IF($B$8=2,O24,0),IF($B$36=2,O52,0),IF($B$64=2,O80,0))</x:f>
      </x:c>
      <x:c r="P100" s="107" t="n">
        <x:f>SUM(IF($B$8=2,P24,0),IF($B$36=2,P52,0),IF($B$64=2,P80,0))</x:f>
      </x:c>
      <x:c r="Q100" s="107" t="n">
        <x:f>SUM(IF($B$8=2,Q24,0),IF($B$36=2,Q52,0),IF($B$64=2,Q80,0))</x:f>
      </x:c>
      <x:c r="R100" s="107" t="n">
        <x:f>SUM(IF($B$8=2,R24,0),IF($B$36=2,R52,0),IF($B$64=2,R80,0))</x:f>
      </x:c>
      <x:c r="S100" s="107" t="n">
        <x:f>SUM(IF($B$8=2,S24,0),IF($B$36=2,S52,0),IF($B$64=2,S80,0))</x:f>
      </x:c>
      <x:c r="T100" s="107" t="n">
        <x:f>SUM(IF($B$8=2,T24,0),IF($B$36=2,T52,0),IF($B$64=2,T80,0))</x:f>
      </x:c>
      <x:c r="U100" s="107" t="n">
        <x:f>SUM(IF($B$8=2,U24,0),IF($B$36=2,U52,0),IF($B$64=2,U80,0))</x:f>
      </x:c>
      <x:c r="V100" s="107" t="n">
        <x:f>SUM(IF($B$8=2,V24,0),IF($B$36=2,V52,0),IF($B$64=2,V80,0))</x:f>
      </x:c>
      <x:c r="W100" s="107" t="n">
        <x:f>SUM(IF($B$8=2,W24,0),IF($B$36=2,W52,0),IF($B$64=2,W80,0))</x:f>
      </x:c>
      <x:c r="X100" s="107" t="n">
        <x:f>SUM(IF($B$8=2,X24,0),IF($B$36=2,X52,0),IF($B$64=2,X80,0))</x:f>
      </x:c>
      <x:c r="Y100" s="107" t="n">
        <x:f>SUM(IF($B$8=2,Y24,0),IF($B$36=2,Y52,0),IF($B$64=2,Y80,0))</x:f>
      </x:c>
      <x:c r="Z100" s="107" t="n">
        <x:f>SUM(IF($B$8=2,Z24,0),IF($B$36=2,Z52,0),IF($B$64=2,Z80,0))</x:f>
      </x:c>
      <x:c r="AA100" s="107" t="n">
        <x:f>SUM(IF($B$8=2,AA24,0),IF($B$36=2,AA52,0),IF($B$64=2,AA80,0))</x:f>
      </x:c>
      <x:c r="AB100" s="107" t="n">
        <x:f>SUM(IF($B$8=2,AB24,0),IF($B$36=2,AB52,0),IF($B$64=2,AB80,0))</x:f>
      </x:c>
      <x:c r="AC100" s="107" t="n">
        <x:f>SUM(IF($B$8=2,AC24,0),IF($B$36=2,AC52,0),IF($B$64=2,AC80,0))</x:f>
      </x:c>
      <x:c r="AD100" s="107" t="n">
        <x:f>SUM(IF($B$8=2,AD24,0),IF($B$36=2,AD52,0),IF($B$64=2,AD80,0))</x:f>
      </x:c>
      <x:c r="AE100" s="107" t="n">
        <x:f>SUM(IF($B$8=2,AE24,0),IF($B$36=2,AE52,0),IF($B$64=2,AE80,0))</x:f>
      </x:c>
      <x:c r="AF100" s="107" t="n">
        <x:f>SUM(IF($B$8=2,AF24,0),IF($B$36=2,AF52,0),IF($B$64=2,AF80,0))</x:f>
      </x:c>
      <x:c r="AG100" s="107" t="n">
        <x:f>SUM(IF($B$8=2,AG24,0),IF($B$36=2,AG52,0),IF($B$64=2,AG80,0))</x:f>
      </x:c>
      <x:c r="AH100" s="107" t="n">
        <x:f>SUM(IF($B$8=2,AH24,0),IF($B$36=2,AH52,0),IF($B$64=2,AH80,0))</x:f>
      </x:c>
      <x:c r="AI100" s="107" t="n">
        <x:f>SUM(IF($B$8=2,AI24,0),IF($B$36=2,AI52,0),IF($B$64=2,AI80,0))</x:f>
      </x:c>
      <x:c r="AJ100" s="107" t="n">
        <x:f>SUM(IF($B$8=2,AJ24,0),IF($B$36=2,AJ52,0),IF($B$64=2,AJ80,0))</x:f>
      </x:c>
      <x:c r="AK100" s="107" t="n">
        <x:f>SUM(IF($B$8=2,AK24,0),IF($B$36=2,AK52,0),IF($B$64=2,AK80,0))</x:f>
      </x:c>
      <x:c r="AL100" s="107" t="n">
        <x:f>SUM(IF($B$8=2,AL24,0),IF($B$36=2,AL52,0),IF($B$64=2,AL80,0))</x:f>
      </x:c>
      <x:c r="AM100" s="107" t="n">
        <x:f>SUM(IF($B$8=2,AM24,0),IF($B$36=2,AM52,0),IF($B$64=2,AM80,0))</x:f>
      </x:c>
      <x:c r="AN100" s="107" t="n">
        <x:f>SUM(IF($B$8=2,AN24,0),IF($B$36=2,AN52,0),IF($B$64=2,AN80,0))</x:f>
      </x:c>
      <x:c r="AO100" s="107" t="n">
        <x:f>SUM(IF($B$8=2,AO24,0),IF($B$36=2,AO52,0),IF($B$64=2,AO80,0))</x:f>
      </x:c>
      <x:c r="AP100" s="107" t="n">
        <x:f>SUM(IF($B$8=2,AP24,0),IF($B$36=2,AP52,0),IF($B$64=2,AP80,0))</x:f>
      </x:c>
      <x:c r="AQ100" s="107" t="n">
        <x:f>SUM(IF($B$8=2,AQ24,0),IF($B$36=2,AQ52,0),IF($B$64=2,AQ80,0))</x:f>
      </x:c>
      <x:c r="AR100" s="107" t="n">
        <x:f>SUM(IF($B$8=2,AR24,0),IF($B$36=2,AR52,0),IF($B$64=2,AR80,0))</x:f>
      </x:c>
      <x:c r="AS100" s="107" t="n">
        <x:f>SUM(IF($B$8=2,AS24,0),IF($B$36=2,AS52,0),IF($B$64=2,AS80,0))</x:f>
      </x:c>
      <x:c r="AT100" s="107" t="n">
        <x:f>SUM(IF($B$8=2,AT24,0),IF($B$36=2,AT52,0),IF($B$64=2,AT80,0))</x:f>
      </x:c>
      <x:c r="AU100" s="107" t="n">
        <x:f>SUM(IF($B$8=2,AU24,0),IF($B$36=2,AU52,0),IF($B$64=2,AU80,0))</x:f>
      </x:c>
      <x:c r="AV100" s="107" t="n">
        <x:f>SUM(IF($B$8=2,AV24,0),IF($B$36=2,AV52,0),IF($B$64=2,AV80,0))</x:f>
      </x:c>
      <x:c r="AW100" s="107" t="n">
        <x:f>SUM(IF($B$8=2,AW24,0),IF($B$36=2,AW52,0),IF($B$64=2,AW80,0))</x:f>
      </x:c>
      <x:c r="AX100" s="107" t="n">
        <x:f>SUM(IF($B$8=2,AX24,0),IF($B$36=2,AX52,0),IF($B$64=2,AX80,0))</x:f>
      </x:c>
      <x:c r="AY100" s="107" t="n">
        <x:f>SUM(IF($B$8=2,AY24,0),IF($B$36=2,AY52,0),IF($B$64=2,AY80,0))</x:f>
      </x:c>
      <x:c r="AZ100" s="107" t="n">
        <x:f>SUM(IF($B$8=2,AZ24,0),IF($B$36=2,AZ52,0),IF($B$64=2,AZ80,0))</x:f>
      </x:c>
      <x:c r="BA100" s="107" t="n">
        <x:f>SUM(IF($B$8=2,BA24,0),IF($B$36=2,BA52,0),IF($B$64=2,BA80,0))</x:f>
      </x:c>
      <x:c r="BB100" s="107" t="n">
        <x:f>SUM(IF($B$8=2,BB24,0),IF($B$36=2,BB52,0),IF($B$64=2,BB80,0))</x:f>
      </x:c>
      <x:c r="BC100" s="107" t="n">
        <x:f>SUM(IF($B$8=2,BC24,0),IF($B$36=2,BC52,0),IF($B$64=2,BC80,0))</x:f>
      </x:c>
      <x:c r="BD100" s="107" t="n">
        <x:f>SUM(IF($B$8=2,BD24,0),IF($B$36=2,BD52,0),IF($B$64=2,BD80,0))</x:f>
      </x:c>
      <x:c r="BE100" s="107" t="n">
        <x:f>SUM(IF($B$8=2,BE24,0),IF($B$36=2,BE52,0),IF($B$64=2,BE80,0))</x:f>
      </x:c>
      <x:c r="BF100" s="107" t="n">
        <x:f>SUM(IF($B$8=2,BF24,0),IF($B$36=2,BF52,0),IF($B$64=2,BF80,0))</x:f>
      </x:c>
      <x:c r="BG100" s="107" t="n">
        <x:f>SUM(IF($B$8=2,BG24,0),IF($B$36=2,BG52,0),IF($B$64=2,BG80,0))</x:f>
      </x:c>
      <x:c r="BH100" s="107" t="n">
        <x:f>SUM(IF($B$8=2,BH24,0),IF($B$36=2,BH52,0),IF($B$64=2,BH80,0))</x:f>
      </x:c>
      <x:c r="BI100" s="107" t="n">
        <x:f>SUM(IF($B$8=2,BI24,0),IF($B$36=2,BI52,0),IF($B$64=2,BI80,0))</x:f>
      </x:c>
      <x:c r="BJ100" s="107" t="n">
        <x:f>SUM(IF($B$8=2,BJ24,0),IF($B$36=2,BJ52,0),IF($B$64=2,BJ80,0))</x:f>
      </x:c>
      <x:c r="BK100" s="107" t="n">
        <x:f>SUM(IF($B$8=2,BK24,0),IF($B$36=2,BK52,0),IF($B$64=2,BK80,0))</x:f>
      </x:c>
      <x:c r="BL100" s="107" t="n">
        <x:f>SUM(IF($B$8=2,BL24,0),IF($B$36=2,BL52,0),IF($B$64=2,BL80,0))</x:f>
      </x:c>
      <x:c r="BM100" s="107" t="n">
        <x:f>SUM(IF($B$8=2,BM24,0),IF($B$36=2,BM52,0),IF($B$64=2,BM80,0))</x:f>
      </x:c>
      <x:c r="BN100" s="107" t="n">
        <x:f>SUM(IF($B$8=2,BN24,0),IF($B$36=2,BN52,0),IF($B$64=2,BN80,0))</x:f>
      </x:c>
      <x:c r="BO100" s="107" t="n">
        <x:f>SUM(IF($B$8=2,BO24,0),IF($B$36=2,BO52,0),IF($B$64=2,BO80,0))</x:f>
      </x:c>
      <x:c r="BP100" s="107" t="n">
        <x:f>SUM(IF($B$8=2,BP24,0),IF($B$36=2,BP52,0),IF($B$64=2,BP80,0))</x:f>
      </x:c>
      <x:c r="BQ100" s="107" t="n">
        <x:f>SUM(IF($B$8=2,BQ24,0),IF($B$36=2,BQ52,0),IF($B$64=2,BQ80,0))</x:f>
      </x:c>
      <x:c r="BR100" s="107" t="n">
        <x:f>SUM(IF($B$8=2,BR24,0),IF($B$36=2,BR52,0),IF($B$64=2,BR80,0))</x:f>
      </x:c>
      <x:c r="BS100" s="107" t="n">
        <x:f>SUM(IF($B$8=2,BS24,0),IF($B$36=2,BS52,0),IF($B$64=2,BS80,0))</x:f>
      </x:c>
      <x:c r="BT100" s="107" t="n">
        <x:f>SUM(IF($B$8=2,BT24,0),IF($B$36=2,BT52,0),IF($B$64=2,BT80,0))</x:f>
      </x:c>
      <x:c r="BU100" s="107" t="n">
        <x:f>SUM(IF($B$8=2,BU24,0),IF($B$36=2,BU52,0),IF($B$64=2,BU80,0))</x:f>
      </x:c>
      <x:c r="BV100" s="107" t="n">
        <x:f>SUM(IF($B$8=2,BV24,0),IF($B$36=2,BV52,0),IF($B$64=2,BV80,0))</x:f>
      </x:c>
      <x:c r="BW100" s="107" t="n">
        <x:f>SUM(IF($B$8=2,BW24,0),IF($B$36=2,BW52,0),IF($B$64=2,BW80,0))</x:f>
      </x:c>
      <x:c r="BX100" s="107" t="n">
        <x:f>SUM(IF($B$8=2,BX24,0),IF($B$36=2,BX52,0),IF($B$64=2,BX80,0))</x:f>
      </x:c>
      <x:c r="BY100" s="107" t="n">
        <x:f>SUM(IF($B$8=2,BY24,0),IF($B$36=2,BY52,0),IF($B$64=2,BY80,0))</x:f>
      </x:c>
      <x:c r="BZ100" s="107" t="n">
        <x:f>SUM(IF($B$8=2,BZ24,0),IF($B$36=2,BZ52,0),IF($B$64=2,BZ80,0))</x:f>
      </x:c>
      <x:c r="CA100" s="107" t="n">
        <x:f>SUM(IF($B$8=2,CA24,0),IF($B$36=2,CA52,0),IF($B$64=2,CA80,0))</x:f>
      </x:c>
      <x:c r="CB100" s="107" t="n">
        <x:f>SUM(IF($B$8=2,CB24,0),IF($B$36=2,CB52,0),IF($B$64=2,CB80,0))</x:f>
      </x:c>
      <x:c r="CC100" s="107" t="n">
        <x:f>SUM(IF($B$8=2,CC24,0),IF($B$36=2,CC52,0),IF($B$64=2,CC80,0))</x:f>
      </x:c>
      <x:c r="CD100" s="107" t="n">
        <x:f>SUM(IF($B$8=2,CD24,0),IF($B$36=2,CD52,0),IF($B$64=2,CD80,0))</x:f>
      </x:c>
      <x:c r="CE100" s="107" t="n">
        <x:f>SUM(IF($B$8=2,CE24,0),IF($B$36=2,CE52,0),IF($B$64=2,CE80,0))</x:f>
      </x:c>
      <x:c r="CF100" s="107" t="n">
        <x:f>SUM(IF($B$8=2,CF24,0),IF($B$36=2,CF52,0),IF($B$64=2,CF80,0))</x:f>
      </x:c>
      <x:c r="CG100" s="107" t="n">
        <x:f>SUM(IF($B$8=2,CG24,0),IF($B$36=2,CG52,0),IF($B$64=2,CG80,0))</x:f>
      </x:c>
      <x:c r="CH100" s="107" t="n">
        <x:f>SUM(IF($B$8=2,CH24,0),IF($B$36=2,CH52,0),IF($B$64=2,CH80,0))</x:f>
      </x:c>
      <x:c r="CI100" s="107" t="n">
        <x:f>SUM(IF($B$8=2,CI24,0),IF($B$36=2,CI52,0),IF($B$64=2,CI80,0))</x:f>
      </x:c>
      <x:c r="CJ100" s="107" t="n">
        <x:f>SUM(IF($B$8=2,CJ24,0),IF($B$36=2,CJ52,0),IF($B$64=2,CJ80,0))</x:f>
      </x:c>
      <x:c r="CK100" s="107" t="n">
        <x:f>SUM(IF($B$8=2,CK24,0),IF($B$36=2,CK52,0),IF($B$64=2,CK80,0))</x:f>
      </x:c>
      <x:c r="CL100" s="107" t="n">
        <x:f>SUM(IF($B$8=2,CL24,0),IF($B$36=2,CL52,0),IF($B$64=2,CL80,0))</x:f>
      </x:c>
      <x:c r="CM100" s="107" t="n">
        <x:f>SUM(IF($B$8=2,CM24,0),IF($B$36=2,CM52,0),IF($B$64=2,CM80,0))</x:f>
      </x:c>
      <x:c r="CN100" s="107" t="n">
        <x:f>SUM(IF($B$8=2,CN24,0),IF($B$36=2,CN52,0),IF($B$64=2,CN80,0))</x:f>
      </x:c>
      <x:c r="CO100" s="107" t="n">
        <x:f>SUM(IF($B$8=2,CO24,0),IF($B$36=2,CO52,0),IF($B$64=2,CO80,0))</x:f>
      </x:c>
      <x:c r="CP100" s="107" t="n">
        <x:f>SUM(IF($B$8=2,CP24,0),IF($B$36=2,CP52,0),IF($B$64=2,CP80,0))</x:f>
      </x:c>
      <x:c r="CQ100" s="107" t="n">
        <x:f>SUM(IF($B$8=2,CQ24,0),IF($B$36=2,CQ52,0),IF($B$64=2,CQ80,0))</x:f>
      </x:c>
      <x:c r="CR100" s="107" t="n">
        <x:f>SUM(IF($B$8=2,CR24,0),IF($B$36=2,CR52,0),IF($B$64=2,CR80,0))</x:f>
      </x:c>
      <x:c r="CS100" s="107" t="n">
        <x:f>SUM(IF($B$8=2,CS24,0),IF($B$36=2,CS52,0),IF($B$64=2,CS80,0))</x:f>
      </x:c>
      <x:c r="CT100" s="107" t="n">
        <x:f>SUM(IF($B$8=2,CT24,0),IF($B$36=2,CT52,0),IF($B$64=2,CT80,0))</x:f>
      </x:c>
      <x:c r="CU100" s="107" t="n">
        <x:f>SUM(IF($B$8=2,CU24,0),IF($B$36=2,CU52,0),IF($B$64=2,CU80,0))</x:f>
      </x:c>
      <x:c r="CV100" s="107" t="n">
        <x:f>SUM(IF($B$8=2,CV24,0),IF($B$36=2,CV52,0),IF($B$64=2,CV80,0))</x:f>
      </x:c>
      <x:c r="CW100" s="107" t="n">
        <x:f>SUM(IF($B$8=2,CW24,0),IF($B$36=2,CW52,0),IF($B$64=2,CW80,0))</x:f>
      </x:c>
      <x:c r="CX100" s="107" t="n">
        <x:f>SUM(IF($B$8=2,CX24,0),IF($B$36=2,CX52,0),IF($B$64=2,CX80,0))</x:f>
      </x:c>
      <x:c r="CY100" s="107" t="n">
        <x:f>SUM(IF($B$8=2,CY24,0),IF($B$36=2,CY52,0),IF($B$64=2,CY80,0))</x:f>
      </x:c>
      <x:c r="CZ100" s="107" t="n">
        <x:f>SUM(IF($B$8=2,CZ24,0),IF($B$36=2,CZ52,0),IF($B$64=2,CZ80,0))</x:f>
      </x:c>
      <x:c r="DA100" s="107" t="n">
        <x:f>SUM(IF($B$8=2,DA24,0),IF($B$36=2,DA52,0),IF($B$64=2,DA80,0))</x:f>
      </x:c>
      <x:c r="DB100" s="107" t="n">
        <x:f>SUM(IF($B$8=2,DB24,0),IF($B$36=2,DB52,0),IF($B$64=2,DB80,0))</x:f>
      </x:c>
      <x:c r="DC100" s="107" t="n">
        <x:f>SUM(IF($B$8=2,DC24,0),IF($B$36=2,DC52,0),IF($B$64=2,DC80,0))</x:f>
      </x:c>
      <x:c r="DD100" s="107" t="n">
        <x:f>SUM(IF($B$8=2,DD24,0),IF($B$36=2,DD52,0),IF($B$64=2,DD80,0))</x:f>
      </x:c>
      <x:c r="DE100" s="107" t="n">
        <x:f>SUM(IF($B$8=2,DE24,0),IF($B$36=2,DE52,0),IF($B$64=2,DE80,0))</x:f>
      </x:c>
      <x:c r="DF100" s="107" t="n">
        <x:f>SUM(IF($B$8=2,DF24,0),IF($B$36=2,DF52,0),IF($B$64=2,DF80,0))</x:f>
      </x:c>
      <x:c r="DG100" s="107" t="n">
        <x:f>SUM(IF($B$8=2,DG24,0),IF($B$36=2,DG52,0),IF($B$64=2,DG80,0))</x:f>
      </x:c>
      <x:c r="DH100" s="107" t="n">
        <x:f>SUM(IF($B$8=2,DH24,0),IF($B$36=2,DH52,0),IF($B$64=2,DH80,0))</x:f>
      </x:c>
      <x:c r="DI100" s="107" t="n">
        <x:f>SUM(IF($B$8=2,DI24,0),IF($B$36=2,DI52,0),IF($B$64=2,DI80,0))</x:f>
      </x:c>
      <x:c r="DJ100" s="107" t="n">
        <x:f>SUM(IF($B$8=2,DJ24,0),IF($B$36=2,DJ52,0),IF($B$64=2,DJ80,0))</x:f>
      </x:c>
      <x:c r="DK100" s="107" t="n">
        <x:f>SUM(IF($B$8=2,DK24,0),IF($B$36=2,DK52,0),IF($B$64=2,DK80,0))</x:f>
      </x:c>
      <x:c r="DL100" s="107" t="n">
        <x:f>SUM(IF($B$8=2,DL24,0),IF($B$36=2,DL52,0),IF($B$64=2,DL80,0))</x:f>
      </x:c>
      <x:c r="DM100" s="107" t="n">
        <x:f>SUM(IF($B$8=2,DM24,0),IF($B$36=2,DM52,0),IF($B$64=2,DM80,0))</x:f>
      </x:c>
      <x:c r="DN100" s="107" t="n">
        <x:f>SUM(IF($B$8=2,DN24,0),IF($B$36=2,DN52,0),IF($B$64=2,DN80,0))</x:f>
      </x:c>
      <x:c r="DO100" s="107" t="n">
        <x:f>SUM(IF($B$8=2,DO24,0),IF($B$36=2,DO52,0),IF($B$64=2,DO80,0))</x:f>
      </x:c>
      <x:c r="DP100" s="107" t="n">
        <x:f>SUM(IF($B$8=2,DP24,0),IF($B$36=2,DP52,0),IF($B$64=2,DP80,0))</x:f>
      </x:c>
      <x:c r="DQ100" s="107" t="n">
        <x:f>SUM(IF($B$8=2,DQ24,0),IF($B$36=2,DQ52,0),IF($B$64=2,DQ80,0))</x:f>
      </x:c>
      <x:c r="DR100" s="107" t="n">
        <x:f>SUM(IF($B$8=2,DR24,0),IF($B$36=2,DR52,0),IF($B$64=2,DR80,0))</x:f>
      </x:c>
      <x:c r="DS100" s="107" t="n">
        <x:f>SUM(IF($B$8=2,DS24,0),IF($B$36=2,DS52,0),IF($B$64=2,DS80,0))</x:f>
      </x:c>
      <x:c r="DT100" s="107" t="n">
        <x:f>SUM(IF($B$8=2,DT24,0),IF($B$36=2,DT52,0),IF($B$64=2,DT80,0))</x:f>
      </x:c>
      <x:c r="DU100" s="107" t="n">
        <x:f>SUM(IF($B$8=2,DU24,0),IF($B$36=2,DU52,0),IF($B$64=2,DU80,0))</x:f>
      </x:c>
      <x:c r="DV100" s="107" t="n">
        <x:f>SUM(IF($B$8=2,DV24,0),IF($B$36=2,DV52,0),IF($B$64=2,DV80,0))</x:f>
      </x:c>
      <x:c r="DW100" s="107" t="n">
        <x:f>SUM(IF($B$8=2,DW24,0),IF($B$36=2,DW52,0),IF($B$64=2,DW80,0))</x:f>
      </x:c>
      <x:c r="DX100" s="107" t="n">
        <x:f>SUM(IF($B$8=2,DX24,0),IF($B$36=2,DX52,0),IF($B$64=2,DX80,0))</x:f>
      </x:c>
      <x:c r="DY100" s="107" t="n">
        <x:f>SUM(IF($B$8=2,DY24,0),IF($B$36=2,DY52,0),IF($B$64=2,DY80,0))</x:f>
      </x:c>
      <x:c r="DZ100" s="107" t="n">
        <x:f>SUM(IF($B$8=2,DZ24,0),IF($B$36=2,DZ52,0),IF($B$64=2,DZ80,0))</x:f>
      </x:c>
      <x:c r="EA100" s="107" t="n">
        <x:f>SUM(IF($B$8=2,EA24,0),IF($B$36=2,EA52,0),IF($B$64=2,EA80,0))</x:f>
      </x:c>
      <x:c r="EB100" s="107" t="n">
        <x:f>SUM(IF($B$8=2,EB24,0),IF($B$36=2,EB52,0),IF($B$64=2,EB80,0))</x:f>
      </x:c>
      <x:c r="EC100" s="107" t="n">
        <x:f>SUM(IF($B$8=2,EC24,0),IF($B$36=2,EC52,0),IF($B$64=2,EC80,0))</x:f>
      </x:c>
      <x:c r="ED100" s="107" t="n">
        <x:f>SUM(IF($B$8=2,ED24,0),IF($B$36=2,ED52,0),IF($B$64=2,ED80,0))</x:f>
      </x:c>
      <x:c r="EE100" s="107" t="n">
        <x:f>SUM(IF($B$8=2,EE24,0),IF($B$36=2,EE52,0),IF($B$64=2,EE80,0))</x:f>
      </x:c>
      <x:c r="EF100" s="107" t="n">
        <x:f>SUM(IF($B$8=2,EF24,0),IF($B$36=2,EF52,0),IF($B$64=2,EF80,0))</x:f>
      </x:c>
      <x:c r="EG100" s="107" t="n">
        <x:f>SUM(IF($B$8=2,EG24,0),IF($B$36=2,EG52,0),IF($B$64=2,EG80,0))</x:f>
      </x:c>
      <x:c r="EH100" s="107" t="n">
        <x:f>SUM(IF($B$8=2,EH24,0),IF($B$36=2,EH52,0),IF($B$64=2,EH80,0))</x:f>
      </x:c>
      <x:c r="EI100" s="107" t="n">
        <x:f>SUM(IF($B$8=2,EI24,0),IF($B$36=2,EI52,0),IF($B$64=2,EI80,0))</x:f>
      </x:c>
      <x:c r="EJ100" s="107" t="n">
        <x:f>SUM(IF($B$8=2,EJ24,0),IF($B$36=2,EJ52,0),IF($B$64=2,EJ80,0))</x:f>
      </x:c>
      <x:c r="EK100" s="107" t="n">
        <x:f>SUM(IF($B$8=2,EK24,0),IF($B$36=2,EK52,0),IF($B$64=2,EK80,0))</x:f>
      </x:c>
      <x:c r="EL100" s="107" t="n">
        <x:f>SUM(IF($B$8=2,EL24,0),IF($B$36=2,EL52,0),IF($B$64=2,EL80,0))</x:f>
      </x:c>
      <x:c r="EM100" s="107" t="n">
        <x:f>SUM(IF($B$8=2,EM24,0),IF($B$36=2,EM52,0),IF($B$64=2,EM80,0))</x:f>
      </x:c>
      <x:c r="EN100" s="107" t="n">
        <x:f>SUM(IF($B$8=2,EN24,0),IF($B$36=2,EN52,0),IF($B$64=2,EN80,0))</x:f>
      </x:c>
      <x:c r="EO100" s="107" t="n">
        <x:f>SUM(IF($B$8=2,EO24,0),IF($B$36=2,EO52,0),IF($B$64=2,EO80,0))</x:f>
      </x:c>
      <x:c r="EP100" s="107" t="n">
        <x:f>SUM(IF($B$8=2,EP24,0),IF($B$36=2,EP52,0),IF($B$64=2,EP80,0))</x:f>
      </x:c>
      <x:c r="EQ100" s="107" t="n">
        <x:f>SUM(IF($B$8=2,EQ24,0),IF($B$36=2,EQ52,0),IF($B$64=2,EQ80,0))</x:f>
      </x:c>
      <x:c r="ER100" s="107" t="n">
        <x:f>SUM(IF($B$8=2,ER24,0),IF($B$36=2,ER52,0),IF($B$64=2,ER80,0))</x:f>
      </x:c>
      <x:c r="ES100" s="107" t="n">
        <x:f>SUM(IF($B$8=2,ES24,0),IF($B$36=2,ES52,0),IF($B$64=2,ES80,0))</x:f>
      </x:c>
      <x:c r="ET100" s="107" t="n">
        <x:f>SUM(IF($B$8=2,ET24,0),IF($B$36=2,ET52,0),IF($B$64=2,ET80,0))</x:f>
      </x:c>
      <x:c r="EU100" s="107" t="n">
        <x:f>SUM(IF($B$8=2,EU24,0),IF($B$36=2,EU52,0),IF($B$64=2,EU80,0))</x:f>
      </x:c>
      <x:c r="EV100" s="107" t="n">
        <x:f>SUM(IF($B$8=2,EV24,0),IF($B$36=2,EV52,0),IF($B$64=2,EV80,0))</x:f>
      </x:c>
      <x:c r="EW100" s="107" t="n">
        <x:f>SUM(IF($B$8=2,EW24,0),IF($B$36=2,EW52,0),IF($B$64=2,EW80,0))</x:f>
      </x:c>
      <x:c r="EX100" s="107" t="n">
        <x:f>SUM(IF($B$8=2,EX24,0),IF($B$36=2,EX52,0),IF($B$64=2,EX80,0))</x:f>
      </x:c>
      <x:c r="EY100" s="107" t="n">
        <x:f>SUM(IF($B$8=2,EY24,0),IF($B$36=2,EY52,0),IF($B$64=2,EY80,0))</x:f>
      </x:c>
      <x:c r="EZ100" s="107" t="n">
        <x:f>SUM(IF($B$8=2,EZ24,0),IF($B$36=2,EZ52,0),IF($B$64=2,EZ80,0))</x:f>
      </x:c>
      <x:c r="FA100" s="107" t="n">
        <x:f>SUM(IF($B$8=2,FA24,0),IF($B$36=2,FA52,0),IF($B$64=2,FA80,0))</x:f>
      </x:c>
      <x:c r="FB100" s="107" t="n">
        <x:f>SUM(IF($B$8=2,FB24,0),IF($B$36=2,FB52,0),IF($B$64=2,FB80,0))</x:f>
      </x:c>
      <x:c r="FC100" s="107" t="n">
        <x:f>SUM(IF($B$8=2,FC24,0),IF($B$36=2,FC52,0),IF($B$64=2,FC80,0))</x:f>
      </x:c>
      <x:c r="FD100" s="107" t="n">
        <x:f>SUM(IF($B$8=2,FD24,0),IF($B$36=2,FD52,0),IF($B$64=2,FD80,0))</x:f>
      </x:c>
      <x:c r="FE100" s="107" t="n">
        <x:f>SUM(IF($B$8=2,FE24,0),IF($B$36=2,FE52,0),IF($B$64=2,FE80,0))</x:f>
      </x:c>
      <x:c r="FF100" s="107" t="n">
        <x:f>SUM(IF($B$8=2,FF24,0),IF($B$36=2,FF52,0),IF($B$64=2,FF80,0))</x:f>
      </x:c>
      <x:c r="FG100" s="107" t="n">
        <x:f>SUM(IF($B$8=2,FG24,0),IF($B$36=2,FG52,0),IF($B$64=2,FG80,0))</x:f>
      </x:c>
      <x:c r="FH100" s="107" t="n">
        <x:f>SUM(IF($B$8=2,FH24,0),IF($B$36=2,FH52,0),IF($B$64=2,FH80,0))</x:f>
      </x:c>
      <x:c r="FI100" s="107" t="n">
        <x:f>SUM(IF($B$8=2,FI24,0),IF($B$36=2,FI52,0),IF($B$64=2,FI80,0))</x:f>
      </x:c>
      <x:c r="FJ100" s="107" t="n">
        <x:f>SUM(IF($B$8=2,FJ24,0),IF($B$36=2,FJ52,0),IF($B$64=2,FJ80,0))</x:f>
      </x:c>
      <x:c r="FK100" s="107" t="n">
        <x:f>SUM(IF($B$8=2,FK24,0),IF($B$36=2,FK52,0),IF($B$64=2,FK80,0))</x:f>
      </x:c>
      <x:c r="FL100" s="107" t="n">
        <x:f>SUM(IF($B$8=2,FL24,0),IF($B$36=2,FL52,0),IF($B$64=2,FL80,0))</x:f>
      </x:c>
      <x:c r="FM100" s="107" t="n">
        <x:f>SUM(IF($B$8=2,FM24,0),IF($B$36=2,FM52,0),IF($B$64=2,FM80,0))</x:f>
      </x:c>
      <x:c r="FN100" s="107" t="n">
        <x:f>SUM(IF($B$8=2,FN24,0),IF($B$36=2,FN52,0),IF($B$64=2,FN80,0))</x:f>
      </x:c>
      <x:c r="FO100" s="107" t="n">
        <x:f>SUM(IF($B$8=2,FO24,0),IF($B$36=2,FO52,0),IF($B$64=2,FO80,0))</x:f>
      </x:c>
      <x:c r="FP100" s="107" t="n">
        <x:f>SUM(IF($B$8=2,FP24,0),IF($B$36=2,FP52,0),IF($B$64=2,FP80,0))</x:f>
      </x:c>
      <x:c r="FQ100" s="107" t="n">
        <x:f>SUM(IF($B$8=2,FQ24,0),IF($B$36=2,FQ52,0),IF($B$64=2,FQ80,0))</x:f>
      </x:c>
      <x:c r="FR100" s="107" t="n">
        <x:f>SUM(IF($B$8=2,FR24,0),IF($B$36=2,FR52,0),IF($B$64=2,FR80,0))</x:f>
      </x:c>
      <x:c r="FS100" s="107" t="n">
        <x:f>SUM(IF($B$8=2,FS24,0),IF($B$36=2,FS52,0),IF($B$64=2,FS80,0))</x:f>
      </x:c>
      <x:c r="FT100" s="107" t="n">
        <x:f>SUM(IF($B$8=2,FT24,0),IF($B$36=2,FT52,0),IF($B$64=2,FT80,0))</x:f>
      </x:c>
      <x:c r="FU100" s="107" t="n">
        <x:f>SUM(IF($B$8=2,FU24,0),IF($B$36=2,FU52,0),IF($B$64=2,FU80,0))</x:f>
      </x:c>
      <x:c r="FV100" s="107" t="n">
        <x:f>SUM(IF($B$8=2,FV24,0),IF($B$36=2,FV52,0),IF($B$64=2,FV80,0))</x:f>
      </x:c>
      <x:c r="FW100" s="107" t="n">
        <x:f>SUM(IF($B$8=2,FW24,0),IF($B$36=2,FW52,0),IF($B$64=2,FW80,0))</x:f>
      </x:c>
      <x:c r="FX100" s="107" t="n">
        <x:f>SUM(IF($B$8=2,FX24,0),IF($B$36=2,FX52,0),IF($B$64=2,FX80,0))</x:f>
      </x:c>
      <x:c r="FY100" s="107" t="n">
        <x:f>SUM(IF($B$8=2,FY24,0),IF($B$36=2,FY52,0),IF($B$64=2,FY80,0))</x:f>
      </x:c>
      <x:c r="FZ100" s="107" t="n">
        <x:f>SUM(IF($B$8=2,FZ24,0),IF($B$36=2,FZ52,0),IF($B$64=2,FZ80,0))</x:f>
      </x:c>
      <x:c r="GA100" s="107" t="n">
        <x:f>SUM(IF($B$8=2,GA24,0),IF($B$36=2,GA52,0),IF($B$64=2,GA80,0))</x:f>
      </x:c>
    </x:row>
    <x:row r="101">
      <x:c r="A101" t="str">
        <x:v>Очередь 2 — Поступления объектов на эскроу</x:v>
      </x:c>
      <x:c r="B101" s="107" t="n">
        <x:f>SUM(D101:GA101)</x:f>
      </x:c>
      <x:c r="C101" t="str">
        <x:v>млн ₽</x:v>
      </x:c>
      <x:c r="D101" s="107" t="n">
        <x:f>SUM(IF($B$8=2,D25,0),IF($B$36=2,D53,0),IF($B$64=2,D81,0))</x:f>
      </x:c>
      <x:c r="E101" s="107" t="n">
        <x:f>SUM(IF($B$8=2,E25,0),IF($B$36=2,E53,0),IF($B$64=2,E81,0))</x:f>
      </x:c>
      <x:c r="F101" s="107" t="n">
        <x:f>SUM(IF($B$8=2,F25,0),IF($B$36=2,F53,0),IF($B$64=2,F81,0))</x:f>
      </x:c>
      <x:c r="G101" s="107" t="n">
        <x:f>SUM(IF($B$8=2,G25,0),IF($B$36=2,G53,0),IF($B$64=2,G81,0))</x:f>
      </x:c>
      <x:c r="H101" s="107" t="n">
        <x:f>SUM(IF($B$8=2,H25,0),IF($B$36=2,H53,0),IF($B$64=2,H81,0))</x:f>
      </x:c>
      <x:c r="I101" s="107" t="n">
        <x:f>SUM(IF($B$8=2,I25,0),IF($B$36=2,I53,0),IF($B$64=2,I81,0))</x:f>
      </x:c>
      <x:c r="J101" s="107" t="n">
        <x:f>SUM(IF($B$8=2,J25,0),IF($B$36=2,J53,0),IF($B$64=2,J81,0))</x:f>
      </x:c>
      <x:c r="K101" s="107" t="n">
        <x:f>SUM(IF($B$8=2,K25,0),IF($B$36=2,K53,0),IF($B$64=2,K81,0))</x:f>
      </x:c>
      <x:c r="L101" s="107" t="n">
        <x:f>SUM(IF($B$8=2,L25,0),IF($B$36=2,L53,0),IF($B$64=2,L81,0))</x:f>
      </x:c>
      <x:c r="M101" s="107" t="n">
        <x:f>SUM(IF($B$8=2,M25,0),IF($B$36=2,M53,0),IF($B$64=2,M81,0))</x:f>
      </x:c>
      <x:c r="N101" s="107" t="n">
        <x:f>SUM(IF($B$8=2,N25,0),IF($B$36=2,N53,0),IF($B$64=2,N81,0))</x:f>
      </x:c>
      <x:c r="O101" s="107" t="n">
        <x:f>SUM(IF($B$8=2,O25,0),IF($B$36=2,O53,0),IF($B$64=2,O81,0))</x:f>
      </x:c>
      <x:c r="P101" s="107" t="n">
        <x:f>SUM(IF($B$8=2,P25,0),IF($B$36=2,P53,0),IF($B$64=2,P81,0))</x:f>
      </x:c>
      <x:c r="Q101" s="107" t="n">
        <x:f>SUM(IF($B$8=2,Q25,0),IF($B$36=2,Q53,0),IF($B$64=2,Q81,0))</x:f>
      </x:c>
      <x:c r="R101" s="107" t="n">
        <x:f>SUM(IF($B$8=2,R25,0),IF($B$36=2,R53,0),IF($B$64=2,R81,0))</x:f>
      </x:c>
      <x:c r="S101" s="107" t="n">
        <x:f>SUM(IF($B$8=2,S25,0),IF($B$36=2,S53,0),IF($B$64=2,S81,0))</x:f>
      </x:c>
      <x:c r="T101" s="107" t="n">
        <x:f>SUM(IF($B$8=2,T25,0),IF($B$36=2,T53,0),IF($B$64=2,T81,0))</x:f>
      </x:c>
      <x:c r="U101" s="107" t="n">
        <x:f>SUM(IF($B$8=2,U25,0),IF($B$36=2,U53,0),IF($B$64=2,U81,0))</x:f>
      </x:c>
      <x:c r="V101" s="107" t="n">
        <x:f>SUM(IF($B$8=2,V25,0),IF($B$36=2,V53,0),IF($B$64=2,V81,0))</x:f>
      </x:c>
      <x:c r="W101" s="107" t="n">
        <x:f>SUM(IF($B$8=2,W25,0),IF($B$36=2,W53,0),IF($B$64=2,W81,0))</x:f>
      </x:c>
      <x:c r="X101" s="107" t="n">
        <x:f>SUM(IF($B$8=2,X25,0),IF($B$36=2,X53,0),IF($B$64=2,X81,0))</x:f>
      </x:c>
      <x:c r="Y101" s="107" t="n">
        <x:f>SUM(IF($B$8=2,Y25,0),IF($B$36=2,Y53,0),IF($B$64=2,Y81,0))</x:f>
      </x:c>
      <x:c r="Z101" s="107" t="n">
        <x:f>SUM(IF($B$8=2,Z25,0),IF($B$36=2,Z53,0),IF($B$64=2,Z81,0))</x:f>
      </x:c>
      <x:c r="AA101" s="107" t="n">
        <x:f>SUM(IF($B$8=2,AA25,0),IF($B$36=2,AA53,0),IF($B$64=2,AA81,0))</x:f>
      </x:c>
      <x:c r="AB101" s="107" t="n">
        <x:f>SUM(IF($B$8=2,AB25,0),IF($B$36=2,AB53,0),IF($B$64=2,AB81,0))</x:f>
      </x:c>
      <x:c r="AC101" s="107" t="n">
        <x:f>SUM(IF($B$8=2,AC25,0),IF($B$36=2,AC53,0),IF($B$64=2,AC81,0))</x:f>
      </x:c>
      <x:c r="AD101" s="107" t="n">
        <x:f>SUM(IF($B$8=2,AD25,0),IF($B$36=2,AD53,0),IF($B$64=2,AD81,0))</x:f>
      </x:c>
      <x:c r="AE101" s="107" t="n">
        <x:f>SUM(IF($B$8=2,AE25,0),IF($B$36=2,AE53,0),IF($B$64=2,AE81,0))</x:f>
      </x:c>
      <x:c r="AF101" s="107" t="n">
        <x:f>SUM(IF($B$8=2,AF25,0),IF($B$36=2,AF53,0),IF($B$64=2,AF81,0))</x:f>
      </x:c>
      <x:c r="AG101" s="107" t="n">
        <x:f>SUM(IF($B$8=2,AG25,0),IF($B$36=2,AG53,0),IF($B$64=2,AG81,0))</x:f>
      </x:c>
      <x:c r="AH101" s="107" t="n">
        <x:f>SUM(IF($B$8=2,AH25,0),IF($B$36=2,AH53,0),IF($B$64=2,AH81,0))</x:f>
      </x:c>
      <x:c r="AI101" s="107" t="n">
        <x:f>SUM(IF($B$8=2,AI25,0),IF($B$36=2,AI53,0),IF($B$64=2,AI81,0))</x:f>
      </x:c>
      <x:c r="AJ101" s="107" t="n">
        <x:f>SUM(IF($B$8=2,AJ25,0),IF($B$36=2,AJ53,0),IF($B$64=2,AJ81,0))</x:f>
      </x:c>
      <x:c r="AK101" s="107" t="n">
        <x:f>SUM(IF($B$8=2,AK25,0),IF($B$36=2,AK53,0),IF($B$64=2,AK81,0))</x:f>
      </x:c>
      <x:c r="AL101" s="107" t="n">
        <x:f>SUM(IF($B$8=2,AL25,0),IF($B$36=2,AL53,0),IF($B$64=2,AL81,0))</x:f>
      </x:c>
      <x:c r="AM101" s="107" t="n">
        <x:f>SUM(IF($B$8=2,AM25,0),IF($B$36=2,AM53,0),IF($B$64=2,AM81,0))</x:f>
      </x:c>
      <x:c r="AN101" s="107" t="n">
        <x:f>SUM(IF($B$8=2,AN25,0),IF($B$36=2,AN53,0),IF($B$64=2,AN81,0))</x:f>
      </x:c>
      <x:c r="AO101" s="107" t="n">
        <x:f>SUM(IF($B$8=2,AO25,0),IF($B$36=2,AO53,0),IF($B$64=2,AO81,0))</x:f>
      </x:c>
      <x:c r="AP101" s="107" t="n">
        <x:f>SUM(IF($B$8=2,AP25,0),IF($B$36=2,AP53,0),IF($B$64=2,AP81,0))</x:f>
      </x:c>
      <x:c r="AQ101" s="107" t="n">
        <x:f>SUM(IF($B$8=2,AQ25,0),IF($B$36=2,AQ53,0),IF($B$64=2,AQ81,0))</x:f>
      </x:c>
      <x:c r="AR101" s="107" t="n">
        <x:f>SUM(IF($B$8=2,AR25,0),IF($B$36=2,AR53,0),IF($B$64=2,AR81,0))</x:f>
      </x:c>
      <x:c r="AS101" s="107" t="n">
        <x:f>SUM(IF($B$8=2,AS25,0),IF($B$36=2,AS53,0),IF($B$64=2,AS81,0))</x:f>
      </x:c>
      <x:c r="AT101" s="107" t="n">
        <x:f>SUM(IF($B$8=2,AT25,0),IF($B$36=2,AT53,0),IF($B$64=2,AT81,0))</x:f>
      </x:c>
      <x:c r="AU101" s="107" t="n">
        <x:f>SUM(IF($B$8=2,AU25,0),IF($B$36=2,AU53,0),IF($B$64=2,AU81,0))</x:f>
      </x:c>
      <x:c r="AV101" s="107" t="n">
        <x:f>SUM(IF($B$8=2,AV25,0),IF($B$36=2,AV53,0),IF($B$64=2,AV81,0))</x:f>
      </x:c>
      <x:c r="AW101" s="107" t="n">
        <x:f>SUM(IF($B$8=2,AW25,0),IF($B$36=2,AW53,0),IF($B$64=2,AW81,0))</x:f>
      </x:c>
      <x:c r="AX101" s="107" t="n">
        <x:f>SUM(IF($B$8=2,AX25,0),IF($B$36=2,AX53,0),IF($B$64=2,AX81,0))</x:f>
      </x:c>
      <x:c r="AY101" s="107" t="n">
        <x:f>SUM(IF($B$8=2,AY25,0),IF($B$36=2,AY53,0),IF($B$64=2,AY81,0))</x:f>
      </x:c>
      <x:c r="AZ101" s="107" t="n">
        <x:f>SUM(IF($B$8=2,AZ25,0),IF($B$36=2,AZ53,0),IF($B$64=2,AZ81,0))</x:f>
      </x:c>
      <x:c r="BA101" s="107" t="n">
        <x:f>SUM(IF($B$8=2,BA25,0),IF($B$36=2,BA53,0),IF($B$64=2,BA81,0))</x:f>
      </x:c>
      <x:c r="BB101" s="107" t="n">
        <x:f>SUM(IF($B$8=2,BB25,0),IF($B$36=2,BB53,0),IF($B$64=2,BB81,0))</x:f>
      </x:c>
      <x:c r="BC101" s="107" t="n">
        <x:f>SUM(IF($B$8=2,BC25,0),IF($B$36=2,BC53,0),IF($B$64=2,BC81,0))</x:f>
      </x:c>
      <x:c r="BD101" s="107" t="n">
        <x:f>SUM(IF($B$8=2,BD25,0),IF($B$36=2,BD53,0),IF($B$64=2,BD81,0))</x:f>
      </x:c>
      <x:c r="BE101" s="107" t="n">
        <x:f>SUM(IF($B$8=2,BE25,0),IF($B$36=2,BE53,0),IF($B$64=2,BE81,0))</x:f>
      </x:c>
      <x:c r="BF101" s="107" t="n">
        <x:f>SUM(IF($B$8=2,BF25,0),IF($B$36=2,BF53,0),IF($B$64=2,BF81,0))</x:f>
      </x:c>
      <x:c r="BG101" s="107" t="n">
        <x:f>SUM(IF($B$8=2,BG25,0),IF($B$36=2,BG53,0),IF($B$64=2,BG81,0))</x:f>
      </x:c>
      <x:c r="BH101" s="107" t="n">
        <x:f>SUM(IF($B$8=2,BH25,0),IF($B$36=2,BH53,0),IF($B$64=2,BH81,0))</x:f>
      </x:c>
      <x:c r="BI101" s="107" t="n">
        <x:f>SUM(IF($B$8=2,BI25,0),IF($B$36=2,BI53,0),IF($B$64=2,BI81,0))</x:f>
      </x:c>
      <x:c r="BJ101" s="107" t="n">
        <x:f>SUM(IF($B$8=2,BJ25,0),IF($B$36=2,BJ53,0),IF($B$64=2,BJ81,0))</x:f>
      </x:c>
      <x:c r="BK101" s="107" t="n">
        <x:f>SUM(IF($B$8=2,BK25,0),IF($B$36=2,BK53,0),IF($B$64=2,BK81,0))</x:f>
      </x:c>
      <x:c r="BL101" s="107" t="n">
        <x:f>SUM(IF($B$8=2,BL25,0),IF($B$36=2,BL53,0),IF($B$64=2,BL81,0))</x:f>
      </x:c>
      <x:c r="BM101" s="107" t="n">
        <x:f>SUM(IF($B$8=2,BM25,0),IF($B$36=2,BM53,0),IF($B$64=2,BM81,0))</x:f>
      </x:c>
      <x:c r="BN101" s="107" t="n">
        <x:f>SUM(IF($B$8=2,BN25,0),IF($B$36=2,BN53,0),IF($B$64=2,BN81,0))</x:f>
      </x:c>
      <x:c r="BO101" s="107" t="n">
        <x:f>SUM(IF($B$8=2,BO25,0),IF($B$36=2,BO53,0),IF($B$64=2,BO81,0))</x:f>
      </x:c>
      <x:c r="BP101" s="107" t="n">
        <x:f>SUM(IF($B$8=2,BP25,0),IF($B$36=2,BP53,0),IF($B$64=2,BP81,0))</x:f>
      </x:c>
      <x:c r="BQ101" s="107" t="n">
        <x:f>SUM(IF($B$8=2,BQ25,0),IF($B$36=2,BQ53,0),IF($B$64=2,BQ81,0))</x:f>
      </x:c>
      <x:c r="BR101" s="107" t="n">
        <x:f>SUM(IF($B$8=2,BR25,0),IF($B$36=2,BR53,0),IF($B$64=2,BR81,0))</x:f>
      </x:c>
      <x:c r="BS101" s="107" t="n">
        <x:f>SUM(IF($B$8=2,BS25,0),IF($B$36=2,BS53,0),IF($B$64=2,BS81,0))</x:f>
      </x:c>
      <x:c r="BT101" s="107" t="n">
        <x:f>SUM(IF($B$8=2,BT25,0),IF($B$36=2,BT53,0),IF($B$64=2,BT81,0))</x:f>
      </x:c>
      <x:c r="BU101" s="107" t="n">
        <x:f>SUM(IF($B$8=2,BU25,0),IF($B$36=2,BU53,0),IF($B$64=2,BU81,0))</x:f>
      </x:c>
      <x:c r="BV101" s="107" t="n">
        <x:f>SUM(IF($B$8=2,BV25,0),IF($B$36=2,BV53,0),IF($B$64=2,BV81,0))</x:f>
      </x:c>
      <x:c r="BW101" s="107" t="n">
        <x:f>SUM(IF($B$8=2,BW25,0),IF($B$36=2,BW53,0),IF($B$64=2,BW81,0))</x:f>
      </x:c>
      <x:c r="BX101" s="107" t="n">
        <x:f>SUM(IF($B$8=2,BX25,0),IF($B$36=2,BX53,0),IF($B$64=2,BX81,0))</x:f>
      </x:c>
      <x:c r="BY101" s="107" t="n">
        <x:f>SUM(IF($B$8=2,BY25,0),IF($B$36=2,BY53,0),IF($B$64=2,BY81,0))</x:f>
      </x:c>
      <x:c r="BZ101" s="107" t="n">
        <x:f>SUM(IF($B$8=2,BZ25,0),IF($B$36=2,BZ53,0),IF($B$64=2,BZ81,0))</x:f>
      </x:c>
      <x:c r="CA101" s="107" t="n">
        <x:f>SUM(IF($B$8=2,CA25,0),IF($B$36=2,CA53,0),IF($B$64=2,CA81,0))</x:f>
      </x:c>
      <x:c r="CB101" s="107" t="n">
        <x:f>SUM(IF($B$8=2,CB25,0),IF($B$36=2,CB53,0),IF($B$64=2,CB81,0))</x:f>
      </x:c>
      <x:c r="CC101" s="107" t="n">
        <x:f>SUM(IF($B$8=2,CC25,0),IF($B$36=2,CC53,0),IF($B$64=2,CC81,0))</x:f>
      </x:c>
      <x:c r="CD101" s="107" t="n">
        <x:f>SUM(IF($B$8=2,CD25,0),IF($B$36=2,CD53,0),IF($B$64=2,CD81,0))</x:f>
      </x:c>
      <x:c r="CE101" s="107" t="n">
        <x:f>SUM(IF($B$8=2,CE25,0),IF($B$36=2,CE53,0),IF($B$64=2,CE81,0))</x:f>
      </x:c>
      <x:c r="CF101" s="107" t="n">
        <x:f>SUM(IF($B$8=2,CF25,0),IF($B$36=2,CF53,0),IF($B$64=2,CF81,0))</x:f>
      </x:c>
      <x:c r="CG101" s="107" t="n">
        <x:f>SUM(IF($B$8=2,CG25,0),IF($B$36=2,CG53,0),IF($B$64=2,CG81,0))</x:f>
      </x:c>
      <x:c r="CH101" s="107" t="n">
        <x:f>SUM(IF($B$8=2,CH25,0),IF($B$36=2,CH53,0),IF($B$64=2,CH81,0))</x:f>
      </x:c>
      <x:c r="CI101" s="107" t="n">
        <x:f>SUM(IF($B$8=2,CI25,0),IF($B$36=2,CI53,0),IF($B$64=2,CI81,0))</x:f>
      </x:c>
      <x:c r="CJ101" s="107" t="n">
        <x:f>SUM(IF($B$8=2,CJ25,0),IF($B$36=2,CJ53,0),IF($B$64=2,CJ81,0))</x:f>
      </x:c>
      <x:c r="CK101" s="107" t="n">
        <x:f>SUM(IF($B$8=2,CK25,0),IF($B$36=2,CK53,0),IF($B$64=2,CK81,0))</x:f>
      </x:c>
      <x:c r="CL101" s="107" t="n">
        <x:f>SUM(IF($B$8=2,CL25,0),IF($B$36=2,CL53,0),IF($B$64=2,CL81,0))</x:f>
      </x:c>
      <x:c r="CM101" s="107" t="n">
        <x:f>SUM(IF($B$8=2,CM25,0),IF($B$36=2,CM53,0),IF($B$64=2,CM81,0))</x:f>
      </x:c>
      <x:c r="CN101" s="107" t="n">
        <x:f>SUM(IF($B$8=2,CN25,0),IF($B$36=2,CN53,0),IF($B$64=2,CN81,0))</x:f>
      </x:c>
      <x:c r="CO101" s="107" t="n">
        <x:f>SUM(IF($B$8=2,CO25,0),IF($B$36=2,CO53,0),IF($B$64=2,CO81,0))</x:f>
      </x:c>
      <x:c r="CP101" s="107" t="n">
        <x:f>SUM(IF($B$8=2,CP25,0),IF($B$36=2,CP53,0),IF($B$64=2,CP81,0))</x:f>
      </x:c>
      <x:c r="CQ101" s="107" t="n">
        <x:f>SUM(IF($B$8=2,CQ25,0),IF($B$36=2,CQ53,0),IF($B$64=2,CQ81,0))</x:f>
      </x:c>
      <x:c r="CR101" s="107" t="n">
        <x:f>SUM(IF($B$8=2,CR25,0),IF($B$36=2,CR53,0),IF($B$64=2,CR81,0))</x:f>
      </x:c>
      <x:c r="CS101" s="107" t="n">
        <x:f>SUM(IF($B$8=2,CS25,0),IF($B$36=2,CS53,0),IF($B$64=2,CS81,0))</x:f>
      </x:c>
      <x:c r="CT101" s="107" t="n">
        <x:f>SUM(IF($B$8=2,CT25,0),IF($B$36=2,CT53,0),IF($B$64=2,CT81,0))</x:f>
      </x:c>
      <x:c r="CU101" s="107" t="n">
        <x:f>SUM(IF($B$8=2,CU25,0),IF($B$36=2,CU53,0),IF($B$64=2,CU81,0))</x:f>
      </x:c>
      <x:c r="CV101" s="107" t="n">
        <x:f>SUM(IF($B$8=2,CV25,0),IF($B$36=2,CV53,0),IF($B$64=2,CV81,0))</x:f>
      </x:c>
      <x:c r="CW101" s="107" t="n">
        <x:f>SUM(IF($B$8=2,CW25,0),IF($B$36=2,CW53,0),IF($B$64=2,CW81,0))</x:f>
      </x:c>
      <x:c r="CX101" s="107" t="n">
        <x:f>SUM(IF($B$8=2,CX25,0),IF($B$36=2,CX53,0),IF($B$64=2,CX81,0))</x:f>
      </x:c>
      <x:c r="CY101" s="107" t="n">
        <x:f>SUM(IF($B$8=2,CY25,0),IF($B$36=2,CY53,0),IF($B$64=2,CY81,0))</x:f>
      </x:c>
      <x:c r="CZ101" s="107" t="n">
        <x:f>SUM(IF($B$8=2,CZ25,0),IF($B$36=2,CZ53,0),IF($B$64=2,CZ81,0))</x:f>
      </x:c>
      <x:c r="DA101" s="107" t="n">
        <x:f>SUM(IF($B$8=2,DA25,0),IF($B$36=2,DA53,0),IF($B$64=2,DA81,0))</x:f>
      </x:c>
      <x:c r="DB101" s="107" t="n">
        <x:f>SUM(IF($B$8=2,DB25,0),IF($B$36=2,DB53,0),IF($B$64=2,DB81,0))</x:f>
      </x:c>
      <x:c r="DC101" s="107" t="n">
        <x:f>SUM(IF($B$8=2,DC25,0),IF($B$36=2,DC53,0),IF($B$64=2,DC81,0))</x:f>
      </x:c>
      <x:c r="DD101" s="107" t="n">
        <x:f>SUM(IF($B$8=2,DD25,0),IF($B$36=2,DD53,0),IF($B$64=2,DD81,0))</x:f>
      </x:c>
      <x:c r="DE101" s="107" t="n">
        <x:f>SUM(IF($B$8=2,DE25,0),IF($B$36=2,DE53,0),IF($B$64=2,DE81,0))</x:f>
      </x:c>
      <x:c r="DF101" s="107" t="n">
        <x:f>SUM(IF($B$8=2,DF25,0),IF($B$36=2,DF53,0),IF($B$64=2,DF81,0))</x:f>
      </x:c>
      <x:c r="DG101" s="107" t="n">
        <x:f>SUM(IF($B$8=2,DG25,0),IF($B$36=2,DG53,0),IF($B$64=2,DG81,0))</x:f>
      </x:c>
      <x:c r="DH101" s="107" t="n">
        <x:f>SUM(IF($B$8=2,DH25,0),IF($B$36=2,DH53,0),IF($B$64=2,DH81,0))</x:f>
      </x:c>
      <x:c r="DI101" s="107" t="n">
        <x:f>SUM(IF($B$8=2,DI25,0),IF($B$36=2,DI53,0),IF($B$64=2,DI81,0))</x:f>
      </x:c>
      <x:c r="DJ101" s="107" t="n">
        <x:f>SUM(IF($B$8=2,DJ25,0),IF($B$36=2,DJ53,0),IF($B$64=2,DJ81,0))</x:f>
      </x:c>
      <x:c r="DK101" s="107" t="n">
        <x:f>SUM(IF($B$8=2,DK25,0),IF($B$36=2,DK53,0),IF($B$64=2,DK81,0))</x:f>
      </x:c>
      <x:c r="DL101" s="107" t="n">
        <x:f>SUM(IF($B$8=2,DL25,0),IF($B$36=2,DL53,0),IF($B$64=2,DL81,0))</x:f>
      </x:c>
      <x:c r="DM101" s="107" t="n">
        <x:f>SUM(IF($B$8=2,DM25,0),IF($B$36=2,DM53,0),IF($B$64=2,DM81,0))</x:f>
      </x:c>
      <x:c r="DN101" s="107" t="n">
        <x:f>SUM(IF($B$8=2,DN25,0),IF($B$36=2,DN53,0),IF($B$64=2,DN81,0))</x:f>
      </x:c>
      <x:c r="DO101" s="107" t="n">
        <x:f>SUM(IF($B$8=2,DO25,0),IF($B$36=2,DO53,0),IF($B$64=2,DO81,0))</x:f>
      </x:c>
      <x:c r="DP101" s="107" t="n">
        <x:f>SUM(IF($B$8=2,DP25,0),IF($B$36=2,DP53,0),IF($B$64=2,DP81,0))</x:f>
      </x:c>
      <x:c r="DQ101" s="107" t="n">
        <x:f>SUM(IF($B$8=2,DQ25,0),IF($B$36=2,DQ53,0),IF($B$64=2,DQ81,0))</x:f>
      </x:c>
      <x:c r="DR101" s="107" t="n">
        <x:f>SUM(IF($B$8=2,DR25,0),IF($B$36=2,DR53,0),IF($B$64=2,DR81,0))</x:f>
      </x:c>
      <x:c r="DS101" s="107" t="n">
        <x:f>SUM(IF($B$8=2,DS25,0),IF($B$36=2,DS53,0),IF($B$64=2,DS81,0))</x:f>
      </x:c>
      <x:c r="DT101" s="107" t="n">
        <x:f>SUM(IF($B$8=2,DT25,0),IF($B$36=2,DT53,0),IF($B$64=2,DT81,0))</x:f>
      </x:c>
      <x:c r="DU101" s="107" t="n">
        <x:f>SUM(IF($B$8=2,DU25,0),IF($B$36=2,DU53,0),IF($B$64=2,DU81,0))</x:f>
      </x:c>
      <x:c r="DV101" s="107" t="n">
        <x:f>SUM(IF($B$8=2,DV25,0),IF($B$36=2,DV53,0),IF($B$64=2,DV81,0))</x:f>
      </x:c>
      <x:c r="DW101" s="107" t="n">
        <x:f>SUM(IF($B$8=2,DW25,0),IF($B$36=2,DW53,0),IF($B$64=2,DW81,0))</x:f>
      </x:c>
      <x:c r="DX101" s="107" t="n">
        <x:f>SUM(IF($B$8=2,DX25,0),IF($B$36=2,DX53,0),IF($B$64=2,DX81,0))</x:f>
      </x:c>
      <x:c r="DY101" s="107" t="n">
        <x:f>SUM(IF($B$8=2,DY25,0),IF($B$36=2,DY53,0),IF($B$64=2,DY81,0))</x:f>
      </x:c>
      <x:c r="DZ101" s="107" t="n">
        <x:f>SUM(IF($B$8=2,DZ25,0),IF($B$36=2,DZ53,0),IF($B$64=2,DZ81,0))</x:f>
      </x:c>
      <x:c r="EA101" s="107" t="n">
        <x:f>SUM(IF($B$8=2,EA25,0),IF($B$36=2,EA53,0),IF($B$64=2,EA81,0))</x:f>
      </x:c>
      <x:c r="EB101" s="107" t="n">
        <x:f>SUM(IF($B$8=2,EB25,0),IF($B$36=2,EB53,0),IF($B$64=2,EB81,0))</x:f>
      </x:c>
      <x:c r="EC101" s="107" t="n">
        <x:f>SUM(IF($B$8=2,EC25,0),IF($B$36=2,EC53,0),IF($B$64=2,EC81,0))</x:f>
      </x:c>
      <x:c r="ED101" s="107" t="n">
        <x:f>SUM(IF($B$8=2,ED25,0),IF($B$36=2,ED53,0),IF($B$64=2,ED81,0))</x:f>
      </x:c>
      <x:c r="EE101" s="107" t="n">
        <x:f>SUM(IF($B$8=2,EE25,0),IF($B$36=2,EE53,0),IF($B$64=2,EE81,0))</x:f>
      </x:c>
      <x:c r="EF101" s="107" t="n">
        <x:f>SUM(IF($B$8=2,EF25,0),IF($B$36=2,EF53,0),IF($B$64=2,EF81,0))</x:f>
      </x:c>
      <x:c r="EG101" s="107" t="n">
        <x:f>SUM(IF($B$8=2,EG25,0),IF($B$36=2,EG53,0),IF($B$64=2,EG81,0))</x:f>
      </x:c>
      <x:c r="EH101" s="107" t="n">
        <x:f>SUM(IF($B$8=2,EH25,0),IF($B$36=2,EH53,0),IF($B$64=2,EH81,0))</x:f>
      </x:c>
      <x:c r="EI101" s="107" t="n">
        <x:f>SUM(IF($B$8=2,EI25,0),IF($B$36=2,EI53,0),IF($B$64=2,EI81,0))</x:f>
      </x:c>
      <x:c r="EJ101" s="107" t="n">
        <x:f>SUM(IF($B$8=2,EJ25,0),IF($B$36=2,EJ53,0),IF($B$64=2,EJ81,0))</x:f>
      </x:c>
      <x:c r="EK101" s="107" t="n">
        <x:f>SUM(IF($B$8=2,EK25,0),IF($B$36=2,EK53,0),IF($B$64=2,EK81,0))</x:f>
      </x:c>
      <x:c r="EL101" s="107" t="n">
        <x:f>SUM(IF($B$8=2,EL25,0),IF($B$36=2,EL53,0),IF($B$64=2,EL81,0))</x:f>
      </x:c>
      <x:c r="EM101" s="107" t="n">
        <x:f>SUM(IF($B$8=2,EM25,0),IF($B$36=2,EM53,0),IF($B$64=2,EM81,0))</x:f>
      </x:c>
      <x:c r="EN101" s="107" t="n">
        <x:f>SUM(IF($B$8=2,EN25,0),IF($B$36=2,EN53,0),IF($B$64=2,EN81,0))</x:f>
      </x:c>
      <x:c r="EO101" s="107" t="n">
        <x:f>SUM(IF($B$8=2,EO25,0),IF($B$36=2,EO53,0),IF($B$64=2,EO81,0))</x:f>
      </x:c>
      <x:c r="EP101" s="107" t="n">
        <x:f>SUM(IF($B$8=2,EP25,0),IF($B$36=2,EP53,0),IF($B$64=2,EP81,0))</x:f>
      </x:c>
      <x:c r="EQ101" s="107" t="n">
        <x:f>SUM(IF($B$8=2,EQ25,0),IF($B$36=2,EQ53,0),IF($B$64=2,EQ81,0))</x:f>
      </x:c>
      <x:c r="ER101" s="107" t="n">
        <x:f>SUM(IF($B$8=2,ER25,0),IF($B$36=2,ER53,0),IF($B$64=2,ER81,0))</x:f>
      </x:c>
      <x:c r="ES101" s="107" t="n">
        <x:f>SUM(IF($B$8=2,ES25,0),IF($B$36=2,ES53,0),IF($B$64=2,ES81,0))</x:f>
      </x:c>
      <x:c r="ET101" s="107" t="n">
        <x:f>SUM(IF($B$8=2,ET25,0),IF($B$36=2,ET53,0),IF($B$64=2,ET81,0))</x:f>
      </x:c>
      <x:c r="EU101" s="107" t="n">
        <x:f>SUM(IF($B$8=2,EU25,0),IF($B$36=2,EU53,0),IF($B$64=2,EU81,0))</x:f>
      </x:c>
      <x:c r="EV101" s="107" t="n">
        <x:f>SUM(IF($B$8=2,EV25,0),IF($B$36=2,EV53,0),IF($B$64=2,EV81,0))</x:f>
      </x:c>
      <x:c r="EW101" s="107" t="n">
        <x:f>SUM(IF($B$8=2,EW25,0),IF($B$36=2,EW53,0),IF($B$64=2,EW81,0))</x:f>
      </x:c>
      <x:c r="EX101" s="107" t="n">
        <x:f>SUM(IF($B$8=2,EX25,0),IF($B$36=2,EX53,0),IF($B$64=2,EX81,0))</x:f>
      </x:c>
      <x:c r="EY101" s="107" t="n">
        <x:f>SUM(IF($B$8=2,EY25,0),IF($B$36=2,EY53,0),IF($B$64=2,EY81,0))</x:f>
      </x:c>
      <x:c r="EZ101" s="107" t="n">
        <x:f>SUM(IF($B$8=2,EZ25,0),IF($B$36=2,EZ53,0),IF($B$64=2,EZ81,0))</x:f>
      </x:c>
      <x:c r="FA101" s="107" t="n">
        <x:f>SUM(IF($B$8=2,FA25,0),IF($B$36=2,FA53,0),IF($B$64=2,FA81,0))</x:f>
      </x:c>
      <x:c r="FB101" s="107" t="n">
        <x:f>SUM(IF($B$8=2,FB25,0),IF($B$36=2,FB53,0),IF($B$64=2,FB81,0))</x:f>
      </x:c>
      <x:c r="FC101" s="107" t="n">
        <x:f>SUM(IF($B$8=2,FC25,0),IF($B$36=2,FC53,0),IF($B$64=2,FC81,0))</x:f>
      </x:c>
      <x:c r="FD101" s="107" t="n">
        <x:f>SUM(IF($B$8=2,FD25,0),IF($B$36=2,FD53,0),IF($B$64=2,FD81,0))</x:f>
      </x:c>
      <x:c r="FE101" s="107" t="n">
        <x:f>SUM(IF($B$8=2,FE25,0),IF($B$36=2,FE53,0),IF($B$64=2,FE81,0))</x:f>
      </x:c>
      <x:c r="FF101" s="107" t="n">
        <x:f>SUM(IF($B$8=2,FF25,0),IF($B$36=2,FF53,0),IF($B$64=2,FF81,0))</x:f>
      </x:c>
      <x:c r="FG101" s="107" t="n">
        <x:f>SUM(IF($B$8=2,FG25,0),IF($B$36=2,FG53,0),IF($B$64=2,FG81,0))</x:f>
      </x:c>
      <x:c r="FH101" s="107" t="n">
        <x:f>SUM(IF($B$8=2,FH25,0),IF($B$36=2,FH53,0),IF($B$64=2,FH81,0))</x:f>
      </x:c>
      <x:c r="FI101" s="107" t="n">
        <x:f>SUM(IF($B$8=2,FI25,0),IF($B$36=2,FI53,0),IF($B$64=2,FI81,0))</x:f>
      </x:c>
      <x:c r="FJ101" s="107" t="n">
        <x:f>SUM(IF($B$8=2,FJ25,0),IF($B$36=2,FJ53,0),IF($B$64=2,FJ81,0))</x:f>
      </x:c>
      <x:c r="FK101" s="107" t="n">
        <x:f>SUM(IF($B$8=2,FK25,0),IF($B$36=2,FK53,0),IF($B$64=2,FK81,0))</x:f>
      </x:c>
      <x:c r="FL101" s="107" t="n">
        <x:f>SUM(IF($B$8=2,FL25,0),IF($B$36=2,FL53,0),IF($B$64=2,FL81,0))</x:f>
      </x:c>
      <x:c r="FM101" s="107" t="n">
        <x:f>SUM(IF($B$8=2,FM25,0),IF($B$36=2,FM53,0),IF($B$64=2,FM81,0))</x:f>
      </x:c>
      <x:c r="FN101" s="107" t="n">
        <x:f>SUM(IF($B$8=2,FN25,0),IF($B$36=2,FN53,0),IF($B$64=2,FN81,0))</x:f>
      </x:c>
      <x:c r="FO101" s="107" t="n">
        <x:f>SUM(IF($B$8=2,FO25,0),IF($B$36=2,FO53,0),IF($B$64=2,FO81,0))</x:f>
      </x:c>
      <x:c r="FP101" s="107" t="n">
        <x:f>SUM(IF($B$8=2,FP25,0),IF($B$36=2,FP53,0),IF($B$64=2,FP81,0))</x:f>
      </x:c>
      <x:c r="FQ101" s="107" t="n">
        <x:f>SUM(IF($B$8=2,FQ25,0),IF($B$36=2,FQ53,0),IF($B$64=2,FQ81,0))</x:f>
      </x:c>
      <x:c r="FR101" s="107" t="n">
        <x:f>SUM(IF($B$8=2,FR25,0),IF($B$36=2,FR53,0),IF($B$64=2,FR81,0))</x:f>
      </x:c>
      <x:c r="FS101" s="107" t="n">
        <x:f>SUM(IF($B$8=2,FS25,0),IF($B$36=2,FS53,0),IF($B$64=2,FS81,0))</x:f>
      </x:c>
      <x:c r="FT101" s="107" t="n">
        <x:f>SUM(IF($B$8=2,FT25,0),IF($B$36=2,FT53,0),IF($B$64=2,FT81,0))</x:f>
      </x:c>
      <x:c r="FU101" s="107" t="n">
        <x:f>SUM(IF($B$8=2,FU25,0),IF($B$36=2,FU53,0),IF($B$64=2,FU81,0))</x:f>
      </x:c>
      <x:c r="FV101" s="107" t="n">
        <x:f>SUM(IF($B$8=2,FV25,0),IF($B$36=2,FV53,0),IF($B$64=2,FV81,0))</x:f>
      </x:c>
      <x:c r="FW101" s="107" t="n">
        <x:f>SUM(IF($B$8=2,FW25,0),IF($B$36=2,FW53,0),IF($B$64=2,FW81,0))</x:f>
      </x:c>
      <x:c r="FX101" s="107" t="n">
        <x:f>SUM(IF($B$8=2,FX25,0),IF($B$36=2,FX53,0),IF($B$64=2,FX81,0))</x:f>
      </x:c>
      <x:c r="FY101" s="107" t="n">
        <x:f>SUM(IF($B$8=2,FY25,0),IF($B$36=2,FY53,0),IF($B$64=2,FY81,0))</x:f>
      </x:c>
      <x:c r="FZ101" s="107" t="n">
        <x:f>SUM(IF($B$8=2,FZ25,0),IF($B$36=2,FZ53,0),IF($B$64=2,FZ81,0))</x:f>
      </x:c>
      <x:c r="GA101" s="107" t="n">
        <x:f>SUM(IF($B$8=2,GA25,0),IF($B$36=2,GA53,0),IF($B$64=2,GA81,0))</x:f>
      </x:c>
    </x:row>
    <x:row r="102">
      <x:c r="A102" t="str">
        <x:v>Очередь 2 — Прямые поступления объектов</x:v>
      </x:c>
      <x:c r="B102" s="107" t="n">
        <x:f>SUM(D102:GA102)</x:f>
      </x:c>
      <x:c r="C102" t="str">
        <x:v>млн ₽</x:v>
      </x:c>
      <x:c r="D102" s="107" t="n">
        <x:f>SUM(IF($B$8=2,D26,0),IF($B$36=2,D54,0),IF($B$64=2,D82,0))</x:f>
      </x:c>
      <x:c r="E102" s="107" t="n">
        <x:f>SUM(IF($B$8=2,E26,0),IF($B$36=2,E54,0),IF($B$64=2,E82,0))</x:f>
      </x:c>
      <x:c r="F102" s="107" t="n">
        <x:f>SUM(IF($B$8=2,F26,0),IF($B$36=2,F54,0),IF($B$64=2,F82,0))</x:f>
      </x:c>
      <x:c r="G102" s="107" t="n">
        <x:f>SUM(IF($B$8=2,G26,0),IF($B$36=2,G54,0),IF($B$64=2,G82,0))</x:f>
      </x:c>
      <x:c r="H102" s="107" t="n">
        <x:f>SUM(IF($B$8=2,H26,0),IF($B$36=2,H54,0),IF($B$64=2,H82,0))</x:f>
      </x:c>
      <x:c r="I102" s="107" t="n">
        <x:f>SUM(IF($B$8=2,I26,0),IF($B$36=2,I54,0),IF($B$64=2,I82,0))</x:f>
      </x:c>
      <x:c r="J102" s="107" t="n">
        <x:f>SUM(IF($B$8=2,J26,0),IF($B$36=2,J54,0),IF($B$64=2,J82,0))</x:f>
      </x:c>
      <x:c r="K102" s="107" t="n">
        <x:f>SUM(IF($B$8=2,K26,0),IF($B$36=2,K54,0),IF($B$64=2,K82,0))</x:f>
      </x:c>
      <x:c r="L102" s="107" t="n">
        <x:f>SUM(IF($B$8=2,L26,0),IF($B$36=2,L54,0),IF($B$64=2,L82,0))</x:f>
      </x:c>
      <x:c r="M102" s="107" t="n">
        <x:f>SUM(IF($B$8=2,M26,0),IF($B$36=2,M54,0),IF($B$64=2,M82,0))</x:f>
      </x:c>
      <x:c r="N102" s="107" t="n">
        <x:f>SUM(IF($B$8=2,N26,0),IF($B$36=2,N54,0),IF($B$64=2,N82,0))</x:f>
      </x:c>
      <x:c r="O102" s="107" t="n">
        <x:f>SUM(IF($B$8=2,O26,0),IF($B$36=2,O54,0),IF($B$64=2,O82,0))</x:f>
      </x:c>
      <x:c r="P102" s="107" t="n">
        <x:f>SUM(IF($B$8=2,P26,0),IF($B$36=2,P54,0),IF($B$64=2,P82,0))</x:f>
      </x:c>
      <x:c r="Q102" s="107" t="n">
        <x:f>SUM(IF($B$8=2,Q26,0),IF($B$36=2,Q54,0),IF($B$64=2,Q82,0))</x:f>
      </x:c>
      <x:c r="R102" s="107" t="n">
        <x:f>SUM(IF($B$8=2,R26,0),IF($B$36=2,R54,0),IF($B$64=2,R82,0))</x:f>
      </x:c>
      <x:c r="S102" s="107" t="n">
        <x:f>SUM(IF($B$8=2,S26,0),IF($B$36=2,S54,0),IF($B$64=2,S82,0))</x:f>
      </x:c>
      <x:c r="T102" s="107" t="n">
        <x:f>SUM(IF($B$8=2,T26,0),IF($B$36=2,T54,0),IF($B$64=2,T82,0))</x:f>
      </x:c>
      <x:c r="U102" s="107" t="n">
        <x:f>SUM(IF($B$8=2,U26,0),IF($B$36=2,U54,0),IF($B$64=2,U82,0))</x:f>
      </x:c>
      <x:c r="V102" s="107" t="n">
        <x:f>SUM(IF($B$8=2,V26,0),IF($B$36=2,V54,0),IF($B$64=2,V82,0))</x:f>
      </x:c>
      <x:c r="W102" s="107" t="n">
        <x:f>SUM(IF($B$8=2,W26,0),IF($B$36=2,W54,0),IF($B$64=2,W82,0))</x:f>
      </x:c>
      <x:c r="X102" s="107" t="n">
        <x:f>SUM(IF($B$8=2,X26,0),IF($B$36=2,X54,0),IF($B$64=2,X82,0))</x:f>
      </x:c>
      <x:c r="Y102" s="107" t="n">
        <x:f>SUM(IF($B$8=2,Y26,0),IF($B$36=2,Y54,0),IF($B$64=2,Y82,0))</x:f>
      </x:c>
      <x:c r="Z102" s="107" t="n">
        <x:f>SUM(IF($B$8=2,Z26,0),IF($B$36=2,Z54,0),IF($B$64=2,Z82,0))</x:f>
      </x:c>
      <x:c r="AA102" s="107" t="n">
        <x:f>SUM(IF($B$8=2,AA26,0),IF($B$36=2,AA54,0),IF($B$64=2,AA82,0))</x:f>
      </x:c>
      <x:c r="AB102" s="107" t="n">
        <x:f>SUM(IF($B$8=2,AB26,0),IF($B$36=2,AB54,0),IF($B$64=2,AB82,0))</x:f>
      </x:c>
      <x:c r="AC102" s="107" t="n">
        <x:f>SUM(IF($B$8=2,AC26,0),IF($B$36=2,AC54,0),IF($B$64=2,AC82,0))</x:f>
      </x:c>
      <x:c r="AD102" s="107" t="n">
        <x:f>SUM(IF($B$8=2,AD26,0),IF($B$36=2,AD54,0),IF($B$64=2,AD82,0))</x:f>
      </x:c>
      <x:c r="AE102" s="107" t="n">
        <x:f>SUM(IF($B$8=2,AE26,0),IF($B$36=2,AE54,0),IF($B$64=2,AE82,0))</x:f>
      </x:c>
      <x:c r="AF102" s="107" t="n">
        <x:f>SUM(IF($B$8=2,AF26,0),IF($B$36=2,AF54,0),IF($B$64=2,AF82,0))</x:f>
      </x:c>
      <x:c r="AG102" s="107" t="n">
        <x:f>SUM(IF($B$8=2,AG26,0),IF($B$36=2,AG54,0),IF($B$64=2,AG82,0))</x:f>
      </x:c>
      <x:c r="AH102" s="107" t="n">
        <x:f>SUM(IF($B$8=2,AH26,0),IF($B$36=2,AH54,0),IF($B$64=2,AH82,0))</x:f>
      </x:c>
      <x:c r="AI102" s="107" t="n">
        <x:f>SUM(IF($B$8=2,AI26,0),IF($B$36=2,AI54,0),IF($B$64=2,AI82,0))</x:f>
      </x:c>
      <x:c r="AJ102" s="107" t="n">
        <x:f>SUM(IF($B$8=2,AJ26,0),IF($B$36=2,AJ54,0),IF($B$64=2,AJ82,0))</x:f>
      </x:c>
      <x:c r="AK102" s="107" t="n">
        <x:f>SUM(IF($B$8=2,AK26,0),IF($B$36=2,AK54,0),IF($B$64=2,AK82,0))</x:f>
      </x:c>
      <x:c r="AL102" s="107" t="n">
        <x:f>SUM(IF($B$8=2,AL26,0),IF($B$36=2,AL54,0),IF($B$64=2,AL82,0))</x:f>
      </x:c>
      <x:c r="AM102" s="107" t="n">
        <x:f>SUM(IF($B$8=2,AM26,0),IF($B$36=2,AM54,0),IF($B$64=2,AM82,0))</x:f>
      </x:c>
      <x:c r="AN102" s="107" t="n">
        <x:f>SUM(IF($B$8=2,AN26,0),IF($B$36=2,AN54,0),IF($B$64=2,AN82,0))</x:f>
      </x:c>
      <x:c r="AO102" s="107" t="n">
        <x:f>SUM(IF($B$8=2,AO26,0),IF($B$36=2,AO54,0),IF($B$64=2,AO82,0))</x:f>
      </x:c>
      <x:c r="AP102" s="107" t="n">
        <x:f>SUM(IF($B$8=2,AP26,0),IF($B$36=2,AP54,0),IF($B$64=2,AP82,0))</x:f>
      </x:c>
      <x:c r="AQ102" s="107" t="n">
        <x:f>SUM(IF($B$8=2,AQ26,0),IF($B$36=2,AQ54,0),IF($B$64=2,AQ82,0))</x:f>
      </x:c>
      <x:c r="AR102" s="107" t="n">
        <x:f>SUM(IF($B$8=2,AR26,0),IF($B$36=2,AR54,0),IF($B$64=2,AR82,0))</x:f>
      </x:c>
      <x:c r="AS102" s="107" t="n">
        <x:f>SUM(IF($B$8=2,AS26,0),IF($B$36=2,AS54,0),IF($B$64=2,AS82,0))</x:f>
      </x:c>
      <x:c r="AT102" s="107" t="n">
        <x:f>SUM(IF($B$8=2,AT26,0),IF($B$36=2,AT54,0),IF($B$64=2,AT82,0))</x:f>
      </x:c>
      <x:c r="AU102" s="107" t="n">
        <x:f>SUM(IF($B$8=2,AU26,0),IF($B$36=2,AU54,0),IF($B$64=2,AU82,0))</x:f>
      </x:c>
      <x:c r="AV102" s="107" t="n">
        <x:f>SUM(IF($B$8=2,AV26,0),IF($B$36=2,AV54,0),IF($B$64=2,AV82,0))</x:f>
      </x:c>
      <x:c r="AW102" s="107" t="n">
        <x:f>SUM(IF($B$8=2,AW26,0),IF($B$36=2,AW54,0),IF($B$64=2,AW82,0))</x:f>
      </x:c>
      <x:c r="AX102" s="107" t="n">
        <x:f>SUM(IF($B$8=2,AX26,0),IF($B$36=2,AX54,0),IF($B$64=2,AX82,0))</x:f>
      </x:c>
      <x:c r="AY102" s="107" t="n">
        <x:f>SUM(IF($B$8=2,AY26,0),IF($B$36=2,AY54,0),IF($B$64=2,AY82,0))</x:f>
      </x:c>
      <x:c r="AZ102" s="107" t="n">
        <x:f>SUM(IF($B$8=2,AZ26,0),IF($B$36=2,AZ54,0),IF($B$64=2,AZ82,0))</x:f>
      </x:c>
      <x:c r="BA102" s="107" t="n">
        <x:f>SUM(IF($B$8=2,BA26,0),IF($B$36=2,BA54,0),IF($B$64=2,BA82,0))</x:f>
      </x:c>
      <x:c r="BB102" s="107" t="n">
        <x:f>SUM(IF($B$8=2,BB26,0),IF($B$36=2,BB54,0),IF($B$64=2,BB82,0))</x:f>
      </x:c>
      <x:c r="BC102" s="107" t="n">
        <x:f>SUM(IF($B$8=2,BC26,0),IF($B$36=2,BC54,0),IF($B$64=2,BC82,0))</x:f>
      </x:c>
      <x:c r="BD102" s="107" t="n">
        <x:f>SUM(IF($B$8=2,BD26,0),IF($B$36=2,BD54,0),IF($B$64=2,BD82,0))</x:f>
      </x:c>
      <x:c r="BE102" s="107" t="n">
        <x:f>SUM(IF($B$8=2,BE26,0),IF($B$36=2,BE54,0),IF($B$64=2,BE82,0))</x:f>
      </x:c>
      <x:c r="BF102" s="107" t="n">
        <x:f>SUM(IF($B$8=2,BF26,0),IF($B$36=2,BF54,0),IF($B$64=2,BF82,0))</x:f>
      </x:c>
      <x:c r="BG102" s="107" t="n">
        <x:f>SUM(IF($B$8=2,BG26,0),IF($B$36=2,BG54,0),IF($B$64=2,BG82,0))</x:f>
      </x:c>
      <x:c r="BH102" s="107" t="n">
        <x:f>SUM(IF($B$8=2,BH26,0),IF($B$36=2,BH54,0),IF($B$64=2,BH82,0))</x:f>
      </x:c>
      <x:c r="BI102" s="107" t="n">
        <x:f>SUM(IF($B$8=2,BI26,0),IF($B$36=2,BI54,0),IF($B$64=2,BI82,0))</x:f>
      </x:c>
      <x:c r="BJ102" s="107" t="n">
        <x:f>SUM(IF($B$8=2,BJ26,0),IF($B$36=2,BJ54,0),IF($B$64=2,BJ82,0))</x:f>
      </x:c>
      <x:c r="BK102" s="107" t="n">
        <x:f>SUM(IF($B$8=2,BK26,0),IF($B$36=2,BK54,0),IF($B$64=2,BK82,0))</x:f>
      </x:c>
      <x:c r="BL102" s="107" t="n">
        <x:f>SUM(IF($B$8=2,BL26,0),IF($B$36=2,BL54,0),IF($B$64=2,BL82,0))</x:f>
      </x:c>
      <x:c r="BM102" s="107" t="n">
        <x:f>SUM(IF($B$8=2,BM26,0),IF($B$36=2,BM54,0),IF($B$64=2,BM82,0))</x:f>
      </x:c>
      <x:c r="BN102" s="107" t="n">
        <x:f>SUM(IF($B$8=2,BN26,0),IF($B$36=2,BN54,0),IF($B$64=2,BN82,0))</x:f>
      </x:c>
      <x:c r="BO102" s="107" t="n">
        <x:f>SUM(IF($B$8=2,BO26,0),IF($B$36=2,BO54,0),IF($B$64=2,BO82,0))</x:f>
      </x:c>
      <x:c r="BP102" s="107" t="n">
        <x:f>SUM(IF($B$8=2,BP26,0),IF($B$36=2,BP54,0),IF($B$64=2,BP82,0))</x:f>
      </x:c>
      <x:c r="BQ102" s="107" t="n">
        <x:f>SUM(IF($B$8=2,BQ26,0),IF($B$36=2,BQ54,0),IF($B$64=2,BQ82,0))</x:f>
      </x:c>
      <x:c r="BR102" s="107" t="n">
        <x:f>SUM(IF($B$8=2,BR26,0),IF($B$36=2,BR54,0),IF($B$64=2,BR82,0))</x:f>
      </x:c>
      <x:c r="BS102" s="107" t="n">
        <x:f>SUM(IF($B$8=2,BS26,0),IF($B$36=2,BS54,0),IF($B$64=2,BS82,0))</x:f>
      </x:c>
      <x:c r="BT102" s="107" t="n">
        <x:f>SUM(IF($B$8=2,BT26,0),IF($B$36=2,BT54,0),IF($B$64=2,BT82,0))</x:f>
      </x:c>
      <x:c r="BU102" s="107" t="n">
        <x:f>SUM(IF($B$8=2,BU26,0),IF($B$36=2,BU54,0),IF($B$64=2,BU82,0))</x:f>
      </x:c>
      <x:c r="BV102" s="107" t="n">
        <x:f>SUM(IF($B$8=2,BV26,0),IF($B$36=2,BV54,0),IF($B$64=2,BV82,0))</x:f>
      </x:c>
      <x:c r="BW102" s="107" t="n">
        <x:f>SUM(IF($B$8=2,BW26,0),IF($B$36=2,BW54,0),IF($B$64=2,BW82,0))</x:f>
      </x:c>
      <x:c r="BX102" s="107" t="n">
        <x:f>SUM(IF($B$8=2,BX26,0),IF($B$36=2,BX54,0),IF($B$64=2,BX82,0))</x:f>
      </x:c>
      <x:c r="BY102" s="107" t="n">
        <x:f>SUM(IF($B$8=2,BY26,0),IF($B$36=2,BY54,0),IF($B$64=2,BY82,0))</x:f>
      </x:c>
      <x:c r="BZ102" s="107" t="n">
        <x:f>SUM(IF($B$8=2,BZ26,0),IF($B$36=2,BZ54,0),IF($B$64=2,BZ82,0))</x:f>
      </x:c>
      <x:c r="CA102" s="107" t="n">
        <x:f>SUM(IF($B$8=2,CA26,0),IF($B$36=2,CA54,0),IF($B$64=2,CA82,0))</x:f>
      </x:c>
      <x:c r="CB102" s="107" t="n">
        <x:f>SUM(IF($B$8=2,CB26,0),IF($B$36=2,CB54,0),IF($B$64=2,CB82,0))</x:f>
      </x:c>
      <x:c r="CC102" s="107" t="n">
        <x:f>SUM(IF($B$8=2,CC26,0),IF($B$36=2,CC54,0),IF($B$64=2,CC82,0))</x:f>
      </x:c>
      <x:c r="CD102" s="107" t="n">
        <x:f>SUM(IF($B$8=2,CD26,0),IF($B$36=2,CD54,0),IF($B$64=2,CD82,0))</x:f>
      </x:c>
      <x:c r="CE102" s="107" t="n">
        <x:f>SUM(IF($B$8=2,CE26,0),IF($B$36=2,CE54,0),IF($B$64=2,CE82,0))</x:f>
      </x:c>
      <x:c r="CF102" s="107" t="n">
        <x:f>SUM(IF($B$8=2,CF26,0),IF($B$36=2,CF54,0),IF($B$64=2,CF82,0))</x:f>
      </x:c>
      <x:c r="CG102" s="107" t="n">
        <x:f>SUM(IF($B$8=2,CG26,0),IF($B$36=2,CG54,0),IF($B$64=2,CG82,0))</x:f>
      </x:c>
      <x:c r="CH102" s="107" t="n">
        <x:f>SUM(IF($B$8=2,CH26,0),IF($B$36=2,CH54,0),IF($B$64=2,CH82,0))</x:f>
      </x:c>
      <x:c r="CI102" s="107" t="n">
        <x:f>SUM(IF($B$8=2,CI26,0),IF($B$36=2,CI54,0),IF($B$64=2,CI82,0))</x:f>
      </x:c>
      <x:c r="CJ102" s="107" t="n">
        <x:f>SUM(IF($B$8=2,CJ26,0),IF($B$36=2,CJ54,0),IF($B$64=2,CJ82,0))</x:f>
      </x:c>
      <x:c r="CK102" s="107" t="n">
        <x:f>SUM(IF($B$8=2,CK26,0),IF($B$36=2,CK54,0),IF($B$64=2,CK82,0))</x:f>
      </x:c>
      <x:c r="CL102" s="107" t="n">
        <x:f>SUM(IF($B$8=2,CL26,0),IF($B$36=2,CL54,0),IF($B$64=2,CL82,0))</x:f>
      </x:c>
      <x:c r="CM102" s="107" t="n">
        <x:f>SUM(IF($B$8=2,CM26,0),IF($B$36=2,CM54,0),IF($B$64=2,CM82,0))</x:f>
      </x:c>
      <x:c r="CN102" s="107" t="n">
        <x:f>SUM(IF($B$8=2,CN26,0),IF($B$36=2,CN54,0),IF($B$64=2,CN82,0))</x:f>
      </x:c>
      <x:c r="CO102" s="107" t="n">
        <x:f>SUM(IF($B$8=2,CO26,0),IF($B$36=2,CO54,0),IF($B$64=2,CO82,0))</x:f>
      </x:c>
      <x:c r="CP102" s="107" t="n">
        <x:f>SUM(IF($B$8=2,CP26,0),IF($B$36=2,CP54,0),IF($B$64=2,CP82,0))</x:f>
      </x:c>
      <x:c r="CQ102" s="107" t="n">
        <x:f>SUM(IF($B$8=2,CQ26,0),IF($B$36=2,CQ54,0),IF($B$64=2,CQ82,0))</x:f>
      </x:c>
      <x:c r="CR102" s="107" t="n">
        <x:f>SUM(IF($B$8=2,CR26,0),IF($B$36=2,CR54,0),IF($B$64=2,CR82,0))</x:f>
      </x:c>
      <x:c r="CS102" s="107" t="n">
        <x:f>SUM(IF($B$8=2,CS26,0),IF($B$36=2,CS54,0),IF($B$64=2,CS82,0))</x:f>
      </x:c>
      <x:c r="CT102" s="107" t="n">
        <x:f>SUM(IF($B$8=2,CT26,0),IF($B$36=2,CT54,0),IF($B$64=2,CT82,0))</x:f>
      </x:c>
      <x:c r="CU102" s="107" t="n">
        <x:f>SUM(IF($B$8=2,CU26,0),IF($B$36=2,CU54,0),IF($B$64=2,CU82,0))</x:f>
      </x:c>
      <x:c r="CV102" s="107" t="n">
        <x:f>SUM(IF($B$8=2,CV26,0),IF($B$36=2,CV54,0),IF($B$64=2,CV82,0))</x:f>
      </x:c>
      <x:c r="CW102" s="107" t="n">
        <x:f>SUM(IF($B$8=2,CW26,0),IF($B$36=2,CW54,0),IF($B$64=2,CW82,0))</x:f>
      </x:c>
      <x:c r="CX102" s="107" t="n">
        <x:f>SUM(IF($B$8=2,CX26,0),IF($B$36=2,CX54,0),IF($B$64=2,CX82,0))</x:f>
      </x:c>
      <x:c r="CY102" s="107" t="n">
        <x:f>SUM(IF($B$8=2,CY26,0),IF($B$36=2,CY54,0),IF($B$64=2,CY82,0))</x:f>
      </x:c>
      <x:c r="CZ102" s="107" t="n">
        <x:f>SUM(IF($B$8=2,CZ26,0),IF($B$36=2,CZ54,0),IF($B$64=2,CZ82,0))</x:f>
      </x:c>
      <x:c r="DA102" s="107" t="n">
        <x:f>SUM(IF($B$8=2,DA26,0),IF($B$36=2,DA54,0),IF($B$64=2,DA82,0))</x:f>
      </x:c>
      <x:c r="DB102" s="107" t="n">
        <x:f>SUM(IF($B$8=2,DB26,0),IF($B$36=2,DB54,0),IF($B$64=2,DB82,0))</x:f>
      </x:c>
      <x:c r="DC102" s="107" t="n">
        <x:f>SUM(IF($B$8=2,DC26,0),IF($B$36=2,DC54,0),IF($B$64=2,DC82,0))</x:f>
      </x:c>
      <x:c r="DD102" s="107" t="n">
        <x:f>SUM(IF($B$8=2,DD26,0),IF($B$36=2,DD54,0),IF($B$64=2,DD82,0))</x:f>
      </x:c>
      <x:c r="DE102" s="107" t="n">
        <x:f>SUM(IF($B$8=2,DE26,0),IF($B$36=2,DE54,0),IF($B$64=2,DE82,0))</x:f>
      </x:c>
      <x:c r="DF102" s="107" t="n">
        <x:f>SUM(IF($B$8=2,DF26,0),IF($B$36=2,DF54,0),IF($B$64=2,DF82,0))</x:f>
      </x:c>
      <x:c r="DG102" s="107" t="n">
        <x:f>SUM(IF($B$8=2,DG26,0),IF($B$36=2,DG54,0),IF($B$64=2,DG82,0))</x:f>
      </x:c>
      <x:c r="DH102" s="107" t="n">
        <x:f>SUM(IF($B$8=2,DH26,0),IF($B$36=2,DH54,0),IF($B$64=2,DH82,0))</x:f>
      </x:c>
      <x:c r="DI102" s="107" t="n">
        <x:f>SUM(IF($B$8=2,DI26,0),IF($B$36=2,DI54,0),IF($B$64=2,DI82,0))</x:f>
      </x:c>
      <x:c r="DJ102" s="107" t="n">
        <x:f>SUM(IF($B$8=2,DJ26,0),IF($B$36=2,DJ54,0),IF($B$64=2,DJ82,0))</x:f>
      </x:c>
      <x:c r="DK102" s="107" t="n">
        <x:f>SUM(IF($B$8=2,DK26,0),IF($B$36=2,DK54,0),IF($B$64=2,DK82,0))</x:f>
      </x:c>
      <x:c r="DL102" s="107" t="n">
        <x:f>SUM(IF($B$8=2,DL26,0),IF($B$36=2,DL54,0),IF($B$64=2,DL82,0))</x:f>
      </x:c>
      <x:c r="DM102" s="107" t="n">
        <x:f>SUM(IF($B$8=2,DM26,0),IF($B$36=2,DM54,0),IF($B$64=2,DM82,0))</x:f>
      </x:c>
      <x:c r="DN102" s="107" t="n">
        <x:f>SUM(IF($B$8=2,DN26,0),IF($B$36=2,DN54,0),IF($B$64=2,DN82,0))</x:f>
      </x:c>
      <x:c r="DO102" s="107" t="n">
        <x:f>SUM(IF($B$8=2,DO26,0),IF($B$36=2,DO54,0),IF($B$64=2,DO82,0))</x:f>
      </x:c>
      <x:c r="DP102" s="107" t="n">
        <x:f>SUM(IF($B$8=2,DP26,0),IF($B$36=2,DP54,0),IF($B$64=2,DP82,0))</x:f>
      </x:c>
      <x:c r="DQ102" s="107" t="n">
        <x:f>SUM(IF($B$8=2,DQ26,0),IF($B$36=2,DQ54,0),IF($B$64=2,DQ82,0))</x:f>
      </x:c>
      <x:c r="DR102" s="107" t="n">
        <x:f>SUM(IF($B$8=2,DR26,0),IF($B$36=2,DR54,0),IF($B$64=2,DR82,0))</x:f>
      </x:c>
      <x:c r="DS102" s="107" t="n">
        <x:f>SUM(IF($B$8=2,DS26,0),IF($B$36=2,DS54,0),IF($B$64=2,DS82,0))</x:f>
      </x:c>
      <x:c r="DT102" s="107" t="n">
        <x:f>SUM(IF($B$8=2,DT26,0),IF($B$36=2,DT54,0),IF($B$64=2,DT82,0))</x:f>
      </x:c>
      <x:c r="DU102" s="107" t="n">
        <x:f>SUM(IF($B$8=2,DU26,0),IF($B$36=2,DU54,0),IF($B$64=2,DU82,0))</x:f>
      </x:c>
      <x:c r="DV102" s="107" t="n">
        <x:f>SUM(IF($B$8=2,DV26,0),IF($B$36=2,DV54,0),IF($B$64=2,DV82,0))</x:f>
      </x:c>
      <x:c r="DW102" s="107" t="n">
        <x:f>SUM(IF($B$8=2,DW26,0),IF($B$36=2,DW54,0),IF($B$64=2,DW82,0))</x:f>
      </x:c>
      <x:c r="DX102" s="107" t="n">
        <x:f>SUM(IF($B$8=2,DX26,0),IF($B$36=2,DX54,0),IF($B$64=2,DX82,0))</x:f>
      </x:c>
      <x:c r="DY102" s="107" t="n">
        <x:f>SUM(IF($B$8=2,DY26,0),IF($B$36=2,DY54,0),IF($B$64=2,DY82,0))</x:f>
      </x:c>
      <x:c r="DZ102" s="107" t="n">
        <x:f>SUM(IF($B$8=2,DZ26,0),IF($B$36=2,DZ54,0),IF($B$64=2,DZ82,0))</x:f>
      </x:c>
      <x:c r="EA102" s="107" t="n">
        <x:f>SUM(IF($B$8=2,EA26,0),IF($B$36=2,EA54,0),IF($B$64=2,EA82,0))</x:f>
      </x:c>
      <x:c r="EB102" s="107" t="n">
        <x:f>SUM(IF($B$8=2,EB26,0),IF($B$36=2,EB54,0),IF($B$64=2,EB82,0))</x:f>
      </x:c>
      <x:c r="EC102" s="107" t="n">
        <x:f>SUM(IF($B$8=2,EC26,0),IF($B$36=2,EC54,0),IF($B$64=2,EC82,0))</x:f>
      </x:c>
      <x:c r="ED102" s="107" t="n">
        <x:f>SUM(IF($B$8=2,ED26,0),IF($B$36=2,ED54,0),IF($B$64=2,ED82,0))</x:f>
      </x:c>
      <x:c r="EE102" s="107" t="n">
        <x:f>SUM(IF($B$8=2,EE26,0),IF($B$36=2,EE54,0),IF($B$64=2,EE82,0))</x:f>
      </x:c>
      <x:c r="EF102" s="107" t="n">
        <x:f>SUM(IF($B$8=2,EF26,0),IF($B$36=2,EF54,0),IF($B$64=2,EF82,0))</x:f>
      </x:c>
      <x:c r="EG102" s="107" t="n">
        <x:f>SUM(IF($B$8=2,EG26,0),IF($B$36=2,EG54,0),IF($B$64=2,EG82,0))</x:f>
      </x:c>
      <x:c r="EH102" s="107" t="n">
        <x:f>SUM(IF($B$8=2,EH26,0),IF($B$36=2,EH54,0),IF($B$64=2,EH82,0))</x:f>
      </x:c>
      <x:c r="EI102" s="107" t="n">
        <x:f>SUM(IF($B$8=2,EI26,0),IF($B$36=2,EI54,0),IF($B$64=2,EI82,0))</x:f>
      </x:c>
      <x:c r="EJ102" s="107" t="n">
        <x:f>SUM(IF($B$8=2,EJ26,0),IF($B$36=2,EJ54,0),IF($B$64=2,EJ82,0))</x:f>
      </x:c>
      <x:c r="EK102" s="107" t="n">
        <x:f>SUM(IF($B$8=2,EK26,0),IF($B$36=2,EK54,0),IF($B$64=2,EK82,0))</x:f>
      </x:c>
      <x:c r="EL102" s="107" t="n">
        <x:f>SUM(IF($B$8=2,EL26,0),IF($B$36=2,EL54,0),IF($B$64=2,EL82,0))</x:f>
      </x:c>
      <x:c r="EM102" s="107" t="n">
        <x:f>SUM(IF($B$8=2,EM26,0),IF($B$36=2,EM54,0),IF($B$64=2,EM82,0))</x:f>
      </x:c>
      <x:c r="EN102" s="107" t="n">
        <x:f>SUM(IF($B$8=2,EN26,0),IF($B$36=2,EN54,0),IF($B$64=2,EN82,0))</x:f>
      </x:c>
      <x:c r="EO102" s="107" t="n">
        <x:f>SUM(IF($B$8=2,EO26,0),IF($B$36=2,EO54,0),IF($B$64=2,EO82,0))</x:f>
      </x:c>
      <x:c r="EP102" s="107" t="n">
        <x:f>SUM(IF($B$8=2,EP26,0),IF($B$36=2,EP54,0),IF($B$64=2,EP82,0))</x:f>
      </x:c>
      <x:c r="EQ102" s="107" t="n">
        <x:f>SUM(IF($B$8=2,EQ26,0),IF($B$36=2,EQ54,0),IF($B$64=2,EQ82,0))</x:f>
      </x:c>
      <x:c r="ER102" s="107" t="n">
        <x:f>SUM(IF($B$8=2,ER26,0),IF($B$36=2,ER54,0),IF($B$64=2,ER82,0))</x:f>
      </x:c>
      <x:c r="ES102" s="107" t="n">
        <x:f>SUM(IF($B$8=2,ES26,0),IF($B$36=2,ES54,0),IF($B$64=2,ES82,0))</x:f>
      </x:c>
      <x:c r="ET102" s="107" t="n">
        <x:f>SUM(IF($B$8=2,ET26,0),IF($B$36=2,ET54,0),IF($B$64=2,ET82,0))</x:f>
      </x:c>
      <x:c r="EU102" s="107" t="n">
        <x:f>SUM(IF($B$8=2,EU26,0),IF($B$36=2,EU54,0),IF($B$64=2,EU82,0))</x:f>
      </x:c>
      <x:c r="EV102" s="107" t="n">
        <x:f>SUM(IF($B$8=2,EV26,0),IF($B$36=2,EV54,0),IF($B$64=2,EV82,0))</x:f>
      </x:c>
      <x:c r="EW102" s="107" t="n">
        <x:f>SUM(IF($B$8=2,EW26,0),IF($B$36=2,EW54,0),IF($B$64=2,EW82,0))</x:f>
      </x:c>
      <x:c r="EX102" s="107" t="n">
        <x:f>SUM(IF($B$8=2,EX26,0),IF($B$36=2,EX54,0),IF($B$64=2,EX82,0))</x:f>
      </x:c>
      <x:c r="EY102" s="107" t="n">
        <x:f>SUM(IF($B$8=2,EY26,0),IF($B$36=2,EY54,0),IF($B$64=2,EY82,0))</x:f>
      </x:c>
      <x:c r="EZ102" s="107" t="n">
        <x:f>SUM(IF($B$8=2,EZ26,0),IF($B$36=2,EZ54,0),IF($B$64=2,EZ82,0))</x:f>
      </x:c>
      <x:c r="FA102" s="107" t="n">
        <x:f>SUM(IF($B$8=2,FA26,0),IF($B$36=2,FA54,0),IF($B$64=2,FA82,0))</x:f>
      </x:c>
      <x:c r="FB102" s="107" t="n">
        <x:f>SUM(IF($B$8=2,FB26,0),IF($B$36=2,FB54,0),IF($B$64=2,FB82,0))</x:f>
      </x:c>
      <x:c r="FC102" s="107" t="n">
        <x:f>SUM(IF($B$8=2,FC26,0),IF($B$36=2,FC54,0),IF($B$64=2,FC82,0))</x:f>
      </x:c>
      <x:c r="FD102" s="107" t="n">
        <x:f>SUM(IF($B$8=2,FD26,0),IF($B$36=2,FD54,0),IF($B$64=2,FD82,0))</x:f>
      </x:c>
      <x:c r="FE102" s="107" t="n">
        <x:f>SUM(IF($B$8=2,FE26,0),IF($B$36=2,FE54,0),IF($B$64=2,FE82,0))</x:f>
      </x:c>
      <x:c r="FF102" s="107" t="n">
        <x:f>SUM(IF($B$8=2,FF26,0),IF($B$36=2,FF54,0),IF($B$64=2,FF82,0))</x:f>
      </x:c>
      <x:c r="FG102" s="107" t="n">
        <x:f>SUM(IF($B$8=2,FG26,0),IF($B$36=2,FG54,0),IF($B$64=2,FG82,0))</x:f>
      </x:c>
      <x:c r="FH102" s="107" t="n">
        <x:f>SUM(IF($B$8=2,FH26,0),IF($B$36=2,FH54,0),IF($B$64=2,FH82,0))</x:f>
      </x:c>
      <x:c r="FI102" s="107" t="n">
        <x:f>SUM(IF($B$8=2,FI26,0),IF($B$36=2,FI54,0),IF($B$64=2,FI82,0))</x:f>
      </x:c>
      <x:c r="FJ102" s="107" t="n">
        <x:f>SUM(IF($B$8=2,FJ26,0),IF($B$36=2,FJ54,0),IF($B$64=2,FJ82,0))</x:f>
      </x:c>
      <x:c r="FK102" s="107" t="n">
        <x:f>SUM(IF($B$8=2,FK26,0),IF($B$36=2,FK54,0),IF($B$64=2,FK82,0))</x:f>
      </x:c>
      <x:c r="FL102" s="107" t="n">
        <x:f>SUM(IF($B$8=2,FL26,0),IF($B$36=2,FL54,0),IF($B$64=2,FL82,0))</x:f>
      </x:c>
      <x:c r="FM102" s="107" t="n">
        <x:f>SUM(IF($B$8=2,FM26,0),IF($B$36=2,FM54,0),IF($B$64=2,FM82,0))</x:f>
      </x:c>
      <x:c r="FN102" s="107" t="n">
        <x:f>SUM(IF($B$8=2,FN26,0),IF($B$36=2,FN54,0),IF($B$64=2,FN82,0))</x:f>
      </x:c>
      <x:c r="FO102" s="107" t="n">
        <x:f>SUM(IF($B$8=2,FO26,0),IF($B$36=2,FO54,0),IF($B$64=2,FO82,0))</x:f>
      </x:c>
      <x:c r="FP102" s="107" t="n">
        <x:f>SUM(IF($B$8=2,FP26,0),IF($B$36=2,FP54,0),IF($B$64=2,FP82,0))</x:f>
      </x:c>
      <x:c r="FQ102" s="107" t="n">
        <x:f>SUM(IF($B$8=2,FQ26,0),IF($B$36=2,FQ54,0),IF($B$64=2,FQ82,0))</x:f>
      </x:c>
      <x:c r="FR102" s="107" t="n">
        <x:f>SUM(IF($B$8=2,FR26,0),IF($B$36=2,FR54,0),IF($B$64=2,FR82,0))</x:f>
      </x:c>
      <x:c r="FS102" s="107" t="n">
        <x:f>SUM(IF($B$8=2,FS26,0),IF($B$36=2,FS54,0),IF($B$64=2,FS82,0))</x:f>
      </x:c>
      <x:c r="FT102" s="107" t="n">
        <x:f>SUM(IF($B$8=2,FT26,0),IF($B$36=2,FT54,0),IF($B$64=2,FT82,0))</x:f>
      </x:c>
      <x:c r="FU102" s="107" t="n">
        <x:f>SUM(IF($B$8=2,FU26,0),IF($B$36=2,FU54,0),IF($B$64=2,FU82,0))</x:f>
      </x:c>
      <x:c r="FV102" s="107" t="n">
        <x:f>SUM(IF($B$8=2,FV26,0),IF($B$36=2,FV54,0),IF($B$64=2,FV82,0))</x:f>
      </x:c>
      <x:c r="FW102" s="107" t="n">
        <x:f>SUM(IF($B$8=2,FW26,0),IF($B$36=2,FW54,0),IF($B$64=2,FW82,0))</x:f>
      </x:c>
      <x:c r="FX102" s="107" t="n">
        <x:f>SUM(IF($B$8=2,FX26,0),IF($B$36=2,FX54,0),IF($B$64=2,FX82,0))</x:f>
      </x:c>
      <x:c r="FY102" s="107" t="n">
        <x:f>SUM(IF($B$8=2,FY26,0),IF($B$36=2,FY54,0),IF($B$64=2,FY82,0))</x:f>
      </x:c>
      <x:c r="FZ102" s="107" t="n">
        <x:f>SUM(IF($B$8=2,FZ26,0),IF($B$36=2,FZ54,0),IF($B$64=2,FZ82,0))</x:f>
      </x:c>
      <x:c r="GA102" s="107" t="n">
        <x:f>SUM(IF($B$8=2,GA26,0),IF($B$36=2,GA54,0),IF($B$64=2,GA82,0))</x:f>
      </x:c>
    </x:row>
    <x:row r="103">
      <x:c r="A103" t="str">
        <x:v>Очередь 2 — Раскрытие эскроу объектов</x:v>
      </x:c>
      <x:c r="B103" s="107" t="n">
        <x:f>SUM(D103:GA103)</x:f>
      </x:c>
      <x:c r="C103" t="str">
        <x:v>млн ₽</x:v>
      </x:c>
      <x:c r="D103" s="107" t="n">
        <x:f>SUM(IF($B$8=2,D27,0),IF($B$36=2,D55,0),IF($B$64=2,D83,0))</x:f>
      </x:c>
      <x:c r="E103" s="107" t="n">
        <x:f>SUM(IF($B$8=2,E27,0),IF($B$36=2,E55,0),IF($B$64=2,E83,0))</x:f>
      </x:c>
      <x:c r="F103" s="107" t="n">
        <x:f>SUM(IF($B$8=2,F27,0),IF($B$36=2,F55,0),IF($B$64=2,F83,0))</x:f>
      </x:c>
      <x:c r="G103" s="107" t="n">
        <x:f>SUM(IF($B$8=2,G27,0),IF($B$36=2,G55,0),IF($B$64=2,G83,0))</x:f>
      </x:c>
      <x:c r="H103" s="107" t="n">
        <x:f>SUM(IF($B$8=2,H27,0),IF($B$36=2,H55,0),IF($B$64=2,H83,0))</x:f>
      </x:c>
      <x:c r="I103" s="107" t="n">
        <x:f>SUM(IF($B$8=2,I27,0),IF($B$36=2,I55,0),IF($B$64=2,I83,0))</x:f>
      </x:c>
      <x:c r="J103" s="107" t="n">
        <x:f>SUM(IF($B$8=2,J27,0),IF($B$36=2,J55,0),IF($B$64=2,J83,0))</x:f>
      </x:c>
      <x:c r="K103" s="107" t="n">
        <x:f>SUM(IF($B$8=2,K27,0),IF($B$36=2,K55,0),IF($B$64=2,K83,0))</x:f>
      </x:c>
      <x:c r="L103" s="107" t="n">
        <x:f>SUM(IF($B$8=2,L27,0),IF($B$36=2,L55,0),IF($B$64=2,L83,0))</x:f>
      </x:c>
      <x:c r="M103" s="107" t="n">
        <x:f>SUM(IF($B$8=2,M27,0),IF($B$36=2,M55,0),IF($B$64=2,M83,0))</x:f>
      </x:c>
      <x:c r="N103" s="107" t="n">
        <x:f>SUM(IF($B$8=2,N27,0),IF($B$36=2,N55,0),IF($B$64=2,N83,0))</x:f>
      </x:c>
      <x:c r="O103" s="107" t="n">
        <x:f>SUM(IF($B$8=2,O27,0),IF($B$36=2,O55,0),IF($B$64=2,O83,0))</x:f>
      </x:c>
      <x:c r="P103" s="107" t="n">
        <x:f>SUM(IF($B$8=2,P27,0),IF($B$36=2,P55,0),IF($B$64=2,P83,0))</x:f>
      </x:c>
      <x:c r="Q103" s="107" t="n">
        <x:f>SUM(IF($B$8=2,Q27,0),IF($B$36=2,Q55,0),IF($B$64=2,Q83,0))</x:f>
      </x:c>
      <x:c r="R103" s="107" t="n">
        <x:f>SUM(IF($B$8=2,R27,0),IF($B$36=2,R55,0),IF($B$64=2,R83,0))</x:f>
      </x:c>
      <x:c r="S103" s="107" t="n">
        <x:f>SUM(IF($B$8=2,S27,0),IF($B$36=2,S55,0),IF($B$64=2,S83,0))</x:f>
      </x:c>
      <x:c r="T103" s="107" t="n">
        <x:f>SUM(IF($B$8=2,T27,0),IF($B$36=2,T55,0),IF($B$64=2,T83,0))</x:f>
      </x:c>
      <x:c r="U103" s="107" t="n">
        <x:f>SUM(IF($B$8=2,U27,0),IF($B$36=2,U55,0),IF($B$64=2,U83,0))</x:f>
      </x:c>
      <x:c r="V103" s="107" t="n">
        <x:f>SUM(IF($B$8=2,V27,0),IF($B$36=2,V55,0),IF($B$64=2,V83,0))</x:f>
      </x:c>
      <x:c r="W103" s="107" t="n">
        <x:f>SUM(IF($B$8=2,W27,0),IF($B$36=2,W55,0),IF($B$64=2,W83,0))</x:f>
      </x:c>
      <x:c r="X103" s="107" t="n">
        <x:f>SUM(IF($B$8=2,X27,0),IF($B$36=2,X55,0),IF($B$64=2,X83,0))</x:f>
      </x:c>
      <x:c r="Y103" s="107" t="n">
        <x:f>SUM(IF($B$8=2,Y27,0),IF($B$36=2,Y55,0),IF($B$64=2,Y83,0))</x:f>
      </x:c>
      <x:c r="Z103" s="107" t="n">
        <x:f>SUM(IF($B$8=2,Z27,0),IF($B$36=2,Z55,0),IF($B$64=2,Z83,0))</x:f>
      </x:c>
      <x:c r="AA103" s="107" t="n">
        <x:f>SUM(IF($B$8=2,AA27,0),IF($B$36=2,AA55,0),IF($B$64=2,AA83,0))</x:f>
      </x:c>
      <x:c r="AB103" s="107" t="n">
        <x:f>SUM(IF($B$8=2,AB27,0),IF($B$36=2,AB55,0),IF($B$64=2,AB83,0))</x:f>
      </x:c>
      <x:c r="AC103" s="107" t="n">
        <x:f>SUM(IF($B$8=2,AC27,0),IF($B$36=2,AC55,0),IF($B$64=2,AC83,0))</x:f>
      </x:c>
      <x:c r="AD103" s="107" t="n">
        <x:f>SUM(IF($B$8=2,AD27,0),IF($B$36=2,AD55,0),IF($B$64=2,AD83,0))</x:f>
      </x:c>
      <x:c r="AE103" s="107" t="n">
        <x:f>SUM(IF($B$8=2,AE27,0),IF($B$36=2,AE55,0),IF($B$64=2,AE83,0))</x:f>
      </x:c>
      <x:c r="AF103" s="107" t="n">
        <x:f>SUM(IF($B$8=2,AF27,0),IF($B$36=2,AF55,0),IF($B$64=2,AF83,0))</x:f>
      </x:c>
      <x:c r="AG103" s="107" t="n">
        <x:f>SUM(IF($B$8=2,AG27,0),IF($B$36=2,AG55,0),IF($B$64=2,AG83,0))</x:f>
      </x:c>
      <x:c r="AH103" s="107" t="n">
        <x:f>SUM(IF($B$8=2,AH27,0),IF($B$36=2,AH55,0),IF($B$64=2,AH83,0))</x:f>
      </x:c>
      <x:c r="AI103" s="107" t="n">
        <x:f>SUM(IF($B$8=2,AI27,0),IF($B$36=2,AI55,0),IF($B$64=2,AI83,0))</x:f>
      </x:c>
      <x:c r="AJ103" s="107" t="n">
        <x:f>SUM(IF($B$8=2,AJ27,0),IF($B$36=2,AJ55,0),IF($B$64=2,AJ83,0))</x:f>
      </x:c>
      <x:c r="AK103" s="107" t="n">
        <x:f>SUM(IF($B$8=2,AK27,0),IF($B$36=2,AK55,0),IF($B$64=2,AK83,0))</x:f>
      </x:c>
      <x:c r="AL103" s="107" t="n">
        <x:f>SUM(IF($B$8=2,AL27,0),IF($B$36=2,AL55,0),IF($B$64=2,AL83,0))</x:f>
      </x:c>
      <x:c r="AM103" s="107" t="n">
        <x:f>SUM(IF($B$8=2,AM27,0),IF($B$36=2,AM55,0),IF($B$64=2,AM83,0))</x:f>
      </x:c>
      <x:c r="AN103" s="107" t="n">
        <x:f>SUM(IF($B$8=2,AN27,0),IF($B$36=2,AN55,0),IF($B$64=2,AN83,0))</x:f>
      </x:c>
      <x:c r="AO103" s="107" t="n">
        <x:f>SUM(IF($B$8=2,AO27,0),IF($B$36=2,AO55,0),IF($B$64=2,AO83,0))</x:f>
      </x:c>
      <x:c r="AP103" s="107" t="n">
        <x:f>SUM(IF($B$8=2,AP27,0),IF($B$36=2,AP55,0),IF($B$64=2,AP83,0))</x:f>
      </x:c>
      <x:c r="AQ103" s="107" t="n">
        <x:f>SUM(IF($B$8=2,AQ27,0),IF($B$36=2,AQ55,0),IF($B$64=2,AQ83,0))</x:f>
      </x:c>
      <x:c r="AR103" s="107" t="n">
        <x:f>SUM(IF($B$8=2,AR27,0),IF($B$36=2,AR55,0),IF($B$64=2,AR83,0))</x:f>
      </x:c>
      <x:c r="AS103" s="107" t="n">
        <x:f>SUM(IF($B$8=2,AS27,0),IF($B$36=2,AS55,0),IF($B$64=2,AS83,0))</x:f>
      </x:c>
      <x:c r="AT103" s="107" t="n">
        <x:f>SUM(IF($B$8=2,AT27,0),IF($B$36=2,AT55,0),IF($B$64=2,AT83,0))</x:f>
      </x:c>
      <x:c r="AU103" s="107" t="n">
        <x:f>SUM(IF($B$8=2,AU27,0),IF($B$36=2,AU55,0),IF($B$64=2,AU83,0))</x:f>
      </x:c>
      <x:c r="AV103" s="107" t="n">
        <x:f>SUM(IF($B$8=2,AV27,0),IF($B$36=2,AV55,0),IF($B$64=2,AV83,0))</x:f>
      </x:c>
      <x:c r="AW103" s="107" t="n">
        <x:f>SUM(IF($B$8=2,AW27,0),IF($B$36=2,AW55,0),IF($B$64=2,AW83,0))</x:f>
      </x:c>
      <x:c r="AX103" s="107" t="n">
        <x:f>SUM(IF($B$8=2,AX27,0),IF($B$36=2,AX55,0),IF($B$64=2,AX83,0))</x:f>
      </x:c>
      <x:c r="AY103" s="107" t="n">
        <x:f>SUM(IF($B$8=2,AY27,0),IF($B$36=2,AY55,0),IF($B$64=2,AY83,0))</x:f>
      </x:c>
      <x:c r="AZ103" s="107" t="n">
        <x:f>SUM(IF($B$8=2,AZ27,0),IF($B$36=2,AZ55,0),IF($B$64=2,AZ83,0))</x:f>
      </x:c>
      <x:c r="BA103" s="107" t="n">
        <x:f>SUM(IF($B$8=2,BA27,0),IF($B$36=2,BA55,0),IF($B$64=2,BA83,0))</x:f>
      </x:c>
      <x:c r="BB103" s="107" t="n">
        <x:f>SUM(IF($B$8=2,BB27,0),IF($B$36=2,BB55,0),IF($B$64=2,BB83,0))</x:f>
      </x:c>
      <x:c r="BC103" s="107" t="n">
        <x:f>SUM(IF($B$8=2,BC27,0),IF($B$36=2,BC55,0),IF($B$64=2,BC83,0))</x:f>
      </x:c>
      <x:c r="BD103" s="107" t="n">
        <x:f>SUM(IF($B$8=2,BD27,0),IF($B$36=2,BD55,0),IF($B$64=2,BD83,0))</x:f>
      </x:c>
      <x:c r="BE103" s="107" t="n">
        <x:f>SUM(IF($B$8=2,BE27,0),IF($B$36=2,BE55,0),IF($B$64=2,BE83,0))</x:f>
      </x:c>
      <x:c r="BF103" s="107" t="n">
        <x:f>SUM(IF($B$8=2,BF27,0),IF($B$36=2,BF55,0),IF($B$64=2,BF83,0))</x:f>
      </x:c>
      <x:c r="BG103" s="107" t="n">
        <x:f>SUM(IF($B$8=2,BG27,0),IF($B$36=2,BG55,0),IF($B$64=2,BG83,0))</x:f>
      </x:c>
      <x:c r="BH103" s="107" t="n">
        <x:f>SUM(IF($B$8=2,BH27,0),IF($B$36=2,BH55,0),IF($B$64=2,BH83,0))</x:f>
      </x:c>
      <x:c r="BI103" s="107" t="n">
        <x:f>SUM(IF($B$8=2,BI27,0),IF($B$36=2,BI55,0),IF($B$64=2,BI83,0))</x:f>
      </x:c>
      <x:c r="BJ103" s="107" t="n">
        <x:f>SUM(IF($B$8=2,BJ27,0),IF($B$36=2,BJ55,0),IF($B$64=2,BJ83,0))</x:f>
      </x:c>
      <x:c r="BK103" s="107" t="n">
        <x:f>SUM(IF($B$8=2,BK27,0),IF($B$36=2,BK55,0),IF($B$64=2,BK83,0))</x:f>
      </x:c>
      <x:c r="BL103" s="107" t="n">
        <x:f>SUM(IF($B$8=2,BL27,0),IF($B$36=2,BL55,0),IF($B$64=2,BL83,0))</x:f>
      </x:c>
      <x:c r="BM103" s="107" t="n">
        <x:f>SUM(IF($B$8=2,BM27,0),IF($B$36=2,BM55,0),IF($B$64=2,BM83,0))</x:f>
      </x:c>
      <x:c r="BN103" s="107" t="n">
        <x:f>SUM(IF($B$8=2,BN27,0),IF($B$36=2,BN55,0),IF($B$64=2,BN83,0))</x:f>
      </x:c>
      <x:c r="BO103" s="107" t="n">
        <x:f>SUM(IF($B$8=2,BO27,0),IF($B$36=2,BO55,0),IF($B$64=2,BO83,0))</x:f>
      </x:c>
      <x:c r="BP103" s="107" t="n">
        <x:f>SUM(IF($B$8=2,BP27,0),IF($B$36=2,BP55,0),IF($B$64=2,BP83,0))</x:f>
      </x:c>
      <x:c r="BQ103" s="107" t="n">
        <x:f>SUM(IF($B$8=2,BQ27,0),IF($B$36=2,BQ55,0),IF($B$64=2,BQ83,0))</x:f>
      </x:c>
      <x:c r="BR103" s="107" t="n">
        <x:f>SUM(IF($B$8=2,BR27,0),IF($B$36=2,BR55,0),IF($B$64=2,BR83,0))</x:f>
      </x:c>
      <x:c r="BS103" s="107" t="n">
        <x:f>SUM(IF($B$8=2,BS27,0),IF($B$36=2,BS55,0),IF($B$64=2,BS83,0))</x:f>
      </x:c>
      <x:c r="BT103" s="107" t="n">
        <x:f>SUM(IF($B$8=2,BT27,0),IF($B$36=2,BT55,0),IF($B$64=2,BT83,0))</x:f>
      </x:c>
      <x:c r="BU103" s="107" t="n">
        <x:f>SUM(IF($B$8=2,BU27,0),IF($B$36=2,BU55,0),IF($B$64=2,BU83,0))</x:f>
      </x:c>
      <x:c r="BV103" s="107" t="n">
        <x:f>SUM(IF($B$8=2,BV27,0),IF($B$36=2,BV55,0),IF($B$64=2,BV83,0))</x:f>
      </x:c>
      <x:c r="BW103" s="107" t="n">
        <x:f>SUM(IF($B$8=2,BW27,0),IF($B$36=2,BW55,0),IF($B$64=2,BW83,0))</x:f>
      </x:c>
      <x:c r="BX103" s="107" t="n">
        <x:f>SUM(IF($B$8=2,BX27,0),IF($B$36=2,BX55,0),IF($B$64=2,BX83,0))</x:f>
      </x:c>
      <x:c r="BY103" s="107" t="n">
        <x:f>SUM(IF($B$8=2,BY27,0),IF($B$36=2,BY55,0),IF($B$64=2,BY83,0))</x:f>
      </x:c>
      <x:c r="BZ103" s="107" t="n">
        <x:f>SUM(IF($B$8=2,BZ27,0),IF($B$36=2,BZ55,0),IF($B$64=2,BZ83,0))</x:f>
      </x:c>
      <x:c r="CA103" s="107" t="n">
        <x:f>SUM(IF($B$8=2,CA27,0),IF($B$36=2,CA55,0),IF($B$64=2,CA83,0))</x:f>
      </x:c>
      <x:c r="CB103" s="107" t="n">
        <x:f>SUM(IF($B$8=2,CB27,0),IF($B$36=2,CB55,0),IF($B$64=2,CB83,0))</x:f>
      </x:c>
      <x:c r="CC103" s="107" t="n">
        <x:f>SUM(IF($B$8=2,CC27,0),IF($B$36=2,CC55,0),IF($B$64=2,CC83,0))</x:f>
      </x:c>
      <x:c r="CD103" s="107" t="n">
        <x:f>SUM(IF($B$8=2,CD27,0),IF($B$36=2,CD55,0),IF($B$64=2,CD83,0))</x:f>
      </x:c>
      <x:c r="CE103" s="107" t="n">
        <x:f>SUM(IF($B$8=2,CE27,0),IF($B$36=2,CE55,0),IF($B$64=2,CE83,0))</x:f>
      </x:c>
      <x:c r="CF103" s="107" t="n">
        <x:f>SUM(IF($B$8=2,CF27,0),IF($B$36=2,CF55,0),IF($B$64=2,CF83,0))</x:f>
      </x:c>
      <x:c r="CG103" s="107" t="n">
        <x:f>SUM(IF($B$8=2,CG27,0),IF($B$36=2,CG55,0),IF($B$64=2,CG83,0))</x:f>
      </x:c>
      <x:c r="CH103" s="107" t="n">
        <x:f>SUM(IF($B$8=2,CH27,0),IF($B$36=2,CH55,0),IF($B$64=2,CH83,0))</x:f>
      </x:c>
      <x:c r="CI103" s="107" t="n">
        <x:f>SUM(IF($B$8=2,CI27,0),IF($B$36=2,CI55,0),IF($B$64=2,CI83,0))</x:f>
      </x:c>
      <x:c r="CJ103" s="107" t="n">
        <x:f>SUM(IF($B$8=2,CJ27,0),IF($B$36=2,CJ55,0),IF($B$64=2,CJ83,0))</x:f>
      </x:c>
      <x:c r="CK103" s="107" t="n">
        <x:f>SUM(IF($B$8=2,CK27,0),IF($B$36=2,CK55,0),IF($B$64=2,CK83,0))</x:f>
      </x:c>
      <x:c r="CL103" s="107" t="n">
        <x:f>SUM(IF($B$8=2,CL27,0),IF($B$36=2,CL55,0),IF($B$64=2,CL83,0))</x:f>
      </x:c>
      <x:c r="CM103" s="107" t="n">
        <x:f>SUM(IF($B$8=2,CM27,0),IF($B$36=2,CM55,0),IF($B$64=2,CM83,0))</x:f>
      </x:c>
      <x:c r="CN103" s="107" t="n">
        <x:f>SUM(IF($B$8=2,CN27,0),IF($B$36=2,CN55,0),IF($B$64=2,CN83,0))</x:f>
      </x:c>
      <x:c r="CO103" s="107" t="n">
        <x:f>SUM(IF($B$8=2,CO27,0),IF($B$36=2,CO55,0),IF($B$64=2,CO83,0))</x:f>
      </x:c>
      <x:c r="CP103" s="107" t="n">
        <x:f>SUM(IF($B$8=2,CP27,0),IF($B$36=2,CP55,0),IF($B$64=2,CP83,0))</x:f>
      </x:c>
      <x:c r="CQ103" s="107" t="n">
        <x:f>SUM(IF($B$8=2,CQ27,0),IF($B$36=2,CQ55,0),IF($B$64=2,CQ83,0))</x:f>
      </x:c>
      <x:c r="CR103" s="107" t="n">
        <x:f>SUM(IF($B$8=2,CR27,0),IF($B$36=2,CR55,0),IF($B$64=2,CR83,0))</x:f>
      </x:c>
      <x:c r="CS103" s="107" t="n">
        <x:f>SUM(IF($B$8=2,CS27,0),IF($B$36=2,CS55,0),IF($B$64=2,CS83,0))</x:f>
      </x:c>
      <x:c r="CT103" s="107" t="n">
        <x:f>SUM(IF($B$8=2,CT27,0),IF($B$36=2,CT55,0),IF($B$64=2,CT83,0))</x:f>
      </x:c>
      <x:c r="CU103" s="107" t="n">
        <x:f>SUM(IF($B$8=2,CU27,0),IF($B$36=2,CU55,0),IF($B$64=2,CU83,0))</x:f>
      </x:c>
      <x:c r="CV103" s="107" t="n">
        <x:f>SUM(IF($B$8=2,CV27,0),IF($B$36=2,CV55,0),IF($B$64=2,CV83,0))</x:f>
      </x:c>
      <x:c r="CW103" s="107" t="n">
        <x:f>SUM(IF($B$8=2,CW27,0),IF($B$36=2,CW55,0),IF($B$64=2,CW83,0))</x:f>
      </x:c>
      <x:c r="CX103" s="107" t="n">
        <x:f>SUM(IF($B$8=2,CX27,0),IF($B$36=2,CX55,0),IF($B$64=2,CX83,0))</x:f>
      </x:c>
      <x:c r="CY103" s="107" t="n">
        <x:f>SUM(IF($B$8=2,CY27,0),IF($B$36=2,CY55,0),IF($B$64=2,CY83,0))</x:f>
      </x:c>
      <x:c r="CZ103" s="107" t="n">
        <x:f>SUM(IF($B$8=2,CZ27,0),IF($B$36=2,CZ55,0),IF($B$64=2,CZ83,0))</x:f>
      </x:c>
      <x:c r="DA103" s="107" t="n">
        <x:f>SUM(IF($B$8=2,DA27,0),IF($B$36=2,DA55,0),IF($B$64=2,DA83,0))</x:f>
      </x:c>
      <x:c r="DB103" s="107" t="n">
        <x:f>SUM(IF($B$8=2,DB27,0),IF($B$36=2,DB55,0),IF($B$64=2,DB83,0))</x:f>
      </x:c>
      <x:c r="DC103" s="107" t="n">
        <x:f>SUM(IF($B$8=2,DC27,0),IF($B$36=2,DC55,0),IF($B$64=2,DC83,0))</x:f>
      </x:c>
      <x:c r="DD103" s="107" t="n">
        <x:f>SUM(IF($B$8=2,DD27,0),IF($B$36=2,DD55,0),IF($B$64=2,DD83,0))</x:f>
      </x:c>
      <x:c r="DE103" s="107" t="n">
        <x:f>SUM(IF($B$8=2,DE27,0),IF($B$36=2,DE55,0),IF($B$64=2,DE83,0))</x:f>
      </x:c>
      <x:c r="DF103" s="107" t="n">
        <x:f>SUM(IF($B$8=2,DF27,0),IF($B$36=2,DF55,0),IF($B$64=2,DF83,0))</x:f>
      </x:c>
      <x:c r="DG103" s="107" t="n">
        <x:f>SUM(IF($B$8=2,DG27,0),IF($B$36=2,DG55,0),IF($B$64=2,DG83,0))</x:f>
      </x:c>
      <x:c r="DH103" s="107" t="n">
        <x:f>SUM(IF($B$8=2,DH27,0),IF($B$36=2,DH55,0),IF($B$64=2,DH83,0))</x:f>
      </x:c>
      <x:c r="DI103" s="107" t="n">
        <x:f>SUM(IF($B$8=2,DI27,0),IF($B$36=2,DI55,0),IF($B$64=2,DI83,0))</x:f>
      </x:c>
      <x:c r="DJ103" s="107" t="n">
        <x:f>SUM(IF($B$8=2,DJ27,0),IF($B$36=2,DJ55,0),IF($B$64=2,DJ83,0))</x:f>
      </x:c>
      <x:c r="DK103" s="107" t="n">
        <x:f>SUM(IF($B$8=2,DK27,0),IF($B$36=2,DK55,0),IF($B$64=2,DK83,0))</x:f>
      </x:c>
      <x:c r="DL103" s="107" t="n">
        <x:f>SUM(IF($B$8=2,DL27,0),IF($B$36=2,DL55,0),IF($B$64=2,DL83,0))</x:f>
      </x:c>
      <x:c r="DM103" s="107" t="n">
        <x:f>SUM(IF($B$8=2,DM27,0),IF($B$36=2,DM55,0),IF($B$64=2,DM83,0))</x:f>
      </x:c>
      <x:c r="DN103" s="107" t="n">
        <x:f>SUM(IF($B$8=2,DN27,0),IF($B$36=2,DN55,0),IF($B$64=2,DN83,0))</x:f>
      </x:c>
      <x:c r="DO103" s="107" t="n">
        <x:f>SUM(IF($B$8=2,DO27,0),IF($B$36=2,DO55,0),IF($B$64=2,DO83,0))</x:f>
      </x:c>
      <x:c r="DP103" s="107" t="n">
        <x:f>SUM(IF($B$8=2,DP27,0),IF($B$36=2,DP55,0),IF($B$64=2,DP83,0))</x:f>
      </x:c>
      <x:c r="DQ103" s="107" t="n">
        <x:f>SUM(IF($B$8=2,DQ27,0),IF($B$36=2,DQ55,0),IF($B$64=2,DQ83,0))</x:f>
      </x:c>
      <x:c r="DR103" s="107" t="n">
        <x:f>SUM(IF($B$8=2,DR27,0),IF($B$36=2,DR55,0),IF($B$64=2,DR83,0))</x:f>
      </x:c>
      <x:c r="DS103" s="107" t="n">
        <x:f>SUM(IF($B$8=2,DS27,0),IF($B$36=2,DS55,0),IF($B$64=2,DS83,0))</x:f>
      </x:c>
      <x:c r="DT103" s="107" t="n">
        <x:f>SUM(IF($B$8=2,DT27,0),IF($B$36=2,DT55,0),IF($B$64=2,DT83,0))</x:f>
      </x:c>
      <x:c r="DU103" s="107" t="n">
        <x:f>SUM(IF($B$8=2,DU27,0),IF($B$36=2,DU55,0),IF($B$64=2,DU83,0))</x:f>
      </x:c>
      <x:c r="DV103" s="107" t="n">
        <x:f>SUM(IF($B$8=2,DV27,0),IF($B$36=2,DV55,0),IF($B$64=2,DV83,0))</x:f>
      </x:c>
      <x:c r="DW103" s="107" t="n">
        <x:f>SUM(IF($B$8=2,DW27,0),IF($B$36=2,DW55,0),IF($B$64=2,DW83,0))</x:f>
      </x:c>
      <x:c r="DX103" s="107" t="n">
        <x:f>SUM(IF($B$8=2,DX27,0),IF($B$36=2,DX55,0),IF($B$64=2,DX83,0))</x:f>
      </x:c>
      <x:c r="DY103" s="107" t="n">
        <x:f>SUM(IF($B$8=2,DY27,0),IF($B$36=2,DY55,0),IF($B$64=2,DY83,0))</x:f>
      </x:c>
      <x:c r="DZ103" s="107" t="n">
        <x:f>SUM(IF($B$8=2,DZ27,0),IF($B$36=2,DZ55,0),IF($B$64=2,DZ83,0))</x:f>
      </x:c>
      <x:c r="EA103" s="107" t="n">
        <x:f>SUM(IF($B$8=2,EA27,0),IF($B$36=2,EA55,0),IF($B$64=2,EA83,0))</x:f>
      </x:c>
      <x:c r="EB103" s="107" t="n">
        <x:f>SUM(IF($B$8=2,EB27,0),IF($B$36=2,EB55,0),IF($B$64=2,EB83,0))</x:f>
      </x:c>
      <x:c r="EC103" s="107" t="n">
        <x:f>SUM(IF($B$8=2,EC27,0),IF($B$36=2,EC55,0),IF($B$64=2,EC83,0))</x:f>
      </x:c>
      <x:c r="ED103" s="107" t="n">
        <x:f>SUM(IF($B$8=2,ED27,0),IF($B$36=2,ED55,0),IF($B$64=2,ED83,0))</x:f>
      </x:c>
      <x:c r="EE103" s="107" t="n">
        <x:f>SUM(IF($B$8=2,EE27,0),IF($B$36=2,EE55,0),IF($B$64=2,EE83,0))</x:f>
      </x:c>
      <x:c r="EF103" s="107" t="n">
        <x:f>SUM(IF($B$8=2,EF27,0),IF($B$36=2,EF55,0),IF($B$64=2,EF83,0))</x:f>
      </x:c>
      <x:c r="EG103" s="107" t="n">
        <x:f>SUM(IF($B$8=2,EG27,0),IF($B$36=2,EG55,0),IF($B$64=2,EG83,0))</x:f>
      </x:c>
      <x:c r="EH103" s="107" t="n">
        <x:f>SUM(IF($B$8=2,EH27,0),IF($B$36=2,EH55,0),IF($B$64=2,EH83,0))</x:f>
      </x:c>
      <x:c r="EI103" s="107" t="n">
        <x:f>SUM(IF($B$8=2,EI27,0),IF($B$36=2,EI55,0),IF($B$64=2,EI83,0))</x:f>
      </x:c>
      <x:c r="EJ103" s="107" t="n">
        <x:f>SUM(IF($B$8=2,EJ27,0),IF($B$36=2,EJ55,0),IF($B$64=2,EJ83,0))</x:f>
      </x:c>
      <x:c r="EK103" s="107" t="n">
        <x:f>SUM(IF($B$8=2,EK27,0),IF($B$36=2,EK55,0),IF($B$64=2,EK83,0))</x:f>
      </x:c>
      <x:c r="EL103" s="107" t="n">
        <x:f>SUM(IF($B$8=2,EL27,0),IF($B$36=2,EL55,0),IF($B$64=2,EL83,0))</x:f>
      </x:c>
      <x:c r="EM103" s="107" t="n">
        <x:f>SUM(IF($B$8=2,EM27,0),IF($B$36=2,EM55,0),IF($B$64=2,EM83,0))</x:f>
      </x:c>
      <x:c r="EN103" s="107" t="n">
        <x:f>SUM(IF($B$8=2,EN27,0),IF($B$36=2,EN55,0),IF($B$64=2,EN83,0))</x:f>
      </x:c>
      <x:c r="EO103" s="107" t="n">
        <x:f>SUM(IF($B$8=2,EO27,0),IF($B$36=2,EO55,0),IF($B$64=2,EO83,0))</x:f>
      </x:c>
      <x:c r="EP103" s="107" t="n">
        <x:f>SUM(IF($B$8=2,EP27,0),IF($B$36=2,EP55,0),IF($B$64=2,EP83,0))</x:f>
      </x:c>
      <x:c r="EQ103" s="107" t="n">
        <x:f>SUM(IF($B$8=2,EQ27,0),IF($B$36=2,EQ55,0),IF($B$64=2,EQ83,0))</x:f>
      </x:c>
      <x:c r="ER103" s="107" t="n">
        <x:f>SUM(IF($B$8=2,ER27,0),IF($B$36=2,ER55,0),IF($B$64=2,ER83,0))</x:f>
      </x:c>
      <x:c r="ES103" s="107" t="n">
        <x:f>SUM(IF($B$8=2,ES27,0),IF($B$36=2,ES55,0),IF($B$64=2,ES83,0))</x:f>
      </x:c>
      <x:c r="ET103" s="107" t="n">
        <x:f>SUM(IF($B$8=2,ET27,0),IF($B$36=2,ET55,0),IF($B$64=2,ET83,0))</x:f>
      </x:c>
      <x:c r="EU103" s="107" t="n">
        <x:f>SUM(IF($B$8=2,EU27,0),IF($B$36=2,EU55,0),IF($B$64=2,EU83,0))</x:f>
      </x:c>
      <x:c r="EV103" s="107" t="n">
        <x:f>SUM(IF($B$8=2,EV27,0),IF($B$36=2,EV55,0),IF($B$64=2,EV83,0))</x:f>
      </x:c>
      <x:c r="EW103" s="107" t="n">
        <x:f>SUM(IF($B$8=2,EW27,0),IF($B$36=2,EW55,0),IF($B$64=2,EW83,0))</x:f>
      </x:c>
      <x:c r="EX103" s="107" t="n">
        <x:f>SUM(IF($B$8=2,EX27,0),IF($B$36=2,EX55,0),IF($B$64=2,EX83,0))</x:f>
      </x:c>
      <x:c r="EY103" s="107" t="n">
        <x:f>SUM(IF($B$8=2,EY27,0),IF($B$36=2,EY55,0),IF($B$64=2,EY83,0))</x:f>
      </x:c>
      <x:c r="EZ103" s="107" t="n">
        <x:f>SUM(IF($B$8=2,EZ27,0),IF($B$36=2,EZ55,0),IF($B$64=2,EZ83,0))</x:f>
      </x:c>
      <x:c r="FA103" s="107" t="n">
        <x:f>SUM(IF($B$8=2,FA27,0),IF($B$36=2,FA55,0),IF($B$64=2,FA83,0))</x:f>
      </x:c>
      <x:c r="FB103" s="107" t="n">
        <x:f>SUM(IF($B$8=2,FB27,0),IF($B$36=2,FB55,0),IF($B$64=2,FB83,0))</x:f>
      </x:c>
      <x:c r="FC103" s="107" t="n">
        <x:f>SUM(IF($B$8=2,FC27,0),IF($B$36=2,FC55,0),IF($B$64=2,FC83,0))</x:f>
      </x:c>
      <x:c r="FD103" s="107" t="n">
        <x:f>SUM(IF($B$8=2,FD27,0),IF($B$36=2,FD55,0),IF($B$64=2,FD83,0))</x:f>
      </x:c>
      <x:c r="FE103" s="107" t="n">
        <x:f>SUM(IF($B$8=2,FE27,0),IF($B$36=2,FE55,0),IF($B$64=2,FE83,0))</x:f>
      </x:c>
      <x:c r="FF103" s="107" t="n">
        <x:f>SUM(IF($B$8=2,FF27,0),IF($B$36=2,FF55,0),IF($B$64=2,FF83,0))</x:f>
      </x:c>
      <x:c r="FG103" s="107" t="n">
        <x:f>SUM(IF($B$8=2,FG27,0),IF($B$36=2,FG55,0),IF($B$64=2,FG83,0))</x:f>
      </x:c>
      <x:c r="FH103" s="107" t="n">
        <x:f>SUM(IF($B$8=2,FH27,0),IF($B$36=2,FH55,0),IF($B$64=2,FH83,0))</x:f>
      </x:c>
      <x:c r="FI103" s="107" t="n">
        <x:f>SUM(IF($B$8=2,FI27,0),IF($B$36=2,FI55,0),IF($B$64=2,FI83,0))</x:f>
      </x:c>
      <x:c r="FJ103" s="107" t="n">
        <x:f>SUM(IF($B$8=2,FJ27,0),IF($B$36=2,FJ55,0),IF($B$64=2,FJ83,0))</x:f>
      </x:c>
      <x:c r="FK103" s="107" t="n">
        <x:f>SUM(IF($B$8=2,FK27,0),IF($B$36=2,FK55,0),IF($B$64=2,FK83,0))</x:f>
      </x:c>
      <x:c r="FL103" s="107" t="n">
        <x:f>SUM(IF($B$8=2,FL27,0),IF($B$36=2,FL55,0),IF($B$64=2,FL83,0))</x:f>
      </x:c>
      <x:c r="FM103" s="107" t="n">
        <x:f>SUM(IF($B$8=2,FM27,0),IF($B$36=2,FM55,0),IF($B$64=2,FM83,0))</x:f>
      </x:c>
      <x:c r="FN103" s="107" t="n">
        <x:f>SUM(IF($B$8=2,FN27,0),IF($B$36=2,FN55,0),IF($B$64=2,FN83,0))</x:f>
      </x:c>
      <x:c r="FO103" s="107" t="n">
        <x:f>SUM(IF($B$8=2,FO27,0),IF($B$36=2,FO55,0),IF($B$64=2,FO83,0))</x:f>
      </x:c>
      <x:c r="FP103" s="107" t="n">
        <x:f>SUM(IF($B$8=2,FP27,0),IF($B$36=2,FP55,0),IF($B$64=2,FP83,0))</x:f>
      </x:c>
      <x:c r="FQ103" s="107" t="n">
        <x:f>SUM(IF($B$8=2,FQ27,0),IF($B$36=2,FQ55,0),IF($B$64=2,FQ83,0))</x:f>
      </x:c>
      <x:c r="FR103" s="107" t="n">
        <x:f>SUM(IF($B$8=2,FR27,0),IF($B$36=2,FR55,0),IF($B$64=2,FR83,0))</x:f>
      </x:c>
      <x:c r="FS103" s="107" t="n">
        <x:f>SUM(IF($B$8=2,FS27,0),IF($B$36=2,FS55,0),IF($B$64=2,FS83,0))</x:f>
      </x:c>
      <x:c r="FT103" s="107" t="n">
        <x:f>SUM(IF($B$8=2,FT27,0),IF($B$36=2,FT55,0),IF($B$64=2,FT83,0))</x:f>
      </x:c>
      <x:c r="FU103" s="107" t="n">
        <x:f>SUM(IF($B$8=2,FU27,0),IF($B$36=2,FU55,0),IF($B$64=2,FU83,0))</x:f>
      </x:c>
      <x:c r="FV103" s="107" t="n">
        <x:f>SUM(IF($B$8=2,FV27,0),IF($B$36=2,FV55,0),IF($B$64=2,FV83,0))</x:f>
      </x:c>
      <x:c r="FW103" s="107" t="n">
        <x:f>SUM(IF($B$8=2,FW27,0),IF($B$36=2,FW55,0),IF($B$64=2,FW83,0))</x:f>
      </x:c>
      <x:c r="FX103" s="107" t="n">
        <x:f>SUM(IF($B$8=2,FX27,0),IF($B$36=2,FX55,0),IF($B$64=2,FX83,0))</x:f>
      </x:c>
      <x:c r="FY103" s="107" t="n">
        <x:f>SUM(IF($B$8=2,FY27,0),IF($B$36=2,FY55,0),IF($B$64=2,FY83,0))</x:f>
      </x:c>
      <x:c r="FZ103" s="107" t="n">
        <x:f>SUM(IF($B$8=2,FZ27,0),IF($B$36=2,FZ55,0),IF($B$64=2,FZ83,0))</x:f>
      </x:c>
      <x:c r="GA103" s="107" t="n">
        <x:f>SUM(IF($B$8=2,GA27,0),IF($B$36=2,GA55,0),IF($B$64=2,GA83,0))</x:f>
      </x:c>
    </x:row>
    <x:row r="104">
      <x:c r="A104" t="str">
        <x:v>Очередь 2 — CAPEX объектов</x:v>
      </x:c>
      <x:c r="B104" s="107" t="n">
        <x:f>SUM(D104:GA104)</x:f>
      </x:c>
      <x:c r="C104" t="str">
        <x:v>млн ₽</x:v>
      </x:c>
      <x:c r="D104" s="107" t="n">
        <x:f>SUM(IF($B$8=2,D28,0),IF($B$36=2,D56,0),IF($B$64=2,D84,0))</x:f>
      </x:c>
      <x:c r="E104" s="107" t="n">
        <x:f>SUM(IF($B$8=2,E28,0),IF($B$36=2,E56,0),IF($B$64=2,E84,0))</x:f>
      </x:c>
      <x:c r="F104" s="107" t="n">
        <x:f>SUM(IF($B$8=2,F28,0),IF($B$36=2,F56,0),IF($B$64=2,F84,0))</x:f>
      </x:c>
      <x:c r="G104" s="107" t="n">
        <x:f>SUM(IF($B$8=2,G28,0),IF($B$36=2,G56,0),IF($B$64=2,G84,0))</x:f>
      </x:c>
      <x:c r="H104" s="107" t="n">
        <x:f>SUM(IF($B$8=2,H28,0),IF($B$36=2,H56,0),IF($B$64=2,H84,0))</x:f>
      </x:c>
      <x:c r="I104" s="107" t="n">
        <x:f>SUM(IF($B$8=2,I28,0),IF($B$36=2,I56,0),IF($B$64=2,I84,0))</x:f>
      </x:c>
      <x:c r="J104" s="107" t="n">
        <x:f>SUM(IF($B$8=2,J28,0),IF($B$36=2,J56,0),IF($B$64=2,J84,0))</x:f>
      </x:c>
      <x:c r="K104" s="107" t="n">
        <x:f>SUM(IF($B$8=2,K28,0),IF($B$36=2,K56,0),IF($B$64=2,K84,0))</x:f>
      </x:c>
      <x:c r="L104" s="107" t="n">
        <x:f>SUM(IF($B$8=2,L28,0),IF($B$36=2,L56,0),IF($B$64=2,L84,0))</x:f>
      </x:c>
      <x:c r="M104" s="107" t="n">
        <x:f>SUM(IF($B$8=2,M28,0),IF($B$36=2,M56,0),IF($B$64=2,M84,0))</x:f>
      </x:c>
      <x:c r="N104" s="107" t="n">
        <x:f>SUM(IF($B$8=2,N28,0),IF($B$36=2,N56,0),IF($B$64=2,N84,0))</x:f>
      </x:c>
      <x:c r="O104" s="107" t="n">
        <x:f>SUM(IF($B$8=2,O28,0),IF($B$36=2,O56,0),IF($B$64=2,O84,0))</x:f>
      </x:c>
      <x:c r="P104" s="107" t="n">
        <x:f>SUM(IF($B$8=2,P28,0),IF($B$36=2,P56,0),IF($B$64=2,P84,0))</x:f>
      </x:c>
      <x:c r="Q104" s="107" t="n">
        <x:f>SUM(IF($B$8=2,Q28,0),IF($B$36=2,Q56,0),IF($B$64=2,Q84,0))</x:f>
      </x:c>
      <x:c r="R104" s="107" t="n">
        <x:f>SUM(IF($B$8=2,R28,0),IF($B$36=2,R56,0),IF($B$64=2,R84,0))</x:f>
      </x:c>
      <x:c r="S104" s="107" t="n">
        <x:f>SUM(IF($B$8=2,S28,0),IF($B$36=2,S56,0),IF($B$64=2,S84,0))</x:f>
      </x:c>
      <x:c r="T104" s="107" t="n">
        <x:f>SUM(IF($B$8=2,T28,0),IF($B$36=2,T56,0),IF($B$64=2,T84,0))</x:f>
      </x:c>
      <x:c r="U104" s="107" t="n">
        <x:f>SUM(IF($B$8=2,U28,0),IF($B$36=2,U56,0),IF($B$64=2,U84,0))</x:f>
      </x:c>
      <x:c r="V104" s="107" t="n">
        <x:f>SUM(IF($B$8=2,V28,0),IF($B$36=2,V56,0),IF($B$64=2,V84,0))</x:f>
      </x:c>
      <x:c r="W104" s="107" t="n">
        <x:f>SUM(IF($B$8=2,W28,0),IF($B$36=2,W56,0),IF($B$64=2,W84,0))</x:f>
      </x:c>
      <x:c r="X104" s="107" t="n">
        <x:f>SUM(IF($B$8=2,X28,0),IF($B$36=2,X56,0),IF($B$64=2,X84,0))</x:f>
      </x:c>
      <x:c r="Y104" s="107" t="n">
        <x:f>SUM(IF($B$8=2,Y28,0),IF($B$36=2,Y56,0),IF($B$64=2,Y84,0))</x:f>
      </x:c>
      <x:c r="Z104" s="107" t="n">
        <x:f>SUM(IF($B$8=2,Z28,0),IF($B$36=2,Z56,0),IF($B$64=2,Z84,0))</x:f>
      </x:c>
      <x:c r="AA104" s="107" t="n">
        <x:f>SUM(IF($B$8=2,AA28,0),IF($B$36=2,AA56,0),IF($B$64=2,AA84,0))</x:f>
      </x:c>
      <x:c r="AB104" s="107" t="n">
        <x:f>SUM(IF($B$8=2,AB28,0),IF($B$36=2,AB56,0),IF($B$64=2,AB84,0))</x:f>
      </x:c>
      <x:c r="AC104" s="107" t="n">
        <x:f>SUM(IF($B$8=2,AC28,0),IF($B$36=2,AC56,0),IF($B$64=2,AC84,0))</x:f>
      </x:c>
      <x:c r="AD104" s="107" t="n">
        <x:f>SUM(IF($B$8=2,AD28,0),IF($B$36=2,AD56,0),IF($B$64=2,AD84,0))</x:f>
      </x:c>
      <x:c r="AE104" s="107" t="n">
        <x:f>SUM(IF($B$8=2,AE28,0),IF($B$36=2,AE56,0),IF($B$64=2,AE84,0))</x:f>
      </x:c>
      <x:c r="AF104" s="107" t="n">
        <x:f>SUM(IF($B$8=2,AF28,0),IF($B$36=2,AF56,0),IF($B$64=2,AF84,0))</x:f>
      </x:c>
      <x:c r="AG104" s="107" t="n">
        <x:f>SUM(IF($B$8=2,AG28,0),IF($B$36=2,AG56,0),IF($B$64=2,AG84,0))</x:f>
      </x:c>
      <x:c r="AH104" s="107" t="n">
        <x:f>SUM(IF($B$8=2,AH28,0),IF($B$36=2,AH56,0),IF($B$64=2,AH84,0))</x:f>
      </x:c>
      <x:c r="AI104" s="107" t="n">
        <x:f>SUM(IF($B$8=2,AI28,0),IF($B$36=2,AI56,0),IF($B$64=2,AI84,0))</x:f>
      </x:c>
      <x:c r="AJ104" s="107" t="n">
        <x:f>SUM(IF($B$8=2,AJ28,0),IF($B$36=2,AJ56,0),IF($B$64=2,AJ84,0))</x:f>
      </x:c>
      <x:c r="AK104" s="107" t="n">
        <x:f>SUM(IF($B$8=2,AK28,0),IF($B$36=2,AK56,0),IF($B$64=2,AK84,0))</x:f>
      </x:c>
      <x:c r="AL104" s="107" t="n">
        <x:f>SUM(IF($B$8=2,AL28,0),IF($B$36=2,AL56,0),IF($B$64=2,AL84,0))</x:f>
      </x:c>
      <x:c r="AM104" s="107" t="n">
        <x:f>SUM(IF($B$8=2,AM28,0),IF($B$36=2,AM56,0),IF($B$64=2,AM84,0))</x:f>
      </x:c>
      <x:c r="AN104" s="107" t="n">
        <x:f>SUM(IF($B$8=2,AN28,0),IF($B$36=2,AN56,0),IF($B$64=2,AN84,0))</x:f>
      </x:c>
      <x:c r="AO104" s="107" t="n">
        <x:f>SUM(IF($B$8=2,AO28,0),IF($B$36=2,AO56,0),IF($B$64=2,AO84,0))</x:f>
      </x:c>
      <x:c r="AP104" s="107" t="n">
        <x:f>SUM(IF($B$8=2,AP28,0),IF($B$36=2,AP56,0),IF($B$64=2,AP84,0))</x:f>
      </x:c>
      <x:c r="AQ104" s="107" t="n">
        <x:f>SUM(IF($B$8=2,AQ28,0),IF($B$36=2,AQ56,0),IF($B$64=2,AQ84,0))</x:f>
      </x:c>
      <x:c r="AR104" s="107" t="n">
        <x:f>SUM(IF($B$8=2,AR28,0),IF($B$36=2,AR56,0),IF($B$64=2,AR84,0))</x:f>
      </x:c>
      <x:c r="AS104" s="107" t="n">
        <x:f>SUM(IF($B$8=2,AS28,0),IF($B$36=2,AS56,0),IF($B$64=2,AS84,0))</x:f>
      </x:c>
      <x:c r="AT104" s="107" t="n">
        <x:f>SUM(IF($B$8=2,AT28,0),IF($B$36=2,AT56,0),IF($B$64=2,AT84,0))</x:f>
      </x:c>
      <x:c r="AU104" s="107" t="n">
        <x:f>SUM(IF($B$8=2,AU28,0),IF($B$36=2,AU56,0),IF($B$64=2,AU84,0))</x:f>
      </x:c>
      <x:c r="AV104" s="107" t="n">
        <x:f>SUM(IF($B$8=2,AV28,0),IF($B$36=2,AV56,0),IF($B$64=2,AV84,0))</x:f>
      </x:c>
      <x:c r="AW104" s="107" t="n">
        <x:f>SUM(IF($B$8=2,AW28,0),IF($B$36=2,AW56,0),IF($B$64=2,AW84,0))</x:f>
      </x:c>
      <x:c r="AX104" s="107" t="n">
        <x:f>SUM(IF($B$8=2,AX28,0),IF($B$36=2,AX56,0),IF($B$64=2,AX84,0))</x:f>
      </x:c>
      <x:c r="AY104" s="107" t="n">
        <x:f>SUM(IF($B$8=2,AY28,0),IF($B$36=2,AY56,0),IF($B$64=2,AY84,0))</x:f>
      </x:c>
      <x:c r="AZ104" s="107" t="n">
        <x:f>SUM(IF($B$8=2,AZ28,0),IF($B$36=2,AZ56,0),IF($B$64=2,AZ84,0))</x:f>
      </x:c>
      <x:c r="BA104" s="107" t="n">
        <x:f>SUM(IF($B$8=2,BA28,0),IF($B$36=2,BA56,0),IF($B$64=2,BA84,0))</x:f>
      </x:c>
      <x:c r="BB104" s="107" t="n">
        <x:f>SUM(IF($B$8=2,BB28,0),IF($B$36=2,BB56,0),IF($B$64=2,BB84,0))</x:f>
      </x:c>
      <x:c r="BC104" s="107" t="n">
        <x:f>SUM(IF($B$8=2,BC28,0),IF($B$36=2,BC56,0),IF($B$64=2,BC84,0))</x:f>
      </x:c>
      <x:c r="BD104" s="107" t="n">
        <x:f>SUM(IF($B$8=2,BD28,0),IF($B$36=2,BD56,0),IF($B$64=2,BD84,0))</x:f>
      </x:c>
      <x:c r="BE104" s="107" t="n">
        <x:f>SUM(IF($B$8=2,BE28,0),IF($B$36=2,BE56,0),IF($B$64=2,BE84,0))</x:f>
      </x:c>
      <x:c r="BF104" s="107" t="n">
        <x:f>SUM(IF($B$8=2,BF28,0),IF($B$36=2,BF56,0),IF($B$64=2,BF84,0))</x:f>
      </x:c>
      <x:c r="BG104" s="107" t="n">
        <x:f>SUM(IF($B$8=2,BG28,0),IF($B$36=2,BG56,0),IF($B$64=2,BG84,0))</x:f>
      </x:c>
      <x:c r="BH104" s="107" t="n">
        <x:f>SUM(IF($B$8=2,BH28,0),IF($B$36=2,BH56,0),IF($B$64=2,BH84,0))</x:f>
      </x:c>
      <x:c r="BI104" s="107" t="n">
        <x:f>SUM(IF($B$8=2,BI28,0),IF($B$36=2,BI56,0),IF($B$64=2,BI84,0))</x:f>
      </x:c>
      <x:c r="BJ104" s="107" t="n">
        <x:f>SUM(IF($B$8=2,BJ28,0),IF($B$36=2,BJ56,0),IF($B$64=2,BJ84,0))</x:f>
      </x:c>
      <x:c r="BK104" s="107" t="n">
        <x:f>SUM(IF($B$8=2,BK28,0),IF($B$36=2,BK56,0),IF($B$64=2,BK84,0))</x:f>
      </x:c>
      <x:c r="BL104" s="107" t="n">
        <x:f>SUM(IF($B$8=2,BL28,0),IF($B$36=2,BL56,0),IF($B$64=2,BL84,0))</x:f>
      </x:c>
      <x:c r="BM104" s="107" t="n">
        <x:f>SUM(IF($B$8=2,BM28,0),IF($B$36=2,BM56,0),IF($B$64=2,BM84,0))</x:f>
      </x:c>
      <x:c r="BN104" s="107" t="n">
        <x:f>SUM(IF($B$8=2,BN28,0),IF($B$36=2,BN56,0),IF($B$64=2,BN84,0))</x:f>
      </x:c>
      <x:c r="BO104" s="107" t="n">
        <x:f>SUM(IF($B$8=2,BO28,0),IF($B$36=2,BO56,0),IF($B$64=2,BO84,0))</x:f>
      </x:c>
      <x:c r="BP104" s="107" t="n">
        <x:f>SUM(IF($B$8=2,BP28,0),IF($B$36=2,BP56,0),IF($B$64=2,BP84,0))</x:f>
      </x:c>
      <x:c r="BQ104" s="107" t="n">
        <x:f>SUM(IF($B$8=2,BQ28,0),IF($B$36=2,BQ56,0),IF($B$64=2,BQ84,0))</x:f>
      </x:c>
      <x:c r="BR104" s="107" t="n">
        <x:f>SUM(IF($B$8=2,BR28,0),IF($B$36=2,BR56,0),IF($B$64=2,BR84,0))</x:f>
      </x:c>
      <x:c r="BS104" s="107" t="n">
        <x:f>SUM(IF($B$8=2,BS28,0),IF($B$36=2,BS56,0),IF($B$64=2,BS84,0))</x:f>
      </x:c>
      <x:c r="BT104" s="107" t="n">
        <x:f>SUM(IF($B$8=2,BT28,0),IF($B$36=2,BT56,0),IF($B$64=2,BT84,0))</x:f>
      </x:c>
      <x:c r="BU104" s="107" t="n">
        <x:f>SUM(IF($B$8=2,BU28,0),IF($B$36=2,BU56,0),IF($B$64=2,BU84,0))</x:f>
      </x:c>
      <x:c r="BV104" s="107" t="n">
        <x:f>SUM(IF($B$8=2,BV28,0),IF($B$36=2,BV56,0),IF($B$64=2,BV84,0))</x:f>
      </x:c>
      <x:c r="BW104" s="107" t="n">
        <x:f>SUM(IF($B$8=2,BW28,0),IF($B$36=2,BW56,0),IF($B$64=2,BW84,0))</x:f>
      </x:c>
      <x:c r="BX104" s="107" t="n">
        <x:f>SUM(IF($B$8=2,BX28,0),IF($B$36=2,BX56,0),IF($B$64=2,BX84,0))</x:f>
      </x:c>
      <x:c r="BY104" s="107" t="n">
        <x:f>SUM(IF($B$8=2,BY28,0),IF($B$36=2,BY56,0),IF($B$64=2,BY84,0))</x:f>
      </x:c>
      <x:c r="BZ104" s="107" t="n">
        <x:f>SUM(IF($B$8=2,BZ28,0),IF($B$36=2,BZ56,0),IF($B$64=2,BZ84,0))</x:f>
      </x:c>
      <x:c r="CA104" s="107" t="n">
        <x:f>SUM(IF($B$8=2,CA28,0),IF($B$36=2,CA56,0),IF($B$64=2,CA84,0))</x:f>
      </x:c>
      <x:c r="CB104" s="107" t="n">
        <x:f>SUM(IF($B$8=2,CB28,0),IF($B$36=2,CB56,0),IF($B$64=2,CB84,0))</x:f>
      </x:c>
      <x:c r="CC104" s="107" t="n">
        <x:f>SUM(IF($B$8=2,CC28,0),IF($B$36=2,CC56,0),IF($B$64=2,CC84,0))</x:f>
      </x:c>
      <x:c r="CD104" s="107" t="n">
        <x:f>SUM(IF($B$8=2,CD28,0),IF($B$36=2,CD56,0),IF($B$64=2,CD84,0))</x:f>
      </x:c>
      <x:c r="CE104" s="107" t="n">
        <x:f>SUM(IF($B$8=2,CE28,0),IF($B$36=2,CE56,0),IF($B$64=2,CE84,0))</x:f>
      </x:c>
      <x:c r="CF104" s="107" t="n">
        <x:f>SUM(IF($B$8=2,CF28,0),IF($B$36=2,CF56,0),IF($B$64=2,CF84,0))</x:f>
      </x:c>
      <x:c r="CG104" s="107" t="n">
        <x:f>SUM(IF($B$8=2,CG28,0),IF($B$36=2,CG56,0),IF($B$64=2,CG84,0))</x:f>
      </x:c>
      <x:c r="CH104" s="107" t="n">
        <x:f>SUM(IF($B$8=2,CH28,0),IF($B$36=2,CH56,0),IF($B$64=2,CH84,0))</x:f>
      </x:c>
      <x:c r="CI104" s="107" t="n">
        <x:f>SUM(IF($B$8=2,CI28,0),IF($B$36=2,CI56,0),IF($B$64=2,CI84,0))</x:f>
      </x:c>
      <x:c r="CJ104" s="107" t="n">
        <x:f>SUM(IF($B$8=2,CJ28,0),IF($B$36=2,CJ56,0),IF($B$64=2,CJ84,0))</x:f>
      </x:c>
      <x:c r="CK104" s="107" t="n">
        <x:f>SUM(IF($B$8=2,CK28,0),IF($B$36=2,CK56,0),IF($B$64=2,CK84,0))</x:f>
      </x:c>
      <x:c r="CL104" s="107" t="n">
        <x:f>SUM(IF($B$8=2,CL28,0),IF($B$36=2,CL56,0),IF($B$64=2,CL84,0))</x:f>
      </x:c>
      <x:c r="CM104" s="107" t="n">
        <x:f>SUM(IF($B$8=2,CM28,0),IF($B$36=2,CM56,0),IF($B$64=2,CM84,0))</x:f>
      </x:c>
      <x:c r="CN104" s="107" t="n">
        <x:f>SUM(IF($B$8=2,CN28,0),IF($B$36=2,CN56,0),IF($B$64=2,CN84,0))</x:f>
      </x:c>
      <x:c r="CO104" s="107" t="n">
        <x:f>SUM(IF($B$8=2,CO28,0),IF($B$36=2,CO56,0),IF($B$64=2,CO84,0))</x:f>
      </x:c>
      <x:c r="CP104" s="107" t="n">
        <x:f>SUM(IF($B$8=2,CP28,0),IF($B$36=2,CP56,0),IF($B$64=2,CP84,0))</x:f>
      </x:c>
      <x:c r="CQ104" s="107" t="n">
        <x:f>SUM(IF($B$8=2,CQ28,0),IF($B$36=2,CQ56,0),IF($B$64=2,CQ84,0))</x:f>
      </x:c>
      <x:c r="CR104" s="107" t="n">
        <x:f>SUM(IF($B$8=2,CR28,0),IF($B$36=2,CR56,0),IF($B$64=2,CR84,0))</x:f>
      </x:c>
      <x:c r="CS104" s="107" t="n">
        <x:f>SUM(IF($B$8=2,CS28,0),IF($B$36=2,CS56,0),IF($B$64=2,CS84,0))</x:f>
      </x:c>
      <x:c r="CT104" s="107" t="n">
        <x:f>SUM(IF($B$8=2,CT28,0),IF($B$36=2,CT56,0),IF($B$64=2,CT84,0))</x:f>
      </x:c>
      <x:c r="CU104" s="107" t="n">
        <x:f>SUM(IF($B$8=2,CU28,0),IF($B$36=2,CU56,0),IF($B$64=2,CU84,0))</x:f>
      </x:c>
      <x:c r="CV104" s="107" t="n">
        <x:f>SUM(IF($B$8=2,CV28,0),IF($B$36=2,CV56,0),IF($B$64=2,CV84,0))</x:f>
      </x:c>
      <x:c r="CW104" s="107" t="n">
        <x:f>SUM(IF($B$8=2,CW28,0),IF($B$36=2,CW56,0),IF($B$64=2,CW84,0))</x:f>
      </x:c>
      <x:c r="CX104" s="107" t="n">
        <x:f>SUM(IF($B$8=2,CX28,0),IF($B$36=2,CX56,0),IF($B$64=2,CX84,0))</x:f>
      </x:c>
      <x:c r="CY104" s="107" t="n">
        <x:f>SUM(IF($B$8=2,CY28,0),IF($B$36=2,CY56,0),IF($B$64=2,CY84,0))</x:f>
      </x:c>
      <x:c r="CZ104" s="107" t="n">
        <x:f>SUM(IF($B$8=2,CZ28,0),IF($B$36=2,CZ56,0),IF($B$64=2,CZ84,0))</x:f>
      </x:c>
      <x:c r="DA104" s="107" t="n">
        <x:f>SUM(IF($B$8=2,DA28,0),IF($B$36=2,DA56,0),IF($B$64=2,DA84,0))</x:f>
      </x:c>
      <x:c r="DB104" s="107" t="n">
        <x:f>SUM(IF($B$8=2,DB28,0),IF($B$36=2,DB56,0),IF($B$64=2,DB84,0))</x:f>
      </x:c>
      <x:c r="DC104" s="107" t="n">
        <x:f>SUM(IF($B$8=2,DC28,0),IF($B$36=2,DC56,0),IF($B$64=2,DC84,0))</x:f>
      </x:c>
      <x:c r="DD104" s="107" t="n">
        <x:f>SUM(IF($B$8=2,DD28,0),IF($B$36=2,DD56,0),IF($B$64=2,DD84,0))</x:f>
      </x:c>
      <x:c r="DE104" s="107" t="n">
        <x:f>SUM(IF($B$8=2,DE28,0),IF($B$36=2,DE56,0),IF($B$64=2,DE84,0))</x:f>
      </x:c>
      <x:c r="DF104" s="107" t="n">
        <x:f>SUM(IF($B$8=2,DF28,0),IF($B$36=2,DF56,0),IF($B$64=2,DF84,0))</x:f>
      </x:c>
      <x:c r="DG104" s="107" t="n">
        <x:f>SUM(IF($B$8=2,DG28,0),IF($B$36=2,DG56,0),IF($B$64=2,DG84,0))</x:f>
      </x:c>
      <x:c r="DH104" s="107" t="n">
        <x:f>SUM(IF($B$8=2,DH28,0),IF($B$36=2,DH56,0),IF($B$64=2,DH84,0))</x:f>
      </x:c>
      <x:c r="DI104" s="107" t="n">
        <x:f>SUM(IF($B$8=2,DI28,0),IF($B$36=2,DI56,0),IF($B$64=2,DI84,0))</x:f>
      </x:c>
      <x:c r="DJ104" s="107" t="n">
        <x:f>SUM(IF($B$8=2,DJ28,0),IF($B$36=2,DJ56,0),IF($B$64=2,DJ84,0))</x:f>
      </x:c>
      <x:c r="DK104" s="107" t="n">
        <x:f>SUM(IF($B$8=2,DK28,0),IF($B$36=2,DK56,0),IF($B$64=2,DK84,0))</x:f>
      </x:c>
      <x:c r="DL104" s="107" t="n">
        <x:f>SUM(IF($B$8=2,DL28,0),IF($B$36=2,DL56,0),IF($B$64=2,DL84,0))</x:f>
      </x:c>
      <x:c r="DM104" s="107" t="n">
        <x:f>SUM(IF($B$8=2,DM28,0),IF($B$36=2,DM56,0),IF($B$64=2,DM84,0))</x:f>
      </x:c>
      <x:c r="DN104" s="107" t="n">
        <x:f>SUM(IF($B$8=2,DN28,0),IF($B$36=2,DN56,0),IF($B$64=2,DN84,0))</x:f>
      </x:c>
      <x:c r="DO104" s="107" t="n">
        <x:f>SUM(IF($B$8=2,DO28,0),IF($B$36=2,DO56,0),IF($B$64=2,DO84,0))</x:f>
      </x:c>
      <x:c r="DP104" s="107" t="n">
        <x:f>SUM(IF($B$8=2,DP28,0),IF($B$36=2,DP56,0),IF($B$64=2,DP84,0))</x:f>
      </x:c>
      <x:c r="DQ104" s="107" t="n">
        <x:f>SUM(IF($B$8=2,DQ28,0),IF($B$36=2,DQ56,0),IF($B$64=2,DQ84,0))</x:f>
      </x:c>
      <x:c r="DR104" s="107" t="n">
        <x:f>SUM(IF($B$8=2,DR28,0),IF($B$36=2,DR56,0),IF($B$64=2,DR84,0))</x:f>
      </x:c>
      <x:c r="DS104" s="107" t="n">
        <x:f>SUM(IF($B$8=2,DS28,0),IF($B$36=2,DS56,0),IF($B$64=2,DS84,0))</x:f>
      </x:c>
      <x:c r="DT104" s="107" t="n">
        <x:f>SUM(IF($B$8=2,DT28,0),IF($B$36=2,DT56,0),IF($B$64=2,DT84,0))</x:f>
      </x:c>
      <x:c r="DU104" s="107" t="n">
        <x:f>SUM(IF($B$8=2,DU28,0),IF($B$36=2,DU56,0),IF($B$64=2,DU84,0))</x:f>
      </x:c>
      <x:c r="DV104" s="107" t="n">
        <x:f>SUM(IF($B$8=2,DV28,0),IF($B$36=2,DV56,0),IF($B$64=2,DV84,0))</x:f>
      </x:c>
      <x:c r="DW104" s="107" t="n">
        <x:f>SUM(IF($B$8=2,DW28,0),IF($B$36=2,DW56,0),IF($B$64=2,DW84,0))</x:f>
      </x:c>
      <x:c r="DX104" s="107" t="n">
        <x:f>SUM(IF($B$8=2,DX28,0),IF($B$36=2,DX56,0),IF($B$64=2,DX84,0))</x:f>
      </x:c>
      <x:c r="DY104" s="107" t="n">
        <x:f>SUM(IF($B$8=2,DY28,0),IF($B$36=2,DY56,0),IF($B$64=2,DY84,0))</x:f>
      </x:c>
      <x:c r="DZ104" s="107" t="n">
        <x:f>SUM(IF($B$8=2,DZ28,0),IF($B$36=2,DZ56,0),IF($B$64=2,DZ84,0))</x:f>
      </x:c>
      <x:c r="EA104" s="107" t="n">
        <x:f>SUM(IF($B$8=2,EA28,0),IF($B$36=2,EA56,0),IF($B$64=2,EA84,0))</x:f>
      </x:c>
      <x:c r="EB104" s="107" t="n">
        <x:f>SUM(IF($B$8=2,EB28,0),IF($B$36=2,EB56,0),IF($B$64=2,EB84,0))</x:f>
      </x:c>
      <x:c r="EC104" s="107" t="n">
        <x:f>SUM(IF($B$8=2,EC28,0),IF($B$36=2,EC56,0),IF($B$64=2,EC84,0))</x:f>
      </x:c>
      <x:c r="ED104" s="107" t="n">
        <x:f>SUM(IF($B$8=2,ED28,0),IF($B$36=2,ED56,0),IF($B$64=2,ED84,0))</x:f>
      </x:c>
      <x:c r="EE104" s="107" t="n">
        <x:f>SUM(IF($B$8=2,EE28,0),IF($B$36=2,EE56,0),IF($B$64=2,EE84,0))</x:f>
      </x:c>
      <x:c r="EF104" s="107" t="n">
        <x:f>SUM(IF($B$8=2,EF28,0),IF($B$36=2,EF56,0),IF($B$64=2,EF84,0))</x:f>
      </x:c>
      <x:c r="EG104" s="107" t="n">
        <x:f>SUM(IF($B$8=2,EG28,0),IF($B$36=2,EG56,0),IF($B$64=2,EG84,0))</x:f>
      </x:c>
      <x:c r="EH104" s="107" t="n">
        <x:f>SUM(IF($B$8=2,EH28,0),IF($B$36=2,EH56,0),IF($B$64=2,EH84,0))</x:f>
      </x:c>
      <x:c r="EI104" s="107" t="n">
        <x:f>SUM(IF($B$8=2,EI28,0),IF($B$36=2,EI56,0),IF($B$64=2,EI84,0))</x:f>
      </x:c>
      <x:c r="EJ104" s="107" t="n">
        <x:f>SUM(IF($B$8=2,EJ28,0),IF($B$36=2,EJ56,0),IF($B$64=2,EJ84,0))</x:f>
      </x:c>
      <x:c r="EK104" s="107" t="n">
        <x:f>SUM(IF($B$8=2,EK28,0),IF($B$36=2,EK56,0),IF($B$64=2,EK84,0))</x:f>
      </x:c>
      <x:c r="EL104" s="107" t="n">
        <x:f>SUM(IF($B$8=2,EL28,0),IF($B$36=2,EL56,0),IF($B$64=2,EL84,0))</x:f>
      </x:c>
      <x:c r="EM104" s="107" t="n">
        <x:f>SUM(IF($B$8=2,EM28,0),IF($B$36=2,EM56,0),IF($B$64=2,EM84,0))</x:f>
      </x:c>
      <x:c r="EN104" s="107" t="n">
        <x:f>SUM(IF($B$8=2,EN28,0),IF($B$36=2,EN56,0),IF($B$64=2,EN84,0))</x:f>
      </x:c>
      <x:c r="EO104" s="107" t="n">
        <x:f>SUM(IF($B$8=2,EO28,0),IF($B$36=2,EO56,0),IF($B$64=2,EO84,0))</x:f>
      </x:c>
      <x:c r="EP104" s="107" t="n">
        <x:f>SUM(IF($B$8=2,EP28,0),IF($B$36=2,EP56,0),IF($B$64=2,EP84,0))</x:f>
      </x:c>
      <x:c r="EQ104" s="107" t="n">
        <x:f>SUM(IF($B$8=2,EQ28,0),IF($B$36=2,EQ56,0),IF($B$64=2,EQ84,0))</x:f>
      </x:c>
      <x:c r="ER104" s="107" t="n">
        <x:f>SUM(IF($B$8=2,ER28,0),IF($B$36=2,ER56,0),IF($B$64=2,ER84,0))</x:f>
      </x:c>
      <x:c r="ES104" s="107" t="n">
        <x:f>SUM(IF($B$8=2,ES28,0),IF($B$36=2,ES56,0),IF($B$64=2,ES84,0))</x:f>
      </x:c>
      <x:c r="ET104" s="107" t="n">
        <x:f>SUM(IF($B$8=2,ET28,0),IF($B$36=2,ET56,0),IF($B$64=2,ET84,0))</x:f>
      </x:c>
      <x:c r="EU104" s="107" t="n">
        <x:f>SUM(IF($B$8=2,EU28,0),IF($B$36=2,EU56,0),IF($B$64=2,EU84,0))</x:f>
      </x:c>
      <x:c r="EV104" s="107" t="n">
        <x:f>SUM(IF($B$8=2,EV28,0),IF($B$36=2,EV56,0),IF($B$64=2,EV84,0))</x:f>
      </x:c>
      <x:c r="EW104" s="107" t="n">
        <x:f>SUM(IF($B$8=2,EW28,0),IF($B$36=2,EW56,0),IF($B$64=2,EW84,0))</x:f>
      </x:c>
      <x:c r="EX104" s="107" t="n">
        <x:f>SUM(IF($B$8=2,EX28,0),IF($B$36=2,EX56,0),IF($B$64=2,EX84,0))</x:f>
      </x:c>
      <x:c r="EY104" s="107" t="n">
        <x:f>SUM(IF($B$8=2,EY28,0),IF($B$36=2,EY56,0),IF($B$64=2,EY84,0))</x:f>
      </x:c>
      <x:c r="EZ104" s="107" t="n">
        <x:f>SUM(IF($B$8=2,EZ28,0),IF($B$36=2,EZ56,0),IF($B$64=2,EZ84,0))</x:f>
      </x:c>
      <x:c r="FA104" s="107" t="n">
        <x:f>SUM(IF($B$8=2,FA28,0),IF($B$36=2,FA56,0),IF($B$64=2,FA84,0))</x:f>
      </x:c>
      <x:c r="FB104" s="107" t="n">
        <x:f>SUM(IF($B$8=2,FB28,0),IF($B$36=2,FB56,0),IF($B$64=2,FB84,0))</x:f>
      </x:c>
      <x:c r="FC104" s="107" t="n">
        <x:f>SUM(IF($B$8=2,FC28,0),IF($B$36=2,FC56,0),IF($B$64=2,FC84,0))</x:f>
      </x:c>
      <x:c r="FD104" s="107" t="n">
        <x:f>SUM(IF($B$8=2,FD28,0),IF($B$36=2,FD56,0),IF($B$64=2,FD84,0))</x:f>
      </x:c>
      <x:c r="FE104" s="107" t="n">
        <x:f>SUM(IF($B$8=2,FE28,0),IF($B$36=2,FE56,0),IF($B$64=2,FE84,0))</x:f>
      </x:c>
      <x:c r="FF104" s="107" t="n">
        <x:f>SUM(IF($B$8=2,FF28,0),IF($B$36=2,FF56,0),IF($B$64=2,FF84,0))</x:f>
      </x:c>
      <x:c r="FG104" s="107" t="n">
        <x:f>SUM(IF($B$8=2,FG28,0),IF($B$36=2,FG56,0),IF($B$64=2,FG84,0))</x:f>
      </x:c>
      <x:c r="FH104" s="107" t="n">
        <x:f>SUM(IF($B$8=2,FH28,0),IF($B$36=2,FH56,0),IF($B$64=2,FH84,0))</x:f>
      </x:c>
      <x:c r="FI104" s="107" t="n">
        <x:f>SUM(IF($B$8=2,FI28,0),IF($B$36=2,FI56,0),IF($B$64=2,FI84,0))</x:f>
      </x:c>
      <x:c r="FJ104" s="107" t="n">
        <x:f>SUM(IF($B$8=2,FJ28,0),IF($B$36=2,FJ56,0),IF($B$64=2,FJ84,0))</x:f>
      </x:c>
      <x:c r="FK104" s="107" t="n">
        <x:f>SUM(IF($B$8=2,FK28,0),IF($B$36=2,FK56,0),IF($B$64=2,FK84,0))</x:f>
      </x:c>
      <x:c r="FL104" s="107" t="n">
        <x:f>SUM(IF($B$8=2,FL28,0),IF($B$36=2,FL56,0),IF($B$64=2,FL84,0))</x:f>
      </x:c>
      <x:c r="FM104" s="107" t="n">
        <x:f>SUM(IF($B$8=2,FM28,0),IF($B$36=2,FM56,0),IF($B$64=2,FM84,0))</x:f>
      </x:c>
      <x:c r="FN104" s="107" t="n">
        <x:f>SUM(IF($B$8=2,FN28,0),IF($B$36=2,FN56,0),IF($B$64=2,FN84,0))</x:f>
      </x:c>
      <x:c r="FO104" s="107" t="n">
        <x:f>SUM(IF($B$8=2,FO28,0),IF($B$36=2,FO56,0),IF($B$64=2,FO84,0))</x:f>
      </x:c>
      <x:c r="FP104" s="107" t="n">
        <x:f>SUM(IF($B$8=2,FP28,0),IF($B$36=2,FP56,0),IF($B$64=2,FP84,0))</x:f>
      </x:c>
      <x:c r="FQ104" s="107" t="n">
        <x:f>SUM(IF($B$8=2,FQ28,0),IF($B$36=2,FQ56,0),IF($B$64=2,FQ84,0))</x:f>
      </x:c>
      <x:c r="FR104" s="107" t="n">
        <x:f>SUM(IF($B$8=2,FR28,0),IF($B$36=2,FR56,0),IF($B$64=2,FR84,0))</x:f>
      </x:c>
      <x:c r="FS104" s="107" t="n">
        <x:f>SUM(IF($B$8=2,FS28,0),IF($B$36=2,FS56,0),IF($B$64=2,FS84,0))</x:f>
      </x:c>
      <x:c r="FT104" s="107" t="n">
        <x:f>SUM(IF($B$8=2,FT28,0),IF($B$36=2,FT56,0),IF($B$64=2,FT84,0))</x:f>
      </x:c>
      <x:c r="FU104" s="107" t="n">
        <x:f>SUM(IF($B$8=2,FU28,0),IF($B$36=2,FU56,0),IF($B$64=2,FU84,0))</x:f>
      </x:c>
      <x:c r="FV104" s="107" t="n">
        <x:f>SUM(IF($B$8=2,FV28,0),IF($B$36=2,FV56,0),IF($B$64=2,FV84,0))</x:f>
      </x:c>
      <x:c r="FW104" s="107" t="n">
        <x:f>SUM(IF($B$8=2,FW28,0),IF($B$36=2,FW56,0),IF($B$64=2,FW84,0))</x:f>
      </x:c>
      <x:c r="FX104" s="107" t="n">
        <x:f>SUM(IF($B$8=2,FX28,0),IF($B$36=2,FX56,0),IF($B$64=2,FX84,0))</x:f>
      </x:c>
      <x:c r="FY104" s="107" t="n">
        <x:f>SUM(IF($B$8=2,FY28,0),IF($B$36=2,FY56,0),IF($B$64=2,FY84,0))</x:f>
      </x:c>
      <x:c r="FZ104" s="107" t="n">
        <x:f>SUM(IF($B$8=2,FZ28,0),IF($B$36=2,FZ56,0),IF($B$64=2,FZ84,0))</x:f>
      </x:c>
      <x:c r="GA104" s="107" t="n">
        <x:f>SUM(IF($B$8=2,GA28,0),IF($B$36=2,GA56,0),IF($B$64=2,GA84,0))</x:f>
      </x:c>
    </x:row>
    <x:row r="105">
      <x:c r="A105" t="str">
        <x:v>Очередь 2 — Маркетинг объектов</x:v>
      </x:c>
      <x:c r="B105" s="107" t="n">
        <x:f>SUM(D105:GA105)</x:f>
      </x:c>
      <x:c r="C105" t="str">
        <x:v>млн ₽</x:v>
      </x:c>
      <x:c r="D105" s="107" t="n">
        <x:f>SUM(IF($B$8=2,D29,0),IF($B$36=2,D57,0),IF($B$64=2,D85,0))</x:f>
      </x:c>
      <x:c r="E105" s="107" t="n">
        <x:f>SUM(IF($B$8=2,E29,0),IF($B$36=2,E57,0),IF($B$64=2,E85,0))</x:f>
      </x:c>
      <x:c r="F105" s="107" t="n">
        <x:f>SUM(IF($B$8=2,F29,0),IF($B$36=2,F57,0),IF($B$64=2,F85,0))</x:f>
      </x:c>
      <x:c r="G105" s="107" t="n">
        <x:f>SUM(IF($B$8=2,G29,0),IF($B$36=2,G57,0),IF($B$64=2,G85,0))</x:f>
      </x:c>
      <x:c r="H105" s="107" t="n">
        <x:f>SUM(IF($B$8=2,H29,0),IF($B$36=2,H57,0),IF($B$64=2,H85,0))</x:f>
      </x:c>
      <x:c r="I105" s="107" t="n">
        <x:f>SUM(IF($B$8=2,I29,0),IF($B$36=2,I57,0),IF($B$64=2,I85,0))</x:f>
      </x:c>
      <x:c r="J105" s="107" t="n">
        <x:f>SUM(IF($B$8=2,J29,0),IF($B$36=2,J57,0),IF($B$64=2,J85,0))</x:f>
      </x:c>
      <x:c r="K105" s="107" t="n">
        <x:f>SUM(IF($B$8=2,K29,0),IF($B$36=2,K57,0),IF($B$64=2,K85,0))</x:f>
      </x:c>
      <x:c r="L105" s="107" t="n">
        <x:f>SUM(IF($B$8=2,L29,0),IF($B$36=2,L57,0),IF($B$64=2,L85,0))</x:f>
      </x:c>
      <x:c r="M105" s="107" t="n">
        <x:f>SUM(IF($B$8=2,M29,0),IF($B$36=2,M57,0),IF($B$64=2,M85,0))</x:f>
      </x:c>
      <x:c r="N105" s="107" t="n">
        <x:f>SUM(IF($B$8=2,N29,0),IF($B$36=2,N57,0),IF($B$64=2,N85,0))</x:f>
      </x:c>
      <x:c r="O105" s="107" t="n">
        <x:f>SUM(IF($B$8=2,O29,0),IF($B$36=2,O57,0),IF($B$64=2,O85,0))</x:f>
      </x:c>
      <x:c r="P105" s="107" t="n">
        <x:f>SUM(IF($B$8=2,P29,0),IF($B$36=2,P57,0),IF($B$64=2,P85,0))</x:f>
      </x:c>
      <x:c r="Q105" s="107" t="n">
        <x:f>SUM(IF($B$8=2,Q29,0),IF($B$36=2,Q57,0),IF($B$64=2,Q85,0))</x:f>
      </x:c>
      <x:c r="R105" s="107" t="n">
        <x:f>SUM(IF($B$8=2,R29,0),IF($B$36=2,R57,0),IF($B$64=2,R85,0))</x:f>
      </x:c>
      <x:c r="S105" s="107" t="n">
        <x:f>SUM(IF($B$8=2,S29,0),IF($B$36=2,S57,0),IF($B$64=2,S85,0))</x:f>
      </x:c>
      <x:c r="T105" s="107" t="n">
        <x:f>SUM(IF($B$8=2,T29,0),IF($B$36=2,T57,0),IF($B$64=2,T85,0))</x:f>
      </x:c>
      <x:c r="U105" s="107" t="n">
        <x:f>SUM(IF($B$8=2,U29,0),IF($B$36=2,U57,0),IF($B$64=2,U85,0))</x:f>
      </x:c>
      <x:c r="V105" s="107" t="n">
        <x:f>SUM(IF($B$8=2,V29,0),IF($B$36=2,V57,0),IF($B$64=2,V85,0))</x:f>
      </x:c>
      <x:c r="W105" s="107" t="n">
        <x:f>SUM(IF($B$8=2,W29,0),IF($B$36=2,W57,0),IF($B$64=2,W85,0))</x:f>
      </x:c>
      <x:c r="X105" s="107" t="n">
        <x:f>SUM(IF($B$8=2,X29,0),IF($B$36=2,X57,0),IF($B$64=2,X85,0))</x:f>
      </x:c>
      <x:c r="Y105" s="107" t="n">
        <x:f>SUM(IF($B$8=2,Y29,0),IF($B$36=2,Y57,0),IF($B$64=2,Y85,0))</x:f>
      </x:c>
      <x:c r="Z105" s="107" t="n">
        <x:f>SUM(IF($B$8=2,Z29,0),IF($B$36=2,Z57,0),IF($B$64=2,Z85,0))</x:f>
      </x:c>
      <x:c r="AA105" s="107" t="n">
        <x:f>SUM(IF($B$8=2,AA29,0),IF($B$36=2,AA57,0),IF($B$64=2,AA85,0))</x:f>
      </x:c>
      <x:c r="AB105" s="107" t="n">
        <x:f>SUM(IF($B$8=2,AB29,0),IF($B$36=2,AB57,0),IF($B$64=2,AB85,0))</x:f>
      </x:c>
      <x:c r="AC105" s="107" t="n">
        <x:f>SUM(IF($B$8=2,AC29,0),IF($B$36=2,AC57,0),IF($B$64=2,AC85,0))</x:f>
      </x:c>
      <x:c r="AD105" s="107" t="n">
        <x:f>SUM(IF($B$8=2,AD29,0),IF($B$36=2,AD57,0),IF($B$64=2,AD85,0))</x:f>
      </x:c>
      <x:c r="AE105" s="107" t="n">
        <x:f>SUM(IF($B$8=2,AE29,0),IF($B$36=2,AE57,0),IF($B$64=2,AE85,0))</x:f>
      </x:c>
      <x:c r="AF105" s="107" t="n">
        <x:f>SUM(IF($B$8=2,AF29,0),IF($B$36=2,AF57,0),IF($B$64=2,AF85,0))</x:f>
      </x:c>
      <x:c r="AG105" s="107" t="n">
        <x:f>SUM(IF($B$8=2,AG29,0),IF($B$36=2,AG57,0),IF($B$64=2,AG85,0))</x:f>
      </x:c>
      <x:c r="AH105" s="107" t="n">
        <x:f>SUM(IF($B$8=2,AH29,0),IF($B$36=2,AH57,0),IF($B$64=2,AH85,0))</x:f>
      </x:c>
      <x:c r="AI105" s="107" t="n">
        <x:f>SUM(IF($B$8=2,AI29,0),IF($B$36=2,AI57,0),IF($B$64=2,AI85,0))</x:f>
      </x:c>
      <x:c r="AJ105" s="107" t="n">
        <x:f>SUM(IF($B$8=2,AJ29,0),IF($B$36=2,AJ57,0),IF($B$64=2,AJ85,0))</x:f>
      </x:c>
      <x:c r="AK105" s="107" t="n">
        <x:f>SUM(IF($B$8=2,AK29,0),IF($B$36=2,AK57,0),IF($B$64=2,AK85,0))</x:f>
      </x:c>
      <x:c r="AL105" s="107" t="n">
        <x:f>SUM(IF($B$8=2,AL29,0),IF($B$36=2,AL57,0),IF($B$64=2,AL85,0))</x:f>
      </x:c>
      <x:c r="AM105" s="107" t="n">
        <x:f>SUM(IF($B$8=2,AM29,0),IF($B$36=2,AM57,0),IF($B$64=2,AM85,0))</x:f>
      </x:c>
      <x:c r="AN105" s="107" t="n">
        <x:f>SUM(IF($B$8=2,AN29,0),IF($B$36=2,AN57,0),IF($B$64=2,AN85,0))</x:f>
      </x:c>
      <x:c r="AO105" s="107" t="n">
        <x:f>SUM(IF($B$8=2,AO29,0),IF($B$36=2,AO57,0),IF($B$64=2,AO85,0))</x:f>
      </x:c>
      <x:c r="AP105" s="107" t="n">
        <x:f>SUM(IF($B$8=2,AP29,0),IF($B$36=2,AP57,0),IF($B$64=2,AP85,0))</x:f>
      </x:c>
      <x:c r="AQ105" s="107" t="n">
        <x:f>SUM(IF($B$8=2,AQ29,0),IF($B$36=2,AQ57,0),IF($B$64=2,AQ85,0))</x:f>
      </x:c>
      <x:c r="AR105" s="107" t="n">
        <x:f>SUM(IF($B$8=2,AR29,0),IF($B$36=2,AR57,0),IF($B$64=2,AR85,0))</x:f>
      </x:c>
      <x:c r="AS105" s="107" t="n">
        <x:f>SUM(IF($B$8=2,AS29,0),IF($B$36=2,AS57,0),IF($B$64=2,AS85,0))</x:f>
      </x:c>
      <x:c r="AT105" s="107" t="n">
        <x:f>SUM(IF($B$8=2,AT29,0),IF($B$36=2,AT57,0),IF($B$64=2,AT85,0))</x:f>
      </x:c>
      <x:c r="AU105" s="107" t="n">
        <x:f>SUM(IF($B$8=2,AU29,0),IF($B$36=2,AU57,0),IF($B$64=2,AU85,0))</x:f>
      </x:c>
      <x:c r="AV105" s="107" t="n">
        <x:f>SUM(IF($B$8=2,AV29,0),IF($B$36=2,AV57,0),IF($B$64=2,AV85,0))</x:f>
      </x:c>
      <x:c r="AW105" s="107" t="n">
        <x:f>SUM(IF($B$8=2,AW29,0),IF($B$36=2,AW57,0),IF($B$64=2,AW85,0))</x:f>
      </x:c>
      <x:c r="AX105" s="107" t="n">
        <x:f>SUM(IF($B$8=2,AX29,0),IF($B$36=2,AX57,0),IF($B$64=2,AX85,0))</x:f>
      </x:c>
      <x:c r="AY105" s="107" t="n">
        <x:f>SUM(IF($B$8=2,AY29,0),IF($B$36=2,AY57,0),IF($B$64=2,AY85,0))</x:f>
      </x:c>
      <x:c r="AZ105" s="107" t="n">
        <x:f>SUM(IF($B$8=2,AZ29,0),IF($B$36=2,AZ57,0),IF($B$64=2,AZ85,0))</x:f>
      </x:c>
      <x:c r="BA105" s="107" t="n">
        <x:f>SUM(IF($B$8=2,BA29,0),IF($B$36=2,BA57,0),IF($B$64=2,BA85,0))</x:f>
      </x:c>
      <x:c r="BB105" s="107" t="n">
        <x:f>SUM(IF($B$8=2,BB29,0),IF($B$36=2,BB57,0),IF($B$64=2,BB85,0))</x:f>
      </x:c>
      <x:c r="BC105" s="107" t="n">
        <x:f>SUM(IF($B$8=2,BC29,0),IF($B$36=2,BC57,0),IF($B$64=2,BC85,0))</x:f>
      </x:c>
      <x:c r="BD105" s="107" t="n">
        <x:f>SUM(IF($B$8=2,BD29,0),IF($B$36=2,BD57,0),IF($B$64=2,BD85,0))</x:f>
      </x:c>
      <x:c r="BE105" s="107" t="n">
        <x:f>SUM(IF($B$8=2,BE29,0),IF($B$36=2,BE57,0),IF($B$64=2,BE85,0))</x:f>
      </x:c>
      <x:c r="BF105" s="107" t="n">
        <x:f>SUM(IF($B$8=2,BF29,0),IF($B$36=2,BF57,0),IF($B$64=2,BF85,0))</x:f>
      </x:c>
      <x:c r="BG105" s="107" t="n">
        <x:f>SUM(IF($B$8=2,BG29,0),IF($B$36=2,BG57,0),IF($B$64=2,BG85,0))</x:f>
      </x:c>
      <x:c r="BH105" s="107" t="n">
        <x:f>SUM(IF($B$8=2,BH29,0),IF($B$36=2,BH57,0),IF($B$64=2,BH85,0))</x:f>
      </x:c>
      <x:c r="BI105" s="107" t="n">
        <x:f>SUM(IF($B$8=2,BI29,0),IF($B$36=2,BI57,0),IF($B$64=2,BI85,0))</x:f>
      </x:c>
      <x:c r="BJ105" s="107" t="n">
        <x:f>SUM(IF($B$8=2,BJ29,0),IF($B$36=2,BJ57,0),IF($B$64=2,BJ85,0))</x:f>
      </x:c>
      <x:c r="BK105" s="107" t="n">
        <x:f>SUM(IF($B$8=2,BK29,0),IF($B$36=2,BK57,0),IF($B$64=2,BK85,0))</x:f>
      </x:c>
      <x:c r="BL105" s="107" t="n">
        <x:f>SUM(IF($B$8=2,BL29,0),IF($B$36=2,BL57,0),IF($B$64=2,BL85,0))</x:f>
      </x:c>
      <x:c r="BM105" s="107" t="n">
        <x:f>SUM(IF($B$8=2,BM29,0),IF($B$36=2,BM57,0),IF($B$64=2,BM85,0))</x:f>
      </x:c>
      <x:c r="BN105" s="107" t="n">
        <x:f>SUM(IF($B$8=2,BN29,0),IF($B$36=2,BN57,0),IF($B$64=2,BN85,0))</x:f>
      </x:c>
      <x:c r="BO105" s="107" t="n">
        <x:f>SUM(IF($B$8=2,BO29,0),IF($B$36=2,BO57,0),IF($B$64=2,BO85,0))</x:f>
      </x:c>
      <x:c r="BP105" s="107" t="n">
        <x:f>SUM(IF($B$8=2,BP29,0),IF($B$36=2,BP57,0),IF($B$64=2,BP85,0))</x:f>
      </x:c>
      <x:c r="BQ105" s="107" t="n">
        <x:f>SUM(IF($B$8=2,BQ29,0),IF($B$36=2,BQ57,0),IF($B$64=2,BQ85,0))</x:f>
      </x:c>
      <x:c r="BR105" s="107" t="n">
        <x:f>SUM(IF($B$8=2,BR29,0),IF($B$36=2,BR57,0),IF($B$64=2,BR85,0))</x:f>
      </x:c>
      <x:c r="BS105" s="107" t="n">
        <x:f>SUM(IF($B$8=2,BS29,0),IF($B$36=2,BS57,0),IF($B$64=2,BS85,0))</x:f>
      </x:c>
      <x:c r="BT105" s="107" t="n">
        <x:f>SUM(IF($B$8=2,BT29,0),IF($B$36=2,BT57,0),IF($B$64=2,BT85,0))</x:f>
      </x:c>
      <x:c r="BU105" s="107" t="n">
        <x:f>SUM(IF($B$8=2,BU29,0),IF($B$36=2,BU57,0),IF($B$64=2,BU85,0))</x:f>
      </x:c>
      <x:c r="BV105" s="107" t="n">
        <x:f>SUM(IF($B$8=2,BV29,0),IF($B$36=2,BV57,0),IF($B$64=2,BV85,0))</x:f>
      </x:c>
      <x:c r="BW105" s="107" t="n">
        <x:f>SUM(IF($B$8=2,BW29,0),IF($B$36=2,BW57,0),IF($B$64=2,BW85,0))</x:f>
      </x:c>
      <x:c r="BX105" s="107" t="n">
        <x:f>SUM(IF($B$8=2,BX29,0),IF($B$36=2,BX57,0),IF($B$64=2,BX85,0))</x:f>
      </x:c>
      <x:c r="BY105" s="107" t="n">
        <x:f>SUM(IF($B$8=2,BY29,0),IF($B$36=2,BY57,0),IF($B$64=2,BY85,0))</x:f>
      </x:c>
      <x:c r="BZ105" s="107" t="n">
        <x:f>SUM(IF($B$8=2,BZ29,0),IF($B$36=2,BZ57,0),IF($B$64=2,BZ85,0))</x:f>
      </x:c>
      <x:c r="CA105" s="107" t="n">
        <x:f>SUM(IF($B$8=2,CA29,0),IF($B$36=2,CA57,0),IF($B$64=2,CA85,0))</x:f>
      </x:c>
      <x:c r="CB105" s="107" t="n">
        <x:f>SUM(IF($B$8=2,CB29,0),IF($B$36=2,CB57,0),IF($B$64=2,CB85,0))</x:f>
      </x:c>
      <x:c r="CC105" s="107" t="n">
        <x:f>SUM(IF($B$8=2,CC29,0),IF($B$36=2,CC57,0),IF($B$64=2,CC85,0))</x:f>
      </x:c>
      <x:c r="CD105" s="107" t="n">
        <x:f>SUM(IF($B$8=2,CD29,0),IF($B$36=2,CD57,0),IF($B$64=2,CD85,0))</x:f>
      </x:c>
      <x:c r="CE105" s="107" t="n">
        <x:f>SUM(IF($B$8=2,CE29,0),IF($B$36=2,CE57,0),IF($B$64=2,CE85,0))</x:f>
      </x:c>
      <x:c r="CF105" s="107" t="n">
        <x:f>SUM(IF($B$8=2,CF29,0),IF($B$36=2,CF57,0),IF($B$64=2,CF85,0))</x:f>
      </x:c>
      <x:c r="CG105" s="107" t="n">
        <x:f>SUM(IF($B$8=2,CG29,0),IF($B$36=2,CG57,0),IF($B$64=2,CG85,0))</x:f>
      </x:c>
      <x:c r="CH105" s="107" t="n">
        <x:f>SUM(IF($B$8=2,CH29,0),IF($B$36=2,CH57,0),IF($B$64=2,CH85,0))</x:f>
      </x:c>
      <x:c r="CI105" s="107" t="n">
        <x:f>SUM(IF($B$8=2,CI29,0),IF($B$36=2,CI57,0),IF($B$64=2,CI85,0))</x:f>
      </x:c>
      <x:c r="CJ105" s="107" t="n">
        <x:f>SUM(IF($B$8=2,CJ29,0),IF($B$36=2,CJ57,0),IF($B$64=2,CJ85,0))</x:f>
      </x:c>
      <x:c r="CK105" s="107" t="n">
        <x:f>SUM(IF($B$8=2,CK29,0),IF($B$36=2,CK57,0),IF($B$64=2,CK85,0))</x:f>
      </x:c>
      <x:c r="CL105" s="107" t="n">
        <x:f>SUM(IF($B$8=2,CL29,0),IF($B$36=2,CL57,0),IF($B$64=2,CL85,0))</x:f>
      </x:c>
      <x:c r="CM105" s="107" t="n">
        <x:f>SUM(IF($B$8=2,CM29,0),IF($B$36=2,CM57,0),IF($B$64=2,CM85,0))</x:f>
      </x:c>
      <x:c r="CN105" s="107" t="n">
        <x:f>SUM(IF($B$8=2,CN29,0),IF($B$36=2,CN57,0),IF($B$64=2,CN85,0))</x:f>
      </x:c>
      <x:c r="CO105" s="107" t="n">
        <x:f>SUM(IF($B$8=2,CO29,0),IF($B$36=2,CO57,0),IF($B$64=2,CO85,0))</x:f>
      </x:c>
      <x:c r="CP105" s="107" t="n">
        <x:f>SUM(IF($B$8=2,CP29,0),IF($B$36=2,CP57,0),IF($B$64=2,CP85,0))</x:f>
      </x:c>
      <x:c r="CQ105" s="107" t="n">
        <x:f>SUM(IF($B$8=2,CQ29,0),IF($B$36=2,CQ57,0),IF($B$64=2,CQ85,0))</x:f>
      </x:c>
      <x:c r="CR105" s="107" t="n">
        <x:f>SUM(IF($B$8=2,CR29,0),IF($B$36=2,CR57,0),IF($B$64=2,CR85,0))</x:f>
      </x:c>
      <x:c r="CS105" s="107" t="n">
        <x:f>SUM(IF($B$8=2,CS29,0),IF($B$36=2,CS57,0),IF($B$64=2,CS85,0))</x:f>
      </x:c>
      <x:c r="CT105" s="107" t="n">
        <x:f>SUM(IF($B$8=2,CT29,0),IF($B$36=2,CT57,0),IF($B$64=2,CT85,0))</x:f>
      </x:c>
      <x:c r="CU105" s="107" t="n">
        <x:f>SUM(IF($B$8=2,CU29,0),IF($B$36=2,CU57,0),IF($B$64=2,CU85,0))</x:f>
      </x:c>
      <x:c r="CV105" s="107" t="n">
        <x:f>SUM(IF($B$8=2,CV29,0),IF($B$36=2,CV57,0),IF($B$64=2,CV85,0))</x:f>
      </x:c>
      <x:c r="CW105" s="107" t="n">
        <x:f>SUM(IF($B$8=2,CW29,0),IF($B$36=2,CW57,0),IF($B$64=2,CW85,0))</x:f>
      </x:c>
      <x:c r="CX105" s="107" t="n">
        <x:f>SUM(IF($B$8=2,CX29,0),IF($B$36=2,CX57,0),IF($B$64=2,CX85,0))</x:f>
      </x:c>
      <x:c r="CY105" s="107" t="n">
        <x:f>SUM(IF($B$8=2,CY29,0),IF($B$36=2,CY57,0),IF($B$64=2,CY85,0))</x:f>
      </x:c>
      <x:c r="CZ105" s="107" t="n">
        <x:f>SUM(IF($B$8=2,CZ29,0),IF($B$36=2,CZ57,0),IF($B$64=2,CZ85,0))</x:f>
      </x:c>
      <x:c r="DA105" s="107" t="n">
        <x:f>SUM(IF($B$8=2,DA29,0),IF($B$36=2,DA57,0),IF($B$64=2,DA85,0))</x:f>
      </x:c>
      <x:c r="DB105" s="107" t="n">
        <x:f>SUM(IF($B$8=2,DB29,0),IF($B$36=2,DB57,0),IF($B$64=2,DB85,0))</x:f>
      </x:c>
      <x:c r="DC105" s="107" t="n">
        <x:f>SUM(IF($B$8=2,DC29,0),IF($B$36=2,DC57,0),IF($B$64=2,DC85,0))</x:f>
      </x:c>
      <x:c r="DD105" s="107" t="n">
        <x:f>SUM(IF($B$8=2,DD29,0),IF($B$36=2,DD57,0),IF($B$64=2,DD85,0))</x:f>
      </x:c>
      <x:c r="DE105" s="107" t="n">
        <x:f>SUM(IF($B$8=2,DE29,0),IF($B$36=2,DE57,0),IF($B$64=2,DE85,0))</x:f>
      </x:c>
      <x:c r="DF105" s="107" t="n">
        <x:f>SUM(IF($B$8=2,DF29,0),IF($B$36=2,DF57,0),IF($B$64=2,DF85,0))</x:f>
      </x:c>
      <x:c r="DG105" s="107" t="n">
        <x:f>SUM(IF($B$8=2,DG29,0),IF($B$36=2,DG57,0),IF($B$64=2,DG85,0))</x:f>
      </x:c>
      <x:c r="DH105" s="107" t="n">
        <x:f>SUM(IF($B$8=2,DH29,0),IF($B$36=2,DH57,0),IF($B$64=2,DH85,0))</x:f>
      </x:c>
      <x:c r="DI105" s="107" t="n">
        <x:f>SUM(IF($B$8=2,DI29,0),IF($B$36=2,DI57,0),IF($B$64=2,DI85,0))</x:f>
      </x:c>
      <x:c r="DJ105" s="107" t="n">
        <x:f>SUM(IF($B$8=2,DJ29,0),IF($B$36=2,DJ57,0),IF($B$64=2,DJ85,0))</x:f>
      </x:c>
      <x:c r="DK105" s="107" t="n">
        <x:f>SUM(IF($B$8=2,DK29,0),IF($B$36=2,DK57,0),IF($B$64=2,DK85,0))</x:f>
      </x:c>
      <x:c r="DL105" s="107" t="n">
        <x:f>SUM(IF($B$8=2,DL29,0),IF($B$36=2,DL57,0),IF($B$64=2,DL85,0))</x:f>
      </x:c>
      <x:c r="DM105" s="107" t="n">
        <x:f>SUM(IF($B$8=2,DM29,0),IF($B$36=2,DM57,0),IF($B$64=2,DM85,0))</x:f>
      </x:c>
      <x:c r="DN105" s="107" t="n">
        <x:f>SUM(IF($B$8=2,DN29,0),IF($B$36=2,DN57,0),IF($B$64=2,DN85,0))</x:f>
      </x:c>
      <x:c r="DO105" s="107" t="n">
        <x:f>SUM(IF($B$8=2,DO29,0),IF($B$36=2,DO57,0),IF($B$64=2,DO85,0))</x:f>
      </x:c>
      <x:c r="DP105" s="107" t="n">
        <x:f>SUM(IF($B$8=2,DP29,0),IF($B$36=2,DP57,0),IF($B$64=2,DP85,0))</x:f>
      </x:c>
      <x:c r="DQ105" s="107" t="n">
        <x:f>SUM(IF($B$8=2,DQ29,0),IF($B$36=2,DQ57,0),IF($B$64=2,DQ85,0))</x:f>
      </x:c>
      <x:c r="DR105" s="107" t="n">
        <x:f>SUM(IF($B$8=2,DR29,0),IF($B$36=2,DR57,0),IF($B$64=2,DR85,0))</x:f>
      </x:c>
      <x:c r="DS105" s="107" t="n">
        <x:f>SUM(IF($B$8=2,DS29,0),IF($B$36=2,DS57,0),IF($B$64=2,DS85,0))</x:f>
      </x:c>
      <x:c r="DT105" s="107" t="n">
        <x:f>SUM(IF($B$8=2,DT29,0),IF($B$36=2,DT57,0),IF($B$64=2,DT85,0))</x:f>
      </x:c>
      <x:c r="DU105" s="107" t="n">
        <x:f>SUM(IF($B$8=2,DU29,0),IF($B$36=2,DU57,0),IF($B$64=2,DU85,0))</x:f>
      </x:c>
      <x:c r="DV105" s="107" t="n">
        <x:f>SUM(IF($B$8=2,DV29,0),IF($B$36=2,DV57,0),IF($B$64=2,DV85,0))</x:f>
      </x:c>
      <x:c r="DW105" s="107" t="n">
        <x:f>SUM(IF($B$8=2,DW29,0),IF($B$36=2,DW57,0),IF($B$64=2,DW85,0))</x:f>
      </x:c>
      <x:c r="DX105" s="107" t="n">
        <x:f>SUM(IF($B$8=2,DX29,0),IF($B$36=2,DX57,0),IF($B$64=2,DX85,0))</x:f>
      </x:c>
      <x:c r="DY105" s="107" t="n">
        <x:f>SUM(IF($B$8=2,DY29,0),IF($B$36=2,DY57,0),IF($B$64=2,DY85,0))</x:f>
      </x:c>
      <x:c r="DZ105" s="107" t="n">
        <x:f>SUM(IF($B$8=2,DZ29,0),IF($B$36=2,DZ57,0),IF($B$64=2,DZ85,0))</x:f>
      </x:c>
      <x:c r="EA105" s="107" t="n">
        <x:f>SUM(IF($B$8=2,EA29,0),IF($B$36=2,EA57,0),IF($B$64=2,EA85,0))</x:f>
      </x:c>
      <x:c r="EB105" s="107" t="n">
        <x:f>SUM(IF($B$8=2,EB29,0),IF($B$36=2,EB57,0),IF($B$64=2,EB85,0))</x:f>
      </x:c>
      <x:c r="EC105" s="107" t="n">
        <x:f>SUM(IF($B$8=2,EC29,0),IF($B$36=2,EC57,0),IF($B$64=2,EC85,0))</x:f>
      </x:c>
      <x:c r="ED105" s="107" t="n">
        <x:f>SUM(IF($B$8=2,ED29,0),IF($B$36=2,ED57,0),IF($B$64=2,ED85,0))</x:f>
      </x:c>
      <x:c r="EE105" s="107" t="n">
        <x:f>SUM(IF($B$8=2,EE29,0),IF($B$36=2,EE57,0),IF($B$64=2,EE85,0))</x:f>
      </x:c>
      <x:c r="EF105" s="107" t="n">
        <x:f>SUM(IF($B$8=2,EF29,0),IF($B$36=2,EF57,0),IF($B$64=2,EF85,0))</x:f>
      </x:c>
      <x:c r="EG105" s="107" t="n">
        <x:f>SUM(IF($B$8=2,EG29,0),IF($B$36=2,EG57,0),IF($B$64=2,EG85,0))</x:f>
      </x:c>
      <x:c r="EH105" s="107" t="n">
        <x:f>SUM(IF($B$8=2,EH29,0),IF($B$36=2,EH57,0),IF($B$64=2,EH85,0))</x:f>
      </x:c>
      <x:c r="EI105" s="107" t="n">
        <x:f>SUM(IF($B$8=2,EI29,0),IF($B$36=2,EI57,0),IF($B$64=2,EI85,0))</x:f>
      </x:c>
      <x:c r="EJ105" s="107" t="n">
        <x:f>SUM(IF($B$8=2,EJ29,0),IF($B$36=2,EJ57,0),IF($B$64=2,EJ85,0))</x:f>
      </x:c>
      <x:c r="EK105" s="107" t="n">
        <x:f>SUM(IF($B$8=2,EK29,0),IF($B$36=2,EK57,0),IF($B$64=2,EK85,0))</x:f>
      </x:c>
      <x:c r="EL105" s="107" t="n">
        <x:f>SUM(IF($B$8=2,EL29,0),IF($B$36=2,EL57,0),IF($B$64=2,EL85,0))</x:f>
      </x:c>
      <x:c r="EM105" s="107" t="n">
        <x:f>SUM(IF($B$8=2,EM29,0),IF($B$36=2,EM57,0),IF($B$64=2,EM85,0))</x:f>
      </x:c>
      <x:c r="EN105" s="107" t="n">
        <x:f>SUM(IF($B$8=2,EN29,0),IF($B$36=2,EN57,0),IF($B$64=2,EN85,0))</x:f>
      </x:c>
      <x:c r="EO105" s="107" t="n">
        <x:f>SUM(IF($B$8=2,EO29,0),IF($B$36=2,EO57,0),IF($B$64=2,EO85,0))</x:f>
      </x:c>
      <x:c r="EP105" s="107" t="n">
        <x:f>SUM(IF($B$8=2,EP29,0),IF($B$36=2,EP57,0),IF($B$64=2,EP85,0))</x:f>
      </x:c>
      <x:c r="EQ105" s="107" t="n">
        <x:f>SUM(IF($B$8=2,EQ29,0),IF($B$36=2,EQ57,0),IF($B$64=2,EQ85,0))</x:f>
      </x:c>
      <x:c r="ER105" s="107" t="n">
        <x:f>SUM(IF($B$8=2,ER29,0),IF($B$36=2,ER57,0),IF($B$64=2,ER85,0))</x:f>
      </x:c>
      <x:c r="ES105" s="107" t="n">
        <x:f>SUM(IF($B$8=2,ES29,0),IF($B$36=2,ES57,0),IF($B$64=2,ES85,0))</x:f>
      </x:c>
      <x:c r="ET105" s="107" t="n">
        <x:f>SUM(IF($B$8=2,ET29,0),IF($B$36=2,ET57,0),IF($B$64=2,ET85,0))</x:f>
      </x:c>
      <x:c r="EU105" s="107" t="n">
        <x:f>SUM(IF($B$8=2,EU29,0),IF($B$36=2,EU57,0),IF($B$64=2,EU85,0))</x:f>
      </x:c>
      <x:c r="EV105" s="107" t="n">
        <x:f>SUM(IF($B$8=2,EV29,0),IF($B$36=2,EV57,0),IF($B$64=2,EV85,0))</x:f>
      </x:c>
      <x:c r="EW105" s="107" t="n">
        <x:f>SUM(IF($B$8=2,EW29,0),IF($B$36=2,EW57,0),IF($B$64=2,EW85,0))</x:f>
      </x:c>
      <x:c r="EX105" s="107" t="n">
        <x:f>SUM(IF($B$8=2,EX29,0),IF($B$36=2,EX57,0),IF($B$64=2,EX85,0))</x:f>
      </x:c>
      <x:c r="EY105" s="107" t="n">
        <x:f>SUM(IF($B$8=2,EY29,0),IF($B$36=2,EY57,0),IF($B$64=2,EY85,0))</x:f>
      </x:c>
      <x:c r="EZ105" s="107" t="n">
        <x:f>SUM(IF($B$8=2,EZ29,0),IF($B$36=2,EZ57,0),IF($B$64=2,EZ85,0))</x:f>
      </x:c>
      <x:c r="FA105" s="107" t="n">
        <x:f>SUM(IF($B$8=2,FA29,0),IF($B$36=2,FA57,0),IF($B$64=2,FA85,0))</x:f>
      </x:c>
      <x:c r="FB105" s="107" t="n">
        <x:f>SUM(IF($B$8=2,FB29,0),IF($B$36=2,FB57,0),IF($B$64=2,FB85,0))</x:f>
      </x:c>
      <x:c r="FC105" s="107" t="n">
        <x:f>SUM(IF($B$8=2,FC29,0),IF($B$36=2,FC57,0),IF($B$64=2,FC85,0))</x:f>
      </x:c>
      <x:c r="FD105" s="107" t="n">
        <x:f>SUM(IF($B$8=2,FD29,0),IF($B$36=2,FD57,0),IF($B$64=2,FD85,0))</x:f>
      </x:c>
      <x:c r="FE105" s="107" t="n">
        <x:f>SUM(IF($B$8=2,FE29,0),IF($B$36=2,FE57,0),IF($B$64=2,FE85,0))</x:f>
      </x:c>
      <x:c r="FF105" s="107" t="n">
        <x:f>SUM(IF($B$8=2,FF29,0),IF($B$36=2,FF57,0),IF($B$64=2,FF85,0))</x:f>
      </x:c>
      <x:c r="FG105" s="107" t="n">
        <x:f>SUM(IF($B$8=2,FG29,0),IF($B$36=2,FG57,0),IF($B$64=2,FG85,0))</x:f>
      </x:c>
      <x:c r="FH105" s="107" t="n">
        <x:f>SUM(IF($B$8=2,FH29,0),IF($B$36=2,FH57,0),IF($B$64=2,FH85,0))</x:f>
      </x:c>
      <x:c r="FI105" s="107" t="n">
        <x:f>SUM(IF($B$8=2,FI29,0),IF($B$36=2,FI57,0),IF($B$64=2,FI85,0))</x:f>
      </x:c>
      <x:c r="FJ105" s="107" t="n">
        <x:f>SUM(IF($B$8=2,FJ29,0),IF($B$36=2,FJ57,0),IF($B$64=2,FJ85,0))</x:f>
      </x:c>
      <x:c r="FK105" s="107" t="n">
        <x:f>SUM(IF($B$8=2,FK29,0),IF($B$36=2,FK57,0),IF($B$64=2,FK85,0))</x:f>
      </x:c>
      <x:c r="FL105" s="107" t="n">
        <x:f>SUM(IF($B$8=2,FL29,0),IF($B$36=2,FL57,0),IF($B$64=2,FL85,0))</x:f>
      </x:c>
      <x:c r="FM105" s="107" t="n">
        <x:f>SUM(IF($B$8=2,FM29,0),IF($B$36=2,FM57,0),IF($B$64=2,FM85,0))</x:f>
      </x:c>
      <x:c r="FN105" s="107" t="n">
        <x:f>SUM(IF($B$8=2,FN29,0),IF($B$36=2,FN57,0),IF($B$64=2,FN85,0))</x:f>
      </x:c>
      <x:c r="FO105" s="107" t="n">
        <x:f>SUM(IF($B$8=2,FO29,0),IF($B$36=2,FO57,0),IF($B$64=2,FO85,0))</x:f>
      </x:c>
      <x:c r="FP105" s="107" t="n">
        <x:f>SUM(IF($B$8=2,FP29,0),IF($B$36=2,FP57,0),IF($B$64=2,FP85,0))</x:f>
      </x:c>
      <x:c r="FQ105" s="107" t="n">
        <x:f>SUM(IF($B$8=2,FQ29,0),IF($B$36=2,FQ57,0),IF($B$64=2,FQ85,0))</x:f>
      </x:c>
      <x:c r="FR105" s="107" t="n">
        <x:f>SUM(IF($B$8=2,FR29,0),IF($B$36=2,FR57,0),IF($B$64=2,FR85,0))</x:f>
      </x:c>
      <x:c r="FS105" s="107" t="n">
        <x:f>SUM(IF($B$8=2,FS29,0),IF($B$36=2,FS57,0),IF($B$64=2,FS85,0))</x:f>
      </x:c>
      <x:c r="FT105" s="107" t="n">
        <x:f>SUM(IF($B$8=2,FT29,0),IF($B$36=2,FT57,0),IF($B$64=2,FT85,0))</x:f>
      </x:c>
      <x:c r="FU105" s="107" t="n">
        <x:f>SUM(IF($B$8=2,FU29,0),IF($B$36=2,FU57,0),IF($B$64=2,FU85,0))</x:f>
      </x:c>
      <x:c r="FV105" s="107" t="n">
        <x:f>SUM(IF($B$8=2,FV29,0),IF($B$36=2,FV57,0),IF($B$64=2,FV85,0))</x:f>
      </x:c>
      <x:c r="FW105" s="107" t="n">
        <x:f>SUM(IF($B$8=2,FW29,0),IF($B$36=2,FW57,0),IF($B$64=2,FW85,0))</x:f>
      </x:c>
      <x:c r="FX105" s="107" t="n">
        <x:f>SUM(IF($B$8=2,FX29,0),IF($B$36=2,FX57,0),IF($B$64=2,FX85,0))</x:f>
      </x:c>
      <x:c r="FY105" s="107" t="n">
        <x:f>SUM(IF($B$8=2,FY29,0),IF($B$36=2,FY57,0),IF($B$64=2,FY85,0))</x:f>
      </x:c>
      <x:c r="FZ105" s="107" t="n">
        <x:f>SUM(IF($B$8=2,FZ29,0),IF($B$36=2,FZ57,0),IF($B$64=2,FZ85,0))</x:f>
      </x:c>
      <x:c r="GA105" s="107" t="n">
        <x:f>SUM(IF($B$8=2,GA29,0),IF($B$36=2,GA57,0),IF($B$64=2,GA85,0))</x:f>
      </x:c>
    </x:row>
    <x:row r="106">
      <x:c r="A106" s="348" t="str">
        <x:v>Очередь 2 — Расходы на продажи объектов</x:v>
      </x:c>
      <x:c r="B106" s="348" t="n">
        <x:f>SUM(D106:GA106)</x:f>
      </x:c>
      <x:c r="C106" s="348" t="str">
        <x:v>млн ₽</x:v>
      </x:c>
      <x:c r="D106" s="348" t="n">
        <x:f>SUM(IF($B$8=2,D30,0),IF($B$36=2,D58,0),IF($B$64=2,D86,0))</x:f>
      </x:c>
      <x:c r="E106" s="348" t="n">
        <x:f>SUM(IF($B$8=2,E30,0),IF($B$36=2,E58,0),IF($B$64=2,E86,0))</x:f>
      </x:c>
      <x:c r="F106" s="348" t="n">
        <x:f>SUM(IF($B$8=2,F30,0),IF($B$36=2,F58,0),IF($B$64=2,F86,0))</x:f>
      </x:c>
      <x:c r="G106" s="348" t="n">
        <x:f>SUM(IF($B$8=2,G30,0),IF($B$36=2,G58,0),IF($B$64=2,G86,0))</x:f>
      </x:c>
      <x:c r="H106" s="348" t="n">
        <x:f>SUM(IF($B$8=2,H30,0),IF($B$36=2,H58,0),IF($B$64=2,H86,0))</x:f>
      </x:c>
      <x:c r="I106" s="348" t="n">
        <x:f>SUM(IF($B$8=2,I30,0),IF($B$36=2,I58,0),IF($B$64=2,I86,0))</x:f>
      </x:c>
      <x:c r="J106" s="348" t="n">
        <x:f>SUM(IF($B$8=2,J30,0),IF($B$36=2,J58,0),IF($B$64=2,J86,0))</x:f>
      </x:c>
      <x:c r="K106" s="348" t="n">
        <x:f>SUM(IF($B$8=2,K30,0),IF($B$36=2,K58,0),IF($B$64=2,K86,0))</x:f>
      </x:c>
      <x:c r="L106" s="348" t="n">
        <x:f>SUM(IF($B$8=2,L30,0),IF($B$36=2,L58,0),IF($B$64=2,L86,0))</x:f>
      </x:c>
      <x:c r="M106" s="348" t="n">
        <x:f>SUM(IF($B$8=2,M30,0),IF($B$36=2,M58,0),IF($B$64=2,M86,0))</x:f>
      </x:c>
      <x:c r="N106" s="348" t="n">
        <x:f>SUM(IF($B$8=2,N30,0),IF($B$36=2,N58,0),IF($B$64=2,N86,0))</x:f>
      </x:c>
      <x:c r="O106" s="348" t="n">
        <x:f>SUM(IF($B$8=2,O30,0),IF($B$36=2,O58,0),IF($B$64=2,O86,0))</x:f>
      </x:c>
      <x:c r="P106" s="348" t="n">
        <x:f>SUM(IF($B$8=2,P30,0),IF($B$36=2,P58,0),IF($B$64=2,P86,0))</x:f>
      </x:c>
      <x:c r="Q106" s="348" t="n">
        <x:f>SUM(IF($B$8=2,Q30,0),IF($B$36=2,Q58,0),IF($B$64=2,Q86,0))</x:f>
      </x:c>
      <x:c r="R106" s="348" t="n">
        <x:f>SUM(IF($B$8=2,R30,0),IF($B$36=2,R58,0),IF($B$64=2,R86,0))</x:f>
      </x:c>
      <x:c r="S106" s="348" t="n">
        <x:f>SUM(IF($B$8=2,S30,0),IF($B$36=2,S58,0),IF($B$64=2,S86,0))</x:f>
      </x:c>
      <x:c r="T106" s="348" t="n">
        <x:f>SUM(IF($B$8=2,T30,0),IF($B$36=2,T58,0),IF($B$64=2,T86,0))</x:f>
      </x:c>
      <x:c r="U106" s="348" t="n">
        <x:f>SUM(IF($B$8=2,U30,0),IF($B$36=2,U58,0),IF($B$64=2,U86,0))</x:f>
      </x:c>
      <x:c r="V106" s="348" t="n">
        <x:f>SUM(IF($B$8=2,V30,0),IF($B$36=2,V58,0),IF($B$64=2,V86,0))</x:f>
      </x:c>
      <x:c r="W106" s="348" t="n">
        <x:f>SUM(IF($B$8=2,W30,0),IF($B$36=2,W58,0),IF($B$64=2,W86,0))</x:f>
      </x:c>
      <x:c r="X106" s="348" t="n">
        <x:f>SUM(IF($B$8=2,X30,0),IF($B$36=2,X58,0),IF($B$64=2,X86,0))</x:f>
      </x:c>
      <x:c r="Y106" s="348" t="n">
        <x:f>SUM(IF($B$8=2,Y30,0),IF($B$36=2,Y58,0),IF($B$64=2,Y86,0))</x:f>
      </x:c>
      <x:c r="Z106" s="348" t="n">
        <x:f>SUM(IF($B$8=2,Z30,0),IF($B$36=2,Z58,0),IF($B$64=2,Z86,0))</x:f>
      </x:c>
      <x:c r="AA106" s="348" t="n">
        <x:f>SUM(IF($B$8=2,AA30,0),IF($B$36=2,AA58,0),IF($B$64=2,AA86,0))</x:f>
      </x:c>
      <x:c r="AB106" s="348" t="n">
        <x:f>SUM(IF($B$8=2,AB30,0),IF($B$36=2,AB58,0),IF($B$64=2,AB86,0))</x:f>
      </x:c>
      <x:c r="AC106" s="348" t="n">
        <x:f>SUM(IF($B$8=2,AC30,0),IF($B$36=2,AC58,0),IF($B$64=2,AC86,0))</x:f>
      </x:c>
      <x:c r="AD106" s="348" t="n">
        <x:f>SUM(IF($B$8=2,AD30,0),IF($B$36=2,AD58,0),IF($B$64=2,AD86,0))</x:f>
      </x:c>
      <x:c r="AE106" s="348" t="n">
        <x:f>SUM(IF($B$8=2,AE30,0),IF($B$36=2,AE58,0),IF($B$64=2,AE86,0))</x:f>
      </x:c>
      <x:c r="AF106" s="348" t="n">
        <x:f>SUM(IF($B$8=2,AF30,0),IF($B$36=2,AF58,0),IF($B$64=2,AF86,0))</x:f>
      </x:c>
      <x:c r="AG106" s="348" t="n">
        <x:f>SUM(IF($B$8=2,AG30,0),IF($B$36=2,AG58,0),IF($B$64=2,AG86,0))</x:f>
      </x:c>
      <x:c r="AH106" s="348" t="n">
        <x:f>SUM(IF($B$8=2,AH30,0),IF($B$36=2,AH58,0),IF($B$64=2,AH86,0))</x:f>
      </x:c>
      <x:c r="AI106" s="348" t="n">
        <x:f>SUM(IF($B$8=2,AI30,0),IF($B$36=2,AI58,0),IF($B$64=2,AI86,0))</x:f>
      </x:c>
      <x:c r="AJ106" s="348" t="n">
        <x:f>SUM(IF($B$8=2,AJ30,0),IF($B$36=2,AJ58,0),IF($B$64=2,AJ86,0))</x:f>
      </x:c>
      <x:c r="AK106" s="348" t="n">
        <x:f>SUM(IF($B$8=2,AK30,0),IF($B$36=2,AK58,0),IF($B$64=2,AK86,0))</x:f>
      </x:c>
      <x:c r="AL106" s="348" t="n">
        <x:f>SUM(IF($B$8=2,AL30,0),IF($B$36=2,AL58,0),IF($B$64=2,AL86,0))</x:f>
      </x:c>
      <x:c r="AM106" s="348" t="n">
        <x:f>SUM(IF($B$8=2,AM30,0),IF($B$36=2,AM58,0),IF($B$64=2,AM86,0))</x:f>
      </x:c>
      <x:c r="AN106" s="348" t="n">
        <x:f>SUM(IF($B$8=2,AN30,0),IF($B$36=2,AN58,0),IF($B$64=2,AN86,0))</x:f>
      </x:c>
      <x:c r="AO106" s="348" t="n">
        <x:f>SUM(IF($B$8=2,AO30,0),IF($B$36=2,AO58,0),IF($B$64=2,AO86,0))</x:f>
      </x:c>
      <x:c r="AP106" s="348" t="n">
        <x:f>SUM(IF($B$8=2,AP30,0),IF($B$36=2,AP58,0),IF($B$64=2,AP86,0))</x:f>
      </x:c>
      <x:c r="AQ106" s="348" t="n">
        <x:f>SUM(IF($B$8=2,AQ30,0),IF($B$36=2,AQ58,0),IF($B$64=2,AQ86,0))</x:f>
      </x:c>
      <x:c r="AR106" s="348" t="n">
        <x:f>SUM(IF($B$8=2,AR30,0),IF($B$36=2,AR58,0),IF($B$64=2,AR86,0))</x:f>
      </x:c>
      <x:c r="AS106" s="348" t="n">
        <x:f>SUM(IF($B$8=2,AS30,0),IF($B$36=2,AS58,0),IF($B$64=2,AS86,0))</x:f>
      </x:c>
      <x:c r="AT106" s="348" t="n">
        <x:f>SUM(IF($B$8=2,AT30,0),IF($B$36=2,AT58,0),IF($B$64=2,AT86,0))</x:f>
      </x:c>
      <x:c r="AU106" s="348" t="n">
        <x:f>SUM(IF($B$8=2,AU30,0),IF($B$36=2,AU58,0),IF($B$64=2,AU86,0))</x:f>
      </x:c>
      <x:c r="AV106" s="348" t="n">
        <x:f>SUM(IF($B$8=2,AV30,0),IF($B$36=2,AV58,0),IF($B$64=2,AV86,0))</x:f>
      </x:c>
      <x:c r="AW106" s="348" t="n">
        <x:f>SUM(IF($B$8=2,AW30,0),IF($B$36=2,AW58,0),IF($B$64=2,AW86,0))</x:f>
      </x:c>
      <x:c r="AX106" s="348" t="n">
        <x:f>SUM(IF($B$8=2,AX30,0),IF($B$36=2,AX58,0),IF($B$64=2,AX86,0))</x:f>
      </x:c>
      <x:c r="AY106" s="348" t="n">
        <x:f>SUM(IF($B$8=2,AY30,0),IF($B$36=2,AY58,0),IF($B$64=2,AY86,0))</x:f>
      </x:c>
      <x:c r="AZ106" s="348" t="n">
        <x:f>SUM(IF($B$8=2,AZ30,0),IF($B$36=2,AZ58,0),IF($B$64=2,AZ86,0))</x:f>
      </x:c>
      <x:c r="BA106" s="348" t="n">
        <x:f>SUM(IF($B$8=2,BA30,0),IF($B$36=2,BA58,0),IF($B$64=2,BA86,0))</x:f>
      </x:c>
      <x:c r="BB106" s="348" t="n">
        <x:f>SUM(IF($B$8=2,BB30,0),IF($B$36=2,BB58,0),IF($B$64=2,BB86,0))</x:f>
      </x:c>
      <x:c r="BC106" s="348" t="n">
        <x:f>SUM(IF($B$8=2,BC30,0),IF($B$36=2,BC58,0),IF($B$64=2,BC86,0))</x:f>
      </x:c>
      <x:c r="BD106" s="348" t="n">
        <x:f>SUM(IF($B$8=2,BD30,0),IF($B$36=2,BD58,0),IF($B$64=2,BD86,0))</x:f>
      </x:c>
      <x:c r="BE106" s="348" t="n">
        <x:f>SUM(IF($B$8=2,BE30,0),IF($B$36=2,BE58,0),IF($B$64=2,BE86,0))</x:f>
      </x:c>
      <x:c r="BF106" s="348" t="n">
        <x:f>SUM(IF($B$8=2,BF30,0),IF($B$36=2,BF58,0),IF($B$64=2,BF86,0))</x:f>
      </x:c>
      <x:c r="BG106" s="348" t="n">
        <x:f>SUM(IF($B$8=2,BG30,0),IF($B$36=2,BG58,0),IF($B$64=2,BG86,0))</x:f>
      </x:c>
      <x:c r="BH106" s="348" t="n">
        <x:f>SUM(IF($B$8=2,BH30,0),IF($B$36=2,BH58,0),IF($B$64=2,BH86,0))</x:f>
      </x:c>
      <x:c r="BI106" s="348" t="n">
        <x:f>SUM(IF($B$8=2,BI30,0),IF($B$36=2,BI58,0),IF($B$64=2,BI86,0))</x:f>
      </x:c>
      <x:c r="BJ106" s="348" t="n">
        <x:f>SUM(IF($B$8=2,BJ30,0),IF($B$36=2,BJ58,0),IF($B$64=2,BJ86,0))</x:f>
      </x:c>
      <x:c r="BK106" s="348" t="n">
        <x:f>SUM(IF($B$8=2,BK30,0),IF($B$36=2,BK58,0),IF($B$64=2,BK86,0))</x:f>
      </x:c>
      <x:c r="BL106" s="348" t="n">
        <x:f>SUM(IF($B$8=2,BL30,0),IF($B$36=2,BL58,0),IF($B$64=2,BL86,0))</x:f>
      </x:c>
      <x:c r="BM106" s="348" t="n">
        <x:f>SUM(IF($B$8=2,BM30,0),IF($B$36=2,BM58,0),IF($B$64=2,BM86,0))</x:f>
      </x:c>
      <x:c r="BN106" s="348" t="n">
        <x:f>SUM(IF($B$8=2,BN30,0),IF($B$36=2,BN58,0),IF($B$64=2,BN86,0))</x:f>
      </x:c>
      <x:c r="BO106" s="348" t="n">
        <x:f>SUM(IF($B$8=2,BO30,0),IF($B$36=2,BO58,0),IF($B$64=2,BO86,0))</x:f>
      </x:c>
      <x:c r="BP106" s="348" t="n">
        <x:f>SUM(IF($B$8=2,BP30,0),IF($B$36=2,BP58,0),IF($B$64=2,BP86,0))</x:f>
      </x:c>
      <x:c r="BQ106" s="348" t="n">
        <x:f>SUM(IF($B$8=2,BQ30,0),IF($B$36=2,BQ58,0),IF($B$64=2,BQ86,0))</x:f>
      </x:c>
      <x:c r="BR106" s="348" t="n">
        <x:f>SUM(IF($B$8=2,BR30,0),IF($B$36=2,BR58,0),IF($B$64=2,BR86,0))</x:f>
      </x:c>
      <x:c r="BS106" s="348" t="n">
        <x:f>SUM(IF($B$8=2,BS30,0),IF($B$36=2,BS58,0),IF($B$64=2,BS86,0))</x:f>
      </x:c>
      <x:c r="BT106" s="348" t="n">
        <x:f>SUM(IF($B$8=2,BT30,0),IF($B$36=2,BT58,0),IF($B$64=2,BT86,0))</x:f>
      </x:c>
      <x:c r="BU106" s="348" t="n">
        <x:f>SUM(IF($B$8=2,BU30,0),IF($B$36=2,BU58,0),IF($B$64=2,BU86,0))</x:f>
      </x:c>
      <x:c r="BV106" s="348" t="n">
        <x:f>SUM(IF($B$8=2,BV30,0),IF($B$36=2,BV58,0),IF($B$64=2,BV86,0))</x:f>
      </x:c>
      <x:c r="BW106" s="348" t="n">
        <x:f>SUM(IF($B$8=2,BW30,0),IF($B$36=2,BW58,0),IF($B$64=2,BW86,0))</x:f>
      </x:c>
      <x:c r="BX106" s="348" t="n">
        <x:f>SUM(IF($B$8=2,BX30,0),IF($B$36=2,BX58,0),IF($B$64=2,BX86,0))</x:f>
      </x:c>
      <x:c r="BY106" s="348" t="n">
        <x:f>SUM(IF($B$8=2,BY30,0),IF($B$36=2,BY58,0),IF($B$64=2,BY86,0))</x:f>
      </x:c>
      <x:c r="BZ106" s="348" t="n">
        <x:f>SUM(IF($B$8=2,BZ30,0),IF($B$36=2,BZ58,0),IF($B$64=2,BZ86,0))</x:f>
      </x:c>
      <x:c r="CA106" s="348" t="n">
        <x:f>SUM(IF($B$8=2,CA30,0),IF($B$36=2,CA58,0),IF($B$64=2,CA86,0))</x:f>
      </x:c>
      <x:c r="CB106" s="348" t="n">
        <x:f>SUM(IF($B$8=2,CB30,0),IF($B$36=2,CB58,0),IF($B$64=2,CB86,0))</x:f>
      </x:c>
      <x:c r="CC106" s="348" t="n">
        <x:f>SUM(IF($B$8=2,CC30,0),IF($B$36=2,CC58,0),IF($B$64=2,CC86,0))</x:f>
      </x:c>
      <x:c r="CD106" s="348" t="n">
        <x:f>SUM(IF($B$8=2,CD30,0),IF($B$36=2,CD58,0),IF($B$64=2,CD86,0))</x:f>
      </x:c>
      <x:c r="CE106" s="348" t="n">
        <x:f>SUM(IF($B$8=2,CE30,0),IF($B$36=2,CE58,0),IF($B$64=2,CE86,0))</x:f>
      </x:c>
      <x:c r="CF106" s="348" t="n">
        <x:f>SUM(IF($B$8=2,CF30,0),IF($B$36=2,CF58,0),IF($B$64=2,CF86,0))</x:f>
      </x:c>
      <x:c r="CG106" s="348" t="n">
        <x:f>SUM(IF($B$8=2,CG30,0),IF($B$36=2,CG58,0),IF($B$64=2,CG86,0))</x:f>
      </x:c>
      <x:c r="CH106" s="348" t="n">
        <x:f>SUM(IF($B$8=2,CH30,0),IF($B$36=2,CH58,0),IF($B$64=2,CH86,0))</x:f>
      </x:c>
      <x:c r="CI106" s="348" t="n">
        <x:f>SUM(IF($B$8=2,CI30,0),IF($B$36=2,CI58,0),IF($B$64=2,CI86,0))</x:f>
      </x:c>
      <x:c r="CJ106" s="348" t="n">
        <x:f>SUM(IF($B$8=2,CJ30,0),IF($B$36=2,CJ58,0),IF($B$64=2,CJ86,0))</x:f>
      </x:c>
      <x:c r="CK106" s="348" t="n">
        <x:f>SUM(IF($B$8=2,CK30,0),IF($B$36=2,CK58,0),IF($B$64=2,CK86,0))</x:f>
      </x:c>
      <x:c r="CL106" s="348" t="n">
        <x:f>SUM(IF($B$8=2,CL30,0),IF($B$36=2,CL58,0),IF($B$64=2,CL86,0))</x:f>
      </x:c>
      <x:c r="CM106" s="348" t="n">
        <x:f>SUM(IF($B$8=2,CM30,0),IF($B$36=2,CM58,0),IF($B$64=2,CM86,0))</x:f>
      </x:c>
      <x:c r="CN106" s="348" t="n">
        <x:f>SUM(IF($B$8=2,CN30,0),IF($B$36=2,CN58,0),IF($B$64=2,CN86,0))</x:f>
      </x:c>
      <x:c r="CO106" s="348" t="n">
        <x:f>SUM(IF($B$8=2,CO30,0),IF($B$36=2,CO58,0),IF($B$64=2,CO86,0))</x:f>
      </x:c>
      <x:c r="CP106" s="348" t="n">
        <x:f>SUM(IF($B$8=2,CP30,0),IF($B$36=2,CP58,0),IF($B$64=2,CP86,0))</x:f>
      </x:c>
      <x:c r="CQ106" s="348" t="n">
        <x:f>SUM(IF($B$8=2,CQ30,0),IF($B$36=2,CQ58,0),IF($B$64=2,CQ86,0))</x:f>
      </x:c>
      <x:c r="CR106" s="348" t="n">
        <x:f>SUM(IF($B$8=2,CR30,0),IF($B$36=2,CR58,0),IF($B$64=2,CR86,0))</x:f>
      </x:c>
      <x:c r="CS106" s="348" t="n">
        <x:f>SUM(IF($B$8=2,CS30,0),IF($B$36=2,CS58,0),IF($B$64=2,CS86,0))</x:f>
      </x:c>
      <x:c r="CT106" s="348" t="n">
        <x:f>SUM(IF($B$8=2,CT30,0),IF($B$36=2,CT58,0),IF($B$64=2,CT86,0))</x:f>
      </x:c>
      <x:c r="CU106" s="348" t="n">
        <x:f>SUM(IF($B$8=2,CU30,0),IF($B$36=2,CU58,0),IF($B$64=2,CU86,0))</x:f>
      </x:c>
      <x:c r="CV106" s="348" t="n">
        <x:f>SUM(IF($B$8=2,CV30,0),IF($B$36=2,CV58,0),IF($B$64=2,CV86,0))</x:f>
      </x:c>
      <x:c r="CW106" s="348" t="n">
        <x:f>SUM(IF($B$8=2,CW30,0),IF($B$36=2,CW58,0),IF($B$64=2,CW86,0))</x:f>
      </x:c>
      <x:c r="CX106" s="348" t="n">
        <x:f>SUM(IF($B$8=2,CX30,0),IF($B$36=2,CX58,0),IF($B$64=2,CX86,0))</x:f>
      </x:c>
      <x:c r="CY106" s="348" t="n">
        <x:f>SUM(IF($B$8=2,CY30,0),IF($B$36=2,CY58,0),IF($B$64=2,CY86,0))</x:f>
      </x:c>
      <x:c r="CZ106" s="348" t="n">
        <x:f>SUM(IF($B$8=2,CZ30,0),IF($B$36=2,CZ58,0),IF($B$64=2,CZ86,0))</x:f>
      </x:c>
      <x:c r="DA106" s="348" t="n">
        <x:f>SUM(IF($B$8=2,DA30,0),IF($B$36=2,DA58,0),IF($B$64=2,DA86,0))</x:f>
      </x:c>
      <x:c r="DB106" s="348" t="n">
        <x:f>SUM(IF($B$8=2,DB30,0),IF($B$36=2,DB58,0),IF($B$64=2,DB86,0))</x:f>
      </x:c>
      <x:c r="DC106" s="348" t="n">
        <x:f>SUM(IF($B$8=2,DC30,0),IF($B$36=2,DC58,0),IF($B$64=2,DC86,0))</x:f>
      </x:c>
      <x:c r="DD106" s="348" t="n">
        <x:f>SUM(IF($B$8=2,DD30,0),IF($B$36=2,DD58,0),IF($B$64=2,DD86,0))</x:f>
      </x:c>
      <x:c r="DE106" s="348" t="n">
        <x:f>SUM(IF($B$8=2,DE30,0),IF($B$36=2,DE58,0),IF($B$64=2,DE86,0))</x:f>
      </x:c>
      <x:c r="DF106" s="348" t="n">
        <x:f>SUM(IF($B$8=2,DF30,0),IF($B$36=2,DF58,0),IF($B$64=2,DF86,0))</x:f>
      </x:c>
      <x:c r="DG106" s="348" t="n">
        <x:f>SUM(IF($B$8=2,DG30,0),IF($B$36=2,DG58,0),IF($B$64=2,DG86,0))</x:f>
      </x:c>
      <x:c r="DH106" s="348" t="n">
        <x:f>SUM(IF($B$8=2,DH30,0),IF($B$36=2,DH58,0),IF($B$64=2,DH86,0))</x:f>
      </x:c>
      <x:c r="DI106" s="348" t="n">
        <x:f>SUM(IF($B$8=2,DI30,0),IF($B$36=2,DI58,0),IF($B$64=2,DI86,0))</x:f>
      </x:c>
      <x:c r="DJ106" s="348" t="n">
        <x:f>SUM(IF($B$8=2,DJ30,0),IF($B$36=2,DJ58,0),IF($B$64=2,DJ86,0))</x:f>
      </x:c>
      <x:c r="DK106" s="348" t="n">
        <x:f>SUM(IF($B$8=2,DK30,0),IF($B$36=2,DK58,0),IF($B$64=2,DK86,0))</x:f>
      </x:c>
      <x:c r="DL106" s="348" t="n">
        <x:f>SUM(IF($B$8=2,DL30,0),IF($B$36=2,DL58,0),IF($B$64=2,DL86,0))</x:f>
      </x:c>
      <x:c r="DM106" s="348" t="n">
        <x:f>SUM(IF($B$8=2,DM30,0),IF($B$36=2,DM58,0),IF($B$64=2,DM86,0))</x:f>
      </x:c>
      <x:c r="DN106" s="348" t="n">
        <x:f>SUM(IF($B$8=2,DN30,0),IF($B$36=2,DN58,0),IF($B$64=2,DN86,0))</x:f>
      </x:c>
      <x:c r="DO106" s="348" t="n">
        <x:f>SUM(IF($B$8=2,DO30,0),IF($B$36=2,DO58,0),IF($B$64=2,DO86,0))</x:f>
      </x:c>
      <x:c r="DP106" s="348" t="n">
        <x:f>SUM(IF($B$8=2,DP30,0),IF($B$36=2,DP58,0),IF($B$64=2,DP86,0))</x:f>
      </x:c>
      <x:c r="DQ106" s="348" t="n">
        <x:f>SUM(IF($B$8=2,DQ30,0),IF($B$36=2,DQ58,0),IF($B$64=2,DQ86,0))</x:f>
      </x:c>
      <x:c r="DR106" s="348" t="n">
        <x:f>SUM(IF($B$8=2,DR30,0),IF($B$36=2,DR58,0),IF($B$64=2,DR86,0))</x:f>
      </x:c>
      <x:c r="DS106" s="348" t="n">
        <x:f>SUM(IF($B$8=2,DS30,0),IF($B$36=2,DS58,0),IF($B$64=2,DS86,0))</x:f>
      </x:c>
      <x:c r="DT106" s="348" t="n">
        <x:f>SUM(IF($B$8=2,DT30,0),IF($B$36=2,DT58,0),IF($B$64=2,DT86,0))</x:f>
      </x:c>
      <x:c r="DU106" s="348" t="n">
        <x:f>SUM(IF($B$8=2,DU30,0),IF($B$36=2,DU58,0),IF($B$64=2,DU86,0))</x:f>
      </x:c>
      <x:c r="DV106" s="348" t="n">
        <x:f>SUM(IF($B$8=2,DV30,0),IF($B$36=2,DV58,0),IF($B$64=2,DV86,0))</x:f>
      </x:c>
      <x:c r="DW106" s="348" t="n">
        <x:f>SUM(IF($B$8=2,DW30,0),IF($B$36=2,DW58,0),IF($B$64=2,DW86,0))</x:f>
      </x:c>
      <x:c r="DX106" s="348" t="n">
        <x:f>SUM(IF($B$8=2,DX30,0),IF($B$36=2,DX58,0),IF($B$64=2,DX86,0))</x:f>
      </x:c>
      <x:c r="DY106" s="348" t="n">
        <x:f>SUM(IF($B$8=2,DY30,0),IF($B$36=2,DY58,0),IF($B$64=2,DY86,0))</x:f>
      </x:c>
      <x:c r="DZ106" s="348" t="n">
        <x:f>SUM(IF($B$8=2,DZ30,0),IF($B$36=2,DZ58,0),IF($B$64=2,DZ86,0))</x:f>
      </x:c>
      <x:c r="EA106" s="348" t="n">
        <x:f>SUM(IF($B$8=2,EA30,0),IF($B$36=2,EA58,0),IF($B$64=2,EA86,0))</x:f>
      </x:c>
      <x:c r="EB106" s="348" t="n">
        <x:f>SUM(IF($B$8=2,EB30,0),IF($B$36=2,EB58,0),IF($B$64=2,EB86,0))</x:f>
      </x:c>
      <x:c r="EC106" s="348" t="n">
        <x:f>SUM(IF($B$8=2,EC30,0),IF($B$36=2,EC58,0),IF($B$64=2,EC86,0))</x:f>
      </x:c>
      <x:c r="ED106" s="348" t="n">
        <x:f>SUM(IF($B$8=2,ED30,0),IF($B$36=2,ED58,0),IF($B$64=2,ED86,0))</x:f>
      </x:c>
      <x:c r="EE106" s="348" t="n">
        <x:f>SUM(IF($B$8=2,EE30,0),IF($B$36=2,EE58,0),IF($B$64=2,EE86,0))</x:f>
      </x:c>
      <x:c r="EF106" s="348" t="n">
        <x:f>SUM(IF($B$8=2,EF30,0),IF($B$36=2,EF58,0),IF($B$64=2,EF86,0))</x:f>
      </x:c>
      <x:c r="EG106" s="348" t="n">
        <x:f>SUM(IF($B$8=2,EG30,0),IF($B$36=2,EG58,0),IF($B$64=2,EG86,0))</x:f>
      </x:c>
      <x:c r="EH106" s="348" t="n">
        <x:f>SUM(IF($B$8=2,EH30,0),IF($B$36=2,EH58,0),IF($B$64=2,EH86,0))</x:f>
      </x:c>
      <x:c r="EI106" s="348" t="n">
        <x:f>SUM(IF($B$8=2,EI30,0),IF($B$36=2,EI58,0),IF($B$64=2,EI86,0))</x:f>
      </x:c>
      <x:c r="EJ106" s="348" t="n">
        <x:f>SUM(IF($B$8=2,EJ30,0),IF($B$36=2,EJ58,0),IF($B$64=2,EJ86,0))</x:f>
      </x:c>
      <x:c r="EK106" s="348" t="n">
        <x:f>SUM(IF($B$8=2,EK30,0),IF($B$36=2,EK58,0),IF($B$64=2,EK86,0))</x:f>
      </x:c>
      <x:c r="EL106" s="348" t="n">
        <x:f>SUM(IF($B$8=2,EL30,0),IF($B$36=2,EL58,0),IF($B$64=2,EL86,0))</x:f>
      </x:c>
      <x:c r="EM106" s="348" t="n">
        <x:f>SUM(IF($B$8=2,EM30,0),IF($B$36=2,EM58,0),IF($B$64=2,EM86,0))</x:f>
      </x:c>
      <x:c r="EN106" s="348" t="n">
        <x:f>SUM(IF($B$8=2,EN30,0),IF($B$36=2,EN58,0),IF($B$64=2,EN86,0))</x:f>
      </x:c>
      <x:c r="EO106" s="348" t="n">
        <x:f>SUM(IF($B$8=2,EO30,0),IF($B$36=2,EO58,0),IF($B$64=2,EO86,0))</x:f>
      </x:c>
      <x:c r="EP106" s="348" t="n">
        <x:f>SUM(IF($B$8=2,EP30,0),IF($B$36=2,EP58,0),IF($B$64=2,EP86,0))</x:f>
      </x:c>
      <x:c r="EQ106" s="348" t="n">
        <x:f>SUM(IF($B$8=2,EQ30,0),IF($B$36=2,EQ58,0),IF($B$64=2,EQ86,0))</x:f>
      </x:c>
      <x:c r="ER106" s="348" t="n">
        <x:f>SUM(IF($B$8=2,ER30,0),IF($B$36=2,ER58,0),IF($B$64=2,ER86,0))</x:f>
      </x:c>
      <x:c r="ES106" s="348" t="n">
        <x:f>SUM(IF($B$8=2,ES30,0),IF($B$36=2,ES58,0),IF($B$64=2,ES86,0))</x:f>
      </x:c>
      <x:c r="ET106" s="348" t="n">
        <x:f>SUM(IF($B$8=2,ET30,0),IF($B$36=2,ET58,0),IF($B$64=2,ET86,0))</x:f>
      </x:c>
      <x:c r="EU106" s="348" t="n">
        <x:f>SUM(IF($B$8=2,EU30,0),IF($B$36=2,EU58,0),IF($B$64=2,EU86,0))</x:f>
      </x:c>
      <x:c r="EV106" s="348" t="n">
        <x:f>SUM(IF($B$8=2,EV30,0),IF($B$36=2,EV58,0),IF($B$64=2,EV86,0))</x:f>
      </x:c>
      <x:c r="EW106" s="348" t="n">
        <x:f>SUM(IF($B$8=2,EW30,0),IF($B$36=2,EW58,0),IF($B$64=2,EW86,0))</x:f>
      </x:c>
      <x:c r="EX106" s="348" t="n">
        <x:f>SUM(IF($B$8=2,EX30,0),IF($B$36=2,EX58,0),IF($B$64=2,EX86,0))</x:f>
      </x:c>
      <x:c r="EY106" s="348" t="n">
        <x:f>SUM(IF($B$8=2,EY30,0),IF($B$36=2,EY58,0),IF($B$64=2,EY86,0))</x:f>
      </x:c>
      <x:c r="EZ106" s="348" t="n">
        <x:f>SUM(IF($B$8=2,EZ30,0),IF($B$36=2,EZ58,0),IF($B$64=2,EZ86,0))</x:f>
      </x:c>
      <x:c r="FA106" s="348" t="n">
        <x:f>SUM(IF($B$8=2,FA30,0),IF($B$36=2,FA58,0),IF($B$64=2,FA86,0))</x:f>
      </x:c>
      <x:c r="FB106" s="348" t="n">
        <x:f>SUM(IF($B$8=2,FB30,0),IF($B$36=2,FB58,0),IF($B$64=2,FB86,0))</x:f>
      </x:c>
      <x:c r="FC106" s="348" t="n">
        <x:f>SUM(IF($B$8=2,FC30,0),IF($B$36=2,FC58,0),IF($B$64=2,FC86,0))</x:f>
      </x:c>
      <x:c r="FD106" s="348" t="n">
        <x:f>SUM(IF($B$8=2,FD30,0),IF($B$36=2,FD58,0),IF($B$64=2,FD86,0))</x:f>
      </x:c>
      <x:c r="FE106" s="348" t="n">
        <x:f>SUM(IF($B$8=2,FE30,0),IF($B$36=2,FE58,0),IF($B$64=2,FE86,0))</x:f>
      </x:c>
      <x:c r="FF106" s="348" t="n">
        <x:f>SUM(IF($B$8=2,FF30,0),IF($B$36=2,FF58,0),IF($B$64=2,FF86,0))</x:f>
      </x:c>
      <x:c r="FG106" s="348" t="n">
        <x:f>SUM(IF($B$8=2,FG30,0),IF($B$36=2,FG58,0),IF($B$64=2,FG86,0))</x:f>
      </x:c>
      <x:c r="FH106" s="348" t="n">
        <x:f>SUM(IF($B$8=2,FH30,0),IF($B$36=2,FH58,0),IF($B$64=2,FH86,0))</x:f>
      </x:c>
      <x:c r="FI106" s="348" t="n">
        <x:f>SUM(IF($B$8=2,FI30,0),IF($B$36=2,FI58,0),IF($B$64=2,FI86,0))</x:f>
      </x:c>
      <x:c r="FJ106" s="348" t="n">
        <x:f>SUM(IF($B$8=2,FJ30,0),IF($B$36=2,FJ58,0),IF($B$64=2,FJ86,0))</x:f>
      </x:c>
      <x:c r="FK106" s="348" t="n">
        <x:f>SUM(IF($B$8=2,FK30,0),IF($B$36=2,FK58,0),IF($B$64=2,FK86,0))</x:f>
      </x:c>
      <x:c r="FL106" s="348" t="n">
        <x:f>SUM(IF($B$8=2,FL30,0),IF($B$36=2,FL58,0),IF($B$64=2,FL86,0))</x:f>
      </x:c>
      <x:c r="FM106" s="348" t="n">
        <x:f>SUM(IF($B$8=2,FM30,0),IF($B$36=2,FM58,0),IF($B$64=2,FM86,0))</x:f>
      </x:c>
      <x:c r="FN106" s="348" t="n">
        <x:f>SUM(IF($B$8=2,FN30,0),IF($B$36=2,FN58,0),IF($B$64=2,FN86,0))</x:f>
      </x:c>
      <x:c r="FO106" s="348" t="n">
        <x:f>SUM(IF($B$8=2,FO30,0),IF($B$36=2,FO58,0),IF($B$64=2,FO86,0))</x:f>
      </x:c>
      <x:c r="FP106" s="348" t="n">
        <x:f>SUM(IF($B$8=2,FP30,0),IF($B$36=2,FP58,0),IF($B$64=2,FP86,0))</x:f>
      </x:c>
      <x:c r="FQ106" s="348" t="n">
        <x:f>SUM(IF($B$8=2,FQ30,0),IF($B$36=2,FQ58,0),IF($B$64=2,FQ86,0))</x:f>
      </x:c>
      <x:c r="FR106" s="348" t="n">
        <x:f>SUM(IF($B$8=2,FR30,0),IF($B$36=2,FR58,0),IF($B$64=2,FR86,0))</x:f>
      </x:c>
      <x:c r="FS106" s="348" t="n">
        <x:f>SUM(IF($B$8=2,FS30,0),IF($B$36=2,FS58,0),IF($B$64=2,FS86,0))</x:f>
      </x:c>
      <x:c r="FT106" s="348" t="n">
        <x:f>SUM(IF($B$8=2,FT30,0),IF($B$36=2,FT58,0),IF($B$64=2,FT86,0))</x:f>
      </x:c>
      <x:c r="FU106" s="348" t="n">
        <x:f>SUM(IF($B$8=2,FU30,0),IF($B$36=2,FU58,0),IF($B$64=2,FU86,0))</x:f>
      </x:c>
      <x:c r="FV106" s="348" t="n">
        <x:f>SUM(IF($B$8=2,FV30,0),IF($B$36=2,FV58,0),IF($B$64=2,FV86,0))</x:f>
      </x:c>
      <x:c r="FW106" s="348" t="n">
        <x:f>SUM(IF($B$8=2,FW30,0),IF($B$36=2,FW58,0),IF($B$64=2,FW86,0))</x:f>
      </x:c>
      <x:c r="FX106" s="348" t="n">
        <x:f>SUM(IF($B$8=2,FX30,0),IF($B$36=2,FX58,0),IF($B$64=2,FX86,0))</x:f>
      </x:c>
      <x:c r="FY106" s="348" t="n">
        <x:f>SUM(IF($B$8=2,FY30,0),IF($B$36=2,FY58,0),IF($B$64=2,FY86,0))</x:f>
      </x:c>
      <x:c r="FZ106" s="348" t="n">
        <x:f>SUM(IF($B$8=2,FZ30,0),IF($B$36=2,FZ58,0),IF($B$64=2,FZ86,0))</x:f>
      </x:c>
      <x:c r="GA106" s="348" t="n">
        <x:f>SUM(IF($B$8=2,GA30,0),IF($B$36=2,GA58,0),IF($B$64=2,GA86,0))</x:f>
      </x:c>
    </x:row>
    <x:row r="108">
      <x:c r="A108" t="str">
        <x:v>Очередь 3 — Выручка объектов</x:v>
      </x:c>
      <x:c r="B108" s="107" t="n">
        <x:f>SUM(D108:GA108)</x:f>
      </x:c>
      <x:c r="C108" t="str">
        <x:v>млн ₽</x:v>
      </x:c>
      <x:c r="D108" s="107" t="n">
        <x:f>SUM(IF($B$8=3,D24,0),IF($B$36=3,D52,0),IF($B$64=3,D80,0))</x:f>
      </x:c>
      <x:c r="E108" s="107" t="n">
        <x:f>SUM(IF($B$8=3,E24,0),IF($B$36=3,E52,0),IF($B$64=3,E80,0))</x:f>
      </x:c>
      <x:c r="F108" s="107" t="n">
        <x:f>SUM(IF($B$8=3,F24,0),IF($B$36=3,F52,0),IF($B$64=3,F80,0))</x:f>
      </x:c>
      <x:c r="G108" s="107" t="n">
        <x:f>SUM(IF($B$8=3,G24,0),IF($B$36=3,G52,0),IF($B$64=3,G80,0))</x:f>
      </x:c>
      <x:c r="H108" s="107" t="n">
        <x:f>SUM(IF($B$8=3,H24,0),IF($B$36=3,H52,0),IF($B$64=3,H80,0))</x:f>
      </x:c>
      <x:c r="I108" s="107" t="n">
        <x:f>SUM(IF($B$8=3,I24,0),IF($B$36=3,I52,0),IF($B$64=3,I80,0))</x:f>
      </x:c>
      <x:c r="J108" s="107" t="n">
        <x:f>SUM(IF($B$8=3,J24,0),IF($B$36=3,J52,0),IF($B$64=3,J80,0))</x:f>
      </x:c>
      <x:c r="K108" s="107" t="n">
        <x:f>SUM(IF($B$8=3,K24,0),IF($B$36=3,K52,0),IF($B$64=3,K80,0))</x:f>
      </x:c>
      <x:c r="L108" s="107" t="n">
        <x:f>SUM(IF($B$8=3,L24,0),IF($B$36=3,L52,0),IF($B$64=3,L80,0))</x:f>
      </x:c>
      <x:c r="M108" s="107" t="n">
        <x:f>SUM(IF($B$8=3,M24,0),IF($B$36=3,M52,0),IF($B$64=3,M80,0))</x:f>
      </x:c>
      <x:c r="N108" s="107" t="n">
        <x:f>SUM(IF($B$8=3,N24,0),IF($B$36=3,N52,0),IF($B$64=3,N80,0))</x:f>
      </x:c>
      <x:c r="O108" s="107" t="n">
        <x:f>SUM(IF($B$8=3,O24,0),IF($B$36=3,O52,0),IF($B$64=3,O80,0))</x:f>
      </x:c>
      <x:c r="P108" s="107" t="n">
        <x:f>SUM(IF($B$8=3,P24,0),IF($B$36=3,P52,0),IF($B$64=3,P80,0))</x:f>
      </x:c>
      <x:c r="Q108" s="107" t="n">
        <x:f>SUM(IF($B$8=3,Q24,0),IF($B$36=3,Q52,0),IF($B$64=3,Q80,0))</x:f>
      </x:c>
      <x:c r="R108" s="107" t="n">
        <x:f>SUM(IF($B$8=3,R24,0),IF($B$36=3,R52,0),IF($B$64=3,R80,0))</x:f>
      </x:c>
      <x:c r="S108" s="107" t="n">
        <x:f>SUM(IF($B$8=3,S24,0),IF($B$36=3,S52,0),IF($B$64=3,S80,0))</x:f>
      </x:c>
      <x:c r="T108" s="107" t="n">
        <x:f>SUM(IF($B$8=3,T24,0),IF($B$36=3,T52,0),IF($B$64=3,T80,0))</x:f>
      </x:c>
      <x:c r="U108" s="107" t="n">
        <x:f>SUM(IF($B$8=3,U24,0),IF($B$36=3,U52,0),IF($B$64=3,U80,0))</x:f>
      </x:c>
      <x:c r="V108" s="107" t="n">
        <x:f>SUM(IF($B$8=3,V24,0),IF($B$36=3,V52,0),IF($B$64=3,V80,0))</x:f>
      </x:c>
      <x:c r="W108" s="107" t="n">
        <x:f>SUM(IF($B$8=3,W24,0),IF($B$36=3,W52,0),IF($B$64=3,W80,0))</x:f>
      </x:c>
      <x:c r="X108" s="107" t="n">
        <x:f>SUM(IF($B$8=3,X24,0),IF($B$36=3,X52,0),IF($B$64=3,X80,0))</x:f>
      </x:c>
      <x:c r="Y108" s="107" t="n">
        <x:f>SUM(IF($B$8=3,Y24,0),IF($B$36=3,Y52,0),IF($B$64=3,Y80,0))</x:f>
      </x:c>
      <x:c r="Z108" s="107" t="n">
        <x:f>SUM(IF($B$8=3,Z24,0),IF($B$36=3,Z52,0),IF($B$64=3,Z80,0))</x:f>
      </x:c>
      <x:c r="AA108" s="107" t="n">
        <x:f>SUM(IF($B$8=3,AA24,0),IF($B$36=3,AA52,0),IF($B$64=3,AA80,0))</x:f>
      </x:c>
      <x:c r="AB108" s="107" t="n">
        <x:f>SUM(IF($B$8=3,AB24,0),IF($B$36=3,AB52,0),IF($B$64=3,AB80,0))</x:f>
      </x:c>
      <x:c r="AC108" s="107" t="n">
        <x:f>SUM(IF($B$8=3,AC24,0),IF($B$36=3,AC52,0),IF($B$64=3,AC80,0))</x:f>
      </x:c>
      <x:c r="AD108" s="107" t="n">
        <x:f>SUM(IF($B$8=3,AD24,0),IF($B$36=3,AD52,0),IF($B$64=3,AD80,0))</x:f>
      </x:c>
      <x:c r="AE108" s="107" t="n">
        <x:f>SUM(IF($B$8=3,AE24,0),IF($B$36=3,AE52,0),IF($B$64=3,AE80,0))</x:f>
      </x:c>
      <x:c r="AF108" s="107" t="n">
        <x:f>SUM(IF($B$8=3,AF24,0),IF($B$36=3,AF52,0),IF($B$64=3,AF80,0))</x:f>
      </x:c>
      <x:c r="AG108" s="107" t="n">
        <x:f>SUM(IF($B$8=3,AG24,0),IF($B$36=3,AG52,0),IF($B$64=3,AG80,0))</x:f>
      </x:c>
      <x:c r="AH108" s="107" t="n">
        <x:f>SUM(IF($B$8=3,AH24,0),IF($B$36=3,AH52,0),IF($B$64=3,AH80,0))</x:f>
      </x:c>
      <x:c r="AI108" s="107" t="n">
        <x:f>SUM(IF($B$8=3,AI24,0),IF($B$36=3,AI52,0),IF($B$64=3,AI80,0))</x:f>
      </x:c>
      <x:c r="AJ108" s="107" t="n">
        <x:f>SUM(IF($B$8=3,AJ24,0),IF($B$36=3,AJ52,0),IF($B$64=3,AJ80,0))</x:f>
      </x:c>
      <x:c r="AK108" s="107" t="n">
        <x:f>SUM(IF($B$8=3,AK24,0),IF($B$36=3,AK52,0),IF($B$64=3,AK80,0))</x:f>
      </x:c>
      <x:c r="AL108" s="107" t="n">
        <x:f>SUM(IF($B$8=3,AL24,0),IF($B$36=3,AL52,0),IF($B$64=3,AL80,0))</x:f>
      </x:c>
      <x:c r="AM108" s="107" t="n">
        <x:f>SUM(IF($B$8=3,AM24,0),IF($B$36=3,AM52,0),IF($B$64=3,AM80,0))</x:f>
      </x:c>
      <x:c r="AN108" s="107" t="n">
        <x:f>SUM(IF($B$8=3,AN24,0),IF($B$36=3,AN52,0),IF($B$64=3,AN80,0))</x:f>
      </x:c>
      <x:c r="AO108" s="107" t="n">
        <x:f>SUM(IF($B$8=3,AO24,0),IF($B$36=3,AO52,0),IF($B$64=3,AO80,0))</x:f>
      </x:c>
      <x:c r="AP108" s="107" t="n">
        <x:f>SUM(IF($B$8=3,AP24,0),IF($B$36=3,AP52,0),IF($B$64=3,AP80,0))</x:f>
      </x:c>
      <x:c r="AQ108" s="107" t="n">
        <x:f>SUM(IF($B$8=3,AQ24,0),IF($B$36=3,AQ52,0),IF($B$64=3,AQ80,0))</x:f>
      </x:c>
      <x:c r="AR108" s="107" t="n">
        <x:f>SUM(IF($B$8=3,AR24,0),IF($B$36=3,AR52,0),IF($B$64=3,AR80,0))</x:f>
      </x:c>
      <x:c r="AS108" s="107" t="n">
        <x:f>SUM(IF($B$8=3,AS24,0),IF($B$36=3,AS52,0),IF($B$64=3,AS80,0))</x:f>
      </x:c>
      <x:c r="AT108" s="107" t="n">
        <x:f>SUM(IF($B$8=3,AT24,0),IF($B$36=3,AT52,0),IF($B$64=3,AT80,0))</x:f>
      </x:c>
      <x:c r="AU108" s="107" t="n">
        <x:f>SUM(IF($B$8=3,AU24,0),IF($B$36=3,AU52,0),IF($B$64=3,AU80,0))</x:f>
      </x:c>
      <x:c r="AV108" s="107" t="n">
        <x:f>SUM(IF($B$8=3,AV24,0),IF($B$36=3,AV52,0),IF($B$64=3,AV80,0))</x:f>
      </x:c>
      <x:c r="AW108" s="107" t="n">
        <x:f>SUM(IF($B$8=3,AW24,0),IF($B$36=3,AW52,0),IF($B$64=3,AW80,0))</x:f>
      </x:c>
      <x:c r="AX108" s="107" t="n">
        <x:f>SUM(IF($B$8=3,AX24,0),IF($B$36=3,AX52,0),IF($B$64=3,AX80,0))</x:f>
      </x:c>
      <x:c r="AY108" s="107" t="n">
        <x:f>SUM(IF($B$8=3,AY24,0),IF($B$36=3,AY52,0),IF($B$64=3,AY80,0))</x:f>
      </x:c>
      <x:c r="AZ108" s="107" t="n">
        <x:f>SUM(IF($B$8=3,AZ24,0),IF($B$36=3,AZ52,0),IF($B$64=3,AZ80,0))</x:f>
      </x:c>
      <x:c r="BA108" s="107" t="n">
        <x:f>SUM(IF($B$8=3,BA24,0),IF($B$36=3,BA52,0),IF($B$64=3,BA80,0))</x:f>
      </x:c>
      <x:c r="BB108" s="107" t="n">
        <x:f>SUM(IF($B$8=3,BB24,0),IF($B$36=3,BB52,0),IF($B$64=3,BB80,0))</x:f>
      </x:c>
      <x:c r="BC108" s="107" t="n">
        <x:f>SUM(IF($B$8=3,BC24,0),IF($B$36=3,BC52,0),IF($B$64=3,BC80,0))</x:f>
      </x:c>
      <x:c r="BD108" s="107" t="n">
        <x:f>SUM(IF($B$8=3,BD24,0),IF($B$36=3,BD52,0),IF($B$64=3,BD80,0))</x:f>
      </x:c>
      <x:c r="BE108" s="107" t="n">
        <x:f>SUM(IF($B$8=3,BE24,0),IF($B$36=3,BE52,0),IF($B$64=3,BE80,0))</x:f>
      </x:c>
      <x:c r="BF108" s="107" t="n">
        <x:f>SUM(IF($B$8=3,BF24,0),IF($B$36=3,BF52,0),IF($B$64=3,BF80,0))</x:f>
      </x:c>
      <x:c r="BG108" s="107" t="n">
        <x:f>SUM(IF($B$8=3,BG24,0),IF($B$36=3,BG52,0),IF($B$64=3,BG80,0))</x:f>
      </x:c>
      <x:c r="BH108" s="107" t="n">
        <x:f>SUM(IF($B$8=3,BH24,0),IF($B$36=3,BH52,0),IF($B$64=3,BH80,0))</x:f>
      </x:c>
      <x:c r="BI108" s="107" t="n">
        <x:f>SUM(IF($B$8=3,BI24,0),IF($B$36=3,BI52,0),IF($B$64=3,BI80,0))</x:f>
      </x:c>
      <x:c r="BJ108" s="107" t="n">
        <x:f>SUM(IF($B$8=3,BJ24,0),IF($B$36=3,BJ52,0),IF($B$64=3,BJ80,0))</x:f>
      </x:c>
      <x:c r="BK108" s="107" t="n">
        <x:f>SUM(IF($B$8=3,BK24,0),IF($B$36=3,BK52,0),IF($B$64=3,BK80,0))</x:f>
      </x:c>
      <x:c r="BL108" s="107" t="n">
        <x:f>SUM(IF($B$8=3,BL24,0),IF($B$36=3,BL52,0),IF($B$64=3,BL80,0))</x:f>
      </x:c>
      <x:c r="BM108" s="107" t="n">
        <x:f>SUM(IF($B$8=3,BM24,0),IF($B$36=3,BM52,0),IF($B$64=3,BM80,0))</x:f>
      </x:c>
      <x:c r="BN108" s="107" t="n">
        <x:f>SUM(IF($B$8=3,BN24,0),IF($B$36=3,BN52,0),IF($B$64=3,BN80,0))</x:f>
      </x:c>
      <x:c r="BO108" s="107" t="n">
        <x:f>SUM(IF($B$8=3,BO24,0),IF($B$36=3,BO52,0),IF($B$64=3,BO80,0))</x:f>
      </x:c>
      <x:c r="BP108" s="107" t="n">
        <x:f>SUM(IF($B$8=3,BP24,0),IF($B$36=3,BP52,0),IF($B$64=3,BP80,0))</x:f>
      </x:c>
      <x:c r="BQ108" s="107" t="n">
        <x:f>SUM(IF($B$8=3,BQ24,0),IF($B$36=3,BQ52,0),IF($B$64=3,BQ80,0))</x:f>
      </x:c>
      <x:c r="BR108" s="107" t="n">
        <x:f>SUM(IF($B$8=3,BR24,0),IF($B$36=3,BR52,0),IF($B$64=3,BR80,0))</x:f>
      </x:c>
      <x:c r="BS108" s="107" t="n">
        <x:f>SUM(IF($B$8=3,BS24,0),IF($B$36=3,BS52,0),IF($B$64=3,BS80,0))</x:f>
      </x:c>
      <x:c r="BT108" s="107" t="n">
        <x:f>SUM(IF($B$8=3,BT24,0),IF($B$36=3,BT52,0),IF($B$64=3,BT80,0))</x:f>
      </x:c>
      <x:c r="BU108" s="107" t="n">
        <x:f>SUM(IF($B$8=3,BU24,0),IF($B$36=3,BU52,0),IF($B$64=3,BU80,0))</x:f>
      </x:c>
      <x:c r="BV108" s="107" t="n">
        <x:f>SUM(IF($B$8=3,BV24,0),IF($B$36=3,BV52,0),IF($B$64=3,BV80,0))</x:f>
      </x:c>
      <x:c r="BW108" s="107" t="n">
        <x:f>SUM(IF($B$8=3,BW24,0),IF($B$36=3,BW52,0),IF($B$64=3,BW80,0))</x:f>
      </x:c>
      <x:c r="BX108" s="107" t="n">
        <x:f>SUM(IF($B$8=3,BX24,0),IF($B$36=3,BX52,0),IF($B$64=3,BX80,0))</x:f>
      </x:c>
      <x:c r="BY108" s="107" t="n">
        <x:f>SUM(IF($B$8=3,BY24,0),IF($B$36=3,BY52,0),IF($B$64=3,BY80,0))</x:f>
      </x:c>
      <x:c r="BZ108" s="107" t="n">
        <x:f>SUM(IF($B$8=3,BZ24,0),IF($B$36=3,BZ52,0),IF($B$64=3,BZ80,0))</x:f>
      </x:c>
      <x:c r="CA108" s="107" t="n">
        <x:f>SUM(IF($B$8=3,CA24,0),IF($B$36=3,CA52,0),IF($B$64=3,CA80,0))</x:f>
      </x:c>
      <x:c r="CB108" s="107" t="n">
        <x:f>SUM(IF($B$8=3,CB24,0),IF($B$36=3,CB52,0),IF($B$64=3,CB80,0))</x:f>
      </x:c>
      <x:c r="CC108" s="107" t="n">
        <x:f>SUM(IF($B$8=3,CC24,0),IF($B$36=3,CC52,0),IF($B$64=3,CC80,0))</x:f>
      </x:c>
      <x:c r="CD108" s="107" t="n">
        <x:f>SUM(IF($B$8=3,CD24,0),IF($B$36=3,CD52,0),IF($B$64=3,CD80,0))</x:f>
      </x:c>
      <x:c r="CE108" s="107" t="n">
        <x:f>SUM(IF($B$8=3,CE24,0),IF($B$36=3,CE52,0),IF($B$64=3,CE80,0))</x:f>
      </x:c>
      <x:c r="CF108" s="107" t="n">
        <x:f>SUM(IF($B$8=3,CF24,0),IF($B$36=3,CF52,0),IF($B$64=3,CF80,0))</x:f>
      </x:c>
      <x:c r="CG108" s="107" t="n">
        <x:f>SUM(IF($B$8=3,CG24,0),IF($B$36=3,CG52,0),IF($B$64=3,CG80,0))</x:f>
      </x:c>
      <x:c r="CH108" s="107" t="n">
        <x:f>SUM(IF($B$8=3,CH24,0),IF($B$36=3,CH52,0),IF($B$64=3,CH80,0))</x:f>
      </x:c>
      <x:c r="CI108" s="107" t="n">
        <x:f>SUM(IF($B$8=3,CI24,0),IF($B$36=3,CI52,0),IF($B$64=3,CI80,0))</x:f>
      </x:c>
      <x:c r="CJ108" s="107" t="n">
        <x:f>SUM(IF($B$8=3,CJ24,0),IF($B$36=3,CJ52,0),IF($B$64=3,CJ80,0))</x:f>
      </x:c>
      <x:c r="CK108" s="107" t="n">
        <x:f>SUM(IF($B$8=3,CK24,0),IF($B$36=3,CK52,0),IF($B$64=3,CK80,0))</x:f>
      </x:c>
      <x:c r="CL108" s="107" t="n">
        <x:f>SUM(IF($B$8=3,CL24,0),IF($B$36=3,CL52,0),IF($B$64=3,CL80,0))</x:f>
      </x:c>
      <x:c r="CM108" s="107" t="n">
        <x:f>SUM(IF($B$8=3,CM24,0),IF($B$36=3,CM52,0),IF($B$64=3,CM80,0))</x:f>
      </x:c>
      <x:c r="CN108" s="107" t="n">
        <x:f>SUM(IF($B$8=3,CN24,0),IF($B$36=3,CN52,0),IF($B$64=3,CN80,0))</x:f>
      </x:c>
      <x:c r="CO108" s="107" t="n">
        <x:f>SUM(IF($B$8=3,CO24,0),IF($B$36=3,CO52,0),IF($B$64=3,CO80,0))</x:f>
      </x:c>
      <x:c r="CP108" s="107" t="n">
        <x:f>SUM(IF($B$8=3,CP24,0),IF($B$36=3,CP52,0),IF($B$64=3,CP80,0))</x:f>
      </x:c>
      <x:c r="CQ108" s="107" t="n">
        <x:f>SUM(IF($B$8=3,CQ24,0),IF($B$36=3,CQ52,0),IF($B$64=3,CQ80,0))</x:f>
      </x:c>
      <x:c r="CR108" s="107" t="n">
        <x:f>SUM(IF($B$8=3,CR24,0),IF($B$36=3,CR52,0),IF($B$64=3,CR80,0))</x:f>
      </x:c>
      <x:c r="CS108" s="107" t="n">
        <x:f>SUM(IF($B$8=3,CS24,0),IF($B$36=3,CS52,0),IF($B$64=3,CS80,0))</x:f>
      </x:c>
      <x:c r="CT108" s="107" t="n">
        <x:f>SUM(IF($B$8=3,CT24,0),IF($B$36=3,CT52,0),IF($B$64=3,CT80,0))</x:f>
      </x:c>
      <x:c r="CU108" s="107" t="n">
        <x:f>SUM(IF($B$8=3,CU24,0),IF($B$36=3,CU52,0),IF($B$64=3,CU80,0))</x:f>
      </x:c>
      <x:c r="CV108" s="107" t="n">
        <x:f>SUM(IF($B$8=3,CV24,0),IF($B$36=3,CV52,0),IF($B$64=3,CV80,0))</x:f>
      </x:c>
      <x:c r="CW108" s="107" t="n">
        <x:f>SUM(IF($B$8=3,CW24,0),IF($B$36=3,CW52,0),IF($B$64=3,CW80,0))</x:f>
      </x:c>
      <x:c r="CX108" s="107" t="n">
        <x:f>SUM(IF($B$8=3,CX24,0),IF($B$36=3,CX52,0),IF($B$64=3,CX80,0))</x:f>
      </x:c>
      <x:c r="CY108" s="107" t="n">
        <x:f>SUM(IF($B$8=3,CY24,0),IF($B$36=3,CY52,0),IF($B$64=3,CY80,0))</x:f>
      </x:c>
      <x:c r="CZ108" s="107" t="n">
        <x:f>SUM(IF($B$8=3,CZ24,0),IF($B$36=3,CZ52,0),IF($B$64=3,CZ80,0))</x:f>
      </x:c>
      <x:c r="DA108" s="107" t="n">
        <x:f>SUM(IF($B$8=3,DA24,0),IF($B$36=3,DA52,0),IF($B$64=3,DA80,0))</x:f>
      </x:c>
      <x:c r="DB108" s="107" t="n">
        <x:f>SUM(IF($B$8=3,DB24,0),IF($B$36=3,DB52,0),IF($B$64=3,DB80,0))</x:f>
      </x:c>
      <x:c r="DC108" s="107" t="n">
        <x:f>SUM(IF($B$8=3,DC24,0),IF($B$36=3,DC52,0),IF($B$64=3,DC80,0))</x:f>
      </x:c>
      <x:c r="DD108" s="107" t="n">
        <x:f>SUM(IF($B$8=3,DD24,0),IF($B$36=3,DD52,0),IF($B$64=3,DD80,0))</x:f>
      </x:c>
      <x:c r="DE108" s="107" t="n">
        <x:f>SUM(IF($B$8=3,DE24,0),IF($B$36=3,DE52,0),IF($B$64=3,DE80,0))</x:f>
      </x:c>
      <x:c r="DF108" s="107" t="n">
        <x:f>SUM(IF($B$8=3,DF24,0),IF($B$36=3,DF52,0),IF($B$64=3,DF80,0))</x:f>
      </x:c>
      <x:c r="DG108" s="107" t="n">
        <x:f>SUM(IF($B$8=3,DG24,0),IF($B$36=3,DG52,0),IF($B$64=3,DG80,0))</x:f>
      </x:c>
      <x:c r="DH108" s="107" t="n">
        <x:f>SUM(IF($B$8=3,DH24,0),IF($B$36=3,DH52,0),IF($B$64=3,DH80,0))</x:f>
      </x:c>
      <x:c r="DI108" s="107" t="n">
        <x:f>SUM(IF($B$8=3,DI24,0),IF($B$36=3,DI52,0),IF($B$64=3,DI80,0))</x:f>
      </x:c>
      <x:c r="DJ108" s="107" t="n">
        <x:f>SUM(IF($B$8=3,DJ24,0),IF($B$36=3,DJ52,0),IF($B$64=3,DJ80,0))</x:f>
      </x:c>
      <x:c r="DK108" s="107" t="n">
        <x:f>SUM(IF($B$8=3,DK24,0),IF($B$36=3,DK52,0),IF($B$64=3,DK80,0))</x:f>
      </x:c>
      <x:c r="DL108" s="107" t="n">
        <x:f>SUM(IF($B$8=3,DL24,0),IF($B$36=3,DL52,0),IF($B$64=3,DL80,0))</x:f>
      </x:c>
      <x:c r="DM108" s="107" t="n">
        <x:f>SUM(IF($B$8=3,DM24,0),IF($B$36=3,DM52,0),IF($B$64=3,DM80,0))</x:f>
      </x:c>
      <x:c r="DN108" s="107" t="n">
        <x:f>SUM(IF($B$8=3,DN24,0),IF($B$36=3,DN52,0),IF($B$64=3,DN80,0))</x:f>
      </x:c>
      <x:c r="DO108" s="107" t="n">
        <x:f>SUM(IF($B$8=3,DO24,0),IF($B$36=3,DO52,0),IF($B$64=3,DO80,0))</x:f>
      </x:c>
      <x:c r="DP108" s="107" t="n">
        <x:f>SUM(IF($B$8=3,DP24,0),IF($B$36=3,DP52,0),IF($B$64=3,DP80,0))</x:f>
      </x:c>
      <x:c r="DQ108" s="107" t="n">
        <x:f>SUM(IF($B$8=3,DQ24,0),IF($B$36=3,DQ52,0),IF($B$64=3,DQ80,0))</x:f>
      </x:c>
      <x:c r="DR108" s="107" t="n">
        <x:f>SUM(IF($B$8=3,DR24,0),IF($B$36=3,DR52,0),IF($B$64=3,DR80,0))</x:f>
      </x:c>
      <x:c r="DS108" s="107" t="n">
        <x:f>SUM(IF($B$8=3,DS24,0),IF($B$36=3,DS52,0),IF($B$64=3,DS80,0))</x:f>
      </x:c>
      <x:c r="DT108" s="107" t="n">
        <x:f>SUM(IF($B$8=3,DT24,0),IF($B$36=3,DT52,0),IF($B$64=3,DT80,0))</x:f>
      </x:c>
      <x:c r="DU108" s="107" t="n">
        <x:f>SUM(IF($B$8=3,DU24,0),IF($B$36=3,DU52,0),IF($B$64=3,DU80,0))</x:f>
      </x:c>
      <x:c r="DV108" s="107" t="n">
        <x:f>SUM(IF($B$8=3,DV24,0),IF($B$36=3,DV52,0),IF($B$64=3,DV80,0))</x:f>
      </x:c>
      <x:c r="DW108" s="107" t="n">
        <x:f>SUM(IF($B$8=3,DW24,0),IF($B$36=3,DW52,0),IF($B$64=3,DW80,0))</x:f>
      </x:c>
      <x:c r="DX108" s="107" t="n">
        <x:f>SUM(IF($B$8=3,DX24,0),IF($B$36=3,DX52,0),IF($B$64=3,DX80,0))</x:f>
      </x:c>
      <x:c r="DY108" s="107" t="n">
        <x:f>SUM(IF($B$8=3,DY24,0),IF($B$36=3,DY52,0),IF($B$64=3,DY80,0))</x:f>
      </x:c>
      <x:c r="DZ108" s="107" t="n">
        <x:f>SUM(IF($B$8=3,DZ24,0),IF($B$36=3,DZ52,0),IF($B$64=3,DZ80,0))</x:f>
      </x:c>
      <x:c r="EA108" s="107" t="n">
        <x:f>SUM(IF($B$8=3,EA24,0),IF($B$36=3,EA52,0),IF($B$64=3,EA80,0))</x:f>
      </x:c>
      <x:c r="EB108" s="107" t="n">
        <x:f>SUM(IF($B$8=3,EB24,0),IF($B$36=3,EB52,0),IF($B$64=3,EB80,0))</x:f>
      </x:c>
      <x:c r="EC108" s="107" t="n">
        <x:f>SUM(IF($B$8=3,EC24,0),IF($B$36=3,EC52,0),IF($B$64=3,EC80,0))</x:f>
      </x:c>
      <x:c r="ED108" s="107" t="n">
        <x:f>SUM(IF($B$8=3,ED24,0),IF($B$36=3,ED52,0),IF($B$64=3,ED80,0))</x:f>
      </x:c>
      <x:c r="EE108" s="107" t="n">
        <x:f>SUM(IF($B$8=3,EE24,0),IF($B$36=3,EE52,0),IF($B$64=3,EE80,0))</x:f>
      </x:c>
      <x:c r="EF108" s="107" t="n">
        <x:f>SUM(IF($B$8=3,EF24,0),IF($B$36=3,EF52,0),IF($B$64=3,EF80,0))</x:f>
      </x:c>
      <x:c r="EG108" s="107" t="n">
        <x:f>SUM(IF($B$8=3,EG24,0),IF($B$36=3,EG52,0),IF($B$64=3,EG80,0))</x:f>
      </x:c>
      <x:c r="EH108" s="107" t="n">
        <x:f>SUM(IF($B$8=3,EH24,0),IF($B$36=3,EH52,0),IF($B$64=3,EH80,0))</x:f>
      </x:c>
      <x:c r="EI108" s="107" t="n">
        <x:f>SUM(IF($B$8=3,EI24,0),IF($B$36=3,EI52,0),IF($B$64=3,EI80,0))</x:f>
      </x:c>
      <x:c r="EJ108" s="107" t="n">
        <x:f>SUM(IF($B$8=3,EJ24,0),IF($B$36=3,EJ52,0),IF($B$64=3,EJ80,0))</x:f>
      </x:c>
      <x:c r="EK108" s="107" t="n">
        <x:f>SUM(IF($B$8=3,EK24,0),IF($B$36=3,EK52,0),IF($B$64=3,EK80,0))</x:f>
      </x:c>
      <x:c r="EL108" s="107" t="n">
        <x:f>SUM(IF($B$8=3,EL24,0),IF($B$36=3,EL52,0),IF($B$64=3,EL80,0))</x:f>
      </x:c>
      <x:c r="EM108" s="107" t="n">
        <x:f>SUM(IF($B$8=3,EM24,0),IF($B$36=3,EM52,0),IF($B$64=3,EM80,0))</x:f>
      </x:c>
      <x:c r="EN108" s="107" t="n">
        <x:f>SUM(IF($B$8=3,EN24,0),IF($B$36=3,EN52,0),IF($B$64=3,EN80,0))</x:f>
      </x:c>
      <x:c r="EO108" s="107" t="n">
        <x:f>SUM(IF($B$8=3,EO24,0),IF($B$36=3,EO52,0),IF($B$64=3,EO80,0))</x:f>
      </x:c>
      <x:c r="EP108" s="107" t="n">
        <x:f>SUM(IF($B$8=3,EP24,0),IF($B$36=3,EP52,0),IF($B$64=3,EP80,0))</x:f>
      </x:c>
      <x:c r="EQ108" s="107" t="n">
        <x:f>SUM(IF($B$8=3,EQ24,0),IF($B$36=3,EQ52,0),IF($B$64=3,EQ80,0))</x:f>
      </x:c>
      <x:c r="ER108" s="107" t="n">
        <x:f>SUM(IF($B$8=3,ER24,0),IF($B$36=3,ER52,0),IF($B$64=3,ER80,0))</x:f>
      </x:c>
      <x:c r="ES108" s="107" t="n">
        <x:f>SUM(IF($B$8=3,ES24,0),IF($B$36=3,ES52,0),IF($B$64=3,ES80,0))</x:f>
      </x:c>
      <x:c r="ET108" s="107" t="n">
        <x:f>SUM(IF($B$8=3,ET24,0),IF($B$36=3,ET52,0),IF($B$64=3,ET80,0))</x:f>
      </x:c>
      <x:c r="EU108" s="107" t="n">
        <x:f>SUM(IF($B$8=3,EU24,0),IF($B$36=3,EU52,0),IF($B$64=3,EU80,0))</x:f>
      </x:c>
      <x:c r="EV108" s="107" t="n">
        <x:f>SUM(IF($B$8=3,EV24,0),IF($B$36=3,EV52,0),IF($B$64=3,EV80,0))</x:f>
      </x:c>
      <x:c r="EW108" s="107" t="n">
        <x:f>SUM(IF($B$8=3,EW24,0),IF($B$36=3,EW52,0),IF($B$64=3,EW80,0))</x:f>
      </x:c>
      <x:c r="EX108" s="107" t="n">
        <x:f>SUM(IF($B$8=3,EX24,0),IF($B$36=3,EX52,0),IF($B$64=3,EX80,0))</x:f>
      </x:c>
      <x:c r="EY108" s="107" t="n">
        <x:f>SUM(IF($B$8=3,EY24,0),IF($B$36=3,EY52,0),IF($B$64=3,EY80,0))</x:f>
      </x:c>
      <x:c r="EZ108" s="107" t="n">
        <x:f>SUM(IF($B$8=3,EZ24,0),IF($B$36=3,EZ52,0),IF($B$64=3,EZ80,0))</x:f>
      </x:c>
      <x:c r="FA108" s="107" t="n">
        <x:f>SUM(IF($B$8=3,FA24,0),IF($B$36=3,FA52,0),IF($B$64=3,FA80,0))</x:f>
      </x:c>
      <x:c r="FB108" s="107" t="n">
        <x:f>SUM(IF($B$8=3,FB24,0),IF($B$36=3,FB52,0),IF($B$64=3,FB80,0))</x:f>
      </x:c>
      <x:c r="FC108" s="107" t="n">
        <x:f>SUM(IF($B$8=3,FC24,0),IF($B$36=3,FC52,0),IF($B$64=3,FC80,0))</x:f>
      </x:c>
      <x:c r="FD108" s="107" t="n">
        <x:f>SUM(IF($B$8=3,FD24,0),IF($B$36=3,FD52,0),IF($B$64=3,FD80,0))</x:f>
      </x:c>
      <x:c r="FE108" s="107" t="n">
        <x:f>SUM(IF($B$8=3,FE24,0),IF($B$36=3,FE52,0),IF($B$64=3,FE80,0))</x:f>
      </x:c>
      <x:c r="FF108" s="107" t="n">
        <x:f>SUM(IF($B$8=3,FF24,0),IF($B$36=3,FF52,0),IF($B$64=3,FF80,0))</x:f>
      </x:c>
      <x:c r="FG108" s="107" t="n">
        <x:f>SUM(IF($B$8=3,FG24,0),IF($B$36=3,FG52,0),IF($B$64=3,FG80,0))</x:f>
      </x:c>
      <x:c r="FH108" s="107" t="n">
        <x:f>SUM(IF($B$8=3,FH24,0),IF($B$36=3,FH52,0),IF($B$64=3,FH80,0))</x:f>
      </x:c>
      <x:c r="FI108" s="107" t="n">
        <x:f>SUM(IF($B$8=3,FI24,0),IF($B$36=3,FI52,0),IF($B$64=3,FI80,0))</x:f>
      </x:c>
      <x:c r="FJ108" s="107" t="n">
        <x:f>SUM(IF($B$8=3,FJ24,0),IF($B$36=3,FJ52,0),IF($B$64=3,FJ80,0))</x:f>
      </x:c>
      <x:c r="FK108" s="107" t="n">
        <x:f>SUM(IF($B$8=3,FK24,0),IF($B$36=3,FK52,0),IF($B$64=3,FK80,0))</x:f>
      </x:c>
      <x:c r="FL108" s="107" t="n">
        <x:f>SUM(IF($B$8=3,FL24,0),IF($B$36=3,FL52,0),IF($B$64=3,FL80,0))</x:f>
      </x:c>
      <x:c r="FM108" s="107" t="n">
        <x:f>SUM(IF($B$8=3,FM24,0),IF($B$36=3,FM52,0),IF($B$64=3,FM80,0))</x:f>
      </x:c>
      <x:c r="FN108" s="107" t="n">
        <x:f>SUM(IF($B$8=3,FN24,0),IF($B$36=3,FN52,0),IF($B$64=3,FN80,0))</x:f>
      </x:c>
      <x:c r="FO108" s="107" t="n">
        <x:f>SUM(IF($B$8=3,FO24,0),IF($B$36=3,FO52,0),IF($B$64=3,FO80,0))</x:f>
      </x:c>
      <x:c r="FP108" s="107" t="n">
        <x:f>SUM(IF($B$8=3,FP24,0),IF($B$36=3,FP52,0),IF($B$64=3,FP80,0))</x:f>
      </x:c>
      <x:c r="FQ108" s="107" t="n">
        <x:f>SUM(IF($B$8=3,FQ24,0),IF($B$36=3,FQ52,0),IF($B$64=3,FQ80,0))</x:f>
      </x:c>
      <x:c r="FR108" s="107" t="n">
        <x:f>SUM(IF($B$8=3,FR24,0),IF($B$36=3,FR52,0),IF($B$64=3,FR80,0))</x:f>
      </x:c>
      <x:c r="FS108" s="107" t="n">
        <x:f>SUM(IF($B$8=3,FS24,0),IF($B$36=3,FS52,0),IF($B$64=3,FS80,0))</x:f>
      </x:c>
      <x:c r="FT108" s="107" t="n">
        <x:f>SUM(IF($B$8=3,FT24,0),IF($B$36=3,FT52,0),IF($B$64=3,FT80,0))</x:f>
      </x:c>
      <x:c r="FU108" s="107" t="n">
        <x:f>SUM(IF($B$8=3,FU24,0),IF($B$36=3,FU52,0),IF($B$64=3,FU80,0))</x:f>
      </x:c>
      <x:c r="FV108" s="107" t="n">
        <x:f>SUM(IF($B$8=3,FV24,0),IF($B$36=3,FV52,0),IF($B$64=3,FV80,0))</x:f>
      </x:c>
      <x:c r="FW108" s="107" t="n">
        <x:f>SUM(IF($B$8=3,FW24,0),IF($B$36=3,FW52,0),IF($B$64=3,FW80,0))</x:f>
      </x:c>
      <x:c r="FX108" s="107" t="n">
        <x:f>SUM(IF($B$8=3,FX24,0),IF($B$36=3,FX52,0),IF($B$64=3,FX80,0))</x:f>
      </x:c>
      <x:c r="FY108" s="107" t="n">
        <x:f>SUM(IF($B$8=3,FY24,0),IF($B$36=3,FY52,0),IF($B$64=3,FY80,0))</x:f>
      </x:c>
      <x:c r="FZ108" s="107" t="n">
        <x:f>SUM(IF($B$8=3,FZ24,0),IF($B$36=3,FZ52,0),IF($B$64=3,FZ80,0))</x:f>
      </x:c>
      <x:c r="GA108" s="107" t="n">
        <x:f>SUM(IF($B$8=3,GA24,0),IF($B$36=3,GA52,0),IF($B$64=3,GA80,0))</x:f>
      </x:c>
    </x:row>
    <x:row r="109">
      <x:c r="A109" t="str">
        <x:v>Очередь 3 — Поступления объектов на эскроу</x:v>
      </x:c>
      <x:c r="B109" s="107" t="n">
        <x:f>SUM(D109:GA109)</x:f>
      </x:c>
      <x:c r="C109" t="str">
        <x:v>млн ₽</x:v>
      </x:c>
      <x:c r="D109" s="107" t="n">
        <x:f>SUM(IF($B$8=3,D25,0),IF($B$36=3,D53,0),IF($B$64=3,D81,0))</x:f>
      </x:c>
      <x:c r="E109" s="107" t="n">
        <x:f>SUM(IF($B$8=3,E25,0),IF($B$36=3,E53,0),IF($B$64=3,E81,0))</x:f>
      </x:c>
      <x:c r="F109" s="107" t="n">
        <x:f>SUM(IF($B$8=3,F25,0),IF($B$36=3,F53,0),IF($B$64=3,F81,0))</x:f>
      </x:c>
      <x:c r="G109" s="107" t="n">
        <x:f>SUM(IF($B$8=3,G25,0),IF($B$36=3,G53,0),IF($B$64=3,G81,0))</x:f>
      </x:c>
      <x:c r="H109" s="107" t="n">
        <x:f>SUM(IF($B$8=3,H25,0),IF($B$36=3,H53,0),IF($B$64=3,H81,0))</x:f>
      </x:c>
      <x:c r="I109" s="107" t="n">
        <x:f>SUM(IF($B$8=3,I25,0),IF($B$36=3,I53,0),IF($B$64=3,I81,0))</x:f>
      </x:c>
      <x:c r="J109" s="107" t="n">
        <x:f>SUM(IF($B$8=3,J25,0),IF($B$36=3,J53,0),IF($B$64=3,J81,0))</x:f>
      </x:c>
      <x:c r="K109" s="107" t="n">
        <x:f>SUM(IF($B$8=3,K25,0),IF($B$36=3,K53,0),IF($B$64=3,K81,0))</x:f>
      </x:c>
      <x:c r="L109" s="107" t="n">
        <x:f>SUM(IF($B$8=3,L25,0),IF($B$36=3,L53,0),IF($B$64=3,L81,0))</x:f>
      </x:c>
      <x:c r="M109" s="107" t="n">
        <x:f>SUM(IF($B$8=3,M25,0),IF($B$36=3,M53,0),IF($B$64=3,M81,0))</x:f>
      </x:c>
      <x:c r="N109" s="107" t="n">
        <x:f>SUM(IF($B$8=3,N25,0),IF($B$36=3,N53,0),IF($B$64=3,N81,0))</x:f>
      </x:c>
      <x:c r="O109" s="107" t="n">
        <x:f>SUM(IF($B$8=3,O25,0),IF($B$36=3,O53,0),IF($B$64=3,O81,0))</x:f>
      </x:c>
      <x:c r="P109" s="107" t="n">
        <x:f>SUM(IF($B$8=3,P25,0),IF($B$36=3,P53,0),IF($B$64=3,P81,0))</x:f>
      </x:c>
      <x:c r="Q109" s="107" t="n">
        <x:f>SUM(IF($B$8=3,Q25,0),IF($B$36=3,Q53,0),IF($B$64=3,Q81,0))</x:f>
      </x:c>
      <x:c r="R109" s="107" t="n">
        <x:f>SUM(IF($B$8=3,R25,0),IF($B$36=3,R53,0),IF($B$64=3,R81,0))</x:f>
      </x:c>
      <x:c r="S109" s="107" t="n">
        <x:f>SUM(IF($B$8=3,S25,0),IF($B$36=3,S53,0),IF($B$64=3,S81,0))</x:f>
      </x:c>
      <x:c r="T109" s="107" t="n">
        <x:f>SUM(IF($B$8=3,T25,0),IF($B$36=3,T53,0),IF($B$64=3,T81,0))</x:f>
      </x:c>
      <x:c r="U109" s="107" t="n">
        <x:f>SUM(IF($B$8=3,U25,0),IF($B$36=3,U53,0),IF($B$64=3,U81,0))</x:f>
      </x:c>
      <x:c r="V109" s="107" t="n">
        <x:f>SUM(IF($B$8=3,V25,0),IF($B$36=3,V53,0),IF($B$64=3,V81,0))</x:f>
      </x:c>
      <x:c r="W109" s="107" t="n">
        <x:f>SUM(IF($B$8=3,W25,0),IF($B$36=3,W53,0),IF($B$64=3,W81,0))</x:f>
      </x:c>
      <x:c r="X109" s="107" t="n">
        <x:f>SUM(IF($B$8=3,X25,0),IF($B$36=3,X53,0),IF($B$64=3,X81,0))</x:f>
      </x:c>
      <x:c r="Y109" s="107" t="n">
        <x:f>SUM(IF($B$8=3,Y25,0),IF($B$36=3,Y53,0),IF($B$64=3,Y81,0))</x:f>
      </x:c>
      <x:c r="Z109" s="107" t="n">
        <x:f>SUM(IF($B$8=3,Z25,0),IF($B$36=3,Z53,0),IF($B$64=3,Z81,0))</x:f>
      </x:c>
      <x:c r="AA109" s="107" t="n">
        <x:f>SUM(IF($B$8=3,AA25,0),IF($B$36=3,AA53,0),IF($B$64=3,AA81,0))</x:f>
      </x:c>
      <x:c r="AB109" s="107" t="n">
        <x:f>SUM(IF($B$8=3,AB25,0),IF($B$36=3,AB53,0),IF($B$64=3,AB81,0))</x:f>
      </x:c>
      <x:c r="AC109" s="107" t="n">
        <x:f>SUM(IF($B$8=3,AC25,0),IF($B$36=3,AC53,0),IF($B$64=3,AC81,0))</x:f>
      </x:c>
      <x:c r="AD109" s="107" t="n">
        <x:f>SUM(IF($B$8=3,AD25,0),IF($B$36=3,AD53,0),IF($B$64=3,AD81,0))</x:f>
      </x:c>
      <x:c r="AE109" s="107" t="n">
        <x:f>SUM(IF($B$8=3,AE25,0),IF($B$36=3,AE53,0),IF($B$64=3,AE81,0))</x:f>
      </x:c>
      <x:c r="AF109" s="107" t="n">
        <x:f>SUM(IF($B$8=3,AF25,0),IF($B$36=3,AF53,0),IF($B$64=3,AF81,0))</x:f>
      </x:c>
      <x:c r="AG109" s="107" t="n">
        <x:f>SUM(IF($B$8=3,AG25,0),IF($B$36=3,AG53,0),IF($B$64=3,AG81,0))</x:f>
      </x:c>
      <x:c r="AH109" s="107" t="n">
        <x:f>SUM(IF($B$8=3,AH25,0),IF($B$36=3,AH53,0),IF($B$64=3,AH81,0))</x:f>
      </x:c>
      <x:c r="AI109" s="107" t="n">
        <x:f>SUM(IF($B$8=3,AI25,0),IF($B$36=3,AI53,0),IF($B$64=3,AI81,0))</x:f>
      </x:c>
      <x:c r="AJ109" s="107" t="n">
        <x:f>SUM(IF($B$8=3,AJ25,0),IF($B$36=3,AJ53,0),IF($B$64=3,AJ81,0))</x:f>
      </x:c>
      <x:c r="AK109" s="107" t="n">
        <x:f>SUM(IF($B$8=3,AK25,0),IF($B$36=3,AK53,0),IF($B$64=3,AK81,0))</x:f>
      </x:c>
      <x:c r="AL109" s="107" t="n">
        <x:f>SUM(IF($B$8=3,AL25,0),IF($B$36=3,AL53,0),IF($B$64=3,AL81,0))</x:f>
      </x:c>
      <x:c r="AM109" s="107" t="n">
        <x:f>SUM(IF($B$8=3,AM25,0),IF($B$36=3,AM53,0),IF($B$64=3,AM81,0))</x:f>
      </x:c>
      <x:c r="AN109" s="107" t="n">
        <x:f>SUM(IF($B$8=3,AN25,0),IF($B$36=3,AN53,0),IF($B$64=3,AN81,0))</x:f>
      </x:c>
      <x:c r="AO109" s="107" t="n">
        <x:f>SUM(IF($B$8=3,AO25,0),IF($B$36=3,AO53,0),IF($B$64=3,AO81,0))</x:f>
      </x:c>
      <x:c r="AP109" s="107" t="n">
        <x:f>SUM(IF($B$8=3,AP25,0),IF($B$36=3,AP53,0),IF($B$64=3,AP81,0))</x:f>
      </x:c>
      <x:c r="AQ109" s="107" t="n">
        <x:f>SUM(IF($B$8=3,AQ25,0),IF($B$36=3,AQ53,0),IF($B$64=3,AQ81,0))</x:f>
      </x:c>
      <x:c r="AR109" s="107" t="n">
        <x:f>SUM(IF($B$8=3,AR25,0),IF($B$36=3,AR53,0),IF($B$64=3,AR81,0))</x:f>
      </x:c>
      <x:c r="AS109" s="107" t="n">
        <x:f>SUM(IF($B$8=3,AS25,0),IF($B$36=3,AS53,0),IF($B$64=3,AS81,0))</x:f>
      </x:c>
      <x:c r="AT109" s="107" t="n">
        <x:f>SUM(IF($B$8=3,AT25,0),IF($B$36=3,AT53,0),IF($B$64=3,AT81,0))</x:f>
      </x:c>
      <x:c r="AU109" s="107" t="n">
        <x:f>SUM(IF($B$8=3,AU25,0),IF($B$36=3,AU53,0),IF($B$64=3,AU81,0))</x:f>
      </x:c>
      <x:c r="AV109" s="107" t="n">
        <x:f>SUM(IF($B$8=3,AV25,0),IF($B$36=3,AV53,0),IF($B$64=3,AV81,0))</x:f>
      </x:c>
      <x:c r="AW109" s="107" t="n">
        <x:f>SUM(IF($B$8=3,AW25,0),IF($B$36=3,AW53,0),IF($B$64=3,AW81,0))</x:f>
      </x:c>
      <x:c r="AX109" s="107" t="n">
        <x:f>SUM(IF($B$8=3,AX25,0),IF($B$36=3,AX53,0),IF($B$64=3,AX81,0))</x:f>
      </x:c>
      <x:c r="AY109" s="107" t="n">
        <x:f>SUM(IF($B$8=3,AY25,0),IF($B$36=3,AY53,0),IF($B$64=3,AY81,0))</x:f>
      </x:c>
      <x:c r="AZ109" s="107" t="n">
        <x:f>SUM(IF($B$8=3,AZ25,0),IF($B$36=3,AZ53,0),IF($B$64=3,AZ81,0))</x:f>
      </x:c>
      <x:c r="BA109" s="107" t="n">
        <x:f>SUM(IF($B$8=3,BA25,0),IF($B$36=3,BA53,0),IF($B$64=3,BA81,0))</x:f>
      </x:c>
      <x:c r="BB109" s="107" t="n">
        <x:f>SUM(IF($B$8=3,BB25,0),IF($B$36=3,BB53,0),IF($B$64=3,BB81,0))</x:f>
      </x:c>
      <x:c r="BC109" s="107" t="n">
        <x:f>SUM(IF($B$8=3,BC25,0),IF($B$36=3,BC53,0),IF($B$64=3,BC81,0))</x:f>
      </x:c>
      <x:c r="BD109" s="107" t="n">
        <x:f>SUM(IF($B$8=3,BD25,0),IF($B$36=3,BD53,0),IF($B$64=3,BD81,0))</x:f>
      </x:c>
      <x:c r="BE109" s="107" t="n">
        <x:f>SUM(IF($B$8=3,BE25,0),IF($B$36=3,BE53,0),IF($B$64=3,BE81,0))</x:f>
      </x:c>
      <x:c r="BF109" s="107" t="n">
        <x:f>SUM(IF($B$8=3,BF25,0),IF($B$36=3,BF53,0),IF($B$64=3,BF81,0))</x:f>
      </x:c>
      <x:c r="BG109" s="107" t="n">
        <x:f>SUM(IF($B$8=3,BG25,0),IF($B$36=3,BG53,0),IF($B$64=3,BG81,0))</x:f>
      </x:c>
      <x:c r="BH109" s="107" t="n">
        <x:f>SUM(IF($B$8=3,BH25,0),IF($B$36=3,BH53,0),IF($B$64=3,BH81,0))</x:f>
      </x:c>
      <x:c r="BI109" s="107" t="n">
        <x:f>SUM(IF($B$8=3,BI25,0),IF($B$36=3,BI53,0),IF($B$64=3,BI81,0))</x:f>
      </x:c>
      <x:c r="BJ109" s="107" t="n">
        <x:f>SUM(IF($B$8=3,BJ25,0),IF($B$36=3,BJ53,0),IF($B$64=3,BJ81,0))</x:f>
      </x:c>
      <x:c r="BK109" s="107" t="n">
        <x:f>SUM(IF($B$8=3,BK25,0),IF($B$36=3,BK53,0),IF($B$64=3,BK81,0))</x:f>
      </x:c>
      <x:c r="BL109" s="107" t="n">
        <x:f>SUM(IF($B$8=3,BL25,0),IF($B$36=3,BL53,0),IF($B$64=3,BL81,0))</x:f>
      </x:c>
      <x:c r="BM109" s="107" t="n">
        <x:f>SUM(IF($B$8=3,BM25,0),IF($B$36=3,BM53,0),IF($B$64=3,BM81,0))</x:f>
      </x:c>
      <x:c r="BN109" s="107" t="n">
        <x:f>SUM(IF($B$8=3,BN25,0),IF($B$36=3,BN53,0),IF($B$64=3,BN81,0))</x:f>
      </x:c>
      <x:c r="BO109" s="107" t="n">
        <x:f>SUM(IF($B$8=3,BO25,0),IF($B$36=3,BO53,0),IF($B$64=3,BO81,0))</x:f>
      </x:c>
      <x:c r="BP109" s="107" t="n">
        <x:f>SUM(IF($B$8=3,BP25,0),IF($B$36=3,BP53,0),IF($B$64=3,BP81,0))</x:f>
      </x:c>
      <x:c r="BQ109" s="107" t="n">
        <x:f>SUM(IF($B$8=3,BQ25,0),IF($B$36=3,BQ53,0),IF($B$64=3,BQ81,0))</x:f>
      </x:c>
      <x:c r="BR109" s="107" t="n">
        <x:f>SUM(IF($B$8=3,BR25,0),IF($B$36=3,BR53,0),IF($B$64=3,BR81,0))</x:f>
      </x:c>
      <x:c r="BS109" s="107" t="n">
        <x:f>SUM(IF($B$8=3,BS25,0),IF($B$36=3,BS53,0),IF($B$64=3,BS81,0))</x:f>
      </x:c>
      <x:c r="BT109" s="107" t="n">
        <x:f>SUM(IF($B$8=3,BT25,0),IF($B$36=3,BT53,0),IF($B$64=3,BT81,0))</x:f>
      </x:c>
      <x:c r="BU109" s="107" t="n">
        <x:f>SUM(IF($B$8=3,BU25,0),IF($B$36=3,BU53,0),IF($B$64=3,BU81,0))</x:f>
      </x:c>
      <x:c r="BV109" s="107" t="n">
        <x:f>SUM(IF($B$8=3,BV25,0),IF($B$36=3,BV53,0),IF($B$64=3,BV81,0))</x:f>
      </x:c>
      <x:c r="BW109" s="107" t="n">
        <x:f>SUM(IF($B$8=3,BW25,0),IF($B$36=3,BW53,0),IF($B$64=3,BW81,0))</x:f>
      </x:c>
      <x:c r="BX109" s="107" t="n">
        <x:f>SUM(IF($B$8=3,BX25,0),IF($B$36=3,BX53,0),IF($B$64=3,BX81,0))</x:f>
      </x:c>
      <x:c r="BY109" s="107" t="n">
        <x:f>SUM(IF($B$8=3,BY25,0),IF($B$36=3,BY53,0),IF($B$64=3,BY81,0))</x:f>
      </x:c>
      <x:c r="BZ109" s="107" t="n">
        <x:f>SUM(IF($B$8=3,BZ25,0),IF($B$36=3,BZ53,0),IF($B$64=3,BZ81,0))</x:f>
      </x:c>
      <x:c r="CA109" s="107" t="n">
        <x:f>SUM(IF($B$8=3,CA25,0),IF($B$36=3,CA53,0),IF($B$64=3,CA81,0))</x:f>
      </x:c>
      <x:c r="CB109" s="107" t="n">
        <x:f>SUM(IF($B$8=3,CB25,0),IF($B$36=3,CB53,0),IF($B$64=3,CB81,0))</x:f>
      </x:c>
      <x:c r="CC109" s="107" t="n">
        <x:f>SUM(IF($B$8=3,CC25,0),IF($B$36=3,CC53,0),IF($B$64=3,CC81,0))</x:f>
      </x:c>
      <x:c r="CD109" s="107" t="n">
        <x:f>SUM(IF($B$8=3,CD25,0),IF($B$36=3,CD53,0),IF($B$64=3,CD81,0))</x:f>
      </x:c>
      <x:c r="CE109" s="107" t="n">
        <x:f>SUM(IF($B$8=3,CE25,0),IF($B$36=3,CE53,0),IF($B$64=3,CE81,0))</x:f>
      </x:c>
      <x:c r="CF109" s="107" t="n">
        <x:f>SUM(IF($B$8=3,CF25,0),IF($B$36=3,CF53,0),IF($B$64=3,CF81,0))</x:f>
      </x:c>
      <x:c r="CG109" s="107" t="n">
        <x:f>SUM(IF($B$8=3,CG25,0),IF($B$36=3,CG53,0),IF($B$64=3,CG81,0))</x:f>
      </x:c>
      <x:c r="CH109" s="107" t="n">
        <x:f>SUM(IF($B$8=3,CH25,0),IF($B$36=3,CH53,0),IF($B$64=3,CH81,0))</x:f>
      </x:c>
      <x:c r="CI109" s="107" t="n">
        <x:f>SUM(IF($B$8=3,CI25,0),IF($B$36=3,CI53,0),IF($B$64=3,CI81,0))</x:f>
      </x:c>
      <x:c r="CJ109" s="107" t="n">
        <x:f>SUM(IF($B$8=3,CJ25,0),IF($B$36=3,CJ53,0),IF($B$64=3,CJ81,0))</x:f>
      </x:c>
      <x:c r="CK109" s="107" t="n">
        <x:f>SUM(IF($B$8=3,CK25,0),IF($B$36=3,CK53,0),IF($B$64=3,CK81,0))</x:f>
      </x:c>
      <x:c r="CL109" s="107" t="n">
        <x:f>SUM(IF($B$8=3,CL25,0),IF($B$36=3,CL53,0),IF($B$64=3,CL81,0))</x:f>
      </x:c>
      <x:c r="CM109" s="107" t="n">
        <x:f>SUM(IF($B$8=3,CM25,0),IF($B$36=3,CM53,0),IF($B$64=3,CM81,0))</x:f>
      </x:c>
      <x:c r="CN109" s="107" t="n">
        <x:f>SUM(IF($B$8=3,CN25,0),IF($B$36=3,CN53,0),IF($B$64=3,CN81,0))</x:f>
      </x:c>
      <x:c r="CO109" s="107" t="n">
        <x:f>SUM(IF($B$8=3,CO25,0),IF($B$36=3,CO53,0),IF($B$64=3,CO81,0))</x:f>
      </x:c>
      <x:c r="CP109" s="107" t="n">
        <x:f>SUM(IF($B$8=3,CP25,0),IF($B$36=3,CP53,0),IF($B$64=3,CP81,0))</x:f>
      </x:c>
      <x:c r="CQ109" s="107" t="n">
        <x:f>SUM(IF($B$8=3,CQ25,0),IF($B$36=3,CQ53,0),IF($B$64=3,CQ81,0))</x:f>
      </x:c>
      <x:c r="CR109" s="107" t="n">
        <x:f>SUM(IF($B$8=3,CR25,0),IF($B$36=3,CR53,0),IF($B$64=3,CR81,0))</x:f>
      </x:c>
      <x:c r="CS109" s="107" t="n">
        <x:f>SUM(IF($B$8=3,CS25,0),IF($B$36=3,CS53,0),IF($B$64=3,CS81,0))</x:f>
      </x:c>
      <x:c r="CT109" s="107" t="n">
        <x:f>SUM(IF($B$8=3,CT25,0),IF($B$36=3,CT53,0),IF($B$64=3,CT81,0))</x:f>
      </x:c>
      <x:c r="CU109" s="107" t="n">
        <x:f>SUM(IF($B$8=3,CU25,0),IF($B$36=3,CU53,0),IF($B$64=3,CU81,0))</x:f>
      </x:c>
      <x:c r="CV109" s="107" t="n">
        <x:f>SUM(IF($B$8=3,CV25,0),IF($B$36=3,CV53,0),IF($B$64=3,CV81,0))</x:f>
      </x:c>
      <x:c r="CW109" s="107" t="n">
        <x:f>SUM(IF($B$8=3,CW25,0),IF($B$36=3,CW53,0),IF($B$64=3,CW81,0))</x:f>
      </x:c>
      <x:c r="CX109" s="107" t="n">
        <x:f>SUM(IF($B$8=3,CX25,0),IF($B$36=3,CX53,0),IF($B$64=3,CX81,0))</x:f>
      </x:c>
      <x:c r="CY109" s="107" t="n">
        <x:f>SUM(IF($B$8=3,CY25,0),IF($B$36=3,CY53,0),IF($B$64=3,CY81,0))</x:f>
      </x:c>
      <x:c r="CZ109" s="107" t="n">
        <x:f>SUM(IF($B$8=3,CZ25,0),IF($B$36=3,CZ53,0),IF($B$64=3,CZ81,0))</x:f>
      </x:c>
      <x:c r="DA109" s="107" t="n">
        <x:f>SUM(IF($B$8=3,DA25,0),IF($B$36=3,DA53,0),IF($B$64=3,DA81,0))</x:f>
      </x:c>
      <x:c r="DB109" s="107" t="n">
        <x:f>SUM(IF($B$8=3,DB25,0),IF($B$36=3,DB53,0),IF($B$64=3,DB81,0))</x:f>
      </x:c>
      <x:c r="DC109" s="107" t="n">
        <x:f>SUM(IF($B$8=3,DC25,0),IF($B$36=3,DC53,0),IF($B$64=3,DC81,0))</x:f>
      </x:c>
      <x:c r="DD109" s="107" t="n">
        <x:f>SUM(IF($B$8=3,DD25,0),IF($B$36=3,DD53,0),IF($B$64=3,DD81,0))</x:f>
      </x:c>
      <x:c r="DE109" s="107" t="n">
        <x:f>SUM(IF($B$8=3,DE25,0),IF($B$36=3,DE53,0),IF($B$64=3,DE81,0))</x:f>
      </x:c>
      <x:c r="DF109" s="107" t="n">
        <x:f>SUM(IF($B$8=3,DF25,0),IF($B$36=3,DF53,0),IF($B$64=3,DF81,0))</x:f>
      </x:c>
      <x:c r="DG109" s="107" t="n">
        <x:f>SUM(IF($B$8=3,DG25,0),IF($B$36=3,DG53,0),IF($B$64=3,DG81,0))</x:f>
      </x:c>
      <x:c r="DH109" s="107" t="n">
        <x:f>SUM(IF($B$8=3,DH25,0),IF($B$36=3,DH53,0),IF($B$64=3,DH81,0))</x:f>
      </x:c>
      <x:c r="DI109" s="107" t="n">
        <x:f>SUM(IF($B$8=3,DI25,0),IF($B$36=3,DI53,0),IF($B$64=3,DI81,0))</x:f>
      </x:c>
      <x:c r="DJ109" s="107" t="n">
        <x:f>SUM(IF($B$8=3,DJ25,0),IF($B$36=3,DJ53,0),IF($B$64=3,DJ81,0))</x:f>
      </x:c>
      <x:c r="DK109" s="107" t="n">
        <x:f>SUM(IF($B$8=3,DK25,0),IF($B$36=3,DK53,0),IF($B$64=3,DK81,0))</x:f>
      </x:c>
      <x:c r="DL109" s="107" t="n">
        <x:f>SUM(IF($B$8=3,DL25,0),IF($B$36=3,DL53,0),IF($B$64=3,DL81,0))</x:f>
      </x:c>
      <x:c r="DM109" s="107" t="n">
        <x:f>SUM(IF($B$8=3,DM25,0),IF($B$36=3,DM53,0),IF($B$64=3,DM81,0))</x:f>
      </x:c>
      <x:c r="DN109" s="107" t="n">
        <x:f>SUM(IF($B$8=3,DN25,0),IF($B$36=3,DN53,0),IF($B$64=3,DN81,0))</x:f>
      </x:c>
      <x:c r="DO109" s="107" t="n">
        <x:f>SUM(IF($B$8=3,DO25,0),IF($B$36=3,DO53,0),IF($B$64=3,DO81,0))</x:f>
      </x:c>
      <x:c r="DP109" s="107" t="n">
        <x:f>SUM(IF($B$8=3,DP25,0),IF($B$36=3,DP53,0),IF($B$64=3,DP81,0))</x:f>
      </x:c>
      <x:c r="DQ109" s="107" t="n">
        <x:f>SUM(IF($B$8=3,DQ25,0),IF($B$36=3,DQ53,0),IF($B$64=3,DQ81,0))</x:f>
      </x:c>
      <x:c r="DR109" s="107" t="n">
        <x:f>SUM(IF($B$8=3,DR25,0),IF($B$36=3,DR53,0),IF($B$64=3,DR81,0))</x:f>
      </x:c>
      <x:c r="DS109" s="107" t="n">
        <x:f>SUM(IF($B$8=3,DS25,0),IF($B$36=3,DS53,0),IF($B$64=3,DS81,0))</x:f>
      </x:c>
      <x:c r="DT109" s="107" t="n">
        <x:f>SUM(IF($B$8=3,DT25,0),IF($B$36=3,DT53,0),IF($B$64=3,DT81,0))</x:f>
      </x:c>
      <x:c r="DU109" s="107" t="n">
        <x:f>SUM(IF($B$8=3,DU25,0),IF($B$36=3,DU53,0),IF($B$64=3,DU81,0))</x:f>
      </x:c>
      <x:c r="DV109" s="107" t="n">
        <x:f>SUM(IF($B$8=3,DV25,0),IF($B$36=3,DV53,0),IF($B$64=3,DV81,0))</x:f>
      </x:c>
      <x:c r="DW109" s="107" t="n">
        <x:f>SUM(IF($B$8=3,DW25,0),IF($B$36=3,DW53,0),IF($B$64=3,DW81,0))</x:f>
      </x:c>
      <x:c r="DX109" s="107" t="n">
        <x:f>SUM(IF($B$8=3,DX25,0),IF($B$36=3,DX53,0),IF($B$64=3,DX81,0))</x:f>
      </x:c>
      <x:c r="DY109" s="107" t="n">
        <x:f>SUM(IF($B$8=3,DY25,0),IF($B$36=3,DY53,0),IF($B$64=3,DY81,0))</x:f>
      </x:c>
      <x:c r="DZ109" s="107" t="n">
        <x:f>SUM(IF($B$8=3,DZ25,0),IF($B$36=3,DZ53,0),IF($B$64=3,DZ81,0))</x:f>
      </x:c>
      <x:c r="EA109" s="107" t="n">
        <x:f>SUM(IF($B$8=3,EA25,0),IF($B$36=3,EA53,0),IF($B$64=3,EA81,0))</x:f>
      </x:c>
      <x:c r="EB109" s="107" t="n">
        <x:f>SUM(IF($B$8=3,EB25,0),IF($B$36=3,EB53,0),IF($B$64=3,EB81,0))</x:f>
      </x:c>
      <x:c r="EC109" s="107" t="n">
        <x:f>SUM(IF($B$8=3,EC25,0),IF($B$36=3,EC53,0),IF($B$64=3,EC81,0))</x:f>
      </x:c>
      <x:c r="ED109" s="107" t="n">
        <x:f>SUM(IF($B$8=3,ED25,0),IF($B$36=3,ED53,0),IF($B$64=3,ED81,0))</x:f>
      </x:c>
      <x:c r="EE109" s="107" t="n">
        <x:f>SUM(IF($B$8=3,EE25,0),IF($B$36=3,EE53,0),IF($B$64=3,EE81,0))</x:f>
      </x:c>
      <x:c r="EF109" s="107" t="n">
        <x:f>SUM(IF($B$8=3,EF25,0),IF($B$36=3,EF53,0),IF($B$64=3,EF81,0))</x:f>
      </x:c>
      <x:c r="EG109" s="107" t="n">
        <x:f>SUM(IF($B$8=3,EG25,0),IF($B$36=3,EG53,0),IF($B$64=3,EG81,0))</x:f>
      </x:c>
      <x:c r="EH109" s="107" t="n">
        <x:f>SUM(IF($B$8=3,EH25,0),IF($B$36=3,EH53,0),IF($B$64=3,EH81,0))</x:f>
      </x:c>
      <x:c r="EI109" s="107" t="n">
        <x:f>SUM(IF($B$8=3,EI25,0),IF($B$36=3,EI53,0),IF($B$64=3,EI81,0))</x:f>
      </x:c>
      <x:c r="EJ109" s="107" t="n">
        <x:f>SUM(IF($B$8=3,EJ25,0),IF($B$36=3,EJ53,0),IF($B$64=3,EJ81,0))</x:f>
      </x:c>
      <x:c r="EK109" s="107" t="n">
        <x:f>SUM(IF($B$8=3,EK25,0),IF($B$36=3,EK53,0),IF($B$64=3,EK81,0))</x:f>
      </x:c>
      <x:c r="EL109" s="107" t="n">
        <x:f>SUM(IF($B$8=3,EL25,0),IF($B$36=3,EL53,0),IF($B$64=3,EL81,0))</x:f>
      </x:c>
      <x:c r="EM109" s="107" t="n">
        <x:f>SUM(IF($B$8=3,EM25,0),IF($B$36=3,EM53,0),IF($B$64=3,EM81,0))</x:f>
      </x:c>
      <x:c r="EN109" s="107" t="n">
        <x:f>SUM(IF($B$8=3,EN25,0),IF($B$36=3,EN53,0),IF($B$64=3,EN81,0))</x:f>
      </x:c>
      <x:c r="EO109" s="107" t="n">
        <x:f>SUM(IF($B$8=3,EO25,0),IF($B$36=3,EO53,0),IF($B$64=3,EO81,0))</x:f>
      </x:c>
      <x:c r="EP109" s="107" t="n">
        <x:f>SUM(IF($B$8=3,EP25,0),IF($B$36=3,EP53,0),IF($B$64=3,EP81,0))</x:f>
      </x:c>
      <x:c r="EQ109" s="107" t="n">
        <x:f>SUM(IF($B$8=3,EQ25,0),IF($B$36=3,EQ53,0),IF($B$64=3,EQ81,0))</x:f>
      </x:c>
      <x:c r="ER109" s="107" t="n">
        <x:f>SUM(IF($B$8=3,ER25,0),IF($B$36=3,ER53,0),IF($B$64=3,ER81,0))</x:f>
      </x:c>
      <x:c r="ES109" s="107" t="n">
        <x:f>SUM(IF($B$8=3,ES25,0),IF($B$36=3,ES53,0),IF($B$64=3,ES81,0))</x:f>
      </x:c>
      <x:c r="ET109" s="107" t="n">
        <x:f>SUM(IF($B$8=3,ET25,0),IF($B$36=3,ET53,0),IF($B$64=3,ET81,0))</x:f>
      </x:c>
      <x:c r="EU109" s="107" t="n">
        <x:f>SUM(IF($B$8=3,EU25,0),IF($B$36=3,EU53,0),IF($B$64=3,EU81,0))</x:f>
      </x:c>
      <x:c r="EV109" s="107" t="n">
        <x:f>SUM(IF($B$8=3,EV25,0),IF($B$36=3,EV53,0),IF($B$64=3,EV81,0))</x:f>
      </x:c>
      <x:c r="EW109" s="107" t="n">
        <x:f>SUM(IF($B$8=3,EW25,0),IF($B$36=3,EW53,0),IF($B$64=3,EW81,0))</x:f>
      </x:c>
      <x:c r="EX109" s="107" t="n">
        <x:f>SUM(IF($B$8=3,EX25,0),IF($B$36=3,EX53,0),IF($B$64=3,EX81,0))</x:f>
      </x:c>
      <x:c r="EY109" s="107" t="n">
        <x:f>SUM(IF($B$8=3,EY25,0),IF($B$36=3,EY53,0),IF($B$64=3,EY81,0))</x:f>
      </x:c>
      <x:c r="EZ109" s="107" t="n">
        <x:f>SUM(IF($B$8=3,EZ25,0),IF($B$36=3,EZ53,0),IF($B$64=3,EZ81,0))</x:f>
      </x:c>
      <x:c r="FA109" s="107" t="n">
        <x:f>SUM(IF($B$8=3,FA25,0),IF($B$36=3,FA53,0),IF($B$64=3,FA81,0))</x:f>
      </x:c>
      <x:c r="FB109" s="107" t="n">
        <x:f>SUM(IF($B$8=3,FB25,0),IF($B$36=3,FB53,0),IF($B$64=3,FB81,0))</x:f>
      </x:c>
      <x:c r="FC109" s="107" t="n">
        <x:f>SUM(IF($B$8=3,FC25,0),IF($B$36=3,FC53,0),IF($B$64=3,FC81,0))</x:f>
      </x:c>
      <x:c r="FD109" s="107" t="n">
        <x:f>SUM(IF($B$8=3,FD25,0),IF($B$36=3,FD53,0),IF($B$64=3,FD81,0))</x:f>
      </x:c>
      <x:c r="FE109" s="107" t="n">
        <x:f>SUM(IF($B$8=3,FE25,0),IF($B$36=3,FE53,0),IF($B$64=3,FE81,0))</x:f>
      </x:c>
      <x:c r="FF109" s="107" t="n">
        <x:f>SUM(IF($B$8=3,FF25,0),IF($B$36=3,FF53,0),IF($B$64=3,FF81,0))</x:f>
      </x:c>
      <x:c r="FG109" s="107" t="n">
        <x:f>SUM(IF($B$8=3,FG25,0),IF($B$36=3,FG53,0),IF($B$64=3,FG81,0))</x:f>
      </x:c>
      <x:c r="FH109" s="107" t="n">
        <x:f>SUM(IF($B$8=3,FH25,0),IF($B$36=3,FH53,0),IF($B$64=3,FH81,0))</x:f>
      </x:c>
      <x:c r="FI109" s="107" t="n">
        <x:f>SUM(IF($B$8=3,FI25,0),IF($B$36=3,FI53,0),IF($B$64=3,FI81,0))</x:f>
      </x:c>
      <x:c r="FJ109" s="107" t="n">
        <x:f>SUM(IF($B$8=3,FJ25,0),IF($B$36=3,FJ53,0),IF($B$64=3,FJ81,0))</x:f>
      </x:c>
      <x:c r="FK109" s="107" t="n">
        <x:f>SUM(IF($B$8=3,FK25,0),IF($B$36=3,FK53,0),IF($B$64=3,FK81,0))</x:f>
      </x:c>
      <x:c r="FL109" s="107" t="n">
        <x:f>SUM(IF($B$8=3,FL25,0),IF($B$36=3,FL53,0),IF($B$64=3,FL81,0))</x:f>
      </x:c>
      <x:c r="FM109" s="107" t="n">
        <x:f>SUM(IF($B$8=3,FM25,0),IF($B$36=3,FM53,0),IF($B$64=3,FM81,0))</x:f>
      </x:c>
      <x:c r="FN109" s="107" t="n">
        <x:f>SUM(IF($B$8=3,FN25,0),IF($B$36=3,FN53,0),IF($B$64=3,FN81,0))</x:f>
      </x:c>
      <x:c r="FO109" s="107" t="n">
        <x:f>SUM(IF($B$8=3,FO25,0),IF($B$36=3,FO53,0),IF($B$64=3,FO81,0))</x:f>
      </x:c>
      <x:c r="FP109" s="107" t="n">
        <x:f>SUM(IF($B$8=3,FP25,0),IF($B$36=3,FP53,0),IF($B$64=3,FP81,0))</x:f>
      </x:c>
      <x:c r="FQ109" s="107" t="n">
        <x:f>SUM(IF($B$8=3,FQ25,0),IF($B$36=3,FQ53,0),IF($B$64=3,FQ81,0))</x:f>
      </x:c>
      <x:c r="FR109" s="107" t="n">
        <x:f>SUM(IF($B$8=3,FR25,0),IF($B$36=3,FR53,0),IF($B$64=3,FR81,0))</x:f>
      </x:c>
      <x:c r="FS109" s="107" t="n">
        <x:f>SUM(IF($B$8=3,FS25,0),IF($B$36=3,FS53,0),IF($B$64=3,FS81,0))</x:f>
      </x:c>
      <x:c r="FT109" s="107" t="n">
        <x:f>SUM(IF($B$8=3,FT25,0),IF($B$36=3,FT53,0),IF($B$64=3,FT81,0))</x:f>
      </x:c>
      <x:c r="FU109" s="107" t="n">
        <x:f>SUM(IF($B$8=3,FU25,0),IF($B$36=3,FU53,0),IF($B$64=3,FU81,0))</x:f>
      </x:c>
      <x:c r="FV109" s="107" t="n">
        <x:f>SUM(IF($B$8=3,FV25,0),IF($B$36=3,FV53,0),IF($B$64=3,FV81,0))</x:f>
      </x:c>
      <x:c r="FW109" s="107" t="n">
        <x:f>SUM(IF($B$8=3,FW25,0),IF($B$36=3,FW53,0),IF($B$64=3,FW81,0))</x:f>
      </x:c>
      <x:c r="FX109" s="107" t="n">
        <x:f>SUM(IF($B$8=3,FX25,0),IF($B$36=3,FX53,0),IF($B$64=3,FX81,0))</x:f>
      </x:c>
      <x:c r="FY109" s="107" t="n">
        <x:f>SUM(IF($B$8=3,FY25,0),IF($B$36=3,FY53,0),IF($B$64=3,FY81,0))</x:f>
      </x:c>
      <x:c r="FZ109" s="107" t="n">
        <x:f>SUM(IF($B$8=3,FZ25,0),IF($B$36=3,FZ53,0),IF($B$64=3,FZ81,0))</x:f>
      </x:c>
      <x:c r="GA109" s="107" t="n">
        <x:f>SUM(IF($B$8=3,GA25,0),IF($B$36=3,GA53,0),IF($B$64=3,GA81,0))</x:f>
      </x:c>
    </x:row>
    <x:row r="110">
      <x:c r="A110" t="str">
        <x:v>Очередь 3 — Прямые поступления объектов</x:v>
      </x:c>
      <x:c r="B110" s="107" t="n">
        <x:f>SUM(D110:GA110)</x:f>
      </x:c>
      <x:c r="C110" t="str">
        <x:v>млн ₽</x:v>
      </x:c>
      <x:c r="D110" s="107" t="n">
        <x:f>SUM(IF($B$8=3,D26,0),IF($B$36=3,D54,0),IF($B$64=3,D82,0))</x:f>
      </x:c>
      <x:c r="E110" s="107" t="n">
        <x:f>SUM(IF($B$8=3,E26,0),IF($B$36=3,E54,0),IF($B$64=3,E82,0))</x:f>
      </x:c>
      <x:c r="F110" s="107" t="n">
        <x:f>SUM(IF($B$8=3,F26,0),IF($B$36=3,F54,0),IF($B$64=3,F82,0))</x:f>
      </x:c>
      <x:c r="G110" s="107" t="n">
        <x:f>SUM(IF($B$8=3,G26,0),IF($B$36=3,G54,0),IF($B$64=3,G82,0))</x:f>
      </x:c>
      <x:c r="H110" s="107" t="n">
        <x:f>SUM(IF($B$8=3,H26,0),IF($B$36=3,H54,0),IF($B$64=3,H82,0))</x:f>
      </x:c>
      <x:c r="I110" s="107" t="n">
        <x:f>SUM(IF($B$8=3,I26,0),IF($B$36=3,I54,0),IF($B$64=3,I82,0))</x:f>
      </x:c>
      <x:c r="J110" s="107" t="n">
        <x:f>SUM(IF($B$8=3,J26,0),IF($B$36=3,J54,0),IF($B$64=3,J82,0))</x:f>
      </x:c>
      <x:c r="K110" s="107" t="n">
        <x:f>SUM(IF($B$8=3,K26,0),IF($B$36=3,K54,0),IF($B$64=3,K82,0))</x:f>
      </x:c>
      <x:c r="L110" s="107" t="n">
        <x:f>SUM(IF($B$8=3,L26,0),IF($B$36=3,L54,0),IF($B$64=3,L82,0))</x:f>
      </x:c>
      <x:c r="M110" s="107" t="n">
        <x:f>SUM(IF($B$8=3,M26,0),IF($B$36=3,M54,0),IF($B$64=3,M82,0))</x:f>
      </x:c>
      <x:c r="N110" s="107" t="n">
        <x:f>SUM(IF($B$8=3,N26,0),IF($B$36=3,N54,0),IF($B$64=3,N82,0))</x:f>
      </x:c>
      <x:c r="O110" s="107" t="n">
        <x:f>SUM(IF($B$8=3,O26,0),IF($B$36=3,O54,0),IF($B$64=3,O82,0))</x:f>
      </x:c>
      <x:c r="P110" s="107" t="n">
        <x:f>SUM(IF($B$8=3,P26,0),IF($B$36=3,P54,0),IF($B$64=3,P82,0))</x:f>
      </x:c>
      <x:c r="Q110" s="107" t="n">
        <x:f>SUM(IF($B$8=3,Q26,0),IF($B$36=3,Q54,0),IF($B$64=3,Q82,0))</x:f>
      </x:c>
      <x:c r="R110" s="107" t="n">
        <x:f>SUM(IF($B$8=3,R26,0),IF($B$36=3,R54,0),IF($B$64=3,R82,0))</x:f>
      </x:c>
      <x:c r="S110" s="107" t="n">
        <x:f>SUM(IF($B$8=3,S26,0),IF($B$36=3,S54,0),IF($B$64=3,S82,0))</x:f>
      </x:c>
      <x:c r="T110" s="107" t="n">
        <x:f>SUM(IF($B$8=3,T26,0),IF($B$36=3,T54,0),IF($B$64=3,T82,0))</x:f>
      </x:c>
      <x:c r="U110" s="107" t="n">
        <x:f>SUM(IF($B$8=3,U26,0),IF($B$36=3,U54,0),IF($B$64=3,U82,0))</x:f>
      </x:c>
      <x:c r="V110" s="107" t="n">
        <x:f>SUM(IF($B$8=3,V26,0),IF($B$36=3,V54,0),IF($B$64=3,V82,0))</x:f>
      </x:c>
      <x:c r="W110" s="107" t="n">
        <x:f>SUM(IF($B$8=3,W26,0),IF($B$36=3,W54,0),IF($B$64=3,W82,0))</x:f>
      </x:c>
      <x:c r="X110" s="107" t="n">
        <x:f>SUM(IF($B$8=3,X26,0),IF($B$36=3,X54,0),IF($B$64=3,X82,0))</x:f>
      </x:c>
      <x:c r="Y110" s="107" t="n">
        <x:f>SUM(IF($B$8=3,Y26,0),IF($B$36=3,Y54,0),IF($B$64=3,Y82,0))</x:f>
      </x:c>
      <x:c r="Z110" s="107" t="n">
        <x:f>SUM(IF($B$8=3,Z26,0),IF($B$36=3,Z54,0),IF($B$64=3,Z82,0))</x:f>
      </x:c>
      <x:c r="AA110" s="107" t="n">
        <x:f>SUM(IF($B$8=3,AA26,0),IF($B$36=3,AA54,0),IF($B$64=3,AA82,0))</x:f>
      </x:c>
      <x:c r="AB110" s="107" t="n">
        <x:f>SUM(IF($B$8=3,AB26,0),IF($B$36=3,AB54,0),IF($B$64=3,AB82,0))</x:f>
      </x:c>
      <x:c r="AC110" s="107" t="n">
        <x:f>SUM(IF($B$8=3,AC26,0),IF($B$36=3,AC54,0),IF($B$64=3,AC82,0))</x:f>
      </x:c>
      <x:c r="AD110" s="107" t="n">
        <x:f>SUM(IF($B$8=3,AD26,0),IF($B$36=3,AD54,0),IF($B$64=3,AD82,0))</x:f>
      </x:c>
      <x:c r="AE110" s="107" t="n">
        <x:f>SUM(IF($B$8=3,AE26,0),IF($B$36=3,AE54,0),IF($B$64=3,AE82,0))</x:f>
      </x:c>
      <x:c r="AF110" s="107" t="n">
        <x:f>SUM(IF($B$8=3,AF26,0),IF($B$36=3,AF54,0),IF($B$64=3,AF82,0))</x:f>
      </x:c>
      <x:c r="AG110" s="107" t="n">
        <x:f>SUM(IF($B$8=3,AG26,0),IF($B$36=3,AG54,0),IF($B$64=3,AG82,0))</x:f>
      </x:c>
      <x:c r="AH110" s="107" t="n">
        <x:f>SUM(IF($B$8=3,AH26,0),IF($B$36=3,AH54,0),IF($B$64=3,AH82,0))</x:f>
      </x:c>
      <x:c r="AI110" s="107" t="n">
        <x:f>SUM(IF($B$8=3,AI26,0),IF($B$36=3,AI54,0),IF($B$64=3,AI82,0))</x:f>
      </x:c>
      <x:c r="AJ110" s="107" t="n">
        <x:f>SUM(IF($B$8=3,AJ26,0),IF($B$36=3,AJ54,0),IF($B$64=3,AJ82,0))</x:f>
      </x:c>
      <x:c r="AK110" s="107" t="n">
        <x:f>SUM(IF($B$8=3,AK26,0),IF($B$36=3,AK54,0),IF($B$64=3,AK82,0))</x:f>
      </x:c>
      <x:c r="AL110" s="107" t="n">
        <x:f>SUM(IF($B$8=3,AL26,0),IF($B$36=3,AL54,0),IF($B$64=3,AL82,0))</x:f>
      </x:c>
      <x:c r="AM110" s="107" t="n">
        <x:f>SUM(IF($B$8=3,AM26,0),IF($B$36=3,AM54,0),IF($B$64=3,AM82,0))</x:f>
      </x:c>
      <x:c r="AN110" s="107" t="n">
        <x:f>SUM(IF($B$8=3,AN26,0),IF($B$36=3,AN54,0),IF($B$64=3,AN82,0))</x:f>
      </x:c>
      <x:c r="AO110" s="107" t="n">
        <x:f>SUM(IF($B$8=3,AO26,0),IF($B$36=3,AO54,0),IF($B$64=3,AO82,0))</x:f>
      </x:c>
      <x:c r="AP110" s="107" t="n">
        <x:f>SUM(IF($B$8=3,AP26,0),IF($B$36=3,AP54,0),IF($B$64=3,AP82,0))</x:f>
      </x:c>
      <x:c r="AQ110" s="107" t="n">
        <x:f>SUM(IF($B$8=3,AQ26,0),IF($B$36=3,AQ54,0),IF($B$64=3,AQ82,0))</x:f>
      </x:c>
      <x:c r="AR110" s="107" t="n">
        <x:f>SUM(IF($B$8=3,AR26,0),IF($B$36=3,AR54,0),IF($B$64=3,AR82,0))</x:f>
      </x:c>
      <x:c r="AS110" s="107" t="n">
        <x:f>SUM(IF($B$8=3,AS26,0),IF($B$36=3,AS54,0),IF($B$64=3,AS82,0))</x:f>
      </x:c>
      <x:c r="AT110" s="107" t="n">
        <x:f>SUM(IF($B$8=3,AT26,0),IF($B$36=3,AT54,0),IF($B$64=3,AT82,0))</x:f>
      </x:c>
      <x:c r="AU110" s="107" t="n">
        <x:f>SUM(IF($B$8=3,AU26,0),IF($B$36=3,AU54,0),IF($B$64=3,AU82,0))</x:f>
      </x:c>
      <x:c r="AV110" s="107" t="n">
        <x:f>SUM(IF($B$8=3,AV26,0),IF($B$36=3,AV54,0),IF($B$64=3,AV82,0))</x:f>
      </x:c>
      <x:c r="AW110" s="107" t="n">
        <x:f>SUM(IF($B$8=3,AW26,0),IF($B$36=3,AW54,0),IF($B$64=3,AW82,0))</x:f>
      </x:c>
      <x:c r="AX110" s="107" t="n">
        <x:f>SUM(IF($B$8=3,AX26,0),IF($B$36=3,AX54,0),IF($B$64=3,AX82,0))</x:f>
      </x:c>
      <x:c r="AY110" s="107" t="n">
        <x:f>SUM(IF($B$8=3,AY26,0),IF($B$36=3,AY54,0),IF($B$64=3,AY82,0))</x:f>
      </x:c>
      <x:c r="AZ110" s="107" t="n">
        <x:f>SUM(IF($B$8=3,AZ26,0),IF($B$36=3,AZ54,0),IF($B$64=3,AZ82,0))</x:f>
      </x:c>
      <x:c r="BA110" s="107" t="n">
        <x:f>SUM(IF($B$8=3,BA26,0),IF($B$36=3,BA54,0),IF($B$64=3,BA82,0))</x:f>
      </x:c>
      <x:c r="BB110" s="107" t="n">
        <x:f>SUM(IF($B$8=3,BB26,0),IF($B$36=3,BB54,0),IF($B$64=3,BB82,0))</x:f>
      </x:c>
      <x:c r="BC110" s="107" t="n">
        <x:f>SUM(IF($B$8=3,BC26,0),IF($B$36=3,BC54,0),IF($B$64=3,BC82,0))</x:f>
      </x:c>
      <x:c r="BD110" s="107" t="n">
        <x:f>SUM(IF($B$8=3,BD26,0),IF($B$36=3,BD54,0),IF($B$64=3,BD82,0))</x:f>
      </x:c>
      <x:c r="BE110" s="107" t="n">
        <x:f>SUM(IF($B$8=3,BE26,0),IF($B$36=3,BE54,0),IF($B$64=3,BE82,0))</x:f>
      </x:c>
      <x:c r="BF110" s="107" t="n">
        <x:f>SUM(IF($B$8=3,BF26,0),IF($B$36=3,BF54,0),IF($B$64=3,BF82,0))</x:f>
      </x:c>
      <x:c r="BG110" s="107" t="n">
        <x:f>SUM(IF($B$8=3,BG26,0),IF($B$36=3,BG54,0),IF($B$64=3,BG82,0))</x:f>
      </x:c>
      <x:c r="BH110" s="107" t="n">
        <x:f>SUM(IF($B$8=3,BH26,0),IF($B$36=3,BH54,0),IF($B$64=3,BH82,0))</x:f>
      </x:c>
      <x:c r="BI110" s="107" t="n">
        <x:f>SUM(IF($B$8=3,BI26,0),IF($B$36=3,BI54,0),IF($B$64=3,BI82,0))</x:f>
      </x:c>
      <x:c r="BJ110" s="107" t="n">
        <x:f>SUM(IF($B$8=3,BJ26,0),IF($B$36=3,BJ54,0),IF($B$64=3,BJ82,0))</x:f>
      </x:c>
      <x:c r="BK110" s="107" t="n">
        <x:f>SUM(IF($B$8=3,BK26,0),IF($B$36=3,BK54,0),IF($B$64=3,BK82,0))</x:f>
      </x:c>
      <x:c r="BL110" s="107" t="n">
        <x:f>SUM(IF($B$8=3,BL26,0),IF($B$36=3,BL54,0),IF($B$64=3,BL82,0))</x:f>
      </x:c>
      <x:c r="BM110" s="107" t="n">
        <x:f>SUM(IF($B$8=3,BM26,0),IF($B$36=3,BM54,0),IF($B$64=3,BM82,0))</x:f>
      </x:c>
      <x:c r="BN110" s="107" t="n">
        <x:f>SUM(IF($B$8=3,BN26,0),IF($B$36=3,BN54,0),IF($B$64=3,BN82,0))</x:f>
      </x:c>
      <x:c r="BO110" s="107" t="n">
        <x:f>SUM(IF($B$8=3,BO26,0),IF($B$36=3,BO54,0),IF($B$64=3,BO82,0))</x:f>
      </x:c>
      <x:c r="BP110" s="107" t="n">
        <x:f>SUM(IF($B$8=3,BP26,0),IF($B$36=3,BP54,0),IF($B$64=3,BP82,0))</x:f>
      </x:c>
      <x:c r="BQ110" s="107" t="n">
        <x:f>SUM(IF($B$8=3,BQ26,0),IF($B$36=3,BQ54,0),IF($B$64=3,BQ82,0))</x:f>
      </x:c>
      <x:c r="BR110" s="107" t="n">
        <x:f>SUM(IF($B$8=3,BR26,0),IF($B$36=3,BR54,0),IF($B$64=3,BR82,0))</x:f>
      </x:c>
      <x:c r="BS110" s="107" t="n">
        <x:f>SUM(IF($B$8=3,BS26,0),IF($B$36=3,BS54,0),IF($B$64=3,BS82,0))</x:f>
      </x:c>
      <x:c r="BT110" s="107" t="n">
        <x:f>SUM(IF($B$8=3,BT26,0),IF($B$36=3,BT54,0),IF($B$64=3,BT82,0))</x:f>
      </x:c>
      <x:c r="BU110" s="107" t="n">
        <x:f>SUM(IF($B$8=3,BU26,0),IF($B$36=3,BU54,0),IF($B$64=3,BU82,0))</x:f>
      </x:c>
      <x:c r="BV110" s="107" t="n">
        <x:f>SUM(IF($B$8=3,BV26,0),IF($B$36=3,BV54,0),IF($B$64=3,BV82,0))</x:f>
      </x:c>
      <x:c r="BW110" s="107" t="n">
        <x:f>SUM(IF($B$8=3,BW26,0),IF($B$36=3,BW54,0),IF($B$64=3,BW82,0))</x:f>
      </x:c>
      <x:c r="BX110" s="107" t="n">
        <x:f>SUM(IF($B$8=3,BX26,0),IF($B$36=3,BX54,0),IF($B$64=3,BX82,0))</x:f>
      </x:c>
      <x:c r="BY110" s="107" t="n">
        <x:f>SUM(IF($B$8=3,BY26,0),IF($B$36=3,BY54,0),IF($B$64=3,BY82,0))</x:f>
      </x:c>
      <x:c r="BZ110" s="107" t="n">
        <x:f>SUM(IF($B$8=3,BZ26,0),IF($B$36=3,BZ54,0),IF($B$64=3,BZ82,0))</x:f>
      </x:c>
      <x:c r="CA110" s="107" t="n">
        <x:f>SUM(IF($B$8=3,CA26,0),IF($B$36=3,CA54,0),IF($B$64=3,CA82,0))</x:f>
      </x:c>
      <x:c r="CB110" s="107" t="n">
        <x:f>SUM(IF($B$8=3,CB26,0),IF($B$36=3,CB54,0),IF($B$64=3,CB82,0))</x:f>
      </x:c>
      <x:c r="CC110" s="107" t="n">
        <x:f>SUM(IF($B$8=3,CC26,0),IF($B$36=3,CC54,0),IF($B$64=3,CC82,0))</x:f>
      </x:c>
      <x:c r="CD110" s="107" t="n">
        <x:f>SUM(IF($B$8=3,CD26,0),IF($B$36=3,CD54,0),IF($B$64=3,CD82,0))</x:f>
      </x:c>
      <x:c r="CE110" s="107" t="n">
        <x:f>SUM(IF($B$8=3,CE26,0),IF($B$36=3,CE54,0),IF($B$64=3,CE82,0))</x:f>
      </x:c>
      <x:c r="CF110" s="107" t="n">
        <x:f>SUM(IF($B$8=3,CF26,0),IF($B$36=3,CF54,0),IF($B$64=3,CF82,0))</x:f>
      </x:c>
      <x:c r="CG110" s="107" t="n">
        <x:f>SUM(IF($B$8=3,CG26,0),IF($B$36=3,CG54,0),IF($B$64=3,CG82,0))</x:f>
      </x:c>
      <x:c r="CH110" s="107" t="n">
        <x:f>SUM(IF($B$8=3,CH26,0),IF($B$36=3,CH54,0),IF($B$64=3,CH82,0))</x:f>
      </x:c>
      <x:c r="CI110" s="107" t="n">
        <x:f>SUM(IF($B$8=3,CI26,0),IF($B$36=3,CI54,0),IF($B$64=3,CI82,0))</x:f>
      </x:c>
      <x:c r="CJ110" s="107" t="n">
        <x:f>SUM(IF($B$8=3,CJ26,0),IF($B$36=3,CJ54,0),IF($B$64=3,CJ82,0))</x:f>
      </x:c>
      <x:c r="CK110" s="107" t="n">
        <x:f>SUM(IF($B$8=3,CK26,0),IF($B$36=3,CK54,0),IF($B$64=3,CK82,0))</x:f>
      </x:c>
      <x:c r="CL110" s="107" t="n">
        <x:f>SUM(IF($B$8=3,CL26,0),IF($B$36=3,CL54,0),IF($B$64=3,CL82,0))</x:f>
      </x:c>
      <x:c r="CM110" s="107" t="n">
        <x:f>SUM(IF($B$8=3,CM26,0),IF($B$36=3,CM54,0),IF($B$64=3,CM82,0))</x:f>
      </x:c>
      <x:c r="CN110" s="107" t="n">
        <x:f>SUM(IF($B$8=3,CN26,0),IF($B$36=3,CN54,0),IF($B$64=3,CN82,0))</x:f>
      </x:c>
      <x:c r="CO110" s="107" t="n">
        <x:f>SUM(IF($B$8=3,CO26,0),IF($B$36=3,CO54,0),IF($B$64=3,CO82,0))</x:f>
      </x:c>
      <x:c r="CP110" s="107" t="n">
        <x:f>SUM(IF($B$8=3,CP26,0),IF($B$36=3,CP54,0),IF($B$64=3,CP82,0))</x:f>
      </x:c>
      <x:c r="CQ110" s="107" t="n">
        <x:f>SUM(IF($B$8=3,CQ26,0),IF($B$36=3,CQ54,0),IF($B$64=3,CQ82,0))</x:f>
      </x:c>
      <x:c r="CR110" s="107" t="n">
        <x:f>SUM(IF($B$8=3,CR26,0),IF($B$36=3,CR54,0),IF($B$64=3,CR82,0))</x:f>
      </x:c>
      <x:c r="CS110" s="107" t="n">
        <x:f>SUM(IF($B$8=3,CS26,0),IF($B$36=3,CS54,0),IF($B$64=3,CS82,0))</x:f>
      </x:c>
      <x:c r="CT110" s="107" t="n">
        <x:f>SUM(IF($B$8=3,CT26,0),IF($B$36=3,CT54,0),IF($B$64=3,CT82,0))</x:f>
      </x:c>
      <x:c r="CU110" s="107" t="n">
        <x:f>SUM(IF($B$8=3,CU26,0),IF($B$36=3,CU54,0),IF($B$64=3,CU82,0))</x:f>
      </x:c>
      <x:c r="CV110" s="107" t="n">
        <x:f>SUM(IF($B$8=3,CV26,0),IF($B$36=3,CV54,0),IF($B$64=3,CV82,0))</x:f>
      </x:c>
      <x:c r="CW110" s="107" t="n">
        <x:f>SUM(IF($B$8=3,CW26,0),IF($B$36=3,CW54,0),IF($B$64=3,CW82,0))</x:f>
      </x:c>
      <x:c r="CX110" s="107" t="n">
        <x:f>SUM(IF($B$8=3,CX26,0),IF($B$36=3,CX54,0),IF($B$64=3,CX82,0))</x:f>
      </x:c>
      <x:c r="CY110" s="107" t="n">
        <x:f>SUM(IF($B$8=3,CY26,0),IF($B$36=3,CY54,0),IF($B$64=3,CY82,0))</x:f>
      </x:c>
      <x:c r="CZ110" s="107" t="n">
        <x:f>SUM(IF($B$8=3,CZ26,0),IF($B$36=3,CZ54,0),IF($B$64=3,CZ82,0))</x:f>
      </x:c>
      <x:c r="DA110" s="107" t="n">
        <x:f>SUM(IF($B$8=3,DA26,0),IF($B$36=3,DA54,0),IF($B$64=3,DA82,0))</x:f>
      </x:c>
      <x:c r="DB110" s="107" t="n">
        <x:f>SUM(IF($B$8=3,DB26,0),IF($B$36=3,DB54,0),IF($B$64=3,DB82,0))</x:f>
      </x:c>
      <x:c r="DC110" s="107" t="n">
        <x:f>SUM(IF($B$8=3,DC26,0),IF($B$36=3,DC54,0),IF($B$64=3,DC82,0))</x:f>
      </x:c>
      <x:c r="DD110" s="107" t="n">
        <x:f>SUM(IF($B$8=3,DD26,0),IF($B$36=3,DD54,0),IF($B$64=3,DD82,0))</x:f>
      </x:c>
      <x:c r="DE110" s="107" t="n">
        <x:f>SUM(IF($B$8=3,DE26,0),IF($B$36=3,DE54,0),IF($B$64=3,DE82,0))</x:f>
      </x:c>
      <x:c r="DF110" s="107" t="n">
        <x:f>SUM(IF($B$8=3,DF26,0),IF($B$36=3,DF54,0),IF($B$64=3,DF82,0))</x:f>
      </x:c>
      <x:c r="DG110" s="107" t="n">
        <x:f>SUM(IF($B$8=3,DG26,0),IF($B$36=3,DG54,0),IF($B$64=3,DG82,0))</x:f>
      </x:c>
      <x:c r="DH110" s="107" t="n">
        <x:f>SUM(IF($B$8=3,DH26,0),IF($B$36=3,DH54,0),IF($B$64=3,DH82,0))</x:f>
      </x:c>
      <x:c r="DI110" s="107" t="n">
        <x:f>SUM(IF($B$8=3,DI26,0),IF($B$36=3,DI54,0),IF($B$64=3,DI82,0))</x:f>
      </x:c>
      <x:c r="DJ110" s="107" t="n">
        <x:f>SUM(IF($B$8=3,DJ26,0),IF($B$36=3,DJ54,0),IF($B$64=3,DJ82,0))</x:f>
      </x:c>
      <x:c r="DK110" s="107" t="n">
        <x:f>SUM(IF($B$8=3,DK26,0),IF($B$36=3,DK54,0),IF($B$64=3,DK82,0))</x:f>
      </x:c>
      <x:c r="DL110" s="107" t="n">
        <x:f>SUM(IF($B$8=3,DL26,0),IF($B$36=3,DL54,0),IF($B$64=3,DL82,0))</x:f>
      </x:c>
      <x:c r="DM110" s="107" t="n">
        <x:f>SUM(IF($B$8=3,DM26,0),IF($B$36=3,DM54,0),IF($B$64=3,DM82,0))</x:f>
      </x:c>
      <x:c r="DN110" s="107" t="n">
        <x:f>SUM(IF($B$8=3,DN26,0),IF($B$36=3,DN54,0),IF($B$64=3,DN82,0))</x:f>
      </x:c>
      <x:c r="DO110" s="107" t="n">
        <x:f>SUM(IF($B$8=3,DO26,0),IF($B$36=3,DO54,0),IF($B$64=3,DO82,0))</x:f>
      </x:c>
      <x:c r="DP110" s="107" t="n">
        <x:f>SUM(IF($B$8=3,DP26,0),IF($B$36=3,DP54,0),IF($B$64=3,DP82,0))</x:f>
      </x:c>
      <x:c r="DQ110" s="107" t="n">
        <x:f>SUM(IF($B$8=3,DQ26,0),IF($B$36=3,DQ54,0),IF($B$64=3,DQ82,0))</x:f>
      </x:c>
      <x:c r="DR110" s="107" t="n">
        <x:f>SUM(IF($B$8=3,DR26,0),IF($B$36=3,DR54,0),IF($B$64=3,DR82,0))</x:f>
      </x:c>
      <x:c r="DS110" s="107" t="n">
        <x:f>SUM(IF($B$8=3,DS26,0),IF($B$36=3,DS54,0),IF($B$64=3,DS82,0))</x:f>
      </x:c>
      <x:c r="DT110" s="107" t="n">
        <x:f>SUM(IF($B$8=3,DT26,0),IF($B$36=3,DT54,0),IF($B$64=3,DT82,0))</x:f>
      </x:c>
      <x:c r="DU110" s="107" t="n">
        <x:f>SUM(IF($B$8=3,DU26,0),IF($B$36=3,DU54,0),IF($B$64=3,DU82,0))</x:f>
      </x:c>
      <x:c r="DV110" s="107" t="n">
        <x:f>SUM(IF($B$8=3,DV26,0),IF($B$36=3,DV54,0),IF($B$64=3,DV82,0))</x:f>
      </x:c>
      <x:c r="DW110" s="107" t="n">
        <x:f>SUM(IF($B$8=3,DW26,0),IF($B$36=3,DW54,0),IF($B$64=3,DW82,0))</x:f>
      </x:c>
      <x:c r="DX110" s="107" t="n">
        <x:f>SUM(IF($B$8=3,DX26,0),IF($B$36=3,DX54,0),IF($B$64=3,DX82,0))</x:f>
      </x:c>
      <x:c r="DY110" s="107" t="n">
        <x:f>SUM(IF($B$8=3,DY26,0),IF($B$36=3,DY54,0),IF($B$64=3,DY82,0))</x:f>
      </x:c>
      <x:c r="DZ110" s="107" t="n">
        <x:f>SUM(IF($B$8=3,DZ26,0),IF($B$36=3,DZ54,0),IF($B$64=3,DZ82,0))</x:f>
      </x:c>
      <x:c r="EA110" s="107" t="n">
        <x:f>SUM(IF($B$8=3,EA26,0),IF($B$36=3,EA54,0),IF($B$64=3,EA82,0))</x:f>
      </x:c>
      <x:c r="EB110" s="107" t="n">
        <x:f>SUM(IF($B$8=3,EB26,0),IF($B$36=3,EB54,0),IF($B$64=3,EB82,0))</x:f>
      </x:c>
      <x:c r="EC110" s="107" t="n">
        <x:f>SUM(IF($B$8=3,EC26,0),IF($B$36=3,EC54,0),IF($B$64=3,EC82,0))</x:f>
      </x:c>
      <x:c r="ED110" s="107" t="n">
        <x:f>SUM(IF($B$8=3,ED26,0),IF($B$36=3,ED54,0),IF($B$64=3,ED82,0))</x:f>
      </x:c>
      <x:c r="EE110" s="107" t="n">
        <x:f>SUM(IF($B$8=3,EE26,0),IF($B$36=3,EE54,0),IF($B$64=3,EE82,0))</x:f>
      </x:c>
      <x:c r="EF110" s="107" t="n">
        <x:f>SUM(IF($B$8=3,EF26,0),IF($B$36=3,EF54,0),IF($B$64=3,EF82,0))</x:f>
      </x:c>
      <x:c r="EG110" s="107" t="n">
        <x:f>SUM(IF($B$8=3,EG26,0),IF($B$36=3,EG54,0),IF($B$64=3,EG82,0))</x:f>
      </x:c>
      <x:c r="EH110" s="107" t="n">
        <x:f>SUM(IF($B$8=3,EH26,0),IF($B$36=3,EH54,0),IF($B$64=3,EH82,0))</x:f>
      </x:c>
      <x:c r="EI110" s="107" t="n">
        <x:f>SUM(IF($B$8=3,EI26,0),IF($B$36=3,EI54,0),IF($B$64=3,EI82,0))</x:f>
      </x:c>
      <x:c r="EJ110" s="107" t="n">
        <x:f>SUM(IF($B$8=3,EJ26,0),IF($B$36=3,EJ54,0),IF($B$64=3,EJ82,0))</x:f>
      </x:c>
      <x:c r="EK110" s="107" t="n">
        <x:f>SUM(IF($B$8=3,EK26,0),IF($B$36=3,EK54,0),IF($B$64=3,EK82,0))</x:f>
      </x:c>
      <x:c r="EL110" s="107" t="n">
        <x:f>SUM(IF($B$8=3,EL26,0),IF($B$36=3,EL54,0),IF($B$64=3,EL82,0))</x:f>
      </x:c>
      <x:c r="EM110" s="107" t="n">
        <x:f>SUM(IF($B$8=3,EM26,0),IF($B$36=3,EM54,0),IF($B$64=3,EM82,0))</x:f>
      </x:c>
      <x:c r="EN110" s="107" t="n">
        <x:f>SUM(IF($B$8=3,EN26,0),IF($B$36=3,EN54,0),IF($B$64=3,EN82,0))</x:f>
      </x:c>
      <x:c r="EO110" s="107" t="n">
        <x:f>SUM(IF($B$8=3,EO26,0),IF($B$36=3,EO54,0),IF($B$64=3,EO82,0))</x:f>
      </x:c>
      <x:c r="EP110" s="107" t="n">
        <x:f>SUM(IF($B$8=3,EP26,0),IF($B$36=3,EP54,0),IF($B$64=3,EP82,0))</x:f>
      </x:c>
      <x:c r="EQ110" s="107" t="n">
        <x:f>SUM(IF($B$8=3,EQ26,0),IF($B$36=3,EQ54,0),IF($B$64=3,EQ82,0))</x:f>
      </x:c>
      <x:c r="ER110" s="107" t="n">
        <x:f>SUM(IF($B$8=3,ER26,0),IF($B$36=3,ER54,0),IF($B$64=3,ER82,0))</x:f>
      </x:c>
      <x:c r="ES110" s="107" t="n">
        <x:f>SUM(IF($B$8=3,ES26,0),IF($B$36=3,ES54,0),IF($B$64=3,ES82,0))</x:f>
      </x:c>
      <x:c r="ET110" s="107" t="n">
        <x:f>SUM(IF($B$8=3,ET26,0),IF($B$36=3,ET54,0),IF($B$64=3,ET82,0))</x:f>
      </x:c>
      <x:c r="EU110" s="107" t="n">
        <x:f>SUM(IF($B$8=3,EU26,0),IF($B$36=3,EU54,0),IF($B$64=3,EU82,0))</x:f>
      </x:c>
      <x:c r="EV110" s="107" t="n">
        <x:f>SUM(IF($B$8=3,EV26,0),IF($B$36=3,EV54,0),IF($B$64=3,EV82,0))</x:f>
      </x:c>
      <x:c r="EW110" s="107" t="n">
        <x:f>SUM(IF($B$8=3,EW26,0),IF($B$36=3,EW54,0),IF($B$64=3,EW82,0))</x:f>
      </x:c>
      <x:c r="EX110" s="107" t="n">
        <x:f>SUM(IF($B$8=3,EX26,0),IF($B$36=3,EX54,0),IF($B$64=3,EX82,0))</x:f>
      </x:c>
      <x:c r="EY110" s="107" t="n">
        <x:f>SUM(IF($B$8=3,EY26,0),IF($B$36=3,EY54,0),IF($B$64=3,EY82,0))</x:f>
      </x:c>
      <x:c r="EZ110" s="107" t="n">
        <x:f>SUM(IF($B$8=3,EZ26,0),IF($B$36=3,EZ54,0),IF($B$64=3,EZ82,0))</x:f>
      </x:c>
      <x:c r="FA110" s="107" t="n">
        <x:f>SUM(IF($B$8=3,FA26,0),IF($B$36=3,FA54,0),IF($B$64=3,FA82,0))</x:f>
      </x:c>
      <x:c r="FB110" s="107" t="n">
        <x:f>SUM(IF($B$8=3,FB26,0),IF($B$36=3,FB54,0),IF($B$64=3,FB82,0))</x:f>
      </x:c>
      <x:c r="FC110" s="107" t="n">
        <x:f>SUM(IF($B$8=3,FC26,0),IF($B$36=3,FC54,0),IF($B$64=3,FC82,0))</x:f>
      </x:c>
      <x:c r="FD110" s="107" t="n">
        <x:f>SUM(IF($B$8=3,FD26,0),IF($B$36=3,FD54,0),IF($B$64=3,FD82,0))</x:f>
      </x:c>
      <x:c r="FE110" s="107" t="n">
        <x:f>SUM(IF($B$8=3,FE26,0),IF($B$36=3,FE54,0),IF($B$64=3,FE82,0))</x:f>
      </x:c>
      <x:c r="FF110" s="107" t="n">
        <x:f>SUM(IF($B$8=3,FF26,0),IF($B$36=3,FF54,0),IF($B$64=3,FF82,0))</x:f>
      </x:c>
      <x:c r="FG110" s="107" t="n">
        <x:f>SUM(IF($B$8=3,FG26,0),IF($B$36=3,FG54,0),IF($B$64=3,FG82,0))</x:f>
      </x:c>
      <x:c r="FH110" s="107" t="n">
        <x:f>SUM(IF($B$8=3,FH26,0),IF($B$36=3,FH54,0),IF($B$64=3,FH82,0))</x:f>
      </x:c>
      <x:c r="FI110" s="107" t="n">
        <x:f>SUM(IF($B$8=3,FI26,0),IF($B$36=3,FI54,0),IF($B$64=3,FI82,0))</x:f>
      </x:c>
      <x:c r="FJ110" s="107" t="n">
        <x:f>SUM(IF($B$8=3,FJ26,0),IF($B$36=3,FJ54,0),IF($B$64=3,FJ82,0))</x:f>
      </x:c>
      <x:c r="FK110" s="107" t="n">
        <x:f>SUM(IF($B$8=3,FK26,0),IF($B$36=3,FK54,0),IF($B$64=3,FK82,0))</x:f>
      </x:c>
      <x:c r="FL110" s="107" t="n">
        <x:f>SUM(IF($B$8=3,FL26,0),IF($B$36=3,FL54,0),IF($B$64=3,FL82,0))</x:f>
      </x:c>
      <x:c r="FM110" s="107" t="n">
        <x:f>SUM(IF($B$8=3,FM26,0),IF($B$36=3,FM54,0),IF($B$64=3,FM82,0))</x:f>
      </x:c>
      <x:c r="FN110" s="107" t="n">
        <x:f>SUM(IF($B$8=3,FN26,0),IF($B$36=3,FN54,0),IF($B$64=3,FN82,0))</x:f>
      </x:c>
      <x:c r="FO110" s="107" t="n">
        <x:f>SUM(IF($B$8=3,FO26,0),IF($B$36=3,FO54,0),IF($B$64=3,FO82,0))</x:f>
      </x:c>
      <x:c r="FP110" s="107" t="n">
        <x:f>SUM(IF($B$8=3,FP26,0),IF($B$36=3,FP54,0),IF($B$64=3,FP82,0))</x:f>
      </x:c>
      <x:c r="FQ110" s="107" t="n">
        <x:f>SUM(IF($B$8=3,FQ26,0),IF($B$36=3,FQ54,0),IF($B$64=3,FQ82,0))</x:f>
      </x:c>
      <x:c r="FR110" s="107" t="n">
        <x:f>SUM(IF($B$8=3,FR26,0),IF($B$36=3,FR54,0),IF($B$64=3,FR82,0))</x:f>
      </x:c>
      <x:c r="FS110" s="107" t="n">
        <x:f>SUM(IF($B$8=3,FS26,0),IF($B$36=3,FS54,0),IF($B$64=3,FS82,0))</x:f>
      </x:c>
      <x:c r="FT110" s="107" t="n">
        <x:f>SUM(IF($B$8=3,FT26,0),IF($B$36=3,FT54,0),IF($B$64=3,FT82,0))</x:f>
      </x:c>
      <x:c r="FU110" s="107" t="n">
        <x:f>SUM(IF($B$8=3,FU26,0),IF($B$36=3,FU54,0),IF($B$64=3,FU82,0))</x:f>
      </x:c>
      <x:c r="FV110" s="107" t="n">
        <x:f>SUM(IF($B$8=3,FV26,0),IF($B$36=3,FV54,0),IF($B$64=3,FV82,0))</x:f>
      </x:c>
      <x:c r="FW110" s="107" t="n">
        <x:f>SUM(IF($B$8=3,FW26,0),IF($B$36=3,FW54,0),IF($B$64=3,FW82,0))</x:f>
      </x:c>
      <x:c r="FX110" s="107" t="n">
        <x:f>SUM(IF($B$8=3,FX26,0),IF($B$36=3,FX54,0),IF($B$64=3,FX82,0))</x:f>
      </x:c>
      <x:c r="FY110" s="107" t="n">
        <x:f>SUM(IF($B$8=3,FY26,0),IF($B$36=3,FY54,0),IF($B$64=3,FY82,0))</x:f>
      </x:c>
      <x:c r="FZ110" s="107" t="n">
        <x:f>SUM(IF($B$8=3,FZ26,0),IF($B$36=3,FZ54,0),IF($B$64=3,FZ82,0))</x:f>
      </x:c>
      <x:c r="GA110" s="107" t="n">
        <x:f>SUM(IF($B$8=3,GA26,0),IF($B$36=3,GA54,0),IF($B$64=3,GA82,0))</x:f>
      </x:c>
    </x:row>
    <x:row r="111">
      <x:c r="A111" t="str">
        <x:v>Очередь 3 — Раскрытие эскроу объектов</x:v>
      </x:c>
      <x:c r="B111" s="107" t="n">
        <x:f>SUM(D111:GA111)</x:f>
      </x:c>
      <x:c r="C111" t="str">
        <x:v>млн ₽</x:v>
      </x:c>
      <x:c r="D111" s="107" t="n">
        <x:f>SUM(IF($B$8=3,D27,0),IF($B$36=3,D55,0),IF($B$64=3,D83,0))</x:f>
      </x:c>
      <x:c r="E111" s="107" t="n">
        <x:f>SUM(IF($B$8=3,E27,0),IF($B$36=3,E55,0),IF($B$64=3,E83,0))</x:f>
      </x:c>
      <x:c r="F111" s="107" t="n">
        <x:f>SUM(IF($B$8=3,F27,0),IF($B$36=3,F55,0),IF($B$64=3,F83,0))</x:f>
      </x:c>
      <x:c r="G111" s="107" t="n">
        <x:f>SUM(IF($B$8=3,G27,0),IF($B$36=3,G55,0),IF($B$64=3,G83,0))</x:f>
      </x:c>
      <x:c r="H111" s="107" t="n">
        <x:f>SUM(IF($B$8=3,H27,0),IF($B$36=3,H55,0),IF($B$64=3,H83,0))</x:f>
      </x:c>
      <x:c r="I111" s="107" t="n">
        <x:f>SUM(IF($B$8=3,I27,0),IF($B$36=3,I55,0),IF($B$64=3,I83,0))</x:f>
      </x:c>
      <x:c r="J111" s="107" t="n">
        <x:f>SUM(IF($B$8=3,J27,0),IF($B$36=3,J55,0),IF($B$64=3,J83,0))</x:f>
      </x:c>
      <x:c r="K111" s="107" t="n">
        <x:f>SUM(IF($B$8=3,K27,0),IF($B$36=3,K55,0),IF($B$64=3,K83,0))</x:f>
      </x:c>
      <x:c r="L111" s="107" t="n">
        <x:f>SUM(IF($B$8=3,L27,0),IF($B$36=3,L55,0),IF($B$64=3,L83,0))</x:f>
      </x:c>
      <x:c r="M111" s="107" t="n">
        <x:f>SUM(IF($B$8=3,M27,0),IF($B$36=3,M55,0),IF($B$64=3,M83,0))</x:f>
      </x:c>
      <x:c r="N111" s="107" t="n">
        <x:f>SUM(IF($B$8=3,N27,0),IF($B$36=3,N55,0),IF($B$64=3,N83,0))</x:f>
      </x:c>
      <x:c r="O111" s="107" t="n">
        <x:f>SUM(IF($B$8=3,O27,0),IF($B$36=3,O55,0),IF($B$64=3,O83,0))</x:f>
      </x:c>
      <x:c r="P111" s="107" t="n">
        <x:f>SUM(IF($B$8=3,P27,0),IF($B$36=3,P55,0),IF($B$64=3,P83,0))</x:f>
      </x:c>
      <x:c r="Q111" s="107" t="n">
        <x:f>SUM(IF($B$8=3,Q27,0),IF($B$36=3,Q55,0),IF($B$64=3,Q83,0))</x:f>
      </x:c>
      <x:c r="R111" s="107" t="n">
        <x:f>SUM(IF($B$8=3,R27,0),IF($B$36=3,R55,0),IF($B$64=3,R83,0))</x:f>
      </x:c>
      <x:c r="S111" s="107" t="n">
        <x:f>SUM(IF($B$8=3,S27,0),IF($B$36=3,S55,0),IF($B$64=3,S83,0))</x:f>
      </x:c>
      <x:c r="T111" s="107" t="n">
        <x:f>SUM(IF($B$8=3,T27,0),IF($B$36=3,T55,0),IF($B$64=3,T83,0))</x:f>
      </x:c>
      <x:c r="U111" s="107" t="n">
        <x:f>SUM(IF($B$8=3,U27,0),IF($B$36=3,U55,0),IF($B$64=3,U83,0))</x:f>
      </x:c>
      <x:c r="V111" s="107" t="n">
        <x:f>SUM(IF($B$8=3,V27,0),IF($B$36=3,V55,0),IF($B$64=3,V83,0))</x:f>
      </x:c>
      <x:c r="W111" s="107" t="n">
        <x:f>SUM(IF($B$8=3,W27,0),IF($B$36=3,W55,0),IF($B$64=3,W83,0))</x:f>
      </x:c>
      <x:c r="X111" s="107" t="n">
        <x:f>SUM(IF($B$8=3,X27,0),IF($B$36=3,X55,0),IF($B$64=3,X83,0))</x:f>
      </x:c>
      <x:c r="Y111" s="107" t="n">
        <x:f>SUM(IF($B$8=3,Y27,0),IF($B$36=3,Y55,0),IF($B$64=3,Y83,0))</x:f>
      </x:c>
      <x:c r="Z111" s="107" t="n">
        <x:f>SUM(IF($B$8=3,Z27,0),IF($B$36=3,Z55,0),IF($B$64=3,Z83,0))</x:f>
      </x:c>
      <x:c r="AA111" s="107" t="n">
        <x:f>SUM(IF($B$8=3,AA27,0),IF($B$36=3,AA55,0),IF($B$64=3,AA83,0))</x:f>
      </x:c>
      <x:c r="AB111" s="107" t="n">
        <x:f>SUM(IF($B$8=3,AB27,0),IF($B$36=3,AB55,0),IF($B$64=3,AB83,0))</x:f>
      </x:c>
      <x:c r="AC111" s="107" t="n">
        <x:f>SUM(IF($B$8=3,AC27,0),IF($B$36=3,AC55,0),IF($B$64=3,AC83,0))</x:f>
      </x:c>
      <x:c r="AD111" s="107" t="n">
        <x:f>SUM(IF($B$8=3,AD27,0),IF($B$36=3,AD55,0),IF($B$64=3,AD83,0))</x:f>
      </x:c>
      <x:c r="AE111" s="107" t="n">
        <x:f>SUM(IF($B$8=3,AE27,0),IF($B$36=3,AE55,0),IF($B$64=3,AE83,0))</x:f>
      </x:c>
      <x:c r="AF111" s="107" t="n">
        <x:f>SUM(IF($B$8=3,AF27,0),IF($B$36=3,AF55,0),IF($B$64=3,AF83,0))</x:f>
      </x:c>
      <x:c r="AG111" s="107" t="n">
        <x:f>SUM(IF($B$8=3,AG27,0),IF($B$36=3,AG55,0),IF($B$64=3,AG83,0))</x:f>
      </x:c>
      <x:c r="AH111" s="107" t="n">
        <x:f>SUM(IF($B$8=3,AH27,0),IF($B$36=3,AH55,0),IF($B$64=3,AH83,0))</x:f>
      </x:c>
      <x:c r="AI111" s="107" t="n">
        <x:f>SUM(IF($B$8=3,AI27,0),IF($B$36=3,AI55,0),IF($B$64=3,AI83,0))</x:f>
      </x:c>
      <x:c r="AJ111" s="107" t="n">
        <x:f>SUM(IF($B$8=3,AJ27,0),IF($B$36=3,AJ55,0),IF($B$64=3,AJ83,0))</x:f>
      </x:c>
      <x:c r="AK111" s="107" t="n">
        <x:f>SUM(IF($B$8=3,AK27,0),IF($B$36=3,AK55,0),IF($B$64=3,AK83,0))</x:f>
      </x:c>
      <x:c r="AL111" s="107" t="n">
        <x:f>SUM(IF($B$8=3,AL27,0),IF($B$36=3,AL55,0),IF($B$64=3,AL83,0))</x:f>
      </x:c>
      <x:c r="AM111" s="107" t="n">
        <x:f>SUM(IF($B$8=3,AM27,0),IF($B$36=3,AM55,0),IF($B$64=3,AM83,0))</x:f>
      </x:c>
      <x:c r="AN111" s="107" t="n">
        <x:f>SUM(IF($B$8=3,AN27,0),IF($B$36=3,AN55,0),IF($B$64=3,AN83,0))</x:f>
      </x:c>
      <x:c r="AO111" s="107" t="n">
        <x:f>SUM(IF($B$8=3,AO27,0),IF($B$36=3,AO55,0),IF($B$64=3,AO83,0))</x:f>
      </x:c>
      <x:c r="AP111" s="107" t="n">
        <x:f>SUM(IF($B$8=3,AP27,0),IF($B$36=3,AP55,0),IF($B$64=3,AP83,0))</x:f>
      </x:c>
      <x:c r="AQ111" s="107" t="n">
        <x:f>SUM(IF($B$8=3,AQ27,0),IF($B$36=3,AQ55,0),IF($B$64=3,AQ83,0))</x:f>
      </x:c>
      <x:c r="AR111" s="107" t="n">
        <x:f>SUM(IF($B$8=3,AR27,0),IF($B$36=3,AR55,0),IF($B$64=3,AR83,0))</x:f>
      </x:c>
      <x:c r="AS111" s="107" t="n">
        <x:f>SUM(IF($B$8=3,AS27,0),IF($B$36=3,AS55,0),IF($B$64=3,AS83,0))</x:f>
      </x:c>
      <x:c r="AT111" s="107" t="n">
        <x:f>SUM(IF($B$8=3,AT27,0),IF($B$36=3,AT55,0),IF($B$64=3,AT83,0))</x:f>
      </x:c>
      <x:c r="AU111" s="107" t="n">
        <x:f>SUM(IF($B$8=3,AU27,0),IF($B$36=3,AU55,0),IF($B$64=3,AU83,0))</x:f>
      </x:c>
      <x:c r="AV111" s="107" t="n">
        <x:f>SUM(IF($B$8=3,AV27,0),IF($B$36=3,AV55,0),IF($B$64=3,AV83,0))</x:f>
      </x:c>
      <x:c r="AW111" s="107" t="n">
        <x:f>SUM(IF($B$8=3,AW27,0),IF($B$36=3,AW55,0),IF($B$64=3,AW83,0))</x:f>
      </x:c>
      <x:c r="AX111" s="107" t="n">
        <x:f>SUM(IF($B$8=3,AX27,0),IF($B$36=3,AX55,0),IF($B$64=3,AX83,0))</x:f>
      </x:c>
      <x:c r="AY111" s="107" t="n">
        <x:f>SUM(IF($B$8=3,AY27,0),IF($B$36=3,AY55,0),IF($B$64=3,AY83,0))</x:f>
      </x:c>
      <x:c r="AZ111" s="107" t="n">
        <x:f>SUM(IF($B$8=3,AZ27,0),IF($B$36=3,AZ55,0),IF($B$64=3,AZ83,0))</x:f>
      </x:c>
      <x:c r="BA111" s="107" t="n">
        <x:f>SUM(IF($B$8=3,BA27,0),IF($B$36=3,BA55,0),IF($B$64=3,BA83,0))</x:f>
      </x:c>
      <x:c r="BB111" s="107" t="n">
        <x:f>SUM(IF($B$8=3,BB27,0),IF($B$36=3,BB55,0),IF($B$64=3,BB83,0))</x:f>
      </x:c>
      <x:c r="BC111" s="107" t="n">
        <x:f>SUM(IF($B$8=3,BC27,0),IF($B$36=3,BC55,0),IF($B$64=3,BC83,0))</x:f>
      </x:c>
      <x:c r="BD111" s="107" t="n">
        <x:f>SUM(IF($B$8=3,BD27,0),IF($B$36=3,BD55,0),IF($B$64=3,BD83,0))</x:f>
      </x:c>
      <x:c r="BE111" s="107" t="n">
        <x:f>SUM(IF($B$8=3,BE27,0),IF($B$36=3,BE55,0),IF($B$64=3,BE83,0))</x:f>
      </x:c>
      <x:c r="BF111" s="107" t="n">
        <x:f>SUM(IF($B$8=3,BF27,0),IF($B$36=3,BF55,0),IF($B$64=3,BF83,0))</x:f>
      </x:c>
      <x:c r="BG111" s="107" t="n">
        <x:f>SUM(IF($B$8=3,BG27,0),IF($B$36=3,BG55,0),IF($B$64=3,BG83,0))</x:f>
      </x:c>
      <x:c r="BH111" s="107" t="n">
        <x:f>SUM(IF($B$8=3,BH27,0),IF($B$36=3,BH55,0),IF($B$64=3,BH83,0))</x:f>
      </x:c>
      <x:c r="BI111" s="107" t="n">
        <x:f>SUM(IF($B$8=3,BI27,0),IF($B$36=3,BI55,0),IF($B$64=3,BI83,0))</x:f>
      </x:c>
      <x:c r="BJ111" s="107" t="n">
        <x:f>SUM(IF($B$8=3,BJ27,0),IF($B$36=3,BJ55,0),IF($B$64=3,BJ83,0))</x:f>
      </x:c>
      <x:c r="BK111" s="107" t="n">
        <x:f>SUM(IF($B$8=3,BK27,0),IF($B$36=3,BK55,0),IF($B$64=3,BK83,0))</x:f>
      </x:c>
      <x:c r="BL111" s="107" t="n">
        <x:f>SUM(IF($B$8=3,BL27,0),IF($B$36=3,BL55,0),IF($B$64=3,BL83,0))</x:f>
      </x:c>
      <x:c r="BM111" s="107" t="n">
        <x:f>SUM(IF($B$8=3,BM27,0),IF($B$36=3,BM55,0),IF($B$64=3,BM83,0))</x:f>
      </x:c>
      <x:c r="BN111" s="107" t="n">
        <x:f>SUM(IF($B$8=3,BN27,0),IF($B$36=3,BN55,0),IF($B$64=3,BN83,0))</x:f>
      </x:c>
      <x:c r="BO111" s="107" t="n">
        <x:f>SUM(IF($B$8=3,BO27,0),IF($B$36=3,BO55,0),IF($B$64=3,BO83,0))</x:f>
      </x:c>
      <x:c r="BP111" s="107" t="n">
        <x:f>SUM(IF($B$8=3,BP27,0),IF($B$36=3,BP55,0),IF($B$64=3,BP83,0))</x:f>
      </x:c>
      <x:c r="BQ111" s="107" t="n">
        <x:f>SUM(IF($B$8=3,BQ27,0),IF($B$36=3,BQ55,0),IF($B$64=3,BQ83,0))</x:f>
      </x:c>
      <x:c r="BR111" s="107" t="n">
        <x:f>SUM(IF($B$8=3,BR27,0),IF($B$36=3,BR55,0),IF($B$64=3,BR83,0))</x:f>
      </x:c>
      <x:c r="BS111" s="107" t="n">
        <x:f>SUM(IF($B$8=3,BS27,0),IF($B$36=3,BS55,0),IF($B$64=3,BS83,0))</x:f>
      </x:c>
      <x:c r="BT111" s="107" t="n">
        <x:f>SUM(IF($B$8=3,BT27,0),IF($B$36=3,BT55,0),IF($B$64=3,BT83,0))</x:f>
      </x:c>
      <x:c r="BU111" s="107" t="n">
        <x:f>SUM(IF($B$8=3,BU27,0),IF($B$36=3,BU55,0),IF($B$64=3,BU83,0))</x:f>
      </x:c>
      <x:c r="BV111" s="107" t="n">
        <x:f>SUM(IF($B$8=3,BV27,0),IF($B$36=3,BV55,0),IF($B$64=3,BV83,0))</x:f>
      </x:c>
      <x:c r="BW111" s="107" t="n">
        <x:f>SUM(IF($B$8=3,BW27,0),IF($B$36=3,BW55,0),IF($B$64=3,BW83,0))</x:f>
      </x:c>
      <x:c r="BX111" s="107" t="n">
        <x:f>SUM(IF($B$8=3,BX27,0),IF($B$36=3,BX55,0),IF($B$64=3,BX83,0))</x:f>
      </x:c>
      <x:c r="BY111" s="107" t="n">
        <x:f>SUM(IF($B$8=3,BY27,0),IF($B$36=3,BY55,0),IF($B$64=3,BY83,0))</x:f>
      </x:c>
      <x:c r="BZ111" s="107" t="n">
        <x:f>SUM(IF($B$8=3,BZ27,0),IF($B$36=3,BZ55,0),IF($B$64=3,BZ83,0))</x:f>
      </x:c>
      <x:c r="CA111" s="107" t="n">
        <x:f>SUM(IF($B$8=3,CA27,0),IF($B$36=3,CA55,0),IF($B$64=3,CA83,0))</x:f>
      </x:c>
      <x:c r="CB111" s="107" t="n">
        <x:f>SUM(IF($B$8=3,CB27,0),IF($B$36=3,CB55,0),IF($B$64=3,CB83,0))</x:f>
      </x:c>
      <x:c r="CC111" s="107" t="n">
        <x:f>SUM(IF($B$8=3,CC27,0),IF($B$36=3,CC55,0),IF($B$64=3,CC83,0))</x:f>
      </x:c>
      <x:c r="CD111" s="107" t="n">
        <x:f>SUM(IF($B$8=3,CD27,0),IF($B$36=3,CD55,0),IF($B$64=3,CD83,0))</x:f>
      </x:c>
      <x:c r="CE111" s="107" t="n">
        <x:f>SUM(IF($B$8=3,CE27,0),IF($B$36=3,CE55,0),IF($B$64=3,CE83,0))</x:f>
      </x:c>
      <x:c r="CF111" s="107" t="n">
        <x:f>SUM(IF($B$8=3,CF27,0),IF($B$36=3,CF55,0),IF($B$64=3,CF83,0))</x:f>
      </x:c>
      <x:c r="CG111" s="107" t="n">
        <x:f>SUM(IF($B$8=3,CG27,0),IF($B$36=3,CG55,0),IF($B$64=3,CG83,0))</x:f>
      </x:c>
      <x:c r="CH111" s="107" t="n">
        <x:f>SUM(IF($B$8=3,CH27,0),IF($B$36=3,CH55,0),IF($B$64=3,CH83,0))</x:f>
      </x:c>
      <x:c r="CI111" s="107" t="n">
        <x:f>SUM(IF($B$8=3,CI27,0),IF($B$36=3,CI55,0),IF($B$64=3,CI83,0))</x:f>
      </x:c>
      <x:c r="CJ111" s="107" t="n">
        <x:f>SUM(IF($B$8=3,CJ27,0),IF($B$36=3,CJ55,0),IF($B$64=3,CJ83,0))</x:f>
      </x:c>
      <x:c r="CK111" s="107" t="n">
        <x:f>SUM(IF($B$8=3,CK27,0),IF($B$36=3,CK55,0),IF($B$64=3,CK83,0))</x:f>
      </x:c>
      <x:c r="CL111" s="107" t="n">
        <x:f>SUM(IF($B$8=3,CL27,0),IF($B$36=3,CL55,0),IF($B$64=3,CL83,0))</x:f>
      </x:c>
      <x:c r="CM111" s="107" t="n">
        <x:f>SUM(IF($B$8=3,CM27,0),IF($B$36=3,CM55,0),IF($B$64=3,CM83,0))</x:f>
      </x:c>
      <x:c r="CN111" s="107" t="n">
        <x:f>SUM(IF($B$8=3,CN27,0),IF($B$36=3,CN55,0),IF($B$64=3,CN83,0))</x:f>
      </x:c>
      <x:c r="CO111" s="107" t="n">
        <x:f>SUM(IF($B$8=3,CO27,0),IF($B$36=3,CO55,0),IF($B$64=3,CO83,0))</x:f>
      </x:c>
      <x:c r="CP111" s="107" t="n">
        <x:f>SUM(IF($B$8=3,CP27,0),IF($B$36=3,CP55,0),IF($B$64=3,CP83,0))</x:f>
      </x:c>
      <x:c r="CQ111" s="107" t="n">
        <x:f>SUM(IF($B$8=3,CQ27,0),IF($B$36=3,CQ55,0),IF($B$64=3,CQ83,0))</x:f>
      </x:c>
      <x:c r="CR111" s="107" t="n">
        <x:f>SUM(IF($B$8=3,CR27,0),IF($B$36=3,CR55,0),IF($B$64=3,CR83,0))</x:f>
      </x:c>
      <x:c r="CS111" s="107" t="n">
        <x:f>SUM(IF($B$8=3,CS27,0),IF($B$36=3,CS55,0),IF($B$64=3,CS83,0))</x:f>
      </x:c>
      <x:c r="CT111" s="107" t="n">
        <x:f>SUM(IF($B$8=3,CT27,0),IF($B$36=3,CT55,0),IF($B$64=3,CT83,0))</x:f>
      </x:c>
      <x:c r="CU111" s="107" t="n">
        <x:f>SUM(IF($B$8=3,CU27,0),IF($B$36=3,CU55,0),IF($B$64=3,CU83,0))</x:f>
      </x:c>
      <x:c r="CV111" s="107" t="n">
        <x:f>SUM(IF($B$8=3,CV27,0),IF($B$36=3,CV55,0),IF($B$64=3,CV83,0))</x:f>
      </x:c>
      <x:c r="CW111" s="107" t="n">
        <x:f>SUM(IF($B$8=3,CW27,0),IF($B$36=3,CW55,0),IF($B$64=3,CW83,0))</x:f>
      </x:c>
      <x:c r="CX111" s="107" t="n">
        <x:f>SUM(IF($B$8=3,CX27,0),IF($B$36=3,CX55,0),IF($B$64=3,CX83,0))</x:f>
      </x:c>
      <x:c r="CY111" s="107" t="n">
        <x:f>SUM(IF($B$8=3,CY27,0),IF($B$36=3,CY55,0),IF($B$64=3,CY83,0))</x:f>
      </x:c>
      <x:c r="CZ111" s="107" t="n">
        <x:f>SUM(IF($B$8=3,CZ27,0),IF($B$36=3,CZ55,0),IF($B$64=3,CZ83,0))</x:f>
      </x:c>
      <x:c r="DA111" s="107" t="n">
        <x:f>SUM(IF($B$8=3,DA27,0),IF($B$36=3,DA55,0),IF($B$64=3,DA83,0))</x:f>
      </x:c>
      <x:c r="DB111" s="107" t="n">
        <x:f>SUM(IF($B$8=3,DB27,0),IF($B$36=3,DB55,0),IF($B$64=3,DB83,0))</x:f>
      </x:c>
      <x:c r="DC111" s="107" t="n">
        <x:f>SUM(IF($B$8=3,DC27,0),IF($B$36=3,DC55,0),IF($B$64=3,DC83,0))</x:f>
      </x:c>
      <x:c r="DD111" s="107" t="n">
        <x:f>SUM(IF($B$8=3,DD27,0),IF($B$36=3,DD55,0),IF($B$64=3,DD83,0))</x:f>
      </x:c>
      <x:c r="DE111" s="107" t="n">
        <x:f>SUM(IF($B$8=3,DE27,0),IF($B$36=3,DE55,0),IF($B$64=3,DE83,0))</x:f>
      </x:c>
      <x:c r="DF111" s="107" t="n">
        <x:f>SUM(IF($B$8=3,DF27,0),IF($B$36=3,DF55,0),IF($B$64=3,DF83,0))</x:f>
      </x:c>
      <x:c r="DG111" s="107" t="n">
        <x:f>SUM(IF($B$8=3,DG27,0),IF($B$36=3,DG55,0),IF($B$64=3,DG83,0))</x:f>
      </x:c>
      <x:c r="DH111" s="107" t="n">
        <x:f>SUM(IF($B$8=3,DH27,0),IF($B$36=3,DH55,0),IF($B$64=3,DH83,0))</x:f>
      </x:c>
      <x:c r="DI111" s="107" t="n">
        <x:f>SUM(IF($B$8=3,DI27,0),IF($B$36=3,DI55,0),IF($B$64=3,DI83,0))</x:f>
      </x:c>
      <x:c r="DJ111" s="107" t="n">
        <x:f>SUM(IF($B$8=3,DJ27,0),IF($B$36=3,DJ55,0),IF($B$64=3,DJ83,0))</x:f>
      </x:c>
      <x:c r="DK111" s="107" t="n">
        <x:f>SUM(IF($B$8=3,DK27,0),IF($B$36=3,DK55,0),IF($B$64=3,DK83,0))</x:f>
      </x:c>
      <x:c r="DL111" s="107" t="n">
        <x:f>SUM(IF($B$8=3,DL27,0),IF($B$36=3,DL55,0),IF($B$64=3,DL83,0))</x:f>
      </x:c>
      <x:c r="DM111" s="107" t="n">
        <x:f>SUM(IF($B$8=3,DM27,0),IF($B$36=3,DM55,0),IF($B$64=3,DM83,0))</x:f>
      </x:c>
      <x:c r="DN111" s="107" t="n">
        <x:f>SUM(IF($B$8=3,DN27,0),IF($B$36=3,DN55,0),IF($B$64=3,DN83,0))</x:f>
      </x:c>
      <x:c r="DO111" s="107" t="n">
        <x:f>SUM(IF($B$8=3,DO27,0),IF($B$36=3,DO55,0),IF($B$64=3,DO83,0))</x:f>
      </x:c>
      <x:c r="DP111" s="107" t="n">
        <x:f>SUM(IF($B$8=3,DP27,0),IF($B$36=3,DP55,0),IF($B$64=3,DP83,0))</x:f>
      </x:c>
      <x:c r="DQ111" s="107" t="n">
        <x:f>SUM(IF($B$8=3,DQ27,0),IF($B$36=3,DQ55,0),IF($B$64=3,DQ83,0))</x:f>
      </x:c>
      <x:c r="DR111" s="107" t="n">
        <x:f>SUM(IF($B$8=3,DR27,0),IF($B$36=3,DR55,0),IF($B$64=3,DR83,0))</x:f>
      </x:c>
      <x:c r="DS111" s="107" t="n">
        <x:f>SUM(IF($B$8=3,DS27,0),IF($B$36=3,DS55,0),IF($B$64=3,DS83,0))</x:f>
      </x:c>
      <x:c r="DT111" s="107" t="n">
        <x:f>SUM(IF($B$8=3,DT27,0),IF($B$36=3,DT55,0),IF($B$64=3,DT83,0))</x:f>
      </x:c>
      <x:c r="DU111" s="107" t="n">
        <x:f>SUM(IF($B$8=3,DU27,0),IF($B$36=3,DU55,0),IF($B$64=3,DU83,0))</x:f>
      </x:c>
      <x:c r="DV111" s="107" t="n">
        <x:f>SUM(IF($B$8=3,DV27,0),IF($B$36=3,DV55,0),IF($B$64=3,DV83,0))</x:f>
      </x:c>
      <x:c r="DW111" s="107" t="n">
        <x:f>SUM(IF($B$8=3,DW27,0),IF($B$36=3,DW55,0),IF($B$64=3,DW83,0))</x:f>
      </x:c>
      <x:c r="DX111" s="107" t="n">
        <x:f>SUM(IF($B$8=3,DX27,0),IF($B$36=3,DX55,0),IF($B$64=3,DX83,0))</x:f>
      </x:c>
      <x:c r="DY111" s="107" t="n">
        <x:f>SUM(IF($B$8=3,DY27,0),IF($B$36=3,DY55,0),IF($B$64=3,DY83,0))</x:f>
      </x:c>
      <x:c r="DZ111" s="107" t="n">
        <x:f>SUM(IF($B$8=3,DZ27,0),IF($B$36=3,DZ55,0),IF($B$64=3,DZ83,0))</x:f>
      </x:c>
      <x:c r="EA111" s="107" t="n">
        <x:f>SUM(IF($B$8=3,EA27,0),IF($B$36=3,EA55,0),IF($B$64=3,EA83,0))</x:f>
      </x:c>
      <x:c r="EB111" s="107" t="n">
        <x:f>SUM(IF($B$8=3,EB27,0),IF($B$36=3,EB55,0),IF($B$64=3,EB83,0))</x:f>
      </x:c>
      <x:c r="EC111" s="107" t="n">
        <x:f>SUM(IF($B$8=3,EC27,0),IF($B$36=3,EC55,0),IF($B$64=3,EC83,0))</x:f>
      </x:c>
      <x:c r="ED111" s="107" t="n">
        <x:f>SUM(IF($B$8=3,ED27,0),IF($B$36=3,ED55,0),IF($B$64=3,ED83,0))</x:f>
      </x:c>
      <x:c r="EE111" s="107" t="n">
        <x:f>SUM(IF($B$8=3,EE27,0),IF($B$36=3,EE55,0),IF($B$64=3,EE83,0))</x:f>
      </x:c>
      <x:c r="EF111" s="107" t="n">
        <x:f>SUM(IF($B$8=3,EF27,0),IF($B$36=3,EF55,0),IF($B$64=3,EF83,0))</x:f>
      </x:c>
      <x:c r="EG111" s="107" t="n">
        <x:f>SUM(IF($B$8=3,EG27,0),IF($B$36=3,EG55,0),IF($B$64=3,EG83,0))</x:f>
      </x:c>
      <x:c r="EH111" s="107" t="n">
        <x:f>SUM(IF($B$8=3,EH27,0),IF($B$36=3,EH55,0),IF($B$64=3,EH83,0))</x:f>
      </x:c>
      <x:c r="EI111" s="107" t="n">
        <x:f>SUM(IF($B$8=3,EI27,0),IF($B$36=3,EI55,0),IF($B$64=3,EI83,0))</x:f>
      </x:c>
      <x:c r="EJ111" s="107" t="n">
        <x:f>SUM(IF($B$8=3,EJ27,0),IF($B$36=3,EJ55,0),IF($B$64=3,EJ83,0))</x:f>
      </x:c>
      <x:c r="EK111" s="107" t="n">
        <x:f>SUM(IF($B$8=3,EK27,0),IF($B$36=3,EK55,0),IF($B$64=3,EK83,0))</x:f>
      </x:c>
      <x:c r="EL111" s="107" t="n">
        <x:f>SUM(IF($B$8=3,EL27,0),IF($B$36=3,EL55,0),IF($B$64=3,EL83,0))</x:f>
      </x:c>
      <x:c r="EM111" s="107" t="n">
        <x:f>SUM(IF($B$8=3,EM27,0),IF($B$36=3,EM55,0),IF($B$64=3,EM83,0))</x:f>
      </x:c>
      <x:c r="EN111" s="107" t="n">
        <x:f>SUM(IF($B$8=3,EN27,0),IF($B$36=3,EN55,0),IF($B$64=3,EN83,0))</x:f>
      </x:c>
      <x:c r="EO111" s="107" t="n">
        <x:f>SUM(IF($B$8=3,EO27,0),IF($B$36=3,EO55,0),IF($B$64=3,EO83,0))</x:f>
      </x:c>
      <x:c r="EP111" s="107" t="n">
        <x:f>SUM(IF($B$8=3,EP27,0),IF($B$36=3,EP55,0),IF($B$64=3,EP83,0))</x:f>
      </x:c>
      <x:c r="EQ111" s="107" t="n">
        <x:f>SUM(IF($B$8=3,EQ27,0),IF($B$36=3,EQ55,0),IF($B$64=3,EQ83,0))</x:f>
      </x:c>
      <x:c r="ER111" s="107" t="n">
        <x:f>SUM(IF($B$8=3,ER27,0),IF($B$36=3,ER55,0),IF($B$64=3,ER83,0))</x:f>
      </x:c>
      <x:c r="ES111" s="107" t="n">
        <x:f>SUM(IF($B$8=3,ES27,0),IF($B$36=3,ES55,0),IF($B$64=3,ES83,0))</x:f>
      </x:c>
      <x:c r="ET111" s="107" t="n">
        <x:f>SUM(IF($B$8=3,ET27,0),IF($B$36=3,ET55,0),IF($B$64=3,ET83,0))</x:f>
      </x:c>
      <x:c r="EU111" s="107" t="n">
        <x:f>SUM(IF($B$8=3,EU27,0),IF($B$36=3,EU55,0),IF($B$64=3,EU83,0))</x:f>
      </x:c>
      <x:c r="EV111" s="107" t="n">
        <x:f>SUM(IF($B$8=3,EV27,0),IF($B$36=3,EV55,0),IF($B$64=3,EV83,0))</x:f>
      </x:c>
      <x:c r="EW111" s="107" t="n">
        <x:f>SUM(IF($B$8=3,EW27,0),IF($B$36=3,EW55,0),IF($B$64=3,EW83,0))</x:f>
      </x:c>
      <x:c r="EX111" s="107" t="n">
        <x:f>SUM(IF($B$8=3,EX27,0),IF($B$36=3,EX55,0),IF($B$64=3,EX83,0))</x:f>
      </x:c>
      <x:c r="EY111" s="107" t="n">
        <x:f>SUM(IF($B$8=3,EY27,0),IF($B$36=3,EY55,0),IF($B$64=3,EY83,0))</x:f>
      </x:c>
      <x:c r="EZ111" s="107" t="n">
        <x:f>SUM(IF($B$8=3,EZ27,0),IF($B$36=3,EZ55,0),IF($B$64=3,EZ83,0))</x:f>
      </x:c>
      <x:c r="FA111" s="107" t="n">
        <x:f>SUM(IF($B$8=3,FA27,0),IF($B$36=3,FA55,0),IF($B$64=3,FA83,0))</x:f>
      </x:c>
      <x:c r="FB111" s="107" t="n">
        <x:f>SUM(IF($B$8=3,FB27,0),IF($B$36=3,FB55,0),IF($B$64=3,FB83,0))</x:f>
      </x:c>
      <x:c r="FC111" s="107" t="n">
        <x:f>SUM(IF($B$8=3,FC27,0),IF($B$36=3,FC55,0),IF($B$64=3,FC83,0))</x:f>
      </x:c>
      <x:c r="FD111" s="107" t="n">
        <x:f>SUM(IF($B$8=3,FD27,0),IF($B$36=3,FD55,0),IF($B$64=3,FD83,0))</x:f>
      </x:c>
      <x:c r="FE111" s="107" t="n">
        <x:f>SUM(IF($B$8=3,FE27,0),IF($B$36=3,FE55,0),IF($B$64=3,FE83,0))</x:f>
      </x:c>
      <x:c r="FF111" s="107" t="n">
        <x:f>SUM(IF($B$8=3,FF27,0),IF($B$36=3,FF55,0),IF($B$64=3,FF83,0))</x:f>
      </x:c>
      <x:c r="FG111" s="107" t="n">
        <x:f>SUM(IF($B$8=3,FG27,0),IF($B$36=3,FG55,0),IF($B$64=3,FG83,0))</x:f>
      </x:c>
      <x:c r="FH111" s="107" t="n">
        <x:f>SUM(IF($B$8=3,FH27,0),IF($B$36=3,FH55,0),IF($B$64=3,FH83,0))</x:f>
      </x:c>
      <x:c r="FI111" s="107" t="n">
        <x:f>SUM(IF($B$8=3,FI27,0),IF($B$36=3,FI55,0),IF($B$64=3,FI83,0))</x:f>
      </x:c>
      <x:c r="FJ111" s="107" t="n">
        <x:f>SUM(IF($B$8=3,FJ27,0),IF($B$36=3,FJ55,0),IF($B$64=3,FJ83,0))</x:f>
      </x:c>
      <x:c r="FK111" s="107" t="n">
        <x:f>SUM(IF($B$8=3,FK27,0),IF($B$36=3,FK55,0),IF($B$64=3,FK83,0))</x:f>
      </x:c>
      <x:c r="FL111" s="107" t="n">
        <x:f>SUM(IF($B$8=3,FL27,0),IF($B$36=3,FL55,0),IF($B$64=3,FL83,0))</x:f>
      </x:c>
      <x:c r="FM111" s="107" t="n">
        <x:f>SUM(IF($B$8=3,FM27,0),IF($B$36=3,FM55,0),IF($B$64=3,FM83,0))</x:f>
      </x:c>
      <x:c r="FN111" s="107" t="n">
        <x:f>SUM(IF($B$8=3,FN27,0),IF($B$36=3,FN55,0),IF($B$64=3,FN83,0))</x:f>
      </x:c>
      <x:c r="FO111" s="107" t="n">
        <x:f>SUM(IF($B$8=3,FO27,0),IF($B$36=3,FO55,0),IF($B$64=3,FO83,0))</x:f>
      </x:c>
      <x:c r="FP111" s="107" t="n">
        <x:f>SUM(IF($B$8=3,FP27,0),IF($B$36=3,FP55,0),IF($B$64=3,FP83,0))</x:f>
      </x:c>
      <x:c r="FQ111" s="107" t="n">
        <x:f>SUM(IF($B$8=3,FQ27,0),IF($B$36=3,FQ55,0),IF($B$64=3,FQ83,0))</x:f>
      </x:c>
      <x:c r="FR111" s="107" t="n">
        <x:f>SUM(IF($B$8=3,FR27,0),IF($B$36=3,FR55,0),IF($B$64=3,FR83,0))</x:f>
      </x:c>
      <x:c r="FS111" s="107" t="n">
        <x:f>SUM(IF($B$8=3,FS27,0),IF($B$36=3,FS55,0),IF($B$64=3,FS83,0))</x:f>
      </x:c>
      <x:c r="FT111" s="107" t="n">
        <x:f>SUM(IF($B$8=3,FT27,0),IF($B$36=3,FT55,0),IF($B$64=3,FT83,0))</x:f>
      </x:c>
      <x:c r="FU111" s="107" t="n">
        <x:f>SUM(IF($B$8=3,FU27,0),IF($B$36=3,FU55,0),IF($B$64=3,FU83,0))</x:f>
      </x:c>
      <x:c r="FV111" s="107" t="n">
        <x:f>SUM(IF($B$8=3,FV27,0),IF($B$36=3,FV55,0),IF($B$64=3,FV83,0))</x:f>
      </x:c>
      <x:c r="FW111" s="107" t="n">
        <x:f>SUM(IF($B$8=3,FW27,0),IF($B$36=3,FW55,0),IF($B$64=3,FW83,0))</x:f>
      </x:c>
      <x:c r="FX111" s="107" t="n">
        <x:f>SUM(IF($B$8=3,FX27,0),IF($B$36=3,FX55,0),IF($B$64=3,FX83,0))</x:f>
      </x:c>
      <x:c r="FY111" s="107" t="n">
        <x:f>SUM(IF($B$8=3,FY27,0),IF($B$36=3,FY55,0),IF($B$64=3,FY83,0))</x:f>
      </x:c>
      <x:c r="FZ111" s="107" t="n">
        <x:f>SUM(IF($B$8=3,FZ27,0),IF($B$36=3,FZ55,0),IF($B$64=3,FZ83,0))</x:f>
      </x:c>
      <x:c r="GA111" s="107" t="n">
        <x:f>SUM(IF($B$8=3,GA27,0),IF($B$36=3,GA55,0),IF($B$64=3,GA83,0))</x:f>
      </x:c>
    </x:row>
    <x:row r="112">
      <x:c r="A112" t="str">
        <x:v>Очередь 3 — CAPEX объектов</x:v>
      </x:c>
      <x:c r="B112" s="107" t="n">
        <x:f>SUM(D112:GA112)</x:f>
      </x:c>
      <x:c r="C112" t="str">
        <x:v>млн ₽</x:v>
      </x:c>
      <x:c r="D112" s="107" t="n">
        <x:f>SUM(IF($B$8=3,D28,0),IF($B$36=3,D56,0),IF($B$64=3,D84,0))</x:f>
      </x:c>
      <x:c r="E112" s="107" t="n">
        <x:f>SUM(IF($B$8=3,E28,0),IF($B$36=3,E56,0),IF($B$64=3,E84,0))</x:f>
      </x:c>
      <x:c r="F112" s="107" t="n">
        <x:f>SUM(IF($B$8=3,F28,0),IF($B$36=3,F56,0),IF($B$64=3,F84,0))</x:f>
      </x:c>
      <x:c r="G112" s="107" t="n">
        <x:f>SUM(IF($B$8=3,G28,0),IF($B$36=3,G56,0),IF($B$64=3,G84,0))</x:f>
      </x:c>
      <x:c r="H112" s="107" t="n">
        <x:f>SUM(IF($B$8=3,H28,0),IF($B$36=3,H56,0),IF($B$64=3,H84,0))</x:f>
      </x:c>
      <x:c r="I112" s="107" t="n">
        <x:f>SUM(IF($B$8=3,I28,0),IF($B$36=3,I56,0),IF($B$64=3,I84,0))</x:f>
      </x:c>
      <x:c r="J112" s="107" t="n">
        <x:f>SUM(IF($B$8=3,J28,0),IF($B$36=3,J56,0),IF($B$64=3,J84,0))</x:f>
      </x:c>
      <x:c r="K112" s="107" t="n">
        <x:f>SUM(IF($B$8=3,K28,0),IF($B$36=3,K56,0),IF($B$64=3,K84,0))</x:f>
      </x:c>
      <x:c r="L112" s="107" t="n">
        <x:f>SUM(IF($B$8=3,L28,0),IF($B$36=3,L56,0),IF($B$64=3,L84,0))</x:f>
      </x:c>
      <x:c r="M112" s="107" t="n">
        <x:f>SUM(IF($B$8=3,M28,0),IF($B$36=3,M56,0),IF($B$64=3,M84,0))</x:f>
      </x:c>
      <x:c r="N112" s="107" t="n">
        <x:f>SUM(IF($B$8=3,N28,0),IF($B$36=3,N56,0),IF($B$64=3,N84,0))</x:f>
      </x:c>
      <x:c r="O112" s="107" t="n">
        <x:f>SUM(IF($B$8=3,O28,0),IF($B$36=3,O56,0),IF($B$64=3,O84,0))</x:f>
      </x:c>
      <x:c r="P112" s="107" t="n">
        <x:f>SUM(IF($B$8=3,P28,0),IF($B$36=3,P56,0),IF($B$64=3,P84,0))</x:f>
      </x:c>
      <x:c r="Q112" s="107" t="n">
        <x:f>SUM(IF($B$8=3,Q28,0),IF($B$36=3,Q56,0),IF($B$64=3,Q84,0))</x:f>
      </x:c>
      <x:c r="R112" s="107" t="n">
        <x:f>SUM(IF($B$8=3,R28,0),IF($B$36=3,R56,0),IF($B$64=3,R84,0))</x:f>
      </x:c>
      <x:c r="S112" s="107" t="n">
        <x:f>SUM(IF($B$8=3,S28,0),IF($B$36=3,S56,0),IF($B$64=3,S84,0))</x:f>
      </x:c>
      <x:c r="T112" s="107" t="n">
        <x:f>SUM(IF($B$8=3,T28,0),IF($B$36=3,T56,0),IF($B$64=3,T84,0))</x:f>
      </x:c>
      <x:c r="U112" s="107" t="n">
        <x:f>SUM(IF($B$8=3,U28,0),IF($B$36=3,U56,0),IF($B$64=3,U84,0))</x:f>
      </x:c>
      <x:c r="V112" s="107" t="n">
        <x:f>SUM(IF($B$8=3,V28,0),IF($B$36=3,V56,0),IF($B$64=3,V84,0))</x:f>
      </x:c>
      <x:c r="W112" s="107" t="n">
        <x:f>SUM(IF($B$8=3,W28,0),IF($B$36=3,W56,0),IF($B$64=3,W84,0))</x:f>
      </x:c>
      <x:c r="X112" s="107" t="n">
        <x:f>SUM(IF($B$8=3,X28,0),IF($B$36=3,X56,0),IF($B$64=3,X84,0))</x:f>
      </x:c>
      <x:c r="Y112" s="107" t="n">
        <x:f>SUM(IF($B$8=3,Y28,0),IF($B$36=3,Y56,0),IF($B$64=3,Y84,0))</x:f>
      </x:c>
      <x:c r="Z112" s="107" t="n">
        <x:f>SUM(IF($B$8=3,Z28,0),IF($B$36=3,Z56,0),IF($B$64=3,Z84,0))</x:f>
      </x:c>
      <x:c r="AA112" s="107" t="n">
        <x:f>SUM(IF($B$8=3,AA28,0),IF($B$36=3,AA56,0),IF($B$64=3,AA84,0))</x:f>
      </x:c>
      <x:c r="AB112" s="107" t="n">
        <x:f>SUM(IF($B$8=3,AB28,0),IF($B$36=3,AB56,0),IF($B$64=3,AB84,0))</x:f>
      </x:c>
      <x:c r="AC112" s="107" t="n">
        <x:f>SUM(IF($B$8=3,AC28,0),IF($B$36=3,AC56,0),IF($B$64=3,AC84,0))</x:f>
      </x:c>
      <x:c r="AD112" s="107" t="n">
        <x:f>SUM(IF($B$8=3,AD28,0),IF($B$36=3,AD56,0),IF($B$64=3,AD84,0))</x:f>
      </x:c>
      <x:c r="AE112" s="107" t="n">
        <x:f>SUM(IF($B$8=3,AE28,0),IF($B$36=3,AE56,0),IF($B$64=3,AE84,0))</x:f>
      </x:c>
      <x:c r="AF112" s="107" t="n">
        <x:f>SUM(IF($B$8=3,AF28,0),IF($B$36=3,AF56,0),IF($B$64=3,AF84,0))</x:f>
      </x:c>
      <x:c r="AG112" s="107" t="n">
        <x:f>SUM(IF($B$8=3,AG28,0),IF($B$36=3,AG56,0),IF($B$64=3,AG84,0))</x:f>
      </x:c>
      <x:c r="AH112" s="107" t="n">
        <x:f>SUM(IF($B$8=3,AH28,0),IF($B$36=3,AH56,0),IF($B$64=3,AH84,0))</x:f>
      </x:c>
      <x:c r="AI112" s="107" t="n">
        <x:f>SUM(IF($B$8=3,AI28,0),IF($B$36=3,AI56,0),IF($B$64=3,AI84,0))</x:f>
      </x:c>
      <x:c r="AJ112" s="107" t="n">
        <x:f>SUM(IF($B$8=3,AJ28,0),IF($B$36=3,AJ56,0),IF($B$64=3,AJ84,0))</x:f>
      </x:c>
      <x:c r="AK112" s="107" t="n">
        <x:f>SUM(IF($B$8=3,AK28,0),IF($B$36=3,AK56,0),IF($B$64=3,AK84,0))</x:f>
      </x:c>
      <x:c r="AL112" s="107" t="n">
        <x:f>SUM(IF($B$8=3,AL28,0),IF($B$36=3,AL56,0),IF($B$64=3,AL84,0))</x:f>
      </x:c>
      <x:c r="AM112" s="107" t="n">
        <x:f>SUM(IF($B$8=3,AM28,0),IF($B$36=3,AM56,0),IF($B$64=3,AM84,0))</x:f>
      </x:c>
      <x:c r="AN112" s="107" t="n">
        <x:f>SUM(IF($B$8=3,AN28,0),IF($B$36=3,AN56,0),IF($B$64=3,AN84,0))</x:f>
      </x:c>
      <x:c r="AO112" s="107" t="n">
        <x:f>SUM(IF($B$8=3,AO28,0),IF($B$36=3,AO56,0),IF($B$64=3,AO84,0))</x:f>
      </x:c>
      <x:c r="AP112" s="107" t="n">
        <x:f>SUM(IF($B$8=3,AP28,0),IF($B$36=3,AP56,0),IF($B$64=3,AP84,0))</x:f>
      </x:c>
      <x:c r="AQ112" s="107" t="n">
        <x:f>SUM(IF($B$8=3,AQ28,0),IF($B$36=3,AQ56,0),IF($B$64=3,AQ84,0))</x:f>
      </x:c>
      <x:c r="AR112" s="107" t="n">
        <x:f>SUM(IF($B$8=3,AR28,0),IF($B$36=3,AR56,0),IF($B$64=3,AR84,0))</x:f>
      </x:c>
      <x:c r="AS112" s="107" t="n">
        <x:f>SUM(IF($B$8=3,AS28,0),IF($B$36=3,AS56,0),IF($B$64=3,AS84,0))</x:f>
      </x:c>
      <x:c r="AT112" s="107" t="n">
        <x:f>SUM(IF($B$8=3,AT28,0),IF($B$36=3,AT56,0),IF($B$64=3,AT84,0))</x:f>
      </x:c>
      <x:c r="AU112" s="107" t="n">
        <x:f>SUM(IF($B$8=3,AU28,0),IF($B$36=3,AU56,0),IF($B$64=3,AU84,0))</x:f>
      </x:c>
      <x:c r="AV112" s="107" t="n">
        <x:f>SUM(IF($B$8=3,AV28,0),IF($B$36=3,AV56,0),IF($B$64=3,AV84,0))</x:f>
      </x:c>
      <x:c r="AW112" s="107" t="n">
        <x:f>SUM(IF($B$8=3,AW28,0),IF($B$36=3,AW56,0),IF($B$64=3,AW84,0))</x:f>
      </x:c>
      <x:c r="AX112" s="107" t="n">
        <x:f>SUM(IF($B$8=3,AX28,0),IF($B$36=3,AX56,0),IF($B$64=3,AX84,0))</x:f>
      </x:c>
      <x:c r="AY112" s="107" t="n">
        <x:f>SUM(IF($B$8=3,AY28,0),IF($B$36=3,AY56,0),IF($B$64=3,AY84,0))</x:f>
      </x:c>
      <x:c r="AZ112" s="107" t="n">
        <x:f>SUM(IF($B$8=3,AZ28,0),IF($B$36=3,AZ56,0),IF($B$64=3,AZ84,0))</x:f>
      </x:c>
      <x:c r="BA112" s="107" t="n">
        <x:f>SUM(IF($B$8=3,BA28,0),IF($B$36=3,BA56,0),IF($B$64=3,BA84,0))</x:f>
      </x:c>
      <x:c r="BB112" s="107" t="n">
        <x:f>SUM(IF($B$8=3,BB28,0),IF($B$36=3,BB56,0),IF($B$64=3,BB84,0))</x:f>
      </x:c>
      <x:c r="BC112" s="107" t="n">
        <x:f>SUM(IF($B$8=3,BC28,0),IF($B$36=3,BC56,0),IF($B$64=3,BC84,0))</x:f>
      </x:c>
      <x:c r="BD112" s="107" t="n">
        <x:f>SUM(IF($B$8=3,BD28,0),IF($B$36=3,BD56,0),IF($B$64=3,BD84,0))</x:f>
      </x:c>
      <x:c r="BE112" s="107" t="n">
        <x:f>SUM(IF($B$8=3,BE28,0),IF($B$36=3,BE56,0),IF($B$64=3,BE84,0))</x:f>
      </x:c>
      <x:c r="BF112" s="107" t="n">
        <x:f>SUM(IF($B$8=3,BF28,0),IF($B$36=3,BF56,0),IF($B$64=3,BF84,0))</x:f>
      </x:c>
      <x:c r="BG112" s="107" t="n">
        <x:f>SUM(IF($B$8=3,BG28,0),IF($B$36=3,BG56,0),IF($B$64=3,BG84,0))</x:f>
      </x:c>
      <x:c r="BH112" s="107" t="n">
        <x:f>SUM(IF($B$8=3,BH28,0),IF($B$36=3,BH56,0),IF($B$64=3,BH84,0))</x:f>
      </x:c>
      <x:c r="BI112" s="107" t="n">
        <x:f>SUM(IF($B$8=3,BI28,0),IF($B$36=3,BI56,0),IF($B$64=3,BI84,0))</x:f>
      </x:c>
      <x:c r="BJ112" s="107" t="n">
        <x:f>SUM(IF($B$8=3,BJ28,0),IF($B$36=3,BJ56,0),IF($B$64=3,BJ84,0))</x:f>
      </x:c>
      <x:c r="BK112" s="107" t="n">
        <x:f>SUM(IF($B$8=3,BK28,0),IF($B$36=3,BK56,0),IF($B$64=3,BK84,0))</x:f>
      </x:c>
      <x:c r="BL112" s="107" t="n">
        <x:f>SUM(IF($B$8=3,BL28,0),IF($B$36=3,BL56,0),IF($B$64=3,BL84,0))</x:f>
      </x:c>
      <x:c r="BM112" s="107" t="n">
        <x:f>SUM(IF($B$8=3,BM28,0),IF($B$36=3,BM56,0),IF($B$64=3,BM84,0))</x:f>
      </x:c>
      <x:c r="BN112" s="107" t="n">
        <x:f>SUM(IF($B$8=3,BN28,0),IF($B$36=3,BN56,0),IF($B$64=3,BN84,0))</x:f>
      </x:c>
      <x:c r="BO112" s="107" t="n">
        <x:f>SUM(IF($B$8=3,BO28,0),IF($B$36=3,BO56,0),IF($B$64=3,BO84,0))</x:f>
      </x:c>
      <x:c r="BP112" s="107" t="n">
        <x:f>SUM(IF($B$8=3,BP28,0),IF($B$36=3,BP56,0),IF($B$64=3,BP84,0))</x:f>
      </x:c>
      <x:c r="BQ112" s="107" t="n">
        <x:f>SUM(IF($B$8=3,BQ28,0),IF($B$36=3,BQ56,0),IF($B$64=3,BQ84,0))</x:f>
      </x:c>
      <x:c r="BR112" s="107" t="n">
        <x:f>SUM(IF($B$8=3,BR28,0),IF($B$36=3,BR56,0),IF($B$64=3,BR84,0))</x:f>
      </x:c>
      <x:c r="BS112" s="107" t="n">
        <x:f>SUM(IF($B$8=3,BS28,0),IF($B$36=3,BS56,0),IF($B$64=3,BS84,0))</x:f>
      </x:c>
      <x:c r="BT112" s="107" t="n">
        <x:f>SUM(IF($B$8=3,BT28,0),IF($B$36=3,BT56,0),IF($B$64=3,BT84,0))</x:f>
      </x:c>
      <x:c r="BU112" s="107" t="n">
        <x:f>SUM(IF($B$8=3,BU28,0),IF($B$36=3,BU56,0),IF($B$64=3,BU84,0))</x:f>
      </x:c>
      <x:c r="BV112" s="107" t="n">
        <x:f>SUM(IF($B$8=3,BV28,0),IF($B$36=3,BV56,0),IF($B$64=3,BV84,0))</x:f>
      </x:c>
      <x:c r="BW112" s="107" t="n">
        <x:f>SUM(IF($B$8=3,BW28,0),IF($B$36=3,BW56,0),IF($B$64=3,BW84,0))</x:f>
      </x:c>
      <x:c r="BX112" s="107" t="n">
        <x:f>SUM(IF($B$8=3,BX28,0),IF($B$36=3,BX56,0),IF($B$64=3,BX84,0))</x:f>
      </x:c>
      <x:c r="BY112" s="107" t="n">
        <x:f>SUM(IF($B$8=3,BY28,0),IF($B$36=3,BY56,0),IF($B$64=3,BY84,0))</x:f>
      </x:c>
      <x:c r="BZ112" s="107" t="n">
        <x:f>SUM(IF($B$8=3,BZ28,0),IF($B$36=3,BZ56,0),IF($B$64=3,BZ84,0))</x:f>
      </x:c>
      <x:c r="CA112" s="107" t="n">
        <x:f>SUM(IF($B$8=3,CA28,0),IF($B$36=3,CA56,0),IF($B$64=3,CA84,0))</x:f>
      </x:c>
      <x:c r="CB112" s="107" t="n">
        <x:f>SUM(IF($B$8=3,CB28,0),IF($B$36=3,CB56,0),IF($B$64=3,CB84,0))</x:f>
      </x:c>
      <x:c r="CC112" s="107" t="n">
        <x:f>SUM(IF($B$8=3,CC28,0),IF($B$36=3,CC56,0),IF($B$64=3,CC84,0))</x:f>
      </x:c>
      <x:c r="CD112" s="107" t="n">
        <x:f>SUM(IF($B$8=3,CD28,0),IF($B$36=3,CD56,0),IF($B$64=3,CD84,0))</x:f>
      </x:c>
      <x:c r="CE112" s="107" t="n">
        <x:f>SUM(IF($B$8=3,CE28,0),IF($B$36=3,CE56,0),IF($B$64=3,CE84,0))</x:f>
      </x:c>
      <x:c r="CF112" s="107" t="n">
        <x:f>SUM(IF($B$8=3,CF28,0),IF($B$36=3,CF56,0),IF($B$64=3,CF84,0))</x:f>
      </x:c>
      <x:c r="CG112" s="107" t="n">
        <x:f>SUM(IF($B$8=3,CG28,0),IF($B$36=3,CG56,0),IF($B$64=3,CG84,0))</x:f>
      </x:c>
      <x:c r="CH112" s="107" t="n">
        <x:f>SUM(IF($B$8=3,CH28,0),IF($B$36=3,CH56,0),IF($B$64=3,CH84,0))</x:f>
      </x:c>
      <x:c r="CI112" s="107" t="n">
        <x:f>SUM(IF($B$8=3,CI28,0),IF($B$36=3,CI56,0),IF($B$64=3,CI84,0))</x:f>
      </x:c>
      <x:c r="CJ112" s="107" t="n">
        <x:f>SUM(IF($B$8=3,CJ28,0),IF($B$36=3,CJ56,0),IF($B$64=3,CJ84,0))</x:f>
      </x:c>
      <x:c r="CK112" s="107" t="n">
        <x:f>SUM(IF($B$8=3,CK28,0),IF($B$36=3,CK56,0),IF($B$64=3,CK84,0))</x:f>
      </x:c>
      <x:c r="CL112" s="107" t="n">
        <x:f>SUM(IF($B$8=3,CL28,0),IF($B$36=3,CL56,0),IF($B$64=3,CL84,0))</x:f>
      </x:c>
      <x:c r="CM112" s="107" t="n">
        <x:f>SUM(IF($B$8=3,CM28,0),IF($B$36=3,CM56,0),IF($B$64=3,CM84,0))</x:f>
      </x:c>
      <x:c r="CN112" s="107" t="n">
        <x:f>SUM(IF($B$8=3,CN28,0),IF($B$36=3,CN56,0),IF($B$64=3,CN84,0))</x:f>
      </x:c>
      <x:c r="CO112" s="107" t="n">
        <x:f>SUM(IF($B$8=3,CO28,0),IF($B$36=3,CO56,0),IF($B$64=3,CO84,0))</x:f>
      </x:c>
      <x:c r="CP112" s="107" t="n">
        <x:f>SUM(IF($B$8=3,CP28,0),IF($B$36=3,CP56,0),IF($B$64=3,CP84,0))</x:f>
      </x:c>
      <x:c r="CQ112" s="107" t="n">
        <x:f>SUM(IF($B$8=3,CQ28,0),IF($B$36=3,CQ56,0),IF($B$64=3,CQ84,0))</x:f>
      </x:c>
      <x:c r="CR112" s="107" t="n">
        <x:f>SUM(IF($B$8=3,CR28,0),IF($B$36=3,CR56,0),IF($B$64=3,CR84,0))</x:f>
      </x:c>
      <x:c r="CS112" s="107" t="n">
        <x:f>SUM(IF($B$8=3,CS28,0),IF($B$36=3,CS56,0),IF($B$64=3,CS84,0))</x:f>
      </x:c>
      <x:c r="CT112" s="107" t="n">
        <x:f>SUM(IF($B$8=3,CT28,0),IF($B$36=3,CT56,0),IF($B$64=3,CT84,0))</x:f>
      </x:c>
      <x:c r="CU112" s="107" t="n">
        <x:f>SUM(IF($B$8=3,CU28,0),IF($B$36=3,CU56,0),IF($B$64=3,CU84,0))</x:f>
      </x:c>
      <x:c r="CV112" s="107" t="n">
        <x:f>SUM(IF($B$8=3,CV28,0),IF($B$36=3,CV56,0),IF($B$64=3,CV84,0))</x:f>
      </x:c>
      <x:c r="CW112" s="107" t="n">
        <x:f>SUM(IF($B$8=3,CW28,0),IF($B$36=3,CW56,0),IF($B$64=3,CW84,0))</x:f>
      </x:c>
      <x:c r="CX112" s="107" t="n">
        <x:f>SUM(IF($B$8=3,CX28,0),IF($B$36=3,CX56,0),IF($B$64=3,CX84,0))</x:f>
      </x:c>
      <x:c r="CY112" s="107" t="n">
        <x:f>SUM(IF($B$8=3,CY28,0),IF($B$36=3,CY56,0),IF($B$64=3,CY84,0))</x:f>
      </x:c>
      <x:c r="CZ112" s="107" t="n">
        <x:f>SUM(IF($B$8=3,CZ28,0),IF($B$36=3,CZ56,0),IF($B$64=3,CZ84,0))</x:f>
      </x:c>
      <x:c r="DA112" s="107" t="n">
        <x:f>SUM(IF($B$8=3,DA28,0),IF($B$36=3,DA56,0),IF($B$64=3,DA84,0))</x:f>
      </x:c>
      <x:c r="DB112" s="107" t="n">
        <x:f>SUM(IF($B$8=3,DB28,0),IF($B$36=3,DB56,0),IF($B$64=3,DB84,0))</x:f>
      </x:c>
      <x:c r="DC112" s="107" t="n">
        <x:f>SUM(IF($B$8=3,DC28,0),IF($B$36=3,DC56,0),IF($B$64=3,DC84,0))</x:f>
      </x:c>
      <x:c r="DD112" s="107" t="n">
        <x:f>SUM(IF($B$8=3,DD28,0),IF($B$36=3,DD56,0),IF($B$64=3,DD84,0))</x:f>
      </x:c>
      <x:c r="DE112" s="107" t="n">
        <x:f>SUM(IF($B$8=3,DE28,0),IF($B$36=3,DE56,0),IF($B$64=3,DE84,0))</x:f>
      </x:c>
      <x:c r="DF112" s="107" t="n">
        <x:f>SUM(IF($B$8=3,DF28,0),IF($B$36=3,DF56,0),IF($B$64=3,DF84,0))</x:f>
      </x:c>
      <x:c r="DG112" s="107" t="n">
        <x:f>SUM(IF($B$8=3,DG28,0),IF($B$36=3,DG56,0),IF($B$64=3,DG84,0))</x:f>
      </x:c>
      <x:c r="DH112" s="107" t="n">
        <x:f>SUM(IF($B$8=3,DH28,0),IF($B$36=3,DH56,0),IF($B$64=3,DH84,0))</x:f>
      </x:c>
      <x:c r="DI112" s="107" t="n">
        <x:f>SUM(IF($B$8=3,DI28,0),IF($B$36=3,DI56,0),IF($B$64=3,DI84,0))</x:f>
      </x:c>
      <x:c r="DJ112" s="107" t="n">
        <x:f>SUM(IF($B$8=3,DJ28,0),IF($B$36=3,DJ56,0),IF($B$64=3,DJ84,0))</x:f>
      </x:c>
      <x:c r="DK112" s="107" t="n">
        <x:f>SUM(IF($B$8=3,DK28,0),IF($B$36=3,DK56,0),IF($B$64=3,DK84,0))</x:f>
      </x:c>
      <x:c r="DL112" s="107" t="n">
        <x:f>SUM(IF($B$8=3,DL28,0),IF($B$36=3,DL56,0),IF($B$64=3,DL84,0))</x:f>
      </x:c>
      <x:c r="DM112" s="107" t="n">
        <x:f>SUM(IF($B$8=3,DM28,0),IF($B$36=3,DM56,0),IF($B$64=3,DM84,0))</x:f>
      </x:c>
      <x:c r="DN112" s="107" t="n">
        <x:f>SUM(IF($B$8=3,DN28,0),IF($B$36=3,DN56,0),IF($B$64=3,DN84,0))</x:f>
      </x:c>
      <x:c r="DO112" s="107" t="n">
        <x:f>SUM(IF($B$8=3,DO28,0),IF($B$36=3,DO56,0),IF($B$64=3,DO84,0))</x:f>
      </x:c>
      <x:c r="DP112" s="107" t="n">
        <x:f>SUM(IF($B$8=3,DP28,0),IF($B$36=3,DP56,0),IF($B$64=3,DP84,0))</x:f>
      </x:c>
      <x:c r="DQ112" s="107" t="n">
        <x:f>SUM(IF($B$8=3,DQ28,0),IF($B$36=3,DQ56,0),IF($B$64=3,DQ84,0))</x:f>
      </x:c>
      <x:c r="DR112" s="107" t="n">
        <x:f>SUM(IF($B$8=3,DR28,0),IF($B$36=3,DR56,0),IF($B$64=3,DR84,0))</x:f>
      </x:c>
      <x:c r="DS112" s="107" t="n">
        <x:f>SUM(IF($B$8=3,DS28,0),IF($B$36=3,DS56,0),IF($B$64=3,DS84,0))</x:f>
      </x:c>
      <x:c r="DT112" s="107" t="n">
        <x:f>SUM(IF($B$8=3,DT28,0),IF($B$36=3,DT56,0),IF($B$64=3,DT84,0))</x:f>
      </x:c>
      <x:c r="DU112" s="107" t="n">
        <x:f>SUM(IF($B$8=3,DU28,0),IF($B$36=3,DU56,0),IF($B$64=3,DU84,0))</x:f>
      </x:c>
      <x:c r="DV112" s="107" t="n">
        <x:f>SUM(IF($B$8=3,DV28,0),IF($B$36=3,DV56,0),IF($B$64=3,DV84,0))</x:f>
      </x:c>
      <x:c r="DW112" s="107" t="n">
        <x:f>SUM(IF($B$8=3,DW28,0),IF($B$36=3,DW56,0),IF($B$64=3,DW84,0))</x:f>
      </x:c>
      <x:c r="DX112" s="107" t="n">
        <x:f>SUM(IF($B$8=3,DX28,0),IF($B$36=3,DX56,0),IF($B$64=3,DX84,0))</x:f>
      </x:c>
      <x:c r="DY112" s="107" t="n">
        <x:f>SUM(IF($B$8=3,DY28,0),IF($B$36=3,DY56,0),IF($B$64=3,DY84,0))</x:f>
      </x:c>
      <x:c r="DZ112" s="107" t="n">
        <x:f>SUM(IF($B$8=3,DZ28,0),IF($B$36=3,DZ56,0),IF($B$64=3,DZ84,0))</x:f>
      </x:c>
      <x:c r="EA112" s="107" t="n">
        <x:f>SUM(IF($B$8=3,EA28,0),IF($B$36=3,EA56,0),IF($B$64=3,EA84,0))</x:f>
      </x:c>
      <x:c r="EB112" s="107" t="n">
        <x:f>SUM(IF($B$8=3,EB28,0),IF($B$36=3,EB56,0),IF($B$64=3,EB84,0))</x:f>
      </x:c>
      <x:c r="EC112" s="107" t="n">
        <x:f>SUM(IF($B$8=3,EC28,0),IF($B$36=3,EC56,0),IF($B$64=3,EC84,0))</x:f>
      </x:c>
      <x:c r="ED112" s="107" t="n">
        <x:f>SUM(IF($B$8=3,ED28,0),IF($B$36=3,ED56,0),IF($B$64=3,ED84,0))</x:f>
      </x:c>
      <x:c r="EE112" s="107" t="n">
        <x:f>SUM(IF($B$8=3,EE28,0),IF($B$36=3,EE56,0),IF($B$64=3,EE84,0))</x:f>
      </x:c>
      <x:c r="EF112" s="107" t="n">
        <x:f>SUM(IF($B$8=3,EF28,0),IF($B$36=3,EF56,0),IF($B$64=3,EF84,0))</x:f>
      </x:c>
      <x:c r="EG112" s="107" t="n">
        <x:f>SUM(IF($B$8=3,EG28,0),IF($B$36=3,EG56,0),IF($B$64=3,EG84,0))</x:f>
      </x:c>
      <x:c r="EH112" s="107" t="n">
        <x:f>SUM(IF($B$8=3,EH28,0),IF($B$36=3,EH56,0),IF($B$64=3,EH84,0))</x:f>
      </x:c>
      <x:c r="EI112" s="107" t="n">
        <x:f>SUM(IF($B$8=3,EI28,0),IF($B$36=3,EI56,0),IF($B$64=3,EI84,0))</x:f>
      </x:c>
      <x:c r="EJ112" s="107" t="n">
        <x:f>SUM(IF($B$8=3,EJ28,0),IF($B$36=3,EJ56,0),IF($B$64=3,EJ84,0))</x:f>
      </x:c>
      <x:c r="EK112" s="107" t="n">
        <x:f>SUM(IF($B$8=3,EK28,0),IF($B$36=3,EK56,0),IF($B$64=3,EK84,0))</x:f>
      </x:c>
      <x:c r="EL112" s="107" t="n">
        <x:f>SUM(IF($B$8=3,EL28,0),IF($B$36=3,EL56,0),IF($B$64=3,EL84,0))</x:f>
      </x:c>
      <x:c r="EM112" s="107" t="n">
        <x:f>SUM(IF($B$8=3,EM28,0),IF($B$36=3,EM56,0),IF($B$64=3,EM84,0))</x:f>
      </x:c>
      <x:c r="EN112" s="107" t="n">
        <x:f>SUM(IF($B$8=3,EN28,0),IF($B$36=3,EN56,0),IF($B$64=3,EN84,0))</x:f>
      </x:c>
      <x:c r="EO112" s="107" t="n">
        <x:f>SUM(IF($B$8=3,EO28,0),IF($B$36=3,EO56,0),IF($B$64=3,EO84,0))</x:f>
      </x:c>
      <x:c r="EP112" s="107" t="n">
        <x:f>SUM(IF($B$8=3,EP28,0),IF($B$36=3,EP56,0),IF($B$64=3,EP84,0))</x:f>
      </x:c>
      <x:c r="EQ112" s="107" t="n">
        <x:f>SUM(IF($B$8=3,EQ28,0),IF($B$36=3,EQ56,0),IF($B$64=3,EQ84,0))</x:f>
      </x:c>
      <x:c r="ER112" s="107" t="n">
        <x:f>SUM(IF($B$8=3,ER28,0),IF($B$36=3,ER56,0),IF($B$64=3,ER84,0))</x:f>
      </x:c>
      <x:c r="ES112" s="107" t="n">
        <x:f>SUM(IF($B$8=3,ES28,0),IF($B$36=3,ES56,0),IF($B$64=3,ES84,0))</x:f>
      </x:c>
      <x:c r="ET112" s="107" t="n">
        <x:f>SUM(IF($B$8=3,ET28,0),IF($B$36=3,ET56,0),IF($B$64=3,ET84,0))</x:f>
      </x:c>
      <x:c r="EU112" s="107" t="n">
        <x:f>SUM(IF($B$8=3,EU28,0),IF($B$36=3,EU56,0),IF($B$64=3,EU84,0))</x:f>
      </x:c>
      <x:c r="EV112" s="107" t="n">
        <x:f>SUM(IF($B$8=3,EV28,0),IF($B$36=3,EV56,0),IF($B$64=3,EV84,0))</x:f>
      </x:c>
      <x:c r="EW112" s="107" t="n">
        <x:f>SUM(IF($B$8=3,EW28,0),IF($B$36=3,EW56,0),IF($B$64=3,EW84,0))</x:f>
      </x:c>
      <x:c r="EX112" s="107" t="n">
        <x:f>SUM(IF($B$8=3,EX28,0),IF($B$36=3,EX56,0),IF($B$64=3,EX84,0))</x:f>
      </x:c>
      <x:c r="EY112" s="107" t="n">
        <x:f>SUM(IF($B$8=3,EY28,0),IF($B$36=3,EY56,0),IF($B$64=3,EY84,0))</x:f>
      </x:c>
      <x:c r="EZ112" s="107" t="n">
        <x:f>SUM(IF($B$8=3,EZ28,0),IF($B$36=3,EZ56,0),IF($B$64=3,EZ84,0))</x:f>
      </x:c>
      <x:c r="FA112" s="107" t="n">
        <x:f>SUM(IF($B$8=3,FA28,0),IF($B$36=3,FA56,0),IF($B$64=3,FA84,0))</x:f>
      </x:c>
      <x:c r="FB112" s="107" t="n">
        <x:f>SUM(IF($B$8=3,FB28,0),IF($B$36=3,FB56,0),IF($B$64=3,FB84,0))</x:f>
      </x:c>
      <x:c r="FC112" s="107" t="n">
        <x:f>SUM(IF($B$8=3,FC28,0),IF($B$36=3,FC56,0),IF($B$64=3,FC84,0))</x:f>
      </x:c>
      <x:c r="FD112" s="107" t="n">
        <x:f>SUM(IF($B$8=3,FD28,0),IF($B$36=3,FD56,0),IF($B$64=3,FD84,0))</x:f>
      </x:c>
      <x:c r="FE112" s="107" t="n">
        <x:f>SUM(IF($B$8=3,FE28,0),IF($B$36=3,FE56,0),IF($B$64=3,FE84,0))</x:f>
      </x:c>
      <x:c r="FF112" s="107" t="n">
        <x:f>SUM(IF($B$8=3,FF28,0),IF($B$36=3,FF56,0),IF($B$64=3,FF84,0))</x:f>
      </x:c>
      <x:c r="FG112" s="107" t="n">
        <x:f>SUM(IF($B$8=3,FG28,0),IF($B$36=3,FG56,0),IF($B$64=3,FG84,0))</x:f>
      </x:c>
      <x:c r="FH112" s="107" t="n">
        <x:f>SUM(IF($B$8=3,FH28,0),IF($B$36=3,FH56,0),IF($B$64=3,FH84,0))</x:f>
      </x:c>
      <x:c r="FI112" s="107" t="n">
        <x:f>SUM(IF($B$8=3,FI28,0),IF($B$36=3,FI56,0),IF($B$64=3,FI84,0))</x:f>
      </x:c>
      <x:c r="FJ112" s="107" t="n">
        <x:f>SUM(IF($B$8=3,FJ28,0),IF($B$36=3,FJ56,0),IF($B$64=3,FJ84,0))</x:f>
      </x:c>
      <x:c r="FK112" s="107" t="n">
        <x:f>SUM(IF($B$8=3,FK28,0),IF($B$36=3,FK56,0),IF($B$64=3,FK84,0))</x:f>
      </x:c>
      <x:c r="FL112" s="107" t="n">
        <x:f>SUM(IF($B$8=3,FL28,0),IF($B$36=3,FL56,0),IF($B$64=3,FL84,0))</x:f>
      </x:c>
      <x:c r="FM112" s="107" t="n">
        <x:f>SUM(IF($B$8=3,FM28,0),IF($B$36=3,FM56,0),IF($B$64=3,FM84,0))</x:f>
      </x:c>
      <x:c r="FN112" s="107" t="n">
        <x:f>SUM(IF($B$8=3,FN28,0),IF($B$36=3,FN56,0),IF($B$64=3,FN84,0))</x:f>
      </x:c>
      <x:c r="FO112" s="107" t="n">
        <x:f>SUM(IF($B$8=3,FO28,0),IF($B$36=3,FO56,0),IF($B$64=3,FO84,0))</x:f>
      </x:c>
      <x:c r="FP112" s="107" t="n">
        <x:f>SUM(IF($B$8=3,FP28,0),IF($B$36=3,FP56,0),IF($B$64=3,FP84,0))</x:f>
      </x:c>
      <x:c r="FQ112" s="107" t="n">
        <x:f>SUM(IF($B$8=3,FQ28,0),IF($B$36=3,FQ56,0),IF($B$64=3,FQ84,0))</x:f>
      </x:c>
      <x:c r="FR112" s="107" t="n">
        <x:f>SUM(IF($B$8=3,FR28,0),IF($B$36=3,FR56,0),IF($B$64=3,FR84,0))</x:f>
      </x:c>
      <x:c r="FS112" s="107" t="n">
        <x:f>SUM(IF($B$8=3,FS28,0),IF($B$36=3,FS56,0),IF($B$64=3,FS84,0))</x:f>
      </x:c>
      <x:c r="FT112" s="107" t="n">
        <x:f>SUM(IF($B$8=3,FT28,0),IF($B$36=3,FT56,0),IF($B$64=3,FT84,0))</x:f>
      </x:c>
      <x:c r="FU112" s="107" t="n">
        <x:f>SUM(IF($B$8=3,FU28,0),IF($B$36=3,FU56,0),IF($B$64=3,FU84,0))</x:f>
      </x:c>
      <x:c r="FV112" s="107" t="n">
        <x:f>SUM(IF($B$8=3,FV28,0),IF($B$36=3,FV56,0),IF($B$64=3,FV84,0))</x:f>
      </x:c>
      <x:c r="FW112" s="107" t="n">
        <x:f>SUM(IF($B$8=3,FW28,0),IF($B$36=3,FW56,0),IF($B$64=3,FW84,0))</x:f>
      </x:c>
      <x:c r="FX112" s="107" t="n">
        <x:f>SUM(IF($B$8=3,FX28,0),IF($B$36=3,FX56,0),IF($B$64=3,FX84,0))</x:f>
      </x:c>
      <x:c r="FY112" s="107" t="n">
        <x:f>SUM(IF($B$8=3,FY28,0),IF($B$36=3,FY56,0),IF($B$64=3,FY84,0))</x:f>
      </x:c>
      <x:c r="FZ112" s="107" t="n">
        <x:f>SUM(IF($B$8=3,FZ28,0),IF($B$36=3,FZ56,0),IF($B$64=3,FZ84,0))</x:f>
      </x:c>
      <x:c r="GA112" s="107" t="n">
        <x:f>SUM(IF($B$8=3,GA28,0),IF($B$36=3,GA56,0),IF($B$64=3,GA84,0))</x:f>
      </x:c>
    </x:row>
    <x:row r="113">
      <x:c r="A113" t="str">
        <x:v>Очередь 3 — Маркетинг объектов</x:v>
      </x:c>
      <x:c r="B113" s="107" t="n">
        <x:f>SUM(D113:GA113)</x:f>
      </x:c>
      <x:c r="C113" t="str">
        <x:v>млн ₽</x:v>
      </x:c>
      <x:c r="D113" s="107" t="n">
        <x:f>SUM(IF($B$8=3,D29,0),IF($B$36=3,D57,0),IF($B$64=3,D85,0))</x:f>
      </x:c>
      <x:c r="E113" s="107" t="n">
        <x:f>SUM(IF($B$8=3,E29,0),IF($B$36=3,E57,0),IF($B$64=3,E85,0))</x:f>
      </x:c>
      <x:c r="F113" s="107" t="n">
        <x:f>SUM(IF($B$8=3,F29,0),IF($B$36=3,F57,0),IF($B$64=3,F85,0))</x:f>
      </x:c>
      <x:c r="G113" s="107" t="n">
        <x:f>SUM(IF($B$8=3,G29,0),IF($B$36=3,G57,0),IF($B$64=3,G85,0))</x:f>
      </x:c>
      <x:c r="H113" s="107" t="n">
        <x:f>SUM(IF($B$8=3,H29,0),IF($B$36=3,H57,0),IF($B$64=3,H85,0))</x:f>
      </x:c>
      <x:c r="I113" s="107" t="n">
        <x:f>SUM(IF($B$8=3,I29,0),IF($B$36=3,I57,0),IF($B$64=3,I85,0))</x:f>
      </x:c>
      <x:c r="J113" s="107" t="n">
        <x:f>SUM(IF($B$8=3,J29,0),IF($B$36=3,J57,0),IF($B$64=3,J85,0))</x:f>
      </x:c>
      <x:c r="K113" s="107" t="n">
        <x:f>SUM(IF($B$8=3,K29,0),IF($B$36=3,K57,0),IF($B$64=3,K85,0))</x:f>
      </x:c>
      <x:c r="L113" s="107" t="n">
        <x:f>SUM(IF($B$8=3,L29,0),IF($B$36=3,L57,0),IF($B$64=3,L85,0))</x:f>
      </x:c>
      <x:c r="M113" s="107" t="n">
        <x:f>SUM(IF($B$8=3,M29,0),IF($B$36=3,M57,0),IF($B$64=3,M85,0))</x:f>
      </x:c>
      <x:c r="N113" s="107" t="n">
        <x:f>SUM(IF($B$8=3,N29,0),IF($B$36=3,N57,0),IF($B$64=3,N85,0))</x:f>
      </x:c>
      <x:c r="O113" s="107" t="n">
        <x:f>SUM(IF($B$8=3,O29,0),IF($B$36=3,O57,0),IF($B$64=3,O85,0))</x:f>
      </x:c>
      <x:c r="P113" s="107" t="n">
        <x:f>SUM(IF($B$8=3,P29,0),IF($B$36=3,P57,0),IF($B$64=3,P85,0))</x:f>
      </x:c>
      <x:c r="Q113" s="107" t="n">
        <x:f>SUM(IF($B$8=3,Q29,0),IF($B$36=3,Q57,0),IF($B$64=3,Q85,0))</x:f>
      </x:c>
      <x:c r="R113" s="107" t="n">
        <x:f>SUM(IF($B$8=3,R29,0),IF($B$36=3,R57,0),IF($B$64=3,R85,0))</x:f>
      </x:c>
      <x:c r="S113" s="107" t="n">
        <x:f>SUM(IF($B$8=3,S29,0),IF($B$36=3,S57,0),IF($B$64=3,S85,0))</x:f>
      </x:c>
      <x:c r="T113" s="107" t="n">
        <x:f>SUM(IF($B$8=3,T29,0),IF($B$36=3,T57,0),IF($B$64=3,T85,0))</x:f>
      </x:c>
      <x:c r="U113" s="107" t="n">
        <x:f>SUM(IF($B$8=3,U29,0),IF($B$36=3,U57,0),IF($B$64=3,U85,0))</x:f>
      </x:c>
      <x:c r="V113" s="107" t="n">
        <x:f>SUM(IF($B$8=3,V29,0),IF($B$36=3,V57,0),IF($B$64=3,V85,0))</x:f>
      </x:c>
      <x:c r="W113" s="107" t="n">
        <x:f>SUM(IF($B$8=3,W29,0),IF($B$36=3,W57,0),IF($B$64=3,W85,0))</x:f>
      </x:c>
      <x:c r="X113" s="107" t="n">
        <x:f>SUM(IF($B$8=3,X29,0),IF($B$36=3,X57,0),IF($B$64=3,X85,0))</x:f>
      </x:c>
      <x:c r="Y113" s="107" t="n">
        <x:f>SUM(IF($B$8=3,Y29,0),IF($B$36=3,Y57,0),IF($B$64=3,Y85,0))</x:f>
      </x:c>
      <x:c r="Z113" s="107" t="n">
        <x:f>SUM(IF($B$8=3,Z29,0),IF($B$36=3,Z57,0),IF($B$64=3,Z85,0))</x:f>
      </x:c>
      <x:c r="AA113" s="107" t="n">
        <x:f>SUM(IF($B$8=3,AA29,0),IF($B$36=3,AA57,0),IF($B$64=3,AA85,0))</x:f>
      </x:c>
      <x:c r="AB113" s="107" t="n">
        <x:f>SUM(IF($B$8=3,AB29,0),IF($B$36=3,AB57,0),IF($B$64=3,AB85,0))</x:f>
      </x:c>
      <x:c r="AC113" s="107" t="n">
        <x:f>SUM(IF($B$8=3,AC29,0),IF($B$36=3,AC57,0),IF($B$64=3,AC85,0))</x:f>
      </x:c>
      <x:c r="AD113" s="107" t="n">
        <x:f>SUM(IF($B$8=3,AD29,0),IF($B$36=3,AD57,0),IF($B$64=3,AD85,0))</x:f>
      </x:c>
      <x:c r="AE113" s="107" t="n">
        <x:f>SUM(IF($B$8=3,AE29,0),IF($B$36=3,AE57,0),IF($B$64=3,AE85,0))</x:f>
      </x:c>
      <x:c r="AF113" s="107" t="n">
        <x:f>SUM(IF($B$8=3,AF29,0),IF($B$36=3,AF57,0),IF($B$64=3,AF85,0))</x:f>
      </x:c>
      <x:c r="AG113" s="107" t="n">
        <x:f>SUM(IF($B$8=3,AG29,0),IF($B$36=3,AG57,0),IF($B$64=3,AG85,0))</x:f>
      </x:c>
      <x:c r="AH113" s="107" t="n">
        <x:f>SUM(IF($B$8=3,AH29,0),IF($B$36=3,AH57,0),IF($B$64=3,AH85,0))</x:f>
      </x:c>
      <x:c r="AI113" s="107" t="n">
        <x:f>SUM(IF($B$8=3,AI29,0),IF($B$36=3,AI57,0),IF($B$64=3,AI85,0))</x:f>
      </x:c>
      <x:c r="AJ113" s="107" t="n">
        <x:f>SUM(IF($B$8=3,AJ29,0),IF($B$36=3,AJ57,0),IF($B$64=3,AJ85,0))</x:f>
      </x:c>
      <x:c r="AK113" s="107" t="n">
        <x:f>SUM(IF($B$8=3,AK29,0),IF($B$36=3,AK57,0),IF($B$64=3,AK85,0))</x:f>
      </x:c>
      <x:c r="AL113" s="107" t="n">
        <x:f>SUM(IF($B$8=3,AL29,0),IF($B$36=3,AL57,0),IF($B$64=3,AL85,0))</x:f>
      </x:c>
      <x:c r="AM113" s="107" t="n">
        <x:f>SUM(IF($B$8=3,AM29,0),IF($B$36=3,AM57,0),IF($B$64=3,AM85,0))</x:f>
      </x:c>
      <x:c r="AN113" s="107" t="n">
        <x:f>SUM(IF($B$8=3,AN29,0),IF($B$36=3,AN57,0),IF($B$64=3,AN85,0))</x:f>
      </x:c>
      <x:c r="AO113" s="107" t="n">
        <x:f>SUM(IF($B$8=3,AO29,0),IF($B$36=3,AO57,0),IF($B$64=3,AO85,0))</x:f>
      </x:c>
      <x:c r="AP113" s="107" t="n">
        <x:f>SUM(IF($B$8=3,AP29,0),IF($B$36=3,AP57,0),IF($B$64=3,AP85,0))</x:f>
      </x:c>
      <x:c r="AQ113" s="107" t="n">
        <x:f>SUM(IF($B$8=3,AQ29,0),IF($B$36=3,AQ57,0),IF($B$64=3,AQ85,0))</x:f>
      </x:c>
      <x:c r="AR113" s="107" t="n">
        <x:f>SUM(IF($B$8=3,AR29,0),IF($B$36=3,AR57,0),IF($B$64=3,AR85,0))</x:f>
      </x:c>
      <x:c r="AS113" s="107" t="n">
        <x:f>SUM(IF($B$8=3,AS29,0),IF($B$36=3,AS57,0),IF($B$64=3,AS85,0))</x:f>
      </x:c>
      <x:c r="AT113" s="107" t="n">
        <x:f>SUM(IF($B$8=3,AT29,0),IF($B$36=3,AT57,0),IF($B$64=3,AT85,0))</x:f>
      </x:c>
      <x:c r="AU113" s="107" t="n">
        <x:f>SUM(IF($B$8=3,AU29,0),IF($B$36=3,AU57,0),IF($B$64=3,AU85,0))</x:f>
      </x:c>
      <x:c r="AV113" s="107" t="n">
        <x:f>SUM(IF($B$8=3,AV29,0),IF($B$36=3,AV57,0),IF($B$64=3,AV85,0))</x:f>
      </x:c>
      <x:c r="AW113" s="107" t="n">
        <x:f>SUM(IF($B$8=3,AW29,0),IF($B$36=3,AW57,0),IF($B$64=3,AW85,0))</x:f>
      </x:c>
      <x:c r="AX113" s="107" t="n">
        <x:f>SUM(IF($B$8=3,AX29,0),IF($B$36=3,AX57,0),IF($B$64=3,AX85,0))</x:f>
      </x:c>
      <x:c r="AY113" s="107" t="n">
        <x:f>SUM(IF($B$8=3,AY29,0),IF($B$36=3,AY57,0),IF($B$64=3,AY85,0))</x:f>
      </x:c>
      <x:c r="AZ113" s="107" t="n">
        <x:f>SUM(IF($B$8=3,AZ29,0),IF($B$36=3,AZ57,0),IF($B$64=3,AZ85,0))</x:f>
      </x:c>
      <x:c r="BA113" s="107" t="n">
        <x:f>SUM(IF($B$8=3,BA29,0),IF($B$36=3,BA57,0),IF($B$64=3,BA85,0))</x:f>
      </x:c>
      <x:c r="BB113" s="107" t="n">
        <x:f>SUM(IF($B$8=3,BB29,0),IF($B$36=3,BB57,0),IF($B$64=3,BB85,0))</x:f>
      </x:c>
      <x:c r="BC113" s="107" t="n">
        <x:f>SUM(IF($B$8=3,BC29,0),IF($B$36=3,BC57,0),IF($B$64=3,BC85,0))</x:f>
      </x:c>
      <x:c r="BD113" s="107" t="n">
        <x:f>SUM(IF($B$8=3,BD29,0),IF($B$36=3,BD57,0),IF($B$64=3,BD85,0))</x:f>
      </x:c>
      <x:c r="BE113" s="107" t="n">
        <x:f>SUM(IF($B$8=3,BE29,0),IF($B$36=3,BE57,0),IF($B$64=3,BE85,0))</x:f>
      </x:c>
      <x:c r="BF113" s="107" t="n">
        <x:f>SUM(IF($B$8=3,BF29,0),IF($B$36=3,BF57,0),IF($B$64=3,BF85,0))</x:f>
      </x:c>
      <x:c r="BG113" s="107" t="n">
        <x:f>SUM(IF($B$8=3,BG29,0),IF($B$36=3,BG57,0),IF($B$64=3,BG85,0))</x:f>
      </x:c>
      <x:c r="BH113" s="107" t="n">
        <x:f>SUM(IF($B$8=3,BH29,0),IF($B$36=3,BH57,0),IF($B$64=3,BH85,0))</x:f>
      </x:c>
      <x:c r="BI113" s="107" t="n">
        <x:f>SUM(IF($B$8=3,BI29,0),IF($B$36=3,BI57,0),IF($B$64=3,BI85,0))</x:f>
      </x:c>
      <x:c r="BJ113" s="107" t="n">
        <x:f>SUM(IF($B$8=3,BJ29,0),IF($B$36=3,BJ57,0),IF($B$64=3,BJ85,0))</x:f>
      </x:c>
      <x:c r="BK113" s="107" t="n">
        <x:f>SUM(IF($B$8=3,BK29,0),IF($B$36=3,BK57,0),IF($B$64=3,BK85,0))</x:f>
      </x:c>
      <x:c r="BL113" s="107" t="n">
        <x:f>SUM(IF($B$8=3,BL29,0),IF($B$36=3,BL57,0),IF($B$64=3,BL85,0))</x:f>
      </x:c>
      <x:c r="BM113" s="107" t="n">
        <x:f>SUM(IF($B$8=3,BM29,0),IF($B$36=3,BM57,0),IF($B$64=3,BM85,0))</x:f>
      </x:c>
      <x:c r="BN113" s="107" t="n">
        <x:f>SUM(IF($B$8=3,BN29,0),IF($B$36=3,BN57,0),IF($B$64=3,BN85,0))</x:f>
      </x:c>
      <x:c r="BO113" s="107" t="n">
        <x:f>SUM(IF($B$8=3,BO29,0),IF($B$36=3,BO57,0),IF($B$64=3,BO85,0))</x:f>
      </x:c>
      <x:c r="BP113" s="107" t="n">
        <x:f>SUM(IF($B$8=3,BP29,0),IF($B$36=3,BP57,0),IF($B$64=3,BP85,0))</x:f>
      </x:c>
      <x:c r="BQ113" s="107" t="n">
        <x:f>SUM(IF($B$8=3,BQ29,0),IF($B$36=3,BQ57,0),IF($B$64=3,BQ85,0))</x:f>
      </x:c>
      <x:c r="BR113" s="107" t="n">
        <x:f>SUM(IF($B$8=3,BR29,0),IF($B$36=3,BR57,0),IF($B$64=3,BR85,0))</x:f>
      </x:c>
      <x:c r="BS113" s="107" t="n">
        <x:f>SUM(IF($B$8=3,BS29,0),IF($B$36=3,BS57,0),IF($B$64=3,BS85,0))</x:f>
      </x:c>
      <x:c r="BT113" s="107" t="n">
        <x:f>SUM(IF($B$8=3,BT29,0),IF($B$36=3,BT57,0),IF($B$64=3,BT85,0))</x:f>
      </x:c>
      <x:c r="BU113" s="107" t="n">
        <x:f>SUM(IF($B$8=3,BU29,0),IF($B$36=3,BU57,0),IF($B$64=3,BU85,0))</x:f>
      </x:c>
      <x:c r="BV113" s="107" t="n">
        <x:f>SUM(IF($B$8=3,BV29,0),IF($B$36=3,BV57,0),IF($B$64=3,BV85,0))</x:f>
      </x:c>
      <x:c r="BW113" s="107" t="n">
        <x:f>SUM(IF($B$8=3,BW29,0),IF($B$36=3,BW57,0),IF($B$64=3,BW85,0))</x:f>
      </x:c>
      <x:c r="BX113" s="107" t="n">
        <x:f>SUM(IF($B$8=3,BX29,0),IF($B$36=3,BX57,0),IF($B$64=3,BX85,0))</x:f>
      </x:c>
      <x:c r="BY113" s="107" t="n">
        <x:f>SUM(IF($B$8=3,BY29,0),IF($B$36=3,BY57,0),IF($B$64=3,BY85,0))</x:f>
      </x:c>
      <x:c r="BZ113" s="107" t="n">
        <x:f>SUM(IF($B$8=3,BZ29,0),IF($B$36=3,BZ57,0),IF($B$64=3,BZ85,0))</x:f>
      </x:c>
      <x:c r="CA113" s="107" t="n">
        <x:f>SUM(IF($B$8=3,CA29,0),IF($B$36=3,CA57,0),IF($B$64=3,CA85,0))</x:f>
      </x:c>
      <x:c r="CB113" s="107" t="n">
        <x:f>SUM(IF($B$8=3,CB29,0),IF($B$36=3,CB57,0),IF($B$64=3,CB85,0))</x:f>
      </x:c>
      <x:c r="CC113" s="107" t="n">
        <x:f>SUM(IF($B$8=3,CC29,0),IF($B$36=3,CC57,0),IF($B$64=3,CC85,0))</x:f>
      </x:c>
      <x:c r="CD113" s="107" t="n">
        <x:f>SUM(IF($B$8=3,CD29,0),IF($B$36=3,CD57,0),IF($B$64=3,CD85,0))</x:f>
      </x:c>
      <x:c r="CE113" s="107" t="n">
        <x:f>SUM(IF($B$8=3,CE29,0),IF($B$36=3,CE57,0),IF($B$64=3,CE85,0))</x:f>
      </x:c>
      <x:c r="CF113" s="107" t="n">
        <x:f>SUM(IF($B$8=3,CF29,0),IF($B$36=3,CF57,0),IF($B$64=3,CF85,0))</x:f>
      </x:c>
      <x:c r="CG113" s="107" t="n">
        <x:f>SUM(IF($B$8=3,CG29,0),IF($B$36=3,CG57,0),IF($B$64=3,CG85,0))</x:f>
      </x:c>
      <x:c r="CH113" s="107" t="n">
        <x:f>SUM(IF($B$8=3,CH29,0),IF($B$36=3,CH57,0),IF($B$64=3,CH85,0))</x:f>
      </x:c>
      <x:c r="CI113" s="107" t="n">
        <x:f>SUM(IF($B$8=3,CI29,0),IF($B$36=3,CI57,0),IF($B$64=3,CI85,0))</x:f>
      </x:c>
      <x:c r="CJ113" s="107" t="n">
        <x:f>SUM(IF($B$8=3,CJ29,0),IF($B$36=3,CJ57,0),IF($B$64=3,CJ85,0))</x:f>
      </x:c>
      <x:c r="CK113" s="107" t="n">
        <x:f>SUM(IF($B$8=3,CK29,0),IF($B$36=3,CK57,0),IF($B$64=3,CK85,0))</x:f>
      </x:c>
      <x:c r="CL113" s="107" t="n">
        <x:f>SUM(IF($B$8=3,CL29,0),IF($B$36=3,CL57,0),IF($B$64=3,CL85,0))</x:f>
      </x:c>
      <x:c r="CM113" s="107" t="n">
        <x:f>SUM(IF($B$8=3,CM29,0),IF($B$36=3,CM57,0),IF($B$64=3,CM85,0))</x:f>
      </x:c>
      <x:c r="CN113" s="107" t="n">
        <x:f>SUM(IF($B$8=3,CN29,0),IF($B$36=3,CN57,0),IF($B$64=3,CN85,0))</x:f>
      </x:c>
      <x:c r="CO113" s="107" t="n">
        <x:f>SUM(IF($B$8=3,CO29,0),IF($B$36=3,CO57,0),IF($B$64=3,CO85,0))</x:f>
      </x:c>
      <x:c r="CP113" s="107" t="n">
        <x:f>SUM(IF($B$8=3,CP29,0),IF($B$36=3,CP57,0),IF($B$64=3,CP85,0))</x:f>
      </x:c>
      <x:c r="CQ113" s="107" t="n">
        <x:f>SUM(IF($B$8=3,CQ29,0),IF($B$36=3,CQ57,0),IF($B$64=3,CQ85,0))</x:f>
      </x:c>
      <x:c r="CR113" s="107" t="n">
        <x:f>SUM(IF($B$8=3,CR29,0),IF($B$36=3,CR57,0),IF($B$64=3,CR85,0))</x:f>
      </x:c>
      <x:c r="CS113" s="107" t="n">
        <x:f>SUM(IF($B$8=3,CS29,0),IF($B$36=3,CS57,0),IF($B$64=3,CS85,0))</x:f>
      </x:c>
      <x:c r="CT113" s="107" t="n">
        <x:f>SUM(IF($B$8=3,CT29,0),IF($B$36=3,CT57,0),IF($B$64=3,CT85,0))</x:f>
      </x:c>
      <x:c r="CU113" s="107" t="n">
        <x:f>SUM(IF($B$8=3,CU29,0),IF($B$36=3,CU57,0),IF($B$64=3,CU85,0))</x:f>
      </x:c>
      <x:c r="CV113" s="107" t="n">
        <x:f>SUM(IF($B$8=3,CV29,0),IF($B$36=3,CV57,0),IF($B$64=3,CV85,0))</x:f>
      </x:c>
      <x:c r="CW113" s="107" t="n">
        <x:f>SUM(IF($B$8=3,CW29,0),IF($B$36=3,CW57,0),IF($B$64=3,CW85,0))</x:f>
      </x:c>
      <x:c r="CX113" s="107" t="n">
        <x:f>SUM(IF($B$8=3,CX29,0),IF($B$36=3,CX57,0),IF($B$64=3,CX85,0))</x:f>
      </x:c>
      <x:c r="CY113" s="107" t="n">
        <x:f>SUM(IF($B$8=3,CY29,0),IF($B$36=3,CY57,0),IF($B$64=3,CY85,0))</x:f>
      </x:c>
      <x:c r="CZ113" s="107" t="n">
        <x:f>SUM(IF($B$8=3,CZ29,0),IF($B$36=3,CZ57,0),IF($B$64=3,CZ85,0))</x:f>
      </x:c>
      <x:c r="DA113" s="107" t="n">
        <x:f>SUM(IF($B$8=3,DA29,0),IF($B$36=3,DA57,0),IF($B$64=3,DA85,0))</x:f>
      </x:c>
      <x:c r="DB113" s="107" t="n">
        <x:f>SUM(IF($B$8=3,DB29,0),IF($B$36=3,DB57,0),IF($B$64=3,DB85,0))</x:f>
      </x:c>
      <x:c r="DC113" s="107" t="n">
        <x:f>SUM(IF($B$8=3,DC29,0),IF($B$36=3,DC57,0),IF($B$64=3,DC85,0))</x:f>
      </x:c>
      <x:c r="DD113" s="107" t="n">
        <x:f>SUM(IF($B$8=3,DD29,0),IF($B$36=3,DD57,0),IF($B$64=3,DD85,0))</x:f>
      </x:c>
      <x:c r="DE113" s="107" t="n">
        <x:f>SUM(IF($B$8=3,DE29,0),IF($B$36=3,DE57,0),IF($B$64=3,DE85,0))</x:f>
      </x:c>
      <x:c r="DF113" s="107" t="n">
        <x:f>SUM(IF($B$8=3,DF29,0),IF($B$36=3,DF57,0),IF($B$64=3,DF85,0))</x:f>
      </x:c>
      <x:c r="DG113" s="107" t="n">
        <x:f>SUM(IF($B$8=3,DG29,0),IF($B$36=3,DG57,0),IF($B$64=3,DG85,0))</x:f>
      </x:c>
      <x:c r="DH113" s="107" t="n">
        <x:f>SUM(IF($B$8=3,DH29,0),IF($B$36=3,DH57,0),IF($B$64=3,DH85,0))</x:f>
      </x:c>
      <x:c r="DI113" s="107" t="n">
        <x:f>SUM(IF($B$8=3,DI29,0),IF($B$36=3,DI57,0),IF($B$64=3,DI85,0))</x:f>
      </x:c>
      <x:c r="DJ113" s="107" t="n">
        <x:f>SUM(IF($B$8=3,DJ29,0),IF($B$36=3,DJ57,0),IF($B$64=3,DJ85,0))</x:f>
      </x:c>
      <x:c r="DK113" s="107" t="n">
        <x:f>SUM(IF($B$8=3,DK29,0),IF($B$36=3,DK57,0),IF($B$64=3,DK85,0))</x:f>
      </x:c>
      <x:c r="DL113" s="107" t="n">
        <x:f>SUM(IF($B$8=3,DL29,0),IF($B$36=3,DL57,0),IF($B$64=3,DL85,0))</x:f>
      </x:c>
      <x:c r="DM113" s="107" t="n">
        <x:f>SUM(IF($B$8=3,DM29,0),IF($B$36=3,DM57,0),IF($B$64=3,DM85,0))</x:f>
      </x:c>
      <x:c r="DN113" s="107" t="n">
        <x:f>SUM(IF($B$8=3,DN29,0),IF($B$36=3,DN57,0),IF($B$64=3,DN85,0))</x:f>
      </x:c>
      <x:c r="DO113" s="107" t="n">
        <x:f>SUM(IF($B$8=3,DO29,0),IF($B$36=3,DO57,0),IF($B$64=3,DO85,0))</x:f>
      </x:c>
      <x:c r="DP113" s="107" t="n">
        <x:f>SUM(IF($B$8=3,DP29,0),IF($B$36=3,DP57,0),IF($B$64=3,DP85,0))</x:f>
      </x:c>
      <x:c r="DQ113" s="107" t="n">
        <x:f>SUM(IF($B$8=3,DQ29,0),IF($B$36=3,DQ57,0),IF($B$64=3,DQ85,0))</x:f>
      </x:c>
      <x:c r="DR113" s="107" t="n">
        <x:f>SUM(IF($B$8=3,DR29,0),IF($B$36=3,DR57,0),IF($B$64=3,DR85,0))</x:f>
      </x:c>
      <x:c r="DS113" s="107" t="n">
        <x:f>SUM(IF($B$8=3,DS29,0),IF($B$36=3,DS57,0),IF($B$64=3,DS85,0))</x:f>
      </x:c>
      <x:c r="DT113" s="107" t="n">
        <x:f>SUM(IF($B$8=3,DT29,0),IF($B$36=3,DT57,0),IF($B$64=3,DT85,0))</x:f>
      </x:c>
      <x:c r="DU113" s="107" t="n">
        <x:f>SUM(IF($B$8=3,DU29,0),IF($B$36=3,DU57,0),IF($B$64=3,DU85,0))</x:f>
      </x:c>
      <x:c r="DV113" s="107" t="n">
        <x:f>SUM(IF($B$8=3,DV29,0),IF($B$36=3,DV57,0),IF($B$64=3,DV85,0))</x:f>
      </x:c>
      <x:c r="DW113" s="107" t="n">
        <x:f>SUM(IF($B$8=3,DW29,0),IF($B$36=3,DW57,0),IF($B$64=3,DW85,0))</x:f>
      </x:c>
      <x:c r="DX113" s="107" t="n">
        <x:f>SUM(IF($B$8=3,DX29,0),IF($B$36=3,DX57,0),IF($B$64=3,DX85,0))</x:f>
      </x:c>
      <x:c r="DY113" s="107" t="n">
        <x:f>SUM(IF($B$8=3,DY29,0),IF($B$36=3,DY57,0),IF($B$64=3,DY85,0))</x:f>
      </x:c>
      <x:c r="DZ113" s="107" t="n">
        <x:f>SUM(IF($B$8=3,DZ29,0),IF($B$36=3,DZ57,0),IF($B$64=3,DZ85,0))</x:f>
      </x:c>
      <x:c r="EA113" s="107" t="n">
        <x:f>SUM(IF($B$8=3,EA29,0),IF($B$36=3,EA57,0),IF($B$64=3,EA85,0))</x:f>
      </x:c>
      <x:c r="EB113" s="107" t="n">
        <x:f>SUM(IF($B$8=3,EB29,0),IF($B$36=3,EB57,0),IF($B$64=3,EB85,0))</x:f>
      </x:c>
      <x:c r="EC113" s="107" t="n">
        <x:f>SUM(IF($B$8=3,EC29,0),IF($B$36=3,EC57,0),IF($B$64=3,EC85,0))</x:f>
      </x:c>
      <x:c r="ED113" s="107" t="n">
        <x:f>SUM(IF($B$8=3,ED29,0),IF($B$36=3,ED57,0),IF($B$64=3,ED85,0))</x:f>
      </x:c>
      <x:c r="EE113" s="107" t="n">
        <x:f>SUM(IF($B$8=3,EE29,0),IF($B$36=3,EE57,0),IF($B$64=3,EE85,0))</x:f>
      </x:c>
      <x:c r="EF113" s="107" t="n">
        <x:f>SUM(IF($B$8=3,EF29,0),IF($B$36=3,EF57,0),IF($B$64=3,EF85,0))</x:f>
      </x:c>
      <x:c r="EG113" s="107" t="n">
        <x:f>SUM(IF($B$8=3,EG29,0),IF($B$36=3,EG57,0),IF($B$64=3,EG85,0))</x:f>
      </x:c>
      <x:c r="EH113" s="107" t="n">
        <x:f>SUM(IF($B$8=3,EH29,0),IF($B$36=3,EH57,0),IF($B$64=3,EH85,0))</x:f>
      </x:c>
      <x:c r="EI113" s="107" t="n">
        <x:f>SUM(IF($B$8=3,EI29,0),IF($B$36=3,EI57,0),IF($B$64=3,EI85,0))</x:f>
      </x:c>
      <x:c r="EJ113" s="107" t="n">
        <x:f>SUM(IF($B$8=3,EJ29,0),IF($B$36=3,EJ57,0),IF($B$64=3,EJ85,0))</x:f>
      </x:c>
      <x:c r="EK113" s="107" t="n">
        <x:f>SUM(IF($B$8=3,EK29,0),IF($B$36=3,EK57,0),IF($B$64=3,EK85,0))</x:f>
      </x:c>
      <x:c r="EL113" s="107" t="n">
        <x:f>SUM(IF($B$8=3,EL29,0),IF($B$36=3,EL57,0),IF($B$64=3,EL85,0))</x:f>
      </x:c>
      <x:c r="EM113" s="107" t="n">
        <x:f>SUM(IF($B$8=3,EM29,0),IF($B$36=3,EM57,0),IF($B$64=3,EM85,0))</x:f>
      </x:c>
      <x:c r="EN113" s="107" t="n">
        <x:f>SUM(IF($B$8=3,EN29,0),IF($B$36=3,EN57,0),IF($B$64=3,EN85,0))</x:f>
      </x:c>
      <x:c r="EO113" s="107" t="n">
        <x:f>SUM(IF($B$8=3,EO29,0),IF($B$36=3,EO57,0),IF($B$64=3,EO85,0))</x:f>
      </x:c>
      <x:c r="EP113" s="107" t="n">
        <x:f>SUM(IF($B$8=3,EP29,0),IF($B$36=3,EP57,0),IF($B$64=3,EP85,0))</x:f>
      </x:c>
      <x:c r="EQ113" s="107" t="n">
        <x:f>SUM(IF($B$8=3,EQ29,0),IF($B$36=3,EQ57,0),IF($B$64=3,EQ85,0))</x:f>
      </x:c>
      <x:c r="ER113" s="107" t="n">
        <x:f>SUM(IF($B$8=3,ER29,0),IF($B$36=3,ER57,0),IF($B$64=3,ER85,0))</x:f>
      </x:c>
      <x:c r="ES113" s="107" t="n">
        <x:f>SUM(IF($B$8=3,ES29,0),IF($B$36=3,ES57,0),IF($B$64=3,ES85,0))</x:f>
      </x:c>
      <x:c r="ET113" s="107" t="n">
        <x:f>SUM(IF($B$8=3,ET29,0),IF($B$36=3,ET57,0),IF($B$64=3,ET85,0))</x:f>
      </x:c>
      <x:c r="EU113" s="107" t="n">
        <x:f>SUM(IF($B$8=3,EU29,0),IF($B$36=3,EU57,0),IF($B$64=3,EU85,0))</x:f>
      </x:c>
      <x:c r="EV113" s="107" t="n">
        <x:f>SUM(IF($B$8=3,EV29,0),IF($B$36=3,EV57,0),IF($B$64=3,EV85,0))</x:f>
      </x:c>
      <x:c r="EW113" s="107" t="n">
        <x:f>SUM(IF($B$8=3,EW29,0),IF($B$36=3,EW57,0),IF($B$64=3,EW85,0))</x:f>
      </x:c>
      <x:c r="EX113" s="107" t="n">
        <x:f>SUM(IF($B$8=3,EX29,0),IF($B$36=3,EX57,0),IF($B$64=3,EX85,0))</x:f>
      </x:c>
      <x:c r="EY113" s="107" t="n">
        <x:f>SUM(IF($B$8=3,EY29,0),IF($B$36=3,EY57,0),IF($B$64=3,EY85,0))</x:f>
      </x:c>
      <x:c r="EZ113" s="107" t="n">
        <x:f>SUM(IF($B$8=3,EZ29,0),IF($B$36=3,EZ57,0),IF($B$64=3,EZ85,0))</x:f>
      </x:c>
      <x:c r="FA113" s="107" t="n">
        <x:f>SUM(IF($B$8=3,FA29,0),IF($B$36=3,FA57,0),IF($B$64=3,FA85,0))</x:f>
      </x:c>
      <x:c r="FB113" s="107" t="n">
        <x:f>SUM(IF($B$8=3,FB29,0),IF($B$36=3,FB57,0),IF($B$64=3,FB85,0))</x:f>
      </x:c>
      <x:c r="FC113" s="107" t="n">
        <x:f>SUM(IF($B$8=3,FC29,0),IF($B$36=3,FC57,0),IF($B$64=3,FC85,0))</x:f>
      </x:c>
      <x:c r="FD113" s="107" t="n">
        <x:f>SUM(IF($B$8=3,FD29,0),IF($B$36=3,FD57,0),IF($B$64=3,FD85,0))</x:f>
      </x:c>
      <x:c r="FE113" s="107" t="n">
        <x:f>SUM(IF($B$8=3,FE29,0),IF($B$36=3,FE57,0),IF($B$64=3,FE85,0))</x:f>
      </x:c>
      <x:c r="FF113" s="107" t="n">
        <x:f>SUM(IF($B$8=3,FF29,0),IF($B$36=3,FF57,0),IF($B$64=3,FF85,0))</x:f>
      </x:c>
      <x:c r="FG113" s="107" t="n">
        <x:f>SUM(IF($B$8=3,FG29,0),IF($B$36=3,FG57,0),IF($B$64=3,FG85,0))</x:f>
      </x:c>
      <x:c r="FH113" s="107" t="n">
        <x:f>SUM(IF($B$8=3,FH29,0),IF($B$36=3,FH57,0),IF($B$64=3,FH85,0))</x:f>
      </x:c>
      <x:c r="FI113" s="107" t="n">
        <x:f>SUM(IF($B$8=3,FI29,0),IF($B$36=3,FI57,0),IF($B$64=3,FI85,0))</x:f>
      </x:c>
      <x:c r="FJ113" s="107" t="n">
        <x:f>SUM(IF($B$8=3,FJ29,0),IF($B$36=3,FJ57,0),IF($B$64=3,FJ85,0))</x:f>
      </x:c>
      <x:c r="FK113" s="107" t="n">
        <x:f>SUM(IF($B$8=3,FK29,0),IF($B$36=3,FK57,0),IF($B$64=3,FK85,0))</x:f>
      </x:c>
      <x:c r="FL113" s="107" t="n">
        <x:f>SUM(IF($B$8=3,FL29,0),IF($B$36=3,FL57,0),IF($B$64=3,FL85,0))</x:f>
      </x:c>
      <x:c r="FM113" s="107" t="n">
        <x:f>SUM(IF($B$8=3,FM29,0),IF($B$36=3,FM57,0),IF($B$64=3,FM85,0))</x:f>
      </x:c>
      <x:c r="FN113" s="107" t="n">
        <x:f>SUM(IF($B$8=3,FN29,0),IF($B$36=3,FN57,0),IF($B$64=3,FN85,0))</x:f>
      </x:c>
      <x:c r="FO113" s="107" t="n">
        <x:f>SUM(IF($B$8=3,FO29,0),IF($B$36=3,FO57,0),IF($B$64=3,FO85,0))</x:f>
      </x:c>
      <x:c r="FP113" s="107" t="n">
        <x:f>SUM(IF($B$8=3,FP29,0),IF($B$36=3,FP57,0),IF($B$64=3,FP85,0))</x:f>
      </x:c>
      <x:c r="FQ113" s="107" t="n">
        <x:f>SUM(IF($B$8=3,FQ29,0),IF($B$36=3,FQ57,0),IF($B$64=3,FQ85,0))</x:f>
      </x:c>
      <x:c r="FR113" s="107" t="n">
        <x:f>SUM(IF($B$8=3,FR29,0),IF($B$36=3,FR57,0),IF($B$64=3,FR85,0))</x:f>
      </x:c>
      <x:c r="FS113" s="107" t="n">
        <x:f>SUM(IF($B$8=3,FS29,0),IF($B$36=3,FS57,0),IF($B$64=3,FS85,0))</x:f>
      </x:c>
      <x:c r="FT113" s="107" t="n">
        <x:f>SUM(IF($B$8=3,FT29,0),IF($B$36=3,FT57,0),IF($B$64=3,FT85,0))</x:f>
      </x:c>
      <x:c r="FU113" s="107" t="n">
        <x:f>SUM(IF($B$8=3,FU29,0),IF($B$36=3,FU57,0),IF($B$64=3,FU85,0))</x:f>
      </x:c>
      <x:c r="FV113" s="107" t="n">
        <x:f>SUM(IF($B$8=3,FV29,0),IF($B$36=3,FV57,0),IF($B$64=3,FV85,0))</x:f>
      </x:c>
      <x:c r="FW113" s="107" t="n">
        <x:f>SUM(IF($B$8=3,FW29,0),IF($B$36=3,FW57,0),IF($B$64=3,FW85,0))</x:f>
      </x:c>
      <x:c r="FX113" s="107" t="n">
        <x:f>SUM(IF($B$8=3,FX29,0),IF($B$36=3,FX57,0),IF($B$64=3,FX85,0))</x:f>
      </x:c>
      <x:c r="FY113" s="107" t="n">
        <x:f>SUM(IF($B$8=3,FY29,0),IF($B$36=3,FY57,0),IF($B$64=3,FY85,0))</x:f>
      </x:c>
      <x:c r="FZ113" s="107" t="n">
        <x:f>SUM(IF($B$8=3,FZ29,0),IF($B$36=3,FZ57,0),IF($B$64=3,FZ85,0))</x:f>
      </x:c>
      <x:c r="GA113" s="107" t="n">
        <x:f>SUM(IF($B$8=3,GA29,0),IF($B$36=3,GA57,0),IF($B$64=3,GA85,0))</x:f>
      </x:c>
    </x:row>
    <x:row r="114">
      <x:c r="A114" s="348" t="str">
        <x:v>Очередь 3 — Расходы на продажи объектов</x:v>
      </x:c>
      <x:c r="B114" s="348" t="n">
        <x:f>SUM(D114:GA114)</x:f>
      </x:c>
      <x:c r="C114" s="348" t="str">
        <x:v>млн ₽</x:v>
      </x:c>
      <x:c r="D114" s="348" t="n">
        <x:f>SUM(IF($B$8=3,D30,0),IF($B$36=3,D58,0),IF($B$64=3,D86,0))</x:f>
      </x:c>
      <x:c r="E114" s="348" t="n">
        <x:f>SUM(IF($B$8=3,E30,0),IF($B$36=3,E58,0),IF($B$64=3,E86,0))</x:f>
      </x:c>
      <x:c r="F114" s="348" t="n">
        <x:f>SUM(IF($B$8=3,F30,0),IF($B$36=3,F58,0),IF($B$64=3,F86,0))</x:f>
      </x:c>
      <x:c r="G114" s="348" t="n">
        <x:f>SUM(IF($B$8=3,G30,0),IF($B$36=3,G58,0),IF($B$64=3,G86,0))</x:f>
      </x:c>
      <x:c r="H114" s="348" t="n">
        <x:f>SUM(IF($B$8=3,H30,0),IF($B$36=3,H58,0),IF($B$64=3,H86,0))</x:f>
      </x:c>
      <x:c r="I114" s="348" t="n">
        <x:f>SUM(IF($B$8=3,I30,0),IF($B$36=3,I58,0),IF($B$64=3,I86,0))</x:f>
      </x:c>
      <x:c r="J114" s="348" t="n">
        <x:f>SUM(IF($B$8=3,J30,0),IF($B$36=3,J58,0),IF($B$64=3,J86,0))</x:f>
      </x:c>
      <x:c r="K114" s="348" t="n">
        <x:f>SUM(IF($B$8=3,K30,0),IF($B$36=3,K58,0),IF($B$64=3,K86,0))</x:f>
      </x:c>
      <x:c r="L114" s="348" t="n">
        <x:f>SUM(IF($B$8=3,L30,0),IF($B$36=3,L58,0),IF($B$64=3,L86,0))</x:f>
      </x:c>
      <x:c r="M114" s="348" t="n">
        <x:f>SUM(IF($B$8=3,M30,0),IF($B$36=3,M58,0),IF($B$64=3,M86,0))</x:f>
      </x:c>
      <x:c r="N114" s="348" t="n">
        <x:f>SUM(IF($B$8=3,N30,0),IF($B$36=3,N58,0),IF($B$64=3,N86,0))</x:f>
      </x:c>
      <x:c r="O114" s="348" t="n">
        <x:f>SUM(IF($B$8=3,O30,0),IF($B$36=3,O58,0),IF($B$64=3,O86,0))</x:f>
      </x:c>
      <x:c r="P114" s="348" t="n">
        <x:f>SUM(IF($B$8=3,P30,0),IF($B$36=3,P58,0),IF($B$64=3,P86,0))</x:f>
      </x:c>
      <x:c r="Q114" s="348" t="n">
        <x:f>SUM(IF($B$8=3,Q30,0),IF($B$36=3,Q58,0),IF($B$64=3,Q86,0))</x:f>
      </x:c>
      <x:c r="R114" s="348" t="n">
        <x:f>SUM(IF($B$8=3,R30,0),IF($B$36=3,R58,0),IF($B$64=3,R86,0))</x:f>
      </x:c>
      <x:c r="S114" s="348" t="n">
        <x:f>SUM(IF($B$8=3,S30,0),IF($B$36=3,S58,0),IF($B$64=3,S86,0))</x:f>
      </x:c>
      <x:c r="T114" s="348" t="n">
        <x:f>SUM(IF($B$8=3,T30,0),IF($B$36=3,T58,0),IF($B$64=3,T86,0))</x:f>
      </x:c>
      <x:c r="U114" s="348" t="n">
        <x:f>SUM(IF($B$8=3,U30,0),IF($B$36=3,U58,0),IF($B$64=3,U86,0))</x:f>
      </x:c>
      <x:c r="V114" s="348" t="n">
        <x:f>SUM(IF($B$8=3,V30,0),IF($B$36=3,V58,0),IF($B$64=3,V86,0))</x:f>
      </x:c>
      <x:c r="W114" s="348" t="n">
        <x:f>SUM(IF($B$8=3,W30,0),IF($B$36=3,W58,0),IF($B$64=3,W86,0))</x:f>
      </x:c>
      <x:c r="X114" s="348" t="n">
        <x:f>SUM(IF($B$8=3,X30,0),IF($B$36=3,X58,0),IF($B$64=3,X86,0))</x:f>
      </x:c>
      <x:c r="Y114" s="348" t="n">
        <x:f>SUM(IF($B$8=3,Y30,0),IF($B$36=3,Y58,0),IF($B$64=3,Y86,0))</x:f>
      </x:c>
      <x:c r="Z114" s="348" t="n">
        <x:f>SUM(IF($B$8=3,Z30,0),IF($B$36=3,Z58,0),IF($B$64=3,Z86,0))</x:f>
      </x:c>
      <x:c r="AA114" s="348" t="n">
        <x:f>SUM(IF($B$8=3,AA30,0),IF($B$36=3,AA58,0),IF($B$64=3,AA86,0))</x:f>
      </x:c>
      <x:c r="AB114" s="348" t="n">
        <x:f>SUM(IF($B$8=3,AB30,0),IF($B$36=3,AB58,0),IF($B$64=3,AB86,0))</x:f>
      </x:c>
      <x:c r="AC114" s="348" t="n">
        <x:f>SUM(IF($B$8=3,AC30,0),IF($B$36=3,AC58,0),IF($B$64=3,AC86,0))</x:f>
      </x:c>
      <x:c r="AD114" s="348" t="n">
        <x:f>SUM(IF($B$8=3,AD30,0),IF($B$36=3,AD58,0),IF($B$64=3,AD86,0))</x:f>
      </x:c>
      <x:c r="AE114" s="348" t="n">
        <x:f>SUM(IF($B$8=3,AE30,0),IF($B$36=3,AE58,0),IF($B$64=3,AE86,0))</x:f>
      </x:c>
      <x:c r="AF114" s="348" t="n">
        <x:f>SUM(IF($B$8=3,AF30,0),IF($B$36=3,AF58,0),IF($B$64=3,AF86,0))</x:f>
      </x:c>
      <x:c r="AG114" s="348" t="n">
        <x:f>SUM(IF($B$8=3,AG30,0),IF($B$36=3,AG58,0),IF($B$64=3,AG86,0))</x:f>
      </x:c>
      <x:c r="AH114" s="348" t="n">
        <x:f>SUM(IF($B$8=3,AH30,0),IF($B$36=3,AH58,0),IF($B$64=3,AH86,0))</x:f>
      </x:c>
      <x:c r="AI114" s="348" t="n">
        <x:f>SUM(IF($B$8=3,AI30,0),IF($B$36=3,AI58,0),IF($B$64=3,AI86,0))</x:f>
      </x:c>
      <x:c r="AJ114" s="348" t="n">
        <x:f>SUM(IF($B$8=3,AJ30,0),IF($B$36=3,AJ58,0),IF($B$64=3,AJ86,0))</x:f>
      </x:c>
      <x:c r="AK114" s="348" t="n">
        <x:f>SUM(IF($B$8=3,AK30,0),IF($B$36=3,AK58,0),IF($B$64=3,AK86,0))</x:f>
      </x:c>
      <x:c r="AL114" s="348" t="n">
        <x:f>SUM(IF($B$8=3,AL30,0),IF($B$36=3,AL58,0),IF($B$64=3,AL86,0))</x:f>
      </x:c>
      <x:c r="AM114" s="348" t="n">
        <x:f>SUM(IF($B$8=3,AM30,0),IF($B$36=3,AM58,0),IF($B$64=3,AM86,0))</x:f>
      </x:c>
      <x:c r="AN114" s="348" t="n">
        <x:f>SUM(IF($B$8=3,AN30,0),IF($B$36=3,AN58,0),IF($B$64=3,AN86,0))</x:f>
      </x:c>
      <x:c r="AO114" s="348" t="n">
        <x:f>SUM(IF($B$8=3,AO30,0),IF($B$36=3,AO58,0),IF($B$64=3,AO86,0))</x:f>
      </x:c>
      <x:c r="AP114" s="348" t="n">
        <x:f>SUM(IF($B$8=3,AP30,0),IF($B$36=3,AP58,0),IF($B$64=3,AP86,0))</x:f>
      </x:c>
      <x:c r="AQ114" s="348" t="n">
        <x:f>SUM(IF($B$8=3,AQ30,0),IF($B$36=3,AQ58,0),IF($B$64=3,AQ86,0))</x:f>
      </x:c>
      <x:c r="AR114" s="348" t="n">
        <x:f>SUM(IF($B$8=3,AR30,0),IF($B$36=3,AR58,0),IF($B$64=3,AR86,0))</x:f>
      </x:c>
      <x:c r="AS114" s="348" t="n">
        <x:f>SUM(IF($B$8=3,AS30,0),IF($B$36=3,AS58,0),IF($B$64=3,AS86,0))</x:f>
      </x:c>
      <x:c r="AT114" s="348" t="n">
        <x:f>SUM(IF($B$8=3,AT30,0),IF($B$36=3,AT58,0),IF($B$64=3,AT86,0))</x:f>
      </x:c>
      <x:c r="AU114" s="348" t="n">
        <x:f>SUM(IF($B$8=3,AU30,0),IF($B$36=3,AU58,0),IF($B$64=3,AU86,0))</x:f>
      </x:c>
      <x:c r="AV114" s="348" t="n">
        <x:f>SUM(IF($B$8=3,AV30,0),IF($B$36=3,AV58,0),IF($B$64=3,AV86,0))</x:f>
      </x:c>
      <x:c r="AW114" s="348" t="n">
        <x:f>SUM(IF($B$8=3,AW30,0),IF($B$36=3,AW58,0),IF($B$64=3,AW86,0))</x:f>
      </x:c>
      <x:c r="AX114" s="348" t="n">
        <x:f>SUM(IF($B$8=3,AX30,0),IF($B$36=3,AX58,0),IF($B$64=3,AX86,0))</x:f>
      </x:c>
      <x:c r="AY114" s="348" t="n">
        <x:f>SUM(IF($B$8=3,AY30,0),IF($B$36=3,AY58,0),IF($B$64=3,AY86,0))</x:f>
      </x:c>
      <x:c r="AZ114" s="348" t="n">
        <x:f>SUM(IF($B$8=3,AZ30,0),IF($B$36=3,AZ58,0),IF($B$64=3,AZ86,0))</x:f>
      </x:c>
      <x:c r="BA114" s="348" t="n">
        <x:f>SUM(IF($B$8=3,BA30,0),IF($B$36=3,BA58,0),IF($B$64=3,BA86,0))</x:f>
      </x:c>
      <x:c r="BB114" s="348" t="n">
        <x:f>SUM(IF($B$8=3,BB30,0),IF($B$36=3,BB58,0),IF($B$64=3,BB86,0))</x:f>
      </x:c>
      <x:c r="BC114" s="348" t="n">
        <x:f>SUM(IF($B$8=3,BC30,0),IF($B$36=3,BC58,0),IF($B$64=3,BC86,0))</x:f>
      </x:c>
      <x:c r="BD114" s="348" t="n">
        <x:f>SUM(IF($B$8=3,BD30,0),IF($B$36=3,BD58,0),IF($B$64=3,BD86,0))</x:f>
      </x:c>
      <x:c r="BE114" s="348" t="n">
        <x:f>SUM(IF($B$8=3,BE30,0),IF($B$36=3,BE58,0),IF($B$64=3,BE86,0))</x:f>
      </x:c>
      <x:c r="BF114" s="348" t="n">
        <x:f>SUM(IF($B$8=3,BF30,0),IF($B$36=3,BF58,0),IF($B$64=3,BF86,0))</x:f>
      </x:c>
      <x:c r="BG114" s="348" t="n">
        <x:f>SUM(IF($B$8=3,BG30,0),IF($B$36=3,BG58,0),IF($B$64=3,BG86,0))</x:f>
      </x:c>
      <x:c r="BH114" s="348" t="n">
        <x:f>SUM(IF($B$8=3,BH30,0),IF($B$36=3,BH58,0),IF($B$64=3,BH86,0))</x:f>
      </x:c>
      <x:c r="BI114" s="348" t="n">
        <x:f>SUM(IF($B$8=3,BI30,0),IF($B$36=3,BI58,0),IF($B$64=3,BI86,0))</x:f>
      </x:c>
      <x:c r="BJ114" s="348" t="n">
        <x:f>SUM(IF($B$8=3,BJ30,0),IF($B$36=3,BJ58,0),IF($B$64=3,BJ86,0))</x:f>
      </x:c>
      <x:c r="BK114" s="348" t="n">
        <x:f>SUM(IF($B$8=3,BK30,0),IF($B$36=3,BK58,0),IF($B$64=3,BK86,0))</x:f>
      </x:c>
      <x:c r="BL114" s="348" t="n">
        <x:f>SUM(IF($B$8=3,BL30,0),IF($B$36=3,BL58,0),IF($B$64=3,BL86,0))</x:f>
      </x:c>
      <x:c r="BM114" s="348" t="n">
        <x:f>SUM(IF($B$8=3,BM30,0),IF($B$36=3,BM58,0),IF($B$64=3,BM86,0))</x:f>
      </x:c>
      <x:c r="BN114" s="348" t="n">
        <x:f>SUM(IF($B$8=3,BN30,0),IF($B$36=3,BN58,0),IF($B$64=3,BN86,0))</x:f>
      </x:c>
      <x:c r="BO114" s="348" t="n">
        <x:f>SUM(IF($B$8=3,BO30,0),IF($B$36=3,BO58,0),IF($B$64=3,BO86,0))</x:f>
      </x:c>
      <x:c r="BP114" s="348" t="n">
        <x:f>SUM(IF($B$8=3,BP30,0),IF($B$36=3,BP58,0),IF($B$64=3,BP86,0))</x:f>
      </x:c>
      <x:c r="BQ114" s="348" t="n">
        <x:f>SUM(IF($B$8=3,BQ30,0),IF($B$36=3,BQ58,0),IF($B$64=3,BQ86,0))</x:f>
      </x:c>
      <x:c r="BR114" s="348" t="n">
        <x:f>SUM(IF($B$8=3,BR30,0),IF($B$36=3,BR58,0),IF($B$64=3,BR86,0))</x:f>
      </x:c>
      <x:c r="BS114" s="348" t="n">
        <x:f>SUM(IF($B$8=3,BS30,0),IF($B$36=3,BS58,0),IF($B$64=3,BS86,0))</x:f>
      </x:c>
      <x:c r="BT114" s="348" t="n">
        <x:f>SUM(IF($B$8=3,BT30,0),IF($B$36=3,BT58,0),IF($B$64=3,BT86,0))</x:f>
      </x:c>
      <x:c r="BU114" s="348" t="n">
        <x:f>SUM(IF($B$8=3,BU30,0),IF($B$36=3,BU58,0),IF($B$64=3,BU86,0))</x:f>
      </x:c>
      <x:c r="BV114" s="348" t="n">
        <x:f>SUM(IF($B$8=3,BV30,0),IF($B$36=3,BV58,0),IF($B$64=3,BV86,0))</x:f>
      </x:c>
      <x:c r="BW114" s="348" t="n">
        <x:f>SUM(IF($B$8=3,BW30,0),IF($B$36=3,BW58,0),IF($B$64=3,BW86,0))</x:f>
      </x:c>
      <x:c r="BX114" s="348" t="n">
        <x:f>SUM(IF($B$8=3,BX30,0),IF($B$36=3,BX58,0),IF($B$64=3,BX86,0))</x:f>
      </x:c>
      <x:c r="BY114" s="348" t="n">
        <x:f>SUM(IF($B$8=3,BY30,0),IF($B$36=3,BY58,0),IF($B$64=3,BY86,0))</x:f>
      </x:c>
      <x:c r="BZ114" s="348" t="n">
        <x:f>SUM(IF($B$8=3,BZ30,0),IF($B$36=3,BZ58,0),IF($B$64=3,BZ86,0))</x:f>
      </x:c>
      <x:c r="CA114" s="348" t="n">
        <x:f>SUM(IF($B$8=3,CA30,0),IF($B$36=3,CA58,0),IF($B$64=3,CA86,0))</x:f>
      </x:c>
      <x:c r="CB114" s="348" t="n">
        <x:f>SUM(IF($B$8=3,CB30,0),IF($B$36=3,CB58,0),IF($B$64=3,CB86,0))</x:f>
      </x:c>
      <x:c r="CC114" s="348" t="n">
        <x:f>SUM(IF($B$8=3,CC30,0),IF($B$36=3,CC58,0),IF($B$64=3,CC86,0))</x:f>
      </x:c>
      <x:c r="CD114" s="348" t="n">
        <x:f>SUM(IF($B$8=3,CD30,0),IF($B$36=3,CD58,0),IF($B$64=3,CD86,0))</x:f>
      </x:c>
      <x:c r="CE114" s="348" t="n">
        <x:f>SUM(IF($B$8=3,CE30,0),IF($B$36=3,CE58,0),IF($B$64=3,CE86,0))</x:f>
      </x:c>
      <x:c r="CF114" s="348" t="n">
        <x:f>SUM(IF($B$8=3,CF30,0),IF($B$36=3,CF58,0),IF($B$64=3,CF86,0))</x:f>
      </x:c>
      <x:c r="CG114" s="348" t="n">
        <x:f>SUM(IF($B$8=3,CG30,0),IF($B$36=3,CG58,0),IF($B$64=3,CG86,0))</x:f>
      </x:c>
      <x:c r="CH114" s="348" t="n">
        <x:f>SUM(IF($B$8=3,CH30,0),IF($B$36=3,CH58,0),IF($B$64=3,CH86,0))</x:f>
      </x:c>
      <x:c r="CI114" s="348" t="n">
        <x:f>SUM(IF($B$8=3,CI30,0),IF($B$36=3,CI58,0),IF($B$64=3,CI86,0))</x:f>
      </x:c>
      <x:c r="CJ114" s="348" t="n">
        <x:f>SUM(IF($B$8=3,CJ30,0),IF($B$36=3,CJ58,0),IF($B$64=3,CJ86,0))</x:f>
      </x:c>
      <x:c r="CK114" s="348" t="n">
        <x:f>SUM(IF($B$8=3,CK30,0),IF($B$36=3,CK58,0),IF($B$64=3,CK86,0))</x:f>
      </x:c>
      <x:c r="CL114" s="348" t="n">
        <x:f>SUM(IF($B$8=3,CL30,0),IF($B$36=3,CL58,0),IF($B$64=3,CL86,0))</x:f>
      </x:c>
      <x:c r="CM114" s="348" t="n">
        <x:f>SUM(IF($B$8=3,CM30,0),IF($B$36=3,CM58,0),IF($B$64=3,CM86,0))</x:f>
      </x:c>
      <x:c r="CN114" s="348" t="n">
        <x:f>SUM(IF($B$8=3,CN30,0),IF($B$36=3,CN58,0),IF($B$64=3,CN86,0))</x:f>
      </x:c>
      <x:c r="CO114" s="348" t="n">
        <x:f>SUM(IF($B$8=3,CO30,0),IF($B$36=3,CO58,0),IF($B$64=3,CO86,0))</x:f>
      </x:c>
      <x:c r="CP114" s="348" t="n">
        <x:f>SUM(IF($B$8=3,CP30,0),IF($B$36=3,CP58,0),IF($B$64=3,CP86,0))</x:f>
      </x:c>
      <x:c r="CQ114" s="348" t="n">
        <x:f>SUM(IF($B$8=3,CQ30,0),IF($B$36=3,CQ58,0),IF($B$64=3,CQ86,0))</x:f>
      </x:c>
      <x:c r="CR114" s="348" t="n">
        <x:f>SUM(IF($B$8=3,CR30,0),IF($B$36=3,CR58,0),IF($B$64=3,CR86,0))</x:f>
      </x:c>
      <x:c r="CS114" s="348" t="n">
        <x:f>SUM(IF($B$8=3,CS30,0),IF($B$36=3,CS58,0),IF($B$64=3,CS86,0))</x:f>
      </x:c>
      <x:c r="CT114" s="348" t="n">
        <x:f>SUM(IF($B$8=3,CT30,0),IF($B$36=3,CT58,0),IF($B$64=3,CT86,0))</x:f>
      </x:c>
      <x:c r="CU114" s="348" t="n">
        <x:f>SUM(IF($B$8=3,CU30,0),IF($B$36=3,CU58,0),IF($B$64=3,CU86,0))</x:f>
      </x:c>
      <x:c r="CV114" s="348" t="n">
        <x:f>SUM(IF($B$8=3,CV30,0),IF($B$36=3,CV58,0),IF($B$64=3,CV86,0))</x:f>
      </x:c>
      <x:c r="CW114" s="348" t="n">
        <x:f>SUM(IF($B$8=3,CW30,0),IF($B$36=3,CW58,0),IF($B$64=3,CW86,0))</x:f>
      </x:c>
      <x:c r="CX114" s="348" t="n">
        <x:f>SUM(IF($B$8=3,CX30,0),IF($B$36=3,CX58,0),IF($B$64=3,CX86,0))</x:f>
      </x:c>
      <x:c r="CY114" s="348" t="n">
        <x:f>SUM(IF($B$8=3,CY30,0),IF($B$36=3,CY58,0),IF($B$64=3,CY86,0))</x:f>
      </x:c>
      <x:c r="CZ114" s="348" t="n">
        <x:f>SUM(IF($B$8=3,CZ30,0),IF($B$36=3,CZ58,0),IF($B$64=3,CZ86,0))</x:f>
      </x:c>
      <x:c r="DA114" s="348" t="n">
        <x:f>SUM(IF($B$8=3,DA30,0),IF($B$36=3,DA58,0),IF($B$64=3,DA86,0))</x:f>
      </x:c>
      <x:c r="DB114" s="348" t="n">
        <x:f>SUM(IF($B$8=3,DB30,0),IF($B$36=3,DB58,0),IF($B$64=3,DB86,0))</x:f>
      </x:c>
      <x:c r="DC114" s="348" t="n">
        <x:f>SUM(IF($B$8=3,DC30,0),IF($B$36=3,DC58,0),IF($B$64=3,DC86,0))</x:f>
      </x:c>
      <x:c r="DD114" s="348" t="n">
        <x:f>SUM(IF($B$8=3,DD30,0),IF($B$36=3,DD58,0),IF($B$64=3,DD86,0))</x:f>
      </x:c>
      <x:c r="DE114" s="348" t="n">
        <x:f>SUM(IF($B$8=3,DE30,0),IF($B$36=3,DE58,0),IF($B$64=3,DE86,0))</x:f>
      </x:c>
      <x:c r="DF114" s="348" t="n">
        <x:f>SUM(IF($B$8=3,DF30,0),IF($B$36=3,DF58,0),IF($B$64=3,DF86,0))</x:f>
      </x:c>
      <x:c r="DG114" s="348" t="n">
        <x:f>SUM(IF($B$8=3,DG30,0),IF($B$36=3,DG58,0),IF($B$64=3,DG86,0))</x:f>
      </x:c>
      <x:c r="DH114" s="348" t="n">
        <x:f>SUM(IF($B$8=3,DH30,0),IF($B$36=3,DH58,0),IF($B$64=3,DH86,0))</x:f>
      </x:c>
      <x:c r="DI114" s="348" t="n">
        <x:f>SUM(IF($B$8=3,DI30,0),IF($B$36=3,DI58,0),IF($B$64=3,DI86,0))</x:f>
      </x:c>
      <x:c r="DJ114" s="348" t="n">
        <x:f>SUM(IF($B$8=3,DJ30,0),IF($B$36=3,DJ58,0),IF($B$64=3,DJ86,0))</x:f>
      </x:c>
      <x:c r="DK114" s="348" t="n">
        <x:f>SUM(IF($B$8=3,DK30,0),IF($B$36=3,DK58,0),IF($B$64=3,DK86,0))</x:f>
      </x:c>
      <x:c r="DL114" s="348" t="n">
        <x:f>SUM(IF($B$8=3,DL30,0),IF($B$36=3,DL58,0),IF($B$64=3,DL86,0))</x:f>
      </x:c>
      <x:c r="DM114" s="348" t="n">
        <x:f>SUM(IF($B$8=3,DM30,0),IF($B$36=3,DM58,0),IF($B$64=3,DM86,0))</x:f>
      </x:c>
      <x:c r="DN114" s="348" t="n">
        <x:f>SUM(IF($B$8=3,DN30,0),IF($B$36=3,DN58,0),IF($B$64=3,DN86,0))</x:f>
      </x:c>
      <x:c r="DO114" s="348" t="n">
        <x:f>SUM(IF($B$8=3,DO30,0),IF($B$36=3,DO58,0),IF($B$64=3,DO86,0))</x:f>
      </x:c>
      <x:c r="DP114" s="348" t="n">
        <x:f>SUM(IF($B$8=3,DP30,0),IF($B$36=3,DP58,0),IF($B$64=3,DP86,0))</x:f>
      </x:c>
      <x:c r="DQ114" s="348" t="n">
        <x:f>SUM(IF($B$8=3,DQ30,0),IF($B$36=3,DQ58,0),IF($B$64=3,DQ86,0))</x:f>
      </x:c>
      <x:c r="DR114" s="348" t="n">
        <x:f>SUM(IF($B$8=3,DR30,0),IF($B$36=3,DR58,0),IF($B$64=3,DR86,0))</x:f>
      </x:c>
      <x:c r="DS114" s="348" t="n">
        <x:f>SUM(IF($B$8=3,DS30,0),IF($B$36=3,DS58,0),IF($B$64=3,DS86,0))</x:f>
      </x:c>
      <x:c r="DT114" s="348" t="n">
        <x:f>SUM(IF($B$8=3,DT30,0),IF($B$36=3,DT58,0),IF($B$64=3,DT86,0))</x:f>
      </x:c>
      <x:c r="DU114" s="348" t="n">
        <x:f>SUM(IF($B$8=3,DU30,0),IF($B$36=3,DU58,0),IF($B$64=3,DU86,0))</x:f>
      </x:c>
      <x:c r="DV114" s="348" t="n">
        <x:f>SUM(IF($B$8=3,DV30,0),IF($B$36=3,DV58,0),IF($B$64=3,DV86,0))</x:f>
      </x:c>
      <x:c r="DW114" s="348" t="n">
        <x:f>SUM(IF($B$8=3,DW30,0),IF($B$36=3,DW58,0),IF($B$64=3,DW86,0))</x:f>
      </x:c>
      <x:c r="DX114" s="348" t="n">
        <x:f>SUM(IF($B$8=3,DX30,0),IF($B$36=3,DX58,0),IF($B$64=3,DX86,0))</x:f>
      </x:c>
      <x:c r="DY114" s="348" t="n">
        <x:f>SUM(IF($B$8=3,DY30,0),IF($B$36=3,DY58,0),IF($B$64=3,DY86,0))</x:f>
      </x:c>
      <x:c r="DZ114" s="348" t="n">
        <x:f>SUM(IF($B$8=3,DZ30,0),IF($B$36=3,DZ58,0),IF($B$64=3,DZ86,0))</x:f>
      </x:c>
      <x:c r="EA114" s="348" t="n">
        <x:f>SUM(IF($B$8=3,EA30,0),IF($B$36=3,EA58,0),IF($B$64=3,EA86,0))</x:f>
      </x:c>
      <x:c r="EB114" s="348" t="n">
        <x:f>SUM(IF($B$8=3,EB30,0),IF($B$36=3,EB58,0),IF($B$64=3,EB86,0))</x:f>
      </x:c>
      <x:c r="EC114" s="348" t="n">
        <x:f>SUM(IF($B$8=3,EC30,0),IF($B$36=3,EC58,0),IF($B$64=3,EC86,0))</x:f>
      </x:c>
      <x:c r="ED114" s="348" t="n">
        <x:f>SUM(IF($B$8=3,ED30,0),IF($B$36=3,ED58,0),IF($B$64=3,ED86,0))</x:f>
      </x:c>
      <x:c r="EE114" s="348" t="n">
        <x:f>SUM(IF($B$8=3,EE30,0),IF($B$36=3,EE58,0),IF($B$64=3,EE86,0))</x:f>
      </x:c>
      <x:c r="EF114" s="348" t="n">
        <x:f>SUM(IF($B$8=3,EF30,0),IF($B$36=3,EF58,0),IF($B$64=3,EF86,0))</x:f>
      </x:c>
      <x:c r="EG114" s="348" t="n">
        <x:f>SUM(IF($B$8=3,EG30,0),IF($B$36=3,EG58,0),IF($B$64=3,EG86,0))</x:f>
      </x:c>
      <x:c r="EH114" s="348" t="n">
        <x:f>SUM(IF($B$8=3,EH30,0),IF($B$36=3,EH58,0),IF($B$64=3,EH86,0))</x:f>
      </x:c>
      <x:c r="EI114" s="348" t="n">
        <x:f>SUM(IF($B$8=3,EI30,0),IF($B$36=3,EI58,0),IF($B$64=3,EI86,0))</x:f>
      </x:c>
      <x:c r="EJ114" s="348" t="n">
        <x:f>SUM(IF($B$8=3,EJ30,0),IF($B$36=3,EJ58,0),IF($B$64=3,EJ86,0))</x:f>
      </x:c>
      <x:c r="EK114" s="348" t="n">
        <x:f>SUM(IF($B$8=3,EK30,0),IF($B$36=3,EK58,0),IF($B$64=3,EK86,0))</x:f>
      </x:c>
      <x:c r="EL114" s="348" t="n">
        <x:f>SUM(IF($B$8=3,EL30,0),IF($B$36=3,EL58,0),IF($B$64=3,EL86,0))</x:f>
      </x:c>
      <x:c r="EM114" s="348" t="n">
        <x:f>SUM(IF($B$8=3,EM30,0),IF($B$36=3,EM58,0),IF($B$64=3,EM86,0))</x:f>
      </x:c>
      <x:c r="EN114" s="348" t="n">
        <x:f>SUM(IF($B$8=3,EN30,0),IF($B$36=3,EN58,0),IF($B$64=3,EN86,0))</x:f>
      </x:c>
      <x:c r="EO114" s="348" t="n">
        <x:f>SUM(IF($B$8=3,EO30,0),IF($B$36=3,EO58,0),IF($B$64=3,EO86,0))</x:f>
      </x:c>
      <x:c r="EP114" s="348" t="n">
        <x:f>SUM(IF($B$8=3,EP30,0),IF($B$36=3,EP58,0),IF($B$64=3,EP86,0))</x:f>
      </x:c>
      <x:c r="EQ114" s="348" t="n">
        <x:f>SUM(IF($B$8=3,EQ30,0),IF($B$36=3,EQ58,0),IF($B$64=3,EQ86,0))</x:f>
      </x:c>
      <x:c r="ER114" s="348" t="n">
        <x:f>SUM(IF($B$8=3,ER30,0),IF($B$36=3,ER58,0),IF($B$64=3,ER86,0))</x:f>
      </x:c>
      <x:c r="ES114" s="348" t="n">
        <x:f>SUM(IF($B$8=3,ES30,0),IF($B$36=3,ES58,0),IF($B$64=3,ES86,0))</x:f>
      </x:c>
      <x:c r="ET114" s="348" t="n">
        <x:f>SUM(IF($B$8=3,ET30,0),IF($B$36=3,ET58,0),IF($B$64=3,ET86,0))</x:f>
      </x:c>
      <x:c r="EU114" s="348" t="n">
        <x:f>SUM(IF($B$8=3,EU30,0),IF($B$36=3,EU58,0),IF($B$64=3,EU86,0))</x:f>
      </x:c>
      <x:c r="EV114" s="348" t="n">
        <x:f>SUM(IF($B$8=3,EV30,0),IF($B$36=3,EV58,0),IF($B$64=3,EV86,0))</x:f>
      </x:c>
      <x:c r="EW114" s="348" t="n">
        <x:f>SUM(IF($B$8=3,EW30,0),IF($B$36=3,EW58,0),IF($B$64=3,EW86,0))</x:f>
      </x:c>
      <x:c r="EX114" s="348" t="n">
        <x:f>SUM(IF($B$8=3,EX30,0),IF($B$36=3,EX58,0),IF($B$64=3,EX86,0))</x:f>
      </x:c>
      <x:c r="EY114" s="348" t="n">
        <x:f>SUM(IF($B$8=3,EY30,0),IF($B$36=3,EY58,0),IF($B$64=3,EY86,0))</x:f>
      </x:c>
      <x:c r="EZ114" s="348" t="n">
        <x:f>SUM(IF($B$8=3,EZ30,0),IF($B$36=3,EZ58,0),IF($B$64=3,EZ86,0))</x:f>
      </x:c>
      <x:c r="FA114" s="348" t="n">
        <x:f>SUM(IF($B$8=3,FA30,0),IF($B$36=3,FA58,0),IF($B$64=3,FA86,0))</x:f>
      </x:c>
      <x:c r="FB114" s="348" t="n">
        <x:f>SUM(IF($B$8=3,FB30,0),IF($B$36=3,FB58,0),IF($B$64=3,FB86,0))</x:f>
      </x:c>
      <x:c r="FC114" s="348" t="n">
        <x:f>SUM(IF($B$8=3,FC30,0),IF($B$36=3,FC58,0),IF($B$64=3,FC86,0))</x:f>
      </x:c>
      <x:c r="FD114" s="348" t="n">
        <x:f>SUM(IF($B$8=3,FD30,0),IF($B$36=3,FD58,0),IF($B$64=3,FD86,0))</x:f>
      </x:c>
      <x:c r="FE114" s="348" t="n">
        <x:f>SUM(IF($B$8=3,FE30,0),IF($B$36=3,FE58,0),IF($B$64=3,FE86,0))</x:f>
      </x:c>
      <x:c r="FF114" s="348" t="n">
        <x:f>SUM(IF($B$8=3,FF30,0),IF($B$36=3,FF58,0),IF($B$64=3,FF86,0))</x:f>
      </x:c>
      <x:c r="FG114" s="348" t="n">
        <x:f>SUM(IF($B$8=3,FG30,0),IF($B$36=3,FG58,0),IF($B$64=3,FG86,0))</x:f>
      </x:c>
      <x:c r="FH114" s="348" t="n">
        <x:f>SUM(IF($B$8=3,FH30,0),IF($B$36=3,FH58,0),IF($B$64=3,FH86,0))</x:f>
      </x:c>
      <x:c r="FI114" s="348" t="n">
        <x:f>SUM(IF($B$8=3,FI30,0),IF($B$36=3,FI58,0),IF($B$64=3,FI86,0))</x:f>
      </x:c>
      <x:c r="FJ114" s="348" t="n">
        <x:f>SUM(IF($B$8=3,FJ30,0),IF($B$36=3,FJ58,0),IF($B$64=3,FJ86,0))</x:f>
      </x:c>
      <x:c r="FK114" s="348" t="n">
        <x:f>SUM(IF($B$8=3,FK30,0),IF($B$36=3,FK58,0),IF($B$64=3,FK86,0))</x:f>
      </x:c>
      <x:c r="FL114" s="348" t="n">
        <x:f>SUM(IF($B$8=3,FL30,0),IF($B$36=3,FL58,0),IF($B$64=3,FL86,0))</x:f>
      </x:c>
      <x:c r="FM114" s="348" t="n">
        <x:f>SUM(IF($B$8=3,FM30,0),IF($B$36=3,FM58,0),IF($B$64=3,FM86,0))</x:f>
      </x:c>
      <x:c r="FN114" s="348" t="n">
        <x:f>SUM(IF($B$8=3,FN30,0),IF($B$36=3,FN58,0),IF($B$64=3,FN86,0))</x:f>
      </x:c>
      <x:c r="FO114" s="348" t="n">
        <x:f>SUM(IF($B$8=3,FO30,0),IF($B$36=3,FO58,0),IF($B$64=3,FO86,0))</x:f>
      </x:c>
      <x:c r="FP114" s="348" t="n">
        <x:f>SUM(IF($B$8=3,FP30,0),IF($B$36=3,FP58,0),IF($B$64=3,FP86,0))</x:f>
      </x:c>
      <x:c r="FQ114" s="348" t="n">
        <x:f>SUM(IF($B$8=3,FQ30,0),IF($B$36=3,FQ58,0),IF($B$64=3,FQ86,0))</x:f>
      </x:c>
      <x:c r="FR114" s="348" t="n">
        <x:f>SUM(IF($B$8=3,FR30,0),IF($B$36=3,FR58,0),IF($B$64=3,FR86,0))</x:f>
      </x:c>
      <x:c r="FS114" s="348" t="n">
        <x:f>SUM(IF($B$8=3,FS30,0),IF($B$36=3,FS58,0),IF($B$64=3,FS86,0))</x:f>
      </x:c>
      <x:c r="FT114" s="348" t="n">
        <x:f>SUM(IF($B$8=3,FT30,0),IF($B$36=3,FT58,0),IF($B$64=3,FT86,0))</x:f>
      </x:c>
      <x:c r="FU114" s="348" t="n">
        <x:f>SUM(IF($B$8=3,FU30,0),IF($B$36=3,FU58,0),IF($B$64=3,FU86,0))</x:f>
      </x:c>
      <x:c r="FV114" s="348" t="n">
        <x:f>SUM(IF($B$8=3,FV30,0),IF($B$36=3,FV58,0),IF($B$64=3,FV86,0))</x:f>
      </x:c>
      <x:c r="FW114" s="348" t="n">
        <x:f>SUM(IF($B$8=3,FW30,0),IF($B$36=3,FW58,0),IF($B$64=3,FW86,0))</x:f>
      </x:c>
      <x:c r="FX114" s="348" t="n">
        <x:f>SUM(IF($B$8=3,FX30,0),IF($B$36=3,FX58,0),IF($B$64=3,FX86,0))</x:f>
      </x:c>
      <x:c r="FY114" s="348" t="n">
        <x:f>SUM(IF($B$8=3,FY30,0),IF($B$36=3,FY58,0),IF($B$64=3,FY86,0))</x:f>
      </x:c>
      <x:c r="FZ114" s="348" t="n">
        <x:f>SUM(IF($B$8=3,FZ30,0),IF($B$36=3,FZ58,0),IF($B$64=3,FZ86,0))</x:f>
      </x:c>
      <x:c r="GA114" s="348" t="n">
        <x:f>SUM(IF($B$8=3,GA30,0),IF($B$36=3,GA58,0),IF($B$64=3,GA86,0))</x:f>
      </x:c>
    </x:row>
    <x:row r="116">
      <x:c r="A116" t="str">
        <x:v>Очередь 4 — Выручка объектов</x:v>
      </x:c>
      <x:c r="B116" s="107" t="n">
        <x:f>SUM(D116:GA116)</x:f>
      </x:c>
      <x:c r="C116" t="str">
        <x:v>млн ₽</x:v>
      </x:c>
      <x:c r="D116" s="107" t="n">
        <x:f>SUM(IF($B$8=4,D24,0),IF($B$36=4,D52,0),IF($B$64=4,D80,0))</x:f>
      </x:c>
      <x:c r="E116" s="107" t="n">
        <x:f>SUM(IF($B$8=4,E24,0),IF($B$36=4,E52,0),IF($B$64=4,E80,0))</x:f>
      </x:c>
      <x:c r="F116" s="107" t="n">
        <x:f>SUM(IF($B$8=4,F24,0),IF($B$36=4,F52,0),IF($B$64=4,F80,0))</x:f>
      </x:c>
      <x:c r="G116" s="107" t="n">
        <x:f>SUM(IF($B$8=4,G24,0),IF($B$36=4,G52,0),IF($B$64=4,G80,0))</x:f>
      </x:c>
      <x:c r="H116" s="107" t="n">
        <x:f>SUM(IF($B$8=4,H24,0),IF($B$36=4,H52,0),IF($B$64=4,H80,0))</x:f>
      </x:c>
      <x:c r="I116" s="107" t="n">
        <x:f>SUM(IF($B$8=4,I24,0),IF($B$36=4,I52,0),IF($B$64=4,I80,0))</x:f>
      </x:c>
      <x:c r="J116" s="107" t="n">
        <x:f>SUM(IF($B$8=4,J24,0),IF($B$36=4,J52,0),IF($B$64=4,J80,0))</x:f>
      </x:c>
      <x:c r="K116" s="107" t="n">
        <x:f>SUM(IF($B$8=4,K24,0),IF($B$36=4,K52,0),IF($B$64=4,K80,0))</x:f>
      </x:c>
      <x:c r="L116" s="107" t="n">
        <x:f>SUM(IF($B$8=4,L24,0),IF($B$36=4,L52,0),IF($B$64=4,L80,0))</x:f>
      </x:c>
      <x:c r="M116" s="107" t="n">
        <x:f>SUM(IF($B$8=4,M24,0),IF($B$36=4,M52,0),IF($B$64=4,M80,0))</x:f>
      </x:c>
      <x:c r="N116" s="107" t="n">
        <x:f>SUM(IF($B$8=4,N24,0),IF($B$36=4,N52,0),IF($B$64=4,N80,0))</x:f>
      </x:c>
      <x:c r="O116" s="107" t="n">
        <x:f>SUM(IF($B$8=4,O24,0),IF($B$36=4,O52,0),IF($B$64=4,O80,0))</x:f>
      </x:c>
      <x:c r="P116" s="107" t="n">
        <x:f>SUM(IF($B$8=4,P24,0),IF($B$36=4,P52,0),IF($B$64=4,P80,0))</x:f>
      </x:c>
      <x:c r="Q116" s="107" t="n">
        <x:f>SUM(IF($B$8=4,Q24,0),IF($B$36=4,Q52,0),IF($B$64=4,Q80,0))</x:f>
      </x:c>
      <x:c r="R116" s="107" t="n">
        <x:f>SUM(IF($B$8=4,R24,0),IF($B$36=4,R52,0),IF($B$64=4,R80,0))</x:f>
      </x:c>
      <x:c r="S116" s="107" t="n">
        <x:f>SUM(IF($B$8=4,S24,0),IF($B$36=4,S52,0),IF($B$64=4,S80,0))</x:f>
      </x:c>
      <x:c r="T116" s="107" t="n">
        <x:f>SUM(IF($B$8=4,T24,0),IF($B$36=4,T52,0),IF($B$64=4,T80,0))</x:f>
      </x:c>
      <x:c r="U116" s="107" t="n">
        <x:f>SUM(IF($B$8=4,U24,0),IF($B$36=4,U52,0),IF($B$64=4,U80,0))</x:f>
      </x:c>
      <x:c r="V116" s="107" t="n">
        <x:f>SUM(IF($B$8=4,V24,0),IF($B$36=4,V52,0),IF($B$64=4,V80,0))</x:f>
      </x:c>
      <x:c r="W116" s="107" t="n">
        <x:f>SUM(IF($B$8=4,W24,0),IF($B$36=4,W52,0),IF($B$64=4,W80,0))</x:f>
      </x:c>
      <x:c r="X116" s="107" t="n">
        <x:f>SUM(IF($B$8=4,X24,0),IF($B$36=4,X52,0),IF($B$64=4,X80,0))</x:f>
      </x:c>
      <x:c r="Y116" s="107" t="n">
        <x:f>SUM(IF($B$8=4,Y24,0),IF($B$36=4,Y52,0),IF($B$64=4,Y80,0))</x:f>
      </x:c>
      <x:c r="Z116" s="107" t="n">
        <x:f>SUM(IF($B$8=4,Z24,0),IF($B$36=4,Z52,0),IF($B$64=4,Z80,0))</x:f>
      </x:c>
      <x:c r="AA116" s="107" t="n">
        <x:f>SUM(IF($B$8=4,AA24,0),IF($B$36=4,AA52,0),IF($B$64=4,AA80,0))</x:f>
      </x:c>
      <x:c r="AB116" s="107" t="n">
        <x:f>SUM(IF($B$8=4,AB24,0),IF($B$36=4,AB52,0),IF($B$64=4,AB80,0))</x:f>
      </x:c>
      <x:c r="AC116" s="107" t="n">
        <x:f>SUM(IF($B$8=4,AC24,0),IF($B$36=4,AC52,0),IF($B$64=4,AC80,0))</x:f>
      </x:c>
      <x:c r="AD116" s="107" t="n">
        <x:f>SUM(IF($B$8=4,AD24,0),IF($B$36=4,AD52,0),IF($B$64=4,AD80,0))</x:f>
      </x:c>
      <x:c r="AE116" s="107" t="n">
        <x:f>SUM(IF($B$8=4,AE24,0),IF($B$36=4,AE52,0),IF($B$64=4,AE80,0))</x:f>
      </x:c>
      <x:c r="AF116" s="107" t="n">
        <x:f>SUM(IF($B$8=4,AF24,0),IF($B$36=4,AF52,0),IF($B$64=4,AF80,0))</x:f>
      </x:c>
      <x:c r="AG116" s="107" t="n">
        <x:f>SUM(IF($B$8=4,AG24,0),IF($B$36=4,AG52,0),IF($B$64=4,AG80,0))</x:f>
      </x:c>
      <x:c r="AH116" s="107" t="n">
        <x:f>SUM(IF($B$8=4,AH24,0),IF($B$36=4,AH52,0),IF($B$64=4,AH80,0))</x:f>
      </x:c>
      <x:c r="AI116" s="107" t="n">
        <x:f>SUM(IF($B$8=4,AI24,0),IF($B$36=4,AI52,0),IF($B$64=4,AI80,0))</x:f>
      </x:c>
      <x:c r="AJ116" s="107" t="n">
        <x:f>SUM(IF($B$8=4,AJ24,0),IF($B$36=4,AJ52,0),IF($B$64=4,AJ80,0))</x:f>
      </x:c>
      <x:c r="AK116" s="107" t="n">
        <x:f>SUM(IF($B$8=4,AK24,0),IF($B$36=4,AK52,0),IF($B$64=4,AK80,0))</x:f>
      </x:c>
      <x:c r="AL116" s="107" t="n">
        <x:f>SUM(IF($B$8=4,AL24,0),IF($B$36=4,AL52,0),IF($B$64=4,AL80,0))</x:f>
      </x:c>
      <x:c r="AM116" s="107" t="n">
        <x:f>SUM(IF($B$8=4,AM24,0),IF($B$36=4,AM52,0),IF($B$64=4,AM80,0))</x:f>
      </x:c>
      <x:c r="AN116" s="107" t="n">
        <x:f>SUM(IF($B$8=4,AN24,0),IF($B$36=4,AN52,0),IF($B$64=4,AN80,0))</x:f>
      </x:c>
      <x:c r="AO116" s="107" t="n">
        <x:f>SUM(IF($B$8=4,AO24,0),IF($B$36=4,AO52,0),IF($B$64=4,AO80,0))</x:f>
      </x:c>
      <x:c r="AP116" s="107" t="n">
        <x:f>SUM(IF($B$8=4,AP24,0),IF($B$36=4,AP52,0),IF($B$64=4,AP80,0))</x:f>
      </x:c>
      <x:c r="AQ116" s="107" t="n">
        <x:f>SUM(IF($B$8=4,AQ24,0),IF($B$36=4,AQ52,0),IF($B$64=4,AQ80,0))</x:f>
      </x:c>
      <x:c r="AR116" s="107" t="n">
        <x:f>SUM(IF($B$8=4,AR24,0),IF($B$36=4,AR52,0),IF($B$64=4,AR80,0))</x:f>
      </x:c>
      <x:c r="AS116" s="107" t="n">
        <x:f>SUM(IF($B$8=4,AS24,0),IF($B$36=4,AS52,0),IF($B$64=4,AS80,0))</x:f>
      </x:c>
      <x:c r="AT116" s="107" t="n">
        <x:f>SUM(IF($B$8=4,AT24,0),IF($B$36=4,AT52,0),IF($B$64=4,AT80,0))</x:f>
      </x:c>
      <x:c r="AU116" s="107" t="n">
        <x:f>SUM(IF($B$8=4,AU24,0),IF($B$36=4,AU52,0),IF($B$64=4,AU80,0))</x:f>
      </x:c>
      <x:c r="AV116" s="107" t="n">
        <x:f>SUM(IF($B$8=4,AV24,0),IF($B$36=4,AV52,0),IF($B$64=4,AV80,0))</x:f>
      </x:c>
      <x:c r="AW116" s="107" t="n">
        <x:f>SUM(IF($B$8=4,AW24,0),IF($B$36=4,AW52,0),IF($B$64=4,AW80,0))</x:f>
      </x:c>
      <x:c r="AX116" s="107" t="n">
        <x:f>SUM(IF($B$8=4,AX24,0),IF($B$36=4,AX52,0),IF($B$64=4,AX80,0))</x:f>
      </x:c>
      <x:c r="AY116" s="107" t="n">
        <x:f>SUM(IF($B$8=4,AY24,0),IF($B$36=4,AY52,0),IF($B$64=4,AY80,0))</x:f>
      </x:c>
      <x:c r="AZ116" s="107" t="n">
        <x:f>SUM(IF($B$8=4,AZ24,0),IF($B$36=4,AZ52,0),IF($B$64=4,AZ80,0))</x:f>
      </x:c>
      <x:c r="BA116" s="107" t="n">
        <x:f>SUM(IF($B$8=4,BA24,0),IF($B$36=4,BA52,0),IF($B$64=4,BA80,0))</x:f>
      </x:c>
      <x:c r="BB116" s="107" t="n">
        <x:f>SUM(IF($B$8=4,BB24,0),IF($B$36=4,BB52,0),IF($B$64=4,BB80,0))</x:f>
      </x:c>
      <x:c r="BC116" s="107" t="n">
        <x:f>SUM(IF($B$8=4,BC24,0),IF($B$36=4,BC52,0),IF($B$64=4,BC80,0))</x:f>
      </x:c>
      <x:c r="BD116" s="107" t="n">
        <x:f>SUM(IF($B$8=4,BD24,0),IF($B$36=4,BD52,0),IF($B$64=4,BD80,0))</x:f>
      </x:c>
      <x:c r="BE116" s="107" t="n">
        <x:f>SUM(IF($B$8=4,BE24,0),IF($B$36=4,BE52,0),IF($B$64=4,BE80,0))</x:f>
      </x:c>
      <x:c r="BF116" s="107" t="n">
        <x:f>SUM(IF($B$8=4,BF24,0),IF($B$36=4,BF52,0),IF($B$64=4,BF80,0))</x:f>
      </x:c>
      <x:c r="BG116" s="107" t="n">
        <x:f>SUM(IF($B$8=4,BG24,0),IF($B$36=4,BG52,0),IF($B$64=4,BG80,0))</x:f>
      </x:c>
      <x:c r="BH116" s="107" t="n">
        <x:f>SUM(IF($B$8=4,BH24,0),IF($B$36=4,BH52,0),IF($B$64=4,BH80,0))</x:f>
      </x:c>
      <x:c r="BI116" s="107" t="n">
        <x:f>SUM(IF($B$8=4,BI24,0),IF($B$36=4,BI52,0),IF($B$64=4,BI80,0))</x:f>
      </x:c>
      <x:c r="BJ116" s="107" t="n">
        <x:f>SUM(IF($B$8=4,BJ24,0),IF($B$36=4,BJ52,0),IF($B$64=4,BJ80,0))</x:f>
      </x:c>
      <x:c r="BK116" s="107" t="n">
        <x:f>SUM(IF($B$8=4,BK24,0),IF($B$36=4,BK52,0),IF($B$64=4,BK80,0))</x:f>
      </x:c>
      <x:c r="BL116" s="107" t="n">
        <x:f>SUM(IF($B$8=4,BL24,0),IF($B$36=4,BL52,0),IF($B$64=4,BL80,0))</x:f>
      </x:c>
      <x:c r="BM116" s="107" t="n">
        <x:f>SUM(IF($B$8=4,BM24,0),IF($B$36=4,BM52,0),IF($B$64=4,BM80,0))</x:f>
      </x:c>
      <x:c r="BN116" s="107" t="n">
        <x:f>SUM(IF($B$8=4,BN24,0),IF($B$36=4,BN52,0),IF($B$64=4,BN80,0))</x:f>
      </x:c>
      <x:c r="BO116" s="107" t="n">
        <x:f>SUM(IF($B$8=4,BO24,0),IF($B$36=4,BO52,0),IF($B$64=4,BO80,0))</x:f>
      </x:c>
      <x:c r="BP116" s="107" t="n">
        <x:f>SUM(IF($B$8=4,BP24,0),IF($B$36=4,BP52,0),IF($B$64=4,BP80,0))</x:f>
      </x:c>
      <x:c r="BQ116" s="107" t="n">
        <x:f>SUM(IF($B$8=4,BQ24,0),IF($B$36=4,BQ52,0),IF($B$64=4,BQ80,0))</x:f>
      </x:c>
      <x:c r="BR116" s="107" t="n">
        <x:f>SUM(IF($B$8=4,BR24,0),IF($B$36=4,BR52,0),IF($B$64=4,BR80,0))</x:f>
      </x:c>
      <x:c r="BS116" s="107" t="n">
        <x:f>SUM(IF($B$8=4,BS24,0),IF($B$36=4,BS52,0),IF($B$64=4,BS80,0))</x:f>
      </x:c>
      <x:c r="BT116" s="107" t="n">
        <x:f>SUM(IF($B$8=4,BT24,0),IF($B$36=4,BT52,0),IF($B$64=4,BT80,0))</x:f>
      </x:c>
      <x:c r="BU116" s="107" t="n">
        <x:f>SUM(IF($B$8=4,BU24,0),IF($B$36=4,BU52,0),IF($B$64=4,BU80,0))</x:f>
      </x:c>
      <x:c r="BV116" s="107" t="n">
        <x:f>SUM(IF($B$8=4,BV24,0),IF($B$36=4,BV52,0),IF($B$64=4,BV80,0))</x:f>
      </x:c>
      <x:c r="BW116" s="107" t="n">
        <x:f>SUM(IF($B$8=4,BW24,0),IF($B$36=4,BW52,0),IF($B$64=4,BW80,0))</x:f>
      </x:c>
      <x:c r="BX116" s="107" t="n">
        <x:f>SUM(IF($B$8=4,BX24,0),IF($B$36=4,BX52,0),IF($B$64=4,BX80,0))</x:f>
      </x:c>
      <x:c r="BY116" s="107" t="n">
        <x:f>SUM(IF($B$8=4,BY24,0),IF($B$36=4,BY52,0),IF($B$64=4,BY80,0))</x:f>
      </x:c>
      <x:c r="BZ116" s="107" t="n">
        <x:f>SUM(IF($B$8=4,BZ24,0),IF($B$36=4,BZ52,0),IF($B$64=4,BZ80,0))</x:f>
      </x:c>
      <x:c r="CA116" s="107" t="n">
        <x:f>SUM(IF($B$8=4,CA24,0),IF($B$36=4,CA52,0),IF($B$64=4,CA80,0))</x:f>
      </x:c>
      <x:c r="CB116" s="107" t="n">
        <x:f>SUM(IF($B$8=4,CB24,0),IF($B$36=4,CB52,0),IF($B$64=4,CB80,0))</x:f>
      </x:c>
      <x:c r="CC116" s="107" t="n">
        <x:f>SUM(IF($B$8=4,CC24,0),IF($B$36=4,CC52,0),IF($B$64=4,CC80,0))</x:f>
      </x:c>
      <x:c r="CD116" s="107" t="n">
        <x:f>SUM(IF($B$8=4,CD24,0),IF($B$36=4,CD52,0),IF($B$64=4,CD80,0))</x:f>
      </x:c>
      <x:c r="CE116" s="107" t="n">
        <x:f>SUM(IF($B$8=4,CE24,0),IF($B$36=4,CE52,0),IF($B$64=4,CE80,0))</x:f>
      </x:c>
      <x:c r="CF116" s="107" t="n">
        <x:f>SUM(IF($B$8=4,CF24,0),IF($B$36=4,CF52,0),IF($B$64=4,CF80,0))</x:f>
      </x:c>
      <x:c r="CG116" s="107" t="n">
        <x:f>SUM(IF($B$8=4,CG24,0),IF($B$36=4,CG52,0),IF($B$64=4,CG80,0))</x:f>
      </x:c>
      <x:c r="CH116" s="107" t="n">
        <x:f>SUM(IF($B$8=4,CH24,0),IF($B$36=4,CH52,0),IF($B$64=4,CH80,0))</x:f>
      </x:c>
      <x:c r="CI116" s="107" t="n">
        <x:f>SUM(IF($B$8=4,CI24,0),IF($B$36=4,CI52,0),IF($B$64=4,CI80,0))</x:f>
      </x:c>
      <x:c r="CJ116" s="107" t="n">
        <x:f>SUM(IF($B$8=4,CJ24,0),IF($B$36=4,CJ52,0),IF($B$64=4,CJ80,0))</x:f>
      </x:c>
      <x:c r="CK116" s="107" t="n">
        <x:f>SUM(IF($B$8=4,CK24,0),IF($B$36=4,CK52,0),IF($B$64=4,CK80,0))</x:f>
      </x:c>
      <x:c r="CL116" s="107" t="n">
        <x:f>SUM(IF($B$8=4,CL24,0),IF($B$36=4,CL52,0),IF($B$64=4,CL80,0))</x:f>
      </x:c>
      <x:c r="CM116" s="107" t="n">
        <x:f>SUM(IF($B$8=4,CM24,0),IF($B$36=4,CM52,0),IF($B$64=4,CM80,0))</x:f>
      </x:c>
      <x:c r="CN116" s="107" t="n">
        <x:f>SUM(IF($B$8=4,CN24,0),IF($B$36=4,CN52,0),IF($B$64=4,CN80,0))</x:f>
      </x:c>
      <x:c r="CO116" s="107" t="n">
        <x:f>SUM(IF($B$8=4,CO24,0),IF($B$36=4,CO52,0),IF($B$64=4,CO80,0))</x:f>
      </x:c>
      <x:c r="CP116" s="107" t="n">
        <x:f>SUM(IF($B$8=4,CP24,0),IF($B$36=4,CP52,0),IF($B$64=4,CP80,0))</x:f>
      </x:c>
      <x:c r="CQ116" s="107" t="n">
        <x:f>SUM(IF($B$8=4,CQ24,0),IF($B$36=4,CQ52,0),IF($B$64=4,CQ80,0))</x:f>
      </x:c>
      <x:c r="CR116" s="107" t="n">
        <x:f>SUM(IF($B$8=4,CR24,0),IF($B$36=4,CR52,0),IF($B$64=4,CR80,0))</x:f>
      </x:c>
      <x:c r="CS116" s="107" t="n">
        <x:f>SUM(IF($B$8=4,CS24,0),IF($B$36=4,CS52,0),IF($B$64=4,CS80,0))</x:f>
      </x:c>
      <x:c r="CT116" s="107" t="n">
        <x:f>SUM(IF($B$8=4,CT24,0),IF($B$36=4,CT52,0),IF($B$64=4,CT80,0))</x:f>
      </x:c>
      <x:c r="CU116" s="107" t="n">
        <x:f>SUM(IF($B$8=4,CU24,0),IF($B$36=4,CU52,0),IF($B$64=4,CU80,0))</x:f>
      </x:c>
      <x:c r="CV116" s="107" t="n">
        <x:f>SUM(IF($B$8=4,CV24,0),IF($B$36=4,CV52,0),IF($B$64=4,CV80,0))</x:f>
      </x:c>
      <x:c r="CW116" s="107" t="n">
        <x:f>SUM(IF($B$8=4,CW24,0),IF($B$36=4,CW52,0),IF($B$64=4,CW80,0))</x:f>
      </x:c>
      <x:c r="CX116" s="107" t="n">
        <x:f>SUM(IF($B$8=4,CX24,0),IF($B$36=4,CX52,0),IF($B$64=4,CX80,0))</x:f>
      </x:c>
      <x:c r="CY116" s="107" t="n">
        <x:f>SUM(IF($B$8=4,CY24,0),IF($B$36=4,CY52,0),IF($B$64=4,CY80,0))</x:f>
      </x:c>
      <x:c r="CZ116" s="107" t="n">
        <x:f>SUM(IF($B$8=4,CZ24,0),IF($B$36=4,CZ52,0),IF($B$64=4,CZ80,0))</x:f>
      </x:c>
      <x:c r="DA116" s="107" t="n">
        <x:f>SUM(IF($B$8=4,DA24,0),IF($B$36=4,DA52,0),IF($B$64=4,DA80,0))</x:f>
      </x:c>
      <x:c r="DB116" s="107" t="n">
        <x:f>SUM(IF($B$8=4,DB24,0),IF($B$36=4,DB52,0),IF($B$64=4,DB80,0))</x:f>
      </x:c>
      <x:c r="DC116" s="107" t="n">
        <x:f>SUM(IF($B$8=4,DC24,0),IF($B$36=4,DC52,0),IF($B$64=4,DC80,0))</x:f>
      </x:c>
      <x:c r="DD116" s="107" t="n">
        <x:f>SUM(IF($B$8=4,DD24,0),IF($B$36=4,DD52,0),IF($B$64=4,DD80,0))</x:f>
      </x:c>
      <x:c r="DE116" s="107" t="n">
        <x:f>SUM(IF($B$8=4,DE24,0),IF($B$36=4,DE52,0),IF($B$64=4,DE80,0))</x:f>
      </x:c>
      <x:c r="DF116" s="107" t="n">
        <x:f>SUM(IF($B$8=4,DF24,0),IF($B$36=4,DF52,0),IF($B$64=4,DF80,0))</x:f>
      </x:c>
      <x:c r="DG116" s="107" t="n">
        <x:f>SUM(IF($B$8=4,DG24,0),IF($B$36=4,DG52,0),IF($B$64=4,DG80,0))</x:f>
      </x:c>
      <x:c r="DH116" s="107" t="n">
        <x:f>SUM(IF($B$8=4,DH24,0),IF($B$36=4,DH52,0),IF($B$64=4,DH80,0))</x:f>
      </x:c>
      <x:c r="DI116" s="107" t="n">
        <x:f>SUM(IF($B$8=4,DI24,0),IF($B$36=4,DI52,0),IF($B$64=4,DI80,0))</x:f>
      </x:c>
      <x:c r="DJ116" s="107" t="n">
        <x:f>SUM(IF($B$8=4,DJ24,0),IF($B$36=4,DJ52,0),IF($B$64=4,DJ80,0))</x:f>
      </x:c>
      <x:c r="DK116" s="107" t="n">
        <x:f>SUM(IF($B$8=4,DK24,0),IF($B$36=4,DK52,0),IF($B$64=4,DK80,0))</x:f>
      </x:c>
      <x:c r="DL116" s="107" t="n">
        <x:f>SUM(IF($B$8=4,DL24,0),IF($B$36=4,DL52,0),IF($B$64=4,DL80,0))</x:f>
      </x:c>
      <x:c r="DM116" s="107" t="n">
        <x:f>SUM(IF($B$8=4,DM24,0),IF($B$36=4,DM52,0),IF($B$64=4,DM80,0))</x:f>
      </x:c>
      <x:c r="DN116" s="107" t="n">
        <x:f>SUM(IF($B$8=4,DN24,0),IF($B$36=4,DN52,0),IF($B$64=4,DN80,0))</x:f>
      </x:c>
      <x:c r="DO116" s="107" t="n">
        <x:f>SUM(IF($B$8=4,DO24,0),IF($B$36=4,DO52,0),IF($B$64=4,DO80,0))</x:f>
      </x:c>
      <x:c r="DP116" s="107" t="n">
        <x:f>SUM(IF($B$8=4,DP24,0),IF($B$36=4,DP52,0),IF($B$64=4,DP80,0))</x:f>
      </x:c>
      <x:c r="DQ116" s="107" t="n">
        <x:f>SUM(IF($B$8=4,DQ24,0),IF($B$36=4,DQ52,0),IF($B$64=4,DQ80,0))</x:f>
      </x:c>
      <x:c r="DR116" s="107" t="n">
        <x:f>SUM(IF($B$8=4,DR24,0),IF($B$36=4,DR52,0),IF($B$64=4,DR80,0))</x:f>
      </x:c>
      <x:c r="DS116" s="107" t="n">
        <x:f>SUM(IF($B$8=4,DS24,0),IF($B$36=4,DS52,0),IF($B$64=4,DS80,0))</x:f>
      </x:c>
      <x:c r="DT116" s="107" t="n">
        <x:f>SUM(IF($B$8=4,DT24,0),IF($B$36=4,DT52,0),IF($B$64=4,DT80,0))</x:f>
      </x:c>
      <x:c r="DU116" s="107" t="n">
        <x:f>SUM(IF($B$8=4,DU24,0),IF($B$36=4,DU52,0),IF($B$64=4,DU80,0))</x:f>
      </x:c>
      <x:c r="DV116" s="107" t="n">
        <x:f>SUM(IF($B$8=4,DV24,0),IF($B$36=4,DV52,0),IF($B$64=4,DV80,0))</x:f>
      </x:c>
      <x:c r="DW116" s="107" t="n">
        <x:f>SUM(IF($B$8=4,DW24,0),IF($B$36=4,DW52,0),IF($B$64=4,DW80,0))</x:f>
      </x:c>
      <x:c r="DX116" s="107" t="n">
        <x:f>SUM(IF($B$8=4,DX24,0),IF($B$36=4,DX52,0),IF($B$64=4,DX80,0))</x:f>
      </x:c>
      <x:c r="DY116" s="107" t="n">
        <x:f>SUM(IF($B$8=4,DY24,0),IF($B$36=4,DY52,0),IF($B$64=4,DY80,0))</x:f>
      </x:c>
      <x:c r="DZ116" s="107" t="n">
        <x:f>SUM(IF($B$8=4,DZ24,0),IF($B$36=4,DZ52,0),IF($B$64=4,DZ80,0))</x:f>
      </x:c>
      <x:c r="EA116" s="107" t="n">
        <x:f>SUM(IF($B$8=4,EA24,0),IF($B$36=4,EA52,0),IF($B$64=4,EA80,0))</x:f>
      </x:c>
      <x:c r="EB116" s="107" t="n">
        <x:f>SUM(IF($B$8=4,EB24,0),IF($B$36=4,EB52,0),IF($B$64=4,EB80,0))</x:f>
      </x:c>
      <x:c r="EC116" s="107" t="n">
        <x:f>SUM(IF($B$8=4,EC24,0),IF($B$36=4,EC52,0),IF($B$64=4,EC80,0))</x:f>
      </x:c>
      <x:c r="ED116" s="107" t="n">
        <x:f>SUM(IF($B$8=4,ED24,0),IF($B$36=4,ED52,0),IF($B$64=4,ED80,0))</x:f>
      </x:c>
      <x:c r="EE116" s="107" t="n">
        <x:f>SUM(IF($B$8=4,EE24,0),IF($B$36=4,EE52,0),IF($B$64=4,EE80,0))</x:f>
      </x:c>
      <x:c r="EF116" s="107" t="n">
        <x:f>SUM(IF($B$8=4,EF24,0),IF($B$36=4,EF52,0),IF($B$64=4,EF80,0))</x:f>
      </x:c>
      <x:c r="EG116" s="107" t="n">
        <x:f>SUM(IF($B$8=4,EG24,0),IF($B$36=4,EG52,0),IF($B$64=4,EG80,0))</x:f>
      </x:c>
      <x:c r="EH116" s="107" t="n">
        <x:f>SUM(IF($B$8=4,EH24,0),IF($B$36=4,EH52,0),IF($B$64=4,EH80,0))</x:f>
      </x:c>
      <x:c r="EI116" s="107" t="n">
        <x:f>SUM(IF($B$8=4,EI24,0),IF($B$36=4,EI52,0),IF($B$64=4,EI80,0))</x:f>
      </x:c>
      <x:c r="EJ116" s="107" t="n">
        <x:f>SUM(IF($B$8=4,EJ24,0),IF($B$36=4,EJ52,0),IF($B$64=4,EJ80,0))</x:f>
      </x:c>
      <x:c r="EK116" s="107" t="n">
        <x:f>SUM(IF($B$8=4,EK24,0),IF($B$36=4,EK52,0),IF($B$64=4,EK80,0))</x:f>
      </x:c>
      <x:c r="EL116" s="107" t="n">
        <x:f>SUM(IF($B$8=4,EL24,0),IF($B$36=4,EL52,0),IF($B$64=4,EL80,0))</x:f>
      </x:c>
      <x:c r="EM116" s="107" t="n">
        <x:f>SUM(IF($B$8=4,EM24,0),IF($B$36=4,EM52,0),IF($B$64=4,EM80,0))</x:f>
      </x:c>
      <x:c r="EN116" s="107" t="n">
        <x:f>SUM(IF($B$8=4,EN24,0),IF($B$36=4,EN52,0),IF($B$64=4,EN80,0))</x:f>
      </x:c>
      <x:c r="EO116" s="107" t="n">
        <x:f>SUM(IF($B$8=4,EO24,0),IF($B$36=4,EO52,0),IF($B$64=4,EO80,0))</x:f>
      </x:c>
      <x:c r="EP116" s="107" t="n">
        <x:f>SUM(IF($B$8=4,EP24,0),IF($B$36=4,EP52,0),IF($B$64=4,EP80,0))</x:f>
      </x:c>
      <x:c r="EQ116" s="107" t="n">
        <x:f>SUM(IF($B$8=4,EQ24,0),IF($B$36=4,EQ52,0),IF($B$64=4,EQ80,0))</x:f>
      </x:c>
      <x:c r="ER116" s="107" t="n">
        <x:f>SUM(IF($B$8=4,ER24,0),IF($B$36=4,ER52,0),IF($B$64=4,ER80,0))</x:f>
      </x:c>
      <x:c r="ES116" s="107" t="n">
        <x:f>SUM(IF($B$8=4,ES24,0),IF($B$36=4,ES52,0),IF($B$64=4,ES80,0))</x:f>
      </x:c>
      <x:c r="ET116" s="107" t="n">
        <x:f>SUM(IF($B$8=4,ET24,0),IF($B$36=4,ET52,0),IF($B$64=4,ET80,0))</x:f>
      </x:c>
      <x:c r="EU116" s="107" t="n">
        <x:f>SUM(IF($B$8=4,EU24,0),IF($B$36=4,EU52,0),IF($B$64=4,EU80,0))</x:f>
      </x:c>
      <x:c r="EV116" s="107" t="n">
        <x:f>SUM(IF($B$8=4,EV24,0),IF($B$36=4,EV52,0),IF($B$64=4,EV80,0))</x:f>
      </x:c>
      <x:c r="EW116" s="107" t="n">
        <x:f>SUM(IF($B$8=4,EW24,0),IF($B$36=4,EW52,0),IF($B$64=4,EW80,0))</x:f>
      </x:c>
      <x:c r="EX116" s="107" t="n">
        <x:f>SUM(IF($B$8=4,EX24,0),IF($B$36=4,EX52,0),IF($B$64=4,EX80,0))</x:f>
      </x:c>
      <x:c r="EY116" s="107" t="n">
        <x:f>SUM(IF($B$8=4,EY24,0),IF($B$36=4,EY52,0),IF($B$64=4,EY80,0))</x:f>
      </x:c>
      <x:c r="EZ116" s="107" t="n">
        <x:f>SUM(IF($B$8=4,EZ24,0),IF($B$36=4,EZ52,0),IF($B$64=4,EZ80,0))</x:f>
      </x:c>
      <x:c r="FA116" s="107" t="n">
        <x:f>SUM(IF($B$8=4,FA24,0),IF($B$36=4,FA52,0),IF($B$64=4,FA80,0))</x:f>
      </x:c>
      <x:c r="FB116" s="107" t="n">
        <x:f>SUM(IF($B$8=4,FB24,0),IF($B$36=4,FB52,0),IF($B$64=4,FB80,0))</x:f>
      </x:c>
      <x:c r="FC116" s="107" t="n">
        <x:f>SUM(IF($B$8=4,FC24,0),IF($B$36=4,FC52,0),IF($B$64=4,FC80,0))</x:f>
      </x:c>
      <x:c r="FD116" s="107" t="n">
        <x:f>SUM(IF($B$8=4,FD24,0),IF($B$36=4,FD52,0),IF($B$64=4,FD80,0))</x:f>
      </x:c>
      <x:c r="FE116" s="107" t="n">
        <x:f>SUM(IF($B$8=4,FE24,0),IF($B$36=4,FE52,0),IF($B$64=4,FE80,0))</x:f>
      </x:c>
      <x:c r="FF116" s="107" t="n">
        <x:f>SUM(IF($B$8=4,FF24,0),IF($B$36=4,FF52,0),IF($B$64=4,FF80,0))</x:f>
      </x:c>
      <x:c r="FG116" s="107" t="n">
        <x:f>SUM(IF($B$8=4,FG24,0),IF($B$36=4,FG52,0),IF($B$64=4,FG80,0))</x:f>
      </x:c>
      <x:c r="FH116" s="107" t="n">
        <x:f>SUM(IF($B$8=4,FH24,0),IF($B$36=4,FH52,0),IF($B$64=4,FH80,0))</x:f>
      </x:c>
      <x:c r="FI116" s="107" t="n">
        <x:f>SUM(IF($B$8=4,FI24,0),IF($B$36=4,FI52,0),IF($B$64=4,FI80,0))</x:f>
      </x:c>
      <x:c r="FJ116" s="107" t="n">
        <x:f>SUM(IF($B$8=4,FJ24,0),IF($B$36=4,FJ52,0),IF($B$64=4,FJ80,0))</x:f>
      </x:c>
      <x:c r="FK116" s="107" t="n">
        <x:f>SUM(IF($B$8=4,FK24,0),IF($B$36=4,FK52,0),IF($B$64=4,FK80,0))</x:f>
      </x:c>
      <x:c r="FL116" s="107" t="n">
        <x:f>SUM(IF($B$8=4,FL24,0),IF($B$36=4,FL52,0),IF($B$64=4,FL80,0))</x:f>
      </x:c>
      <x:c r="FM116" s="107" t="n">
        <x:f>SUM(IF($B$8=4,FM24,0),IF($B$36=4,FM52,0),IF($B$64=4,FM80,0))</x:f>
      </x:c>
      <x:c r="FN116" s="107" t="n">
        <x:f>SUM(IF($B$8=4,FN24,0),IF($B$36=4,FN52,0),IF($B$64=4,FN80,0))</x:f>
      </x:c>
      <x:c r="FO116" s="107" t="n">
        <x:f>SUM(IF($B$8=4,FO24,0),IF($B$36=4,FO52,0),IF($B$64=4,FO80,0))</x:f>
      </x:c>
      <x:c r="FP116" s="107" t="n">
        <x:f>SUM(IF($B$8=4,FP24,0),IF($B$36=4,FP52,0),IF($B$64=4,FP80,0))</x:f>
      </x:c>
      <x:c r="FQ116" s="107" t="n">
        <x:f>SUM(IF($B$8=4,FQ24,0),IF($B$36=4,FQ52,0),IF($B$64=4,FQ80,0))</x:f>
      </x:c>
      <x:c r="FR116" s="107" t="n">
        <x:f>SUM(IF($B$8=4,FR24,0),IF($B$36=4,FR52,0),IF($B$64=4,FR80,0))</x:f>
      </x:c>
      <x:c r="FS116" s="107" t="n">
        <x:f>SUM(IF($B$8=4,FS24,0),IF($B$36=4,FS52,0),IF($B$64=4,FS80,0))</x:f>
      </x:c>
      <x:c r="FT116" s="107" t="n">
        <x:f>SUM(IF($B$8=4,FT24,0),IF($B$36=4,FT52,0),IF($B$64=4,FT80,0))</x:f>
      </x:c>
      <x:c r="FU116" s="107" t="n">
        <x:f>SUM(IF($B$8=4,FU24,0),IF($B$36=4,FU52,0),IF($B$64=4,FU80,0))</x:f>
      </x:c>
      <x:c r="FV116" s="107" t="n">
        <x:f>SUM(IF($B$8=4,FV24,0),IF($B$36=4,FV52,0),IF($B$64=4,FV80,0))</x:f>
      </x:c>
      <x:c r="FW116" s="107" t="n">
        <x:f>SUM(IF($B$8=4,FW24,0),IF($B$36=4,FW52,0),IF($B$64=4,FW80,0))</x:f>
      </x:c>
      <x:c r="FX116" s="107" t="n">
        <x:f>SUM(IF($B$8=4,FX24,0),IF($B$36=4,FX52,0),IF($B$64=4,FX80,0))</x:f>
      </x:c>
      <x:c r="FY116" s="107" t="n">
        <x:f>SUM(IF($B$8=4,FY24,0),IF($B$36=4,FY52,0),IF($B$64=4,FY80,0))</x:f>
      </x:c>
      <x:c r="FZ116" s="107" t="n">
        <x:f>SUM(IF($B$8=4,FZ24,0),IF($B$36=4,FZ52,0),IF($B$64=4,FZ80,0))</x:f>
      </x:c>
      <x:c r="GA116" s="107" t="n">
        <x:f>SUM(IF($B$8=4,GA24,0),IF($B$36=4,GA52,0),IF($B$64=4,GA80,0))</x:f>
      </x:c>
    </x:row>
    <x:row r="117">
      <x:c r="A117" t="str">
        <x:v>Очередь 4 — Поступления объектов на эскроу</x:v>
      </x:c>
      <x:c r="B117" s="107" t="n">
        <x:f>SUM(D117:GA117)</x:f>
      </x:c>
      <x:c r="C117" t="str">
        <x:v>млн ₽</x:v>
      </x:c>
      <x:c r="D117" s="107" t="n">
        <x:f>SUM(IF($B$8=4,D25,0),IF($B$36=4,D53,0),IF($B$64=4,D81,0))</x:f>
      </x:c>
      <x:c r="E117" s="107" t="n">
        <x:f>SUM(IF($B$8=4,E25,0),IF($B$36=4,E53,0),IF($B$64=4,E81,0))</x:f>
      </x:c>
      <x:c r="F117" s="107" t="n">
        <x:f>SUM(IF($B$8=4,F25,0),IF($B$36=4,F53,0),IF($B$64=4,F81,0))</x:f>
      </x:c>
      <x:c r="G117" s="107" t="n">
        <x:f>SUM(IF($B$8=4,G25,0),IF($B$36=4,G53,0),IF($B$64=4,G81,0))</x:f>
      </x:c>
      <x:c r="H117" s="107" t="n">
        <x:f>SUM(IF($B$8=4,H25,0),IF($B$36=4,H53,0),IF($B$64=4,H81,0))</x:f>
      </x:c>
      <x:c r="I117" s="107" t="n">
        <x:f>SUM(IF($B$8=4,I25,0),IF($B$36=4,I53,0),IF($B$64=4,I81,0))</x:f>
      </x:c>
      <x:c r="J117" s="107" t="n">
        <x:f>SUM(IF($B$8=4,J25,0),IF($B$36=4,J53,0),IF($B$64=4,J81,0))</x:f>
      </x:c>
      <x:c r="K117" s="107" t="n">
        <x:f>SUM(IF($B$8=4,K25,0),IF($B$36=4,K53,0),IF($B$64=4,K81,0))</x:f>
      </x:c>
      <x:c r="L117" s="107" t="n">
        <x:f>SUM(IF($B$8=4,L25,0),IF($B$36=4,L53,0),IF($B$64=4,L81,0))</x:f>
      </x:c>
      <x:c r="M117" s="107" t="n">
        <x:f>SUM(IF($B$8=4,M25,0),IF($B$36=4,M53,0),IF($B$64=4,M81,0))</x:f>
      </x:c>
      <x:c r="N117" s="107" t="n">
        <x:f>SUM(IF($B$8=4,N25,0),IF($B$36=4,N53,0),IF($B$64=4,N81,0))</x:f>
      </x:c>
      <x:c r="O117" s="107" t="n">
        <x:f>SUM(IF($B$8=4,O25,0),IF($B$36=4,O53,0),IF($B$64=4,O81,0))</x:f>
      </x:c>
      <x:c r="P117" s="107" t="n">
        <x:f>SUM(IF($B$8=4,P25,0),IF($B$36=4,P53,0),IF($B$64=4,P81,0))</x:f>
      </x:c>
      <x:c r="Q117" s="107" t="n">
        <x:f>SUM(IF($B$8=4,Q25,0),IF($B$36=4,Q53,0),IF($B$64=4,Q81,0))</x:f>
      </x:c>
      <x:c r="R117" s="107" t="n">
        <x:f>SUM(IF($B$8=4,R25,0),IF($B$36=4,R53,0),IF($B$64=4,R81,0))</x:f>
      </x:c>
      <x:c r="S117" s="107" t="n">
        <x:f>SUM(IF($B$8=4,S25,0),IF($B$36=4,S53,0),IF($B$64=4,S81,0))</x:f>
      </x:c>
      <x:c r="T117" s="107" t="n">
        <x:f>SUM(IF($B$8=4,T25,0),IF($B$36=4,T53,0),IF($B$64=4,T81,0))</x:f>
      </x:c>
      <x:c r="U117" s="107" t="n">
        <x:f>SUM(IF($B$8=4,U25,0),IF($B$36=4,U53,0),IF($B$64=4,U81,0))</x:f>
      </x:c>
      <x:c r="V117" s="107" t="n">
        <x:f>SUM(IF($B$8=4,V25,0),IF($B$36=4,V53,0),IF($B$64=4,V81,0))</x:f>
      </x:c>
      <x:c r="W117" s="107" t="n">
        <x:f>SUM(IF($B$8=4,W25,0),IF($B$36=4,W53,0),IF($B$64=4,W81,0))</x:f>
      </x:c>
      <x:c r="X117" s="107" t="n">
        <x:f>SUM(IF($B$8=4,X25,0),IF($B$36=4,X53,0),IF($B$64=4,X81,0))</x:f>
      </x:c>
      <x:c r="Y117" s="107" t="n">
        <x:f>SUM(IF($B$8=4,Y25,0),IF($B$36=4,Y53,0),IF($B$64=4,Y81,0))</x:f>
      </x:c>
      <x:c r="Z117" s="107" t="n">
        <x:f>SUM(IF($B$8=4,Z25,0),IF($B$36=4,Z53,0),IF($B$64=4,Z81,0))</x:f>
      </x:c>
      <x:c r="AA117" s="107" t="n">
        <x:f>SUM(IF($B$8=4,AA25,0),IF($B$36=4,AA53,0),IF($B$64=4,AA81,0))</x:f>
      </x:c>
      <x:c r="AB117" s="107" t="n">
        <x:f>SUM(IF($B$8=4,AB25,0),IF($B$36=4,AB53,0),IF($B$64=4,AB81,0))</x:f>
      </x:c>
      <x:c r="AC117" s="107" t="n">
        <x:f>SUM(IF($B$8=4,AC25,0),IF($B$36=4,AC53,0),IF($B$64=4,AC81,0))</x:f>
      </x:c>
      <x:c r="AD117" s="107" t="n">
        <x:f>SUM(IF($B$8=4,AD25,0),IF($B$36=4,AD53,0),IF($B$64=4,AD81,0))</x:f>
      </x:c>
      <x:c r="AE117" s="107" t="n">
        <x:f>SUM(IF($B$8=4,AE25,0),IF($B$36=4,AE53,0),IF($B$64=4,AE81,0))</x:f>
      </x:c>
      <x:c r="AF117" s="107" t="n">
        <x:f>SUM(IF($B$8=4,AF25,0),IF($B$36=4,AF53,0),IF($B$64=4,AF81,0))</x:f>
      </x:c>
      <x:c r="AG117" s="107" t="n">
        <x:f>SUM(IF($B$8=4,AG25,0),IF($B$36=4,AG53,0),IF($B$64=4,AG81,0))</x:f>
      </x:c>
      <x:c r="AH117" s="107" t="n">
        <x:f>SUM(IF($B$8=4,AH25,0),IF($B$36=4,AH53,0),IF($B$64=4,AH81,0))</x:f>
      </x:c>
      <x:c r="AI117" s="107" t="n">
        <x:f>SUM(IF($B$8=4,AI25,0),IF($B$36=4,AI53,0),IF($B$64=4,AI81,0))</x:f>
      </x:c>
      <x:c r="AJ117" s="107" t="n">
        <x:f>SUM(IF($B$8=4,AJ25,0),IF($B$36=4,AJ53,0),IF($B$64=4,AJ81,0))</x:f>
      </x:c>
      <x:c r="AK117" s="107" t="n">
        <x:f>SUM(IF($B$8=4,AK25,0),IF($B$36=4,AK53,0),IF($B$64=4,AK81,0))</x:f>
      </x:c>
      <x:c r="AL117" s="107" t="n">
        <x:f>SUM(IF($B$8=4,AL25,0),IF($B$36=4,AL53,0),IF($B$64=4,AL81,0))</x:f>
      </x:c>
      <x:c r="AM117" s="107" t="n">
        <x:f>SUM(IF($B$8=4,AM25,0),IF($B$36=4,AM53,0),IF($B$64=4,AM81,0))</x:f>
      </x:c>
      <x:c r="AN117" s="107" t="n">
        <x:f>SUM(IF($B$8=4,AN25,0),IF($B$36=4,AN53,0),IF($B$64=4,AN81,0))</x:f>
      </x:c>
      <x:c r="AO117" s="107" t="n">
        <x:f>SUM(IF($B$8=4,AO25,0),IF($B$36=4,AO53,0),IF($B$64=4,AO81,0))</x:f>
      </x:c>
      <x:c r="AP117" s="107" t="n">
        <x:f>SUM(IF($B$8=4,AP25,0),IF($B$36=4,AP53,0),IF($B$64=4,AP81,0))</x:f>
      </x:c>
      <x:c r="AQ117" s="107" t="n">
        <x:f>SUM(IF($B$8=4,AQ25,0),IF($B$36=4,AQ53,0),IF($B$64=4,AQ81,0))</x:f>
      </x:c>
      <x:c r="AR117" s="107" t="n">
        <x:f>SUM(IF($B$8=4,AR25,0),IF($B$36=4,AR53,0),IF($B$64=4,AR81,0))</x:f>
      </x:c>
      <x:c r="AS117" s="107" t="n">
        <x:f>SUM(IF($B$8=4,AS25,0),IF($B$36=4,AS53,0),IF($B$64=4,AS81,0))</x:f>
      </x:c>
      <x:c r="AT117" s="107" t="n">
        <x:f>SUM(IF($B$8=4,AT25,0),IF($B$36=4,AT53,0),IF($B$64=4,AT81,0))</x:f>
      </x:c>
      <x:c r="AU117" s="107" t="n">
        <x:f>SUM(IF($B$8=4,AU25,0),IF($B$36=4,AU53,0),IF($B$64=4,AU81,0))</x:f>
      </x:c>
      <x:c r="AV117" s="107" t="n">
        <x:f>SUM(IF($B$8=4,AV25,0),IF($B$36=4,AV53,0),IF($B$64=4,AV81,0))</x:f>
      </x:c>
      <x:c r="AW117" s="107" t="n">
        <x:f>SUM(IF($B$8=4,AW25,0),IF($B$36=4,AW53,0),IF($B$64=4,AW81,0))</x:f>
      </x:c>
      <x:c r="AX117" s="107" t="n">
        <x:f>SUM(IF($B$8=4,AX25,0),IF($B$36=4,AX53,0),IF($B$64=4,AX81,0))</x:f>
      </x:c>
      <x:c r="AY117" s="107" t="n">
        <x:f>SUM(IF($B$8=4,AY25,0),IF($B$36=4,AY53,0),IF($B$64=4,AY81,0))</x:f>
      </x:c>
      <x:c r="AZ117" s="107" t="n">
        <x:f>SUM(IF($B$8=4,AZ25,0),IF($B$36=4,AZ53,0),IF($B$64=4,AZ81,0))</x:f>
      </x:c>
      <x:c r="BA117" s="107" t="n">
        <x:f>SUM(IF($B$8=4,BA25,0),IF($B$36=4,BA53,0),IF($B$64=4,BA81,0))</x:f>
      </x:c>
      <x:c r="BB117" s="107" t="n">
        <x:f>SUM(IF($B$8=4,BB25,0),IF($B$36=4,BB53,0),IF($B$64=4,BB81,0))</x:f>
      </x:c>
      <x:c r="BC117" s="107" t="n">
        <x:f>SUM(IF($B$8=4,BC25,0),IF($B$36=4,BC53,0),IF($B$64=4,BC81,0))</x:f>
      </x:c>
      <x:c r="BD117" s="107" t="n">
        <x:f>SUM(IF($B$8=4,BD25,0),IF($B$36=4,BD53,0),IF($B$64=4,BD81,0))</x:f>
      </x:c>
      <x:c r="BE117" s="107" t="n">
        <x:f>SUM(IF($B$8=4,BE25,0),IF($B$36=4,BE53,0),IF($B$64=4,BE81,0))</x:f>
      </x:c>
      <x:c r="BF117" s="107" t="n">
        <x:f>SUM(IF($B$8=4,BF25,0),IF($B$36=4,BF53,0),IF($B$64=4,BF81,0))</x:f>
      </x:c>
      <x:c r="BG117" s="107" t="n">
        <x:f>SUM(IF($B$8=4,BG25,0),IF($B$36=4,BG53,0),IF($B$64=4,BG81,0))</x:f>
      </x:c>
      <x:c r="BH117" s="107" t="n">
        <x:f>SUM(IF($B$8=4,BH25,0),IF($B$36=4,BH53,0),IF($B$64=4,BH81,0))</x:f>
      </x:c>
      <x:c r="BI117" s="107" t="n">
        <x:f>SUM(IF($B$8=4,BI25,0),IF($B$36=4,BI53,0),IF($B$64=4,BI81,0))</x:f>
      </x:c>
      <x:c r="BJ117" s="107" t="n">
        <x:f>SUM(IF($B$8=4,BJ25,0),IF($B$36=4,BJ53,0),IF($B$64=4,BJ81,0))</x:f>
      </x:c>
      <x:c r="BK117" s="107" t="n">
        <x:f>SUM(IF($B$8=4,BK25,0),IF($B$36=4,BK53,0),IF($B$64=4,BK81,0))</x:f>
      </x:c>
      <x:c r="BL117" s="107" t="n">
        <x:f>SUM(IF($B$8=4,BL25,0),IF($B$36=4,BL53,0),IF($B$64=4,BL81,0))</x:f>
      </x:c>
      <x:c r="BM117" s="107" t="n">
        <x:f>SUM(IF($B$8=4,BM25,0),IF($B$36=4,BM53,0),IF($B$64=4,BM81,0))</x:f>
      </x:c>
      <x:c r="BN117" s="107" t="n">
        <x:f>SUM(IF($B$8=4,BN25,0),IF($B$36=4,BN53,0),IF($B$64=4,BN81,0))</x:f>
      </x:c>
      <x:c r="BO117" s="107" t="n">
        <x:f>SUM(IF($B$8=4,BO25,0),IF($B$36=4,BO53,0),IF($B$64=4,BO81,0))</x:f>
      </x:c>
      <x:c r="BP117" s="107" t="n">
        <x:f>SUM(IF($B$8=4,BP25,0),IF($B$36=4,BP53,0),IF($B$64=4,BP81,0))</x:f>
      </x:c>
      <x:c r="BQ117" s="107" t="n">
        <x:f>SUM(IF($B$8=4,BQ25,0),IF($B$36=4,BQ53,0),IF($B$64=4,BQ81,0))</x:f>
      </x:c>
      <x:c r="BR117" s="107" t="n">
        <x:f>SUM(IF($B$8=4,BR25,0),IF($B$36=4,BR53,0),IF($B$64=4,BR81,0))</x:f>
      </x:c>
      <x:c r="BS117" s="107" t="n">
        <x:f>SUM(IF($B$8=4,BS25,0),IF($B$36=4,BS53,0),IF($B$64=4,BS81,0))</x:f>
      </x:c>
      <x:c r="BT117" s="107" t="n">
        <x:f>SUM(IF($B$8=4,BT25,0),IF($B$36=4,BT53,0),IF($B$64=4,BT81,0))</x:f>
      </x:c>
      <x:c r="BU117" s="107" t="n">
        <x:f>SUM(IF($B$8=4,BU25,0),IF($B$36=4,BU53,0),IF($B$64=4,BU81,0))</x:f>
      </x:c>
      <x:c r="BV117" s="107" t="n">
        <x:f>SUM(IF($B$8=4,BV25,0),IF($B$36=4,BV53,0),IF($B$64=4,BV81,0))</x:f>
      </x:c>
      <x:c r="BW117" s="107" t="n">
        <x:f>SUM(IF($B$8=4,BW25,0),IF($B$36=4,BW53,0),IF($B$64=4,BW81,0))</x:f>
      </x:c>
      <x:c r="BX117" s="107" t="n">
        <x:f>SUM(IF($B$8=4,BX25,0),IF($B$36=4,BX53,0),IF($B$64=4,BX81,0))</x:f>
      </x:c>
      <x:c r="BY117" s="107" t="n">
        <x:f>SUM(IF($B$8=4,BY25,0),IF($B$36=4,BY53,0),IF($B$64=4,BY81,0))</x:f>
      </x:c>
      <x:c r="BZ117" s="107" t="n">
        <x:f>SUM(IF($B$8=4,BZ25,0),IF($B$36=4,BZ53,0),IF($B$64=4,BZ81,0))</x:f>
      </x:c>
      <x:c r="CA117" s="107" t="n">
        <x:f>SUM(IF($B$8=4,CA25,0),IF($B$36=4,CA53,0),IF($B$64=4,CA81,0))</x:f>
      </x:c>
      <x:c r="CB117" s="107" t="n">
        <x:f>SUM(IF($B$8=4,CB25,0),IF($B$36=4,CB53,0),IF($B$64=4,CB81,0))</x:f>
      </x:c>
      <x:c r="CC117" s="107" t="n">
        <x:f>SUM(IF($B$8=4,CC25,0),IF($B$36=4,CC53,0),IF($B$64=4,CC81,0))</x:f>
      </x:c>
      <x:c r="CD117" s="107" t="n">
        <x:f>SUM(IF($B$8=4,CD25,0),IF($B$36=4,CD53,0),IF($B$64=4,CD81,0))</x:f>
      </x:c>
      <x:c r="CE117" s="107" t="n">
        <x:f>SUM(IF($B$8=4,CE25,0),IF($B$36=4,CE53,0),IF($B$64=4,CE81,0))</x:f>
      </x:c>
      <x:c r="CF117" s="107" t="n">
        <x:f>SUM(IF($B$8=4,CF25,0),IF($B$36=4,CF53,0),IF($B$64=4,CF81,0))</x:f>
      </x:c>
      <x:c r="CG117" s="107" t="n">
        <x:f>SUM(IF($B$8=4,CG25,0),IF($B$36=4,CG53,0),IF($B$64=4,CG81,0))</x:f>
      </x:c>
      <x:c r="CH117" s="107" t="n">
        <x:f>SUM(IF($B$8=4,CH25,0),IF($B$36=4,CH53,0),IF($B$64=4,CH81,0))</x:f>
      </x:c>
      <x:c r="CI117" s="107" t="n">
        <x:f>SUM(IF($B$8=4,CI25,0),IF($B$36=4,CI53,0),IF($B$64=4,CI81,0))</x:f>
      </x:c>
      <x:c r="CJ117" s="107" t="n">
        <x:f>SUM(IF($B$8=4,CJ25,0),IF($B$36=4,CJ53,0),IF($B$64=4,CJ81,0))</x:f>
      </x:c>
      <x:c r="CK117" s="107" t="n">
        <x:f>SUM(IF($B$8=4,CK25,0),IF($B$36=4,CK53,0),IF($B$64=4,CK81,0))</x:f>
      </x:c>
      <x:c r="CL117" s="107" t="n">
        <x:f>SUM(IF($B$8=4,CL25,0),IF($B$36=4,CL53,0),IF($B$64=4,CL81,0))</x:f>
      </x:c>
      <x:c r="CM117" s="107" t="n">
        <x:f>SUM(IF($B$8=4,CM25,0),IF($B$36=4,CM53,0),IF($B$64=4,CM81,0))</x:f>
      </x:c>
      <x:c r="CN117" s="107" t="n">
        <x:f>SUM(IF($B$8=4,CN25,0),IF($B$36=4,CN53,0),IF($B$64=4,CN81,0))</x:f>
      </x:c>
      <x:c r="CO117" s="107" t="n">
        <x:f>SUM(IF($B$8=4,CO25,0),IF($B$36=4,CO53,0),IF($B$64=4,CO81,0))</x:f>
      </x:c>
      <x:c r="CP117" s="107" t="n">
        <x:f>SUM(IF($B$8=4,CP25,0),IF($B$36=4,CP53,0),IF($B$64=4,CP81,0))</x:f>
      </x:c>
      <x:c r="CQ117" s="107" t="n">
        <x:f>SUM(IF($B$8=4,CQ25,0),IF($B$36=4,CQ53,0),IF($B$64=4,CQ81,0))</x:f>
      </x:c>
      <x:c r="CR117" s="107" t="n">
        <x:f>SUM(IF($B$8=4,CR25,0),IF($B$36=4,CR53,0),IF($B$64=4,CR81,0))</x:f>
      </x:c>
      <x:c r="CS117" s="107" t="n">
        <x:f>SUM(IF($B$8=4,CS25,0),IF($B$36=4,CS53,0),IF($B$64=4,CS81,0))</x:f>
      </x:c>
      <x:c r="CT117" s="107" t="n">
        <x:f>SUM(IF($B$8=4,CT25,0),IF($B$36=4,CT53,0),IF($B$64=4,CT81,0))</x:f>
      </x:c>
      <x:c r="CU117" s="107" t="n">
        <x:f>SUM(IF($B$8=4,CU25,0),IF($B$36=4,CU53,0),IF($B$64=4,CU81,0))</x:f>
      </x:c>
      <x:c r="CV117" s="107" t="n">
        <x:f>SUM(IF($B$8=4,CV25,0),IF($B$36=4,CV53,0),IF($B$64=4,CV81,0))</x:f>
      </x:c>
      <x:c r="CW117" s="107" t="n">
        <x:f>SUM(IF($B$8=4,CW25,0),IF($B$36=4,CW53,0),IF($B$64=4,CW81,0))</x:f>
      </x:c>
      <x:c r="CX117" s="107" t="n">
        <x:f>SUM(IF($B$8=4,CX25,0),IF($B$36=4,CX53,0),IF($B$64=4,CX81,0))</x:f>
      </x:c>
      <x:c r="CY117" s="107" t="n">
        <x:f>SUM(IF($B$8=4,CY25,0),IF($B$36=4,CY53,0),IF($B$64=4,CY81,0))</x:f>
      </x:c>
      <x:c r="CZ117" s="107" t="n">
        <x:f>SUM(IF($B$8=4,CZ25,0),IF($B$36=4,CZ53,0),IF($B$64=4,CZ81,0))</x:f>
      </x:c>
      <x:c r="DA117" s="107" t="n">
        <x:f>SUM(IF($B$8=4,DA25,0),IF($B$36=4,DA53,0),IF($B$64=4,DA81,0))</x:f>
      </x:c>
      <x:c r="DB117" s="107" t="n">
        <x:f>SUM(IF($B$8=4,DB25,0),IF($B$36=4,DB53,0),IF($B$64=4,DB81,0))</x:f>
      </x:c>
      <x:c r="DC117" s="107" t="n">
        <x:f>SUM(IF($B$8=4,DC25,0),IF($B$36=4,DC53,0),IF($B$64=4,DC81,0))</x:f>
      </x:c>
      <x:c r="DD117" s="107" t="n">
        <x:f>SUM(IF($B$8=4,DD25,0),IF($B$36=4,DD53,0),IF($B$64=4,DD81,0))</x:f>
      </x:c>
      <x:c r="DE117" s="107" t="n">
        <x:f>SUM(IF($B$8=4,DE25,0),IF($B$36=4,DE53,0),IF($B$64=4,DE81,0))</x:f>
      </x:c>
      <x:c r="DF117" s="107" t="n">
        <x:f>SUM(IF($B$8=4,DF25,0),IF($B$36=4,DF53,0),IF($B$64=4,DF81,0))</x:f>
      </x:c>
      <x:c r="DG117" s="107" t="n">
        <x:f>SUM(IF($B$8=4,DG25,0),IF($B$36=4,DG53,0),IF($B$64=4,DG81,0))</x:f>
      </x:c>
      <x:c r="DH117" s="107" t="n">
        <x:f>SUM(IF($B$8=4,DH25,0),IF($B$36=4,DH53,0),IF($B$64=4,DH81,0))</x:f>
      </x:c>
      <x:c r="DI117" s="107" t="n">
        <x:f>SUM(IF($B$8=4,DI25,0),IF($B$36=4,DI53,0),IF($B$64=4,DI81,0))</x:f>
      </x:c>
      <x:c r="DJ117" s="107" t="n">
        <x:f>SUM(IF($B$8=4,DJ25,0),IF($B$36=4,DJ53,0),IF($B$64=4,DJ81,0))</x:f>
      </x:c>
      <x:c r="DK117" s="107" t="n">
        <x:f>SUM(IF($B$8=4,DK25,0),IF($B$36=4,DK53,0),IF($B$64=4,DK81,0))</x:f>
      </x:c>
      <x:c r="DL117" s="107" t="n">
        <x:f>SUM(IF($B$8=4,DL25,0),IF($B$36=4,DL53,0),IF($B$64=4,DL81,0))</x:f>
      </x:c>
      <x:c r="DM117" s="107" t="n">
        <x:f>SUM(IF($B$8=4,DM25,0),IF($B$36=4,DM53,0),IF($B$64=4,DM81,0))</x:f>
      </x:c>
      <x:c r="DN117" s="107" t="n">
        <x:f>SUM(IF($B$8=4,DN25,0),IF($B$36=4,DN53,0),IF($B$64=4,DN81,0))</x:f>
      </x:c>
      <x:c r="DO117" s="107" t="n">
        <x:f>SUM(IF($B$8=4,DO25,0),IF($B$36=4,DO53,0),IF($B$64=4,DO81,0))</x:f>
      </x:c>
      <x:c r="DP117" s="107" t="n">
        <x:f>SUM(IF($B$8=4,DP25,0),IF($B$36=4,DP53,0),IF($B$64=4,DP81,0))</x:f>
      </x:c>
      <x:c r="DQ117" s="107" t="n">
        <x:f>SUM(IF($B$8=4,DQ25,0),IF($B$36=4,DQ53,0),IF($B$64=4,DQ81,0))</x:f>
      </x:c>
      <x:c r="DR117" s="107" t="n">
        <x:f>SUM(IF($B$8=4,DR25,0),IF($B$36=4,DR53,0),IF($B$64=4,DR81,0))</x:f>
      </x:c>
      <x:c r="DS117" s="107" t="n">
        <x:f>SUM(IF($B$8=4,DS25,0),IF($B$36=4,DS53,0),IF($B$64=4,DS81,0))</x:f>
      </x:c>
      <x:c r="DT117" s="107" t="n">
        <x:f>SUM(IF($B$8=4,DT25,0),IF($B$36=4,DT53,0),IF($B$64=4,DT81,0))</x:f>
      </x:c>
      <x:c r="DU117" s="107" t="n">
        <x:f>SUM(IF($B$8=4,DU25,0),IF($B$36=4,DU53,0),IF($B$64=4,DU81,0))</x:f>
      </x:c>
      <x:c r="DV117" s="107" t="n">
        <x:f>SUM(IF($B$8=4,DV25,0),IF($B$36=4,DV53,0),IF($B$64=4,DV81,0))</x:f>
      </x:c>
      <x:c r="DW117" s="107" t="n">
        <x:f>SUM(IF($B$8=4,DW25,0),IF($B$36=4,DW53,0),IF($B$64=4,DW81,0))</x:f>
      </x:c>
      <x:c r="DX117" s="107" t="n">
        <x:f>SUM(IF($B$8=4,DX25,0),IF($B$36=4,DX53,0),IF($B$64=4,DX81,0))</x:f>
      </x:c>
      <x:c r="DY117" s="107" t="n">
        <x:f>SUM(IF($B$8=4,DY25,0),IF($B$36=4,DY53,0),IF($B$64=4,DY81,0))</x:f>
      </x:c>
      <x:c r="DZ117" s="107" t="n">
        <x:f>SUM(IF($B$8=4,DZ25,0),IF($B$36=4,DZ53,0),IF($B$64=4,DZ81,0))</x:f>
      </x:c>
      <x:c r="EA117" s="107" t="n">
        <x:f>SUM(IF($B$8=4,EA25,0),IF($B$36=4,EA53,0),IF($B$64=4,EA81,0))</x:f>
      </x:c>
      <x:c r="EB117" s="107" t="n">
        <x:f>SUM(IF($B$8=4,EB25,0),IF($B$36=4,EB53,0),IF($B$64=4,EB81,0))</x:f>
      </x:c>
      <x:c r="EC117" s="107" t="n">
        <x:f>SUM(IF($B$8=4,EC25,0),IF($B$36=4,EC53,0),IF($B$64=4,EC81,0))</x:f>
      </x:c>
      <x:c r="ED117" s="107" t="n">
        <x:f>SUM(IF($B$8=4,ED25,0),IF($B$36=4,ED53,0),IF($B$64=4,ED81,0))</x:f>
      </x:c>
      <x:c r="EE117" s="107" t="n">
        <x:f>SUM(IF($B$8=4,EE25,0),IF($B$36=4,EE53,0),IF($B$64=4,EE81,0))</x:f>
      </x:c>
      <x:c r="EF117" s="107" t="n">
        <x:f>SUM(IF($B$8=4,EF25,0),IF($B$36=4,EF53,0),IF($B$64=4,EF81,0))</x:f>
      </x:c>
      <x:c r="EG117" s="107" t="n">
        <x:f>SUM(IF($B$8=4,EG25,0),IF($B$36=4,EG53,0),IF($B$64=4,EG81,0))</x:f>
      </x:c>
      <x:c r="EH117" s="107" t="n">
        <x:f>SUM(IF($B$8=4,EH25,0),IF($B$36=4,EH53,0),IF($B$64=4,EH81,0))</x:f>
      </x:c>
      <x:c r="EI117" s="107" t="n">
        <x:f>SUM(IF($B$8=4,EI25,0),IF($B$36=4,EI53,0),IF($B$64=4,EI81,0))</x:f>
      </x:c>
      <x:c r="EJ117" s="107" t="n">
        <x:f>SUM(IF($B$8=4,EJ25,0),IF($B$36=4,EJ53,0),IF($B$64=4,EJ81,0))</x:f>
      </x:c>
      <x:c r="EK117" s="107" t="n">
        <x:f>SUM(IF($B$8=4,EK25,0),IF($B$36=4,EK53,0),IF($B$64=4,EK81,0))</x:f>
      </x:c>
      <x:c r="EL117" s="107" t="n">
        <x:f>SUM(IF($B$8=4,EL25,0),IF($B$36=4,EL53,0),IF($B$64=4,EL81,0))</x:f>
      </x:c>
      <x:c r="EM117" s="107" t="n">
        <x:f>SUM(IF($B$8=4,EM25,0),IF($B$36=4,EM53,0),IF($B$64=4,EM81,0))</x:f>
      </x:c>
      <x:c r="EN117" s="107" t="n">
        <x:f>SUM(IF($B$8=4,EN25,0),IF($B$36=4,EN53,0),IF($B$64=4,EN81,0))</x:f>
      </x:c>
      <x:c r="EO117" s="107" t="n">
        <x:f>SUM(IF($B$8=4,EO25,0),IF($B$36=4,EO53,0),IF($B$64=4,EO81,0))</x:f>
      </x:c>
      <x:c r="EP117" s="107" t="n">
        <x:f>SUM(IF($B$8=4,EP25,0),IF($B$36=4,EP53,0),IF($B$64=4,EP81,0))</x:f>
      </x:c>
      <x:c r="EQ117" s="107" t="n">
        <x:f>SUM(IF($B$8=4,EQ25,0),IF($B$36=4,EQ53,0),IF($B$64=4,EQ81,0))</x:f>
      </x:c>
      <x:c r="ER117" s="107" t="n">
        <x:f>SUM(IF($B$8=4,ER25,0),IF($B$36=4,ER53,0),IF($B$64=4,ER81,0))</x:f>
      </x:c>
      <x:c r="ES117" s="107" t="n">
        <x:f>SUM(IF($B$8=4,ES25,0),IF($B$36=4,ES53,0),IF($B$64=4,ES81,0))</x:f>
      </x:c>
      <x:c r="ET117" s="107" t="n">
        <x:f>SUM(IF($B$8=4,ET25,0),IF($B$36=4,ET53,0),IF($B$64=4,ET81,0))</x:f>
      </x:c>
      <x:c r="EU117" s="107" t="n">
        <x:f>SUM(IF($B$8=4,EU25,0),IF($B$36=4,EU53,0),IF($B$64=4,EU81,0))</x:f>
      </x:c>
      <x:c r="EV117" s="107" t="n">
        <x:f>SUM(IF($B$8=4,EV25,0),IF($B$36=4,EV53,0),IF($B$64=4,EV81,0))</x:f>
      </x:c>
      <x:c r="EW117" s="107" t="n">
        <x:f>SUM(IF($B$8=4,EW25,0),IF($B$36=4,EW53,0),IF($B$64=4,EW81,0))</x:f>
      </x:c>
      <x:c r="EX117" s="107" t="n">
        <x:f>SUM(IF($B$8=4,EX25,0),IF($B$36=4,EX53,0),IF($B$64=4,EX81,0))</x:f>
      </x:c>
      <x:c r="EY117" s="107" t="n">
        <x:f>SUM(IF($B$8=4,EY25,0),IF($B$36=4,EY53,0),IF($B$64=4,EY81,0))</x:f>
      </x:c>
      <x:c r="EZ117" s="107" t="n">
        <x:f>SUM(IF($B$8=4,EZ25,0),IF($B$36=4,EZ53,0),IF($B$64=4,EZ81,0))</x:f>
      </x:c>
      <x:c r="FA117" s="107" t="n">
        <x:f>SUM(IF($B$8=4,FA25,0),IF($B$36=4,FA53,0),IF($B$64=4,FA81,0))</x:f>
      </x:c>
      <x:c r="FB117" s="107" t="n">
        <x:f>SUM(IF($B$8=4,FB25,0),IF($B$36=4,FB53,0),IF($B$64=4,FB81,0))</x:f>
      </x:c>
      <x:c r="FC117" s="107" t="n">
        <x:f>SUM(IF($B$8=4,FC25,0),IF($B$36=4,FC53,0),IF($B$64=4,FC81,0))</x:f>
      </x:c>
      <x:c r="FD117" s="107" t="n">
        <x:f>SUM(IF($B$8=4,FD25,0),IF($B$36=4,FD53,0),IF($B$64=4,FD81,0))</x:f>
      </x:c>
      <x:c r="FE117" s="107" t="n">
        <x:f>SUM(IF($B$8=4,FE25,0),IF($B$36=4,FE53,0),IF($B$64=4,FE81,0))</x:f>
      </x:c>
      <x:c r="FF117" s="107" t="n">
        <x:f>SUM(IF($B$8=4,FF25,0),IF($B$36=4,FF53,0),IF($B$64=4,FF81,0))</x:f>
      </x:c>
      <x:c r="FG117" s="107" t="n">
        <x:f>SUM(IF($B$8=4,FG25,0),IF($B$36=4,FG53,0),IF($B$64=4,FG81,0))</x:f>
      </x:c>
      <x:c r="FH117" s="107" t="n">
        <x:f>SUM(IF($B$8=4,FH25,0),IF($B$36=4,FH53,0),IF($B$64=4,FH81,0))</x:f>
      </x:c>
      <x:c r="FI117" s="107" t="n">
        <x:f>SUM(IF($B$8=4,FI25,0),IF($B$36=4,FI53,0),IF($B$64=4,FI81,0))</x:f>
      </x:c>
      <x:c r="FJ117" s="107" t="n">
        <x:f>SUM(IF($B$8=4,FJ25,0),IF($B$36=4,FJ53,0),IF($B$64=4,FJ81,0))</x:f>
      </x:c>
      <x:c r="FK117" s="107" t="n">
        <x:f>SUM(IF($B$8=4,FK25,0),IF($B$36=4,FK53,0),IF($B$64=4,FK81,0))</x:f>
      </x:c>
      <x:c r="FL117" s="107" t="n">
        <x:f>SUM(IF($B$8=4,FL25,0),IF($B$36=4,FL53,0),IF($B$64=4,FL81,0))</x:f>
      </x:c>
      <x:c r="FM117" s="107" t="n">
        <x:f>SUM(IF($B$8=4,FM25,0),IF($B$36=4,FM53,0),IF($B$64=4,FM81,0))</x:f>
      </x:c>
      <x:c r="FN117" s="107" t="n">
        <x:f>SUM(IF($B$8=4,FN25,0),IF($B$36=4,FN53,0),IF($B$64=4,FN81,0))</x:f>
      </x:c>
      <x:c r="FO117" s="107" t="n">
        <x:f>SUM(IF($B$8=4,FO25,0),IF($B$36=4,FO53,0),IF($B$64=4,FO81,0))</x:f>
      </x:c>
      <x:c r="FP117" s="107" t="n">
        <x:f>SUM(IF($B$8=4,FP25,0),IF($B$36=4,FP53,0),IF($B$64=4,FP81,0))</x:f>
      </x:c>
      <x:c r="FQ117" s="107" t="n">
        <x:f>SUM(IF($B$8=4,FQ25,0),IF($B$36=4,FQ53,0),IF($B$64=4,FQ81,0))</x:f>
      </x:c>
      <x:c r="FR117" s="107" t="n">
        <x:f>SUM(IF($B$8=4,FR25,0),IF($B$36=4,FR53,0),IF($B$64=4,FR81,0))</x:f>
      </x:c>
      <x:c r="FS117" s="107" t="n">
        <x:f>SUM(IF($B$8=4,FS25,0),IF($B$36=4,FS53,0),IF($B$64=4,FS81,0))</x:f>
      </x:c>
      <x:c r="FT117" s="107" t="n">
        <x:f>SUM(IF($B$8=4,FT25,0),IF($B$36=4,FT53,0),IF($B$64=4,FT81,0))</x:f>
      </x:c>
      <x:c r="FU117" s="107" t="n">
        <x:f>SUM(IF($B$8=4,FU25,0),IF($B$36=4,FU53,0),IF($B$64=4,FU81,0))</x:f>
      </x:c>
      <x:c r="FV117" s="107" t="n">
        <x:f>SUM(IF($B$8=4,FV25,0),IF($B$36=4,FV53,0),IF($B$64=4,FV81,0))</x:f>
      </x:c>
      <x:c r="FW117" s="107" t="n">
        <x:f>SUM(IF($B$8=4,FW25,0),IF($B$36=4,FW53,0),IF($B$64=4,FW81,0))</x:f>
      </x:c>
      <x:c r="FX117" s="107" t="n">
        <x:f>SUM(IF($B$8=4,FX25,0),IF($B$36=4,FX53,0),IF($B$64=4,FX81,0))</x:f>
      </x:c>
      <x:c r="FY117" s="107" t="n">
        <x:f>SUM(IF($B$8=4,FY25,0),IF($B$36=4,FY53,0),IF($B$64=4,FY81,0))</x:f>
      </x:c>
      <x:c r="FZ117" s="107" t="n">
        <x:f>SUM(IF($B$8=4,FZ25,0),IF($B$36=4,FZ53,0),IF($B$64=4,FZ81,0))</x:f>
      </x:c>
      <x:c r="GA117" s="107" t="n">
        <x:f>SUM(IF($B$8=4,GA25,0),IF($B$36=4,GA53,0),IF($B$64=4,GA81,0))</x:f>
      </x:c>
    </x:row>
    <x:row r="118">
      <x:c r="A118" t="str">
        <x:v>Очередь 4 — Прямые поступления объектов</x:v>
      </x:c>
      <x:c r="B118" s="107" t="n">
        <x:f>SUM(D118:GA118)</x:f>
      </x:c>
      <x:c r="C118" t="str">
        <x:v>млн ₽</x:v>
      </x:c>
      <x:c r="D118" s="107" t="n">
        <x:f>SUM(IF($B$8=4,D26,0),IF($B$36=4,D54,0),IF($B$64=4,D82,0))</x:f>
      </x:c>
      <x:c r="E118" s="107" t="n">
        <x:f>SUM(IF($B$8=4,E26,0),IF($B$36=4,E54,0),IF($B$64=4,E82,0))</x:f>
      </x:c>
      <x:c r="F118" s="107" t="n">
        <x:f>SUM(IF($B$8=4,F26,0),IF($B$36=4,F54,0),IF($B$64=4,F82,0))</x:f>
      </x:c>
      <x:c r="G118" s="107" t="n">
        <x:f>SUM(IF($B$8=4,G26,0),IF($B$36=4,G54,0),IF($B$64=4,G82,0))</x:f>
      </x:c>
      <x:c r="H118" s="107" t="n">
        <x:f>SUM(IF($B$8=4,H26,0),IF($B$36=4,H54,0),IF($B$64=4,H82,0))</x:f>
      </x:c>
      <x:c r="I118" s="107" t="n">
        <x:f>SUM(IF($B$8=4,I26,0),IF($B$36=4,I54,0),IF($B$64=4,I82,0))</x:f>
      </x:c>
      <x:c r="J118" s="107" t="n">
        <x:f>SUM(IF($B$8=4,J26,0),IF($B$36=4,J54,0),IF($B$64=4,J82,0))</x:f>
      </x:c>
      <x:c r="K118" s="107" t="n">
        <x:f>SUM(IF($B$8=4,K26,0),IF($B$36=4,K54,0),IF($B$64=4,K82,0))</x:f>
      </x:c>
      <x:c r="L118" s="107" t="n">
        <x:f>SUM(IF($B$8=4,L26,0),IF($B$36=4,L54,0),IF($B$64=4,L82,0))</x:f>
      </x:c>
      <x:c r="M118" s="107" t="n">
        <x:f>SUM(IF($B$8=4,M26,0),IF($B$36=4,M54,0),IF($B$64=4,M82,0))</x:f>
      </x:c>
      <x:c r="N118" s="107" t="n">
        <x:f>SUM(IF($B$8=4,N26,0),IF($B$36=4,N54,0),IF($B$64=4,N82,0))</x:f>
      </x:c>
      <x:c r="O118" s="107" t="n">
        <x:f>SUM(IF($B$8=4,O26,0),IF($B$36=4,O54,0),IF($B$64=4,O82,0))</x:f>
      </x:c>
      <x:c r="P118" s="107" t="n">
        <x:f>SUM(IF($B$8=4,P26,0),IF($B$36=4,P54,0),IF($B$64=4,P82,0))</x:f>
      </x:c>
      <x:c r="Q118" s="107" t="n">
        <x:f>SUM(IF($B$8=4,Q26,0),IF($B$36=4,Q54,0),IF($B$64=4,Q82,0))</x:f>
      </x:c>
      <x:c r="R118" s="107" t="n">
        <x:f>SUM(IF($B$8=4,R26,0),IF($B$36=4,R54,0),IF($B$64=4,R82,0))</x:f>
      </x:c>
      <x:c r="S118" s="107" t="n">
        <x:f>SUM(IF($B$8=4,S26,0),IF($B$36=4,S54,0),IF($B$64=4,S82,0))</x:f>
      </x:c>
      <x:c r="T118" s="107" t="n">
        <x:f>SUM(IF($B$8=4,T26,0),IF($B$36=4,T54,0),IF($B$64=4,T82,0))</x:f>
      </x:c>
      <x:c r="U118" s="107" t="n">
        <x:f>SUM(IF($B$8=4,U26,0),IF($B$36=4,U54,0),IF($B$64=4,U82,0))</x:f>
      </x:c>
      <x:c r="V118" s="107" t="n">
        <x:f>SUM(IF($B$8=4,V26,0),IF($B$36=4,V54,0),IF($B$64=4,V82,0))</x:f>
      </x:c>
      <x:c r="W118" s="107" t="n">
        <x:f>SUM(IF($B$8=4,W26,0),IF($B$36=4,W54,0),IF($B$64=4,W82,0))</x:f>
      </x:c>
      <x:c r="X118" s="107" t="n">
        <x:f>SUM(IF($B$8=4,X26,0),IF($B$36=4,X54,0),IF($B$64=4,X82,0))</x:f>
      </x:c>
      <x:c r="Y118" s="107" t="n">
        <x:f>SUM(IF($B$8=4,Y26,0),IF($B$36=4,Y54,0),IF($B$64=4,Y82,0))</x:f>
      </x:c>
      <x:c r="Z118" s="107" t="n">
        <x:f>SUM(IF($B$8=4,Z26,0),IF($B$36=4,Z54,0),IF($B$64=4,Z82,0))</x:f>
      </x:c>
      <x:c r="AA118" s="107" t="n">
        <x:f>SUM(IF($B$8=4,AA26,0),IF($B$36=4,AA54,0),IF($B$64=4,AA82,0))</x:f>
      </x:c>
      <x:c r="AB118" s="107" t="n">
        <x:f>SUM(IF($B$8=4,AB26,0),IF($B$36=4,AB54,0),IF($B$64=4,AB82,0))</x:f>
      </x:c>
      <x:c r="AC118" s="107" t="n">
        <x:f>SUM(IF($B$8=4,AC26,0),IF($B$36=4,AC54,0),IF($B$64=4,AC82,0))</x:f>
      </x:c>
      <x:c r="AD118" s="107" t="n">
        <x:f>SUM(IF($B$8=4,AD26,0),IF($B$36=4,AD54,0),IF($B$64=4,AD82,0))</x:f>
      </x:c>
      <x:c r="AE118" s="107" t="n">
        <x:f>SUM(IF($B$8=4,AE26,0),IF($B$36=4,AE54,0),IF($B$64=4,AE82,0))</x:f>
      </x:c>
      <x:c r="AF118" s="107" t="n">
        <x:f>SUM(IF($B$8=4,AF26,0),IF($B$36=4,AF54,0),IF($B$64=4,AF82,0))</x:f>
      </x:c>
      <x:c r="AG118" s="107" t="n">
        <x:f>SUM(IF($B$8=4,AG26,0),IF($B$36=4,AG54,0),IF($B$64=4,AG82,0))</x:f>
      </x:c>
      <x:c r="AH118" s="107" t="n">
        <x:f>SUM(IF($B$8=4,AH26,0),IF($B$36=4,AH54,0),IF($B$64=4,AH82,0))</x:f>
      </x:c>
      <x:c r="AI118" s="107" t="n">
        <x:f>SUM(IF($B$8=4,AI26,0),IF($B$36=4,AI54,0),IF($B$64=4,AI82,0))</x:f>
      </x:c>
      <x:c r="AJ118" s="107" t="n">
        <x:f>SUM(IF($B$8=4,AJ26,0),IF($B$36=4,AJ54,0),IF($B$64=4,AJ82,0))</x:f>
      </x:c>
      <x:c r="AK118" s="107" t="n">
        <x:f>SUM(IF($B$8=4,AK26,0),IF($B$36=4,AK54,0),IF($B$64=4,AK82,0))</x:f>
      </x:c>
      <x:c r="AL118" s="107" t="n">
        <x:f>SUM(IF($B$8=4,AL26,0),IF($B$36=4,AL54,0),IF($B$64=4,AL82,0))</x:f>
      </x:c>
      <x:c r="AM118" s="107" t="n">
        <x:f>SUM(IF($B$8=4,AM26,0),IF($B$36=4,AM54,0),IF($B$64=4,AM82,0))</x:f>
      </x:c>
      <x:c r="AN118" s="107" t="n">
        <x:f>SUM(IF($B$8=4,AN26,0),IF($B$36=4,AN54,0),IF($B$64=4,AN82,0))</x:f>
      </x:c>
      <x:c r="AO118" s="107" t="n">
        <x:f>SUM(IF($B$8=4,AO26,0),IF($B$36=4,AO54,0),IF($B$64=4,AO82,0))</x:f>
      </x:c>
      <x:c r="AP118" s="107" t="n">
        <x:f>SUM(IF($B$8=4,AP26,0),IF($B$36=4,AP54,0),IF($B$64=4,AP82,0))</x:f>
      </x:c>
      <x:c r="AQ118" s="107" t="n">
        <x:f>SUM(IF($B$8=4,AQ26,0),IF($B$36=4,AQ54,0),IF($B$64=4,AQ82,0))</x:f>
      </x:c>
      <x:c r="AR118" s="107" t="n">
        <x:f>SUM(IF($B$8=4,AR26,0),IF($B$36=4,AR54,0),IF($B$64=4,AR82,0))</x:f>
      </x:c>
      <x:c r="AS118" s="107" t="n">
        <x:f>SUM(IF($B$8=4,AS26,0),IF($B$36=4,AS54,0),IF($B$64=4,AS82,0))</x:f>
      </x:c>
      <x:c r="AT118" s="107" t="n">
        <x:f>SUM(IF($B$8=4,AT26,0),IF($B$36=4,AT54,0),IF($B$64=4,AT82,0))</x:f>
      </x:c>
      <x:c r="AU118" s="107" t="n">
        <x:f>SUM(IF($B$8=4,AU26,0),IF($B$36=4,AU54,0),IF($B$64=4,AU82,0))</x:f>
      </x:c>
      <x:c r="AV118" s="107" t="n">
        <x:f>SUM(IF($B$8=4,AV26,0),IF($B$36=4,AV54,0),IF($B$64=4,AV82,0))</x:f>
      </x:c>
      <x:c r="AW118" s="107" t="n">
        <x:f>SUM(IF($B$8=4,AW26,0),IF($B$36=4,AW54,0),IF($B$64=4,AW82,0))</x:f>
      </x:c>
      <x:c r="AX118" s="107" t="n">
        <x:f>SUM(IF($B$8=4,AX26,0),IF($B$36=4,AX54,0),IF($B$64=4,AX82,0))</x:f>
      </x:c>
      <x:c r="AY118" s="107" t="n">
        <x:f>SUM(IF($B$8=4,AY26,0),IF($B$36=4,AY54,0),IF($B$64=4,AY82,0))</x:f>
      </x:c>
      <x:c r="AZ118" s="107" t="n">
        <x:f>SUM(IF($B$8=4,AZ26,0),IF($B$36=4,AZ54,0),IF($B$64=4,AZ82,0))</x:f>
      </x:c>
      <x:c r="BA118" s="107" t="n">
        <x:f>SUM(IF($B$8=4,BA26,0),IF($B$36=4,BA54,0),IF($B$64=4,BA82,0))</x:f>
      </x:c>
      <x:c r="BB118" s="107" t="n">
        <x:f>SUM(IF($B$8=4,BB26,0),IF($B$36=4,BB54,0),IF($B$64=4,BB82,0))</x:f>
      </x:c>
      <x:c r="BC118" s="107" t="n">
        <x:f>SUM(IF($B$8=4,BC26,0),IF($B$36=4,BC54,0),IF($B$64=4,BC82,0))</x:f>
      </x:c>
      <x:c r="BD118" s="107" t="n">
        <x:f>SUM(IF($B$8=4,BD26,0),IF($B$36=4,BD54,0),IF($B$64=4,BD82,0))</x:f>
      </x:c>
      <x:c r="BE118" s="107" t="n">
        <x:f>SUM(IF($B$8=4,BE26,0),IF($B$36=4,BE54,0),IF($B$64=4,BE82,0))</x:f>
      </x:c>
      <x:c r="BF118" s="107" t="n">
        <x:f>SUM(IF($B$8=4,BF26,0),IF($B$36=4,BF54,0),IF($B$64=4,BF82,0))</x:f>
      </x:c>
      <x:c r="BG118" s="107" t="n">
        <x:f>SUM(IF($B$8=4,BG26,0),IF($B$36=4,BG54,0),IF($B$64=4,BG82,0))</x:f>
      </x:c>
      <x:c r="BH118" s="107" t="n">
        <x:f>SUM(IF($B$8=4,BH26,0),IF($B$36=4,BH54,0),IF($B$64=4,BH82,0))</x:f>
      </x:c>
      <x:c r="BI118" s="107" t="n">
        <x:f>SUM(IF($B$8=4,BI26,0),IF($B$36=4,BI54,0),IF($B$64=4,BI82,0))</x:f>
      </x:c>
      <x:c r="BJ118" s="107" t="n">
        <x:f>SUM(IF($B$8=4,BJ26,0),IF($B$36=4,BJ54,0),IF($B$64=4,BJ82,0))</x:f>
      </x:c>
      <x:c r="BK118" s="107" t="n">
        <x:f>SUM(IF($B$8=4,BK26,0),IF($B$36=4,BK54,0),IF($B$64=4,BK82,0))</x:f>
      </x:c>
      <x:c r="BL118" s="107" t="n">
        <x:f>SUM(IF($B$8=4,BL26,0),IF($B$36=4,BL54,0),IF($B$64=4,BL82,0))</x:f>
      </x:c>
      <x:c r="BM118" s="107" t="n">
        <x:f>SUM(IF($B$8=4,BM26,0),IF($B$36=4,BM54,0),IF($B$64=4,BM82,0))</x:f>
      </x:c>
      <x:c r="BN118" s="107" t="n">
        <x:f>SUM(IF($B$8=4,BN26,0),IF($B$36=4,BN54,0),IF($B$64=4,BN82,0))</x:f>
      </x:c>
      <x:c r="BO118" s="107" t="n">
        <x:f>SUM(IF($B$8=4,BO26,0),IF($B$36=4,BO54,0),IF($B$64=4,BO82,0))</x:f>
      </x:c>
      <x:c r="BP118" s="107" t="n">
        <x:f>SUM(IF($B$8=4,BP26,0),IF($B$36=4,BP54,0),IF($B$64=4,BP82,0))</x:f>
      </x:c>
      <x:c r="BQ118" s="107" t="n">
        <x:f>SUM(IF($B$8=4,BQ26,0),IF($B$36=4,BQ54,0),IF($B$64=4,BQ82,0))</x:f>
      </x:c>
      <x:c r="BR118" s="107" t="n">
        <x:f>SUM(IF($B$8=4,BR26,0),IF($B$36=4,BR54,0),IF($B$64=4,BR82,0))</x:f>
      </x:c>
      <x:c r="BS118" s="107" t="n">
        <x:f>SUM(IF($B$8=4,BS26,0),IF($B$36=4,BS54,0),IF($B$64=4,BS82,0))</x:f>
      </x:c>
      <x:c r="BT118" s="107" t="n">
        <x:f>SUM(IF($B$8=4,BT26,0),IF($B$36=4,BT54,0),IF($B$64=4,BT82,0))</x:f>
      </x:c>
      <x:c r="BU118" s="107" t="n">
        <x:f>SUM(IF($B$8=4,BU26,0),IF($B$36=4,BU54,0),IF($B$64=4,BU82,0))</x:f>
      </x:c>
      <x:c r="BV118" s="107" t="n">
        <x:f>SUM(IF($B$8=4,BV26,0),IF($B$36=4,BV54,0),IF($B$64=4,BV82,0))</x:f>
      </x:c>
      <x:c r="BW118" s="107" t="n">
        <x:f>SUM(IF($B$8=4,BW26,0),IF($B$36=4,BW54,0),IF($B$64=4,BW82,0))</x:f>
      </x:c>
      <x:c r="BX118" s="107" t="n">
        <x:f>SUM(IF($B$8=4,BX26,0),IF($B$36=4,BX54,0),IF($B$64=4,BX82,0))</x:f>
      </x:c>
      <x:c r="BY118" s="107" t="n">
        <x:f>SUM(IF($B$8=4,BY26,0),IF($B$36=4,BY54,0),IF($B$64=4,BY82,0))</x:f>
      </x:c>
      <x:c r="BZ118" s="107" t="n">
        <x:f>SUM(IF($B$8=4,BZ26,0),IF($B$36=4,BZ54,0),IF($B$64=4,BZ82,0))</x:f>
      </x:c>
      <x:c r="CA118" s="107" t="n">
        <x:f>SUM(IF($B$8=4,CA26,0),IF($B$36=4,CA54,0),IF($B$64=4,CA82,0))</x:f>
      </x:c>
      <x:c r="CB118" s="107" t="n">
        <x:f>SUM(IF($B$8=4,CB26,0),IF($B$36=4,CB54,0),IF($B$64=4,CB82,0))</x:f>
      </x:c>
      <x:c r="CC118" s="107" t="n">
        <x:f>SUM(IF($B$8=4,CC26,0),IF($B$36=4,CC54,0),IF($B$64=4,CC82,0))</x:f>
      </x:c>
      <x:c r="CD118" s="107" t="n">
        <x:f>SUM(IF($B$8=4,CD26,0),IF($B$36=4,CD54,0),IF($B$64=4,CD82,0))</x:f>
      </x:c>
      <x:c r="CE118" s="107" t="n">
        <x:f>SUM(IF($B$8=4,CE26,0),IF($B$36=4,CE54,0),IF($B$64=4,CE82,0))</x:f>
      </x:c>
      <x:c r="CF118" s="107" t="n">
        <x:f>SUM(IF($B$8=4,CF26,0),IF($B$36=4,CF54,0),IF($B$64=4,CF82,0))</x:f>
      </x:c>
      <x:c r="CG118" s="107" t="n">
        <x:f>SUM(IF($B$8=4,CG26,0),IF($B$36=4,CG54,0),IF($B$64=4,CG82,0))</x:f>
      </x:c>
      <x:c r="CH118" s="107" t="n">
        <x:f>SUM(IF($B$8=4,CH26,0),IF($B$36=4,CH54,0),IF($B$64=4,CH82,0))</x:f>
      </x:c>
      <x:c r="CI118" s="107" t="n">
        <x:f>SUM(IF($B$8=4,CI26,0),IF($B$36=4,CI54,0),IF($B$64=4,CI82,0))</x:f>
      </x:c>
      <x:c r="CJ118" s="107" t="n">
        <x:f>SUM(IF($B$8=4,CJ26,0),IF($B$36=4,CJ54,0),IF($B$64=4,CJ82,0))</x:f>
      </x:c>
      <x:c r="CK118" s="107" t="n">
        <x:f>SUM(IF($B$8=4,CK26,0),IF($B$36=4,CK54,0),IF($B$64=4,CK82,0))</x:f>
      </x:c>
      <x:c r="CL118" s="107" t="n">
        <x:f>SUM(IF($B$8=4,CL26,0),IF($B$36=4,CL54,0),IF($B$64=4,CL82,0))</x:f>
      </x:c>
      <x:c r="CM118" s="107" t="n">
        <x:f>SUM(IF($B$8=4,CM26,0),IF($B$36=4,CM54,0),IF($B$64=4,CM82,0))</x:f>
      </x:c>
      <x:c r="CN118" s="107" t="n">
        <x:f>SUM(IF($B$8=4,CN26,0),IF($B$36=4,CN54,0),IF($B$64=4,CN82,0))</x:f>
      </x:c>
      <x:c r="CO118" s="107" t="n">
        <x:f>SUM(IF($B$8=4,CO26,0),IF($B$36=4,CO54,0),IF($B$64=4,CO82,0))</x:f>
      </x:c>
      <x:c r="CP118" s="107" t="n">
        <x:f>SUM(IF($B$8=4,CP26,0),IF($B$36=4,CP54,0),IF($B$64=4,CP82,0))</x:f>
      </x:c>
      <x:c r="CQ118" s="107" t="n">
        <x:f>SUM(IF($B$8=4,CQ26,0),IF($B$36=4,CQ54,0),IF($B$64=4,CQ82,0))</x:f>
      </x:c>
      <x:c r="CR118" s="107" t="n">
        <x:f>SUM(IF($B$8=4,CR26,0),IF($B$36=4,CR54,0),IF($B$64=4,CR82,0))</x:f>
      </x:c>
      <x:c r="CS118" s="107" t="n">
        <x:f>SUM(IF($B$8=4,CS26,0),IF($B$36=4,CS54,0),IF($B$64=4,CS82,0))</x:f>
      </x:c>
      <x:c r="CT118" s="107" t="n">
        <x:f>SUM(IF($B$8=4,CT26,0),IF($B$36=4,CT54,0),IF($B$64=4,CT82,0))</x:f>
      </x:c>
      <x:c r="CU118" s="107" t="n">
        <x:f>SUM(IF($B$8=4,CU26,0),IF($B$36=4,CU54,0),IF($B$64=4,CU82,0))</x:f>
      </x:c>
      <x:c r="CV118" s="107" t="n">
        <x:f>SUM(IF($B$8=4,CV26,0),IF($B$36=4,CV54,0),IF($B$64=4,CV82,0))</x:f>
      </x:c>
      <x:c r="CW118" s="107" t="n">
        <x:f>SUM(IF($B$8=4,CW26,0),IF($B$36=4,CW54,0),IF($B$64=4,CW82,0))</x:f>
      </x:c>
      <x:c r="CX118" s="107" t="n">
        <x:f>SUM(IF($B$8=4,CX26,0),IF($B$36=4,CX54,0),IF($B$64=4,CX82,0))</x:f>
      </x:c>
      <x:c r="CY118" s="107" t="n">
        <x:f>SUM(IF($B$8=4,CY26,0),IF($B$36=4,CY54,0),IF($B$64=4,CY82,0))</x:f>
      </x:c>
      <x:c r="CZ118" s="107" t="n">
        <x:f>SUM(IF($B$8=4,CZ26,0),IF($B$36=4,CZ54,0),IF($B$64=4,CZ82,0))</x:f>
      </x:c>
      <x:c r="DA118" s="107" t="n">
        <x:f>SUM(IF($B$8=4,DA26,0),IF($B$36=4,DA54,0),IF($B$64=4,DA82,0))</x:f>
      </x:c>
      <x:c r="DB118" s="107" t="n">
        <x:f>SUM(IF($B$8=4,DB26,0),IF($B$36=4,DB54,0),IF($B$64=4,DB82,0))</x:f>
      </x:c>
      <x:c r="DC118" s="107" t="n">
        <x:f>SUM(IF($B$8=4,DC26,0),IF($B$36=4,DC54,0),IF($B$64=4,DC82,0))</x:f>
      </x:c>
      <x:c r="DD118" s="107" t="n">
        <x:f>SUM(IF($B$8=4,DD26,0),IF($B$36=4,DD54,0),IF($B$64=4,DD82,0))</x:f>
      </x:c>
      <x:c r="DE118" s="107" t="n">
        <x:f>SUM(IF($B$8=4,DE26,0),IF($B$36=4,DE54,0),IF($B$64=4,DE82,0))</x:f>
      </x:c>
      <x:c r="DF118" s="107" t="n">
        <x:f>SUM(IF($B$8=4,DF26,0),IF($B$36=4,DF54,0),IF($B$64=4,DF82,0))</x:f>
      </x:c>
      <x:c r="DG118" s="107" t="n">
        <x:f>SUM(IF($B$8=4,DG26,0),IF($B$36=4,DG54,0),IF($B$64=4,DG82,0))</x:f>
      </x:c>
      <x:c r="DH118" s="107" t="n">
        <x:f>SUM(IF($B$8=4,DH26,0),IF($B$36=4,DH54,0),IF($B$64=4,DH82,0))</x:f>
      </x:c>
      <x:c r="DI118" s="107" t="n">
        <x:f>SUM(IF($B$8=4,DI26,0),IF($B$36=4,DI54,0),IF($B$64=4,DI82,0))</x:f>
      </x:c>
      <x:c r="DJ118" s="107" t="n">
        <x:f>SUM(IF($B$8=4,DJ26,0),IF($B$36=4,DJ54,0),IF($B$64=4,DJ82,0))</x:f>
      </x:c>
      <x:c r="DK118" s="107" t="n">
        <x:f>SUM(IF($B$8=4,DK26,0),IF($B$36=4,DK54,0),IF($B$64=4,DK82,0))</x:f>
      </x:c>
      <x:c r="DL118" s="107" t="n">
        <x:f>SUM(IF($B$8=4,DL26,0),IF($B$36=4,DL54,0),IF($B$64=4,DL82,0))</x:f>
      </x:c>
      <x:c r="DM118" s="107" t="n">
        <x:f>SUM(IF($B$8=4,DM26,0),IF($B$36=4,DM54,0),IF($B$64=4,DM82,0))</x:f>
      </x:c>
      <x:c r="DN118" s="107" t="n">
        <x:f>SUM(IF($B$8=4,DN26,0),IF($B$36=4,DN54,0),IF($B$64=4,DN82,0))</x:f>
      </x:c>
      <x:c r="DO118" s="107" t="n">
        <x:f>SUM(IF($B$8=4,DO26,0),IF($B$36=4,DO54,0),IF($B$64=4,DO82,0))</x:f>
      </x:c>
      <x:c r="DP118" s="107" t="n">
        <x:f>SUM(IF($B$8=4,DP26,0),IF($B$36=4,DP54,0),IF($B$64=4,DP82,0))</x:f>
      </x:c>
      <x:c r="DQ118" s="107" t="n">
        <x:f>SUM(IF($B$8=4,DQ26,0),IF($B$36=4,DQ54,0),IF($B$64=4,DQ82,0))</x:f>
      </x:c>
      <x:c r="DR118" s="107" t="n">
        <x:f>SUM(IF($B$8=4,DR26,0),IF($B$36=4,DR54,0),IF($B$64=4,DR82,0))</x:f>
      </x:c>
      <x:c r="DS118" s="107" t="n">
        <x:f>SUM(IF($B$8=4,DS26,0),IF($B$36=4,DS54,0),IF($B$64=4,DS82,0))</x:f>
      </x:c>
      <x:c r="DT118" s="107" t="n">
        <x:f>SUM(IF($B$8=4,DT26,0),IF($B$36=4,DT54,0),IF($B$64=4,DT82,0))</x:f>
      </x:c>
      <x:c r="DU118" s="107" t="n">
        <x:f>SUM(IF($B$8=4,DU26,0),IF($B$36=4,DU54,0),IF($B$64=4,DU82,0))</x:f>
      </x:c>
      <x:c r="DV118" s="107" t="n">
        <x:f>SUM(IF($B$8=4,DV26,0),IF($B$36=4,DV54,0),IF($B$64=4,DV82,0))</x:f>
      </x:c>
      <x:c r="DW118" s="107" t="n">
        <x:f>SUM(IF($B$8=4,DW26,0),IF($B$36=4,DW54,0),IF($B$64=4,DW82,0))</x:f>
      </x:c>
      <x:c r="DX118" s="107" t="n">
        <x:f>SUM(IF($B$8=4,DX26,0),IF($B$36=4,DX54,0),IF($B$64=4,DX82,0))</x:f>
      </x:c>
      <x:c r="DY118" s="107" t="n">
        <x:f>SUM(IF($B$8=4,DY26,0),IF($B$36=4,DY54,0),IF($B$64=4,DY82,0))</x:f>
      </x:c>
      <x:c r="DZ118" s="107" t="n">
        <x:f>SUM(IF($B$8=4,DZ26,0),IF($B$36=4,DZ54,0),IF($B$64=4,DZ82,0))</x:f>
      </x:c>
      <x:c r="EA118" s="107" t="n">
        <x:f>SUM(IF($B$8=4,EA26,0),IF($B$36=4,EA54,0),IF($B$64=4,EA82,0))</x:f>
      </x:c>
      <x:c r="EB118" s="107" t="n">
        <x:f>SUM(IF($B$8=4,EB26,0),IF($B$36=4,EB54,0),IF($B$64=4,EB82,0))</x:f>
      </x:c>
      <x:c r="EC118" s="107" t="n">
        <x:f>SUM(IF($B$8=4,EC26,0),IF($B$36=4,EC54,0),IF($B$64=4,EC82,0))</x:f>
      </x:c>
      <x:c r="ED118" s="107" t="n">
        <x:f>SUM(IF($B$8=4,ED26,0),IF($B$36=4,ED54,0),IF($B$64=4,ED82,0))</x:f>
      </x:c>
      <x:c r="EE118" s="107" t="n">
        <x:f>SUM(IF($B$8=4,EE26,0),IF($B$36=4,EE54,0),IF($B$64=4,EE82,0))</x:f>
      </x:c>
      <x:c r="EF118" s="107" t="n">
        <x:f>SUM(IF($B$8=4,EF26,0),IF($B$36=4,EF54,0),IF($B$64=4,EF82,0))</x:f>
      </x:c>
      <x:c r="EG118" s="107" t="n">
        <x:f>SUM(IF($B$8=4,EG26,0),IF($B$36=4,EG54,0),IF($B$64=4,EG82,0))</x:f>
      </x:c>
      <x:c r="EH118" s="107" t="n">
        <x:f>SUM(IF($B$8=4,EH26,0),IF($B$36=4,EH54,0),IF($B$64=4,EH82,0))</x:f>
      </x:c>
      <x:c r="EI118" s="107" t="n">
        <x:f>SUM(IF($B$8=4,EI26,0),IF($B$36=4,EI54,0),IF($B$64=4,EI82,0))</x:f>
      </x:c>
      <x:c r="EJ118" s="107" t="n">
        <x:f>SUM(IF($B$8=4,EJ26,0),IF($B$36=4,EJ54,0),IF($B$64=4,EJ82,0))</x:f>
      </x:c>
      <x:c r="EK118" s="107" t="n">
        <x:f>SUM(IF($B$8=4,EK26,0),IF($B$36=4,EK54,0),IF($B$64=4,EK82,0))</x:f>
      </x:c>
      <x:c r="EL118" s="107" t="n">
        <x:f>SUM(IF($B$8=4,EL26,0),IF($B$36=4,EL54,0),IF($B$64=4,EL82,0))</x:f>
      </x:c>
      <x:c r="EM118" s="107" t="n">
        <x:f>SUM(IF($B$8=4,EM26,0),IF($B$36=4,EM54,0),IF($B$64=4,EM82,0))</x:f>
      </x:c>
      <x:c r="EN118" s="107" t="n">
        <x:f>SUM(IF($B$8=4,EN26,0),IF($B$36=4,EN54,0),IF($B$64=4,EN82,0))</x:f>
      </x:c>
      <x:c r="EO118" s="107" t="n">
        <x:f>SUM(IF($B$8=4,EO26,0),IF($B$36=4,EO54,0),IF($B$64=4,EO82,0))</x:f>
      </x:c>
      <x:c r="EP118" s="107" t="n">
        <x:f>SUM(IF($B$8=4,EP26,0),IF($B$36=4,EP54,0),IF($B$64=4,EP82,0))</x:f>
      </x:c>
      <x:c r="EQ118" s="107" t="n">
        <x:f>SUM(IF($B$8=4,EQ26,0),IF($B$36=4,EQ54,0),IF($B$64=4,EQ82,0))</x:f>
      </x:c>
      <x:c r="ER118" s="107" t="n">
        <x:f>SUM(IF($B$8=4,ER26,0),IF($B$36=4,ER54,0),IF($B$64=4,ER82,0))</x:f>
      </x:c>
      <x:c r="ES118" s="107" t="n">
        <x:f>SUM(IF($B$8=4,ES26,0),IF($B$36=4,ES54,0),IF($B$64=4,ES82,0))</x:f>
      </x:c>
      <x:c r="ET118" s="107" t="n">
        <x:f>SUM(IF($B$8=4,ET26,0),IF($B$36=4,ET54,0),IF($B$64=4,ET82,0))</x:f>
      </x:c>
      <x:c r="EU118" s="107" t="n">
        <x:f>SUM(IF($B$8=4,EU26,0),IF($B$36=4,EU54,0),IF($B$64=4,EU82,0))</x:f>
      </x:c>
      <x:c r="EV118" s="107" t="n">
        <x:f>SUM(IF($B$8=4,EV26,0),IF($B$36=4,EV54,0),IF($B$64=4,EV82,0))</x:f>
      </x:c>
      <x:c r="EW118" s="107" t="n">
        <x:f>SUM(IF($B$8=4,EW26,0),IF($B$36=4,EW54,0),IF($B$64=4,EW82,0))</x:f>
      </x:c>
      <x:c r="EX118" s="107" t="n">
        <x:f>SUM(IF($B$8=4,EX26,0),IF($B$36=4,EX54,0),IF($B$64=4,EX82,0))</x:f>
      </x:c>
      <x:c r="EY118" s="107" t="n">
        <x:f>SUM(IF($B$8=4,EY26,0),IF($B$36=4,EY54,0),IF($B$64=4,EY82,0))</x:f>
      </x:c>
      <x:c r="EZ118" s="107" t="n">
        <x:f>SUM(IF($B$8=4,EZ26,0),IF($B$36=4,EZ54,0),IF($B$64=4,EZ82,0))</x:f>
      </x:c>
      <x:c r="FA118" s="107" t="n">
        <x:f>SUM(IF($B$8=4,FA26,0),IF($B$36=4,FA54,0),IF($B$64=4,FA82,0))</x:f>
      </x:c>
      <x:c r="FB118" s="107" t="n">
        <x:f>SUM(IF($B$8=4,FB26,0),IF($B$36=4,FB54,0),IF($B$64=4,FB82,0))</x:f>
      </x:c>
      <x:c r="FC118" s="107" t="n">
        <x:f>SUM(IF($B$8=4,FC26,0),IF($B$36=4,FC54,0),IF($B$64=4,FC82,0))</x:f>
      </x:c>
      <x:c r="FD118" s="107" t="n">
        <x:f>SUM(IF($B$8=4,FD26,0),IF($B$36=4,FD54,0),IF($B$64=4,FD82,0))</x:f>
      </x:c>
      <x:c r="FE118" s="107" t="n">
        <x:f>SUM(IF($B$8=4,FE26,0),IF($B$36=4,FE54,0),IF($B$64=4,FE82,0))</x:f>
      </x:c>
      <x:c r="FF118" s="107" t="n">
        <x:f>SUM(IF($B$8=4,FF26,0),IF($B$36=4,FF54,0),IF($B$64=4,FF82,0))</x:f>
      </x:c>
      <x:c r="FG118" s="107" t="n">
        <x:f>SUM(IF($B$8=4,FG26,0),IF($B$36=4,FG54,0),IF($B$64=4,FG82,0))</x:f>
      </x:c>
      <x:c r="FH118" s="107" t="n">
        <x:f>SUM(IF($B$8=4,FH26,0),IF($B$36=4,FH54,0),IF($B$64=4,FH82,0))</x:f>
      </x:c>
      <x:c r="FI118" s="107" t="n">
        <x:f>SUM(IF($B$8=4,FI26,0),IF($B$36=4,FI54,0),IF($B$64=4,FI82,0))</x:f>
      </x:c>
      <x:c r="FJ118" s="107" t="n">
        <x:f>SUM(IF($B$8=4,FJ26,0),IF($B$36=4,FJ54,0),IF($B$64=4,FJ82,0))</x:f>
      </x:c>
      <x:c r="FK118" s="107" t="n">
        <x:f>SUM(IF($B$8=4,FK26,0),IF($B$36=4,FK54,0),IF($B$64=4,FK82,0))</x:f>
      </x:c>
      <x:c r="FL118" s="107" t="n">
        <x:f>SUM(IF($B$8=4,FL26,0),IF($B$36=4,FL54,0),IF($B$64=4,FL82,0))</x:f>
      </x:c>
      <x:c r="FM118" s="107" t="n">
        <x:f>SUM(IF($B$8=4,FM26,0),IF($B$36=4,FM54,0),IF($B$64=4,FM82,0))</x:f>
      </x:c>
      <x:c r="FN118" s="107" t="n">
        <x:f>SUM(IF($B$8=4,FN26,0),IF($B$36=4,FN54,0),IF($B$64=4,FN82,0))</x:f>
      </x:c>
      <x:c r="FO118" s="107" t="n">
        <x:f>SUM(IF($B$8=4,FO26,0),IF($B$36=4,FO54,0),IF($B$64=4,FO82,0))</x:f>
      </x:c>
      <x:c r="FP118" s="107" t="n">
        <x:f>SUM(IF($B$8=4,FP26,0),IF($B$36=4,FP54,0),IF($B$64=4,FP82,0))</x:f>
      </x:c>
      <x:c r="FQ118" s="107" t="n">
        <x:f>SUM(IF($B$8=4,FQ26,0),IF($B$36=4,FQ54,0),IF($B$64=4,FQ82,0))</x:f>
      </x:c>
      <x:c r="FR118" s="107" t="n">
        <x:f>SUM(IF($B$8=4,FR26,0),IF($B$36=4,FR54,0),IF($B$64=4,FR82,0))</x:f>
      </x:c>
      <x:c r="FS118" s="107" t="n">
        <x:f>SUM(IF($B$8=4,FS26,0),IF($B$36=4,FS54,0),IF($B$64=4,FS82,0))</x:f>
      </x:c>
      <x:c r="FT118" s="107" t="n">
        <x:f>SUM(IF($B$8=4,FT26,0),IF($B$36=4,FT54,0),IF($B$64=4,FT82,0))</x:f>
      </x:c>
      <x:c r="FU118" s="107" t="n">
        <x:f>SUM(IF($B$8=4,FU26,0),IF($B$36=4,FU54,0),IF($B$64=4,FU82,0))</x:f>
      </x:c>
      <x:c r="FV118" s="107" t="n">
        <x:f>SUM(IF($B$8=4,FV26,0),IF($B$36=4,FV54,0),IF($B$64=4,FV82,0))</x:f>
      </x:c>
      <x:c r="FW118" s="107" t="n">
        <x:f>SUM(IF($B$8=4,FW26,0),IF($B$36=4,FW54,0),IF($B$64=4,FW82,0))</x:f>
      </x:c>
      <x:c r="FX118" s="107" t="n">
        <x:f>SUM(IF($B$8=4,FX26,0),IF($B$36=4,FX54,0),IF($B$64=4,FX82,0))</x:f>
      </x:c>
      <x:c r="FY118" s="107" t="n">
        <x:f>SUM(IF($B$8=4,FY26,0),IF($B$36=4,FY54,0),IF($B$64=4,FY82,0))</x:f>
      </x:c>
      <x:c r="FZ118" s="107" t="n">
        <x:f>SUM(IF($B$8=4,FZ26,0),IF($B$36=4,FZ54,0),IF($B$64=4,FZ82,0))</x:f>
      </x:c>
      <x:c r="GA118" s="107" t="n">
        <x:f>SUM(IF($B$8=4,GA26,0),IF($B$36=4,GA54,0),IF($B$64=4,GA82,0))</x:f>
      </x:c>
    </x:row>
    <x:row r="119">
      <x:c r="A119" t="str">
        <x:v>Очередь 4 — Раскрытие эскроу объектов</x:v>
      </x:c>
      <x:c r="B119" s="107" t="n">
        <x:f>SUM(D119:GA119)</x:f>
      </x:c>
      <x:c r="C119" t="str">
        <x:v>млн ₽</x:v>
      </x:c>
      <x:c r="D119" s="107" t="n">
        <x:f>SUM(IF($B$8=4,D27,0),IF($B$36=4,D55,0),IF($B$64=4,D83,0))</x:f>
      </x:c>
      <x:c r="E119" s="107" t="n">
        <x:f>SUM(IF($B$8=4,E27,0),IF($B$36=4,E55,0),IF($B$64=4,E83,0))</x:f>
      </x:c>
      <x:c r="F119" s="107" t="n">
        <x:f>SUM(IF($B$8=4,F27,0),IF($B$36=4,F55,0),IF($B$64=4,F83,0))</x:f>
      </x:c>
      <x:c r="G119" s="107" t="n">
        <x:f>SUM(IF($B$8=4,G27,0),IF($B$36=4,G55,0),IF($B$64=4,G83,0))</x:f>
      </x:c>
      <x:c r="H119" s="107" t="n">
        <x:f>SUM(IF($B$8=4,H27,0),IF($B$36=4,H55,0),IF($B$64=4,H83,0))</x:f>
      </x:c>
      <x:c r="I119" s="107" t="n">
        <x:f>SUM(IF($B$8=4,I27,0),IF($B$36=4,I55,0),IF($B$64=4,I83,0))</x:f>
      </x:c>
      <x:c r="J119" s="107" t="n">
        <x:f>SUM(IF($B$8=4,J27,0),IF($B$36=4,J55,0),IF($B$64=4,J83,0))</x:f>
      </x:c>
      <x:c r="K119" s="107" t="n">
        <x:f>SUM(IF($B$8=4,K27,0),IF($B$36=4,K55,0),IF($B$64=4,K83,0))</x:f>
      </x:c>
      <x:c r="L119" s="107" t="n">
        <x:f>SUM(IF($B$8=4,L27,0),IF($B$36=4,L55,0),IF($B$64=4,L83,0))</x:f>
      </x:c>
      <x:c r="M119" s="107" t="n">
        <x:f>SUM(IF($B$8=4,M27,0),IF($B$36=4,M55,0),IF($B$64=4,M83,0))</x:f>
      </x:c>
      <x:c r="N119" s="107" t="n">
        <x:f>SUM(IF($B$8=4,N27,0),IF($B$36=4,N55,0),IF($B$64=4,N83,0))</x:f>
      </x:c>
      <x:c r="O119" s="107" t="n">
        <x:f>SUM(IF($B$8=4,O27,0),IF($B$36=4,O55,0),IF($B$64=4,O83,0))</x:f>
      </x:c>
      <x:c r="P119" s="107" t="n">
        <x:f>SUM(IF($B$8=4,P27,0),IF($B$36=4,P55,0),IF($B$64=4,P83,0))</x:f>
      </x:c>
      <x:c r="Q119" s="107" t="n">
        <x:f>SUM(IF($B$8=4,Q27,0),IF($B$36=4,Q55,0),IF($B$64=4,Q83,0))</x:f>
      </x:c>
      <x:c r="R119" s="107" t="n">
        <x:f>SUM(IF($B$8=4,R27,0),IF($B$36=4,R55,0),IF($B$64=4,R83,0))</x:f>
      </x:c>
      <x:c r="S119" s="107" t="n">
        <x:f>SUM(IF($B$8=4,S27,0),IF($B$36=4,S55,0),IF($B$64=4,S83,0))</x:f>
      </x:c>
      <x:c r="T119" s="107" t="n">
        <x:f>SUM(IF($B$8=4,T27,0),IF($B$36=4,T55,0),IF($B$64=4,T83,0))</x:f>
      </x:c>
      <x:c r="U119" s="107" t="n">
        <x:f>SUM(IF($B$8=4,U27,0),IF($B$36=4,U55,0),IF($B$64=4,U83,0))</x:f>
      </x:c>
      <x:c r="V119" s="107" t="n">
        <x:f>SUM(IF($B$8=4,V27,0),IF($B$36=4,V55,0),IF($B$64=4,V83,0))</x:f>
      </x:c>
      <x:c r="W119" s="107" t="n">
        <x:f>SUM(IF($B$8=4,W27,0),IF($B$36=4,W55,0),IF($B$64=4,W83,0))</x:f>
      </x:c>
      <x:c r="X119" s="107" t="n">
        <x:f>SUM(IF($B$8=4,X27,0),IF($B$36=4,X55,0),IF($B$64=4,X83,0))</x:f>
      </x:c>
      <x:c r="Y119" s="107" t="n">
        <x:f>SUM(IF($B$8=4,Y27,0),IF($B$36=4,Y55,0),IF($B$64=4,Y83,0))</x:f>
      </x:c>
      <x:c r="Z119" s="107" t="n">
        <x:f>SUM(IF($B$8=4,Z27,0),IF($B$36=4,Z55,0),IF($B$64=4,Z83,0))</x:f>
      </x:c>
      <x:c r="AA119" s="107" t="n">
        <x:f>SUM(IF($B$8=4,AA27,0),IF($B$36=4,AA55,0),IF($B$64=4,AA83,0))</x:f>
      </x:c>
      <x:c r="AB119" s="107" t="n">
        <x:f>SUM(IF($B$8=4,AB27,0),IF($B$36=4,AB55,0),IF($B$64=4,AB83,0))</x:f>
      </x:c>
      <x:c r="AC119" s="107" t="n">
        <x:f>SUM(IF($B$8=4,AC27,0),IF($B$36=4,AC55,0),IF($B$64=4,AC83,0))</x:f>
      </x:c>
      <x:c r="AD119" s="107" t="n">
        <x:f>SUM(IF($B$8=4,AD27,0),IF($B$36=4,AD55,0),IF($B$64=4,AD83,0))</x:f>
      </x:c>
      <x:c r="AE119" s="107" t="n">
        <x:f>SUM(IF($B$8=4,AE27,0),IF($B$36=4,AE55,0),IF($B$64=4,AE83,0))</x:f>
      </x:c>
      <x:c r="AF119" s="107" t="n">
        <x:f>SUM(IF($B$8=4,AF27,0),IF($B$36=4,AF55,0),IF($B$64=4,AF83,0))</x:f>
      </x:c>
      <x:c r="AG119" s="107" t="n">
        <x:f>SUM(IF($B$8=4,AG27,0),IF($B$36=4,AG55,0),IF($B$64=4,AG83,0))</x:f>
      </x:c>
      <x:c r="AH119" s="107" t="n">
        <x:f>SUM(IF($B$8=4,AH27,0),IF($B$36=4,AH55,0),IF($B$64=4,AH83,0))</x:f>
      </x:c>
      <x:c r="AI119" s="107" t="n">
        <x:f>SUM(IF($B$8=4,AI27,0),IF($B$36=4,AI55,0),IF($B$64=4,AI83,0))</x:f>
      </x:c>
      <x:c r="AJ119" s="107" t="n">
        <x:f>SUM(IF($B$8=4,AJ27,0),IF($B$36=4,AJ55,0),IF($B$64=4,AJ83,0))</x:f>
      </x:c>
      <x:c r="AK119" s="107" t="n">
        <x:f>SUM(IF($B$8=4,AK27,0),IF($B$36=4,AK55,0),IF($B$64=4,AK83,0))</x:f>
      </x:c>
      <x:c r="AL119" s="107" t="n">
        <x:f>SUM(IF($B$8=4,AL27,0),IF($B$36=4,AL55,0),IF($B$64=4,AL83,0))</x:f>
      </x:c>
      <x:c r="AM119" s="107" t="n">
        <x:f>SUM(IF($B$8=4,AM27,0),IF($B$36=4,AM55,0),IF($B$64=4,AM83,0))</x:f>
      </x:c>
      <x:c r="AN119" s="107" t="n">
        <x:f>SUM(IF($B$8=4,AN27,0),IF($B$36=4,AN55,0),IF($B$64=4,AN83,0))</x:f>
      </x:c>
      <x:c r="AO119" s="107" t="n">
        <x:f>SUM(IF($B$8=4,AO27,0),IF($B$36=4,AO55,0),IF($B$64=4,AO83,0))</x:f>
      </x:c>
      <x:c r="AP119" s="107" t="n">
        <x:f>SUM(IF($B$8=4,AP27,0),IF($B$36=4,AP55,0),IF($B$64=4,AP83,0))</x:f>
      </x:c>
      <x:c r="AQ119" s="107" t="n">
        <x:f>SUM(IF($B$8=4,AQ27,0),IF($B$36=4,AQ55,0),IF($B$64=4,AQ83,0))</x:f>
      </x:c>
      <x:c r="AR119" s="107" t="n">
        <x:f>SUM(IF($B$8=4,AR27,0),IF($B$36=4,AR55,0),IF($B$64=4,AR83,0))</x:f>
      </x:c>
      <x:c r="AS119" s="107" t="n">
        <x:f>SUM(IF($B$8=4,AS27,0),IF($B$36=4,AS55,0),IF($B$64=4,AS83,0))</x:f>
      </x:c>
      <x:c r="AT119" s="107" t="n">
        <x:f>SUM(IF($B$8=4,AT27,0),IF($B$36=4,AT55,0),IF($B$64=4,AT83,0))</x:f>
      </x:c>
      <x:c r="AU119" s="107" t="n">
        <x:f>SUM(IF($B$8=4,AU27,0),IF($B$36=4,AU55,0),IF($B$64=4,AU83,0))</x:f>
      </x:c>
      <x:c r="AV119" s="107" t="n">
        <x:f>SUM(IF($B$8=4,AV27,0),IF($B$36=4,AV55,0),IF($B$64=4,AV83,0))</x:f>
      </x:c>
      <x:c r="AW119" s="107" t="n">
        <x:f>SUM(IF($B$8=4,AW27,0),IF($B$36=4,AW55,0),IF($B$64=4,AW83,0))</x:f>
      </x:c>
      <x:c r="AX119" s="107" t="n">
        <x:f>SUM(IF($B$8=4,AX27,0),IF($B$36=4,AX55,0),IF($B$64=4,AX83,0))</x:f>
      </x:c>
      <x:c r="AY119" s="107" t="n">
        <x:f>SUM(IF($B$8=4,AY27,0),IF($B$36=4,AY55,0),IF($B$64=4,AY83,0))</x:f>
      </x:c>
      <x:c r="AZ119" s="107" t="n">
        <x:f>SUM(IF($B$8=4,AZ27,0),IF($B$36=4,AZ55,0),IF($B$64=4,AZ83,0))</x:f>
      </x:c>
      <x:c r="BA119" s="107" t="n">
        <x:f>SUM(IF($B$8=4,BA27,0),IF($B$36=4,BA55,0),IF($B$64=4,BA83,0))</x:f>
      </x:c>
      <x:c r="BB119" s="107" t="n">
        <x:f>SUM(IF($B$8=4,BB27,0),IF($B$36=4,BB55,0),IF($B$64=4,BB83,0))</x:f>
      </x:c>
      <x:c r="BC119" s="107" t="n">
        <x:f>SUM(IF($B$8=4,BC27,0),IF($B$36=4,BC55,0),IF($B$64=4,BC83,0))</x:f>
      </x:c>
      <x:c r="BD119" s="107" t="n">
        <x:f>SUM(IF($B$8=4,BD27,0),IF($B$36=4,BD55,0),IF($B$64=4,BD83,0))</x:f>
      </x:c>
      <x:c r="BE119" s="107" t="n">
        <x:f>SUM(IF($B$8=4,BE27,0),IF($B$36=4,BE55,0),IF($B$64=4,BE83,0))</x:f>
      </x:c>
      <x:c r="BF119" s="107" t="n">
        <x:f>SUM(IF($B$8=4,BF27,0),IF($B$36=4,BF55,0),IF($B$64=4,BF83,0))</x:f>
      </x:c>
      <x:c r="BG119" s="107" t="n">
        <x:f>SUM(IF($B$8=4,BG27,0),IF($B$36=4,BG55,0),IF($B$64=4,BG83,0))</x:f>
      </x:c>
      <x:c r="BH119" s="107" t="n">
        <x:f>SUM(IF($B$8=4,BH27,0),IF($B$36=4,BH55,0),IF($B$64=4,BH83,0))</x:f>
      </x:c>
      <x:c r="BI119" s="107" t="n">
        <x:f>SUM(IF($B$8=4,BI27,0),IF($B$36=4,BI55,0),IF($B$64=4,BI83,0))</x:f>
      </x:c>
      <x:c r="BJ119" s="107" t="n">
        <x:f>SUM(IF($B$8=4,BJ27,0),IF($B$36=4,BJ55,0),IF($B$64=4,BJ83,0))</x:f>
      </x:c>
      <x:c r="BK119" s="107" t="n">
        <x:f>SUM(IF($B$8=4,BK27,0),IF($B$36=4,BK55,0),IF($B$64=4,BK83,0))</x:f>
      </x:c>
      <x:c r="BL119" s="107" t="n">
        <x:f>SUM(IF($B$8=4,BL27,0),IF($B$36=4,BL55,0),IF($B$64=4,BL83,0))</x:f>
      </x:c>
      <x:c r="BM119" s="107" t="n">
        <x:f>SUM(IF($B$8=4,BM27,0),IF($B$36=4,BM55,0),IF($B$64=4,BM83,0))</x:f>
      </x:c>
      <x:c r="BN119" s="107" t="n">
        <x:f>SUM(IF($B$8=4,BN27,0),IF($B$36=4,BN55,0),IF($B$64=4,BN83,0))</x:f>
      </x:c>
      <x:c r="BO119" s="107" t="n">
        <x:f>SUM(IF($B$8=4,BO27,0),IF($B$36=4,BO55,0),IF($B$64=4,BO83,0))</x:f>
      </x:c>
      <x:c r="BP119" s="107" t="n">
        <x:f>SUM(IF($B$8=4,BP27,0),IF($B$36=4,BP55,0),IF($B$64=4,BP83,0))</x:f>
      </x:c>
      <x:c r="BQ119" s="107" t="n">
        <x:f>SUM(IF($B$8=4,BQ27,0),IF($B$36=4,BQ55,0),IF($B$64=4,BQ83,0))</x:f>
      </x:c>
      <x:c r="BR119" s="107" t="n">
        <x:f>SUM(IF($B$8=4,BR27,0),IF($B$36=4,BR55,0),IF($B$64=4,BR83,0))</x:f>
      </x:c>
      <x:c r="BS119" s="107" t="n">
        <x:f>SUM(IF($B$8=4,BS27,0),IF($B$36=4,BS55,0),IF($B$64=4,BS83,0))</x:f>
      </x:c>
      <x:c r="BT119" s="107" t="n">
        <x:f>SUM(IF($B$8=4,BT27,0),IF($B$36=4,BT55,0),IF($B$64=4,BT83,0))</x:f>
      </x:c>
      <x:c r="BU119" s="107" t="n">
        <x:f>SUM(IF($B$8=4,BU27,0),IF($B$36=4,BU55,0),IF($B$64=4,BU83,0))</x:f>
      </x:c>
      <x:c r="BV119" s="107" t="n">
        <x:f>SUM(IF($B$8=4,BV27,0),IF($B$36=4,BV55,0),IF($B$64=4,BV83,0))</x:f>
      </x:c>
      <x:c r="BW119" s="107" t="n">
        <x:f>SUM(IF($B$8=4,BW27,0),IF($B$36=4,BW55,0),IF($B$64=4,BW83,0))</x:f>
      </x:c>
      <x:c r="BX119" s="107" t="n">
        <x:f>SUM(IF($B$8=4,BX27,0),IF($B$36=4,BX55,0),IF($B$64=4,BX83,0))</x:f>
      </x:c>
      <x:c r="BY119" s="107" t="n">
        <x:f>SUM(IF($B$8=4,BY27,0),IF($B$36=4,BY55,0),IF($B$64=4,BY83,0))</x:f>
      </x:c>
      <x:c r="BZ119" s="107" t="n">
        <x:f>SUM(IF($B$8=4,BZ27,0),IF($B$36=4,BZ55,0),IF($B$64=4,BZ83,0))</x:f>
      </x:c>
      <x:c r="CA119" s="107" t="n">
        <x:f>SUM(IF($B$8=4,CA27,0),IF($B$36=4,CA55,0),IF($B$64=4,CA83,0))</x:f>
      </x:c>
      <x:c r="CB119" s="107" t="n">
        <x:f>SUM(IF($B$8=4,CB27,0),IF($B$36=4,CB55,0),IF($B$64=4,CB83,0))</x:f>
      </x:c>
      <x:c r="CC119" s="107" t="n">
        <x:f>SUM(IF($B$8=4,CC27,0),IF($B$36=4,CC55,0),IF($B$64=4,CC83,0))</x:f>
      </x:c>
      <x:c r="CD119" s="107" t="n">
        <x:f>SUM(IF($B$8=4,CD27,0),IF($B$36=4,CD55,0),IF($B$64=4,CD83,0))</x:f>
      </x:c>
      <x:c r="CE119" s="107" t="n">
        <x:f>SUM(IF($B$8=4,CE27,0),IF($B$36=4,CE55,0),IF($B$64=4,CE83,0))</x:f>
      </x:c>
      <x:c r="CF119" s="107" t="n">
        <x:f>SUM(IF($B$8=4,CF27,0),IF($B$36=4,CF55,0),IF($B$64=4,CF83,0))</x:f>
      </x:c>
      <x:c r="CG119" s="107" t="n">
        <x:f>SUM(IF($B$8=4,CG27,0),IF($B$36=4,CG55,0),IF($B$64=4,CG83,0))</x:f>
      </x:c>
      <x:c r="CH119" s="107" t="n">
        <x:f>SUM(IF($B$8=4,CH27,0),IF($B$36=4,CH55,0),IF($B$64=4,CH83,0))</x:f>
      </x:c>
      <x:c r="CI119" s="107" t="n">
        <x:f>SUM(IF($B$8=4,CI27,0),IF($B$36=4,CI55,0),IF($B$64=4,CI83,0))</x:f>
      </x:c>
      <x:c r="CJ119" s="107" t="n">
        <x:f>SUM(IF($B$8=4,CJ27,0),IF($B$36=4,CJ55,0),IF($B$64=4,CJ83,0))</x:f>
      </x:c>
      <x:c r="CK119" s="107" t="n">
        <x:f>SUM(IF($B$8=4,CK27,0),IF($B$36=4,CK55,0),IF($B$64=4,CK83,0))</x:f>
      </x:c>
      <x:c r="CL119" s="107" t="n">
        <x:f>SUM(IF($B$8=4,CL27,0),IF($B$36=4,CL55,0),IF($B$64=4,CL83,0))</x:f>
      </x:c>
      <x:c r="CM119" s="107" t="n">
        <x:f>SUM(IF($B$8=4,CM27,0),IF($B$36=4,CM55,0),IF($B$64=4,CM83,0))</x:f>
      </x:c>
      <x:c r="CN119" s="107" t="n">
        <x:f>SUM(IF($B$8=4,CN27,0),IF($B$36=4,CN55,0),IF($B$64=4,CN83,0))</x:f>
      </x:c>
      <x:c r="CO119" s="107" t="n">
        <x:f>SUM(IF($B$8=4,CO27,0),IF($B$36=4,CO55,0),IF($B$64=4,CO83,0))</x:f>
      </x:c>
      <x:c r="CP119" s="107" t="n">
        <x:f>SUM(IF($B$8=4,CP27,0),IF($B$36=4,CP55,0),IF($B$64=4,CP83,0))</x:f>
      </x:c>
      <x:c r="CQ119" s="107" t="n">
        <x:f>SUM(IF($B$8=4,CQ27,0),IF($B$36=4,CQ55,0),IF($B$64=4,CQ83,0))</x:f>
      </x:c>
      <x:c r="CR119" s="107" t="n">
        <x:f>SUM(IF($B$8=4,CR27,0),IF($B$36=4,CR55,0),IF($B$64=4,CR83,0))</x:f>
      </x:c>
      <x:c r="CS119" s="107" t="n">
        <x:f>SUM(IF($B$8=4,CS27,0),IF($B$36=4,CS55,0),IF($B$64=4,CS83,0))</x:f>
      </x:c>
      <x:c r="CT119" s="107" t="n">
        <x:f>SUM(IF($B$8=4,CT27,0),IF($B$36=4,CT55,0),IF($B$64=4,CT83,0))</x:f>
      </x:c>
      <x:c r="CU119" s="107" t="n">
        <x:f>SUM(IF($B$8=4,CU27,0),IF($B$36=4,CU55,0),IF($B$64=4,CU83,0))</x:f>
      </x:c>
      <x:c r="CV119" s="107" t="n">
        <x:f>SUM(IF($B$8=4,CV27,0),IF($B$36=4,CV55,0),IF($B$64=4,CV83,0))</x:f>
      </x:c>
      <x:c r="CW119" s="107" t="n">
        <x:f>SUM(IF($B$8=4,CW27,0),IF($B$36=4,CW55,0),IF($B$64=4,CW83,0))</x:f>
      </x:c>
      <x:c r="CX119" s="107" t="n">
        <x:f>SUM(IF($B$8=4,CX27,0),IF($B$36=4,CX55,0),IF($B$64=4,CX83,0))</x:f>
      </x:c>
      <x:c r="CY119" s="107" t="n">
        <x:f>SUM(IF($B$8=4,CY27,0),IF($B$36=4,CY55,0),IF($B$64=4,CY83,0))</x:f>
      </x:c>
      <x:c r="CZ119" s="107" t="n">
        <x:f>SUM(IF($B$8=4,CZ27,0),IF($B$36=4,CZ55,0),IF($B$64=4,CZ83,0))</x:f>
      </x:c>
      <x:c r="DA119" s="107" t="n">
        <x:f>SUM(IF($B$8=4,DA27,0),IF($B$36=4,DA55,0),IF($B$64=4,DA83,0))</x:f>
      </x:c>
      <x:c r="DB119" s="107" t="n">
        <x:f>SUM(IF($B$8=4,DB27,0),IF($B$36=4,DB55,0),IF($B$64=4,DB83,0))</x:f>
      </x:c>
      <x:c r="DC119" s="107" t="n">
        <x:f>SUM(IF($B$8=4,DC27,0),IF($B$36=4,DC55,0),IF($B$64=4,DC83,0))</x:f>
      </x:c>
      <x:c r="DD119" s="107" t="n">
        <x:f>SUM(IF($B$8=4,DD27,0),IF($B$36=4,DD55,0),IF($B$64=4,DD83,0))</x:f>
      </x:c>
      <x:c r="DE119" s="107" t="n">
        <x:f>SUM(IF($B$8=4,DE27,0),IF($B$36=4,DE55,0),IF($B$64=4,DE83,0))</x:f>
      </x:c>
      <x:c r="DF119" s="107" t="n">
        <x:f>SUM(IF($B$8=4,DF27,0),IF($B$36=4,DF55,0),IF($B$64=4,DF83,0))</x:f>
      </x:c>
      <x:c r="DG119" s="107" t="n">
        <x:f>SUM(IF($B$8=4,DG27,0),IF($B$36=4,DG55,0),IF($B$64=4,DG83,0))</x:f>
      </x:c>
      <x:c r="DH119" s="107" t="n">
        <x:f>SUM(IF($B$8=4,DH27,0),IF($B$36=4,DH55,0),IF($B$64=4,DH83,0))</x:f>
      </x:c>
      <x:c r="DI119" s="107" t="n">
        <x:f>SUM(IF($B$8=4,DI27,0),IF($B$36=4,DI55,0),IF($B$64=4,DI83,0))</x:f>
      </x:c>
      <x:c r="DJ119" s="107" t="n">
        <x:f>SUM(IF($B$8=4,DJ27,0),IF($B$36=4,DJ55,0),IF($B$64=4,DJ83,0))</x:f>
      </x:c>
      <x:c r="DK119" s="107" t="n">
        <x:f>SUM(IF($B$8=4,DK27,0),IF($B$36=4,DK55,0),IF($B$64=4,DK83,0))</x:f>
      </x:c>
      <x:c r="DL119" s="107" t="n">
        <x:f>SUM(IF($B$8=4,DL27,0),IF($B$36=4,DL55,0),IF($B$64=4,DL83,0))</x:f>
      </x:c>
      <x:c r="DM119" s="107" t="n">
        <x:f>SUM(IF($B$8=4,DM27,0),IF($B$36=4,DM55,0),IF($B$64=4,DM83,0))</x:f>
      </x:c>
      <x:c r="DN119" s="107" t="n">
        <x:f>SUM(IF($B$8=4,DN27,0),IF($B$36=4,DN55,0),IF($B$64=4,DN83,0))</x:f>
      </x:c>
      <x:c r="DO119" s="107" t="n">
        <x:f>SUM(IF($B$8=4,DO27,0),IF($B$36=4,DO55,0),IF($B$64=4,DO83,0))</x:f>
      </x:c>
      <x:c r="DP119" s="107" t="n">
        <x:f>SUM(IF($B$8=4,DP27,0),IF($B$36=4,DP55,0),IF($B$64=4,DP83,0))</x:f>
      </x:c>
      <x:c r="DQ119" s="107" t="n">
        <x:f>SUM(IF($B$8=4,DQ27,0),IF($B$36=4,DQ55,0),IF($B$64=4,DQ83,0))</x:f>
      </x:c>
      <x:c r="DR119" s="107" t="n">
        <x:f>SUM(IF($B$8=4,DR27,0),IF($B$36=4,DR55,0),IF($B$64=4,DR83,0))</x:f>
      </x:c>
      <x:c r="DS119" s="107" t="n">
        <x:f>SUM(IF($B$8=4,DS27,0),IF($B$36=4,DS55,0),IF($B$64=4,DS83,0))</x:f>
      </x:c>
      <x:c r="DT119" s="107" t="n">
        <x:f>SUM(IF($B$8=4,DT27,0),IF($B$36=4,DT55,0),IF($B$64=4,DT83,0))</x:f>
      </x:c>
      <x:c r="DU119" s="107" t="n">
        <x:f>SUM(IF($B$8=4,DU27,0),IF($B$36=4,DU55,0),IF($B$64=4,DU83,0))</x:f>
      </x:c>
      <x:c r="DV119" s="107" t="n">
        <x:f>SUM(IF($B$8=4,DV27,0),IF($B$36=4,DV55,0),IF($B$64=4,DV83,0))</x:f>
      </x:c>
      <x:c r="DW119" s="107" t="n">
        <x:f>SUM(IF($B$8=4,DW27,0),IF($B$36=4,DW55,0),IF($B$64=4,DW83,0))</x:f>
      </x:c>
      <x:c r="DX119" s="107" t="n">
        <x:f>SUM(IF($B$8=4,DX27,0),IF($B$36=4,DX55,0),IF($B$64=4,DX83,0))</x:f>
      </x:c>
      <x:c r="DY119" s="107" t="n">
        <x:f>SUM(IF($B$8=4,DY27,0),IF($B$36=4,DY55,0),IF($B$64=4,DY83,0))</x:f>
      </x:c>
      <x:c r="DZ119" s="107" t="n">
        <x:f>SUM(IF($B$8=4,DZ27,0),IF($B$36=4,DZ55,0),IF($B$64=4,DZ83,0))</x:f>
      </x:c>
      <x:c r="EA119" s="107" t="n">
        <x:f>SUM(IF($B$8=4,EA27,0),IF($B$36=4,EA55,0),IF($B$64=4,EA83,0))</x:f>
      </x:c>
      <x:c r="EB119" s="107" t="n">
        <x:f>SUM(IF($B$8=4,EB27,0),IF($B$36=4,EB55,0),IF($B$64=4,EB83,0))</x:f>
      </x:c>
      <x:c r="EC119" s="107" t="n">
        <x:f>SUM(IF($B$8=4,EC27,0),IF($B$36=4,EC55,0),IF($B$64=4,EC83,0))</x:f>
      </x:c>
      <x:c r="ED119" s="107" t="n">
        <x:f>SUM(IF($B$8=4,ED27,0),IF($B$36=4,ED55,0),IF($B$64=4,ED83,0))</x:f>
      </x:c>
      <x:c r="EE119" s="107" t="n">
        <x:f>SUM(IF($B$8=4,EE27,0),IF($B$36=4,EE55,0),IF($B$64=4,EE83,0))</x:f>
      </x:c>
      <x:c r="EF119" s="107" t="n">
        <x:f>SUM(IF($B$8=4,EF27,0),IF($B$36=4,EF55,0),IF($B$64=4,EF83,0))</x:f>
      </x:c>
      <x:c r="EG119" s="107" t="n">
        <x:f>SUM(IF($B$8=4,EG27,0),IF($B$36=4,EG55,0),IF($B$64=4,EG83,0))</x:f>
      </x:c>
      <x:c r="EH119" s="107" t="n">
        <x:f>SUM(IF($B$8=4,EH27,0),IF($B$36=4,EH55,0),IF($B$64=4,EH83,0))</x:f>
      </x:c>
      <x:c r="EI119" s="107" t="n">
        <x:f>SUM(IF($B$8=4,EI27,0),IF($B$36=4,EI55,0),IF($B$64=4,EI83,0))</x:f>
      </x:c>
      <x:c r="EJ119" s="107" t="n">
        <x:f>SUM(IF($B$8=4,EJ27,0),IF($B$36=4,EJ55,0),IF($B$64=4,EJ83,0))</x:f>
      </x:c>
      <x:c r="EK119" s="107" t="n">
        <x:f>SUM(IF($B$8=4,EK27,0),IF($B$36=4,EK55,0),IF($B$64=4,EK83,0))</x:f>
      </x:c>
      <x:c r="EL119" s="107" t="n">
        <x:f>SUM(IF($B$8=4,EL27,0),IF($B$36=4,EL55,0),IF($B$64=4,EL83,0))</x:f>
      </x:c>
      <x:c r="EM119" s="107" t="n">
        <x:f>SUM(IF($B$8=4,EM27,0),IF($B$36=4,EM55,0),IF($B$64=4,EM83,0))</x:f>
      </x:c>
      <x:c r="EN119" s="107" t="n">
        <x:f>SUM(IF($B$8=4,EN27,0),IF($B$36=4,EN55,0),IF($B$64=4,EN83,0))</x:f>
      </x:c>
      <x:c r="EO119" s="107" t="n">
        <x:f>SUM(IF($B$8=4,EO27,0),IF($B$36=4,EO55,0),IF($B$64=4,EO83,0))</x:f>
      </x:c>
      <x:c r="EP119" s="107" t="n">
        <x:f>SUM(IF($B$8=4,EP27,0),IF($B$36=4,EP55,0),IF($B$64=4,EP83,0))</x:f>
      </x:c>
      <x:c r="EQ119" s="107" t="n">
        <x:f>SUM(IF($B$8=4,EQ27,0),IF($B$36=4,EQ55,0),IF($B$64=4,EQ83,0))</x:f>
      </x:c>
      <x:c r="ER119" s="107" t="n">
        <x:f>SUM(IF($B$8=4,ER27,0),IF($B$36=4,ER55,0),IF($B$64=4,ER83,0))</x:f>
      </x:c>
      <x:c r="ES119" s="107" t="n">
        <x:f>SUM(IF($B$8=4,ES27,0),IF($B$36=4,ES55,0),IF($B$64=4,ES83,0))</x:f>
      </x:c>
      <x:c r="ET119" s="107" t="n">
        <x:f>SUM(IF($B$8=4,ET27,0),IF($B$36=4,ET55,0),IF($B$64=4,ET83,0))</x:f>
      </x:c>
      <x:c r="EU119" s="107" t="n">
        <x:f>SUM(IF($B$8=4,EU27,0),IF($B$36=4,EU55,0),IF($B$64=4,EU83,0))</x:f>
      </x:c>
      <x:c r="EV119" s="107" t="n">
        <x:f>SUM(IF($B$8=4,EV27,0),IF($B$36=4,EV55,0),IF($B$64=4,EV83,0))</x:f>
      </x:c>
      <x:c r="EW119" s="107" t="n">
        <x:f>SUM(IF($B$8=4,EW27,0),IF($B$36=4,EW55,0),IF($B$64=4,EW83,0))</x:f>
      </x:c>
      <x:c r="EX119" s="107" t="n">
        <x:f>SUM(IF($B$8=4,EX27,0),IF($B$36=4,EX55,0),IF($B$64=4,EX83,0))</x:f>
      </x:c>
      <x:c r="EY119" s="107" t="n">
        <x:f>SUM(IF($B$8=4,EY27,0),IF($B$36=4,EY55,0),IF($B$64=4,EY83,0))</x:f>
      </x:c>
      <x:c r="EZ119" s="107" t="n">
        <x:f>SUM(IF($B$8=4,EZ27,0),IF($B$36=4,EZ55,0),IF($B$64=4,EZ83,0))</x:f>
      </x:c>
      <x:c r="FA119" s="107" t="n">
        <x:f>SUM(IF($B$8=4,FA27,0),IF($B$36=4,FA55,0),IF($B$64=4,FA83,0))</x:f>
      </x:c>
      <x:c r="FB119" s="107" t="n">
        <x:f>SUM(IF($B$8=4,FB27,0),IF($B$36=4,FB55,0),IF($B$64=4,FB83,0))</x:f>
      </x:c>
      <x:c r="FC119" s="107" t="n">
        <x:f>SUM(IF($B$8=4,FC27,0),IF($B$36=4,FC55,0),IF($B$64=4,FC83,0))</x:f>
      </x:c>
      <x:c r="FD119" s="107" t="n">
        <x:f>SUM(IF($B$8=4,FD27,0),IF($B$36=4,FD55,0),IF($B$64=4,FD83,0))</x:f>
      </x:c>
      <x:c r="FE119" s="107" t="n">
        <x:f>SUM(IF($B$8=4,FE27,0),IF($B$36=4,FE55,0),IF($B$64=4,FE83,0))</x:f>
      </x:c>
      <x:c r="FF119" s="107" t="n">
        <x:f>SUM(IF($B$8=4,FF27,0),IF($B$36=4,FF55,0),IF($B$64=4,FF83,0))</x:f>
      </x:c>
      <x:c r="FG119" s="107" t="n">
        <x:f>SUM(IF($B$8=4,FG27,0),IF($B$36=4,FG55,0),IF($B$64=4,FG83,0))</x:f>
      </x:c>
      <x:c r="FH119" s="107" t="n">
        <x:f>SUM(IF($B$8=4,FH27,0),IF($B$36=4,FH55,0),IF($B$64=4,FH83,0))</x:f>
      </x:c>
      <x:c r="FI119" s="107" t="n">
        <x:f>SUM(IF($B$8=4,FI27,0),IF($B$36=4,FI55,0),IF($B$64=4,FI83,0))</x:f>
      </x:c>
      <x:c r="FJ119" s="107" t="n">
        <x:f>SUM(IF($B$8=4,FJ27,0),IF($B$36=4,FJ55,0),IF($B$64=4,FJ83,0))</x:f>
      </x:c>
      <x:c r="FK119" s="107" t="n">
        <x:f>SUM(IF($B$8=4,FK27,0),IF($B$36=4,FK55,0),IF($B$64=4,FK83,0))</x:f>
      </x:c>
      <x:c r="FL119" s="107" t="n">
        <x:f>SUM(IF($B$8=4,FL27,0),IF($B$36=4,FL55,0),IF($B$64=4,FL83,0))</x:f>
      </x:c>
      <x:c r="FM119" s="107" t="n">
        <x:f>SUM(IF($B$8=4,FM27,0),IF($B$36=4,FM55,0),IF($B$64=4,FM83,0))</x:f>
      </x:c>
      <x:c r="FN119" s="107" t="n">
        <x:f>SUM(IF($B$8=4,FN27,0),IF($B$36=4,FN55,0),IF($B$64=4,FN83,0))</x:f>
      </x:c>
      <x:c r="FO119" s="107" t="n">
        <x:f>SUM(IF($B$8=4,FO27,0),IF($B$36=4,FO55,0),IF($B$64=4,FO83,0))</x:f>
      </x:c>
      <x:c r="FP119" s="107" t="n">
        <x:f>SUM(IF($B$8=4,FP27,0),IF($B$36=4,FP55,0),IF($B$64=4,FP83,0))</x:f>
      </x:c>
      <x:c r="FQ119" s="107" t="n">
        <x:f>SUM(IF($B$8=4,FQ27,0),IF($B$36=4,FQ55,0),IF($B$64=4,FQ83,0))</x:f>
      </x:c>
      <x:c r="FR119" s="107" t="n">
        <x:f>SUM(IF($B$8=4,FR27,0),IF($B$36=4,FR55,0),IF($B$64=4,FR83,0))</x:f>
      </x:c>
      <x:c r="FS119" s="107" t="n">
        <x:f>SUM(IF($B$8=4,FS27,0),IF($B$36=4,FS55,0),IF($B$64=4,FS83,0))</x:f>
      </x:c>
      <x:c r="FT119" s="107" t="n">
        <x:f>SUM(IF($B$8=4,FT27,0),IF($B$36=4,FT55,0),IF($B$64=4,FT83,0))</x:f>
      </x:c>
      <x:c r="FU119" s="107" t="n">
        <x:f>SUM(IF($B$8=4,FU27,0),IF($B$36=4,FU55,0),IF($B$64=4,FU83,0))</x:f>
      </x:c>
      <x:c r="FV119" s="107" t="n">
        <x:f>SUM(IF($B$8=4,FV27,0),IF($B$36=4,FV55,0),IF($B$64=4,FV83,0))</x:f>
      </x:c>
      <x:c r="FW119" s="107" t="n">
        <x:f>SUM(IF($B$8=4,FW27,0),IF($B$36=4,FW55,0),IF($B$64=4,FW83,0))</x:f>
      </x:c>
      <x:c r="FX119" s="107" t="n">
        <x:f>SUM(IF($B$8=4,FX27,0),IF($B$36=4,FX55,0),IF($B$64=4,FX83,0))</x:f>
      </x:c>
      <x:c r="FY119" s="107" t="n">
        <x:f>SUM(IF($B$8=4,FY27,0),IF($B$36=4,FY55,0),IF($B$64=4,FY83,0))</x:f>
      </x:c>
      <x:c r="FZ119" s="107" t="n">
        <x:f>SUM(IF($B$8=4,FZ27,0),IF($B$36=4,FZ55,0),IF($B$64=4,FZ83,0))</x:f>
      </x:c>
      <x:c r="GA119" s="107" t="n">
        <x:f>SUM(IF($B$8=4,GA27,0),IF($B$36=4,GA55,0),IF($B$64=4,GA83,0))</x:f>
      </x:c>
    </x:row>
    <x:row r="120">
      <x:c r="A120" t="str">
        <x:v>Очередь 4 — CAPEX объектов</x:v>
      </x:c>
      <x:c r="B120" s="107" t="n">
        <x:f>SUM(D120:GA120)</x:f>
      </x:c>
      <x:c r="C120" t="str">
        <x:v>млн ₽</x:v>
      </x:c>
      <x:c r="D120" s="107" t="n">
        <x:f>SUM(IF($B$8=4,D28,0),IF($B$36=4,D56,0),IF($B$64=4,D84,0))</x:f>
      </x:c>
      <x:c r="E120" s="107" t="n">
        <x:f>SUM(IF($B$8=4,E28,0),IF($B$36=4,E56,0),IF($B$64=4,E84,0))</x:f>
      </x:c>
      <x:c r="F120" s="107" t="n">
        <x:f>SUM(IF($B$8=4,F28,0),IF($B$36=4,F56,0),IF($B$64=4,F84,0))</x:f>
      </x:c>
      <x:c r="G120" s="107" t="n">
        <x:f>SUM(IF($B$8=4,G28,0),IF($B$36=4,G56,0),IF($B$64=4,G84,0))</x:f>
      </x:c>
      <x:c r="H120" s="107" t="n">
        <x:f>SUM(IF($B$8=4,H28,0),IF($B$36=4,H56,0),IF($B$64=4,H84,0))</x:f>
      </x:c>
      <x:c r="I120" s="107" t="n">
        <x:f>SUM(IF($B$8=4,I28,0),IF($B$36=4,I56,0),IF($B$64=4,I84,0))</x:f>
      </x:c>
      <x:c r="J120" s="107" t="n">
        <x:f>SUM(IF($B$8=4,J28,0),IF($B$36=4,J56,0),IF($B$64=4,J84,0))</x:f>
      </x:c>
      <x:c r="K120" s="107" t="n">
        <x:f>SUM(IF($B$8=4,K28,0),IF($B$36=4,K56,0),IF($B$64=4,K84,0))</x:f>
      </x:c>
      <x:c r="L120" s="107" t="n">
        <x:f>SUM(IF($B$8=4,L28,0),IF($B$36=4,L56,0),IF($B$64=4,L84,0))</x:f>
      </x:c>
      <x:c r="M120" s="107" t="n">
        <x:f>SUM(IF($B$8=4,M28,0),IF($B$36=4,M56,0),IF($B$64=4,M84,0))</x:f>
      </x:c>
      <x:c r="N120" s="107" t="n">
        <x:f>SUM(IF($B$8=4,N28,0),IF($B$36=4,N56,0),IF($B$64=4,N84,0))</x:f>
      </x:c>
      <x:c r="O120" s="107" t="n">
        <x:f>SUM(IF($B$8=4,O28,0),IF($B$36=4,O56,0),IF($B$64=4,O84,0))</x:f>
      </x:c>
      <x:c r="P120" s="107" t="n">
        <x:f>SUM(IF($B$8=4,P28,0),IF($B$36=4,P56,0),IF($B$64=4,P84,0))</x:f>
      </x:c>
      <x:c r="Q120" s="107" t="n">
        <x:f>SUM(IF($B$8=4,Q28,0),IF($B$36=4,Q56,0),IF($B$64=4,Q84,0))</x:f>
      </x:c>
      <x:c r="R120" s="107" t="n">
        <x:f>SUM(IF($B$8=4,R28,0),IF($B$36=4,R56,0),IF($B$64=4,R84,0))</x:f>
      </x:c>
      <x:c r="S120" s="107" t="n">
        <x:f>SUM(IF($B$8=4,S28,0),IF($B$36=4,S56,0),IF($B$64=4,S84,0))</x:f>
      </x:c>
      <x:c r="T120" s="107" t="n">
        <x:f>SUM(IF($B$8=4,T28,0),IF($B$36=4,T56,0),IF($B$64=4,T84,0))</x:f>
      </x:c>
      <x:c r="U120" s="107" t="n">
        <x:f>SUM(IF($B$8=4,U28,0),IF($B$36=4,U56,0),IF($B$64=4,U84,0))</x:f>
      </x:c>
      <x:c r="V120" s="107" t="n">
        <x:f>SUM(IF($B$8=4,V28,0),IF($B$36=4,V56,0),IF($B$64=4,V84,0))</x:f>
      </x:c>
      <x:c r="W120" s="107" t="n">
        <x:f>SUM(IF($B$8=4,W28,0),IF($B$36=4,W56,0),IF($B$64=4,W84,0))</x:f>
      </x:c>
      <x:c r="X120" s="107" t="n">
        <x:f>SUM(IF($B$8=4,X28,0),IF($B$36=4,X56,0),IF($B$64=4,X84,0))</x:f>
      </x:c>
      <x:c r="Y120" s="107" t="n">
        <x:f>SUM(IF($B$8=4,Y28,0),IF($B$36=4,Y56,0),IF($B$64=4,Y84,0))</x:f>
      </x:c>
      <x:c r="Z120" s="107" t="n">
        <x:f>SUM(IF($B$8=4,Z28,0),IF($B$36=4,Z56,0),IF($B$64=4,Z84,0))</x:f>
      </x:c>
      <x:c r="AA120" s="107" t="n">
        <x:f>SUM(IF($B$8=4,AA28,0),IF($B$36=4,AA56,0),IF($B$64=4,AA84,0))</x:f>
      </x:c>
      <x:c r="AB120" s="107" t="n">
        <x:f>SUM(IF($B$8=4,AB28,0),IF($B$36=4,AB56,0),IF($B$64=4,AB84,0))</x:f>
      </x:c>
      <x:c r="AC120" s="107" t="n">
        <x:f>SUM(IF($B$8=4,AC28,0),IF($B$36=4,AC56,0),IF($B$64=4,AC84,0))</x:f>
      </x:c>
      <x:c r="AD120" s="107" t="n">
        <x:f>SUM(IF($B$8=4,AD28,0),IF($B$36=4,AD56,0),IF($B$64=4,AD84,0))</x:f>
      </x:c>
      <x:c r="AE120" s="107" t="n">
        <x:f>SUM(IF($B$8=4,AE28,0),IF($B$36=4,AE56,0),IF($B$64=4,AE84,0))</x:f>
      </x:c>
      <x:c r="AF120" s="107" t="n">
        <x:f>SUM(IF($B$8=4,AF28,0),IF($B$36=4,AF56,0),IF($B$64=4,AF84,0))</x:f>
      </x:c>
      <x:c r="AG120" s="107" t="n">
        <x:f>SUM(IF($B$8=4,AG28,0),IF($B$36=4,AG56,0),IF($B$64=4,AG84,0))</x:f>
      </x:c>
      <x:c r="AH120" s="107" t="n">
        <x:f>SUM(IF($B$8=4,AH28,0),IF($B$36=4,AH56,0),IF($B$64=4,AH84,0))</x:f>
      </x:c>
      <x:c r="AI120" s="107" t="n">
        <x:f>SUM(IF($B$8=4,AI28,0),IF($B$36=4,AI56,0),IF($B$64=4,AI84,0))</x:f>
      </x:c>
      <x:c r="AJ120" s="107" t="n">
        <x:f>SUM(IF($B$8=4,AJ28,0),IF($B$36=4,AJ56,0),IF($B$64=4,AJ84,0))</x:f>
      </x:c>
      <x:c r="AK120" s="107" t="n">
        <x:f>SUM(IF($B$8=4,AK28,0),IF($B$36=4,AK56,0),IF($B$64=4,AK84,0))</x:f>
      </x:c>
      <x:c r="AL120" s="107" t="n">
        <x:f>SUM(IF($B$8=4,AL28,0),IF($B$36=4,AL56,0),IF($B$64=4,AL84,0))</x:f>
      </x:c>
      <x:c r="AM120" s="107" t="n">
        <x:f>SUM(IF($B$8=4,AM28,0),IF($B$36=4,AM56,0),IF($B$64=4,AM84,0))</x:f>
      </x:c>
      <x:c r="AN120" s="107" t="n">
        <x:f>SUM(IF($B$8=4,AN28,0),IF($B$36=4,AN56,0),IF($B$64=4,AN84,0))</x:f>
      </x:c>
      <x:c r="AO120" s="107" t="n">
        <x:f>SUM(IF($B$8=4,AO28,0),IF($B$36=4,AO56,0),IF($B$64=4,AO84,0))</x:f>
      </x:c>
      <x:c r="AP120" s="107" t="n">
        <x:f>SUM(IF($B$8=4,AP28,0),IF($B$36=4,AP56,0),IF($B$64=4,AP84,0))</x:f>
      </x:c>
      <x:c r="AQ120" s="107" t="n">
        <x:f>SUM(IF($B$8=4,AQ28,0),IF($B$36=4,AQ56,0),IF($B$64=4,AQ84,0))</x:f>
      </x:c>
      <x:c r="AR120" s="107" t="n">
        <x:f>SUM(IF($B$8=4,AR28,0),IF($B$36=4,AR56,0),IF($B$64=4,AR84,0))</x:f>
      </x:c>
      <x:c r="AS120" s="107" t="n">
        <x:f>SUM(IF($B$8=4,AS28,0),IF($B$36=4,AS56,0),IF($B$64=4,AS84,0))</x:f>
      </x:c>
      <x:c r="AT120" s="107" t="n">
        <x:f>SUM(IF($B$8=4,AT28,0),IF($B$36=4,AT56,0),IF($B$64=4,AT84,0))</x:f>
      </x:c>
      <x:c r="AU120" s="107" t="n">
        <x:f>SUM(IF($B$8=4,AU28,0),IF($B$36=4,AU56,0),IF($B$64=4,AU84,0))</x:f>
      </x:c>
      <x:c r="AV120" s="107" t="n">
        <x:f>SUM(IF($B$8=4,AV28,0),IF($B$36=4,AV56,0),IF($B$64=4,AV84,0))</x:f>
      </x:c>
      <x:c r="AW120" s="107" t="n">
        <x:f>SUM(IF($B$8=4,AW28,0),IF($B$36=4,AW56,0),IF($B$64=4,AW84,0))</x:f>
      </x:c>
      <x:c r="AX120" s="107" t="n">
        <x:f>SUM(IF($B$8=4,AX28,0),IF($B$36=4,AX56,0),IF($B$64=4,AX84,0))</x:f>
      </x:c>
      <x:c r="AY120" s="107" t="n">
        <x:f>SUM(IF($B$8=4,AY28,0),IF($B$36=4,AY56,0),IF($B$64=4,AY84,0))</x:f>
      </x:c>
      <x:c r="AZ120" s="107" t="n">
        <x:f>SUM(IF($B$8=4,AZ28,0),IF($B$36=4,AZ56,0),IF($B$64=4,AZ84,0))</x:f>
      </x:c>
      <x:c r="BA120" s="107" t="n">
        <x:f>SUM(IF($B$8=4,BA28,0),IF($B$36=4,BA56,0),IF($B$64=4,BA84,0))</x:f>
      </x:c>
      <x:c r="BB120" s="107" t="n">
        <x:f>SUM(IF($B$8=4,BB28,0),IF($B$36=4,BB56,0),IF($B$64=4,BB84,0))</x:f>
      </x:c>
      <x:c r="BC120" s="107" t="n">
        <x:f>SUM(IF($B$8=4,BC28,0),IF($B$36=4,BC56,0),IF($B$64=4,BC84,0))</x:f>
      </x:c>
      <x:c r="BD120" s="107" t="n">
        <x:f>SUM(IF($B$8=4,BD28,0),IF($B$36=4,BD56,0),IF($B$64=4,BD84,0))</x:f>
      </x:c>
      <x:c r="BE120" s="107" t="n">
        <x:f>SUM(IF($B$8=4,BE28,0),IF($B$36=4,BE56,0),IF($B$64=4,BE84,0))</x:f>
      </x:c>
      <x:c r="BF120" s="107" t="n">
        <x:f>SUM(IF($B$8=4,BF28,0),IF($B$36=4,BF56,0),IF($B$64=4,BF84,0))</x:f>
      </x:c>
      <x:c r="BG120" s="107" t="n">
        <x:f>SUM(IF($B$8=4,BG28,0),IF($B$36=4,BG56,0),IF($B$64=4,BG84,0))</x:f>
      </x:c>
      <x:c r="BH120" s="107" t="n">
        <x:f>SUM(IF($B$8=4,BH28,0),IF($B$36=4,BH56,0),IF($B$64=4,BH84,0))</x:f>
      </x:c>
      <x:c r="BI120" s="107" t="n">
        <x:f>SUM(IF($B$8=4,BI28,0),IF($B$36=4,BI56,0),IF($B$64=4,BI84,0))</x:f>
      </x:c>
      <x:c r="BJ120" s="107" t="n">
        <x:f>SUM(IF($B$8=4,BJ28,0),IF($B$36=4,BJ56,0),IF($B$64=4,BJ84,0))</x:f>
      </x:c>
      <x:c r="BK120" s="107" t="n">
        <x:f>SUM(IF($B$8=4,BK28,0),IF($B$36=4,BK56,0),IF($B$64=4,BK84,0))</x:f>
      </x:c>
      <x:c r="BL120" s="107" t="n">
        <x:f>SUM(IF($B$8=4,BL28,0),IF($B$36=4,BL56,0),IF($B$64=4,BL84,0))</x:f>
      </x:c>
      <x:c r="BM120" s="107" t="n">
        <x:f>SUM(IF($B$8=4,BM28,0),IF($B$36=4,BM56,0),IF($B$64=4,BM84,0))</x:f>
      </x:c>
      <x:c r="BN120" s="107" t="n">
        <x:f>SUM(IF($B$8=4,BN28,0),IF($B$36=4,BN56,0),IF($B$64=4,BN84,0))</x:f>
      </x:c>
      <x:c r="BO120" s="107" t="n">
        <x:f>SUM(IF($B$8=4,BO28,0),IF($B$36=4,BO56,0),IF($B$64=4,BO84,0))</x:f>
      </x:c>
      <x:c r="BP120" s="107" t="n">
        <x:f>SUM(IF($B$8=4,BP28,0),IF($B$36=4,BP56,0),IF($B$64=4,BP84,0))</x:f>
      </x:c>
      <x:c r="BQ120" s="107" t="n">
        <x:f>SUM(IF($B$8=4,BQ28,0),IF($B$36=4,BQ56,0),IF($B$64=4,BQ84,0))</x:f>
      </x:c>
      <x:c r="BR120" s="107" t="n">
        <x:f>SUM(IF($B$8=4,BR28,0),IF($B$36=4,BR56,0),IF($B$64=4,BR84,0))</x:f>
      </x:c>
      <x:c r="BS120" s="107" t="n">
        <x:f>SUM(IF($B$8=4,BS28,0),IF($B$36=4,BS56,0),IF($B$64=4,BS84,0))</x:f>
      </x:c>
      <x:c r="BT120" s="107" t="n">
        <x:f>SUM(IF($B$8=4,BT28,0),IF($B$36=4,BT56,0),IF($B$64=4,BT84,0))</x:f>
      </x:c>
      <x:c r="BU120" s="107" t="n">
        <x:f>SUM(IF($B$8=4,BU28,0),IF($B$36=4,BU56,0),IF($B$64=4,BU84,0))</x:f>
      </x:c>
      <x:c r="BV120" s="107" t="n">
        <x:f>SUM(IF($B$8=4,BV28,0),IF($B$36=4,BV56,0),IF($B$64=4,BV84,0))</x:f>
      </x:c>
      <x:c r="BW120" s="107" t="n">
        <x:f>SUM(IF($B$8=4,BW28,0),IF($B$36=4,BW56,0),IF($B$64=4,BW84,0))</x:f>
      </x:c>
      <x:c r="BX120" s="107" t="n">
        <x:f>SUM(IF($B$8=4,BX28,0),IF($B$36=4,BX56,0),IF($B$64=4,BX84,0))</x:f>
      </x:c>
      <x:c r="BY120" s="107" t="n">
        <x:f>SUM(IF($B$8=4,BY28,0),IF($B$36=4,BY56,0),IF($B$64=4,BY84,0))</x:f>
      </x:c>
      <x:c r="BZ120" s="107" t="n">
        <x:f>SUM(IF($B$8=4,BZ28,0),IF($B$36=4,BZ56,0),IF($B$64=4,BZ84,0))</x:f>
      </x:c>
      <x:c r="CA120" s="107" t="n">
        <x:f>SUM(IF($B$8=4,CA28,0),IF($B$36=4,CA56,0),IF($B$64=4,CA84,0))</x:f>
      </x:c>
      <x:c r="CB120" s="107" t="n">
        <x:f>SUM(IF($B$8=4,CB28,0),IF($B$36=4,CB56,0),IF($B$64=4,CB84,0))</x:f>
      </x:c>
      <x:c r="CC120" s="107" t="n">
        <x:f>SUM(IF($B$8=4,CC28,0),IF($B$36=4,CC56,0),IF($B$64=4,CC84,0))</x:f>
      </x:c>
      <x:c r="CD120" s="107" t="n">
        <x:f>SUM(IF($B$8=4,CD28,0),IF($B$36=4,CD56,0),IF($B$64=4,CD84,0))</x:f>
      </x:c>
      <x:c r="CE120" s="107" t="n">
        <x:f>SUM(IF($B$8=4,CE28,0),IF($B$36=4,CE56,0),IF($B$64=4,CE84,0))</x:f>
      </x:c>
      <x:c r="CF120" s="107" t="n">
        <x:f>SUM(IF($B$8=4,CF28,0),IF($B$36=4,CF56,0),IF($B$64=4,CF84,0))</x:f>
      </x:c>
      <x:c r="CG120" s="107" t="n">
        <x:f>SUM(IF($B$8=4,CG28,0),IF($B$36=4,CG56,0),IF($B$64=4,CG84,0))</x:f>
      </x:c>
      <x:c r="CH120" s="107" t="n">
        <x:f>SUM(IF($B$8=4,CH28,0),IF($B$36=4,CH56,0),IF($B$64=4,CH84,0))</x:f>
      </x:c>
      <x:c r="CI120" s="107" t="n">
        <x:f>SUM(IF($B$8=4,CI28,0),IF($B$36=4,CI56,0),IF($B$64=4,CI84,0))</x:f>
      </x:c>
      <x:c r="CJ120" s="107" t="n">
        <x:f>SUM(IF($B$8=4,CJ28,0),IF($B$36=4,CJ56,0),IF($B$64=4,CJ84,0))</x:f>
      </x:c>
      <x:c r="CK120" s="107" t="n">
        <x:f>SUM(IF($B$8=4,CK28,0),IF($B$36=4,CK56,0),IF($B$64=4,CK84,0))</x:f>
      </x:c>
      <x:c r="CL120" s="107" t="n">
        <x:f>SUM(IF($B$8=4,CL28,0),IF($B$36=4,CL56,0),IF($B$64=4,CL84,0))</x:f>
      </x:c>
      <x:c r="CM120" s="107" t="n">
        <x:f>SUM(IF($B$8=4,CM28,0),IF($B$36=4,CM56,0),IF($B$64=4,CM84,0))</x:f>
      </x:c>
      <x:c r="CN120" s="107" t="n">
        <x:f>SUM(IF($B$8=4,CN28,0),IF($B$36=4,CN56,0),IF($B$64=4,CN84,0))</x:f>
      </x:c>
      <x:c r="CO120" s="107" t="n">
        <x:f>SUM(IF($B$8=4,CO28,0),IF($B$36=4,CO56,0),IF($B$64=4,CO84,0))</x:f>
      </x:c>
      <x:c r="CP120" s="107" t="n">
        <x:f>SUM(IF($B$8=4,CP28,0),IF($B$36=4,CP56,0),IF($B$64=4,CP84,0))</x:f>
      </x:c>
      <x:c r="CQ120" s="107" t="n">
        <x:f>SUM(IF($B$8=4,CQ28,0),IF($B$36=4,CQ56,0),IF($B$64=4,CQ84,0))</x:f>
      </x:c>
      <x:c r="CR120" s="107" t="n">
        <x:f>SUM(IF($B$8=4,CR28,0),IF($B$36=4,CR56,0),IF($B$64=4,CR84,0))</x:f>
      </x:c>
      <x:c r="CS120" s="107" t="n">
        <x:f>SUM(IF($B$8=4,CS28,0),IF($B$36=4,CS56,0),IF($B$64=4,CS84,0))</x:f>
      </x:c>
      <x:c r="CT120" s="107" t="n">
        <x:f>SUM(IF($B$8=4,CT28,0),IF($B$36=4,CT56,0),IF($B$64=4,CT84,0))</x:f>
      </x:c>
      <x:c r="CU120" s="107" t="n">
        <x:f>SUM(IF($B$8=4,CU28,0),IF($B$36=4,CU56,0),IF($B$64=4,CU84,0))</x:f>
      </x:c>
      <x:c r="CV120" s="107" t="n">
        <x:f>SUM(IF($B$8=4,CV28,0),IF($B$36=4,CV56,0),IF($B$64=4,CV84,0))</x:f>
      </x:c>
      <x:c r="CW120" s="107" t="n">
        <x:f>SUM(IF($B$8=4,CW28,0),IF($B$36=4,CW56,0),IF($B$64=4,CW84,0))</x:f>
      </x:c>
      <x:c r="CX120" s="107" t="n">
        <x:f>SUM(IF($B$8=4,CX28,0),IF($B$36=4,CX56,0),IF($B$64=4,CX84,0))</x:f>
      </x:c>
      <x:c r="CY120" s="107" t="n">
        <x:f>SUM(IF($B$8=4,CY28,0),IF($B$36=4,CY56,0),IF($B$64=4,CY84,0))</x:f>
      </x:c>
      <x:c r="CZ120" s="107" t="n">
        <x:f>SUM(IF($B$8=4,CZ28,0),IF($B$36=4,CZ56,0),IF($B$64=4,CZ84,0))</x:f>
      </x:c>
      <x:c r="DA120" s="107" t="n">
        <x:f>SUM(IF($B$8=4,DA28,0),IF($B$36=4,DA56,0),IF($B$64=4,DA84,0))</x:f>
      </x:c>
      <x:c r="DB120" s="107" t="n">
        <x:f>SUM(IF($B$8=4,DB28,0),IF($B$36=4,DB56,0),IF($B$64=4,DB84,0))</x:f>
      </x:c>
      <x:c r="DC120" s="107" t="n">
        <x:f>SUM(IF($B$8=4,DC28,0),IF($B$36=4,DC56,0),IF($B$64=4,DC84,0))</x:f>
      </x:c>
      <x:c r="DD120" s="107" t="n">
        <x:f>SUM(IF($B$8=4,DD28,0),IF($B$36=4,DD56,0),IF($B$64=4,DD84,0))</x:f>
      </x:c>
      <x:c r="DE120" s="107" t="n">
        <x:f>SUM(IF($B$8=4,DE28,0),IF($B$36=4,DE56,0),IF($B$64=4,DE84,0))</x:f>
      </x:c>
      <x:c r="DF120" s="107" t="n">
        <x:f>SUM(IF($B$8=4,DF28,0),IF($B$36=4,DF56,0),IF($B$64=4,DF84,0))</x:f>
      </x:c>
      <x:c r="DG120" s="107" t="n">
        <x:f>SUM(IF($B$8=4,DG28,0),IF($B$36=4,DG56,0),IF($B$64=4,DG84,0))</x:f>
      </x:c>
      <x:c r="DH120" s="107" t="n">
        <x:f>SUM(IF($B$8=4,DH28,0),IF($B$36=4,DH56,0),IF($B$64=4,DH84,0))</x:f>
      </x:c>
      <x:c r="DI120" s="107" t="n">
        <x:f>SUM(IF($B$8=4,DI28,0),IF($B$36=4,DI56,0),IF($B$64=4,DI84,0))</x:f>
      </x:c>
      <x:c r="DJ120" s="107" t="n">
        <x:f>SUM(IF($B$8=4,DJ28,0),IF($B$36=4,DJ56,0),IF($B$64=4,DJ84,0))</x:f>
      </x:c>
      <x:c r="DK120" s="107" t="n">
        <x:f>SUM(IF($B$8=4,DK28,0),IF($B$36=4,DK56,0),IF($B$64=4,DK84,0))</x:f>
      </x:c>
      <x:c r="DL120" s="107" t="n">
        <x:f>SUM(IF($B$8=4,DL28,0),IF($B$36=4,DL56,0),IF($B$64=4,DL84,0))</x:f>
      </x:c>
      <x:c r="DM120" s="107" t="n">
        <x:f>SUM(IF($B$8=4,DM28,0),IF($B$36=4,DM56,0),IF($B$64=4,DM84,0))</x:f>
      </x:c>
      <x:c r="DN120" s="107" t="n">
        <x:f>SUM(IF($B$8=4,DN28,0),IF($B$36=4,DN56,0),IF($B$64=4,DN84,0))</x:f>
      </x:c>
      <x:c r="DO120" s="107" t="n">
        <x:f>SUM(IF($B$8=4,DO28,0),IF($B$36=4,DO56,0),IF($B$64=4,DO84,0))</x:f>
      </x:c>
      <x:c r="DP120" s="107" t="n">
        <x:f>SUM(IF($B$8=4,DP28,0),IF($B$36=4,DP56,0),IF($B$64=4,DP84,0))</x:f>
      </x:c>
      <x:c r="DQ120" s="107" t="n">
        <x:f>SUM(IF($B$8=4,DQ28,0),IF($B$36=4,DQ56,0),IF($B$64=4,DQ84,0))</x:f>
      </x:c>
      <x:c r="DR120" s="107" t="n">
        <x:f>SUM(IF($B$8=4,DR28,0),IF($B$36=4,DR56,0),IF($B$64=4,DR84,0))</x:f>
      </x:c>
      <x:c r="DS120" s="107" t="n">
        <x:f>SUM(IF($B$8=4,DS28,0),IF($B$36=4,DS56,0),IF($B$64=4,DS84,0))</x:f>
      </x:c>
      <x:c r="DT120" s="107" t="n">
        <x:f>SUM(IF($B$8=4,DT28,0),IF($B$36=4,DT56,0),IF($B$64=4,DT84,0))</x:f>
      </x:c>
      <x:c r="DU120" s="107" t="n">
        <x:f>SUM(IF($B$8=4,DU28,0),IF($B$36=4,DU56,0),IF($B$64=4,DU84,0))</x:f>
      </x:c>
      <x:c r="DV120" s="107" t="n">
        <x:f>SUM(IF($B$8=4,DV28,0),IF($B$36=4,DV56,0),IF($B$64=4,DV84,0))</x:f>
      </x:c>
      <x:c r="DW120" s="107" t="n">
        <x:f>SUM(IF($B$8=4,DW28,0),IF($B$36=4,DW56,0),IF($B$64=4,DW84,0))</x:f>
      </x:c>
      <x:c r="DX120" s="107" t="n">
        <x:f>SUM(IF($B$8=4,DX28,0),IF($B$36=4,DX56,0),IF($B$64=4,DX84,0))</x:f>
      </x:c>
      <x:c r="DY120" s="107" t="n">
        <x:f>SUM(IF($B$8=4,DY28,0),IF($B$36=4,DY56,0),IF($B$64=4,DY84,0))</x:f>
      </x:c>
      <x:c r="DZ120" s="107" t="n">
        <x:f>SUM(IF($B$8=4,DZ28,0),IF($B$36=4,DZ56,0),IF($B$64=4,DZ84,0))</x:f>
      </x:c>
      <x:c r="EA120" s="107" t="n">
        <x:f>SUM(IF($B$8=4,EA28,0),IF($B$36=4,EA56,0),IF($B$64=4,EA84,0))</x:f>
      </x:c>
      <x:c r="EB120" s="107" t="n">
        <x:f>SUM(IF($B$8=4,EB28,0),IF($B$36=4,EB56,0),IF($B$64=4,EB84,0))</x:f>
      </x:c>
      <x:c r="EC120" s="107" t="n">
        <x:f>SUM(IF($B$8=4,EC28,0),IF($B$36=4,EC56,0),IF($B$64=4,EC84,0))</x:f>
      </x:c>
      <x:c r="ED120" s="107" t="n">
        <x:f>SUM(IF($B$8=4,ED28,0),IF($B$36=4,ED56,0),IF($B$64=4,ED84,0))</x:f>
      </x:c>
      <x:c r="EE120" s="107" t="n">
        <x:f>SUM(IF($B$8=4,EE28,0),IF($B$36=4,EE56,0),IF($B$64=4,EE84,0))</x:f>
      </x:c>
      <x:c r="EF120" s="107" t="n">
        <x:f>SUM(IF($B$8=4,EF28,0),IF($B$36=4,EF56,0),IF($B$64=4,EF84,0))</x:f>
      </x:c>
      <x:c r="EG120" s="107" t="n">
        <x:f>SUM(IF($B$8=4,EG28,0),IF($B$36=4,EG56,0),IF($B$64=4,EG84,0))</x:f>
      </x:c>
      <x:c r="EH120" s="107" t="n">
        <x:f>SUM(IF($B$8=4,EH28,0),IF($B$36=4,EH56,0),IF($B$64=4,EH84,0))</x:f>
      </x:c>
      <x:c r="EI120" s="107" t="n">
        <x:f>SUM(IF($B$8=4,EI28,0),IF($B$36=4,EI56,0),IF($B$64=4,EI84,0))</x:f>
      </x:c>
      <x:c r="EJ120" s="107" t="n">
        <x:f>SUM(IF($B$8=4,EJ28,0),IF($B$36=4,EJ56,0),IF($B$64=4,EJ84,0))</x:f>
      </x:c>
      <x:c r="EK120" s="107" t="n">
        <x:f>SUM(IF($B$8=4,EK28,0),IF($B$36=4,EK56,0),IF($B$64=4,EK84,0))</x:f>
      </x:c>
      <x:c r="EL120" s="107" t="n">
        <x:f>SUM(IF($B$8=4,EL28,0),IF($B$36=4,EL56,0),IF($B$64=4,EL84,0))</x:f>
      </x:c>
      <x:c r="EM120" s="107" t="n">
        <x:f>SUM(IF($B$8=4,EM28,0),IF($B$36=4,EM56,0),IF($B$64=4,EM84,0))</x:f>
      </x:c>
      <x:c r="EN120" s="107" t="n">
        <x:f>SUM(IF($B$8=4,EN28,0),IF($B$36=4,EN56,0),IF($B$64=4,EN84,0))</x:f>
      </x:c>
      <x:c r="EO120" s="107" t="n">
        <x:f>SUM(IF($B$8=4,EO28,0),IF($B$36=4,EO56,0),IF($B$64=4,EO84,0))</x:f>
      </x:c>
      <x:c r="EP120" s="107" t="n">
        <x:f>SUM(IF($B$8=4,EP28,0),IF($B$36=4,EP56,0),IF($B$64=4,EP84,0))</x:f>
      </x:c>
      <x:c r="EQ120" s="107" t="n">
        <x:f>SUM(IF($B$8=4,EQ28,0),IF($B$36=4,EQ56,0),IF($B$64=4,EQ84,0))</x:f>
      </x:c>
      <x:c r="ER120" s="107" t="n">
        <x:f>SUM(IF($B$8=4,ER28,0),IF($B$36=4,ER56,0),IF($B$64=4,ER84,0))</x:f>
      </x:c>
      <x:c r="ES120" s="107" t="n">
        <x:f>SUM(IF($B$8=4,ES28,0),IF($B$36=4,ES56,0),IF($B$64=4,ES84,0))</x:f>
      </x:c>
      <x:c r="ET120" s="107" t="n">
        <x:f>SUM(IF($B$8=4,ET28,0),IF($B$36=4,ET56,0),IF($B$64=4,ET84,0))</x:f>
      </x:c>
      <x:c r="EU120" s="107" t="n">
        <x:f>SUM(IF($B$8=4,EU28,0),IF($B$36=4,EU56,0),IF($B$64=4,EU84,0))</x:f>
      </x:c>
      <x:c r="EV120" s="107" t="n">
        <x:f>SUM(IF($B$8=4,EV28,0),IF($B$36=4,EV56,0),IF($B$64=4,EV84,0))</x:f>
      </x:c>
      <x:c r="EW120" s="107" t="n">
        <x:f>SUM(IF($B$8=4,EW28,0),IF($B$36=4,EW56,0),IF($B$64=4,EW84,0))</x:f>
      </x:c>
      <x:c r="EX120" s="107" t="n">
        <x:f>SUM(IF($B$8=4,EX28,0),IF($B$36=4,EX56,0),IF($B$64=4,EX84,0))</x:f>
      </x:c>
      <x:c r="EY120" s="107" t="n">
        <x:f>SUM(IF($B$8=4,EY28,0),IF($B$36=4,EY56,0),IF($B$64=4,EY84,0))</x:f>
      </x:c>
      <x:c r="EZ120" s="107" t="n">
        <x:f>SUM(IF($B$8=4,EZ28,0),IF($B$36=4,EZ56,0),IF($B$64=4,EZ84,0))</x:f>
      </x:c>
      <x:c r="FA120" s="107" t="n">
        <x:f>SUM(IF($B$8=4,FA28,0),IF($B$36=4,FA56,0),IF($B$64=4,FA84,0))</x:f>
      </x:c>
      <x:c r="FB120" s="107" t="n">
        <x:f>SUM(IF($B$8=4,FB28,0),IF($B$36=4,FB56,0),IF($B$64=4,FB84,0))</x:f>
      </x:c>
      <x:c r="FC120" s="107" t="n">
        <x:f>SUM(IF($B$8=4,FC28,0),IF($B$36=4,FC56,0),IF($B$64=4,FC84,0))</x:f>
      </x:c>
      <x:c r="FD120" s="107" t="n">
        <x:f>SUM(IF($B$8=4,FD28,0),IF($B$36=4,FD56,0),IF($B$64=4,FD84,0))</x:f>
      </x:c>
      <x:c r="FE120" s="107" t="n">
        <x:f>SUM(IF($B$8=4,FE28,0),IF($B$36=4,FE56,0),IF($B$64=4,FE84,0))</x:f>
      </x:c>
      <x:c r="FF120" s="107" t="n">
        <x:f>SUM(IF($B$8=4,FF28,0),IF($B$36=4,FF56,0),IF($B$64=4,FF84,0))</x:f>
      </x:c>
      <x:c r="FG120" s="107" t="n">
        <x:f>SUM(IF($B$8=4,FG28,0),IF($B$36=4,FG56,0),IF($B$64=4,FG84,0))</x:f>
      </x:c>
      <x:c r="FH120" s="107" t="n">
        <x:f>SUM(IF($B$8=4,FH28,0),IF($B$36=4,FH56,0),IF($B$64=4,FH84,0))</x:f>
      </x:c>
      <x:c r="FI120" s="107" t="n">
        <x:f>SUM(IF($B$8=4,FI28,0),IF($B$36=4,FI56,0),IF($B$64=4,FI84,0))</x:f>
      </x:c>
      <x:c r="FJ120" s="107" t="n">
        <x:f>SUM(IF($B$8=4,FJ28,0),IF($B$36=4,FJ56,0),IF($B$64=4,FJ84,0))</x:f>
      </x:c>
      <x:c r="FK120" s="107" t="n">
        <x:f>SUM(IF($B$8=4,FK28,0),IF($B$36=4,FK56,0),IF($B$64=4,FK84,0))</x:f>
      </x:c>
      <x:c r="FL120" s="107" t="n">
        <x:f>SUM(IF($B$8=4,FL28,0),IF($B$36=4,FL56,0),IF($B$64=4,FL84,0))</x:f>
      </x:c>
      <x:c r="FM120" s="107" t="n">
        <x:f>SUM(IF($B$8=4,FM28,0),IF($B$36=4,FM56,0),IF($B$64=4,FM84,0))</x:f>
      </x:c>
      <x:c r="FN120" s="107" t="n">
        <x:f>SUM(IF($B$8=4,FN28,0),IF($B$36=4,FN56,0),IF($B$64=4,FN84,0))</x:f>
      </x:c>
      <x:c r="FO120" s="107" t="n">
        <x:f>SUM(IF($B$8=4,FO28,0),IF($B$36=4,FO56,0),IF($B$64=4,FO84,0))</x:f>
      </x:c>
      <x:c r="FP120" s="107" t="n">
        <x:f>SUM(IF($B$8=4,FP28,0),IF($B$36=4,FP56,0),IF($B$64=4,FP84,0))</x:f>
      </x:c>
      <x:c r="FQ120" s="107" t="n">
        <x:f>SUM(IF($B$8=4,FQ28,0),IF($B$36=4,FQ56,0),IF($B$64=4,FQ84,0))</x:f>
      </x:c>
      <x:c r="FR120" s="107" t="n">
        <x:f>SUM(IF($B$8=4,FR28,0),IF($B$36=4,FR56,0),IF($B$64=4,FR84,0))</x:f>
      </x:c>
      <x:c r="FS120" s="107" t="n">
        <x:f>SUM(IF($B$8=4,FS28,0),IF($B$36=4,FS56,0),IF($B$64=4,FS84,0))</x:f>
      </x:c>
      <x:c r="FT120" s="107" t="n">
        <x:f>SUM(IF($B$8=4,FT28,0),IF($B$36=4,FT56,0),IF($B$64=4,FT84,0))</x:f>
      </x:c>
      <x:c r="FU120" s="107" t="n">
        <x:f>SUM(IF($B$8=4,FU28,0),IF($B$36=4,FU56,0),IF($B$64=4,FU84,0))</x:f>
      </x:c>
      <x:c r="FV120" s="107" t="n">
        <x:f>SUM(IF($B$8=4,FV28,0),IF($B$36=4,FV56,0),IF($B$64=4,FV84,0))</x:f>
      </x:c>
      <x:c r="FW120" s="107" t="n">
        <x:f>SUM(IF($B$8=4,FW28,0),IF($B$36=4,FW56,0),IF($B$64=4,FW84,0))</x:f>
      </x:c>
      <x:c r="FX120" s="107" t="n">
        <x:f>SUM(IF($B$8=4,FX28,0),IF($B$36=4,FX56,0),IF($B$64=4,FX84,0))</x:f>
      </x:c>
      <x:c r="FY120" s="107" t="n">
        <x:f>SUM(IF($B$8=4,FY28,0),IF($B$36=4,FY56,0),IF($B$64=4,FY84,0))</x:f>
      </x:c>
      <x:c r="FZ120" s="107" t="n">
        <x:f>SUM(IF($B$8=4,FZ28,0),IF($B$36=4,FZ56,0),IF($B$64=4,FZ84,0))</x:f>
      </x:c>
      <x:c r="GA120" s="107" t="n">
        <x:f>SUM(IF($B$8=4,GA28,0),IF($B$36=4,GA56,0),IF($B$64=4,GA84,0))</x:f>
      </x:c>
    </x:row>
    <x:row r="121">
      <x:c r="A121" t="str">
        <x:v>Очередь 4 — Маркетинг объектов</x:v>
      </x:c>
      <x:c r="B121" s="107" t="n">
        <x:f>SUM(D121:GA121)</x:f>
      </x:c>
      <x:c r="C121" t="str">
        <x:v>млн ₽</x:v>
      </x:c>
      <x:c r="D121" s="107" t="n">
        <x:f>SUM(IF($B$8=4,D29,0),IF($B$36=4,D57,0),IF($B$64=4,D85,0))</x:f>
      </x:c>
      <x:c r="E121" s="107" t="n">
        <x:f>SUM(IF($B$8=4,E29,0),IF($B$36=4,E57,0),IF($B$64=4,E85,0))</x:f>
      </x:c>
      <x:c r="F121" s="107" t="n">
        <x:f>SUM(IF($B$8=4,F29,0),IF($B$36=4,F57,0),IF($B$64=4,F85,0))</x:f>
      </x:c>
      <x:c r="G121" s="107" t="n">
        <x:f>SUM(IF($B$8=4,G29,0),IF($B$36=4,G57,0),IF($B$64=4,G85,0))</x:f>
      </x:c>
      <x:c r="H121" s="107" t="n">
        <x:f>SUM(IF($B$8=4,H29,0),IF($B$36=4,H57,0),IF($B$64=4,H85,0))</x:f>
      </x:c>
      <x:c r="I121" s="107" t="n">
        <x:f>SUM(IF($B$8=4,I29,0),IF($B$36=4,I57,0),IF($B$64=4,I85,0))</x:f>
      </x:c>
      <x:c r="J121" s="107" t="n">
        <x:f>SUM(IF($B$8=4,J29,0),IF($B$36=4,J57,0),IF($B$64=4,J85,0))</x:f>
      </x:c>
      <x:c r="K121" s="107" t="n">
        <x:f>SUM(IF($B$8=4,K29,0),IF($B$36=4,K57,0),IF($B$64=4,K85,0))</x:f>
      </x:c>
      <x:c r="L121" s="107" t="n">
        <x:f>SUM(IF($B$8=4,L29,0),IF($B$36=4,L57,0),IF($B$64=4,L85,0))</x:f>
      </x:c>
      <x:c r="M121" s="107" t="n">
        <x:f>SUM(IF($B$8=4,M29,0),IF($B$36=4,M57,0),IF($B$64=4,M85,0))</x:f>
      </x:c>
      <x:c r="N121" s="107" t="n">
        <x:f>SUM(IF($B$8=4,N29,0),IF($B$36=4,N57,0),IF($B$64=4,N85,0))</x:f>
      </x:c>
      <x:c r="O121" s="107" t="n">
        <x:f>SUM(IF($B$8=4,O29,0),IF($B$36=4,O57,0),IF($B$64=4,O85,0))</x:f>
      </x:c>
      <x:c r="P121" s="107" t="n">
        <x:f>SUM(IF($B$8=4,P29,0),IF($B$36=4,P57,0),IF($B$64=4,P85,0))</x:f>
      </x:c>
      <x:c r="Q121" s="107" t="n">
        <x:f>SUM(IF($B$8=4,Q29,0),IF($B$36=4,Q57,0),IF($B$64=4,Q85,0))</x:f>
      </x:c>
      <x:c r="R121" s="107" t="n">
        <x:f>SUM(IF($B$8=4,R29,0),IF($B$36=4,R57,0),IF($B$64=4,R85,0))</x:f>
      </x:c>
      <x:c r="S121" s="107" t="n">
        <x:f>SUM(IF($B$8=4,S29,0),IF($B$36=4,S57,0),IF($B$64=4,S85,0))</x:f>
      </x:c>
      <x:c r="T121" s="107" t="n">
        <x:f>SUM(IF($B$8=4,T29,0),IF($B$36=4,T57,0),IF($B$64=4,T85,0))</x:f>
      </x:c>
      <x:c r="U121" s="107" t="n">
        <x:f>SUM(IF($B$8=4,U29,0),IF($B$36=4,U57,0),IF($B$64=4,U85,0))</x:f>
      </x:c>
      <x:c r="V121" s="107" t="n">
        <x:f>SUM(IF($B$8=4,V29,0),IF($B$36=4,V57,0),IF($B$64=4,V85,0))</x:f>
      </x:c>
      <x:c r="W121" s="107" t="n">
        <x:f>SUM(IF($B$8=4,W29,0),IF($B$36=4,W57,0),IF($B$64=4,W85,0))</x:f>
      </x:c>
      <x:c r="X121" s="107" t="n">
        <x:f>SUM(IF($B$8=4,X29,0),IF($B$36=4,X57,0),IF($B$64=4,X85,0))</x:f>
      </x:c>
      <x:c r="Y121" s="107" t="n">
        <x:f>SUM(IF($B$8=4,Y29,0),IF($B$36=4,Y57,0),IF($B$64=4,Y85,0))</x:f>
      </x:c>
      <x:c r="Z121" s="107" t="n">
        <x:f>SUM(IF($B$8=4,Z29,0),IF($B$36=4,Z57,0),IF($B$64=4,Z85,0))</x:f>
      </x:c>
      <x:c r="AA121" s="107" t="n">
        <x:f>SUM(IF($B$8=4,AA29,0),IF($B$36=4,AA57,0),IF($B$64=4,AA85,0))</x:f>
      </x:c>
      <x:c r="AB121" s="107" t="n">
        <x:f>SUM(IF($B$8=4,AB29,0),IF($B$36=4,AB57,0),IF($B$64=4,AB85,0))</x:f>
      </x:c>
      <x:c r="AC121" s="107" t="n">
        <x:f>SUM(IF($B$8=4,AC29,0),IF($B$36=4,AC57,0),IF($B$64=4,AC85,0))</x:f>
      </x:c>
      <x:c r="AD121" s="107" t="n">
        <x:f>SUM(IF($B$8=4,AD29,0),IF($B$36=4,AD57,0),IF($B$64=4,AD85,0))</x:f>
      </x:c>
      <x:c r="AE121" s="107" t="n">
        <x:f>SUM(IF($B$8=4,AE29,0),IF($B$36=4,AE57,0),IF($B$64=4,AE85,0))</x:f>
      </x:c>
      <x:c r="AF121" s="107" t="n">
        <x:f>SUM(IF($B$8=4,AF29,0),IF($B$36=4,AF57,0),IF($B$64=4,AF85,0))</x:f>
      </x:c>
      <x:c r="AG121" s="107" t="n">
        <x:f>SUM(IF($B$8=4,AG29,0),IF($B$36=4,AG57,0),IF($B$64=4,AG85,0))</x:f>
      </x:c>
      <x:c r="AH121" s="107" t="n">
        <x:f>SUM(IF($B$8=4,AH29,0),IF($B$36=4,AH57,0),IF($B$64=4,AH85,0))</x:f>
      </x:c>
      <x:c r="AI121" s="107" t="n">
        <x:f>SUM(IF($B$8=4,AI29,0),IF($B$36=4,AI57,0),IF($B$64=4,AI85,0))</x:f>
      </x:c>
      <x:c r="AJ121" s="107" t="n">
        <x:f>SUM(IF($B$8=4,AJ29,0),IF($B$36=4,AJ57,0),IF($B$64=4,AJ85,0))</x:f>
      </x:c>
      <x:c r="AK121" s="107" t="n">
        <x:f>SUM(IF($B$8=4,AK29,0),IF($B$36=4,AK57,0),IF($B$64=4,AK85,0))</x:f>
      </x:c>
      <x:c r="AL121" s="107" t="n">
        <x:f>SUM(IF($B$8=4,AL29,0),IF($B$36=4,AL57,0),IF($B$64=4,AL85,0))</x:f>
      </x:c>
      <x:c r="AM121" s="107" t="n">
        <x:f>SUM(IF($B$8=4,AM29,0),IF($B$36=4,AM57,0),IF($B$64=4,AM85,0))</x:f>
      </x:c>
      <x:c r="AN121" s="107" t="n">
        <x:f>SUM(IF($B$8=4,AN29,0),IF($B$36=4,AN57,0),IF($B$64=4,AN85,0))</x:f>
      </x:c>
      <x:c r="AO121" s="107" t="n">
        <x:f>SUM(IF($B$8=4,AO29,0),IF($B$36=4,AO57,0),IF($B$64=4,AO85,0))</x:f>
      </x:c>
      <x:c r="AP121" s="107" t="n">
        <x:f>SUM(IF($B$8=4,AP29,0),IF($B$36=4,AP57,0),IF($B$64=4,AP85,0))</x:f>
      </x:c>
      <x:c r="AQ121" s="107" t="n">
        <x:f>SUM(IF($B$8=4,AQ29,0),IF($B$36=4,AQ57,0),IF($B$64=4,AQ85,0))</x:f>
      </x:c>
      <x:c r="AR121" s="107" t="n">
        <x:f>SUM(IF($B$8=4,AR29,0),IF($B$36=4,AR57,0),IF($B$64=4,AR85,0))</x:f>
      </x:c>
      <x:c r="AS121" s="107" t="n">
        <x:f>SUM(IF($B$8=4,AS29,0),IF($B$36=4,AS57,0),IF($B$64=4,AS85,0))</x:f>
      </x:c>
      <x:c r="AT121" s="107" t="n">
        <x:f>SUM(IF($B$8=4,AT29,0),IF($B$36=4,AT57,0),IF($B$64=4,AT85,0))</x:f>
      </x:c>
      <x:c r="AU121" s="107" t="n">
        <x:f>SUM(IF($B$8=4,AU29,0),IF($B$36=4,AU57,0),IF($B$64=4,AU85,0))</x:f>
      </x:c>
      <x:c r="AV121" s="107" t="n">
        <x:f>SUM(IF($B$8=4,AV29,0),IF($B$36=4,AV57,0),IF($B$64=4,AV85,0))</x:f>
      </x:c>
      <x:c r="AW121" s="107" t="n">
        <x:f>SUM(IF($B$8=4,AW29,0),IF($B$36=4,AW57,0),IF($B$64=4,AW85,0))</x:f>
      </x:c>
      <x:c r="AX121" s="107" t="n">
        <x:f>SUM(IF($B$8=4,AX29,0),IF($B$36=4,AX57,0),IF($B$64=4,AX85,0))</x:f>
      </x:c>
      <x:c r="AY121" s="107" t="n">
        <x:f>SUM(IF($B$8=4,AY29,0),IF($B$36=4,AY57,0),IF($B$64=4,AY85,0))</x:f>
      </x:c>
      <x:c r="AZ121" s="107" t="n">
        <x:f>SUM(IF($B$8=4,AZ29,0),IF($B$36=4,AZ57,0),IF($B$64=4,AZ85,0))</x:f>
      </x:c>
      <x:c r="BA121" s="107" t="n">
        <x:f>SUM(IF($B$8=4,BA29,0),IF($B$36=4,BA57,0),IF($B$64=4,BA85,0))</x:f>
      </x:c>
      <x:c r="BB121" s="107" t="n">
        <x:f>SUM(IF($B$8=4,BB29,0),IF($B$36=4,BB57,0),IF($B$64=4,BB85,0))</x:f>
      </x:c>
      <x:c r="BC121" s="107" t="n">
        <x:f>SUM(IF($B$8=4,BC29,0),IF($B$36=4,BC57,0),IF($B$64=4,BC85,0))</x:f>
      </x:c>
      <x:c r="BD121" s="107" t="n">
        <x:f>SUM(IF($B$8=4,BD29,0),IF($B$36=4,BD57,0),IF($B$64=4,BD85,0))</x:f>
      </x:c>
      <x:c r="BE121" s="107" t="n">
        <x:f>SUM(IF($B$8=4,BE29,0),IF($B$36=4,BE57,0),IF($B$64=4,BE85,0))</x:f>
      </x:c>
      <x:c r="BF121" s="107" t="n">
        <x:f>SUM(IF($B$8=4,BF29,0),IF($B$36=4,BF57,0),IF($B$64=4,BF85,0))</x:f>
      </x:c>
      <x:c r="BG121" s="107" t="n">
        <x:f>SUM(IF($B$8=4,BG29,0),IF($B$36=4,BG57,0),IF($B$64=4,BG85,0))</x:f>
      </x:c>
      <x:c r="BH121" s="107" t="n">
        <x:f>SUM(IF($B$8=4,BH29,0),IF($B$36=4,BH57,0),IF($B$64=4,BH85,0))</x:f>
      </x:c>
      <x:c r="BI121" s="107" t="n">
        <x:f>SUM(IF($B$8=4,BI29,0),IF($B$36=4,BI57,0),IF($B$64=4,BI85,0))</x:f>
      </x:c>
      <x:c r="BJ121" s="107" t="n">
        <x:f>SUM(IF($B$8=4,BJ29,0),IF($B$36=4,BJ57,0),IF($B$64=4,BJ85,0))</x:f>
      </x:c>
      <x:c r="BK121" s="107" t="n">
        <x:f>SUM(IF($B$8=4,BK29,0),IF($B$36=4,BK57,0),IF($B$64=4,BK85,0))</x:f>
      </x:c>
      <x:c r="BL121" s="107" t="n">
        <x:f>SUM(IF($B$8=4,BL29,0),IF($B$36=4,BL57,0),IF($B$64=4,BL85,0))</x:f>
      </x:c>
      <x:c r="BM121" s="107" t="n">
        <x:f>SUM(IF($B$8=4,BM29,0),IF($B$36=4,BM57,0),IF($B$64=4,BM85,0))</x:f>
      </x:c>
      <x:c r="BN121" s="107" t="n">
        <x:f>SUM(IF($B$8=4,BN29,0),IF($B$36=4,BN57,0),IF($B$64=4,BN85,0))</x:f>
      </x:c>
      <x:c r="BO121" s="107" t="n">
        <x:f>SUM(IF($B$8=4,BO29,0),IF($B$36=4,BO57,0),IF($B$64=4,BO85,0))</x:f>
      </x:c>
      <x:c r="BP121" s="107" t="n">
        <x:f>SUM(IF($B$8=4,BP29,0),IF($B$36=4,BP57,0),IF($B$64=4,BP85,0))</x:f>
      </x:c>
      <x:c r="BQ121" s="107" t="n">
        <x:f>SUM(IF($B$8=4,BQ29,0),IF($B$36=4,BQ57,0),IF($B$64=4,BQ85,0))</x:f>
      </x:c>
      <x:c r="BR121" s="107" t="n">
        <x:f>SUM(IF($B$8=4,BR29,0),IF($B$36=4,BR57,0),IF($B$64=4,BR85,0))</x:f>
      </x:c>
      <x:c r="BS121" s="107" t="n">
        <x:f>SUM(IF($B$8=4,BS29,0),IF($B$36=4,BS57,0),IF($B$64=4,BS85,0))</x:f>
      </x:c>
      <x:c r="BT121" s="107" t="n">
        <x:f>SUM(IF($B$8=4,BT29,0),IF($B$36=4,BT57,0),IF($B$64=4,BT85,0))</x:f>
      </x:c>
      <x:c r="BU121" s="107" t="n">
        <x:f>SUM(IF($B$8=4,BU29,0),IF($B$36=4,BU57,0),IF($B$64=4,BU85,0))</x:f>
      </x:c>
      <x:c r="BV121" s="107" t="n">
        <x:f>SUM(IF($B$8=4,BV29,0),IF($B$36=4,BV57,0),IF($B$64=4,BV85,0))</x:f>
      </x:c>
      <x:c r="BW121" s="107" t="n">
        <x:f>SUM(IF($B$8=4,BW29,0),IF($B$36=4,BW57,0),IF($B$64=4,BW85,0))</x:f>
      </x:c>
      <x:c r="BX121" s="107" t="n">
        <x:f>SUM(IF($B$8=4,BX29,0),IF($B$36=4,BX57,0),IF($B$64=4,BX85,0))</x:f>
      </x:c>
      <x:c r="BY121" s="107" t="n">
        <x:f>SUM(IF($B$8=4,BY29,0),IF($B$36=4,BY57,0),IF($B$64=4,BY85,0))</x:f>
      </x:c>
      <x:c r="BZ121" s="107" t="n">
        <x:f>SUM(IF($B$8=4,BZ29,0),IF($B$36=4,BZ57,0),IF($B$64=4,BZ85,0))</x:f>
      </x:c>
      <x:c r="CA121" s="107" t="n">
        <x:f>SUM(IF($B$8=4,CA29,0),IF($B$36=4,CA57,0),IF($B$64=4,CA85,0))</x:f>
      </x:c>
      <x:c r="CB121" s="107" t="n">
        <x:f>SUM(IF($B$8=4,CB29,0),IF($B$36=4,CB57,0),IF($B$64=4,CB85,0))</x:f>
      </x:c>
      <x:c r="CC121" s="107" t="n">
        <x:f>SUM(IF($B$8=4,CC29,0),IF($B$36=4,CC57,0),IF($B$64=4,CC85,0))</x:f>
      </x:c>
      <x:c r="CD121" s="107" t="n">
        <x:f>SUM(IF($B$8=4,CD29,0),IF($B$36=4,CD57,0),IF($B$64=4,CD85,0))</x:f>
      </x:c>
      <x:c r="CE121" s="107" t="n">
        <x:f>SUM(IF($B$8=4,CE29,0),IF($B$36=4,CE57,0),IF($B$64=4,CE85,0))</x:f>
      </x:c>
      <x:c r="CF121" s="107" t="n">
        <x:f>SUM(IF($B$8=4,CF29,0),IF($B$36=4,CF57,0),IF($B$64=4,CF85,0))</x:f>
      </x:c>
      <x:c r="CG121" s="107" t="n">
        <x:f>SUM(IF($B$8=4,CG29,0),IF($B$36=4,CG57,0),IF($B$64=4,CG85,0))</x:f>
      </x:c>
      <x:c r="CH121" s="107" t="n">
        <x:f>SUM(IF($B$8=4,CH29,0),IF($B$36=4,CH57,0),IF($B$64=4,CH85,0))</x:f>
      </x:c>
      <x:c r="CI121" s="107" t="n">
        <x:f>SUM(IF($B$8=4,CI29,0),IF($B$36=4,CI57,0),IF($B$64=4,CI85,0))</x:f>
      </x:c>
      <x:c r="CJ121" s="107" t="n">
        <x:f>SUM(IF($B$8=4,CJ29,0),IF($B$36=4,CJ57,0),IF($B$64=4,CJ85,0))</x:f>
      </x:c>
      <x:c r="CK121" s="107" t="n">
        <x:f>SUM(IF($B$8=4,CK29,0),IF($B$36=4,CK57,0),IF($B$64=4,CK85,0))</x:f>
      </x:c>
      <x:c r="CL121" s="107" t="n">
        <x:f>SUM(IF($B$8=4,CL29,0),IF($B$36=4,CL57,0),IF($B$64=4,CL85,0))</x:f>
      </x:c>
      <x:c r="CM121" s="107" t="n">
        <x:f>SUM(IF($B$8=4,CM29,0),IF($B$36=4,CM57,0),IF($B$64=4,CM85,0))</x:f>
      </x:c>
      <x:c r="CN121" s="107" t="n">
        <x:f>SUM(IF($B$8=4,CN29,0),IF($B$36=4,CN57,0),IF($B$64=4,CN85,0))</x:f>
      </x:c>
      <x:c r="CO121" s="107" t="n">
        <x:f>SUM(IF($B$8=4,CO29,0),IF($B$36=4,CO57,0),IF($B$64=4,CO85,0))</x:f>
      </x:c>
      <x:c r="CP121" s="107" t="n">
        <x:f>SUM(IF($B$8=4,CP29,0),IF($B$36=4,CP57,0),IF($B$64=4,CP85,0))</x:f>
      </x:c>
      <x:c r="CQ121" s="107" t="n">
        <x:f>SUM(IF($B$8=4,CQ29,0),IF($B$36=4,CQ57,0),IF($B$64=4,CQ85,0))</x:f>
      </x:c>
      <x:c r="CR121" s="107" t="n">
        <x:f>SUM(IF($B$8=4,CR29,0),IF($B$36=4,CR57,0),IF($B$64=4,CR85,0))</x:f>
      </x:c>
      <x:c r="CS121" s="107" t="n">
        <x:f>SUM(IF($B$8=4,CS29,0),IF($B$36=4,CS57,0),IF($B$64=4,CS85,0))</x:f>
      </x:c>
      <x:c r="CT121" s="107" t="n">
        <x:f>SUM(IF($B$8=4,CT29,0),IF($B$36=4,CT57,0),IF($B$64=4,CT85,0))</x:f>
      </x:c>
      <x:c r="CU121" s="107" t="n">
        <x:f>SUM(IF($B$8=4,CU29,0),IF($B$36=4,CU57,0),IF($B$64=4,CU85,0))</x:f>
      </x:c>
      <x:c r="CV121" s="107" t="n">
        <x:f>SUM(IF($B$8=4,CV29,0),IF($B$36=4,CV57,0),IF($B$64=4,CV85,0))</x:f>
      </x:c>
      <x:c r="CW121" s="107" t="n">
        <x:f>SUM(IF($B$8=4,CW29,0),IF($B$36=4,CW57,0),IF($B$64=4,CW85,0))</x:f>
      </x:c>
      <x:c r="CX121" s="107" t="n">
        <x:f>SUM(IF($B$8=4,CX29,0),IF($B$36=4,CX57,0),IF($B$64=4,CX85,0))</x:f>
      </x:c>
      <x:c r="CY121" s="107" t="n">
        <x:f>SUM(IF($B$8=4,CY29,0),IF($B$36=4,CY57,0),IF($B$64=4,CY85,0))</x:f>
      </x:c>
      <x:c r="CZ121" s="107" t="n">
        <x:f>SUM(IF($B$8=4,CZ29,0),IF($B$36=4,CZ57,0),IF($B$64=4,CZ85,0))</x:f>
      </x:c>
      <x:c r="DA121" s="107" t="n">
        <x:f>SUM(IF($B$8=4,DA29,0),IF($B$36=4,DA57,0),IF($B$64=4,DA85,0))</x:f>
      </x:c>
      <x:c r="DB121" s="107" t="n">
        <x:f>SUM(IF($B$8=4,DB29,0),IF($B$36=4,DB57,0),IF($B$64=4,DB85,0))</x:f>
      </x:c>
      <x:c r="DC121" s="107" t="n">
        <x:f>SUM(IF($B$8=4,DC29,0),IF($B$36=4,DC57,0),IF($B$64=4,DC85,0))</x:f>
      </x:c>
      <x:c r="DD121" s="107" t="n">
        <x:f>SUM(IF($B$8=4,DD29,0),IF($B$36=4,DD57,0),IF($B$64=4,DD85,0))</x:f>
      </x:c>
      <x:c r="DE121" s="107" t="n">
        <x:f>SUM(IF($B$8=4,DE29,0),IF($B$36=4,DE57,0),IF($B$64=4,DE85,0))</x:f>
      </x:c>
      <x:c r="DF121" s="107" t="n">
        <x:f>SUM(IF($B$8=4,DF29,0),IF($B$36=4,DF57,0),IF($B$64=4,DF85,0))</x:f>
      </x:c>
      <x:c r="DG121" s="107" t="n">
        <x:f>SUM(IF($B$8=4,DG29,0),IF($B$36=4,DG57,0),IF($B$64=4,DG85,0))</x:f>
      </x:c>
      <x:c r="DH121" s="107" t="n">
        <x:f>SUM(IF($B$8=4,DH29,0),IF($B$36=4,DH57,0),IF($B$64=4,DH85,0))</x:f>
      </x:c>
      <x:c r="DI121" s="107" t="n">
        <x:f>SUM(IF($B$8=4,DI29,0),IF($B$36=4,DI57,0),IF($B$64=4,DI85,0))</x:f>
      </x:c>
      <x:c r="DJ121" s="107" t="n">
        <x:f>SUM(IF($B$8=4,DJ29,0),IF($B$36=4,DJ57,0),IF($B$64=4,DJ85,0))</x:f>
      </x:c>
      <x:c r="DK121" s="107" t="n">
        <x:f>SUM(IF($B$8=4,DK29,0),IF($B$36=4,DK57,0),IF($B$64=4,DK85,0))</x:f>
      </x:c>
      <x:c r="DL121" s="107" t="n">
        <x:f>SUM(IF($B$8=4,DL29,0),IF($B$36=4,DL57,0),IF($B$64=4,DL85,0))</x:f>
      </x:c>
      <x:c r="DM121" s="107" t="n">
        <x:f>SUM(IF($B$8=4,DM29,0),IF($B$36=4,DM57,0),IF($B$64=4,DM85,0))</x:f>
      </x:c>
      <x:c r="DN121" s="107" t="n">
        <x:f>SUM(IF($B$8=4,DN29,0),IF($B$36=4,DN57,0),IF($B$64=4,DN85,0))</x:f>
      </x:c>
      <x:c r="DO121" s="107" t="n">
        <x:f>SUM(IF($B$8=4,DO29,0),IF($B$36=4,DO57,0),IF($B$64=4,DO85,0))</x:f>
      </x:c>
      <x:c r="DP121" s="107" t="n">
        <x:f>SUM(IF($B$8=4,DP29,0),IF($B$36=4,DP57,0),IF($B$64=4,DP85,0))</x:f>
      </x:c>
      <x:c r="DQ121" s="107" t="n">
        <x:f>SUM(IF($B$8=4,DQ29,0),IF($B$36=4,DQ57,0),IF($B$64=4,DQ85,0))</x:f>
      </x:c>
      <x:c r="DR121" s="107" t="n">
        <x:f>SUM(IF($B$8=4,DR29,0),IF($B$36=4,DR57,0),IF($B$64=4,DR85,0))</x:f>
      </x:c>
      <x:c r="DS121" s="107" t="n">
        <x:f>SUM(IF($B$8=4,DS29,0),IF($B$36=4,DS57,0),IF($B$64=4,DS85,0))</x:f>
      </x:c>
      <x:c r="DT121" s="107" t="n">
        <x:f>SUM(IF($B$8=4,DT29,0),IF($B$36=4,DT57,0),IF($B$64=4,DT85,0))</x:f>
      </x:c>
      <x:c r="DU121" s="107" t="n">
        <x:f>SUM(IF($B$8=4,DU29,0),IF($B$36=4,DU57,0),IF($B$64=4,DU85,0))</x:f>
      </x:c>
      <x:c r="DV121" s="107" t="n">
        <x:f>SUM(IF($B$8=4,DV29,0),IF($B$36=4,DV57,0),IF($B$64=4,DV85,0))</x:f>
      </x:c>
      <x:c r="DW121" s="107" t="n">
        <x:f>SUM(IF($B$8=4,DW29,0),IF($B$36=4,DW57,0),IF($B$64=4,DW85,0))</x:f>
      </x:c>
      <x:c r="DX121" s="107" t="n">
        <x:f>SUM(IF($B$8=4,DX29,0),IF($B$36=4,DX57,0),IF($B$64=4,DX85,0))</x:f>
      </x:c>
      <x:c r="DY121" s="107" t="n">
        <x:f>SUM(IF($B$8=4,DY29,0),IF($B$36=4,DY57,0),IF($B$64=4,DY85,0))</x:f>
      </x:c>
      <x:c r="DZ121" s="107" t="n">
        <x:f>SUM(IF($B$8=4,DZ29,0),IF($B$36=4,DZ57,0),IF($B$64=4,DZ85,0))</x:f>
      </x:c>
      <x:c r="EA121" s="107" t="n">
        <x:f>SUM(IF($B$8=4,EA29,0),IF($B$36=4,EA57,0),IF($B$64=4,EA85,0))</x:f>
      </x:c>
      <x:c r="EB121" s="107" t="n">
        <x:f>SUM(IF($B$8=4,EB29,0),IF($B$36=4,EB57,0),IF($B$64=4,EB85,0))</x:f>
      </x:c>
      <x:c r="EC121" s="107" t="n">
        <x:f>SUM(IF($B$8=4,EC29,0),IF($B$36=4,EC57,0),IF($B$64=4,EC85,0))</x:f>
      </x:c>
      <x:c r="ED121" s="107" t="n">
        <x:f>SUM(IF($B$8=4,ED29,0),IF($B$36=4,ED57,0),IF($B$64=4,ED85,0))</x:f>
      </x:c>
      <x:c r="EE121" s="107" t="n">
        <x:f>SUM(IF($B$8=4,EE29,0),IF($B$36=4,EE57,0),IF($B$64=4,EE85,0))</x:f>
      </x:c>
      <x:c r="EF121" s="107" t="n">
        <x:f>SUM(IF($B$8=4,EF29,0),IF($B$36=4,EF57,0),IF($B$64=4,EF85,0))</x:f>
      </x:c>
      <x:c r="EG121" s="107" t="n">
        <x:f>SUM(IF($B$8=4,EG29,0),IF($B$36=4,EG57,0),IF($B$64=4,EG85,0))</x:f>
      </x:c>
      <x:c r="EH121" s="107" t="n">
        <x:f>SUM(IF($B$8=4,EH29,0),IF($B$36=4,EH57,0),IF($B$64=4,EH85,0))</x:f>
      </x:c>
      <x:c r="EI121" s="107" t="n">
        <x:f>SUM(IF($B$8=4,EI29,0),IF($B$36=4,EI57,0),IF($B$64=4,EI85,0))</x:f>
      </x:c>
      <x:c r="EJ121" s="107" t="n">
        <x:f>SUM(IF($B$8=4,EJ29,0),IF($B$36=4,EJ57,0),IF($B$64=4,EJ85,0))</x:f>
      </x:c>
      <x:c r="EK121" s="107" t="n">
        <x:f>SUM(IF($B$8=4,EK29,0),IF($B$36=4,EK57,0),IF($B$64=4,EK85,0))</x:f>
      </x:c>
      <x:c r="EL121" s="107" t="n">
        <x:f>SUM(IF($B$8=4,EL29,0),IF($B$36=4,EL57,0),IF($B$64=4,EL85,0))</x:f>
      </x:c>
      <x:c r="EM121" s="107" t="n">
        <x:f>SUM(IF($B$8=4,EM29,0),IF($B$36=4,EM57,0),IF($B$64=4,EM85,0))</x:f>
      </x:c>
      <x:c r="EN121" s="107" t="n">
        <x:f>SUM(IF($B$8=4,EN29,0),IF($B$36=4,EN57,0),IF($B$64=4,EN85,0))</x:f>
      </x:c>
      <x:c r="EO121" s="107" t="n">
        <x:f>SUM(IF($B$8=4,EO29,0),IF($B$36=4,EO57,0),IF($B$64=4,EO85,0))</x:f>
      </x:c>
      <x:c r="EP121" s="107" t="n">
        <x:f>SUM(IF($B$8=4,EP29,0),IF($B$36=4,EP57,0),IF($B$64=4,EP85,0))</x:f>
      </x:c>
      <x:c r="EQ121" s="107" t="n">
        <x:f>SUM(IF($B$8=4,EQ29,0),IF($B$36=4,EQ57,0),IF($B$64=4,EQ85,0))</x:f>
      </x:c>
      <x:c r="ER121" s="107" t="n">
        <x:f>SUM(IF($B$8=4,ER29,0),IF($B$36=4,ER57,0),IF($B$64=4,ER85,0))</x:f>
      </x:c>
      <x:c r="ES121" s="107" t="n">
        <x:f>SUM(IF($B$8=4,ES29,0),IF($B$36=4,ES57,0),IF($B$64=4,ES85,0))</x:f>
      </x:c>
      <x:c r="ET121" s="107" t="n">
        <x:f>SUM(IF($B$8=4,ET29,0),IF($B$36=4,ET57,0),IF($B$64=4,ET85,0))</x:f>
      </x:c>
      <x:c r="EU121" s="107" t="n">
        <x:f>SUM(IF($B$8=4,EU29,0),IF($B$36=4,EU57,0),IF($B$64=4,EU85,0))</x:f>
      </x:c>
      <x:c r="EV121" s="107" t="n">
        <x:f>SUM(IF($B$8=4,EV29,0),IF($B$36=4,EV57,0),IF($B$64=4,EV85,0))</x:f>
      </x:c>
      <x:c r="EW121" s="107" t="n">
        <x:f>SUM(IF($B$8=4,EW29,0),IF($B$36=4,EW57,0),IF($B$64=4,EW85,0))</x:f>
      </x:c>
      <x:c r="EX121" s="107" t="n">
        <x:f>SUM(IF($B$8=4,EX29,0),IF($B$36=4,EX57,0),IF($B$64=4,EX85,0))</x:f>
      </x:c>
      <x:c r="EY121" s="107" t="n">
        <x:f>SUM(IF($B$8=4,EY29,0),IF($B$36=4,EY57,0),IF($B$64=4,EY85,0))</x:f>
      </x:c>
      <x:c r="EZ121" s="107" t="n">
        <x:f>SUM(IF($B$8=4,EZ29,0),IF($B$36=4,EZ57,0),IF($B$64=4,EZ85,0))</x:f>
      </x:c>
      <x:c r="FA121" s="107" t="n">
        <x:f>SUM(IF($B$8=4,FA29,0),IF($B$36=4,FA57,0),IF($B$64=4,FA85,0))</x:f>
      </x:c>
      <x:c r="FB121" s="107" t="n">
        <x:f>SUM(IF($B$8=4,FB29,0),IF($B$36=4,FB57,0),IF($B$64=4,FB85,0))</x:f>
      </x:c>
      <x:c r="FC121" s="107" t="n">
        <x:f>SUM(IF($B$8=4,FC29,0),IF($B$36=4,FC57,0),IF($B$64=4,FC85,0))</x:f>
      </x:c>
      <x:c r="FD121" s="107" t="n">
        <x:f>SUM(IF($B$8=4,FD29,0),IF($B$36=4,FD57,0),IF($B$64=4,FD85,0))</x:f>
      </x:c>
      <x:c r="FE121" s="107" t="n">
        <x:f>SUM(IF($B$8=4,FE29,0),IF($B$36=4,FE57,0),IF($B$64=4,FE85,0))</x:f>
      </x:c>
      <x:c r="FF121" s="107" t="n">
        <x:f>SUM(IF($B$8=4,FF29,0),IF($B$36=4,FF57,0),IF($B$64=4,FF85,0))</x:f>
      </x:c>
      <x:c r="FG121" s="107" t="n">
        <x:f>SUM(IF($B$8=4,FG29,0),IF($B$36=4,FG57,0),IF($B$64=4,FG85,0))</x:f>
      </x:c>
      <x:c r="FH121" s="107" t="n">
        <x:f>SUM(IF($B$8=4,FH29,0),IF($B$36=4,FH57,0),IF($B$64=4,FH85,0))</x:f>
      </x:c>
      <x:c r="FI121" s="107" t="n">
        <x:f>SUM(IF($B$8=4,FI29,0),IF($B$36=4,FI57,0),IF($B$64=4,FI85,0))</x:f>
      </x:c>
      <x:c r="FJ121" s="107" t="n">
        <x:f>SUM(IF($B$8=4,FJ29,0),IF($B$36=4,FJ57,0),IF($B$64=4,FJ85,0))</x:f>
      </x:c>
      <x:c r="FK121" s="107" t="n">
        <x:f>SUM(IF($B$8=4,FK29,0),IF($B$36=4,FK57,0),IF($B$64=4,FK85,0))</x:f>
      </x:c>
      <x:c r="FL121" s="107" t="n">
        <x:f>SUM(IF($B$8=4,FL29,0),IF($B$36=4,FL57,0),IF($B$64=4,FL85,0))</x:f>
      </x:c>
      <x:c r="FM121" s="107" t="n">
        <x:f>SUM(IF($B$8=4,FM29,0),IF($B$36=4,FM57,0),IF($B$64=4,FM85,0))</x:f>
      </x:c>
      <x:c r="FN121" s="107" t="n">
        <x:f>SUM(IF($B$8=4,FN29,0),IF($B$36=4,FN57,0),IF($B$64=4,FN85,0))</x:f>
      </x:c>
      <x:c r="FO121" s="107" t="n">
        <x:f>SUM(IF($B$8=4,FO29,0),IF($B$36=4,FO57,0),IF($B$64=4,FO85,0))</x:f>
      </x:c>
      <x:c r="FP121" s="107" t="n">
        <x:f>SUM(IF($B$8=4,FP29,0),IF($B$36=4,FP57,0),IF($B$64=4,FP85,0))</x:f>
      </x:c>
      <x:c r="FQ121" s="107" t="n">
        <x:f>SUM(IF($B$8=4,FQ29,0),IF($B$36=4,FQ57,0),IF($B$64=4,FQ85,0))</x:f>
      </x:c>
      <x:c r="FR121" s="107" t="n">
        <x:f>SUM(IF($B$8=4,FR29,0),IF($B$36=4,FR57,0),IF($B$64=4,FR85,0))</x:f>
      </x:c>
      <x:c r="FS121" s="107" t="n">
        <x:f>SUM(IF($B$8=4,FS29,0),IF($B$36=4,FS57,0),IF($B$64=4,FS85,0))</x:f>
      </x:c>
      <x:c r="FT121" s="107" t="n">
        <x:f>SUM(IF($B$8=4,FT29,0),IF($B$36=4,FT57,0),IF($B$64=4,FT85,0))</x:f>
      </x:c>
      <x:c r="FU121" s="107" t="n">
        <x:f>SUM(IF($B$8=4,FU29,0),IF($B$36=4,FU57,0),IF($B$64=4,FU85,0))</x:f>
      </x:c>
      <x:c r="FV121" s="107" t="n">
        <x:f>SUM(IF($B$8=4,FV29,0),IF($B$36=4,FV57,0),IF($B$64=4,FV85,0))</x:f>
      </x:c>
      <x:c r="FW121" s="107" t="n">
        <x:f>SUM(IF($B$8=4,FW29,0),IF($B$36=4,FW57,0),IF($B$64=4,FW85,0))</x:f>
      </x:c>
      <x:c r="FX121" s="107" t="n">
        <x:f>SUM(IF($B$8=4,FX29,0),IF($B$36=4,FX57,0),IF($B$64=4,FX85,0))</x:f>
      </x:c>
      <x:c r="FY121" s="107" t="n">
        <x:f>SUM(IF($B$8=4,FY29,0),IF($B$36=4,FY57,0),IF($B$64=4,FY85,0))</x:f>
      </x:c>
      <x:c r="FZ121" s="107" t="n">
        <x:f>SUM(IF($B$8=4,FZ29,0),IF($B$36=4,FZ57,0),IF($B$64=4,FZ85,0))</x:f>
      </x:c>
      <x:c r="GA121" s="107" t="n">
        <x:f>SUM(IF($B$8=4,GA29,0),IF($B$36=4,GA57,0),IF($B$64=4,GA85,0))</x:f>
      </x:c>
    </x:row>
    <x:row r="122">
      <x:c r="A122" s="348" t="str">
        <x:v>Очередь 4 — Расходы на продажи объектов</x:v>
      </x:c>
      <x:c r="B122" s="348" t="n">
        <x:f>SUM(D122:GA122)</x:f>
      </x:c>
      <x:c r="C122" s="348" t="str">
        <x:v>млн ₽</x:v>
      </x:c>
      <x:c r="D122" s="348" t="n">
        <x:f>SUM(IF($B$8=4,D30,0),IF($B$36=4,D58,0),IF($B$64=4,D86,0))</x:f>
      </x:c>
      <x:c r="E122" s="348" t="n">
        <x:f>SUM(IF($B$8=4,E30,0),IF($B$36=4,E58,0),IF($B$64=4,E86,0))</x:f>
      </x:c>
      <x:c r="F122" s="348" t="n">
        <x:f>SUM(IF($B$8=4,F30,0),IF($B$36=4,F58,0),IF($B$64=4,F86,0))</x:f>
      </x:c>
      <x:c r="G122" s="348" t="n">
        <x:f>SUM(IF($B$8=4,G30,0),IF($B$36=4,G58,0),IF($B$64=4,G86,0))</x:f>
      </x:c>
      <x:c r="H122" s="348" t="n">
        <x:f>SUM(IF($B$8=4,H30,0),IF($B$36=4,H58,0),IF($B$64=4,H86,0))</x:f>
      </x:c>
      <x:c r="I122" s="348" t="n">
        <x:f>SUM(IF($B$8=4,I30,0),IF($B$36=4,I58,0),IF($B$64=4,I86,0))</x:f>
      </x:c>
      <x:c r="J122" s="348" t="n">
        <x:f>SUM(IF($B$8=4,J30,0),IF($B$36=4,J58,0),IF($B$64=4,J86,0))</x:f>
      </x:c>
      <x:c r="K122" s="348" t="n">
        <x:f>SUM(IF($B$8=4,K30,0),IF($B$36=4,K58,0),IF($B$64=4,K86,0))</x:f>
      </x:c>
      <x:c r="L122" s="348" t="n">
        <x:f>SUM(IF($B$8=4,L30,0),IF($B$36=4,L58,0),IF($B$64=4,L86,0))</x:f>
      </x:c>
      <x:c r="M122" s="348" t="n">
        <x:f>SUM(IF($B$8=4,M30,0),IF($B$36=4,M58,0),IF($B$64=4,M86,0))</x:f>
      </x:c>
      <x:c r="N122" s="348" t="n">
        <x:f>SUM(IF($B$8=4,N30,0),IF($B$36=4,N58,0),IF($B$64=4,N86,0))</x:f>
      </x:c>
      <x:c r="O122" s="348" t="n">
        <x:f>SUM(IF($B$8=4,O30,0),IF($B$36=4,O58,0),IF($B$64=4,O86,0))</x:f>
      </x:c>
      <x:c r="P122" s="348" t="n">
        <x:f>SUM(IF($B$8=4,P30,0),IF($B$36=4,P58,0),IF($B$64=4,P86,0))</x:f>
      </x:c>
      <x:c r="Q122" s="348" t="n">
        <x:f>SUM(IF($B$8=4,Q30,0),IF($B$36=4,Q58,0),IF($B$64=4,Q86,0))</x:f>
      </x:c>
      <x:c r="R122" s="348" t="n">
        <x:f>SUM(IF($B$8=4,R30,0),IF($B$36=4,R58,0),IF($B$64=4,R86,0))</x:f>
      </x:c>
      <x:c r="S122" s="348" t="n">
        <x:f>SUM(IF($B$8=4,S30,0),IF($B$36=4,S58,0),IF($B$64=4,S86,0))</x:f>
      </x:c>
      <x:c r="T122" s="348" t="n">
        <x:f>SUM(IF($B$8=4,T30,0),IF($B$36=4,T58,0),IF($B$64=4,T86,0))</x:f>
      </x:c>
      <x:c r="U122" s="348" t="n">
        <x:f>SUM(IF($B$8=4,U30,0),IF($B$36=4,U58,0),IF($B$64=4,U86,0))</x:f>
      </x:c>
      <x:c r="V122" s="348" t="n">
        <x:f>SUM(IF($B$8=4,V30,0),IF($B$36=4,V58,0),IF($B$64=4,V86,0))</x:f>
      </x:c>
      <x:c r="W122" s="348" t="n">
        <x:f>SUM(IF($B$8=4,W30,0),IF($B$36=4,W58,0),IF($B$64=4,W86,0))</x:f>
      </x:c>
      <x:c r="X122" s="348" t="n">
        <x:f>SUM(IF($B$8=4,X30,0),IF($B$36=4,X58,0),IF($B$64=4,X86,0))</x:f>
      </x:c>
      <x:c r="Y122" s="348" t="n">
        <x:f>SUM(IF($B$8=4,Y30,0),IF($B$36=4,Y58,0),IF($B$64=4,Y86,0))</x:f>
      </x:c>
      <x:c r="Z122" s="348" t="n">
        <x:f>SUM(IF($B$8=4,Z30,0),IF($B$36=4,Z58,0),IF($B$64=4,Z86,0))</x:f>
      </x:c>
      <x:c r="AA122" s="348" t="n">
        <x:f>SUM(IF($B$8=4,AA30,0),IF($B$36=4,AA58,0),IF($B$64=4,AA86,0))</x:f>
      </x:c>
      <x:c r="AB122" s="348" t="n">
        <x:f>SUM(IF($B$8=4,AB30,0),IF($B$36=4,AB58,0),IF($B$64=4,AB86,0))</x:f>
      </x:c>
      <x:c r="AC122" s="348" t="n">
        <x:f>SUM(IF($B$8=4,AC30,0),IF($B$36=4,AC58,0),IF($B$64=4,AC86,0))</x:f>
      </x:c>
      <x:c r="AD122" s="348" t="n">
        <x:f>SUM(IF($B$8=4,AD30,0),IF($B$36=4,AD58,0),IF($B$64=4,AD86,0))</x:f>
      </x:c>
      <x:c r="AE122" s="348" t="n">
        <x:f>SUM(IF($B$8=4,AE30,0),IF($B$36=4,AE58,0),IF($B$64=4,AE86,0))</x:f>
      </x:c>
      <x:c r="AF122" s="348" t="n">
        <x:f>SUM(IF($B$8=4,AF30,0),IF($B$36=4,AF58,0),IF($B$64=4,AF86,0))</x:f>
      </x:c>
      <x:c r="AG122" s="348" t="n">
        <x:f>SUM(IF($B$8=4,AG30,0),IF($B$36=4,AG58,0),IF($B$64=4,AG86,0))</x:f>
      </x:c>
      <x:c r="AH122" s="348" t="n">
        <x:f>SUM(IF($B$8=4,AH30,0),IF($B$36=4,AH58,0),IF($B$64=4,AH86,0))</x:f>
      </x:c>
      <x:c r="AI122" s="348" t="n">
        <x:f>SUM(IF($B$8=4,AI30,0),IF($B$36=4,AI58,0),IF($B$64=4,AI86,0))</x:f>
      </x:c>
      <x:c r="AJ122" s="348" t="n">
        <x:f>SUM(IF($B$8=4,AJ30,0),IF($B$36=4,AJ58,0),IF($B$64=4,AJ86,0))</x:f>
      </x:c>
      <x:c r="AK122" s="348" t="n">
        <x:f>SUM(IF($B$8=4,AK30,0),IF($B$36=4,AK58,0),IF($B$64=4,AK86,0))</x:f>
      </x:c>
      <x:c r="AL122" s="348" t="n">
        <x:f>SUM(IF($B$8=4,AL30,0),IF($B$36=4,AL58,0),IF($B$64=4,AL86,0))</x:f>
      </x:c>
      <x:c r="AM122" s="348" t="n">
        <x:f>SUM(IF($B$8=4,AM30,0),IF($B$36=4,AM58,0),IF($B$64=4,AM86,0))</x:f>
      </x:c>
      <x:c r="AN122" s="348" t="n">
        <x:f>SUM(IF($B$8=4,AN30,0),IF($B$36=4,AN58,0),IF($B$64=4,AN86,0))</x:f>
      </x:c>
      <x:c r="AO122" s="348" t="n">
        <x:f>SUM(IF($B$8=4,AO30,0),IF($B$36=4,AO58,0),IF($B$64=4,AO86,0))</x:f>
      </x:c>
      <x:c r="AP122" s="348" t="n">
        <x:f>SUM(IF($B$8=4,AP30,0),IF($B$36=4,AP58,0),IF($B$64=4,AP86,0))</x:f>
      </x:c>
      <x:c r="AQ122" s="348" t="n">
        <x:f>SUM(IF($B$8=4,AQ30,0),IF($B$36=4,AQ58,0),IF($B$64=4,AQ86,0))</x:f>
      </x:c>
      <x:c r="AR122" s="348" t="n">
        <x:f>SUM(IF($B$8=4,AR30,0),IF($B$36=4,AR58,0),IF($B$64=4,AR86,0))</x:f>
      </x:c>
      <x:c r="AS122" s="348" t="n">
        <x:f>SUM(IF($B$8=4,AS30,0),IF($B$36=4,AS58,0),IF($B$64=4,AS86,0))</x:f>
      </x:c>
      <x:c r="AT122" s="348" t="n">
        <x:f>SUM(IF($B$8=4,AT30,0),IF($B$36=4,AT58,0),IF($B$64=4,AT86,0))</x:f>
      </x:c>
      <x:c r="AU122" s="348" t="n">
        <x:f>SUM(IF($B$8=4,AU30,0),IF($B$36=4,AU58,0),IF($B$64=4,AU86,0))</x:f>
      </x:c>
      <x:c r="AV122" s="348" t="n">
        <x:f>SUM(IF($B$8=4,AV30,0),IF($B$36=4,AV58,0),IF($B$64=4,AV86,0))</x:f>
      </x:c>
      <x:c r="AW122" s="348" t="n">
        <x:f>SUM(IF($B$8=4,AW30,0),IF($B$36=4,AW58,0),IF($B$64=4,AW86,0))</x:f>
      </x:c>
      <x:c r="AX122" s="348" t="n">
        <x:f>SUM(IF($B$8=4,AX30,0),IF($B$36=4,AX58,0),IF($B$64=4,AX86,0))</x:f>
      </x:c>
      <x:c r="AY122" s="348" t="n">
        <x:f>SUM(IF($B$8=4,AY30,0),IF($B$36=4,AY58,0),IF($B$64=4,AY86,0))</x:f>
      </x:c>
      <x:c r="AZ122" s="348" t="n">
        <x:f>SUM(IF($B$8=4,AZ30,0),IF($B$36=4,AZ58,0),IF($B$64=4,AZ86,0))</x:f>
      </x:c>
      <x:c r="BA122" s="348" t="n">
        <x:f>SUM(IF($B$8=4,BA30,0),IF($B$36=4,BA58,0),IF($B$64=4,BA86,0))</x:f>
      </x:c>
      <x:c r="BB122" s="348" t="n">
        <x:f>SUM(IF($B$8=4,BB30,0),IF($B$36=4,BB58,0),IF($B$64=4,BB86,0))</x:f>
      </x:c>
      <x:c r="BC122" s="348" t="n">
        <x:f>SUM(IF($B$8=4,BC30,0),IF($B$36=4,BC58,0),IF($B$64=4,BC86,0))</x:f>
      </x:c>
      <x:c r="BD122" s="348" t="n">
        <x:f>SUM(IF($B$8=4,BD30,0),IF($B$36=4,BD58,0),IF($B$64=4,BD86,0))</x:f>
      </x:c>
      <x:c r="BE122" s="348" t="n">
        <x:f>SUM(IF($B$8=4,BE30,0),IF($B$36=4,BE58,0),IF($B$64=4,BE86,0))</x:f>
      </x:c>
      <x:c r="BF122" s="348" t="n">
        <x:f>SUM(IF($B$8=4,BF30,0),IF($B$36=4,BF58,0),IF($B$64=4,BF86,0))</x:f>
      </x:c>
      <x:c r="BG122" s="348" t="n">
        <x:f>SUM(IF($B$8=4,BG30,0),IF($B$36=4,BG58,0),IF($B$64=4,BG86,0))</x:f>
      </x:c>
      <x:c r="BH122" s="348" t="n">
        <x:f>SUM(IF($B$8=4,BH30,0),IF($B$36=4,BH58,0),IF($B$64=4,BH86,0))</x:f>
      </x:c>
      <x:c r="BI122" s="348" t="n">
        <x:f>SUM(IF($B$8=4,BI30,0),IF($B$36=4,BI58,0),IF($B$64=4,BI86,0))</x:f>
      </x:c>
      <x:c r="BJ122" s="348" t="n">
        <x:f>SUM(IF($B$8=4,BJ30,0),IF($B$36=4,BJ58,0),IF($B$64=4,BJ86,0))</x:f>
      </x:c>
      <x:c r="BK122" s="348" t="n">
        <x:f>SUM(IF($B$8=4,BK30,0),IF($B$36=4,BK58,0),IF($B$64=4,BK86,0))</x:f>
      </x:c>
      <x:c r="BL122" s="348" t="n">
        <x:f>SUM(IF($B$8=4,BL30,0),IF($B$36=4,BL58,0),IF($B$64=4,BL86,0))</x:f>
      </x:c>
      <x:c r="BM122" s="348" t="n">
        <x:f>SUM(IF($B$8=4,BM30,0),IF($B$36=4,BM58,0),IF($B$64=4,BM86,0))</x:f>
      </x:c>
      <x:c r="BN122" s="348" t="n">
        <x:f>SUM(IF($B$8=4,BN30,0),IF($B$36=4,BN58,0),IF($B$64=4,BN86,0))</x:f>
      </x:c>
      <x:c r="BO122" s="348" t="n">
        <x:f>SUM(IF($B$8=4,BO30,0),IF($B$36=4,BO58,0),IF($B$64=4,BO86,0))</x:f>
      </x:c>
      <x:c r="BP122" s="348" t="n">
        <x:f>SUM(IF($B$8=4,BP30,0),IF($B$36=4,BP58,0),IF($B$64=4,BP86,0))</x:f>
      </x:c>
      <x:c r="BQ122" s="348" t="n">
        <x:f>SUM(IF($B$8=4,BQ30,0),IF($B$36=4,BQ58,0),IF($B$64=4,BQ86,0))</x:f>
      </x:c>
      <x:c r="BR122" s="348" t="n">
        <x:f>SUM(IF($B$8=4,BR30,0),IF($B$36=4,BR58,0),IF($B$64=4,BR86,0))</x:f>
      </x:c>
      <x:c r="BS122" s="348" t="n">
        <x:f>SUM(IF($B$8=4,BS30,0),IF($B$36=4,BS58,0),IF($B$64=4,BS86,0))</x:f>
      </x:c>
      <x:c r="BT122" s="348" t="n">
        <x:f>SUM(IF($B$8=4,BT30,0),IF($B$36=4,BT58,0),IF($B$64=4,BT86,0))</x:f>
      </x:c>
      <x:c r="BU122" s="348" t="n">
        <x:f>SUM(IF($B$8=4,BU30,0),IF($B$36=4,BU58,0),IF($B$64=4,BU86,0))</x:f>
      </x:c>
      <x:c r="BV122" s="348" t="n">
        <x:f>SUM(IF($B$8=4,BV30,0),IF($B$36=4,BV58,0),IF($B$64=4,BV86,0))</x:f>
      </x:c>
      <x:c r="BW122" s="348" t="n">
        <x:f>SUM(IF($B$8=4,BW30,0),IF($B$36=4,BW58,0),IF($B$64=4,BW86,0))</x:f>
      </x:c>
      <x:c r="BX122" s="348" t="n">
        <x:f>SUM(IF($B$8=4,BX30,0),IF($B$36=4,BX58,0),IF($B$64=4,BX86,0))</x:f>
      </x:c>
      <x:c r="BY122" s="348" t="n">
        <x:f>SUM(IF($B$8=4,BY30,0),IF($B$36=4,BY58,0),IF($B$64=4,BY86,0))</x:f>
      </x:c>
      <x:c r="BZ122" s="348" t="n">
        <x:f>SUM(IF($B$8=4,BZ30,0),IF($B$36=4,BZ58,0),IF($B$64=4,BZ86,0))</x:f>
      </x:c>
      <x:c r="CA122" s="348" t="n">
        <x:f>SUM(IF($B$8=4,CA30,0),IF($B$36=4,CA58,0),IF($B$64=4,CA86,0))</x:f>
      </x:c>
      <x:c r="CB122" s="348" t="n">
        <x:f>SUM(IF($B$8=4,CB30,0),IF($B$36=4,CB58,0),IF($B$64=4,CB86,0))</x:f>
      </x:c>
      <x:c r="CC122" s="348" t="n">
        <x:f>SUM(IF($B$8=4,CC30,0),IF($B$36=4,CC58,0),IF($B$64=4,CC86,0))</x:f>
      </x:c>
      <x:c r="CD122" s="348" t="n">
        <x:f>SUM(IF($B$8=4,CD30,0),IF($B$36=4,CD58,0),IF($B$64=4,CD86,0))</x:f>
      </x:c>
      <x:c r="CE122" s="348" t="n">
        <x:f>SUM(IF($B$8=4,CE30,0),IF($B$36=4,CE58,0),IF($B$64=4,CE86,0))</x:f>
      </x:c>
      <x:c r="CF122" s="348" t="n">
        <x:f>SUM(IF($B$8=4,CF30,0),IF($B$36=4,CF58,0),IF($B$64=4,CF86,0))</x:f>
      </x:c>
      <x:c r="CG122" s="348" t="n">
        <x:f>SUM(IF($B$8=4,CG30,0),IF($B$36=4,CG58,0),IF($B$64=4,CG86,0))</x:f>
      </x:c>
      <x:c r="CH122" s="348" t="n">
        <x:f>SUM(IF($B$8=4,CH30,0),IF($B$36=4,CH58,0),IF($B$64=4,CH86,0))</x:f>
      </x:c>
      <x:c r="CI122" s="348" t="n">
        <x:f>SUM(IF($B$8=4,CI30,0),IF($B$36=4,CI58,0),IF($B$64=4,CI86,0))</x:f>
      </x:c>
      <x:c r="CJ122" s="348" t="n">
        <x:f>SUM(IF($B$8=4,CJ30,0),IF($B$36=4,CJ58,0),IF($B$64=4,CJ86,0))</x:f>
      </x:c>
      <x:c r="CK122" s="348" t="n">
        <x:f>SUM(IF($B$8=4,CK30,0),IF($B$36=4,CK58,0),IF($B$64=4,CK86,0))</x:f>
      </x:c>
      <x:c r="CL122" s="348" t="n">
        <x:f>SUM(IF($B$8=4,CL30,0),IF($B$36=4,CL58,0),IF($B$64=4,CL86,0))</x:f>
      </x:c>
      <x:c r="CM122" s="348" t="n">
        <x:f>SUM(IF($B$8=4,CM30,0),IF($B$36=4,CM58,0),IF($B$64=4,CM86,0))</x:f>
      </x:c>
      <x:c r="CN122" s="348" t="n">
        <x:f>SUM(IF($B$8=4,CN30,0),IF($B$36=4,CN58,0),IF($B$64=4,CN86,0))</x:f>
      </x:c>
      <x:c r="CO122" s="348" t="n">
        <x:f>SUM(IF($B$8=4,CO30,0),IF($B$36=4,CO58,0),IF($B$64=4,CO86,0))</x:f>
      </x:c>
      <x:c r="CP122" s="348" t="n">
        <x:f>SUM(IF($B$8=4,CP30,0),IF($B$36=4,CP58,0),IF($B$64=4,CP86,0))</x:f>
      </x:c>
      <x:c r="CQ122" s="348" t="n">
        <x:f>SUM(IF($B$8=4,CQ30,0),IF($B$36=4,CQ58,0),IF($B$64=4,CQ86,0))</x:f>
      </x:c>
      <x:c r="CR122" s="348" t="n">
        <x:f>SUM(IF($B$8=4,CR30,0),IF($B$36=4,CR58,0),IF($B$64=4,CR86,0))</x:f>
      </x:c>
      <x:c r="CS122" s="348" t="n">
        <x:f>SUM(IF($B$8=4,CS30,0),IF($B$36=4,CS58,0),IF($B$64=4,CS86,0))</x:f>
      </x:c>
      <x:c r="CT122" s="348" t="n">
        <x:f>SUM(IF($B$8=4,CT30,0),IF($B$36=4,CT58,0),IF($B$64=4,CT86,0))</x:f>
      </x:c>
      <x:c r="CU122" s="348" t="n">
        <x:f>SUM(IF($B$8=4,CU30,0),IF($B$36=4,CU58,0),IF($B$64=4,CU86,0))</x:f>
      </x:c>
      <x:c r="CV122" s="348" t="n">
        <x:f>SUM(IF($B$8=4,CV30,0),IF($B$36=4,CV58,0),IF($B$64=4,CV86,0))</x:f>
      </x:c>
      <x:c r="CW122" s="348" t="n">
        <x:f>SUM(IF($B$8=4,CW30,0),IF($B$36=4,CW58,0),IF($B$64=4,CW86,0))</x:f>
      </x:c>
      <x:c r="CX122" s="348" t="n">
        <x:f>SUM(IF($B$8=4,CX30,0),IF($B$36=4,CX58,0),IF($B$64=4,CX86,0))</x:f>
      </x:c>
      <x:c r="CY122" s="348" t="n">
        <x:f>SUM(IF($B$8=4,CY30,0),IF($B$36=4,CY58,0),IF($B$64=4,CY86,0))</x:f>
      </x:c>
      <x:c r="CZ122" s="348" t="n">
        <x:f>SUM(IF($B$8=4,CZ30,0),IF($B$36=4,CZ58,0),IF($B$64=4,CZ86,0))</x:f>
      </x:c>
      <x:c r="DA122" s="348" t="n">
        <x:f>SUM(IF($B$8=4,DA30,0),IF($B$36=4,DA58,0),IF($B$64=4,DA86,0))</x:f>
      </x:c>
      <x:c r="DB122" s="348" t="n">
        <x:f>SUM(IF($B$8=4,DB30,0),IF($B$36=4,DB58,0),IF($B$64=4,DB86,0))</x:f>
      </x:c>
      <x:c r="DC122" s="348" t="n">
        <x:f>SUM(IF($B$8=4,DC30,0),IF($B$36=4,DC58,0),IF($B$64=4,DC86,0))</x:f>
      </x:c>
      <x:c r="DD122" s="348" t="n">
        <x:f>SUM(IF($B$8=4,DD30,0),IF($B$36=4,DD58,0),IF($B$64=4,DD86,0))</x:f>
      </x:c>
      <x:c r="DE122" s="348" t="n">
        <x:f>SUM(IF($B$8=4,DE30,0),IF($B$36=4,DE58,0),IF($B$64=4,DE86,0))</x:f>
      </x:c>
      <x:c r="DF122" s="348" t="n">
        <x:f>SUM(IF($B$8=4,DF30,0),IF($B$36=4,DF58,0),IF($B$64=4,DF86,0))</x:f>
      </x:c>
      <x:c r="DG122" s="348" t="n">
        <x:f>SUM(IF($B$8=4,DG30,0),IF($B$36=4,DG58,0),IF($B$64=4,DG86,0))</x:f>
      </x:c>
      <x:c r="DH122" s="348" t="n">
        <x:f>SUM(IF($B$8=4,DH30,0),IF($B$36=4,DH58,0),IF($B$64=4,DH86,0))</x:f>
      </x:c>
      <x:c r="DI122" s="348" t="n">
        <x:f>SUM(IF($B$8=4,DI30,0),IF($B$36=4,DI58,0),IF($B$64=4,DI86,0))</x:f>
      </x:c>
      <x:c r="DJ122" s="348" t="n">
        <x:f>SUM(IF($B$8=4,DJ30,0),IF($B$36=4,DJ58,0),IF($B$64=4,DJ86,0))</x:f>
      </x:c>
      <x:c r="DK122" s="348" t="n">
        <x:f>SUM(IF($B$8=4,DK30,0),IF($B$36=4,DK58,0),IF($B$64=4,DK86,0))</x:f>
      </x:c>
      <x:c r="DL122" s="348" t="n">
        <x:f>SUM(IF($B$8=4,DL30,0),IF($B$36=4,DL58,0),IF($B$64=4,DL86,0))</x:f>
      </x:c>
      <x:c r="DM122" s="348" t="n">
        <x:f>SUM(IF($B$8=4,DM30,0),IF($B$36=4,DM58,0),IF($B$64=4,DM86,0))</x:f>
      </x:c>
      <x:c r="DN122" s="348" t="n">
        <x:f>SUM(IF($B$8=4,DN30,0),IF($B$36=4,DN58,0),IF($B$64=4,DN86,0))</x:f>
      </x:c>
      <x:c r="DO122" s="348" t="n">
        <x:f>SUM(IF($B$8=4,DO30,0),IF($B$36=4,DO58,0),IF($B$64=4,DO86,0))</x:f>
      </x:c>
      <x:c r="DP122" s="348" t="n">
        <x:f>SUM(IF($B$8=4,DP30,0),IF($B$36=4,DP58,0),IF($B$64=4,DP86,0))</x:f>
      </x:c>
      <x:c r="DQ122" s="348" t="n">
        <x:f>SUM(IF($B$8=4,DQ30,0),IF($B$36=4,DQ58,0),IF($B$64=4,DQ86,0))</x:f>
      </x:c>
      <x:c r="DR122" s="348" t="n">
        <x:f>SUM(IF($B$8=4,DR30,0),IF($B$36=4,DR58,0),IF($B$64=4,DR86,0))</x:f>
      </x:c>
      <x:c r="DS122" s="348" t="n">
        <x:f>SUM(IF($B$8=4,DS30,0),IF($B$36=4,DS58,0),IF($B$64=4,DS86,0))</x:f>
      </x:c>
      <x:c r="DT122" s="348" t="n">
        <x:f>SUM(IF($B$8=4,DT30,0),IF($B$36=4,DT58,0),IF($B$64=4,DT86,0))</x:f>
      </x:c>
      <x:c r="DU122" s="348" t="n">
        <x:f>SUM(IF($B$8=4,DU30,0),IF($B$36=4,DU58,0),IF($B$64=4,DU86,0))</x:f>
      </x:c>
      <x:c r="DV122" s="348" t="n">
        <x:f>SUM(IF($B$8=4,DV30,0),IF($B$36=4,DV58,0),IF($B$64=4,DV86,0))</x:f>
      </x:c>
      <x:c r="DW122" s="348" t="n">
        <x:f>SUM(IF($B$8=4,DW30,0),IF($B$36=4,DW58,0),IF($B$64=4,DW86,0))</x:f>
      </x:c>
      <x:c r="DX122" s="348" t="n">
        <x:f>SUM(IF($B$8=4,DX30,0),IF($B$36=4,DX58,0),IF($B$64=4,DX86,0))</x:f>
      </x:c>
      <x:c r="DY122" s="348" t="n">
        <x:f>SUM(IF($B$8=4,DY30,0),IF($B$36=4,DY58,0),IF($B$64=4,DY86,0))</x:f>
      </x:c>
      <x:c r="DZ122" s="348" t="n">
        <x:f>SUM(IF($B$8=4,DZ30,0),IF($B$36=4,DZ58,0),IF($B$64=4,DZ86,0))</x:f>
      </x:c>
      <x:c r="EA122" s="348" t="n">
        <x:f>SUM(IF($B$8=4,EA30,0),IF($B$36=4,EA58,0),IF($B$64=4,EA86,0))</x:f>
      </x:c>
      <x:c r="EB122" s="348" t="n">
        <x:f>SUM(IF($B$8=4,EB30,0),IF($B$36=4,EB58,0),IF($B$64=4,EB86,0))</x:f>
      </x:c>
      <x:c r="EC122" s="348" t="n">
        <x:f>SUM(IF($B$8=4,EC30,0),IF($B$36=4,EC58,0),IF($B$64=4,EC86,0))</x:f>
      </x:c>
      <x:c r="ED122" s="348" t="n">
        <x:f>SUM(IF($B$8=4,ED30,0),IF($B$36=4,ED58,0),IF($B$64=4,ED86,0))</x:f>
      </x:c>
      <x:c r="EE122" s="348" t="n">
        <x:f>SUM(IF($B$8=4,EE30,0),IF($B$36=4,EE58,0),IF($B$64=4,EE86,0))</x:f>
      </x:c>
      <x:c r="EF122" s="348" t="n">
        <x:f>SUM(IF($B$8=4,EF30,0),IF($B$36=4,EF58,0),IF($B$64=4,EF86,0))</x:f>
      </x:c>
      <x:c r="EG122" s="348" t="n">
        <x:f>SUM(IF($B$8=4,EG30,0),IF($B$36=4,EG58,0),IF($B$64=4,EG86,0))</x:f>
      </x:c>
      <x:c r="EH122" s="348" t="n">
        <x:f>SUM(IF($B$8=4,EH30,0),IF($B$36=4,EH58,0),IF($B$64=4,EH86,0))</x:f>
      </x:c>
      <x:c r="EI122" s="348" t="n">
        <x:f>SUM(IF($B$8=4,EI30,0),IF($B$36=4,EI58,0),IF($B$64=4,EI86,0))</x:f>
      </x:c>
      <x:c r="EJ122" s="348" t="n">
        <x:f>SUM(IF($B$8=4,EJ30,0),IF($B$36=4,EJ58,0),IF($B$64=4,EJ86,0))</x:f>
      </x:c>
      <x:c r="EK122" s="348" t="n">
        <x:f>SUM(IF($B$8=4,EK30,0),IF($B$36=4,EK58,0),IF($B$64=4,EK86,0))</x:f>
      </x:c>
      <x:c r="EL122" s="348" t="n">
        <x:f>SUM(IF($B$8=4,EL30,0),IF($B$36=4,EL58,0),IF($B$64=4,EL86,0))</x:f>
      </x:c>
      <x:c r="EM122" s="348" t="n">
        <x:f>SUM(IF($B$8=4,EM30,0),IF($B$36=4,EM58,0),IF($B$64=4,EM86,0))</x:f>
      </x:c>
      <x:c r="EN122" s="348" t="n">
        <x:f>SUM(IF($B$8=4,EN30,0),IF($B$36=4,EN58,0),IF($B$64=4,EN86,0))</x:f>
      </x:c>
      <x:c r="EO122" s="348" t="n">
        <x:f>SUM(IF($B$8=4,EO30,0),IF($B$36=4,EO58,0),IF($B$64=4,EO86,0))</x:f>
      </x:c>
      <x:c r="EP122" s="348" t="n">
        <x:f>SUM(IF($B$8=4,EP30,0),IF($B$36=4,EP58,0),IF($B$64=4,EP86,0))</x:f>
      </x:c>
      <x:c r="EQ122" s="348" t="n">
        <x:f>SUM(IF($B$8=4,EQ30,0),IF($B$36=4,EQ58,0),IF($B$64=4,EQ86,0))</x:f>
      </x:c>
      <x:c r="ER122" s="348" t="n">
        <x:f>SUM(IF($B$8=4,ER30,0),IF($B$36=4,ER58,0),IF($B$64=4,ER86,0))</x:f>
      </x:c>
      <x:c r="ES122" s="348" t="n">
        <x:f>SUM(IF($B$8=4,ES30,0),IF($B$36=4,ES58,0),IF($B$64=4,ES86,0))</x:f>
      </x:c>
      <x:c r="ET122" s="348" t="n">
        <x:f>SUM(IF($B$8=4,ET30,0),IF($B$36=4,ET58,0),IF($B$64=4,ET86,0))</x:f>
      </x:c>
      <x:c r="EU122" s="348" t="n">
        <x:f>SUM(IF($B$8=4,EU30,0),IF($B$36=4,EU58,0),IF($B$64=4,EU86,0))</x:f>
      </x:c>
      <x:c r="EV122" s="348" t="n">
        <x:f>SUM(IF($B$8=4,EV30,0),IF($B$36=4,EV58,0),IF($B$64=4,EV86,0))</x:f>
      </x:c>
      <x:c r="EW122" s="348" t="n">
        <x:f>SUM(IF($B$8=4,EW30,0),IF($B$36=4,EW58,0),IF($B$64=4,EW86,0))</x:f>
      </x:c>
      <x:c r="EX122" s="348" t="n">
        <x:f>SUM(IF($B$8=4,EX30,0),IF($B$36=4,EX58,0),IF($B$64=4,EX86,0))</x:f>
      </x:c>
      <x:c r="EY122" s="348" t="n">
        <x:f>SUM(IF($B$8=4,EY30,0),IF($B$36=4,EY58,0),IF($B$64=4,EY86,0))</x:f>
      </x:c>
      <x:c r="EZ122" s="348" t="n">
        <x:f>SUM(IF($B$8=4,EZ30,0),IF($B$36=4,EZ58,0),IF($B$64=4,EZ86,0))</x:f>
      </x:c>
      <x:c r="FA122" s="348" t="n">
        <x:f>SUM(IF($B$8=4,FA30,0),IF($B$36=4,FA58,0),IF($B$64=4,FA86,0))</x:f>
      </x:c>
      <x:c r="FB122" s="348" t="n">
        <x:f>SUM(IF($B$8=4,FB30,0),IF($B$36=4,FB58,0),IF($B$64=4,FB86,0))</x:f>
      </x:c>
      <x:c r="FC122" s="348" t="n">
        <x:f>SUM(IF($B$8=4,FC30,0),IF($B$36=4,FC58,0),IF($B$64=4,FC86,0))</x:f>
      </x:c>
      <x:c r="FD122" s="348" t="n">
        <x:f>SUM(IF($B$8=4,FD30,0),IF($B$36=4,FD58,0),IF($B$64=4,FD86,0))</x:f>
      </x:c>
      <x:c r="FE122" s="348" t="n">
        <x:f>SUM(IF($B$8=4,FE30,0),IF($B$36=4,FE58,0),IF($B$64=4,FE86,0))</x:f>
      </x:c>
      <x:c r="FF122" s="348" t="n">
        <x:f>SUM(IF($B$8=4,FF30,0),IF($B$36=4,FF58,0),IF($B$64=4,FF86,0))</x:f>
      </x:c>
      <x:c r="FG122" s="348" t="n">
        <x:f>SUM(IF($B$8=4,FG30,0),IF($B$36=4,FG58,0),IF($B$64=4,FG86,0))</x:f>
      </x:c>
      <x:c r="FH122" s="348" t="n">
        <x:f>SUM(IF($B$8=4,FH30,0),IF($B$36=4,FH58,0),IF($B$64=4,FH86,0))</x:f>
      </x:c>
      <x:c r="FI122" s="348" t="n">
        <x:f>SUM(IF($B$8=4,FI30,0),IF($B$36=4,FI58,0),IF($B$64=4,FI86,0))</x:f>
      </x:c>
      <x:c r="FJ122" s="348" t="n">
        <x:f>SUM(IF($B$8=4,FJ30,0),IF($B$36=4,FJ58,0),IF($B$64=4,FJ86,0))</x:f>
      </x:c>
      <x:c r="FK122" s="348" t="n">
        <x:f>SUM(IF($B$8=4,FK30,0),IF($B$36=4,FK58,0),IF($B$64=4,FK86,0))</x:f>
      </x:c>
      <x:c r="FL122" s="348" t="n">
        <x:f>SUM(IF($B$8=4,FL30,0),IF($B$36=4,FL58,0),IF($B$64=4,FL86,0))</x:f>
      </x:c>
      <x:c r="FM122" s="348" t="n">
        <x:f>SUM(IF($B$8=4,FM30,0),IF($B$36=4,FM58,0),IF($B$64=4,FM86,0))</x:f>
      </x:c>
      <x:c r="FN122" s="348" t="n">
        <x:f>SUM(IF($B$8=4,FN30,0),IF($B$36=4,FN58,0),IF($B$64=4,FN86,0))</x:f>
      </x:c>
      <x:c r="FO122" s="348" t="n">
        <x:f>SUM(IF($B$8=4,FO30,0),IF($B$36=4,FO58,0),IF($B$64=4,FO86,0))</x:f>
      </x:c>
      <x:c r="FP122" s="348" t="n">
        <x:f>SUM(IF($B$8=4,FP30,0),IF($B$36=4,FP58,0),IF($B$64=4,FP86,0))</x:f>
      </x:c>
      <x:c r="FQ122" s="348" t="n">
        <x:f>SUM(IF($B$8=4,FQ30,0),IF($B$36=4,FQ58,0),IF($B$64=4,FQ86,0))</x:f>
      </x:c>
      <x:c r="FR122" s="348" t="n">
        <x:f>SUM(IF($B$8=4,FR30,0),IF($B$36=4,FR58,0),IF($B$64=4,FR86,0))</x:f>
      </x:c>
      <x:c r="FS122" s="348" t="n">
        <x:f>SUM(IF($B$8=4,FS30,0),IF($B$36=4,FS58,0),IF($B$64=4,FS86,0))</x:f>
      </x:c>
      <x:c r="FT122" s="348" t="n">
        <x:f>SUM(IF($B$8=4,FT30,0),IF($B$36=4,FT58,0),IF($B$64=4,FT86,0))</x:f>
      </x:c>
      <x:c r="FU122" s="348" t="n">
        <x:f>SUM(IF($B$8=4,FU30,0),IF($B$36=4,FU58,0),IF($B$64=4,FU86,0))</x:f>
      </x:c>
      <x:c r="FV122" s="348" t="n">
        <x:f>SUM(IF($B$8=4,FV30,0),IF($B$36=4,FV58,0),IF($B$64=4,FV86,0))</x:f>
      </x:c>
      <x:c r="FW122" s="348" t="n">
        <x:f>SUM(IF($B$8=4,FW30,0),IF($B$36=4,FW58,0),IF($B$64=4,FW86,0))</x:f>
      </x:c>
      <x:c r="FX122" s="348" t="n">
        <x:f>SUM(IF($B$8=4,FX30,0),IF($B$36=4,FX58,0),IF($B$64=4,FX86,0))</x:f>
      </x:c>
      <x:c r="FY122" s="348" t="n">
        <x:f>SUM(IF($B$8=4,FY30,0),IF($B$36=4,FY58,0),IF($B$64=4,FY86,0))</x:f>
      </x:c>
      <x:c r="FZ122" s="348" t="n">
        <x:f>SUM(IF($B$8=4,FZ30,0),IF($B$36=4,FZ58,0),IF($B$64=4,FZ86,0))</x:f>
      </x:c>
      <x:c r="GA122" s="348" t="n">
        <x:f>SUM(IF($B$8=4,GA30,0),IF($B$36=4,GA58,0),IF($B$64=4,GA86,0))</x:f>
      </x:c>
    </x:row>
  </x:sheetData>
  <x:mergeCells>
    <x:mergeCell ref="A1:GA1"/>
    <x:mergeCell ref="A6:GA6"/>
    <x:mergeCell ref="A34:GA34"/>
    <x:mergeCell ref="A62:GA62"/>
    <x:mergeCell ref="A90:GA90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5" hidden="0" customWidth="1"/>
    <x:col min="3" max="3" width="12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  <x:col min="45" max="45" width="11" hidden="0" customWidth="1"/>
    <x:col min="46" max="46" width="11" hidden="0" customWidth="1"/>
    <x:col min="47" max="47" width="11" hidden="0" customWidth="1"/>
    <x:col min="48" max="48" width="11" hidden="0" customWidth="1"/>
    <x:col min="49" max="49" width="11" hidden="0" customWidth="1"/>
    <x:col min="50" max="50" width="11" hidden="0" customWidth="1"/>
    <x:col min="51" max="51" width="11" hidden="0" customWidth="1"/>
    <x:col min="52" max="52" width="11" hidden="0" customWidth="1"/>
    <x:col min="53" max="53" width="11" hidden="0" customWidth="1"/>
    <x:col min="54" max="54" width="11" hidden="0" customWidth="1"/>
    <x:col min="55" max="55" width="11" hidden="0" customWidth="1"/>
    <x:col min="56" max="56" width="11" hidden="0" customWidth="1"/>
    <x:col min="57" max="57" width="11" hidden="0" customWidth="1"/>
    <x:col min="58" max="58" width="11" hidden="0" customWidth="1"/>
    <x:col min="59" max="59" width="11" hidden="0" customWidth="1"/>
    <x:col min="60" max="60" width="11" hidden="0" customWidth="1"/>
    <x:col min="61" max="61" width="11" hidden="0" customWidth="1"/>
    <x:col min="62" max="62" width="11" hidden="0" customWidth="1"/>
    <x:col min="63" max="63" width="11" hidden="0" customWidth="1"/>
    <x:col min="64" max="64" width="11" hidden="0" customWidth="1"/>
    <x:col min="65" max="65" width="11" hidden="0" customWidth="1"/>
    <x:col min="66" max="66" width="11" hidden="0" customWidth="1"/>
    <x:col min="67" max="67" width="11" hidden="0" customWidth="1"/>
    <x:col min="68" max="68" width="11" hidden="0" customWidth="1"/>
    <x:col min="69" max="69" width="11" hidden="0" customWidth="1"/>
    <x:col min="70" max="70" width="11" hidden="0" customWidth="1"/>
    <x:col min="71" max="71" width="11" hidden="0" customWidth="1"/>
    <x:col min="72" max="72" width="11" hidden="0" customWidth="1"/>
    <x:col min="73" max="73" width="11" hidden="0" customWidth="1"/>
    <x:col min="74" max="74" width="11" hidden="0" customWidth="1"/>
    <x:col min="75" max="75" width="11" hidden="0" customWidth="1"/>
    <x:col min="76" max="76" width="11" hidden="0" customWidth="1"/>
    <x:col min="77" max="77" width="11" hidden="0" customWidth="1"/>
    <x:col min="78" max="78" width="11" hidden="0" customWidth="1"/>
    <x:col min="79" max="79" width="11" hidden="0" customWidth="1"/>
    <x:col min="80" max="80" width="11" hidden="0" customWidth="1"/>
    <x:col min="81" max="81" width="11" hidden="0" customWidth="1"/>
    <x:col min="82" max="82" width="11" hidden="0" customWidth="1"/>
    <x:col min="83" max="83" width="11" hidden="0" customWidth="1"/>
    <x:col min="84" max="84" width="11" hidden="0" customWidth="1"/>
    <x:col min="85" max="85" width="11" hidden="0" customWidth="1"/>
    <x:col min="86" max="86" width="11" hidden="0" customWidth="1"/>
    <x:col min="87" max="87" width="11" hidden="0" customWidth="1"/>
    <x:col min="88" max="88" width="11" hidden="0" customWidth="1"/>
    <x:col min="89" max="89" width="11" hidden="0" customWidth="1"/>
    <x:col min="90" max="90" width="11" hidden="0" customWidth="1"/>
    <x:col min="91" max="91" width="11" hidden="0" customWidth="1"/>
    <x:col min="92" max="92" width="11" hidden="0" customWidth="1"/>
    <x:col min="93" max="93" width="11" hidden="0" customWidth="1"/>
    <x:col min="94" max="94" width="11" hidden="0" customWidth="1"/>
    <x:col min="95" max="95" width="11" hidden="0" customWidth="1"/>
    <x:col min="96" max="96" width="11" hidden="0" customWidth="1"/>
    <x:col min="97" max="97" width="11" hidden="0" customWidth="1"/>
    <x:col min="98" max="98" width="11" hidden="0" customWidth="1"/>
    <x:col min="99" max="99" width="11" hidden="0" customWidth="1"/>
    <x:col min="100" max="100" width="11" hidden="0" customWidth="1"/>
    <x:col min="101" max="101" width="11" hidden="0" customWidth="1"/>
    <x:col min="102" max="102" width="11" hidden="0" customWidth="1"/>
    <x:col min="103" max="103" width="11" hidden="0" customWidth="1"/>
    <x:col min="104" max="104" width="11" hidden="0" customWidth="1"/>
    <x:col min="105" max="105" width="11" hidden="0" customWidth="1"/>
    <x:col min="106" max="106" width="11" hidden="0" customWidth="1"/>
    <x:col min="107" max="107" width="11" hidden="0" customWidth="1"/>
    <x:col min="108" max="108" width="11" hidden="0" customWidth="1"/>
    <x:col min="109" max="109" width="11" hidden="0" customWidth="1"/>
    <x:col min="110" max="110" width="11" hidden="0" customWidth="1"/>
    <x:col min="111" max="111" width="11" hidden="0" customWidth="1"/>
    <x:col min="112" max="112" width="11" hidden="0" customWidth="1"/>
    <x:col min="113" max="113" width="11" hidden="0" customWidth="1"/>
    <x:col min="114" max="114" width="11" hidden="0" customWidth="1"/>
    <x:col min="115" max="115" width="11" hidden="0" customWidth="1"/>
    <x:col min="116" max="116" width="11" hidden="0" customWidth="1"/>
    <x:col min="117" max="117" width="11" hidden="0" customWidth="1"/>
    <x:col min="118" max="118" width="11" hidden="0" customWidth="1"/>
    <x:col min="119" max="119" width="11" hidden="0" customWidth="1"/>
    <x:col min="120" max="120" width="11" hidden="0" customWidth="1"/>
    <x:col min="121" max="121" width="11" hidden="0" customWidth="1"/>
    <x:col min="122" max="122" width="11" hidden="0" customWidth="1"/>
    <x:col min="123" max="123" width="11" hidden="0" customWidth="1"/>
    <x:col min="124" max="124" width="11" hidden="0" customWidth="1"/>
    <x:col min="125" max="125" width="11" hidden="0" customWidth="1"/>
    <x:col min="126" max="126" width="11" hidden="0" customWidth="1"/>
    <x:col min="127" max="127" width="11" hidden="0" customWidth="1"/>
    <x:col min="128" max="128" width="11" hidden="0" customWidth="1"/>
    <x:col min="129" max="129" width="11" hidden="0" customWidth="1"/>
    <x:col min="130" max="130" width="11" hidden="0" customWidth="1"/>
    <x:col min="131" max="131" width="11" hidden="0" customWidth="1"/>
    <x:col min="132" max="132" width="11" hidden="0" customWidth="1"/>
    <x:col min="133" max="133" width="11" hidden="0" customWidth="1"/>
    <x:col min="134" max="134" width="11" hidden="0" customWidth="1"/>
    <x:col min="135" max="135" width="11" hidden="0" customWidth="1"/>
    <x:col min="136" max="136" width="11" hidden="0" customWidth="1"/>
    <x:col min="137" max="137" width="11" hidden="0" customWidth="1"/>
    <x:col min="138" max="138" width="11" hidden="0" customWidth="1"/>
    <x:col min="139" max="139" width="11" hidden="0" customWidth="1"/>
    <x:col min="140" max="140" width="11" hidden="0" customWidth="1"/>
    <x:col min="141" max="141" width="11" hidden="0" customWidth="1"/>
    <x:col min="142" max="142" width="11" hidden="0" customWidth="1"/>
    <x:col min="143" max="143" width="11" hidden="0" customWidth="1"/>
    <x:col min="144" max="144" width="11" hidden="0" customWidth="1"/>
    <x:col min="145" max="145" width="11" hidden="0" customWidth="1"/>
    <x:col min="146" max="146" width="11" hidden="0" customWidth="1"/>
    <x:col min="147" max="147" width="11" hidden="0" customWidth="1"/>
    <x:col min="148" max="148" width="11" hidden="0" customWidth="1"/>
    <x:col min="149" max="149" width="11" hidden="0" customWidth="1"/>
    <x:col min="150" max="150" width="11" hidden="0" customWidth="1"/>
    <x:col min="151" max="151" width="11" hidden="0" customWidth="1"/>
    <x:col min="152" max="152" width="11" hidden="0" customWidth="1"/>
    <x:col min="153" max="153" width="11" hidden="0" customWidth="1"/>
    <x:col min="154" max="154" width="11" hidden="0" customWidth="1"/>
    <x:col min="155" max="155" width="11" hidden="0" customWidth="1"/>
    <x:col min="156" max="156" width="11" hidden="0" customWidth="1"/>
    <x:col min="157" max="157" width="11" hidden="0" customWidth="1"/>
    <x:col min="158" max="158" width="11" hidden="0" customWidth="1"/>
    <x:col min="159" max="159" width="11" hidden="0" customWidth="1"/>
    <x:col min="160" max="160" width="11" hidden="0" customWidth="1"/>
    <x:col min="161" max="161" width="11" hidden="0" customWidth="1"/>
    <x:col min="162" max="162" width="11" hidden="0" customWidth="1"/>
    <x:col min="163" max="163" width="11" hidden="0" customWidth="1"/>
    <x:col min="164" max="164" width="11" hidden="0" customWidth="1"/>
    <x:col min="165" max="165" width="11" hidden="0" customWidth="1"/>
    <x:col min="166" max="166" width="11" hidden="0" customWidth="1"/>
    <x:col min="167" max="167" width="11" hidden="0" customWidth="1"/>
    <x:col min="168" max="168" width="11" hidden="0" customWidth="1"/>
    <x:col min="169" max="169" width="11" hidden="0" customWidth="1"/>
    <x:col min="170" max="170" width="11" hidden="0" customWidth="1"/>
    <x:col min="171" max="171" width="11" hidden="0" customWidth="1"/>
    <x:col min="172" max="172" width="11" hidden="0" customWidth="1"/>
    <x:col min="173" max="173" width="11" hidden="0" customWidth="1"/>
    <x:col min="174" max="174" width="11" hidden="0" customWidth="1"/>
    <x:col min="175" max="175" width="11" hidden="0" customWidth="1"/>
    <x:col min="176" max="176" width="11" hidden="0" customWidth="1"/>
    <x:col min="177" max="177" width="11" hidden="0" customWidth="1"/>
    <x:col min="178" max="178" width="11" hidden="0" customWidth="1"/>
    <x:col min="179" max="179" width="11" hidden="0" customWidth="1"/>
    <x:col min="180" max="180" width="11" hidden="0" customWidth="1"/>
    <x:col min="181" max="181" width="11" hidden="0" customWidth="1"/>
    <x:col min="182" max="182" width="11" hidden="0" customWidth="1"/>
    <x:col min="183" max="183" width="11" hidden="0" customWidth="1"/>
  </x:cols>
  <x:sheetData>
    <x:row r="1" ht="28" customHeight="1">
      <x:c r="A1" s="4" t="str">
        <x:v>ДЕНЕЖНЫЙ ПОТОК · ОЧЕРЕДЬ 4</x:v>
      </x:c>
      <x:c r="B1" s="4" t="str">
        <x:v>ДЕНЕЖНЫЙ ПОТОК · ОЧЕРЕДЬ 4</x:v>
      </x:c>
      <x:c r="C1" s="4" t="str">
        <x:v>ДЕНЕЖНЫЙ ПОТОК · ОЧЕРЕДЬ 4</x:v>
      </x:c>
      <x:c r="D1" s="4" t="str">
        <x:v>ДЕНЕЖНЫЙ ПОТОК · ОЧЕРЕДЬ 4</x:v>
      </x:c>
      <x:c r="E1" s="4" t="str">
        <x:v>ДЕНЕЖНЫЙ ПОТОК · ОЧЕРЕДЬ 4</x:v>
      </x:c>
      <x:c r="F1" s="4" t="str">
        <x:v>ДЕНЕЖНЫЙ ПОТОК · ОЧЕРЕДЬ 4</x:v>
      </x:c>
      <x:c r="G1" s="4" t="str">
        <x:v>ДЕНЕЖНЫЙ ПОТОК · ОЧЕРЕДЬ 4</x:v>
      </x:c>
      <x:c r="H1" s="4" t="str">
        <x:v>ДЕНЕЖНЫЙ ПОТОК · ОЧЕРЕДЬ 4</x:v>
      </x:c>
      <x:c r="I1" s="4" t="str">
        <x:v>ДЕНЕЖНЫЙ ПОТОК · ОЧЕРЕДЬ 4</x:v>
      </x:c>
      <x:c r="J1" s="4" t="str">
        <x:v>ДЕНЕЖНЫЙ ПОТОК · ОЧЕРЕДЬ 4</x:v>
      </x:c>
      <x:c r="K1" s="4" t="str">
        <x:v>ДЕНЕЖНЫЙ ПОТОК · ОЧЕРЕДЬ 4</x:v>
      </x:c>
      <x:c r="L1" s="4" t="str">
        <x:v>ДЕНЕЖНЫЙ ПОТОК · ОЧЕРЕДЬ 4</x:v>
      </x:c>
      <x:c r="M1" s="4" t="str">
        <x:v>ДЕНЕЖНЫЙ ПОТОК · ОЧЕРЕДЬ 4</x:v>
      </x:c>
      <x:c r="N1" s="4" t="str">
        <x:v>ДЕНЕЖНЫЙ ПОТОК · ОЧЕРЕДЬ 4</x:v>
      </x:c>
      <x:c r="O1" s="4" t="str">
        <x:v>ДЕНЕЖНЫЙ ПОТОК · ОЧЕРЕДЬ 4</x:v>
      </x:c>
      <x:c r="P1" s="4" t="str">
        <x:v>ДЕНЕЖНЫЙ ПОТОК · ОЧЕРЕДЬ 4</x:v>
      </x:c>
      <x:c r="Q1" s="4" t="str">
        <x:v>ДЕНЕЖНЫЙ ПОТОК · ОЧЕРЕДЬ 4</x:v>
      </x:c>
      <x:c r="R1" s="4" t="str">
        <x:v>ДЕНЕЖНЫЙ ПОТОК · ОЧЕРЕДЬ 4</x:v>
      </x:c>
      <x:c r="S1" s="4" t="str">
        <x:v>ДЕНЕЖНЫЙ ПОТОК · ОЧЕРЕДЬ 4</x:v>
      </x:c>
      <x:c r="T1" s="4" t="str">
        <x:v>ДЕНЕЖНЫЙ ПОТОК · ОЧЕРЕДЬ 4</x:v>
      </x:c>
      <x:c r="U1" s="4" t="str">
        <x:v>ДЕНЕЖНЫЙ ПОТОК · ОЧЕРЕДЬ 4</x:v>
      </x:c>
      <x:c r="V1" s="4" t="str">
        <x:v>ДЕНЕЖНЫЙ ПОТОК · ОЧЕРЕДЬ 4</x:v>
      </x:c>
      <x:c r="W1" s="4" t="str">
        <x:v>ДЕНЕЖНЫЙ ПОТОК · ОЧЕРЕДЬ 4</x:v>
      </x:c>
      <x:c r="X1" s="4" t="str">
        <x:v>ДЕНЕЖНЫЙ ПОТОК · ОЧЕРЕДЬ 4</x:v>
      </x:c>
      <x:c r="Y1" s="4" t="str">
        <x:v>ДЕНЕЖНЫЙ ПОТОК · ОЧЕРЕДЬ 4</x:v>
      </x:c>
      <x:c r="Z1" s="4" t="str">
        <x:v>ДЕНЕЖНЫЙ ПОТОК · ОЧЕРЕДЬ 4</x:v>
      </x:c>
      <x:c r="AA1" s="4" t="str">
        <x:v>ДЕНЕЖНЫЙ ПОТОК · ОЧЕРЕДЬ 4</x:v>
      </x:c>
      <x:c r="AB1" s="4" t="str">
        <x:v>ДЕНЕЖНЫЙ ПОТОК · ОЧЕРЕДЬ 4</x:v>
      </x:c>
      <x:c r="AC1" s="4" t="str">
        <x:v>ДЕНЕЖНЫЙ ПОТОК · ОЧЕРЕДЬ 4</x:v>
      </x:c>
      <x:c r="AD1" s="4" t="str">
        <x:v>ДЕНЕЖНЫЙ ПОТОК · ОЧЕРЕДЬ 4</x:v>
      </x:c>
      <x:c r="AE1" s="4" t="str">
        <x:v>ДЕНЕЖНЫЙ ПОТОК · ОЧЕРЕДЬ 4</x:v>
      </x:c>
      <x:c r="AF1" s="4" t="str">
        <x:v>ДЕНЕЖНЫЙ ПОТОК · ОЧЕРЕДЬ 4</x:v>
      </x:c>
      <x:c r="AG1" s="4" t="str">
        <x:v>ДЕНЕЖНЫЙ ПОТОК · ОЧЕРЕДЬ 4</x:v>
      </x:c>
      <x:c r="AH1" s="4" t="str">
        <x:v>ДЕНЕЖНЫЙ ПОТОК · ОЧЕРЕДЬ 4</x:v>
      </x:c>
      <x:c r="AI1" s="4" t="str">
        <x:v>ДЕНЕЖНЫЙ ПОТОК · ОЧЕРЕДЬ 4</x:v>
      </x:c>
      <x:c r="AJ1" s="4" t="str">
        <x:v>ДЕНЕЖНЫЙ ПОТОК · ОЧЕРЕДЬ 4</x:v>
      </x:c>
      <x:c r="AK1" s="4" t="str">
        <x:v>ДЕНЕЖНЫЙ ПОТОК · ОЧЕРЕДЬ 4</x:v>
      </x:c>
      <x:c r="AL1" s="4" t="str">
        <x:v>ДЕНЕЖНЫЙ ПОТОК · ОЧЕРЕДЬ 4</x:v>
      </x:c>
      <x:c r="AM1" s="4" t="str">
        <x:v>ДЕНЕЖНЫЙ ПОТОК · ОЧЕРЕДЬ 4</x:v>
      </x:c>
      <x:c r="AN1" s="4" t="str">
        <x:v>ДЕНЕЖНЫЙ ПОТОК · ОЧЕРЕДЬ 4</x:v>
      </x:c>
      <x:c r="AO1" s="4" t="str">
        <x:v>ДЕНЕЖНЫЙ ПОТОК · ОЧЕРЕДЬ 4</x:v>
      </x:c>
      <x:c r="AP1" s="4" t="str">
        <x:v>ДЕНЕЖНЫЙ ПОТОК · ОЧЕРЕДЬ 4</x:v>
      </x:c>
      <x:c r="AQ1" s="4" t="str">
        <x:v>ДЕНЕЖНЫЙ ПОТОК · ОЧЕРЕДЬ 4</x:v>
      </x:c>
      <x:c r="AR1" s="4" t="str">
        <x:v>ДЕНЕЖНЫЙ ПОТОК · ОЧЕРЕДЬ 4</x:v>
      </x:c>
      <x:c r="AS1" s="4" t="str">
        <x:v>ДЕНЕЖНЫЙ ПОТОК · ОЧЕРЕДЬ 4</x:v>
      </x:c>
      <x:c r="AT1" s="4" t="str">
        <x:v>ДЕНЕЖНЫЙ ПОТОК · ОЧЕРЕДЬ 4</x:v>
      </x:c>
      <x:c r="AU1" s="4" t="str">
        <x:v>ДЕНЕЖНЫЙ ПОТОК · ОЧЕРЕДЬ 4</x:v>
      </x:c>
      <x:c r="AV1" s="4" t="str">
        <x:v>ДЕНЕЖНЫЙ ПОТОК · ОЧЕРЕДЬ 4</x:v>
      </x:c>
      <x:c r="AW1" s="4" t="str">
        <x:v>ДЕНЕЖНЫЙ ПОТОК · ОЧЕРЕДЬ 4</x:v>
      </x:c>
      <x:c r="AX1" s="4" t="str">
        <x:v>ДЕНЕЖНЫЙ ПОТОК · ОЧЕРЕДЬ 4</x:v>
      </x:c>
      <x:c r="AY1" s="4" t="str">
        <x:v>ДЕНЕЖНЫЙ ПОТОК · ОЧЕРЕДЬ 4</x:v>
      </x:c>
      <x:c r="AZ1" s="4" t="str">
        <x:v>ДЕНЕЖНЫЙ ПОТОК · ОЧЕРЕДЬ 4</x:v>
      </x:c>
      <x:c r="BA1" s="4" t="str">
        <x:v>ДЕНЕЖНЫЙ ПОТОК · ОЧЕРЕДЬ 4</x:v>
      </x:c>
      <x:c r="BB1" s="4" t="str">
        <x:v>ДЕНЕЖНЫЙ ПОТОК · ОЧЕРЕДЬ 4</x:v>
      </x:c>
      <x:c r="BC1" s="4" t="str">
        <x:v>ДЕНЕЖНЫЙ ПОТОК · ОЧЕРЕДЬ 4</x:v>
      </x:c>
      <x:c r="BD1" s="4" t="str">
        <x:v>ДЕНЕЖНЫЙ ПОТОК · ОЧЕРЕДЬ 4</x:v>
      </x:c>
      <x:c r="BE1" s="4" t="str">
        <x:v>ДЕНЕЖНЫЙ ПОТОК · ОЧЕРЕДЬ 4</x:v>
      </x:c>
      <x:c r="BF1" s="4" t="str">
        <x:v>ДЕНЕЖНЫЙ ПОТОК · ОЧЕРЕДЬ 4</x:v>
      </x:c>
      <x:c r="BG1" s="4" t="str">
        <x:v>ДЕНЕЖНЫЙ ПОТОК · ОЧЕРЕДЬ 4</x:v>
      </x:c>
      <x:c r="BH1" s="4" t="str">
        <x:v>ДЕНЕЖНЫЙ ПОТОК · ОЧЕРЕДЬ 4</x:v>
      </x:c>
      <x:c r="BI1" s="4" t="str">
        <x:v>ДЕНЕЖНЫЙ ПОТОК · ОЧЕРЕДЬ 4</x:v>
      </x:c>
      <x:c r="BJ1" s="4" t="str">
        <x:v>ДЕНЕЖНЫЙ ПОТОК · ОЧЕРЕДЬ 4</x:v>
      </x:c>
      <x:c r="BK1" s="4" t="str">
        <x:v>ДЕНЕЖНЫЙ ПОТОК · ОЧЕРЕДЬ 4</x:v>
      </x:c>
      <x:c r="BL1" s="4" t="str">
        <x:v>ДЕНЕЖНЫЙ ПОТОК · ОЧЕРЕДЬ 4</x:v>
      </x:c>
      <x:c r="BM1" s="4" t="str">
        <x:v>ДЕНЕЖНЫЙ ПОТОК · ОЧЕРЕДЬ 4</x:v>
      </x:c>
      <x:c r="BN1" s="4" t="str">
        <x:v>ДЕНЕЖНЫЙ ПОТОК · ОЧЕРЕДЬ 4</x:v>
      </x:c>
      <x:c r="BO1" s="4" t="str">
        <x:v>ДЕНЕЖНЫЙ ПОТОК · ОЧЕРЕДЬ 4</x:v>
      </x:c>
      <x:c r="BP1" s="4" t="str">
        <x:v>ДЕНЕЖНЫЙ ПОТОК · ОЧЕРЕДЬ 4</x:v>
      </x:c>
      <x:c r="BQ1" s="4" t="str">
        <x:v>ДЕНЕЖНЫЙ ПОТОК · ОЧЕРЕДЬ 4</x:v>
      </x:c>
      <x:c r="BR1" s="4" t="str">
        <x:v>ДЕНЕЖНЫЙ ПОТОК · ОЧЕРЕДЬ 4</x:v>
      </x:c>
      <x:c r="BS1" s="4" t="str">
        <x:v>ДЕНЕЖНЫЙ ПОТОК · ОЧЕРЕДЬ 4</x:v>
      </x:c>
      <x:c r="BT1" s="4" t="str">
        <x:v>ДЕНЕЖНЫЙ ПОТОК · ОЧЕРЕДЬ 4</x:v>
      </x:c>
      <x:c r="BU1" s="4" t="str">
        <x:v>ДЕНЕЖНЫЙ ПОТОК · ОЧЕРЕДЬ 4</x:v>
      </x:c>
      <x:c r="BV1" s="4" t="str">
        <x:v>ДЕНЕЖНЫЙ ПОТОК · ОЧЕРЕДЬ 4</x:v>
      </x:c>
      <x:c r="BW1" s="4" t="str">
        <x:v>ДЕНЕЖНЫЙ ПОТОК · ОЧЕРЕДЬ 4</x:v>
      </x:c>
      <x:c r="BX1" s="4" t="str">
        <x:v>ДЕНЕЖНЫЙ ПОТОК · ОЧЕРЕДЬ 4</x:v>
      </x:c>
      <x:c r="BY1" s="4" t="str">
        <x:v>ДЕНЕЖНЫЙ ПОТОК · ОЧЕРЕДЬ 4</x:v>
      </x:c>
      <x:c r="BZ1" s="4" t="str">
        <x:v>ДЕНЕЖНЫЙ ПОТОК · ОЧЕРЕДЬ 4</x:v>
      </x:c>
      <x:c r="CA1" s="4" t="str">
        <x:v>ДЕНЕЖНЫЙ ПОТОК · ОЧЕРЕДЬ 4</x:v>
      </x:c>
      <x:c r="CB1" s="4" t="str">
        <x:v>ДЕНЕЖНЫЙ ПОТОК · ОЧЕРЕДЬ 4</x:v>
      </x:c>
      <x:c r="CC1" s="4" t="str">
        <x:v>ДЕНЕЖНЫЙ ПОТОК · ОЧЕРЕДЬ 4</x:v>
      </x:c>
      <x:c r="CD1" s="4" t="str">
        <x:v>ДЕНЕЖНЫЙ ПОТОК · ОЧЕРЕДЬ 4</x:v>
      </x:c>
      <x:c r="CE1" s="4" t="str">
        <x:v>ДЕНЕЖНЫЙ ПОТОК · ОЧЕРЕДЬ 4</x:v>
      </x:c>
      <x:c r="CF1" s="4" t="str">
        <x:v>ДЕНЕЖНЫЙ ПОТОК · ОЧЕРЕДЬ 4</x:v>
      </x:c>
      <x:c r="CG1" s="4" t="str">
        <x:v>ДЕНЕЖНЫЙ ПОТОК · ОЧЕРЕДЬ 4</x:v>
      </x:c>
      <x:c r="CH1" s="4" t="str">
        <x:v>ДЕНЕЖНЫЙ ПОТОК · ОЧЕРЕДЬ 4</x:v>
      </x:c>
      <x:c r="CI1" s="4" t="str">
        <x:v>ДЕНЕЖНЫЙ ПОТОК · ОЧЕРЕДЬ 4</x:v>
      </x:c>
      <x:c r="CJ1" s="4" t="str">
        <x:v>ДЕНЕЖНЫЙ ПОТОК · ОЧЕРЕДЬ 4</x:v>
      </x:c>
      <x:c r="CK1" s="4" t="str">
        <x:v>ДЕНЕЖНЫЙ ПОТОК · ОЧЕРЕДЬ 4</x:v>
      </x:c>
      <x:c r="CL1" s="4" t="str">
        <x:v>ДЕНЕЖНЫЙ ПОТОК · ОЧЕРЕДЬ 4</x:v>
      </x:c>
      <x:c r="CM1" s="4" t="str">
        <x:v>ДЕНЕЖНЫЙ ПОТОК · ОЧЕРЕДЬ 4</x:v>
      </x:c>
      <x:c r="CN1" s="4" t="str">
        <x:v>ДЕНЕЖНЫЙ ПОТОК · ОЧЕРЕДЬ 4</x:v>
      </x:c>
      <x:c r="CO1" s="4" t="str">
        <x:v>ДЕНЕЖНЫЙ ПОТОК · ОЧЕРЕДЬ 4</x:v>
      </x:c>
      <x:c r="CP1" s="4" t="str">
        <x:v>ДЕНЕЖНЫЙ ПОТОК · ОЧЕРЕДЬ 4</x:v>
      </x:c>
      <x:c r="CQ1" s="4" t="str">
        <x:v>ДЕНЕЖНЫЙ ПОТОК · ОЧЕРЕДЬ 4</x:v>
      </x:c>
      <x:c r="CR1" s="4" t="str">
        <x:v>ДЕНЕЖНЫЙ ПОТОК · ОЧЕРЕДЬ 4</x:v>
      </x:c>
      <x:c r="CS1" s="4" t="str">
        <x:v>ДЕНЕЖНЫЙ ПОТОК · ОЧЕРЕДЬ 4</x:v>
      </x:c>
      <x:c r="CT1" s="4" t="str">
        <x:v>ДЕНЕЖНЫЙ ПОТОК · ОЧЕРЕДЬ 4</x:v>
      </x:c>
      <x:c r="CU1" s="4" t="str">
        <x:v>ДЕНЕЖНЫЙ ПОТОК · ОЧЕРЕДЬ 4</x:v>
      </x:c>
      <x:c r="CV1" s="4" t="str">
        <x:v>ДЕНЕЖНЫЙ ПОТОК · ОЧЕРЕДЬ 4</x:v>
      </x:c>
      <x:c r="CW1" s="4" t="str">
        <x:v>ДЕНЕЖНЫЙ ПОТОК · ОЧЕРЕДЬ 4</x:v>
      </x:c>
      <x:c r="CX1" s="4" t="str">
        <x:v>ДЕНЕЖНЫЙ ПОТОК · ОЧЕРЕДЬ 4</x:v>
      </x:c>
      <x:c r="CY1" s="4" t="str">
        <x:v>ДЕНЕЖНЫЙ ПОТОК · ОЧЕРЕДЬ 4</x:v>
      </x:c>
      <x:c r="CZ1" s="4" t="str">
        <x:v>ДЕНЕЖНЫЙ ПОТОК · ОЧЕРЕДЬ 4</x:v>
      </x:c>
      <x:c r="DA1" s="4" t="str">
        <x:v>ДЕНЕЖНЫЙ ПОТОК · ОЧЕРЕДЬ 4</x:v>
      </x:c>
      <x:c r="DB1" s="4" t="str">
        <x:v>ДЕНЕЖНЫЙ ПОТОК · ОЧЕРЕДЬ 4</x:v>
      </x:c>
      <x:c r="DC1" s="4" t="str">
        <x:v>ДЕНЕЖНЫЙ ПОТОК · ОЧЕРЕДЬ 4</x:v>
      </x:c>
      <x:c r="DD1" s="4" t="str">
        <x:v>ДЕНЕЖНЫЙ ПОТОК · ОЧЕРЕДЬ 4</x:v>
      </x:c>
      <x:c r="DE1" s="4" t="str">
        <x:v>ДЕНЕЖНЫЙ ПОТОК · ОЧЕРЕДЬ 4</x:v>
      </x:c>
      <x:c r="DF1" s="4" t="str">
        <x:v>ДЕНЕЖНЫЙ ПОТОК · ОЧЕРЕДЬ 4</x:v>
      </x:c>
      <x:c r="DG1" s="4" t="str">
        <x:v>ДЕНЕЖНЫЙ ПОТОК · ОЧЕРЕДЬ 4</x:v>
      </x:c>
      <x:c r="DH1" s="4" t="str">
        <x:v>ДЕНЕЖНЫЙ ПОТОК · ОЧЕРЕДЬ 4</x:v>
      </x:c>
      <x:c r="DI1" s="4" t="str">
        <x:v>ДЕНЕЖНЫЙ ПОТОК · ОЧЕРЕДЬ 4</x:v>
      </x:c>
      <x:c r="DJ1" s="4" t="str">
        <x:v>ДЕНЕЖНЫЙ ПОТОК · ОЧЕРЕДЬ 4</x:v>
      </x:c>
      <x:c r="DK1" s="4" t="str">
        <x:v>ДЕНЕЖНЫЙ ПОТОК · ОЧЕРЕДЬ 4</x:v>
      </x:c>
      <x:c r="DL1" s="4" t="str">
        <x:v>ДЕНЕЖНЫЙ ПОТОК · ОЧЕРЕДЬ 4</x:v>
      </x:c>
      <x:c r="DM1" s="4" t="str">
        <x:v>ДЕНЕЖНЫЙ ПОТОК · ОЧЕРЕДЬ 4</x:v>
      </x:c>
      <x:c r="DN1" s="4" t="str">
        <x:v>ДЕНЕЖНЫЙ ПОТОК · ОЧЕРЕДЬ 4</x:v>
      </x:c>
      <x:c r="DO1" s="4" t="str">
        <x:v>ДЕНЕЖНЫЙ ПОТОК · ОЧЕРЕДЬ 4</x:v>
      </x:c>
      <x:c r="DP1" s="4" t="str">
        <x:v>ДЕНЕЖНЫЙ ПОТОК · ОЧЕРЕДЬ 4</x:v>
      </x:c>
      <x:c r="DQ1" s="4" t="str">
        <x:v>ДЕНЕЖНЫЙ ПОТОК · ОЧЕРЕДЬ 4</x:v>
      </x:c>
      <x:c r="DR1" s="4" t="str">
        <x:v>ДЕНЕЖНЫЙ ПОТОК · ОЧЕРЕДЬ 4</x:v>
      </x:c>
      <x:c r="DS1" s="4" t="str">
        <x:v>ДЕНЕЖНЫЙ ПОТОК · ОЧЕРЕДЬ 4</x:v>
      </x:c>
      <x:c r="DT1" s="4" t="str"/>
      <x:c r="DU1" s="4" t="str"/>
      <x:c r="DV1" s="4" t="str"/>
      <x:c r="DW1" s="4" t="str"/>
      <x:c r="DX1" s="4" t="str"/>
      <x:c r="DY1" s="4" t="str"/>
      <x:c r="DZ1" s="4" t="str"/>
      <x:c r="EA1" s="4" t="str"/>
      <x:c r="EB1" s="4" t="str"/>
      <x:c r="EC1" s="4" t="str"/>
      <x:c r="ED1" s="4" t="str"/>
      <x:c r="EE1" s="4" t="str"/>
      <x:c r="EF1" s="4" t="str"/>
      <x:c r="EG1" s="4" t="str"/>
      <x:c r="EH1" s="4" t="str"/>
      <x:c r="EI1" s="4" t="str"/>
      <x:c r="EJ1" s="4" t="str"/>
      <x:c r="EK1" s="4" t="str"/>
      <x:c r="EL1" s="4" t="str"/>
      <x:c r="EM1" s="4" t="str"/>
      <x:c r="EN1" s="4" t="str"/>
      <x:c r="EO1" s="4" t="str"/>
      <x:c r="EP1" s="4" t="str"/>
      <x:c r="EQ1" s="4" t="str"/>
      <x:c r="ER1" s="4" t="str"/>
      <x:c r="ES1" s="4" t="str"/>
      <x:c r="ET1" s="4" t="str"/>
      <x:c r="EU1" s="4" t="str"/>
      <x:c r="EV1" s="4" t="str"/>
      <x:c r="EW1" s="4" t="str"/>
      <x:c r="EX1" s="4" t="str"/>
      <x:c r="EY1" s="4" t="str"/>
      <x:c r="EZ1" s="4" t="str"/>
      <x:c r="FA1" s="4" t="str"/>
      <x:c r="FB1" s="4" t="str"/>
      <x:c r="FC1" s="4" t="str"/>
      <x:c r="FD1" s="4" t="str"/>
      <x:c r="FE1" s="4" t="str"/>
      <x:c r="FF1" s="4" t="str"/>
      <x:c r="FG1" s="4" t="str"/>
      <x:c r="FH1" s="4" t="str"/>
      <x:c r="FI1" s="4" t="str"/>
      <x:c r="FJ1" s="4" t="str"/>
      <x:c r="FK1" s="4" t="str"/>
      <x:c r="FL1" s="4" t="str"/>
      <x:c r="FM1" s="4" t="str"/>
      <x:c r="FN1" s="4" t="str"/>
      <x:c r="FO1" s="4" t="str"/>
      <x:c r="FP1" s="4" t="str"/>
      <x:c r="FQ1" s="4" t="str"/>
      <x:c r="FR1" s="4" t="str"/>
      <x:c r="FS1" s="4" t="str"/>
      <x:c r="FT1" s="4" t="str"/>
      <x:c r="FU1" s="4" t="str"/>
      <x:c r="FV1" s="4" t="str"/>
      <x:c r="FW1" s="4" t="str"/>
      <x:c r="FX1" s="4" t="str"/>
      <x:c r="FY1" s="4" t="str"/>
      <x:c r="FZ1" s="4" t="str"/>
      <x:c r="GA1" s="4" t="str"/>
    </x:row>
    <x:row r="3">
      <x:c r="A3" s="23" t="str">
        <x:v>Показатель</x:v>
      </x:c>
      <x:c r="B3" s="23" t="str">
        <x:v>Итого / значение</x:v>
      </x:c>
      <x:c r="C3" s="23" t="str">
        <x:v>Ед.</x:v>
      </x:c>
      <x:c r="D3" s="102" t="n">
        <x:f>'Ставки'!$D$3</x:f>
      </x:c>
      <x:c r="E3" s="102" t="n">
        <x:f>'Ставки'!$E$3</x:f>
      </x:c>
      <x:c r="F3" s="102" t="n">
        <x:f>'Ставки'!$F$3</x:f>
      </x:c>
      <x:c r="G3" s="102" t="n">
        <x:f>'Ставки'!$G$3</x:f>
      </x:c>
      <x:c r="H3" s="102" t="n">
        <x:f>'Ставки'!$H$3</x:f>
      </x:c>
      <x:c r="I3" s="102" t="n">
        <x:f>'Ставки'!$I$3</x:f>
      </x:c>
      <x:c r="J3" s="102" t="n">
        <x:f>'Ставки'!$J$3</x:f>
      </x:c>
      <x:c r="K3" s="102" t="n">
        <x:f>'Ставки'!$K$3</x:f>
      </x:c>
      <x:c r="L3" s="102" t="n">
        <x:f>'Ставки'!$L$3</x:f>
      </x:c>
      <x:c r="M3" s="102" t="n">
        <x:f>'Ставки'!$M$3</x:f>
      </x:c>
      <x:c r="N3" s="102" t="n">
        <x:f>'Ставки'!$N$3</x:f>
      </x:c>
      <x:c r="O3" s="102" t="n">
        <x:f>'Ставки'!$O$3</x:f>
      </x:c>
      <x:c r="P3" s="102" t="n">
        <x:f>'Ставки'!$P$3</x:f>
      </x:c>
      <x:c r="Q3" s="102" t="n">
        <x:f>'Ставки'!$Q$3</x:f>
      </x:c>
      <x:c r="R3" s="102" t="n">
        <x:f>'Ставки'!$R$3</x:f>
      </x:c>
      <x:c r="S3" s="102" t="n">
        <x:f>'Ставки'!$S$3</x:f>
      </x:c>
      <x:c r="T3" s="102" t="n">
        <x:f>'Ставки'!$T$3</x:f>
      </x:c>
      <x:c r="U3" s="102" t="n">
        <x:f>'Ставки'!$U$3</x:f>
      </x:c>
      <x:c r="V3" s="102" t="n">
        <x:f>'Ставки'!$V$3</x:f>
      </x:c>
      <x:c r="W3" s="102" t="n">
        <x:f>'Ставки'!$W$3</x:f>
      </x:c>
      <x:c r="X3" s="102" t="n">
        <x:f>'Ставки'!$X$3</x:f>
      </x:c>
      <x:c r="Y3" s="102" t="n">
        <x:f>'Ставки'!$Y$3</x:f>
      </x:c>
      <x:c r="Z3" s="102" t="n">
        <x:f>'Ставки'!$Z$3</x:f>
      </x:c>
      <x:c r="AA3" s="102" t="n">
        <x:f>'Ставки'!$AA$3</x:f>
      </x:c>
      <x:c r="AB3" s="102" t="n">
        <x:f>'Ставки'!$AB$3</x:f>
      </x:c>
      <x:c r="AC3" s="102" t="n">
        <x:f>'Ставки'!$AC$3</x:f>
      </x:c>
      <x:c r="AD3" s="102" t="n">
        <x:f>'Ставки'!$AD$3</x:f>
      </x:c>
      <x:c r="AE3" s="102" t="n">
        <x:f>'Ставки'!$AE$3</x:f>
      </x:c>
      <x:c r="AF3" s="102" t="n">
        <x:f>'Ставки'!$AF$3</x:f>
      </x:c>
      <x:c r="AG3" s="102" t="n">
        <x:f>'Ставки'!$AG$3</x:f>
      </x:c>
      <x:c r="AH3" s="102" t="n">
        <x:f>'Ставки'!$AH$3</x:f>
      </x:c>
      <x:c r="AI3" s="102" t="n">
        <x:f>'Ставки'!$AI$3</x:f>
      </x:c>
      <x:c r="AJ3" s="102" t="n">
        <x:f>'Ставки'!$AJ$3</x:f>
      </x:c>
      <x:c r="AK3" s="102" t="n">
        <x:f>'Ставки'!$AK$3</x:f>
      </x:c>
      <x:c r="AL3" s="102" t="n">
        <x:f>'Ставки'!$AL$3</x:f>
      </x:c>
      <x:c r="AM3" s="102" t="n">
        <x:f>'Ставки'!$AM$3</x:f>
      </x:c>
      <x:c r="AN3" s="102" t="n">
        <x:f>'Ставки'!$AN$3</x:f>
      </x:c>
      <x:c r="AO3" s="102" t="n">
        <x:f>'Ставки'!$AO$3</x:f>
      </x:c>
      <x:c r="AP3" s="102" t="n">
        <x:f>'Ставки'!$AP$3</x:f>
      </x:c>
      <x:c r="AQ3" s="102" t="n">
        <x:f>'Ставки'!$AQ$3</x:f>
      </x:c>
      <x:c r="AR3" s="102" t="n">
        <x:f>'Ставки'!$AR$3</x:f>
      </x:c>
      <x:c r="AS3" s="102" t="n">
        <x:f>'Ставки'!$AS$3</x:f>
      </x:c>
      <x:c r="AT3" s="102" t="n">
        <x:f>'Ставки'!$AT$3</x:f>
      </x:c>
      <x:c r="AU3" s="102" t="n">
        <x:f>'Ставки'!$AU$3</x:f>
      </x:c>
      <x:c r="AV3" s="102" t="n">
        <x:f>'Ставки'!$AV$3</x:f>
      </x:c>
      <x:c r="AW3" s="102" t="n">
        <x:f>'Ставки'!$AW$3</x:f>
      </x:c>
      <x:c r="AX3" s="102" t="n">
        <x:f>'Ставки'!$AX$3</x:f>
      </x:c>
      <x:c r="AY3" s="102" t="n">
        <x:f>'Ставки'!$AY$3</x:f>
      </x:c>
      <x:c r="AZ3" s="102" t="n">
        <x:f>'Ставки'!$AZ$3</x:f>
      </x:c>
      <x:c r="BA3" s="102" t="n">
        <x:f>'Ставки'!$BA$3</x:f>
      </x:c>
      <x:c r="BB3" s="102" t="n">
        <x:f>'Ставки'!$BB$3</x:f>
      </x:c>
      <x:c r="BC3" s="102" t="n">
        <x:f>'Ставки'!$BC$3</x:f>
      </x:c>
      <x:c r="BD3" s="102" t="n">
        <x:f>'Ставки'!$BD$3</x:f>
      </x:c>
      <x:c r="BE3" s="102" t="n">
        <x:f>'Ставки'!$BE$3</x:f>
      </x:c>
      <x:c r="BF3" s="102" t="n">
        <x:f>'Ставки'!$BF$3</x:f>
      </x:c>
      <x:c r="BG3" s="102" t="n">
        <x:f>'Ставки'!$BG$3</x:f>
      </x:c>
      <x:c r="BH3" s="102" t="n">
        <x:f>'Ставки'!$BH$3</x:f>
      </x:c>
      <x:c r="BI3" s="102" t="n">
        <x:f>'Ставки'!$BI$3</x:f>
      </x:c>
      <x:c r="BJ3" s="102" t="n">
        <x:f>'Ставки'!$BJ$3</x:f>
      </x:c>
      <x:c r="BK3" s="102" t="n">
        <x:f>'Ставки'!$BK$3</x:f>
      </x:c>
      <x:c r="BL3" s="102" t="n">
        <x:f>'Ставки'!$BL$3</x:f>
      </x:c>
      <x:c r="BM3" s="102" t="n">
        <x:f>'Ставки'!$BM$3</x:f>
      </x:c>
      <x:c r="BN3" s="102" t="n">
        <x:f>'Ставки'!$BN$3</x:f>
      </x:c>
      <x:c r="BO3" s="102" t="n">
        <x:f>'Ставки'!$BO$3</x:f>
      </x:c>
      <x:c r="BP3" s="102" t="n">
        <x:f>'Ставки'!$BP$3</x:f>
      </x:c>
      <x:c r="BQ3" s="102" t="n">
        <x:f>'Ставки'!$BQ$3</x:f>
      </x:c>
      <x:c r="BR3" s="102" t="n">
        <x:f>'Ставки'!$BR$3</x:f>
      </x:c>
      <x:c r="BS3" s="102" t="n">
        <x:f>'Ставки'!$BS$3</x:f>
      </x:c>
      <x:c r="BT3" s="102" t="n">
        <x:f>'Ставки'!$BT$3</x:f>
      </x:c>
      <x:c r="BU3" s="102" t="n">
        <x:f>'Ставки'!$BU$3</x:f>
      </x:c>
      <x:c r="BV3" s="102" t="n">
        <x:f>'Ставки'!$BV$3</x:f>
      </x:c>
      <x:c r="BW3" s="102" t="n">
        <x:f>'Ставки'!$BW$3</x:f>
      </x:c>
      <x:c r="BX3" s="102" t="n">
        <x:f>'Ставки'!$BX$3</x:f>
      </x:c>
      <x:c r="BY3" s="102" t="n">
        <x:f>'Ставки'!$BY$3</x:f>
      </x:c>
      <x:c r="BZ3" s="102" t="n">
        <x:f>'Ставки'!$BZ$3</x:f>
      </x:c>
      <x:c r="CA3" s="102" t="n">
        <x:f>'Ставки'!$CA$3</x:f>
      </x:c>
      <x:c r="CB3" s="102" t="n">
        <x:f>'Ставки'!$CB$3</x:f>
      </x:c>
      <x:c r="CC3" s="102" t="n">
        <x:f>'Ставки'!$CC$3</x:f>
      </x:c>
      <x:c r="CD3" s="102" t="n">
        <x:f>'Ставки'!$CD$3</x:f>
      </x:c>
      <x:c r="CE3" s="102" t="n">
        <x:f>'Ставки'!$CE$3</x:f>
      </x:c>
      <x:c r="CF3" s="102" t="n">
        <x:f>'Ставки'!$CF$3</x:f>
      </x:c>
      <x:c r="CG3" s="102" t="n">
        <x:f>'Ставки'!$CG$3</x:f>
      </x:c>
      <x:c r="CH3" s="102" t="n">
        <x:f>'Ставки'!$CH$3</x:f>
      </x:c>
      <x:c r="CI3" s="102" t="n">
        <x:f>'Ставки'!$CI$3</x:f>
      </x:c>
      <x:c r="CJ3" s="102" t="n">
        <x:f>'Ставки'!$CJ$3</x:f>
      </x:c>
      <x:c r="CK3" s="102" t="n">
        <x:f>'Ставки'!$CK$3</x:f>
      </x:c>
      <x:c r="CL3" s="102" t="n">
        <x:f>'Ставки'!$CL$3</x:f>
      </x:c>
      <x:c r="CM3" s="102" t="n">
        <x:f>'Ставки'!$CM$3</x:f>
      </x:c>
      <x:c r="CN3" s="102" t="n">
        <x:f>'Ставки'!$CN$3</x:f>
      </x:c>
      <x:c r="CO3" s="102" t="n">
        <x:f>'Ставки'!$CO$3</x:f>
      </x:c>
      <x:c r="CP3" s="102" t="n">
        <x:f>'Ставки'!$CP$3</x:f>
      </x:c>
      <x:c r="CQ3" s="102" t="n">
        <x:f>'Ставки'!$CQ$3</x:f>
      </x:c>
      <x:c r="CR3" s="102" t="n">
        <x:f>'Ставки'!$CR$3</x:f>
      </x:c>
      <x:c r="CS3" s="102" t="n">
        <x:f>'Ставки'!$CS$3</x:f>
      </x:c>
      <x:c r="CT3" s="102" t="n">
        <x:f>'Ставки'!$CT$3</x:f>
      </x:c>
      <x:c r="CU3" s="102" t="n">
        <x:f>'Ставки'!$CU$3</x:f>
      </x:c>
      <x:c r="CV3" s="102" t="n">
        <x:f>'Ставки'!$CV$3</x:f>
      </x:c>
      <x:c r="CW3" s="102" t="n">
        <x:f>'Ставки'!$CW$3</x:f>
      </x:c>
      <x:c r="CX3" s="102" t="n">
        <x:f>'Ставки'!$CX$3</x:f>
      </x:c>
      <x:c r="CY3" s="102" t="n">
        <x:f>'Ставки'!$CY$3</x:f>
      </x:c>
      <x:c r="CZ3" s="102" t="n">
        <x:f>'Ставки'!$CZ$3</x:f>
      </x:c>
      <x:c r="DA3" s="102" t="n">
        <x:f>'Ставки'!$DA$3</x:f>
      </x:c>
      <x:c r="DB3" s="102" t="n">
        <x:f>'Ставки'!$DB$3</x:f>
      </x:c>
      <x:c r="DC3" s="102" t="n">
        <x:f>'Ставки'!$DC$3</x:f>
      </x:c>
      <x:c r="DD3" s="102" t="n">
        <x:f>'Ставки'!$DD$3</x:f>
      </x:c>
      <x:c r="DE3" s="102" t="n">
        <x:f>'Ставки'!$DE$3</x:f>
      </x:c>
      <x:c r="DF3" s="102" t="n">
        <x:f>'Ставки'!$DF$3</x:f>
      </x:c>
      <x:c r="DG3" s="102" t="n">
        <x:f>'Ставки'!$DG$3</x:f>
      </x:c>
      <x:c r="DH3" s="102" t="n">
        <x:f>'Ставки'!$DH$3</x:f>
      </x:c>
      <x:c r="DI3" s="102" t="n">
        <x:f>'Ставки'!$DI$3</x:f>
      </x:c>
      <x:c r="DJ3" s="102" t="n">
        <x:f>'Ставки'!$DJ$3</x:f>
      </x:c>
      <x:c r="DK3" s="102" t="n">
        <x:f>'Ставки'!$DK$3</x:f>
      </x:c>
      <x:c r="DL3" s="102" t="n">
        <x:f>'Ставки'!$DL$3</x:f>
      </x:c>
      <x:c r="DM3" s="102" t="n">
        <x:f>'Ставки'!$DM$3</x:f>
      </x:c>
      <x:c r="DN3" s="102" t="n">
        <x:f>'Ставки'!$DN$3</x:f>
      </x:c>
      <x:c r="DO3" s="102" t="n">
        <x:f>'Ставки'!$DO$3</x:f>
      </x:c>
      <x:c r="DP3" s="102" t="n">
        <x:f>'Ставки'!$DP$3</x:f>
      </x:c>
      <x:c r="DQ3" s="102" t="n">
        <x:f>'Ставки'!$DQ$3</x:f>
      </x:c>
      <x:c r="DR3" s="102" t="n">
        <x:f>'Ставки'!$DR$3</x:f>
      </x:c>
      <x:c r="DS3" s="102" t="n">
        <x:f>'Ставки'!$DS$3</x:f>
      </x:c>
      <x:c r="DT3" s="102" t="n">
        <x:f>'Ставки'!$DT$3</x:f>
      </x:c>
      <x:c r="DU3" s="102" t="n">
        <x:f>'Ставки'!$DU$3</x:f>
      </x:c>
      <x:c r="DV3" s="102" t="n">
        <x:f>'Ставки'!$DV$3</x:f>
      </x:c>
      <x:c r="DW3" s="102" t="n">
        <x:f>'Ставки'!$DW$3</x:f>
      </x:c>
      <x:c r="DX3" s="102" t="n">
        <x:f>'Ставки'!$DX$3</x:f>
      </x:c>
      <x:c r="DY3" s="102" t="n">
        <x:f>'Ставки'!$DY$3</x:f>
      </x:c>
      <x:c r="DZ3" s="102" t="n">
        <x:f>'Ставки'!$DZ$3</x:f>
      </x:c>
      <x:c r="EA3" s="102" t="n">
        <x:f>'Ставки'!$EA$3</x:f>
      </x:c>
      <x:c r="EB3" s="102" t="n">
        <x:f>'Ставки'!$EB$3</x:f>
      </x:c>
      <x:c r="EC3" s="102" t="n">
        <x:f>'Ставки'!$EC$3</x:f>
      </x:c>
      <x:c r="ED3" s="102" t="n">
        <x:f>'Ставки'!$ED$3</x:f>
      </x:c>
      <x:c r="EE3" s="102" t="n">
        <x:f>'Ставки'!$EE$3</x:f>
      </x:c>
      <x:c r="EF3" s="102" t="n">
        <x:f>'Ставки'!$EF$3</x:f>
      </x:c>
      <x:c r="EG3" s="102" t="n">
        <x:f>'Ставки'!$EG$3</x:f>
      </x:c>
      <x:c r="EH3" s="102" t="n">
        <x:f>'Ставки'!$EH$3</x:f>
      </x:c>
      <x:c r="EI3" s="102" t="n">
        <x:f>'Ставки'!$EI$3</x:f>
      </x:c>
      <x:c r="EJ3" s="102" t="n">
        <x:f>'Ставки'!$EJ$3</x:f>
      </x:c>
      <x:c r="EK3" s="102" t="n">
        <x:f>'Ставки'!$EK$3</x:f>
      </x:c>
      <x:c r="EL3" s="102" t="n">
        <x:f>'Ставки'!$EL$3</x:f>
      </x:c>
      <x:c r="EM3" s="102" t="n">
        <x:f>'Ставки'!$EM$3</x:f>
      </x:c>
      <x:c r="EN3" s="102" t="n">
        <x:f>'Ставки'!$EN$3</x:f>
      </x:c>
      <x:c r="EO3" s="102" t="n">
        <x:f>'Ставки'!$EO$3</x:f>
      </x:c>
      <x:c r="EP3" s="102" t="n">
        <x:f>'Ставки'!$EP$3</x:f>
      </x:c>
      <x:c r="EQ3" s="102" t="n">
        <x:f>'Ставки'!$EQ$3</x:f>
      </x:c>
      <x:c r="ER3" s="102" t="n">
        <x:f>'Ставки'!$ER$3</x:f>
      </x:c>
      <x:c r="ES3" s="102" t="n">
        <x:f>'Ставки'!$ES$3</x:f>
      </x:c>
      <x:c r="ET3" s="102" t="n">
        <x:f>'Ставки'!$ET$3</x:f>
      </x:c>
      <x:c r="EU3" s="102" t="n">
        <x:f>'Ставки'!$EU$3</x:f>
      </x:c>
      <x:c r="EV3" s="102" t="n">
        <x:f>'Ставки'!$EV$3</x:f>
      </x:c>
      <x:c r="EW3" s="102" t="n">
        <x:f>'Ставки'!$EW$3</x:f>
      </x:c>
      <x:c r="EX3" s="102" t="n">
        <x:f>'Ставки'!$EX$3</x:f>
      </x:c>
      <x:c r="EY3" s="102" t="n">
        <x:f>'Ставки'!$EY$3</x:f>
      </x:c>
      <x:c r="EZ3" s="102" t="n">
        <x:f>'Ставки'!$EZ$3</x:f>
      </x:c>
      <x:c r="FA3" s="102" t="n">
        <x:f>'Ставки'!$FA$3</x:f>
      </x:c>
      <x:c r="FB3" s="102" t="n">
        <x:f>'Ставки'!$FB$3</x:f>
      </x:c>
      <x:c r="FC3" s="102" t="n">
        <x:f>'Ставки'!$FC$3</x:f>
      </x:c>
      <x:c r="FD3" s="102" t="n">
        <x:f>'Ставки'!$FD$3</x:f>
      </x:c>
      <x:c r="FE3" s="102" t="n">
        <x:f>'Ставки'!$FE$3</x:f>
      </x:c>
      <x:c r="FF3" s="102" t="n">
        <x:f>'Ставки'!$FF$3</x:f>
      </x:c>
      <x:c r="FG3" s="102" t="n">
        <x:f>'Ставки'!$FG$3</x:f>
      </x:c>
      <x:c r="FH3" s="102" t="n">
        <x:f>'Ставки'!$FH$3</x:f>
      </x:c>
      <x:c r="FI3" s="102" t="n">
        <x:f>'Ставки'!$FI$3</x:f>
      </x:c>
      <x:c r="FJ3" s="102" t="n">
        <x:f>'Ставки'!$FJ$3</x:f>
      </x:c>
      <x:c r="FK3" s="102" t="n">
        <x:f>'Ставки'!$FK$3</x:f>
      </x:c>
      <x:c r="FL3" s="102" t="n">
        <x:f>'Ставки'!$FL$3</x:f>
      </x:c>
      <x:c r="FM3" s="102" t="n">
        <x:f>'Ставки'!$FM$3</x:f>
      </x:c>
      <x:c r="FN3" s="102" t="n">
        <x:f>'Ставки'!$FN$3</x:f>
      </x:c>
      <x:c r="FO3" s="102" t="n">
        <x:f>'Ставки'!$FO$3</x:f>
      </x:c>
      <x:c r="FP3" s="102" t="n">
        <x:f>'Ставки'!$FP$3</x:f>
      </x:c>
      <x:c r="FQ3" s="102" t="n">
        <x:f>'Ставки'!$FQ$3</x:f>
      </x:c>
      <x:c r="FR3" s="102" t="n">
        <x:f>'Ставки'!$FR$3</x:f>
      </x:c>
      <x:c r="FS3" s="102" t="n">
        <x:f>'Ставки'!$FS$3</x:f>
      </x:c>
      <x:c r="FT3" s="102" t="n">
        <x:f>'Ставки'!$FT$3</x:f>
      </x:c>
      <x:c r="FU3" s="102" t="n">
        <x:f>'Ставки'!$FU$3</x:f>
      </x:c>
      <x:c r="FV3" s="102" t="n">
        <x:f>'Ставки'!$FV$3</x:f>
      </x:c>
      <x:c r="FW3" s="102" t="n">
        <x:f>'Ставки'!$FW$3</x:f>
      </x:c>
      <x:c r="FX3" s="102" t="n">
        <x:f>'Ставки'!$FX$3</x:f>
      </x:c>
      <x:c r="FY3" s="102" t="n">
        <x:f>'Ставки'!$FY$3</x:f>
      </x:c>
      <x:c r="FZ3" s="102" t="n">
        <x:f>'Ставки'!$FZ$3</x:f>
      </x:c>
      <x:c r="GA3" s="102" t="n">
        <x:f>'Ставки'!$GA$3</x:f>
      </x:c>
    </x:row>
    <x:row r="4">
      <x:c r="A4" t="str">
        <x:v>Период</x:v>
      </x:c>
      <x:c r="B4"/>
      <x:c r="C4" t="str">
        <x:v>№</x:v>
      </x:c>
      <x:c r="D4" s="104" t="n">
        <x:f>1</x:f>
      </x:c>
      <x:c r="E4" s="104" t="n">
        <x:f>2</x:f>
      </x:c>
      <x:c r="F4" s="104" t="n">
        <x:f>3</x:f>
      </x:c>
      <x:c r="G4" s="104" t="n">
        <x:f>4</x:f>
      </x:c>
      <x:c r="H4" s="104" t="n">
        <x:f>5</x:f>
      </x:c>
      <x:c r="I4" s="104" t="n">
        <x:f>6</x:f>
      </x:c>
      <x:c r="J4" s="104" t="n">
        <x:f>7</x:f>
      </x:c>
      <x:c r="K4" s="104" t="n">
        <x:f>8</x:f>
      </x:c>
      <x:c r="L4" s="104" t="n">
        <x:f>9</x:f>
      </x:c>
      <x:c r="M4" s="104" t="n">
        <x:f>10</x:f>
      </x:c>
      <x:c r="N4" s="104" t="n">
        <x:f>11</x:f>
      </x:c>
      <x:c r="O4" s="104" t="n">
        <x:f>12</x:f>
      </x:c>
      <x:c r="P4" s="104" t="n">
        <x:f>13</x:f>
      </x:c>
      <x:c r="Q4" s="104" t="n">
        <x:f>14</x:f>
      </x:c>
      <x:c r="R4" s="104" t="n">
        <x:f>15</x:f>
      </x:c>
      <x:c r="S4" s="104" t="n">
        <x:f>16</x:f>
      </x:c>
      <x:c r="T4" s="104" t="n">
        <x:f>17</x:f>
      </x:c>
      <x:c r="U4" s="104" t="n">
        <x:f>18</x:f>
      </x:c>
      <x:c r="V4" s="104" t="n">
        <x:f>19</x:f>
      </x:c>
      <x:c r="W4" s="104" t="n">
        <x:f>20</x:f>
      </x:c>
      <x:c r="X4" s="104" t="n">
        <x:f>21</x:f>
      </x:c>
      <x:c r="Y4" s="104" t="n">
        <x:f>22</x:f>
      </x:c>
      <x:c r="Z4" s="104" t="n">
        <x:f>23</x:f>
      </x:c>
      <x:c r="AA4" s="104" t="n">
        <x:f>24</x:f>
      </x:c>
      <x:c r="AB4" s="104" t="n">
        <x:f>25</x:f>
      </x:c>
      <x:c r="AC4" s="104" t="n">
        <x:f>26</x:f>
      </x:c>
      <x:c r="AD4" s="104" t="n">
        <x:f>27</x:f>
      </x:c>
      <x:c r="AE4" s="104" t="n">
        <x:f>28</x:f>
      </x:c>
      <x:c r="AF4" s="104" t="n">
        <x:f>29</x:f>
      </x:c>
      <x:c r="AG4" s="104" t="n">
        <x:f>30</x:f>
      </x:c>
      <x:c r="AH4" s="104" t="n">
        <x:f>31</x:f>
      </x:c>
      <x:c r="AI4" s="104" t="n">
        <x:f>32</x:f>
      </x:c>
      <x:c r="AJ4" s="104" t="n">
        <x:f>33</x:f>
      </x:c>
      <x:c r="AK4" s="104" t="n">
        <x:f>34</x:f>
      </x:c>
      <x:c r="AL4" s="104" t="n">
        <x:f>35</x:f>
      </x:c>
      <x:c r="AM4" s="104" t="n">
        <x:f>36</x:f>
      </x:c>
      <x:c r="AN4" s="104" t="n">
        <x:f>37</x:f>
      </x:c>
      <x:c r="AO4" s="104" t="n">
        <x:f>38</x:f>
      </x:c>
      <x:c r="AP4" s="104" t="n">
        <x:f>39</x:f>
      </x:c>
      <x:c r="AQ4" s="104" t="n">
        <x:f>40</x:f>
      </x:c>
      <x:c r="AR4" s="104" t="n">
        <x:f>41</x:f>
      </x:c>
      <x:c r="AS4" s="104" t="n">
        <x:f>42</x:f>
      </x:c>
      <x:c r="AT4" s="104" t="n">
        <x:f>43</x:f>
      </x:c>
      <x:c r="AU4" s="104" t="n">
        <x:f>44</x:f>
      </x:c>
      <x:c r="AV4" s="104" t="n">
        <x:f>45</x:f>
      </x:c>
      <x:c r="AW4" s="104" t="n">
        <x:f>46</x:f>
      </x:c>
      <x:c r="AX4" s="104" t="n">
        <x:f>47</x:f>
      </x:c>
      <x:c r="AY4" s="104" t="n">
        <x:f>48</x:f>
      </x:c>
      <x:c r="AZ4" s="104" t="n">
        <x:f>49</x:f>
      </x:c>
      <x:c r="BA4" s="104" t="n">
        <x:f>50</x:f>
      </x:c>
      <x:c r="BB4" s="104" t="n">
        <x:f>51</x:f>
      </x:c>
      <x:c r="BC4" s="104" t="n">
        <x:f>52</x:f>
      </x:c>
      <x:c r="BD4" s="104" t="n">
        <x:f>53</x:f>
      </x:c>
      <x:c r="BE4" s="104" t="n">
        <x:f>54</x:f>
      </x:c>
      <x:c r="BF4" s="104" t="n">
        <x:f>55</x:f>
      </x:c>
      <x:c r="BG4" s="104" t="n">
        <x:f>56</x:f>
      </x:c>
      <x:c r="BH4" s="104" t="n">
        <x:f>57</x:f>
      </x:c>
      <x:c r="BI4" s="104" t="n">
        <x:f>58</x:f>
      </x:c>
      <x:c r="BJ4" s="104" t="n">
        <x:f>59</x:f>
      </x:c>
      <x:c r="BK4" s="104" t="n">
        <x:f>60</x:f>
      </x:c>
      <x:c r="BL4" s="104" t="n">
        <x:f>61</x:f>
      </x:c>
      <x:c r="BM4" s="104" t="n">
        <x:f>62</x:f>
      </x:c>
      <x:c r="BN4" s="104" t="n">
        <x:f>63</x:f>
      </x:c>
      <x:c r="BO4" s="104" t="n">
        <x:f>64</x:f>
      </x:c>
      <x:c r="BP4" s="104" t="n">
        <x:f>65</x:f>
      </x:c>
      <x:c r="BQ4" s="104" t="n">
        <x:f>66</x:f>
      </x:c>
      <x:c r="BR4" s="104" t="n">
        <x:f>67</x:f>
      </x:c>
      <x:c r="BS4" s="104" t="n">
        <x:f>68</x:f>
      </x:c>
      <x:c r="BT4" s="104" t="n">
        <x:f>69</x:f>
      </x:c>
      <x:c r="BU4" s="104" t="n">
        <x:f>70</x:f>
      </x:c>
      <x:c r="BV4" s="104" t="n">
        <x:f>71</x:f>
      </x:c>
      <x:c r="BW4" s="104" t="n">
        <x:f>72</x:f>
      </x:c>
      <x:c r="BX4" s="104" t="n">
        <x:f>73</x:f>
      </x:c>
      <x:c r="BY4" s="104" t="n">
        <x:f>74</x:f>
      </x:c>
      <x:c r="BZ4" s="104" t="n">
        <x:f>75</x:f>
      </x:c>
      <x:c r="CA4" s="104" t="n">
        <x:f>76</x:f>
      </x:c>
      <x:c r="CB4" s="104" t="n">
        <x:f>77</x:f>
      </x:c>
      <x:c r="CC4" s="104" t="n">
        <x:f>78</x:f>
      </x:c>
      <x:c r="CD4" s="104" t="n">
        <x:f>79</x:f>
      </x:c>
      <x:c r="CE4" s="104" t="n">
        <x:f>80</x:f>
      </x:c>
      <x:c r="CF4" s="104" t="n">
        <x:f>81</x:f>
      </x:c>
      <x:c r="CG4" s="104" t="n">
        <x:f>82</x:f>
      </x:c>
      <x:c r="CH4" s="104" t="n">
        <x:f>83</x:f>
      </x:c>
      <x:c r="CI4" s="104" t="n">
        <x:f>84</x:f>
      </x:c>
      <x:c r="CJ4" s="104" t="n">
        <x:f>85</x:f>
      </x:c>
      <x:c r="CK4" s="104" t="n">
        <x:f>86</x:f>
      </x:c>
      <x:c r="CL4" s="104" t="n">
        <x:f>87</x:f>
      </x:c>
      <x:c r="CM4" s="104" t="n">
        <x:f>88</x:f>
      </x:c>
      <x:c r="CN4" s="104" t="n">
        <x:f>89</x:f>
      </x:c>
      <x:c r="CO4" s="104" t="n">
        <x:f>90</x:f>
      </x:c>
      <x:c r="CP4" s="104" t="n">
        <x:f>91</x:f>
      </x:c>
      <x:c r="CQ4" s="104" t="n">
        <x:f>92</x:f>
      </x:c>
      <x:c r="CR4" s="104" t="n">
        <x:f>93</x:f>
      </x:c>
      <x:c r="CS4" s="104" t="n">
        <x:f>94</x:f>
      </x:c>
      <x:c r="CT4" s="104" t="n">
        <x:f>95</x:f>
      </x:c>
      <x:c r="CU4" s="104" t="n">
        <x:f>96</x:f>
      </x:c>
      <x:c r="CV4" s="104" t="n">
        <x:f>97</x:f>
      </x:c>
      <x:c r="CW4" s="104" t="n">
        <x:f>98</x:f>
      </x:c>
      <x:c r="CX4" s="104" t="n">
        <x:f>99</x:f>
      </x:c>
      <x:c r="CY4" s="104" t="n">
        <x:f>100</x:f>
      </x:c>
      <x:c r="CZ4" s="104" t="n">
        <x:f>101</x:f>
      </x:c>
      <x:c r="DA4" s="104" t="n">
        <x:f>102</x:f>
      </x:c>
      <x:c r="DB4" s="104" t="n">
        <x:f>103</x:f>
      </x:c>
      <x:c r="DC4" s="104" t="n">
        <x:f>104</x:f>
      </x:c>
      <x:c r="DD4" s="104" t="n">
        <x:f>105</x:f>
      </x:c>
      <x:c r="DE4" s="104" t="n">
        <x:f>106</x:f>
      </x:c>
      <x:c r="DF4" s="104" t="n">
        <x:f>107</x:f>
      </x:c>
      <x:c r="DG4" s="104" t="n">
        <x:f>108</x:f>
      </x:c>
      <x:c r="DH4" s="104" t="n">
        <x:f>109</x:f>
      </x:c>
      <x:c r="DI4" s="104" t="n">
        <x:f>110</x:f>
      </x:c>
      <x:c r="DJ4" s="104" t="n">
        <x:f>111</x:f>
      </x:c>
      <x:c r="DK4" s="104" t="n">
        <x:f>112</x:f>
      </x:c>
      <x:c r="DL4" s="104" t="n">
        <x:f>113</x:f>
      </x:c>
      <x:c r="DM4" s="104" t="n">
        <x:f>114</x:f>
      </x:c>
      <x:c r="DN4" s="104" t="n">
        <x:f>115</x:f>
      </x:c>
      <x:c r="DO4" s="104" t="n">
        <x:f>116</x:f>
      </x:c>
      <x:c r="DP4" s="104" t="n">
        <x:f>117</x:f>
      </x:c>
      <x:c r="DQ4" s="104" t="n">
        <x:f>118</x:f>
      </x:c>
      <x:c r="DR4" s="104" t="n">
        <x:f>119</x:f>
      </x:c>
      <x:c r="DS4" s="104" t="n">
        <x:f>120</x:f>
      </x:c>
      <x:c r="DT4" s="104" t="n">
        <x:f>121</x:f>
      </x:c>
      <x:c r="DU4" s="104" t="n">
        <x:f>122</x:f>
      </x:c>
      <x:c r="DV4" s="104" t="n">
        <x:f>123</x:f>
      </x:c>
      <x:c r="DW4" s="104" t="n">
        <x:f>124</x:f>
      </x:c>
      <x:c r="DX4" s="104" t="n">
        <x:f>125</x:f>
      </x:c>
      <x:c r="DY4" s="104" t="n">
        <x:f>126</x:f>
      </x:c>
      <x:c r="DZ4" s="104" t="n">
        <x:f>127</x:f>
      </x:c>
      <x:c r="EA4" s="104" t="n">
        <x:f>128</x:f>
      </x:c>
      <x:c r="EB4" s="104" t="n">
        <x:f>129</x:f>
      </x:c>
      <x:c r="EC4" s="104" t="n">
        <x:f>130</x:f>
      </x:c>
      <x:c r="ED4" s="104" t="n">
        <x:f>131</x:f>
      </x:c>
      <x:c r="EE4" s="104" t="n">
        <x:f>132</x:f>
      </x:c>
      <x:c r="EF4" s="104" t="n">
        <x:f>133</x:f>
      </x:c>
      <x:c r="EG4" s="104" t="n">
        <x:f>134</x:f>
      </x:c>
      <x:c r="EH4" s="104" t="n">
        <x:f>135</x:f>
      </x:c>
      <x:c r="EI4" s="104" t="n">
        <x:f>136</x:f>
      </x:c>
      <x:c r="EJ4" s="104" t="n">
        <x:f>137</x:f>
      </x:c>
      <x:c r="EK4" s="104" t="n">
        <x:f>138</x:f>
      </x:c>
      <x:c r="EL4" s="104" t="n">
        <x:f>139</x:f>
      </x:c>
      <x:c r="EM4" s="104" t="n">
        <x:f>140</x:f>
      </x:c>
      <x:c r="EN4" s="104" t="n">
        <x:f>141</x:f>
      </x:c>
      <x:c r="EO4" s="104" t="n">
        <x:f>142</x:f>
      </x:c>
      <x:c r="EP4" s="104" t="n">
        <x:f>143</x:f>
      </x:c>
      <x:c r="EQ4" s="104" t="n">
        <x:f>144</x:f>
      </x:c>
      <x:c r="ER4" s="104" t="n">
        <x:f>145</x:f>
      </x:c>
      <x:c r="ES4" s="104" t="n">
        <x:f>146</x:f>
      </x:c>
      <x:c r="ET4" s="104" t="n">
        <x:f>147</x:f>
      </x:c>
      <x:c r="EU4" s="104" t="n">
        <x:f>148</x:f>
      </x:c>
      <x:c r="EV4" s="104" t="n">
        <x:f>149</x:f>
      </x:c>
      <x:c r="EW4" s="104" t="n">
        <x:f>150</x:f>
      </x:c>
      <x:c r="EX4" s="104" t="n">
        <x:f>151</x:f>
      </x:c>
      <x:c r="EY4" s="104" t="n">
        <x:f>152</x:f>
      </x:c>
      <x:c r="EZ4" s="104" t="n">
        <x:f>153</x:f>
      </x:c>
      <x:c r="FA4" s="104" t="n">
        <x:f>154</x:f>
      </x:c>
      <x:c r="FB4" s="104" t="n">
        <x:f>155</x:f>
      </x:c>
      <x:c r="FC4" s="104" t="n">
        <x:f>156</x:f>
      </x:c>
      <x:c r="FD4" s="104" t="n">
        <x:f>157</x:f>
      </x:c>
      <x:c r="FE4" s="104" t="n">
        <x:f>158</x:f>
      </x:c>
      <x:c r="FF4" s="104" t="n">
        <x:f>159</x:f>
      </x:c>
      <x:c r="FG4" s="104" t="n">
        <x:f>160</x:f>
      </x:c>
      <x:c r="FH4" s="104" t="n">
        <x:f>161</x:f>
      </x:c>
      <x:c r="FI4" s="104" t="n">
        <x:f>162</x:f>
      </x:c>
      <x:c r="FJ4" s="104" t="n">
        <x:f>163</x:f>
      </x:c>
      <x:c r="FK4" s="104" t="n">
        <x:f>164</x:f>
      </x:c>
      <x:c r="FL4" s="104" t="n">
        <x:f>165</x:f>
      </x:c>
      <x:c r="FM4" s="104" t="n">
        <x:f>166</x:f>
      </x:c>
      <x:c r="FN4" s="104" t="n">
        <x:f>167</x:f>
      </x:c>
      <x:c r="FO4" s="104" t="n">
        <x:f>168</x:f>
      </x:c>
      <x:c r="FP4" s="104" t="n">
        <x:f>169</x:f>
      </x:c>
      <x:c r="FQ4" s="104" t="n">
        <x:f>170</x:f>
      </x:c>
      <x:c r="FR4" s="104" t="n">
        <x:f>171</x:f>
      </x:c>
      <x:c r="FS4" s="104" t="n">
        <x:f>172</x:f>
      </x:c>
      <x:c r="FT4" s="104" t="n">
        <x:f>173</x:f>
      </x:c>
      <x:c r="FU4" s="104" t="n">
        <x:f>174</x:f>
      </x:c>
      <x:c r="FV4" s="104" t="n">
        <x:f>175</x:f>
      </x:c>
      <x:c r="FW4" s="104" t="n">
        <x:f>176</x:f>
      </x:c>
      <x:c r="FX4" s="104" t="n">
        <x:f>177</x:f>
      </x:c>
      <x:c r="FY4" s="104" t="n">
        <x:f>178</x:f>
      </x:c>
      <x:c r="FZ4" s="104" t="n">
        <x:f>179</x:f>
      </x:c>
      <x:c r="GA4" s="104" t="n">
        <x:f>180</x:f>
      </x:c>
    </x:row>
    <x:row r="5">
      <x:c r="A5" t="str">
        <x:v>Очередь включена</x:v>
      </x:c>
      <x:c r="B5" t="n">
        <x:f>--('Вводные'!$B$91="Да")</x:f>
      </x:c>
      <x:c r="C5" t="str">
        <x:v>0/1</x:v>
      </x:c>
      <x:c r="D5" t="n">
        <x:f>$B$5</x:f>
      </x:c>
      <x:c r="E5" t="n">
        <x:f>$B$5</x:f>
      </x:c>
      <x:c r="F5" t="n">
        <x:f>$B$5</x:f>
      </x:c>
      <x:c r="G5" t="n">
        <x:f>$B$5</x:f>
      </x:c>
      <x:c r="H5" t="n">
        <x:f>$B$5</x:f>
      </x:c>
      <x:c r="I5" t="n">
        <x:f>$B$5</x:f>
      </x:c>
      <x:c r="J5" t="n">
        <x:f>$B$5</x:f>
      </x:c>
      <x:c r="K5" t="n">
        <x:f>$B$5</x:f>
      </x:c>
      <x:c r="L5" t="n">
        <x:f>$B$5</x:f>
      </x:c>
      <x:c r="M5" t="n">
        <x:f>$B$5</x:f>
      </x:c>
      <x:c r="N5" t="n">
        <x:f>$B$5</x:f>
      </x:c>
      <x:c r="O5" t="n">
        <x:f>$B$5</x:f>
      </x:c>
      <x:c r="P5" t="n">
        <x:f>$B$5</x:f>
      </x:c>
      <x:c r="Q5" t="n">
        <x:f>$B$5</x:f>
      </x:c>
      <x:c r="R5" t="n">
        <x:f>$B$5</x:f>
      </x:c>
      <x:c r="S5" t="n">
        <x:f>$B$5</x:f>
      </x:c>
      <x:c r="T5" t="n">
        <x:f>$B$5</x:f>
      </x:c>
      <x:c r="U5" t="n">
        <x:f>$B$5</x:f>
      </x:c>
      <x:c r="V5" t="n">
        <x:f>$B$5</x:f>
      </x:c>
      <x:c r="W5" t="n">
        <x:f>$B$5</x:f>
      </x:c>
      <x:c r="X5" t="n">
        <x:f>$B$5</x:f>
      </x:c>
      <x:c r="Y5" t="n">
        <x:f>$B$5</x:f>
      </x:c>
      <x:c r="Z5" t="n">
        <x:f>$B$5</x:f>
      </x:c>
      <x:c r="AA5" t="n">
        <x:f>$B$5</x:f>
      </x:c>
      <x:c r="AB5" t="n">
        <x:f>$B$5</x:f>
      </x:c>
      <x:c r="AC5" t="n">
        <x:f>$B$5</x:f>
      </x:c>
      <x:c r="AD5" t="n">
        <x:f>$B$5</x:f>
      </x:c>
      <x:c r="AE5" t="n">
        <x:f>$B$5</x:f>
      </x:c>
      <x:c r="AF5" t="n">
        <x:f>$B$5</x:f>
      </x:c>
      <x:c r="AG5" t="n">
        <x:f>$B$5</x:f>
      </x:c>
      <x:c r="AH5" t="n">
        <x:f>$B$5</x:f>
      </x:c>
      <x:c r="AI5" t="n">
        <x:f>$B$5</x:f>
      </x:c>
      <x:c r="AJ5" t="n">
        <x:f>$B$5</x:f>
      </x:c>
      <x:c r="AK5" t="n">
        <x:f>$B$5</x:f>
      </x:c>
      <x:c r="AL5" t="n">
        <x:f>$B$5</x:f>
      </x:c>
      <x:c r="AM5" t="n">
        <x:f>$B$5</x:f>
      </x:c>
      <x:c r="AN5" t="n">
        <x:f>$B$5</x:f>
      </x:c>
      <x:c r="AO5" t="n">
        <x:f>$B$5</x:f>
      </x:c>
      <x:c r="AP5" t="n">
        <x:f>$B$5</x:f>
      </x:c>
      <x:c r="AQ5" t="n">
        <x:f>$B$5</x:f>
      </x:c>
      <x:c r="AR5" t="n">
        <x:f>$B$5</x:f>
      </x:c>
      <x:c r="AS5" t="n">
        <x:f>$B$5</x:f>
      </x:c>
      <x:c r="AT5" t="n">
        <x:f>$B$5</x:f>
      </x:c>
      <x:c r="AU5" t="n">
        <x:f>$B$5</x:f>
      </x:c>
      <x:c r="AV5" t="n">
        <x:f>$B$5</x:f>
      </x:c>
      <x:c r="AW5" t="n">
        <x:f>$B$5</x:f>
      </x:c>
      <x:c r="AX5" t="n">
        <x:f>$B$5</x:f>
      </x:c>
      <x:c r="AY5" t="n">
        <x:f>$B$5</x:f>
      </x:c>
      <x:c r="AZ5" t="n">
        <x:f>$B$5</x:f>
      </x:c>
      <x:c r="BA5" t="n">
        <x:f>$B$5</x:f>
      </x:c>
      <x:c r="BB5" t="n">
        <x:f>$B$5</x:f>
      </x:c>
      <x:c r="BC5" t="n">
        <x:f>$B$5</x:f>
      </x:c>
      <x:c r="BD5" t="n">
        <x:f>$B$5</x:f>
      </x:c>
      <x:c r="BE5" t="n">
        <x:f>$B$5</x:f>
      </x:c>
      <x:c r="BF5" t="n">
        <x:f>$B$5</x:f>
      </x:c>
      <x:c r="BG5" t="n">
        <x:f>$B$5</x:f>
      </x:c>
      <x:c r="BH5" t="n">
        <x:f>$B$5</x:f>
      </x:c>
      <x:c r="BI5" t="n">
        <x:f>$B$5</x:f>
      </x:c>
      <x:c r="BJ5" t="n">
        <x:f>$B$5</x:f>
      </x:c>
      <x:c r="BK5" t="n">
        <x:f>$B$5</x:f>
      </x:c>
      <x:c r="BL5" t="n">
        <x:f>$B$5</x:f>
      </x:c>
      <x:c r="BM5" t="n">
        <x:f>$B$5</x:f>
      </x:c>
      <x:c r="BN5" t="n">
        <x:f>$B$5</x:f>
      </x:c>
      <x:c r="BO5" t="n">
        <x:f>$B$5</x:f>
      </x:c>
      <x:c r="BP5" t="n">
        <x:f>$B$5</x:f>
      </x:c>
      <x:c r="BQ5" t="n">
        <x:f>$B$5</x:f>
      </x:c>
      <x:c r="BR5" t="n">
        <x:f>$B$5</x:f>
      </x:c>
      <x:c r="BS5" t="n">
        <x:f>$B$5</x:f>
      </x:c>
      <x:c r="BT5" t="n">
        <x:f>$B$5</x:f>
      </x:c>
      <x:c r="BU5" t="n">
        <x:f>$B$5</x:f>
      </x:c>
      <x:c r="BV5" t="n">
        <x:f>$B$5</x:f>
      </x:c>
      <x:c r="BW5" t="n">
        <x:f>$B$5</x:f>
      </x:c>
      <x:c r="BX5" t="n">
        <x:f>$B$5</x:f>
      </x:c>
      <x:c r="BY5" t="n">
        <x:f>$B$5</x:f>
      </x:c>
      <x:c r="BZ5" t="n">
        <x:f>$B$5</x:f>
      </x:c>
      <x:c r="CA5" t="n">
        <x:f>$B$5</x:f>
      </x:c>
      <x:c r="CB5" t="n">
        <x:f>$B$5</x:f>
      </x:c>
      <x:c r="CC5" t="n">
        <x:f>$B$5</x:f>
      </x:c>
      <x:c r="CD5" t="n">
        <x:f>$B$5</x:f>
      </x:c>
      <x:c r="CE5" t="n">
        <x:f>$B$5</x:f>
      </x:c>
      <x:c r="CF5" t="n">
        <x:f>$B$5</x:f>
      </x:c>
      <x:c r="CG5" t="n">
        <x:f>$B$5</x:f>
      </x:c>
      <x:c r="CH5" t="n">
        <x:f>$B$5</x:f>
      </x:c>
      <x:c r="CI5" t="n">
        <x:f>$B$5</x:f>
      </x:c>
      <x:c r="CJ5" t="n">
        <x:f>$B$5</x:f>
      </x:c>
      <x:c r="CK5" t="n">
        <x:f>$B$5</x:f>
      </x:c>
      <x:c r="CL5" t="n">
        <x:f>$B$5</x:f>
      </x:c>
      <x:c r="CM5" t="n">
        <x:f>$B$5</x:f>
      </x:c>
      <x:c r="CN5" t="n">
        <x:f>$B$5</x:f>
      </x:c>
      <x:c r="CO5" t="n">
        <x:f>$B$5</x:f>
      </x:c>
      <x:c r="CP5" t="n">
        <x:f>$B$5</x:f>
      </x:c>
      <x:c r="CQ5" t="n">
        <x:f>$B$5</x:f>
      </x:c>
      <x:c r="CR5" t="n">
        <x:f>$B$5</x:f>
      </x:c>
      <x:c r="CS5" t="n">
        <x:f>$B$5</x:f>
      </x:c>
      <x:c r="CT5" t="n">
        <x:f>$B$5</x:f>
      </x:c>
      <x:c r="CU5" t="n">
        <x:f>$B$5</x:f>
      </x:c>
      <x:c r="CV5" t="n">
        <x:f>$B$5</x:f>
      </x:c>
      <x:c r="CW5" t="n">
        <x:f>$B$5</x:f>
      </x:c>
      <x:c r="CX5" t="n">
        <x:f>$B$5</x:f>
      </x:c>
      <x:c r="CY5" t="n">
        <x:f>$B$5</x:f>
      </x:c>
      <x:c r="CZ5" t="n">
        <x:f>$B$5</x:f>
      </x:c>
      <x:c r="DA5" t="n">
        <x:f>$B$5</x:f>
      </x:c>
      <x:c r="DB5" t="n">
        <x:f>$B$5</x:f>
      </x:c>
      <x:c r="DC5" t="n">
        <x:f>$B$5</x:f>
      </x:c>
      <x:c r="DD5" t="n">
        <x:f>$B$5</x:f>
      </x:c>
      <x:c r="DE5" t="n">
        <x:f>$B$5</x:f>
      </x:c>
      <x:c r="DF5" t="n">
        <x:f>$B$5</x:f>
      </x:c>
      <x:c r="DG5" t="n">
        <x:f>$B$5</x:f>
      </x:c>
      <x:c r="DH5" t="n">
        <x:f>$B$5</x:f>
      </x:c>
      <x:c r="DI5" t="n">
        <x:f>$B$5</x:f>
      </x:c>
      <x:c r="DJ5" t="n">
        <x:f>$B$5</x:f>
      </x:c>
      <x:c r="DK5" t="n">
        <x:f>$B$5</x:f>
      </x:c>
      <x:c r="DL5" t="n">
        <x:f>$B$5</x:f>
      </x:c>
      <x:c r="DM5" t="n">
        <x:f>$B$5</x:f>
      </x:c>
      <x:c r="DN5" t="n">
        <x:f>$B$5</x:f>
      </x:c>
      <x:c r="DO5" t="n">
        <x:f>$B$5</x:f>
      </x:c>
      <x:c r="DP5" t="n">
        <x:f>$B$5</x:f>
      </x:c>
      <x:c r="DQ5" t="n">
        <x:f>$B$5</x:f>
      </x:c>
      <x:c r="DR5" t="n">
        <x:f>$B$5</x:f>
      </x:c>
      <x:c r="DS5" t="n">
        <x:f>$B$5</x:f>
      </x:c>
      <x:c r="DT5" t="n">
        <x:f>$B$5</x:f>
      </x:c>
      <x:c r="DU5" t="n">
        <x:f>$B$5</x:f>
      </x:c>
      <x:c r="DV5" t="n">
        <x:f>$B$5</x:f>
      </x:c>
      <x:c r="DW5" t="n">
        <x:f>$B$5</x:f>
      </x:c>
      <x:c r="DX5" t="n">
        <x:f>$B$5</x:f>
      </x:c>
      <x:c r="DY5" t="n">
        <x:f>$B$5</x:f>
      </x:c>
      <x:c r="DZ5" t="n">
        <x:f>$B$5</x:f>
      </x:c>
      <x:c r="EA5" t="n">
        <x:f>$B$5</x:f>
      </x:c>
      <x:c r="EB5" t="n">
        <x:f>$B$5</x:f>
      </x:c>
      <x:c r="EC5" t="n">
        <x:f>$B$5</x:f>
      </x:c>
      <x:c r="ED5" t="n">
        <x:f>$B$5</x:f>
      </x:c>
      <x:c r="EE5" t="n">
        <x:f>$B$5</x:f>
      </x:c>
      <x:c r="EF5" t="n">
        <x:f>$B$5</x:f>
      </x:c>
      <x:c r="EG5" t="n">
        <x:f>$B$5</x:f>
      </x:c>
      <x:c r="EH5" t="n">
        <x:f>$B$5</x:f>
      </x:c>
      <x:c r="EI5" t="n">
        <x:f>$B$5</x:f>
      </x:c>
      <x:c r="EJ5" t="n">
        <x:f>$B$5</x:f>
      </x:c>
      <x:c r="EK5" t="n">
        <x:f>$B$5</x:f>
      </x:c>
      <x:c r="EL5" t="n">
        <x:f>$B$5</x:f>
      </x:c>
      <x:c r="EM5" t="n">
        <x:f>$B$5</x:f>
      </x:c>
      <x:c r="EN5" t="n">
        <x:f>$B$5</x:f>
      </x:c>
      <x:c r="EO5" t="n">
        <x:f>$B$5</x:f>
      </x:c>
      <x:c r="EP5" t="n">
        <x:f>$B$5</x:f>
      </x:c>
      <x:c r="EQ5" t="n">
        <x:f>$B$5</x:f>
      </x:c>
      <x:c r="ER5" t="n">
        <x:f>$B$5</x:f>
      </x:c>
      <x:c r="ES5" t="n">
        <x:f>$B$5</x:f>
      </x:c>
      <x:c r="ET5" t="n">
        <x:f>$B$5</x:f>
      </x:c>
      <x:c r="EU5" t="n">
        <x:f>$B$5</x:f>
      </x:c>
      <x:c r="EV5" t="n">
        <x:f>$B$5</x:f>
      </x:c>
      <x:c r="EW5" t="n">
        <x:f>$B$5</x:f>
      </x:c>
      <x:c r="EX5" t="n">
        <x:f>$B$5</x:f>
      </x:c>
      <x:c r="EY5" t="n">
        <x:f>$B$5</x:f>
      </x:c>
      <x:c r="EZ5" t="n">
        <x:f>$B$5</x:f>
      </x:c>
      <x:c r="FA5" t="n">
        <x:f>$B$5</x:f>
      </x:c>
      <x:c r="FB5" t="n">
        <x:f>$B$5</x:f>
      </x:c>
      <x:c r="FC5" t="n">
        <x:f>$B$5</x:f>
      </x:c>
      <x:c r="FD5" t="n">
        <x:f>$B$5</x:f>
      </x:c>
      <x:c r="FE5" t="n">
        <x:f>$B$5</x:f>
      </x:c>
      <x:c r="FF5" t="n">
        <x:f>$B$5</x:f>
      </x:c>
      <x:c r="FG5" t="n">
        <x:f>$B$5</x:f>
      </x:c>
      <x:c r="FH5" t="n">
        <x:f>$B$5</x:f>
      </x:c>
      <x:c r="FI5" t="n">
        <x:f>$B$5</x:f>
      </x:c>
      <x:c r="FJ5" t="n">
        <x:f>$B$5</x:f>
      </x:c>
      <x:c r="FK5" t="n">
        <x:f>$B$5</x:f>
      </x:c>
      <x:c r="FL5" t="n">
        <x:f>$B$5</x:f>
      </x:c>
      <x:c r="FM5" t="n">
        <x:f>$B$5</x:f>
      </x:c>
      <x:c r="FN5" t="n">
        <x:f>$B$5</x:f>
      </x:c>
      <x:c r="FO5" t="n">
        <x:f>$B$5</x:f>
      </x:c>
      <x:c r="FP5" t="n">
        <x:f>$B$5</x:f>
      </x:c>
      <x:c r="FQ5" t="n">
        <x:f>$B$5</x:f>
      </x:c>
      <x:c r="FR5" t="n">
        <x:f>$B$5</x:f>
      </x:c>
      <x:c r="FS5" t="n">
        <x:f>$B$5</x:f>
      </x:c>
      <x:c r="FT5" t="n">
        <x:f>$B$5</x:f>
      </x:c>
      <x:c r="FU5" t="n">
        <x:f>$B$5</x:f>
      </x:c>
      <x:c r="FV5" t="n">
        <x:f>$B$5</x:f>
      </x:c>
      <x:c r="FW5" t="n">
        <x:f>$B$5</x:f>
      </x:c>
      <x:c r="FX5" t="n">
        <x:f>$B$5</x:f>
      </x:c>
      <x:c r="FY5" t="n">
        <x:f>$B$5</x:f>
      </x:c>
      <x:c r="FZ5" t="n">
        <x:f>$B$5</x:f>
      </x:c>
      <x:c r="GA5" t="n">
        <x:f>$B$5</x:f>
      </x:c>
    </x:row>
    <x:row r="6">
      <x:c r="A6" t="str">
        <x:v>Начало очереди</x:v>
      </x:c>
      <x:c r="B6" s="106" t="n">
        <x:f>EDATE('Вводные'!$D$91,'Вводные'!$H$9)</x:f>
      </x:c>
      <x:c r="C6" t="str">
        <x:v>дата</x:v>
      </x:c>
    </x:row>
    <x:row r="7">
      <x:c r="A7" t="str">
        <x:v>РнС / открытие ПФ</x:v>
      </x:c>
      <x:c r="B7" s="106" t="n">
        <x:f>EDATE(B6,'Вводные'!$E$91)</x:f>
      </x:c>
      <x:c r="C7" t="str">
        <x:v>дата</x:v>
      </x:c>
    </x:row>
    <x:row r="8">
      <x:c r="A8" t="str">
        <x:v>РВЭ</x:v>
      </x:c>
      <x:c r="B8" s="106" t="n">
        <x:f>EDATE(B7,'Вводные'!$F$91)</x:f>
      </x:c>
      <x:c r="C8" t="str">
        <x:v>дата</x:v>
      </x:c>
    </x:row>
    <x:row r="9">
      <x:c r="A9"/>
      <x:c r="B9"/>
      <x:c r="C9"/>
    </x:row>
    <x:row r="10">
      <x:c r="A10" t="str">
        <x:v>Продажи по договорам</x:v>
      </x:c>
      <x:c r="B10" t="n">
        <x:f>SUM(D10:GA10)</x:f>
      </x:c>
      <x:c r="C10" t="str">
        <x:v>млн ₽</x:v>
      </x:c>
      <x:c r="D10" s="117" t="n">
        <x:f>'Продажи'!D95+'ОБЪЕКТЫ'!D116</x:f>
      </x:c>
      <x:c r="E10" s="117" t="n">
        <x:f>'Продажи'!E95+'ОБЪЕКТЫ'!E116</x:f>
      </x:c>
      <x:c r="F10" s="117" t="n">
        <x:f>'Продажи'!F95+'ОБЪЕКТЫ'!F116</x:f>
      </x:c>
      <x:c r="G10" s="117" t="n">
        <x:f>'Продажи'!G95+'ОБЪЕКТЫ'!G116</x:f>
      </x:c>
      <x:c r="H10" s="117" t="n">
        <x:f>'Продажи'!H95+'ОБЪЕКТЫ'!H116</x:f>
      </x:c>
      <x:c r="I10" s="117" t="n">
        <x:f>'Продажи'!I95+'ОБЪЕКТЫ'!I116</x:f>
      </x:c>
      <x:c r="J10" s="117" t="n">
        <x:f>'Продажи'!J95+'ОБЪЕКТЫ'!J116</x:f>
      </x:c>
      <x:c r="K10" s="117" t="n">
        <x:f>'Продажи'!K95+'ОБЪЕКТЫ'!K116</x:f>
      </x:c>
      <x:c r="L10" s="117" t="n">
        <x:f>'Продажи'!L95+'ОБЪЕКТЫ'!L116</x:f>
      </x:c>
      <x:c r="M10" s="117" t="n">
        <x:f>'Продажи'!M95+'ОБЪЕКТЫ'!M116</x:f>
      </x:c>
      <x:c r="N10" s="117" t="n">
        <x:f>'Продажи'!N95+'ОБЪЕКТЫ'!N116</x:f>
      </x:c>
      <x:c r="O10" s="117" t="n">
        <x:f>'Продажи'!O95+'ОБЪЕКТЫ'!O116</x:f>
      </x:c>
      <x:c r="P10" s="117" t="n">
        <x:f>'Продажи'!P95+'ОБЪЕКТЫ'!P116</x:f>
      </x:c>
      <x:c r="Q10" s="117" t="n">
        <x:f>'Продажи'!Q95+'ОБЪЕКТЫ'!Q116</x:f>
      </x:c>
      <x:c r="R10" s="117" t="n">
        <x:f>'Продажи'!R95+'ОБЪЕКТЫ'!R116</x:f>
      </x:c>
      <x:c r="S10" s="117" t="n">
        <x:f>'Продажи'!S95+'ОБЪЕКТЫ'!S116</x:f>
      </x:c>
      <x:c r="T10" s="117" t="n">
        <x:f>'Продажи'!T95+'ОБЪЕКТЫ'!T116</x:f>
      </x:c>
      <x:c r="U10" s="117" t="n">
        <x:f>'Продажи'!U95+'ОБЪЕКТЫ'!U116</x:f>
      </x:c>
      <x:c r="V10" s="117" t="n">
        <x:f>'Продажи'!V95+'ОБЪЕКТЫ'!V116</x:f>
      </x:c>
      <x:c r="W10" s="117" t="n">
        <x:f>'Продажи'!W95+'ОБЪЕКТЫ'!W116</x:f>
      </x:c>
      <x:c r="X10" s="117" t="n">
        <x:f>'Продажи'!X95+'ОБЪЕКТЫ'!X116</x:f>
      </x:c>
      <x:c r="Y10" s="117" t="n">
        <x:f>'Продажи'!Y95+'ОБЪЕКТЫ'!Y116</x:f>
      </x:c>
      <x:c r="Z10" s="117" t="n">
        <x:f>'Продажи'!Z95+'ОБЪЕКТЫ'!Z116</x:f>
      </x:c>
      <x:c r="AA10" s="117" t="n">
        <x:f>'Продажи'!AA95+'ОБЪЕКТЫ'!AA116</x:f>
      </x:c>
      <x:c r="AB10" s="117" t="n">
        <x:f>'Продажи'!AB95+'ОБЪЕКТЫ'!AB116</x:f>
      </x:c>
      <x:c r="AC10" s="117" t="n">
        <x:f>'Продажи'!AC95+'ОБЪЕКТЫ'!AC116</x:f>
      </x:c>
      <x:c r="AD10" s="117" t="n">
        <x:f>'Продажи'!AD95+'ОБЪЕКТЫ'!AD116</x:f>
      </x:c>
      <x:c r="AE10" s="117" t="n">
        <x:f>'Продажи'!AE95+'ОБЪЕКТЫ'!AE116</x:f>
      </x:c>
      <x:c r="AF10" s="117" t="n">
        <x:f>'Продажи'!AF95+'ОБЪЕКТЫ'!AF116</x:f>
      </x:c>
      <x:c r="AG10" s="117" t="n">
        <x:f>'Продажи'!AG95+'ОБЪЕКТЫ'!AG116</x:f>
      </x:c>
      <x:c r="AH10" s="117" t="n">
        <x:f>'Продажи'!AH95+'ОБЪЕКТЫ'!AH116</x:f>
      </x:c>
      <x:c r="AI10" s="117" t="n">
        <x:f>'Продажи'!AI95+'ОБЪЕКТЫ'!AI116</x:f>
      </x:c>
      <x:c r="AJ10" s="117" t="n">
        <x:f>'Продажи'!AJ95+'ОБЪЕКТЫ'!AJ116</x:f>
      </x:c>
      <x:c r="AK10" s="117" t="n">
        <x:f>'Продажи'!AK95+'ОБЪЕКТЫ'!AK116</x:f>
      </x:c>
      <x:c r="AL10" s="117" t="n">
        <x:f>'Продажи'!AL95+'ОБЪЕКТЫ'!AL116</x:f>
      </x:c>
      <x:c r="AM10" s="117" t="n">
        <x:f>'Продажи'!AM95+'ОБЪЕКТЫ'!AM116</x:f>
      </x:c>
      <x:c r="AN10" s="117" t="n">
        <x:f>'Продажи'!AN95+'ОБЪЕКТЫ'!AN116</x:f>
      </x:c>
      <x:c r="AO10" s="117" t="n">
        <x:f>'Продажи'!AO95+'ОБЪЕКТЫ'!AO116</x:f>
      </x:c>
      <x:c r="AP10" s="117" t="n">
        <x:f>'Продажи'!AP95+'ОБЪЕКТЫ'!AP116</x:f>
      </x:c>
      <x:c r="AQ10" s="117" t="n">
        <x:f>'Продажи'!AQ95+'ОБЪЕКТЫ'!AQ116</x:f>
      </x:c>
      <x:c r="AR10" s="117" t="n">
        <x:f>'Продажи'!AR95+'ОБЪЕКТЫ'!AR116</x:f>
      </x:c>
      <x:c r="AS10" s="117" t="n">
        <x:f>'Продажи'!AS95+'ОБЪЕКТЫ'!AS116</x:f>
      </x:c>
      <x:c r="AT10" s="117" t="n">
        <x:f>'Продажи'!AT95+'ОБЪЕКТЫ'!AT116</x:f>
      </x:c>
      <x:c r="AU10" s="117" t="n">
        <x:f>'Продажи'!AU95+'ОБЪЕКТЫ'!AU116</x:f>
      </x:c>
      <x:c r="AV10" s="117" t="n">
        <x:f>'Продажи'!AV95+'ОБЪЕКТЫ'!AV116</x:f>
      </x:c>
      <x:c r="AW10" s="117" t="n">
        <x:f>'Продажи'!AW95+'ОБЪЕКТЫ'!AW116</x:f>
      </x:c>
      <x:c r="AX10" s="117" t="n">
        <x:f>'Продажи'!AX95+'ОБЪЕКТЫ'!AX116</x:f>
      </x:c>
      <x:c r="AY10" s="117" t="n">
        <x:f>'Продажи'!AY95+'ОБЪЕКТЫ'!AY116</x:f>
      </x:c>
      <x:c r="AZ10" s="117" t="n">
        <x:f>'Продажи'!AZ95+'ОБЪЕКТЫ'!AZ116</x:f>
      </x:c>
      <x:c r="BA10" s="117" t="n">
        <x:f>'Продажи'!BA95+'ОБЪЕКТЫ'!BA116</x:f>
      </x:c>
      <x:c r="BB10" s="117" t="n">
        <x:f>'Продажи'!BB95+'ОБЪЕКТЫ'!BB116</x:f>
      </x:c>
      <x:c r="BC10" s="117" t="n">
        <x:f>'Продажи'!BC95+'ОБЪЕКТЫ'!BC116</x:f>
      </x:c>
      <x:c r="BD10" s="117" t="n">
        <x:f>'Продажи'!BD95+'ОБЪЕКТЫ'!BD116</x:f>
      </x:c>
      <x:c r="BE10" s="117" t="n">
        <x:f>'Продажи'!BE95+'ОБЪЕКТЫ'!BE116</x:f>
      </x:c>
      <x:c r="BF10" s="117" t="n">
        <x:f>'Продажи'!BF95+'ОБЪЕКТЫ'!BF116</x:f>
      </x:c>
      <x:c r="BG10" s="117" t="n">
        <x:f>'Продажи'!BG95+'ОБЪЕКТЫ'!BG116</x:f>
      </x:c>
      <x:c r="BH10" s="117" t="n">
        <x:f>'Продажи'!BH95+'ОБЪЕКТЫ'!BH116</x:f>
      </x:c>
      <x:c r="BI10" s="117" t="n">
        <x:f>'Продажи'!BI95+'ОБЪЕКТЫ'!BI116</x:f>
      </x:c>
      <x:c r="BJ10" s="117" t="n">
        <x:f>'Продажи'!BJ95+'ОБЪЕКТЫ'!BJ116</x:f>
      </x:c>
      <x:c r="BK10" s="117" t="n">
        <x:f>'Продажи'!BK95+'ОБЪЕКТЫ'!BK116</x:f>
      </x:c>
      <x:c r="BL10" s="117" t="n">
        <x:f>'Продажи'!BL95+'ОБЪЕКТЫ'!BL116</x:f>
      </x:c>
      <x:c r="BM10" s="117" t="n">
        <x:f>'Продажи'!BM95+'ОБЪЕКТЫ'!BM116</x:f>
      </x:c>
      <x:c r="BN10" s="117" t="n">
        <x:f>'Продажи'!BN95+'ОБЪЕКТЫ'!BN116</x:f>
      </x:c>
      <x:c r="BO10" s="117" t="n">
        <x:f>'Продажи'!BO95+'ОБЪЕКТЫ'!BO116</x:f>
      </x:c>
      <x:c r="BP10" s="117" t="n">
        <x:f>'Продажи'!BP95+'ОБЪЕКТЫ'!BP116</x:f>
      </x:c>
      <x:c r="BQ10" s="117" t="n">
        <x:f>'Продажи'!BQ95+'ОБЪЕКТЫ'!BQ116</x:f>
      </x:c>
      <x:c r="BR10" s="117" t="n">
        <x:f>'Продажи'!BR95+'ОБЪЕКТЫ'!BR116</x:f>
      </x:c>
      <x:c r="BS10" s="117" t="n">
        <x:f>'Продажи'!BS95+'ОБЪЕКТЫ'!BS116</x:f>
      </x:c>
      <x:c r="BT10" s="117" t="n">
        <x:f>'Продажи'!BT95+'ОБЪЕКТЫ'!BT116</x:f>
      </x:c>
      <x:c r="BU10" s="117" t="n">
        <x:f>'Продажи'!BU95+'ОБЪЕКТЫ'!BU116</x:f>
      </x:c>
      <x:c r="BV10" s="117" t="n">
        <x:f>'Продажи'!BV95+'ОБЪЕКТЫ'!BV116</x:f>
      </x:c>
      <x:c r="BW10" s="117" t="n">
        <x:f>'Продажи'!BW95+'ОБЪЕКТЫ'!BW116</x:f>
      </x:c>
      <x:c r="BX10" s="117" t="n">
        <x:f>'Продажи'!BX95+'ОБЪЕКТЫ'!BX116</x:f>
      </x:c>
      <x:c r="BY10" s="117" t="n">
        <x:f>'Продажи'!BY95+'ОБЪЕКТЫ'!BY116</x:f>
      </x:c>
      <x:c r="BZ10" s="117" t="n">
        <x:f>'Продажи'!BZ95+'ОБЪЕКТЫ'!BZ116</x:f>
      </x:c>
      <x:c r="CA10" s="117" t="n">
        <x:f>'Продажи'!CA95+'ОБЪЕКТЫ'!CA116</x:f>
      </x:c>
      <x:c r="CB10" s="117" t="n">
        <x:f>'Продажи'!CB95+'ОБЪЕКТЫ'!CB116</x:f>
      </x:c>
      <x:c r="CC10" s="117" t="n">
        <x:f>'Продажи'!CC95+'ОБЪЕКТЫ'!CC116</x:f>
      </x:c>
      <x:c r="CD10" s="117" t="n">
        <x:f>'Продажи'!CD95+'ОБЪЕКТЫ'!CD116</x:f>
      </x:c>
      <x:c r="CE10" s="117" t="n">
        <x:f>'Продажи'!CE95+'ОБЪЕКТЫ'!CE116</x:f>
      </x:c>
      <x:c r="CF10" s="117" t="n">
        <x:f>'Продажи'!CF95+'ОБЪЕКТЫ'!CF116</x:f>
      </x:c>
      <x:c r="CG10" s="117" t="n">
        <x:f>'Продажи'!CG95+'ОБЪЕКТЫ'!CG116</x:f>
      </x:c>
      <x:c r="CH10" s="117" t="n">
        <x:f>'Продажи'!CH95+'ОБЪЕКТЫ'!CH116</x:f>
      </x:c>
      <x:c r="CI10" s="117" t="n">
        <x:f>'Продажи'!CI95+'ОБЪЕКТЫ'!CI116</x:f>
      </x:c>
      <x:c r="CJ10" s="117" t="n">
        <x:f>'Продажи'!CJ95+'ОБЪЕКТЫ'!CJ116</x:f>
      </x:c>
      <x:c r="CK10" s="117" t="n">
        <x:f>'Продажи'!CK95+'ОБЪЕКТЫ'!CK116</x:f>
      </x:c>
      <x:c r="CL10" s="117" t="n">
        <x:f>'Продажи'!CL95+'ОБЪЕКТЫ'!CL116</x:f>
      </x:c>
      <x:c r="CM10" s="117" t="n">
        <x:f>'Продажи'!CM95+'ОБЪЕКТЫ'!CM116</x:f>
      </x:c>
      <x:c r="CN10" s="117" t="n">
        <x:f>'Продажи'!CN95+'ОБЪЕКТЫ'!CN116</x:f>
      </x:c>
      <x:c r="CO10" s="117" t="n">
        <x:f>'Продажи'!CO95+'ОБЪЕКТЫ'!CO116</x:f>
      </x:c>
      <x:c r="CP10" s="117" t="n">
        <x:f>'Продажи'!CP95+'ОБЪЕКТЫ'!CP116</x:f>
      </x:c>
      <x:c r="CQ10" s="117" t="n">
        <x:f>'Продажи'!CQ95+'ОБЪЕКТЫ'!CQ116</x:f>
      </x:c>
      <x:c r="CR10" s="117" t="n">
        <x:f>'Продажи'!CR95+'ОБЪЕКТЫ'!CR116</x:f>
      </x:c>
      <x:c r="CS10" s="117" t="n">
        <x:f>'Продажи'!CS95+'ОБЪЕКТЫ'!CS116</x:f>
      </x:c>
      <x:c r="CT10" s="117" t="n">
        <x:f>'Продажи'!CT95+'ОБЪЕКТЫ'!CT116</x:f>
      </x:c>
      <x:c r="CU10" s="117" t="n">
        <x:f>'Продажи'!CU95+'ОБЪЕКТЫ'!CU116</x:f>
      </x:c>
      <x:c r="CV10" s="117" t="n">
        <x:f>'Продажи'!CV95+'ОБЪЕКТЫ'!CV116</x:f>
      </x:c>
      <x:c r="CW10" s="117" t="n">
        <x:f>'Продажи'!CW95+'ОБЪЕКТЫ'!CW116</x:f>
      </x:c>
      <x:c r="CX10" s="117" t="n">
        <x:f>'Продажи'!CX95+'ОБЪЕКТЫ'!CX116</x:f>
      </x:c>
      <x:c r="CY10" s="117" t="n">
        <x:f>'Продажи'!CY95+'ОБЪЕКТЫ'!CY116</x:f>
      </x:c>
      <x:c r="CZ10" s="117" t="n">
        <x:f>'Продажи'!CZ95+'ОБЪЕКТЫ'!CZ116</x:f>
      </x:c>
      <x:c r="DA10" s="117" t="n">
        <x:f>'Продажи'!DA95+'ОБЪЕКТЫ'!DA116</x:f>
      </x:c>
      <x:c r="DB10" s="117" t="n">
        <x:f>'Продажи'!DB95+'ОБЪЕКТЫ'!DB116</x:f>
      </x:c>
      <x:c r="DC10" s="117" t="n">
        <x:f>'Продажи'!DC95+'ОБЪЕКТЫ'!DC116</x:f>
      </x:c>
      <x:c r="DD10" s="117" t="n">
        <x:f>'Продажи'!DD95+'ОБЪЕКТЫ'!DD116</x:f>
      </x:c>
      <x:c r="DE10" s="117" t="n">
        <x:f>'Продажи'!DE95+'ОБЪЕКТЫ'!DE116</x:f>
      </x:c>
      <x:c r="DF10" s="117" t="n">
        <x:f>'Продажи'!DF95+'ОБЪЕКТЫ'!DF116</x:f>
      </x:c>
      <x:c r="DG10" s="117" t="n">
        <x:f>'Продажи'!DG95+'ОБЪЕКТЫ'!DG116</x:f>
      </x:c>
      <x:c r="DH10" s="117" t="n">
        <x:f>'Продажи'!DH95+'ОБЪЕКТЫ'!DH116</x:f>
      </x:c>
      <x:c r="DI10" s="117" t="n">
        <x:f>'Продажи'!DI95+'ОБЪЕКТЫ'!DI116</x:f>
      </x:c>
      <x:c r="DJ10" s="117" t="n">
        <x:f>'Продажи'!DJ95+'ОБЪЕКТЫ'!DJ116</x:f>
      </x:c>
      <x:c r="DK10" s="117" t="n">
        <x:f>'Продажи'!DK95+'ОБЪЕКТЫ'!DK116</x:f>
      </x:c>
      <x:c r="DL10" s="117" t="n">
        <x:f>'Продажи'!DL95+'ОБЪЕКТЫ'!DL116</x:f>
      </x:c>
      <x:c r="DM10" s="117" t="n">
        <x:f>'Продажи'!DM95+'ОБЪЕКТЫ'!DM116</x:f>
      </x:c>
      <x:c r="DN10" s="117" t="n">
        <x:f>'Продажи'!DN95+'ОБЪЕКТЫ'!DN116</x:f>
      </x:c>
      <x:c r="DO10" s="117" t="n">
        <x:f>'Продажи'!DO95+'ОБЪЕКТЫ'!DO116</x:f>
      </x:c>
      <x:c r="DP10" s="117" t="n">
        <x:f>'Продажи'!DP95+'ОБЪЕКТЫ'!DP116</x:f>
      </x:c>
      <x:c r="DQ10" s="117" t="n">
        <x:f>'Продажи'!DQ95+'ОБЪЕКТЫ'!DQ116</x:f>
      </x:c>
      <x:c r="DR10" s="117" t="n">
        <x:f>'Продажи'!DR95+'ОБЪЕКТЫ'!DR116</x:f>
      </x:c>
      <x:c r="DS10" s="117" t="n">
        <x:f>'Продажи'!DS95+'ОБЪЕКТЫ'!DS116</x:f>
      </x:c>
      <x:c r="DT10" s="117" t="n">
        <x:f>'Продажи'!DT95+'ОБЪЕКТЫ'!DT116</x:f>
      </x:c>
      <x:c r="DU10" s="117" t="n">
        <x:f>'Продажи'!DU95+'ОБЪЕКТЫ'!DU116</x:f>
      </x:c>
      <x:c r="DV10" s="117" t="n">
        <x:f>'Продажи'!DV95+'ОБЪЕКТЫ'!DV116</x:f>
      </x:c>
      <x:c r="DW10" s="117" t="n">
        <x:f>'Продажи'!DW95+'ОБЪЕКТЫ'!DW116</x:f>
      </x:c>
      <x:c r="DX10" s="117" t="n">
        <x:f>'Продажи'!DX95+'ОБЪЕКТЫ'!DX116</x:f>
      </x:c>
      <x:c r="DY10" s="117" t="n">
        <x:f>'Продажи'!DY95+'ОБЪЕКТЫ'!DY116</x:f>
      </x:c>
      <x:c r="DZ10" s="117" t="n">
        <x:f>'Продажи'!DZ95+'ОБЪЕКТЫ'!DZ116</x:f>
      </x:c>
      <x:c r="EA10" s="117" t="n">
        <x:f>'Продажи'!EA95+'ОБЪЕКТЫ'!EA116</x:f>
      </x:c>
      <x:c r="EB10" s="117" t="n">
        <x:f>'Продажи'!EB95+'ОБЪЕКТЫ'!EB116</x:f>
      </x:c>
      <x:c r="EC10" s="117" t="n">
        <x:f>'Продажи'!EC95+'ОБЪЕКТЫ'!EC116</x:f>
      </x:c>
      <x:c r="ED10" s="117" t="n">
        <x:f>'Продажи'!ED95+'ОБЪЕКТЫ'!ED116</x:f>
      </x:c>
      <x:c r="EE10" s="117" t="n">
        <x:f>'Продажи'!EE95+'ОБЪЕКТЫ'!EE116</x:f>
      </x:c>
      <x:c r="EF10" s="117" t="n">
        <x:f>'Продажи'!EF95+'ОБЪЕКТЫ'!EF116</x:f>
      </x:c>
      <x:c r="EG10" s="117" t="n">
        <x:f>'Продажи'!EG95+'ОБЪЕКТЫ'!EG116</x:f>
      </x:c>
      <x:c r="EH10" s="117" t="n">
        <x:f>'Продажи'!EH95+'ОБЪЕКТЫ'!EH116</x:f>
      </x:c>
      <x:c r="EI10" s="117" t="n">
        <x:f>'Продажи'!EI95+'ОБЪЕКТЫ'!EI116</x:f>
      </x:c>
      <x:c r="EJ10" s="117" t="n">
        <x:f>'Продажи'!EJ95+'ОБЪЕКТЫ'!EJ116</x:f>
      </x:c>
      <x:c r="EK10" s="117" t="n">
        <x:f>'Продажи'!EK95+'ОБЪЕКТЫ'!EK116</x:f>
      </x:c>
      <x:c r="EL10" s="117" t="n">
        <x:f>'Продажи'!EL95+'ОБЪЕКТЫ'!EL116</x:f>
      </x:c>
      <x:c r="EM10" s="117" t="n">
        <x:f>'Продажи'!EM95+'ОБЪЕКТЫ'!EM116</x:f>
      </x:c>
      <x:c r="EN10" s="117" t="n">
        <x:f>'Продажи'!EN95+'ОБЪЕКТЫ'!EN116</x:f>
      </x:c>
      <x:c r="EO10" s="117" t="n">
        <x:f>'Продажи'!EO95+'ОБЪЕКТЫ'!EO116</x:f>
      </x:c>
      <x:c r="EP10" s="117" t="n">
        <x:f>'Продажи'!EP95+'ОБЪЕКТЫ'!EP116</x:f>
      </x:c>
      <x:c r="EQ10" s="117" t="n">
        <x:f>'Продажи'!EQ95+'ОБЪЕКТЫ'!EQ116</x:f>
      </x:c>
      <x:c r="ER10" s="117" t="n">
        <x:f>'Продажи'!ER95+'ОБЪЕКТЫ'!ER116</x:f>
      </x:c>
      <x:c r="ES10" s="117" t="n">
        <x:f>'Продажи'!ES95+'ОБЪЕКТЫ'!ES116</x:f>
      </x:c>
      <x:c r="ET10" s="117" t="n">
        <x:f>'Продажи'!ET95+'ОБЪЕКТЫ'!ET116</x:f>
      </x:c>
      <x:c r="EU10" s="117" t="n">
        <x:f>'Продажи'!EU95+'ОБЪЕКТЫ'!EU116</x:f>
      </x:c>
      <x:c r="EV10" s="117" t="n">
        <x:f>'Продажи'!EV95+'ОБЪЕКТЫ'!EV116</x:f>
      </x:c>
      <x:c r="EW10" s="117" t="n">
        <x:f>'Продажи'!EW95+'ОБЪЕКТЫ'!EW116</x:f>
      </x:c>
      <x:c r="EX10" s="117" t="n">
        <x:f>'Продажи'!EX95+'ОБЪЕКТЫ'!EX116</x:f>
      </x:c>
      <x:c r="EY10" s="117" t="n">
        <x:f>'Продажи'!EY95+'ОБЪЕКТЫ'!EY116</x:f>
      </x:c>
      <x:c r="EZ10" s="117" t="n">
        <x:f>'Продажи'!EZ95+'ОБЪЕКТЫ'!EZ116</x:f>
      </x:c>
      <x:c r="FA10" s="117" t="n">
        <x:f>'Продажи'!FA95+'ОБЪЕКТЫ'!FA116</x:f>
      </x:c>
      <x:c r="FB10" s="117" t="n">
        <x:f>'Продажи'!FB95+'ОБЪЕКТЫ'!FB116</x:f>
      </x:c>
      <x:c r="FC10" s="117" t="n">
        <x:f>'Продажи'!FC95+'ОБЪЕКТЫ'!FC116</x:f>
      </x:c>
      <x:c r="FD10" s="117" t="n">
        <x:f>'Продажи'!FD95+'ОБЪЕКТЫ'!FD116</x:f>
      </x:c>
      <x:c r="FE10" s="117" t="n">
        <x:f>'Продажи'!FE95+'ОБЪЕКТЫ'!FE116</x:f>
      </x:c>
      <x:c r="FF10" s="117" t="n">
        <x:f>'Продажи'!FF95+'ОБЪЕКТЫ'!FF116</x:f>
      </x:c>
      <x:c r="FG10" s="117" t="n">
        <x:f>'Продажи'!FG95+'ОБЪЕКТЫ'!FG116</x:f>
      </x:c>
      <x:c r="FH10" s="117" t="n">
        <x:f>'Продажи'!FH95+'ОБЪЕКТЫ'!FH116</x:f>
      </x:c>
      <x:c r="FI10" s="117" t="n">
        <x:f>'Продажи'!FI95+'ОБЪЕКТЫ'!FI116</x:f>
      </x:c>
      <x:c r="FJ10" s="117" t="n">
        <x:f>'Продажи'!FJ95+'ОБЪЕКТЫ'!FJ116</x:f>
      </x:c>
      <x:c r="FK10" s="117" t="n">
        <x:f>'Продажи'!FK95+'ОБЪЕКТЫ'!FK116</x:f>
      </x:c>
      <x:c r="FL10" s="117" t="n">
        <x:f>'Продажи'!FL95+'ОБЪЕКТЫ'!FL116</x:f>
      </x:c>
      <x:c r="FM10" s="117" t="n">
        <x:f>'Продажи'!FM95+'ОБЪЕКТЫ'!FM116</x:f>
      </x:c>
      <x:c r="FN10" s="117" t="n">
        <x:f>'Продажи'!FN95+'ОБЪЕКТЫ'!FN116</x:f>
      </x:c>
      <x:c r="FO10" s="117" t="n">
        <x:f>'Продажи'!FO95+'ОБЪЕКТЫ'!FO116</x:f>
      </x:c>
      <x:c r="FP10" s="117" t="n">
        <x:f>'Продажи'!FP95+'ОБЪЕКТЫ'!FP116</x:f>
      </x:c>
      <x:c r="FQ10" s="117" t="n">
        <x:f>'Продажи'!FQ95+'ОБЪЕКТЫ'!FQ116</x:f>
      </x:c>
      <x:c r="FR10" s="117" t="n">
        <x:f>'Продажи'!FR95+'ОБЪЕКТЫ'!FR116</x:f>
      </x:c>
      <x:c r="FS10" s="117" t="n">
        <x:f>'Продажи'!FS95+'ОБЪЕКТЫ'!FS116</x:f>
      </x:c>
      <x:c r="FT10" s="117" t="n">
        <x:f>'Продажи'!FT95+'ОБЪЕКТЫ'!FT116</x:f>
      </x:c>
      <x:c r="FU10" s="117" t="n">
        <x:f>'Продажи'!FU95+'ОБЪЕКТЫ'!FU116</x:f>
      </x:c>
      <x:c r="FV10" s="117" t="n">
        <x:f>'Продажи'!FV95+'ОБЪЕКТЫ'!FV116</x:f>
      </x:c>
      <x:c r="FW10" s="117" t="n">
        <x:f>'Продажи'!FW95+'ОБЪЕКТЫ'!FW116</x:f>
      </x:c>
      <x:c r="FX10" s="117" t="n">
        <x:f>'Продажи'!FX95+'ОБЪЕКТЫ'!FX116</x:f>
      </x:c>
      <x:c r="FY10" s="117" t="n">
        <x:f>'Продажи'!FY95+'ОБЪЕКТЫ'!FY116</x:f>
      </x:c>
      <x:c r="FZ10" s="117" t="n">
        <x:f>'Продажи'!FZ95+'ОБЪЕКТЫ'!FZ116</x:f>
      </x:c>
      <x:c r="GA10" s="117" t="n">
        <x:f>'Продажи'!GA95+'ОБЪЕКТЫ'!GA116</x:f>
      </x:c>
    </x:row>
    <x:row r="11">
      <x:c r="A11" t="str">
        <x:v>Поступления на эскроу</x:v>
      </x:c>
      <x:c r="B11" t="n">
        <x:f>SUM(D11:GA11)</x:f>
      </x:c>
      <x:c r="C11" t="str">
        <x:v>млн ₽</x:v>
      </x:c>
      <x:c r="D11" s="117" t="n">
        <x:f>IF(D$3&lt;$B$8,'Продажи'!D95,0)+'ОБЪЕКТЫ'!D117</x:f>
      </x:c>
      <x:c r="E11" s="117" t="n">
        <x:f>IF(E$3&lt;$B$8,'Продажи'!E95,0)+'ОБЪЕКТЫ'!E117</x:f>
      </x:c>
      <x:c r="F11" s="117" t="n">
        <x:f>IF(F$3&lt;$B$8,'Продажи'!F95,0)+'ОБЪЕКТЫ'!F117</x:f>
      </x:c>
      <x:c r="G11" s="117" t="n">
        <x:f>IF(G$3&lt;$B$8,'Продажи'!G95,0)+'ОБЪЕКТЫ'!G117</x:f>
      </x:c>
      <x:c r="H11" s="117" t="n">
        <x:f>IF(H$3&lt;$B$8,'Продажи'!H95,0)+'ОБЪЕКТЫ'!H117</x:f>
      </x:c>
      <x:c r="I11" s="117" t="n">
        <x:f>IF(I$3&lt;$B$8,'Продажи'!I95,0)+'ОБЪЕКТЫ'!I117</x:f>
      </x:c>
      <x:c r="J11" s="117" t="n">
        <x:f>IF(J$3&lt;$B$8,'Продажи'!J95,0)+'ОБЪЕКТЫ'!J117</x:f>
      </x:c>
      <x:c r="K11" s="117" t="n">
        <x:f>IF(K$3&lt;$B$8,'Продажи'!K95,0)+'ОБЪЕКТЫ'!K117</x:f>
      </x:c>
      <x:c r="L11" s="117" t="n">
        <x:f>IF(L$3&lt;$B$8,'Продажи'!L95,0)+'ОБЪЕКТЫ'!L117</x:f>
      </x:c>
      <x:c r="M11" s="117" t="n">
        <x:f>IF(M$3&lt;$B$8,'Продажи'!M95,0)+'ОБЪЕКТЫ'!M117</x:f>
      </x:c>
      <x:c r="N11" s="117" t="n">
        <x:f>IF(N$3&lt;$B$8,'Продажи'!N95,0)+'ОБЪЕКТЫ'!N117</x:f>
      </x:c>
      <x:c r="O11" s="117" t="n">
        <x:f>IF(O$3&lt;$B$8,'Продажи'!O95,0)+'ОБЪЕКТЫ'!O117</x:f>
      </x:c>
      <x:c r="P11" s="117" t="n">
        <x:f>IF(P$3&lt;$B$8,'Продажи'!P95,0)+'ОБЪЕКТЫ'!P117</x:f>
      </x:c>
      <x:c r="Q11" s="117" t="n">
        <x:f>IF(Q$3&lt;$B$8,'Продажи'!Q95,0)+'ОБЪЕКТЫ'!Q117</x:f>
      </x:c>
      <x:c r="R11" s="117" t="n">
        <x:f>IF(R$3&lt;$B$8,'Продажи'!R95,0)+'ОБЪЕКТЫ'!R117</x:f>
      </x:c>
      <x:c r="S11" s="117" t="n">
        <x:f>IF(S$3&lt;$B$8,'Продажи'!S95,0)+'ОБЪЕКТЫ'!S117</x:f>
      </x:c>
      <x:c r="T11" s="117" t="n">
        <x:f>IF(T$3&lt;$B$8,'Продажи'!T95,0)+'ОБЪЕКТЫ'!T117</x:f>
      </x:c>
      <x:c r="U11" s="117" t="n">
        <x:f>IF(U$3&lt;$B$8,'Продажи'!U95,0)+'ОБЪЕКТЫ'!U117</x:f>
      </x:c>
      <x:c r="V11" s="117" t="n">
        <x:f>IF(V$3&lt;$B$8,'Продажи'!V95,0)+'ОБЪЕКТЫ'!V117</x:f>
      </x:c>
      <x:c r="W11" s="117" t="n">
        <x:f>IF(W$3&lt;$B$8,'Продажи'!W95,0)+'ОБЪЕКТЫ'!W117</x:f>
      </x:c>
      <x:c r="X11" s="117" t="n">
        <x:f>IF(X$3&lt;$B$8,'Продажи'!X95,0)+'ОБЪЕКТЫ'!X117</x:f>
      </x:c>
      <x:c r="Y11" s="117" t="n">
        <x:f>IF(Y$3&lt;$B$8,'Продажи'!Y95,0)+'ОБЪЕКТЫ'!Y117</x:f>
      </x:c>
      <x:c r="Z11" s="117" t="n">
        <x:f>IF(Z$3&lt;$B$8,'Продажи'!Z95,0)+'ОБЪЕКТЫ'!Z117</x:f>
      </x:c>
      <x:c r="AA11" s="117" t="n">
        <x:f>IF(AA$3&lt;$B$8,'Продажи'!AA95,0)+'ОБЪЕКТЫ'!AA117</x:f>
      </x:c>
      <x:c r="AB11" s="117" t="n">
        <x:f>IF(AB$3&lt;$B$8,'Продажи'!AB95,0)+'ОБЪЕКТЫ'!AB117</x:f>
      </x:c>
      <x:c r="AC11" s="117" t="n">
        <x:f>IF(AC$3&lt;$B$8,'Продажи'!AC95,0)+'ОБЪЕКТЫ'!AC117</x:f>
      </x:c>
      <x:c r="AD11" s="117" t="n">
        <x:f>IF(AD$3&lt;$B$8,'Продажи'!AD95,0)+'ОБЪЕКТЫ'!AD117</x:f>
      </x:c>
      <x:c r="AE11" s="117" t="n">
        <x:f>IF(AE$3&lt;$B$8,'Продажи'!AE95,0)+'ОБЪЕКТЫ'!AE117</x:f>
      </x:c>
      <x:c r="AF11" s="117" t="n">
        <x:f>IF(AF$3&lt;$B$8,'Продажи'!AF95,0)+'ОБЪЕКТЫ'!AF117</x:f>
      </x:c>
      <x:c r="AG11" s="117" t="n">
        <x:f>IF(AG$3&lt;$B$8,'Продажи'!AG95,0)+'ОБЪЕКТЫ'!AG117</x:f>
      </x:c>
      <x:c r="AH11" s="117" t="n">
        <x:f>IF(AH$3&lt;$B$8,'Продажи'!AH95,0)+'ОБЪЕКТЫ'!AH117</x:f>
      </x:c>
      <x:c r="AI11" s="117" t="n">
        <x:f>IF(AI$3&lt;$B$8,'Продажи'!AI95,0)+'ОБЪЕКТЫ'!AI117</x:f>
      </x:c>
      <x:c r="AJ11" s="117" t="n">
        <x:f>IF(AJ$3&lt;$B$8,'Продажи'!AJ95,0)+'ОБЪЕКТЫ'!AJ117</x:f>
      </x:c>
      <x:c r="AK11" s="117" t="n">
        <x:f>IF(AK$3&lt;$B$8,'Продажи'!AK95,0)+'ОБЪЕКТЫ'!AK117</x:f>
      </x:c>
      <x:c r="AL11" s="117" t="n">
        <x:f>IF(AL$3&lt;$B$8,'Продажи'!AL95,0)+'ОБЪЕКТЫ'!AL117</x:f>
      </x:c>
      <x:c r="AM11" s="117" t="n">
        <x:f>IF(AM$3&lt;$B$8,'Продажи'!AM95,0)+'ОБЪЕКТЫ'!AM117</x:f>
      </x:c>
      <x:c r="AN11" s="117" t="n">
        <x:f>IF(AN$3&lt;$B$8,'Продажи'!AN95,0)+'ОБЪЕКТЫ'!AN117</x:f>
      </x:c>
      <x:c r="AO11" s="117" t="n">
        <x:f>IF(AO$3&lt;$B$8,'Продажи'!AO95,0)+'ОБЪЕКТЫ'!AO117</x:f>
      </x:c>
      <x:c r="AP11" s="117" t="n">
        <x:f>IF(AP$3&lt;$B$8,'Продажи'!AP95,0)+'ОБЪЕКТЫ'!AP117</x:f>
      </x:c>
      <x:c r="AQ11" s="117" t="n">
        <x:f>IF(AQ$3&lt;$B$8,'Продажи'!AQ95,0)+'ОБЪЕКТЫ'!AQ117</x:f>
      </x:c>
      <x:c r="AR11" s="117" t="n">
        <x:f>IF(AR$3&lt;$B$8,'Продажи'!AR95,0)+'ОБЪЕКТЫ'!AR117</x:f>
      </x:c>
      <x:c r="AS11" s="117" t="n">
        <x:f>IF(AS$3&lt;$B$8,'Продажи'!AS95,0)+'ОБЪЕКТЫ'!AS117</x:f>
      </x:c>
      <x:c r="AT11" s="117" t="n">
        <x:f>IF(AT$3&lt;$B$8,'Продажи'!AT95,0)+'ОБЪЕКТЫ'!AT117</x:f>
      </x:c>
      <x:c r="AU11" s="117" t="n">
        <x:f>IF(AU$3&lt;$B$8,'Продажи'!AU95,0)+'ОБЪЕКТЫ'!AU117</x:f>
      </x:c>
      <x:c r="AV11" s="117" t="n">
        <x:f>IF(AV$3&lt;$B$8,'Продажи'!AV95,0)+'ОБЪЕКТЫ'!AV117</x:f>
      </x:c>
      <x:c r="AW11" s="117" t="n">
        <x:f>IF(AW$3&lt;$B$8,'Продажи'!AW95,0)+'ОБЪЕКТЫ'!AW117</x:f>
      </x:c>
      <x:c r="AX11" s="117" t="n">
        <x:f>IF(AX$3&lt;$B$8,'Продажи'!AX95,0)+'ОБЪЕКТЫ'!AX117</x:f>
      </x:c>
      <x:c r="AY11" s="117" t="n">
        <x:f>IF(AY$3&lt;$B$8,'Продажи'!AY95,0)+'ОБЪЕКТЫ'!AY117</x:f>
      </x:c>
      <x:c r="AZ11" s="117" t="n">
        <x:f>IF(AZ$3&lt;$B$8,'Продажи'!AZ95,0)+'ОБЪЕКТЫ'!AZ117</x:f>
      </x:c>
      <x:c r="BA11" s="117" t="n">
        <x:f>IF(BA$3&lt;$B$8,'Продажи'!BA95,0)+'ОБЪЕКТЫ'!BA117</x:f>
      </x:c>
      <x:c r="BB11" s="117" t="n">
        <x:f>IF(BB$3&lt;$B$8,'Продажи'!BB95,0)+'ОБЪЕКТЫ'!BB117</x:f>
      </x:c>
      <x:c r="BC11" s="117" t="n">
        <x:f>IF(BC$3&lt;$B$8,'Продажи'!BC95,0)+'ОБЪЕКТЫ'!BC117</x:f>
      </x:c>
      <x:c r="BD11" s="117" t="n">
        <x:f>IF(BD$3&lt;$B$8,'Продажи'!BD95,0)+'ОБЪЕКТЫ'!BD117</x:f>
      </x:c>
      <x:c r="BE11" s="117" t="n">
        <x:f>IF(BE$3&lt;$B$8,'Продажи'!BE95,0)+'ОБЪЕКТЫ'!BE117</x:f>
      </x:c>
      <x:c r="BF11" s="117" t="n">
        <x:f>IF(BF$3&lt;$B$8,'Продажи'!BF95,0)+'ОБЪЕКТЫ'!BF117</x:f>
      </x:c>
      <x:c r="BG11" s="117" t="n">
        <x:f>IF(BG$3&lt;$B$8,'Продажи'!BG95,0)+'ОБЪЕКТЫ'!BG117</x:f>
      </x:c>
      <x:c r="BH11" s="117" t="n">
        <x:f>IF(BH$3&lt;$B$8,'Продажи'!BH95,0)+'ОБЪЕКТЫ'!BH117</x:f>
      </x:c>
      <x:c r="BI11" s="117" t="n">
        <x:f>IF(BI$3&lt;$B$8,'Продажи'!BI95,0)+'ОБЪЕКТЫ'!BI117</x:f>
      </x:c>
      <x:c r="BJ11" s="117" t="n">
        <x:f>IF(BJ$3&lt;$B$8,'Продажи'!BJ95,0)+'ОБЪЕКТЫ'!BJ117</x:f>
      </x:c>
      <x:c r="BK11" s="117" t="n">
        <x:f>IF(BK$3&lt;$B$8,'Продажи'!BK95,0)+'ОБЪЕКТЫ'!BK117</x:f>
      </x:c>
      <x:c r="BL11" s="117" t="n">
        <x:f>IF(BL$3&lt;$B$8,'Продажи'!BL95,0)+'ОБЪЕКТЫ'!BL117</x:f>
      </x:c>
      <x:c r="BM11" s="117" t="n">
        <x:f>IF(BM$3&lt;$B$8,'Продажи'!BM95,0)+'ОБЪЕКТЫ'!BM117</x:f>
      </x:c>
      <x:c r="BN11" s="117" t="n">
        <x:f>IF(BN$3&lt;$B$8,'Продажи'!BN95,0)+'ОБЪЕКТЫ'!BN117</x:f>
      </x:c>
      <x:c r="BO11" s="117" t="n">
        <x:f>IF(BO$3&lt;$B$8,'Продажи'!BO95,0)+'ОБЪЕКТЫ'!BO117</x:f>
      </x:c>
      <x:c r="BP11" s="117" t="n">
        <x:f>IF(BP$3&lt;$B$8,'Продажи'!BP95,0)+'ОБЪЕКТЫ'!BP117</x:f>
      </x:c>
      <x:c r="BQ11" s="117" t="n">
        <x:f>IF(BQ$3&lt;$B$8,'Продажи'!BQ95,0)+'ОБЪЕКТЫ'!BQ117</x:f>
      </x:c>
      <x:c r="BR11" s="117" t="n">
        <x:f>IF(BR$3&lt;$B$8,'Продажи'!BR95,0)+'ОБЪЕКТЫ'!BR117</x:f>
      </x:c>
      <x:c r="BS11" s="117" t="n">
        <x:f>IF(BS$3&lt;$B$8,'Продажи'!BS95,0)+'ОБЪЕКТЫ'!BS117</x:f>
      </x:c>
      <x:c r="BT11" s="117" t="n">
        <x:f>IF(BT$3&lt;$B$8,'Продажи'!BT95,0)+'ОБЪЕКТЫ'!BT117</x:f>
      </x:c>
      <x:c r="BU11" s="117" t="n">
        <x:f>IF(BU$3&lt;$B$8,'Продажи'!BU95,0)+'ОБЪЕКТЫ'!BU117</x:f>
      </x:c>
      <x:c r="BV11" s="117" t="n">
        <x:f>IF(BV$3&lt;$B$8,'Продажи'!BV95,0)+'ОБЪЕКТЫ'!BV117</x:f>
      </x:c>
      <x:c r="BW11" s="117" t="n">
        <x:f>IF(BW$3&lt;$B$8,'Продажи'!BW95,0)+'ОБЪЕКТЫ'!BW117</x:f>
      </x:c>
      <x:c r="BX11" s="117" t="n">
        <x:f>IF(BX$3&lt;$B$8,'Продажи'!BX95,0)+'ОБЪЕКТЫ'!BX117</x:f>
      </x:c>
      <x:c r="BY11" s="117" t="n">
        <x:f>IF(BY$3&lt;$B$8,'Продажи'!BY95,0)+'ОБЪЕКТЫ'!BY117</x:f>
      </x:c>
      <x:c r="BZ11" s="117" t="n">
        <x:f>IF(BZ$3&lt;$B$8,'Продажи'!BZ95,0)+'ОБЪЕКТЫ'!BZ117</x:f>
      </x:c>
      <x:c r="CA11" s="117" t="n">
        <x:f>IF(CA$3&lt;$B$8,'Продажи'!CA95,0)+'ОБЪЕКТЫ'!CA117</x:f>
      </x:c>
      <x:c r="CB11" s="117" t="n">
        <x:f>IF(CB$3&lt;$B$8,'Продажи'!CB95,0)+'ОБЪЕКТЫ'!CB117</x:f>
      </x:c>
      <x:c r="CC11" s="117" t="n">
        <x:f>IF(CC$3&lt;$B$8,'Продажи'!CC95,0)+'ОБЪЕКТЫ'!CC117</x:f>
      </x:c>
      <x:c r="CD11" s="117" t="n">
        <x:f>IF(CD$3&lt;$B$8,'Продажи'!CD95,0)+'ОБЪЕКТЫ'!CD117</x:f>
      </x:c>
      <x:c r="CE11" s="117" t="n">
        <x:f>IF(CE$3&lt;$B$8,'Продажи'!CE95,0)+'ОБЪЕКТЫ'!CE117</x:f>
      </x:c>
      <x:c r="CF11" s="117" t="n">
        <x:f>IF(CF$3&lt;$B$8,'Продажи'!CF95,0)+'ОБЪЕКТЫ'!CF117</x:f>
      </x:c>
      <x:c r="CG11" s="117" t="n">
        <x:f>IF(CG$3&lt;$B$8,'Продажи'!CG95,0)+'ОБЪЕКТЫ'!CG117</x:f>
      </x:c>
      <x:c r="CH11" s="117" t="n">
        <x:f>IF(CH$3&lt;$B$8,'Продажи'!CH95,0)+'ОБЪЕКТЫ'!CH117</x:f>
      </x:c>
      <x:c r="CI11" s="117" t="n">
        <x:f>IF(CI$3&lt;$B$8,'Продажи'!CI95,0)+'ОБЪЕКТЫ'!CI117</x:f>
      </x:c>
      <x:c r="CJ11" s="117" t="n">
        <x:f>IF(CJ$3&lt;$B$8,'Продажи'!CJ95,0)+'ОБЪЕКТЫ'!CJ117</x:f>
      </x:c>
      <x:c r="CK11" s="117" t="n">
        <x:f>IF(CK$3&lt;$B$8,'Продажи'!CK95,0)+'ОБЪЕКТЫ'!CK117</x:f>
      </x:c>
      <x:c r="CL11" s="117" t="n">
        <x:f>IF(CL$3&lt;$B$8,'Продажи'!CL95,0)+'ОБЪЕКТЫ'!CL117</x:f>
      </x:c>
      <x:c r="CM11" s="117" t="n">
        <x:f>IF(CM$3&lt;$B$8,'Продажи'!CM95,0)+'ОБЪЕКТЫ'!CM117</x:f>
      </x:c>
      <x:c r="CN11" s="117" t="n">
        <x:f>IF(CN$3&lt;$B$8,'Продажи'!CN95,0)+'ОБЪЕКТЫ'!CN117</x:f>
      </x:c>
      <x:c r="CO11" s="117" t="n">
        <x:f>IF(CO$3&lt;$B$8,'Продажи'!CO95,0)+'ОБЪЕКТЫ'!CO117</x:f>
      </x:c>
      <x:c r="CP11" s="117" t="n">
        <x:f>IF(CP$3&lt;$B$8,'Продажи'!CP95,0)+'ОБЪЕКТЫ'!CP117</x:f>
      </x:c>
      <x:c r="CQ11" s="117" t="n">
        <x:f>IF(CQ$3&lt;$B$8,'Продажи'!CQ95,0)+'ОБЪЕКТЫ'!CQ117</x:f>
      </x:c>
      <x:c r="CR11" s="117" t="n">
        <x:f>IF(CR$3&lt;$B$8,'Продажи'!CR95,0)+'ОБЪЕКТЫ'!CR117</x:f>
      </x:c>
      <x:c r="CS11" s="117" t="n">
        <x:f>IF(CS$3&lt;$B$8,'Продажи'!CS95,0)+'ОБЪЕКТЫ'!CS117</x:f>
      </x:c>
      <x:c r="CT11" s="117" t="n">
        <x:f>IF(CT$3&lt;$B$8,'Продажи'!CT95,0)+'ОБЪЕКТЫ'!CT117</x:f>
      </x:c>
      <x:c r="CU11" s="117" t="n">
        <x:f>IF(CU$3&lt;$B$8,'Продажи'!CU95,0)+'ОБЪЕКТЫ'!CU117</x:f>
      </x:c>
      <x:c r="CV11" s="117" t="n">
        <x:f>IF(CV$3&lt;$B$8,'Продажи'!CV95,0)+'ОБЪЕКТЫ'!CV117</x:f>
      </x:c>
      <x:c r="CW11" s="117" t="n">
        <x:f>IF(CW$3&lt;$B$8,'Продажи'!CW95,0)+'ОБЪЕКТЫ'!CW117</x:f>
      </x:c>
      <x:c r="CX11" s="117" t="n">
        <x:f>IF(CX$3&lt;$B$8,'Продажи'!CX95,0)+'ОБЪЕКТЫ'!CX117</x:f>
      </x:c>
      <x:c r="CY11" s="117" t="n">
        <x:f>IF(CY$3&lt;$B$8,'Продажи'!CY95,0)+'ОБЪЕКТЫ'!CY117</x:f>
      </x:c>
      <x:c r="CZ11" s="117" t="n">
        <x:f>IF(CZ$3&lt;$B$8,'Продажи'!CZ95,0)+'ОБЪЕКТЫ'!CZ117</x:f>
      </x:c>
      <x:c r="DA11" s="117" t="n">
        <x:f>IF(DA$3&lt;$B$8,'Продажи'!DA95,0)+'ОБЪЕКТЫ'!DA117</x:f>
      </x:c>
      <x:c r="DB11" s="117" t="n">
        <x:f>IF(DB$3&lt;$B$8,'Продажи'!DB95,0)+'ОБЪЕКТЫ'!DB117</x:f>
      </x:c>
      <x:c r="DC11" s="117" t="n">
        <x:f>IF(DC$3&lt;$B$8,'Продажи'!DC95,0)+'ОБЪЕКТЫ'!DC117</x:f>
      </x:c>
      <x:c r="DD11" s="117" t="n">
        <x:f>IF(DD$3&lt;$B$8,'Продажи'!DD95,0)+'ОБЪЕКТЫ'!DD117</x:f>
      </x:c>
      <x:c r="DE11" s="117" t="n">
        <x:f>IF(DE$3&lt;$B$8,'Продажи'!DE95,0)+'ОБЪЕКТЫ'!DE117</x:f>
      </x:c>
      <x:c r="DF11" s="117" t="n">
        <x:f>IF(DF$3&lt;$B$8,'Продажи'!DF95,0)+'ОБЪЕКТЫ'!DF117</x:f>
      </x:c>
      <x:c r="DG11" s="117" t="n">
        <x:f>IF(DG$3&lt;$B$8,'Продажи'!DG95,0)+'ОБЪЕКТЫ'!DG117</x:f>
      </x:c>
      <x:c r="DH11" s="117" t="n">
        <x:f>IF(DH$3&lt;$B$8,'Продажи'!DH95,0)+'ОБЪЕКТЫ'!DH117</x:f>
      </x:c>
      <x:c r="DI11" s="117" t="n">
        <x:f>IF(DI$3&lt;$B$8,'Продажи'!DI95,0)+'ОБЪЕКТЫ'!DI117</x:f>
      </x:c>
      <x:c r="DJ11" s="117" t="n">
        <x:f>IF(DJ$3&lt;$B$8,'Продажи'!DJ95,0)+'ОБЪЕКТЫ'!DJ117</x:f>
      </x:c>
      <x:c r="DK11" s="117" t="n">
        <x:f>IF(DK$3&lt;$B$8,'Продажи'!DK95,0)+'ОБЪЕКТЫ'!DK117</x:f>
      </x:c>
      <x:c r="DL11" s="117" t="n">
        <x:f>IF(DL$3&lt;$B$8,'Продажи'!DL95,0)+'ОБЪЕКТЫ'!DL117</x:f>
      </x:c>
      <x:c r="DM11" s="117" t="n">
        <x:f>IF(DM$3&lt;$B$8,'Продажи'!DM95,0)+'ОБЪЕКТЫ'!DM117</x:f>
      </x:c>
      <x:c r="DN11" s="117" t="n">
        <x:f>IF(DN$3&lt;$B$8,'Продажи'!DN95,0)+'ОБЪЕКТЫ'!DN117</x:f>
      </x:c>
      <x:c r="DO11" s="117" t="n">
        <x:f>IF(DO$3&lt;$B$8,'Продажи'!DO95,0)+'ОБЪЕКТЫ'!DO117</x:f>
      </x:c>
      <x:c r="DP11" s="117" t="n">
        <x:f>IF(DP$3&lt;$B$8,'Продажи'!DP95,0)+'ОБЪЕКТЫ'!DP117</x:f>
      </x:c>
      <x:c r="DQ11" s="117" t="n">
        <x:f>IF(DQ$3&lt;$B$8,'Продажи'!DQ95,0)+'ОБЪЕКТЫ'!DQ117</x:f>
      </x:c>
      <x:c r="DR11" s="117" t="n">
        <x:f>IF(DR$3&lt;$B$8,'Продажи'!DR95,0)+'ОБЪЕКТЫ'!DR117</x:f>
      </x:c>
      <x:c r="DS11" s="117" t="n">
        <x:f>IF(DS$3&lt;$B$8,'Продажи'!DS95,0)+'ОБЪЕКТЫ'!DS117</x:f>
      </x:c>
      <x:c r="DT11" s="117" t="n">
        <x:f>IF(DT$3&lt;$B$8,'Продажи'!DT95,0)+'ОБЪЕКТЫ'!DT117</x:f>
      </x:c>
      <x:c r="DU11" s="117" t="n">
        <x:f>IF(DU$3&lt;$B$8,'Продажи'!DU95,0)+'ОБЪЕКТЫ'!DU117</x:f>
      </x:c>
      <x:c r="DV11" s="117" t="n">
        <x:f>IF(DV$3&lt;$B$8,'Продажи'!DV95,0)+'ОБЪЕКТЫ'!DV117</x:f>
      </x:c>
      <x:c r="DW11" s="117" t="n">
        <x:f>IF(DW$3&lt;$B$8,'Продажи'!DW95,0)+'ОБЪЕКТЫ'!DW117</x:f>
      </x:c>
      <x:c r="DX11" s="117" t="n">
        <x:f>IF(DX$3&lt;$B$8,'Продажи'!DX95,0)+'ОБЪЕКТЫ'!DX117</x:f>
      </x:c>
      <x:c r="DY11" s="117" t="n">
        <x:f>IF(DY$3&lt;$B$8,'Продажи'!DY95,0)+'ОБЪЕКТЫ'!DY117</x:f>
      </x:c>
      <x:c r="DZ11" s="117" t="n">
        <x:f>IF(DZ$3&lt;$B$8,'Продажи'!DZ95,0)+'ОБЪЕКТЫ'!DZ117</x:f>
      </x:c>
      <x:c r="EA11" s="117" t="n">
        <x:f>IF(EA$3&lt;$B$8,'Продажи'!EA95,0)+'ОБЪЕКТЫ'!EA117</x:f>
      </x:c>
      <x:c r="EB11" s="117" t="n">
        <x:f>IF(EB$3&lt;$B$8,'Продажи'!EB95,0)+'ОБЪЕКТЫ'!EB117</x:f>
      </x:c>
      <x:c r="EC11" s="117" t="n">
        <x:f>IF(EC$3&lt;$B$8,'Продажи'!EC95,0)+'ОБЪЕКТЫ'!EC117</x:f>
      </x:c>
      <x:c r="ED11" s="117" t="n">
        <x:f>IF(ED$3&lt;$B$8,'Продажи'!ED95,0)+'ОБЪЕКТЫ'!ED117</x:f>
      </x:c>
      <x:c r="EE11" s="117" t="n">
        <x:f>IF(EE$3&lt;$B$8,'Продажи'!EE95,0)+'ОБЪЕКТЫ'!EE117</x:f>
      </x:c>
      <x:c r="EF11" s="117" t="n">
        <x:f>IF(EF$3&lt;$B$8,'Продажи'!EF95,0)+'ОБЪЕКТЫ'!EF117</x:f>
      </x:c>
      <x:c r="EG11" s="117" t="n">
        <x:f>IF(EG$3&lt;$B$8,'Продажи'!EG95,0)+'ОБЪЕКТЫ'!EG117</x:f>
      </x:c>
      <x:c r="EH11" s="117" t="n">
        <x:f>IF(EH$3&lt;$B$8,'Продажи'!EH95,0)+'ОБЪЕКТЫ'!EH117</x:f>
      </x:c>
      <x:c r="EI11" s="117" t="n">
        <x:f>IF(EI$3&lt;$B$8,'Продажи'!EI95,0)+'ОБЪЕКТЫ'!EI117</x:f>
      </x:c>
      <x:c r="EJ11" s="117" t="n">
        <x:f>IF(EJ$3&lt;$B$8,'Продажи'!EJ95,0)+'ОБЪЕКТЫ'!EJ117</x:f>
      </x:c>
      <x:c r="EK11" s="117" t="n">
        <x:f>IF(EK$3&lt;$B$8,'Продажи'!EK95,0)+'ОБЪЕКТЫ'!EK117</x:f>
      </x:c>
      <x:c r="EL11" s="117" t="n">
        <x:f>IF(EL$3&lt;$B$8,'Продажи'!EL95,0)+'ОБЪЕКТЫ'!EL117</x:f>
      </x:c>
      <x:c r="EM11" s="117" t="n">
        <x:f>IF(EM$3&lt;$B$8,'Продажи'!EM95,0)+'ОБЪЕКТЫ'!EM117</x:f>
      </x:c>
      <x:c r="EN11" s="117" t="n">
        <x:f>IF(EN$3&lt;$B$8,'Продажи'!EN95,0)+'ОБЪЕКТЫ'!EN117</x:f>
      </x:c>
      <x:c r="EO11" s="117" t="n">
        <x:f>IF(EO$3&lt;$B$8,'Продажи'!EO95,0)+'ОБЪЕКТЫ'!EO117</x:f>
      </x:c>
      <x:c r="EP11" s="117" t="n">
        <x:f>IF(EP$3&lt;$B$8,'Продажи'!EP95,0)+'ОБЪЕКТЫ'!EP117</x:f>
      </x:c>
      <x:c r="EQ11" s="117" t="n">
        <x:f>IF(EQ$3&lt;$B$8,'Продажи'!EQ95,0)+'ОБЪЕКТЫ'!EQ117</x:f>
      </x:c>
      <x:c r="ER11" s="117" t="n">
        <x:f>IF(ER$3&lt;$B$8,'Продажи'!ER95,0)+'ОБЪЕКТЫ'!ER117</x:f>
      </x:c>
      <x:c r="ES11" s="117" t="n">
        <x:f>IF(ES$3&lt;$B$8,'Продажи'!ES95,0)+'ОБЪЕКТЫ'!ES117</x:f>
      </x:c>
      <x:c r="ET11" s="117" t="n">
        <x:f>IF(ET$3&lt;$B$8,'Продажи'!ET95,0)+'ОБЪЕКТЫ'!ET117</x:f>
      </x:c>
      <x:c r="EU11" s="117" t="n">
        <x:f>IF(EU$3&lt;$B$8,'Продажи'!EU95,0)+'ОБЪЕКТЫ'!EU117</x:f>
      </x:c>
      <x:c r="EV11" s="117" t="n">
        <x:f>IF(EV$3&lt;$B$8,'Продажи'!EV95,0)+'ОБЪЕКТЫ'!EV117</x:f>
      </x:c>
      <x:c r="EW11" s="117" t="n">
        <x:f>IF(EW$3&lt;$B$8,'Продажи'!EW95,0)+'ОБЪЕКТЫ'!EW117</x:f>
      </x:c>
      <x:c r="EX11" s="117" t="n">
        <x:f>IF(EX$3&lt;$B$8,'Продажи'!EX95,0)+'ОБЪЕКТЫ'!EX117</x:f>
      </x:c>
      <x:c r="EY11" s="117" t="n">
        <x:f>IF(EY$3&lt;$B$8,'Продажи'!EY95,0)+'ОБЪЕКТЫ'!EY117</x:f>
      </x:c>
      <x:c r="EZ11" s="117" t="n">
        <x:f>IF(EZ$3&lt;$B$8,'Продажи'!EZ95,0)+'ОБЪЕКТЫ'!EZ117</x:f>
      </x:c>
      <x:c r="FA11" s="117" t="n">
        <x:f>IF(FA$3&lt;$B$8,'Продажи'!FA95,0)+'ОБЪЕКТЫ'!FA117</x:f>
      </x:c>
      <x:c r="FB11" s="117" t="n">
        <x:f>IF(FB$3&lt;$B$8,'Продажи'!FB95,0)+'ОБЪЕКТЫ'!FB117</x:f>
      </x:c>
      <x:c r="FC11" s="117" t="n">
        <x:f>IF(FC$3&lt;$B$8,'Продажи'!FC95,0)+'ОБЪЕКТЫ'!FC117</x:f>
      </x:c>
      <x:c r="FD11" s="117" t="n">
        <x:f>IF(FD$3&lt;$B$8,'Продажи'!FD95,0)+'ОБЪЕКТЫ'!FD117</x:f>
      </x:c>
      <x:c r="FE11" s="117" t="n">
        <x:f>IF(FE$3&lt;$B$8,'Продажи'!FE95,0)+'ОБЪЕКТЫ'!FE117</x:f>
      </x:c>
      <x:c r="FF11" s="117" t="n">
        <x:f>IF(FF$3&lt;$B$8,'Продажи'!FF95,0)+'ОБЪЕКТЫ'!FF117</x:f>
      </x:c>
      <x:c r="FG11" s="117" t="n">
        <x:f>IF(FG$3&lt;$B$8,'Продажи'!FG95,0)+'ОБЪЕКТЫ'!FG117</x:f>
      </x:c>
      <x:c r="FH11" s="117" t="n">
        <x:f>IF(FH$3&lt;$B$8,'Продажи'!FH95,0)+'ОБЪЕКТЫ'!FH117</x:f>
      </x:c>
      <x:c r="FI11" s="117" t="n">
        <x:f>IF(FI$3&lt;$B$8,'Продажи'!FI95,0)+'ОБЪЕКТЫ'!FI117</x:f>
      </x:c>
      <x:c r="FJ11" s="117" t="n">
        <x:f>IF(FJ$3&lt;$B$8,'Продажи'!FJ95,0)+'ОБЪЕКТЫ'!FJ117</x:f>
      </x:c>
      <x:c r="FK11" s="117" t="n">
        <x:f>IF(FK$3&lt;$B$8,'Продажи'!FK95,0)+'ОБЪЕКТЫ'!FK117</x:f>
      </x:c>
      <x:c r="FL11" s="117" t="n">
        <x:f>IF(FL$3&lt;$B$8,'Продажи'!FL95,0)+'ОБЪЕКТЫ'!FL117</x:f>
      </x:c>
      <x:c r="FM11" s="117" t="n">
        <x:f>IF(FM$3&lt;$B$8,'Продажи'!FM95,0)+'ОБЪЕКТЫ'!FM117</x:f>
      </x:c>
      <x:c r="FN11" s="117" t="n">
        <x:f>IF(FN$3&lt;$B$8,'Продажи'!FN95,0)+'ОБЪЕКТЫ'!FN117</x:f>
      </x:c>
      <x:c r="FO11" s="117" t="n">
        <x:f>IF(FO$3&lt;$B$8,'Продажи'!FO95,0)+'ОБЪЕКТЫ'!FO117</x:f>
      </x:c>
      <x:c r="FP11" s="117" t="n">
        <x:f>IF(FP$3&lt;$B$8,'Продажи'!FP95,0)+'ОБЪЕКТЫ'!FP117</x:f>
      </x:c>
      <x:c r="FQ11" s="117" t="n">
        <x:f>IF(FQ$3&lt;$B$8,'Продажи'!FQ95,0)+'ОБЪЕКТЫ'!FQ117</x:f>
      </x:c>
      <x:c r="FR11" s="117" t="n">
        <x:f>IF(FR$3&lt;$B$8,'Продажи'!FR95,0)+'ОБЪЕКТЫ'!FR117</x:f>
      </x:c>
      <x:c r="FS11" s="117" t="n">
        <x:f>IF(FS$3&lt;$B$8,'Продажи'!FS95,0)+'ОБЪЕКТЫ'!FS117</x:f>
      </x:c>
      <x:c r="FT11" s="117" t="n">
        <x:f>IF(FT$3&lt;$B$8,'Продажи'!FT95,0)+'ОБЪЕКТЫ'!FT117</x:f>
      </x:c>
      <x:c r="FU11" s="117" t="n">
        <x:f>IF(FU$3&lt;$B$8,'Продажи'!FU95,0)+'ОБЪЕКТЫ'!FU117</x:f>
      </x:c>
      <x:c r="FV11" s="117" t="n">
        <x:f>IF(FV$3&lt;$B$8,'Продажи'!FV95,0)+'ОБЪЕКТЫ'!FV117</x:f>
      </x:c>
      <x:c r="FW11" s="117" t="n">
        <x:f>IF(FW$3&lt;$B$8,'Продажи'!FW95,0)+'ОБЪЕКТЫ'!FW117</x:f>
      </x:c>
      <x:c r="FX11" s="117" t="n">
        <x:f>IF(FX$3&lt;$B$8,'Продажи'!FX95,0)+'ОБЪЕКТЫ'!FX117</x:f>
      </x:c>
      <x:c r="FY11" s="117" t="n">
        <x:f>IF(FY$3&lt;$B$8,'Продажи'!FY95,0)+'ОБЪЕКТЫ'!FY117</x:f>
      </x:c>
      <x:c r="FZ11" s="117" t="n">
        <x:f>IF(FZ$3&lt;$B$8,'Продажи'!FZ95,0)+'ОБЪЕКТЫ'!FZ117</x:f>
      </x:c>
      <x:c r="GA11" s="117" t="n">
        <x:f>IF(GA$3&lt;$B$8,'Продажи'!GA95,0)+'ОБЪЕКТЫ'!GA117</x:f>
      </x:c>
    </x:row>
    <x:row r="12">
      <x:c r="A12" t="str">
        <x:v>Прямые поступления после РВЭ</x:v>
      </x:c>
      <x:c r="B12" t="n">
        <x:f>SUM(D12:GA12)</x:f>
      </x:c>
      <x:c r="C12" t="str">
        <x:v>млн ₽</x:v>
      </x:c>
      <x:c r="D12" s="117" t="n">
        <x:f>IF(D$3&gt;=$B$8,'Продажи'!D95,0)+'ОБЪЕКТЫ'!D118</x:f>
      </x:c>
      <x:c r="E12" s="117" t="n">
        <x:f>IF(E$3&gt;=$B$8,'Продажи'!E95,0)+'ОБЪЕКТЫ'!E118</x:f>
      </x:c>
      <x:c r="F12" s="117" t="n">
        <x:f>IF(F$3&gt;=$B$8,'Продажи'!F95,0)+'ОБЪЕКТЫ'!F118</x:f>
      </x:c>
      <x:c r="G12" s="117" t="n">
        <x:f>IF(G$3&gt;=$B$8,'Продажи'!G95,0)+'ОБЪЕКТЫ'!G118</x:f>
      </x:c>
      <x:c r="H12" s="117" t="n">
        <x:f>IF(H$3&gt;=$B$8,'Продажи'!H95,0)+'ОБЪЕКТЫ'!H118</x:f>
      </x:c>
      <x:c r="I12" s="117" t="n">
        <x:f>IF(I$3&gt;=$B$8,'Продажи'!I95,0)+'ОБЪЕКТЫ'!I118</x:f>
      </x:c>
      <x:c r="J12" s="117" t="n">
        <x:f>IF(J$3&gt;=$B$8,'Продажи'!J95,0)+'ОБЪЕКТЫ'!J118</x:f>
      </x:c>
      <x:c r="K12" s="117" t="n">
        <x:f>IF(K$3&gt;=$B$8,'Продажи'!K95,0)+'ОБЪЕКТЫ'!K118</x:f>
      </x:c>
      <x:c r="L12" s="117" t="n">
        <x:f>IF(L$3&gt;=$B$8,'Продажи'!L95,0)+'ОБЪЕКТЫ'!L118</x:f>
      </x:c>
      <x:c r="M12" s="117" t="n">
        <x:f>IF(M$3&gt;=$B$8,'Продажи'!M95,0)+'ОБЪЕКТЫ'!M118</x:f>
      </x:c>
      <x:c r="N12" s="117" t="n">
        <x:f>IF(N$3&gt;=$B$8,'Продажи'!N95,0)+'ОБЪЕКТЫ'!N118</x:f>
      </x:c>
      <x:c r="O12" s="117" t="n">
        <x:f>IF(O$3&gt;=$B$8,'Продажи'!O95,0)+'ОБЪЕКТЫ'!O118</x:f>
      </x:c>
      <x:c r="P12" s="117" t="n">
        <x:f>IF(P$3&gt;=$B$8,'Продажи'!P95,0)+'ОБЪЕКТЫ'!P118</x:f>
      </x:c>
      <x:c r="Q12" s="117" t="n">
        <x:f>IF(Q$3&gt;=$B$8,'Продажи'!Q95,0)+'ОБЪЕКТЫ'!Q118</x:f>
      </x:c>
      <x:c r="R12" s="117" t="n">
        <x:f>IF(R$3&gt;=$B$8,'Продажи'!R95,0)+'ОБЪЕКТЫ'!R118</x:f>
      </x:c>
      <x:c r="S12" s="117" t="n">
        <x:f>IF(S$3&gt;=$B$8,'Продажи'!S95,0)+'ОБЪЕКТЫ'!S118</x:f>
      </x:c>
      <x:c r="T12" s="117" t="n">
        <x:f>IF(T$3&gt;=$B$8,'Продажи'!T95,0)+'ОБЪЕКТЫ'!T118</x:f>
      </x:c>
      <x:c r="U12" s="117" t="n">
        <x:f>IF(U$3&gt;=$B$8,'Продажи'!U95,0)+'ОБЪЕКТЫ'!U118</x:f>
      </x:c>
      <x:c r="V12" s="117" t="n">
        <x:f>IF(V$3&gt;=$B$8,'Продажи'!V95,0)+'ОБЪЕКТЫ'!V118</x:f>
      </x:c>
      <x:c r="W12" s="117" t="n">
        <x:f>IF(W$3&gt;=$B$8,'Продажи'!W95,0)+'ОБЪЕКТЫ'!W118</x:f>
      </x:c>
      <x:c r="X12" s="117" t="n">
        <x:f>IF(X$3&gt;=$B$8,'Продажи'!X95,0)+'ОБЪЕКТЫ'!X118</x:f>
      </x:c>
      <x:c r="Y12" s="117" t="n">
        <x:f>IF(Y$3&gt;=$B$8,'Продажи'!Y95,0)+'ОБЪЕКТЫ'!Y118</x:f>
      </x:c>
      <x:c r="Z12" s="117" t="n">
        <x:f>IF(Z$3&gt;=$B$8,'Продажи'!Z95,0)+'ОБЪЕКТЫ'!Z118</x:f>
      </x:c>
      <x:c r="AA12" s="117" t="n">
        <x:f>IF(AA$3&gt;=$B$8,'Продажи'!AA95,0)+'ОБЪЕКТЫ'!AA118</x:f>
      </x:c>
      <x:c r="AB12" s="117" t="n">
        <x:f>IF(AB$3&gt;=$B$8,'Продажи'!AB95,0)+'ОБЪЕКТЫ'!AB118</x:f>
      </x:c>
      <x:c r="AC12" s="117" t="n">
        <x:f>IF(AC$3&gt;=$B$8,'Продажи'!AC95,0)+'ОБЪЕКТЫ'!AC118</x:f>
      </x:c>
      <x:c r="AD12" s="117" t="n">
        <x:f>IF(AD$3&gt;=$B$8,'Продажи'!AD95,0)+'ОБЪЕКТЫ'!AD118</x:f>
      </x:c>
      <x:c r="AE12" s="117" t="n">
        <x:f>IF(AE$3&gt;=$B$8,'Продажи'!AE95,0)+'ОБЪЕКТЫ'!AE118</x:f>
      </x:c>
      <x:c r="AF12" s="117" t="n">
        <x:f>IF(AF$3&gt;=$B$8,'Продажи'!AF95,0)+'ОБЪЕКТЫ'!AF118</x:f>
      </x:c>
      <x:c r="AG12" s="117" t="n">
        <x:f>IF(AG$3&gt;=$B$8,'Продажи'!AG95,0)+'ОБЪЕКТЫ'!AG118</x:f>
      </x:c>
      <x:c r="AH12" s="117" t="n">
        <x:f>IF(AH$3&gt;=$B$8,'Продажи'!AH95,0)+'ОБЪЕКТЫ'!AH118</x:f>
      </x:c>
      <x:c r="AI12" s="117" t="n">
        <x:f>IF(AI$3&gt;=$B$8,'Продажи'!AI95,0)+'ОБЪЕКТЫ'!AI118</x:f>
      </x:c>
      <x:c r="AJ12" s="117" t="n">
        <x:f>IF(AJ$3&gt;=$B$8,'Продажи'!AJ95,0)+'ОБЪЕКТЫ'!AJ118</x:f>
      </x:c>
      <x:c r="AK12" s="117" t="n">
        <x:f>IF(AK$3&gt;=$B$8,'Продажи'!AK95,0)+'ОБЪЕКТЫ'!AK118</x:f>
      </x:c>
      <x:c r="AL12" s="117" t="n">
        <x:f>IF(AL$3&gt;=$B$8,'Продажи'!AL95,0)+'ОБЪЕКТЫ'!AL118</x:f>
      </x:c>
      <x:c r="AM12" s="117" t="n">
        <x:f>IF(AM$3&gt;=$B$8,'Продажи'!AM95,0)+'ОБЪЕКТЫ'!AM118</x:f>
      </x:c>
      <x:c r="AN12" s="117" t="n">
        <x:f>IF(AN$3&gt;=$B$8,'Продажи'!AN95,0)+'ОБЪЕКТЫ'!AN118</x:f>
      </x:c>
      <x:c r="AO12" s="117" t="n">
        <x:f>IF(AO$3&gt;=$B$8,'Продажи'!AO95,0)+'ОБЪЕКТЫ'!AO118</x:f>
      </x:c>
      <x:c r="AP12" s="117" t="n">
        <x:f>IF(AP$3&gt;=$B$8,'Продажи'!AP95,0)+'ОБЪЕКТЫ'!AP118</x:f>
      </x:c>
      <x:c r="AQ12" s="117" t="n">
        <x:f>IF(AQ$3&gt;=$B$8,'Продажи'!AQ95,0)+'ОБЪЕКТЫ'!AQ118</x:f>
      </x:c>
      <x:c r="AR12" s="117" t="n">
        <x:f>IF(AR$3&gt;=$B$8,'Продажи'!AR95,0)+'ОБЪЕКТЫ'!AR118</x:f>
      </x:c>
      <x:c r="AS12" s="117" t="n">
        <x:f>IF(AS$3&gt;=$B$8,'Продажи'!AS95,0)+'ОБЪЕКТЫ'!AS118</x:f>
      </x:c>
      <x:c r="AT12" s="117" t="n">
        <x:f>IF(AT$3&gt;=$B$8,'Продажи'!AT95,0)+'ОБЪЕКТЫ'!AT118</x:f>
      </x:c>
      <x:c r="AU12" s="117" t="n">
        <x:f>IF(AU$3&gt;=$B$8,'Продажи'!AU95,0)+'ОБЪЕКТЫ'!AU118</x:f>
      </x:c>
      <x:c r="AV12" s="117" t="n">
        <x:f>IF(AV$3&gt;=$B$8,'Продажи'!AV95,0)+'ОБЪЕКТЫ'!AV118</x:f>
      </x:c>
      <x:c r="AW12" s="117" t="n">
        <x:f>IF(AW$3&gt;=$B$8,'Продажи'!AW95,0)+'ОБЪЕКТЫ'!AW118</x:f>
      </x:c>
      <x:c r="AX12" s="117" t="n">
        <x:f>IF(AX$3&gt;=$B$8,'Продажи'!AX95,0)+'ОБЪЕКТЫ'!AX118</x:f>
      </x:c>
      <x:c r="AY12" s="117" t="n">
        <x:f>IF(AY$3&gt;=$B$8,'Продажи'!AY95,0)+'ОБЪЕКТЫ'!AY118</x:f>
      </x:c>
      <x:c r="AZ12" s="117" t="n">
        <x:f>IF(AZ$3&gt;=$B$8,'Продажи'!AZ95,0)+'ОБЪЕКТЫ'!AZ118</x:f>
      </x:c>
      <x:c r="BA12" s="117" t="n">
        <x:f>IF(BA$3&gt;=$B$8,'Продажи'!BA95,0)+'ОБЪЕКТЫ'!BA118</x:f>
      </x:c>
      <x:c r="BB12" s="117" t="n">
        <x:f>IF(BB$3&gt;=$B$8,'Продажи'!BB95,0)+'ОБЪЕКТЫ'!BB118</x:f>
      </x:c>
      <x:c r="BC12" s="117" t="n">
        <x:f>IF(BC$3&gt;=$B$8,'Продажи'!BC95,0)+'ОБЪЕКТЫ'!BC118</x:f>
      </x:c>
      <x:c r="BD12" s="117" t="n">
        <x:f>IF(BD$3&gt;=$B$8,'Продажи'!BD95,0)+'ОБЪЕКТЫ'!BD118</x:f>
      </x:c>
      <x:c r="BE12" s="117" t="n">
        <x:f>IF(BE$3&gt;=$B$8,'Продажи'!BE95,0)+'ОБЪЕКТЫ'!BE118</x:f>
      </x:c>
      <x:c r="BF12" s="117" t="n">
        <x:f>IF(BF$3&gt;=$B$8,'Продажи'!BF95,0)+'ОБЪЕКТЫ'!BF118</x:f>
      </x:c>
      <x:c r="BG12" s="117" t="n">
        <x:f>IF(BG$3&gt;=$B$8,'Продажи'!BG95,0)+'ОБЪЕКТЫ'!BG118</x:f>
      </x:c>
      <x:c r="BH12" s="117" t="n">
        <x:f>IF(BH$3&gt;=$B$8,'Продажи'!BH95,0)+'ОБЪЕКТЫ'!BH118</x:f>
      </x:c>
      <x:c r="BI12" s="117" t="n">
        <x:f>IF(BI$3&gt;=$B$8,'Продажи'!BI95,0)+'ОБЪЕКТЫ'!BI118</x:f>
      </x:c>
      <x:c r="BJ12" s="117" t="n">
        <x:f>IF(BJ$3&gt;=$B$8,'Продажи'!BJ95,0)+'ОБЪЕКТЫ'!BJ118</x:f>
      </x:c>
      <x:c r="BK12" s="117" t="n">
        <x:f>IF(BK$3&gt;=$B$8,'Продажи'!BK95,0)+'ОБЪЕКТЫ'!BK118</x:f>
      </x:c>
      <x:c r="BL12" s="117" t="n">
        <x:f>IF(BL$3&gt;=$B$8,'Продажи'!BL95,0)+'ОБЪЕКТЫ'!BL118</x:f>
      </x:c>
      <x:c r="BM12" s="117" t="n">
        <x:f>IF(BM$3&gt;=$B$8,'Продажи'!BM95,0)+'ОБЪЕКТЫ'!BM118</x:f>
      </x:c>
      <x:c r="BN12" s="117" t="n">
        <x:f>IF(BN$3&gt;=$B$8,'Продажи'!BN95,0)+'ОБЪЕКТЫ'!BN118</x:f>
      </x:c>
      <x:c r="BO12" s="117" t="n">
        <x:f>IF(BO$3&gt;=$B$8,'Продажи'!BO95,0)+'ОБЪЕКТЫ'!BO118</x:f>
      </x:c>
      <x:c r="BP12" s="117" t="n">
        <x:f>IF(BP$3&gt;=$B$8,'Продажи'!BP95,0)+'ОБЪЕКТЫ'!BP118</x:f>
      </x:c>
      <x:c r="BQ12" s="117" t="n">
        <x:f>IF(BQ$3&gt;=$B$8,'Продажи'!BQ95,0)+'ОБЪЕКТЫ'!BQ118</x:f>
      </x:c>
      <x:c r="BR12" s="117" t="n">
        <x:f>IF(BR$3&gt;=$B$8,'Продажи'!BR95,0)+'ОБЪЕКТЫ'!BR118</x:f>
      </x:c>
      <x:c r="BS12" s="117" t="n">
        <x:f>IF(BS$3&gt;=$B$8,'Продажи'!BS95,0)+'ОБЪЕКТЫ'!BS118</x:f>
      </x:c>
      <x:c r="BT12" s="117" t="n">
        <x:f>IF(BT$3&gt;=$B$8,'Продажи'!BT95,0)+'ОБЪЕКТЫ'!BT118</x:f>
      </x:c>
      <x:c r="BU12" s="117" t="n">
        <x:f>IF(BU$3&gt;=$B$8,'Продажи'!BU95,0)+'ОБЪЕКТЫ'!BU118</x:f>
      </x:c>
      <x:c r="BV12" s="117" t="n">
        <x:f>IF(BV$3&gt;=$B$8,'Продажи'!BV95,0)+'ОБЪЕКТЫ'!BV118</x:f>
      </x:c>
      <x:c r="BW12" s="117" t="n">
        <x:f>IF(BW$3&gt;=$B$8,'Продажи'!BW95,0)+'ОБЪЕКТЫ'!BW118</x:f>
      </x:c>
      <x:c r="BX12" s="117" t="n">
        <x:f>IF(BX$3&gt;=$B$8,'Продажи'!BX95,0)+'ОБЪЕКТЫ'!BX118</x:f>
      </x:c>
      <x:c r="BY12" s="117" t="n">
        <x:f>IF(BY$3&gt;=$B$8,'Продажи'!BY95,0)+'ОБЪЕКТЫ'!BY118</x:f>
      </x:c>
      <x:c r="BZ12" s="117" t="n">
        <x:f>IF(BZ$3&gt;=$B$8,'Продажи'!BZ95,0)+'ОБЪЕКТЫ'!BZ118</x:f>
      </x:c>
      <x:c r="CA12" s="117" t="n">
        <x:f>IF(CA$3&gt;=$B$8,'Продажи'!CA95,0)+'ОБЪЕКТЫ'!CA118</x:f>
      </x:c>
      <x:c r="CB12" s="117" t="n">
        <x:f>IF(CB$3&gt;=$B$8,'Продажи'!CB95,0)+'ОБЪЕКТЫ'!CB118</x:f>
      </x:c>
      <x:c r="CC12" s="117" t="n">
        <x:f>IF(CC$3&gt;=$B$8,'Продажи'!CC95,0)+'ОБЪЕКТЫ'!CC118</x:f>
      </x:c>
      <x:c r="CD12" s="117" t="n">
        <x:f>IF(CD$3&gt;=$B$8,'Продажи'!CD95,0)+'ОБЪЕКТЫ'!CD118</x:f>
      </x:c>
      <x:c r="CE12" s="117" t="n">
        <x:f>IF(CE$3&gt;=$B$8,'Продажи'!CE95,0)+'ОБЪЕКТЫ'!CE118</x:f>
      </x:c>
      <x:c r="CF12" s="117" t="n">
        <x:f>IF(CF$3&gt;=$B$8,'Продажи'!CF95,0)+'ОБЪЕКТЫ'!CF118</x:f>
      </x:c>
      <x:c r="CG12" s="117" t="n">
        <x:f>IF(CG$3&gt;=$B$8,'Продажи'!CG95,0)+'ОБЪЕКТЫ'!CG118</x:f>
      </x:c>
      <x:c r="CH12" s="117" t="n">
        <x:f>IF(CH$3&gt;=$B$8,'Продажи'!CH95,0)+'ОБЪЕКТЫ'!CH118</x:f>
      </x:c>
      <x:c r="CI12" s="117" t="n">
        <x:f>IF(CI$3&gt;=$B$8,'Продажи'!CI95,0)+'ОБЪЕКТЫ'!CI118</x:f>
      </x:c>
      <x:c r="CJ12" s="117" t="n">
        <x:f>IF(CJ$3&gt;=$B$8,'Продажи'!CJ95,0)+'ОБЪЕКТЫ'!CJ118</x:f>
      </x:c>
      <x:c r="CK12" s="117" t="n">
        <x:f>IF(CK$3&gt;=$B$8,'Продажи'!CK95,0)+'ОБЪЕКТЫ'!CK118</x:f>
      </x:c>
      <x:c r="CL12" s="117" t="n">
        <x:f>IF(CL$3&gt;=$B$8,'Продажи'!CL95,0)+'ОБЪЕКТЫ'!CL118</x:f>
      </x:c>
      <x:c r="CM12" s="117" t="n">
        <x:f>IF(CM$3&gt;=$B$8,'Продажи'!CM95,0)+'ОБЪЕКТЫ'!CM118</x:f>
      </x:c>
      <x:c r="CN12" s="117" t="n">
        <x:f>IF(CN$3&gt;=$B$8,'Продажи'!CN95,0)+'ОБЪЕКТЫ'!CN118</x:f>
      </x:c>
      <x:c r="CO12" s="117" t="n">
        <x:f>IF(CO$3&gt;=$B$8,'Продажи'!CO95,0)+'ОБЪЕКТЫ'!CO118</x:f>
      </x:c>
      <x:c r="CP12" s="117" t="n">
        <x:f>IF(CP$3&gt;=$B$8,'Продажи'!CP95,0)+'ОБЪЕКТЫ'!CP118</x:f>
      </x:c>
      <x:c r="CQ12" s="117" t="n">
        <x:f>IF(CQ$3&gt;=$B$8,'Продажи'!CQ95,0)+'ОБЪЕКТЫ'!CQ118</x:f>
      </x:c>
      <x:c r="CR12" s="117" t="n">
        <x:f>IF(CR$3&gt;=$B$8,'Продажи'!CR95,0)+'ОБЪЕКТЫ'!CR118</x:f>
      </x:c>
      <x:c r="CS12" s="117" t="n">
        <x:f>IF(CS$3&gt;=$B$8,'Продажи'!CS95,0)+'ОБЪЕКТЫ'!CS118</x:f>
      </x:c>
      <x:c r="CT12" s="117" t="n">
        <x:f>IF(CT$3&gt;=$B$8,'Продажи'!CT95,0)+'ОБЪЕКТЫ'!CT118</x:f>
      </x:c>
      <x:c r="CU12" s="117" t="n">
        <x:f>IF(CU$3&gt;=$B$8,'Продажи'!CU95,0)+'ОБЪЕКТЫ'!CU118</x:f>
      </x:c>
      <x:c r="CV12" s="117" t="n">
        <x:f>IF(CV$3&gt;=$B$8,'Продажи'!CV95,0)+'ОБЪЕКТЫ'!CV118</x:f>
      </x:c>
      <x:c r="CW12" s="117" t="n">
        <x:f>IF(CW$3&gt;=$B$8,'Продажи'!CW95,0)+'ОБЪЕКТЫ'!CW118</x:f>
      </x:c>
      <x:c r="CX12" s="117" t="n">
        <x:f>IF(CX$3&gt;=$B$8,'Продажи'!CX95,0)+'ОБЪЕКТЫ'!CX118</x:f>
      </x:c>
      <x:c r="CY12" s="117" t="n">
        <x:f>IF(CY$3&gt;=$B$8,'Продажи'!CY95,0)+'ОБЪЕКТЫ'!CY118</x:f>
      </x:c>
      <x:c r="CZ12" s="117" t="n">
        <x:f>IF(CZ$3&gt;=$B$8,'Продажи'!CZ95,0)+'ОБЪЕКТЫ'!CZ118</x:f>
      </x:c>
      <x:c r="DA12" s="117" t="n">
        <x:f>IF(DA$3&gt;=$B$8,'Продажи'!DA95,0)+'ОБЪЕКТЫ'!DA118</x:f>
      </x:c>
      <x:c r="DB12" s="117" t="n">
        <x:f>IF(DB$3&gt;=$B$8,'Продажи'!DB95,0)+'ОБЪЕКТЫ'!DB118</x:f>
      </x:c>
      <x:c r="DC12" s="117" t="n">
        <x:f>IF(DC$3&gt;=$B$8,'Продажи'!DC95,0)+'ОБЪЕКТЫ'!DC118</x:f>
      </x:c>
      <x:c r="DD12" s="117" t="n">
        <x:f>IF(DD$3&gt;=$B$8,'Продажи'!DD95,0)+'ОБЪЕКТЫ'!DD118</x:f>
      </x:c>
      <x:c r="DE12" s="117" t="n">
        <x:f>IF(DE$3&gt;=$B$8,'Продажи'!DE95,0)+'ОБЪЕКТЫ'!DE118</x:f>
      </x:c>
      <x:c r="DF12" s="117" t="n">
        <x:f>IF(DF$3&gt;=$B$8,'Продажи'!DF95,0)+'ОБЪЕКТЫ'!DF118</x:f>
      </x:c>
      <x:c r="DG12" s="117" t="n">
        <x:f>IF(DG$3&gt;=$B$8,'Продажи'!DG95,0)+'ОБЪЕКТЫ'!DG118</x:f>
      </x:c>
      <x:c r="DH12" s="117" t="n">
        <x:f>IF(DH$3&gt;=$B$8,'Продажи'!DH95,0)+'ОБЪЕКТЫ'!DH118</x:f>
      </x:c>
      <x:c r="DI12" s="117" t="n">
        <x:f>IF(DI$3&gt;=$B$8,'Продажи'!DI95,0)+'ОБЪЕКТЫ'!DI118</x:f>
      </x:c>
      <x:c r="DJ12" s="117" t="n">
        <x:f>IF(DJ$3&gt;=$B$8,'Продажи'!DJ95,0)+'ОБЪЕКТЫ'!DJ118</x:f>
      </x:c>
      <x:c r="DK12" s="117" t="n">
        <x:f>IF(DK$3&gt;=$B$8,'Продажи'!DK95,0)+'ОБЪЕКТЫ'!DK118</x:f>
      </x:c>
      <x:c r="DL12" s="117" t="n">
        <x:f>IF(DL$3&gt;=$B$8,'Продажи'!DL95,0)+'ОБЪЕКТЫ'!DL118</x:f>
      </x:c>
      <x:c r="DM12" s="117" t="n">
        <x:f>IF(DM$3&gt;=$B$8,'Продажи'!DM95,0)+'ОБЪЕКТЫ'!DM118</x:f>
      </x:c>
      <x:c r="DN12" s="117" t="n">
        <x:f>IF(DN$3&gt;=$B$8,'Продажи'!DN95,0)+'ОБЪЕКТЫ'!DN118</x:f>
      </x:c>
      <x:c r="DO12" s="117" t="n">
        <x:f>IF(DO$3&gt;=$B$8,'Продажи'!DO95,0)+'ОБЪЕКТЫ'!DO118</x:f>
      </x:c>
      <x:c r="DP12" s="117" t="n">
        <x:f>IF(DP$3&gt;=$B$8,'Продажи'!DP95,0)+'ОБЪЕКТЫ'!DP118</x:f>
      </x:c>
      <x:c r="DQ12" s="117" t="n">
        <x:f>IF(DQ$3&gt;=$B$8,'Продажи'!DQ95,0)+'ОБЪЕКТЫ'!DQ118</x:f>
      </x:c>
      <x:c r="DR12" s="117" t="n">
        <x:f>IF(DR$3&gt;=$B$8,'Продажи'!DR95,0)+'ОБЪЕКТЫ'!DR118</x:f>
      </x:c>
      <x:c r="DS12" s="117" t="n">
        <x:f>IF(DS$3&gt;=$B$8,'Продажи'!DS95,0)+'ОБЪЕКТЫ'!DS118</x:f>
      </x:c>
      <x:c r="DT12" s="117" t="n">
        <x:f>IF(DT$3&gt;=$B$8,'Продажи'!DT95,0)+'ОБЪЕКТЫ'!DT118</x:f>
      </x:c>
      <x:c r="DU12" s="117" t="n">
        <x:f>IF(DU$3&gt;=$B$8,'Продажи'!DU95,0)+'ОБЪЕКТЫ'!DU118</x:f>
      </x:c>
      <x:c r="DV12" s="117" t="n">
        <x:f>IF(DV$3&gt;=$B$8,'Продажи'!DV95,0)+'ОБЪЕКТЫ'!DV118</x:f>
      </x:c>
      <x:c r="DW12" s="117" t="n">
        <x:f>IF(DW$3&gt;=$B$8,'Продажи'!DW95,0)+'ОБЪЕКТЫ'!DW118</x:f>
      </x:c>
      <x:c r="DX12" s="117" t="n">
        <x:f>IF(DX$3&gt;=$B$8,'Продажи'!DX95,0)+'ОБЪЕКТЫ'!DX118</x:f>
      </x:c>
      <x:c r="DY12" s="117" t="n">
        <x:f>IF(DY$3&gt;=$B$8,'Продажи'!DY95,0)+'ОБЪЕКТЫ'!DY118</x:f>
      </x:c>
      <x:c r="DZ12" s="117" t="n">
        <x:f>IF(DZ$3&gt;=$B$8,'Продажи'!DZ95,0)+'ОБЪЕКТЫ'!DZ118</x:f>
      </x:c>
      <x:c r="EA12" s="117" t="n">
        <x:f>IF(EA$3&gt;=$B$8,'Продажи'!EA95,0)+'ОБЪЕКТЫ'!EA118</x:f>
      </x:c>
      <x:c r="EB12" s="117" t="n">
        <x:f>IF(EB$3&gt;=$B$8,'Продажи'!EB95,0)+'ОБЪЕКТЫ'!EB118</x:f>
      </x:c>
      <x:c r="EC12" s="117" t="n">
        <x:f>IF(EC$3&gt;=$B$8,'Продажи'!EC95,0)+'ОБЪЕКТЫ'!EC118</x:f>
      </x:c>
      <x:c r="ED12" s="117" t="n">
        <x:f>IF(ED$3&gt;=$B$8,'Продажи'!ED95,0)+'ОБЪЕКТЫ'!ED118</x:f>
      </x:c>
      <x:c r="EE12" s="117" t="n">
        <x:f>IF(EE$3&gt;=$B$8,'Продажи'!EE95,0)+'ОБЪЕКТЫ'!EE118</x:f>
      </x:c>
      <x:c r="EF12" s="117" t="n">
        <x:f>IF(EF$3&gt;=$B$8,'Продажи'!EF95,0)+'ОБЪЕКТЫ'!EF118</x:f>
      </x:c>
      <x:c r="EG12" s="117" t="n">
        <x:f>IF(EG$3&gt;=$B$8,'Продажи'!EG95,0)+'ОБЪЕКТЫ'!EG118</x:f>
      </x:c>
      <x:c r="EH12" s="117" t="n">
        <x:f>IF(EH$3&gt;=$B$8,'Продажи'!EH95,0)+'ОБЪЕКТЫ'!EH118</x:f>
      </x:c>
      <x:c r="EI12" s="117" t="n">
        <x:f>IF(EI$3&gt;=$B$8,'Продажи'!EI95,0)+'ОБЪЕКТЫ'!EI118</x:f>
      </x:c>
      <x:c r="EJ12" s="117" t="n">
        <x:f>IF(EJ$3&gt;=$B$8,'Продажи'!EJ95,0)+'ОБЪЕКТЫ'!EJ118</x:f>
      </x:c>
      <x:c r="EK12" s="117" t="n">
        <x:f>IF(EK$3&gt;=$B$8,'Продажи'!EK95,0)+'ОБЪЕКТЫ'!EK118</x:f>
      </x:c>
      <x:c r="EL12" s="117" t="n">
        <x:f>IF(EL$3&gt;=$B$8,'Продажи'!EL95,0)+'ОБЪЕКТЫ'!EL118</x:f>
      </x:c>
      <x:c r="EM12" s="117" t="n">
        <x:f>IF(EM$3&gt;=$B$8,'Продажи'!EM95,0)+'ОБЪЕКТЫ'!EM118</x:f>
      </x:c>
      <x:c r="EN12" s="117" t="n">
        <x:f>IF(EN$3&gt;=$B$8,'Продажи'!EN95,0)+'ОБЪЕКТЫ'!EN118</x:f>
      </x:c>
      <x:c r="EO12" s="117" t="n">
        <x:f>IF(EO$3&gt;=$B$8,'Продажи'!EO95,0)+'ОБЪЕКТЫ'!EO118</x:f>
      </x:c>
      <x:c r="EP12" s="117" t="n">
        <x:f>IF(EP$3&gt;=$B$8,'Продажи'!EP95,0)+'ОБЪЕКТЫ'!EP118</x:f>
      </x:c>
      <x:c r="EQ12" s="117" t="n">
        <x:f>IF(EQ$3&gt;=$B$8,'Продажи'!EQ95,0)+'ОБЪЕКТЫ'!EQ118</x:f>
      </x:c>
      <x:c r="ER12" s="117" t="n">
        <x:f>IF(ER$3&gt;=$B$8,'Продажи'!ER95,0)+'ОБЪЕКТЫ'!ER118</x:f>
      </x:c>
      <x:c r="ES12" s="117" t="n">
        <x:f>IF(ES$3&gt;=$B$8,'Продажи'!ES95,0)+'ОБЪЕКТЫ'!ES118</x:f>
      </x:c>
      <x:c r="ET12" s="117" t="n">
        <x:f>IF(ET$3&gt;=$B$8,'Продажи'!ET95,0)+'ОБЪЕКТЫ'!ET118</x:f>
      </x:c>
      <x:c r="EU12" s="117" t="n">
        <x:f>IF(EU$3&gt;=$B$8,'Продажи'!EU95,0)+'ОБЪЕКТЫ'!EU118</x:f>
      </x:c>
      <x:c r="EV12" s="117" t="n">
        <x:f>IF(EV$3&gt;=$B$8,'Продажи'!EV95,0)+'ОБЪЕКТЫ'!EV118</x:f>
      </x:c>
      <x:c r="EW12" s="117" t="n">
        <x:f>IF(EW$3&gt;=$B$8,'Продажи'!EW95,0)+'ОБЪЕКТЫ'!EW118</x:f>
      </x:c>
      <x:c r="EX12" s="117" t="n">
        <x:f>IF(EX$3&gt;=$B$8,'Продажи'!EX95,0)+'ОБЪЕКТЫ'!EX118</x:f>
      </x:c>
      <x:c r="EY12" s="117" t="n">
        <x:f>IF(EY$3&gt;=$B$8,'Продажи'!EY95,0)+'ОБЪЕКТЫ'!EY118</x:f>
      </x:c>
      <x:c r="EZ12" s="117" t="n">
        <x:f>IF(EZ$3&gt;=$B$8,'Продажи'!EZ95,0)+'ОБЪЕКТЫ'!EZ118</x:f>
      </x:c>
      <x:c r="FA12" s="117" t="n">
        <x:f>IF(FA$3&gt;=$B$8,'Продажи'!FA95,0)+'ОБЪЕКТЫ'!FA118</x:f>
      </x:c>
      <x:c r="FB12" s="117" t="n">
        <x:f>IF(FB$3&gt;=$B$8,'Продажи'!FB95,0)+'ОБЪЕКТЫ'!FB118</x:f>
      </x:c>
      <x:c r="FC12" s="117" t="n">
        <x:f>IF(FC$3&gt;=$B$8,'Продажи'!FC95,0)+'ОБЪЕКТЫ'!FC118</x:f>
      </x:c>
      <x:c r="FD12" s="117" t="n">
        <x:f>IF(FD$3&gt;=$B$8,'Продажи'!FD95,0)+'ОБЪЕКТЫ'!FD118</x:f>
      </x:c>
      <x:c r="FE12" s="117" t="n">
        <x:f>IF(FE$3&gt;=$B$8,'Продажи'!FE95,0)+'ОБЪЕКТЫ'!FE118</x:f>
      </x:c>
      <x:c r="FF12" s="117" t="n">
        <x:f>IF(FF$3&gt;=$B$8,'Продажи'!FF95,0)+'ОБЪЕКТЫ'!FF118</x:f>
      </x:c>
      <x:c r="FG12" s="117" t="n">
        <x:f>IF(FG$3&gt;=$B$8,'Продажи'!FG95,0)+'ОБЪЕКТЫ'!FG118</x:f>
      </x:c>
      <x:c r="FH12" s="117" t="n">
        <x:f>IF(FH$3&gt;=$B$8,'Продажи'!FH95,0)+'ОБЪЕКТЫ'!FH118</x:f>
      </x:c>
      <x:c r="FI12" s="117" t="n">
        <x:f>IF(FI$3&gt;=$B$8,'Продажи'!FI95,0)+'ОБЪЕКТЫ'!FI118</x:f>
      </x:c>
      <x:c r="FJ12" s="117" t="n">
        <x:f>IF(FJ$3&gt;=$B$8,'Продажи'!FJ95,0)+'ОБЪЕКТЫ'!FJ118</x:f>
      </x:c>
      <x:c r="FK12" s="117" t="n">
        <x:f>IF(FK$3&gt;=$B$8,'Продажи'!FK95,0)+'ОБЪЕКТЫ'!FK118</x:f>
      </x:c>
      <x:c r="FL12" s="117" t="n">
        <x:f>IF(FL$3&gt;=$B$8,'Продажи'!FL95,0)+'ОБЪЕКТЫ'!FL118</x:f>
      </x:c>
      <x:c r="FM12" s="117" t="n">
        <x:f>IF(FM$3&gt;=$B$8,'Продажи'!FM95,0)+'ОБЪЕКТЫ'!FM118</x:f>
      </x:c>
      <x:c r="FN12" s="117" t="n">
        <x:f>IF(FN$3&gt;=$B$8,'Продажи'!FN95,0)+'ОБЪЕКТЫ'!FN118</x:f>
      </x:c>
      <x:c r="FO12" s="117" t="n">
        <x:f>IF(FO$3&gt;=$B$8,'Продажи'!FO95,0)+'ОБЪЕКТЫ'!FO118</x:f>
      </x:c>
      <x:c r="FP12" s="117" t="n">
        <x:f>IF(FP$3&gt;=$B$8,'Продажи'!FP95,0)+'ОБЪЕКТЫ'!FP118</x:f>
      </x:c>
      <x:c r="FQ12" s="117" t="n">
        <x:f>IF(FQ$3&gt;=$B$8,'Продажи'!FQ95,0)+'ОБЪЕКТЫ'!FQ118</x:f>
      </x:c>
      <x:c r="FR12" s="117" t="n">
        <x:f>IF(FR$3&gt;=$B$8,'Продажи'!FR95,0)+'ОБЪЕКТЫ'!FR118</x:f>
      </x:c>
      <x:c r="FS12" s="117" t="n">
        <x:f>IF(FS$3&gt;=$B$8,'Продажи'!FS95,0)+'ОБЪЕКТЫ'!FS118</x:f>
      </x:c>
      <x:c r="FT12" s="117" t="n">
        <x:f>IF(FT$3&gt;=$B$8,'Продажи'!FT95,0)+'ОБЪЕКТЫ'!FT118</x:f>
      </x:c>
      <x:c r="FU12" s="117" t="n">
        <x:f>IF(FU$3&gt;=$B$8,'Продажи'!FU95,0)+'ОБЪЕКТЫ'!FU118</x:f>
      </x:c>
      <x:c r="FV12" s="117" t="n">
        <x:f>IF(FV$3&gt;=$B$8,'Продажи'!FV95,0)+'ОБЪЕКТЫ'!FV118</x:f>
      </x:c>
      <x:c r="FW12" s="117" t="n">
        <x:f>IF(FW$3&gt;=$B$8,'Продажи'!FW95,0)+'ОБЪЕКТЫ'!FW118</x:f>
      </x:c>
      <x:c r="FX12" s="117" t="n">
        <x:f>IF(FX$3&gt;=$B$8,'Продажи'!FX95,0)+'ОБЪЕКТЫ'!FX118</x:f>
      </x:c>
      <x:c r="FY12" s="117" t="n">
        <x:f>IF(FY$3&gt;=$B$8,'Продажи'!FY95,0)+'ОБЪЕКТЫ'!FY118</x:f>
      </x:c>
      <x:c r="FZ12" s="117" t="n">
        <x:f>IF(FZ$3&gt;=$B$8,'Продажи'!FZ95,0)+'ОБЪЕКТЫ'!FZ118</x:f>
      </x:c>
      <x:c r="GA12" s="117" t="n">
        <x:f>IF(GA$3&gt;=$B$8,'Продажи'!GA95,0)+'ОБЪЕКТЫ'!GA118</x:f>
      </x:c>
    </x:row>
    <x:row r="13">
      <x:c r="A13" t="str">
        <x:v>Эскроу на начало</x:v>
      </x:c>
      <x:c r="B13"/>
      <x:c r="C13" t="str">
        <x:v>млн ₽</x:v>
      </x:c>
      <x:c r="D13" s="117" t="n">
        <x:f>0</x:f>
      </x:c>
      <x:c r="E13" s="117" t="n">
        <x:f>D15</x:f>
      </x:c>
      <x:c r="F13" s="117" t="n">
        <x:f>E15</x:f>
      </x:c>
      <x:c r="G13" s="117" t="n">
        <x:f>F15</x:f>
      </x:c>
      <x:c r="H13" s="117" t="n">
        <x:f>G15</x:f>
      </x:c>
      <x:c r="I13" s="117" t="n">
        <x:f>H15</x:f>
      </x:c>
      <x:c r="J13" s="117" t="n">
        <x:f>I15</x:f>
      </x:c>
      <x:c r="K13" s="117" t="n">
        <x:f>J15</x:f>
      </x:c>
      <x:c r="L13" s="117" t="n">
        <x:f>K15</x:f>
      </x:c>
      <x:c r="M13" s="117" t="n">
        <x:f>L15</x:f>
      </x:c>
      <x:c r="N13" s="117" t="n">
        <x:f>M15</x:f>
      </x:c>
      <x:c r="O13" s="117" t="n">
        <x:f>N15</x:f>
      </x:c>
      <x:c r="P13" s="117" t="n">
        <x:f>O15</x:f>
      </x:c>
      <x:c r="Q13" s="117" t="n">
        <x:f>P15</x:f>
      </x:c>
      <x:c r="R13" s="117" t="n">
        <x:f>Q15</x:f>
      </x:c>
      <x:c r="S13" s="117" t="n">
        <x:f>R15</x:f>
      </x:c>
      <x:c r="T13" s="117" t="n">
        <x:f>S15</x:f>
      </x:c>
      <x:c r="U13" s="117" t="n">
        <x:f>T15</x:f>
      </x:c>
      <x:c r="V13" s="117" t="n">
        <x:f>U15</x:f>
      </x:c>
      <x:c r="W13" s="117" t="n">
        <x:f>V15</x:f>
      </x:c>
      <x:c r="X13" s="117" t="n">
        <x:f>W15</x:f>
      </x:c>
      <x:c r="Y13" s="117" t="n">
        <x:f>X15</x:f>
      </x:c>
      <x:c r="Z13" s="117" t="n">
        <x:f>Y15</x:f>
      </x:c>
      <x:c r="AA13" s="117" t="n">
        <x:f>Z15</x:f>
      </x:c>
      <x:c r="AB13" s="117" t="n">
        <x:f>AA15</x:f>
      </x:c>
      <x:c r="AC13" s="117" t="n">
        <x:f>AB15</x:f>
      </x:c>
      <x:c r="AD13" s="117" t="n">
        <x:f>AC15</x:f>
      </x:c>
      <x:c r="AE13" s="117" t="n">
        <x:f>AD15</x:f>
      </x:c>
      <x:c r="AF13" s="117" t="n">
        <x:f>AE15</x:f>
      </x:c>
      <x:c r="AG13" s="117" t="n">
        <x:f>AF15</x:f>
      </x:c>
      <x:c r="AH13" s="117" t="n">
        <x:f>AG15</x:f>
      </x:c>
      <x:c r="AI13" s="117" t="n">
        <x:f>AH15</x:f>
      </x:c>
      <x:c r="AJ13" s="117" t="n">
        <x:f>AI15</x:f>
      </x:c>
      <x:c r="AK13" s="117" t="n">
        <x:f>AJ15</x:f>
      </x:c>
      <x:c r="AL13" s="117" t="n">
        <x:f>AK15</x:f>
      </x:c>
      <x:c r="AM13" s="117" t="n">
        <x:f>AL15</x:f>
      </x:c>
      <x:c r="AN13" s="117" t="n">
        <x:f>AM15</x:f>
      </x:c>
      <x:c r="AO13" s="117" t="n">
        <x:f>AN15</x:f>
      </x:c>
      <x:c r="AP13" s="117" t="n">
        <x:f>AO15</x:f>
      </x:c>
      <x:c r="AQ13" s="117" t="n">
        <x:f>AP15</x:f>
      </x:c>
      <x:c r="AR13" s="117" t="n">
        <x:f>AQ15</x:f>
      </x:c>
      <x:c r="AS13" s="117" t="n">
        <x:f>AR15</x:f>
      </x:c>
      <x:c r="AT13" s="117" t="n">
        <x:f>AS15</x:f>
      </x:c>
      <x:c r="AU13" s="117" t="n">
        <x:f>AT15</x:f>
      </x:c>
      <x:c r="AV13" s="117" t="n">
        <x:f>AU15</x:f>
      </x:c>
      <x:c r="AW13" s="117" t="n">
        <x:f>AV15</x:f>
      </x:c>
      <x:c r="AX13" s="117" t="n">
        <x:f>AW15</x:f>
      </x:c>
      <x:c r="AY13" s="117" t="n">
        <x:f>AX15</x:f>
      </x:c>
      <x:c r="AZ13" s="117" t="n">
        <x:f>AY15</x:f>
      </x:c>
      <x:c r="BA13" s="117" t="n">
        <x:f>AZ15</x:f>
      </x:c>
      <x:c r="BB13" s="117" t="n">
        <x:f>BA15</x:f>
      </x:c>
      <x:c r="BC13" s="117" t="n">
        <x:f>BB15</x:f>
      </x:c>
      <x:c r="BD13" s="117" t="n">
        <x:f>BC15</x:f>
      </x:c>
      <x:c r="BE13" s="117" t="n">
        <x:f>BD15</x:f>
      </x:c>
      <x:c r="BF13" s="117" t="n">
        <x:f>BE15</x:f>
      </x:c>
      <x:c r="BG13" s="117" t="n">
        <x:f>BF15</x:f>
      </x:c>
      <x:c r="BH13" s="117" t="n">
        <x:f>BG15</x:f>
      </x:c>
      <x:c r="BI13" s="117" t="n">
        <x:f>BH15</x:f>
      </x:c>
      <x:c r="BJ13" s="117" t="n">
        <x:f>BI15</x:f>
      </x:c>
      <x:c r="BK13" s="117" t="n">
        <x:f>BJ15</x:f>
      </x:c>
      <x:c r="BL13" s="117" t="n">
        <x:f>BK15</x:f>
      </x:c>
      <x:c r="BM13" s="117" t="n">
        <x:f>BL15</x:f>
      </x:c>
      <x:c r="BN13" s="117" t="n">
        <x:f>BM15</x:f>
      </x:c>
      <x:c r="BO13" s="117" t="n">
        <x:f>BN15</x:f>
      </x:c>
      <x:c r="BP13" s="117" t="n">
        <x:f>BO15</x:f>
      </x:c>
      <x:c r="BQ13" s="117" t="n">
        <x:f>BP15</x:f>
      </x:c>
      <x:c r="BR13" s="117" t="n">
        <x:f>BQ15</x:f>
      </x:c>
      <x:c r="BS13" s="117" t="n">
        <x:f>BR15</x:f>
      </x:c>
      <x:c r="BT13" s="117" t="n">
        <x:f>BS15</x:f>
      </x:c>
      <x:c r="BU13" s="117" t="n">
        <x:f>BT15</x:f>
      </x:c>
      <x:c r="BV13" s="117" t="n">
        <x:f>BU15</x:f>
      </x:c>
      <x:c r="BW13" s="117" t="n">
        <x:f>BV15</x:f>
      </x:c>
      <x:c r="BX13" s="117" t="n">
        <x:f>BW15</x:f>
      </x:c>
      <x:c r="BY13" s="117" t="n">
        <x:f>BX15</x:f>
      </x:c>
      <x:c r="BZ13" s="117" t="n">
        <x:f>BY15</x:f>
      </x:c>
      <x:c r="CA13" s="117" t="n">
        <x:f>BZ15</x:f>
      </x:c>
      <x:c r="CB13" s="117" t="n">
        <x:f>CA15</x:f>
      </x:c>
      <x:c r="CC13" s="117" t="n">
        <x:f>CB15</x:f>
      </x:c>
      <x:c r="CD13" s="117" t="n">
        <x:f>CC15</x:f>
      </x:c>
      <x:c r="CE13" s="117" t="n">
        <x:f>CD15</x:f>
      </x:c>
      <x:c r="CF13" s="117" t="n">
        <x:f>CE15</x:f>
      </x:c>
      <x:c r="CG13" s="117" t="n">
        <x:f>CF15</x:f>
      </x:c>
      <x:c r="CH13" s="117" t="n">
        <x:f>CG15</x:f>
      </x:c>
      <x:c r="CI13" s="117" t="n">
        <x:f>CH15</x:f>
      </x:c>
      <x:c r="CJ13" s="117" t="n">
        <x:f>CI15</x:f>
      </x:c>
      <x:c r="CK13" s="117" t="n">
        <x:f>CJ15</x:f>
      </x:c>
      <x:c r="CL13" s="117" t="n">
        <x:f>CK15</x:f>
      </x:c>
      <x:c r="CM13" s="117" t="n">
        <x:f>CL15</x:f>
      </x:c>
      <x:c r="CN13" s="117" t="n">
        <x:f>CM15</x:f>
      </x:c>
      <x:c r="CO13" s="117" t="n">
        <x:f>CN15</x:f>
      </x:c>
      <x:c r="CP13" s="117" t="n">
        <x:f>CO15</x:f>
      </x:c>
      <x:c r="CQ13" s="117" t="n">
        <x:f>CP15</x:f>
      </x:c>
      <x:c r="CR13" s="117" t="n">
        <x:f>CQ15</x:f>
      </x:c>
      <x:c r="CS13" s="117" t="n">
        <x:f>CR15</x:f>
      </x:c>
      <x:c r="CT13" s="117" t="n">
        <x:f>CS15</x:f>
      </x:c>
      <x:c r="CU13" s="117" t="n">
        <x:f>CT15</x:f>
      </x:c>
      <x:c r="CV13" s="117" t="n">
        <x:f>CU15</x:f>
      </x:c>
      <x:c r="CW13" s="117" t="n">
        <x:f>CV15</x:f>
      </x:c>
      <x:c r="CX13" s="117" t="n">
        <x:f>CW15</x:f>
      </x:c>
      <x:c r="CY13" s="117" t="n">
        <x:f>CX15</x:f>
      </x:c>
      <x:c r="CZ13" s="117" t="n">
        <x:f>CY15</x:f>
      </x:c>
      <x:c r="DA13" s="117" t="n">
        <x:f>CZ15</x:f>
      </x:c>
      <x:c r="DB13" s="117" t="n">
        <x:f>DA15</x:f>
      </x:c>
      <x:c r="DC13" s="117" t="n">
        <x:f>DB15</x:f>
      </x:c>
      <x:c r="DD13" s="117" t="n">
        <x:f>DC15</x:f>
      </x:c>
      <x:c r="DE13" s="117" t="n">
        <x:f>DD15</x:f>
      </x:c>
      <x:c r="DF13" s="117" t="n">
        <x:f>DE15</x:f>
      </x:c>
      <x:c r="DG13" s="117" t="n">
        <x:f>DF15</x:f>
      </x:c>
      <x:c r="DH13" s="117" t="n">
        <x:f>DG15</x:f>
      </x:c>
      <x:c r="DI13" s="117" t="n">
        <x:f>DH15</x:f>
      </x:c>
      <x:c r="DJ13" s="117" t="n">
        <x:f>DI15</x:f>
      </x:c>
      <x:c r="DK13" s="117" t="n">
        <x:f>DJ15</x:f>
      </x:c>
      <x:c r="DL13" s="117" t="n">
        <x:f>DK15</x:f>
      </x:c>
      <x:c r="DM13" s="117" t="n">
        <x:f>DL15</x:f>
      </x:c>
      <x:c r="DN13" s="117" t="n">
        <x:f>DM15</x:f>
      </x:c>
      <x:c r="DO13" s="117" t="n">
        <x:f>DN15</x:f>
      </x:c>
      <x:c r="DP13" s="117" t="n">
        <x:f>DO15</x:f>
      </x:c>
      <x:c r="DQ13" s="117" t="n">
        <x:f>DP15</x:f>
      </x:c>
      <x:c r="DR13" s="117" t="n">
        <x:f>DQ15</x:f>
      </x:c>
      <x:c r="DS13" s="117" t="n">
        <x:f>DR15</x:f>
      </x:c>
      <x:c r="DT13" s="117" t="n">
        <x:f>DS15</x:f>
      </x:c>
      <x:c r="DU13" s="117" t="n">
        <x:f>DT15</x:f>
      </x:c>
      <x:c r="DV13" s="117" t="n">
        <x:f>DU15</x:f>
      </x:c>
      <x:c r="DW13" s="117" t="n">
        <x:f>DV15</x:f>
      </x:c>
      <x:c r="DX13" s="117" t="n">
        <x:f>DW15</x:f>
      </x:c>
      <x:c r="DY13" s="117" t="n">
        <x:f>DX15</x:f>
      </x:c>
      <x:c r="DZ13" s="117" t="n">
        <x:f>DY15</x:f>
      </x:c>
      <x:c r="EA13" s="117" t="n">
        <x:f>DZ15</x:f>
      </x:c>
      <x:c r="EB13" s="117" t="n">
        <x:f>EA15</x:f>
      </x:c>
      <x:c r="EC13" s="117" t="n">
        <x:f>EB15</x:f>
      </x:c>
      <x:c r="ED13" s="117" t="n">
        <x:f>EC15</x:f>
      </x:c>
      <x:c r="EE13" s="117" t="n">
        <x:f>ED15</x:f>
      </x:c>
      <x:c r="EF13" s="117" t="n">
        <x:f>EE15</x:f>
      </x:c>
      <x:c r="EG13" s="117" t="n">
        <x:f>EF15</x:f>
      </x:c>
      <x:c r="EH13" s="117" t="n">
        <x:f>EG15</x:f>
      </x:c>
      <x:c r="EI13" s="117" t="n">
        <x:f>EH15</x:f>
      </x:c>
      <x:c r="EJ13" s="117" t="n">
        <x:f>EI15</x:f>
      </x:c>
      <x:c r="EK13" s="117" t="n">
        <x:f>EJ15</x:f>
      </x:c>
      <x:c r="EL13" s="117" t="n">
        <x:f>EK15</x:f>
      </x:c>
      <x:c r="EM13" s="117" t="n">
        <x:f>EL15</x:f>
      </x:c>
      <x:c r="EN13" s="117" t="n">
        <x:f>EM15</x:f>
      </x:c>
      <x:c r="EO13" s="117" t="n">
        <x:f>EN15</x:f>
      </x:c>
      <x:c r="EP13" s="117" t="n">
        <x:f>EO15</x:f>
      </x:c>
      <x:c r="EQ13" s="117" t="n">
        <x:f>EP15</x:f>
      </x:c>
      <x:c r="ER13" s="117" t="n">
        <x:f>EQ15</x:f>
      </x:c>
      <x:c r="ES13" s="117" t="n">
        <x:f>ER15</x:f>
      </x:c>
      <x:c r="ET13" s="117" t="n">
        <x:f>ES15</x:f>
      </x:c>
      <x:c r="EU13" s="117" t="n">
        <x:f>ET15</x:f>
      </x:c>
      <x:c r="EV13" s="117" t="n">
        <x:f>EU15</x:f>
      </x:c>
      <x:c r="EW13" s="117" t="n">
        <x:f>EV15</x:f>
      </x:c>
      <x:c r="EX13" s="117" t="n">
        <x:f>EW15</x:f>
      </x:c>
      <x:c r="EY13" s="117" t="n">
        <x:f>EX15</x:f>
      </x:c>
      <x:c r="EZ13" s="117" t="n">
        <x:f>EY15</x:f>
      </x:c>
      <x:c r="FA13" s="117" t="n">
        <x:f>EZ15</x:f>
      </x:c>
      <x:c r="FB13" s="117" t="n">
        <x:f>FA15</x:f>
      </x:c>
      <x:c r="FC13" s="117" t="n">
        <x:f>FB15</x:f>
      </x:c>
      <x:c r="FD13" s="117" t="n">
        <x:f>FC15</x:f>
      </x:c>
      <x:c r="FE13" s="117" t="n">
        <x:f>FD15</x:f>
      </x:c>
      <x:c r="FF13" s="117" t="n">
        <x:f>FE15</x:f>
      </x:c>
      <x:c r="FG13" s="117" t="n">
        <x:f>FF15</x:f>
      </x:c>
      <x:c r="FH13" s="117" t="n">
        <x:f>FG15</x:f>
      </x:c>
      <x:c r="FI13" s="117" t="n">
        <x:f>FH15</x:f>
      </x:c>
      <x:c r="FJ13" s="117" t="n">
        <x:f>FI15</x:f>
      </x:c>
      <x:c r="FK13" s="117" t="n">
        <x:f>FJ15</x:f>
      </x:c>
      <x:c r="FL13" s="117" t="n">
        <x:f>FK15</x:f>
      </x:c>
      <x:c r="FM13" s="117" t="n">
        <x:f>FL15</x:f>
      </x:c>
      <x:c r="FN13" s="117" t="n">
        <x:f>FM15</x:f>
      </x:c>
      <x:c r="FO13" s="117" t="n">
        <x:f>FN15</x:f>
      </x:c>
      <x:c r="FP13" s="117" t="n">
        <x:f>FO15</x:f>
      </x:c>
      <x:c r="FQ13" s="117" t="n">
        <x:f>FP15</x:f>
      </x:c>
      <x:c r="FR13" s="117" t="n">
        <x:f>FQ15</x:f>
      </x:c>
      <x:c r="FS13" s="117" t="n">
        <x:f>FR15</x:f>
      </x:c>
      <x:c r="FT13" s="117" t="n">
        <x:f>FS15</x:f>
      </x:c>
      <x:c r="FU13" s="117" t="n">
        <x:f>FT15</x:f>
      </x:c>
      <x:c r="FV13" s="117" t="n">
        <x:f>FU15</x:f>
      </x:c>
      <x:c r="FW13" s="117" t="n">
        <x:f>FV15</x:f>
      </x:c>
      <x:c r="FX13" s="117" t="n">
        <x:f>FW15</x:f>
      </x:c>
      <x:c r="FY13" s="117" t="n">
        <x:f>FX15</x:f>
      </x:c>
      <x:c r="FZ13" s="117" t="n">
        <x:f>FY15</x:f>
      </x:c>
      <x:c r="GA13" s="117" t="n">
        <x:f>FZ15</x:f>
      </x:c>
    </x:row>
    <x:row r="14">
      <x:c r="A14" t="str">
        <x:v>Раскрытие эскроу</x:v>
      </x:c>
      <x:c r="B14" t="n">
        <x:f>SUM(D14:GA14)</x:f>
      </x:c>
      <x:c r="C14" t="str">
        <x:v>млн ₽</x:v>
      </x:c>
      <x:c r="D14" s="117" t="n">
        <x:f>0+'ОБЪЕКТЫ'!D119</x:f>
      </x:c>
      <x:c r="E14" s="117" t="n">
        <x:f>IF(AND(YEAR(E$3)=YEAR($B$8),MONTH(E$3)=MONTH($B$8)),SUM('Продажи'!$D$95:'Продажи'!D$95),0)+'ОБЪЕКТЫ'!E119</x:f>
      </x:c>
      <x:c r="F14" s="117" t="n">
        <x:f>IF(AND(YEAR(F$3)=YEAR($B$8),MONTH(F$3)=MONTH($B$8)),SUM('Продажи'!$D$95:'Продажи'!E$95),0)+'ОБЪЕКТЫ'!F119</x:f>
      </x:c>
      <x:c r="G14" s="117" t="n">
        <x:f>IF(AND(YEAR(G$3)=YEAR($B$8),MONTH(G$3)=MONTH($B$8)),SUM('Продажи'!$D$95:'Продажи'!F$95),0)+'ОБЪЕКТЫ'!G119</x:f>
      </x:c>
      <x:c r="H14" s="117" t="n">
        <x:f>IF(AND(YEAR(H$3)=YEAR($B$8),MONTH(H$3)=MONTH($B$8)),SUM('Продажи'!$D$95:'Продажи'!G$95),0)+'ОБЪЕКТЫ'!H119</x:f>
      </x:c>
      <x:c r="I14" s="117" t="n">
        <x:f>IF(AND(YEAR(I$3)=YEAR($B$8),MONTH(I$3)=MONTH($B$8)),SUM('Продажи'!$D$95:'Продажи'!H$95),0)+'ОБЪЕКТЫ'!I119</x:f>
      </x:c>
      <x:c r="J14" s="117" t="n">
        <x:f>IF(AND(YEAR(J$3)=YEAR($B$8),MONTH(J$3)=MONTH($B$8)),SUM('Продажи'!$D$95:'Продажи'!I$95),0)+'ОБЪЕКТЫ'!J119</x:f>
      </x:c>
      <x:c r="K14" s="117" t="n">
        <x:f>IF(AND(YEAR(K$3)=YEAR($B$8),MONTH(K$3)=MONTH($B$8)),SUM('Продажи'!$D$95:'Продажи'!J$95),0)+'ОБЪЕКТЫ'!K119</x:f>
      </x:c>
      <x:c r="L14" s="117" t="n">
        <x:f>IF(AND(YEAR(L$3)=YEAR($B$8),MONTH(L$3)=MONTH($B$8)),SUM('Продажи'!$D$95:'Продажи'!K$95),0)+'ОБЪЕКТЫ'!L119</x:f>
      </x:c>
      <x:c r="M14" s="117" t="n">
        <x:f>IF(AND(YEAR(M$3)=YEAR($B$8),MONTH(M$3)=MONTH($B$8)),SUM('Продажи'!$D$95:'Продажи'!L$95),0)+'ОБЪЕКТЫ'!M119</x:f>
      </x:c>
      <x:c r="N14" s="117" t="n">
        <x:f>IF(AND(YEAR(N$3)=YEAR($B$8),MONTH(N$3)=MONTH($B$8)),SUM('Продажи'!$D$95:'Продажи'!M$95),0)+'ОБЪЕКТЫ'!N119</x:f>
      </x:c>
      <x:c r="O14" s="117" t="n">
        <x:f>IF(AND(YEAR(O$3)=YEAR($B$8),MONTH(O$3)=MONTH($B$8)),SUM('Продажи'!$D$95:'Продажи'!N$95),0)+'ОБЪЕКТЫ'!O119</x:f>
      </x:c>
      <x:c r="P14" s="117" t="n">
        <x:f>IF(AND(YEAR(P$3)=YEAR($B$8),MONTH(P$3)=MONTH($B$8)),SUM('Продажи'!$D$95:'Продажи'!O$95),0)+'ОБЪЕКТЫ'!P119</x:f>
      </x:c>
      <x:c r="Q14" s="117" t="n">
        <x:f>IF(AND(YEAR(Q$3)=YEAR($B$8),MONTH(Q$3)=MONTH($B$8)),SUM('Продажи'!$D$95:'Продажи'!P$95),0)+'ОБЪЕКТЫ'!Q119</x:f>
      </x:c>
      <x:c r="R14" s="117" t="n">
        <x:f>IF(AND(YEAR(R$3)=YEAR($B$8),MONTH(R$3)=MONTH($B$8)),SUM('Продажи'!$D$95:'Продажи'!Q$95),0)+'ОБЪЕКТЫ'!R119</x:f>
      </x:c>
      <x:c r="S14" s="117" t="n">
        <x:f>IF(AND(YEAR(S$3)=YEAR($B$8),MONTH(S$3)=MONTH($B$8)),SUM('Продажи'!$D$95:'Продажи'!R$95),0)+'ОБЪЕКТЫ'!S119</x:f>
      </x:c>
      <x:c r="T14" s="117" t="n">
        <x:f>IF(AND(YEAR(T$3)=YEAR($B$8),MONTH(T$3)=MONTH($B$8)),SUM('Продажи'!$D$95:'Продажи'!S$95),0)+'ОБЪЕКТЫ'!T119</x:f>
      </x:c>
      <x:c r="U14" s="117" t="n">
        <x:f>IF(AND(YEAR(U$3)=YEAR($B$8),MONTH(U$3)=MONTH($B$8)),SUM('Продажи'!$D$95:'Продажи'!T$95),0)+'ОБЪЕКТЫ'!U119</x:f>
      </x:c>
      <x:c r="V14" s="117" t="n">
        <x:f>IF(AND(YEAR(V$3)=YEAR($B$8),MONTH(V$3)=MONTH($B$8)),SUM('Продажи'!$D$95:'Продажи'!U$95),0)+'ОБЪЕКТЫ'!V119</x:f>
      </x:c>
      <x:c r="W14" s="117" t="n">
        <x:f>IF(AND(YEAR(W$3)=YEAR($B$8),MONTH(W$3)=MONTH($B$8)),SUM('Продажи'!$D$95:'Продажи'!V$95),0)+'ОБЪЕКТЫ'!W119</x:f>
      </x:c>
      <x:c r="X14" s="117" t="n">
        <x:f>IF(AND(YEAR(X$3)=YEAR($B$8),MONTH(X$3)=MONTH($B$8)),SUM('Продажи'!$D$95:'Продажи'!W$95),0)+'ОБЪЕКТЫ'!X119</x:f>
      </x:c>
      <x:c r="Y14" s="117" t="n">
        <x:f>IF(AND(YEAR(Y$3)=YEAR($B$8),MONTH(Y$3)=MONTH($B$8)),SUM('Продажи'!$D$95:'Продажи'!X$95),0)+'ОБЪЕКТЫ'!Y119</x:f>
      </x:c>
      <x:c r="Z14" s="117" t="n">
        <x:f>IF(AND(YEAR(Z$3)=YEAR($B$8),MONTH(Z$3)=MONTH($B$8)),SUM('Продажи'!$D$95:'Продажи'!Y$95),0)+'ОБЪЕКТЫ'!Z119</x:f>
      </x:c>
      <x:c r="AA14" s="117" t="n">
        <x:f>IF(AND(YEAR(AA$3)=YEAR($B$8),MONTH(AA$3)=MONTH($B$8)),SUM('Продажи'!$D$95:'Продажи'!Z$95),0)+'ОБЪЕКТЫ'!AA119</x:f>
      </x:c>
      <x:c r="AB14" s="117" t="n">
        <x:f>IF(AND(YEAR(AB$3)=YEAR($B$8),MONTH(AB$3)=MONTH($B$8)),SUM('Продажи'!$D$95:'Продажи'!AA$95),0)+'ОБЪЕКТЫ'!AB119</x:f>
      </x:c>
      <x:c r="AC14" s="117" t="n">
        <x:f>IF(AND(YEAR(AC$3)=YEAR($B$8),MONTH(AC$3)=MONTH($B$8)),SUM('Продажи'!$D$95:'Продажи'!AB$95),0)+'ОБЪЕКТЫ'!AC119</x:f>
      </x:c>
      <x:c r="AD14" s="117" t="n">
        <x:f>IF(AND(YEAR(AD$3)=YEAR($B$8),MONTH(AD$3)=MONTH($B$8)),SUM('Продажи'!$D$95:'Продажи'!AC$95),0)+'ОБЪЕКТЫ'!AD119</x:f>
      </x:c>
      <x:c r="AE14" s="117" t="n">
        <x:f>IF(AND(YEAR(AE$3)=YEAR($B$8),MONTH(AE$3)=MONTH($B$8)),SUM('Продажи'!$D$95:'Продажи'!AD$95),0)+'ОБЪЕКТЫ'!AE119</x:f>
      </x:c>
      <x:c r="AF14" s="117" t="n">
        <x:f>IF(AND(YEAR(AF$3)=YEAR($B$8),MONTH(AF$3)=MONTH($B$8)),SUM('Продажи'!$D$95:'Продажи'!AE$95),0)+'ОБЪЕКТЫ'!AF119</x:f>
      </x:c>
      <x:c r="AG14" s="117" t="n">
        <x:f>IF(AND(YEAR(AG$3)=YEAR($B$8),MONTH(AG$3)=MONTH($B$8)),SUM('Продажи'!$D$95:'Продажи'!AF$95),0)+'ОБЪЕКТЫ'!AG119</x:f>
      </x:c>
      <x:c r="AH14" s="117" t="n">
        <x:f>IF(AND(YEAR(AH$3)=YEAR($B$8),MONTH(AH$3)=MONTH($B$8)),SUM('Продажи'!$D$95:'Продажи'!AG$95),0)+'ОБЪЕКТЫ'!AH119</x:f>
      </x:c>
      <x:c r="AI14" s="117" t="n">
        <x:f>IF(AND(YEAR(AI$3)=YEAR($B$8),MONTH(AI$3)=MONTH($B$8)),SUM('Продажи'!$D$95:'Продажи'!AH$95),0)+'ОБЪЕКТЫ'!AI119</x:f>
      </x:c>
      <x:c r="AJ14" s="117" t="n">
        <x:f>IF(AND(YEAR(AJ$3)=YEAR($B$8),MONTH(AJ$3)=MONTH($B$8)),SUM('Продажи'!$D$95:'Продажи'!AI$95),0)+'ОБЪЕКТЫ'!AJ119</x:f>
      </x:c>
      <x:c r="AK14" s="117" t="n">
        <x:f>IF(AND(YEAR(AK$3)=YEAR($B$8),MONTH(AK$3)=MONTH($B$8)),SUM('Продажи'!$D$95:'Продажи'!AJ$95),0)+'ОБЪЕКТЫ'!AK119</x:f>
      </x:c>
      <x:c r="AL14" s="117" t="n">
        <x:f>IF(AND(YEAR(AL$3)=YEAR($B$8),MONTH(AL$3)=MONTH($B$8)),SUM('Продажи'!$D$95:'Продажи'!AK$95),0)+'ОБЪЕКТЫ'!AL119</x:f>
      </x:c>
      <x:c r="AM14" s="117" t="n">
        <x:f>IF(AND(YEAR(AM$3)=YEAR($B$8),MONTH(AM$3)=MONTH($B$8)),SUM('Продажи'!$D$95:'Продажи'!AL$95),0)+'ОБЪЕКТЫ'!AM119</x:f>
      </x:c>
      <x:c r="AN14" s="117" t="n">
        <x:f>IF(AND(YEAR(AN$3)=YEAR($B$8),MONTH(AN$3)=MONTH($B$8)),SUM('Продажи'!$D$95:'Продажи'!AM$95),0)+'ОБЪЕКТЫ'!AN119</x:f>
      </x:c>
      <x:c r="AO14" s="117" t="n">
        <x:f>IF(AND(YEAR(AO$3)=YEAR($B$8),MONTH(AO$3)=MONTH($B$8)),SUM('Продажи'!$D$95:'Продажи'!AN$95),0)+'ОБЪЕКТЫ'!AO119</x:f>
      </x:c>
      <x:c r="AP14" s="117" t="n">
        <x:f>IF(AND(YEAR(AP$3)=YEAR($B$8),MONTH(AP$3)=MONTH($B$8)),SUM('Продажи'!$D$95:'Продажи'!AO$95),0)+'ОБЪЕКТЫ'!AP119</x:f>
      </x:c>
      <x:c r="AQ14" s="117" t="n">
        <x:f>IF(AND(YEAR(AQ$3)=YEAR($B$8),MONTH(AQ$3)=MONTH($B$8)),SUM('Продажи'!$D$95:'Продажи'!AP$95),0)+'ОБЪЕКТЫ'!AQ119</x:f>
      </x:c>
      <x:c r="AR14" s="117" t="n">
        <x:f>IF(AND(YEAR(AR$3)=YEAR($B$8),MONTH(AR$3)=MONTH($B$8)),SUM('Продажи'!$D$95:'Продажи'!AQ$95),0)+'ОБЪЕКТЫ'!AR119</x:f>
      </x:c>
      <x:c r="AS14" s="117" t="n">
        <x:f>IF(AND(YEAR(AS$3)=YEAR($B$8),MONTH(AS$3)=MONTH($B$8)),SUM('Продажи'!$D$95:'Продажи'!AR$95),0)+'ОБЪЕКТЫ'!AS119</x:f>
      </x:c>
      <x:c r="AT14" s="117" t="n">
        <x:f>IF(AND(YEAR(AT$3)=YEAR($B$8),MONTH(AT$3)=MONTH($B$8)),SUM('Продажи'!$D$95:'Продажи'!AS$95),0)+'ОБЪЕКТЫ'!AT119</x:f>
      </x:c>
      <x:c r="AU14" s="117" t="n">
        <x:f>IF(AND(YEAR(AU$3)=YEAR($B$8),MONTH(AU$3)=MONTH($B$8)),SUM('Продажи'!$D$95:'Продажи'!AT$95),0)+'ОБЪЕКТЫ'!AU119</x:f>
      </x:c>
      <x:c r="AV14" s="117" t="n">
        <x:f>IF(AND(YEAR(AV$3)=YEAR($B$8),MONTH(AV$3)=MONTH($B$8)),SUM('Продажи'!$D$95:'Продажи'!AU$95),0)+'ОБЪЕКТЫ'!AV119</x:f>
      </x:c>
      <x:c r="AW14" s="117" t="n">
        <x:f>IF(AND(YEAR(AW$3)=YEAR($B$8),MONTH(AW$3)=MONTH($B$8)),SUM('Продажи'!$D$95:'Продажи'!AV$95),0)+'ОБЪЕКТЫ'!AW119</x:f>
      </x:c>
      <x:c r="AX14" s="117" t="n">
        <x:f>IF(AND(YEAR(AX$3)=YEAR($B$8),MONTH(AX$3)=MONTH($B$8)),SUM('Продажи'!$D$95:'Продажи'!AW$95),0)+'ОБЪЕКТЫ'!AX119</x:f>
      </x:c>
      <x:c r="AY14" s="117" t="n">
        <x:f>IF(AND(YEAR(AY$3)=YEAR($B$8),MONTH(AY$3)=MONTH($B$8)),SUM('Продажи'!$D$95:'Продажи'!AX$95),0)+'ОБЪЕКТЫ'!AY119</x:f>
      </x:c>
      <x:c r="AZ14" s="117" t="n">
        <x:f>IF(AND(YEAR(AZ$3)=YEAR($B$8),MONTH(AZ$3)=MONTH($B$8)),SUM('Продажи'!$D$95:'Продажи'!AY$95),0)+'ОБЪЕКТЫ'!AZ119</x:f>
      </x:c>
      <x:c r="BA14" s="117" t="n">
        <x:f>IF(AND(YEAR(BA$3)=YEAR($B$8),MONTH(BA$3)=MONTH($B$8)),SUM('Продажи'!$D$95:'Продажи'!AZ$95),0)+'ОБЪЕКТЫ'!BA119</x:f>
      </x:c>
      <x:c r="BB14" s="117" t="n">
        <x:f>IF(AND(YEAR(BB$3)=YEAR($B$8),MONTH(BB$3)=MONTH($B$8)),SUM('Продажи'!$D$95:'Продажи'!BA$95),0)+'ОБЪЕКТЫ'!BB119</x:f>
      </x:c>
      <x:c r="BC14" s="117" t="n">
        <x:f>IF(AND(YEAR(BC$3)=YEAR($B$8),MONTH(BC$3)=MONTH($B$8)),SUM('Продажи'!$D$95:'Продажи'!BB$95),0)+'ОБЪЕКТЫ'!BC119</x:f>
      </x:c>
      <x:c r="BD14" s="117" t="n">
        <x:f>IF(AND(YEAR(BD$3)=YEAR($B$8),MONTH(BD$3)=MONTH($B$8)),SUM('Продажи'!$D$95:'Продажи'!BC$95),0)+'ОБЪЕКТЫ'!BD119</x:f>
      </x:c>
      <x:c r="BE14" s="117" t="n">
        <x:f>IF(AND(YEAR(BE$3)=YEAR($B$8),MONTH(BE$3)=MONTH($B$8)),SUM('Продажи'!$D$95:'Продажи'!BD$95),0)+'ОБЪЕКТЫ'!BE119</x:f>
      </x:c>
      <x:c r="BF14" s="117" t="n">
        <x:f>IF(AND(YEAR(BF$3)=YEAR($B$8),MONTH(BF$3)=MONTH($B$8)),SUM('Продажи'!$D$95:'Продажи'!BE$95),0)+'ОБЪЕКТЫ'!BF119</x:f>
      </x:c>
      <x:c r="BG14" s="117" t="n">
        <x:f>IF(AND(YEAR(BG$3)=YEAR($B$8),MONTH(BG$3)=MONTH($B$8)),SUM('Продажи'!$D$95:'Продажи'!BF$95),0)+'ОБЪЕКТЫ'!BG119</x:f>
      </x:c>
      <x:c r="BH14" s="117" t="n">
        <x:f>IF(AND(YEAR(BH$3)=YEAR($B$8),MONTH(BH$3)=MONTH($B$8)),SUM('Продажи'!$D$95:'Продажи'!BG$95),0)+'ОБЪЕКТЫ'!BH119</x:f>
      </x:c>
      <x:c r="BI14" s="117" t="n">
        <x:f>IF(AND(YEAR(BI$3)=YEAR($B$8),MONTH(BI$3)=MONTH($B$8)),SUM('Продажи'!$D$95:'Продажи'!BH$95),0)+'ОБЪЕКТЫ'!BI119</x:f>
      </x:c>
      <x:c r="BJ14" s="117" t="n">
        <x:f>IF(AND(YEAR(BJ$3)=YEAR($B$8),MONTH(BJ$3)=MONTH($B$8)),SUM('Продажи'!$D$95:'Продажи'!BI$95),0)+'ОБЪЕКТЫ'!BJ119</x:f>
      </x:c>
      <x:c r="BK14" s="117" t="n">
        <x:f>IF(AND(YEAR(BK$3)=YEAR($B$8),MONTH(BK$3)=MONTH($B$8)),SUM('Продажи'!$D$95:'Продажи'!BJ$95),0)+'ОБЪЕКТЫ'!BK119</x:f>
      </x:c>
      <x:c r="BL14" s="117" t="n">
        <x:f>IF(AND(YEAR(BL$3)=YEAR($B$8),MONTH(BL$3)=MONTH($B$8)),SUM('Продажи'!$D$95:'Продажи'!BK$95),0)+'ОБЪЕКТЫ'!BL119</x:f>
      </x:c>
      <x:c r="BM14" s="117" t="n">
        <x:f>IF(AND(YEAR(BM$3)=YEAR($B$8),MONTH(BM$3)=MONTH($B$8)),SUM('Продажи'!$D$95:'Продажи'!BL$95),0)+'ОБЪЕКТЫ'!BM119</x:f>
      </x:c>
      <x:c r="BN14" s="117" t="n">
        <x:f>IF(AND(YEAR(BN$3)=YEAR($B$8),MONTH(BN$3)=MONTH($B$8)),SUM('Продажи'!$D$95:'Продажи'!BM$95),0)+'ОБЪЕКТЫ'!BN119</x:f>
      </x:c>
      <x:c r="BO14" s="117" t="n">
        <x:f>IF(AND(YEAR(BO$3)=YEAR($B$8),MONTH(BO$3)=MONTH($B$8)),SUM('Продажи'!$D$95:'Продажи'!BN$95),0)+'ОБЪЕКТЫ'!BO119</x:f>
      </x:c>
      <x:c r="BP14" s="117" t="n">
        <x:f>IF(AND(YEAR(BP$3)=YEAR($B$8),MONTH(BP$3)=MONTH($B$8)),SUM('Продажи'!$D$95:'Продажи'!BO$95),0)+'ОБЪЕКТЫ'!BP119</x:f>
      </x:c>
      <x:c r="BQ14" s="117" t="n">
        <x:f>IF(AND(YEAR(BQ$3)=YEAR($B$8),MONTH(BQ$3)=MONTH($B$8)),SUM('Продажи'!$D$95:'Продажи'!BP$95),0)+'ОБЪЕКТЫ'!BQ119</x:f>
      </x:c>
      <x:c r="BR14" s="117" t="n">
        <x:f>IF(AND(YEAR(BR$3)=YEAR($B$8),MONTH(BR$3)=MONTH($B$8)),SUM('Продажи'!$D$95:'Продажи'!BQ$95),0)+'ОБЪЕКТЫ'!BR119</x:f>
      </x:c>
      <x:c r="BS14" s="117" t="n">
        <x:f>IF(AND(YEAR(BS$3)=YEAR($B$8),MONTH(BS$3)=MONTH($B$8)),SUM('Продажи'!$D$95:'Продажи'!BR$95),0)+'ОБЪЕКТЫ'!BS119</x:f>
      </x:c>
      <x:c r="BT14" s="117" t="n">
        <x:f>IF(AND(YEAR(BT$3)=YEAR($B$8),MONTH(BT$3)=MONTH($B$8)),SUM('Продажи'!$D$95:'Продажи'!BS$95),0)+'ОБЪЕКТЫ'!BT119</x:f>
      </x:c>
      <x:c r="BU14" s="117" t="n">
        <x:f>IF(AND(YEAR(BU$3)=YEAR($B$8),MONTH(BU$3)=MONTH($B$8)),SUM('Продажи'!$D$95:'Продажи'!BT$95),0)+'ОБЪЕКТЫ'!BU119</x:f>
      </x:c>
      <x:c r="BV14" s="117" t="n">
        <x:f>IF(AND(YEAR(BV$3)=YEAR($B$8),MONTH(BV$3)=MONTH($B$8)),SUM('Продажи'!$D$95:'Продажи'!BU$95),0)+'ОБЪЕКТЫ'!BV119</x:f>
      </x:c>
      <x:c r="BW14" s="117" t="n">
        <x:f>IF(AND(YEAR(BW$3)=YEAR($B$8),MONTH(BW$3)=MONTH($B$8)),SUM('Продажи'!$D$95:'Продажи'!BV$95),0)+'ОБЪЕКТЫ'!BW119</x:f>
      </x:c>
      <x:c r="BX14" s="117" t="n">
        <x:f>IF(AND(YEAR(BX$3)=YEAR($B$8),MONTH(BX$3)=MONTH($B$8)),SUM('Продажи'!$D$95:'Продажи'!BW$95),0)+'ОБЪЕКТЫ'!BX119</x:f>
      </x:c>
      <x:c r="BY14" s="117" t="n">
        <x:f>IF(AND(YEAR(BY$3)=YEAR($B$8),MONTH(BY$3)=MONTH($B$8)),SUM('Продажи'!$D$95:'Продажи'!BX$95),0)+'ОБЪЕКТЫ'!BY119</x:f>
      </x:c>
      <x:c r="BZ14" s="117" t="n">
        <x:f>IF(AND(YEAR(BZ$3)=YEAR($B$8),MONTH(BZ$3)=MONTH($B$8)),SUM('Продажи'!$D$95:'Продажи'!BY$95),0)+'ОБЪЕКТЫ'!BZ119</x:f>
      </x:c>
      <x:c r="CA14" s="117" t="n">
        <x:f>IF(AND(YEAR(CA$3)=YEAR($B$8),MONTH(CA$3)=MONTH($B$8)),SUM('Продажи'!$D$95:'Продажи'!BZ$95),0)+'ОБЪЕКТЫ'!CA119</x:f>
      </x:c>
      <x:c r="CB14" s="117" t="n">
        <x:f>IF(AND(YEAR(CB$3)=YEAR($B$8),MONTH(CB$3)=MONTH($B$8)),SUM('Продажи'!$D$95:'Продажи'!CA$95),0)+'ОБЪЕКТЫ'!CB119</x:f>
      </x:c>
      <x:c r="CC14" s="117" t="n">
        <x:f>IF(AND(YEAR(CC$3)=YEAR($B$8),MONTH(CC$3)=MONTH($B$8)),SUM('Продажи'!$D$95:'Продажи'!CB$95),0)+'ОБЪЕКТЫ'!CC119</x:f>
      </x:c>
      <x:c r="CD14" s="117" t="n">
        <x:f>IF(AND(YEAR(CD$3)=YEAR($B$8),MONTH(CD$3)=MONTH($B$8)),SUM('Продажи'!$D$95:'Продажи'!CC$95),0)+'ОБЪЕКТЫ'!CD119</x:f>
      </x:c>
      <x:c r="CE14" s="117" t="n">
        <x:f>IF(AND(YEAR(CE$3)=YEAR($B$8),MONTH(CE$3)=MONTH($B$8)),SUM('Продажи'!$D$95:'Продажи'!CD$95),0)+'ОБЪЕКТЫ'!CE119</x:f>
      </x:c>
      <x:c r="CF14" s="117" t="n">
        <x:f>IF(AND(YEAR(CF$3)=YEAR($B$8),MONTH(CF$3)=MONTH($B$8)),SUM('Продажи'!$D$95:'Продажи'!CE$95),0)+'ОБЪЕКТЫ'!CF119</x:f>
      </x:c>
      <x:c r="CG14" s="117" t="n">
        <x:f>IF(AND(YEAR(CG$3)=YEAR($B$8),MONTH(CG$3)=MONTH($B$8)),SUM('Продажи'!$D$95:'Продажи'!CF$95),0)+'ОБЪЕКТЫ'!CG119</x:f>
      </x:c>
      <x:c r="CH14" s="117" t="n">
        <x:f>IF(AND(YEAR(CH$3)=YEAR($B$8),MONTH(CH$3)=MONTH($B$8)),SUM('Продажи'!$D$95:'Продажи'!CG$95),0)+'ОБЪЕКТЫ'!CH119</x:f>
      </x:c>
      <x:c r="CI14" s="117" t="n">
        <x:f>IF(AND(YEAR(CI$3)=YEAR($B$8),MONTH(CI$3)=MONTH($B$8)),SUM('Продажи'!$D$95:'Продажи'!CH$95),0)+'ОБЪЕКТЫ'!CI119</x:f>
      </x:c>
      <x:c r="CJ14" s="117" t="n">
        <x:f>IF(AND(YEAR(CJ$3)=YEAR($B$8),MONTH(CJ$3)=MONTH($B$8)),SUM('Продажи'!$D$95:'Продажи'!CI$95),0)+'ОБЪЕКТЫ'!CJ119</x:f>
      </x:c>
      <x:c r="CK14" s="117" t="n">
        <x:f>IF(AND(YEAR(CK$3)=YEAR($B$8),MONTH(CK$3)=MONTH($B$8)),SUM('Продажи'!$D$95:'Продажи'!CJ$95),0)+'ОБЪЕКТЫ'!CK119</x:f>
      </x:c>
      <x:c r="CL14" s="117" t="n">
        <x:f>IF(AND(YEAR(CL$3)=YEAR($B$8),MONTH(CL$3)=MONTH($B$8)),SUM('Продажи'!$D$95:'Продажи'!CK$95),0)+'ОБЪЕКТЫ'!CL119</x:f>
      </x:c>
      <x:c r="CM14" s="117" t="n">
        <x:f>IF(AND(YEAR(CM$3)=YEAR($B$8),MONTH(CM$3)=MONTH($B$8)),SUM('Продажи'!$D$95:'Продажи'!CL$95),0)+'ОБЪЕКТЫ'!CM119</x:f>
      </x:c>
      <x:c r="CN14" s="117" t="n">
        <x:f>IF(AND(YEAR(CN$3)=YEAR($B$8),MONTH(CN$3)=MONTH($B$8)),SUM('Продажи'!$D$95:'Продажи'!CM$95),0)+'ОБЪЕКТЫ'!CN119</x:f>
      </x:c>
      <x:c r="CO14" s="117" t="n">
        <x:f>IF(AND(YEAR(CO$3)=YEAR($B$8),MONTH(CO$3)=MONTH($B$8)),SUM('Продажи'!$D$95:'Продажи'!CN$95),0)+'ОБЪЕКТЫ'!CO119</x:f>
      </x:c>
      <x:c r="CP14" s="117" t="n">
        <x:f>IF(AND(YEAR(CP$3)=YEAR($B$8),MONTH(CP$3)=MONTH($B$8)),SUM('Продажи'!$D$95:'Продажи'!CO$95),0)+'ОБЪЕКТЫ'!CP119</x:f>
      </x:c>
      <x:c r="CQ14" s="117" t="n">
        <x:f>IF(AND(YEAR(CQ$3)=YEAR($B$8),MONTH(CQ$3)=MONTH($B$8)),SUM('Продажи'!$D$95:'Продажи'!CP$95),0)+'ОБЪЕКТЫ'!CQ119</x:f>
      </x:c>
      <x:c r="CR14" s="117" t="n">
        <x:f>IF(AND(YEAR(CR$3)=YEAR($B$8),MONTH(CR$3)=MONTH($B$8)),SUM('Продажи'!$D$95:'Продажи'!CQ$95),0)+'ОБЪЕКТЫ'!CR119</x:f>
      </x:c>
      <x:c r="CS14" s="117" t="n">
        <x:f>IF(AND(YEAR(CS$3)=YEAR($B$8),MONTH(CS$3)=MONTH($B$8)),SUM('Продажи'!$D$95:'Продажи'!CR$95),0)+'ОБЪЕКТЫ'!CS119</x:f>
      </x:c>
      <x:c r="CT14" s="117" t="n">
        <x:f>IF(AND(YEAR(CT$3)=YEAR($B$8),MONTH(CT$3)=MONTH($B$8)),SUM('Продажи'!$D$95:'Продажи'!CS$95),0)+'ОБЪЕКТЫ'!CT119</x:f>
      </x:c>
      <x:c r="CU14" s="117" t="n">
        <x:f>IF(AND(YEAR(CU$3)=YEAR($B$8),MONTH(CU$3)=MONTH($B$8)),SUM('Продажи'!$D$95:'Продажи'!CT$95),0)+'ОБЪЕКТЫ'!CU119</x:f>
      </x:c>
      <x:c r="CV14" s="117" t="n">
        <x:f>IF(AND(YEAR(CV$3)=YEAR($B$8),MONTH(CV$3)=MONTH($B$8)),SUM('Продажи'!$D$95:'Продажи'!CU$95),0)+'ОБЪЕКТЫ'!CV119</x:f>
      </x:c>
      <x:c r="CW14" s="117" t="n">
        <x:f>IF(AND(YEAR(CW$3)=YEAR($B$8),MONTH(CW$3)=MONTH($B$8)),SUM('Продажи'!$D$95:'Продажи'!CV$95),0)+'ОБЪЕКТЫ'!CW119</x:f>
      </x:c>
      <x:c r="CX14" s="117" t="n">
        <x:f>IF(AND(YEAR(CX$3)=YEAR($B$8),MONTH(CX$3)=MONTH($B$8)),SUM('Продажи'!$D$95:'Продажи'!CW$95),0)+'ОБЪЕКТЫ'!CX119</x:f>
      </x:c>
      <x:c r="CY14" s="117" t="n">
        <x:f>IF(AND(YEAR(CY$3)=YEAR($B$8),MONTH(CY$3)=MONTH($B$8)),SUM('Продажи'!$D$95:'Продажи'!CX$95),0)+'ОБЪЕКТЫ'!CY119</x:f>
      </x:c>
      <x:c r="CZ14" s="117" t="n">
        <x:f>IF(AND(YEAR(CZ$3)=YEAR($B$8),MONTH(CZ$3)=MONTH($B$8)),SUM('Продажи'!$D$95:'Продажи'!CY$95),0)+'ОБЪЕКТЫ'!CZ119</x:f>
      </x:c>
      <x:c r="DA14" s="117" t="n">
        <x:f>IF(AND(YEAR(DA$3)=YEAR($B$8),MONTH(DA$3)=MONTH($B$8)),SUM('Продажи'!$D$95:'Продажи'!CZ$95),0)+'ОБЪЕКТЫ'!DA119</x:f>
      </x:c>
      <x:c r="DB14" s="117" t="n">
        <x:f>IF(AND(YEAR(DB$3)=YEAR($B$8),MONTH(DB$3)=MONTH($B$8)),SUM('Продажи'!$D$95:'Продажи'!DA$95),0)+'ОБЪЕКТЫ'!DB119</x:f>
      </x:c>
      <x:c r="DC14" s="117" t="n">
        <x:f>IF(AND(YEAR(DC$3)=YEAR($B$8),MONTH(DC$3)=MONTH($B$8)),SUM('Продажи'!$D$95:'Продажи'!DB$95),0)+'ОБЪЕКТЫ'!DC119</x:f>
      </x:c>
      <x:c r="DD14" s="117" t="n">
        <x:f>IF(AND(YEAR(DD$3)=YEAR($B$8),MONTH(DD$3)=MONTH($B$8)),SUM('Продажи'!$D$95:'Продажи'!DC$95),0)+'ОБЪЕКТЫ'!DD119</x:f>
      </x:c>
      <x:c r="DE14" s="117" t="n">
        <x:f>IF(AND(YEAR(DE$3)=YEAR($B$8),MONTH(DE$3)=MONTH($B$8)),SUM('Продажи'!$D$95:'Продажи'!DD$95),0)+'ОБЪЕКТЫ'!DE119</x:f>
      </x:c>
      <x:c r="DF14" s="117" t="n">
        <x:f>IF(AND(YEAR(DF$3)=YEAR($B$8),MONTH(DF$3)=MONTH($B$8)),SUM('Продажи'!$D$95:'Продажи'!DE$95),0)+'ОБЪЕКТЫ'!DF119</x:f>
      </x:c>
      <x:c r="DG14" s="117" t="n">
        <x:f>IF(AND(YEAR(DG$3)=YEAR($B$8),MONTH(DG$3)=MONTH($B$8)),SUM('Продажи'!$D$95:'Продажи'!DF$95),0)+'ОБЪЕКТЫ'!DG119</x:f>
      </x:c>
      <x:c r="DH14" s="117" t="n">
        <x:f>IF(AND(YEAR(DH$3)=YEAR($B$8),MONTH(DH$3)=MONTH($B$8)),SUM('Продажи'!$D$95:'Продажи'!DG$95),0)+'ОБЪЕКТЫ'!DH119</x:f>
      </x:c>
      <x:c r="DI14" s="117" t="n">
        <x:f>IF(AND(YEAR(DI$3)=YEAR($B$8),MONTH(DI$3)=MONTH($B$8)),SUM('Продажи'!$D$95:'Продажи'!DH$95),0)+'ОБЪЕКТЫ'!DI119</x:f>
      </x:c>
      <x:c r="DJ14" s="117" t="n">
        <x:f>IF(AND(YEAR(DJ$3)=YEAR($B$8),MONTH(DJ$3)=MONTH($B$8)),SUM('Продажи'!$D$95:'Продажи'!DI$95),0)+'ОБЪЕКТЫ'!DJ119</x:f>
      </x:c>
      <x:c r="DK14" s="117" t="n">
        <x:f>IF(AND(YEAR(DK$3)=YEAR($B$8),MONTH(DK$3)=MONTH($B$8)),SUM('Продажи'!$D$95:'Продажи'!DJ$95),0)+'ОБЪЕКТЫ'!DK119</x:f>
      </x:c>
      <x:c r="DL14" s="117" t="n">
        <x:f>IF(AND(YEAR(DL$3)=YEAR($B$8),MONTH(DL$3)=MONTH($B$8)),SUM('Продажи'!$D$95:'Продажи'!DK$95),0)+'ОБЪЕКТЫ'!DL119</x:f>
      </x:c>
      <x:c r="DM14" s="117" t="n">
        <x:f>IF(AND(YEAR(DM$3)=YEAR($B$8),MONTH(DM$3)=MONTH($B$8)),SUM('Продажи'!$D$95:'Продажи'!DL$95),0)+'ОБЪЕКТЫ'!DM119</x:f>
      </x:c>
      <x:c r="DN14" s="117" t="n">
        <x:f>IF(AND(YEAR(DN$3)=YEAR($B$8),MONTH(DN$3)=MONTH($B$8)),SUM('Продажи'!$D$95:'Продажи'!DM$95),0)+'ОБЪЕКТЫ'!DN119</x:f>
      </x:c>
      <x:c r="DO14" s="117" t="n">
        <x:f>IF(AND(YEAR(DO$3)=YEAR($B$8),MONTH(DO$3)=MONTH($B$8)),SUM('Продажи'!$D$95:'Продажи'!DN$95),0)+'ОБЪЕКТЫ'!DO119</x:f>
      </x:c>
      <x:c r="DP14" s="117" t="n">
        <x:f>IF(AND(YEAR(DP$3)=YEAR($B$8),MONTH(DP$3)=MONTH($B$8)),SUM('Продажи'!$D$95:'Продажи'!DO$95),0)+'ОБЪЕКТЫ'!DP119</x:f>
      </x:c>
      <x:c r="DQ14" s="117" t="n">
        <x:f>IF(AND(YEAR(DQ$3)=YEAR($B$8),MONTH(DQ$3)=MONTH($B$8)),SUM('Продажи'!$D$95:'Продажи'!DP$95),0)+'ОБЪЕКТЫ'!DQ119</x:f>
      </x:c>
      <x:c r="DR14" s="117" t="n">
        <x:f>IF(AND(YEAR(DR$3)=YEAR($B$8),MONTH(DR$3)=MONTH($B$8)),SUM('Продажи'!$D$95:'Продажи'!DQ$95),0)+'ОБЪЕКТЫ'!DR119</x:f>
      </x:c>
      <x:c r="DS14" s="117" t="n">
        <x:f>IF(AND(YEAR(DS$3)=YEAR($B$8),MONTH(DS$3)=MONTH($B$8)),SUM('Продажи'!$D$95:'Продажи'!DR$95),0)+'ОБЪЕКТЫ'!DS119</x:f>
      </x:c>
      <x:c r="DT14" s="117" t="n">
        <x:f>IF(AND(YEAR(DT$3)=YEAR($B$8),MONTH(DT$3)=MONTH($B$8)),SUM('Продажи'!$D$95:'Продажи'!GA$95),0)+'ОБЪЕКТЫ'!DT119</x:f>
      </x:c>
      <x:c r="DU14" s="117" t="n">
        <x:f>IF(AND(YEAR(DU$3)=YEAR($B$8),MONTH(DU$3)=MONTH($B$8)),SUM('Продажи'!$D$95:'Продажи'!DT$95),0)+'ОБЪЕКТЫ'!DU119</x:f>
      </x:c>
      <x:c r="DV14" s="117" t="n">
        <x:f>IF(AND(YEAR(DV$3)=YEAR($B$8),MONTH(DV$3)=MONTH($B$8)),SUM('Продажи'!$D$95:'Продажи'!DU$95),0)+'ОБЪЕКТЫ'!DV119</x:f>
      </x:c>
      <x:c r="DW14" s="117" t="n">
        <x:f>IF(AND(YEAR(DW$3)=YEAR($B$8),MONTH(DW$3)=MONTH($B$8)),SUM('Продажи'!$D$95:'Продажи'!DV$95),0)+'ОБЪЕКТЫ'!DW119</x:f>
      </x:c>
      <x:c r="DX14" s="117" t="n">
        <x:f>IF(AND(YEAR(DX$3)=YEAR($B$8),MONTH(DX$3)=MONTH($B$8)),SUM('Продажи'!$D$95:'Продажи'!DW$95),0)+'ОБЪЕКТЫ'!DX119</x:f>
      </x:c>
      <x:c r="DY14" s="117" t="n">
        <x:f>IF(AND(YEAR(DY$3)=YEAR($B$8),MONTH(DY$3)=MONTH($B$8)),SUM('Продажи'!$D$95:'Продажи'!DX$95),0)+'ОБЪЕКТЫ'!DY119</x:f>
      </x:c>
      <x:c r="DZ14" s="117" t="n">
        <x:f>IF(AND(YEAR(DZ$3)=YEAR($B$8),MONTH(DZ$3)=MONTH($B$8)),SUM('Продажи'!$D$95:'Продажи'!DY$95),0)+'ОБЪЕКТЫ'!DZ119</x:f>
      </x:c>
      <x:c r="EA14" s="117" t="n">
        <x:f>IF(AND(YEAR(EA$3)=YEAR($B$8),MONTH(EA$3)=MONTH($B$8)),SUM('Продажи'!$D$95:'Продажи'!DZ$95),0)+'ОБЪЕКТЫ'!EA119</x:f>
      </x:c>
      <x:c r="EB14" s="117" t="n">
        <x:f>IF(AND(YEAR(EB$3)=YEAR($B$8),MONTH(EB$3)=MONTH($B$8)),SUM('Продажи'!$D$95:'Продажи'!EA$95),0)+'ОБЪЕКТЫ'!EB119</x:f>
      </x:c>
      <x:c r="EC14" s="117" t="n">
        <x:f>IF(AND(YEAR(EC$3)=YEAR($B$8),MONTH(EC$3)=MONTH($B$8)),SUM('Продажи'!$D$95:'Продажи'!EB$95),0)+'ОБЪЕКТЫ'!EC119</x:f>
      </x:c>
      <x:c r="ED14" s="117" t="n">
        <x:f>IF(AND(YEAR(ED$3)=YEAR($B$8),MONTH(ED$3)=MONTH($B$8)),SUM('Продажи'!$D$95:'Продажи'!EC$95),0)+'ОБЪЕКТЫ'!ED119</x:f>
      </x:c>
      <x:c r="EE14" s="117" t="n">
        <x:f>IF(AND(YEAR(EE$3)=YEAR($B$8),MONTH(EE$3)=MONTH($B$8)),SUM('Продажи'!$D$95:'Продажи'!ED$95),0)+'ОБЪЕКТЫ'!EE119</x:f>
      </x:c>
      <x:c r="EF14" s="117" t="n">
        <x:f>IF(AND(YEAR(EF$3)=YEAR($B$8),MONTH(EF$3)=MONTH($B$8)),SUM('Продажи'!$D$95:'Продажи'!EE$95),0)+'ОБЪЕКТЫ'!EF119</x:f>
      </x:c>
      <x:c r="EG14" s="117" t="n">
        <x:f>IF(AND(YEAR(EG$3)=YEAR($B$8),MONTH(EG$3)=MONTH($B$8)),SUM('Продажи'!$D$95:'Продажи'!EF$95),0)+'ОБЪЕКТЫ'!EG119</x:f>
      </x:c>
      <x:c r="EH14" s="117" t="n">
        <x:f>IF(AND(YEAR(EH$3)=YEAR($B$8),MONTH(EH$3)=MONTH($B$8)),SUM('Продажи'!$D$95:'Продажи'!EG$95),0)+'ОБЪЕКТЫ'!EH119</x:f>
      </x:c>
      <x:c r="EI14" s="117" t="n">
        <x:f>IF(AND(YEAR(EI$3)=YEAR($B$8),MONTH(EI$3)=MONTH($B$8)),SUM('Продажи'!$D$95:'Продажи'!EH$95),0)+'ОБЪЕКТЫ'!EI119</x:f>
      </x:c>
      <x:c r="EJ14" s="117" t="n">
        <x:f>IF(AND(YEAR(EJ$3)=YEAR($B$8),MONTH(EJ$3)=MONTH($B$8)),SUM('Продажи'!$D$95:'Продажи'!EI$95),0)+'ОБЪЕКТЫ'!EJ119</x:f>
      </x:c>
      <x:c r="EK14" s="117" t="n">
        <x:f>IF(AND(YEAR(EK$3)=YEAR($B$8),MONTH(EK$3)=MONTH($B$8)),SUM('Продажи'!$D$95:'Продажи'!EJ$95),0)+'ОБЪЕКТЫ'!EK119</x:f>
      </x:c>
      <x:c r="EL14" s="117" t="n">
        <x:f>IF(AND(YEAR(EL$3)=YEAR($B$8),MONTH(EL$3)=MONTH($B$8)),SUM('Продажи'!$D$95:'Продажи'!EK$95),0)+'ОБЪЕКТЫ'!EL119</x:f>
      </x:c>
      <x:c r="EM14" s="117" t="n">
        <x:f>IF(AND(YEAR(EM$3)=YEAR($B$8),MONTH(EM$3)=MONTH($B$8)),SUM('Продажи'!$D$95:'Продажи'!EL$95),0)+'ОБЪЕКТЫ'!EM119</x:f>
      </x:c>
      <x:c r="EN14" s="117" t="n">
        <x:f>IF(AND(YEAR(EN$3)=YEAR($B$8),MONTH(EN$3)=MONTH($B$8)),SUM('Продажи'!$D$95:'Продажи'!EM$95),0)+'ОБЪЕКТЫ'!EN119</x:f>
      </x:c>
      <x:c r="EO14" s="117" t="n">
        <x:f>IF(AND(YEAR(EO$3)=YEAR($B$8),MONTH(EO$3)=MONTH($B$8)),SUM('Продажи'!$D$95:'Продажи'!EN$95),0)+'ОБЪЕКТЫ'!EO119</x:f>
      </x:c>
      <x:c r="EP14" s="117" t="n">
        <x:f>IF(AND(YEAR(EP$3)=YEAR($B$8),MONTH(EP$3)=MONTH($B$8)),SUM('Продажи'!$D$95:'Продажи'!EO$95),0)+'ОБЪЕКТЫ'!EP119</x:f>
      </x:c>
      <x:c r="EQ14" s="117" t="n">
        <x:f>IF(AND(YEAR(EQ$3)=YEAR($B$8),MONTH(EQ$3)=MONTH($B$8)),SUM('Продажи'!$D$95:'Продажи'!EP$95),0)+'ОБЪЕКТЫ'!EQ119</x:f>
      </x:c>
      <x:c r="ER14" s="117" t="n">
        <x:f>IF(AND(YEAR(ER$3)=YEAR($B$8),MONTH(ER$3)=MONTH($B$8)),SUM('Продажи'!$D$95:'Продажи'!EQ$95),0)+'ОБЪЕКТЫ'!ER119</x:f>
      </x:c>
      <x:c r="ES14" s="117" t="n">
        <x:f>IF(AND(YEAR(ES$3)=YEAR($B$8),MONTH(ES$3)=MONTH($B$8)),SUM('Продажи'!$D$95:'Продажи'!ER$95),0)+'ОБЪЕКТЫ'!ES119</x:f>
      </x:c>
      <x:c r="ET14" s="117" t="n">
        <x:f>IF(AND(YEAR(ET$3)=YEAR($B$8),MONTH(ET$3)=MONTH($B$8)),SUM('Продажи'!$D$95:'Продажи'!ES$95),0)+'ОБЪЕКТЫ'!ET119</x:f>
      </x:c>
      <x:c r="EU14" s="117" t="n">
        <x:f>IF(AND(YEAR(EU$3)=YEAR($B$8),MONTH(EU$3)=MONTH($B$8)),SUM('Продажи'!$D$95:'Продажи'!ET$95),0)+'ОБЪЕКТЫ'!EU119</x:f>
      </x:c>
      <x:c r="EV14" s="117" t="n">
        <x:f>IF(AND(YEAR(EV$3)=YEAR($B$8),MONTH(EV$3)=MONTH($B$8)),SUM('Продажи'!$D$95:'Продажи'!EU$95),0)+'ОБЪЕКТЫ'!EV119</x:f>
      </x:c>
      <x:c r="EW14" s="117" t="n">
        <x:f>IF(AND(YEAR(EW$3)=YEAR($B$8),MONTH(EW$3)=MONTH($B$8)),SUM('Продажи'!$D$95:'Продажи'!EV$95),0)+'ОБЪЕКТЫ'!EW119</x:f>
      </x:c>
      <x:c r="EX14" s="117" t="n">
        <x:f>IF(AND(YEAR(EX$3)=YEAR($B$8),MONTH(EX$3)=MONTH($B$8)),SUM('Продажи'!$D$95:'Продажи'!EW$95),0)+'ОБЪЕКТЫ'!EX119</x:f>
      </x:c>
      <x:c r="EY14" s="117" t="n">
        <x:f>IF(AND(YEAR(EY$3)=YEAR($B$8),MONTH(EY$3)=MONTH($B$8)),SUM('Продажи'!$D$95:'Продажи'!EX$95),0)+'ОБЪЕКТЫ'!EY119</x:f>
      </x:c>
      <x:c r="EZ14" s="117" t="n">
        <x:f>IF(AND(YEAR(EZ$3)=YEAR($B$8),MONTH(EZ$3)=MONTH($B$8)),SUM('Продажи'!$D$95:'Продажи'!EY$95),0)+'ОБЪЕКТЫ'!EZ119</x:f>
      </x:c>
      <x:c r="FA14" s="117" t="n">
        <x:f>IF(AND(YEAR(FA$3)=YEAR($B$8),MONTH(FA$3)=MONTH($B$8)),SUM('Продажи'!$D$95:'Продажи'!EZ$95),0)+'ОБЪЕКТЫ'!FA119</x:f>
      </x:c>
      <x:c r="FB14" s="117" t="n">
        <x:f>IF(AND(YEAR(FB$3)=YEAR($B$8),MONTH(FB$3)=MONTH($B$8)),SUM('Продажи'!$D$95:'Продажи'!FA$95),0)+'ОБЪЕКТЫ'!FB119</x:f>
      </x:c>
      <x:c r="FC14" s="117" t="n">
        <x:f>IF(AND(YEAR(FC$3)=YEAR($B$8),MONTH(FC$3)=MONTH($B$8)),SUM('Продажи'!$D$95:'Продажи'!FB$95),0)+'ОБЪЕКТЫ'!FC119</x:f>
      </x:c>
      <x:c r="FD14" s="117" t="n">
        <x:f>IF(AND(YEAR(FD$3)=YEAR($B$8),MONTH(FD$3)=MONTH($B$8)),SUM('Продажи'!$D$95:'Продажи'!FC$95),0)+'ОБЪЕКТЫ'!FD119</x:f>
      </x:c>
      <x:c r="FE14" s="117" t="n">
        <x:f>IF(AND(YEAR(FE$3)=YEAR($B$8),MONTH(FE$3)=MONTH($B$8)),SUM('Продажи'!$D$95:'Продажи'!FD$95),0)+'ОБЪЕКТЫ'!FE119</x:f>
      </x:c>
      <x:c r="FF14" s="117" t="n">
        <x:f>IF(AND(YEAR(FF$3)=YEAR($B$8),MONTH(FF$3)=MONTH($B$8)),SUM('Продажи'!$D$95:'Продажи'!FE$95),0)+'ОБЪЕКТЫ'!FF119</x:f>
      </x:c>
      <x:c r="FG14" s="117" t="n">
        <x:f>IF(AND(YEAR(FG$3)=YEAR($B$8),MONTH(FG$3)=MONTH($B$8)),SUM('Продажи'!$D$95:'Продажи'!FF$95),0)+'ОБЪЕКТЫ'!FG119</x:f>
      </x:c>
      <x:c r="FH14" s="117" t="n">
        <x:f>IF(AND(YEAR(FH$3)=YEAR($B$8),MONTH(FH$3)=MONTH($B$8)),SUM('Продажи'!$D$95:'Продажи'!FG$95),0)+'ОБЪЕКТЫ'!FH119</x:f>
      </x:c>
      <x:c r="FI14" s="117" t="n">
        <x:f>IF(AND(YEAR(FI$3)=YEAR($B$8),MONTH(FI$3)=MONTH($B$8)),SUM('Продажи'!$D$95:'Продажи'!FH$95),0)+'ОБЪЕКТЫ'!FI119</x:f>
      </x:c>
      <x:c r="FJ14" s="117" t="n">
        <x:f>IF(AND(YEAR(FJ$3)=YEAR($B$8),MONTH(FJ$3)=MONTH($B$8)),SUM('Продажи'!$D$95:'Продажи'!FI$95),0)+'ОБЪЕКТЫ'!FJ119</x:f>
      </x:c>
      <x:c r="FK14" s="117" t="n">
        <x:f>IF(AND(YEAR(FK$3)=YEAR($B$8),MONTH(FK$3)=MONTH($B$8)),SUM('Продажи'!$D$95:'Продажи'!FJ$95),0)+'ОБЪЕКТЫ'!FK119</x:f>
      </x:c>
      <x:c r="FL14" s="117" t="n">
        <x:f>IF(AND(YEAR(FL$3)=YEAR($B$8),MONTH(FL$3)=MONTH($B$8)),SUM('Продажи'!$D$95:'Продажи'!FK$95),0)+'ОБЪЕКТЫ'!FL119</x:f>
      </x:c>
      <x:c r="FM14" s="117" t="n">
        <x:f>IF(AND(YEAR(FM$3)=YEAR($B$8),MONTH(FM$3)=MONTH($B$8)),SUM('Продажи'!$D$95:'Продажи'!FL$95),0)+'ОБЪЕКТЫ'!FM119</x:f>
      </x:c>
      <x:c r="FN14" s="117" t="n">
        <x:f>IF(AND(YEAR(FN$3)=YEAR($B$8),MONTH(FN$3)=MONTH($B$8)),SUM('Продажи'!$D$95:'Продажи'!FM$95),0)+'ОБЪЕКТЫ'!FN119</x:f>
      </x:c>
      <x:c r="FO14" s="117" t="n">
        <x:f>IF(AND(YEAR(FO$3)=YEAR($B$8),MONTH(FO$3)=MONTH($B$8)),SUM('Продажи'!$D$95:'Продажи'!FN$95),0)+'ОБЪЕКТЫ'!FO119</x:f>
      </x:c>
      <x:c r="FP14" s="117" t="n">
        <x:f>IF(AND(YEAR(FP$3)=YEAR($B$8),MONTH(FP$3)=MONTH($B$8)),SUM('Продажи'!$D$95:'Продажи'!FO$95),0)+'ОБЪЕКТЫ'!FP119</x:f>
      </x:c>
      <x:c r="FQ14" s="117" t="n">
        <x:f>IF(AND(YEAR(FQ$3)=YEAR($B$8),MONTH(FQ$3)=MONTH($B$8)),SUM('Продажи'!$D$95:'Продажи'!FP$95),0)+'ОБЪЕКТЫ'!FQ119</x:f>
      </x:c>
      <x:c r="FR14" s="117" t="n">
        <x:f>IF(AND(YEAR(FR$3)=YEAR($B$8),MONTH(FR$3)=MONTH($B$8)),SUM('Продажи'!$D$95:'Продажи'!FQ$95),0)+'ОБЪЕКТЫ'!FR119</x:f>
      </x:c>
      <x:c r="FS14" s="117" t="n">
        <x:f>IF(AND(YEAR(FS$3)=YEAR($B$8),MONTH(FS$3)=MONTH($B$8)),SUM('Продажи'!$D$95:'Продажи'!FR$95),0)+'ОБЪЕКТЫ'!FS119</x:f>
      </x:c>
      <x:c r="FT14" s="117" t="n">
        <x:f>IF(AND(YEAR(FT$3)=YEAR($B$8),MONTH(FT$3)=MONTH($B$8)),SUM('Продажи'!$D$95:'Продажи'!FS$95),0)+'ОБЪЕКТЫ'!FT119</x:f>
      </x:c>
      <x:c r="FU14" s="117" t="n">
        <x:f>IF(AND(YEAR(FU$3)=YEAR($B$8),MONTH(FU$3)=MONTH($B$8)),SUM('Продажи'!$D$95:'Продажи'!FT$95),0)+'ОБЪЕКТЫ'!FU119</x:f>
      </x:c>
      <x:c r="FV14" s="117" t="n">
        <x:f>IF(AND(YEAR(FV$3)=YEAR($B$8),MONTH(FV$3)=MONTH($B$8)),SUM('Продажи'!$D$95:'Продажи'!FU$95),0)+'ОБЪЕКТЫ'!FV119</x:f>
      </x:c>
      <x:c r="FW14" s="117" t="n">
        <x:f>IF(AND(YEAR(FW$3)=YEAR($B$8),MONTH(FW$3)=MONTH($B$8)),SUM('Продажи'!$D$95:'Продажи'!FV$95),0)+'ОБЪЕКТЫ'!FW119</x:f>
      </x:c>
      <x:c r="FX14" s="117" t="n">
        <x:f>IF(AND(YEAR(FX$3)=YEAR($B$8),MONTH(FX$3)=MONTH($B$8)),SUM('Продажи'!$D$95:'Продажи'!FW$95),0)+'ОБЪЕКТЫ'!FX119</x:f>
      </x:c>
      <x:c r="FY14" s="117" t="n">
        <x:f>IF(AND(YEAR(FY$3)=YEAR($B$8),MONTH(FY$3)=MONTH($B$8)),SUM('Продажи'!$D$95:'Продажи'!FX$95),0)+'ОБЪЕКТЫ'!FY119</x:f>
      </x:c>
      <x:c r="FZ14" s="117" t="n">
        <x:f>IF(AND(YEAR(FZ$3)=YEAR($B$8),MONTH(FZ$3)=MONTH($B$8)),SUM('Продажи'!$D$95:'Продажи'!FY$95),0)+'ОБЪЕКТЫ'!FZ119</x:f>
      </x:c>
      <x:c r="GA14" s="117" t="n">
        <x:f>IF(AND(YEAR(GA$3)=YEAR($B$8),MONTH(GA$3)=MONTH($B$8)),SUM('Продажи'!$D$95:'Продажи'!FZ$95),0)+'ОБЪЕКТЫ'!GA119</x:f>
      </x:c>
    </x:row>
    <x:row r="15">
      <x:c r="A15" t="str">
        <x:v>Эскроу на конец</x:v>
      </x:c>
      <x:c r="B15" t="n">
        <x:f>GA15</x:f>
      </x:c>
      <x:c r="C15" t="str">
        <x:v>млн ₽</x:v>
      </x:c>
      <x:c r="D15" s="117" t="n">
        <x:f>MAX(0,D13+D11-D14)</x:f>
      </x:c>
      <x:c r="E15" s="117" t="n">
        <x:f>MAX(0,E13+E11-E14)</x:f>
      </x:c>
      <x:c r="F15" s="117" t="n">
        <x:f>MAX(0,F13+F11-F14)</x:f>
      </x:c>
      <x:c r="G15" s="117" t="n">
        <x:f>MAX(0,G13+G11-G14)</x:f>
      </x:c>
      <x:c r="H15" s="117" t="n">
        <x:f>MAX(0,H13+H11-H14)</x:f>
      </x:c>
      <x:c r="I15" s="117" t="n">
        <x:f>MAX(0,I13+I11-I14)</x:f>
      </x:c>
      <x:c r="J15" s="117" t="n">
        <x:f>MAX(0,J13+J11-J14)</x:f>
      </x:c>
      <x:c r="K15" s="117" t="n">
        <x:f>MAX(0,K13+K11-K14)</x:f>
      </x:c>
      <x:c r="L15" s="117" t="n">
        <x:f>MAX(0,L13+L11-L14)</x:f>
      </x:c>
      <x:c r="M15" s="117" t="n">
        <x:f>MAX(0,M13+M11-M14)</x:f>
      </x:c>
      <x:c r="N15" s="117" t="n">
        <x:f>MAX(0,N13+N11-N14)</x:f>
      </x:c>
      <x:c r="O15" s="117" t="n">
        <x:f>MAX(0,O13+O11-O14)</x:f>
      </x:c>
      <x:c r="P15" s="117" t="n">
        <x:f>MAX(0,P13+P11-P14)</x:f>
      </x:c>
      <x:c r="Q15" s="117" t="n">
        <x:f>MAX(0,Q13+Q11-Q14)</x:f>
      </x:c>
      <x:c r="R15" s="117" t="n">
        <x:f>MAX(0,R13+R11-R14)</x:f>
      </x:c>
      <x:c r="S15" s="117" t="n">
        <x:f>MAX(0,S13+S11-S14)</x:f>
      </x:c>
      <x:c r="T15" s="117" t="n">
        <x:f>MAX(0,T13+T11-T14)</x:f>
      </x:c>
      <x:c r="U15" s="117" t="n">
        <x:f>MAX(0,U13+U11-U14)</x:f>
      </x:c>
      <x:c r="V15" s="117" t="n">
        <x:f>MAX(0,V13+V11-V14)</x:f>
      </x:c>
      <x:c r="W15" s="117" t="n">
        <x:f>MAX(0,W13+W11-W14)</x:f>
      </x:c>
      <x:c r="X15" s="117" t="n">
        <x:f>MAX(0,X13+X11-X14)</x:f>
      </x:c>
      <x:c r="Y15" s="117" t="n">
        <x:f>MAX(0,Y13+Y11-Y14)</x:f>
      </x:c>
      <x:c r="Z15" s="117" t="n">
        <x:f>MAX(0,Z13+Z11-Z14)</x:f>
      </x:c>
      <x:c r="AA15" s="117" t="n">
        <x:f>MAX(0,AA13+AA11-AA14)</x:f>
      </x:c>
      <x:c r="AB15" s="117" t="n">
        <x:f>MAX(0,AB13+AB11-AB14)</x:f>
      </x:c>
      <x:c r="AC15" s="117" t="n">
        <x:f>MAX(0,AC13+AC11-AC14)</x:f>
      </x:c>
      <x:c r="AD15" s="117" t="n">
        <x:f>MAX(0,AD13+AD11-AD14)</x:f>
      </x:c>
      <x:c r="AE15" s="117" t="n">
        <x:f>MAX(0,AE13+AE11-AE14)</x:f>
      </x:c>
      <x:c r="AF15" s="117" t="n">
        <x:f>MAX(0,AF13+AF11-AF14)</x:f>
      </x:c>
      <x:c r="AG15" s="117" t="n">
        <x:f>MAX(0,AG13+AG11-AG14)</x:f>
      </x:c>
      <x:c r="AH15" s="117" t="n">
        <x:f>MAX(0,AH13+AH11-AH14)</x:f>
      </x:c>
      <x:c r="AI15" s="117" t="n">
        <x:f>MAX(0,AI13+AI11-AI14)</x:f>
      </x:c>
      <x:c r="AJ15" s="117" t="n">
        <x:f>MAX(0,AJ13+AJ11-AJ14)</x:f>
      </x:c>
      <x:c r="AK15" s="117" t="n">
        <x:f>MAX(0,AK13+AK11-AK14)</x:f>
      </x:c>
      <x:c r="AL15" s="117" t="n">
        <x:f>MAX(0,AL13+AL11-AL14)</x:f>
      </x:c>
      <x:c r="AM15" s="117" t="n">
        <x:f>MAX(0,AM13+AM11-AM14)</x:f>
      </x:c>
      <x:c r="AN15" s="117" t="n">
        <x:f>MAX(0,AN13+AN11-AN14)</x:f>
      </x:c>
      <x:c r="AO15" s="117" t="n">
        <x:f>MAX(0,AO13+AO11-AO14)</x:f>
      </x:c>
      <x:c r="AP15" s="117" t="n">
        <x:f>MAX(0,AP13+AP11-AP14)</x:f>
      </x:c>
      <x:c r="AQ15" s="117" t="n">
        <x:f>MAX(0,AQ13+AQ11-AQ14)</x:f>
      </x:c>
      <x:c r="AR15" s="117" t="n">
        <x:f>MAX(0,AR13+AR11-AR14)</x:f>
      </x:c>
      <x:c r="AS15" s="117" t="n">
        <x:f>MAX(0,AS13+AS11-AS14)</x:f>
      </x:c>
      <x:c r="AT15" s="117" t="n">
        <x:f>MAX(0,AT13+AT11-AT14)</x:f>
      </x:c>
      <x:c r="AU15" s="117" t="n">
        <x:f>MAX(0,AU13+AU11-AU14)</x:f>
      </x:c>
      <x:c r="AV15" s="117" t="n">
        <x:f>MAX(0,AV13+AV11-AV14)</x:f>
      </x:c>
      <x:c r="AW15" s="117" t="n">
        <x:f>MAX(0,AW13+AW11-AW14)</x:f>
      </x:c>
      <x:c r="AX15" s="117" t="n">
        <x:f>MAX(0,AX13+AX11-AX14)</x:f>
      </x:c>
      <x:c r="AY15" s="117" t="n">
        <x:f>MAX(0,AY13+AY11-AY14)</x:f>
      </x:c>
      <x:c r="AZ15" s="117" t="n">
        <x:f>MAX(0,AZ13+AZ11-AZ14)</x:f>
      </x:c>
      <x:c r="BA15" s="117" t="n">
        <x:f>MAX(0,BA13+BA11-BA14)</x:f>
      </x:c>
      <x:c r="BB15" s="117" t="n">
        <x:f>MAX(0,BB13+BB11-BB14)</x:f>
      </x:c>
      <x:c r="BC15" s="117" t="n">
        <x:f>MAX(0,BC13+BC11-BC14)</x:f>
      </x:c>
      <x:c r="BD15" s="117" t="n">
        <x:f>MAX(0,BD13+BD11-BD14)</x:f>
      </x:c>
      <x:c r="BE15" s="117" t="n">
        <x:f>MAX(0,BE13+BE11-BE14)</x:f>
      </x:c>
      <x:c r="BF15" s="117" t="n">
        <x:f>MAX(0,BF13+BF11-BF14)</x:f>
      </x:c>
      <x:c r="BG15" s="117" t="n">
        <x:f>MAX(0,BG13+BG11-BG14)</x:f>
      </x:c>
      <x:c r="BH15" s="117" t="n">
        <x:f>MAX(0,BH13+BH11-BH14)</x:f>
      </x:c>
      <x:c r="BI15" s="117" t="n">
        <x:f>MAX(0,BI13+BI11-BI14)</x:f>
      </x:c>
      <x:c r="BJ15" s="117" t="n">
        <x:f>MAX(0,BJ13+BJ11-BJ14)</x:f>
      </x:c>
      <x:c r="BK15" s="117" t="n">
        <x:f>MAX(0,BK13+BK11-BK14)</x:f>
      </x:c>
      <x:c r="BL15" s="117" t="n">
        <x:f>MAX(0,BL13+BL11-BL14)</x:f>
      </x:c>
      <x:c r="BM15" s="117" t="n">
        <x:f>MAX(0,BM13+BM11-BM14)</x:f>
      </x:c>
      <x:c r="BN15" s="117" t="n">
        <x:f>MAX(0,BN13+BN11-BN14)</x:f>
      </x:c>
      <x:c r="BO15" s="117" t="n">
        <x:f>MAX(0,BO13+BO11-BO14)</x:f>
      </x:c>
      <x:c r="BP15" s="117" t="n">
        <x:f>MAX(0,BP13+BP11-BP14)</x:f>
      </x:c>
      <x:c r="BQ15" s="117" t="n">
        <x:f>MAX(0,BQ13+BQ11-BQ14)</x:f>
      </x:c>
      <x:c r="BR15" s="117" t="n">
        <x:f>MAX(0,BR13+BR11-BR14)</x:f>
      </x:c>
      <x:c r="BS15" s="117" t="n">
        <x:f>MAX(0,BS13+BS11-BS14)</x:f>
      </x:c>
      <x:c r="BT15" s="117" t="n">
        <x:f>MAX(0,BT13+BT11-BT14)</x:f>
      </x:c>
      <x:c r="BU15" s="117" t="n">
        <x:f>MAX(0,BU13+BU11-BU14)</x:f>
      </x:c>
      <x:c r="BV15" s="117" t="n">
        <x:f>MAX(0,BV13+BV11-BV14)</x:f>
      </x:c>
      <x:c r="BW15" s="117" t="n">
        <x:f>MAX(0,BW13+BW11-BW14)</x:f>
      </x:c>
      <x:c r="BX15" s="117" t="n">
        <x:f>MAX(0,BX13+BX11-BX14)</x:f>
      </x:c>
      <x:c r="BY15" s="117" t="n">
        <x:f>MAX(0,BY13+BY11-BY14)</x:f>
      </x:c>
      <x:c r="BZ15" s="117" t="n">
        <x:f>MAX(0,BZ13+BZ11-BZ14)</x:f>
      </x:c>
      <x:c r="CA15" s="117" t="n">
        <x:f>MAX(0,CA13+CA11-CA14)</x:f>
      </x:c>
      <x:c r="CB15" s="117" t="n">
        <x:f>MAX(0,CB13+CB11-CB14)</x:f>
      </x:c>
      <x:c r="CC15" s="117" t="n">
        <x:f>MAX(0,CC13+CC11-CC14)</x:f>
      </x:c>
      <x:c r="CD15" s="117" t="n">
        <x:f>MAX(0,CD13+CD11-CD14)</x:f>
      </x:c>
      <x:c r="CE15" s="117" t="n">
        <x:f>MAX(0,CE13+CE11-CE14)</x:f>
      </x:c>
      <x:c r="CF15" s="117" t="n">
        <x:f>MAX(0,CF13+CF11-CF14)</x:f>
      </x:c>
      <x:c r="CG15" s="117" t="n">
        <x:f>MAX(0,CG13+CG11-CG14)</x:f>
      </x:c>
      <x:c r="CH15" s="117" t="n">
        <x:f>MAX(0,CH13+CH11-CH14)</x:f>
      </x:c>
      <x:c r="CI15" s="117" t="n">
        <x:f>MAX(0,CI13+CI11-CI14)</x:f>
      </x:c>
      <x:c r="CJ15" s="117" t="n">
        <x:f>MAX(0,CJ13+CJ11-CJ14)</x:f>
      </x:c>
      <x:c r="CK15" s="117" t="n">
        <x:f>MAX(0,CK13+CK11-CK14)</x:f>
      </x:c>
      <x:c r="CL15" s="117" t="n">
        <x:f>MAX(0,CL13+CL11-CL14)</x:f>
      </x:c>
      <x:c r="CM15" s="117" t="n">
        <x:f>MAX(0,CM13+CM11-CM14)</x:f>
      </x:c>
      <x:c r="CN15" s="117" t="n">
        <x:f>MAX(0,CN13+CN11-CN14)</x:f>
      </x:c>
      <x:c r="CO15" s="117" t="n">
        <x:f>MAX(0,CO13+CO11-CO14)</x:f>
      </x:c>
      <x:c r="CP15" s="117" t="n">
        <x:f>MAX(0,CP13+CP11-CP14)</x:f>
      </x:c>
      <x:c r="CQ15" s="117" t="n">
        <x:f>MAX(0,CQ13+CQ11-CQ14)</x:f>
      </x:c>
      <x:c r="CR15" s="117" t="n">
        <x:f>MAX(0,CR13+CR11-CR14)</x:f>
      </x:c>
      <x:c r="CS15" s="117" t="n">
        <x:f>MAX(0,CS13+CS11-CS14)</x:f>
      </x:c>
      <x:c r="CT15" s="117" t="n">
        <x:f>MAX(0,CT13+CT11-CT14)</x:f>
      </x:c>
      <x:c r="CU15" s="117" t="n">
        <x:f>MAX(0,CU13+CU11-CU14)</x:f>
      </x:c>
      <x:c r="CV15" s="117" t="n">
        <x:f>MAX(0,CV13+CV11-CV14)</x:f>
      </x:c>
      <x:c r="CW15" s="117" t="n">
        <x:f>MAX(0,CW13+CW11-CW14)</x:f>
      </x:c>
      <x:c r="CX15" s="117" t="n">
        <x:f>MAX(0,CX13+CX11-CX14)</x:f>
      </x:c>
      <x:c r="CY15" s="117" t="n">
        <x:f>MAX(0,CY13+CY11-CY14)</x:f>
      </x:c>
      <x:c r="CZ15" s="117" t="n">
        <x:f>MAX(0,CZ13+CZ11-CZ14)</x:f>
      </x:c>
      <x:c r="DA15" s="117" t="n">
        <x:f>MAX(0,DA13+DA11-DA14)</x:f>
      </x:c>
      <x:c r="DB15" s="117" t="n">
        <x:f>MAX(0,DB13+DB11-DB14)</x:f>
      </x:c>
      <x:c r="DC15" s="117" t="n">
        <x:f>MAX(0,DC13+DC11-DC14)</x:f>
      </x:c>
      <x:c r="DD15" s="117" t="n">
        <x:f>MAX(0,DD13+DD11-DD14)</x:f>
      </x:c>
      <x:c r="DE15" s="117" t="n">
        <x:f>MAX(0,DE13+DE11-DE14)</x:f>
      </x:c>
      <x:c r="DF15" s="117" t="n">
        <x:f>MAX(0,DF13+DF11-DF14)</x:f>
      </x:c>
      <x:c r="DG15" s="117" t="n">
        <x:f>MAX(0,DG13+DG11-DG14)</x:f>
      </x:c>
      <x:c r="DH15" s="117" t="n">
        <x:f>MAX(0,DH13+DH11-DH14)</x:f>
      </x:c>
      <x:c r="DI15" s="117" t="n">
        <x:f>MAX(0,DI13+DI11-DI14)</x:f>
      </x:c>
      <x:c r="DJ15" s="117" t="n">
        <x:f>MAX(0,DJ13+DJ11-DJ14)</x:f>
      </x:c>
      <x:c r="DK15" s="117" t="n">
        <x:f>MAX(0,DK13+DK11-DK14)</x:f>
      </x:c>
      <x:c r="DL15" s="117" t="n">
        <x:f>MAX(0,DL13+DL11-DL14)</x:f>
      </x:c>
      <x:c r="DM15" s="117" t="n">
        <x:f>MAX(0,DM13+DM11-DM14)</x:f>
      </x:c>
      <x:c r="DN15" s="117" t="n">
        <x:f>MAX(0,DN13+DN11-DN14)</x:f>
      </x:c>
      <x:c r="DO15" s="117" t="n">
        <x:f>MAX(0,DO13+DO11-DO14)</x:f>
      </x:c>
      <x:c r="DP15" s="117" t="n">
        <x:f>MAX(0,DP13+DP11-DP14)</x:f>
      </x:c>
      <x:c r="DQ15" s="117" t="n">
        <x:f>MAX(0,DQ13+DQ11-DQ14)</x:f>
      </x:c>
      <x:c r="DR15" s="117" t="n">
        <x:f>MAX(0,DR13+DR11-DR14)</x:f>
      </x:c>
      <x:c r="DS15" s="117" t="n">
        <x:f>MAX(0,DS13+DS11-DS14)</x:f>
      </x:c>
      <x:c r="DT15" s="117" t="n">
        <x:f>MAX(0,DT13+DT11-DT14)</x:f>
      </x:c>
      <x:c r="DU15" s="117" t="n">
        <x:f>MAX(0,DU13+DU11-DU14)</x:f>
      </x:c>
      <x:c r="DV15" s="117" t="n">
        <x:f>MAX(0,DV13+DV11-DV14)</x:f>
      </x:c>
      <x:c r="DW15" s="117" t="n">
        <x:f>MAX(0,DW13+DW11-DW14)</x:f>
      </x:c>
      <x:c r="DX15" s="117" t="n">
        <x:f>MAX(0,DX13+DX11-DX14)</x:f>
      </x:c>
      <x:c r="DY15" s="117" t="n">
        <x:f>MAX(0,DY13+DY11-DY14)</x:f>
      </x:c>
      <x:c r="DZ15" s="117" t="n">
        <x:f>MAX(0,DZ13+DZ11-DZ14)</x:f>
      </x:c>
      <x:c r="EA15" s="117" t="n">
        <x:f>MAX(0,EA13+EA11-EA14)</x:f>
      </x:c>
      <x:c r="EB15" s="117" t="n">
        <x:f>MAX(0,EB13+EB11-EB14)</x:f>
      </x:c>
      <x:c r="EC15" s="117" t="n">
        <x:f>MAX(0,EC13+EC11-EC14)</x:f>
      </x:c>
      <x:c r="ED15" s="117" t="n">
        <x:f>MAX(0,ED13+ED11-ED14)</x:f>
      </x:c>
      <x:c r="EE15" s="117" t="n">
        <x:f>MAX(0,EE13+EE11-EE14)</x:f>
      </x:c>
      <x:c r="EF15" s="117" t="n">
        <x:f>MAX(0,EF13+EF11-EF14)</x:f>
      </x:c>
      <x:c r="EG15" s="117" t="n">
        <x:f>MAX(0,EG13+EG11-EG14)</x:f>
      </x:c>
      <x:c r="EH15" s="117" t="n">
        <x:f>MAX(0,EH13+EH11-EH14)</x:f>
      </x:c>
      <x:c r="EI15" s="117" t="n">
        <x:f>MAX(0,EI13+EI11-EI14)</x:f>
      </x:c>
      <x:c r="EJ15" s="117" t="n">
        <x:f>MAX(0,EJ13+EJ11-EJ14)</x:f>
      </x:c>
      <x:c r="EK15" s="117" t="n">
        <x:f>MAX(0,EK13+EK11-EK14)</x:f>
      </x:c>
      <x:c r="EL15" s="117" t="n">
        <x:f>MAX(0,EL13+EL11-EL14)</x:f>
      </x:c>
      <x:c r="EM15" s="117" t="n">
        <x:f>MAX(0,EM13+EM11-EM14)</x:f>
      </x:c>
      <x:c r="EN15" s="117" t="n">
        <x:f>MAX(0,EN13+EN11-EN14)</x:f>
      </x:c>
      <x:c r="EO15" s="117" t="n">
        <x:f>MAX(0,EO13+EO11-EO14)</x:f>
      </x:c>
      <x:c r="EP15" s="117" t="n">
        <x:f>MAX(0,EP13+EP11-EP14)</x:f>
      </x:c>
      <x:c r="EQ15" s="117" t="n">
        <x:f>MAX(0,EQ13+EQ11-EQ14)</x:f>
      </x:c>
      <x:c r="ER15" s="117" t="n">
        <x:f>MAX(0,ER13+ER11-ER14)</x:f>
      </x:c>
      <x:c r="ES15" s="117" t="n">
        <x:f>MAX(0,ES13+ES11-ES14)</x:f>
      </x:c>
      <x:c r="ET15" s="117" t="n">
        <x:f>MAX(0,ET13+ET11-ET14)</x:f>
      </x:c>
      <x:c r="EU15" s="117" t="n">
        <x:f>MAX(0,EU13+EU11-EU14)</x:f>
      </x:c>
      <x:c r="EV15" s="117" t="n">
        <x:f>MAX(0,EV13+EV11-EV14)</x:f>
      </x:c>
      <x:c r="EW15" s="117" t="n">
        <x:f>MAX(0,EW13+EW11-EW14)</x:f>
      </x:c>
      <x:c r="EX15" s="117" t="n">
        <x:f>MAX(0,EX13+EX11-EX14)</x:f>
      </x:c>
      <x:c r="EY15" s="117" t="n">
        <x:f>MAX(0,EY13+EY11-EY14)</x:f>
      </x:c>
      <x:c r="EZ15" s="117" t="n">
        <x:f>MAX(0,EZ13+EZ11-EZ14)</x:f>
      </x:c>
      <x:c r="FA15" s="117" t="n">
        <x:f>MAX(0,FA13+FA11-FA14)</x:f>
      </x:c>
      <x:c r="FB15" s="117" t="n">
        <x:f>MAX(0,FB13+FB11-FB14)</x:f>
      </x:c>
      <x:c r="FC15" s="117" t="n">
        <x:f>MAX(0,FC13+FC11-FC14)</x:f>
      </x:c>
      <x:c r="FD15" s="117" t="n">
        <x:f>MAX(0,FD13+FD11-FD14)</x:f>
      </x:c>
      <x:c r="FE15" s="117" t="n">
        <x:f>MAX(0,FE13+FE11-FE14)</x:f>
      </x:c>
      <x:c r="FF15" s="117" t="n">
        <x:f>MAX(0,FF13+FF11-FF14)</x:f>
      </x:c>
      <x:c r="FG15" s="117" t="n">
        <x:f>MAX(0,FG13+FG11-FG14)</x:f>
      </x:c>
      <x:c r="FH15" s="117" t="n">
        <x:f>MAX(0,FH13+FH11-FH14)</x:f>
      </x:c>
      <x:c r="FI15" s="117" t="n">
        <x:f>MAX(0,FI13+FI11-FI14)</x:f>
      </x:c>
      <x:c r="FJ15" s="117" t="n">
        <x:f>MAX(0,FJ13+FJ11-FJ14)</x:f>
      </x:c>
      <x:c r="FK15" s="117" t="n">
        <x:f>MAX(0,FK13+FK11-FK14)</x:f>
      </x:c>
      <x:c r="FL15" s="117" t="n">
        <x:f>MAX(0,FL13+FL11-FL14)</x:f>
      </x:c>
      <x:c r="FM15" s="117" t="n">
        <x:f>MAX(0,FM13+FM11-FM14)</x:f>
      </x:c>
      <x:c r="FN15" s="117" t="n">
        <x:f>MAX(0,FN13+FN11-FN14)</x:f>
      </x:c>
      <x:c r="FO15" s="117" t="n">
        <x:f>MAX(0,FO13+FO11-FO14)</x:f>
      </x:c>
      <x:c r="FP15" s="117" t="n">
        <x:f>MAX(0,FP13+FP11-FP14)</x:f>
      </x:c>
      <x:c r="FQ15" s="117" t="n">
        <x:f>MAX(0,FQ13+FQ11-FQ14)</x:f>
      </x:c>
      <x:c r="FR15" s="117" t="n">
        <x:f>MAX(0,FR13+FR11-FR14)</x:f>
      </x:c>
      <x:c r="FS15" s="117" t="n">
        <x:f>MAX(0,FS13+FS11-FS14)</x:f>
      </x:c>
      <x:c r="FT15" s="117" t="n">
        <x:f>MAX(0,FT13+FT11-FT14)</x:f>
      </x:c>
      <x:c r="FU15" s="117" t="n">
        <x:f>MAX(0,FU13+FU11-FU14)</x:f>
      </x:c>
      <x:c r="FV15" s="117" t="n">
        <x:f>MAX(0,FV13+FV11-FV14)</x:f>
      </x:c>
      <x:c r="FW15" s="117" t="n">
        <x:f>MAX(0,FW13+FW11-FW14)</x:f>
      </x:c>
      <x:c r="FX15" s="117" t="n">
        <x:f>MAX(0,FX13+FX11-FX14)</x:f>
      </x:c>
      <x:c r="FY15" s="117" t="n">
        <x:f>MAX(0,FY13+FY11-FY14)</x:f>
      </x:c>
      <x:c r="FZ15" s="117" t="n">
        <x:f>MAX(0,FZ13+FZ11-FZ14)</x:f>
      </x:c>
      <x:c r="GA15" s="117" t="n">
        <x:f>MAX(0,GA13+GA11-GA14)</x:f>
      </x:c>
    </x:row>
    <x:row r="16">
      <x:c r="A16"/>
      <x:c r="B16"/>
      <x:c r="C16"/>
      <x:c r="D16" s="117"/>
      <x:c r="E16" s="117"/>
      <x:c r="F16" s="117"/>
      <x:c r="G16" s="117"/>
      <x:c r="H16" s="117"/>
      <x:c r="I16" s="117"/>
      <x:c r="J16" s="117"/>
      <x:c r="K16" s="117"/>
      <x:c r="L16" s="117"/>
      <x:c r="M16" s="117"/>
      <x:c r="N16" s="117"/>
      <x:c r="O16" s="117"/>
      <x:c r="P16" s="117"/>
      <x:c r="Q16" s="117"/>
      <x:c r="R16" s="117"/>
      <x:c r="S16" s="117"/>
      <x:c r="T16" s="117"/>
      <x:c r="U16" s="117"/>
      <x:c r="V16" s="117"/>
      <x:c r="W16" s="117"/>
      <x:c r="X16" s="117"/>
      <x:c r="Y16" s="117"/>
      <x:c r="Z16" s="117"/>
      <x:c r="AA16" s="117"/>
      <x:c r="AB16" s="117"/>
      <x:c r="AC16" s="117"/>
      <x:c r="AD16" s="117"/>
      <x:c r="AE16" s="117"/>
      <x:c r="AF16" s="117"/>
      <x:c r="AG16" s="117"/>
      <x:c r="AH16" s="117"/>
      <x:c r="AI16" s="117"/>
      <x:c r="AJ16" s="117"/>
      <x:c r="AK16" s="117"/>
      <x:c r="AL16" s="117"/>
      <x:c r="AM16" s="117"/>
      <x:c r="AN16" s="117"/>
      <x:c r="AO16" s="117"/>
      <x:c r="AP16" s="117"/>
      <x:c r="AQ16" s="117"/>
      <x:c r="AR16" s="117"/>
      <x:c r="AS16" s="117"/>
      <x:c r="AT16" s="117"/>
      <x:c r="AU16" s="117"/>
      <x:c r="AV16" s="117"/>
      <x:c r="AW16" s="117"/>
      <x:c r="AX16" s="117"/>
      <x:c r="AY16" s="117"/>
      <x:c r="AZ16" s="117"/>
      <x:c r="BA16" s="117"/>
      <x:c r="BB16" s="117"/>
      <x:c r="BC16" s="117"/>
      <x:c r="BD16" s="117"/>
      <x:c r="BE16" s="117"/>
      <x:c r="BF16" s="117"/>
      <x:c r="BG16" s="117"/>
      <x:c r="BH16" s="117"/>
      <x:c r="BI16" s="117"/>
      <x:c r="BJ16" s="117"/>
      <x:c r="BK16" s="117"/>
      <x:c r="BL16" s="117"/>
      <x:c r="BM16" s="117"/>
      <x:c r="BN16" s="117"/>
      <x:c r="BO16" s="117"/>
      <x:c r="BP16" s="117"/>
      <x:c r="BQ16" s="117"/>
      <x:c r="BR16" s="117"/>
      <x:c r="BS16" s="117"/>
      <x:c r="BT16" s="117"/>
      <x:c r="BU16" s="117"/>
      <x:c r="BV16" s="117"/>
      <x:c r="BW16" s="117"/>
      <x:c r="BX16" s="117"/>
      <x:c r="BY16" s="117"/>
      <x:c r="BZ16" s="117"/>
      <x:c r="CA16" s="117"/>
      <x:c r="CB16" s="117"/>
      <x:c r="CC16" s="117"/>
      <x:c r="CD16" s="117"/>
      <x:c r="CE16" s="117"/>
      <x:c r="CF16" s="117"/>
      <x:c r="CG16" s="117"/>
      <x:c r="CH16" s="117"/>
      <x:c r="CI16" s="117"/>
      <x:c r="CJ16" s="117"/>
      <x:c r="CK16" s="117"/>
      <x:c r="CL16" s="117"/>
      <x:c r="CM16" s="117"/>
      <x:c r="CN16" s="117"/>
      <x:c r="CO16" s="117"/>
      <x:c r="CP16" s="117"/>
      <x:c r="CQ16" s="117"/>
      <x:c r="CR16" s="117"/>
      <x:c r="CS16" s="117"/>
      <x:c r="CT16" s="117"/>
      <x:c r="CU16" s="117"/>
      <x:c r="CV16" s="117"/>
      <x:c r="CW16" s="117"/>
      <x:c r="CX16" s="117"/>
      <x:c r="CY16" s="117"/>
      <x:c r="CZ16" s="117"/>
      <x:c r="DA16" s="117"/>
      <x:c r="DB16" s="117"/>
      <x:c r="DC16" s="117"/>
      <x:c r="DD16" s="117"/>
      <x:c r="DE16" s="117"/>
      <x:c r="DF16" s="117"/>
      <x:c r="DG16" s="117"/>
      <x:c r="DH16" s="117"/>
      <x:c r="DI16" s="117"/>
      <x:c r="DJ16" s="117"/>
      <x:c r="DK16" s="117"/>
      <x:c r="DL16" s="117"/>
      <x:c r="DM16" s="117"/>
      <x:c r="DN16" s="117"/>
      <x:c r="DO16" s="117"/>
      <x:c r="DP16" s="117"/>
      <x:c r="DQ16" s="117"/>
      <x:c r="DR16" s="117"/>
      <x:c r="DS16" s="117"/>
      <x:c r="DT16" s="117"/>
      <x:c r="DU16" s="117"/>
      <x:c r="DV16" s="117"/>
      <x:c r="DW16" s="117"/>
      <x:c r="DX16" s="117"/>
      <x:c r="DY16" s="117"/>
      <x:c r="DZ16" s="117"/>
      <x:c r="EA16" s="117"/>
      <x:c r="EB16" s="117"/>
      <x:c r="EC16" s="117"/>
      <x:c r="ED16" s="117"/>
      <x:c r="EE16" s="117"/>
      <x:c r="EF16" s="117"/>
      <x:c r="EG16" s="117"/>
      <x:c r="EH16" s="117"/>
      <x:c r="EI16" s="117"/>
      <x:c r="EJ16" s="117"/>
      <x:c r="EK16" s="117"/>
      <x:c r="EL16" s="117"/>
      <x:c r="EM16" s="117"/>
      <x:c r="EN16" s="117"/>
      <x:c r="EO16" s="117"/>
      <x:c r="EP16" s="117"/>
      <x:c r="EQ16" s="117"/>
      <x:c r="ER16" s="117"/>
      <x:c r="ES16" s="117"/>
      <x:c r="ET16" s="117"/>
      <x:c r="EU16" s="117"/>
      <x:c r="EV16" s="117"/>
      <x:c r="EW16" s="117"/>
      <x:c r="EX16" s="117"/>
      <x:c r="EY16" s="117"/>
      <x:c r="EZ16" s="117"/>
      <x:c r="FA16" s="117"/>
      <x:c r="FB16" s="117"/>
      <x:c r="FC16" s="117"/>
      <x:c r="FD16" s="117"/>
      <x:c r="FE16" s="117"/>
      <x:c r="FF16" s="117"/>
      <x:c r="FG16" s="117"/>
      <x:c r="FH16" s="117"/>
      <x:c r="FI16" s="117"/>
      <x:c r="FJ16" s="117"/>
      <x:c r="FK16" s="117"/>
      <x:c r="FL16" s="117"/>
      <x:c r="FM16" s="117"/>
      <x:c r="FN16" s="117"/>
      <x:c r="FO16" s="117"/>
      <x:c r="FP16" s="117"/>
      <x:c r="FQ16" s="117"/>
      <x:c r="FR16" s="117"/>
      <x:c r="FS16" s="117"/>
      <x:c r="FT16" s="117"/>
      <x:c r="FU16" s="117"/>
      <x:c r="FV16" s="117"/>
      <x:c r="FW16" s="117"/>
      <x:c r="FX16" s="117"/>
      <x:c r="FY16" s="117"/>
      <x:c r="FZ16" s="117"/>
      <x:c r="GA16" s="117"/>
    </x:row>
    <x:row r="17">
      <x:c r="A17" t="str">
        <x:v>CAPEX</x:v>
      </x:c>
      <x:c r="B17" t="n">
        <x:f>SUM(D17:GA17)</x:f>
      </x:c>
      <x:c r="C17" t="str">
        <x:v>млн ₽</x:v>
      </x:c>
      <x:c r="D17" s="117" t="n">
        <x:f>'CAPEX'!D134</x:f>
      </x:c>
      <x:c r="E17" s="117" t="n">
        <x:f>'CAPEX'!E134</x:f>
      </x:c>
      <x:c r="F17" s="117" t="n">
        <x:f>'CAPEX'!F134</x:f>
      </x:c>
      <x:c r="G17" s="117" t="n">
        <x:f>'CAPEX'!G134</x:f>
      </x:c>
      <x:c r="H17" s="117" t="n">
        <x:f>'CAPEX'!H134</x:f>
      </x:c>
      <x:c r="I17" s="117" t="n">
        <x:f>'CAPEX'!I134</x:f>
      </x:c>
      <x:c r="J17" s="117" t="n">
        <x:f>'CAPEX'!J134</x:f>
      </x:c>
      <x:c r="K17" s="117" t="n">
        <x:f>'CAPEX'!K134</x:f>
      </x:c>
      <x:c r="L17" s="117" t="n">
        <x:f>'CAPEX'!L134</x:f>
      </x:c>
      <x:c r="M17" s="117" t="n">
        <x:f>'CAPEX'!M134</x:f>
      </x:c>
      <x:c r="N17" s="117" t="n">
        <x:f>'CAPEX'!N134</x:f>
      </x:c>
      <x:c r="O17" s="117" t="n">
        <x:f>'CAPEX'!O134</x:f>
      </x:c>
      <x:c r="P17" s="117" t="n">
        <x:f>'CAPEX'!P134</x:f>
      </x:c>
      <x:c r="Q17" s="117" t="n">
        <x:f>'CAPEX'!Q134</x:f>
      </x:c>
      <x:c r="R17" s="117" t="n">
        <x:f>'CAPEX'!R134</x:f>
      </x:c>
      <x:c r="S17" s="117" t="n">
        <x:f>'CAPEX'!S134</x:f>
      </x:c>
      <x:c r="T17" s="117" t="n">
        <x:f>'CAPEX'!T134</x:f>
      </x:c>
      <x:c r="U17" s="117" t="n">
        <x:f>'CAPEX'!U134</x:f>
      </x:c>
      <x:c r="V17" s="117" t="n">
        <x:f>'CAPEX'!V134</x:f>
      </x:c>
      <x:c r="W17" s="117" t="n">
        <x:f>'CAPEX'!W134</x:f>
      </x:c>
      <x:c r="X17" s="117" t="n">
        <x:f>'CAPEX'!X134</x:f>
      </x:c>
      <x:c r="Y17" s="117" t="n">
        <x:f>'CAPEX'!Y134</x:f>
      </x:c>
      <x:c r="Z17" s="117" t="n">
        <x:f>'CAPEX'!Z134</x:f>
      </x:c>
      <x:c r="AA17" s="117" t="n">
        <x:f>'CAPEX'!AA134</x:f>
      </x:c>
      <x:c r="AB17" s="117" t="n">
        <x:f>'CAPEX'!AB134</x:f>
      </x:c>
      <x:c r="AC17" s="117" t="n">
        <x:f>'CAPEX'!AC134</x:f>
      </x:c>
      <x:c r="AD17" s="117" t="n">
        <x:f>'CAPEX'!AD134</x:f>
      </x:c>
      <x:c r="AE17" s="117" t="n">
        <x:f>'CAPEX'!AE134</x:f>
      </x:c>
      <x:c r="AF17" s="117" t="n">
        <x:f>'CAPEX'!AF134</x:f>
      </x:c>
      <x:c r="AG17" s="117" t="n">
        <x:f>'CAPEX'!AG134</x:f>
      </x:c>
      <x:c r="AH17" s="117" t="n">
        <x:f>'CAPEX'!AH134</x:f>
      </x:c>
      <x:c r="AI17" s="117" t="n">
        <x:f>'CAPEX'!AI134</x:f>
      </x:c>
      <x:c r="AJ17" s="117" t="n">
        <x:f>'CAPEX'!AJ134</x:f>
      </x:c>
      <x:c r="AK17" s="117" t="n">
        <x:f>'CAPEX'!AK134</x:f>
      </x:c>
      <x:c r="AL17" s="117" t="n">
        <x:f>'CAPEX'!AL134</x:f>
      </x:c>
      <x:c r="AM17" s="117" t="n">
        <x:f>'CAPEX'!AM134</x:f>
      </x:c>
      <x:c r="AN17" s="117" t="n">
        <x:f>'CAPEX'!AN134</x:f>
      </x:c>
      <x:c r="AO17" s="117" t="n">
        <x:f>'CAPEX'!AO134</x:f>
      </x:c>
      <x:c r="AP17" s="117" t="n">
        <x:f>'CAPEX'!AP134</x:f>
      </x:c>
      <x:c r="AQ17" s="117" t="n">
        <x:f>'CAPEX'!AQ134</x:f>
      </x:c>
      <x:c r="AR17" s="117" t="n">
        <x:f>'CAPEX'!AR134</x:f>
      </x:c>
      <x:c r="AS17" s="117" t="n">
        <x:f>'CAPEX'!AS134</x:f>
      </x:c>
      <x:c r="AT17" s="117" t="n">
        <x:f>'CAPEX'!AT134</x:f>
      </x:c>
      <x:c r="AU17" s="117" t="n">
        <x:f>'CAPEX'!AU134</x:f>
      </x:c>
      <x:c r="AV17" s="117" t="n">
        <x:f>'CAPEX'!AV134</x:f>
      </x:c>
      <x:c r="AW17" s="117" t="n">
        <x:f>'CAPEX'!AW134</x:f>
      </x:c>
      <x:c r="AX17" s="117" t="n">
        <x:f>'CAPEX'!AX134</x:f>
      </x:c>
      <x:c r="AY17" s="117" t="n">
        <x:f>'CAPEX'!AY134</x:f>
      </x:c>
      <x:c r="AZ17" s="117" t="n">
        <x:f>'CAPEX'!AZ134</x:f>
      </x:c>
      <x:c r="BA17" s="117" t="n">
        <x:f>'CAPEX'!BA134</x:f>
      </x:c>
      <x:c r="BB17" s="117" t="n">
        <x:f>'CAPEX'!BB134</x:f>
      </x:c>
      <x:c r="BC17" s="117" t="n">
        <x:f>'CAPEX'!BC134</x:f>
      </x:c>
      <x:c r="BD17" s="117" t="n">
        <x:f>'CAPEX'!BD134</x:f>
      </x:c>
      <x:c r="BE17" s="117" t="n">
        <x:f>'CAPEX'!BE134</x:f>
      </x:c>
      <x:c r="BF17" s="117" t="n">
        <x:f>'CAPEX'!BF134</x:f>
      </x:c>
      <x:c r="BG17" s="117" t="n">
        <x:f>'CAPEX'!BG134</x:f>
      </x:c>
      <x:c r="BH17" s="117" t="n">
        <x:f>'CAPEX'!BH134</x:f>
      </x:c>
      <x:c r="BI17" s="117" t="n">
        <x:f>'CAPEX'!BI134</x:f>
      </x:c>
      <x:c r="BJ17" s="117" t="n">
        <x:f>'CAPEX'!BJ134</x:f>
      </x:c>
      <x:c r="BK17" s="117" t="n">
        <x:f>'CAPEX'!BK134</x:f>
      </x:c>
      <x:c r="BL17" s="117" t="n">
        <x:f>'CAPEX'!BL134</x:f>
      </x:c>
      <x:c r="BM17" s="117" t="n">
        <x:f>'CAPEX'!BM134</x:f>
      </x:c>
      <x:c r="BN17" s="117" t="n">
        <x:f>'CAPEX'!BN134</x:f>
      </x:c>
      <x:c r="BO17" s="117" t="n">
        <x:f>'CAPEX'!BO134</x:f>
      </x:c>
      <x:c r="BP17" s="117" t="n">
        <x:f>'CAPEX'!BP134</x:f>
      </x:c>
      <x:c r="BQ17" s="117" t="n">
        <x:f>'CAPEX'!BQ134</x:f>
      </x:c>
      <x:c r="BR17" s="117" t="n">
        <x:f>'CAPEX'!BR134</x:f>
      </x:c>
      <x:c r="BS17" s="117" t="n">
        <x:f>'CAPEX'!BS134</x:f>
      </x:c>
      <x:c r="BT17" s="117" t="n">
        <x:f>'CAPEX'!BT134</x:f>
      </x:c>
      <x:c r="BU17" s="117" t="n">
        <x:f>'CAPEX'!BU134</x:f>
      </x:c>
      <x:c r="BV17" s="117" t="n">
        <x:f>'CAPEX'!BV134</x:f>
      </x:c>
      <x:c r="BW17" s="117" t="n">
        <x:f>'CAPEX'!BW134</x:f>
      </x:c>
      <x:c r="BX17" s="117" t="n">
        <x:f>'CAPEX'!BX134</x:f>
      </x:c>
      <x:c r="BY17" s="117" t="n">
        <x:f>'CAPEX'!BY134</x:f>
      </x:c>
      <x:c r="BZ17" s="117" t="n">
        <x:f>'CAPEX'!BZ134</x:f>
      </x:c>
      <x:c r="CA17" s="117" t="n">
        <x:f>'CAPEX'!CA134</x:f>
      </x:c>
      <x:c r="CB17" s="117" t="n">
        <x:f>'CAPEX'!CB134</x:f>
      </x:c>
      <x:c r="CC17" s="117" t="n">
        <x:f>'CAPEX'!CC134</x:f>
      </x:c>
      <x:c r="CD17" s="117" t="n">
        <x:f>'CAPEX'!CD134</x:f>
      </x:c>
      <x:c r="CE17" s="117" t="n">
        <x:f>'CAPEX'!CE134</x:f>
      </x:c>
      <x:c r="CF17" s="117" t="n">
        <x:f>'CAPEX'!CF134</x:f>
      </x:c>
      <x:c r="CG17" s="117" t="n">
        <x:f>'CAPEX'!CG134</x:f>
      </x:c>
      <x:c r="CH17" s="117" t="n">
        <x:f>'CAPEX'!CH134</x:f>
      </x:c>
      <x:c r="CI17" s="117" t="n">
        <x:f>'CAPEX'!CI134</x:f>
      </x:c>
      <x:c r="CJ17" s="117" t="n">
        <x:f>'CAPEX'!CJ134</x:f>
      </x:c>
      <x:c r="CK17" s="117" t="n">
        <x:f>'CAPEX'!CK134</x:f>
      </x:c>
      <x:c r="CL17" s="117" t="n">
        <x:f>'CAPEX'!CL134</x:f>
      </x:c>
      <x:c r="CM17" s="117" t="n">
        <x:f>'CAPEX'!CM134</x:f>
      </x:c>
      <x:c r="CN17" s="117" t="n">
        <x:f>'CAPEX'!CN134</x:f>
      </x:c>
      <x:c r="CO17" s="117" t="n">
        <x:f>'CAPEX'!CO134</x:f>
      </x:c>
      <x:c r="CP17" s="117" t="n">
        <x:f>'CAPEX'!CP134</x:f>
      </x:c>
      <x:c r="CQ17" s="117" t="n">
        <x:f>'CAPEX'!CQ134</x:f>
      </x:c>
      <x:c r="CR17" s="117" t="n">
        <x:f>'CAPEX'!CR134</x:f>
      </x:c>
      <x:c r="CS17" s="117" t="n">
        <x:f>'CAPEX'!CS134</x:f>
      </x:c>
      <x:c r="CT17" s="117" t="n">
        <x:f>'CAPEX'!CT134</x:f>
      </x:c>
      <x:c r="CU17" s="117" t="n">
        <x:f>'CAPEX'!CU134</x:f>
      </x:c>
      <x:c r="CV17" s="117" t="n">
        <x:f>'CAPEX'!CV134</x:f>
      </x:c>
      <x:c r="CW17" s="117" t="n">
        <x:f>'CAPEX'!CW134</x:f>
      </x:c>
      <x:c r="CX17" s="117" t="n">
        <x:f>'CAPEX'!CX134</x:f>
      </x:c>
      <x:c r="CY17" s="117" t="n">
        <x:f>'CAPEX'!CY134</x:f>
      </x:c>
      <x:c r="CZ17" s="117" t="n">
        <x:f>'CAPEX'!CZ134</x:f>
      </x:c>
      <x:c r="DA17" s="117" t="n">
        <x:f>'CAPEX'!DA134</x:f>
      </x:c>
      <x:c r="DB17" s="117" t="n">
        <x:f>'CAPEX'!DB134</x:f>
      </x:c>
      <x:c r="DC17" s="117" t="n">
        <x:f>'CAPEX'!DC134</x:f>
      </x:c>
      <x:c r="DD17" s="117" t="n">
        <x:f>'CAPEX'!DD134</x:f>
      </x:c>
      <x:c r="DE17" s="117" t="n">
        <x:f>'CAPEX'!DE134</x:f>
      </x:c>
      <x:c r="DF17" s="117" t="n">
        <x:f>'CAPEX'!DF134</x:f>
      </x:c>
      <x:c r="DG17" s="117" t="n">
        <x:f>'CAPEX'!DG134</x:f>
      </x:c>
      <x:c r="DH17" s="117" t="n">
        <x:f>'CAPEX'!DH134</x:f>
      </x:c>
      <x:c r="DI17" s="117" t="n">
        <x:f>'CAPEX'!DI134</x:f>
      </x:c>
      <x:c r="DJ17" s="117" t="n">
        <x:f>'CAPEX'!DJ134</x:f>
      </x:c>
      <x:c r="DK17" s="117" t="n">
        <x:f>'CAPEX'!DK134</x:f>
      </x:c>
      <x:c r="DL17" s="117" t="n">
        <x:f>'CAPEX'!DL134</x:f>
      </x:c>
      <x:c r="DM17" s="117" t="n">
        <x:f>'CAPEX'!DM134</x:f>
      </x:c>
      <x:c r="DN17" s="117" t="n">
        <x:f>'CAPEX'!DN134</x:f>
      </x:c>
      <x:c r="DO17" s="117" t="n">
        <x:f>'CAPEX'!DO134</x:f>
      </x:c>
      <x:c r="DP17" s="117" t="n">
        <x:f>'CAPEX'!DP134</x:f>
      </x:c>
      <x:c r="DQ17" s="117" t="n">
        <x:f>'CAPEX'!DQ134</x:f>
      </x:c>
      <x:c r="DR17" s="117" t="n">
        <x:f>'CAPEX'!DR134</x:f>
      </x:c>
      <x:c r="DS17" s="117" t="n">
        <x:f>'CAPEX'!DS134</x:f>
      </x:c>
      <x:c r="DT17" s="117" t="n">
        <x:f>'CAPEX'!DT134</x:f>
      </x:c>
      <x:c r="DU17" s="117" t="n">
        <x:f>'CAPEX'!DU134</x:f>
      </x:c>
      <x:c r="DV17" s="117" t="n">
        <x:f>'CAPEX'!DV134</x:f>
      </x:c>
      <x:c r="DW17" s="117" t="n">
        <x:f>'CAPEX'!DW134</x:f>
      </x:c>
      <x:c r="DX17" s="117" t="n">
        <x:f>'CAPEX'!DX134</x:f>
      </x:c>
      <x:c r="DY17" s="117" t="n">
        <x:f>'CAPEX'!DY134</x:f>
      </x:c>
      <x:c r="DZ17" s="117" t="n">
        <x:f>'CAPEX'!DZ134</x:f>
      </x:c>
      <x:c r="EA17" s="117" t="n">
        <x:f>'CAPEX'!EA134</x:f>
      </x:c>
      <x:c r="EB17" s="117" t="n">
        <x:f>'CAPEX'!EB134</x:f>
      </x:c>
      <x:c r="EC17" s="117" t="n">
        <x:f>'CAPEX'!EC134</x:f>
      </x:c>
      <x:c r="ED17" s="117" t="n">
        <x:f>'CAPEX'!ED134</x:f>
      </x:c>
      <x:c r="EE17" s="117" t="n">
        <x:f>'CAPEX'!EE134</x:f>
      </x:c>
      <x:c r="EF17" s="117" t="n">
        <x:f>'CAPEX'!EF134</x:f>
      </x:c>
      <x:c r="EG17" s="117" t="n">
        <x:f>'CAPEX'!EG134</x:f>
      </x:c>
      <x:c r="EH17" s="117" t="n">
        <x:f>'CAPEX'!EH134</x:f>
      </x:c>
      <x:c r="EI17" s="117" t="n">
        <x:f>'CAPEX'!EI134</x:f>
      </x:c>
      <x:c r="EJ17" s="117" t="n">
        <x:f>'CAPEX'!EJ134</x:f>
      </x:c>
      <x:c r="EK17" s="117" t="n">
        <x:f>'CAPEX'!EK134</x:f>
      </x:c>
      <x:c r="EL17" s="117" t="n">
        <x:f>'CAPEX'!EL134</x:f>
      </x:c>
      <x:c r="EM17" s="117" t="n">
        <x:f>'CAPEX'!EM134</x:f>
      </x:c>
      <x:c r="EN17" s="117" t="n">
        <x:f>'CAPEX'!EN134</x:f>
      </x:c>
      <x:c r="EO17" s="117" t="n">
        <x:f>'CAPEX'!EO134</x:f>
      </x:c>
      <x:c r="EP17" s="117" t="n">
        <x:f>'CAPEX'!EP134</x:f>
      </x:c>
      <x:c r="EQ17" s="117" t="n">
        <x:f>'CAPEX'!EQ134</x:f>
      </x:c>
      <x:c r="ER17" s="117" t="n">
        <x:f>'CAPEX'!ER134</x:f>
      </x:c>
      <x:c r="ES17" s="117" t="n">
        <x:f>'CAPEX'!ES134</x:f>
      </x:c>
      <x:c r="ET17" s="117" t="n">
        <x:f>'CAPEX'!ET134</x:f>
      </x:c>
      <x:c r="EU17" s="117" t="n">
        <x:f>'CAPEX'!EU134</x:f>
      </x:c>
      <x:c r="EV17" s="117" t="n">
        <x:f>'CAPEX'!EV134</x:f>
      </x:c>
      <x:c r="EW17" s="117" t="n">
        <x:f>'CAPEX'!EW134</x:f>
      </x:c>
      <x:c r="EX17" s="117" t="n">
        <x:f>'CAPEX'!EX134</x:f>
      </x:c>
      <x:c r="EY17" s="117" t="n">
        <x:f>'CAPEX'!EY134</x:f>
      </x:c>
      <x:c r="EZ17" s="117" t="n">
        <x:f>'CAPEX'!EZ134</x:f>
      </x:c>
      <x:c r="FA17" s="117" t="n">
        <x:f>'CAPEX'!FA134</x:f>
      </x:c>
      <x:c r="FB17" s="117" t="n">
        <x:f>'CAPEX'!FB134</x:f>
      </x:c>
      <x:c r="FC17" s="117" t="n">
        <x:f>'CAPEX'!FC134</x:f>
      </x:c>
      <x:c r="FD17" s="117" t="n">
        <x:f>'CAPEX'!FD134</x:f>
      </x:c>
      <x:c r="FE17" s="117" t="n">
        <x:f>'CAPEX'!FE134</x:f>
      </x:c>
      <x:c r="FF17" s="117" t="n">
        <x:f>'CAPEX'!FF134</x:f>
      </x:c>
      <x:c r="FG17" s="117" t="n">
        <x:f>'CAPEX'!FG134</x:f>
      </x:c>
      <x:c r="FH17" s="117" t="n">
        <x:f>'CAPEX'!FH134</x:f>
      </x:c>
      <x:c r="FI17" s="117" t="n">
        <x:f>'CAPEX'!FI134</x:f>
      </x:c>
      <x:c r="FJ17" s="117" t="n">
        <x:f>'CAPEX'!FJ134</x:f>
      </x:c>
      <x:c r="FK17" s="117" t="n">
        <x:f>'CAPEX'!FK134</x:f>
      </x:c>
      <x:c r="FL17" s="117" t="n">
        <x:f>'CAPEX'!FL134</x:f>
      </x:c>
      <x:c r="FM17" s="117" t="n">
        <x:f>'CAPEX'!FM134</x:f>
      </x:c>
      <x:c r="FN17" s="117" t="n">
        <x:f>'CAPEX'!FN134</x:f>
      </x:c>
      <x:c r="FO17" s="117" t="n">
        <x:f>'CAPEX'!FO134</x:f>
      </x:c>
      <x:c r="FP17" s="117" t="n">
        <x:f>'CAPEX'!FP134</x:f>
      </x:c>
      <x:c r="FQ17" s="117" t="n">
        <x:f>'CAPEX'!FQ134</x:f>
      </x:c>
      <x:c r="FR17" s="117" t="n">
        <x:f>'CAPEX'!FR134</x:f>
      </x:c>
      <x:c r="FS17" s="117" t="n">
        <x:f>'CAPEX'!FS134</x:f>
      </x:c>
      <x:c r="FT17" s="117" t="n">
        <x:f>'CAPEX'!FT134</x:f>
      </x:c>
      <x:c r="FU17" s="117" t="n">
        <x:f>'CAPEX'!FU134</x:f>
      </x:c>
      <x:c r="FV17" s="117" t="n">
        <x:f>'CAPEX'!FV134</x:f>
      </x:c>
      <x:c r="FW17" s="117" t="n">
        <x:f>'CAPEX'!FW134</x:f>
      </x:c>
      <x:c r="FX17" s="117" t="n">
        <x:f>'CAPEX'!FX134</x:f>
      </x:c>
      <x:c r="FY17" s="117" t="n">
        <x:f>'CAPEX'!FY134</x:f>
      </x:c>
      <x:c r="FZ17" s="117" t="n">
        <x:f>'CAPEX'!FZ134</x:f>
      </x:c>
      <x:c r="GA17" s="117" t="n">
        <x:f>'CAPEX'!GA134</x:f>
      </x:c>
    </x:row>
    <x:row r="18">
      <x:c r="A18" t="str">
        <x:v>Маркетинг</x:v>
      </x:c>
      <x:c r="B18" t="n">
        <x:f>SUM(D18:GA18)</x:f>
      </x:c>
      <x:c r="C18" t="str">
        <x:v>млн ₽</x:v>
      </x:c>
      <x:c r="D18" s="117" t="n">
        <x:f>'CAPEX'!D135</x:f>
      </x:c>
      <x:c r="E18" s="117" t="n">
        <x:f>'CAPEX'!E135</x:f>
      </x:c>
      <x:c r="F18" s="117" t="n">
        <x:f>'CAPEX'!F135</x:f>
      </x:c>
      <x:c r="G18" s="117" t="n">
        <x:f>'CAPEX'!G135</x:f>
      </x:c>
      <x:c r="H18" s="117" t="n">
        <x:f>'CAPEX'!H135</x:f>
      </x:c>
      <x:c r="I18" s="117" t="n">
        <x:f>'CAPEX'!I135</x:f>
      </x:c>
      <x:c r="J18" s="117" t="n">
        <x:f>'CAPEX'!J135</x:f>
      </x:c>
      <x:c r="K18" s="117" t="n">
        <x:f>'CAPEX'!K135</x:f>
      </x:c>
      <x:c r="L18" s="117" t="n">
        <x:f>'CAPEX'!L135</x:f>
      </x:c>
      <x:c r="M18" s="117" t="n">
        <x:f>'CAPEX'!M135</x:f>
      </x:c>
      <x:c r="N18" s="117" t="n">
        <x:f>'CAPEX'!N135</x:f>
      </x:c>
      <x:c r="O18" s="117" t="n">
        <x:f>'CAPEX'!O135</x:f>
      </x:c>
      <x:c r="P18" s="117" t="n">
        <x:f>'CAPEX'!P135</x:f>
      </x:c>
      <x:c r="Q18" s="117" t="n">
        <x:f>'CAPEX'!Q135</x:f>
      </x:c>
      <x:c r="R18" s="117" t="n">
        <x:f>'CAPEX'!R135</x:f>
      </x:c>
      <x:c r="S18" s="117" t="n">
        <x:f>'CAPEX'!S135</x:f>
      </x:c>
      <x:c r="T18" s="117" t="n">
        <x:f>'CAPEX'!T135</x:f>
      </x:c>
      <x:c r="U18" s="117" t="n">
        <x:f>'CAPEX'!U135</x:f>
      </x:c>
      <x:c r="V18" s="117" t="n">
        <x:f>'CAPEX'!V135</x:f>
      </x:c>
      <x:c r="W18" s="117" t="n">
        <x:f>'CAPEX'!W135</x:f>
      </x:c>
      <x:c r="X18" s="117" t="n">
        <x:f>'CAPEX'!X135</x:f>
      </x:c>
      <x:c r="Y18" s="117" t="n">
        <x:f>'CAPEX'!Y135</x:f>
      </x:c>
      <x:c r="Z18" s="117" t="n">
        <x:f>'CAPEX'!Z135</x:f>
      </x:c>
      <x:c r="AA18" s="117" t="n">
        <x:f>'CAPEX'!AA135</x:f>
      </x:c>
      <x:c r="AB18" s="117" t="n">
        <x:f>'CAPEX'!AB135</x:f>
      </x:c>
      <x:c r="AC18" s="117" t="n">
        <x:f>'CAPEX'!AC135</x:f>
      </x:c>
      <x:c r="AD18" s="117" t="n">
        <x:f>'CAPEX'!AD135</x:f>
      </x:c>
      <x:c r="AE18" s="117" t="n">
        <x:f>'CAPEX'!AE135</x:f>
      </x:c>
      <x:c r="AF18" s="117" t="n">
        <x:f>'CAPEX'!AF135</x:f>
      </x:c>
      <x:c r="AG18" s="117" t="n">
        <x:f>'CAPEX'!AG135</x:f>
      </x:c>
      <x:c r="AH18" s="117" t="n">
        <x:f>'CAPEX'!AH135</x:f>
      </x:c>
      <x:c r="AI18" s="117" t="n">
        <x:f>'CAPEX'!AI135</x:f>
      </x:c>
      <x:c r="AJ18" s="117" t="n">
        <x:f>'CAPEX'!AJ135</x:f>
      </x:c>
      <x:c r="AK18" s="117" t="n">
        <x:f>'CAPEX'!AK135</x:f>
      </x:c>
      <x:c r="AL18" s="117" t="n">
        <x:f>'CAPEX'!AL135</x:f>
      </x:c>
      <x:c r="AM18" s="117" t="n">
        <x:f>'CAPEX'!AM135</x:f>
      </x:c>
      <x:c r="AN18" s="117" t="n">
        <x:f>'CAPEX'!AN135</x:f>
      </x:c>
      <x:c r="AO18" s="117" t="n">
        <x:f>'CAPEX'!AO135</x:f>
      </x:c>
      <x:c r="AP18" s="117" t="n">
        <x:f>'CAPEX'!AP135</x:f>
      </x:c>
      <x:c r="AQ18" s="117" t="n">
        <x:f>'CAPEX'!AQ135</x:f>
      </x:c>
      <x:c r="AR18" s="117" t="n">
        <x:f>'CAPEX'!AR135</x:f>
      </x:c>
      <x:c r="AS18" s="117" t="n">
        <x:f>'CAPEX'!AS135</x:f>
      </x:c>
      <x:c r="AT18" s="117" t="n">
        <x:f>'CAPEX'!AT135</x:f>
      </x:c>
      <x:c r="AU18" s="117" t="n">
        <x:f>'CAPEX'!AU135</x:f>
      </x:c>
      <x:c r="AV18" s="117" t="n">
        <x:f>'CAPEX'!AV135</x:f>
      </x:c>
      <x:c r="AW18" s="117" t="n">
        <x:f>'CAPEX'!AW135</x:f>
      </x:c>
      <x:c r="AX18" s="117" t="n">
        <x:f>'CAPEX'!AX135</x:f>
      </x:c>
      <x:c r="AY18" s="117" t="n">
        <x:f>'CAPEX'!AY135</x:f>
      </x:c>
      <x:c r="AZ18" s="117" t="n">
        <x:f>'CAPEX'!AZ135</x:f>
      </x:c>
      <x:c r="BA18" s="117" t="n">
        <x:f>'CAPEX'!BA135</x:f>
      </x:c>
      <x:c r="BB18" s="117" t="n">
        <x:f>'CAPEX'!BB135</x:f>
      </x:c>
      <x:c r="BC18" s="117" t="n">
        <x:f>'CAPEX'!BC135</x:f>
      </x:c>
      <x:c r="BD18" s="117" t="n">
        <x:f>'CAPEX'!BD135</x:f>
      </x:c>
      <x:c r="BE18" s="117" t="n">
        <x:f>'CAPEX'!BE135</x:f>
      </x:c>
      <x:c r="BF18" s="117" t="n">
        <x:f>'CAPEX'!BF135</x:f>
      </x:c>
      <x:c r="BG18" s="117" t="n">
        <x:f>'CAPEX'!BG135</x:f>
      </x:c>
      <x:c r="BH18" s="117" t="n">
        <x:f>'CAPEX'!BH135</x:f>
      </x:c>
      <x:c r="BI18" s="117" t="n">
        <x:f>'CAPEX'!BI135</x:f>
      </x:c>
      <x:c r="BJ18" s="117" t="n">
        <x:f>'CAPEX'!BJ135</x:f>
      </x:c>
      <x:c r="BK18" s="117" t="n">
        <x:f>'CAPEX'!BK135</x:f>
      </x:c>
      <x:c r="BL18" s="117" t="n">
        <x:f>'CAPEX'!BL135</x:f>
      </x:c>
      <x:c r="BM18" s="117" t="n">
        <x:f>'CAPEX'!BM135</x:f>
      </x:c>
      <x:c r="BN18" s="117" t="n">
        <x:f>'CAPEX'!BN135</x:f>
      </x:c>
      <x:c r="BO18" s="117" t="n">
        <x:f>'CAPEX'!BO135</x:f>
      </x:c>
      <x:c r="BP18" s="117" t="n">
        <x:f>'CAPEX'!BP135</x:f>
      </x:c>
      <x:c r="BQ18" s="117" t="n">
        <x:f>'CAPEX'!BQ135</x:f>
      </x:c>
      <x:c r="BR18" s="117" t="n">
        <x:f>'CAPEX'!BR135</x:f>
      </x:c>
      <x:c r="BS18" s="117" t="n">
        <x:f>'CAPEX'!BS135</x:f>
      </x:c>
      <x:c r="BT18" s="117" t="n">
        <x:f>'CAPEX'!BT135</x:f>
      </x:c>
      <x:c r="BU18" s="117" t="n">
        <x:f>'CAPEX'!BU135</x:f>
      </x:c>
      <x:c r="BV18" s="117" t="n">
        <x:f>'CAPEX'!BV135</x:f>
      </x:c>
      <x:c r="BW18" s="117" t="n">
        <x:f>'CAPEX'!BW135</x:f>
      </x:c>
      <x:c r="BX18" s="117" t="n">
        <x:f>'CAPEX'!BX135</x:f>
      </x:c>
      <x:c r="BY18" s="117" t="n">
        <x:f>'CAPEX'!BY135</x:f>
      </x:c>
      <x:c r="BZ18" s="117" t="n">
        <x:f>'CAPEX'!BZ135</x:f>
      </x:c>
      <x:c r="CA18" s="117" t="n">
        <x:f>'CAPEX'!CA135</x:f>
      </x:c>
      <x:c r="CB18" s="117" t="n">
        <x:f>'CAPEX'!CB135</x:f>
      </x:c>
      <x:c r="CC18" s="117" t="n">
        <x:f>'CAPEX'!CC135</x:f>
      </x:c>
      <x:c r="CD18" s="117" t="n">
        <x:f>'CAPEX'!CD135</x:f>
      </x:c>
      <x:c r="CE18" s="117" t="n">
        <x:f>'CAPEX'!CE135</x:f>
      </x:c>
      <x:c r="CF18" s="117" t="n">
        <x:f>'CAPEX'!CF135</x:f>
      </x:c>
      <x:c r="CG18" s="117" t="n">
        <x:f>'CAPEX'!CG135</x:f>
      </x:c>
      <x:c r="CH18" s="117" t="n">
        <x:f>'CAPEX'!CH135</x:f>
      </x:c>
      <x:c r="CI18" s="117" t="n">
        <x:f>'CAPEX'!CI135</x:f>
      </x:c>
      <x:c r="CJ18" s="117" t="n">
        <x:f>'CAPEX'!CJ135</x:f>
      </x:c>
      <x:c r="CK18" s="117" t="n">
        <x:f>'CAPEX'!CK135</x:f>
      </x:c>
      <x:c r="CL18" s="117" t="n">
        <x:f>'CAPEX'!CL135</x:f>
      </x:c>
      <x:c r="CM18" s="117" t="n">
        <x:f>'CAPEX'!CM135</x:f>
      </x:c>
      <x:c r="CN18" s="117" t="n">
        <x:f>'CAPEX'!CN135</x:f>
      </x:c>
      <x:c r="CO18" s="117" t="n">
        <x:f>'CAPEX'!CO135</x:f>
      </x:c>
      <x:c r="CP18" s="117" t="n">
        <x:f>'CAPEX'!CP135</x:f>
      </x:c>
      <x:c r="CQ18" s="117" t="n">
        <x:f>'CAPEX'!CQ135</x:f>
      </x:c>
      <x:c r="CR18" s="117" t="n">
        <x:f>'CAPEX'!CR135</x:f>
      </x:c>
      <x:c r="CS18" s="117" t="n">
        <x:f>'CAPEX'!CS135</x:f>
      </x:c>
      <x:c r="CT18" s="117" t="n">
        <x:f>'CAPEX'!CT135</x:f>
      </x:c>
      <x:c r="CU18" s="117" t="n">
        <x:f>'CAPEX'!CU135</x:f>
      </x:c>
      <x:c r="CV18" s="117" t="n">
        <x:f>'CAPEX'!CV135</x:f>
      </x:c>
      <x:c r="CW18" s="117" t="n">
        <x:f>'CAPEX'!CW135</x:f>
      </x:c>
      <x:c r="CX18" s="117" t="n">
        <x:f>'CAPEX'!CX135</x:f>
      </x:c>
      <x:c r="CY18" s="117" t="n">
        <x:f>'CAPEX'!CY135</x:f>
      </x:c>
      <x:c r="CZ18" s="117" t="n">
        <x:f>'CAPEX'!CZ135</x:f>
      </x:c>
      <x:c r="DA18" s="117" t="n">
        <x:f>'CAPEX'!DA135</x:f>
      </x:c>
      <x:c r="DB18" s="117" t="n">
        <x:f>'CAPEX'!DB135</x:f>
      </x:c>
      <x:c r="DC18" s="117" t="n">
        <x:f>'CAPEX'!DC135</x:f>
      </x:c>
      <x:c r="DD18" s="117" t="n">
        <x:f>'CAPEX'!DD135</x:f>
      </x:c>
      <x:c r="DE18" s="117" t="n">
        <x:f>'CAPEX'!DE135</x:f>
      </x:c>
      <x:c r="DF18" s="117" t="n">
        <x:f>'CAPEX'!DF135</x:f>
      </x:c>
      <x:c r="DG18" s="117" t="n">
        <x:f>'CAPEX'!DG135</x:f>
      </x:c>
      <x:c r="DH18" s="117" t="n">
        <x:f>'CAPEX'!DH135</x:f>
      </x:c>
      <x:c r="DI18" s="117" t="n">
        <x:f>'CAPEX'!DI135</x:f>
      </x:c>
      <x:c r="DJ18" s="117" t="n">
        <x:f>'CAPEX'!DJ135</x:f>
      </x:c>
      <x:c r="DK18" s="117" t="n">
        <x:f>'CAPEX'!DK135</x:f>
      </x:c>
      <x:c r="DL18" s="117" t="n">
        <x:f>'CAPEX'!DL135</x:f>
      </x:c>
      <x:c r="DM18" s="117" t="n">
        <x:f>'CAPEX'!DM135</x:f>
      </x:c>
      <x:c r="DN18" s="117" t="n">
        <x:f>'CAPEX'!DN135</x:f>
      </x:c>
      <x:c r="DO18" s="117" t="n">
        <x:f>'CAPEX'!DO135</x:f>
      </x:c>
      <x:c r="DP18" s="117" t="n">
        <x:f>'CAPEX'!DP135</x:f>
      </x:c>
      <x:c r="DQ18" s="117" t="n">
        <x:f>'CAPEX'!DQ135</x:f>
      </x:c>
      <x:c r="DR18" s="117" t="n">
        <x:f>'CAPEX'!DR135</x:f>
      </x:c>
      <x:c r="DS18" s="117" t="n">
        <x:f>'CAPEX'!DS135</x:f>
      </x:c>
      <x:c r="DT18" s="117" t="n">
        <x:f>'CAPEX'!DT135</x:f>
      </x:c>
      <x:c r="DU18" s="117" t="n">
        <x:f>'CAPEX'!DU135</x:f>
      </x:c>
      <x:c r="DV18" s="117" t="n">
        <x:f>'CAPEX'!DV135</x:f>
      </x:c>
      <x:c r="DW18" s="117" t="n">
        <x:f>'CAPEX'!DW135</x:f>
      </x:c>
      <x:c r="DX18" s="117" t="n">
        <x:f>'CAPEX'!DX135</x:f>
      </x:c>
      <x:c r="DY18" s="117" t="n">
        <x:f>'CAPEX'!DY135</x:f>
      </x:c>
      <x:c r="DZ18" s="117" t="n">
        <x:f>'CAPEX'!DZ135</x:f>
      </x:c>
      <x:c r="EA18" s="117" t="n">
        <x:f>'CAPEX'!EA135</x:f>
      </x:c>
      <x:c r="EB18" s="117" t="n">
        <x:f>'CAPEX'!EB135</x:f>
      </x:c>
      <x:c r="EC18" s="117" t="n">
        <x:f>'CAPEX'!EC135</x:f>
      </x:c>
      <x:c r="ED18" s="117" t="n">
        <x:f>'CAPEX'!ED135</x:f>
      </x:c>
      <x:c r="EE18" s="117" t="n">
        <x:f>'CAPEX'!EE135</x:f>
      </x:c>
      <x:c r="EF18" s="117" t="n">
        <x:f>'CAPEX'!EF135</x:f>
      </x:c>
      <x:c r="EG18" s="117" t="n">
        <x:f>'CAPEX'!EG135</x:f>
      </x:c>
      <x:c r="EH18" s="117" t="n">
        <x:f>'CAPEX'!EH135</x:f>
      </x:c>
      <x:c r="EI18" s="117" t="n">
        <x:f>'CAPEX'!EI135</x:f>
      </x:c>
      <x:c r="EJ18" s="117" t="n">
        <x:f>'CAPEX'!EJ135</x:f>
      </x:c>
      <x:c r="EK18" s="117" t="n">
        <x:f>'CAPEX'!EK135</x:f>
      </x:c>
      <x:c r="EL18" s="117" t="n">
        <x:f>'CAPEX'!EL135</x:f>
      </x:c>
      <x:c r="EM18" s="117" t="n">
        <x:f>'CAPEX'!EM135</x:f>
      </x:c>
      <x:c r="EN18" s="117" t="n">
        <x:f>'CAPEX'!EN135</x:f>
      </x:c>
      <x:c r="EO18" s="117" t="n">
        <x:f>'CAPEX'!EO135</x:f>
      </x:c>
      <x:c r="EP18" s="117" t="n">
        <x:f>'CAPEX'!EP135</x:f>
      </x:c>
      <x:c r="EQ18" s="117" t="n">
        <x:f>'CAPEX'!EQ135</x:f>
      </x:c>
      <x:c r="ER18" s="117" t="n">
        <x:f>'CAPEX'!ER135</x:f>
      </x:c>
      <x:c r="ES18" s="117" t="n">
        <x:f>'CAPEX'!ES135</x:f>
      </x:c>
      <x:c r="ET18" s="117" t="n">
        <x:f>'CAPEX'!ET135</x:f>
      </x:c>
      <x:c r="EU18" s="117" t="n">
        <x:f>'CAPEX'!EU135</x:f>
      </x:c>
      <x:c r="EV18" s="117" t="n">
        <x:f>'CAPEX'!EV135</x:f>
      </x:c>
      <x:c r="EW18" s="117" t="n">
        <x:f>'CAPEX'!EW135</x:f>
      </x:c>
      <x:c r="EX18" s="117" t="n">
        <x:f>'CAPEX'!EX135</x:f>
      </x:c>
      <x:c r="EY18" s="117" t="n">
        <x:f>'CAPEX'!EY135</x:f>
      </x:c>
      <x:c r="EZ18" s="117" t="n">
        <x:f>'CAPEX'!EZ135</x:f>
      </x:c>
      <x:c r="FA18" s="117" t="n">
        <x:f>'CAPEX'!FA135</x:f>
      </x:c>
      <x:c r="FB18" s="117" t="n">
        <x:f>'CAPEX'!FB135</x:f>
      </x:c>
      <x:c r="FC18" s="117" t="n">
        <x:f>'CAPEX'!FC135</x:f>
      </x:c>
      <x:c r="FD18" s="117" t="n">
        <x:f>'CAPEX'!FD135</x:f>
      </x:c>
      <x:c r="FE18" s="117" t="n">
        <x:f>'CAPEX'!FE135</x:f>
      </x:c>
      <x:c r="FF18" s="117" t="n">
        <x:f>'CAPEX'!FF135</x:f>
      </x:c>
      <x:c r="FG18" s="117" t="n">
        <x:f>'CAPEX'!FG135</x:f>
      </x:c>
      <x:c r="FH18" s="117" t="n">
        <x:f>'CAPEX'!FH135</x:f>
      </x:c>
      <x:c r="FI18" s="117" t="n">
        <x:f>'CAPEX'!FI135</x:f>
      </x:c>
      <x:c r="FJ18" s="117" t="n">
        <x:f>'CAPEX'!FJ135</x:f>
      </x:c>
      <x:c r="FK18" s="117" t="n">
        <x:f>'CAPEX'!FK135</x:f>
      </x:c>
      <x:c r="FL18" s="117" t="n">
        <x:f>'CAPEX'!FL135</x:f>
      </x:c>
      <x:c r="FM18" s="117" t="n">
        <x:f>'CAPEX'!FM135</x:f>
      </x:c>
      <x:c r="FN18" s="117" t="n">
        <x:f>'CAPEX'!FN135</x:f>
      </x:c>
      <x:c r="FO18" s="117" t="n">
        <x:f>'CAPEX'!FO135</x:f>
      </x:c>
      <x:c r="FP18" s="117" t="n">
        <x:f>'CAPEX'!FP135</x:f>
      </x:c>
      <x:c r="FQ18" s="117" t="n">
        <x:f>'CAPEX'!FQ135</x:f>
      </x:c>
      <x:c r="FR18" s="117" t="n">
        <x:f>'CAPEX'!FR135</x:f>
      </x:c>
      <x:c r="FS18" s="117" t="n">
        <x:f>'CAPEX'!FS135</x:f>
      </x:c>
      <x:c r="FT18" s="117" t="n">
        <x:f>'CAPEX'!FT135</x:f>
      </x:c>
      <x:c r="FU18" s="117" t="n">
        <x:f>'CAPEX'!FU135</x:f>
      </x:c>
      <x:c r="FV18" s="117" t="n">
        <x:f>'CAPEX'!FV135</x:f>
      </x:c>
      <x:c r="FW18" s="117" t="n">
        <x:f>'CAPEX'!FW135</x:f>
      </x:c>
      <x:c r="FX18" s="117" t="n">
        <x:f>'CAPEX'!FX135</x:f>
      </x:c>
      <x:c r="FY18" s="117" t="n">
        <x:f>'CAPEX'!FY135</x:f>
      </x:c>
      <x:c r="FZ18" s="117" t="n">
        <x:f>'CAPEX'!FZ135</x:f>
      </x:c>
      <x:c r="GA18" s="117" t="n">
        <x:f>'CAPEX'!GA135</x:f>
      </x:c>
    </x:row>
    <x:row r="19">
      <x:c r="A19" t="str">
        <x:v>Расходы на продажи</x:v>
      </x:c>
      <x:c r="B19" t="n">
        <x:f>SUM(D19:GA19)</x:f>
      </x:c>
      <x:c r="C19" t="str">
        <x:v>млн ₽</x:v>
      </x:c>
      <x:c r="D19" s="117" t="n">
        <x:f>'CAPEX'!D136</x:f>
      </x:c>
      <x:c r="E19" s="117" t="n">
        <x:f>'CAPEX'!E136</x:f>
      </x:c>
      <x:c r="F19" s="117" t="n">
        <x:f>'CAPEX'!F136</x:f>
      </x:c>
      <x:c r="G19" s="117" t="n">
        <x:f>'CAPEX'!G136</x:f>
      </x:c>
      <x:c r="H19" s="117" t="n">
        <x:f>'CAPEX'!H136</x:f>
      </x:c>
      <x:c r="I19" s="117" t="n">
        <x:f>'CAPEX'!I136</x:f>
      </x:c>
      <x:c r="J19" s="117" t="n">
        <x:f>'CAPEX'!J136</x:f>
      </x:c>
      <x:c r="K19" s="117" t="n">
        <x:f>'CAPEX'!K136</x:f>
      </x:c>
      <x:c r="L19" s="117" t="n">
        <x:f>'CAPEX'!L136</x:f>
      </x:c>
      <x:c r="M19" s="117" t="n">
        <x:f>'CAPEX'!M136</x:f>
      </x:c>
      <x:c r="N19" s="117" t="n">
        <x:f>'CAPEX'!N136</x:f>
      </x:c>
      <x:c r="O19" s="117" t="n">
        <x:f>'CAPEX'!O136</x:f>
      </x:c>
      <x:c r="P19" s="117" t="n">
        <x:f>'CAPEX'!P136</x:f>
      </x:c>
      <x:c r="Q19" s="117" t="n">
        <x:f>'CAPEX'!Q136</x:f>
      </x:c>
      <x:c r="R19" s="117" t="n">
        <x:f>'CAPEX'!R136</x:f>
      </x:c>
      <x:c r="S19" s="117" t="n">
        <x:f>'CAPEX'!S136</x:f>
      </x:c>
      <x:c r="T19" s="117" t="n">
        <x:f>'CAPEX'!T136</x:f>
      </x:c>
      <x:c r="U19" s="117" t="n">
        <x:f>'CAPEX'!U136</x:f>
      </x:c>
      <x:c r="V19" s="117" t="n">
        <x:f>'CAPEX'!V136</x:f>
      </x:c>
      <x:c r="W19" s="117" t="n">
        <x:f>'CAPEX'!W136</x:f>
      </x:c>
      <x:c r="X19" s="117" t="n">
        <x:f>'CAPEX'!X136</x:f>
      </x:c>
      <x:c r="Y19" s="117" t="n">
        <x:f>'CAPEX'!Y136</x:f>
      </x:c>
      <x:c r="Z19" s="117" t="n">
        <x:f>'CAPEX'!Z136</x:f>
      </x:c>
      <x:c r="AA19" s="117" t="n">
        <x:f>'CAPEX'!AA136</x:f>
      </x:c>
      <x:c r="AB19" s="117" t="n">
        <x:f>'CAPEX'!AB136</x:f>
      </x:c>
      <x:c r="AC19" s="117" t="n">
        <x:f>'CAPEX'!AC136</x:f>
      </x:c>
      <x:c r="AD19" s="117" t="n">
        <x:f>'CAPEX'!AD136</x:f>
      </x:c>
      <x:c r="AE19" s="117" t="n">
        <x:f>'CAPEX'!AE136</x:f>
      </x:c>
      <x:c r="AF19" s="117" t="n">
        <x:f>'CAPEX'!AF136</x:f>
      </x:c>
      <x:c r="AG19" s="117" t="n">
        <x:f>'CAPEX'!AG136</x:f>
      </x:c>
      <x:c r="AH19" s="117" t="n">
        <x:f>'CAPEX'!AH136</x:f>
      </x:c>
      <x:c r="AI19" s="117" t="n">
        <x:f>'CAPEX'!AI136</x:f>
      </x:c>
      <x:c r="AJ19" s="117" t="n">
        <x:f>'CAPEX'!AJ136</x:f>
      </x:c>
      <x:c r="AK19" s="117" t="n">
        <x:f>'CAPEX'!AK136</x:f>
      </x:c>
      <x:c r="AL19" s="117" t="n">
        <x:f>'CAPEX'!AL136</x:f>
      </x:c>
      <x:c r="AM19" s="117" t="n">
        <x:f>'CAPEX'!AM136</x:f>
      </x:c>
      <x:c r="AN19" s="117" t="n">
        <x:f>'CAPEX'!AN136</x:f>
      </x:c>
      <x:c r="AO19" s="117" t="n">
        <x:f>'CAPEX'!AO136</x:f>
      </x:c>
      <x:c r="AP19" s="117" t="n">
        <x:f>'CAPEX'!AP136</x:f>
      </x:c>
      <x:c r="AQ19" s="117" t="n">
        <x:f>'CAPEX'!AQ136</x:f>
      </x:c>
      <x:c r="AR19" s="117" t="n">
        <x:f>'CAPEX'!AR136</x:f>
      </x:c>
      <x:c r="AS19" s="117" t="n">
        <x:f>'CAPEX'!AS136</x:f>
      </x:c>
      <x:c r="AT19" s="117" t="n">
        <x:f>'CAPEX'!AT136</x:f>
      </x:c>
      <x:c r="AU19" s="117" t="n">
        <x:f>'CAPEX'!AU136</x:f>
      </x:c>
      <x:c r="AV19" s="117" t="n">
        <x:f>'CAPEX'!AV136</x:f>
      </x:c>
      <x:c r="AW19" s="117" t="n">
        <x:f>'CAPEX'!AW136</x:f>
      </x:c>
      <x:c r="AX19" s="117" t="n">
        <x:f>'CAPEX'!AX136</x:f>
      </x:c>
      <x:c r="AY19" s="117" t="n">
        <x:f>'CAPEX'!AY136</x:f>
      </x:c>
      <x:c r="AZ19" s="117" t="n">
        <x:f>'CAPEX'!AZ136</x:f>
      </x:c>
      <x:c r="BA19" s="117" t="n">
        <x:f>'CAPEX'!BA136</x:f>
      </x:c>
      <x:c r="BB19" s="117" t="n">
        <x:f>'CAPEX'!BB136</x:f>
      </x:c>
      <x:c r="BC19" s="117" t="n">
        <x:f>'CAPEX'!BC136</x:f>
      </x:c>
      <x:c r="BD19" s="117" t="n">
        <x:f>'CAPEX'!BD136</x:f>
      </x:c>
      <x:c r="BE19" s="117" t="n">
        <x:f>'CAPEX'!BE136</x:f>
      </x:c>
      <x:c r="BF19" s="117" t="n">
        <x:f>'CAPEX'!BF136</x:f>
      </x:c>
      <x:c r="BG19" s="117" t="n">
        <x:f>'CAPEX'!BG136</x:f>
      </x:c>
      <x:c r="BH19" s="117" t="n">
        <x:f>'CAPEX'!BH136</x:f>
      </x:c>
      <x:c r="BI19" s="117" t="n">
        <x:f>'CAPEX'!BI136</x:f>
      </x:c>
      <x:c r="BJ19" s="117" t="n">
        <x:f>'CAPEX'!BJ136</x:f>
      </x:c>
      <x:c r="BK19" s="117" t="n">
        <x:f>'CAPEX'!BK136</x:f>
      </x:c>
      <x:c r="BL19" s="117" t="n">
        <x:f>'CAPEX'!BL136</x:f>
      </x:c>
      <x:c r="BM19" s="117" t="n">
        <x:f>'CAPEX'!BM136</x:f>
      </x:c>
      <x:c r="BN19" s="117" t="n">
        <x:f>'CAPEX'!BN136</x:f>
      </x:c>
      <x:c r="BO19" s="117" t="n">
        <x:f>'CAPEX'!BO136</x:f>
      </x:c>
      <x:c r="BP19" s="117" t="n">
        <x:f>'CAPEX'!BP136</x:f>
      </x:c>
      <x:c r="BQ19" s="117" t="n">
        <x:f>'CAPEX'!BQ136</x:f>
      </x:c>
      <x:c r="BR19" s="117" t="n">
        <x:f>'CAPEX'!BR136</x:f>
      </x:c>
      <x:c r="BS19" s="117" t="n">
        <x:f>'CAPEX'!BS136</x:f>
      </x:c>
      <x:c r="BT19" s="117" t="n">
        <x:f>'CAPEX'!BT136</x:f>
      </x:c>
      <x:c r="BU19" s="117" t="n">
        <x:f>'CAPEX'!BU136</x:f>
      </x:c>
      <x:c r="BV19" s="117" t="n">
        <x:f>'CAPEX'!BV136</x:f>
      </x:c>
      <x:c r="BW19" s="117" t="n">
        <x:f>'CAPEX'!BW136</x:f>
      </x:c>
      <x:c r="BX19" s="117" t="n">
        <x:f>'CAPEX'!BX136</x:f>
      </x:c>
      <x:c r="BY19" s="117" t="n">
        <x:f>'CAPEX'!BY136</x:f>
      </x:c>
      <x:c r="BZ19" s="117" t="n">
        <x:f>'CAPEX'!BZ136</x:f>
      </x:c>
      <x:c r="CA19" s="117" t="n">
        <x:f>'CAPEX'!CA136</x:f>
      </x:c>
      <x:c r="CB19" s="117" t="n">
        <x:f>'CAPEX'!CB136</x:f>
      </x:c>
      <x:c r="CC19" s="117" t="n">
        <x:f>'CAPEX'!CC136</x:f>
      </x:c>
      <x:c r="CD19" s="117" t="n">
        <x:f>'CAPEX'!CD136</x:f>
      </x:c>
      <x:c r="CE19" s="117" t="n">
        <x:f>'CAPEX'!CE136</x:f>
      </x:c>
      <x:c r="CF19" s="117" t="n">
        <x:f>'CAPEX'!CF136</x:f>
      </x:c>
      <x:c r="CG19" s="117" t="n">
        <x:f>'CAPEX'!CG136</x:f>
      </x:c>
      <x:c r="CH19" s="117" t="n">
        <x:f>'CAPEX'!CH136</x:f>
      </x:c>
      <x:c r="CI19" s="117" t="n">
        <x:f>'CAPEX'!CI136</x:f>
      </x:c>
      <x:c r="CJ19" s="117" t="n">
        <x:f>'CAPEX'!CJ136</x:f>
      </x:c>
      <x:c r="CK19" s="117" t="n">
        <x:f>'CAPEX'!CK136</x:f>
      </x:c>
      <x:c r="CL19" s="117" t="n">
        <x:f>'CAPEX'!CL136</x:f>
      </x:c>
      <x:c r="CM19" s="117" t="n">
        <x:f>'CAPEX'!CM136</x:f>
      </x:c>
      <x:c r="CN19" s="117" t="n">
        <x:f>'CAPEX'!CN136</x:f>
      </x:c>
      <x:c r="CO19" s="117" t="n">
        <x:f>'CAPEX'!CO136</x:f>
      </x:c>
      <x:c r="CP19" s="117" t="n">
        <x:f>'CAPEX'!CP136</x:f>
      </x:c>
      <x:c r="CQ19" s="117" t="n">
        <x:f>'CAPEX'!CQ136</x:f>
      </x:c>
      <x:c r="CR19" s="117" t="n">
        <x:f>'CAPEX'!CR136</x:f>
      </x:c>
      <x:c r="CS19" s="117" t="n">
        <x:f>'CAPEX'!CS136</x:f>
      </x:c>
      <x:c r="CT19" s="117" t="n">
        <x:f>'CAPEX'!CT136</x:f>
      </x:c>
      <x:c r="CU19" s="117" t="n">
        <x:f>'CAPEX'!CU136</x:f>
      </x:c>
      <x:c r="CV19" s="117" t="n">
        <x:f>'CAPEX'!CV136</x:f>
      </x:c>
      <x:c r="CW19" s="117" t="n">
        <x:f>'CAPEX'!CW136</x:f>
      </x:c>
      <x:c r="CX19" s="117" t="n">
        <x:f>'CAPEX'!CX136</x:f>
      </x:c>
      <x:c r="CY19" s="117" t="n">
        <x:f>'CAPEX'!CY136</x:f>
      </x:c>
      <x:c r="CZ19" s="117" t="n">
        <x:f>'CAPEX'!CZ136</x:f>
      </x:c>
      <x:c r="DA19" s="117" t="n">
        <x:f>'CAPEX'!DA136</x:f>
      </x:c>
      <x:c r="DB19" s="117" t="n">
        <x:f>'CAPEX'!DB136</x:f>
      </x:c>
      <x:c r="DC19" s="117" t="n">
        <x:f>'CAPEX'!DC136</x:f>
      </x:c>
      <x:c r="DD19" s="117" t="n">
        <x:f>'CAPEX'!DD136</x:f>
      </x:c>
      <x:c r="DE19" s="117" t="n">
        <x:f>'CAPEX'!DE136</x:f>
      </x:c>
      <x:c r="DF19" s="117" t="n">
        <x:f>'CAPEX'!DF136</x:f>
      </x:c>
      <x:c r="DG19" s="117" t="n">
        <x:f>'CAPEX'!DG136</x:f>
      </x:c>
      <x:c r="DH19" s="117" t="n">
        <x:f>'CAPEX'!DH136</x:f>
      </x:c>
      <x:c r="DI19" s="117" t="n">
        <x:f>'CAPEX'!DI136</x:f>
      </x:c>
      <x:c r="DJ19" s="117" t="n">
        <x:f>'CAPEX'!DJ136</x:f>
      </x:c>
      <x:c r="DK19" s="117" t="n">
        <x:f>'CAPEX'!DK136</x:f>
      </x:c>
      <x:c r="DL19" s="117" t="n">
        <x:f>'CAPEX'!DL136</x:f>
      </x:c>
      <x:c r="DM19" s="117" t="n">
        <x:f>'CAPEX'!DM136</x:f>
      </x:c>
      <x:c r="DN19" s="117" t="n">
        <x:f>'CAPEX'!DN136</x:f>
      </x:c>
      <x:c r="DO19" s="117" t="n">
        <x:f>'CAPEX'!DO136</x:f>
      </x:c>
      <x:c r="DP19" s="117" t="n">
        <x:f>'CAPEX'!DP136</x:f>
      </x:c>
      <x:c r="DQ19" s="117" t="n">
        <x:f>'CAPEX'!DQ136</x:f>
      </x:c>
      <x:c r="DR19" s="117" t="n">
        <x:f>'CAPEX'!DR136</x:f>
      </x:c>
      <x:c r="DS19" s="117" t="n">
        <x:f>'CAPEX'!DS136</x:f>
      </x:c>
      <x:c r="DT19" s="117" t="n">
        <x:f>'CAPEX'!DT136</x:f>
      </x:c>
      <x:c r="DU19" s="117" t="n">
        <x:f>'CAPEX'!DU136</x:f>
      </x:c>
      <x:c r="DV19" s="117" t="n">
        <x:f>'CAPEX'!DV136</x:f>
      </x:c>
      <x:c r="DW19" s="117" t="n">
        <x:f>'CAPEX'!DW136</x:f>
      </x:c>
      <x:c r="DX19" s="117" t="n">
        <x:f>'CAPEX'!DX136</x:f>
      </x:c>
      <x:c r="DY19" s="117" t="n">
        <x:f>'CAPEX'!DY136</x:f>
      </x:c>
      <x:c r="DZ19" s="117" t="n">
        <x:f>'CAPEX'!DZ136</x:f>
      </x:c>
      <x:c r="EA19" s="117" t="n">
        <x:f>'CAPEX'!EA136</x:f>
      </x:c>
      <x:c r="EB19" s="117" t="n">
        <x:f>'CAPEX'!EB136</x:f>
      </x:c>
      <x:c r="EC19" s="117" t="n">
        <x:f>'CAPEX'!EC136</x:f>
      </x:c>
      <x:c r="ED19" s="117" t="n">
        <x:f>'CAPEX'!ED136</x:f>
      </x:c>
      <x:c r="EE19" s="117" t="n">
        <x:f>'CAPEX'!EE136</x:f>
      </x:c>
      <x:c r="EF19" s="117" t="n">
        <x:f>'CAPEX'!EF136</x:f>
      </x:c>
      <x:c r="EG19" s="117" t="n">
        <x:f>'CAPEX'!EG136</x:f>
      </x:c>
      <x:c r="EH19" s="117" t="n">
        <x:f>'CAPEX'!EH136</x:f>
      </x:c>
      <x:c r="EI19" s="117" t="n">
        <x:f>'CAPEX'!EI136</x:f>
      </x:c>
      <x:c r="EJ19" s="117" t="n">
        <x:f>'CAPEX'!EJ136</x:f>
      </x:c>
      <x:c r="EK19" s="117" t="n">
        <x:f>'CAPEX'!EK136</x:f>
      </x:c>
      <x:c r="EL19" s="117" t="n">
        <x:f>'CAPEX'!EL136</x:f>
      </x:c>
      <x:c r="EM19" s="117" t="n">
        <x:f>'CAPEX'!EM136</x:f>
      </x:c>
      <x:c r="EN19" s="117" t="n">
        <x:f>'CAPEX'!EN136</x:f>
      </x:c>
      <x:c r="EO19" s="117" t="n">
        <x:f>'CAPEX'!EO136</x:f>
      </x:c>
      <x:c r="EP19" s="117" t="n">
        <x:f>'CAPEX'!EP136</x:f>
      </x:c>
      <x:c r="EQ19" s="117" t="n">
        <x:f>'CAPEX'!EQ136</x:f>
      </x:c>
      <x:c r="ER19" s="117" t="n">
        <x:f>'CAPEX'!ER136</x:f>
      </x:c>
      <x:c r="ES19" s="117" t="n">
        <x:f>'CAPEX'!ES136</x:f>
      </x:c>
      <x:c r="ET19" s="117" t="n">
        <x:f>'CAPEX'!ET136</x:f>
      </x:c>
      <x:c r="EU19" s="117" t="n">
        <x:f>'CAPEX'!EU136</x:f>
      </x:c>
      <x:c r="EV19" s="117" t="n">
        <x:f>'CAPEX'!EV136</x:f>
      </x:c>
      <x:c r="EW19" s="117" t="n">
        <x:f>'CAPEX'!EW136</x:f>
      </x:c>
      <x:c r="EX19" s="117" t="n">
        <x:f>'CAPEX'!EX136</x:f>
      </x:c>
      <x:c r="EY19" s="117" t="n">
        <x:f>'CAPEX'!EY136</x:f>
      </x:c>
      <x:c r="EZ19" s="117" t="n">
        <x:f>'CAPEX'!EZ136</x:f>
      </x:c>
      <x:c r="FA19" s="117" t="n">
        <x:f>'CAPEX'!FA136</x:f>
      </x:c>
      <x:c r="FB19" s="117" t="n">
        <x:f>'CAPEX'!FB136</x:f>
      </x:c>
      <x:c r="FC19" s="117" t="n">
        <x:f>'CAPEX'!FC136</x:f>
      </x:c>
      <x:c r="FD19" s="117" t="n">
        <x:f>'CAPEX'!FD136</x:f>
      </x:c>
      <x:c r="FE19" s="117" t="n">
        <x:f>'CAPEX'!FE136</x:f>
      </x:c>
      <x:c r="FF19" s="117" t="n">
        <x:f>'CAPEX'!FF136</x:f>
      </x:c>
      <x:c r="FG19" s="117" t="n">
        <x:f>'CAPEX'!FG136</x:f>
      </x:c>
      <x:c r="FH19" s="117" t="n">
        <x:f>'CAPEX'!FH136</x:f>
      </x:c>
      <x:c r="FI19" s="117" t="n">
        <x:f>'CAPEX'!FI136</x:f>
      </x:c>
      <x:c r="FJ19" s="117" t="n">
        <x:f>'CAPEX'!FJ136</x:f>
      </x:c>
      <x:c r="FK19" s="117" t="n">
        <x:f>'CAPEX'!FK136</x:f>
      </x:c>
      <x:c r="FL19" s="117" t="n">
        <x:f>'CAPEX'!FL136</x:f>
      </x:c>
      <x:c r="FM19" s="117" t="n">
        <x:f>'CAPEX'!FM136</x:f>
      </x:c>
      <x:c r="FN19" s="117" t="n">
        <x:f>'CAPEX'!FN136</x:f>
      </x:c>
      <x:c r="FO19" s="117" t="n">
        <x:f>'CAPEX'!FO136</x:f>
      </x:c>
      <x:c r="FP19" s="117" t="n">
        <x:f>'CAPEX'!FP136</x:f>
      </x:c>
      <x:c r="FQ19" s="117" t="n">
        <x:f>'CAPEX'!FQ136</x:f>
      </x:c>
      <x:c r="FR19" s="117" t="n">
        <x:f>'CAPEX'!FR136</x:f>
      </x:c>
      <x:c r="FS19" s="117" t="n">
        <x:f>'CAPEX'!FS136</x:f>
      </x:c>
      <x:c r="FT19" s="117" t="n">
        <x:f>'CAPEX'!FT136</x:f>
      </x:c>
      <x:c r="FU19" s="117" t="n">
        <x:f>'CAPEX'!FU136</x:f>
      </x:c>
      <x:c r="FV19" s="117" t="n">
        <x:f>'CAPEX'!FV136</x:f>
      </x:c>
      <x:c r="FW19" s="117" t="n">
        <x:f>'CAPEX'!FW136</x:f>
      </x:c>
      <x:c r="FX19" s="117" t="n">
        <x:f>'CAPEX'!FX136</x:f>
      </x:c>
      <x:c r="FY19" s="117" t="n">
        <x:f>'CAPEX'!FY136</x:f>
      </x:c>
      <x:c r="FZ19" s="117" t="n">
        <x:f>'CAPEX'!FZ136</x:f>
      </x:c>
      <x:c r="GA19" s="117" t="n">
        <x:f>'CAPEX'!GA136</x:f>
      </x:c>
    </x:row>
    <x:row r="20">
      <x:c r="A20" s="113" t="str">
        <x:v>Расходы проекта всего</x:v>
      </x:c>
      <x:c r="B20" s="113" t="n">
        <x:f>SUM(D20:GA20)</x:f>
      </x:c>
      <x:c r="C20" s="113" t="str">
        <x:v>млн ₽</x:v>
      </x:c>
      <x:c r="D20" s="120" t="n">
        <x:f>SUM(D17:D19)</x:f>
      </x:c>
      <x:c r="E20" s="120" t="n">
        <x:f>SUM(E17:E19)</x:f>
      </x:c>
      <x:c r="F20" s="120" t="n">
        <x:f>SUM(F17:F19)</x:f>
      </x:c>
      <x:c r="G20" s="120" t="n">
        <x:f>SUM(G17:G19)</x:f>
      </x:c>
      <x:c r="H20" s="120" t="n">
        <x:f>SUM(H17:H19)</x:f>
      </x:c>
      <x:c r="I20" s="120" t="n">
        <x:f>SUM(I17:I19)</x:f>
      </x:c>
      <x:c r="J20" s="120" t="n">
        <x:f>SUM(J17:J19)</x:f>
      </x:c>
      <x:c r="K20" s="120" t="n">
        <x:f>SUM(K17:K19)</x:f>
      </x:c>
      <x:c r="L20" s="120" t="n">
        <x:f>SUM(L17:L19)</x:f>
      </x:c>
      <x:c r="M20" s="120" t="n">
        <x:f>SUM(M17:M19)</x:f>
      </x:c>
      <x:c r="N20" s="120" t="n">
        <x:f>SUM(N17:N19)</x:f>
      </x:c>
      <x:c r="O20" s="120" t="n">
        <x:f>SUM(O17:O19)</x:f>
      </x:c>
      <x:c r="P20" s="120" t="n">
        <x:f>SUM(P17:P19)</x:f>
      </x:c>
      <x:c r="Q20" s="120" t="n">
        <x:f>SUM(Q17:Q19)</x:f>
      </x:c>
      <x:c r="R20" s="120" t="n">
        <x:f>SUM(R17:R19)</x:f>
      </x:c>
      <x:c r="S20" s="120" t="n">
        <x:f>SUM(S17:S19)</x:f>
      </x:c>
      <x:c r="T20" s="120" t="n">
        <x:f>SUM(T17:T19)</x:f>
      </x:c>
      <x:c r="U20" s="120" t="n">
        <x:f>SUM(U17:U19)</x:f>
      </x:c>
      <x:c r="V20" s="120" t="n">
        <x:f>SUM(V17:V19)</x:f>
      </x:c>
      <x:c r="W20" s="120" t="n">
        <x:f>SUM(W17:W19)</x:f>
      </x:c>
      <x:c r="X20" s="120" t="n">
        <x:f>SUM(X17:X19)</x:f>
      </x:c>
      <x:c r="Y20" s="120" t="n">
        <x:f>SUM(Y17:Y19)</x:f>
      </x:c>
      <x:c r="Z20" s="120" t="n">
        <x:f>SUM(Z17:Z19)</x:f>
      </x:c>
      <x:c r="AA20" s="120" t="n">
        <x:f>SUM(AA17:AA19)</x:f>
      </x:c>
      <x:c r="AB20" s="120" t="n">
        <x:f>SUM(AB17:AB19)</x:f>
      </x:c>
      <x:c r="AC20" s="120" t="n">
        <x:f>SUM(AC17:AC19)</x:f>
      </x:c>
      <x:c r="AD20" s="120" t="n">
        <x:f>SUM(AD17:AD19)</x:f>
      </x:c>
      <x:c r="AE20" s="120" t="n">
        <x:f>SUM(AE17:AE19)</x:f>
      </x:c>
      <x:c r="AF20" s="120" t="n">
        <x:f>SUM(AF17:AF19)</x:f>
      </x:c>
      <x:c r="AG20" s="120" t="n">
        <x:f>SUM(AG17:AG19)</x:f>
      </x:c>
      <x:c r="AH20" s="120" t="n">
        <x:f>SUM(AH17:AH19)</x:f>
      </x:c>
      <x:c r="AI20" s="120" t="n">
        <x:f>SUM(AI17:AI19)</x:f>
      </x:c>
      <x:c r="AJ20" s="120" t="n">
        <x:f>SUM(AJ17:AJ19)</x:f>
      </x:c>
      <x:c r="AK20" s="120" t="n">
        <x:f>SUM(AK17:AK19)</x:f>
      </x:c>
      <x:c r="AL20" s="120" t="n">
        <x:f>SUM(AL17:AL19)</x:f>
      </x:c>
      <x:c r="AM20" s="120" t="n">
        <x:f>SUM(AM17:AM19)</x:f>
      </x:c>
      <x:c r="AN20" s="120" t="n">
        <x:f>SUM(AN17:AN19)</x:f>
      </x:c>
      <x:c r="AO20" s="120" t="n">
        <x:f>SUM(AO17:AO19)</x:f>
      </x:c>
      <x:c r="AP20" s="120" t="n">
        <x:f>SUM(AP17:AP19)</x:f>
      </x:c>
      <x:c r="AQ20" s="120" t="n">
        <x:f>SUM(AQ17:AQ19)</x:f>
      </x:c>
      <x:c r="AR20" s="120" t="n">
        <x:f>SUM(AR17:AR19)</x:f>
      </x:c>
      <x:c r="AS20" s="120" t="n">
        <x:f>SUM(AS17:AS19)</x:f>
      </x:c>
      <x:c r="AT20" s="120" t="n">
        <x:f>SUM(AT17:AT19)</x:f>
      </x:c>
      <x:c r="AU20" s="120" t="n">
        <x:f>SUM(AU17:AU19)</x:f>
      </x:c>
      <x:c r="AV20" s="120" t="n">
        <x:f>SUM(AV17:AV19)</x:f>
      </x:c>
      <x:c r="AW20" s="120" t="n">
        <x:f>SUM(AW17:AW19)</x:f>
      </x:c>
      <x:c r="AX20" s="120" t="n">
        <x:f>SUM(AX17:AX19)</x:f>
      </x:c>
      <x:c r="AY20" s="120" t="n">
        <x:f>SUM(AY17:AY19)</x:f>
      </x:c>
      <x:c r="AZ20" s="120" t="n">
        <x:f>SUM(AZ17:AZ19)</x:f>
      </x:c>
      <x:c r="BA20" s="120" t="n">
        <x:f>SUM(BA17:BA19)</x:f>
      </x:c>
      <x:c r="BB20" s="120" t="n">
        <x:f>SUM(BB17:BB19)</x:f>
      </x:c>
      <x:c r="BC20" s="120" t="n">
        <x:f>SUM(BC17:BC19)</x:f>
      </x:c>
      <x:c r="BD20" s="120" t="n">
        <x:f>SUM(BD17:BD19)</x:f>
      </x:c>
      <x:c r="BE20" s="120" t="n">
        <x:f>SUM(BE17:BE19)</x:f>
      </x:c>
      <x:c r="BF20" s="120" t="n">
        <x:f>SUM(BF17:BF19)</x:f>
      </x:c>
      <x:c r="BG20" s="120" t="n">
        <x:f>SUM(BG17:BG19)</x:f>
      </x:c>
      <x:c r="BH20" s="120" t="n">
        <x:f>SUM(BH17:BH19)</x:f>
      </x:c>
      <x:c r="BI20" s="120" t="n">
        <x:f>SUM(BI17:BI19)</x:f>
      </x:c>
      <x:c r="BJ20" s="120" t="n">
        <x:f>SUM(BJ17:BJ19)</x:f>
      </x:c>
      <x:c r="BK20" s="120" t="n">
        <x:f>SUM(BK17:BK19)</x:f>
      </x:c>
      <x:c r="BL20" s="120" t="n">
        <x:f>SUM(BL17:BL19)</x:f>
      </x:c>
      <x:c r="BM20" s="120" t="n">
        <x:f>SUM(BM17:BM19)</x:f>
      </x:c>
      <x:c r="BN20" s="120" t="n">
        <x:f>SUM(BN17:BN19)</x:f>
      </x:c>
      <x:c r="BO20" s="120" t="n">
        <x:f>SUM(BO17:BO19)</x:f>
      </x:c>
      <x:c r="BP20" s="120" t="n">
        <x:f>SUM(BP17:BP19)</x:f>
      </x:c>
      <x:c r="BQ20" s="120" t="n">
        <x:f>SUM(BQ17:BQ19)</x:f>
      </x:c>
      <x:c r="BR20" s="120" t="n">
        <x:f>SUM(BR17:BR19)</x:f>
      </x:c>
      <x:c r="BS20" s="120" t="n">
        <x:f>SUM(BS17:BS19)</x:f>
      </x:c>
      <x:c r="BT20" s="120" t="n">
        <x:f>SUM(BT17:BT19)</x:f>
      </x:c>
      <x:c r="BU20" s="120" t="n">
        <x:f>SUM(BU17:BU19)</x:f>
      </x:c>
      <x:c r="BV20" s="120" t="n">
        <x:f>SUM(BV17:BV19)</x:f>
      </x:c>
      <x:c r="BW20" s="120" t="n">
        <x:f>SUM(BW17:BW19)</x:f>
      </x:c>
      <x:c r="BX20" s="120" t="n">
        <x:f>SUM(BX17:BX19)</x:f>
      </x:c>
      <x:c r="BY20" s="120" t="n">
        <x:f>SUM(BY17:BY19)</x:f>
      </x:c>
      <x:c r="BZ20" s="120" t="n">
        <x:f>SUM(BZ17:BZ19)</x:f>
      </x:c>
      <x:c r="CA20" s="120" t="n">
        <x:f>SUM(CA17:CA19)</x:f>
      </x:c>
      <x:c r="CB20" s="120" t="n">
        <x:f>SUM(CB17:CB19)</x:f>
      </x:c>
      <x:c r="CC20" s="120" t="n">
        <x:f>SUM(CC17:CC19)</x:f>
      </x:c>
      <x:c r="CD20" s="120" t="n">
        <x:f>SUM(CD17:CD19)</x:f>
      </x:c>
      <x:c r="CE20" s="120" t="n">
        <x:f>SUM(CE17:CE19)</x:f>
      </x:c>
      <x:c r="CF20" s="120" t="n">
        <x:f>SUM(CF17:CF19)</x:f>
      </x:c>
      <x:c r="CG20" s="120" t="n">
        <x:f>SUM(CG17:CG19)</x:f>
      </x:c>
      <x:c r="CH20" s="120" t="n">
        <x:f>SUM(CH17:CH19)</x:f>
      </x:c>
      <x:c r="CI20" s="120" t="n">
        <x:f>SUM(CI17:CI19)</x:f>
      </x:c>
      <x:c r="CJ20" s="120" t="n">
        <x:f>SUM(CJ17:CJ19)</x:f>
      </x:c>
      <x:c r="CK20" s="120" t="n">
        <x:f>SUM(CK17:CK19)</x:f>
      </x:c>
      <x:c r="CL20" s="120" t="n">
        <x:f>SUM(CL17:CL19)</x:f>
      </x:c>
      <x:c r="CM20" s="120" t="n">
        <x:f>SUM(CM17:CM19)</x:f>
      </x:c>
      <x:c r="CN20" s="120" t="n">
        <x:f>SUM(CN17:CN19)</x:f>
      </x:c>
      <x:c r="CO20" s="120" t="n">
        <x:f>SUM(CO17:CO19)</x:f>
      </x:c>
      <x:c r="CP20" s="120" t="n">
        <x:f>SUM(CP17:CP19)</x:f>
      </x:c>
      <x:c r="CQ20" s="120" t="n">
        <x:f>SUM(CQ17:CQ19)</x:f>
      </x:c>
      <x:c r="CR20" s="120" t="n">
        <x:f>SUM(CR17:CR19)</x:f>
      </x:c>
      <x:c r="CS20" s="120" t="n">
        <x:f>SUM(CS17:CS19)</x:f>
      </x:c>
      <x:c r="CT20" s="120" t="n">
        <x:f>SUM(CT17:CT19)</x:f>
      </x:c>
      <x:c r="CU20" s="120" t="n">
        <x:f>SUM(CU17:CU19)</x:f>
      </x:c>
      <x:c r="CV20" s="120" t="n">
        <x:f>SUM(CV17:CV19)</x:f>
      </x:c>
      <x:c r="CW20" s="120" t="n">
        <x:f>SUM(CW17:CW19)</x:f>
      </x:c>
      <x:c r="CX20" s="120" t="n">
        <x:f>SUM(CX17:CX19)</x:f>
      </x:c>
      <x:c r="CY20" s="120" t="n">
        <x:f>SUM(CY17:CY19)</x:f>
      </x:c>
      <x:c r="CZ20" s="120" t="n">
        <x:f>SUM(CZ17:CZ19)</x:f>
      </x:c>
      <x:c r="DA20" s="120" t="n">
        <x:f>SUM(DA17:DA19)</x:f>
      </x:c>
      <x:c r="DB20" s="120" t="n">
        <x:f>SUM(DB17:DB19)</x:f>
      </x:c>
      <x:c r="DC20" s="120" t="n">
        <x:f>SUM(DC17:DC19)</x:f>
      </x:c>
      <x:c r="DD20" s="120" t="n">
        <x:f>SUM(DD17:DD19)</x:f>
      </x:c>
      <x:c r="DE20" s="120" t="n">
        <x:f>SUM(DE17:DE19)</x:f>
      </x:c>
      <x:c r="DF20" s="120" t="n">
        <x:f>SUM(DF17:DF19)</x:f>
      </x:c>
      <x:c r="DG20" s="120" t="n">
        <x:f>SUM(DG17:DG19)</x:f>
      </x:c>
      <x:c r="DH20" s="120" t="n">
        <x:f>SUM(DH17:DH19)</x:f>
      </x:c>
      <x:c r="DI20" s="120" t="n">
        <x:f>SUM(DI17:DI19)</x:f>
      </x:c>
      <x:c r="DJ20" s="120" t="n">
        <x:f>SUM(DJ17:DJ19)</x:f>
      </x:c>
      <x:c r="DK20" s="120" t="n">
        <x:f>SUM(DK17:DK19)</x:f>
      </x:c>
      <x:c r="DL20" s="120" t="n">
        <x:f>SUM(DL17:DL19)</x:f>
      </x:c>
      <x:c r="DM20" s="120" t="n">
        <x:f>SUM(DM17:DM19)</x:f>
      </x:c>
      <x:c r="DN20" s="120" t="n">
        <x:f>SUM(DN17:DN19)</x:f>
      </x:c>
      <x:c r="DO20" s="120" t="n">
        <x:f>SUM(DO17:DO19)</x:f>
      </x:c>
      <x:c r="DP20" s="120" t="n">
        <x:f>SUM(DP17:DP19)</x:f>
      </x:c>
      <x:c r="DQ20" s="120" t="n">
        <x:f>SUM(DQ17:DQ19)</x:f>
      </x:c>
      <x:c r="DR20" s="120" t="n">
        <x:f>SUM(DR17:DR19)</x:f>
      </x:c>
      <x:c r="DS20" s="120" t="n">
        <x:f>SUM(DS17:DS19)</x:f>
      </x:c>
      <x:c r="DT20" s="120" t="n">
        <x:f>SUM(DT17:DT19)</x:f>
      </x:c>
      <x:c r="DU20" s="120" t="n">
        <x:f>SUM(DU17:DU19)</x:f>
      </x:c>
      <x:c r="DV20" s="120" t="n">
        <x:f>SUM(DV17:DV19)</x:f>
      </x:c>
      <x:c r="DW20" s="120" t="n">
        <x:f>SUM(DW17:DW19)</x:f>
      </x:c>
      <x:c r="DX20" s="120" t="n">
        <x:f>SUM(DX17:DX19)</x:f>
      </x:c>
      <x:c r="DY20" s="120" t="n">
        <x:f>SUM(DY17:DY19)</x:f>
      </x:c>
      <x:c r="DZ20" s="120" t="n">
        <x:f>SUM(DZ17:DZ19)</x:f>
      </x:c>
      <x:c r="EA20" s="120" t="n">
        <x:f>SUM(EA17:EA19)</x:f>
      </x:c>
      <x:c r="EB20" s="120" t="n">
        <x:f>SUM(EB17:EB19)</x:f>
      </x:c>
      <x:c r="EC20" s="120" t="n">
        <x:f>SUM(EC17:EC19)</x:f>
      </x:c>
      <x:c r="ED20" s="120" t="n">
        <x:f>SUM(ED17:ED19)</x:f>
      </x:c>
      <x:c r="EE20" s="120" t="n">
        <x:f>SUM(EE17:EE19)</x:f>
      </x:c>
      <x:c r="EF20" s="120" t="n">
        <x:f>SUM(EF17:EF19)</x:f>
      </x:c>
      <x:c r="EG20" s="120" t="n">
        <x:f>SUM(EG17:EG19)</x:f>
      </x:c>
      <x:c r="EH20" s="120" t="n">
        <x:f>SUM(EH17:EH19)</x:f>
      </x:c>
      <x:c r="EI20" s="120" t="n">
        <x:f>SUM(EI17:EI19)</x:f>
      </x:c>
      <x:c r="EJ20" s="120" t="n">
        <x:f>SUM(EJ17:EJ19)</x:f>
      </x:c>
      <x:c r="EK20" s="120" t="n">
        <x:f>SUM(EK17:EK19)</x:f>
      </x:c>
      <x:c r="EL20" s="120" t="n">
        <x:f>SUM(EL17:EL19)</x:f>
      </x:c>
      <x:c r="EM20" s="120" t="n">
        <x:f>SUM(EM17:EM19)</x:f>
      </x:c>
      <x:c r="EN20" s="120" t="n">
        <x:f>SUM(EN17:EN19)</x:f>
      </x:c>
      <x:c r="EO20" s="120" t="n">
        <x:f>SUM(EO17:EO19)</x:f>
      </x:c>
      <x:c r="EP20" s="120" t="n">
        <x:f>SUM(EP17:EP19)</x:f>
      </x:c>
      <x:c r="EQ20" s="120" t="n">
        <x:f>SUM(EQ17:EQ19)</x:f>
      </x:c>
      <x:c r="ER20" s="120" t="n">
        <x:f>SUM(ER17:ER19)</x:f>
      </x:c>
      <x:c r="ES20" s="120" t="n">
        <x:f>SUM(ES17:ES19)</x:f>
      </x:c>
      <x:c r="ET20" s="120" t="n">
        <x:f>SUM(ET17:ET19)</x:f>
      </x:c>
      <x:c r="EU20" s="120" t="n">
        <x:f>SUM(EU17:EU19)</x:f>
      </x:c>
      <x:c r="EV20" s="120" t="n">
        <x:f>SUM(EV17:EV19)</x:f>
      </x:c>
      <x:c r="EW20" s="120" t="n">
        <x:f>SUM(EW17:EW19)</x:f>
      </x:c>
      <x:c r="EX20" s="120" t="n">
        <x:f>SUM(EX17:EX19)</x:f>
      </x:c>
      <x:c r="EY20" s="120" t="n">
        <x:f>SUM(EY17:EY19)</x:f>
      </x:c>
      <x:c r="EZ20" s="120" t="n">
        <x:f>SUM(EZ17:EZ19)</x:f>
      </x:c>
      <x:c r="FA20" s="120" t="n">
        <x:f>SUM(FA17:FA19)</x:f>
      </x:c>
      <x:c r="FB20" s="120" t="n">
        <x:f>SUM(FB17:FB19)</x:f>
      </x:c>
      <x:c r="FC20" s="120" t="n">
        <x:f>SUM(FC17:FC19)</x:f>
      </x:c>
      <x:c r="FD20" s="120" t="n">
        <x:f>SUM(FD17:FD19)</x:f>
      </x:c>
      <x:c r="FE20" s="120" t="n">
        <x:f>SUM(FE17:FE19)</x:f>
      </x:c>
      <x:c r="FF20" s="120" t="n">
        <x:f>SUM(FF17:FF19)</x:f>
      </x:c>
      <x:c r="FG20" s="120" t="n">
        <x:f>SUM(FG17:FG19)</x:f>
      </x:c>
      <x:c r="FH20" s="120" t="n">
        <x:f>SUM(FH17:FH19)</x:f>
      </x:c>
      <x:c r="FI20" s="120" t="n">
        <x:f>SUM(FI17:FI19)</x:f>
      </x:c>
      <x:c r="FJ20" s="120" t="n">
        <x:f>SUM(FJ17:FJ19)</x:f>
      </x:c>
      <x:c r="FK20" s="120" t="n">
        <x:f>SUM(FK17:FK19)</x:f>
      </x:c>
      <x:c r="FL20" s="120" t="n">
        <x:f>SUM(FL17:FL19)</x:f>
      </x:c>
      <x:c r="FM20" s="120" t="n">
        <x:f>SUM(FM17:FM19)</x:f>
      </x:c>
      <x:c r="FN20" s="120" t="n">
        <x:f>SUM(FN17:FN19)</x:f>
      </x:c>
      <x:c r="FO20" s="120" t="n">
        <x:f>SUM(FO17:FO19)</x:f>
      </x:c>
      <x:c r="FP20" s="120" t="n">
        <x:f>SUM(FP17:FP19)</x:f>
      </x:c>
      <x:c r="FQ20" s="120" t="n">
        <x:f>SUM(FQ17:FQ19)</x:f>
      </x:c>
      <x:c r="FR20" s="120" t="n">
        <x:f>SUM(FR17:FR19)</x:f>
      </x:c>
      <x:c r="FS20" s="120" t="n">
        <x:f>SUM(FS17:FS19)</x:f>
      </x:c>
      <x:c r="FT20" s="120" t="n">
        <x:f>SUM(FT17:FT19)</x:f>
      </x:c>
      <x:c r="FU20" s="120" t="n">
        <x:f>SUM(FU17:FU19)</x:f>
      </x:c>
      <x:c r="FV20" s="120" t="n">
        <x:f>SUM(FV17:FV19)</x:f>
      </x:c>
      <x:c r="FW20" s="120" t="n">
        <x:f>SUM(FW17:FW19)</x:f>
      </x:c>
      <x:c r="FX20" s="120" t="n">
        <x:f>SUM(FX17:FX19)</x:f>
      </x:c>
      <x:c r="FY20" s="120" t="n">
        <x:f>SUM(FY17:FY19)</x:f>
      </x:c>
      <x:c r="FZ20" s="120" t="n">
        <x:f>SUM(FZ17:FZ19)</x:f>
      </x:c>
      <x:c r="GA20" s="120" t="n">
        <x:f>SUM(GA17:GA19)</x:f>
      </x:c>
    </x:row>
    <x:row r="21">
      <x:c r="A21" t="str">
        <x:v>НДС к уплате</x:v>
      </x:c>
      <x:c r="B21" t="n">
        <x:f>SUM(D21:GA21)</x:f>
      </x:c>
      <x:c r="C21" t="str">
        <x:v>млн ₽</x:v>
      </x:c>
      <x:c r="D21" s="117" t="n">
        <x:f>IF(D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E21" s="117" t="n">
        <x:f>IF(E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F21" s="117" t="n">
        <x:f>IF(F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G21" s="117" t="n">
        <x:f>IF(G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H21" s="117" t="n">
        <x:f>IF(H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I21" s="117" t="n">
        <x:f>IF(I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J21" s="117" t="n">
        <x:f>IF(J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K21" s="117" t="n">
        <x:f>IF(K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L21" s="117" t="n">
        <x:f>IF(L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M21" s="117" t="n">
        <x:f>IF(M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N21" s="117" t="n">
        <x:f>IF(N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O21" s="117" t="n">
        <x:f>IF(O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P21" s="117" t="n">
        <x:f>IF(P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Q21" s="117" t="n">
        <x:f>IF(Q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R21" s="117" t="n">
        <x:f>IF(R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S21" s="117" t="n">
        <x:f>IF(S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T21" s="117" t="n">
        <x:f>IF(T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U21" s="117" t="n">
        <x:f>IF(U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V21" s="117" t="n">
        <x:f>IF(V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W21" s="117" t="n">
        <x:f>IF(W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X21" s="117" t="n">
        <x:f>IF(X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Y21" s="117" t="n">
        <x:f>IF(Y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Z21" s="117" t="n">
        <x:f>IF(Z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AA21" s="117" t="n">
        <x:f>IF(AA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AB21" s="117" t="n">
        <x:f>IF(AB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AC21" s="117" t="n">
        <x:f>IF(AC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AD21" s="117" t="n">
        <x:f>IF(AD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AE21" s="117" t="n">
        <x:f>IF(AE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AF21" s="117" t="n">
        <x:f>IF(AF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AG21" s="117" t="n">
        <x:f>IF(AG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AH21" s="117" t="n">
        <x:f>IF(AH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AI21" s="117" t="n">
        <x:f>IF(AI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AJ21" s="117" t="n">
        <x:f>IF(AJ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AK21" s="117" t="n">
        <x:f>IF(AK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AL21" s="117" t="n">
        <x:f>IF(AL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AM21" s="117" t="n">
        <x:f>IF(AM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AN21" s="117" t="n">
        <x:f>IF(AN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AO21" s="117" t="n">
        <x:f>IF(AO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AP21" s="117" t="n">
        <x:f>IF(AP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AQ21" s="117" t="n">
        <x:f>IF(AQ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AR21" s="117" t="n">
        <x:f>IF(AR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AS21" s="117" t="n">
        <x:f>IF(AS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AT21" s="117" t="n">
        <x:f>IF(AT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AU21" s="117" t="n">
        <x:f>IF(AU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AV21" s="117" t="n">
        <x:f>IF(AV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AW21" s="117" t="n">
        <x:f>IF(AW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AX21" s="117" t="n">
        <x:f>IF(AX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AY21" s="117" t="n">
        <x:f>IF(AY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AZ21" s="117" t="n">
        <x:f>IF(AZ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BA21" s="117" t="n">
        <x:f>IF(BA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BB21" s="117" t="n">
        <x:f>IF(BB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BC21" s="117" t="n">
        <x:f>IF(BC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BD21" s="117" t="n">
        <x:f>IF(BD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BE21" s="117" t="n">
        <x:f>IF(BE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BF21" s="117" t="n">
        <x:f>IF(BF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BG21" s="117" t="n">
        <x:f>IF(BG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BH21" s="117" t="n">
        <x:f>IF(BH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BI21" s="117" t="n">
        <x:f>IF(BI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BJ21" s="117" t="n">
        <x:f>IF(BJ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BK21" s="117" t="n">
        <x:f>IF(BK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BL21" s="117" t="n">
        <x:f>IF(BL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BM21" s="117" t="n">
        <x:f>IF(BM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BN21" s="117" t="n">
        <x:f>IF(BN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BO21" s="117" t="n">
        <x:f>IF(BO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BP21" s="117" t="n">
        <x:f>IF(BP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BQ21" s="117" t="n">
        <x:f>IF(BQ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BR21" s="117" t="n">
        <x:f>IF(BR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BS21" s="117" t="n">
        <x:f>IF(BS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BT21" s="117" t="n">
        <x:f>IF(BT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BU21" s="117" t="n">
        <x:f>IF(BU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BV21" s="117" t="n">
        <x:f>IF(BV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BW21" s="117" t="n">
        <x:f>IF(BW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BX21" s="117" t="n">
        <x:f>IF(BX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BY21" s="117" t="n">
        <x:f>IF(BY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BZ21" s="117" t="n">
        <x:f>IF(BZ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CA21" s="117" t="n">
        <x:f>IF(CA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CB21" s="117" t="n">
        <x:f>IF(CB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CC21" s="117" t="n">
        <x:f>IF(CC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CD21" s="117" t="n">
        <x:f>IF(CD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CE21" s="117" t="n">
        <x:f>IF(CE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CF21" s="117" t="n">
        <x:f>IF(CF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CG21" s="117" t="n">
        <x:f>IF(CG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CH21" s="117" t="n">
        <x:f>IF(CH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CI21" s="117" t="n">
        <x:f>IF(CI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CJ21" s="117" t="n">
        <x:f>IF(CJ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CK21" s="117" t="n">
        <x:f>IF(CK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CL21" s="117" t="n">
        <x:f>IF(CL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CM21" s="117" t="n">
        <x:f>IF(CM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CN21" s="117" t="n">
        <x:f>IF(CN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CO21" s="117" t="n">
        <x:f>IF(CO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CP21" s="117" t="n">
        <x:f>IF(CP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CQ21" s="117" t="n">
        <x:f>IF(CQ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CR21" s="117" t="n">
        <x:f>IF(CR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CS21" s="117" t="n">
        <x:f>IF(CS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CT21" s="117" t="n">
        <x:f>IF(CT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CU21" s="117" t="n">
        <x:f>IF(CU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CV21" s="117" t="n">
        <x:f>IF(CV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CW21" s="117" t="n">
        <x:f>IF(CW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CX21" s="117" t="n">
        <x:f>IF(CX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CY21" s="117" t="n">
        <x:f>IF(CY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CZ21" s="117" t="n">
        <x:f>IF(CZ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DA21" s="117" t="n">
        <x:f>IF(DA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DB21" s="117" t="n">
        <x:f>IF(DB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DC21" s="117" t="n">
        <x:f>IF(DC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DD21" s="117" t="n">
        <x:f>IF(DD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DE21" s="117" t="n">
        <x:f>IF(DE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DF21" s="117" t="n">
        <x:f>IF(DF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DG21" s="117" t="n">
        <x:f>IF(DG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DH21" s="117" t="n">
        <x:f>IF(DH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DI21" s="117" t="n">
        <x:f>IF(DI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DJ21" s="117" t="n">
        <x:f>IF(DJ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DK21" s="117" t="n">
        <x:f>IF(DK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DL21" s="117" t="n">
        <x:f>IF(DL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DM21" s="117" t="n">
        <x:f>IF(DM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DN21" s="117" t="n">
        <x:f>IF(DN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DO21" s="117" t="n">
        <x:f>IF(DO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DP21" s="117" t="n">
        <x:f>IF(DP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DQ21" s="117" t="n">
        <x:f>IF(DQ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DR21" s="117" t="n">
        <x:f>IF(DR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DS21" s="117" t="n">
        <x:f>IF(DS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DT21" s="117" t="n">
        <x:f>IF(DT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DU21" s="117" t="n">
        <x:f>IF(DU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DV21" s="117" t="n">
        <x:f>IF(DV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DW21" s="117" t="n">
        <x:f>IF(DW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DX21" s="117" t="n">
        <x:f>IF(DX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DY21" s="117" t="n">
        <x:f>IF(DY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DZ21" s="117" t="n">
        <x:f>IF(DZ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EA21" s="117" t="n">
        <x:f>IF(EA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EB21" s="117" t="n">
        <x:f>IF(EB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EC21" s="117" t="n">
        <x:f>IF(EC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ED21" s="117" t="n">
        <x:f>IF(ED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EE21" s="117" t="n">
        <x:f>IF(EE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EF21" s="117" t="n">
        <x:f>IF(EF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EG21" s="117" t="n">
        <x:f>IF(EG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EH21" s="117" t="n">
        <x:f>IF(EH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EI21" s="117" t="n">
        <x:f>IF(EI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EJ21" s="117" t="n">
        <x:f>IF(EJ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EK21" s="117" t="n">
        <x:f>IF(EK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EL21" s="117" t="n">
        <x:f>IF(EL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EM21" s="117" t="n">
        <x:f>IF(EM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EN21" s="117" t="n">
        <x:f>IF(EN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EO21" s="117" t="n">
        <x:f>IF(EO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EP21" s="117" t="n">
        <x:f>IF(EP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EQ21" s="117" t="n">
        <x:f>IF(EQ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ER21" s="117" t="n">
        <x:f>IF(ER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ES21" s="117" t="n">
        <x:f>IF(ES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ET21" s="117" t="n">
        <x:f>IF(ET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EU21" s="117" t="n">
        <x:f>IF(EU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EV21" s="117" t="n">
        <x:f>IF(EV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EW21" s="117" t="n">
        <x:f>IF(EW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EX21" s="117" t="n">
        <x:f>IF(EX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EY21" s="117" t="n">
        <x:f>IF(EY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EZ21" s="117" t="n">
        <x:f>IF(EZ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FA21" s="117" t="n">
        <x:f>IF(FA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FB21" s="117" t="n">
        <x:f>IF(FB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FC21" s="117" t="n">
        <x:f>IF(FC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FD21" s="117" t="n">
        <x:f>IF(FD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FE21" s="117" t="n">
        <x:f>IF(FE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FF21" s="117" t="n">
        <x:f>IF(FF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FG21" s="117" t="n">
        <x:f>IF(FG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FH21" s="117" t="n">
        <x:f>IF(FH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FI21" s="117" t="n">
        <x:f>IF(FI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FJ21" s="117" t="n">
        <x:f>IF(FJ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FK21" s="117" t="n">
        <x:f>IF(FK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FL21" s="117" t="n">
        <x:f>IF(FL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FM21" s="117" t="n">
        <x:f>IF(FM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FN21" s="117" t="n">
        <x:f>IF(FN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FO21" s="117" t="n">
        <x:f>IF(FO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FP21" s="117" t="n">
        <x:f>IF(FP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FQ21" s="117" t="n">
        <x:f>IF(FQ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FR21" s="117" t="n">
        <x:f>IF(FR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FS21" s="117" t="n">
        <x:f>IF(FS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FT21" s="117" t="n">
        <x:f>IF(FT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FU21" s="117" t="n">
        <x:f>IF(FU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FV21" s="117" t="n">
        <x:f>IF(FV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FW21" s="117" t="n">
        <x:f>IF(FW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FX21" s="117" t="n">
        <x:f>IF(FX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FY21" s="117" t="n">
        <x:f>IF(FY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FZ21" s="117" t="n">
        <x:f>IF(FZ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  <x:c r="GA21" s="117" t="n">
        <x:f>IF(GA$3=$B$8,MAX(0,(SUM($D$10:$GA$10)-SUM('Продажи'!$D$85:$GA$85))*('Вводные'!$B$22/(1+'Вводные'!$B$22))-(SUM($D$20:$GA$20)-'Вводные'!$B$15*'Вводные'!$P$91-'Вводные'!$B$16*'Вводные'!$Q$91)*('Вводные'!$B$22/(1+'Вводные'!$B$22))*IFERROR((SUM($D$10:$GA$10)-SUM('Продажи'!$D$85:$GA$85))/SUM($D$10:$GA$10),0)),0)</x:f>
      </x:c>
    </x:row>
    <x:row r="22">
      <x:c r="A22" t="str">
        <x:v>Налоговая прибыль текущего месяца</x:v>
      </x:c>
      <x:c r="B22"/>
      <x:c r="C22" t="str">
        <x:v>млн ₽</x:v>
      </x:c>
      <x:c r="D22" s="117">
        <x:f>D10-IFERROR((SUM($D$20:$GA$20)-'ОБЪЕКТЫ'!$B$120)*('Продажи'!D83+'Продажи'!D86+'Продажи'!D89+'Продажи'!D92)/(SUM('Продажи'!$D$83:$GA$83)+SUM('Продажи'!$D$86:$GA$86)+SUM('Продажи'!$D$89:$GA$89)+SUM('Продажи'!$D$92:$GA$92)),0)-IF('ОБЪЕКТЫ'!$B$8=4,IFERROR('ОБЪЕКТЫ'!$B$28*'ОБЪЕКТЫ'!D22/'ОБЪЕКТЫ'!$B$22,0),0)-IF('ОБЪЕКТЫ'!$B$36=4,IFERROR('ОБЪЕКТЫ'!$B$56*'ОБЪЕКТЫ'!D50/'ОБЪЕКТЫ'!$B$50,0),0)-IF('ОБЪЕКТЫ'!$B$64=4,IFERROR('ОБЪЕКТЫ'!$B$84*'ОБЪЕКТЫ'!D78/'ОБЪЕКТЫ'!$B$78,0),0)-D53-D57-D21</x:f>
      </x:c>
      <x:c r="E22" s="117">
        <x:f>E10-IFERROR((SUM($D$20:$GA$20)-'ОБЪЕКТЫ'!$B$120)*('Продажи'!E83+'Продажи'!E86+'Продажи'!E89+'Продажи'!E92)/(SUM('Продажи'!$D$83:$GA$83)+SUM('Продажи'!$D$86:$GA$86)+SUM('Продажи'!$D$89:$GA$89)+SUM('Продажи'!$D$92:$GA$92)),0)-IF('ОБЪЕКТЫ'!$B$8=4,IFERROR('ОБЪЕКТЫ'!$B$28*'ОБЪЕКТЫ'!E22/'ОБЪЕКТЫ'!$B$22,0),0)-IF('ОБЪЕКТЫ'!$B$36=4,IFERROR('ОБЪЕКТЫ'!$B$56*'ОБЪЕКТЫ'!E50/'ОБЪЕКТЫ'!$B$50,0),0)-IF('ОБЪЕКТЫ'!$B$64=4,IFERROR('ОБЪЕКТЫ'!$B$84*'ОБЪЕКТЫ'!E78/'ОБЪЕКТЫ'!$B$78,0),0)-E53-E57-E21</x:f>
      </x:c>
      <x:c r="F22" s="117">
        <x:f>F10-IFERROR((SUM($D$20:$GA$20)-'ОБЪЕКТЫ'!$B$120)*('Продажи'!F83+'Продажи'!F86+'Продажи'!F89+'Продажи'!F92)/(SUM('Продажи'!$D$83:$GA$83)+SUM('Продажи'!$D$86:$GA$86)+SUM('Продажи'!$D$89:$GA$89)+SUM('Продажи'!$D$92:$GA$92)),0)-IF('ОБЪЕКТЫ'!$B$8=4,IFERROR('ОБЪЕКТЫ'!$B$28*'ОБЪЕКТЫ'!F22/'ОБЪЕКТЫ'!$B$22,0),0)-IF('ОБЪЕКТЫ'!$B$36=4,IFERROR('ОБЪЕКТЫ'!$B$56*'ОБЪЕКТЫ'!F50/'ОБЪЕКТЫ'!$B$50,0),0)-IF('ОБЪЕКТЫ'!$B$64=4,IFERROR('ОБЪЕКТЫ'!$B$84*'ОБЪЕКТЫ'!F78/'ОБЪЕКТЫ'!$B$78,0),0)-F53-F57-F21</x:f>
      </x:c>
      <x:c r="G22" s="117">
        <x:f>G10-IFERROR((SUM($D$20:$GA$20)-'ОБЪЕКТЫ'!$B$120)*('Продажи'!G83+'Продажи'!G86+'Продажи'!G89+'Продажи'!G92)/(SUM('Продажи'!$D$83:$GA$83)+SUM('Продажи'!$D$86:$GA$86)+SUM('Продажи'!$D$89:$GA$89)+SUM('Продажи'!$D$92:$GA$92)),0)-IF('ОБЪЕКТЫ'!$B$8=4,IFERROR('ОБЪЕКТЫ'!$B$28*'ОБЪЕКТЫ'!G22/'ОБЪЕКТЫ'!$B$22,0),0)-IF('ОБЪЕКТЫ'!$B$36=4,IFERROR('ОБЪЕКТЫ'!$B$56*'ОБЪЕКТЫ'!G50/'ОБЪЕКТЫ'!$B$50,0),0)-IF('ОБЪЕКТЫ'!$B$64=4,IFERROR('ОБЪЕКТЫ'!$B$84*'ОБЪЕКТЫ'!G78/'ОБЪЕКТЫ'!$B$78,0),0)-G53-G57-G21</x:f>
      </x:c>
      <x:c r="H22" s="117">
        <x:f>H10-IFERROR((SUM($D$20:$GA$20)-'ОБЪЕКТЫ'!$B$120)*('Продажи'!H83+'Продажи'!H86+'Продажи'!H89+'Продажи'!H92)/(SUM('Продажи'!$D$83:$GA$83)+SUM('Продажи'!$D$86:$GA$86)+SUM('Продажи'!$D$89:$GA$89)+SUM('Продажи'!$D$92:$GA$92)),0)-IF('ОБЪЕКТЫ'!$B$8=4,IFERROR('ОБЪЕКТЫ'!$B$28*'ОБЪЕКТЫ'!H22/'ОБЪЕКТЫ'!$B$22,0),0)-IF('ОБЪЕКТЫ'!$B$36=4,IFERROR('ОБЪЕКТЫ'!$B$56*'ОБЪЕКТЫ'!H50/'ОБЪЕКТЫ'!$B$50,0),0)-IF('ОБЪЕКТЫ'!$B$64=4,IFERROR('ОБЪЕКТЫ'!$B$84*'ОБЪЕКТЫ'!H78/'ОБЪЕКТЫ'!$B$78,0),0)-H53-H57-H21</x:f>
      </x:c>
      <x:c r="I22" s="117">
        <x:f>I10-IFERROR((SUM($D$20:$GA$20)-'ОБЪЕКТЫ'!$B$120)*('Продажи'!I83+'Продажи'!I86+'Продажи'!I89+'Продажи'!I92)/(SUM('Продажи'!$D$83:$GA$83)+SUM('Продажи'!$D$86:$GA$86)+SUM('Продажи'!$D$89:$GA$89)+SUM('Продажи'!$D$92:$GA$92)),0)-IF('ОБЪЕКТЫ'!$B$8=4,IFERROR('ОБЪЕКТЫ'!$B$28*'ОБЪЕКТЫ'!I22/'ОБЪЕКТЫ'!$B$22,0),0)-IF('ОБЪЕКТЫ'!$B$36=4,IFERROR('ОБЪЕКТЫ'!$B$56*'ОБЪЕКТЫ'!I50/'ОБЪЕКТЫ'!$B$50,0),0)-IF('ОБЪЕКТЫ'!$B$64=4,IFERROR('ОБЪЕКТЫ'!$B$84*'ОБЪЕКТЫ'!I78/'ОБЪЕКТЫ'!$B$78,0),0)-I53-I57-I21</x:f>
      </x:c>
      <x:c r="J22" s="117">
        <x:f>J10-IFERROR((SUM($D$20:$GA$20)-'ОБЪЕКТЫ'!$B$120)*('Продажи'!J83+'Продажи'!J86+'Продажи'!J89+'Продажи'!J92)/(SUM('Продажи'!$D$83:$GA$83)+SUM('Продажи'!$D$86:$GA$86)+SUM('Продажи'!$D$89:$GA$89)+SUM('Продажи'!$D$92:$GA$92)),0)-IF('ОБЪЕКТЫ'!$B$8=4,IFERROR('ОБЪЕКТЫ'!$B$28*'ОБЪЕКТЫ'!J22/'ОБЪЕКТЫ'!$B$22,0),0)-IF('ОБЪЕКТЫ'!$B$36=4,IFERROR('ОБЪЕКТЫ'!$B$56*'ОБЪЕКТЫ'!J50/'ОБЪЕКТЫ'!$B$50,0),0)-IF('ОБЪЕКТЫ'!$B$64=4,IFERROR('ОБЪЕКТЫ'!$B$84*'ОБЪЕКТЫ'!J78/'ОБЪЕКТЫ'!$B$78,0),0)-J53-J57-J21</x:f>
      </x:c>
      <x:c r="K22" s="117">
        <x:f>K10-IFERROR((SUM($D$20:$GA$20)-'ОБЪЕКТЫ'!$B$120)*('Продажи'!K83+'Продажи'!K86+'Продажи'!K89+'Продажи'!K92)/(SUM('Продажи'!$D$83:$GA$83)+SUM('Продажи'!$D$86:$GA$86)+SUM('Продажи'!$D$89:$GA$89)+SUM('Продажи'!$D$92:$GA$92)),0)-IF('ОБЪЕКТЫ'!$B$8=4,IFERROR('ОБЪЕКТЫ'!$B$28*'ОБЪЕКТЫ'!K22/'ОБЪЕКТЫ'!$B$22,0),0)-IF('ОБЪЕКТЫ'!$B$36=4,IFERROR('ОБЪЕКТЫ'!$B$56*'ОБЪЕКТЫ'!K50/'ОБЪЕКТЫ'!$B$50,0),0)-IF('ОБЪЕКТЫ'!$B$64=4,IFERROR('ОБЪЕКТЫ'!$B$84*'ОБЪЕКТЫ'!K78/'ОБЪЕКТЫ'!$B$78,0),0)-K53-K57-K21</x:f>
      </x:c>
      <x:c r="L22" s="117">
        <x:f>L10-IFERROR((SUM($D$20:$GA$20)-'ОБЪЕКТЫ'!$B$120)*('Продажи'!L83+'Продажи'!L86+'Продажи'!L89+'Продажи'!L92)/(SUM('Продажи'!$D$83:$GA$83)+SUM('Продажи'!$D$86:$GA$86)+SUM('Продажи'!$D$89:$GA$89)+SUM('Продажи'!$D$92:$GA$92)),0)-IF('ОБЪЕКТЫ'!$B$8=4,IFERROR('ОБЪЕКТЫ'!$B$28*'ОБЪЕКТЫ'!L22/'ОБЪЕКТЫ'!$B$22,0),0)-IF('ОБЪЕКТЫ'!$B$36=4,IFERROR('ОБЪЕКТЫ'!$B$56*'ОБЪЕКТЫ'!L50/'ОБЪЕКТЫ'!$B$50,0),0)-IF('ОБЪЕКТЫ'!$B$64=4,IFERROR('ОБЪЕКТЫ'!$B$84*'ОБЪЕКТЫ'!L78/'ОБЪЕКТЫ'!$B$78,0),0)-L53-L57-L21</x:f>
      </x:c>
      <x:c r="M22" s="117">
        <x:f>M10-IFERROR((SUM($D$20:$GA$20)-'ОБЪЕКТЫ'!$B$120)*('Продажи'!M83+'Продажи'!M86+'Продажи'!M89+'Продажи'!M92)/(SUM('Продажи'!$D$83:$GA$83)+SUM('Продажи'!$D$86:$GA$86)+SUM('Продажи'!$D$89:$GA$89)+SUM('Продажи'!$D$92:$GA$92)),0)-IF('ОБЪЕКТЫ'!$B$8=4,IFERROR('ОБЪЕКТЫ'!$B$28*'ОБЪЕКТЫ'!M22/'ОБЪЕКТЫ'!$B$22,0),0)-IF('ОБЪЕКТЫ'!$B$36=4,IFERROR('ОБЪЕКТЫ'!$B$56*'ОБЪЕКТЫ'!M50/'ОБЪЕКТЫ'!$B$50,0),0)-IF('ОБЪЕКТЫ'!$B$64=4,IFERROR('ОБЪЕКТЫ'!$B$84*'ОБЪЕКТЫ'!M78/'ОБЪЕКТЫ'!$B$78,0),0)-M53-M57-M21</x:f>
      </x:c>
      <x:c r="N22" s="117">
        <x:f>N10-IFERROR((SUM($D$20:$GA$20)-'ОБЪЕКТЫ'!$B$120)*('Продажи'!N83+'Продажи'!N86+'Продажи'!N89+'Продажи'!N92)/(SUM('Продажи'!$D$83:$GA$83)+SUM('Продажи'!$D$86:$GA$86)+SUM('Продажи'!$D$89:$GA$89)+SUM('Продажи'!$D$92:$GA$92)),0)-IF('ОБЪЕКТЫ'!$B$8=4,IFERROR('ОБЪЕКТЫ'!$B$28*'ОБЪЕКТЫ'!N22/'ОБЪЕКТЫ'!$B$22,0),0)-IF('ОБЪЕКТЫ'!$B$36=4,IFERROR('ОБЪЕКТЫ'!$B$56*'ОБЪЕКТЫ'!N50/'ОБЪЕКТЫ'!$B$50,0),0)-IF('ОБЪЕКТЫ'!$B$64=4,IFERROR('ОБЪЕКТЫ'!$B$84*'ОБЪЕКТЫ'!N78/'ОБЪЕКТЫ'!$B$78,0),0)-N53-N57-N21</x:f>
      </x:c>
      <x:c r="O22" s="117">
        <x:f>O10-IFERROR((SUM($D$20:$GA$20)-'ОБЪЕКТЫ'!$B$120)*('Продажи'!O83+'Продажи'!O86+'Продажи'!O89+'Продажи'!O92)/(SUM('Продажи'!$D$83:$GA$83)+SUM('Продажи'!$D$86:$GA$86)+SUM('Продажи'!$D$89:$GA$89)+SUM('Продажи'!$D$92:$GA$92)),0)-IF('ОБЪЕКТЫ'!$B$8=4,IFERROR('ОБЪЕКТЫ'!$B$28*'ОБЪЕКТЫ'!O22/'ОБЪЕКТЫ'!$B$22,0),0)-IF('ОБЪЕКТЫ'!$B$36=4,IFERROR('ОБЪЕКТЫ'!$B$56*'ОБЪЕКТЫ'!O50/'ОБЪЕКТЫ'!$B$50,0),0)-IF('ОБЪЕКТЫ'!$B$64=4,IFERROR('ОБЪЕКТЫ'!$B$84*'ОБЪЕКТЫ'!O78/'ОБЪЕКТЫ'!$B$78,0),0)-O53-O57-O21</x:f>
      </x:c>
      <x:c r="P22" s="117">
        <x:f>P10-IFERROR((SUM($D$20:$GA$20)-'ОБЪЕКТЫ'!$B$120)*('Продажи'!P83+'Продажи'!P86+'Продажи'!P89+'Продажи'!P92)/(SUM('Продажи'!$D$83:$GA$83)+SUM('Продажи'!$D$86:$GA$86)+SUM('Продажи'!$D$89:$GA$89)+SUM('Продажи'!$D$92:$GA$92)),0)-IF('ОБЪЕКТЫ'!$B$8=4,IFERROR('ОБЪЕКТЫ'!$B$28*'ОБЪЕКТЫ'!P22/'ОБЪЕКТЫ'!$B$22,0),0)-IF('ОБЪЕКТЫ'!$B$36=4,IFERROR('ОБЪЕКТЫ'!$B$56*'ОБЪЕКТЫ'!P50/'ОБЪЕКТЫ'!$B$50,0),0)-IF('ОБЪЕКТЫ'!$B$64=4,IFERROR('ОБЪЕКТЫ'!$B$84*'ОБЪЕКТЫ'!P78/'ОБЪЕКТЫ'!$B$78,0),0)-P53-P57-P21</x:f>
      </x:c>
      <x:c r="Q22" s="117">
        <x:f>Q10-IFERROR((SUM($D$20:$GA$20)-'ОБЪЕКТЫ'!$B$120)*('Продажи'!Q83+'Продажи'!Q86+'Продажи'!Q89+'Продажи'!Q92)/(SUM('Продажи'!$D$83:$GA$83)+SUM('Продажи'!$D$86:$GA$86)+SUM('Продажи'!$D$89:$GA$89)+SUM('Продажи'!$D$92:$GA$92)),0)-IF('ОБЪЕКТЫ'!$B$8=4,IFERROR('ОБЪЕКТЫ'!$B$28*'ОБЪЕКТЫ'!Q22/'ОБЪЕКТЫ'!$B$22,0),0)-IF('ОБЪЕКТЫ'!$B$36=4,IFERROR('ОБЪЕКТЫ'!$B$56*'ОБЪЕКТЫ'!Q50/'ОБЪЕКТЫ'!$B$50,0),0)-IF('ОБЪЕКТЫ'!$B$64=4,IFERROR('ОБЪЕКТЫ'!$B$84*'ОБЪЕКТЫ'!Q78/'ОБЪЕКТЫ'!$B$78,0),0)-Q53-Q57-Q21</x:f>
      </x:c>
      <x:c r="R22" s="117">
        <x:f>R10-IFERROR((SUM($D$20:$GA$20)-'ОБЪЕКТЫ'!$B$120)*('Продажи'!R83+'Продажи'!R86+'Продажи'!R89+'Продажи'!R92)/(SUM('Продажи'!$D$83:$GA$83)+SUM('Продажи'!$D$86:$GA$86)+SUM('Продажи'!$D$89:$GA$89)+SUM('Продажи'!$D$92:$GA$92)),0)-IF('ОБЪЕКТЫ'!$B$8=4,IFERROR('ОБЪЕКТЫ'!$B$28*'ОБЪЕКТЫ'!R22/'ОБЪЕКТЫ'!$B$22,0),0)-IF('ОБЪЕКТЫ'!$B$36=4,IFERROR('ОБЪЕКТЫ'!$B$56*'ОБЪЕКТЫ'!R50/'ОБЪЕКТЫ'!$B$50,0),0)-IF('ОБЪЕКТЫ'!$B$64=4,IFERROR('ОБЪЕКТЫ'!$B$84*'ОБЪЕКТЫ'!R78/'ОБЪЕКТЫ'!$B$78,0),0)-R53-R57-R21</x:f>
      </x:c>
      <x:c r="S22" s="117">
        <x:f>S10-IFERROR((SUM($D$20:$GA$20)-'ОБЪЕКТЫ'!$B$120)*('Продажи'!S83+'Продажи'!S86+'Продажи'!S89+'Продажи'!S92)/(SUM('Продажи'!$D$83:$GA$83)+SUM('Продажи'!$D$86:$GA$86)+SUM('Продажи'!$D$89:$GA$89)+SUM('Продажи'!$D$92:$GA$92)),0)-IF('ОБЪЕКТЫ'!$B$8=4,IFERROR('ОБЪЕКТЫ'!$B$28*'ОБЪЕКТЫ'!S22/'ОБЪЕКТЫ'!$B$22,0),0)-IF('ОБЪЕКТЫ'!$B$36=4,IFERROR('ОБЪЕКТЫ'!$B$56*'ОБЪЕКТЫ'!S50/'ОБЪЕКТЫ'!$B$50,0),0)-IF('ОБЪЕКТЫ'!$B$64=4,IFERROR('ОБЪЕКТЫ'!$B$84*'ОБЪЕКТЫ'!S78/'ОБЪЕКТЫ'!$B$78,0),0)-S53-S57-S21</x:f>
      </x:c>
      <x:c r="T22" s="117">
        <x:f>T10-IFERROR((SUM($D$20:$GA$20)-'ОБЪЕКТЫ'!$B$120)*('Продажи'!T83+'Продажи'!T86+'Продажи'!T89+'Продажи'!T92)/(SUM('Продажи'!$D$83:$GA$83)+SUM('Продажи'!$D$86:$GA$86)+SUM('Продажи'!$D$89:$GA$89)+SUM('Продажи'!$D$92:$GA$92)),0)-IF('ОБЪЕКТЫ'!$B$8=4,IFERROR('ОБЪЕКТЫ'!$B$28*'ОБЪЕКТЫ'!T22/'ОБЪЕКТЫ'!$B$22,0),0)-IF('ОБЪЕКТЫ'!$B$36=4,IFERROR('ОБЪЕКТЫ'!$B$56*'ОБЪЕКТЫ'!T50/'ОБЪЕКТЫ'!$B$50,0),0)-IF('ОБЪЕКТЫ'!$B$64=4,IFERROR('ОБЪЕКТЫ'!$B$84*'ОБЪЕКТЫ'!T78/'ОБЪЕКТЫ'!$B$78,0),0)-T53-T57-T21</x:f>
      </x:c>
      <x:c r="U22" s="117">
        <x:f>U10-IFERROR((SUM($D$20:$GA$20)-'ОБЪЕКТЫ'!$B$120)*('Продажи'!U83+'Продажи'!U86+'Продажи'!U89+'Продажи'!U92)/(SUM('Продажи'!$D$83:$GA$83)+SUM('Продажи'!$D$86:$GA$86)+SUM('Продажи'!$D$89:$GA$89)+SUM('Продажи'!$D$92:$GA$92)),0)-IF('ОБЪЕКТЫ'!$B$8=4,IFERROR('ОБЪЕКТЫ'!$B$28*'ОБЪЕКТЫ'!U22/'ОБЪЕКТЫ'!$B$22,0),0)-IF('ОБЪЕКТЫ'!$B$36=4,IFERROR('ОБЪЕКТЫ'!$B$56*'ОБЪЕКТЫ'!U50/'ОБЪЕКТЫ'!$B$50,0),0)-IF('ОБЪЕКТЫ'!$B$64=4,IFERROR('ОБЪЕКТЫ'!$B$84*'ОБЪЕКТЫ'!U78/'ОБЪЕКТЫ'!$B$78,0),0)-U53-U57-U21</x:f>
      </x:c>
      <x:c r="V22" s="117">
        <x:f>V10-IFERROR((SUM($D$20:$GA$20)-'ОБЪЕКТЫ'!$B$120)*('Продажи'!V83+'Продажи'!V86+'Продажи'!V89+'Продажи'!V92)/(SUM('Продажи'!$D$83:$GA$83)+SUM('Продажи'!$D$86:$GA$86)+SUM('Продажи'!$D$89:$GA$89)+SUM('Продажи'!$D$92:$GA$92)),0)-IF('ОБЪЕКТЫ'!$B$8=4,IFERROR('ОБЪЕКТЫ'!$B$28*'ОБЪЕКТЫ'!V22/'ОБЪЕКТЫ'!$B$22,0),0)-IF('ОБЪЕКТЫ'!$B$36=4,IFERROR('ОБЪЕКТЫ'!$B$56*'ОБЪЕКТЫ'!V50/'ОБЪЕКТЫ'!$B$50,0),0)-IF('ОБЪЕКТЫ'!$B$64=4,IFERROR('ОБЪЕКТЫ'!$B$84*'ОБЪЕКТЫ'!V78/'ОБЪЕКТЫ'!$B$78,0),0)-V53-V57-V21</x:f>
      </x:c>
      <x:c r="W22" s="117">
        <x:f>W10-IFERROR((SUM($D$20:$GA$20)-'ОБЪЕКТЫ'!$B$120)*('Продажи'!W83+'Продажи'!W86+'Продажи'!W89+'Продажи'!W92)/(SUM('Продажи'!$D$83:$GA$83)+SUM('Продажи'!$D$86:$GA$86)+SUM('Продажи'!$D$89:$GA$89)+SUM('Продажи'!$D$92:$GA$92)),0)-IF('ОБЪЕКТЫ'!$B$8=4,IFERROR('ОБЪЕКТЫ'!$B$28*'ОБЪЕКТЫ'!W22/'ОБЪЕКТЫ'!$B$22,0),0)-IF('ОБЪЕКТЫ'!$B$36=4,IFERROR('ОБЪЕКТЫ'!$B$56*'ОБЪЕКТЫ'!W50/'ОБЪЕКТЫ'!$B$50,0),0)-IF('ОБЪЕКТЫ'!$B$64=4,IFERROR('ОБЪЕКТЫ'!$B$84*'ОБЪЕКТЫ'!W78/'ОБЪЕКТЫ'!$B$78,0),0)-W53-W57-W21</x:f>
      </x:c>
      <x:c r="X22" s="117">
        <x:f>X10-IFERROR((SUM($D$20:$GA$20)-'ОБЪЕКТЫ'!$B$120)*('Продажи'!X83+'Продажи'!X86+'Продажи'!X89+'Продажи'!X92)/(SUM('Продажи'!$D$83:$GA$83)+SUM('Продажи'!$D$86:$GA$86)+SUM('Продажи'!$D$89:$GA$89)+SUM('Продажи'!$D$92:$GA$92)),0)-IF('ОБЪЕКТЫ'!$B$8=4,IFERROR('ОБЪЕКТЫ'!$B$28*'ОБЪЕКТЫ'!X22/'ОБЪЕКТЫ'!$B$22,0),0)-IF('ОБЪЕКТЫ'!$B$36=4,IFERROR('ОБЪЕКТЫ'!$B$56*'ОБЪЕКТЫ'!X50/'ОБЪЕКТЫ'!$B$50,0),0)-IF('ОБЪЕКТЫ'!$B$64=4,IFERROR('ОБЪЕКТЫ'!$B$84*'ОБЪЕКТЫ'!X78/'ОБЪЕКТЫ'!$B$78,0),0)-X53-X57-X21</x:f>
      </x:c>
      <x:c r="Y22" s="117">
        <x:f>Y10-IFERROR((SUM($D$20:$GA$20)-'ОБЪЕКТЫ'!$B$120)*('Продажи'!Y83+'Продажи'!Y86+'Продажи'!Y89+'Продажи'!Y92)/(SUM('Продажи'!$D$83:$GA$83)+SUM('Продажи'!$D$86:$GA$86)+SUM('Продажи'!$D$89:$GA$89)+SUM('Продажи'!$D$92:$GA$92)),0)-IF('ОБЪЕКТЫ'!$B$8=4,IFERROR('ОБЪЕКТЫ'!$B$28*'ОБЪЕКТЫ'!Y22/'ОБЪЕКТЫ'!$B$22,0),0)-IF('ОБЪЕКТЫ'!$B$36=4,IFERROR('ОБЪЕКТЫ'!$B$56*'ОБЪЕКТЫ'!Y50/'ОБЪЕКТЫ'!$B$50,0),0)-IF('ОБЪЕКТЫ'!$B$64=4,IFERROR('ОБЪЕКТЫ'!$B$84*'ОБЪЕКТЫ'!Y78/'ОБЪЕКТЫ'!$B$78,0),0)-Y53-Y57-Y21</x:f>
      </x:c>
      <x:c r="Z22" s="117">
        <x:f>Z10-IFERROR((SUM($D$20:$GA$20)-'ОБЪЕКТЫ'!$B$120)*('Продажи'!Z83+'Продажи'!Z86+'Продажи'!Z89+'Продажи'!Z92)/(SUM('Продажи'!$D$83:$GA$83)+SUM('Продажи'!$D$86:$GA$86)+SUM('Продажи'!$D$89:$GA$89)+SUM('Продажи'!$D$92:$GA$92)),0)-IF('ОБЪЕКТЫ'!$B$8=4,IFERROR('ОБЪЕКТЫ'!$B$28*'ОБЪЕКТЫ'!Z22/'ОБЪЕКТЫ'!$B$22,0),0)-IF('ОБЪЕКТЫ'!$B$36=4,IFERROR('ОБЪЕКТЫ'!$B$56*'ОБЪЕКТЫ'!Z50/'ОБЪЕКТЫ'!$B$50,0),0)-IF('ОБЪЕКТЫ'!$B$64=4,IFERROR('ОБЪЕКТЫ'!$B$84*'ОБЪЕКТЫ'!Z78/'ОБЪЕКТЫ'!$B$78,0),0)-Z53-Z57-Z21</x:f>
      </x:c>
      <x:c r="AA22" s="117">
        <x:f>AA10-IFERROR((SUM($D$20:$GA$20)-'ОБЪЕКТЫ'!$B$120)*('Продажи'!AA83+'Продажи'!AA86+'Продажи'!AA89+'Продажи'!AA92)/(SUM('Продажи'!$D$83:$GA$83)+SUM('Продажи'!$D$86:$GA$86)+SUM('Продажи'!$D$89:$GA$89)+SUM('Продажи'!$D$92:$GA$92)),0)-IF('ОБЪЕКТЫ'!$B$8=4,IFERROR('ОБЪЕКТЫ'!$B$28*'ОБЪЕКТЫ'!AA22/'ОБЪЕКТЫ'!$B$22,0),0)-IF('ОБЪЕКТЫ'!$B$36=4,IFERROR('ОБЪЕКТЫ'!$B$56*'ОБЪЕКТЫ'!AA50/'ОБЪЕКТЫ'!$B$50,0),0)-IF('ОБЪЕКТЫ'!$B$64=4,IFERROR('ОБЪЕКТЫ'!$B$84*'ОБЪЕКТЫ'!AA78/'ОБЪЕКТЫ'!$B$78,0),0)-AA53-AA57-AA21</x:f>
      </x:c>
      <x:c r="AB22" s="117">
        <x:f>AB10-IFERROR((SUM($D$20:$GA$20)-'ОБЪЕКТЫ'!$B$120)*('Продажи'!AB83+'Продажи'!AB86+'Продажи'!AB89+'Продажи'!AB92)/(SUM('Продажи'!$D$83:$GA$83)+SUM('Продажи'!$D$86:$GA$86)+SUM('Продажи'!$D$89:$GA$89)+SUM('Продажи'!$D$92:$GA$92)),0)-IF('ОБЪЕКТЫ'!$B$8=4,IFERROR('ОБЪЕКТЫ'!$B$28*'ОБЪЕКТЫ'!AB22/'ОБЪЕКТЫ'!$B$22,0),0)-IF('ОБЪЕКТЫ'!$B$36=4,IFERROR('ОБЪЕКТЫ'!$B$56*'ОБЪЕКТЫ'!AB50/'ОБЪЕКТЫ'!$B$50,0),0)-IF('ОБЪЕКТЫ'!$B$64=4,IFERROR('ОБЪЕКТЫ'!$B$84*'ОБЪЕКТЫ'!AB78/'ОБЪЕКТЫ'!$B$78,0),0)-AB53-AB57-AB21</x:f>
      </x:c>
      <x:c r="AC22" s="117">
        <x:f>AC10-IFERROR((SUM($D$20:$GA$20)-'ОБЪЕКТЫ'!$B$120)*('Продажи'!AC83+'Продажи'!AC86+'Продажи'!AC89+'Продажи'!AC92)/(SUM('Продажи'!$D$83:$GA$83)+SUM('Продажи'!$D$86:$GA$86)+SUM('Продажи'!$D$89:$GA$89)+SUM('Продажи'!$D$92:$GA$92)),0)-IF('ОБЪЕКТЫ'!$B$8=4,IFERROR('ОБЪЕКТЫ'!$B$28*'ОБЪЕКТЫ'!AC22/'ОБЪЕКТЫ'!$B$22,0),0)-IF('ОБЪЕКТЫ'!$B$36=4,IFERROR('ОБЪЕКТЫ'!$B$56*'ОБЪЕКТЫ'!AC50/'ОБЪЕКТЫ'!$B$50,0),0)-IF('ОБЪЕКТЫ'!$B$64=4,IFERROR('ОБЪЕКТЫ'!$B$84*'ОБЪЕКТЫ'!AC78/'ОБЪЕКТЫ'!$B$78,0),0)-AC53-AC57-AC21</x:f>
      </x:c>
      <x:c r="AD22" s="117">
        <x:f>AD10-IFERROR((SUM($D$20:$GA$20)-'ОБЪЕКТЫ'!$B$120)*('Продажи'!AD83+'Продажи'!AD86+'Продажи'!AD89+'Продажи'!AD92)/(SUM('Продажи'!$D$83:$GA$83)+SUM('Продажи'!$D$86:$GA$86)+SUM('Продажи'!$D$89:$GA$89)+SUM('Продажи'!$D$92:$GA$92)),0)-IF('ОБЪЕКТЫ'!$B$8=4,IFERROR('ОБЪЕКТЫ'!$B$28*'ОБЪЕКТЫ'!AD22/'ОБЪЕКТЫ'!$B$22,0),0)-IF('ОБЪЕКТЫ'!$B$36=4,IFERROR('ОБЪЕКТЫ'!$B$56*'ОБЪЕКТЫ'!AD50/'ОБЪЕКТЫ'!$B$50,0),0)-IF('ОБЪЕКТЫ'!$B$64=4,IFERROR('ОБЪЕКТЫ'!$B$84*'ОБЪЕКТЫ'!AD78/'ОБЪЕКТЫ'!$B$78,0),0)-AD53-AD57-AD21</x:f>
      </x:c>
      <x:c r="AE22" s="117">
        <x:f>AE10-IFERROR((SUM($D$20:$GA$20)-'ОБЪЕКТЫ'!$B$120)*('Продажи'!AE83+'Продажи'!AE86+'Продажи'!AE89+'Продажи'!AE92)/(SUM('Продажи'!$D$83:$GA$83)+SUM('Продажи'!$D$86:$GA$86)+SUM('Продажи'!$D$89:$GA$89)+SUM('Продажи'!$D$92:$GA$92)),0)-IF('ОБЪЕКТЫ'!$B$8=4,IFERROR('ОБЪЕКТЫ'!$B$28*'ОБЪЕКТЫ'!AE22/'ОБЪЕКТЫ'!$B$22,0),0)-IF('ОБЪЕКТЫ'!$B$36=4,IFERROR('ОБЪЕКТЫ'!$B$56*'ОБЪЕКТЫ'!AE50/'ОБЪЕКТЫ'!$B$50,0),0)-IF('ОБЪЕКТЫ'!$B$64=4,IFERROR('ОБЪЕКТЫ'!$B$84*'ОБЪЕКТЫ'!AE78/'ОБЪЕКТЫ'!$B$78,0),0)-AE53-AE57-AE21</x:f>
      </x:c>
      <x:c r="AF22" s="117">
        <x:f>AF10-IFERROR((SUM($D$20:$GA$20)-'ОБЪЕКТЫ'!$B$120)*('Продажи'!AF83+'Продажи'!AF86+'Продажи'!AF89+'Продажи'!AF92)/(SUM('Продажи'!$D$83:$GA$83)+SUM('Продажи'!$D$86:$GA$86)+SUM('Продажи'!$D$89:$GA$89)+SUM('Продажи'!$D$92:$GA$92)),0)-IF('ОБЪЕКТЫ'!$B$8=4,IFERROR('ОБЪЕКТЫ'!$B$28*'ОБЪЕКТЫ'!AF22/'ОБЪЕКТЫ'!$B$22,0),0)-IF('ОБЪЕКТЫ'!$B$36=4,IFERROR('ОБЪЕКТЫ'!$B$56*'ОБЪЕКТЫ'!AF50/'ОБЪЕКТЫ'!$B$50,0),0)-IF('ОБЪЕКТЫ'!$B$64=4,IFERROR('ОБЪЕКТЫ'!$B$84*'ОБЪЕКТЫ'!AF78/'ОБЪЕКТЫ'!$B$78,0),0)-AF53-AF57-AF21</x:f>
      </x:c>
      <x:c r="AG22" s="117">
        <x:f>AG10-IFERROR((SUM($D$20:$GA$20)-'ОБЪЕКТЫ'!$B$120)*('Продажи'!AG83+'Продажи'!AG86+'Продажи'!AG89+'Продажи'!AG92)/(SUM('Продажи'!$D$83:$GA$83)+SUM('Продажи'!$D$86:$GA$86)+SUM('Продажи'!$D$89:$GA$89)+SUM('Продажи'!$D$92:$GA$92)),0)-IF('ОБЪЕКТЫ'!$B$8=4,IFERROR('ОБЪЕКТЫ'!$B$28*'ОБЪЕКТЫ'!AG22/'ОБЪЕКТЫ'!$B$22,0),0)-IF('ОБЪЕКТЫ'!$B$36=4,IFERROR('ОБЪЕКТЫ'!$B$56*'ОБЪЕКТЫ'!AG50/'ОБЪЕКТЫ'!$B$50,0),0)-IF('ОБЪЕКТЫ'!$B$64=4,IFERROR('ОБЪЕКТЫ'!$B$84*'ОБЪЕКТЫ'!AG78/'ОБЪЕКТЫ'!$B$78,0),0)-AG53-AG57-AG21</x:f>
      </x:c>
      <x:c r="AH22" s="117">
        <x:f>AH10-IFERROR((SUM($D$20:$GA$20)-'ОБЪЕКТЫ'!$B$120)*('Продажи'!AH83+'Продажи'!AH86+'Продажи'!AH89+'Продажи'!AH92)/(SUM('Продажи'!$D$83:$GA$83)+SUM('Продажи'!$D$86:$GA$86)+SUM('Продажи'!$D$89:$GA$89)+SUM('Продажи'!$D$92:$GA$92)),0)-IF('ОБЪЕКТЫ'!$B$8=4,IFERROR('ОБЪЕКТЫ'!$B$28*'ОБЪЕКТЫ'!AH22/'ОБЪЕКТЫ'!$B$22,0),0)-IF('ОБЪЕКТЫ'!$B$36=4,IFERROR('ОБЪЕКТЫ'!$B$56*'ОБЪЕКТЫ'!AH50/'ОБЪЕКТЫ'!$B$50,0),0)-IF('ОБЪЕКТЫ'!$B$64=4,IFERROR('ОБЪЕКТЫ'!$B$84*'ОБЪЕКТЫ'!AH78/'ОБЪЕКТЫ'!$B$78,0),0)-AH53-AH57-AH21</x:f>
      </x:c>
      <x:c r="AI22" s="117">
        <x:f>AI10-IFERROR((SUM($D$20:$GA$20)-'ОБЪЕКТЫ'!$B$120)*('Продажи'!AI83+'Продажи'!AI86+'Продажи'!AI89+'Продажи'!AI92)/(SUM('Продажи'!$D$83:$GA$83)+SUM('Продажи'!$D$86:$GA$86)+SUM('Продажи'!$D$89:$GA$89)+SUM('Продажи'!$D$92:$GA$92)),0)-IF('ОБЪЕКТЫ'!$B$8=4,IFERROR('ОБЪЕКТЫ'!$B$28*'ОБЪЕКТЫ'!AI22/'ОБЪЕКТЫ'!$B$22,0),0)-IF('ОБЪЕКТЫ'!$B$36=4,IFERROR('ОБЪЕКТЫ'!$B$56*'ОБЪЕКТЫ'!AI50/'ОБЪЕКТЫ'!$B$50,0),0)-IF('ОБЪЕКТЫ'!$B$64=4,IFERROR('ОБЪЕКТЫ'!$B$84*'ОБЪЕКТЫ'!AI78/'ОБЪЕКТЫ'!$B$78,0),0)-AI53-AI57-AI21</x:f>
      </x:c>
      <x:c r="AJ22" s="117">
        <x:f>AJ10-IFERROR((SUM($D$20:$GA$20)-'ОБЪЕКТЫ'!$B$120)*('Продажи'!AJ83+'Продажи'!AJ86+'Продажи'!AJ89+'Продажи'!AJ92)/(SUM('Продажи'!$D$83:$GA$83)+SUM('Продажи'!$D$86:$GA$86)+SUM('Продажи'!$D$89:$GA$89)+SUM('Продажи'!$D$92:$GA$92)),0)-IF('ОБЪЕКТЫ'!$B$8=4,IFERROR('ОБЪЕКТЫ'!$B$28*'ОБЪЕКТЫ'!AJ22/'ОБЪЕКТЫ'!$B$22,0),0)-IF('ОБЪЕКТЫ'!$B$36=4,IFERROR('ОБЪЕКТЫ'!$B$56*'ОБЪЕКТЫ'!AJ50/'ОБЪЕКТЫ'!$B$50,0),0)-IF('ОБЪЕКТЫ'!$B$64=4,IFERROR('ОБЪЕКТЫ'!$B$84*'ОБЪЕКТЫ'!AJ78/'ОБЪЕКТЫ'!$B$78,0),0)-AJ53-AJ57-AJ21</x:f>
      </x:c>
      <x:c r="AK22" s="117">
        <x:f>AK10-IFERROR((SUM($D$20:$GA$20)-'ОБЪЕКТЫ'!$B$120)*('Продажи'!AK83+'Продажи'!AK86+'Продажи'!AK89+'Продажи'!AK92)/(SUM('Продажи'!$D$83:$GA$83)+SUM('Продажи'!$D$86:$GA$86)+SUM('Продажи'!$D$89:$GA$89)+SUM('Продажи'!$D$92:$GA$92)),0)-IF('ОБЪЕКТЫ'!$B$8=4,IFERROR('ОБЪЕКТЫ'!$B$28*'ОБЪЕКТЫ'!AK22/'ОБЪЕКТЫ'!$B$22,0),0)-IF('ОБЪЕКТЫ'!$B$36=4,IFERROR('ОБЪЕКТЫ'!$B$56*'ОБЪЕКТЫ'!AK50/'ОБЪЕКТЫ'!$B$50,0),0)-IF('ОБЪЕКТЫ'!$B$64=4,IFERROR('ОБЪЕКТЫ'!$B$84*'ОБЪЕКТЫ'!AK78/'ОБЪЕКТЫ'!$B$78,0),0)-AK53-AK57-AK21</x:f>
      </x:c>
      <x:c r="AL22" s="117">
        <x:f>AL10-IFERROR((SUM($D$20:$GA$20)-'ОБЪЕКТЫ'!$B$120)*('Продажи'!AL83+'Продажи'!AL86+'Продажи'!AL89+'Продажи'!AL92)/(SUM('Продажи'!$D$83:$GA$83)+SUM('Продажи'!$D$86:$GA$86)+SUM('Продажи'!$D$89:$GA$89)+SUM('Продажи'!$D$92:$GA$92)),0)-IF('ОБЪЕКТЫ'!$B$8=4,IFERROR('ОБЪЕКТЫ'!$B$28*'ОБЪЕКТЫ'!AL22/'ОБЪЕКТЫ'!$B$22,0),0)-IF('ОБЪЕКТЫ'!$B$36=4,IFERROR('ОБЪЕКТЫ'!$B$56*'ОБЪЕКТЫ'!AL50/'ОБЪЕКТЫ'!$B$50,0),0)-IF('ОБЪЕКТЫ'!$B$64=4,IFERROR('ОБЪЕКТЫ'!$B$84*'ОБЪЕКТЫ'!AL78/'ОБЪЕКТЫ'!$B$78,0),0)-AL53-AL57-AL21</x:f>
      </x:c>
      <x:c r="AM22" s="117">
        <x:f>AM10-IFERROR((SUM($D$20:$GA$20)-'ОБЪЕКТЫ'!$B$120)*('Продажи'!AM83+'Продажи'!AM86+'Продажи'!AM89+'Продажи'!AM92)/(SUM('Продажи'!$D$83:$GA$83)+SUM('Продажи'!$D$86:$GA$86)+SUM('Продажи'!$D$89:$GA$89)+SUM('Продажи'!$D$92:$GA$92)),0)-IF('ОБЪЕКТЫ'!$B$8=4,IFERROR('ОБЪЕКТЫ'!$B$28*'ОБЪЕКТЫ'!AM22/'ОБЪЕКТЫ'!$B$22,0),0)-IF('ОБЪЕКТЫ'!$B$36=4,IFERROR('ОБЪЕКТЫ'!$B$56*'ОБЪЕКТЫ'!AM50/'ОБЪЕКТЫ'!$B$50,0),0)-IF('ОБЪЕКТЫ'!$B$64=4,IFERROR('ОБЪЕКТЫ'!$B$84*'ОБЪЕКТЫ'!AM78/'ОБЪЕКТЫ'!$B$78,0),0)-AM53-AM57-AM21</x:f>
      </x:c>
      <x:c r="AN22" s="117">
        <x:f>AN10-IFERROR((SUM($D$20:$GA$20)-'ОБЪЕКТЫ'!$B$120)*('Продажи'!AN83+'Продажи'!AN86+'Продажи'!AN89+'Продажи'!AN92)/(SUM('Продажи'!$D$83:$GA$83)+SUM('Продажи'!$D$86:$GA$86)+SUM('Продажи'!$D$89:$GA$89)+SUM('Продажи'!$D$92:$GA$92)),0)-IF('ОБЪЕКТЫ'!$B$8=4,IFERROR('ОБЪЕКТЫ'!$B$28*'ОБЪЕКТЫ'!AN22/'ОБЪЕКТЫ'!$B$22,0),0)-IF('ОБЪЕКТЫ'!$B$36=4,IFERROR('ОБЪЕКТЫ'!$B$56*'ОБЪЕКТЫ'!AN50/'ОБЪЕКТЫ'!$B$50,0),0)-IF('ОБЪЕКТЫ'!$B$64=4,IFERROR('ОБЪЕКТЫ'!$B$84*'ОБЪЕКТЫ'!AN78/'ОБЪЕКТЫ'!$B$78,0),0)-AN53-AN57-AN21</x:f>
      </x:c>
      <x:c r="AO22" s="117">
        <x:f>AO10-IFERROR((SUM($D$20:$GA$20)-'ОБЪЕКТЫ'!$B$120)*('Продажи'!AO83+'Продажи'!AO86+'Продажи'!AO89+'Продажи'!AO92)/(SUM('Продажи'!$D$83:$GA$83)+SUM('Продажи'!$D$86:$GA$86)+SUM('Продажи'!$D$89:$GA$89)+SUM('Продажи'!$D$92:$GA$92)),0)-IF('ОБЪЕКТЫ'!$B$8=4,IFERROR('ОБЪЕКТЫ'!$B$28*'ОБЪЕКТЫ'!AO22/'ОБЪЕКТЫ'!$B$22,0),0)-IF('ОБЪЕКТЫ'!$B$36=4,IFERROR('ОБЪЕКТЫ'!$B$56*'ОБЪЕКТЫ'!AO50/'ОБЪЕКТЫ'!$B$50,0),0)-IF('ОБЪЕКТЫ'!$B$64=4,IFERROR('ОБЪЕКТЫ'!$B$84*'ОБЪЕКТЫ'!AO78/'ОБЪЕКТЫ'!$B$78,0),0)-AO53-AO57-AO21</x:f>
      </x:c>
      <x:c r="AP22" s="117">
        <x:f>AP10-IFERROR((SUM($D$20:$GA$20)-'ОБЪЕКТЫ'!$B$120)*('Продажи'!AP83+'Продажи'!AP86+'Продажи'!AP89+'Продажи'!AP92)/(SUM('Продажи'!$D$83:$GA$83)+SUM('Продажи'!$D$86:$GA$86)+SUM('Продажи'!$D$89:$GA$89)+SUM('Продажи'!$D$92:$GA$92)),0)-IF('ОБЪЕКТЫ'!$B$8=4,IFERROR('ОБЪЕКТЫ'!$B$28*'ОБЪЕКТЫ'!AP22/'ОБЪЕКТЫ'!$B$22,0),0)-IF('ОБЪЕКТЫ'!$B$36=4,IFERROR('ОБЪЕКТЫ'!$B$56*'ОБЪЕКТЫ'!AP50/'ОБЪЕКТЫ'!$B$50,0),0)-IF('ОБЪЕКТЫ'!$B$64=4,IFERROR('ОБЪЕКТЫ'!$B$84*'ОБЪЕКТЫ'!AP78/'ОБЪЕКТЫ'!$B$78,0),0)-AP53-AP57-AP21</x:f>
      </x:c>
      <x:c r="AQ22" s="117">
        <x:f>AQ10-IFERROR((SUM($D$20:$GA$20)-'ОБЪЕКТЫ'!$B$120)*('Продажи'!AQ83+'Продажи'!AQ86+'Продажи'!AQ89+'Продажи'!AQ92)/(SUM('Продажи'!$D$83:$GA$83)+SUM('Продажи'!$D$86:$GA$86)+SUM('Продажи'!$D$89:$GA$89)+SUM('Продажи'!$D$92:$GA$92)),0)-IF('ОБЪЕКТЫ'!$B$8=4,IFERROR('ОБЪЕКТЫ'!$B$28*'ОБЪЕКТЫ'!AQ22/'ОБЪЕКТЫ'!$B$22,0),0)-IF('ОБЪЕКТЫ'!$B$36=4,IFERROR('ОБЪЕКТЫ'!$B$56*'ОБЪЕКТЫ'!AQ50/'ОБЪЕКТЫ'!$B$50,0),0)-IF('ОБЪЕКТЫ'!$B$64=4,IFERROR('ОБЪЕКТЫ'!$B$84*'ОБЪЕКТЫ'!AQ78/'ОБЪЕКТЫ'!$B$78,0),0)-AQ53-AQ57-AQ21</x:f>
      </x:c>
      <x:c r="AR22" s="117">
        <x:f>AR10-IFERROR((SUM($D$20:$GA$20)-'ОБЪЕКТЫ'!$B$120)*('Продажи'!AR83+'Продажи'!AR86+'Продажи'!AR89+'Продажи'!AR92)/(SUM('Продажи'!$D$83:$GA$83)+SUM('Продажи'!$D$86:$GA$86)+SUM('Продажи'!$D$89:$GA$89)+SUM('Продажи'!$D$92:$GA$92)),0)-IF('ОБЪЕКТЫ'!$B$8=4,IFERROR('ОБЪЕКТЫ'!$B$28*'ОБЪЕКТЫ'!AR22/'ОБЪЕКТЫ'!$B$22,0),0)-IF('ОБЪЕКТЫ'!$B$36=4,IFERROR('ОБЪЕКТЫ'!$B$56*'ОБЪЕКТЫ'!AR50/'ОБЪЕКТЫ'!$B$50,0),0)-IF('ОБЪЕКТЫ'!$B$64=4,IFERROR('ОБЪЕКТЫ'!$B$84*'ОБЪЕКТЫ'!AR78/'ОБЪЕКТЫ'!$B$78,0),0)-AR53-AR57-AR21</x:f>
      </x:c>
      <x:c r="AS22" s="117">
        <x:f>AS10-IFERROR((SUM($D$20:$GA$20)-'ОБЪЕКТЫ'!$B$120)*('Продажи'!AS83+'Продажи'!AS86+'Продажи'!AS89+'Продажи'!AS92)/(SUM('Продажи'!$D$83:$GA$83)+SUM('Продажи'!$D$86:$GA$86)+SUM('Продажи'!$D$89:$GA$89)+SUM('Продажи'!$D$92:$GA$92)),0)-IF('ОБЪЕКТЫ'!$B$8=4,IFERROR('ОБЪЕКТЫ'!$B$28*'ОБЪЕКТЫ'!AS22/'ОБЪЕКТЫ'!$B$22,0),0)-IF('ОБЪЕКТЫ'!$B$36=4,IFERROR('ОБЪЕКТЫ'!$B$56*'ОБЪЕКТЫ'!AS50/'ОБЪЕКТЫ'!$B$50,0),0)-IF('ОБЪЕКТЫ'!$B$64=4,IFERROR('ОБЪЕКТЫ'!$B$84*'ОБЪЕКТЫ'!AS78/'ОБЪЕКТЫ'!$B$78,0),0)-AS53-AS57-AS21</x:f>
      </x:c>
      <x:c r="AT22" s="117">
        <x:f>AT10-IFERROR((SUM($D$20:$GA$20)-'ОБЪЕКТЫ'!$B$120)*('Продажи'!AT83+'Продажи'!AT86+'Продажи'!AT89+'Продажи'!AT92)/(SUM('Продажи'!$D$83:$GA$83)+SUM('Продажи'!$D$86:$GA$86)+SUM('Продажи'!$D$89:$GA$89)+SUM('Продажи'!$D$92:$GA$92)),0)-IF('ОБЪЕКТЫ'!$B$8=4,IFERROR('ОБЪЕКТЫ'!$B$28*'ОБЪЕКТЫ'!AT22/'ОБЪЕКТЫ'!$B$22,0),0)-IF('ОБЪЕКТЫ'!$B$36=4,IFERROR('ОБЪЕКТЫ'!$B$56*'ОБЪЕКТЫ'!AT50/'ОБЪЕКТЫ'!$B$50,0),0)-IF('ОБЪЕКТЫ'!$B$64=4,IFERROR('ОБЪЕКТЫ'!$B$84*'ОБЪЕКТЫ'!AT78/'ОБЪЕКТЫ'!$B$78,0),0)-AT53-AT57-AT21</x:f>
      </x:c>
      <x:c r="AU22" s="117">
        <x:f>AU10-IFERROR((SUM($D$20:$GA$20)-'ОБЪЕКТЫ'!$B$120)*('Продажи'!AU83+'Продажи'!AU86+'Продажи'!AU89+'Продажи'!AU92)/(SUM('Продажи'!$D$83:$GA$83)+SUM('Продажи'!$D$86:$GA$86)+SUM('Продажи'!$D$89:$GA$89)+SUM('Продажи'!$D$92:$GA$92)),0)-IF('ОБЪЕКТЫ'!$B$8=4,IFERROR('ОБЪЕКТЫ'!$B$28*'ОБЪЕКТЫ'!AU22/'ОБЪЕКТЫ'!$B$22,0),0)-IF('ОБЪЕКТЫ'!$B$36=4,IFERROR('ОБЪЕКТЫ'!$B$56*'ОБЪЕКТЫ'!AU50/'ОБЪЕКТЫ'!$B$50,0),0)-IF('ОБЪЕКТЫ'!$B$64=4,IFERROR('ОБЪЕКТЫ'!$B$84*'ОБЪЕКТЫ'!AU78/'ОБЪЕКТЫ'!$B$78,0),0)-AU53-AU57-AU21</x:f>
      </x:c>
      <x:c r="AV22" s="117">
        <x:f>AV10-IFERROR((SUM($D$20:$GA$20)-'ОБЪЕКТЫ'!$B$120)*('Продажи'!AV83+'Продажи'!AV86+'Продажи'!AV89+'Продажи'!AV92)/(SUM('Продажи'!$D$83:$GA$83)+SUM('Продажи'!$D$86:$GA$86)+SUM('Продажи'!$D$89:$GA$89)+SUM('Продажи'!$D$92:$GA$92)),0)-IF('ОБЪЕКТЫ'!$B$8=4,IFERROR('ОБЪЕКТЫ'!$B$28*'ОБЪЕКТЫ'!AV22/'ОБЪЕКТЫ'!$B$22,0),0)-IF('ОБЪЕКТЫ'!$B$36=4,IFERROR('ОБЪЕКТЫ'!$B$56*'ОБЪЕКТЫ'!AV50/'ОБЪЕКТЫ'!$B$50,0),0)-IF('ОБЪЕКТЫ'!$B$64=4,IFERROR('ОБЪЕКТЫ'!$B$84*'ОБЪЕКТЫ'!AV78/'ОБЪЕКТЫ'!$B$78,0),0)-AV53-AV57-AV21</x:f>
      </x:c>
      <x:c r="AW22" s="117">
        <x:f>AW10-IFERROR((SUM($D$20:$GA$20)-'ОБЪЕКТЫ'!$B$120)*('Продажи'!AW83+'Продажи'!AW86+'Продажи'!AW89+'Продажи'!AW92)/(SUM('Продажи'!$D$83:$GA$83)+SUM('Продажи'!$D$86:$GA$86)+SUM('Продажи'!$D$89:$GA$89)+SUM('Продажи'!$D$92:$GA$92)),0)-IF('ОБЪЕКТЫ'!$B$8=4,IFERROR('ОБЪЕКТЫ'!$B$28*'ОБЪЕКТЫ'!AW22/'ОБЪЕКТЫ'!$B$22,0),0)-IF('ОБЪЕКТЫ'!$B$36=4,IFERROR('ОБЪЕКТЫ'!$B$56*'ОБЪЕКТЫ'!AW50/'ОБЪЕКТЫ'!$B$50,0),0)-IF('ОБЪЕКТЫ'!$B$64=4,IFERROR('ОБЪЕКТЫ'!$B$84*'ОБЪЕКТЫ'!AW78/'ОБЪЕКТЫ'!$B$78,0),0)-AW53-AW57-AW21</x:f>
      </x:c>
      <x:c r="AX22" s="117">
        <x:f>AX10-IFERROR((SUM($D$20:$GA$20)-'ОБЪЕКТЫ'!$B$120)*('Продажи'!AX83+'Продажи'!AX86+'Продажи'!AX89+'Продажи'!AX92)/(SUM('Продажи'!$D$83:$GA$83)+SUM('Продажи'!$D$86:$GA$86)+SUM('Продажи'!$D$89:$GA$89)+SUM('Продажи'!$D$92:$GA$92)),0)-IF('ОБЪЕКТЫ'!$B$8=4,IFERROR('ОБЪЕКТЫ'!$B$28*'ОБЪЕКТЫ'!AX22/'ОБЪЕКТЫ'!$B$22,0),0)-IF('ОБЪЕКТЫ'!$B$36=4,IFERROR('ОБЪЕКТЫ'!$B$56*'ОБЪЕКТЫ'!AX50/'ОБЪЕКТЫ'!$B$50,0),0)-IF('ОБЪЕКТЫ'!$B$64=4,IFERROR('ОБЪЕКТЫ'!$B$84*'ОБЪЕКТЫ'!AX78/'ОБЪЕКТЫ'!$B$78,0),0)-AX53-AX57-AX21</x:f>
      </x:c>
      <x:c r="AY22" s="117">
        <x:f>AY10-IFERROR((SUM($D$20:$GA$20)-'ОБЪЕКТЫ'!$B$120)*('Продажи'!AY83+'Продажи'!AY86+'Продажи'!AY89+'Продажи'!AY92)/(SUM('Продажи'!$D$83:$GA$83)+SUM('Продажи'!$D$86:$GA$86)+SUM('Продажи'!$D$89:$GA$89)+SUM('Продажи'!$D$92:$GA$92)),0)-IF('ОБЪЕКТЫ'!$B$8=4,IFERROR('ОБЪЕКТЫ'!$B$28*'ОБЪЕКТЫ'!AY22/'ОБЪЕКТЫ'!$B$22,0),0)-IF('ОБЪЕКТЫ'!$B$36=4,IFERROR('ОБЪЕКТЫ'!$B$56*'ОБЪЕКТЫ'!AY50/'ОБЪЕКТЫ'!$B$50,0),0)-IF('ОБЪЕКТЫ'!$B$64=4,IFERROR('ОБЪЕКТЫ'!$B$84*'ОБЪЕКТЫ'!AY78/'ОБЪЕКТЫ'!$B$78,0),0)-AY53-AY57-AY21</x:f>
      </x:c>
      <x:c r="AZ22" s="117">
        <x:f>AZ10-IFERROR((SUM($D$20:$GA$20)-'ОБЪЕКТЫ'!$B$120)*('Продажи'!AZ83+'Продажи'!AZ86+'Продажи'!AZ89+'Продажи'!AZ92)/(SUM('Продажи'!$D$83:$GA$83)+SUM('Продажи'!$D$86:$GA$86)+SUM('Продажи'!$D$89:$GA$89)+SUM('Продажи'!$D$92:$GA$92)),0)-IF('ОБЪЕКТЫ'!$B$8=4,IFERROR('ОБЪЕКТЫ'!$B$28*'ОБЪЕКТЫ'!AZ22/'ОБЪЕКТЫ'!$B$22,0),0)-IF('ОБЪЕКТЫ'!$B$36=4,IFERROR('ОБЪЕКТЫ'!$B$56*'ОБЪЕКТЫ'!AZ50/'ОБЪЕКТЫ'!$B$50,0),0)-IF('ОБЪЕКТЫ'!$B$64=4,IFERROR('ОБЪЕКТЫ'!$B$84*'ОБЪЕКТЫ'!AZ78/'ОБЪЕКТЫ'!$B$78,0),0)-AZ53-AZ57-AZ21</x:f>
      </x:c>
      <x:c r="BA22" s="117">
        <x:f>BA10-IFERROR((SUM($D$20:$GA$20)-'ОБЪЕКТЫ'!$B$120)*('Продажи'!BA83+'Продажи'!BA86+'Продажи'!BA89+'Продажи'!BA92)/(SUM('Продажи'!$D$83:$GA$83)+SUM('Продажи'!$D$86:$GA$86)+SUM('Продажи'!$D$89:$GA$89)+SUM('Продажи'!$D$92:$GA$92)),0)-IF('ОБЪЕКТЫ'!$B$8=4,IFERROR('ОБЪЕКТЫ'!$B$28*'ОБЪЕКТЫ'!BA22/'ОБЪЕКТЫ'!$B$22,0),0)-IF('ОБЪЕКТЫ'!$B$36=4,IFERROR('ОБЪЕКТЫ'!$B$56*'ОБЪЕКТЫ'!BA50/'ОБЪЕКТЫ'!$B$50,0),0)-IF('ОБЪЕКТЫ'!$B$64=4,IFERROR('ОБЪЕКТЫ'!$B$84*'ОБЪЕКТЫ'!BA78/'ОБЪЕКТЫ'!$B$78,0),0)-BA53-BA57-BA21</x:f>
      </x:c>
      <x:c r="BB22" s="117">
        <x:f>BB10-IFERROR((SUM($D$20:$GA$20)-'ОБЪЕКТЫ'!$B$120)*('Продажи'!BB83+'Продажи'!BB86+'Продажи'!BB89+'Продажи'!BB92)/(SUM('Продажи'!$D$83:$GA$83)+SUM('Продажи'!$D$86:$GA$86)+SUM('Продажи'!$D$89:$GA$89)+SUM('Продажи'!$D$92:$GA$92)),0)-IF('ОБЪЕКТЫ'!$B$8=4,IFERROR('ОБЪЕКТЫ'!$B$28*'ОБЪЕКТЫ'!BB22/'ОБЪЕКТЫ'!$B$22,0),0)-IF('ОБЪЕКТЫ'!$B$36=4,IFERROR('ОБЪЕКТЫ'!$B$56*'ОБЪЕКТЫ'!BB50/'ОБЪЕКТЫ'!$B$50,0),0)-IF('ОБЪЕКТЫ'!$B$64=4,IFERROR('ОБЪЕКТЫ'!$B$84*'ОБЪЕКТЫ'!BB78/'ОБЪЕКТЫ'!$B$78,0),0)-BB53-BB57-BB21</x:f>
      </x:c>
      <x:c r="BC22" s="117">
        <x:f>BC10-IFERROR((SUM($D$20:$GA$20)-'ОБЪЕКТЫ'!$B$120)*('Продажи'!BC83+'Продажи'!BC86+'Продажи'!BC89+'Продажи'!BC92)/(SUM('Продажи'!$D$83:$GA$83)+SUM('Продажи'!$D$86:$GA$86)+SUM('Продажи'!$D$89:$GA$89)+SUM('Продажи'!$D$92:$GA$92)),0)-IF('ОБЪЕКТЫ'!$B$8=4,IFERROR('ОБЪЕКТЫ'!$B$28*'ОБЪЕКТЫ'!BC22/'ОБЪЕКТЫ'!$B$22,0),0)-IF('ОБЪЕКТЫ'!$B$36=4,IFERROR('ОБЪЕКТЫ'!$B$56*'ОБЪЕКТЫ'!BC50/'ОБЪЕКТЫ'!$B$50,0),0)-IF('ОБЪЕКТЫ'!$B$64=4,IFERROR('ОБЪЕКТЫ'!$B$84*'ОБЪЕКТЫ'!BC78/'ОБЪЕКТЫ'!$B$78,0),0)-BC53-BC57-BC21</x:f>
      </x:c>
      <x:c r="BD22" s="117">
        <x:f>BD10-IFERROR((SUM($D$20:$GA$20)-'ОБЪЕКТЫ'!$B$120)*('Продажи'!BD83+'Продажи'!BD86+'Продажи'!BD89+'Продажи'!BD92)/(SUM('Продажи'!$D$83:$GA$83)+SUM('Продажи'!$D$86:$GA$86)+SUM('Продажи'!$D$89:$GA$89)+SUM('Продажи'!$D$92:$GA$92)),0)-IF('ОБЪЕКТЫ'!$B$8=4,IFERROR('ОБЪЕКТЫ'!$B$28*'ОБЪЕКТЫ'!BD22/'ОБЪЕКТЫ'!$B$22,0),0)-IF('ОБЪЕКТЫ'!$B$36=4,IFERROR('ОБЪЕКТЫ'!$B$56*'ОБЪЕКТЫ'!BD50/'ОБЪЕКТЫ'!$B$50,0),0)-IF('ОБЪЕКТЫ'!$B$64=4,IFERROR('ОБЪЕКТЫ'!$B$84*'ОБЪЕКТЫ'!BD78/'ОБЪЕКТЫ'!$B$78,0),0)-BD53-BD57-BD21</x:f>
      </x:c>
      <x:c r="BE22" s="117">
        <x:f>BE10-IFERROR((SUM($D$20:$GA$20)-'ОБЪЕКТЫ'!$B$120)*('Продажи'!BE83+'Продажи'!BE86+'Продажи'!BE89+'Продажи'!BE92)/(SUM('Продажи'!$D$83:$GA$83)+SUM('Продажи'!$D$86:$GA$86)+SUM('Продажи'!$D$89:$GA$89)+SUM('Продажи'!$D$92:$GA$92)),0)-IF('ОБЪЕКТЫ'!$B$8=4,IFERROR('ОБЪЕКТЫ'!$B$28*'ОБЪЕКТЫ'!BE22/'ОБЪЕКТЫ'!$B$22,0),0)-IF('ОБЪЕКТЫ'!$B$36=4,IFERROR('ОБЪЕКТЫ'!$B$56*'ОБЪЕКТЫ'!BE50/'ОБЪЕКТЫ'!$B$50,0),0)-IF('ОБЪЕКТЫ'!$B$64=4,IFERROR('ОБЪЕКТЫ'!$B$84*'ОБЪЕКТЫ'!BE78/'ОБЪЕКТЫ'!$B$78,0),0)-BE53-BE57-BE21</x:f>
      </x:c>
      <x:c r="BF22" s="117">
        <x:f>BF10-IFERROR((SUM($D$20:$GA$20)-'ОБЪЕКТЫ'!$B$120)*('Продажи'!BF83+'Продажи'!BF86+'Продажи'!BF89+'Продажи'!BF92)/(SUM('Продажи'!$D$83:$GA$83)+SUM('Продажи'!$D$86:$GA$86)+SUM('Продажи'!$D$89:$GA$89)+SUM('Продажи'!$D$92:$GA$92)),0)-IF('ОБЪЕКТЫ'!$B$8=4,IFERROR('ОБЪЕКТЫ'!$B$28*'ОБЪЕКТЫ'!BF22/'ОБЪЕКТЫ'!$B$22,0),0)-IF('ОБЪЕКТЫ'!$B$36=4,IFERROR('ОБЪЕКТЫ'!$B$56*'ОБЪЕКТЫ'!BF50/'ОБЪЕКТЫ'!$B$50,0),0)-IF('ОБЪЕКТЫ'!$B$64=4,IFERROR('ОБЪЕКТЫ'!$B$84*'ОБЪЕКТЫ'!BF78/'ОБЪЕКТЫ'!$B$78,0),0)-BF53-BF57-BF21</x:f>
      </x:c>
      <x:c r="BG22" s="117">
        <x:f>BG10-IFERROR((SUM($D$20:$GA$20)-'ОБЪЕКТЫ'!$B$120)*('Продажи'!BG83+'Продажи'!BG86+'Продажи'!BG89+'Продажи'!BG92)/(SUM('Продажи'!$D$83:$GA$83)+SUM('Продажи'!$D$86:$GA$86)+SUM('Продажи'!$D$89:$GA$89)+SUM('Продажи'!$D$92:$GA$92)),0)-IF('ОБЪЕКТЫ'!$B$8=4,IFERROR('ОБЪЕКТЫ'!$B$28*'ОБЪЕКТЫ'!BG22/'ОБЪЕКТЫ'!$B$22,0),0)-IF('ОБЪЕКТЫ'!$B$36=4,IFERROR('ОБЪЕКТЫ'!$B$56*'ОБЪЕКТЫ'!BG50/'ОБЪЕКТЫ'!$B$50,0),0)-IF('ОБЪЕКТЫ'!$B$64=4,IFERROR('ОБЪЕКТЫ'!$B$84*'ОБЪЕКТЫ'!BG78/'ОБЪЕКТЫ'!$B$78,0),0)-BG53-BG57-BG21</x:f>
      </x:c>
      <x:c r="BH22" s="117">
        <x:f>BH10-IFERROR((SUM($D$20:$GA$20)-'ОБЪЕКТЫ'!$B$120)*('Продажи'!BH83+'Продажи'!BH86+'Продажи'!BH89+'Продажи'!BH92)/(SUM('Продажи'!$D$83:$GA$83)+SUM('Продажи'!$D$86:$GA$86)+SUM('Продажи'!$D$89:$GA$89)+SUM('Продажи'!$D$92:$GA$92)),0)-IF('ОБЪЕКТЫ'!$B$8=4,IFERROR('ОБЪЕКТЫ'!$B$28*'ОБЪЕКТЫ'!BH22/'ОБЪЕКТЫ'!$B$22,0),0)-IF('ОБЪЕКТЫ'!$B$36=4,IFERROR('ОБЪЕКТЫ'!$B$56*'ОБЪЕКТЫ'!BH50/'ОБЪЕКТЫ'!$B$50,0),0)-IF('ОБЪЕКТЫ'!$B$64=4,IFERROR('ОБЪЕКТЫ'!$B$84*'ОБЪЕКТЫ'!BH78/'ОБЪЕКТЫ'!$B$78,0),0)-BH53-BH57-BH21</x:f>
      </x:c>
      <x:c r="BI22" s="117">
        <x:f>BI10-IFERROR((SUM($D$20:$GA$20)-'ОБЪЕКТЫ'!$B$120)*('Продажи'!BI83+'Продажи'!BI86+'Продажи'!BI89+'Продажи'!BI92)/(SUM('Продажи'!$D$83:$GA$83)+SUM('Продажи'!$D$86:$GA$86)+SUM('Продажи'!$D$89:$GA$89)+SUM('Продажи'!$D$92:$GA$92)),0)-IF('ОБЪЕКТЫ'!$B$8=4,IFERROR('ОБЪЕКТЫ'!$B$28*'ОБЪЕКТЫ'!BI22/'ОБЪЕКТЫ'!$B$22,0),0)-IF('ОБЪЕКТЫ'!$B$36=4,IFERROR('ОБЪЕКТЫ'!$B$56*'ОБЪЕКТЫ'!BI50/'ОБЪЕКТЫ'!$B$50,0),0)-IF('ОБЪЕКТЫ'!$B$64=4,IFERROR('ОБЪЕКТЫ'!$B$84*'ОБЪЕКТЫ'!BI78/'ОБЪЕКТЫ'!$B$78,0),0)-BI53-BI57-BI21</x:f>
      </x:c>
      <x:c r="BJ22" s="117">
        <x:f>BJ10-IFERROR((SUM($D$20:$GA$20)-'ОБЪЕКТЫ'!$B$120)*('Продажи'!BJ83+'Продажи'!BJ86+'Продажи'!BJ89+'Продажи'!BJ92)/(SUM('Продажи'!$D$83:$GA$83)+SUM('Продажи'!$D$86:$GA$86)+SUM('Продажи'!$D$89:$GA$89)+SUM('Продажи'!$D$92:$GA$92)),0)-IF('ОБЪЕКТЫ'!$B$8=4,IFERROR('ОБЪЕКТЫ'!$B$28*'ОБЪЕКТЫ'!BJ22/'ОБЪЕКТЫ'!$B$22,0),0)-IF('ОБЪЕКТЫ'!$B$36=4,IFERROR('ОБЪЕКТЫ'!$B$56*'ОБЪЕКТЫ'!BJ50/'ОБЪЕКТЫ'!$B$50,0),0)-IF('ОБЪЕКТЫ'!$B$64=4,IFERROR('ОБЪЕКТЫ'!$B$84*'ОБЪЕКТЫ'!BJ78/'ОБЪЕКТЫ'!$B$78,0),0)-BJ53-BJ57-BJ21</x:f>
      </x:c>
      <x:c r="BK22" s="117">
        <x:f>BK10-IFERROR((SUM($D$20:$GA$20)-'ОБЪЕКТЫ'!$B$120)*('Продажи'!BK83+'Продажи'!BK86+'Продажи'!BK89+'Продажи'!BK92)/(SUM('Продажи'!$D$83:$GA$83)+SUM('Продажи'!$D$86:$GA$86)+SUM('Продажи'!$D$89:$GA$89)+SUM('Продажи'!$D$92:$GA$92)),0)-IF('ОБЪЕКТЫ'!$B$8=4,IFERROR('ОБЪЕКТЫ'!$B$28*'ОБЪЕКТЫ'!BK22/'ОБЪЕКТЫ'!$B$22,0),0)-IF('ОБЪЕКТЫ'!$B$36=4,IFERROR('ОБЪЕКТЫ'!$B$56*'ОБЪЕКТЫ'!BK50/'ОБЪЕКТЫ'!$B$50,0),0)-IF('ОБЪЕКТЫ'!$B$64=4,IFERROR('ОБЪЕКТЫ'!$B$84*'ОБЪЕКТЫ'!BK78/'ОБЪЕКТЫ'!$B$78,0),0)-BK53-BK57-BK21</x:f>
      </x:c>
      <x:c r="BL22" s="117">
        <x:f>BL10-IFERROR((SUM($D$20:$GA$20)-'ОБЪЕКТЫ'!$B$120)*('Продажи'!BL83+'Продажи'!BL86+'Продажи'!BL89+'Продажи'!BL92)/(SUM('Продажи'!$D$83:$GA$83)+SUM('Продажи'!$D$86:$GA$86)+SUM('Продажи'!$D$89:$GA$89)+SUM('Продажи'!$D$92:$GA$92)),0)-IF('ОБЪЕКТЫ'!$B$8=4,IFERROR('ОБЪЕКТЫ'!$B$28*'ОБЪЕКТЫ'!BL22/'ОБЪЕКТЫ'!$B$22,0),0)-IF('ОБЪЕКТЫ'!$B$36=4,IFERROR('ОБЪЕКТЫ'!$B$56*'ОБЪЕКТЫ'!BL50/'ОБЪЕКТЫ'!$B$50,0),0)-IF('ОБЪЕКТЫ'!$B$64=4,IFERROR('ОБЪЕКТЫ'!$B$84*'ОБЪЕКТЫ'!BL78/'ОБЪЕКТЫ'!$B$78,0),0)-BL53-BL57-BL21</x:f>
      </x:c>
      <x:c r="BM22" s="117">
        <x:f>BM10-IFERROR((SUM($D$20:$GA$20)-'ОБЪЕКТЫ'!$B$120)*('Продажи'!BM83+'Продажи'!BM86+'Продажи'!BM89+'Продажи'!BM92)/(SUM('Продажи'!$D$83:$GA$83)+SUM('Продажи'!$D$86:$GA$86)+SUM('Продажи'!$D$89:$GA$89)+SUM('Продажи'!$D$92:$GA$92)),0)-IF('ОБЪЕКТЫ'!$B$8=4,IFERROR('ОБЪЕКТЫ'!$B$28*'ОБЪЕКТЫ'!BM22/'ОБЪЕКТЫ'!$B$22,0),0)-IF('ОБЪЕКТЫ'!$B$36=4,IFERROR('ОБЪЕКТЫ'!$B$56*'ОБЪЕКТЫ'!BM50/'ОБЪЕКТЫ'!$B$50,0),0)-IF('ОБЪЕКТЫ'!$B$64=4,IFERROR('ОБЪЕКТЫ'!$B$84*'ОБЪЕКТЫ'!BM78/'ОБЪЕКТЫ'!$B$78,0),0)-BM53-BM57-BM21</x:f>
      </x:c>
      <x:c r="BN22" s="117">
        <x:f>BN10-IFERROR((SUM($D$20:$GA$20)-'ОБЪЕКТЫ'!$B$120)*('Продажи'!BN83+'Продажи'!BN86+'Продажи'!BN89+'Продажи'!BN92)/(SUM('Продажи'!$D$83:$GA$83)+SUM('Продажи'!$D$86:$GA$86)+SUM('Продажи'!$D$89:$GA$89)+SUM('Продажи'!$D$92:$GA$92)),0)-IF('ОБЪЕКТЫ'!$B$8=4,IFERROR('ОБЪЕКТЫ'!$B$28*'ОБЪЕКТЫ'!BN22/'ОБЪЕКТЫ'!$B$22,0),0)-IF('ОБЪЕКТЫ'!$B$36=4,IFERROR('ОБЪЕКТЫ'!$B$56*'ОБЪЕКТЫ'!BN50/'ОБЪЕКТЫ'!$B$50,0),0)-IF('ОБЪЕКТЫ'!$B$64=4,IFERROR('ОБЪЕКТЫ'!$B$84*'ОБЪЕКТЫ'!BN78/'ОБЪЕКТЫ'!$B$78,0),0)-BN53-BN57-BN21</x:f>
      </x:c>
      <x:c r="BO22" s="117">
        <x:f>BO10-IFERROR((SUM($D$20:$GA$20)-'ОБЪЕКТЫ'!$B$120)*('Продажи'!BO83+'Продажи'!BO86+'Продажи'!BO89+'Продажи'!BO92)/(SUM('Продажи'!$D$83:$GA$83)+SUM('Продажи'!$D$86:$GA$86)+SUM('Продажи'!$D$89:$GA$89)+SUM('Продажи'!$D$92:$GA$92)),0)-IF('ОБЪЕКТЫ'!$B$8=4,IFERROR('ОБЪЕКТЫ'!$B$28*'ОБЪЕКТЫ'!BO22/'ОБЪЕКТЫ'!$B$22,0),0)-IF('ОБЪЕКТЫ'!$B$36=4,IFERROR('ОБЪЕКТЫ'!$B$56*'ОБЪЕКТЫ'!BO50/'ОБЪЕКТЫ'!$B$50,0),0)-IF('ОБЪЕКТЫ'!$B$64=4,IFERROR('ОБЪЕКТЫ'!$B$84*'ОБЪЕКТЫ'!BO78/'ОБЪЕКТЫ'!$B$78,0),0)-BO53-BO57-BO21</x:f>
      </x:c>
      <x:c r="BP22" s="117">
        <x:f>BP10-IFERROR((SUM($D$20:$GA$20)-'ОБЪЕКТЫ'!$B$120)*('Продажи'!BP83+'Продажи'!BP86+'Продажи'!BP89+'Продажи'!BP92)/(SUM('Продажи'!$D$83:$GA$83)+SUM('Продажи'!$D$86:$GA$86)+SUM('Продажи'!$D$89:$GA$89)+SUM('Продажи'!$D$92:$GA$92)),0)-IF('ОБЪЕКТЫ'!$B$8=4,IFERROR('ОБЪЕКТЫ'!$B$28*'ОБЪЕКТЫ'!BP22/'ОБЪЕКТЫ'!$B$22,0),0)-IF('ОБЪЕКТЫ'!$B$36=4,IFERROR('ОБЪЕКТЫ'!$B$56*'ОБЪЕКТЫ'!BP50/'ОБЪЕКТЫ'!$B$50,0),0)-IF('ОБЪЕКТЫ'!$B$64=4,IFERROR('ОБЪЕКТЫ'!$B$84*'ОБЪЕКТЫ'!BP78/'ОБЪЕКТЫ'!$B$78,0),0)-BP53-BP57-BP21</x:f>
      </x:c>
      <x:c r="BQ22" s="117">
        <x:f>BQ10-IFERROR((SUM($D$20:$GA$20)-'ОБЪЕКТЫ'!$B$120)*('Продажи'!BQ83+'Продажи'!BQ86+'Продажи'!BQ89+'Продажи'!BQ92)/(SUM('Продажи'!$D$83:$GA$83)+SUM('Продажи'!$D$86:$GA$86)+SUM('Продажи'!$D$89:$GA$89)+SUM('Продажи'!$D$92:$GA$92)),0)-IF('ОБЪЕКТЫ'!$B$8=4,IFERROR('ОБЪЕКТЫ'!$B$28*'ОБЪЕКТЫ'!BQ22/'ОБЪЕКТЫ'!$B$22,0),0)-IF('ОБЪЕКТЫ'!$B$36=4,IFERROR('ОБЪЕКТЫ'!$B$56*'ОБЪЕКТЫ'!BQ50/'ОБЪЕКТЫ'!$B$50,0),0)-IF('ОБЪЕКТЫ'!$B$64=4,IFERROR('ОБЪЕКТЫ'!$B$84*'ОБЪЕКТЫ'!BQ78/'ОБЪЕКТЫ'!$B$78,0),0)-BQ53-BQ57-BQ21</x:f>
      </x:c>
      <x:c r="BR22" s="117">
        <x:f>BR10-IFERROR((SUM($D$20:$GA$20)-'ОБЪЕКТЫ'!$B$120)*('Продажи'!BR83+'Продажи'!BR86+'Продажи'!BR89+'Продажи'!BR92)/(SUM('Продажи'!$D$83:$GA$83)+SUM('Продажи'!$D$86:$GA$86)+SUM('Продажи'!$D$89:$GA$89)+SUM('Продажи'!$D$92:$GA$92)),0)-IF('ОБЪЕКТЫ'!$B$8=4,IFERROR('ОБЪЕКТЫ'!$B$28*'ОБЪЕКТЫ'!BR22/'ОБЪЕКТЫ'!$B$22,0),0)-IF('ОБЪЕКТЫ'!$B$36=4,IFERROR('ОБЪЕКТЫ'!$B$56*'ОБЪЕКТЫ'!BR50/'ОБЪЕКТЫ'!$B$50,0),0)-IF('ОБЪЕКТЫ'!$B$64=4,IFERROR('ОБЪЕКТЫ'!$B$84*'ОБЪЕКТЫ'!BR78/'ОБЪЕКТЫ'!$B$78,0),0)-BR53-BR57-BR21</x:f>
      </x:c>
      <x:c r="BS22" s="117">
        <x:f>BS10-IFERROR((SUM($D$20:$GA$20)-'ОБЪЕКТЫ'!$B$120)*('Продажи'!BS83+'Продажи'!BS86+'Продажи'!BS89+'Продажи'!BS92)/(SUM('Продажи'!$D$83:$GA$83)+SUM('Продажи'!$D$86:$GA$86)+SUM('Продажи'!$D$89:$GA$89)+SUM('Продажи'!$D$92:$GA$92)),0)-IF('ОБЪЕКТЫ'!$B$8=4,IFERROR('ОБЪЕКТЫ'!$B$28*'ОБЪЕКТЫ'!BS22/'ОБЪЕКТЫ'!$B$22,0),0)-IF('ОБЪЕКТЫ'!$B$36=4,IFERROR('ОБЪЕКТЫ'!$B$56*'ОБЪЕКТЫ'!BS50/'ОБЪЕКТЫ'!$B$50,0),0)-IF('ОБЪЕКТЫ'!$B$64=4,IFERROR('ОБЪЕКТЫ'!$B$84*'ОБЪЕКТЫ'!BS78/'ОБЪЕКТЫ'!$B$78,0),0)-BS53-BS57-BS21</x:f>
      </x:c>
      <x:c r="BT22" s="117">
        <x:f>BT10-IFERROR((SUM($D$20:$GA$20)-'ОБЪЕКТЫ'!$B$120)*('Продажи'!BT83+'Продажи'!BT86+'Продажи'!BT89+'Продажи'!BT92)/(SUM('Продажи'!$D$83:$GA$83)+SUM('Продажи'!$D$86:$GA$86)+SUM('Продажи'!$D$89:$GA$89)+SUM('Продажи'!$D$92:$GA$92)),0)-IF('ОБЪЕКТЫ'!$B$8=4,IFERROR('ОБЪЕКТЫ'!$B$28*'ОБЪЕКТЫ'!BT22/'ОБЪЕКТЫ'!$B$22,0),0)-IF('ОБЪЕКТЫ'!$B$36=4,IFERROR('ОБЪЕКТЫ'!$B$56*'ОБЪЕКТЫ'!BT50/'ОБЪЕКТЫ'!$B$50,0),0)-IF('ОБЪЕКТЫ'!$B$64=4,IFERROR('ОБЪЕКТЫ'!$B$84*'ОБЪЕКТЫ'!BT78/'ОБЪЕКТЫ'!$B$78,0),0)-BT53-BT57-BT21</x:f>
      </x:c>
      <x:c r="BU22" s="117">
        <x:f>BU10-IFERROR((SUM($D$20:$GA$20)-'ОБЪЕКТЫ'!$B$120)*('Продажи'!BU83+'Продажи'!BU86+'Продажи'!BU89+'Продажи'!BU92)/(SUM('Продажи'!$D$83:$GA$83)+SUM('Продажи'!$D$86:$GA$86)+SUM('Продажи'!$D$89:$GA$89)+SUM('Продажи'!$D$92:$GA$92)),0)-IF('ОБЪЕКТЫ'!$B$8=4,IFERROR('ОБЪЕКТЫ'!$B$28*'ОБЪЕКТЫ'!BU22/'ОБЪЕКТЫ'!$B$22,0),0)-IF('ОБЪЕКТЫ'!$B$36=4,IFERROR('ОБЪЕКТЫ'!$B$56*'ОБЪЕКТЫ'!BU50/'ОБЪЕКТЫ'!$B$50,0),0)-IF('ОБЪЕКТЫ'!$B$64=4,IFERROR('ОБЪЕКТЫ'!$B$84*'ОБЪЕКТЫ'!BU78/'ОБЪЕКТЫ'!$B$78,0),0)-BU53-BU57-BU21</x:f>
      </x:c>
      <x:c r="BV22" s="117">
        <x:f>BV10-IFERROR((SUM($D$20:$GA$20)-'ОБЪЕКТЫ'!$B$120)*('Продажи'!BV83+'Продажи'!BV86+'Продажи'!BV89+'Продажи'!BV92)/(SUM('Продажи'!$D$83:$GA$83)+SUM('Продажи'!$D$86:$GA$86)+SUM('Продажи'!$D$89:$GA$89)+SUM('Продажи'!$D$92:$GA$92)),0)-IF('ОБЪЕКТЫ'!$B$8=4,IFERROR('ОБЪЕКТЫ'!$B$28*'ОБЪЕКТЫ'!BV22/'ОБЪЕКТЫ'!$B$22,0),0)-IF('ОБЪЕКТЫ'!$B$36=4,IFERROR('ОБЪЕКТЫ'!$B$56*'ОБЪЕКТЫ'!BV50/'ОБЪЕКТЫ'!$B$50,0),0)-IF('ОБЪЕКТЫ'!$B$64=4,IFERROR('ОБЪЕКТЫ'!$B$84*'ОБЪЕКТЫ'!BV78/'ОБЪЕКТЫ'!$B$78,0),0)-BV53-BV57-BV21</x:f>
      </x:c>
      <x:c r="BW22" s="117">
        <x:f>BW10-IFERROR((SUM($D$20:$GA$20)-'ОБЪЕКТЫ'!$B$120)*('Продажи'!BW83+'Продажи'!BW86+'Продажи'!BW89+'Продажи'!BW92)/(SUM('Продажи'!$D$83:$GA$83)+SUM('Продажи'!$D$86:$GA$86)+SUM('Продажи'!$D$89:$GA$89)+SUM('Продажи'!$D$92:$GA$92)),0)-IF('ОБЪЕКТЫ'!$B$8=4,IFERROR('ОБЪЕКТЫ'!$B$28*'ОБЪЕКТЫ'!BW22/'ОБЪЕКТЫ'!$B$22,0),0)-IF('ОБЪЕКТЫ'!$B$36=4,IFERROR('ОБЪЕКТЫ'!$B$56*'ОБЪЕКТЫ'!BW50/'ОБЪЕКТЫ'!$B$50,0),0)-IF('ОБЪЕКТЫ'!$B$64=4,IFERROR('ОБЪЕКТЫ'!$B$84*'ОБЪЕКТЫ'!BW78/'ОБЪЕКТЫ'!$B$78,0),0)-BW53-BW57-BW21</x:f>
      </x:c>
      <x:c r="BX22" s="117">
        <x:f>BX10-IFERROR((SUM($D$20:$GA$20)-'ОБЪЕКТЫ'!$B$120)*('Продажи'!BX83+'Продажи'!BX86+'Продажи'!BX89+'Продажи'!BX92)/(SUM('Продажи'!$D$83:$GA$83)+SUM('Продажи'!$D$86:$GA$86)+SUM('Продажи'!$D$89:$GA$89)+SUM('Продажи'!$D$92:$GA$92)),0)-IF('ОБЪЕКТЫ'!$B$8=4,IFERROR('ОБЪЕКТЫ'!$B$28*'ОБЪЕКТЫ'!BX22/'ОБЪЕКТЫ'!$B$22,0),0)-IF('ОБЪЕКТЫ'!$B$36=4,IFERROR('ОБЪЕКТЫ'!$B$56*'ОБЪЕКТЫ'!BX50/'ОБЪЕКТЫ'!$B$50,0),0)-IF('ОБЪЕКТЫ'!$B$64=4,IFERROR('ОБЪЕКТЫ'!$B$84*'ОБЪЕКТЫ'!BX78/'ОБЪЕКТЫ'!$B$78,0),0)-BX53-BX57-BX21</x:f>
      </x:c>
      <x:c r="BY22" s="117">
        <x:f>BY10-IFERROR((SUM($D$20:$GA$20)-'ОБЪЕКТЫ'!$B$120)*('Продажи'!BY83+'Продажи'!BY86+'Продажи'!BY89+'Продажи'!BY92)/(SUM('Продажи'!$D$83:$GA$83)+SUM('Продажи'!$D$86:$GA$86)+SUM('Продажи'!$D$89:$GA$89)+SUM('Продажи'!$D$92:$GA$92)),0)-IF('ОБЪЕКТЫ'!$B$8=4,IFERROR('ОБЪЕКТЫ'!$B$28*'ОБЪЕКТЫ'!BY22/'ОБЪЕКТЫ'!$B$22,0),0)-IF('ОБЪЕКТЫ'!$B$36=4,IFERROR('ОБЪЕКТЫ'!$B$56*'ОБЪЕКТЫ'!BY50/'ОБЪЕКТЫ'!$B$50,0),0)-IF('ОБЪЕКТЫ'!$B$64=4,IFERROR('ОБЪЕКТЫ'!$B$84*'ОБЪЕКТЫ'!BY78/'ОБЪЕКТЫ'!$B$78,0),0)-BY53-BY57-BY21</x:f>
      </x:c>
      <x:c r="BZ22" s="117">
        <x:f>BZ10-IFERROR((SUM($D$20:$GA$20)-'ОБЪЕКТЫ'!$B$120)*('Продажи'!BZ83+'Продажи'!BZ86+'Продажи'!BZ89+'Продажи'!BZ92)/(SUM('Продажи'!$D$83:$GA$83)+SUM('Продажи'!$D$86:$GA$86)+SUM('Продажи'!$D$89:$GA$89)+SUM('Продажи'!$D$92:$GA$92)),0)-IF('ОБЪЕКТЫ'!$B$8=4,IFERROR('ОБЪЕКТЫ'!$B$28*'ОБЪЕКТЫ'!BZ22/'ОБЪЕКТЫ'!$B$22,0),0)-IF('ОБЪЕКТЫ'!$B$36=4,IFERROR('ОБЪЕКТЫ'!$B$56*'ОБЪЕКТЫ'!BZ50/'ОБЪЕКТЫ'!$B$50,0),0)-IF('ОБЪЕКТЫ'!$B$64=4,IFERROR('ОБЪЕКТЫ'!$B$84*'ОБЪЕКТЫ'!BZ78/'ОБЪЕКТЫ'!$B$78,0),0)-BZ53-BZ57-BZ21</x:f>
      </x:c>
      <x:c r="CA22" s="117">
        <x:f>CA10-IFERROR((SUM($D$20:$GA$20)-'ОБЪЕКТЫ'!$B$120)*('Продажи'!CA83+'Продажи'!CA86+'Продажи'!CA89+'Продажи'!CA92)/(SUM('Продажи'!$D$83:$GA$83)+SUM('Продажи'!$D$86:$GA$86)+SUM('Продажи'!$D$89:$GA$89)+SUM('Продажи'!$D$92:$GA$92)),0)-IF('ОБЪЕКТЫ'!$B$8=4,IFERROR('ОБЪЕКТЫ'!$B$28*'ОБЪЕКТЫ'!CA22/'ОБЪЕКТЫ'!$B$22,0),0)-IF('ОБЪЕКТЫ'!$B$36=4,IFERROR('ОБЪЕКТЫ'!$B$56*'ОБЪЕКТЫ'!CA50/'ОБЪЕКТЫ'!$B$50,0),0)-IF('ОБЪЕКТЫ'!$B$64=4,IFERROR('ОБЪЕКТЫ'!$B$84*'ОБЪЕКТЫ'!CA78/'ОБЪЕКТЫ'!$B$78,0),0)-CA53-CA57-CA21</x:f>
      </x:c>
      <x:c r="CB22" s="117">
        <x:f>CB10-IFERROR((SUM($D$20:$GA$20)-'ОБЪЕКТЫ'!$B$120)*('Продажи'!CB83+'Продажи'!CB86+'Продажи'!CB89+'Продажи'!CB92)/(SUM('Продажи'!$D$83:$GA$83)+SUM('Продажи'!$D$86:$GA$86)+SUM('Продажи'!$D$89:$GA$89)+SUM('Продажи'!$D$92:$GA$92)),0)-IF('ОБЪЕКТЫ'!$B$8=4,IFERROR('ОБЪЕКТЫ'!$B$28*'ОБЪЕКТЫ'!CB22/'ОБЪЕКТЫ'!$B$22,0),0)-IF('ОБЪЕКТЫ'!$B$36=4,IFERROR('ОБЪЕКТЫ'!$B$56*'ОБЪЕКТЫ'!CB50/'ОБЪЕКТЫ'!$B$50,0),0)-IF('ОБЪЕКТЫ'!$B$64=4,IFERROR('ОБЪЕКТЫ'!$B$84*'ОБЪЕКТЫ'!CB78/'ОБЪЕКТЫ'!$B$78,0),0)-CB53-CB57-CB21</x:f>
      </x:c>
      <x:c r="CC22" s="117">
        <x:f>CC10-IFERROR((SUM($D$20:$GA$20)-'ОБЪЕКТЫ'!$B$120)*('Продажи'!CC83+'Продажи'!CC86+'Продажи'!CC89+'Продажи'!CC92)/(SUM('Продажи'!$D$83:$GA$83)+SUM('Продажи'!$D$86:$GA$86)+SUM('Продажи'!$D$89:$GA$89)+SUM('Продажи'!$D$92:$GA$92)),0)-IF('ОБЪЕКТЫ'!$B$8=4,IFERROR('ОБЪЕКТЫ'!$B$28*'ОБЪЕКТЫ'!CC22/'ОБЪЕКТЫ'!$B$22,0),0)-IF('ОБЪЕКТЫ'!$B$36=4,IFERROR('ОБЪЕКТЫ'!$B$56*'ОБЪЕКТЫ'!CC50/'ОБЪЕКТЫ'!$B$50,0),0)-IF('ОБЪЕКТЫ'!$B$64=4,IFERROR('ОБЪЕКТЫ'!$B$84*'ОБЪЕКТЫ'!CC78/'ОБЪЕКТЫ'!$B$78,0),0)-CC53-CC57-CC21</x:f>
      </x:c>
      <x:c r="CD22" s="117">
        <x:f>CD10-IFERROR((SUM($D$20:$GA$20)-'ОБЪЕКТЫ'!$B$120)*('Продажи'!CD83+'Продажи'!CD86+'Продажи'!CD89+'Продажи'!CD92)/(SUM('Продажи'!$D$83:$GA$83)+SUM('Продажи'!$D$86:$GA$86)+SUM('Продажи'!$D$89:$GA$89)+SUM('Продажи'!$D$92:$GA$92)),0)-IF('ОБЪЕКТЫ'!$B$8=4,IFERROR('ОБЪЕКТЫ'!$B$28*'ОБЪЕКТЫ'!CD22/'ОБЪЕКТЫ'!$B$22,0),0)-IF('ОБЪЕКТЫ'!$B$36=4,IFERROR('ОБЪЕКТЫ'!$B$56*'ОБЪЕКТЫ'!CD50/'ОБЪЕКТЫ'!$B$50,0),0)-IF('ОБЪЕКТЫ'!$B$64=4,IFERROR('ОБЪЕКТЫ'!$B$84*'ОБЪЕКТЫ'!CD78/'ОБЪЕКТЫ'!$B$78,0),0)-CD53-CD57-CD21</x:f>
      </x:c>
      <x:c r="CE22" s="117">
        <x:f>CE10-IFERROR((SUM($D$20:$GA$20)-'ОБЪЕКТЫ'!$B$120)*('Продажи'!CE83+'Продажи'!CE86+'Продажи'!CE89+'Продажи'!CE92)/(SUM('Продажи'!$D$83:$GA$83)+SUM('Продажи'!$D$86:$GA$86)+SUM('Продажи'!$D$89:$GA$89)+SUM('Продажи'!$D$92:$GA$92)),0)-IF('ОБЪЕКТЫ'!$B$8=4,IFERROR('ОБЪЕКТЫ'!$B$28*'ОБЪЕКТЫ'!CE22/'ОБЪЕКТЫ'!$B$22,0),0)-IF('ОБЪЕКТЫ'!$B$36=4,IFERROR('ОБЪЕКТЫ'!$B$56*'ОБЪЕКТЫ'!CE50/'ОБЪЕКТЫ'!$B$50,0),0)-IF('ОБЪЕКТЫ'!$B$64=4,IFERROR('ОБЪЕКТЫ'!$B$84*'ОБЪЕКТЫ'!CE78/'ОБЪЕКТЫ'!$B$78,0),0)-CE53-CE57-CE21</x:f>
      </x:c>
      <x:c r="CF22" s="117">
        <x:f>CF10-IFERROR((SUM($D$20:$GA$20)-'ОБЪЕКТЫ'!$B$120)*('Продажи'!CF83+'Продажи'!CF86+'Продажи'!CF89+'Продажи'!CF92)/(SUM('Продажи'!$D$83:$GA$83)+SUM('Продажи'!$D$86:$GA$86)+SUM('Продажи'!$D$89:$GA$89)+SUM('Продажи'!$D$92:$GA$92)),0)-IF('ОБЪЕКТЫ'!$B$8=4,IFERROR('ОБЪЕКТЫ'!$B$28*'ОБЪЕКТЫ'!CF22/'ОБЪЕКТЫ'!$B$22,0),0)-IF('ОБЪЕКТЫ'!$B$36=4,IFERROR('ОБЪЕКТЫ'!$B$56*'ОБЪЕКТЫ'!CF50/'ОБЪЕКТЫ'!$B$50,0),0)-IF('ОБЪЕКТЫ'!$B$64=4,IFERROR('ОБЪЕКТЫ'!$B$84*'ОБЪЕКТЫ'!CF78/'ОБЪЕКТЫ'!$B$78,0),0)-CF53-CF57-CF21</x:f>
      </x:c>
      <x:c r="CG22" s="117">
        <x:f>CG10-IFERROR((SUM($D$20:$GA$20)-'ОБЪЕКТЫ'!$B$120)*('Продажи'!CG83+'Продажи'!CG86+'Продажи'!CG89+'Продажи'!CG92)/(SUM('Продажи'!$D$83:$GA$83)+SUM('Продажи'!$D$86:$GA$86)+SUM('Продажи'!$D$89:$GA$89)+SUM('Продажи'!$D$92:$GA$92)),0)-IF('ОБЪЕКТЫ'!$B$8=4,IFERROR('ОБЪЕКТЫ'!$B$28*'ОБЪЕКТЫ'!CG22/'ОБЪЕКТЫ'!$B$22,0),0)-IF('ОБЪЕКТЫ'!$B$36=4,IFERROR('ОБЪЕКТЫ'!$B$56*'ОБЪЕКТЫ'!CG50/'ОБЪЕКТЫ'!$B$50,0),0)-IF('ОБЪЕКТЫ'!$B$64=4,IFERROR('ОБЪЕКТЫ'!$B$84*'ОБЪЕКТЫ'!CG78/'ОБЪЕКТЫ'!$B$78,0),0)-CG53-CG57-CG21</x:f>
      </x:c>
      <x:c r="CH22" s="117">
        <x:f>CH10-IFERROR((SUM($D$20:$GA$20)-'ОБЪЕКТЫ'!$B$120)*('Продажи'!CH83+'Продажи'!CH86+'Продажи'!CH89+'Продажи'!CH92)/(SUM('Продажи'!$D$83:$GA$83)+SUM('Продажи'!$D$86:$GA$86)+SUM('Продажи'!$D$89:$GA$89)+SUM('Продажи'!$D$92:$GA$92)),0)-IF('ОБЪЕКТЫ'!$B$8=4,IFERROR('ОБЪЕКТЫ'!$B$28*'ОБЪЕКТЫ'!CH22/'ОБЪЕКТЫ'!$B$22,0),0)-IF('ОБЪЕКТЫ'!$B$36=4,IFERROR('ОБЪЕКТЫ'!$B$56*'ОБЪЕКТЫ'!CH50/'ОБЪЕКТЫ'!$B$50,0),0)-IF('ОБЪЕКТЫ'!$B$64=4,IFERROR('ОБЪЕКТЫ'!$B$84*'ОБЪЕКТЫ'!CH78/'ОБЪЕКТЫ'!$B$78,0),0)-CH53-CH57-CH21</x:f>
      </x:c>
      <x:c r="CI22" s="117">
        <x:f>CI10-IFERROR((SUM($D$20:$GA$20)-'ОБЪЕКТЫ'!$B$120)*('Продажи'!CI83+'Продажи'!CI86+'Продажи'!CI89+'Продажи'!CI92)/(SUM('Продажи'!$D$83:$GA$83)+SUM('Продажи'!$D$86:$GA$86)+SUM('Продажи'!$D$89:$GA$89)+SUM('Продажи'!$D$92:$GA$92)),0)-IF('ОБЪЕКТЫ'!$B$8=4,IFERROR('ОБЪЕКТЫ'!$B$28*'ОБЪЕКТЫ'!CI22/'ОБЪЕКТЫ'!$B$22,0),0)-IF('ОБЪЕКТЫ'!$B$36=4,IFERROR('ОБЪЕКТЫ'!$B$56*'ОБЪЕКТЫ'!CI50/'ОБЪЕКТЫ'!$B$50,0),0)-IF('ОБЪЕКТЫ'!$B$64=4,IFERROR('ОБЪЕКТЫ'!$B$84*'ОБЪЕКТЫ'!CI78/'ОБЪЕКТЫ'!$B$78,0),0)-CI53-CI57-CI21</x:f>
      </x:c>
      <x:c r="CJ22" s="117">
        <x:f>CJ10-IFERROR((SUM($D$20:$GA$20)-'ОБЪЕКТЫ'!$B$120)*('Продажи'!CJ83+'Продажи'!CJ86+'Продажи'!CJ89+'Продажи'!CJ92)/(SUM('Продажи'!$D$83:$GA$83)+SUM('Продажи'!$D$86:$GA$86)+SUM('Продажи'!$D$89:$GA$89)+SUM('Продажи'!$D$92:$GA$92)),0)-IF('ОБЪЕКТЫ'!$B$8=4,IFERROR('ОБЪЕКТЫ'!$B$28*'ОБЪЕКТЫ'!CJ22/'ОБЪЕКТЫ'!$B$22,0),0)-IF('ОБЪЕКТЫ'!$B$36=4,IFERROR('ОБЪЕКТЫ'!$B$56*'ОБЪЕКТЫ'!CJ50/'ОБЪЕКТЫ'!$B$50,0),0)-IF('ОБЪЕКТЫ'!$B$64=4,IFERROR('ОБЪЕКТЫ'!$B$84*'ОБЪЕКТЫ'!CJ78/'ОБЪЕКТЫ'!$B$78,0),0)-CJ53-CJ57-CJ21</x:f>
      </x:c>
      <x:c r="CK22" s="117">
        <x:f>CK10-IFERROR((SUM($D$20:$GA$20)-'ОБЪЕКТЫ'!$B$120)*('Продажи'!CK83+'Продажи'!CK86+'Продажи'!CK89+'Продажи'!CK92)/(SUM('Продажи'!$D$83:$GA$83)+SUM('Продажи'!$D$86:$GA$86)+SUM('Продажи'!$D$89:$GA$89)+SUM('Продажи'!$D$92:$GA$92)),0)-IF('ОБЪЕКТЫ'!$B$8=4,IFERROR('ОБЪЕКТЫ'!$B$28*'ОБЪЕКТЫ'!CK22/'ОБЪЕКТЫ'!$B$22,0),0)-IF('ОБЪЕКТЫ'!$B$36=4,IFERROR('ОБЪЕКТЫ'!$B$56*'ОБЪЕКТЫ'!CK50/'ОБЪЕКТЫ'!$B$50,0),0)-IF('ОБЪЕКТЫ'!$B$64=4,IFERROR('ОБЪЕКТЫ'!$B$84*'ОБЪЕКТЫ'!CK78/'ОБЪЕКТЫ'!$B$78,0),0)-CK53-CK57-CK21</x:f>
      </x:c>
      <x:c r="CL22" s="117">
        <x:f>CL10-IFERROR((SUM($D$20:$GA$20)-'ОБЪЕКТЫ'!$B$120)*('Продажи'!CL83+'Продажи'!CL86+'Продажи'!CL89+'Продажи'!CL92)/(SUM('Продажи'!$D$83:$GA$83)+SUM('Продажи'!$D$86:$GA$86)+SUM('Продажи'!$D$89:$GA$89)+SUM('Продажи'!$D$92:$GA$92)),0)-IF('ОБЪЕКТЫ'!$B$8=4,IFERROR('ОБЪЕКТЫ'!$B$28*'ОБЪЕКТЫ'!CL22/'ОБЪЕКТЫ'!$B$22,0),0)-IF('ОБЪЕКТЫ'!$B$36=4,IFERROR('ОБЪЕКТЫ'!$B$56*'ОБЪЕКТЫ'!CL50/'ОБЪЕКТЫ'!$B$50,0),0)-IF('ОБЪЕКТЫ'!$B$64=4,IFERROR('ОБЪЕКТЫ'!$B$84*'ОБЪЕКТЫ'!CL78/'ОБЪЕКТЫ'!$B$78,0),0)-CL53-CL57-CL21</x:f>
      </x:c>
      <x:c r="CM22" s="117">
        <x:f>CM10-IFERROR((SUM($D$20:$GA$20)-'ОБЪЕКТЫ'!$B$120)*('Продажи'!CM83+'Продажи'!CM86+'Продажи'!CM89+'Продажи'!CM92)/(SUM('Продажи'!$D$83:$GA$83)+SUM('Продажи'!$D$86:$GA$86)+SUM('Продажи'!$D$89:$GA$89)+SUM('Продажи'!$D$92:$GA$92)),0)-IF('ОБЪЕКТЫ'!$B$8=4,IFERROR('ОБЪЕКТЫ'!$B$28*'ОБЪЕКТЫ'!CM22/'ОБЪЕКТЫ'!$B$22,0),0)-IF('ОБЪЕКТЫ'!$B$36=4,IFERROR('ОБЪЕКТЫ'!$B$56*'ОБЪЕКТЫ'!CM50/'ОБЪЕКТЫ'!$B$50,0),0)-IF('ОБЪЕКТЫ'!$B$64=4,IFERROR('ОБЪЕКТЫ'!$B$84*'ОБЪЕКТЫ'!CM78/'ОБЪЕКТЫ'!$B$78,0),0)-CM53-CM57-CM21</x:f>
      </x:c>
      <x:c r="CN22" s="117">
        <x:f>CN10-IFERROR((SUM($D$20:$GA$20)-'ОБЪЕКТЫ'!$B$120)*('Продажи'!CN83+'Продажи'!CN86+'Продажи'!CN89+'Продажи'!CN92)/(SUM('Продажи'!$D$83:$GA$83)+SUM('Продажи'!$D$86:$GA$86)+SUM('Продажи'!$D$89:$GA$89)+SUM('Продажи'!$D$92:$GA$92)),0)-IF('ОБЪЕКТЫ'!$B$8=4,IFERROR('ОБЪЕКТЫ'!$B$28*'ОБЪЕКТЫ'!CN22/'ОБЪЕКТЫ'!$B$22,0),0)-IF('ОБЪЕКТЫ'!$B$36=4,IFERROR('ОБЪЕКТЫ'!$B$56*'ОБЪЕКТЫ'!CN50/'ОБЪЕКТЫ'!$B$50,0),0)-IF('ОБЪЕКТЫ'!$B$64=4,IFERROR('ОБЪЕКТЫ'!$B$84*'ОБЪЕКТЫ'!CN78/'ОБЪЕКТЫ'!$B$78,0),0)-CN53-CN57-CN21</x:f>
      </x:c>
      <x:c r="CO22" s="117">
        <x:f>CO10-IFERROR((SUM($D$20:$GA$20)-'ОБЪЕКТЫ'!$B$120)*('Продажи'!CO83+'Продажи'!CO86+'Продажи'!CO89+'Продажи'!CO92)/(SUM('Продажи'!$D$83:$GA$83)+SUM('Продажи'!$D$86:$GA$86)+SUM('Продажи'!$D$89:$GA$89)+SUM('Продажи'!$D$92:$GA$92)),0)-IF('ОБЪЕКТЫ'!$B$8=4,IFERROR('ОБЪЕКТЫ'!$B$28*'ОБЪЕКТЫ'!CO22/'ОБЪЕКТЫ'!$B$22,0),0)-IF('ОБЪЕКТЫ'!$B$36=4,IFERROR('ОБЪЕКТЫ'!$B$56*'ОБЪЕКТЫ'!CO50/'ОБЪЕКТЫ'!$B$50,0),0)-IF('ОБЪЕКТЫ'!$B$64=4,IFERROR('ОБЪЕКТЫ'!$B$84*'ОБЪЕКТЫ'!CO78/'ОБЪЕКТЫ'!$B$78,0),0)-CO53-CO57-CO21</x:f>
      </x:c>
      <x:c r="CP22" s="117">
        <x:f>CP10-IFERROR((SUM($D$20:$GA$20)-'ОБЪЕКТЫ'!$B$120)*('Продажи'!CP83+'Продажи'!CP86+'Продажи'!CP89+'Продажи'!CP92)/(SUM('Продажи'!$D$83:$GA$83)+SUM('Продажи'!$D$86:$GA$86)+SUM('Продажи'!$D$89:$GA$89)+SUM('Продажи'!$D$92:$GA$92)),0)-IF('ОБЪЕКТЫ'!$B$8=4,IFERROR('ОБЪЕКТЫ'!$B$28*'ОБЪЕКТЫ'!CP22/'ОБЪЕКТЫ'!$B$22,0),0)-IF('ОБЪЕКТЫ'!$B$36=4,IFERROR('ОБЪЕКТЫ'!$B$56*'ОБЪЕКТЫ'!CP50/'ОБЪЕКТЫ'!$B$50,0),0)-IF('ОБЪЕКТЫ'!$B$64=4,IFERROR('ОБЪЕКТЫ'!$B$84*'ОБЪЕКТЫ'!CP78/'ОБЪЕКТЫ'!$B$78,0),0)-CP53-CP57-CP21</x:f>
      </x:c>
      <x:c r="CQ22" s="117">
        <x:f>CQ10-IFERROR((SUM($D$20:$GA$20)-'ОБЪЕКТЫ'!$B$120)*('Продажи'!CQ83+'Продажи'!CQ86+'Продажи'!CQ89+'Продажи'!CQ92)/(SUM('Продажи'!$D$83:$GA$83)+SUM('Продажи'!$D$86:$GA$86)+SUM('Продажи'!$D$89:$GA$89)+SUM('Продажи'!$D$92:$GA$92)),0)-IF('ОБЪЕКТЫ'!$B$8=4,IFERROR('ОБЪЕКТЫ'!$B$28*'ОБЪЕКТЫ'!CQ22/'ОБЪЕКТЫ'!$B$22,0),0)-IF('ОБЪЕКТЫ'!$B$36=4,IFERROR('ОБЪЕКТЫ'!$B$56*'ОБЪЕКТЫ'!CQ50/'ОБЪЕКТЫ'!$B$50,0),0)-IF('ОБЪЕКТЫ'!$B$64=4,IFERROR('ОБЪЕКТЫ'!$B$84*'ОБЪЕКТЫ'!CQ78/'ОБЪЕКТЫ'!$B$78,0),0)-CQ53-CQ57-CQ21</x:f>
      </x:c>
      <x:c r="CR22" s="117">
        <x:f>CR10-IFERROR((SUM($D$20:$GA$20)-'ОБЪЕКТЫ'!$B$120)*('Продажи'!CR83+'Продажи'!CR86+'Продажи'!CR89+'Продажи'!CR92)/(SUM('Продажи'!$D$83:$GA$83)+SUM('Продажи'!$D$86:$GA$86)+SUM('Продажи'!$D$89:$GA$89)+SUM('Продажи'!$D$92:$GA$92)),0)-IF('ОБЪЕКТЫ'!$B$8=4,IFERROR('ОБЪЕКТЫ'!$B$28*'ОБЪЕКТЫ'!CR22/'ОБЪЕКТЫ'!$B$22,0),0)-IF('ОБЪЕКТЫ'!$B$36=4,IFERROR('ОБЪЕКТЫ'!$B$56*'ОБЪЕКТЫ'!CR50/'ОБЪЕКТЫ'!$B$50,0),0)-IF('ОБЪЕКТЫ'!$B$64=4,IFERROR('ОБЪЕКТЫ'!$B$84*'ОБЪЕКТЫ'!CR78/'ОБЪЕКТЫ'!$B$78,0),0)-CR53-CR57-CR21</x:f>
      </x:c>
      <x:c r="CS22" s="117">
        <x:f>CS10-IFERROR((SUM($D$20:$GA$20)-'ОБЪЕКТЫ'!$B$120)*('Продажи'!CS83+'Продажи'!CS86+'Продажи'!CS89+'Продажи'!CS92)/(SUM('Продажи'!$D$83:$GA$83)+SUM('Продажи'!$D$86:$GA$86)+SUM('Продажи'!$D$89:$GA$89)+SUM('Продажи'!$D$92:$GA$92)),0)-IF('ОБЪЕКТЫ'!$B$8=4,IFERROR('ОБЪЕКТЫ'!$B$28*'ОБЪЕКТЫ'!CS22/'ОБЪЕКТЫ'!$B$22,0),0)-IF('ОБЪЕКТЫ'!$B$36=4,IFERROR('ОБЪЕКТЫ'!$B$56*'ОБЪЕКТЫ'!CS50/'ОБЪЕКТЫ'!$B$50,0),0)-IF('ОБЪЕКТЫ'!$B$64=4,IFERROR('ОБЪЕКТЫ'!$B$84*'ОБЪЕКТЫ'!CS78/'ОБЪЕКТЫ'!$B$78,0),0)-CS53-CS57-CS21</x:f>
      </x:c>
      <x:c r="CT22" s="117">
        <x:f>CT10-IFERROR((SUM($D$20:$GA$20)-'ОБЪЕКТЫ'!$B$120)*('Продажи'!CT83+'Продажи'!CT86+'Продажи'!CT89+'Продажи'!CT92)/(SUM('Продажи'!$D$83:$GA$83)+SUM('Продажи'!$D$86:$GA$86)+SUM('Продажи'!$D$89:$GA$89)+SUM('Продажи'!$D$92:$GA$92)),0)-IF('ОБЪЕКТЫ'!$B$8=4,IFERROR('ОБЪЕКТЫ'!$B$28*'ОБЪЕКТЫ'!CT22/'ОБЪЕКТЫ'!$B$22,0),0)-IF('ОБЪЕКТЫ'!$B$36=4,IFERROR('ОБЪЕКТЫ'!$B$56*'ОБЪЕКТЫ'!CT50/'ОБЪЕКТЫ'!$B$50,0),0)-IF('ОБЪЕКТЫ'!$B$64=4,IFERROR('ОБЪЕКТЫ'!$B$84*'ОБЪЕКТЫ'!CT78/'ОБЪЕКТЫ'!$B$78,0),0)-CT53-CT57-CT21</x:f>
      </x:c>
      <x:c r="CU22" s="117">
        <x:f>CU10-IFERROR((SUM($D$20:$GA$20)-'ОБЪЕКТЫ'!$B$120)*('Продажи'!CU83+'Продажи'!CU86+'Продажи'!CU89+'Продажи'!CU92)/(SUM('Продажи'!$D$83:$GA$83)+SUM('Продажи'!$D$86:$GA$86)+SUM('Продажи'!$D$89:$GA$89)+SUM('Продажи'!$D$92:$GA$92)),0)-IF('ОБЪЕКТЫ'!$B$8=4,IFERROR('ОБЪЕКТЫ'!$B$28*'ОБЪЕКТЫ'!CU22/'ОБЪЕКТЫ'!$B$22,0),0)-IF('ОБЪЕКТЫ'!$B$36=4,IFERROR('ОБЪЕКТЫ'!$B$56*'ОБЪЕКТЫ'!CU50/'ОБЪЕКТЫ'!$B$50,0),0)-IF('ОБЪЕКТЫ'!$B$64=4,IFERROR('ОБЪЕКТЫ'!$B$84*'ОБЪЕКТЫ'!CU78/'ОБЪЕКТЫ'!$B$78,0),0)-CU53-CU57-CU21</x:f>
      </x:c>
      <x:c r="CV22" s="117">
        <x:f>CV10-IFERROR((SUM($D$20:$GA$20)-'ОБЪЕКТЫ'!$B$120)*('Продажи'!CV83+'Продажи'!CV86+'Продажи'!CV89+'Продажи'!CV92)/(SUM('Продажи'!$D$83:$GA$83)+SUM('Продажи'!$D$86:$GA$86)+SUM('Продажи'!$D$89:$GA$89)+SUM('Продажи'!$D$92:$GA$92)),0)-IF('ОБЪЕКТЫ'!$B$8=4,IFERROR('ОБЪЕКТЫ'!$B$28*'ОБЪЕКТЫ'!CV22/'ОБЪЕКТЫ'!$B$22,0),0)-IF('ОБЪЕКТЫ'!$B$36=4,IFERROR('ОБЪЕКТЫ'!$B$56*'ОБЪЕКТЫ'!CV50/'ОБЪЕКТЫ'!$B$50,0),0)-IF('ОБЪЕКТЫ'!$B$64=4,IFERROR('ОБЪЕКТЫ'!$B$84*'ОБЪЕКТЫ'!CV78/'ОБЪЕКТЫ'!$B$78,0),0)-CV53-CV57-CV21</x:f>
      </x:c>
      <x:c r="CW22" s="117">
        <x:f>CW10-IFERROR((SUM($D$20:$GA$20)-'ОБЪЕКТЫ'!$B$120)*('Продажи'!CW83+'Продажи'!CW86+'Продажи'!CW89+'Продажи'!CW92)/(SUM('Продажи'!$D$83:$GA$83)+SUM('Продажи'!$D$86:$GA$86)+SUM('Продажи'!$D$89:$GA$89)+SUM('Продажи'!$D$92:$GA$92)),0)-IF('ОБЪЕКТЫ'!$B$8=4,IFERROR('ОБЪЕКТЫ'!$B$28*'ОБЪЕКТЫ'!CW22/'ОБЪЕКТЫ'!$B$22,0),0)-IF('ОБЪЕКТЫ'!$B$36=4,IFERROR('ОБЪЕКТЫ'!$B$56*'ОБЪЕКТЫ'!CW50/'ОБЪЕКТЫ'!$B$50,0),0)-IF('ОБЪЕКТЫ'!$B$64=4,IFERROR('ОБЪЕКТЫ'!$B$84*'ОБЪЕКТЫ'!CW78/'ОБЪЕКТЫ'!$B$78,0),0)-CW53-CW57-CW21</x:f>
      </x:c>
      <x:c r="CX22" s="117">
        <x:f>CX10-IFERROR((SUM($D$20:$GA$20)-'ОБЪЕКТЫ'!$B$120)*('Продажи'!CX83+'Продажи'!CX86+'Продажи'!CX89+'Продажи'!CX92)/(SUM('Продажи'!$D$83:$GA$83)+SUM('Продажи'!$D$86:$GA$86)+SUM('Продажи'!$D$89:$GA$89)+SUM('Продажи'!$D$92:$GA$92)),0)-IF('ОБЪЕКТЫ'!$B$8=4,IFERROR('ОБЪЕКТЫ'!$B$28*'ОБЪЕКТЫ'!CX22/'ОБЪЕКТЫ'!$B$22,0),0)-IF('ОБЪЕКТЫ'!$B$36=4,IFERROR('ОБЪЕКТЫ'!$B$56*'ОБЪЕКТЫ'!CX50/'ОБЪЕКТЫ'!$B$50,0),0)-IF('ОБЪЕКТЫ'!$B$64=4,IFERROR('ОБЪЕКТЫ'!$B$84*'ОБЪЕКТЫ'!CX78/'ОБЪЕКТЫ'!$B$78,0),0)-CX53-CX57-CX21</x:f>
      </x:c>
      <x:c r="CY22" s="117">
        <x:f>CY10-IFERROR((SUM($D$20:$GA$20)-'ОБЪЕКТЫ'!$B$120)*('Продажи'!CY83+'Продажи'!CY86+'Продажи'!CY89+'Продажи'!CY92)/(SUM('Продажи'!$D$83:$GA$83)+SUM('Продажи'!$D$86:$GA$86)+SUM('Продажи'!$D$89:$GA$89)+SUM('Продажи'!$D$92:$GA$92)),0)-IF('ОБЪЕКТЫ'!$B$8=4,IFERROR('ОБЪЕКТЫ'!$B$28*'ОБЪЕКТЫ'!CY22/'ОБЪЕКТЫ'!$B$22,0),0)-IF('ОБЪЕКТЫ'!$B$36=4,IFERROR('ОБЪЕКТЫ'!$B$56*'ОБЪЕКТЫ'!CY50/'ОБЪЕКТЫ'!$B$50,0),0)-IF('ОБЪЕКТЫ'!$B$64=4,IFERROR('ОБЪЕКТЫ'!$B$84*'ОБЪЕКТЫ'!CY78/'ОБЪЕКТЫ'!$B$78,0),0)-CY53-CY57-CY21</x:f>
      </x:c>
      <x:c r="CZ22" s="117">
        <x:f>CZ10-IFERROR((SUM($D$20:$GA$20)-'ОБЪЕКТЫ'!$B$120)*('Продажи'!CZ83+'Продажи'!CZ86+'Продажи'!CZ89+'Продажи'!CZ92)/(SUM('Продажи'!$D$83:$GA$83)+SUM('Продажи'!$D$86:$GA$86)+SUM('Продажи'!$D$89:$GA$89)+SUM('Продажи'!$D$92:$GA$92)),0)-IF('ОБЪЕКТЫ'!$B$8=4,IFERROR('ОБЪЕКТЫ'!$B$28*'ОБЪЕКТЫ'!CZ22/'ОБЪЕКТЫ'!$B$22,0),0)-IF('ОБЪЕКТЫ'!$B$36=4,IFERROR('ОБЪЕКТЫ'!$B$56*'ОБЪЕКТЫ'!CZ50/'ОБЪЕКТЫ'!$B$50,0),0)-IF('ОБЪЕКТЫ'!$B$64=4,IFERROR('ОБЪЕКТЫ'!$B$84*'ОБЪЕКТЫ'!CZ78/'ОБЪЕКТЫ'!$B$78,0),0)-CZ53-CZ57-CZ21</x:f>
      </x:c>
      <x:c r="DA22" s="117">
        <x:f>DA10-IFERROR((SUM($D$20:$GA$20)-'ОБЪЕКТЫ'!$B$120)*('Продажи'!DA83+'Продажи'!DA86+'Продажи'!DA89+'Продажи'!DA92)/(SUM('Продажи'!$D$83:$GA$83)+SUM('Продажи'!$D$86:$GA$86)+SUM('Продажи'!$D$89:$GA$89)+SUM('Продажи'!$D$92:$GA$92)),0)-IF('ОБЪЕКТЫ'!$B$8=4,IFERROR('ОБЪЕКТЫ'!$B$28*'ОБЪЕКТЫ'!DA22/'ОБЪЕКТЫ'!$B$22,0),0)-IF('ОБЪЕКТЫ'!$B$36=4,IFERROR('ОБЪЕКТЫ'!$B$56*'ОБЪЕКТЫ'!DA50/'ОБЪЕКТЫ'!$B$50,0),0)-IF('ОБЪЕКТЫ'!$B$64=4,IFERROR('ОБЪЕКТЫ'!$B$84*'ОБЪЕКТЫ'!DA78/'ОБЪЕКТЫ'!$B$78,0),0)-DA53-DA57-DA21</x:f>
      </x:c>
      <x:c r="DB22" s="117">
        <x:f>DB10-IFERROR((SUM($D$20:$GA$20)-'ОБЪЕКТЫ'!$B$120)*('Продажи'!DB83+'Продажи'!DB86+'Продажи'!DB89+'Продажи'!DB92)/(SUM('Продажи'!$D$83:$GA$83)+SUM('Продажи'!$D$86:$GA$86)+SUM('Продажи'!$D$89:$GA$89)+SUM('Продажи'!$D$92:$GA$92)),0)-IF('ОБЪЕКТЫ'!$B$8=4,IFERROR('ОБЪЕКТЫ'!$B$28*'ОБЪЕКТЫ'!DB22/'ОБЪЕКТЫ'!$B$22,0),0)-IF('ОБЪЕКТЫ'!$B$36=4,IFERROR('ОБЪЕКТЫ'!$B$56*'ОБЪЕКТЫ'!DB50/'ОБЪЕКТЫ'!$B$50,0),0)-IF('ОБЪЕКТЫ'!$B$64=4,IFERROR('ОБЪЕКТЫ'!$B$84*'ОБЪЕКТЫ'!DB78/'ОБЪЕКТЫ'!$B$78,0),0)-DB53-DB57-DB21</x:f>
      </x:c>
      <x:c r="DC22" s="117">
        <x:f>DC10-IFERROR((SUM($D$20:$GA$20)-'ОБЪЕКТЫ'!$B$120)*('Продажи'!DC83+'Продажи'!DC86+'Продажи'!DC89+'Продажи'!DC92)/(SUM('Продажи'!$D$83:$GA$83)+SUM('Продажи'!$D$86:$GA$86)+SUM('Продажи'!$D$89:$GA$89)+SUM('Продажи'!$D$92:$GA$92)),0)-IF('ОБЪЕКТЫ'!$B$8=4,IFERROR('ОБЪЕКТЫ'!$B$28*'ОБЪЕКТЫ'!DC22/'ОБЪЕКТЫ'!$B$22,0),0)-IF('ОБЪЕКТЫ'!$B$36=4,IFERROR('ОБЪЕКТЫ'!$B$56*'ОБЪЕКТЫ'!DC50/'ОБЪЕКТЫ'!$B$50,0),0)-IF('ОБЪЕКТЫ'!$B$64=4,IFERROR('ОБЪЕКТЫ'!$B$84*'ОБЪЕКТЫ'!DC78/'ОБЪЕКТЫ'!$B$78,0),0)-DC53-DC57-DC21</x:f>
      </x:c>
      <x:c r="DD22" s="117">
        <x:f>DD10-IFERROR((SUM($D$20:$GA$20)-'ОБЪЕКТЫ'!$B$120)*('Продажи'!DD83+'Продажи'!DD86+'Продажи'!DD89+'Продажи'!DD92)/(SUM('Продажи'!$D$83:$GA$83)+SUM('Продажи'!$D$86:$GA$86)+SUM('Продажи'!$D$89:$GA$89)+SUM('Продажи'!$D$92:$GA$92)),0)-IF('ОБЪЕКТЫ'!$B$8=4,IFERROR('ОБЪЕКТЫ'!$B$28*'ОБЪЕКТЫ'!DD22/'ОБЪЕКТЫ'!$B$22,0),0)-IF('ОБЪЕКТЫ'!$B$36=4,IFERROR('ОБЪЕКТЫ'!$B$56*'ОБЪЕКТЫ'!DD50/'ОБЪЕКТЫ'!$B$50,0),0)-IF('ОБЪЕКТЫ'!$B$64=4,IFERROR('ОБЪЕКТЫ'!$B$84*'ОБЪЕКТЫ'!DD78/'ОБЪЕКТЫ'!$B$78,0),0)-DD53-DD57-DD21</x:f>
      </x:c>
      <x:c r="DE22" s="117">
        <x:f>DE10-IFERROR((SUM($D$20:$GA$20)-'ОБЪЕКТЫ'!$B$120)*('Продажи'!DE83+'Продажи'!DE86+'Продажи'!DE89+'Продажи'!DE92)/(SUM('Продажи'!$D$83:$GA$83)+SUM('Продажи'!$D$86:$GA$86)+SUM('Продажи'!$D$89:$GA$89)+SUM('Продажи'!$D$92:$GA$92)),0)-IF('ОБЪЕКТЫ'!$B$8=4,IFERROR('ОБЪЕКТЫ'!$B$28*'ОБЪЕКТЫ'!DE22/'ОБЪЕКТЫ'!$B$22,0),0)-IF('ОБЪЕКТЫ'!$B$36=4,IFERROR('ОБЪЕКТЫ'!$B$56*'ОБЪЕКТЫ'!DE50/'ОБЪЕКТЫ'!$B$50,0),0)-IF('ОБЪЕКТЫ'!$B$64=4,IFERROR('ОБЪЕКТЫ'!$B$84*'ОБЪЕКТЫ'!DE78/'ОБЪЕКТЫ'!$B$78,0),0)-DE53-DE57-DE21</x:f>
      </x:c>
      <x:c r="DF22" s="117">
        <x:f>DF10-IFERROR((SUM($D$20:$GA$20)-'ОБЪЕКТЫ'!$B$120)*('Продажи'!DF83+'Продажи'!DF86+'Продажи'!DF89+'Продажи'!DF92)/(SUM('Продажи'!$D$83:$GA$83)+SUM('Продажи'!$D$86:$GA$86)+SUM('Продажи'!$D$89:$GA$89)+SUM('Продажи'!$D$92:$GA$92)),0)-IF('ОБЪЕКТЫ'!$B$8=4,IFERROR('ОБЪЕКТЫ'!$B$28*'ОБЪЕКТЫ'!DF22/'ОБЪЕКТЫ'!$B$22,0),0)-IF('ОБЪЕКТЫ'!$B$36=4,IFERROR('ОБЪЕКТЫ'!$B$56*'ОБЪЕКТЫ'!DF50/'ОБЪЕКТЫ'!$B$50,0),0)-IF('ОБЪЕКТЫ'!$B$64=4,IFERROR('ОБЪЕКТЫ'!$B$84*'ОБЪЕКТЫ'!DF78/'ОБЪЕКТЫ'!$B$78,0),0)-DF53-DF57-DF21</x:f>
      </x:c>
      <x:c r="DG22" s="117">
        <x:f>DG10-IFERROR((SUM($D$20:$GA$20)-'ОБЪЕКТЫ'!$B$120)*('Продажи'!DG83+'Продажи'!DG86+'Продажи'!DG89+'Продажи'!DG92)/(SUM('Продажи'!$D$83:$GA$83)+SUM('Продажи'!$D$86:$GA$86)+SUM('Продажи'!$D$89:$GA$89)+SUM('Продажи'!$D$92:$GA$92)),0)-IF('ОБЪЕКТЫ'!$B$8=4,IFERROR('ОБЪЕКТЫ'!$B$28*'ОБЪЕКТЫ'!DG22/'ОБЪЕКТЫ'!$B$22,0),0)-IF('ОБЪЕКТЫ'!$B$36=4,IFERROR('ОБЪЕКТЫ'!$B$56*'ОБЪЕКТЫ'!DG50/'ОБЪЕКТЫ'!$B$50,0),0)-IF('ОБЪЕКТЫ'!$B$64=4,IFERROR('ОБЪЕКТЫ'!$B$84*'ОБЪЕКТЫ'!DG78/'ОБЪЕКТЫ'!$B$78,0),0)-DG53-DG57-DG21</x:f>
      </x:c>
      <x:c r="DH22" s="117">
        <x:f>DH10-IFERROR((SUM($D$20:$GA$20)-'ОБЪЕКТЫ'!$B$120)*('Продажи'!DH83+'Продажи'!DH86+'Продажи'!DH89+'Продажи'!DH92)/(SUM('Продажи'!$D$83:$GA$83)+SUM('Продажи'!$D$86:$GA$86)+SUM('Продажи'!$D$89:$GA$89)+SUM('Продажи'!$D$92:$GA$92)),0)-IF('ОБЪЕКТЫ'!$B$8=4,IFERROR('ОБЪЕКТЫ'!$B$28*'ОБЪЕКТЫ'!DH22/'ОБЪЕКТЫ'!$B$22,0),0)-IF('ОБЪЕКТЫ'!$B$36=4,IFERROR('ОБЪЕКТЫ'!$B$56*'ОБЪЕКТЫ'!DH50/'ОБЪЕКТЫ'!$B$50,0),0)-IF('ОБЪЕКТЫ'!$B$64=4,IFERROR('ОБЪЕКТЫ'!$B$84*'ОБЪЕКТЫ'!DH78/'ОБЪЕКТЫ'!$B$78,0),0)-DH53-DH57-DH21</x:f>
      </x:c>
      <x:c r="DI22" s="117">
        <x:f>DI10-IFERROR((SUM($D$20:$GA$20)-'ОБЪЕКТЫ'!$B$120)*('Продажи'!DI83+'Продажи'!DI86+'Продажи'!DI89+'Продажи'!DI92)/(SUM('Продажи'!$D$83:$GA$83)+SUM('Продажи'!$D$86:$GA$86)+SUM('Продажи'!$D$89:$GA$89)+SUM('Продажи'!$D$92:$GA$92)),0)-IF('ОБЪЕКТЫ'!$B$8=4,IFERROR('ОБЪЕКТЫ'!$B$28*'ОБЪЕКТЫ'!DI22/'ОБЪЕКТЫ'!$B$22,0),0)-IF('ОБЪЕКТЫ'!$B$36=4,IFERROR('ОБЪЕКТЫ'!$B$56*'ОБЪЕКТЫ'!DI50/'ОБЪЕКТЫ'!$B$50,0),0)-IF('ОБЪЕКТЫ'!$B$64=4,IFERROR('ОБЪЕКТЫ'!$B$84*'ОБЪЕКТЫ'!DI78/'ОБЪЕКТЫ'!$B$78,0),0)-DI53-DI57-DI21</x:f>
      </x:c>
      <x:c r="DJ22" s="117">
        <x:f>DJ10-IFERROR((SUM($D$20:$GA$20)-'ОБЪЕКТЫ'!$B$120)*('Продажи'!DJ83+'Продажи'!DJ86+'Продажи'!DJ89+'Продажи'!DJ92)/(SUM('Продажи'!$D$83:$GA$83)+SUM('Продажи'!$D$86:$GA$86)+SUM('Продажи'!$D$89:$GA$89)+SUM('Продажи'!$D$92:$GA$92)),0)-IF('ОБЪЕКТЫ'!$B$8=4,IFERROR('ОБЪЕКТЫ'!$B$28*'ОБЪЕКТЫ'!DJ22/'ОБЪЕКТЫ'!$B$22,0),0)-IF('ОБЪЕКТЫ'!$B$36=4,IFERROR('ОБЪЕКТЫ'!$B$56*'ОБЪЕКТЫ'!DJ50/'ОБЪЕКТЫ'!$B$50,0),0)-IF('ОБЪЕКТЫ'!$B$64=4,IFERROR('ОБЪЕКТЫ'!$B$84*'ОБЪЕКТЫ'!DJ78/'ОБЪЕКТЫ'!$B$78,0),0)-DJ53-DJ57-DJ21</x:f>
      </x:c>
      <x:c r="DK22" s="117">
        <x:f>DK10-IFERROR((SUM($D$20:$GA$20)-'ОБЪЕКТЫ'!$B$120)*('Продажи'!DK83+'Продажи'!DK86+'Продажи'!DK89+'Продажи'!DK92)/(SUM('Продажи'!$D$83:$GA$83)+SUM('Продажи'!$D$86:$GA$86)+SUM('Продажи'!$D$89:$GA$89)+SUM('Продажи'!$D$92:$GA$92)),0)-IF('ОБЪЕКТЫ'!$B$8=4,IFERROR('ОБЪЕКТЫ'!$B$28*'ОБЪЕКТЫ'!DK22/'ОБЪЕКТЫ'!$B$22,0),0)-IF('ОБЪЕКТЫ'!$B$36=4,IFERROR('ОБЪЕКТЫ'!$B$56*'ОБЪЕКТЫ'!DK50/'ОБЪЕКТЫ'!$B$50,0),0)-IF('ОБЪЕКТЫ'!$B$64=4,IFERROR('ОБЪЕКТЫ'!$B$84*'ОБЪЕКТЫ'!DK78/'ОБЪЕКТЫ'!$B$78,0),0)-DK53-DK57-DK21</x:f>
      </x:c>
      <x:c r="DL22" s="117">
        <x:f>DL10-IFERROR((SUM($D$20:$GA$20)-'ОБЪЕКТЫ'!$B$120)*('Продажи'!DL83+'Продажи'!DL86+'Продажи'!DL89+'Продажи'!DL92)/(SUM('Продажи'!$D$83:$GA$83)+SUM('Продажи'!$D$86:$GA$86)+SUM('Продажи'!$D$89:$GA$89)+SUM('Продажи'!$D$92:$GA$92)),0)-IF('ОБЪЕКТЫ'!$B$8=4,IFERROR('ОБЪЕКТЫ'!$B$28*'ОБЪЕКТЫ'!DL22/'ОБЪЕКТЫ'!$B$22,0),0)-IF('ОБЪЕКТЫ'!$B$36=4,IFERROR('ОБЪЕКТЫ'!$B$56*'ОБЪЕКТЫ'!DL50/'ОБЪЕКТЫ'!$B$50,0),0)-IF('ОБЪЕКТЫ'!$B$64=4,IFERROR('ОБЪЕКТЫ'!$B$84*'ОБЪЕКТЫ'!DL78/'ОБЪЕКТЫ'!$B$78,0),0)-DL53-DL57-DL21</x:f>
      </x:c>
      <x:c r="DM22" s="117">
        <x:f>DM10-IFERROR((SUM($D$20:$GA$20)-'ОБЪЕКТЫ'!$B$120)*('Продажи'!DM83+'Продажи'!DM86+'Продажи'!DM89+'Продажи'!DM92)/(SUM('Продажи'!$D$83:$GA$83)+SUM('Продажи'!$D$86:$GA$86)+SUM('Продажи'!$D$89:$GA$89)+SUM('Продажи'!$D$92:$GA$92)),0)-IF('ОБЪЕКТЫ'!$B$8=4,IFERROR('ОБЪЕКТЫ'!$B$28*'ОБЪЕКТЫ'!DM22/'ОБЪЕКТЫ'!$B$22,0),0)-IF('ОБЪЕКТЫ'!$B$36=4,IFERROR('ОБЪЕКТЫ'!$B$56*'ОБЪЕКТЫ'!DM50/'ОБЪЕКТЫ'!$B$50,0),0)-IF('ОБЪЕКТЫ'!$B$64=4,IFERROR('ОБЪЕКТЫ'!$B$84*'ОБЪЕКТЫ'!DM78/'ОБЪЕКТЫ'!$B$78,0),0)-DM53-DM57-DM21</x:f>
      </x:c>
      <x:c r="DN22" s="117">
        <x:f>DN10-IFERROR((SUM($D$20:$GA$20)-'ОБЪЕКТЫ'!$B$120)*('Продажи'!DN83+'Продажи'!DN86+'Продажи'!DN89+'Продажи'!DN92)/(SUM('Продажи'!$D$83:$GA$83)+SUM('Продажи'!$D$86:$GA$86)+SUM('Продажи'!$D$89:$GA$89)+SUM('Продажи'!$D$92:$GA$92)),0)-IF('ОБЪЕКТЫ'!$B$8=4,IFERROR('ОБЪЕКТЫ'!$B$28*'ОБЪЕКТЫ'!DN22/'ОБЪЕКТЫ'!$B$22,0),0)-IF('ОБЪЕКТЫ'!$B$36=4,IFERROR('ОБЪЕКТЫ'!$B$56*'ОБЪЕКТЫ'!DN50/'ОБЪЕКТЫ'!$B$50,0),0)-IF('ОБЪЕКТЫ'!$B$64=4,IFERROR('ОБЪЕКТЫ'!$B$84*'ОБЪЕКТЫ'!DN78/'ОБЪЕКТЫ'!$B$78,0),0)-DN53-DN57-DN21</x:f>
      </x:c>
      <x:c r="DO22" s="117">
        <x:f>DO10-IFERROR((SUM($D$20:$GA$20)-'ОБЪЕКТЫ'!$B$120)*('Продажи'!DO83+'Продажи'!DO86+'Продажи'!DO89+'Продажи'!DO92)/(SUM('Продажи'!$D$83:$GA$83)+SUM('Продажи'!$D$86:$GA$86)+SUM('Продажи'!$D$89:$GA$89)+SUM('Продажи'!$D$92:$GA$92)),0)-IF('ОБЪЕКТЫ'!$B$8=4,IFERROR('ОБЪЕКТЫ'!$B$28*'ОБЪЕКТЫ'!DO22/'ОБЪЕКТЫ'!$B$22,0),0)-IF('ОБЪЕКТЫ'!$B$36=4,IFERROR('ОБЪЕКТЫ'!$B$56*'ОБЪЕКТЫ'!DO50/'ОБЪЕКТЫ'!$B$50,0),0)-IF('ОБЪЕКТЫ'!$B$64=4,IFERROR('ОБЪЕКТЫ'!$B$84*'ОБЪЕКТЫ'!DO78/'ОБЪЕКТЫ'!$B$78,0),0)-DO53-DO57-DO21</x:f>
      </x:c>
      <x:c r="DP22" s="117">
        <x:f>DP10-IFERROR((SUM($D$20:$GA$20)-'ОБЪЕКТЫ'!$B$120)*('Продажи'!DP83+'Продажи'!DP86+'Продажи'!DP89+'Продажи'!DP92)/(SUM('Продажи'!$D$83:$GA$83)+SUM('Продажи'!$D$86:$GA$86)+SUM('Продажи'!$D$89:$GA$89)+SUM('Продажи'!$D$92:$GA$92)),0)-IF('ОБЪЕКТЫ'!$B$8=4,IFERROR('ОБЪЕКТЫ'!$B$28*'ОБЪЕКТЫ'!DP22/'ОБЪЕКТЫ'!$B$22,0),0)-IF('ОБЪЕКТЫ'!$B$36=4,IFERROR('ОБЪЕКТЫ'!$B$56*'ОБЪЕКТЫ'!DP50/'ОБЪЕКТЫ'!$B$50,0),0)-IF('ОБЪЕКТЫ'!$B$64=4,IFERROR('ОБЪЕКТЫ'!$B$84*'ОБЪЕКТЫ'!DP78/'ОБЪЕКТЫ'!$B$78,0),0)-DP53-DP57-DP21</x:f>
      </x:c>
      <x:c r="DQ22" s="117">
        <x:f>DQ10-IFERROR((SUM($D$20:$GA$20)-'ОБЪЕКТЫ'!$B$120)*('Продажи'!DQ83+'Продажи'!DQ86+'Продажи'!DQ89+'Продажи'!DQ92)/(SUM('Продажи'!$D$83:$GA$83)+SUM('Продажи'!$D$86:$GA$86)+SUM('Продажи'!$D$89:$GA$89)+SUM('Продажи'!$D$92:$GA$92)),0)-IF('ОБЪЕКТЫ'!$B$8=4,IFERROR('ОБЪЕКТЫ'!$B$28*'ОБЪЕКТЫ'!DQ22/'ОБЪЕКТЫ'!$B$22,0),0)-IF('ОБЪЕКТЫ'!$B$36=4,IFERROR('ОБЪЕКТЫ'!$B$56*'ОБЪЕКТЫ'!DQ50/'ОБЪЕКТЫ'!$B$50,0),0)-IF('ОБЪЕКТЫ'!$B$64=4,IFERROR('ОБЪЕКТЫ'!$B$84*'ОБЪЕКТЫ'!DQ78/'ОБЪЕКТЫ'!$B$78,0),0)-DQ53-DQ57-DQ21</x:f>
      </x:c>
      <x:c r="DR22" s="117">
        <x:f>DR10-IFERROR((SUM($D$20:$GA$20)-'ОБЪЕКТЫ'!$B$120)*('Продажи'!DR83+'Продажи'!DR86+'Продажи'!DR89+'Продажи'!DR92)/(SUM('Продажи'!$D$83:$GA$83)+SUM('Продажи'!$D$86:$GA$86)+SUM('Продажи'!$D$89:$GA$89)+SUM('Продажи'!$D$92:$GA$92)),0)-IF('ОБЪЕКТЫ'!$B$8=4,IFERROR('ОБЪЕКТЫ'!$B$28*'ОБЪЕКТЫ'!DR22/'ОБЪЕКТЫ'!$B$22,0),0)-IF('ОБЪЕКТЫ'!$B$36=4,IFERROR('ОБЪЕКТЫ'!$B$56*'ОБЪЕКТЫ'!DR50/'ОБЪЕКТЫ'!$B$50,0),0)-IF('ОБЪЕКТЫ'!$B$64=4,IFERROR('ОБЪЕКТЫ'!$B$84*'ОБЪЕКТЫ'!DR78/'ОБЪЕКТЫ'!$B$78,0),0)-DR53-DR57-DR21</x:f>
      </x:c>
      <x:c r="DS22" s="117">
        <x:f>DS10-IFERROR((SUM($D$20:$GA$20)-'ОБЪЕКТЫ'!$B$120)*('Продажи'!DS83+'Продажи'!DS86+'Продажи'!DS89+'Продажи'!DS92)/(SUM('Продажи'!$D$83:$GA$83)+SUM('Продажи'!$D$86:$GA$86)+SUM('Продажи'!$D$89:$GA$89)+SUM('Продажи'!$D$92:$GA$92)),0)-IF('ОБЪЕКТЫ'!$B$8=4,IFERROR('ОБЪЕКТЫ'!$B$28*'ОБЪЕКТЫ'!DS22/'ОБЪЕКТЫ'!$B$22,0),0)-IF('ОБЪЕКТЫ'!$B$36=4,IFERROR('ОБЪЕКТЫ'!$B$56*'ОБЪЕКТЫ'!DS50/'ОБЪЕКТЫ'!$B$50,0),0)-IF('ОБЪЕКТЫ'!$B$64=4,IFERROR('ОБЪЕКТЫ'!$B$84*'ОБЪЕКТЫ'!DS78/'ОБЪЕКТЫ'!$B$78,0),0)-DS53-DS57-DS21</x:f>
      </x:c>
      <x:c r="DT22" s="117">
        <x:f>DT10-IFERROR((SUM($D$20:$GA$20)-'ОБЪЕКТЫ'!$B$120)*('Продажи'!DT83+'Продажи'!DT86+'Продажи'!DT89+'Продажи'!DT92)/(SUM('Продажи'!$D$83:$GA$83)+SUM('Продажи'!$D$86:$GA$86)+SUM('Продажи'!$D$89:$GA$89)+SUM('Продажи'!$D$92:$GA$92)),0)-IF('ОБЪЕКТЫ'!$B$8=4,IFERROR('ОБЪЕКТЫ'!$B$28*'ОБЪЕКТЫ'!DT22/'ОБЪЕКТЫ'!$B$22,0),0)-IF('ОБЪЕКТЫ'!$B$36=4,IFERROR('ОБЪЕКТЫ'!$B$56*'ОБЪЕКТЫ'!DT50/'ОБЪЕКТЫ'!$B$50,0),0)-IF('ОБЪЕКТЫ'!$B$64=4,IFERROR('ОБЪЕКТЫ'!$B$84*'ОБЪЕКТЫ'!DT78/'ОБЪЕКТЫ'!$B$78,0),0)-DT53-DT57-DT21</x:f>
      </x:c>
      <x:c r="DU22" s="117">
        <x:f>DU10-IFERROR((SUM($D$20:$GA$20)-'ОБЪЕКТЫ'!$B$120)*('Продажи'!DU83+'Продажи'!DU86+'Продажи'!DU89+'Продажи'!DU92)/(SUM('Продажи'!$D$83:$GA$83)+SUM('Продажи'!$D$86:$GA$86)+SUM('Продажи'!$D$89:$GA$89)+SUM('Продажи'!$D$92:$GA$92)),0)-IF('ОБЪЕКТЫ'!$B$8=4,IFERROR('ОБЪЕКТЫ'!$B$28*'ОБЪЕКТЫ'!DU22/'ОБЪЕКТЫ'!$B$22,0),0)-IF('ОБЪЕКТЫ'!$B$36=4,IFERROR('ОБЪЕКТЫ'!$B$56*'ОБЪЕКТЫ'!DU50/'ОБЪЕКТЫ'!$B$50,0),0)-IF('ОБЪЕКТЫ'!$B$64=4,IFERROR('ОБЪЕКТЫ'!$B$84*'ОБЪЕКТЫ'!DU78/'ОБЪЕКТЫ'!$B$78,0),0)-DU53-DU57-DU21</x:f>
      </x:c>
      <x:c r="DV22" s="117">
        <x:f>DV10-IFERROR((SUM($D$20:$GA$20)-'ОБЪЕКТЫ'!$B$120)*('Продажи'!DV83+'Продажи'!DV86+'Продажи'!DV89+'Продажи'!DV92)/(SUM('Продажи'!$D$83:$GA$83)+SUM('Продажи'!$D$86:$GA$86)+SUM('Продажи'!$D$89:$GA$89)+SUM('Продажи'!$D$92:$GA$92)),0)-IF('ОБЪЕКТЫ'!$B$8=4,IFERROR('ОБЪЕКТЫ'!$B$28*'ОБЪЕКТЫ'!DV22/'ОБЪЕКТЫ'!$B$22,0),0)-IF('ОБЪЕКТЫ'!$B$36=4,IFERROR('ОБЪЕКТЫ'!$B$56*'ОБЪЕКТЫ'!DV50/'ОБЪЕКТЫ'!$B$50,0),0)-IF('ОБЪЕКТЫ'!$B$64=4,IFERROR('ОБЪЕКТЫ'!$B$84*'ОБЪЕКТЫ'!DV78/'ОБЪЕКТЫ'!$B$78,0),0)-DV53-DV57-DV21</x:f>
      </x:c>
      <x:c r="DW22" s="117">
        <x:f>DW10-IFERROR((SUM($D$20:$GA$20)-'ОБЪЕКТЫ'!$B$120)*('Продажи'!DW83+'Продажи'!DW86+'Продажи'!DW89+'Продажи'!DW92)/(SUM('Продажи'!$D$83:$GA$83)+SUM('Продажи'!$D$86:$GA$86)+SUM('Продажи'!$D$89:$GA$89)+SUM('Продажи'!$D$92:$GA$92)),0)-IF('ОБЪЕКТЫ'!$B$8=4,IFERROR('ОБЪЕКТЫ'!$B$28*'ОБЪЕКТЫ'!DW22/'ОБЪЕКТЫ'!$B$22,0),0)-IF('ОБЪЕКТЫ'!$B$36=4,IFERROR('ОБЪЕКТЫ'!$B$56*'ОБЪЕКТЫ'!DW50/'ОБЪЕКТЫ'!$B$50,0),0)-IF('ОБЪЕКТЫ'!$B$64=4,IFERROR('ОБЪЕКТЫ'!$B$84*'ОБЪЕКТЫ'!DW78/'ОБЪЕКТЫ'!$B$78,0),0)-DW53-DW57-DW21</x:f>
      </x:c>
      <x:c r="DX22" s="117">
        <x:f>DX10-IFERROR((SUM($D$20:$GA$20)-'ОБЪЕКТЫ'!$B$120)*('Продажи'!DX83+'Продажи'!DX86+'Продажи'!DX89+'Продажи'!DX92)/(SUM('Продажи'!$D$83:$GA$83)+SUM('Продажи'!$D$86:$GA$86)+SUM('Продажи'!$D$89:$GA$89)+SUM('Продажи'!$D$92:$GA$92)),0)-IF('ОБЪЕКТЫ'!$B$8=4,IFERROR('ОБЪЕКТЫ'!$B$28*'ОБЪЕКТЫ'!DX22/'ОБЪЕКТЫ'!$B$22,0),0)-IF('ОБЪЕКТЫ'!$B$36=4,IFERROR('ОБЪЕКТЫ'!$B$56*'ОБЪЕКТЫ'!DX50/'ОБЪЕКТЫ'!$B$50,0),0)-IF('ОБЪЕКТЫ'!$B$64=4,IFERROR('ОБЪЕКТЫ'!$B$84*'ОБЪЕКТЫ'!DX78/'ОБЪЕКТЫ'!$B$78,0),0)-DX53-DX57-DX21</x:f>
      </x:c>
      <x:c r="DY22" s="117">
        <x:f>DY10-IFERROR((SUM($D$20:$GA$20)-'ОБЪЕКТЫ'!$B$120)*('Продажи'!DY83+'Продажи'!DY86+'Продажи'!DY89+'Продажи'!DY92)/(SUM('Продажи'!$D$83:$GA$83)+SUM('Продажи'!$D$86:$GA$86)+SUM('Продажи'!$D$89:$GA$89)+SUM('Продажи'!$D$92:$GA$92)),0)-IF('ОБЪЕКТЫ'!$B$8=4,IFERROR('ОБЪЕКТЫ'!$B$28*'ОБЪЕКТЫ'!DY22/'ОБЪЕКТЫ'!$B$22,0),0)-IF('ОБЪЕКТЫ'!$B$36=4,IFERROR('ОБЪЕКТЫ'!$B$56*'ОБЪЕКТЫ'!DY50/'ОБЪЕКТЫ'!$B$50,0),0)-IF('ОБЪЕКТЫ'!$B$64=4,IFERROR('ОБЪЕКТЫ'!$B$84*'ОБЪЕКТЫ'!DY78/'ОБЪЕКТЫ'!$B$78,0),0)-DY53-DY57-DY21</x:f>
      </x:c>
      <x:c r="DZ22" s="117">
        <x:f>DZ10-IFERROR((SUM($D$20:$GA$20)-'ОБЪЕКТЫ'!$B$120)*('Продажи'!DZ83+'Продажи'!DZ86+'Продажи'!DZ89+'Продажи'!DZ92)/(SUM('Продажи'!$D$83:$GA$83)+SUM('Продажи'!$D$86:$GA$86)+SUM('Продажи'!$D$89:$GA$89)+SUM('Продажи'!$D$92:$GA$92)),0)-IF('ОБЪЕКТЫ'!$B$8=4,IFERROR('ОБЪЕКТЫ'!$B$28*'ОБЪЕКТЫ'!DZ22/'ОБЪЕКТЫ'!$B$22,0),0)-IF('ОБЪЕКТЫ'!$B$36=4,IFERROR('ОБЪЕКТЫ'!$B$56*'ОБЪЕКТЫ'!DZ50/'ОБЪЕКТЫ'!$B$50,0),0)-IF('ОБЪЕКТЫ'!$B$64=4,IFERROR('ОБЪЕКТЫ'!$B$84*'ОБЪЕКТЫ'!DZ78/'ОБЪЕКТЫ'!$B$78,0),0)-DZ53-DZ57-DZ21</x:f>
      </x:c>
      <x:c r="EA22" s="117">
        <x:f>EA10-IFERROR((SUM($D$20:$GA$20)-'ОБЪЕКТЫ'!$B$120)*('Продажи'!EA83+'Продажи'!EA86+'Продажи'!EA89+'Продажи'!EA92)/(SUM('Продажи'!$D$83:$GA$83)+SUM('Продажи'!$D$86:$GA$86)+SUM('Продажи'!$D$89:$GA$89)+SUM('Продажи'!$D$92:$GA$92)),0)-IF('ОБЪЕКТЫ'!$B$8=4,IFERROR('ОБЪЕКТЫ'!$B$28*'ОБЪЕКТЫ'!EA22/'ОБЪЕКТЫ'!$B$22,0),0)-IF('ОБЪЕКТЫ'!$B$36=4,IFERROR('ОБЪЕКТЫ'!$B$56*'ОБЪЕКТЫ'!EA50/'ОБЪЕКТЫ'!$B$50,0),0)-IF('ОБЪЕКТЫ'!$B$64=4,IFERROR('ОБЪЕКТЫ'!$B$84*'ОБЪЕКТЫ'!EA78/'ОБЪЕКТЫ'!$B$78,0),0)-EA53-EA57-EA21</x:f>
      </x:c>
      <x:c r="EB22" s="117">
        <x:f>EB10-IFERROR((SUM($D$20:$GA$20)-'ОБЪЕКТЫ'!$B$120)*('Продажи'!EB83+'Продажи'!EB86+'Продажи'!EB89+'Продажи'!EB92)/(SUM('Продажи'!$D$83:$GA$83)+SUM('Продажи'!$D$86:$GA$86)+SUM('Продажи'!$D$89:$GA$89)+SUM('Продажи'!$D$92:$GA$92)),0)-IF('ОБЪЕКТЫ'!$B$8=4,IFERROR('ОБЪЕКТЫ'!$B$28*'ОБЪЕКТЫ'!EB22/'ОБЪЕКТЫ'!$B$22,0),0)-IF('ОБЪЕКТЫ'!$B$36=4,IFERROR('ОБЪЕКТЫ'!$B$56*'ОБЪЕКТЫ'!EB50/'ОБЪЕКТЫ'!$B$50,0),0)-IF('ОБЪЕКТЫ'!$B$64=4,IFERROR('ОБЪЕКТЫ'!$B$84*'ОБЪЕКТЫ'!EB78/'ОБЪЕКТЫ'!$B$78,0),0)-EB53-EB57-EB21</x:f>
      </x:c>
      <x:c r="EC22" s="117">
        <x:f>EC10-IFERROR((SUM($D$20:$GA$20)-'ОБЪЕКТЫ'!$B$120)*('Продажи'!EC83+'Продажи'!EC86+'Продажи'!EC89+'Продажи'!EC92)/(SUM('Продажи'!$D$83:$GA$83)+SUM('Продажи'!$D$86:$GA$86)+SUM('Продажи'!$D$89:$GA$89)+SUM('Продажи'!$D$92:$GA$92)),0)-IF('ОБЪЕКТЫ'!$B$8=4,IFERROR('ОБЪЕКТЫ'!$B$28*'ОБЪЕКТЫ'!EC22/'ОБЪЕКТЫ'!$B$22,0),0)-IF('ОБЪЕКТЫ'!$B$36=4,IFERROR('ОБЪЕКТЫ'!$B$56*'ОБЪЕКТЫ'!EC50/'ОБЪЕКТЫ'!$B$50,0),0)-IF('ОБЪЕКТЫ'!$B$64=4,IFERROR('ОБЪЕКТЫ'!$B$84*'ОБЪЕКТЫ'!EC78/'ОБЪЕКТЫ'!$B$78,0),0)-EC53-EC57-EC21</x:f>
      </x:c>
      <x:c r="ED22" s="117">
        <x:f>ED10-IFERROR((SUM($D$20:$GA$20)-'ОБЪЕКТЫ'!$B$120)*('Продажи'!ED83+'Продажи'!ED86+'Продажи'!ED89+'Продажи'!ED92)/(SUM('Продажи'!$D$83:$GA$83)+SUM('Продажи'!$D$86:$GA$86)+SUM('Продажи'!$D$89:$GA$89)+SUM('Продажи'!$D$92:$GA$92)),0)-IF('ОБЪЕКТЫ'!$B$8=4,IFERROR('ОБЪЕКТЫ'!$B$28*'ОБЪЕКТЫ'!ED22/'ОБЪЕКТЫ'!$B$22,0),0)-IF('ОБЪЕКТЫ'!$B$36=4,IFERROR('ОБЪЕКТЫ'!$B$56*'ОБЪЕКТЫ'!ED50/'ОБЪЕКТЫ'!$B$50,0),0)-IF('ОБЪЕКТЫ'!$B$64=4,IFERROR('ОБЪЕКТЫ'!$B$84*'ОБЪЕКТЫ'!ED78/'ОБЪЕКТЫ'!$B$78,0),0)-ED53-ED57-ED21</x:f>
      </x:c>
      <x:c r="EE22" s="117">
        <x:f>EE10-IFERROR((SUM($D$20:$GA$20)-'ОБЪЕКТЫ'!$B$120)*('Продажи'!EE83+'Продажи'!EE86+'Продажи'!EE89+'Продажи'!EE92)/(SUM('Продажи'!$D$83:$GA$83)+SUM('Продажи'!$D$86:$GA$86)+SUM('Продажи'!$D$89:$GA$89)+SUM('Продажи'!$D$92:$GA$92)),0)-IF('ОБЪЕКТЫ'!$B$8=4,IFERROR('ОБЪЕКТЫ'!$B$28*'ОБЪЕКТЫ'!EE22/'ОБЪЕКТЫ'!$B$22,0),0)-IF('ОБЪЕКТЫ'!$B$36=4,IFERROR('ОБЪЕКТЫ'!$B$56*'ОБЪЕКТЫ'!EE50/'ОБЪЕКТЫ'!$B$50,0),0)-IF('ОБЪЕКТЫ'!$B$64=4,IFERROR('ОБЪЕКТЫ'!$B$84*'ОБЪЕКТЫ'!EE78/'ОБЪЕКТЫ'!$B$78,0),0)-EE53-EE57-EE21</x:f>
      </x:c>
      <x:c r="EF22" s="117">
        <x:f>EF10-IFERROR((SUM($D$20:$GA$20)-'ОБЪЕКТЫ'!$B$120)*('Продажи'!EF83+'Продажи'!EF86+'Продажи'!EF89+'Продажи'!EF92)/(SUM('Продажи'!$D$83:$GA$83)+SUM('Продажи'!$D$86:$GA$86)+SUM('Продажи'!$D$89:$GA$89)+SUM('Продажи'!$D$92:$GA$92)),0)-IF('ОБЪЕКТЫ'!$B$8=4,IFERROR('ОБЪЕКТЫ'!$B$28*'ОБЪЕКТЫ'!EF22/'ОБЪЕКТЫ'!$B$22,0),0)-IF('ОБЪЕКТЫ'!$B$36=4,IFERROR('ОБЪЕКТЫ'!$B$56*'ОБЪЕКТЫ'!EF50/'ОБЪЕКТЫ'!$B$50,0),0)-IF('ОБЪЕКТЫ'!$B$64=4,IFERROR('ОБЪЕКТЫ'!$B$84*'ОБЪЕКТЫ'!EF78/'ОБЪЕКТЫ'!$B$78,0),0)-EF53-EF57-EF21</x:f>
      </x:c>
      <x:c r="EG22" s="117">
        <x:f>EG10-IFERROR((SUM($D$20:$GA$20)-'ОБЪЕКТЫ'!$B$120)*('Продажи'!EG83+'Продажи'!EG86+'Продажи'!EG89+'Продажи'!EG92)/(SUM('Продажи'!$D$83:$GA$83)+SUM('Продажи'!$D$86:$GA$86)+SUM('Продажи'!$D$89:$GA$89)+SUM('Продажи'!$D$92:$GA$92)),0)-IF('ОБЪЕКТЫ'!$B$8=4,IFERROR('ОБЪЕКТЫ'!$B$28*'ОБЪЕКТЫ'!EG22/'ОБЪЕКТЫ'!$B$22,0),0)-IF('ОБЪЕКТЫ'!$B$36=4,IFERROR('ОБЪЕКТЫ'!$B$56*'ОБЪЕКТЫ'!EG50/'ОБЪЕКТЫ'!$B$50,0),0)-IF('ОБЪЕКТЫ'!$B$64=4,IFERROR('ОБЪЕКТЫ'!$B$84*'ОБЪЕКТЫ'!EG78/'ОБЪЕКТЫ'!$B$78,0),0)-EG53-EG57-EG21</x:f>
      </x:c>
      <x:c r="EH22" s="117">
        <x:f>EH10-IFERROR((SUM($D$20:$GA$20)-'ОБЪЕКТЫ'!$B$120)*('Продажи'!EH83+'Продажи'!EH86+'Продажи'!EH89+'Продажи'!EH92)/(SUM('Продажи'!$D$83:$GA$83)+SUM('Продажи'!$D$86:$GA$86)+SUM('Продажи'!$D$89:$GA$89)+SUM('Продажи'!$D$92:$GA$92)),0)-IF('ОБЪЕКТЫ'!$B$8=4,IFERROR('ОБЪЕКТЫ'!$B$28*'ОБЪЕКТЫ'!EH22/'ОБЪЕКТЫ'!$B$22,0),0)-IF('ОБЪЕКТЫ'!$B$36=4,IFERROR('ОБЪЕКТЫ'!$B$56*'ОБЪЕКТЫ'!EH50/'ОБЪЕКТЫ'!$B$50,0),0)-IF('ОБЪЕКТЫ'!$B$64=4,IFERROR('ОБЪЕКТЫ'!$B$84*'ОБЪЕКТЫ'!EH78/'ОБЪЕКТЫ'!$B$78,0),0)-EH53-EH57-EH21</x:f>
      </x:c>
      <x:c r="EI22" s="117">
        <x:f>EI10-IFERROR((SUM($D$20:$GA$20)-'ОБЪЕКТЫ'!$B$120)*('Продажи'!EI83+'Продажи'!EI86+'Продажи'!EI89+'Продажи'!EI92)/(SUM('Продажи'!$D$83:$GA$83)+SUM('Продажи'!$D$86:$GA$86)+SUM('Продажи'!$D$89:$GA$89)+SUM('Продажи'!$D$92:$GA$92)),0)-IF('ОБЪЕКТЫ'!$B$8=4,IFERROR('ОБЪЕКТЫ'!$B$28*'ОБЪЕКТЫ'!EI22/'ОБЪЕКТЫ'!$B$22,0),0)-IF('ОБЪЕКТЫ'!$B$36=4,IFERROR('ОБЪЕКТЫ'!$B$56*'ОБЪЕКТЫ'!EI50/'ОБЪЕКТЫ'!$B$50,0),0)-IF('ОБЪЕКТЫ'!$B$64=4,IFERROR('ОБЪЕКТЫ'!$B$84*'ОБЪЕКТЫ'!EI78/'ОБЪЕКТЫ'!$B$78,0),0)-EI53-EI57-EI21</x:f>
      </x:c>
      <x:c r="EJ22" s="117">
        <x:f>EJ10-IFERROR((SUM($D$20:$GA$20)-'ОБЪЕКТЫ'!$B$120)*('Продажи'!EJ83+'Продажи'!EJ86+'Продажи'!EJ89+'Продажи'!EJ92)/(SUM('Продажи'!$D$83:$GA$83)+SUM('Продажи'!$D$86:$GA$86)+SUM('Продажи'!$D$89:$GA$89)+SUM('Продажи'!$D$92:$GA$92)),0)-IF('ОБЪЕКТЫ'!$B$8=4,IFERROR('ОБЪЕКТЫ'!$B$28*'ОБЪЕКТЫ'!EJ22/'ОБЪЕКТЫ'!$B$22,0),0)-IF('ОБЪЕКТЫ'!$B$36=4,IFERROR('ОБЪЕКТЫ'!$B$56*'ОБЪЕКТЫ'!EJ50/'ОБЪЕКТЫ'!$B$50,0),0)-IF('ОБЪЕКТЫ'!$B$64=4,IFERROR('ОБЪЕКТЫ'!$B$84*'ОБЪЕКТЫ'!EJ78/'ОБЪЕКТЫ'!$B$78,0),0)-EJ53-EJ57-EJ21</x:f>
      </x:c>
      <x:c r="EK22" s="117">
        <x:f>EK10-IFERROR((SUM($D$20:$GA$20)-'ОБЪЕКТЫ'!$B$120)*('Продажи'!EK83+'Продажи'!EK86+'Продажи'!EK89+'Продажи'!EK92)/(SUM('Продажи'!$D$83:$GA$83)+SUM('Продажи'!$D$86:$GA$86)+SUM('Продажи'!$D$89:$GA$89)+SUM('Продажи'!$D$92:$GA$92)),0)-IF('ОБЪЕКТЫ'!$B$8=4,IFERROR('ОБЪЕКТЫ'!$B$28*'ОБЪЕКТЫ'!EK22/'ОБЪЕКТЫ'!$B$22,0),0)-IF('ОБЪЕКТЫ'!$B$36=4,IFERROR('ОБЪЕКТЫ'!$B$56*'ОБЪЕКТЫ'!EK50/'ОБЪЕКТЫ'!$B$50,0),0)-IF('ОБЪЕКТЫ'!$B$64=4,IFERROR('ОБЪЕКТЫ'!$B$84*'ОБЪЕКТЫ'!EK78/'ОБЪЕКТЫ'!$B$78,0),0)-EK53-EK57-EK21</x:f>
      </x:c>
      <x:c r="EL22" s="117">
        <x:f>EL10-IFERROR((SUM($D$20:$GA$20)-'ОБЪЕКТЫ'!$B$120)*('Продажи'!EL83+'Продажи'!EL86+'Продажи'!EL89+'Продажи'!EL92)/(SUM('Продажи'!$D$83:$GA$83)+SUM('Продажи'!$D$86:$GA$86)+SUM('Продажи'!$D$89:$GA$89)+SUM('Продажи'!$D$92:$GA$92)),0)-IF('ОБЪЕКТЫ'!$B$8=4,IFERROR('ОБЪЕКТЫ'!$B$28*'ОБЪЕКТЫ'!EL22/'ОБЪЕКТЫ'!$B$22,0),0)-IF('ОБЪЕКТЫ'!$B$36=4,IFERROR('ОБЪЕКТЫ'!$B$56*'ОБЪЕКТЫ'!EL50/'ОБЪЕКТЫ'!$B$50,0),0)-IF('ОБЪЕКТЫ'!$B$64=4,IFERROR('ОБЪЕКТЫ'!$B$84*'ОБЪЕКТЫ'!EL78/'ОБЪЕКТЫ'!$B$78,0),0)-EL53-EL57-EL21</x:f>
      </x:c>
      <x:c r="EM22" s="117">
        <x:f>EM10-IFERROR((SUM($D$20:$GA$20)-'ОБЪЕКТЫ'!$B$120)*('Продажи'!EM83+'Продажи'!EM86+'Продажи'!EM89+'Продажи'!EM92)/(SUM('Продажи'!$D$83:$GA$83)+SUM('Продажи'!$D$86:$GA$86)+SUM('Продажи'!$D$89:$GA$89)+SUM('Продажи'!$D$92:$GA$92)),0)-IF('ОБЪЕКТЫ'!$B$8=4,IFERROR('ОБЪЕКТЫ'!$B$28*'ОБЪЕКТЫ'!EM22/'ОБЪЕКТЫ'!$B$22,0),0)-IF('ОБЪЕКТЫ'!$B$36=4,IFERROR('ОБЪЕКТЫ'!$B$56*'ОБЪЕКТЫ'!EM50/'ОБЪЕКТЫ'!$B$50,0),0)-IF('ОБЪЕКТЫ'!$B$64=4,IFERROR('ОБЪЕКТЫ'!$B$84*'ОБЪЕКТЫ'!EM78/'ОБЪЕКТЫ'!$B$78,0),0)-EM53-EM57-EM21</x:f>
      </x:c>
      <x:c r="EN22" s="117">
        <x:f>EN10-IFERROR((SUM($D$20:$GA$20)-'ОБЪЕКТЫ'!$B$120)*('Продажи'!EN83+'Продажи'!EN86+'Продажи'!EN89+'Продажи'!EN92)/(SUM('Продажи'!$D$83:$GA$83)+SUM('Продажи'!$D$86:$GA$86)+SUM('Продажи'!$D$89:$GA$89)+SUM('Продажи'!$D$92:$GA$92)),0)-IF('ОБЪЕКТЫ'!$B$8=4,IFERROR('ОБЪЕКТЫ'!$B$28*'ОБЪЕКТЫ'!EN22/'ОБЪЕКТЫ'!$B$22,0),0)-IF('ОБЪЕКТЫ'!$B$36=4,IFERROR('ОБЪЕКТЫ'!$B$56*'ОБЪЕКТЫ'!EN50/'ОБЪЕКТЫ'!$B$50,0),0)-IF('ОБЪЕКТЫ'!$B$64=4,IFERROR('ОБЪЕКТЫ'!$B$84*'ОБЪЕКТЫ'!EN78/'ОБЪЕКТЫ'!$B$78,0),0)-EN53-EN57-EN21</x:f>
      </x:c>
      <x:c r="EO22" s="117">
        <x:f>EO10-IFERROR((SUM($D$20:$GA$20)-'ОБЪЕКТЫ'!$B$120)*('Продажи'!EO83+'Продажи'!EO86+'Продажи'!EO89+'Продажи'!EO92)/(SUM('Продажи'!$D$83:$GA$83)+SUM('Продажи'!$D$86:$GA$86)+SUM('Продажи'!$D$89:$GA$89)+SUM('Продажи'!$D$92:$GA$92)),0)-IF('ОБЪЕКТЫ'!$B$8=4,IFERROR('ОБЪЕКТЫ'!$B$28*'ОБЪЕКТЫ'!EO22/'ОБЪЕКТЫ'!$B$22,0),0)-IF('ОБЪЕКТЫ'!$B$36=4,IFERROR('ОБЪЕКТЫ'!$B$56*'ОБЪЕКТЫ'!EO50/'ОБЪЕКТЫ'!$B$50,0),0)-IF('ОБЪЕКТЫ'!$B$64=4,IFERROR('ОБЪЕКТЫ'!$B$84*'ОБЪЕКТЫ'!EO78/'ОБЪЕКТЫ'!$B$78,0),0)-EO53-EO57-EO21</x:f>
      </x:c>
      <x:c r="EP22" s="117">
        <x:f>EP10-IFERROR((SUM($D$20:$GA$20)-'ОБЪЕКТЫ'!$B$120)*('Продажи'!EP83+'Продажи'!EP86+'Продажи'!EP89+'Продажи'!EP92)/(SUM('Продажи'!$D$83:$GA$83)+SUM('Продажи'!$D$86:$GA$86)+SUM('Продажи'!$D$89:$GA$89)+SUM('Продажи'!$D$92:$GA$92)),0)-IF('ОБЪЕКТЫ'!$B$8=4,IFERROR('ОБЪЕКТЫ'!$B$28*'ОБЪЕКТЫ'!EP22/'ОБЪЕКТЫ'!$B$22,0),0)-IF('ОБЪЕКТЫ'!$B$36=4,IFERROR('ОБЪЕКТЫ'!$B$56*'ОБЪЕКТЫ'!EP50/'ОБЪЕКТЫ'!$B$50,0),0)-IF('ОБЪЕКТЫ'!$B$64=4,IFERROR('ОБЪЕКТЫ'!$B$84*'ОБЪЕКТЫ'!EP78/'ОБЪЕКТЫ'!$B$78,0),0)-EP53-EP57-EP21</x:f>
      </x:c>
      <x:c r="EQ22" s="117">
        <x:f>EQ10-IFERROR((SUM($D$20:$GA$20)-'ОБЪЕКТЫ'!$B$120)*('Продажи'!EQ83+'Продажи'!EQ86+'Продажи'!EQ89+'Продажи'!EQ92)/(SUM('Продажи'!$D$83:$GA$83)+SUM('Продажи'!$D$86:$GA$86)+SUM('Продажи'!$D$89:$GA$89)+SUM('Продажи'!$D$92:$GA$92)),0)-IF('ОБЪЕКТЫ'!$B$8=4,IFERROR('ОБЪЕКТЫ'!$B$28*'ОБЪЕКТЫ'!EQ22/'ОБЪЕКТЫ'!$B$22,0),0)-IF('ОБЪЕКТЫ'!$B$36=4,IFERROR('ОБЪЕКТЫ'!$B$56*'ОБЪЕКТЫ'!EQ50/'ОБЪЕКТЫ'!$B$50,0),0)-IF('ОБЪЕКТЫ'!$B$64=4,IFERROR('ОБЪЕКТЫ'!$B$84*'ОБЪЕКТЫ'!EQ78/'ОБЪЕКТЫ'!$B$78,0),0)-EQ53-EQ57-EQ21</x:f>
      </x:c>
      <x:c r="ER22" s="117">
        <x:f>ER10-IFERROR((SUM($D$20:$GA$20)-'ОБЪЕКТЫ'!$B$120)*('Продажи'!ER83+'Продажи'!ER86+'Продажи'!ER89+'Продажи'!ER92)/(SUM('Продажи'!$D$83:$GA$83)+SUM('Продажи'!$D$86:$GA$86)+SUM('Продажи'!$D$89:$GA$89)+SUM('Продажи'!$D$92:$GA$92)),0)-IF('ОБЪЕКТЫ'!$B$8=4,IFERROR('ОБЪЕКТЫ'!$B$28*'ОБЪЕКТЫ'!ER22/'ОБЪЕКТЫ'!$B$22,0),0)-IF('ОБЪЕКТЫ'!$B$36=4,IFERROR('ОБЪЕКТЫ'!$B$56*'ОБЪЕКТЫ'!ER50/'ОБЪЕКТЫ'!$B$50,0),0)-IF('ОБЪЕКТЫ'!$B$64=4,IFERROR('ОБЪЕКТЫ'!$B$84*'ОБЪЕКТЫ'!ER78/'ОБЪЕКТЫ'!$B$78,0),0)-ER53-ER57-ER21</x:f>
      </x:c>
      <x:c r="ES22" s="117">
        <x:f>ES10-IFERROR((SUM($D$20:$GA$20)-'ОБЪЕКТЫ'!$B$120)*('Продажи'!ES83+'Продажи'!ES86+'Продажи'!ES89+'Продажи'!ES92)/(SUM('Продажи'!$D$83:$GA$83)+SUM('Продажи'!$D$86:$GA$86)+SUM('Продажи'!$D$89:$GA$89)+SUM('Продажи'!$D$92:$GA$92)),0)-IF('ОБЪЕКТЫ'!$B$8=4,IFERROR('ОБЪЕКТЫ'!$B$28*'ОБЪЕКТЫ'!ES22/'ОБЪЕКТЫ'!$B$22,0),0)-IF('ОБЪЕКТЫ'!$B$36=4,IFERROR('ОБЪЕКТЫ'!$B$56*'ОБЪЕКТЫ'!ES50/'ОБЪЕКТЫ'!$B$50,0),0)-IF('ОБЪЕКТЫ'!$B$64=4,IFERROR('ОБЪЕКТЫ'!$B$84*'ОБЪЕКТЫ'!ES78/'ОБЪЕКТЫ'!$B$78,0),0)-ES53-ES57-ES21</x:f>
      </x:c>
      <x:c r="ET22" s="117">
        <x:f>ET10-IFERROR((SUM($D$20:$GA$20)-'ОБЪЕКТЫ'!$B$120)*('Продажи'!ET83+'Продажи'!ET86+'Продажи'!ET89+'Продажи'!ET92)/(SUM('Продажи'!$D$83:$GA$83)+SUM('Продажи'!$D$86:$GA$86)+SUM('Продажи'!$D$89:$GA$89)+SUM('Продажи'!$D$92:$GA$92)),0)-IF('ОБЪЕКТЫ'!$B$8=4,IFERROR('ОБЪЕКТЫ'!$B$28*'ОБЪЕКТЫ'!ET22/'ОБЪЕКТЫ'!$B$22,0),0)-IF('ОБЪЕКТЫ'!$B$36=4,IFERROR('ОБЪЕКТЫ'!$B$56*'ОБЪЕКТЫ'!ET50/'ОБЪЕКТЫ'!$B$50,0),0)-IF('ОБЪЕКТЫ'!$B$64=4,IFERROR('ОБЪЕКТЫ'!$B$84*'ОБЪЕКТЫ'!ET78/'ОБЪЕКТЫ'!$B$78,0),0)-ET53-ET57-ET21</x:f>
      </x:c>
      <x:c r="EU22" s="117">
        <x:f>EU10-IFERROR((SUM($D$20:$GA$20)-'ОБЪЕКТЫ'!$B$120)*('Продажи'!EU83+'Продажи'!EU86+'Продажи'!EU89+'Продажи'!EU92)/(SUM('Продажи'!$D$83:$GA$83)+SUM('Продажи'!$D$86:$GA$86)+SUM('Продажи'!$D$89:$GA$89)+SUM('Продажи'!$D$92:$GA$92)),0)-IF('ОБЪЕКТЫ'!$B$8=4,IFERROR('ОБЪЕКТЫ'!$B$28*'ОБЪЕКТЫ'!EU22/'ОБЪЕКТЫ'!$B$22,0),0)-IF('ОБЪЕКТЫ'!$B$36=4,IFERROR('ОБЪЕКТЫ'!$B$56*'ОБЪЕКТЫ'!EU50/'ОБЪЕКТЫ'!$B$50,0),0)-IF('ОБЪЕКТЫ'!$B$64=4,IFERROR('ОБЪЕКТЫ'!$B$84*'ОБЪЕКТЫ'!EU78/'ОБЪЕКТЫ'!$B$78,0),0)-EU53-EU57-EU21</x:f>
      </x:c>
      <x:c r="EV22" s="117">
        <x:f>EV10-IFERROR((SUM($D$20:$GA$20)-'ОБЪЕКТЫ'!$B$120)*('Продажи'!EV83+'Продажи'!EV86+'Продажи'!EV89+'Продажи'!EV92)/(SUM('Продажи'!$D$83:$GA$83)+SUM('Продажи'!$D$86:$GA$86)+SUM('Продажи'!$D$89:$GA$89)+SUM('Продажи'!$D$92:$GA$92)),0)-IF('ОБЪЕКТЫ'!$B$8=4,IFERROR('ОБЪЕКТЫ'!$B$28*'ОБЪЕКТЫ'!EV22/'ОБЪЕКТЫ'!$B$22,0),0)-IF('ОБЪЕКТЫ'!$B$36=4,IFERROR('ОБЪЕКТЫ'!$B$56*'ОБЪЕКТЫ'!EV50/'ОБЪЕКТЫ'!$B$50,0),0)-IF('ОБЪЕКТЫ'!$B$64=4,IFERROR('ОБЪЕКТЫ'!$B$84*'ОБЪЕКТЫ'!EV78/'ОБЪЕКТЫ'!$B$78,0),0)-EV53-EV57-EV21</x:f>
      </x:c>
      <x:c r="EW22" s="117">
        <x:f>EW10-IFERROR((SUM($D$20:$GA$20)-'ОБЪЕКТЫ'!$B$120)*('Продажи'!EW83+'Продажи'!EW86+'Продажи'!EW89+'Продажи'!EW92)/(SUM('Продажи'!$D$83:$GA$83)+SUM('Продажи'!$D$86:$GA$86)+SUM('Продажи'!$D$89:$GA$89)+SUM('Продажи'!$D$92:$GA$92)),0)-IF('ОБЪЕКТЫ'!$B$8=4,IFERROR('ОБЪЕКТЫ'!$B$28*'ОБЪЕКТЫ'!EW22/'ОБЪЕКТЫ'!$B$22,0),0)-IF('ОБЪЕКТЫ'!$B$36=4,IFERROR('ОБЪЕКТЫ'!$B$56*'ОБЪЕКТЫ'!EW50/'ОБЪЕКТЫ'!$B$50,0),0)-IF('ОБЪЕКТЫ'!$B$64=4,IFERROR('ОБЪЕКТЫ'!$B$84*'ОБЪЕКТЫ'!EW78/'ОБЪЕКТЫ'!$B$78,0),0)-EW53-EW57-EW21</x:f>
      </x:c>
      <x:c r="EX22" s="117">
        <x:f>EX10-IFERROR((SUM($D$20:$GA$20)-'ОБЪЕКТЫ'!$B$120)*('Продажи'!EX83+'Продажи'!EX86+'Продажи'!EX89+'Продажи'!EX92)/(SUM('Продажи'!$D$83:$GA$83)+SUM('Продажи'!$D$86:$GA$86)+SUM('Продажи'!$D$89:$GA$89)+SUM('Продажи'!$D$92:$GA$92)),0)-IF('ОБЪЕКТЫ'!$B$8=4,IFERROR('ОБЪЕКТЫ'!$B$28*'ОБЪЕКТЫ'!EX22/'ОБЪЕКТЫ'!$B$22,0),0)-IF('ОБЪЕКТЫ'!$B$36=4,IFERROR('ОБЪЕКТЫ'!$B$56*'ОБЪЕКТЫ'!EX50/'ОБЪЕКТЫ'!$B$50,0),0)-IF('ОБЪЕКТЫ'!$B$64=4,IFERROR('ОБЪЕКТЫ'!$B$84*'ОБЪЕКТЫ'!EX78/'ОБЪЕКТЫ'!$B$78,0),0)-EX53-EX57-EX21</x:f>
      </x:c>
      <x:c r="EY22" s="117">
        <x:f>EY10-IFERROR((SUM($D$20:$GA$20)-'ОБЪЕКТЫ'!$B$120)*('Продажи'!EY83+'Продажи'!EY86+'Продажи'!EY89+'Продажи'!EY92)/(SUM('Продажи'!$D$83:$GA$83)+SUM('Продажи'!$D$86:$GA$86)+SUM('Продажи'!$D$89:$GA$89)+SUM('Продажи'!$D$92:$GA$92)),0)-IF('ОБЪЕКТЫ'!$B$8=4,IFERROR('ОБЪЕКТЫ'!$B$28*'ОБЪЕКТЫ'!EY22/'ОБЪЕКТЫ'!$B$22,0),0)-IF('ОБЪЕКТЫ'!$B$36=4,IFERROR('ОБЪЕКТЫ'!$B$56*'ОБЪЕКТЫ'!EY50/'ОБЪЕКТЫ'!$B$50,0),0)-IF('ОБЪЕКТЫ'!$B$64=4,IFERROR('ОБЪЕКТЫ'!$B$84*'ОБЪЕКТЫ'!EY78/'ОБЪЕКТЫ'!$B$78,0),0)-EY53-EY57-EY21</x:f>
      </x:c>
      <x:c r="EZ22" s="117">
        <x:f>EZ10-IFERROR((SUM($D$20:$GA$20)-'ОБЪЕКТЫ'!$B$120)*('Продажи'!EZ83+'Продажи'!EZ86+'Продажи'!EZ89+'Продажи'!EZ92)/(SUM('Продажи'!$D$83:$GA$83)+SUM('Продажи'!$D$86:$GA$86)+SUM('Продажи'!$D$89:$GA$89)+SUM('Продажи'!$D$92:$GA$92)),0)-IF('ОБЪЕКТЫ'!$B$8=4,IFERROR('ОБЪЕКТЫ'!$B$28*'ОБЪЕКТЫ'!EZ22/'ОБЪЕКТЫ'!$B$22,0),0)-IF('ОБЪЕКТЫ'!$B$36=4,IFERROR('ОБЪЕКТЫ'!$B$56*'ОБЪЕКТЫ'!EZ50/'ОБЪЕКТЫ'!$B$50,0),0)-IF('ОБЪЕКТЫ'!$B$64=4,IFERROR('ОБЪЕКТЫ'!$B$84*'ОБЪЕКТЫ'!EZ78/'ОБЪЕКТЫ'!$B$78,0),0)-EZ53-EZ57-EZ21</x:f>
      </x:c>
      <x:c r="FA22" s="117">
        <x:f>FA10-IFERROR((SUM($D$20:$GA$20)-'ОБЪЕКТЫ'!$B$120)*('Продажи'!FA83+'Продажи'!FA86+'Продажи'!FA89+'Продажи'!FA92)/(SUM('Продажи'!$D$83:$GA$83)+SUM('Продажи'!$D$86:$GA$86)+SUM('Продажи'!$D$89:$GA$89)+SUM('Продажи'!$D$92:$GA$92)),0)-IF('ОБЪЕКТЫ'!$B$8=4,IFERROR('ОБЪЕКТЫ'!$B$28*'ОБЪЕКТЫ'!FA22/'ОБЪЕКТЫ'!$B$22,0),0)-IF('ОБЪЕКТЫ'!$B$36=4,IFERROR('ОБЪЕКТЫ'!$B$56*'ОБЪЕКТЫ'!FA50/'ОБЪЕКТЫ'!$B$50,0),0)-IF('ОБЪЕКТЫ'!$B$64=4,IFERROR('ОБЪЕКТЫ'!$B$84*'ОБЪЕКТЫ'!FA78/'ОБЪЕКТЫ'!$B$78,0),0)-FA53-FA57-FA21</x:f>
      </x:c>
      <x:c r="FB22" s="117">
        <x:f>FB10-IFERROR((SUM($D$20:$GA$20)-'ОБЪЕКТЫ'!$B$120)*('Продажи'!FB83+'Продажи'!FB86+'Продажи'!FB89+'Продажи'!FB92)/(SUM('Продажи'!$D$83:$GA$83)+SUM('Продажи'!$D$86:$GA$86)+SUM('Продажи'!$D$89:$GA$89)+SUM('Продажи'!$D$92:$GA$92)),0)-IF('ОБЪЕКТЫ'!$B$8=4,IFERROR('ОБЪЕКТЫ'!$B$28*'ОБЪЕКТЫ'!FB22/'ОБЪЕКТЫ'!$B$22,0),0)-IF('ОБЪЕКТЫ'!$B$36=4,IFERROR('ОБЪЕКТЫ'!$B$56*'ОБЪЕКТЫ'!FB50/'ОБЪЕКТЫ'!$B$50,0),0)-IF('ОБЪЕКТЫ'!$B$64=4,IFERROR('ОБЪЕКТЫ'!$B$84*'ОБЪЕКТЫ'!FB78/'ОБЪЕКТЫ'!$B$78,0),0)-FB53-FB57-FB21</x:f>
      </x:c>
      <x:c r="FC22" s="117">
        <x:f>FC10-IFERROR((SUM($D$20:$GA$20)-'ОБЪЕКТЫ'!$B$120)*('Продажи'!FC83+'Продажи'!FC86+'Продажи'!FC89+'Продажи'!FC92)/(SUM('Продажи'!$D$83:$GA$83)+SUM('Продажи'!$D$86:$GA$86)+SUM('Продажи'!$D$89:$GA$89)+SUM('Продажи'!$D$92:$GA$92)),0)-IF('ОБЪЕКТЫ'!$B$8=4,IFERROR('ОБЪЕКТЫ'!$B$28*'ОБЪЕКТЫ'!FC22/'ОБЪЕКТЫ'!$B$22,0),0)-IF('ОБЪЕКТЫ'!$B$36=4,IFERROR('ОБЪЕКТЫ'!$B$56*'ОБЪЕКТЫ'!FC50/'ОБЪЕКТЫ'!$B$50,0),0)-IF('ОБЪЕКТЫ'!$B$64=4,IFERROR('ОБЪЕКТЫ'!$B$84*'ОБЪЕКТЫ'!FC78/'ОБЪЕКТЫ'!$B$78,0),0)-FC53-FC57-FC21</x:f>
      </x:c>
      <x:c r="FD22" s="117">
        <x:f>FD10-IFERROR((SUM($D$20:$GA$20)-'ОБЪЕКТЫ'!$B$120)*('Продажи'!FD83+'Продажи'!FD86+'Продажи'!FD89+'Продажи'!FD92)/(SUM('Продажи'!$D$83:$GA$83)+SUM('Продажи'!$D$86:$GA$86)+SUM('Продажи'!$D$89:$GA$89)+SUM('Продажи'!$D$92:$GA$92)),0)-IF('ОБЪЕКТЫ'!$B$8=4,IFERROR('ОБЪЕКТЫ'!$B$28*'ОБЪЕКТЫ'!FD22/'ОБЪЕКТЫ'!$B$22,0),0)-IF('ОБЪЕКТЫ'!$B$36=4,IFERROR('ОБЪЕКТЫ'!$B$56*'ОБЪЕКТЫ'!FD50/'ОБЪЕКТЫ'!$B$50,0),0)-IF('ОБЪЕКТЫ'!$B$64=4,IFERROR('ОБЪЕКТЫ'!$B$84*'ОБЪЕКТЫ'!FD78/'ОБЪЕКТЫ'!$B$78,0),0)-FD53-FD57-FD21</x:f>
      </x:c>
      <x:c r="FE22" s="117">
        <x:f>FE10-IFERROR((SUM($D$20:$GA$20)-'ОБЪЕКТЫ'!$B$120)*('Продажи'!FE83+'Продажи'!FE86+'Продажи'!FE89+'Продажи'!FE92)/(SUM('Продажи'!$D$83:$GA$83)+SUM('Продажи'!$D$86:$GA$86)+SUM('Продажи'!$D$89:$GA$89)+SUM('Продажи'!$D$92:$GA$92)),0)-IF('ОБЪЕКТЫ'!$B$8=4,IFERROR('ОБЪЕКТЫ'!$B$28*'ОБЪЕКТЫ'!FE22/'ОБЪЕКТЫ'!$B$22,0),0)-IF('ОБЪЕКТЫ'!$B$36=4,IFERROR('ОБЪЕКТЫ'!$B$56*'ОБЪЕКТЫ'!FE50/'ОБЪЕКТЫ'!$B$50,0),0)-IF('ОБЪЕКТЫ'!$B$64=4,IFERROR('ОБЪЕКТЫ'!$B$84*'ОБЪЕКТЫ'!FE78/'ОБЪЕКТЫ'!$B$78,0),0)-FE53-FE57-FE21</x:f>
      </x:c>
      <x:c r="FF22" s="117">
        <x:f>FF10-IFERROR((SUM($D$20:$GA$20)-'ОБЪЕКТЫ'!$B$120)*('Продажи'!FF83+'Продажи'!FF86+'Продажи'!FF89+'Продажи'!FF92)/(SUM('Продажи'!$D$83:$GA$83)+SUM('Продажи'!$D$86:$GA$86)+SUM('Продажи'!$D$89:$GA$89)+SUM('Продажи'!$D$92:$GA$92)),0)-IF('ОБЪЕКТЫ'!$B$8=4,IFERROR('ОБЪЕКТЫ'!$B$28*'ОБЪЕКТЫ'!FF22/'ОБЪЕКТЫ'!$B$22,0),0)-IF('ОБЪЕКТЫ'!$B$36=4,IFERROR('ОБЪЕКТЫ'!$B$56*'ОБЪЕКТЫ'!FF50/'ОБЪЕКТЫ'!$B$50,0),0)-IF('ОБЪЕКТЫ'!$B$64=4,IFERROR('ОБЪЕКТЫ'!$B$84*'ОБЪЕКТЫ'!FF78/'ОБЪЕКТЫ'!$B$78,0),0)-FF53-FF57-FF21</x:f>
      </x:c>
      <x:c r="FG22" s="117">
        <x:f>FG10-IFERROR((SUM($D$20:$GA$20)-'ОБЪЕКТЫ'!$B$120)*('Продажи'!FG83+'Продажи'!FG86+'Продажи'!FG89+'Продажи'!FG92)/(SUM('Продажи'!$D$83:$GA$83)+SUM('Продажи'!$D$86:$GA$86)+SUM('Продажи'!$D$89:$GA$89)+SUM('Продажи'!$D$92:$GA$92)),0)-IF('ОБЪЕКТЫ'!$B$8=4,IFERROR('ОБЪЕКТЫ'!$B$28*'ОБЪЕКТЫ'!FG22/'ОБЪЕКТЫ'!$B$22,0),0)-IF('ОБЪЕКТЫ'!$B$36=4,IFERROR('ОБЪЕКТЫ'!$B$56*'ОБЪЕКТЫ'!FG50/'ОБЪЕКТЫ'!$B$50,0),0)-IF('ОБЪЕКТЫ'!$B$64=4,IFERROR('ОБЪЕКТЫ'!$B$84*'ОБЪЕКТЫ'!FG78/'ОБЪЕКТЫ'!$B$78,0),0)-FG53-FG57-FG21</x:f>
      </x:c>
      <x:c r="FH22" s="117">
        <x:f>FH10-IFERROR((SUM($D$20:$GA$20)-'ОБЪЕКТЫ'!$B$120)*('Продажи'!FH83+'Продажи'!FH86+'Продажи'!FH89+'Продажи'!FH92)/(SUM('Продажи'!$D$83:$GA$83)+SUM('Продажи'!$D$86:$GA$86)+SUM('Продажи'!$D$89:$GA$89)+SUM('Продажи'!$D$92:$GA$92)),0)-IF('ОБЪЕКТЫ'!$B$8=4,IFERROR('ОБЪЕКТЫ'!$B$28*'ОБЪЕКТЫ'!FH22/'ОБЪЕКТЫ'!$B$22,0),0)-IF('ОБЪЕКТЫ'!$B$36=4,IFERROR('ОБЪЕКТЫ'!$B$56*'ОБЪЕКТЫ'!FH50/'ОБЪЕКТЫ'!$B$50,0),0)-IF('ОБЪЕКТЫ'!$B$64=4,IFERROR('ОБЪЕКТЫ'!$B$84*'ОБЪЕКТЫ'!FH78/'ОБЪЕКТЫ'!$B$78,0),0)-FH53-FH57-FH21</x:f>
      </x:c>
      <x:c r="FI22" s="117">
        <x:f>FI10-IFERROR((SUM($D$20:$GA$20)-'ОБЪЕКТЫ'!$B$120)*('Продажи'!FI83+'Продажи'!FI86+'Продажи'!FI89+'Продажи'!FI92)/(SUM('Продажи'!$D$83:$GA$83)+SUM('Продажи'!$D$86:$GA$86)+SUM('Продажи'!$D$89:$GA$89)+SUM('Продажи'!$D$92:$GA$92)),0)-IF('ОБЪЕКТЫ'!$B$8=4,IFERROR('ОБЪЕКТЫ'!$B$28*'ОБЪЕКТЫ'!FI22/'ОБЪЕКТЫ'!$B$22,0),0)-IF('ОБЪЕКТЫ'!$B$36=4,IFERROR('ОБЪЕКТЫ'!$B$56*'ОБЪЕКТЫ'!FI50/'ОБЪЕКТЫ'!$B$50,0),0)-IF('ОБЪЕКТЫ'!$B$64=4,IFERROR('ОБЪЕКТЫ'!$B$84*'ОБЪЕКТЫ'!FI78/'ОБЪЕКТЫ'!$B$78,0),0)-FI53-FI57-FI21</x:f>
      </x:c>
      <x:c r="FJ22" s="117">
        <x:f>FJ10-IFERROR((SUM($D$20:$GA$20)-'ОБЪЕКТЫ'!$B$120)*('Продажи'!FJ83+'Продажи'!FJ86+'Продажи'!FJ89+'Продажи'!FJ92)/(SUM('Продажи'!$D$83:$GA$83)+SUM('Продажи'!$D$86:$GA$86)+SUM('Продажи'!$D$89:$GA$89)+SUM('Продажи'!$D$92:$GA$92)),0)-IF('ОБЪЕКТЫ'!$B$8=4,IFERROR('ОБЪЕКТЫ'!$B$28*'ОБЪЕКТЫ'!FJ22/'ОБЪЕКТЫ'!$B$22,0),0)-IF('ОБЪЕКТЫ'!$B$36=4,IFERROR('ОБЪЕКТЫ'!$B$56*'ОБЪЕКТЫ'!FJ50/'ОБЪЕКТЫ'!$B$50,0),0)-IF('ОБЪЕКТЫ'!$B$64=4,IFERROR('ОБЪЕКТЫ'!$B$84*'ОБЪЕКТЫ'!FJ78/'ОБЪЕКТЫ'!$B$78,0),0)-FJ53-FJ57-FJ21</x:f>
      </x:c>
      <x:c r="FK22" s="117">
        <x:f>FK10-IFERROR((SUM($D$20:$GA$20)-'ОБЪЕКТЫ'!$B$120)*('Продажи'!FK83+'Продажи'!FK86+'Продажи'!FK89+'Продажи'!FK92)/(SUM('Продажи'!$D$83:$GA$83)+SUM('Продажи'!$D$86:$GA$86)+SUM('Продажи'!$D$89:$GA$89)+SUM('Продажи'!$D$92:$GA$92)),0)-IF('ОБЪЕКТЫ'!$B$8=4,IFERROR('ОБЪЕКТЫ'!$B$28*'ОБЪЕКТЫ'!FK22/'ОБЪЕКТЫ'!$B$22,0),0)-IF('ОБЪЕКТЫ'!$B$36=4,IFERROR('ОБЪЕКТЫ'!$B$56*'ОБЪЕКТЫ'!FK50/'ОБЪЕКТЫ'!$B$50,0),0)-IF('ОБЪЕКТЫ'!$B$64=4,IFERROR('ОБЪЕКТЫ'!$B$84*'ОБЪЕКТЫ'!FK78/'ОБЪЕКТЫ'!$B$78,0),0)-FK53-FK57-FK21</x:f>
      </x:c>
      <x:c r="FL22" s="117">
        <x:f>FL10-IFERROR((SUM($D$20:$GA$20)-'ОБЪЕКТЫ'!$B$120)*('Продажи'!FL83+'Продажи'!FL86+'Продажи'!FL89+'Продажи'!FL92)/(SUM('Продажи'!$D$83:$GA$83)+SUM('Продажи'!$D$86:$GA$86)+SUM('Продажи'!$D$89:$GA$89)+SUM('Продажи'!$D$92:$GA$92)),0)-IF('ОБЪЕКТЫ'!$B$8=4,IFERROR('ОБЪЕКТЫ'!$B$28*'ОБЪЕКТЫ'!FL22/'ОБЪЕКТЫ'!$B$22,0),0)-IF('ОБЪЕКТЫ'!$B$36=4,IFERROR('ОБЪЕКТЫ'!$B$56*'ОБЪЕКТЫ'!FL50/'ОБЪЕКТЫ'!$B$50,0),0)-IF('ОБЪЕКТЫ'!$B$64=4,IFERROR('ОБЪЕКТЫ'!$B$84*'ОБЪЕКТЫ'!FL78/'ОБЪЕКТЫ'!$B$78,0),0)-FL53-FL57-FL21</x:f>
      </x:c>
      <x:c r="FM22" s="117">
        <x:f>FM10-IFERROR((SUM($D$20:$GA$20)-'ОБЪЕКТЫ'!$B$120)*('Продажи'!FM83+'Продажи'!FM86+'Продажи'!FM89+'Продажи'!FM92)/(SUM('Продажи'!$D$83:$GA$83)+SUM('Продажи'!$D$86:$GA$86)+SUM('Продажи'!$D$89:$GA$89)+SUM('Продажи'!$D$92:$GA$92)),0)-IF('ОБЪЕКТЫ'!$B$8=4,IFERROR('ОБЪЕКТЫ'!$B$28*'ОБЪЕКТЫ'!FM22/'ОБЪЕКТЫ'!$B$22,0),0)-IF('ОБЪЕКТЫ'!$B$36=4,IFERROR('ОБЪЕКТЫ'!$B$56*'ОБЪЕКТЫ'!FM50/'ОБЪЕКТЫ'!$B$50,0),0)-IF('ОБЪЕКТЫ'!$B$64=4,IFERROR('ОБЪЕКТЫ'!$B$84*'ОБЪЕКТЫ'!FM78/'ОБЪЕКТЫ'!$B$78,0),0)-FM53-FM57-FM21</x:f>
      </x:c>
      <x:c r="FN22" s="117">
        <x:f>FN10-IFERROR((SUM($D$20:$GA$20)-'ОБЪЕКТЫ'!$B$120)*('Продажи'!FN83+'Продажи'!FN86+'Продажи'!FN89+'Продажи'!FN92)/(SUM('Продажи'!$D$83:$GA$83)+SUM('Продажи'!$D$86:$GA$86)+SUM('Продажи'!$D$89:$GA$89)+SUM('Продажи'!$D$92:$GA$92)),0)-IF('ОБЪЕКТЫ'!$B$8=4,IFERROR('ОБЪЕКТЫ'!$B$28*'ОБЪЕКТЫ'!FN22/'ОБЪЕКТЫ'!$B$22,0),0)-IF('ОБЪЕКТЫ'!$B$36=4,IFERROR('ОБЪЕКТЫ'!$B$56*'ОБЪЕКТЫ'!FN50/'ОБЪЕКТЫ'!$B$50,0),0)-IF('ОБЪЕКТЫ'!$B$64=4,IFERROR('ОБЪЕКТЫ'!$B$84*'ОБЪЕКТЫ'!FN78/'ОБЪЕКТЫ'!$B$78,0),0)-FN53-FN57-FN21</x:f>
      </x:c>
      <x:c r="FO22" s="117">
        <x:f>FO10-IFERROR((SUM($D$20:$GA$20)-'ОБЪЕКТЫ'!$B$120)*('Продажи'!FO83+'Продажи'!FO86+'Продажи'!FO89+'Продажи'!FO92)/(SUM('Продажи'!$D$83:$GA$83)+SUM('Продажи'!$D$86:$GA$86)+SUM('Продажи'!$D$89:$GA$89)+SUM('Продажи'!$D$92:$GA$92)),0)-IF('ОБЪЕКТЫ'!$B$8=4,IFERROR('ОБЪЕКТЫ'!$B$28*'ОБЪЕКТЫ'!FO22/'ОБЪЕКТЫ'!$B$22,0),0)-IF('ОБЪЕКТЫ'!$B$36=4,IFERROR('ОБЪЕКТЫ'!$B$56*'ОБЪЕКТЫ'!FO50/'ОБЪЕКТЫ'!$B$50,0),0)-IF('ОБЪЕКТЫ'!$B$64=4,IFERROR('ОБЪЕКТЫ'!$B$84*'ОБЪЕКТЫ'!FO78/'ОБЪЕКТЫ'!$B$78,0),0)-FO53-FO57-FO21</x:f>
      </x:c>
      <x:c r="FP22" s="117">
        <x:f>FP10-IFERROR((SUM($D$20:$GA$20)-'ОБЪЕКТЫ'!$B$120)*('Продажи'!FP83+'Продажи'!FP86+'Продажи'!FP89+'Продажи'!FP92)/(SUM('Продажи'!$D$83:$GA$83)+SUM('Продажи'!$D$86:$GA$86)+SUM('Продажи'!$D$89:$GA$89)+SUM('Продажи'!$D$92:$GA$92)),0)-IF('ОБЪЕКТЫ'!$B$8=4,IFERROR('ОБЪЕКТЫ'!$B$28*'ОБЪЕКТЫ'!FP22/'ОБЪЕКТЫ'!$B$22,0),0)-IF('ОБЪЕКТЫ'!$B$36=4,IFERROR('ОБЪЕКТЫ'!$B$56*'ОБЪЕКТЫ'!FP50/'ОБЪЕКТЫ'!$B$50,0),0)-IF('ОБЪЕКТЫ'!$B$64=4,IFERROR('ОБЪЕКТЫ'!$B$84*'ОБЪЕКТЫ'!FP78/'ОБЪЕКТЫ'!$B$78,0),0)-FP53-FP57-FP21</x:f>
      </x:c>
      <x:c r="FQ22" s="117">
        <x:f>FQ10-IFERROR((SUM($D$20:$GA$20)-'ОБЪЕКТЫ'!$B$120)*('Продажи'!FQ83+'Продажи'!FQ86+'Продажи'!FQ89+'Продажи'!FQ92)/(SUM('Продажи'!$D$83:$GA$83)+SUM('Продажи'!$D$86:$GA$86)+SUM('Продажи'!$D$89:$GA$89)+SUM('Продажи'!$D$92:$GA$92)),0)-IF('ОБЪЕКТЫ'!$B$8=4,IFERROR('ОБЪЕКТЫ'!$B$28*'ОБЪЕКТЫ'!FQ22/'ОБЪЕКТЫ'!$B$22,0),0)-IF('ОБЪЕКТЫ'!$B$36=4,IFERROR('ОБЪЕКТЫ'!$B$56*'ОБЪЕКТЫ'!FQ50/'ОБЪЕКТЫ'!$B$50,0),0)-IF('ОБЪЕКТЫ'!$B$64=4,IFERROR('ОБЪЕКТЫ'!$B$84*'ОБЪЕКТЫ'!FQ78/'ОБЪЕКТЫ'!$B$78,0),0)-FQ53-FQ57-FQ21</x:f>
      </x:c>
      <x:c r="FR22" s="117">
        <x:f>FR10-IFERROR((SUM($D$20:$GA$20)-'ОБЪЕКТЫ'!$B$120)*('Продажи'!FR83+'Продажи'!FR86+'Продажи'!FR89+'Продажи'!FR92)/(SUM('Продажи'!$D$83:$GA$83)+SUM('Продажи'!$D$86:$GA$86)+SUM('Продажи'!$D$89:$GA$89)+SUM('Продажи'!$D$92:$GA$92)),0)-IF('ОБЪЕКТЫ'!$B$8=4,IFERROR('ОБЪЕКТЫ'!$B$28*'ОБЪЕКТЫ'!FR22/'ОБЪЕКТЫ'!$B$22,0),0)-IF('ОБЪЕКТЫ'!$B$36=4,IFERROR('ОБЪЕКТЫ'!$B$56*'ОБЪЕКТЫ'!FR50/'ОБЪЕКТЫ'!$B$50,0),0)-IF('ОБЪЕКТЫ'!$B$64=4,IFERROR('ОБЪЕКТЫ'!$B$84*'ОБЪЕКТЫ'!FR78/'ОБЪЕКТЫ'!$B$78,0),0)-FR53-FR57-FR21</x:f>
      </x:c>
      <x:c r="FS22" s="117">
        <x:f>FS10-IFERROR((SUM($D$20:$GA$20)-'ОБЪЕКТЫ'!$B$120)*('Продажи'!FS83+'Продажи'!FS86+'Продажи'!FS89+'Продажи'!FS92)/(SUM('Продажи'!$D$83:$GA$83)+SUM('Продажи'!$D$86:$GA$86)+SUM('Продажи'!$D$89:$GA$89)+SUM('Продажи'!$D$92:$GA$92)),0)-IF('ОБЪЕКТЫ'!$B$8=4,IFERROR('ОБЪЕКТЫ'!$B$28*'ОБЪЕКТЫ'!FS22/'ОБЪЕКТЫ'!$B$22,0),0)-IF('ОБЪЕКТЫ'!$B$36=4,IFERROR('ОБЪЕКТЫ'!$B$56*'ОБЪЕКТЫ'!FS50/'ОБЪЕКТЫ'!$B$50,0),0)-IF('ОБЪЕКТЫ'!$B$64=4,IFERROR('ОБЪЕКТЫ'!$B$84*'ОБЪЕКТЫ'!FS78/'ОБЪЕКТЫ'!$B$78,0),0)-FS53-FS57-FS21</x:f>
      </x:c>
      <x:c r="FT22" s="117">
        <x:f>FT10-IFERROR((SUM($D$20:$GA$20)-'ОБЪЕКТЫ'!$B$120)*('Продажи'!FT83+'Продажи'!FT86+'Продажи'!FT89+'Продажи'!FT92)/(SUM('Продажи'!$D$83:$GA$83)+SUM('Продажи'!$D$86:$GA$86)+SUM('Продажи'!$D$89:$GA$89)+SUM('Продажи'!$D$92:$GA$92)),0)-IF('ОБЪЕКТЫ'!$B$8=4,IFERROR('ОБЪЕКТЫ'!$B$28*'ОБЪЕКТЫ'!FT22/'ОБЪЕКТЫ'!$B$22,0),0)-IF('ОБЪЕКТЫ'!$B$36=4,IFERROR('ОБЪЕКТЫ'!$B$56*'ОБЪЕКТЫ'!FT50/'ОБЪЕКТЫ'!$B$50,0),0)-IF('ОБЪЕКТЫ'!$B$64=4,IFERROR('ОБЪЕКТЫ'!$B$84*'ОБЪЕКТЫ'!FT78/'ОБЪЕКТЫ'!$B$78,0),0)-FT53-FT57-FT21</x:f>
      </x:c>
      <x:c r="FU22" s="117">
        <x:f>FU10-IFERROR((SUM($D$20:$GA$20)-'ОБЪЕКТЫ'!$B$120)*('Продажи'!FU83+'Продажи'!FU86+'Продажи'!FU89+'Продажи'!FU92)/(SUM('Продажи'!$D$83:$GA$83)+SUM('Продажи'!$D$86:$GA$86)+SUM('Продажи'!$D$89:$GA$89)+SUM('Продажи'!$D$92:$GA$92)),0)-IF('ОБЪЕКТЫ'!$B$8=4,IFERROR('ОБЪЕКТЫ'!$B$28*'ОБЪЕКТЫ'!FU22/'ОБЪЕКТЫ'!$B$22,0),0)-IF('ОБЪЕКТЫ'!$B$36=4,IFERROR('ОБЪЕКТЫ'!$B$56*'ОБЪЕКТЫ'!FU50/'ОБЪЕКТЫ'!$B$50,0),0)-IF('ОБЪЕКТЫ'!$B$64=4,IFERROR('ОБЪЕКТЫ'!$B$84*'ОБЪЕКТЫ'!FU78/'ОБЪЕКТЫ'!$B$78,0),0)-FU53-FU57-FU21</x:f>
      </x:c>
      <x:c r="FV22" s="117">
        <x:f>FV10-IFERROR((SUM($D$20:$GA$20)-'ОБЪЕКТЫ'!$B$120)*('Продажи'!FV83+'Продажи'!FV86+'Продажи'!FV89+'Продажи'!FV92)/(SUM('Продажи'!$D$83:$GA$83)+SUM('Продажи'!$D$86:$GA$86)+SUM('Продажи'!$D$89:$GA$89)+SUM('Продажи'!$D$92:$GA$92)),0)-IF('ОБЪЕКТЫ'!$B$8=4,IFERROR('ОБЪЕКТЫ'!$B$28*'ОБЪЕКТЫ'!FV22/'ОБЪЕКТЫ'!$B$22,0),0)-IF('ОБЪЕКТЫ'!$B$36=4,IFERROR('ОБЪЕКТЫ'!$B$56*'ОБЪЕКТЫ'!FV50/'ОБЪЕКТЫ'!$B$50,0),0)-IF('ОБЪЕКТЫ'!$B$64=4,IFERROR('ОБЪЕКТЫ'!$B$84*'ОБЪЕКТЫ'!FV78/'ОБЪЕКТЫ'!$B$78,0),0)-FV53-FV57-FV21</x:f>
      </x:c>
      <x:c r="FW22" s="117">
        <x:f>FW10-IFERROR((SUM($D$20:$GA$20)-'ОБЪЕКТЫ'!$B$120)*('Продажи'!FW83+'Продажи'!FW86+'Продажи'!FW89+'Продажи'!FW92)/(SUM('Продажи'!$D$83:$GA$83)+SUM('Продажи'!$D$86:$GA$86)+SUM('Продажи'!$D$89:$GA$89)+SUM('Продажи'!$D$92:$GA$92)),0)-IF('ОБЪЕКТЫ'!$B$8=4,IFERROR('ОБЪЕКТЫ'!$B$28*'ОБЪЕКТЫ'!FW22/'ОБЪЕКТЫ'!$B$22,0),0)-IF('ОБЪЕКТЫ'!$B$36=4,IFERROR('ОБЪЕКТЫ'!$B$56*'ОБЪЕКТЫ'!FW50/'ОБЪЕКТЫ'!$B$50,0),0)-IF('ОБЪЕКТЫ'!$B$64=4,IFERROR('ОБЪЕКТЫ'!$B$84*'ОБЪЕКТЫ'!FW78/'ОБЪЕКТЫ'!$B$78,0),0)-FW53-FW57-FW21</x:f>
      </x:c>
      <x:c r="FX22" s="117">
        <x:f>FX10-IFERROR((SUM($D$20:$GA$20)-'ОБЪЕКТЫ'!$B$120)*('Продажи'!FX83+'Продажи'!FX86+'Продажи'!FX89+'Продажи'!FX92)/(SUM('Продажи'!$D$83:$GA$83)+SUM('Продажи'!$D$86:$GA$86)+SUM('Продажи'!$D$89:$GA$89)+SUM('Продажи'!$D$92:$GA$92)),0)-IF('ОБЪЕКТЫ'!$B$8=4,IFERROR('ОБЪЕКТЫ'!$B$28*'ОБЪЕКТЫ'!FX22/'ОБЪЕКТЫ'!$B$22,0),0)-IF('ОБЪЕКТЫ'!$B$36=4,IFERROR('ОБЪЕКТЫ'!$B$56*'ОБЪЕКТЫ'!FX50/'ОБЪЕКТЫ'!$B$50,0),0)-IF('ОБЪЕКТЫ'!$B$64=4,IFERROR('ОБЪЕКТЫ'!$B$84*'ОБЪЕКТЫ'!FX78/'ОБЪЕКТЫ'!$B$78,0),0)-FX53-FX57-FX21</x:f>
      </x:c>
      <x:c r="FY22" s="117">
        <x:f>FY10-IFERROR((SUM($D$20:$GA$20)-'ОБЪЕКТЫ'!$B$120)*('Продажи'!FY83+'Продажи'!FY86+'Продажи'!FY89+'Продажи'!FY92)/(SUM('Продажи'!$D$83:$GA$83)+SUM('Продажи'!$D$86:$GA$86)+SUM('Продажи'!$D$89:$GA$89)+SUM('Продажи'!$D$92:$GA$92)),0)-IF('ОБЪЕКТЫ'!$B$8=4,IFERROR('ОБЪЕКТЫ'!$B$28*'ОБЪЕКТЫ'!FY22/'ОБЪЕКТЫ'!$B$22,0),0)-IF('ОБЪЕКТЫ'!$B$36=4,IFERROR('ОБЪЕКТЫ'!$B$56*'ОБЪЕКТЫ'!FY50/'ОБЪЕКТЫ'!$B$50,0),0)-IF('ОБЪЕКТЫ'!$B$64=4,IFERROR('ОБЪЕКТЫ'!$B$84*'ОБЪЕКТЫ'!FY78/'ОБЪЕКТЫ'!$B$78,0),0)-FY53-FY57-FY21</x:f>
      </x:c>
      <x:c r="FZ22" s="117">
        <x:f>FZ10-IFERROR((SUM($D$20:$GA$20)-'ОБЪЕКТЫ'!$B$120)*('Продажи'!FZ83+'Продажи'!FZ86+'Продажи'!FZ89+'Продажи'!FZ92)/(SUM('Продажи'!$D$83:$GA$83)+SUM('Продажи'!$D$86:$GA$86)+SUM('Продажи'!$D$89:$GA$89)+SUM('Продажи'!$D$92:$GA$92)),0)-IF('ОБЪЕКТЫ'!$B$8=4,IFERROR('ОБЪЕКТЫ'!$B$28*'ОБЪЕКТЫ'!FZ22/'ОБЪЕКТЫ'!$B$22,0),0)-IF('ОБЪЕКТЫ'!$B$36=4,IFERROR('ОБЪЕКТЫ'!$B$56*'ОБЪЕКТЫ'!FZ50/'ОБЪЕКТЫ'!$B$50,0),0)-IF('ОБЪЕКТЫ'!$B$64=4,IFERROR('ОБЪЕКТЫ'!$B$84*'ОБЪЕКТЫ'!FZ78/'ОБЪЕКТЫ'!$B$78,0),0)-FZ53-FZ57-FZ21</x:f>
      </x:c>
      <x:c r="GA22" s="117">
        <x:f>GA10-IFERROR((SUM($D$20:$GA$20)-'ОБЪЕКТЫ'!$B$120)*('Продажи'!GA83+'Продажи'!GA86+'Продажи'!GA89+'Продажи'!GA92)/(SUM('Продажи'!$D$83:$GA$83)+SUM('Продажи'!$D$86:$GA$86)+SUM('Продажи'!$D$89:$GA$89)+SUM('Продажи'!$D$92:$GA$92)),0)-IF('ОБЪЕКТЫ'!$B$8=4,IFERROR('ОБЪЕКТЫ'!$B$28*'ОБЪЕКТЫ'!GA22/'ОБЪЕКТЫ'!$B$22,0),0)-IF('ОБЪЕКТЫ'!$B$36=4,IFERROR('ОБЪЕКТЫ'!$B$56*'ОБЪЕКТЫ'!GA50/'ОБЪЕКТЫ'!$B$50,0),0)-IF('ОБЪЕКТЫ'!$B$64=4,IFERROR('ОБЪЕКТЫ'!$B$84*'ОБЪЕКТЫ'!GA78/'ОБЪЕКТЫ'!$B$78,0),0)-GA53-GA57-GA21</x:f>
      </x:c>
    </x:row>
    <x:row r="23">
      <x:c r="A23" t="str">
        <x:v>Накопленная налоговая база</x:v>
      </x:c>
      <x:c r="B23"/>
      <x:c r="C23" t="str">
        <x:v>млн ₽</x:v>
      </x:c>
      <x:c r="D23" s="117" t="n">
        <x:f>D22</x:f>
      </x:c>
      <x:c r="E23" s="117" t="n">
        <x:f>D23+E22</x:f>
      </x:c>
      <x:c r="F23" s="117" t="n">
        <x:f>E23+F22</x:f>
      </x:c>
      <x:c r="G23" s="117" t="n">
        <x:f>F23+G22</x:f>
      </x:c>
      <x:c r="H23" s="117" t="n">
        <x:f>G23+H22</x:f>
      </x:c>
      <x:c r="I23" s="117" t="n">
        <x:f>H23+I22</x:f>
      </x:c>
      <x:c r="J23" s="117" t="n">
        <x:f>I23+J22</x:f>
      </x:c>
      <x:c r="K23" s="117" t="n">
        <x:f>J23+K22</x:f>
      </x:c>
      <x:c r="L23" s="117" t="n">
        <x:f>K23+L22</x:f>
      </x:c>
      <x:c r="M23" s="117" t="n">
        <x:f>L23+M22</x:f>
      </x:c>
      <x:c r="N23" s="117" t="n">
        <x:f>M23+N22</x:f>
      </x:c>
      <x:c r="O23" s="117" t="n">
        <x:f>N23+O22</x:f>
      </x:c>
      <x:c r="P23" s="117" t="n">
        <x:f>O23+P22</x:f>
      </x:c>
      <x:c r="Q23" s="117" t="n">
        <x:f>P23+Q22</x:f>
      </x:c>
      <x:c r="R23" s="117" t="n">
        <x:f>Q23+R22</x:f>
      </x:c>
      <x:c r="S23" s="117" t="n">
        <x:f>R23+S22</x:f>
      </x:c>
      <x:c r="T23" s="117" t="n">
        <x:f>S23+T22</x:f>
      </x:c>
      <x:c r="U23" s="117" t="n">
        <x:f>T23+U22</x:f>
      </x:c>
      <x:c r="V23" s="117" t="n">
        <x:f>U23+V22</x:f>
      </x:c>
      <x:c r="W23" s="117" t="n">
        <x:f>V23+W22</x:f>
      </x:c>
      <x:c r="X23" s="117" t="n">
        <x:f>W23+X22</x:f>
      </x:c>
      <x:c r="Y23" s="117" t="n">
        <x:f>X23+Y22</x:f>
      </x:c>
      <x:c r="Z23" s="117" t="n">
        <x:f>Y23+Z22</x:f>
      </x:c>
      <x:c r="AA23" s="117" t="n">
        <x:f>Z23+AA22</x:f>
      </x:c>
      <x:c r="AB23" s="117" t="n">
        <x:f>AA23+AB22</x:f>
      </x:c>
      <x:c r="AC23" s="117" t="n">
        <x:f>AB23+AC22</x:f>
      </x:c>
      <x:c r="AD23" s="117" t="n">
        <x:f>AC23+AD22</x:f>
      </x:c>
      <x:c r="AE23" s="117" t="n">
        <x:f>AD23+AE22</x:f>
      </x:c>
      <x:c r="AF23" s="117" t="n">
        <x:f>AE23+AF22</x:f>
      </x:c>
      <x:c r="AG23" s="117" t="n">
        <x:f>AF23+AG22</x:f>
      </x:c>
      <x:c r="AH23" s="117" t="n">
        <x:f>AG23+AH22</x:f>
      </x:c>
      <x:c r="AI23" s="117" t="n">
        <x:f>AH23+AI22</x:f>
      </x:c>
      <x:c r="AJ23" s="117" t="n">
        <x:f>AI23+AJ22</x:f>
      </x:c>
      <x:c r="AK23" s="117" t="n">
        <x:f>AJ23+AK22</x:f>
      </x:c>
      <x:c r="AL23" s="117" t="n">
        <x:f>AK23+AL22</x:f>
      </x:c>
      <x:c r="AM23" s="117" t="n">
        <x:f>AL23+AM22</x:f>
      </x:c>
      <x:c r="AN23" s="117" t="n">
        <x:f>AM23+AN22</x:f>
      </x:c>
      <x:c r="AO23" s="117" t="n">
        <x:f>AN23+AO22</x:f>
      </x:c>
      <x:c r="AP23" s="117" t="n">
        <x:f>AO23+AP22</x:f>
      </x:c>
      <x:c r="AQ23" s="117" t="n">
        <x:f>AP23+AQ22</x:f>
      </x:c>
      <x:c r="AR23" s="117" t="n">
        <x:f>AQ23+AR22</x:f>
      </x:c>
      <x:c r="AS23" s="117" t="n">
        <x:f>AR23+AS22</x:f>
      </x:c>
      <x:c r="AT23" s="117" t="n">
        <x:f>AS23+AT22</x:f>
      </x:c>
      <x:c r="AU23" s="117" t="n">
        <x:f>AT23+AU22</x:f>
      </x:c>
      <x:c r="AV23" s="117" t="n">
        <x:f>AU23+AV22</x:f>
      </x:c>
      <x:c r="AW23" s="117" t="n">
        <x:f>AV23+AW22</x:f>
      </x:c>
      <x:c r="AX23" s="117" t="n">
        <x:f>AW23+AX22</x:f>
      </x:c>
      <x:c r="AY23" s="117" t="n">
        <x:f>AX23+AY22</x:f>
      </x:c>
      <x:c r="AZ23" s="117" t="n">
        <x:f>AY23+AZ22</x:f>
      </x:c>
      <x:c r="BA23" s="117" t="n">
        <x:f>AZ23+BA22</x:f>
      </x:c>
      <x:c r="BB23" s="117" t="n">
        <x:f>BA23+BB22</x:f>
      </x:c>
      <x:c r="BC23" s="117" t="n">
        <x:f>BB23+BC22</x:f>
      </x:c>
      <x:c r="BD23" s="117" t="n">
        <x:f>BC23+BD22</x:f>
      </x:c>
      <x:c r="BE23" s="117" t="n">
        <x:f>BD23+BE22</x:f>
      </x:c>
      <x:c r="BF23" s="117" t="n">
        <x:f>BE23+BF22</x:f>
      </x:c>
      <x:c r="BG23" s="117" t="n">
        <x:f>BF23+BG22</x:f>
      </x:c>
      <x:c r="BH23" s="117" t="n">
        <x:f>BG23+BH22</x:f>
      </x:c>
      <x:c r="BI23" s="117" t="n">
        <x:f>BH23+BI22</x:f>
      </x:c>
      <x:c r="BJ23" s="117" t="n">
        <x:f>BI23+BJ22</x:f>
      </x:c>
      <x:c r="BK23" s="117" t="n">
        <x:f>BJ23+BK22</x:f>
      </x:c>
      <x:c r="BL23" s="117" t="n">
        <x:f>BK23+BL22</x:f>
      </x:c>
      <x:c r="BM23" s="117" t="n">
        <x:f>BL23+BM22</x:f>
      </x:c>
      <x:c r="BN23" s="117" t="n">
        <x:f>BM23+BN22</x:f>
      </x:c>
      <x:c r="BO23" s="117" t="n">
        <x:f>BN23+BO22</x:f>
      </x:c>
      <x:c r="BP23" s="117" t="n">
        <x:f>BO23+BP22</x:f>
      </x:c>
      <x:c r="BQ23" s="117" t="n">
        <x:f>BP23+BQ22</x:f>
      </x:c>
      <x:c r="BR23" s="117" t="n">
        <x:f>BQ23+BR22</x:f>
      </x:c>
      <x:c r="BS23" s="117" t="n">
        <x:f>BR23+BS22</x:f>
      </x:c>
      <x:c r="BT23" s="117" t="n">
        <x:f>BS23+BT22</x:f>
      </x:c>
      <x:c r="BU23" s="117" t="n">
        <x:f>BT23+BU22</x:f>
      </x:c>
      <x:c r="BV23" s="117" t="n">
        <x:f>BU23+BV22</x:f>
      </x:c>
      <x:c r="BW23" s="117" t="n">
        <x:f>BV23+BW22</x:f>
      </x:c>
      <x:c r="BX23" s="117" t="n">
        <x:f>BW23+BX22</x:f>
      </x:c>
      <x:c r="BY23" s="117" t="n">
        <x:f>BX23+BY22</x:f>
      </x:c>
      <x:c r="BZ23" s="117" t="n">
        <x:f>BY23+BZ22</x:f>
      </x:c>
      <x:c r="CA23" s="117" t="n">
        <x:f>BZ23+CA22</x:f>
      </x:c>
      <x:c r="CB23" s="117" t="n">
        <x:f>CA23+CB22</x:f>
      </x:c>
      <x:c r="CC23" s="117" t="n">
        <x:f>CB23+CC22</x:f>
      </x:c>
      <x:c r="CD23" s="117" t="n">
        <x:f>CC23+CD22</x:f>
      </x:c>
      <x:c r="CE23" s="117" t="n">
        <x:f>CD23+CE22</x:f>
      </x:c>
      <x:c r="CF23" s="117" t="n">
        <x:f>CE23+CF22</x:f>
      </x:c>
      <x:c r="CG23" s="117" t="n">
        <x:f>CF23+CG22</x:f>
      </x:c>
      <x:c r="CH23" s="117" t="n">
        <x:f>CG23+CH22</x:f>
      </x:c>
      <x:c r="CI23" s="117" t="n">
        <x:f>CH23+CI22</x:f>
      </x:c>
      <x:c r="CJ23" s="117" t="n">
        <x:f>CI23+CJ22</x:f>
      </x:c>
      <x:c r="CK23" s="117" t="n">
        <x:f>CJ23+CK22</x:f>
      </x:c>
      <x:c r="CL23" s="117" t="n">
        <x:f>CK23+CL22</x:f>
      </x:c>
      <x:c r="CM23" s="117" t="n">
        <x:f>CL23+CM22</x:f>
      </x:c>
      <x:c r="CN23" s="117" t="n">
        <x:f>CM23+CN22</x:f>
      </x:c>
      <x:c r="CO23" s="117" t="n">
        <x:f>CN23+CO22</x:f>
      </x:c>
      <x:c r="CP23" s="117" t="n">
        <x:f>CO23+CP22</x:f>
      </x:c>
      <x:c r="CQ23" s="117" t="n">
        <x:f>CP23+CQ22</x:f>
      </x:c>
      <x:c r="CR23" s="117" t="n">
        <x:f>CQ23+CR22</x:f>
      </x:c>
      <x:c r="CS23" s="117" t="n">
        <x:f>CR23+CS22</x:f>
      </x:c>
      <x:c r="CT23" s="117" t="n">
        <x:f>CS23+CT22</x:f>
      </x:c>
      <x:c r="CU23" s="117" t="n">
        <x:f>CT23+CU22</x:f>
      </x:c>
      <x:c r="CV23" s="117" t="n">
        <x:f>CU23+CV22</x:f>
      </x:c>
      <x:c r="CW23" s="117" t="n">
        <x:f>CV23+CW22</x:f>
      </x:c>
      <x:c r="CX23" s="117" t="n">
        <x:f>CW23+CX22</x:f>
      </x:c>
      <x:c r="CY23" s="117" t="n">
        <x:f>CX23+CY22</x:f>
      </x:c>
      <x:c r="CZ23" s="117" t="n">
        <x:f>CY23+CZ22</x:f>
      </x:c>
      <x:c r="DA23" s="117" t="n">
        <x:f>CZ23+DA22</x:f>
      </x:c>
      <x:c r="DB23" s="117" t="n">
        <x:f>DA23+DB22</x:f>
      </x:c>
      <x:c r="DC23" s="117" t="n">
        <x:f>DB23+DC22</x:f>
      </x:c>
      <x:c r="DD23" s="117" t="n">
        <x:f>DC23+DD22</x:f>
      </x:c>
      <x:c r="DE23" s="117" t="n">
        <x:f>DD23+DE22</x:f>
      </x:c>
      <x:c r="DF23" s="117" t="n">
        <x:f>DE23+DF22</x:f>
      </x:c>
      <x:c r="DG23" s="117" t="n">
        <x:f>DF23+DG22</x:f>
      </x:c>
      <x:c r="DH23" s="117" t="n">
        <x:f>DG23+DH22</x:f>
      </x:c>
      <x:c r="DI23" s="117" t="n">
        <x:f>DH23+DI22</x:f>
      </x:c>
      <x:c r="DJ23" s="117" t="n">
        <x:f>DI23+DJ22</x:f>
      </x:c>
      <x:c r="DK23" s="117" t="n">
        <x:f>DJ23+DK22</x:f>
      </x:c>
      <x:c r="DL23" s="117" t="n">
        <x:f>DK23+DL22</x:f>
      </x:c>
      <x:c r="DM23" s="117" t="n">
        <x:f>DL23+DM22</x:f>
      </x:c>
      <x:c r="DN23" s="117" t="n">
        <x:f>DM23+DN22</x:f>
      </x:c>
      <x:c r="DO23" s="117" t="n">
        <x:f>DN23+DO22</x:f>
      </x:c>
      <x:c r="DP23" s="117" t="n">
        <x:f>DO23+DP22</x:f>
      </x:c>
      <x:c r="DQ23" s="117" t="n">
        <x:f>DP23+DQ22</x:f>
      </x:c>
      <x:c r="DR23" s="117" t="n">
        <x:f>DQ23+DR22</x:f>
      </x:c>
      <x:c r="DS23" s="117" t="n">
        <x:f>DR23+DS22</x:f>
      </x:c>
      <x:c r="DT23" s="117" t="n">
        <x:f>DS23+DT22</x:f>
      </x:c>
      <x:c r="DU23" s="117" t="n">
        <x:f>DT23+DU22</x:f>
      </x:c>
      <x:c r="DV23" s="117" t="n">
        <x:f>DU23+DV22</x:f>
      </x:c>
      <x:c r="DW23" s="117" t="n">
        <x:f>DV23+DW22</x:f>
      </x:c>
      <x:c r="DX23" s="117" t="n">
        <x:f>DW23+DX22</x:f>
      </x:c>
      <x:c r="DY23" s="117" t="n">
        <x:f>DX23+DY22</x:f>
      </x:c>
      <x:c r="DZ23" s="117" t="n">
        <x:f>DY23+DZ22</x:f>
      </x:c>
      <x:c r="EA23" s="117" t="n">
        <x:f>DZ23+EA22</x:f>
      </x:c>
      <x:c r="EB23" s="117" t="n">
        <x:f>EA23+EB22</x:f>
      </x:c>
      <x:c r="EC23" s="117" t="n">
        <x:f>EB23+EC22</x:f>
      </x:c>
      <x:c r="ED23" s="117" t="n">
        <x:f>EC23+ED22</x:f>
      </x:c>
      <x:c r="EE23" s="117" t="n">
        <x:f>ED23+EE22</x:f>
      </x:c>
      <x:c r="EF23" s="117" t="n">
        <x:f>EE23+EF22</x:f>
      </x:c>
      <x:c r="EG23" s="117" t="n">
        <x:f>EF23+EG22</x:f>
      </x:c>
      <x:c r="EH23" s="117" t="n">
        <x:f>EG23+EH22</x:f>
      </x:c>
      <x:c r="EI23" s="117" t="n">
        <x:f>EH23+EI22</x:f>
      </x:c>
      <x:c r="EJ23" s="117" t="n">
        <x:f>EI23+EJ22</x:f>
      </x:c>
      <x:c r="EK23" s="117" t="n">
        <x:f>EJ23+EK22</x:f>
      </x:c>
      <x:c r="EL23" s="117" t="n">
        <x:f>EK23+EL22</x:f>
      </x:c>
      <x:c r="EM23" s="117" t="n">
        <x:f>EL23+EM22</x:f>
      </x:c>
      <x:c r="EN23" s="117" t="n">
        <x:f>EM23+EN22</x:f>
      </x:c>
      <x:c r="EO23" s="117" t="n">
        <x:f>EN23+EO22</x:f>
      </x:c>
      <x:c r="EP23" s="117" t="n">
        <x:f>EO23+EP22</x:f>
      </x:c>
      <x:c r="EQ23" s="117" t="n">
        <x:f>EP23+EQ22</x:f>
      </x:c>
      <x:c r="ER23" s="117" t="n">
        <x:f>EQ23+ER22</x:f>
      </x:c>
      <x:c r="ES23" s="117" t="n">
        <x:f>ER23+ES22</x:f>
      </x:c>
      <x:c r="ET23" s="117" t="n">
        <x:f>ES23+ET22</x:f>
      </x:c>
      <x:c r="EU23" s="117" t="n">
        <x:f>ET23+EU22</x:f>
      </x:c>
      <x:c r="EV23" s="117" t="n">
        <x:f>EU23+EV22</x:f>
      </x:c>
      <x:c r="EW23" s="117" t="n">
        <x:f>EV23+EW22</x:f>
      </x:c>
      <x:c r="EX23" s="117" t="n">
        <x:f>EW23+EX22</x:f>
      </x:c>
      <x:c r="EY23" s="117" t="n">
        <x:f>EX23+EY22</x:f>
      </x:c>
      <x:c r="EZ23" s="117" t="n">
        <x:f>EY23+EZ22</x:f>
      </x:c>
      <x:c r="FA23" s="117" t="n">
        <x:f>EZ23+FA22</x:f>
      </x:c>
      <x:c r="FB23" s="117" t="n">
        <x:f>FA23+FB22</x:f>
      </x:c>
      <x:c r="FC23" s="117" t="n">
        <x:f>FB23+FC22</x:f>
      </x:c>
      <x:c r="FD23" s="117" t="n">
        <x:f>FC23+FD22</x:f>
      </x:c>
      <x:c r="FE23" s="117" t="n">
        <x:f>FD23+FE22</x:f>
      </x:c>
      <x:c r="FF23" s="117" t="n">
        <x:f>FE23+FF22</x:f>
      </x:c>
      <x:c r="FG23" s="117" t="n">
        <x:f>FF23+FG22</x:f>
      </x:c>
      <x:c r="FH23" s="117" t="n">
        <x:f>FG23+FH22</x:f>
      </x:c>
      <x:c r="FI23" s="117" t="n">
        <x:f>FH23+FI22</x:f>
      </x:c>
      <x:c r="FJ23" s="117" t="n">
        <x:f>FI23+FJ22</x:f>
      </x:c>
      <x:c r="FK23" s="117" t="n">
        <x:f>FJ23+FK22</x:f>
      </x:c>
      <x:c r="FL23" s="117" t="n">
        <x:f>FK23+FL22</x:f>
      </x:c>
      <x:c r="FM23" s="117" t="n">
        <x:f>FL23+FM22</x:f>
      </x:c>
      <x:c r="FN23" s="117" t="n">
        <x:f>FM23+FN22</x:f>
      </x:c>
      <x:c r="FO23" s="117" t="n">
        <x:f>FN23+FO22</x:f>
      </x:c>
      <x:c r="FP23" s="117" t="n">
        <x:f>FO23+FP22</x:f>
      </x:c>
      <x:c r="FQ23" s="117" t="n">
        <x:f>FP23+FQ22</x:f>
      </x:c>
      <x:c r="FR23" s="117" t="n">
        <x:f>FQ23+FR22</x:f>
      </x:c>
      <x:c r="FS23" s="117" t="n">
        <x:f>FR23+FS22</x:f>
      </x:c>
      <x:c r="FT23" s="117" t="n">
        <x:f>FS23+FT22</x:f>
      </x:c>
      <x:c r="FU23" s="117" t="n">
        <x:f>FT23+FU22</x:f>
      </x:c>
      <x:c r="FV23" s="117" t="n">
        <x:f>FU23+FV22</x:f>
      </x:c>
      <x:c r="FW23" s="117" t="n">
        <x:f>FV23+FW22</x:f>
      </x:c>
      <x:c r="FX23" s="117" t="n">
        <x:f>FW23+FX22</x:f>
      </x:c>
      <x:c r="FY23" s="117" t="n">
        <x:f>FX23+FY22</x:f>
      </x:c>
      <x:c r="FZ23" s="117" t="n">
        <x:f>FY23+FZ22</x:f>
      </x:c>
      <x:c r="GA23" s="117" t="n">
        <x:f>FZ23+GA22</x:f>
      </x:c>
    </x:row>
    <x:row r="24">
      <x:c r="A24" t="str">
        <x:v>Налог на прибыль</x:v>
      </x:c>
      <x:c r="B24" t="n">
        <x:f>SUM(D24:GA24)</x:f>
      </x:c>
      <x:c r="C24" t="str">
        <x:v>млн ₽</x:v>
      </x:c>
      <x:c r="D24" s="117" t="n">
        <x:f>IF(D$3&gt;=$B$8,MAX(0,MAX(0,D23)*'Вводные'!$B$21-0),0)</x:f>
      </x:c>
      <x:c r="E24" s="117" t="n">
        <x:f>IF(E$3&gt;=$B$8,MAX(0,MAX(0,E23)*'Вводные'!$B$21-D25),0)</x:f>
      </x:c>
      <x:c r="F24" s="117" t="n">
        <x:f>IF(F$3&gt;=$B$8,MAX(0,MAX(0,F23)*'Вводные'!$B$21-E25),0)</x:f>
      </x:c>
      <x:c r="G24" s="117" t="n">
        <x:f>IF(G$3&gt;=$B$8,MAX(0,MAX(0,G23)*'Вводные'!$B$21-F25),0)</x:f>
      </x:c>
      <x:c r="H24" s="117" t="n">
        <x:f>IF(H$3&gt;=$B$8,MAX(0,MAX(0,H23)*'Вводные'!$B$21-G25),0)</x:f>
      </x:c>
      <x:c r="I24" s="117" t="n">
        <x:f>IF(I$3&gt;=$B$8,MAX(0,MAX(0,I23)*'Вводные'!$B$21-H25),0)</x:f>
      </x:c>
      <x:c r="J24" s="117" t="n">
        <x:f>IF(J$3&gt;=$B$8,MAX(0,MAX(0,J23)*'Вводные'!$B$21-I25),0)</x:f>
      </x:c>
      <x:c r="K24" s="117" t="n">
        <x:f>IF(K$3&gt;=$B$8,MAX(0,MAX(0,K23)*'Вводные'!$B$21-J25),0)</x:f>
      </x:c>
      <x:c r="L24" s="117" t="n">
        <x:f>IF(L$3&gt;=$B$8,MAX(0,MAX(0,L23)*'Вводные'!$B$21-K25),0)</x:f>
      </x:c>
      <x:c r="M24" s="117" t="n">
        <x:f>IF(M$3&gt;=$B$8,MAX(0,MAX(0,M23)*'Вводные'!$B$21-L25),0)</x:f>
      </x:c>
      <x:c r="N24" s="117" t="n">
        <x:f>IF(N$3&gt;=$B$8,MAX(0,MAX(0,N23)*'Вводные'!$B$21-M25),0)</x:f>
      </x:c>
      <x:c r="O24" s="117" t="n">
        <x:f>IF(O$3&gt;=$B$8,MAX(0,MAX(0,O23)*'Вводные'!$B$21-N25),0)</x:f>
      </x:c>
      <x:c r="P24" s="117" t="n">
        <x:f>IF(P$3&gt;=$B$8,MAX(0,MAX(0,P23)*'Вводные'!$B$21-O25),0)</x:f>
      </x:c>
      <x:c r="Q24" s="117" t="n">
        <x:f>IF(Q$3&gt;=$B$8,MAX(0,MAX(0,Q23)*'Вводные'!$B$21-P25),0)</x:f>
      </x:c>
      <x:c r="R24" s="117" t="n">
        <x:f>IF(R$3&gt;=$B$8,MAX(0,MAX(0,R23)*'Вводные'!$B$21-Q25),0)</x:f>
      </x:c>
      <x:c r="S24" s="117" t="n">
        <x:f>IF(S$3&gt;=$B$8,MAX(0,MAX(0,S23)*'Вводные'!$B$21-R25),0)</x:f>
      </x:c>
      <x:c r="T24" s="117" t="n">
        <x:f>IF(T$3&gt;=$B$8,MAX(0,MAX(0,T23)*'Вводные'!$B$21-S25),0)</x:f>
      </x:c>
      <x:c r="U24" s="117" t="n">
        <x:f>IF(U$3&gt;=$B$8,MAX(0,MAX(0,U23)*'Вводные'!$B$21-T25),0)</x:f>
      </x:c>
      <x:c r="V24" s="117" t="n">
        <x:f>IF(V$3&gt;=$B$8,MAX(0,MAX(0,V23)*'Вводные'!$B$21-U25),0)</x:f>
      </x:c>
      <x:c r="W24" s="117" t="n">
        <x:f>IF(W$3&gt;=$B$8,MAX(0,MAX(0,W23)*'Вводные'!$B$21-V25),0)</x:f>
      </x:c>
      <x:c r="X24" s="117" t="n">
        <x:f>IF(X$3&gt;=$B$8,MAX(0,MAX(0,X23)*'Вводные'!$B$21-W25),0)</x:f>
      </x:c>
      <x:c r="Y24" s="117" t="n">
        <x:f>IF(Y$3&gt;=$B$8,MAX(0,MAX(0,Y23)*'Вводные'!$B$21-X25),0)</x:f>
      </x:c>
      <x:c r="Z24" s="117" t="n">
        <x:f>IF(Z$3&gt;=$B$8,MAX(0,MAX(0,Z23)*'Вводные'!$B$21-Y25),0)</x:f>
      </x:c>
      <x:c r="AA24" s="117" t="n">
        <x:f>IF(AA$3&gt;=$B$8,MAX(0,MAX(0,AA23)*'Вводные'!$B$21-Z25),0)</x:f>
      </x:c>
      <x:c r="AB24" s="117" t="n">
        <x:f>IF(AB$3&gt;=$B$8,MAX(0,MAX(0,AB23)*'Вводные'!$B$21-AA25),0)</x:f>
      </x:c>
      <x:c r="AC24" s="117" t="n">
        <x:f>IF(AC$3&gt;=$B$8,MAX(0,MAX(0,AC23)*'Вводные'!$B$21-AB25),0)</x:f>
      </x:c>
      <x:c r="AD24" s="117" t="n">
        <x:f>IF(AD$3&gt;=$B$8,MAX(0,MAX(0,AD23)*'Вводные'!$B$21-AC25),0)</x:f>
      </x:c>
      <x:c r="AE24" s="117" t="n">
        <x:f>IF(AE$3&gt;=$B$8,MAX(0,MAX(0,AE23)*'Вводные'!$B$21-AD25),0)</x:f>
      </x:c>
      <x:c r="AF24" s="117" t="n">
        <x:f>IF(AF$3&gt;=$B$8,MAX(0,MAX(0,AF23)*'Вводные'!$B$21-AE25),0)</x:f>
      </x:c>
      <x:c r="AG24" s="117" t="n">
        <x:f>IF(AG$3&gt;=$B$8,MAX(0,MAX(0,AG23)*'Вводные'!$B$21-AF25),0)</x:f>
      </x:c>
      <x:c r="AH24" s="117" t="n">
        <x:f>IF(AH$3&gt;=$B$8,MAX(0,MAX(0,AH23)*'Вводные'!$B$21-AG25),0)</x:f>
      </x:c>
      <x:c r="AI24" s="117" t="n">
        <x:f>IF(AI$3&gt;=$B$8,MAX(0,MAX(0,AI23)*'Вводные'!$B$21-AH25),0)</x:f>
      </x:c>
      <x:c r="AJ24" s="117" t="n">
        <x:f>IF(AJ$3&gt;=$B$8,MAX(0,MAX(0,AJ23)*'Вводные'!$B$21-AI25),0)</x:f>
      </x:c>
      <x:c r="AK24" s="117" t="n">
        <x:f>IF(AK$3&gt;=$B$8,MAX(0,MAX(0,AK23)*'Вводные'!$B$21-AJ25),0)</x:f>
      </x:c>
      <x:c r="AL24" s="117" t="n">
        <x:f>IF(AL$3&gt;=$B$8,MAX(0,MAX(0,AL23)*'Вводные'!$B$21-AK25),0)</x:f>
      </x:c>
      <x:c r="AM24" s="117" t="n">
        <x:f>IF(AM$3&gt;=$B$8,MAX(0,MAX(0,AM23)*'Вводные'!$B$21-AL25),0)</x:f>
      </x:c>
      <x:c r="AN24" s="117" t="n">
        <x:f>IF(AN$3&gt;=$B$8,MAX(0,MAX(0,AN23)*'Вводные'!$B$21-AM25),0)</x:f>
      </x:c>
      <x:c r="AO24" s="117" t="n">
        <x:f>IF(AO$3&gt;=$B$8,MAX(0,MAX(0,AO23)*'Вводные'!$B$21-AN25),0)</x:f>
      </x:c>
      <x:c r="AP24" s="117" t="n">
        <x:f>IF(AP$3&gt;=$B$8,MAX(0,MAX(0,AP23)*'Вводные'!$B$21-AO25),0)</x:f>
      </x:c>
      <x:c r="AQ24" s="117" t="n">
        <x:f>IF(AQ$3&gt;=$B$8,MAX(0,MAX(0,AQ23)*'Вводные'!$B$21-AP25),0)</x:f>
      </x:c>
      <x:c r="AR24" s="117" t="n">
        <x:f>IF(AR$3&gt;=$B$8,MAX(0,MAX(0,AR23)*'Вводные'!$B$21-AQ25),0)</x:f>
      </x:c>
      <x:c r="AS24" s="117" t="n">
        <x:f>IF(AS$3&gt;=$B$8,MAX(0,MAX(0,AS23)*'Вводные'!$B$21-AR25),0)</x:f>
      </x:c>
      <x:c r="AT24" s="117" t="n">
        <x:f>IF(AT$3&gt;=$B$8,MAX(0,MAX(0,AT23)*'Вводные'!$B$21-AS25),0)</x:f>
      </x:c>
      <x:c r="AU24" s="117" t="n">
        <x:f>IF(AU$3&gt;=$B$8,MAX(0,MAX(0,AU23)*'Вводные'!$B$21-AT25),0)</x:f>
      </x:c>
      <x:c r="AV24" s="117" t="n">
        <x:f>IF(AV$3&gt;=$B$8,MAX(0,MAX(0,AV23)*'Вводные'!$B$21-AU25),0)</x:f>
      </x:c>
      <x:c r="AW24" s="117" t="n">
        <x:f>IF(AW$3&gt;=$B$8,MAX(0,MAX(0,AW23)*'Вводные'!$B$21-AV25),0)</x:f>
      </x:c>
      <x:c r="AX24" s="117" t="n">
        <x:f>IF(AX$3&gt;=$B$8,MAX(0,MAX(0,AX23)*'Вводные'!$B$21-AW25),0)</x:f>
      </x:c>
      <x:c r="AY24" s="117" t="n">
        <x:f>IF(AY$3&gt;=$B$8,MAX(0,MAX(0,AY23)*'Вводные'!$B$21-AX25),0)</x:f>
      </x:c>
      <x:c r="AZ24" s="117" t="n">
        <x:f>IF(AZ$3&gt;=$B$8,MAX(0,MAX(0,AZ23)*'Вводные'!$B$21-AY25),0)</x:f>
      </x:c>
      <x:c r="BA24" s="117" t="n">
        <x:f>IF(BA$3&gt;=$B$8,MAX(0,MAX(0,BA23)*'Вводные'!$B$21-AZ25),0)</x:f>
      </x:c>
      <x:c r="BB24" s="117" t="n">
        <x:f>IF(BB$3&gt;=$B$8,MAX(0,MAX(0,BB23)*'Вводные'!$B$21-BA25),0)</x:f>
      </x:c>
      <x:c r="BC24" s="117" t="n">
        <x:f>IF(BC$3&gt;=$B$8,MAX(0,MAX(0,BC23)*'Вводные'!$B$21-BB25),0)</x:f>
      </x:c>
      <x:c r="BD24" s="117" t="n">
        <x:f>IF(BD$3&gt;=$B$8,MAX(0,MAX(0,BD23)*'Вводные'!$B$21-BC25),0)</x:f>
      </x:c>
      <x:c r="BE24" s="117" t="n">
        <x:f>IF(BE$3&gt;=$B$8,MAX(0,MAX(0,BE23)*'Вводные'!$B$21-BD25),0)</x:f>
      </x:c>
      <x:c r="BF24" s="117" t="n">
        <x:f>IF(BF$3&gt;=$B$8,MAX(0,MAX(0,BF23)*'Вводные'!$B$21-BE25),0)</x:f>
      </x:c>
      <x:c r="BG24" s="117" t="n">
        <x:f>IF(BG$3&gt;=$B$8,MAX(0,MAX(0,BG23)*'Вводные'!$B$21-BF25),0)</x:f>
      </x:c>
      <x:c r="BH24" s="117" t="n">
        <x:f>IF(BH$3&gt;=$B$8,MAX(0,MAX(0,BH23)*'Вводные'!$B$21-BG25),0)</x:f>
      </x:c>
      <x:c r="BI24" s="117" t="n">
        <x:f>IF(BI$3&gt;=$B$8,MAX(0,MAX(0,BI23)*'Вводные'!$B$21-BH25),0)</x:f>
      </x:c>
      <x:c r="BJ24" s="117" t="n">
        <x:f>IF(BJ$3&gt;=$B$8,MAX(0,MAX(0,BJ23)*'Вводные'!$B$21-BI25),0)</x:f>
      </x:c>
      <x:c r="BK24" s="117" t="n">
        <x:f>IF(BK$3&gt;=$B$8,MAX(0,MAX(0,BK23)*'Вводные'!$B$21-BJ25),0)</x:f>
      </x:c>
      <x:c r="BL24" s="117" t="n">
        <x:f>IF(BL$3&gt;=$B$8,MAX(0,MAX(0,BL23)*'Вводные'!$B$21-BK25),0)</x:f>
      </x:c>
      <x:c r="BM24" s="117" t="n">
        <x:f>IF(BM$3&gt;=$B$8,MAX(0,MAX(0,BM23)*'Вводные'!$B$21-BL25),0)</x:f>
      </x:c>
      <x:c r="BN24" s="117" t="n">
        <x:f>IF(BN$3&gt;=$B$8,MAX(0,MAX(0,BN23)*'Вводные'!$B$21-BM25),0)</x:f>
      </x:c>
      <x:c r="BO24" s="117" t="n">
        <x:f>IF(BO$3&gt;=$B$8,MAX(0,MAX(0,BO23)*'Вводные'!$B$21-BN25),0)</x:f>
      </x:c>
      <x:c r="BP24" s="117" t="n">
        <x:f>IF(BP$3&gt;=$B$8,MAX(0,MAX(0,BP23)*'Вводные'!$B$21-BO25),0)</x:f>
      </x:c>
      <x:c r="BQ24" s="117" t="n">
        <x:f>IF(BQ$3&gt;=$B$8,MAX(0,MAX(0,BQ23)*'Вводные'!$B$21-BP25),0)</x:f>
      </x:c>
      <x:c r="BR24" s="117" t="n">
        <x:f>IF(BR$3&gt;=$B$8,MAX(0,MAX(0,BR23)*'Вводные'!$B$21-BQ25),0)</x:f>
      </x:c>
      <x:c r="BS24" s="117" t="n">
        <x:f>IF(BS$3&gt;=$B$8,MAX(0,MAX(0,BS23)*'Вводные'!$B$21-BR25),0)</x:f>
      </x:c>
      <x:c r="BT24" s="117" t="n">
        <x:f>IF(BT$3&gt;=$B$8,MAX(0,MAX(0,BT23)*'Вводные'!$B$21-BS25),0)</x:f>
      </x:c>
      <x:c r="BU24" s="117" t="n">
        <x:f>IF(BU$3&gt;=$B$8,MAX(0,MAX(0,BU23)*'Вводные'!$B$21-BT25),0)</x:f>
      </x:c>
      <x:c r="BV24" s="117" t="n">
        <x:f>IF(BV$3&gt;=$B$8,MAX(0,MAX(0,BV23)*'Вводные'!$B$21-BU25),0)</x:f>
      </x:c>
      <x:c r="BW24" s="117" t="n">
        <x:f>IF(BW$3&gt;=$B$8,MAX(0,MAX(0,BW23)*'Вводные'!$B$21-BV25),0)</x:f>
      </x:c>
      <x:c r="BX24" s="117" t="n">
        <x:f>IF(BX$3&gt;=$B$8,MAX(0,MAX(0,BX23)*'Вводные'!$B$21-BW25),0)</x:f>
      </x:c>
      <x:c r="BY24" s="117" t="n">
        <x:f>IF(BY$3&gt;=$B$8,MAX(0,MAX(0,BY23)*'Вводные'!$B$21-BX25),0)</x:f>
      </x:c>
      <x:c r="BZ24" s="117" t="n">
        <x:f>IF(BZ$3&gt;=$B$8,MAX(0,MAX(0,BZ23)*'Вводные'!$B$21-BY25),0)</x:f>
      </x:c>
      <x:c r="CA24" s="117" t="n">
        <x:f>IF(CA$3&gt;=$B$8,MAX(0,MAX(0,CA23)*'Вводные'!$B$21-BZ25),0)</x:f>
      </x:c>
      <x:c r="CB24" s="117" t="n">
        <x:f>IF(CB$3&gt;=$B$8,MAX(0,MAX(0,CB23)*'Вводные'!$B$21-CA25),0)</x:f>
      </x:c>
      <x:c r="CC24" s="117" t="n">
        <x:f>IF(CC$3&gt;=$B$8,MAX(0,MAX(0,CC23)*'Вводные'!$B$21-CB25),0)</x:f>
      </x:c>
      <x:c r="CD24" s="117" t="n">
        <x:f>IF(CD$3&gt;=$B$8,MAX(0,MAX(0,CD23)*'Вводные'!$B$21-CC25),0)</x:f>
      </x:c>
      <x:c r="CE24" s="117" t="n">
        <x:f>IF(CE$3&gt;=$B$8,MAX(0,MAX(0,CE23)*'Вводные'!$B$21-CD25),0)</x:f>
      </x:c>
      <x:c r="CF24" s="117" t="n">
        <x:f>IF(CF$3&gt;=$B$8,MAX(0,MAX(0,CF23)*'Вводные'!$B$21-CE25),0)</x:f>
      </x:c>
      <x:c r="CG24" s="117" t="n">
        <x:f>IF(CG$3&gt;=$B$8,MAX(0,MAX(0,CG23)*'Вводные'!$B$21-CF25),0)</x:f>
      </x:c>
      <x:c r="CH24" s="117" t="n">
        <x:f>IF(CH$3&gt;=$B$8,MAX(0,MAX(0,CH23)*'Вводные'!$B$21-CG25),0)</x:f>
      </x:c>
      <x:c r="CI24" s="117" t="n">
        <x:f>IF(CI$3&gt;=$B$8,MAX(0,MAX(0,CI23)*'Вводные'!$B$21-CH25),0)</x:f>
      </x:c>
      <x:c r="CJ24" s="117" t="n">
        <x:f>IF(CJ$3&gt;=$B$8,MAX(0,MAX(0,CJ23)*'Вводные'!$B$21-CI25),0)</x:f>
      </x:c>
      <x:c r="CK24" s="117" t="n">
        <x:f>IF(CK$3&gt;=$B$8,MAX(0,MAX(0,CK23)*'Вводные'!$B$21-CJ25),0)</x:f>
      </x:c>
      <x:c r="CL24" s="117" t="n">
        <x:f>IF(CL$3&gt;=$B$8,MAX(0,MAX(0,CL23)*'Вводные'!$B$21-CK25),0)</x:f>
      </x:c>
      <x:c r="CM24" s="117" t="n">
        <x:f>IF(CM$3&gt;=$B$8,MAX(0,MAX(0,CM23)*'Вводные'!$B$21-CL25),0)</x:f>
      </x:c>
      <x:c r="CN24" s="117" t="n">
        <x:f>IF(CN$3&gt;=$B$8,MAX(0,MAX(0,CN23)*'Вводные'!$B$21-CM25),0)</x:f>
      </x:c>
      <x:c r="CO24" s="117" t="n">
        <x:f>IF(CO$3&gt;=$B$8,MAX(0,MAX(0,CO23)*'Вводные'!$B$21-CN25),0)</x:f>
      </x:c>
      <x:c r="CP24" s="117" t="n">
        <x:f>IF(CP$3&gt;=$B$8,MAX(0,MAX(0,CP23)*'Вводные'!$B$21-CO25),0)</x:f>
      </x:c>
      <x:c r="CQ24" s="117" t="n">
        <x:f>IF(CQ$3&gt;=$B$8,MAX(0,MAX(0,CQ23)*'Вводные'!$B$21-CP25),0)</x:f>
      </x:c>
      <x:c r="CR24" s="117" t="n">
        <x:f>IF(CR$3&gt;=$B$8,MAX(0,MAX(0,CR23)*'Вводные'!$B$21-CQ25),0)</x:f>
      </x:c>
      <x:c r="CS24" s="117" t="n">
        <x:f>IF(CS$3&gt;=$B$8,MAX(0,MAX(0,CS23)*'Вводные'!$B$21-CR25),0)</x:f>
      </x:c>
      <x:c r="CT24" s="117" t="n">
        <x:f>IF(CT$3&gt;=$B$8,MAX(0,MAX(0,CT23)*'Вводные'!$B$21-CS25),0)</x:f>
      </x:c>
      <x:c r="CU24" s="117" t="n">
        <x:f>IF(CU$3&gt;=$B$8,MAX(0,MAX(0,CU23)*'Вводные'!$B$21-CT25),0)</x:f>
      </x:c>
      <x:c r="CV24" s="117" t="n">
        <x:f>IF(CV$3&gt;=$B$8,MAX(0,MAX(0,CV23)*'Вводные'!$B$21-CU25),0)</x:f>
      </x:c>
      <x:c r="CW24" s="117" t="n">
        <x:f>IF(CW$3&gt;=$B$8,MAX(0,MAX(0,CW23)*'Вводные'!$B$21-CV25),0)</x:f>
      </x:c>
      <x:c r="CX24" s="117" t="n">
        <x:f>IF(CX$3&gt;=$B$8,MAX(0,MAX(0,CX23)*'Вводные'!$B$21-CW25),0)</x:f>
      </x:c>
      <x:c r="CY24" s="117" t="n">
        <x:f>IF(CY$3&gt;=$B$8,MAX(0,MAX(0,CY23)*'Вводные'!$B$21-CX25),0)</x:f>
      </x:c>
      <x:c r="CZ24" s="117" t="n">
        <x:f>IF(CZ$3&gt;=$B$8,MAX(0,MAX(0,CZ23)*'Вводные'!$B$21-CY25),0)</x:f>
      </x:c>
      <x:c r="DA24" s="117" t="n">
        <x:f>IF(DA$3&gt;=$B$8,MAX(0,MAX(0,DA23)*'Вводные'!$B$21-CZ25),0)</x:f>
      </x:c>
      <x:c r="DB24" s="117" t="n">
        <x:f>IF(DB$3&gt;=$B$8,MAX(0,MAX(0,DB23)*'Вводные'!$B$21-DA25),0)</x:f>
      </x:c>
      <x:c r="DC24" s="117" t="n">
        <x:f>IF(DC$3&gt;=$B$8,MAX(0,MAX(0,DC23)*'Вводные'!$B$21-DB25),0)</x:f>
      </x:c>
      <x:c r="DD24" s="117" t="n">
        <x:f>IF(DD$3&gt;=$B$8,MAX(0,MAX(0,DD23)*'Вводные'!$B$21-DC25),0)</x:f>
      </x:c>
      <x:c r="DE24" s="117" t="n">
        <x:f>IF(DE$3&gt;=$B$8,MAX(0,MAX(0,DE23)*'Вводные'!$B$21-DD25),0)</x:f>
      </x:c>
      <x:c r="DF24" s="117" t="n">
        <x:f>IF(DF$3&gt;=$B$8,MAX(0,MAX(0,DF23)*'Вводные'!$B$21-DE25),0)</x:f>
      </x:c>
      <x:c r="DG24" s="117" t="n">
        <x:f>IF(DG$3&gt;=$B$8,MAX(0,MAX(0,DG23)*'Вводные'!$B$21-DF25),0)</x:f>
      </x:c>
      <x:c r="DH24" s="117" t="n">
        <x:f>IF(DH$3&gt;=$B$8,MAX(0,MAX(0,DH23)*'Вводные'!$B$21-DG25),0)</x:f>
      </x:c>
      <x:c r="DI24" s="117" t="n">
        <x:f>IF(DI$3&gt;=$B$8,MAX(0,MAX(0,DI23)*'Вводные'!$B$21-DH25),0)</x:f>
      </x:c>
      <x:c r="DJ24" s="117" t="n">
        <x:f>IF(DJ$3&gt;=$B$8,MAX(0,MAX(0,DJ23)*'Вводные'!$B$21-DI25),0)</x:f>
      </x:c>
      <x:c r="DK24" s="117" t="n">
        <x:f>IF(DK$3&gt;=$B$8,MAX(0,MAX(0,DK23)*'Вводные'!$B$21-DJ25),0)</x:f>
      </x:c>
      <x:c r="DL24" s="117" t="n">
        <x:f>IF(DL$3&gt;=$B$8,MAX(0,MAX(0,DL23)*'Вводные'!$B$21-DK25),0)</x:f>
      </x:c>
      <x:c r="DM24" s="117" t="n">
        <x:f>IF(DM$3&gt;=$B$8,MAX(0,MAX(0,DM23)*'Вводные'!$B$21-DL25),0)</x:f>
      </x:c>
      <x:c r="DN24" s="117" t="n">
        <x:f>IF(DN$3&gt;=$B$8,MAX(0,MAX(0,DN23)*'Вводные'!$B$21-DM25),0)</x:f>
      </x:c>
      <x:c r="DO24" s="117" t="n">
        <x:f>IF(DO$3&gt;=$B$8,MAX(0,MAX(0,DO23)*'Вводные'!$B$21-DN25),0)</x:f>
      </x:c>
      <x:c r="DP24" s="117" t="n">
        <x:f>IF(DP$3&gt;=$B$8,MAX(0,MAX(0,DP23)*'Вводные'!$B$21-DO25),0)</x:f>
      </x:c>
      <x:c r="DQ24" s="117" t="n">
        <x:f>IF(DQ$3&gt;=$B$8,MAX(0,MAX(0,DQ23)*'Вводные'!$B$21-DP25),0)</x:f>
      </x:c>
      <x:c r="DR24" s="117" t="n">
        <x:f>IF(DR$3&gt;=$B$8,MAX(0,MAX(0,DR23)*'Вводные'!$B$21-DQ25),0)</x:f>
      </x:c>
      <x:c r="DS24" s="117" t="n">
        <x:f>IF(DS$3&gt;=$B$8,MAX(0,MAX(0,DS23)*'Вводные'!$B$21-DR25),0)</x:f>
      </x:c>
      <x:c r="DT24" s="117" t="n">
        <x:f>IF(DT$3&gt;=$B$8,MAX(0,MAX(0,DT23)*'Вводные'!$B$21-DS25),0)</x:f>
      </x:c>
      <x:c r="DU24" s="117" t="n">
        <x:f>IF(DU$3&gt;=$B$8,MAX(0,MAX(0,DU23)*'Вводные'!$B$21-DT25),0)</x:f>
      </x:c>
      <x:c r="DV24" s="117" t="n">
        <x:f>IF(DV$3&gt;=$B$8,MAX(0,MAX(0,DV23)*'Вводные'!$B$21-DU25),0)</x:f>
      </x:c>
      <x:c r="DW24" s="117" t="n">
        <x:f>IF(DW$3&gt;=$B$8,MAX(0,MAX(0,DW23)*'Вводные'!$B$21-DV25),0)</x:f>
      </x:c>
      <x:c r="DX24" s="117" t="n">
        <x:f>IF(DX$3&gt;=$B$8,MAX(0,MAX(0,DX23)*'Вводные'!$B$21-DW25),0)</x:f>
      </x:c>
      <x:c r="DY24" s="117" t="n">
        <x:f>IF(DY$3&gt;=$B$8,MAX(0,MAX(0,DY23)*'Вводные'!$B$21-DX25),0)</x:f>
      </x:c>
      <x:c r="DZ24" s="117" t="n">
        <x:f>IF(DZ$3&gt;=$B$8,MAX(0,MAX(0,DZ23)*'Вводные'!$B$21-DY25),0)</x:f>
      </x:c>
      <x:c r="EA24" s="117" t="n">
        <x:f>IF(EA$3&gt;=$B$8,MAX(0,MAX(0,EA23)*'Вводные'!$B$21-DZ25),0)</x:f>
      </x:c>
      <x:c r="EB24" s="117" t="n">
        <x:f>IF(EB$3&gt;=$B$8,MAX(0,MAX(0,EB23)*'Вводные'!$B$21-EA25),0)</x:f>
      </x:c>
      <x:c r="EC24" s="117" t="n">
        <x:f>IF(EC$3&gt;=$B$8,MAX(0,MAX(0,EC23)*'Вводные'!$B$21-EB25),0)</x:f>
      </x:c>
      <x:c r="ED24" s="117" t="n">
        <x:f>IF(ED$3&gt;=$B$8,MAX(0,MAX(0,ED23)*'Вводные'!$B$21-EC25),0)</x:f>
      </x:c>
      <x:c r="EE24" s="117" t="n">
        <x:f>IF(EE$3&gt;=$B$8,MAX(0,MAX(0,EE23)*'Вводные'!$B$21-ED25),0)</x:f>
      </x:c>
      <x:c r="EF24" s="117" t="n">
        <x:f>IF(EF$3&gt;=$B$8,MAX(0,MAX(0,EF23)*'Вводные'!$B$21-EE25),0)</x:f>
      </x:c>
      <x:c r="EG24" s="117" t="n">
        <x:f>IF(EG$3&gt;=$B$8,MAX(0,MAX(0,EG23)*'Вводные'!$B$21-EF25),0)</x:f>
      </x:c>
      <x:c r="EH24" s="117" t="n">
        <x:f>IF(EH$3&gt;=$B$8,MAX(0,MAX(0,EH23)*'Вводные'!$B$21-EG25),0)</x:f>
      </x:c>
      <x:c r="EI24" s="117" t="n">
        <x:f>IF(EI$3&gt;=$B$8,MAX(0,MAX(0,EI23)*'Вводные'!$B$21-EH25),0)</x:f>
      </x:c>
      <x:c r="EJ24" s="117" t="n">
        <x:f>IF(EJ$3&gt;=$B$8,MAX(0,MAX(0,EJ23)*'Вводные'!$B$21-EI25),0)</x:f>
      </x:c>
      <x:c r="EK24" s="117" t="n">
        <x:f>IF(EK$3&gt;=$B$8,MAX(0,MAX(0,EK23)*'Вводные'!$B$21-EJ25),0)</x:f>
      </x:c>
      <x:c r="EL24" s="117" t="n">
        <x:f>IF(EL$3&gt;=$B$8,MAX(0,MAX(0,EL23)*'Вводные'!$B$21-EK25),0)</x:f>
      </x:c>
      <x:c r="EM24" s="117" t="n">
        <x:f>IF(EM$3&gt;=$B$8,MAX(0,MAX(0,EM23)*'Вводные'!$B$21-EL25),0)</x:f>
      </x:c>
      <x:c r="EN24" s="117" t="n">
        <x:f>IF(EN$3&gt;=$B$8,MAX(0,MAX(0,EN23)*'Вводные'!$B$21-EM25),0)</x:f>
      </x:c>
      <x:c r="EO24" s="117" t="n">
        <x:f>IF(EO$3&gt;=$B$8,MAX(0,MAX(0,EO23)*'Вводные'!$B$21-EN25),0)</x:f>
      </x:c>
      <x:c r="EP24" s="117" t="n">
        <x:f>IF(EP$3&gt;=$B$8,MAX(0,MAX(0,EP23)*'Вводные'!$B$21-EO25),0)</x:f>
      </x:c>
      <x:c r="EQ24" s="117" t="n">
        <x:f>IF(EQ$3&gt;=$B$8,MAX(0,MAX(0,EQ23)*'Вводные'!$B$21-EP25),0)</x:f>
      </x:c>
      <x:c r="ER24" s="117" t="n">
        <x:f>IF(ER$3&gt;=$B$8,MAX(0,MAX(0,ER23)*'Вводные'!$B$21-EQ25),0)</x:f>
      </x:c>
      <x:c r="ES24" s="117" t="n">
        <x:f>IF(ES$3&gt;=$B$8,MAX(0,MAX(0,ES23)*'Вводные'!$B$21-ER25),0)</x:f>
      </x:c>
      <x:c r="ET24" s="117" t="n">
        <x:f>IF(ET$3&gt;=$B$8,MAX(0,MAX(0,ET23)*'Вводные'!$B$21-ES25),0)</x:f>
      </x:c>
      <x:c r="EU24" s="117" t="n">
        <x:f>IF(EU$3&gt;=$B$8,MAX(0,MAX(0,EU23)*'Вводные'!$B$21-ET25),0)</x:f>
      </x:c>
      <x:c r="EV24" s="117" t="n">
        <x:f>IF(EV$3&gt;=$B$8,MAX(0,MAX(0,EV23)*'Вводные'!$B$21-EU25),0)</x:f>
      </x:c>
      <x:c r="EW24" s="117" t="n">
        <x:f>IF(EW$3&gt;=$B$8,MAX(0,MAX(0,EW23)*'Вводные'!$B$21-EV25),0)</x:f>
      </x:c>
      <x:c r="EX24" s="117" t="n">
        <x:f>IF(EX$3&gt;=$B$8,MAX(0,MAX(0,EX23)*'Вводные'!$B$21-EW25),0)</x:f>
      </x:c>
      <x:c r="EY24" s="117" t="n">
        <x:f>IF(EY$3&gt;=$B$8,MAX(0,MAX(0,EY23)*'Вводные'!$B$21-EX25),0)</x:f>
      </x:c>
      <x:c r="EZ24" s="117" t="n">
        <x:f>IF(EZ$3&gt;=$B$8,MAX(0,MAX(0,EZ23)*'Вводные'!$B$21-EY25),0)</x:f>
      </x:c>
      <x:c r="FA24" s="117" t="n">
        <x:f>IF(FA$3&gt;=$B$8,MAX(0,MAX(0,FA23)*'Вводные'!$B$21-EZ25),0)</x:f>
      </x:c>
      <x:c r="FB24" s="117" t="n">
        <x:f>IF(FB$3&gt;=$B$8,MAX(0,MAX(0,FB23)*'Вводные'!$B$21-FA25),0)</x:f>
      </x:c>
      <x:c r="FC24" s="117" t="n">
        <x:f>IF(FC$3&gt;=$B$8,MAX(0,MAX(0,FC23)*'Вводные'!$B$21-FB25),0)</x:f>
      </x:c>
      <x:c r="FD24" s="117" t="n">
        <x:f>IF(FD$3&gt;=$B$8,MAX(0,MAX(0,FD23)*'Вводные'!$B$21-FC25),0)</x:f>
      </x:c>
      <x:c r="FE24" s="117" t="n">
        <x:f>IF(FE$3&gt;=$B$8,MAX(0,MAX(0,FE23)*'Вводные'!$B$21-FD25),0)</x:f>
      </x:c>
      <x:c r="FF24" s="117" t="n">
        <x:f>IF(FF$3&gt;=$B$8,MAX(0,MAX(0,FF23)*'Вводные'!$B$21-FE25),0)</x:f>
      </x:c>
      <x:c r="FG24" s="117" t="n">
        <x:f>IF(FG$3&gt;=$B$8,MAX(0,MAX(0,FG23)*'Вводные'!$B$21-FF25),0)</x:f>
      </x:c>
      <x:c r="FH24" s="117" t="n">
        <x:f>IF(FH$3&gt;=$B$8,MAX(0,MAX(0,FH23)*'Вводные'!$B$21-FG25),0)</x:f>
      </x:c>
      <x:c r="FI24" s="117" t="n">
        <x:f>IF(FI$3&gt;=$B$8,MAX(0,MAX(0,FI23)*'Вводные'!$B$21-FH25),0)</x:f>
      </x:c>
      <x:c r="FJ24" s="117" t="n">
        <x:f>IF(FJ$3&gt;=$B$8,MAX(0,MAX(0,FJ23)*'Вводные'!$B$21-FI25),0)</x:f>
      </x:c>
      <x:c r="FK24" s="117" t="n">
        <x:f>IF(FK$3&gt;=$B$8,MAX(0,MAX(0,FK23)*'Вводные'!$B$21-FJ25),0)</x:f>
      </x:c>
      <x:c r="FL24" s="117" t="n">
        <x:f>IF(FL$3&gt;=$B$8,MAX(0,MAX(0,FL23)*'Вводные'!$B$21-FK25),0)</x:f>
      </x:c>
      <x:c r="FM24" s="117" t="n">
        <x:f>IF(FM$3&gt;=$B$8,MAX(0,MAX(0,FM23)*'Вводные'!$B$21-FL25),0)</x:f>
      </x:c>
      <x:c r="FN24" s="117" t="n">
        <x:f>IF(FN$3&gt;=$B$8,MAX(0,MAX(0,FN23)*'Вводные'!$B$21-FM25),0)</x:f>
      </x:c>
      <x:c r="FO24" s="117" t="n">
        <x:f>IF(FO$3&gt;=$B$8,MAX(0,MAX(0,FO23)*'Вводные'!$B$21-FN25),0)</x:f>
      </x:c>
      <x:c r="FP24" s="117" t="n">
        <x:f>IF(FP$3&gt;=$B$8,MAX(0,MAX(0,FP23)*'Вводные'!$B$21-FO25),0)</x:f>
      </x:c>
      <x:c r="FQ24" s="117" t="n">
        <x:f>IF(FQ$3&gt;=$B$8,MAX(0,MAX(0,FQ23)*'Вводные'!$B$21-FP25),0)</x:f>
      </x:c>
      <x:c r="FR24" s="117" t="n">
        <x:f>IF(FR$3&gt;=$B$8,MAX(0,MAX(0,FR23)*'Вводные'!$B$21-FQ25),0)</x:f>
      </x:c>
      <x:c r="FS24" s="117" t="n">
        <x:f>IF(FS$3&gt;=$B$8,MAX(0,MAX(0,FS23)*'Вводные'!$B$21-FR25),0)</x:f>
      </x:c>
      <x:c r="FT24" s="117" t="n">
        <x:f>IF(FT$3&gt;=$B$8,MAX(0,MAX(0,FT23)*'Вводные'!$B$21-FS25),0)</x:f>
      </x:c>
      <x:c r="FU24" s="117" t="n">
        <x:f>IF(FU$3&gt;=$B$8,MAX(0,MAX(0,FU23)*'Вводные'!$B$21-FT25),0)</x:f>
      </x:c>
      <x:c r="FV24" s="117" t="n">
        <x:f>IF(FV$3&gt;=$B$8,MAX(0,MAX(0,FV23)*'Вводные'!$B$21-FU25),0)</x:f>
      </x:c>
      <x:c r="FW24" s="117" t="n">
        <x:f>IF(FW$3&gt;=$B$8,MAX(0,MAX(0,FW23)*'Вводные'!$B$21-FV25),0)</x:f>
      </x:c>
      <x:c r="FX24" s="117" t="n">
        <x:f>IF(FX$3&gt;=$B$8,MAX(0,MAX(0,FX23)*'Вводные'!$B$21-FW25),0)</x:f>
      </x:c>
      <x:c r="FY24" s="117" t="n">
        <x:f>IF(FY$3&gt;=$B$8,MAX(0,MAX(0,FY23)*'Вводные'!$B$21-FX25),0)</x:f>
      </x:c>
      <x:c r="FZ24" s="117" t="n">
        <x:f>IF(FZ$3&gt;=$B$8,MAX(0,MAX(0,FZ23)*'Вводные'!$B$21-FY25),0)</x:f>
      </x:c>
      <x:c r="GA24" s="117" t="n">
        <x:f>IF(GA$3&gt;=$B$8,MAX(0,MAX(0,GA23)*'Вводные'!$B$21-FZ25),0)</x:f>
      </x:c>
    </x:row>
    <x:row r="25">
      <x:c r="A25" t="str">
        <x:v>Налог уплачен накопленно</x:v>
      </x:c>
      <x:c r="B25" t="n">
        <x:f>GA25</x:f>
      </x:c>
      <x:c r="C25" t="str">
        <x:v>млн ₽</x:v>
      </x:c>
      <x:c r="D25" s="117" t="n">
        <x:f>D24</x:f>
      </x:c>
      <x:c r="E25" s="117" t="n">
        <x:f>D25+E24</x:f>
      </x:c>
      <x:c r="F25" s="117" t="n">
        <x:f>E25+F24</x:f>
      </x:c>
      <x:c r="G25" s="117" t="n">
        <x:f>F25+G24</x:f>
      </x:c>
      <x:c r="H25" s="117" t="n">
        <x:f>G25+H24</x:f>
      </x:c>
      <x:c r="I25" s="117" t="n">
        <x:f>H25+I24</x:f>
      </x:c>
      <x:c r="J25" s="117" t="n">
        <x:f>I25+J24</x:f>
      </x:c>
      <x:c r="K25" s="117" t="n">
        <x:f>J25+K24</x:f>
      </x:c>
      <x:c r="L25" s="117" t="n">
        <x:f>K25+L24</x:f>
      </x:c>
      <x:c r="M25" s="117" t="n">
        <x:f>L25+M24</x:f>
      </x:c>
      <x:c r="N25" s="117" t="n">
        <x:f>M25+N24</x:f>
      </x:c>
      <x:c r="O25" s="117" t="n">
        <x:f>N25+O24</x:f>
      </x:c>
      <x:c r="P25" s="117" t="n">
        <x:f>O25+P24</x:f>
      </x:c>
      <x:c r="Q25" s="117" t="n">
        <x:f>P25+Q24</x:f>
      </x:c>
      <x:c r="R25" s="117" t="n">
        <x:f>Q25+R24</x:f>
      </x:c>
      <x:c r="S25" s="117" t="n">
        <x:f>R25+S24</x:f>
      </x:c>
      <x:c r="T25" s="117" t="n">
        <x:f>S25+T24</x:f>
      </x:c>
      <x:c r="U25" s="117" t="n">
        <x:f>T25+U24</x:f>
      </x:c>
      <x:c r="V25" s="117" t="n">
        <x:f>U25+V24</x:f>
      </x:c>
      <x:c r="W25" s="117" t="n">
        <x:f>V25+W24</x:f>
      </x:c>
      <x:c r="X25" s="117" t="n">
        <x:f>W25+X24</x:f>
      </x:c>
      <x:c r="Y25" s="117" t="n">
        <x:f>X25+Y24</x:f>
      </x:c>
      <x:c r="Z25" s="117" t="n">
        <x:f>Y25+Z24</x:f>
      </x:c>
      <x:c r="AA25" s="117" t="n">
        <x:f>Z25+AA24</x:f>
      </x:c>
      <x:c r="AB25" s="117" t="n">
        <x:f>AA25+AB24</x:f>
      </x:c>
      <x:c r="AC25" s="117" t="n">
        <x:f>AB25+AC24</x:f>
      </x:c>
      <x:c r="AD25" s="117" t="n">
        <x:f>AC25+AD24</x:f>
      </x:c>
      <x:c r="AE25" s="117" t="n">
        <x:f>AD25+AE24</x:f>
      </x:c>
      <x:c r="AF25" s="117" t="n">
        <x:f>AE25+AF24</x:f>
      </x:c>
      <x:c r="AG25" s="117" t="n">
        <x:f>AF25+AG24</x:f>
      </x:c>
      <x:c r="AH25" s="117" t="n">
        <x:f>AG25+AH24</x:f>
      </x:c>
      <x:c r="AI25" s="117" t="n">
        <x:f>AH25+AI24</x:f>
      </x:c>
      <x:c r="AJ25" s="117" t="n">
        <x:f>AI25+AJ24</x:f>
      </x:c>
      <x:c r="AK25" s="117" t="n">
        <x:f>AJ25+AK24</x:f>
      </x:c>
      <x:c r="AL25" s="117" t="n">
        <x:f>AK25+AL24</x:f>
      </x:c>
      <x:c r="AM25" s="117" t="n">
        <x:f>AL25+AM24</x:f>
      </x:c>
      <x:c r="AN25" s="117" t="n">
        <x:f>AM25+AN24</x:f>
      </x:c>
      <x:c r="AO25" s="117" t="n">
        <x:f>AN25+AO24</x:f>
      </x:c>
      <x:c r="AP25" s="117" t="n">
        <x:f>AO25+AP24</x:f>
      </x:c>
      <x:c r="AQ25" s="117" t="n">
        <x:f>AP25+AQ24</x:f>
      </x:c>
      <x:c r="AR25" s="117" t="n">
        <x:f>AQ25+AR24</x:f>
      </x:c>
      <x:c r="AS25" s="117" t="n">
        <x:f>AR25+AS24</x:f>
      </x:c>
      <x:c r="AT25" s="117" t="n">
        <x:f>AS25+AT24</x:f>
      </x:c>
      <x:c r="AU25" s="117" t="n">
        <x:f>AT25+AU24</x:f>
      </x:c>
      <x:c r="AV25" s="117" t="n">
        <x:f>AU25+AV24</x:f>
      </x:c>
      <x:c r="AW25" s="117" t="n">
        <x:f>AV25+AW24</x:f>
      </x:c>
      <x:c r="AX25" s="117" t="n">
        <x:f>AW25+AX24</x:f>
      </x:c>
      <x:c r="AY25" s="117" t="n">
        <x:f>AX25+AY24</x:f>
      </x:c>
      <x:c r="AZ25" s="117" t="n">
        <x:f>AY25+AZ24</x:f>
      </x:c>
      <x:c r="BA25" s="117" t="n">
        <x:f>AZ25+BA24</x:f>
      </x:c>
      <x:c r="BB25" s="117" t="n">
        <x:f>BA25+BB24</x:f>
      </x:c>
      <x:c r="BC25" s="117" t="n">
        <x:f>BB25+BC24</x:f>
      </x:c>
      <x:c r="BD25" s="117" t="n">
        <x:f>BC25+BD24</x:f>
      </x:c>
      <x:c r="BE25" s="117" t="n">
        <x:f>BD25+BE24</x:f>
      </x:c>
      <x:c r="BF25" s="117" t="n">
        <x:f>BE25+BF24</x:f>
      </x:c>
      <x:c r="BG25" s="117" t="n">
        <x:f>BF25+BG24</x:f>
      </x:c>
      <x:c r="BH25" s="117" t="n">
        <x:f>BG25+BH24</x:f>
      </x:c>
      <x:c r="BI25" s="117" t="n">
        <x:f>BH25+BI24</x:f>
      </x:c>
      <x:c r="BJ25" s="117" t="n">
        <x:f>BI25+BJ24</x:f>
      </x:c>
      <x:c r="BK25" s="117" t="n">
        <x:f>BJ25+BK24</x:f>
      </x:c>
      <x:c r="BL25" s="117" t="n">
        <x:f>BK25+BL24</x:f>
      </x:c>
      <x:c r="BM25" s="117" t="n">
        <x:f>BL25+BM24</x:f>
      </x:c>
      <x:c r="BN25" s="117" t="n">
        <x:f>BM25+BN24</x:f>
      </x:c>
      <x:c r="BO25" s="117" t="n">
        <x:f>BN25+BO24</x:f>
      </x:c>
      <x:c r="BP25" s="117" t="n">
        <x:f>BO25+BP24</x:f>
      </x:c>
      <x:c r="BQ25" s="117" t="n">
        <x:f>BP25+BQ24</x:f>
      </x:c>
      <x:c r="BR25" s="117" t="n">
        <x:f>BQ25+BR24</x:f>
      </x:c>
      <x:c r="BS25" s="117" t="n">
        <x:f>BR25+BS24</x:f>
      </x:c>
      <x:c r="BT25" s="117" t="n">
        <x:f>BS25+BT24</x:f>
      </x:c>
      <x:c r="BU25" s="117" t="n">
        <x:f>BT25+BU24</x:f>
      </x:c>
      <x:c r="BV25" s="117" t="n">
        <x:f>BU25+BV24</x:f>
      </x:c>
      <x:c r="BW25" s="117" t="n">
        <x:f>BV25+BW24</x:f>
      </x:c>
      <x:c r="BX25" s="117" t="n">
        <x:f>BW25+BX24</x:f>
      </x:c>
      <x:c r="BY25" s="117" t="n">
        <x:f>BX25+BY24</x:f>
      </x:c>
      <x:c r="BZ25" s="117" t="n">
        <x:f>BY25+BZ24</x:f>
      </x:c>
      <x:c r="CA25" s="117" t="n">
        <x:f>BZ25+CA24</x:f>
      </x:c>
      <x:c r="CB25" s="117" t="n">
        <x:f>CA25+CB24</x:f>
      </x:c>
      <x:c r="CC25" s="117" t="n">
        <x:f>CB25+CC24</x:f>
      </x:c>
      <x:c r="CD25" s="117" t="n">
        <x:f>CC25+CD24</x:f>
      </x:c>
      <x:c r="CE25" s="117" t="n">
        <x:f>CD25+CE24</x:f>
      </x:c>
      <x:c r="CF25" s="117" t="n">
        <x:f>CE25+CF24</x:f>
      </x:c>
      <x:c r="CG25" s="117" t="n">
        <x:f>CF25+CG24</x:f>
      </x:c>
      <x:c r="CH25" s="117" t="n">
        <x:f>CG25+CH24</x:f>
      </x:c>
      <x:c r="CI25" s="117" t="n">
        <x:f>CH25+CI24</x:f>
      </x:c>
      <x:c r="CJ25" s="117" t="n">
        <x:f>CI25+CJ24</x:f>
      </x:c>
      <x:c r="CK25" s="117" t="n">
        <x:f>CJ25+CK24</x:f>
      </x:c>
      <x:c r="CL25" s="117" t="n">
        <x:f>CK25+CL24</x:f>
      </x:c>
      <x:c r="CM25" s="117" t="n">
        <x:f>CL25+CM24</x:f>
      </x:c>
      <x:c r="CN25" s="117" t="n">
        <x:f>CM25+CN24</x:f>
      </x:c>
      <x:c r="CO25" s="117" t="n">
        <x:f>CN25+CO24</x:f>
      </x:c>
      <x:c r="CP25" s="117" t="n">
        <x:f>CO25+CP24</x:f>
      </x:c>
      <x:c r="CQ25" s="117" t="n">
        <x:f>CP25+CQ24</x:f>
      </x:c>
      <x:c r="CR25" s="117" t="n">
        <x:f>CQ25+CR24</x:f>
      </x:c>
      <x:c r="CS25" s="117" t="n">
        <x:f>CR25+CS24</x:f>
      </x:c>
      <x:c r="CT25" s="117" t="n">
        <x:f>CS25+CT24</x:f>
      </x:c>
      <x:c r="CU25" s="117" t="n">
        <x:f>CT25+CU24</x:f>
      </x:c>
      <x:c r="CV25" s="117" t="n">
        <x:f>CU25+CV24</x:f>
      </x:c>
      <x:c r="CW25" s="117" t="n">
        <x:f>CV25+CW24</x:f>
      </x:c>
      <x:c r="CX25" s="117" t="n">
        <x:f>CW25+CX24</x:f>
      </x:c>
      <x:c r="CY25" s="117" t="n">
        <x:f>CX25+CY24</x:f>
      </x:c>
      <x:c r="CZ25" s="117" t="n">
        <x:f>CY25+CZ24</x:f>
      </x:c>
      <x:c r="DA25" s="117" t="n">
        <x:f>CZ25+DA24</x:f>
      </x:c>
      <x:c r="DB25" s="117" t="n">
        <x:f>DA25+DB24</x:f>
      </x:c>
      <x:c r="DC25" s="117" t="n">
        <x:f>DB25+DC24</x:f>
      </x:c>
      <x:c r="DD25" s="117" t="n">
        <x:f>DC25+DD24</x:f>
      </x:c>
      <x:c r="DE25" s="117" t="n">
        <x:f>DD25+DE24</x:f>
      </x:c>
      <x:c r="DF25" s="117" t="n">
        <x:f>DE25+DF24</x:f>
      </x:c>
      <x:c r="DG25" s="117" t="n">
        <x:f>DF25+DG24</x:f>
      </x:c>
      <x:c r="DH25" s="117" t="n">
        <x:f>DG25+DH24</x:f>
      </x:c>
      <x:c r="DI25" s="117" t="n">
        <x:f>DH25+DI24</x:f>
      </x:c>
      <x:c r="DJ25" s="117" t="n">
        <x:f>DI25+DJ24</x:f>
      </x:c>
      <x:c r="DK25" s="117" t="n">
        <x:f>DJ25+DK24</x:f>
      </x:c>
      <x:c r="DL25" s="117" t="n">
        <x:f>DK25+DL24</x:f>
      </x:c>
      <x:c r="DM25" s="117" t="n">
        <x:f>DL25+DM24</x:f>
      </x:c>
      <x:c r="DN25" s="117" t="n">
        <x:f>DM25+DN24</x:f>
      </x:c>
      <x:c r="DO25" s="117" t="n">
        <x:f>DN25+DO24</x:f>
      </x:c>
      <x:c r="DP25" s="117" t="n">
        <x:f>DO25+DP24</x:f>
      </x:c>
      <x:c r="DQ25" s="117" t="n">
        <x:f>DP25+DQ24</x:f>
      </x:c>
      <x:c r="DR25" s="117" t="n">
        <x:f>DQ25+DR24</x:f>
      </x:c>
      <x:c r="DS25" s="117" t="n">
        <x:f>DR25+DS24</x:f>
      </x:c>
      <x:c r="DT25" s="117" t="n">
        <x:f>DS25+DT24</x:f>
      </x:c>
      <x:c r="DU25" s="117" t="n">
        <x:f>DT25+DU24</x:f>
      </x:c>
      <x:c r="DV25" s="117" t="n">
        <x:f>DU25+DV24</x:f>
      </x:c>
      <x:c r="DW25" s="117" t="n">
        <x:f>DV25+DW24</x:f>
      </x:c>
      <x:c r="DX25" s="117" t="n">
        <x:f>DW25+DX24</x:f>
      </x:c>
      <x:c r="DY25" s="117" t="n">
        <x:f>DX25+DY24</x:f>
      </x:c>
      <x:c r="DZ25" s="117" t="n">
        <x:f>DY25+DZ24</x:f>
      </x:c>
      <x:c r="EA25" s="117" t="n">
        <x:f>DZ25+EA24</x:f>
      </x:c>
      <x:c r="EB25" s="117" t="n">
        <x:f>EA25+EB24</x:f>
      </x:c>
      <x:c r="EC25" s="117" t="n">
        <x:f>EB25+EC24</x:f>
      </x:c>
      <x:c r="ED25" s="117" t="n">
        <x:f>EC25+ED24</x:f>
      </x:c>
      <x:c r="EE25" s="117" t="n">
        <x:f>ED25+EE24</x:f>
      </x:c>
      <x:c r="EF25" s="117" t="n">
        <x:f>EE25+EF24</x:f>
      </x:c>
      <x:c r="EG25" s="117" t="n">
        <x:f>EF25+EG24</x:f>
      </x:c>
      <x:c r="EH25" s="117" t="n">
        <x:f>EG25+EH24</x:f>
      </x:c>
      <x:c r="EI25" s="117" t="n">
        <x:f>EH25+EI24</x:f>
      </x:c>
      <x:c r="EJ25" s="117" t="n">
        <x:f>EI25+EJ24</x:f>
      </x:c>
      <x:c r="EK25" s="117" t="n">
        <x:f>EJ25+EK24</x:f>
      </x:c>
      <x:c r="EL25" s="117" t="n">
        <x:f>EK25+EL24</x:f>
      </x:c>
      <x:c r="EM25" s="117" t="n">
        <x:f>EL25+EM24</x:f>
      </x:c>
      <x:c r="EN25" s="117" t="n">
        <x:f>EM25+EN24</x:f>
      </x:c>
      <x:c r="EO25" s="117" t="n">
        <x:f>EN25+EO24</x:f>
      </x:c>
      <x:c r="EP25" s="117" t="n">
        <x:f>EO25+EP24</x:f>
      </x:c>
      <x:c r="EQ25" s="117" t="n">
        <x:f>EP25+EQ24</x:f>
      </x:c>
      <x:c r="ER25" s="117" t="n">
        <x:f>EQ25+ER24</x:f>
      </x:c>
      <x:c r="ES25" s="117" t="n">
        <x:f>ER25+ES24</x:f>
      </x:c>
      <x:c r="ET25" s="117" t="n">
        <x:f>ES25+ET24</x:f>
      </x:c>
      <x:c r="EU25" s="117" t="n">
        <x:f>ET25+EU24</x:f>
      </x:c>
      <x:c r="EV25" s="117" t="n">
        <x:f>EU25+EV24</x:f>
      </x:c>
      <x:c r="EW25" s="117" t="n">
        <x:f>EV25+EW24</x:f>
      </x:c>
      <x:c r="EX25" s="117" t="n">
        <x:f>EW25+EX24</x:f>
      </x:c>
      <x:c r="EY25" s="117" t="n">
        <x:f>EX25+EY24</x:f>
      </x:c>
      <x:c r="EZ25" s="117" t="n">
        <x:f>EY25+EZ24</x:f>
      </x:c>
      <x:c r="FA25" s="117" t="n">
        <x:f>EZ25+FA24</x:f>
      </x:c>
      <x:c r="FB25" s="117" t="n">
        <x:f>FA25+FB24</x:f>
      </x:c>
      <x:c r="FC25" s="117" t="n">
        <x:f>FB25+FC24</x:f>
      </x:c>
      <x:c r="FD25" s="117" t="n">
        <x:f>FC25+FD24</x:f>
      </x:c>
      <x:c r="FE25" s="117" t="n">
        <x:f>FD25+FE24</x:f>
      </x:c>
      <x:c r="FF25" s="117" t="n">
        <x:f>FE25+FF24</x:f>
      </x:c>
      <x:c r="FG25" s="117" t="n">
        <x:f>FF25+FG24</x:f>
      </x:c>
      <x:c r="FH25" s="117" t="n">
        <x:f>FG25+FH24</x:f>
      </x:c>
      <x:c r="FI25" s="117" t="n">
        <x:f>FH25+FI24</x:f>
      </x:c>
      <x:c r="FJ25" s="117" t="n">
        <x:f>FI25+FJ24</x:f>
      </x:c>
      <x:c r="FK25" s="117" t="n">
        <x:f>FJ25+FK24</x:f>
      </x:c>
      <x:c r="FL25" s="117" t="n">
        <x:f>FK25+FL24</x:f>
      </x:c>
      <x:c r="FM25" s="117" t="n">
        <x:f>FL25+FM24</x:f>
      </x:c>
      <x:c r="FN25" s="117" t="n">
        <x:f>FM25+FN24</x:f>
      </x:c>
      <x:c r="FO25" s="117" t="n">
        <x:f>FN25+FO24</x:f>
      </x:c>
      <x:c r="FP25" s="117" t="n">
        <x:f>FO25+FP24</x:f>
      </x:c>
      <x:c r="FQ25" s="117" t="n">
        <x:f>FP25+FQ24</x:f>
      </x:c>
      <x:c r="FR25" s="117" t="n">
        <x:f>FQ25+FR24</x:f>
      </x:c>
      <x:c r="FS25" s="117" t="n">
        <x:f>FR25+FS24</x:f>
      </x:c>
      <x:c r="FT25" s="117" t="n">
        <x:f>FS25+FT24</x:f>
      </x:c>
      <x:c r="FU25" s="117" t="n">
        <x:f>FT25+FU24</x:f>
      </x:c>
      <x:c r="FV25" s="117" t="n">
        <x:f>FU25+FV24</x:f>
      </x:c>
      <x:c r="FW25" s="117" t="n">
        <x:f>FV25+FW24</x:f>
      </x:c>
      <x:c r="FX25" s="117" t="n">
        <x:f>FW25+FX24</x:f>
      </x:c>
      <x:c r="FY25" s="117" t="n">
        <x:f>FX25+FY24</x:f>
      </x:c>
      <x:c r="FZ25" s="117" t="n">
        <x:f>FY25+FZ24</x:f>
      </x:c>
      <x:c r="GA25" s="117" t="n">
        <x:f>FZ25+GA24</x:f>
      </x:c>
    </x:row>
    <x:row r="26">
      <x:c r="A26"/>
      <x:c r="B26"/>
      <x:c r="C26"/>
      <x:c r="D26" s="117"/>
      <x:c r="E26" s="117"/>
      <x:c r="F26" s="117"/>
      <x:c r="G26" s="117"/>
      <x:c r="H26" s="117"/>
      <x:c r="I26" s="117"/>
      <x:c r="J26" s="117"/>
      <x:c r="K26" s="117"/>
      <x:c r="L26" s="117"/>
      <x:c r="M26" s="117"/>
      <x:c r="N26" s="117"/>
      <x:c r="O26" s="117"/>
      <x:c r="P26" s="117"/>
      <x:c r="Q26" s="117"/>
      <x:c r="R26" s="117"/>
      <x:c r="S26" s="117"/>
      <x:c r="T26" s="117"/>
      <x:c r="U26" s="117"/>
      <x:c r="V26" s="117"/>
      <x:c r="W26" s="117"/>
      <x:c r="X26" s="117"/>
      <x:c r="Y26" s="117"/>
      <x:c r="Z26" s="117"/>
      <x:c r="AA26" s="117"/>
      <x:c r="AB26" s="117"/>
      <x:c r="AC26" s="117"/>
      <x:c r="AD26" s="117"/>
      <x:c r="AE26" s="117"/>
      <x:c r="AF26" s="117"/>
      <x:c r="AG26" s="117"/>
      <x:c r="AH26" s="117"/>
      <x:c r="AI26" s="117"/>
      <x:c r="AJ26" s="117"/>
      <x:c r="AK26" s="117"/>
      <x:c r="AL26" s="117"/>
      <x:c r="AM26" s="117"/>
      <x:c r="AN26" s="117"/>
      <x:c r="AO26" s="117"/>
      <x:c r="AP26" s="117"/>
      <x:c r="AQ26" s="117"/>
      <x:c r="AR26" s="117"/>
      <x:c r="AS26" s="117"/>
      <x:c r="AT26" s="117"/>
      <x:c r="AU26" s="117"/>
      <x:c r="AV26" s="117"/>
      <x:c r="AW26" s="117"/>
      <x:c r="AX26" s="117"/>
      <x:c r="AY26" s="117"/>
      <x:c r="AZ26" s="117"/>
      <x:c r="BA26" s="117"/>
      <x:c r="BB26" s="117"/>
      <x:c r="BC26" s="117"/>
      <x:c r="BD26" s="117"/>
      <x:c r="BE26" s="117"/>
      <x:c r="BF26" s="117"/>
      <x:c r="BG26" s="117"/>
      <x:c r="BH26" s="117"/>
      <x:c r="BI26" s="117"/>
      <x:c r="BJ26" s="117"/>
      <x:c r="BK26" s="117"/>
      <x:c r="BL26" s="117"/>
      <x:c r="BM26" s="117"/>
      <x:c r="BN26" s="117"/>
      <x:c r="BO26" s="117"/>
      <x:c r="BP26" s="117"/>
      <x:c r="BQ26" s="117"/>
      <x:c r="BR26" s="117"/>
      <x:c r="BS26" s="117"/>
      <x:c r="BT26" s="117"/>
      <x:c r="BU26" s="117"/>
      <x:c r="BV26" s="117"/>
      <x:c r="BW26" s="117"/>
      <x:c r="BX26" s="117"/>
      <x:c r="BY26" s="117"/>
      <x:c r="BZ26" s="117"/>
      <x:c r="CA26" s="117"/>
      <x:c r="CB26" s="117"/>
      <x:c r="CC26" s="117"/>
      <x:c r="CD26" s="117"/>
      <x:c r="CE26" s="117"/>
      <x:c r="CF26" s="117"/>
      <x:c r="CG26" s="117"/>
      <x:c r="CH26" s="117"/>
      <x:c r="CI26" s="117"/>
      <x:c r="CJ26" s="117"/>
      <x:c r="CK26" s="117"/>
      <x:c r="CL26" s="117"/>
      <x:c r="CM26" s="117"/>
      <x:c r="CN26" s="117"/>
      <x:c r="CO26" s="117"/>
      <x:c r="CP26" s="117"/>
      <x:c r="CQ26" s="117"/>
      <x:c r="CR26" s="117"/>
      <x:c r="CS26" s="117"/>
      <x:c r="CT26" s="117"/>
      <x:c r="CU26" s="117"/>
      <x:c r="CV26" s="117"/>
      <x:c r="CW26" s="117"/>
      <x:c r="CX26" s="117"/>
      <x:c r="CY26" s="117"/>
      <x:c r="CZ26" s="117"/>
      <x:c r="DA26" s="117"/>
      <x:c r="DB26" s="117"/>
      <x:c r="DC26" s="117"/>
      <x:c r="DD26" s="117"/>
      <x:c r="DE26" s="117"/>
      <x:c r="DF26" s="117"/>
      <x:c r="DG26" s="117"/>
      <x:c r="DH26" s="117"/>
      <x:c r="DI26" s="117"/>
      <x:c r="DJ26" s="117"/>
      <x:c r="DK26" s="117"/>
      <x:c r="DL26" s="117"/>
      <x:c r="DM26" s="117"/>
      <x:c r="DN26" s="117"/>
      <x:c r="DO26" s="117"/>
      <x:c r="DP26" s="117"/>
      <x:c r="DQ26" s="117"/>
      <x:c r="DR26" s="117"/>
      <x:c r="DS26" s="117"/>
      <x:c r="DT26" s="117"/>
      <x:c r="DU26" s="117"/>
      <x:c r="DV26" s="117"/>
      <x:c r="DW26" s="117"/>
      <x:c r="DX26" s="117"/>
      <x:c r="DY26" s="117"/>
      <x:c r="DZ26" s="117"/>
      <x:c r="EA26" s="117"/>
      <x:c r="EB26" s="117"/>
      <x:c r="EC26" s="117"/>
      <x:c r="ED26" s="117"/>
      <x:c r="EE26" s="117"/>
      <x:c r="EF26" s="117"/>
      <x:c r="EG26" s="117"/>
      <x:c r="EH26" s="117"/>
      <x:c r="EI26" s="117"/>
      <x:c r="EJ26" s="117"/>
      <x:c r="EK26" s="117"/>
      <x:c r="EL26" s="117"/>
      <x:c r="EM26" s="117"/>
      <x:c r="EN26" s="117"/>
      <x:c r="EO26" s="117"/>
      <x:c r="EP26" s="117"/>
      <x:c r="EQ26" s="117"/>
      <x:c r="ER26" s="117"/>
      <x:c r="ES26" s="117"/>
      <x:c r="ET26" s="117"/>
      <x:c r="EU26" s="117"/>
      <x:c r="EV26" s="117"/>
      <x:c r="EW26" s="117"/>
      <x:c r="EX26" s="117"/>
      <x:c r="EY26" s="117"/>
      <x:c r="EZ26" s="117"/>
      <x:c r="FA26" s="117"/>
      <x:c r="FB26" s="117"/>
      <x:c r="FC26" s="117"/>
      <x:c r="FD26" s="117"/>
      <x:c r="FE26" s="117"/>
      <x:c r="FF26" s="117"/>
      <x:c r="FG26" s="117"/>
      <x:c r="FH26" s="117"/>
      <x:c r="FI26" s="117"/>
      <x:c r="FJ26" s="117"/>
      <x:c r="FK26" s="117"/>
      <x:c r="FL26" s="117"/>
      <x:c r="FM26" s="117"/>
      <x:c r="FN26" s="117"/>
      <x:c r="FO26" s="117"/>
      <x:c r="FP26" s="117"/>
      <x:c r="FQ26" s="117"/>
      <x:c r="FR26" s="117"/>
      <x:c r="FS26" s="117"/>
      <x:c r="FT26" s="117"/>
      <x:c r="FU26" s="117"/>
      <x:c r="FV26" s="117"/>
      <x:c r="FW26" s="117"/>
      <x:c r="FX26" s="117"/>
      <x:c r="FY26" s="117"/>
      <x:c r="FZ26" s="117"/>
      <x:c r="GA26" s="117"/>
    </x:row>
    <x:row r="27">
      <x:c r="A27" t="str">
        <x:v>Доступный денежный поток</x:v>
      </x:c>
      <x:c r="B27" t="n">
        <x:f>SUM(D27:GA27)</x:f>
      </x:c>
      <x:c r="C27" t="str">
        <x:v>млн ₽</x:v>
      </x:c>
      <x:c r="D27" s="117" t="n">
        <x:f>SUM(D14,D12)</x:f>
      </x:c>
      <x:c r="E27" s="117" t="n">
        <x:f>SUM(E14,E12)</x:f>
      </x:c>
      <x:c r="F27" s="117" t="n">
        <x:f>SUM(F14,F12)</x:f>
      </x:c>
      <x:c r="G27" s="117" t="n">
        <x:f>SUM(G14,G12)</x:f>
      </x:c>
      <x:c r="H27" s="117" t="n">
        <x:f>SUM(H14,H12)</x:f>
      </x:c>
      <x:c r="I27" s="117" t="n">
        <x:f>SUM(I14,I12)</x:f>
      </x:c>
      <x:c r="J27" s="117" t="n">
        <x:f>SUM(J14,J12)</x:f>
      </x:c>
      <x:c r="K27" s="117" t="n">
        <x:f>SUM(K14,K12)</x:f>
      </x:c>
      <x:c r="L27" s="117" t="n">
        <x:f>SUM(L14,L12)</x:f>
      </x:c>
      <x:c r="M27" s="117" t="n">
        <x:f>SUM(M14,M12)</x:f>
      </x:c>
      <x:c r="N27" s="117" t="n">
        <x:f>SUM(N14,N12)</x:f>
      </x:c>
      <x:c r="O27" s="117" t="n">
        <x:f>SUM(O14,O12)</x:f>
      </x:c>
      <x:c r="P27" s="117" t="n">
        <x:f>SUM(P14,P12)</x:f>
      </x:c>
      <x:c r="Q27" s="117" t="n">
        <x:f>SUM(Q14,Q12)</x:f>
      </x:c>
      <x:c r="R27" s="117" t="n">
        <x:f>SUM(R14,R12)</x:f>
      </x:c>
      <x:c r="S27" s="117" t="n">
        <x:f>SUM(S14,S12)</x:f>
      </x:c>
      <x:c r="T27" s="117" t="n">
        <x:f>SUM(T14,T12)</x:f>
      </x:c>
      <x:c r="U27" s="117" t="n">
        <x:f>SUM(U14,U12)</x:f>
      </x:c>
      <x:c r="V27" s="117" t="n">
        <x:f>SUM(V14,V12)</x:f>
      </x:c>
      <x:c r="W27" s="117" t="n">
        <x:f>SUM(W14,W12)</x:f>
      </x:c>
      <x:c r="X27" s="117" t="n">
        <x:f>SUM(X14,X12)</x:f>
      </x:c>
      <x:c r="Y27" s="117" t="n">
        <x:f>SUM(Y14,Y12)</x:f>
      </x:c>
      <x:c r="Z27" s="117" t="n">
        <x:f>SUM(Z14,Z12)</x:f>
      </x:c>
      <x:c r="AA27" s="117" t="n">
        <x:f>SUM(AA14,AA12)</x:f>
      </x:c>
      <x:c r="AB27" s="117" t="n">
        <x:f>SUM(AB14,AB12)</x:f>
      </x:c>
      <x:c r="AC27" s="117" t="n">
        <x:f>SUM(AC14,AC12)</x:f>
      </x:c>
      <x:c r="AD27" s="117" t="n">
        <x:f>SUM(AD14,AD12)</x:f>
      </x:c>
      <x:c r="AE27" s="117" t="n">
        <x:f>SUM(AE14,AE12)</x:f>
      </x:c>
      <x:c r="AF27" s="117" t="n">
        <x:f>SUM(AF14,AF12)</x:f>
      </x:c>
      <x:c r="AG27" s="117" t="n">
        <x:f>SUM(AG14,AG12)</x:f>
      </x:c>
      <x:c r="AH27" s="117" t="n">
        <x:f>SUM(AH14,AH12)</x:f>
      </x:c>
      <x:c r="AI27" s="117" t="n">
        <x:f>SUM(AI14,AI12)</x:f>
      </x:c>
      <x:c r="AJ27" s="117" t="n">
        <x:f>SUM(AJ14,AJ12)</x:f>
      </x:c>
      <x:c r="AK27" s="117" t="n">
        <x:f>SUM(AK14,AK12)</x:f>
      </x:c>
      <x:c r="AL27" s="117" t="n">
        <x:f>SUM(AL14,AL12)</x:f>
      </x:c>
      <x:c r="AM27" s="117" t="n">
        <x:f>SUM(AM14,AM12)</x:f>
      </x:c>
      <x:c r="AN27" s="117" t="n">
        <x:f>SUM(AN14,AN12)</x:f>
      </x:c>
      <x:c r="AO27" s="117" t="n">
        <x:f>SUM(AO14,AO12)</x:f>
      </x:c>
      <x:c r="AP27" s="117" t="n">
        <x:f>SUM(AP14,AP12)</x:f>
      </x:c>
      <x:c r="AQ27" s="117" t="n">
        <x:f>SUM(AQ14,AQ12)</x:f>
      </x:c>
      <x:c r="AR27" s="117" t="n">
        <x:f>SUM(AR14,AR12)</x:f>
      </x:c>
      <x:c r="AS27" s="117" t="n">
        <x:f>SUM(AS14,AS12)</x:f>
      </x:c>
      <x:c r="AT27" s="117" t="n">
        <x:f>SUM(AT14,AT12)</x:f>
      </x:c>
      <x:c r="AU27" s="117" t="n">
        <x:f>SUM(AU14,AU12)</x:f>
      </x:c>
      <x:c r="AV27" s="117" t="n">
        <x:f>SUM(AV14,AV12)</x:f>
      </x:c>
      <x:c r="AW27" s="117" t="n">
        <x:f>SUM(AW14,AW12)</x:f>
      </x:c>
      <x:c r="AX27" s="117" t="n">
        <x:f>SUM(AX14,AX12)</x:f>
      </x:c>
      <x:c r="AY27" s="117" t="n">
        <x:f>SUM(AY14,AY12)</x:f>
      </x:c>
      <x:c r="AZ27" s="117" t="n">
        <x:f>SUM(AZ14,AZ12)</x:f>
      </x:c>
      <x:c r="BA27" s="117" t="n">
        <x:f>SUM(BA14,BA12)</x:f>
      </x:c>
      <x:c r="BB27" s="117" t="n">
        <x:f>SUM(BB14,BB12)</x:f>
      </x:c>
      <x:c r="BC27" s="117" t="n">
        <x:f>SUM(BC14,BC12)</x:f>
      </x:c>
      <x:c r="BD27" s="117" t="n">
        <x:f>SUM(BD14,BD12)</x:f>
      </x:c>
      <x:c r="BE27" s="117" t="n">
        <x:f>SUM(BE14,BE12)</x:f>
      </x:c>
      <x:c r="BF27" s="117" t="n">
        <x:f>SUM(BF14,BF12)</x:f>
      </x:c>
      <x:c r="BG27" s="117" t="n">
        <x:f>SUM(BG14,BG12)</x:f>
      </x:c>
      <x:c r="BH27" s="117" t="n">
        <x:f>SUM(BH14,BH12)</x:f>
      </x:c>
      <x:c r="BI27" s="117" t="n">
        <x:f>SUM(BI14,BI12)</x:f>
      </x:c>
      <x:c r="BJ27" s="117" t="n">
        <x:f>SUM(BJ14,BJ12)</x:f>
      </x:c>
      <x:c r="BK27" s="117" t="n">
        <x:f>SUM(BK14,BK12)</x:f>
      </x:c>
      <x:c r="BL27" s="117" t="n">
        <x:f>SUM(BL14,BL12)</x:f>
      </x:c>
      <x:c r="BM27" s="117" t="n">
        <x:f>SUM(BM14,BM12)</x:f>
      </x:c>
      <x:c r="BN27" s="117" t="n">
        <x:f>SUM(BN14,BN12)</x:f>
      </x:c>
      <x:c r="BO27" s="117" t="n">
        <x:f>SUM(BO14,BO12)</x:f>
      </x:c>
      <x:c r="BP27" s="117" t="n">
        <x:f>SUM(BP14,BP12)</x:f>
      </x:c>
      <x:c r="BQ27" s="117" t="n">
        <x:f>SUM(BQ14,BQ12)</x:f>
      </x:c>
      <x:c r="BR27" s="117" t="n">
        <x:f>SUM(BR14,BR12)</x:f>
      </x:c>
      <x:c r="BS27" s="117" t="n">
        <x:f>SUM(BS14,BS12)</x:f>
      </x:c>
      <x:c r="BT27" s="117" t="n">
        <x:f>SUM(BT14,BT12)</x:f>
      </x:c>
      <x:c r="BU27" s="117" t="n">
        <x:f>SUM(BU14,BU12)</x:f>
      </x:c>
      <x:c r="BV27" s="117" t="n">
        <x:f>SUM(BV14,BV12)</x:f>
      </x:c>
      <x:c r="BW27" s="117" t="n">
        <x:f>SUM(BW14,BW12)</x:f>
      </x:c>
      <x:c r="BX27" s="117" t="n">
        <x:f>SUM(BX14,BX12)</x:f>
      </x:c>
      <x:c r="BY27" s="117" t="n">
        <x:f>SUM(BY14,BY12)</x:f>
      </x:c>
      <x:c r="BZ27" s="117" t="n">
        <x:f>SUM(BZ14,BZ12)</x:f>
      </x:c>
      <x:c r="CA27" s="117" t="n">
        <x:f>SUM(CA14,CA12)</x:f>
      </x:c>
      <x:c r="CB27" s="117" t="n">
        <x:f>SUM(CB14,CB12)</x:f>
      </x:c>
      <x:c r="CC27" s="117" t="n">
        <x:f>SUM(CC14,CC12)</x:f>
      </x:c>
      <x:c r="CD27" s="117" t="n">
        <x:f>SUM(CD14,CD12)</x:f>
      </x:c>
      <x:c r="CE27" s="117" t="n">
        <x:f>SUM(CE14,CE12)</x:f>
      </x:c>
      <x:c r="CF27" s="117" t="n">
        <x:f>SUM(CF14,CF12)</x:f>
      </x:c>
      <x:c r="CG27" s="117" t="n">
        <x:f>SUM(CG14,CG12)</x:f>
      </x:c>
      <x:c r="CH27" s="117" t="n">
        <x:f>SUM(CH14,CH12)</x:f>
      </x:c>
      <x:c r="CI27" s="117" t="n">
        <x:f>SUM(CI14,CI12)</x:f>
      </x:c>
      <x:c r="CJ27" s="117" t="n">
        <x:f>SUM(CJ14,CJ12)</x:f>
      </x:c>
      <x:c r="CK27" s="117" t="n">
        <x:f>SUM(CK14,CK12)</x:f>
      </x:c>
      <x:c r="CL27" s="117" t="n">
        <x:f>SUM(CL14,CL12)</x:f>
      </x:c>
      <x:c r="CM27" s="117" t="n">
        <x:f>SUM(CM14,CM12)</x:f>
      </x:c>
      <x:c r="CN27" s="117" t="n">
        <x:f>SUM(CN14,CN12)</x:f>
      </x:c>
      <x:c r="CO27" s="117" t="n">
        <x:f>SUM(CO14,CO12)</x:f>
      </x:c>
      <x:c r="CP27" s="117" t="n">
        <x:f>SUM(CP14,CP12)</x:f>
      </x:c>
      <x:c r="CQ27" s="117" t="n">
        <x:f>SUM(CQ14,CQ12)</x:f>
      </x:c>
      <x:c r="CR27" s="117" t="n">
        <x:f>SUM(CR14,CR12)</x:f>
      </x:c>
      <x:c r="CS27" s="117" t="n">
        <x:f>SUM(CS14,CS12)</x:f>
      </x:c>
      <x:c r="CT27" s="117" t="n">
        <x:f>SUM(CT14,CT12)</x:f>
      </x:c>
      <x:c r="CU27" s="117" t="n">
        <x:f>SUM(CU14,CU12)</x:f>
      </x:c>
      <x:c r="CV27" s="117" t="n">
        <x:f>SUM(CV14,CV12)</x:f>
      </x:c>
      <x:c r="CW27" s="117" t="n">
        <x:f>SUM(CW14,CW12)</x:f>
      </x:c>
      <x:c r="CX27" s="117" t="n">
        <x:f>SUM(CX14,CX12)</x:f>
      </x:c>
      <x:c r="CY27" s="117" t="n">
        <x:f>SUM(CY14,CY12)</x:f>
      </x:c>
      <x:c r="CZ27" s="117" t="n">
        <x:f>SUM(CZ14,CZ12)</x:f>
      </x:c>
      <x:c r="DA27" s="117" t="n">
        <x:f>SUM(DA14,DA12)</x:f>
      </x:c>
      <x:c r="DB27" s="117" t="n">
        <x:f>SUM(DB14,DB12)</x:f>
      </x:c>
      <x:c r="DC27" s="117" t="n">
        <x:f>SUM(DC14,DC12)</x:f>
      </x:c>
      <x:c r="DD27" s="117" t="n">
        <x:f>SUM(DD14,DD12)</x:f>
      </x:c>
      <x:c r="DE27" s="117" t="n">
        <x:f>SUM(DE14,DE12)</x:f>
      </x:c>
      <x:c r="DF27" s="117" t="n">
        <x:f>SUM(DF14,DF12)</x:f>
      </x:c>
      <x:c r="DG27" s="117" t="n">
        <x:f>SUM(DG14,DG12)</x:f>
      </x:c>
      <x:c r="DH27" s="117" t="n">
        <x:f>SUM(DH14,DH12)</x:f>
      </x:c>
      <x:c r="DI27" s="117" t="n">
        <x:f>SUM(DI14,DI12)</x:f>
      </x:c>
      <x:c r="DJ27" s="117" t="n">
        <x:f>SUM(DJ14,DJ12)</x:f>
      </x:c>
      <x:c r="DK27" s="117" t="n">
        <x:f>SUM(DK14,DK12)</x:f>
      </x:c>
      <x:c r="DL27" s="117" t="n">
        <x:f>SUM(DL14,DL12)</x:f>
      </x:c>
      <x:c r="DM27" s="117" t="n">
        <x:f>SUM(DM14,DM12)</x:f>
      </x:c>
      <x:c r="DN27" s="117" t="n">
        <x:f>SUM(DN14,DN12)</x:f>
      </x:c>
      <x:c r="DO27" s="117" t="n">
        <x:f>SUM(DO14,DO12)</x:f>
      </x:c>
      <x:c r="DP27" s="117" t="n">
        <x:f>SUM(DP14,DP12)</x:f>
      </x:c>
      <x:c r="DQ27" s="117" t="n">
        <x:f>SUM(DQ14,DQ12)</x:f>
      </x:c>
      <x:c r="DR27" s="117" t="n">
        <x:f>SUM(DR14,DR12)</x:f>
      </x:c>
      <x:c r="DS27" s="117" t="n">
        <x:f>SUM(DS14,DS12)</x:f>
      </x:c>
      <x:c r="DT27" s="117" t="n">
        <x:f>SUM(DT14,DT12)</x:f>
      </x:c>
      <x:c r="DU27" s="117" t="n">
        <x:f>SUM(DU14,DU12)</x:f>
      </x:c>
      <x:c r="DV27" s="117" t="n">
        <x:f>SUM(DV14,DV12)</x:f>
      </x:c>
      <x:c r="DW27" s="117" t="n">
        <x:f>SUM(DW14,DW12)</x:f>
      </x:c>
      <x:c r="DX27" s="117" t="n">
        <x:f>SUM(DX14,DX12)</x:f>
      </x:c>
      <x:c r="DY27" s="117" t="n">
        <x:f>SUM(DY14,DY12)</x:f>
      </x:c>
      <x:c r="DZ27" s="117" t="n">
        <x:f>SUM(DZ14,DZ12)</x:f>
      </x:c>
      <x:c r="EA27" s="117" t="n">
        <x:f>SUM(EA14,EA12)</x:f>
      </x:c>
      <x:c r="EB27" s="117" t="n">
        <x:f>SUM(EB14,EB12)</x:f>
      </x:c>
      <x:c r="EC27" s="117" t="n">
        <x:f>SUM(EC14,EC12)</x:f>
      </x:c>
      <x:c r="ED27" s="117" t="n">
        <x:f>SUM(ED14,ED12)</x:f>
      </x:c>
      <x:c r="EE27" s="117" t="n">
        <x:f>SUM(EE14,EE12)</x:f>
      </x:c>
      <x:c r="EF27" s="117" t="n">
        <x:f>SUM(EF14,EF12)</x:f>
      </x:c>
      <x:c r="EG27" s="117" t="n">
        <x:f>SUM(EG14,EG12)</x:f>
      </x:c>
      <x:c r="EH27" s="117" t="n">
        <x:f>SUM(EH14,EH12)</x:f>
      </x:c>
      <x:c r="EI27" s="117" t="n">
        <x:f>SUM(EI14,EI12)</x:f>
      </x:c>
      <x:c r="EJ27" s="117" t="n">
        <x:f>SUM(EJ14,EJ12)</x:f>
      </x:c>
      <x:c r="EK27" s="117" t="n">
        <x:f>SUM(EK14,EK12)</x:f>
      </x:c>
      <x:c r="EL27" s="117" t="n">
        <x:f>SUM(EL14,EL12)</x:f>
      </x:c>
      <x:c r="EM27" s="117" t="n">
        <x:f>SUM(EM14,EM12)</x:f>
      </x:c>
      <x:c r="EN27" s="117" t="n">
        <x:f>SUM(EN14,EN12)</x:f>
      </x:c>
      <x:c r="EO27" s="117" t="n">
        <x:f>SUM(EO14,EO12)</x:f>
      </x:c>
      <x:c r="EP27" s="117" t="n">
        <x:f>SUM(EP14,EP12)</x:f>
      </x:c>
      <x:c r="EQ27" s="117" t="n">
        <x:f>SUM(EQ14,EQ12)</x:f>
      </x:c>
      <x:c r="ER27" s="117" t="n">
        <x:f>SUM(ER14,ER12)</x:f>
      </x:c>
      <x:c r="ES27" s="117" t="n">
        <x:f>SUM(ES14,ES12)</x:f>
      </x:c>
      <x:c r="ET27" s="117" t="n">
        <x:f>SUM(ET14,ET12)</x:f>
      </x:c>
      <x:c r="EU27" s="117" t="n">
        <x:f>SUM(EU14,EU12)</x:f>
      </x:c>
      <x:c r="EV27" s="117" t="n">
        <x:f>SUM(EV14,EV12)</x:f>
      </x:c>
      <x:c r="EW27" s="117" t="n">
        <x:f>SUM(EW14,EW12)</x:f>
      </x:c>
      <x:c r="EX27" s="117" t="n">
        <x:f>SUM(EX14,EX12)</x:f>
      </x:c>
      <x:c r="EY27" s="117" t="n">
        <x:f>SUM(EY14,EY12)</x:f>
      </x:c>
      <x:c r="EZ27" s="117" t="n">
        <x:f>SUM(EZ14,EZ12)</x:f>
      </x:c>
      <x:c r="FA27" s="117" t="n">
        <x:f>SUM(FA14,FA12)</x:f>
      </x:c>
      <x:c r="FB27" s="117" t="n">
        <x:f>SUM(FB14,FB12)</x:f>
      </x:c>
      <x:c r="FC27" s="117" t="n">
        <x:f>SUM(FC14,FC12)</x:f>
      </x:c>
      <x:c r="FD27" s="117" t="n">
        <x:f>SUM(FD14,FD12)</x:f>
      </x:c>
      <x:c r="FE27" s="117" t="n">
        <x:f>SUM(FE14,FE12)</x:f>
      </x:c>
      <x:c r="FF27" s="117" t="n">
        <x:f>SUM(FF14,FF12)</x:f>
      </x:c>
      <x:c r="FG27" s="117" t="n">
        <x:f>SUM(FG14,FG12)</x:f>
      </x:c>
      <x:c r="FH27" s="117" t="n">
        <x:f>SUM(FH14,FH12)</x:f>
      </x:c>
      <x:c r="FI27" s="117" t="n">
        <x:f>SUM(FI14,FI12)</x:f>
      </x:c>
      <x:c r="FJ27" s="117" t="n">
        <x:f>SUM(FJ14,FJ12)</x:f>
      </x:c>
      <x:c r="FK27" s="117" t="n">
        <x:f>SUM(FK14,FK12)</x:f>
      </x:c>
      <x:c r="FL27" s="117" t="n">
        <x:f>SUM(FL14,FL12)</x:f>
      </x:c>
      <x:c r="FM27" s="117" t="n">
        <x:f>SUM(FM14,FM12)</x:f>
      </x:c>
      <x:c r="FN27" s="117" t="n">
        <x:f>SUM(FN14,FN12)</x:f>
      </x:c>
      <x:c r="FO27" s="117" t="n">
        <x:f>SUM(FO14,FO12)</x:f>
      </x:c>
      <x:c r="FP27" s="117" t="n">
        <x:f>SUM(FP14,FP12)</x:f>
      </x:c>
      <x:c r="FQ27" s="117" t="n">
        <x:f>SUM(FQ14,FQ12)</x:f>
      </x:c>
      <x:c r="FR27" s="117" t="n">
        <x:f>SUM(FR14,FR12)</x:f>
      </x:c>
      <x:c r="FS27" s="117" t="n">
        <x:f>SUM(FS14,FS12)</x:f>
      </x:c>
      <x:c r="FT27" s="117" t="n">
        <x:f>SUM(FT14,FT12)</x:f>
      </x:c>
      <x:c r="FU27" s="117" t="n">
        <x:f>SUM(FU14,FU12)</x:f>
      </x:c>
      <x:c r="FV27" s="117" t="n">
        <x:f>SUM(FV14,FV12)</x:f>
      </x:c>
      <x:c r="FW27" s="117" t="n">
        <x:f>SUM(FW14,FW12)</x:f>
      </x:c>
      <x:c r="FX27" s="117" t="n">
        <x:f>SUM(FX14,FX12)</x:f>
      </x:c>
      <x:c r="FY27" s="117" t="n">
        <x:f>SUM(FY14,FY12)</x:f>
      </x:c>
      <x:c r="FZ27" s="117" t="n">
        <x:f>SUM(FZ14,FZ12)</x:f>
      </x:c>
      <x:c r="GA27" s="117" t="n">
        <x:f>SUM(GA14,GA12)</x:f>
      </x:c>
    </x:row>
    <x:row r="28">
      <x:c r="A28" s="113" t="str">
        <x:v>CFADS после налога</x:v>
      </x:c>
      <x:c r="B28" s="113" t="n">
        <x:f>SUM(D28:GA28)</x:f>
      </x:c>
      <x:c r="C28" s="113" t="str">
        <x:v>млн ₽</x:v>
      </x:c>
      <x:c r="D28" s="120" t="n">
        <x:f>D27-D20-D24</x:f>
      </x:c>
      <x:c r="E28" s="120" t="n">
        <x:f>E27-E20-E24</x:f>
      </x:c>
      <x:c r="F28" s="120" t="n">
        <x:f>F27-F20-F24</x:f>
      </x:c>
      <x:c r="G28" s="120" t="n">
        <x:f>G27-G20-G24</x:f>
      </x:c>
      <x:c r="H28" s="120" t="n">
        <x:f>H27-H20-H24</x:f>
      </x:c>
      <x:c r="I28" s="120" t="n">
        <x:f>I27-I20-I24</x:f>
      </x:c>
      <x:c r="J28" s="120" t="n">
        <x:f>J27-J20-J24</x:f>
      </x:c>
      <x:c r="K28" s="120" t="n">
        <x:f>K27-K20-K24</x:f>
      </x:c>
      <x:c r="L28" s="120" t="n">
        <x:f>L27-L20-L24</x:f>
      </x:c>
      <x:c r="M28" s="120" t="n">
        <x:f>M27-M20-M24</x:f>
      </x:c>
      <x:c r="N28" s="120" t="n">
        <x:f>N27-N20-N24</x:f>
      </x:c>
      <x:c r="O28" s="120" t="n">
        <x:f>O27-O20-O24</x:f>
      </x:c>
      <x:c r="P28" s="120" t="n">
        <x:f>P27-P20-P24</x:f>
      </x:c>
      <x:c r="Q28" s="120" t="n">
        <x:f>Q27-Q20-Q24</x:f>
      </x:c>
      <x:c r="R28" s="120" t="n">
        <x:f>R27-R20-R24</x:f>
      </x:c>
      <x:c r="S28" s="120" t="n">
        <x:f>S27-S20-S24</x:f>
      </x:c>
      <x:c r="T28" s="120" t="n">
        <x:f>T27-T20-T24</x:f>
      </x:c>
      <x:c r="U28" s="120" t="n">
        <x:f>U27-U20-U24</x:f>
      </x:c>
      <x:c r="V28" s="120" t="n">
        <x:f>V27-V20-V24</x:f>
      </x:c>
      <x:c r="W28" s="120" t="n">
        <x:f>W27-W20-W24</x:f>
      </x:c>
      <x:c r="X28" s="120" t="n">
        <x:f>X27-X20-X24</x:f>
      </x:c>
      <x:c r="Y28" s="120" t="n">
        <x:f>Y27-Y20-Y24</x:f>
      </x:c>
      <x:c r="Z28" s="120" t="n">
        <x:f>Z27-Z20-Z24</x:f>
      </x:c>
      <x:c r="AA28" s="120" t="n">
        <x:f>AA27-AA20-AA24</x:f>
      </x:c>
      <x:c r="AB28" s="120" t="n">
        <x:f>AB27-AB20-AB24</x:f>
      </x:c>
      <x:c r="AC28" s="120" t="n">
        <x:f>AC27-AC20-AC24</x:f>
      </x:c>
      <x:c r="AD28" s="120" t="n">
        <x:f>AD27-AD20-AD24</x:f>
      </x:c>
      <x:c r="AE28" s="120" t="n">
        <x:f>AE27-AE20-AE24</x:f>
      </x:c>
      <x:c r="AF28" s="120" t="n">
        <x:f>AF27-AF20-AF24</x:f>
      </x:c>
      <x:c r="AG28" s="120" t="n">
        <x:f>AG27-AG20-AG24</x:f>
      </x:c>
      <x:c r="AH28" s="120" t="n">
        <x:f>AH27-AH20-AH24</x:f>
      </x:c>
      <x:c r="AI28" s="120" t="n">
        <x:f>AI27-AI20-AI24</x:f>
      </x:c>
      <x:c r="AJ28" s="120" t="n">
        <x:f>AJ27-AJ20-AJ24</x:f>
      </x:c>
      <x:c r="AK28" s="120" t="n">
        <x:f>AK27-AK20-AK24</x:f>
      </x:c>
      <x:c r="AL28" s="120" t="n">
        <x:f>AL27-AL20-AL24</x:f>
      </x:c>
      <x:c r="AM28" s="120" t="n">
        <x:f>AM27-AM20-AM24</x:f>
      </x:c>
      <x:c r="AN28" s="120" t="n">
        <x:f>AN27-AN20-AN24</x:f>
      </x:c>
      <x:c r="AO28" s="120" t="n">
        <x:f>AO27-AO20-AO24</x:f>
      </x:c>
      <x:c r="AP28" s="120" t="n">
        <x:f>AP27-AP20-AP24</x:f>
      </x:c>
      <x:c r="AQ28" s="120" t="n">
        <x:f>AQ27-AQ20-AQ24</x:f>
      </x:c>
      <x:c r="AR28" s="120" t="n">
        <x:f>AR27-AR20-AR24</x:f>
      </x:c>
      <x:c r="AS28" s="120" t="n">
        <x:f>AS27-AS20-AS24</x:f>
      </x:c>
      <x:c r="AT28" s="120" t="n">
        <x:f>AT27-AT20-AT24</x:f>
      </x:c>
      <x:c r="AU28" s="120" t="n">
        <x:f>AU27-AU20-AU24</x:f>
      </x:c>
      <x:c r="AV28" s="120" t="n">
        <x:f>AV27-AV20-AV24</x:f>
      </x:c>
      <x:c r="AW28" s="120" t="n">
        <x:f>AW27-AW20-AW24</x:f>
      </x:c>
      <x:c r="AX28" s="120" t="n">
        <x:f>AX27-AX20-AX24</x:f>
      </x:c>
      <x:c r="AY28" s="120" t="n">
        <x:f>AY27-AY20-AY24</x:f>
      </x:c>
      <x:c r="AZ28" s="120" t="n">
        <x:f>AZ27-AZ20-AZ24</x:f>
      </x:c>
      <x:c r="BA28" s="120" t="n">
        <x:f>BA27-BA20-BA24</x:f>
      </x:c>
      <x:c r="BB28" s="120" t="n">
        <x:f>BB27-BB20-BB24</x:f>
      </x:c>
      <x:c r="BC28" s="120" t="n">
        <x:f>BC27-BC20-BC24</x:f>
      </x:c>
      <x:c r="BD28" s="120" t="n">
        <x:f>BD27-BD20-BD24</x:f>
      </x:c>
      <x:c r="BE28" s="120" t="n">
        <x:f>BE27-BE20-BE24</x:f>
      </x:c>
      <x:c r="BF28" s="120" t="n">
        <x:f>BF27-BF20-BF24</x:f>
      </x:c>
      <x:c r="BG28" s="120" t="n">
        <x:f>BG27-BG20-BG24</x:f>
      </x:c>
      <x:c r="BH28" s="120" t="n">
        <x:f>BH27-BH20-BH24</x:f>
      </x:c>
      <x:c r="BI28" s="120" t="n">
        <x:f>BI27-BI20-BI24</x:f>
      </x:c>
      <x:c r="BJ28" s="120" t="n">
        <x:f>BJ27-BJ20-BJ24</x:f>
      </x:c>
      <x:c r="BK28" s="120" t="n">
        <x:f>BK27-BK20-BK24</x:f>
      </x:c>
      <x:c r="BL28" s="120" t="n">
        <x:f>BL27-BL20-BL24</x:f>
      </x:c>
      <x:c r="BM28" s="120" t="n">
        <x:f>BM27-BM20-BM24</x:f>
      </x:c>
      <x:c r="BN28" s="120" t="n">
        <x:f>BN27-BN20-BN24</x:f>
      </x:c>
      <x:c r="BO28" s="120" t="n">
        <x:f>BO27-BO20-BO24</x:f>
      </x:c>
      <x:c r="BP28" s="120" t="n">
        <x:f>BP27-BP20-BP24</x:f>
      </x:c>
      <x:c r="BQ28" s="120" t="n">
        <x:f>BQ27-BQ20-BQ24</x:f>
      </x:c>
      <x:c r="BR28" s="120" t="n">
        <x:f>BR27-BR20-BR24</x:f>
      </x:c>
      <x:c r="BS28" s="120" t="n">
        <x:f>BS27-BS20-BS24</x:f>
      </x:c>
      <x:c r="BT28" s="120" t="n">
        <x:f>BT27-BT20-BT24</x:f>
      </x:c>
      <x:c r="BU28" s="120" t="n">
        <x:f>BU27-BU20-BU24</x:f>
      </x:c>
      <x:c r="BV28" s="120" t="n">
        <x:f>BV27-BV20-BV24</x:f>
      </x:c>
      <x:c r="BW28" s="120" t="n">
        <x:f>BW27-BW20-BW24</x:f>
      </x:c>
      <x:c r="BX28" s="120" t="n">
        <x:f>BX27-BX20-BX24</x:f>
      </x:c>
      <x:c r="BY28" s="120" t="n">
        <x:f>BY27-BY20-BY24</x:f>
      </x:c>
      <x:c r="BZ28" s="120" t="n">
        <x:f>BZ27-BZ20-BZ24</x:f>
      </x:c>
      <x:c r="CA28" s="120" t="n">
        <x:f>CA27-CA20-CA24</x:f>
      </x:c>
      <x:c r="CB28" s="120" t="n">
        <x:f>CB27-CB20-CB24</x:f>
      </x:c>
      <x:c r="CC28" s="120" t="n">
        <x:f>CC27-CC20-CC24</x:f>
      </x:c>
      <x:c r="CD28" s="120" t="n">
        <x:f>CD27-CD20-CD24</x:f>
      </x:c>
      <x:c r="CE28" s="120" t="n">
        <x:f>CE27-CE20-CE24</x:f>
      </x:c>
      <x:c r="CF28" s="120" t="n">
        <x:f>CF27-CF20-CF24</x:f>
      </x:c>
      <x:c r="CG28" s="120" t="n">
        <x:f>CG27-CG20-CG24</x:f>
      </x:c>
      <x:c r="CH28" s="120" t="n">
        <x:f>CH27-CH20-CH24</x:f>
      </x:c>
      <x:c r="CI28" s="120" t="n">
        <x:f>CI27-CI20-CI24</x:f>
      </x:c>
      <x:c r="CJ28" s="120" t="n">
        <x:f>CJ27-CJ20-CJ24</x:f>
      </x:c>
      <x:c r="CK28" s="120" t="n">
        <x:f>CK27-CK20-CK24</x:f>
      </x:c>
      <x:c r="CL28" s="120" t="n">
        <x:f>CL27-CL20-CL24</x:f>
      </x:c>
      <x:c r="CM28" s="120" t="n">
        <x:f>CM27-CM20-CM24</x:f>
      </x:c>
      <x:c r="CN28" s="120" t="n">
        <x:f>CN27-CN20-CN24</x:f>
      </x:c>
      <x:c r="CO28" s="120" t="n">
        <x:f>CO27-CO20-CO24</x:f>
      </x:c>
      <x:c r="CP28" s="120" t="n">
        <x:f>CP27-CP20-CP24</x:f>
      </x:c>
      <x:c r="CQ28" s="120" t="n">
        <x:f>CQ27-CQ20-CQ24</x:f>
      </x:c>
      <x:c r="CR28" s="120" t="n">
        <x:f>CR27-CR20-CR24</x:f>
      </x:c>
      <x:c r="CS28" s="120" t="n">
        <x:f>CS27-CS20-CS24</x:f>
      </x:c>
      <x:c r="CT28" s="120" t="n">
        <x:f>CT27-CT20-CT24</x:f>
      </x:c>
      <x:c r="CU28" s="120" t="n">
        <x:f>CU27-CU20-CU24</x:f>
      </x:c>
      <x:c r="CV28" s="120" t="n">
        <x:f>CV27-CV20-CV24</x:f>
      </x:c>
      <x:c r="CW28" s="120" t="n">
        <x:f>CW27-CW20-CW24</x:f>
      </x:c>
      <x:c r="CX28" s="120" t="n">
        <x:f>CX27-CX20-CX24</x:f>
      </x:c>
      <x:c r="CY28" s="120" t="n">
        <x:f>CY27-CY20-CY24</x:f>
      </x:c>
      <x:c r="CZ28" s="120" t="n">
        <x:f>CZ27-CZ20-CZ24</x:f>
      </x:c>
      <x:c r="DA28" s="120" t="n">
        <x:f>DA27-DA20-DA24</x:f>
      </x:c>
      <x:c r="DB28" s="120" t="n">
        <x:f>DB27-DB20-DB24</x:f>
      </x:c>
      <x:c r="DC28" s="120" t="n">
        <x:f>DC27-DC20-DC24</x:f>
      </x:c>
      <x:c r="DD28" s="120" t="n">
        <x:f>DD27-DD20-DD24</x:f>
      </x:c>
      <x:c r="DE28" s="120" t="n">
        <x:f>DE27-DE20-DE24</x:f>
      </x:c>
      <x:c r="DF28" s="120" t="n">
        <x:f>DF27-DF20-DF24</x:f>
      </x:c>
      <x:c r="DG28" s="120" t="n">
        <x:f>DG27-DG20-DG24</x:f>
      </x:c>
      <x:c r="DH28" s="120" t="n">
        <x:f>DH27-DH20-DH24</x:f>
      </x:c>
      <x:c r="DI28" s="120" t="n">
        <x:f>DI27-DI20-DI24</x:f>
      </x:c>
      <x:c r="DJ28" s="120" t="n">
        <x:f>DJ27-DJ20-DJ24</x:f>
      </x:c>
      <x:c r="DK28" s="120" t="n">
        <x:f>DK27-DK20-DK24</x:f>
      </x:c>
      <x:c r="DL28" s="120" t="n">
        <x:f>DL27-DL20-DL24</x:f>
      </x:c>
      <x:c r="DM28" s="120" t="n">
        <x:f>DM27-DM20-DM24</x:f>
      </x:c>
      <x:c r="DN28" s="120" t="n">
        <x:f>DN27-DN20-DN24</x:f>
      </x:c>
      <x:c r="DO28" s="120" t="n">
        <x:f>DO27-DO20-DO24</x:f>
      </x:c>
      <x:c r="DP28" s="120" t="n">
        <x:f>DP27-DP20-DP24</x:f>
      </x:c>
      <x:c r="DQ28" s="120" t="n">
        <x:f>DQ27-DQ20-DQ24</x:f>
      </x:c>
      <x:c r="DR28" s="120" t="n">
        <x:f>DR27-DR20-DR24</x:f>
      </x:c>
      <x:c r="DS28" s="120" t="n">
        <x:f>DS27-DS20-DS24</x:f>
      </x:c>
      <x:c r="DT28" s="120" t="n">
        <x:f>DT27-DT20-DT24</x:f>
      </x:c>
      <x:c r="DU28" s="120" t="n">
        <x:f>DU27-DU20-DU24</x:f>
      </x:c>
      <x:c r="DV28" s="120" t="n">
        <x:f>DV27-DV20-DV24</x:f>
      </x:c>
      <x:c r="DW28" s="120" t="n">
        <x:f>DW27-DW20-DW24</x:f>
      </x:c>
      <x:c r="DX28" s="120" t="n">
        <x:f>DX27-DX20-DX24</x:f>
      </x:c>
      <x:c r="DY28" s="120" t="n">
        <x:f>DY27-DY20-DY24</x:f>
      </x:c>
      <x:c r="DZ28" s="120" t="n">
        <x:f>DZ27-DZ20-DZ24</x:f>
      </x:c>
      <x:c r="EA28" s="120" t="n">
        <x:f>EA27-EA20-EA24</x:f>
      </x:c>
      <x:c r="EB28" s="120" t="n">
        <x:f>EB27-EB20-EB24</x:f>
      </x:c>
      <x:c r="EC28" s="120" t="n">
        <x:f>EC27-EC20-EC24</x:f>
      </x:c>
      <x:c r="ED28" s="120" t="n">
        <x:f>ED27-ED20-ED24</x:f>
      </x:c>
      <x:c r="EE28" s="120" t="n">
        <x:f>EE27-EE20-EE24</x:f>
      </x:c>
      <x:c r="EF28" s="120" t="n">
        <x:f>EF27-EF20-EF24</x:f>
      </x:c>
      <x:c r="EG28" s="120" t="n">
        <x:f>EG27-EG20-EG24</x:f>
      </x:c>
      <x:c r="EH28" s="120" t="n">
        <x:f>EH27-EH20-EH24</x:f>
      </x:c>
      <x:c r="EI28" s="120" t="n">
        <x:f>EI27-EI20-EI24</x:f>
      </x:c>
      <x:c r="EJ28" s="120" t="n">
        <x:f>EJ27-EJ20-EJ24</x:f>
      </x:c>
      <x:c r="EK28" s="120" t="n">
        <x:f>EK27-EK20-EK24</x:f>
      </x:c>
      <x:c r="EL28" s="120" t="n">
        <x:f>EL27-EL20-EL24</x:f>
      </x:c>
      <x:c r="EM28" s="120" t="n">
        <x:f>EM27-EM20-EM24</x:f>
      </x:c>
      <x:c r="EN28" s="120" t="n">
        <x:f>EN27-EN20-EN24</x:f>
      </x:c>
      <x:c r="EO28" s="120" t="n">
        <x:f>EO27-EO20-EO24</x:f>
      </x:c>
      <x:c r="EP28" s="120" t="n">
        <x:f>EP27-EP20-EP24</x:f>
      </x:c>
      <x:c r="EQ28" s="120" t="n">
        <x:f>EQ27-EQ20-EQ24</x:f>
      </x:c>
      <x:c r="ER28" s="120" t="n">
        <x:f>ER27-ER20-ER24</x:f>
      </x:c>
      <x:c r="ES28" s="120" t="n">
        <x:f>ES27-ES20-ES24</x:f>
      </x:c>
      <x:c r="ET28" s="120" t="n">
        <x:f>ET27-ET20-ET24</x:f>
      </x:c>
      <x:c r="EU28" s="120" t="n">
        <x:f>EU27-EU20-EU24</x:f>
      </x:c>
      <x:c r="EV28" s="120" t="n">
        <x:f>EV27-EV20-EV24</x:f>
      </x:c>
      <x:c r="EW28" s="120" t="n">
        <x:f>EW27-EW20-EW24</x:f>
      </x:c>
      <x:c r="EX28" s="120" t="n">
        <x:f>EX27-EX20-EX24</x:f>
      </x:c>
      <x:c r="EY28" s="120" t="n">
        <x:f>EY27-EY20-EY24</x:f>
      </x:c>
      <x:c r="EZ28" s="120" t="n">
        <x:f>EZ27-EZ20-EZ24</x:f>
      </x:c>
      <x:c r="FA28" s="120" t="n">
        <x:f>FA27-FA20-FA24</x:f>
      </x:c>
      <x:c r="FB28" s="120" t="n">
        <x:f>FB27-FB20-FB24</x:f>
      </x:c>
      <x:c r="FC28" s="120" t="n">
        <x:f>FC27-FC20-FC24</x:f>
      </x:c>
      <x:c r="FD28" s="120" t="n">
        <x:f>FD27-FD20-FD24</x:f>
      </x:c>
      <x:c r="FE28" s="120" t="n">
        <x:f>FE27-FE20-FE24</x:f>
      </x:c>
      <x:c r="FF28" s="120" t="n">
        <x:f>FF27-FF20-FF24</x:f>
      </x:c>
      <x:c r="FG28" s="120" t="n">
        <x:f>FG27-FG20-FG24</x:f>
      </x:c>
      <x:c r="FH28" s="120" t="n">
        <x:f>FH27-FH20-FH24</x:f>
      </x:c>
      <x:c r="FI28" s="120" t="n">
        <x:f>FI27-FI20-FI24</x:f>
      </x:c>
      <x:c r="FJ28" s="120" t="n">
        <x:f>FJ27-FJ20-FJ24</x:f>
      </x:c>
      <x:c r="FK28" s="120" t="n">
        <x:f>FK27-FK20-FK24</x:f>
      </x:c>
      <x:c r="FL28" s="120" t="n">
        <x:f>FL27-FL20-FL24</x:f>
      </x:c>
      <x:c r="FM28" s="120" t="n">
        <x:f>FM27-FM20-FM24</x:f>
      </x:c>
      <x:c r="FN28" s="120" t="n">
        <x:f>FN27-FN20-FN24</x:f>
      </x:c>
      <x:c r="FO28" s="120" t="n">
        <x:f>FO27-FO20-FO24</x:f>
      </x:c>
      <x:c r="FP28" s="120" t="n">
        <x:f>FP27-FP20-FP24</x:f>
      </x:c>
      <x:c r="FQ28" s="120" t="n">
        <x:f>FQ27-FQ20-FQ24</x:f>
      </x:c>
      <x:c r="FR28" s="120" t="n">
        <x:f>FR27-FR20-FR24</x:f>
      </x:c>
      <x:c r="FS28" s="120" t="n">
        <x:f>FS27-FS20-FS24</x:f>
      </x:c>
      <x:c r="FT28" s="120" t="n">
        <x:f>FT27-FT20-FT24</x:f>
      </x:c>
      <x:c r="FU28" s="120" t="n">
        <x:f>FU27-FU20-FU24</x:f>
      </x:c>
      <x:c r="FV28" s="120" t="n">
        <x:f>FV27-FV20-FV24</x:f>
      </x:c>
      <x:c r="FW28" s="120" t="n">
        <x:f>FW27-FW20-FW24</x:f>
      </x:c>
      <x:c r="FX28" s="120" t="n">
        <x:f>FX27-FX20-FX24</x:f>
      </x:c>
      <x:c r="FY28" s="120" t="n">
        <x:f>FY27-FY20-FY24</x:f>
      </x:c>
      <x:c r="FZ28" s="120" t="n">
        <x:f>FZ27-FZ20-FZ24</x:f>
      </x:c>
      <x:c r="GA28" s="120" t="n">
        <x:f>GA27-GA20-GA24</x:f>
      </x:c>
    </x:row>
    <x:row r="29">
      <x:c r="A29"/>
      <x:c r="B29"/>
      <x:c r="C29"/>
      <x:c r="D29" s="117"/>
      <x:c r="E29" s="117"/>
      <x:c r="F29" s="117"/>
      <x:c r="G29" s="117"/>
      <x:c r="H29" s="117"/>
      <x:c r="I29" s="117"/>
      <x:c r="J29" s="117"/>
      <x:c r="K29" s="117"/>
      <x:c r="L29" s="117"/>
      <x:c r="M29" s="117"/>
      <x:c r="N29" s="117"/>
      <x:c r="O29" s="117"/>
      <x:c r="P29" s="117"/>
      <x:c r="Q29" s="117"/>
      <x:c r="R29" s="117"/>
      <x:c r="S29" s="117"/>
      <x:c r="T29" s="117"/>
      <x:c r="U29" s="117"/>
      <x:c r="V29" s="117"/>
      <x:c r="W29" s="117"/>
      <x:c r="X29" s="117"/>
      <x:c r="Y29" s="117"/>
      <x:c r="Z29" s="117"/>
      <x:c r="AA29" s="117"/>
      <x:c r="AB29" s="117"/>
      <x:c r="AC29" s="117"/>
      <x:c r="AD29" s="117"/>
      <x:c r="AE29" s="117"/>
      <x:c r="AF29" s="117"/>
      <x:c r="AG29" s="117"/>
      <x:c r="AH29" s="117"/>
      <x:c r="AI29" s="117"/>
      <x:c r="AJ29" s="117"/>
      <x:c r="AK29" s="117"/>
      <x:c r="AL29" s="117"/>
      <x:c r="AM29" s="117"/>
      <x:c r="AN29" s="117"/>
      <x:c r="AO29" s="117"/>
      <x:c r="AP29" s="117"/>
      <x:c r="AQ29" s="117"/>
      <x:c r="AR29" s="117"/>
      <x:c r="AS29" s="117"/>
      <x:c r="AT29" s="117"/>
      <x:c r="AU29" s="117"/>
      <x:c r="AV29" s="117"/>
      <x:c r="AW29" s="117"/>
      <x:c r="AX29" s="117"/>
      <x:c r="AY29" s="117"/>
      <x:c r="AZ29" s="117"/>
      <x:c r="BA29" s="117"/>
      <x:c r="BB29" s="117"/>
      <x:c r="BC29" s="117"/>
      <x:c r="BD29" s="117"/>
      <x:c r="BE29" s="117"/>
      <x:c r="BF29" s="117"/>
      <x:c r="BG29" s="117"/>
      <x:c r="BH29" s="117"/>
      <x:c r="BI29" s="117"/>
      <x:c r="BJ29" s="117"/>
      <x:c r="BK29" s="117"/>
      <x:c r="BL29" s="117"/>
      <x:c r="BM29" s="117"/>
      <x:c r="BN29" s="117"/>
      <x:c r="BO29" s="117"/>
      <x:c r="BP29" s="117"/>
      <x:c r="BQ29" s="117"/>
      <x:c r="BR29" s="117"/>
      <x:c r="BS29" s="117"/>
      <x:c r="BT29" s="117"/>
      <x:c r="BU29" s="117"/>
      <x:c r="BV29" s="117"/>
      <x:c r="BW29" s="117"/>
      <x:c r="BX29" s="117"/>
      <x:c r="BY29" s="117"/>
      <x:c r="BZ29" s="117"/>
      <x:c r="CA29" s="117"/>
      <x:c r="CB29" s="117"/>
      <x:c r="CC29" s="117"/>
      <x:c r="CD29" s="117"/>
      <x:c r="CE29" s="117"/>
      <x:c r="CF29" s="117"/>
      <x:c r="CG29" s="117"/>
      <x:c r="CH29" s="117"/>
      <x:c r="CI29" s="117"/>
      <x:c r="CJ29" s="117"/>
      <x:c r="CK29" s="117"/>
      <x:c r="CL29" s="117"/>
      <x:c r="CM29" s="117"/>
      <x:c r="CN29" s="117"/>
      <x:c r="CO29" s="117"/>
      <x:c r="CP29" s="117"/>
      <x:c r="CQ29" s="117"/>
      <x:c r="CR29" s="117"/>
      <x:c r="CS29" s="117"/>
      <x:c r="CT29" s="117"/>
      <x:c r="CU29" s="117"/>
      <x:c r="CV29" s="117"/>
      <x:c r="CW29" s="117"/>
      <x:c r="CX29" s="117"/>
      <x:c r="CY29" s="117"/>
      <x:c r="CZ29" s="117"/>
      <x:c r="DA29" s="117"/>
      <x:c r="DB29" s="117"/>
      <x:c r="DC29" s="117"/>
      <x:c r="DD29" s="117"/>
      <x:c r="DE29" s="117"/>
      <x:c r="DF29" s="117"/>
      <x:c r="DG29" s="117"/>
      <x:c r="DH29" s="117"/>
      <x:c r="DI29" s="117"/>
      <x:c r="DJ29" s="117"/>
      <x:c r="DK29" s="117"/>
      <x:c r="DL29" s="117"/>
      <x:c r="DM29" s="117"/>
      <x:c r="DN29" s="117"/>
      <x:c r="DO29" s="117"/>
      <x:c r="DP29" s="117"/>
      <x:c r="DQ29" s="117"/>
      <x:c r="DR29" s="117"/>
      <x:c r="DS29" s="117"/>
      <x:c r="DT29" s="117"/>
      <x:c r="DU29" s="117"/>
      <x:c r="DV29" s="117"/>
      <x:c r="DW29" s="117"/>
      <x:c r="DX29" s="117"/>
      <x:c r="DY29" s="117"/>
      <x:c r="DZ29" s="117"/>
      <x:c r="EA29" s="117"/>
      <x:c r="EB29" s="117"/>
      <x:c r="EC29" s="117"/>
      <x:c r="ED29" s="117"/>
      <x:c r="EE29" s="117"/>
      <x:c r="EF29" s="117"/>
      <x:c r="EG29" s="117"/>
      <x:c r="EH29" s="117"/>
      <x:c r="EI29" s="117"/>
      <x:c r="EJ29" s="117"/>
      <x:c r="EK29" s="117"/>
      <x:c r="EL29" s="117"/>
      <x:c r="EM29" s="117"/>
      <x:c r="EN29" s="117"/>
      <x:c r="EO29" s="117"/>
      <x:c r="EP29" s="117"/>
      <x:c r="EQ29" s="117"/>
      <x:c r="ER29" s="117"/>
      <x:c r="ES29" s="117"/>
      <x:c r="ET29" s="117"/>
      <x:c r="EU29" s="117"/>
      <x:c r="EV29" s="117"/>
      <x:c r="EW29" s="117"/>
      <x:c r="EX29" s="117"/>
      <x:c r="EY29" s="117"/>
      <x:c r="EZ29" s="117"/>
      <x:c r="FA29" s="117"/>
      <x:c r="FB29" s="117"/>
      <x:c r="FC29" s="117"/>
      <x:c r="FD29" s="117"/>
      <x:c r="FE29" s="117"/>
      <x:c r="FF29" s="117"/>
      <x:c r="FG29" s="117"/>
      <x:c r="FH29" s="117"/>
      <x:c r="FI29" s="117"/>
      <x:c r="FJ29" s="117"/>
      <x:c r="FK29" s="117"/>
      <x:c r="FL29" s="117"/>
      <x:c r="FM29" s="117"/>
      <x:c r="FN29" s="117"/>
      <x:c r="FO29" s="117"/>
      <x:c r="FP29" s="117"/>
      <x:c r="FQ29" s="117"/>
      <x:c r="FR29" s="117"/>
      <x:c r="FS29" s="117"/>
      <x:c r="FT29" s="117"/>
      <x:c r="FU29" s="117"/>
      <x:c r="FV29" s="117"/>
      <x:c r="FW29" s="117"/>
      <x:c r="FX29" s="117"/>
      <x:c r="FY29" s="117"/>
      <x:c r="FZ29" s="117"/>
      <x:c r="GA29" s="117"/>
    </x:row>
    <x:row r="30">
      <x:c r="A30" t="str">
        <x:v>БРИДЖ — долг на начало</x:v>
      </x:c>
      <x:c r="B30"/>
      <x:c r="C30" t="str">
        <x:v>млн ₽</x:v>
      </x:c>
      <x:c r="D30" s="117" t="n">
        <x:f>0</x:f>
      </x:c>
      <x:c r="E30" s="117" t="n">
        <x:f>D36</x:f>
      </x:c>
      <x:c r="F30" s="117" t="n">
        <x:f>E36</x:f>
      </x:c>
      <x:c r="G30" s="117" t="n">
        <x:f>F36</x:f>
      </x:c>
      <x:c r="H30" s="117" t="n">
        <x:f>G36</x:f>
      </x:c>
      <x:c r="I30" s="117" t="n">
        <x:f>H36</x:f>
      </x:c>
      <x:c r="J30" s="117" t="n">
        <x:f>I36</x:f>
      </x:c>
      <x:c r="K30" s="117" t="n">
        <x:f>J36</x:f>
      </x:c>
      <x:c r="L30" s="117" t="n">
        <x:f>K36</x:f>
      </x:c>
      <x:c r="M30" s="117" t="n">
        <x:f>L36</x:f>
      </x:c>
      <x:c r="N30" s="117" t="n">
        <x:f>M36</x:f>
      </x:c>
      <x:c r="O30" s="117" t="n">
        <x:f>N36</x:f>
      </x:c>
      <x:c r="P30" s="117" t="n">
        <x:f>O36</x:f>
      </x:c>
      <x:c r="Q30" s="117" t="n">
        <x:f>P36</x:f>
      </x:c>
      <x:c r="R30" s="117" t="n">
        <x:f>Q36</x:f>
      </x:c>
      <x:c r="S30" s="117" t="n">
        <x:f>R36</x:f>
      </x:c>
      <x:c r="T30" s="117" t="n">
        <x:f>S36</x:f>
      </x:c>
      <x:c r="U30" s="117" t="n">
        <x:f>T36</x:f>
      </x:c>
      <x:c r="V30" s="117" t="n">
        <x:f>U36</x:f>
      </x:c>
      <x:c r="W30" s="117" t="n">
        <x:f>V36</x:f>
      </x:c>
      <x:c r="X30" s="117" t="n">
        <x:f>W36</x:f>
      </x:c>
      <x:c r="Y30" s="117" t="n">
        <x:f>X36</x:f>
      </x:c>
      <x:c r="Z30" s="117" t="n">
        <x:f>Y36</x:f>
      </x:c>
      <x:c r="AA30" s="117" t="n">
        <x:f>Z36</x:f>
      </x:c>
      <x:c r="AB30" s="117" t="n">
        <x:f>AA36</x:f>
      </x:c>
      <x:c r="AC30" s="117" t="n">
        <x:f>AB36</x:f>
      </x:c>
      <x:c r="AD30" s="117" t="n">
        <x:f>AC36</x:f>
      </x:c>
      <x:c r="AE30" s="117" t="n">
        <x:f>AD36</x:f>
      </x:c>
      <x:c r="AF30" s="117" t="n">
        <x:f>AE36</x:f>
      </x:c>
      <x:c r="AG30" s="117" t="n">
        <x:f>AF36</x:f>
      </x:c>
      <x:c r="AH30" s="117" t="n">
        <x:f>AG36</x:f>
      </x:c>
      <x:c r="AI30" s="117" t="n">
        <x:f>AH36</x:f>
      </x:c>
      <x:c r="AJ30" s="117" t="n">
        <x:f>AI36</x:f>
      </x:c>
      <x:c r="AK30" s="117" t="n">
        <x:f>AJ36</x:f>
      </x:c>
      <x:c r="AL30" s="117" t="n">
        <x:f>AK36</x:f>
      </x:c>
      <x:c r="AM30" s="117" t="n">
        <x:f>AL36</x:f>
      </x:c>
      <x:c r="AN30" s="117" t="n">
        <x:f>AM36</x:f>
      </x:c>
      <x:c r="AO30" s="117" t="n">
        <x:f>AN36</x:f>
      </x:c>
      <x:c r="AP30" s="117" t="n">
        <x:f>AO36</x:f>
      </x:c>
      <x:c r="AQ30" s="117" t="n">
        <x:f>AP36</x:f>
      </x:c>
      <x:c r="AR30" s="117" t="n">
        <x:f>AQ36</x:f>
      </x:c>
      <x:c r="AS30" s="117" t="n">
        <x:f>AR36</x:f>
      </x:c>
      <x:c r="AT30" s="117" t="n">
        <x:f>AS36</x:f>
      </x:c>
      <x:c r="AU30" s="117" t="n">
        <x:f>AT36</x:f>
      </x:c>
      <x:c r="AV30" s="117" t="n">
        <x:f>AU36</x:f>
      </x:c>
      <x:c r="AW30" s="117" t="n">
        <x:f>AV36</x:f>
      </x:c>
      <x:c r="AX30" s="117" t="n">
        <x:f>AW36</x:f>
      </x:c>
      <x:c r="AY30" s="117" t="n">
        <x:f>AX36</x:f>
      </x:c>
      <x:c r="AZ30" s="117" t="n">
        <x:f>AY36</x:f>
      </x:c>
      <x:c r="BA30" s="117" t="n">
        <x:f>AZ36</x:f>
      </x:c>
      <x:c r="BB30" s="117" t="n">
        <x:f>BA36</x:f>
      </x:c>
      <x:c r="BC30" s="117" t="n">
        <x:f>BB36</x:f>
      </x:c>
      <x:c r="BD30" s="117" t="n">
        <x:f>BC36</x:f>
      </x:c>
      <x:c r="BE30" s="117" t="n">
        <x:f>BD36</x:f>
      </x:c>
      <x:c r="BF30" s="117" t="n">
        <x:f>BE36</x:f>
      </x:c>
      <x:c r="BG30" s="117" t="n">
        <x:f>BF36</x:f>
      </x:c>
      <x:c r="BH30" s="117" t="n">
        <x:f>BG36</x:f>
      </x:c>
      <x:c r="BI30" s="117" t="n">
        <x:f>BH36</x:f>
      </x:c>
      <x:c r="BJ30" s="117" t="n">
        <x:f>BI36</x:f>
      </x:c>
      <x:c r="BK30" s="117" t="n">
        <x:f>BJ36</x:f>
      </x:c>
      <x:c r="BL30" s="117" t="n">
        <x:f>BK36</x:f>
      </x:c>
      <x:c r="BM30" s="117" t="n">
        <x:f>BL36</x:f>
      </x:c>
      <x:c r="BN30" s="117" t="n">
        <x:f>BM36</x:f>
      </x:c>
      <x:c r="BO30" s="117" t="n">
        <x:f>BN36</x:f>
      </x:c>
      <x:c r="BP30" s="117" t="n">
        <x:f>BO36</x:f>
      </x:c>
      <x:c r="BQ30" s="117" t="n">
        <x:f>BP36</x:f>
      </x:c>
      <x:c r="BR30" s="117" t="n">
        <x:f>BQ36</x:f>
      </x:c>
      <x:c r="BS30" s="117" t="n">
        <x:f>BR36</x:f>
      </x:c>
      <x:c r="BT30" s="117" t="n">
        <x:f>BS36</x:f>
      </x:c>
      <x:c r="BU30" s="117" t="n">
        <x:f>BT36</x:f>
      </x:c>
      <x:c r="BV30" s="117" t="n">
        <x:f>BU36</x:f>
      </x:c>
      <x:c r="BW30" s="117" t="n">
        <x:f>BV36</x:f>
      </x:c>
      <x:c r="BX30" s="117" t="n">
        <x:f>BW36</x:f>
      </x:c>
      <x:c r="BY30" s="117" t="n">
        <x:f>BX36</x:f>
      </x:c>
      <x:c r="BZ30" s="117" t="n">
        <x:f>BY36</x:f>
      </x:c>
      <x:c r="CA30" s="117" t="n">
        <x:f>BZ36</x:f>
      </x:c>
      <x:c r="CB30" s="117" t="n">
        <x:f>CA36</x:f>
      </x:c>
      <x:c r="CC30" s="117" t="n">
        <x:f>CB36</x:f>
      </x:c>
      <x:c r="CD30" s="117" t="n">
        <x:f>CC36</x:f>
      </x:c>
      <x:c r="CE30" s="117" t="n">
        <x:f>CD36</x:f>
      </x:c>
      <x:c r="CF30" s="117" t="n">
        <x:f>CE36</x:f>
      </x:c>
      <x:c r="CG30" s="117" t="n">
        <x:f>CF36</x:f>
      </x:c>
      <x:c r="CH30" s="117" t="n">
        <x:f>CG36</x:f>
      </x:c>
      <x:c r="CI30" s="117" t="n">
        <x:f>CH36</x:f>
      </x:c>
      <x:c r="CJ30" s="117" t="n">
        <x:f>CI36</x:f>
      </x:c>
      <x:c r="CK30" s="117" t="n">
        <x:f>CJ36</x:f>
      </x:c>
      <x:c r="CL30" s="117" t="n">
        <x:f>CK36</x:f>
      </x:c>
      <x:c r="CM30" s="117" t="n">
        <x:f>CL36</x:f>
      </x:c>
      <x:c r="CN30" s="117" t="n">
        <x:f>CM36</x:f>
      </x:c>
      <x:c r="CO30" s="117" t="n">
        <x:f>CN36</x:f>
      </x:c>
      <x:c r="CP30" s="117" t="n">
        <x:f>CO36</x:f>
      </x:c>
      <x:c r="CQ30" s="117" t="n">
        <x:f>CP36</x:f>
      </x:c>
      <x:c r="CR30" s="117" t="n">
        <x:f>CQ36</x:f>
      </x:c>
      <x:c r="CS30" s="117" t="n">
        <x:f>CR36</x:f>
      </x:c>
      <x:c r="CT30" s="117" t="n">
        <x:f>CS36</x:f>
      </x:c>
      <x:c r="CU30" s="117" t="n">
        <x:f>CT36</x:f>
      </x:c>
      <x:c r="CV30" s="117" t="n">
        <x:f>CU36</x:f>
      </x:c>
      <x:c r="CW30" s="117" t="n">
        <x:f>CV36</x:f>
      </x:c>
      <x:c r="CX30" s="117" t="n">
        <x:f>CW36</x:f>
      </x:c>
      <x:c r="CY30" s="117" t="n">
        <x:f>CX36</x:f>
      </x:c>
      <x:c r="CZ30" s="117" t="n">
        <x:f>CY36</x:f>
      </x:c>
      <x:c r="DA30" s="117" t="n">
        <x:f>CZ36</x:f>
      </x:c>
      <x:c r="DB30" s="117" t="n">
        <x:f>DA36</x:f>
      </x:c>
      <x:c r="DC30" s="117" t="n">
        <x:f>DB36</x:f>
      </x:c>
      <x:c r="DD30" s="117" t="n">
        <x:f>DC36</x:f>
      </x:c>
      <x:c r="DE30" s="117" t="n">
        <x:f>DD36</x:f>
      </x:c>
      <x:c r="DF30" s="117" t="n">
        <x:f>DE36</x:f>
      </x:c>
      <x:c r="DG30" s="117" t="n">
        <x:f>DF36</x:f>
      </x:c>
      <x:c r="DH30" s="117" t="n">
        <x:f>DG36</x:f>
      </x:c>
      <x:c r="DI30" s="117" t="n">
        <x:f>DH36</x:f>
      </x:c>
      <x:c r="DJ30" s="117" t="n">
        <x:f>DI36</x:f>
      </x:c>
      <x:c r="DK30" s="117" t="n">
        <x:f>DJ36</x:f>
      </x:c>
      <x:c r="DL30" s="117" t="n">
        <x:f>DK36</x:f>
      </x:c>
      <x:c r="DM30" s="117" t="n">
        <x:f>DL36</x:f>
      </x:c>
      <x:c r="DN30" s="117" t="n">
        <x:f>DM36</x:f>
      </x:c>
      <x:c r="DO30" s="117" t="n">
        <x:f>DN36</x:f>
      </x:c>
      <x:c r="DP30" s="117" t="n">
        <x:f>DO36</x:f>
      </x:c>
      <x:c r="DQ30" s="117" t="n">
        <x:f>DP36</x:f>
      </x:c>
      <x:c r="DR30" s="117" t="n">
        <x:f>DQ36</x:f>
      </x:c>
      <x:c r="DS30" s="117" t="n">
        <x:f>DR36</x:f>
      </x:c>
      <x:c r="DT30" s="117" t="n">
        <x:f>DS36</x:f>
      </x:c>
      <x:c r="DU30" s="117" t="n">
        <x:f>DT36</x:f>
      </x:c>
      <x:c r="DV30" s="117" t="n">
        <x:f>DU36</x:f>
      </x:c>
      <x:c r="DW30" s="117" t="n">
        <x:f>DV36</x:f>
      </x:c>
      <x:c r="DX30" s="117" t="n">
        <x:f>DW36</x:f>
      </x:c>
      <x:c r="DY30" s="117" t="n">
        <x:f>DX36</x:f>
      </x:c>
      <x:c r="DZ30" s="117" t="n">
        <x:f>DY36</x:f>
      </x:c>
      <x:c r="EA30" s="117" t="n">
        <x:f>DZ36</x:f>
      </x:c>
      <x:c r="EB30" s="117" t="n">
        <x:f>EA36</x:f>
      </x:c>
      <x:c r="EC30" s="117" t="n">
        <x:f>EB36</x:f>
      </x:c>
      <x:c r="ED30" s="117" t="n">
        <x:f>EC36</x:f>
      </x:c>
      <x:c r="EE30" s="117" t="n">
        <x:f>ED36</x:f>
      </x:c>
      <x:c r="EF30" s="117" t="n">
        <x:f>EE36</x:f>
      </x:c>
      <x:c r="EG30" s="117" t="n">
        <x:f>EF36</x:f>
      </x:c>
      <x:c r="EH30" s="117" t="n">
        <x:f>EG36</x:f>
      </x:c>
      <x:c r="EI30" s="117" t="n">
        <x:f>EH36</x:f>
      </x:c>
      <x:c r="EJ30" s="117" t="n">
        <x:f>EI36</x:f>
      </x:c>
      <x:c r="EK30" s="117" t="n">
        <x:f>EJ36</x:f>
      </x:c>
      <x:c r="EL30" s="117" t="n">
        <x:f>EK36</x:f>
      </x:c>
      <x:c r="EM30" s="117" t="n">
        <x:f>EL36</x:f>
      </x:c>
      <x:c r="EN30" s="117" t="n">
        <x:f>EM36</x:f>
      </x:c>
      <x:c r="EO30" s="117" t="n">
        <x:f>EN36</x:f>
      </x:c>
      <x:c r="EP30" s="117" t="n">
        <x:f>EO36</x:f>
      </x:c>
      <x:c r="EQ30" s="117" t="n">
        <x:f>EP36</x:f>
      </x:c>
      <x:c r="ER30" s="117" t="n">
        <x:f>EQ36</x:f>
      </x:c>
      <x:c r="ES30" s="117" t="n">
        <x:f>ER36</x:f>
      </x:c>
      <x:c r="ET30" s="117" t="n">
        <x:f>ES36</x:f>
      </x:c>
      <x:c r="EU30" s="117" t="n">
        <x:f>ET36</x:f>
      </x:c>
      <x:c r="EV30" s="117" t="n">
        <x:f>EU36</x:f>
      </x:c>
      <x:c r="EW30" s="117" t="n">
        <x:f>EV36</x:f>
      </x:c>
      <x:c r="EX30" s="117" t="n">
        <x:f>EW36</x:f>
      </x:c>
      <x:c r="EY30" s="117" t="n">
        <x:f>EX36</x:f>
      </x:c>
      <x:c r="EZ30" s="117" t="n">
        <x:f>EY36</x:f>
      </x:c>
      <x:c r="FA30" s="117" t="n">
        <x:f>EZ36</x:f>
      </x:c>
      <x:c r="FB30" s="117" t="n">
        <x:f>FA36</x:f>
      </x:c>
      <x:c r="FC30" s="117" t="n">
        <x:f>FB36</x:f>
      </x:c>
      <x:c r="FD30" s="117" t="n">
        <x:f>FC36</x:f>
      </x:c>
      <x:c r="FE30" s="117" t="n">
        <x:f>FD36</x:f>
      </x:c>
      <x:c r="FF30" s="117" t="n">
        <x:f>FE36</x:f>
      </x:c>
      <x:c r="FG30" s="117" t="n">
        <x:f>FF36</x:f>
      </x:c>
      <x:c r="FH30" s="117" t="n">
        <x:f>FG36</x:f>
      </x:c>
      <x:c r="FI30" s="117" t="n">
        <x:f>FH36</x:f>
      </x:c>
      <x:c r="FJ30" s="117" t="n">
        <x:f>FI36</x:f>
      </x:c>
      <x:c r="FK30" s="117" t="n">
        <x:f>FJ36</x:f>
      </x:c>
      <x:c r="FL30" s="117" t="n">
        <x:f>FK36</x:f>
      </x:c>
      <x:c r="FM30" s="117" t="n">
        <x:f>FL36</x:f>
      </x:c>
      <x:c r="FN30" s="117" t="n">
        <x:f>FM36</x:f>
      </x:c>
      <x:c r="FO30" s="117" t="n">
        <x:f>FN36</x:f>
      </x:c>
      <x:c r="FP30" s="117" t="n">
        <x:f>FO36</x:f>
      </x:c>
      <x:c r="FQ30" s="117" t="n">
        <x:f>FP36</x:f>
      </x:c>
      <x:c r="FR30" s="117" t="n">
        <x:f>FQ36</x:f>
      </x:c>
      <x:c r="FS30" s="117" t="n">
        <x:f>FR36</x:f>
      </x:c>
      <x:c r="FT30" s="117" t="n">
        <x:f>FS36</x:f>
      </x:c>
      <x:c r="FU30" s="117" t="n">
        <x:f>FT36</x:f>
      </x:c>
      <x:c r="FV30" s="117" t="n">
        <x:f>FU36</x:f>
      </x:c>
      <x:c r="FW30" s="117" t="n">
        <x:f>FV36</x:f>
      </x:c>
      <x:c r="FX30" s="117" t="n">
        <x:f>FW36</x:f>
      </x:c>
      <x:c r="FY30" s="117" t="n">
        <x:f>FX36</x:f>
      </x:c>
      <x:c r="FZ30" s="117" t="n">
        <x:f>FY36</x:f>
      </x:c>
      <x:c r="GA30" s="117" t="n">
        <x:f>FZ36</x:f>
      </x:c>
    </x:row>
    <x:row r="31">
      <x:c r="A31" t="str">
        <x:v>БРИДЖ — ставка</x:v>
      </x:c>
      <x:c r="B31" t="n">
        <x:f>IFERROR(SUMPRODUCT(D31:GA31,--(D30:GA30&gt;0))/COUNTIF(D30:GA30,"&gt;0"),0)</x:f>
      </x:c>
      <x:c r="C31" t="str">
        <x:v>% год</x:v>
      </x:c>
      <x:c r="D31" s="121" t="n">
        <x:f>'Ставки'!D$6</x:f>
      </x:c>
      <x:c r="E31" s="121" t="n">
        <x:f>'Ставки'!E$6</x:f>
      </x:c>
      <x:c r="F31" s="121" t="n">
        <x:f>'Ставки'!F$6</x:f>
      </x:c>
      <x:c r="G31" s="121" t="n">
        <x:f>'Ставки'!G$6</x:f>
      </x:c>
      <x:c r="H31" s="121" t="n">
        <x:f>'Ставки'!H$6</x:f>
      </x:c>
      <x:c r="I31" s="121" t="n">
        <x:f>'Ставки'!I$6</x:f>
      </x:c>
      <x:c r="J31" s="121" t="n">
        <x:f>'Ставки'!J$6</x:f>
      </x:c>
      <x:c r="K31" s="121" t="n">
        <x:f>'Ставки'!K$6</x:f>
      </x:c>
      <x:c r="L31" s="121" t="n">
        <x:f>'Ставки'!L$6</x:f>
      </x:c>
      <x:c r="M31" s="121" t="n">
        <x:f>'Ставки'!M$6</x:f>
      </x:c>
      <x:c r="N31" s="121" t="n">
        <x:f>'Ставки'!N$6</x:f>
      </x:c>
      <x:c r="O31" s="121" t="n">
        <x:f>'Ставки'!O$6</x:f>
      </x:c>
      <x:c r="P31" s="121" t="n">
        <x:f>'Ставки'!P$6</x:f>
      </x:c>
      <x:c r="Q31" s="121" t="n">
        <x:f>'Ставки'!Q$6</x:f>
      </x:c>
      <x:c r="R31" s="121" t="n">
        <x:f>'Ставки'!R$6</x:f>
      </x:c>
      <x:c r="S31" s="121" t="n">
        <x:f>'Ставки'!S$6</x:f>
      </x:c>
      <x:c r="T31" s="121" t="n">
        <x:f>'Ставки'!T$6</x:f>
      </x:c>
      <x:c r="U31" s="121" t="n">
        <x:f>'Ставки'!U$6</x:f>
      </x:c>
      <x:c r="V31" s="121" t="n">
        <x:f>'Ставки'!V$6</x:f>
      </x:c>
      <x:c r="W31" s="121" t="n">
        <x:f>'Ставки'!W$6</x:f>
      </x:c>
      <x:c r="X31" s="121" t="n">
        <x:f>'Ставки'!X$6</x:f>
      </x:c>
      <x:c r="Y31" s="121" t="n">
        <x:f>'Ставки'!Y$6</x:f>
      </x:c>
      <x:c r="Z31" s="121" t="n">
        <x:f>'Ставки'!Z$6</x:f>
      </x:c>
      <x:c r="AA31" s="121" t="n">
        <x:f>'Ставки'!AA$6</x:f>
      </x:c>
      <x:c r="AB31" s="121" t="n">
        <x:f>'Ставки'!AB$6</x:f>
      </x:c>
      <x:c r="AC31" s="121" t="n">
        <x:f>'Ставки'!AC$6</x:f>
      </x:c>
      <x:c r="AD31" s="121" t="n">
        <x:f>'Ставки'!AD$6</x:f>
      </x:c>
      <x:c r="AE31" s="121" t="n">
        <x:f>'Ставки'!AE$6</x:f>
      </x:c>
      <x:c r="AF31" s="121" t="n">
        <x:f>'Ставки'!AF$6</x:f>
      </x:c>
      <x:c r="AG31" s="121" t="n">
        <x:f>'Ставки'!AG$6</x:f>
      </x:c>
      <x:c r="AH31" s="121" t="n">
        <x:f>'Ставки'!AH$6</x:f>
      </x:c>
      <x:c r="AI31" s="121" t="n">
        <x:f>'Ставки'!AI$6</x:f>
      </x:c>
      <x:c r="AJ31" s="121" t="n">
        <x:f>'Ставки'!AJ$6</x:f>
      </x:c>
      <x:c r="AK31" s="121" t="n">
        <x:f>'Ставки'!AK$6</x:f>
      </x:c>
      <x:c r="AL31" s="121" t="n">
        <x:f>'Ставки'!AL$6</x:f>
      </x:c>
      <x:c r="AM31" s="121" t="n">
        <x:f>'Ставки'!AM$6</x:f>
      </x:c>
      <x:c r="AN31" s="121" t="n">
        <x:f>'Ставки'!AN$6</x:f>
      </x:c>
      <x:c r="AO31" s="121" t="n">
        <x:f>'Ставки'!AO$6</x:f>
      </x:c>
      <x:c r="AP31" s="121" t="n">
        <x:f>'Ставки'!AP$6</x:f>
      </x:c>
      <x:c r="AQ31" s="121" t="n">
        <x:f>'Ставки'!AQ$6</x:f>
      </x:c>
      <x:c r="AR31" s="121" t="n">
        <x:f>'Ставки'!AR$6</x:f>
      </x:c>
      <x:c r="AS31" s="121" t="n">
        <x:f>'Ставки'!AS$6</x:f>
      </x:c>
      <x:c r="AT31" s="121" t="n">
        <x:f>'Ставки'!AT$6</x:f>
      </x:c>
      <x:c r="AU31" s="121" t="n">
        <x:f>'Ставки'!AU$6</x:f>
      </x:c>
      <x:c r="AV31" s="121" t="n">
        <x:f>'Ставки'!AV$6</x:f>
      </x:c>
      <x:c r="AW31" s="121" t="n">
        <x:f>'Ставки'!AW$6</x:f>
      </x:c>
      <x:c r="AX31" s="121" t="n">
        <x:f>'Ставки'!AX$6</x:f>
      </x:c>
      <x:c r="AY31" s="121" t="n">
        <x:f>'Ставки'!AY$6</x:f>
      </x:c>
      <x:c r="AZ31" s="121" t="n">
        <x:f>'Ставки'!AZ$6</x:f>
      </x:c>
      <x:c r="BA31" s="121" t="n">
        <x:f>'Ставки'!BA$6</x:f>
      </x:c>
      <x:c r="BB31" s="121" t="n">
        <x:f>'Ставки'!BB$6</x:f>
      </x:c>
      <x:c r="BC31" s="121" t="n">
        <x:f>'Ставки'!BC$6</x:f>
      </x:c>
      <x:c r="BD31" s="121" t="n">
        <x:f>'Ставки'!BD$6</x:f>
      </x:c>
      <x:c r="BE31" s="121" t="n">
        <x:f>'Ставки'!BE$6</x:f>
      </x:c>
      <x:c r="BF31" s="121" t="n">
        <x:f>'Ставки'!BF$6</x:f>
      </x:c>
      <x:c r="BG31" s="121" t="n">
        <x:f>'Ставки'!BG$6</x:f>
      </x:c>
      <x:c r="BH31" s="121" t="n">
        <x:f>'Ставки'!BH$6</x:f>
      </x:c>
      <x:c r="BI31" s="121" t="n">
        <x:f>'Ставки'!BI$6</x:f>
      </x:c>
      <x:c r="BJ31" s="121" t="n">
        <x:f>'Ставки'!BJ$6</x:f>
      </x:c>
      <x:c r="BK31" s="121" t="n">
        <x:f>'Ставки'!BK$6</x:f>
      </x:c>
      <x:c r="BL31" s="121" t="n">
        <x:f>'Ставки'!BL$6</x:f>
      </x:c>
      <x:c r="BM31" s="121" t="n">
        <x:f>'Ставки'!BM$6</x:f>
      </x:c>
      <x:c r="BN31" s="121" t="n">
        <x:f>'Ставки'!BN$6</x:f>
      </x:c>
      <x:c r="BO31" s="121" t="n">
        <x:f>'Ставки'!BO$6</x:f>
      </x:c>
      <x:c r="BP31" s="121" t="n">
        <x:f>'Ставки'!BP$6</x:f>
      </x:c>
      <x:c r="BQ31" s="121" t="n">
        <x:f>'Ставки'!BQ$6</x:f>
      </x:c>
      <x:c r="BR31" s="121" t="n">
        <x:f>'Ставки'!BR$6</x:f>
      </x:c>
      <x:c r="BS31" s="121" t="n">
        <x:f>'Ставки'!BS$6</x:f>
      </x:c>
      <x:c r="BT31" s="121" t="n">
        <x:f>'Ставки'!BT$6</x:f>
      </x:c>
      <x:c r="BU31" s="121" t="n">
        <x:f>'Ставки'!BU$6</x:f>
      </x:c>
      <x:c r="BV31" s="121" t="n">
        <x:f>'Ставки'!BV$6</x:f>
      </x:c>
      <x:c r="BW31" s="121" t="n">
        <x:f>'Ставки'!BW$6</x:f>
      </x:c>
      <x:c r="BX31" s="121" t="n">
        <x:f>'Ставки'!BX$6</x:f>
      </x:c>
      <x:c r="BY31" s="121" t="n">
        <x:f>'Ставки'!BY$6</x:f>
      </x:c>
      <x:c r="BZ31" s="121" t="n">
        <x:f>'Ставки'!BZ$6</x:f>
      </x:c>
      <x:c r="CA31" s="121" t="n">
        <x:f>'Ставки'!CA$6</x:f>
      </x:c>
      <x:c r="CB31" s="121" t="n">
        <x:f>'Ставки'!CB$6</x:f>
      </x:c>
      <x:c r="CC31" s="121" t="n">
        <x:f>'Ставки'!CC$6</x:f>
      </x:c>
      <x:c r="CD31" s="121" t="n">
        <x:f>'Ставки'!CD$6</x:f>
      </x:c>
      <x:c r="CE31" s="121" t="n">
        <x:f>'Ставки'!CE$6</x:f>
      </x:c>
      <x:c r="CF31" s="121" t="n">
        <x:f>'Ставки'!CF$6</x:f>
      </x:c>
      <x:c r="CG31" s="121" t="n">
        <x:f>'Ставки'!CG$6</x:f>
      </x:c>
      <x:c r="CH31" s="121" t="n">
        <x:f>'Ставки'!CH$6</x:f>
      </x:c>
      <x:c r="CI31" s="121" t="n">
        <x:f>'Ставки'!CI$6</x:f>
      </x:c>
      <x:c r="CJ31" s="121" t="n">
        <x:f>'Ставки'!CJ$6</x:f>
      </x:c>
      <x:c r="CK31" s="121" t="n">
        <x:f>'Ставки'!CK$6</x:f>
      </x:c>
      <x:c r="CL31" s="121" t="n">
        <x:f>'Ставки'!CL$6</x:f>
      </x:c>
      <x:c r="CM31" s="121" t="n">
        <x:f>'Ставки'!CM$6</x:f>
      </x:c>
      <x:c r="CN31" s="121" t="n">
        <x:f>'Ставки'!CN$6</x:f>
      </x:c>
      <x:c r="CO31" s="121" t="n">
        <x:f>'Ставки'!CO$6</x:f>
      </x:c>
      <x:c r="CP31" s="121" t="n">
        <x:f>'Ставки'!CP$6</x:f>
      </x:c>
      <x:c r="CQ31" s="121" t="n">
        <x:f>'Ставки'!CQ$6</x:f>
      </x:c>
      <x:c r="CR31" s="121" t="n">
        <x:f>'Ставки'!CR$6</x:f>
      </x:c>
      <x:c r="CS31" s="121" t="n">
        <x:f>'Ставки'!CS$6</x:f>
      </x:c>
      <x:c r="CT31" s="121" t="n">
        <x:f>'Ставки'!CT$6</x:f>
      </x:c>
      <x:c r="CU31" s="121" t="n">
        <x:f>'Ставки'!CU$6</x:f>
      </x:c>
      <x:c r="CV31" s="121" t="n">
        <x:f>'Ставки'!CV$6</x:f>
      </x:c>
      <x:c r="CW31" s="121" t="n">
        <x:f>'Ставки'!CW$6</x:f>
      </x:c>
      <x:c r="CX31" s="121" t="n">
        <x:f>'Ставки'!CX$6</x:f>
      </x:c>
      <x:c r="CY31" s="121" t="n">
        <x:f>'Ставки'!CY$6</x:f>
      </x:c>
      <x:c r="CZ31" s="121" t="n">
        <x:f>'Ставки'!CZ$6</x:f>
      </x:c>
      <x:c r="DA31" s="121" t="n">
        <x:f>'Ставки'!DA$6</x:f>
      </x:c>
      <x:c r="DB31" s="121" t="n">
        <x:f>'Ставки'!DB$6</x:f>
      </x:c>
      <x:c r="DC31" s="121" t="n">
        <x:f>'Ставки'!DC$6</x:f>
      </x:c>
      <x:c r="DD31" s="121" t="n">
        <x:f>'Ставки'!DD$6</x:f>
      </x:c>
      <x:c r="DE31" s="121" t="n">
        <x:f>'Ставки'!DE$6</x:f>
      </x:c>
      <x:c r="DF31" s="121" t="n">
        <x:f>'Ставки'!DF$6</x:f>
      </x:c>
      <x:c r="DG31" s="121" t="n">
        <x:f>'Ставки'!DG$6</x:f>
      </x:c>
      <x:c r="DH31" s="121" t="n">
        <x:f>'Ставки'!DH$6</x:f>
      </x:c>
      <x:c r="DI31" s="121" t="n">
        <x:f>'Ставки'!DI$6</x:f>
      </x:c>
      <x:c r="DJ31" s="121" t="n">
        <x:f>'Ставки'!DJ$6</x:f>
      </x:c>
      <x:c r="DK31" s="121" t="n">
        <x:f>'Ставки'!DK$6</x:f>
      </x:c>
      <x:c r="DL31" s="121" t="n">
        <x:f>'Ставки'!DL$6</x:f>
      </x:c>
      <x:c r="DM31" s="121" t="n">
        <x:f>'Ставки'!DM$6</x:f>
      </x:c>
      <x:c r="DN31" s="121" t="n">
        <x:f>'Ставки'!DN$6</x:f>
      </x:c>
      <x:c r="DO31" s="121" t="n">
        <x:f>'Ставки'!DO$6</x:f>
      </x:c>
      <x:c r="DP31" s="121" t="n">
        <x:f>'Ставки'!DP$6</x:f>
      </x:c>
      <x:c r="DQ31" s="121" t="n">
        <x:f>'Ставки'!DQ$6</x:f>
      </x:c>
      <x:c r="DR31" s="121" t="n">
        <x:f>'Ставки'!DR$6</x:f>
      </x:c>
      <x:c r="DS31" s="121" t="n">
        <x:f>'Ставки'!DS$6</x:f>
      </x:c>
      <x:c r="DT31" s="121" t="n">
        <x:f>'Ставки'!DT$6</x:f>
      </x:c>
      <x:c r="DU31" s="121" t="n">
        <x:f>'Ставки'!DU$6</x:f>
      </x:c>
      <x:c r="DV31" s="121" t="n">
        <x:f>'Ставки'!DV$6</x:f>
      </x:c>
      <x:c r="DW31" s="121" t="n">
        <x:f>'Ставки'!DW$6</x:f>
      </x:c>
      <x:c r="DX31" s="121" t="n">
        <x:f>'Ставки'!DX$6</x:f>
      </x:c>
      <x:c r="DY31" s="121" t="n">
        <x:f>'Ставки'!DY$6</x:f>
      </x:c>
      <x:c r="DZ31" s="121" t="n">
        <x:f>'Ставки'!DZ$6</x:f>
      </x:c>
      <x:c r="EA31" s="121" t="n">
        <x:f>'Ставки'!EA$6</x:f>
      </x:c>
      <x:c r="EB31" s="121" t="n">
        <x:f>'Ставки'!EB$6</x:f>
      </x:c>
      <x:c r="EC31" s="121" t="n">
        <x:f>'Ставки'!EC$6</x:f>
      </x:c>
      <x:c r="ED31" s="121" t="n">
        <x:f>'Ставки'!ED$6</x:f>
      </x:c>
      <x:c r="EE31" s="121" t="n">
        <x:f>'Ставки'!EE$6</x:f>
      </x:c>
      <x:c r="EF31" s="121" t="n">
        <x:f>'Ставки'!EF$6</x:f>
      </x:c>
      <x:c r="EG31" s="121" t="n">
        <x:f>'Ставки'!EG$6</x:f>
      </x:c>
      <x:c r="EH31" s="121" t="n">
        <x:f>'Ставки'!EH$6</x:f>
      </x:c>
      <x:c r="EI31" s="121" t="n">
        <x:f>'Ставки'!EI$6</x:f>
      </x:c>
      <x:c r="EJ31" s="121" t="n">
        <x:f>'Ставки'!EJ$6</x:f>
      </x:c>
      <x:c r="EK31" s="121" t="n">
        <x:f>'Ставки'!EK$6</x:f>
      </x:c>
      <x:c r="EL31" s="121" t="n">
        <x:f>'Ставки'!EL$6</x:f>
      </x:c>
      <x:c r="EM31" s="121" t="n">
        <x:f>'Ставки'!EM$6</x:f>
      </x:c>
      <x:c r="EN31" s="121" t="n">
        <x:f>'Ставки'!EN$6</x:f>
      </x:c>
      <x:c r="EO31" s="121" t="n">
        <x:f>'Ставки'!EO$6</x:f>
      </x:c>
      <x:c r="EP31" s="121" t="n">
        <x:f>'Ставки'!EP$6</x:f>
      </x:c>
      <x:c r="EQ31" s="121" t="n">
        <x:f>'Ставки'!EQ$6</x:f>
      </x:c>
      <x:c r="ER31" s="121" t="n">
        <x:f>'Ставки'!ER$6</x:f>
      </x:c>
      <x:c r="ES31" s="121" t="n">
        <x:f>'Ставки'!ES$6</x:f>
      </x:c>
      <x:c r="ET31" s="121" t="n">
        <x:f>'Ставки'!ET$6</x:f>
      </x:c>
      <x:c r="EU31" s="121" t="n">
        <x:f>'Ставки'!EU$6</x:f>
      </x:c>
      <x:c r="EV31" s="121" t="n">
        <x:f>'Ставки'!EV$6</x:f>
      </x:c>
      <x:c r="EW31" s="121" t="n">
        <x:f>'Ставки'!EW$6</x:f>
      </x:c>
      <x:c r="EX31" s="121" t="n">
        <x:f>'Ставки'!EX$6</x:f>
      </x:c>
      <x:c r="EY31" s="121" t="n">
        <x:f>'Ставки'!EY$6</x:f>
      </x:c>
      <x:c r="EZ31" s="121" t="n">
        <x:f>'Ставки'!EZ$6</x:f>
      </x:c>
      <x:c r="FA31" s="121" t="n">
        <x:f>'Ставки'!FA$6</x:f>
      </x:c>
      <x:c r="FB31" s="121" t="n">
        <x:f>'Ставки'!FB$6</x:f>
      </x:c>
      <x:c r="FC31" s="121" t="n">
        <x:f>'Ставки'!FC$6</x:f>
      </x:c>
      <x:c r="FD31" s="121" t="n">
        <x:f>'Ставки'!FD$6</x:f>
      </x:c>
      <x:c r="FE31" s="121" t="n">
        <x:f>'Ставки'!FE$6</x:f>
      </x:c>
      <x:c r="FF31" s="121" t="n">
        <x:f>'Ставки'!FF$6</x:f>
      </x:c>
      <x:c r="FG31" s="121" t="n">
        <x:f>'Ставки'!FG$6</x:f>
      </x:c>
      <x:c r="FH31" s="121" t="n">
        <x:f>'Ставки'!FH$6</x:f>
      </x:c>
      <x:c r="FI31" s="121" t="n">
        <x:f>'Ставки'!FI$6</x:f>
      </x:c>
      <x:c r="FJ31" s="121" t="n">
        <x:f>'Ставки'!FJ$6</x:f>
      </x:c>
      <x:c r="FK31" s="121" t="n">
        <x:f>'Ставки'!FK$6</x:f>
      </x:c>
      <x:c r="FL31" s="121" t="n">
        <x:f>'Ставки'!FL$6</x:f>
      </x:c>
      <x:c r="FM31" s="121" t="n">
        <x:f>'Ставки'!FM$6</x:f>
      </x:c>
      <x:c r="FN31" s="121" t="n">
        <x:f>'Ставки'!FN$6</x:f>
      </x:c>
      <x:c r="FO31" s="121" t="n">
        <x:f>'Ставки'!FO$6</x:f>
      </x:c>
      <x:c r="FP31" s="121" t="n">
        <x:f>'Ставки'!FP$6</x:f>
      </x:c>
      <x:c r="FQ31" s="121" t="n">
        <x:f>'Ставки'!FQ$6</x:f>
      </x:c>
      <x:c r="FR31" s="121" t="n">
        <x:f>'Ставки'!FR$6</x:f>
      </x:c>
      <x:c r="FS31" s="121" t="n">
        <x:f>'Ставки'!FS$6</x:f>
      </x:c>
      <x:c r="FT31" s="121" t="n">
        <x:f>'Ставки'!FT$6</x:f>
      </x:c>
      <x:c r="FU31" s="121" t="n">
        <x:f>'Ставки'!FU$6</x:f>
      </x:c>
      <x:c r="FV31" s="121" t="n">
        <x:f>'Ставки'!FV$6</x:f>
      </x:c>
      <x:c r="FW31" s="121" t="n">
        <x:f>'Ставки'!FW$6</x:f>
      </x:c>
      <x:c r="FX31" s="121" t="n">
        <x:f>'Ставки'!FX$6</x:f>
      </x:c>
      <x:c r="FY31" s="121" t="n">
        <x:f>'Ставки'!FY$6</x:f>
      </x:c>
      <x:c r="FZ31" s="121" t="n">
        <x:f>'Ставки'!FZ$6</x:f>
      </x:c>
      <x:c r="GA31" s="121" t="n">
        <x:f>'Ставки'!GA$6</x:f>
      </x:c>
    </x:row>
    <x:row r="32">
      <x:c r="A32" t="str">
        <x:v>БРИДЖ — проценты</x:v>
      </x:c>
      <x:c r="B32" t="n">
        <x:f>SUM(D32:GA32)</x:f>
      </x:c>
      <x:c r="C32" t="str">
        <x:v>млн ₽</x:v>
      </x:c>
      <x:c r="D32" s="117">
        <x:f>IF(AND(D$3&lt;$B$7,$B$5=1),(D30+D34)*D31/12,0)</x:f>
      </x:c>
      <x:c r="E32" s="117">
        <x:f>IF(AND(E$3&lt;$B$7,$B$5=1),(E30+E34)*E31/12,0)</x:f>
      </x:c>
      <x:c r="F32" s="117">
        <x:f>IF(AND(F$3&lt;$B$7,$B$5=1),(F30+F34)*F31/12,0)</x:f>
      </x:c>
      <x:c r="G32" s="117">
        <x:f>IF(AND(G$3&lt;$B$7,$B$5=1),(G30+G34)*G31/12,0)</x:f>
      </x:c>
      <x:c r="H32" s="117">
        <x:f>IF(AND(H$3&lt;$B$7,$B$5=1),(H30+H34)*H31/12,0)</x:f>
      </x:c>
      <x:c r="I32" s="117">
        <x:f>IF(AND(I$3&lt;$B$7,$B$5=1),(I30+I34)*I31/12,0)</x:f>
      </x:c>
      <x:c r="J32" s="117">
        <x:f>IF(AND(J$3&lt;$B$7,$B$5=1),(J30+J34)*J31/12,0)</x:f>
      </x:c>
      <x:c r="K32" s="117">
        <x:f>IF(AND(K$3&lt;$B$7,$B$5=1),(K30+K34)*K31/12,0)</x:f>
      </x:c>
      <x:c r="L32" s="117">
        <x:f>IF(AND(L$3&lt;$B$7,$B$5=1),(L30+L34)*L31/12,0)</x:f>
      </x:c>
      <x:c r="M32" s="117">
        <x:f>IF(AND(M$3&lt;$B$7,$B$5=1),(M30+M34)*M31/12,0)</x:f>
      </x:c>
      <x:c r="N32" s="117">
        <x:f>IF(AND(N$3&lt;$B$7,$B$5=1),(N30+N34)*N31/12,0)</x:f>
      </x:c>
      <x:c r="O32" s="117">
        <x:f>IF(AND(O$3&lt;$B$7,$B$5=1),(O30+O34)*O31/12,0)</x:f>
      </x:c>
      <x:c r="P32" s="117">
        <x:f>IF(AND(P$3&lt;$B$7,$B$5=1),(P30+P34)*P31/12,0)</x:f>
      </x:c>
      <x:c r="Q32" s="117">
        <x:f>IF(AND(Q$3&lt;$B$7,$B$5=1),(Q30+Q34)*Q31/12,0)</x:f>
      </x:c>
      <x:c r="R32" s="117">
        <x:f>IF(AND(R$3&lt;$B$7,$B$5=1),(R30+R34)*R31/12,0)</x:f>
      </x:c>
      <x:c r="S32" s="117">
        <x:f>IF(AND(S$3&lt;$B$7,$B$5=1),(S30+S34)*S31/12,0)</x:f>
      </x:c>
      <x:c r="T32" s="117">
        <x:f>IF(AND(T$3&lt;$B$7,$B$5=1),(T30+T34)*T31/12,0)</x:f>
      </x:c>
      <x:c r="U32" s="117">
        <x:f>IF(AND(U$3&lt;$B$7,$B$5=1),(U30+U34)*U31/12,0)</x:f>
      </x:c>
      <x:c r="V32" s="117">
        <x:f>IF(AND(V$3&lt;$B$7,$B$5=1),(V30+V34)*V31/12,0)</x:f>
      </x:c>
      <x:c r="W32" s="117">
        <x:f>IF(AND(W$3&lt;$B$7,$B$5=1),(W30+W34)*W31/12,0)</x:f>
      </x:c>
      <x:c r="X32" s="117">
        <x:f>IF(AND(X$3&lt;$B$7,$B$5=1),(X30+X34)*X31/12,0)</x:f>
      </x:c>
      <x:c r="Y32" s="117">
        <x:f>IF(AND(Y$3&lt;$B$7,$B$5=1),(Y30+Y34)*Y31/12,0)</x:f>
      </x:c>
      <x:c r="Z32" s="117">
        <x:f>IF(AND(Z$3&lt;$B$7,$B$5=1),(Z30+Z34)*Z31/12,0)</x:f>
      </x:c>
      <x:c r="AA32" s="117">
        <x:f>IF(AND(AA$3&lt;$B$7,$B$5=1),(AA30+AA34)*AA31/12,0)</x:f>
      </x:c>
      <x:c r="AB32" s="117">
        <x:f>IF(AND(AB$3&lt;$B$7,$B$5=1),(AB30+AB34)*AB31/12,0)</x:f>
      </x:c>
      <x:c r="AC32" s="117">
        <x:f>IF(AND(AC$3&lt;$B$7,$B$5=1),(AC30+AC34)*AC31/12,0)</x:f>
      </x:c>
      <x:c r="AD32" s="117">
        <x:f>IF(AND(AD$3&lt;$B$7,$B$5=1),(AD30+AD34)*AD31/12,0)</x:f>
      </x:c>
      <x:c r="AE32" s="117">
        <x:f>IF(AND(AE$3&lt;$B$7,$B$5=1),(AE30+AE34)*AE31/12,0)</x:f>
      </x:c>
      <x:c r="AF32" s="117">
        <x:f>IF(AND(AF$3&lt;$B$7,$B$5=1),(AF30+AF34)*AF31/12,0)</x:f>
      </x:c>
      <x:c r="AG32" s="117">
        <x:f>IF(AND(AG$3&lt;$B$7,$B$5=1),(AG30+AG34)*AG31/12,0)</x:f>
      </x:c>
      <x:c r="AH32" s="117">
        <x:f>IF(AND(AH$3&lt;$B$7,$B$5=1),(AH30+AH34)*AH31/12,0)</x:f>
      </x:c>
      <x:c r="AI32" s="117">
        <x:f>IF(AND(AI$3&lt;$B$7,$B$5=1),(AI30+AI34)*AI31/12,0)</x:f>
      </x:c>
      <x:c r="AJ32" s="117">
        <x:f>IF(AND(AJ$3&lt;$B$7,$B$5=1),(AJ30+AJ34)*AJ31/12,0)</x:f>
      </x:c>
      <x:c r="AK32" s="117">
        <x:f>IF(AND(AK$3&lt;$B$7,$B$5=1),(AK30+AK34)*AK31/12,0)</x:f>
      </x:c>
      <x:c r="AL32" s="117">
        <x:f>IF(AND(AL$3&lt;$B$7,$B$5=1),(AL30+AL34)*AL31/12,0)</x:f>
      </x:c>
      <x:c r="AM32" s="117">
        <x:f>IF(AND(AM$3&lt;$B$7,$B$5=1),(AM30+AM34)*AM31/12,0)</x:f>
      </x:c>
      <x:c r="AN32" s="117">
        <x:f>IF(AND(AN$3&lt;$B$7,$B$5=1),(AN30+AN34)*AN31/12,0)</x:f>
      </x:c>
      <x:c r="AO32" s="117">
        <x:f>IF(AND(AO$3&lt;$B$7,$B$5=1),(AO30+AO34)*AO31/12,0)</x:f>
      </x:c>
      <x:c r="AP32" s="117">
        <x:f>IF(AND(AP$3&lt;$B$7,$B$5=1),(AP30+AP34)*AP31/12,0)</x:f>
      </x:c>
      <x:c r="AQ32" s="117">
        <x:f>IF(AND(AQ$3&lt;$B$7,$B$5=1),(AQ30+AQ34)*AQ31/12,0)</x:f>
      </x:c>
      <x:c r="AR32" s="117">
        <x:f>IF(AND(AR$3&lt;$B$7,$B$5=1),(AR30+AR34)*AR31/12,0)</x:f>
      </x:c>
      <x:c r="AS32" s="117">
        <x:f>IF(AND(AS$3&lt;$B$7,$B$5=1),(AS30+AS34)*AS31/12,0)</x:f>
      </x:c>
      <x:c r="AT32" s="117">
        <x:f>IF(AND(AT$3&lt;$B$7,$B$5=1),(AT30+AT34)*AT31/12,0)</x:f>
      </x:c>
      <x:c r="AU32" s="117">
        <x:f>IF(AND(AU$3&lt;$B$7,$B$5=1),(AU30+AU34)*AU31/12,0)</x:f>
      </x:c>
      <x:c r="AV32" s="117">
        <x:f>IF(AND(AV$3&lt;$B$7,$B$5=1),(AV30+AV34)*AV31/12,0)</x:f>
      </x:c>
      <x:c r="AW32" s="117">
        <x:f>IF(AND(AW$3&lt;$B$7,$B$5=1),(AW30+AW34)*AW31/12,0)</x:f>
      </x:c>
      <x:c r="AX32" s="117">
        <x:f>IF(AND(AX$3&lt;$B$7,$B$5=1),(AX30+AX34)*AX31/12,0)</x:f>
      </x:c>
      <x:c r="AY32" s="117">
        <x:f>IF(AND(AY$3&lt;$B$7,$B$5=1),(AY30+AY34)*AY31/12,0)</x:f>
      </x:c>
      <x:c r="AZ32" s="117">
        <x:f>IF(AND(AZ$3&lt;$B$7,$B$5=1),(AZ30+AZ34)*AZ31/12,0)</x:f>
      </x:c>
      <x:c r="BA32" s="117">
        <x:f>IF(AND(BA$3&lt;$B$7,$B$5=1),(BA30+BA34)*BA31/12,0)</x:f>
      </x:c>
      <x:c r="BB32" s="117">
        <x:f>IF(AND(BB$3&lt;$B$7,$B$5=1),(BB30+BB34)*BB31/12,0)</x:f>
      </x:c>
      <x:c r="BC32" s="117">
        <x:f>IF(AND(BC$3&lt;$B$7,$B$5=1),(BC30+BC34)*BC31/12,0)</x:f>
      </x:c>
      <x:c r="BD32" s="117">
        <x:f>IF(AND(BD$3&lt;$B$7,$B$5=1),(BD30+BD34)*BD31/12,0)</x:f>
      </x:c>
      <x:c r="BE32" s="117">
        <x:f>IF(AND(BE$3&lt;$B$7,$B$5=1),(BE30+BE34)*BE31/12,0)</x:f>
      </x:c>
      <x:c r="BF32" s="117">
        <x:f>IF(AND(BF$3&lt;$B$7,$B$5=1),(BF30+BF34)*BF31/12,0)</x:f>
      </x:c>
      <x:c r="BG32" s="117">
        <x:f>IF(AND(BG$3&lt;$B$7,$B$5=1),(BG30+BG34)*BG31/12,0)</x:f>
      </x:c>
      <x:c r="BH32" s="117">
        <x:f>IF(AND(BH$3&lt;$B$7,$B$5=1),(BH30+BH34)*BH31/12,0)</x:f>
      </x:c>
      <x:c r="BI32" s="117">
        <x:f>IF(AND(BI$3&lt;$B$7,$B$5=1),(BI30+BI34)*BI31/12,0)</x:f>
      </x:c>
      <x:c r="BJ32" s="117">
        <x:f>IF(AND(BJ$3&lt;$B$7,$B$5=1),(BJ30+BJ34)*BJ31/12,0)</x:f>
      </x:c>
      <x:c r="BK32" s="117">
        <x:f>IF(AND(BK$3&lt;$B$7,$B$5=1),(BK30+BK34)*BK31/12,0)</x:f>
      </x:c>
      <x:c r="BL32" s="117">
        <x:f>IF(AND(BL$3&lt;$B$7,$B$5=1),(BL30+BL34)*BL31/12,0)</x:f>
      </x:c>
      <x:c r="BM32" s="117">
        <x:f>IF(AND(BM$3&lt;$B$7,$B$5=1),(BM30+BM34)*BM31/12,0)</x:f>
      </x:c>
      <x:c r="BN32" s="117">
        <x:f>IF(AND(BN$3&lt;$B$7,$B$5=1),(BN30+BN34)*BN31/12,0)</x:f>
      </x:c>
      <x:c r="BO32" s="117">
        <x:f>IF(AND(BO$3&lt;$B$7,$B$5=1),(BO30+BO34)*BO31/12,0)</x:f>
      </x:c>
      <x:c r="BP32" s="117">
        <x:f>IF(AND(BP$3&lt;$B$7,$B$5=1),(BP30+BP34)*BP31/12,0)</x:f>
      </x:c>
      <x:c r="BQ32" s="117">
        <x:f>IF(AND(BQ$3&lt;$B$7,$B$5=1),(BQ30+BQ34)*BQ31/12,0)</x:f>
      </x:c>
      <x:c r="BR32" s="117">
        <x:f>IF(AND(BR$3&lt;$B$7,$B$5=1),(BR30+BR34)*BR31/12,0)</x:f>
      </x:c>
      <x:c r="BS32" s="117">
        <x:f>IF(AND(BS$3&lt;$B$7,$B$5=1),(BS30+BS34)*BS31/12,0)</x:f>
      </x:c>
      <x:c r="BT32" s="117">
        <x:f>IF(AND(BT$3&lt;$B$7,$B$5=1),(BT30+BT34)*BT31/12,0)</x:f>
      </x:c>
      <x:c r="BU32" s="117">
        <x:f>IF(AND(BU$3&lt;$B$7,$B$5=1),(BU30+BU34)*BU31/12,0)</x:f>
      </x:c>
      <x:c r="BV32" s="117">
        <x:f>IF(AND(BV$3&lt;$B$7,$B$5=1),(BV30+BV34)*BV31/12,0)</x:f>
      </x:c>
      <x:c r="BW32" s="117">
        <x:f>IF(AND(BW$3&lt;$B$7,$B$5=1),(BW30+BW34)*BW31/12,0)</x:f>
      </x:c>
      <x:c r="BX32" s="117">
        <x:f>IF(AND(BX$3&lt;$B$7,$B$5=1),(BX30+BX34)*BX31/12,0)</x:f>
      </x:c>
      <x:c r="BY32" s="117">
        <x:f>IF(AND(BY$3&lt;$B$7,$B$5=1),(BY30+BY34)*BY31/12,0)</x:f>
      </x:c>
      <x:c r="BZ32" s="117">
        <x:f>IF(AND(BZ$3&lt;$B$7,$B$5=1),(BZ30+BZ34)*BZ31/12,0)</x:f>
      </x:c>
      <x:c r="CA32" s="117">
        <x:f>IF(AND(CA$3&lt;$B$7,$B$5=1),(CA30+CA34)*CA31/12,0)</x:f>
      </x:c>
      <x:c r="CB32" s="117">
        <x:f>IF(AND(CB$3&lt;$B$7,$B$5=1),(CB30+CB34)*CB31/12,0)</x:f>
      </x:c>
      <x:c r="CC32" s="117">
        <x:f>IF(AND(CC$3&lt;$B$7,$B$5=1),(CC30+CC34)*CC31/12,0)</x:f>
      </x:c>
      <x:c r="CD32" s="117">
        <x:f>IF(AND(CD$3&lt;$B$7,$B$5=1),(CD30+CD34)*CD31/12,0)</x:f>
      </x:c>
      <x:c r="CE32" s="117">
        <x:f>IF(AND(CE$3&lt;$B$7,$B$5=1),(CE30+CE34)*CE31/12,0)</x:f>
      </x:c>
      <x:c r="CF32" s="117">
        <x:f>IF(AND(CF$3&lt;$B$7,$B$5=1),(CF30+CF34)*CF31/12,0)</x:f>
      </x:c>
      <x:c r="CG32" s="117">
        <x:f>IF(AND(CG$3&lt;$B$7,$B$5=1),(CG30+CG34)*CG31/12,0)</x:f>
      </x:c>
      <x:c r="CH32" s="117">
        <x:f>IF(AND(CH$3&lt;$B$7,$B$5=1),(CH30+CH34)*CH31/12,0)</x:f>
      </x:c>
      <x:c r="CI32" s="117">
        <x:f>IF(AND(CI$3&lt;$B$7,$B$5=1),(CI30+CI34)*CI31/12,0)</x:f>
      </x:c>
      <x:c r="CJ32" s="117">
        <x:f>IF(AND(CJ$3&lt;$B$7,$B$5=1),(CJ30+CJ34)*CJ31/12,0)</x:f>
      </x:c>
      <x:c r="CK32" s="117">
        <x:f>IF(AND(CK$3&lt;$B$7,$B$5=1),(CK30+CK34)*CK31/12,0)</x:f>
      </x:c>
      <x:c r="CL32" s="117">
        <x:f>IF(AND(CL$3&lt;$B$7,$B$5=1),(CL30+CL34)*CL31/12,0)</x:f>
      </x:c>
      <x:c r="CM32" s="117">
        <x:f>IF(AND(CM$3&lt;$B$7,$B$5=1),(CM30+CM34)*CM31/12,0)</x:f>
      </x:c>
      <x:c r="CN32" s="117">
        <x:f>IF(AND(CN$3&lt;$B$7,$B$5=1),(CN30+CN34)*CN31/12,0)</x:f>
      </x:c>
      <x:c r="CO32" s="117">
        <x:f>IF(AND(CO$3&lt;$B$7,$B$5=1),(CO30+CO34)*CO31/12,0)</x:f>
      </x:c>
      <x:c r="CP32" s="117">
        <x:f>IF(AND(CP$3&lt;$B$7,$B$5=1),(CP30+CP34)*CP31/12,0)</x:f>
      </x:c>
      <x:c r="CQ32" s="117">
        <x:f>IF(AND(CQ$3&lt;$B$7,$B$5=1),(CQ30+CQ34)*CQ31/12,0)</x:f>
      </x:c>
      <x:c r="CR32" s="117">
        <x:f>IF(AND(CR$3&lt;$B$7,$B$5=1),(CR30+CR34)*CR31/12,0)</x:f>
      </x:c>
      <x:c r="CS32" s="117">
        <x:f>IF(AND(CS$3&lt;$B$7,$B$5=1),(CS30+CS34)*CS31/12,0)</x:f>
      </x:c>
      <x:c r="CT32" s="117">
        <x:f>IF(AND(CT$3&lt;$B$7,$B$5=1),(CT30+CT34)*CT31/12,0)</x:f>
      </x:c>
      <x:c r="CU32" s="117">
        <x:f>IF(AND(CU$3&lt;$B$7,$B$5=1),(CU30+CU34)*CU31/12,0)</x:f>
      </x:c>
      <x:c r="CV32" s="117">
        <x:f>IF(AND(CV$3&lt;$B$7,$B$5=1),(CV30+CV34)*CV31/12,0)</x:f>
      </x:c>
      <x:c r="CW32" s="117">
        <x:f>IF(AND(CW$3&lt;$B$7,$B$5=1),(CW30+CW34)*CW31/12,0)</x:f>
      </x:c>
      <x:c r="CX32" s="117">
        <x:f>IF(AND(CX$3&lt;$B$7,$B$5=1),(CX30+CX34)*CX31/12,0)</x:f>
      </x:c>
      <x:c r="CY32" s="117">
        <x:f>IF(AND(CY$3&lt;$B$7,$B$5=1),(CY30+CY34)*CY31/12,0)</x:f>
      </x:c>
      <x:c r="CZ32" s="117">
        <x:f>IF(AND(CZ$3&lt;$B$7,$B$5=1),(CZ30+CZ34)*CZ31/12,0)</x:f>
      </x:c>
      <x:c r="DA32" s="117">
        <x:f>IF(AND(DA$3&lt;$B$7,$B$5=1),(DA30+DA34)*DA31/12,0)</x:f>
      </x:c>
      <x:c r="DB32" s="117">
        <x:f>IF(AND(DB$3&lt;$B$7,$B$5=1),(DB30+DB34)*DB31/12,0)</x:f>
      </x:c>
      <x:c r="DC32" s="117">
        <x:f>IF(AND(DC$3&lt;$B$7,$B$5=1),(DC30+DC34)*DC31/12,0)</x:f>
      </x:c>
      <x:c r="DD32" s="117">
        <x:f>IF(AND(DD$3&lt;$B$7,$B$5=1),(DD30+DD34)*DD31/12,0)</x:f>
      </x:c>
      <x:c r="DE32" s="117">
        <x:f>IF(AND(DE$3&lt;$B$7,$B$5=1),(DE30+DE34)*DE31/12,0)</x:f>
      </x:c>
      <x:c r="DF32" s="117">
        <x:f>IF(AND(DF$3&lt;$B$7,$B$5=1),(DF30+DF34)*DF31/12,0)</x:f>
      </x:c>
      <x:c r="DG32" s="117">
        <x:f>IF(AND(DG$3&lt;$B$7,$B$5=1),(DG30+DG34)*DG31/12,0)</x:f>
      </x:c>
      <x:c r="DH32" s="117">
        <x:f>IF(AND(DH$3&lt;$B$7,$B$5=1),(DH30+DH34)*DH31/12,0)</x:f>
      </x:c>
      <x:c r="DI32" s="117">
        <x:f>IF(AND(DI$3&lt;$B$7,$B$5=1),(DI30+DI34)*DI31/12,0)</x:f>
      </x:c>
      <x:c r="DJ32" s="117">
        <x:f>IF(AND(DJ$3&lt;$B$7,$B$5=1),(DJ30+DJ34)*DJ31/12,0)</x:f>
      </x:c>
      <x:c r="DK32" s="117">
        <x:f>IF(AND(DK$3&lt;$B$7,$B$5=1),(DK30+DK34)*DK31/12,0)</x:f>
      </x:c>
      <x:c r="DL32" s="117">
        <x:f>IF(AND(DL$3&lt;$B$7,$B$5=1),(DL30+DL34)*DL31/12,0)</x:f>
      </x:c>
      <x:c r="DM32" s="117">
        <x:f>IF(AND(DM$3&lt;$B$7,$B$5=1),(DM30+DM34)*DM31/12,0)</x:f>
      </x:c>
      <x:c r="DN32" s="117">
        <x:f>IF(AND(DN$3&lt;$B$7,$B$5=1),(DN30+DN34)*DN31/12,0)</x:f>
      </x:c>
      <x:c r="DO32" s="117">
        <x:f>IF(AND(DO$3&lt;$B$7,$B$5=1),(DO30+DO34)*DO31/12,0)</x:f>
      </x:c>
      <x:c r="DP32" s="117">
        <x:f>IF(AND(DP$3&lt;$B$7,$B$5=1),(DP30+DP34)*DP31/12,0)</x:f>
      </x:c>
      <x:c r="DQ32" s="117">
        <x:f>IF(AND(DQ$3&lt;$B$7,$B$5=1),(DQ30+DQ34)*DQ31/12,0)</x:f>
      </x:c>
      <x:c r="DR32" s="117">
        <x:f>IF(AND(DR$3&lt;$B$7,$B$5=1),(DR30+DR34)*DR31/12,0)</x:f>
      </x:c>
      <x:c r="DS32" s="117">
        <x:f>IF(AND(DS$3&lt;$B$7,$B$5=1),(DS30+DS34)*DS31/12,0)</x:f>
      </x:c>
      <x:c r="DT32" s="117">
        <x:f>IF(AND(DT$3&lt;$B$7,$B$5=1),(DT30+DT34)*DT31/12,0)</x:f>
      </x:c>
      <x:c r="DU32" s="117">
        <x:f>IF(AND(DU$3&lt;$B$7,$B$5=1),(DU30+DU34)*DU31/12,0)</x:f>
      </x:c>
      <x:c r="DV32" s="117">
        <x:f>IF(AND(DV$3&lt;$B$7,$B$5=1),(DV30+DV34)*DV31/12,0)</x:f>
      </x:c>
      <x:c r="DW32" s="117">
        <x:f>IF(AND(DW$3&lt;$B$7,$B$5=1),(DW30+DW34)*DW31/12,0)</x:f>
      </x:c>
      <x:c r="DX32" s="117">
        <x:f>IF(AND(DX$3&lt;$B$7,$B$5=1),(DX30+DX34)*DX31/12,0)</x:f>
      </x:c>
      <x:c r="DY32" s="117">
        <x:f>IF(AND(DY$3&lt;$B$7,$B$5=1),(DY30+DY34)*DY31/12,0)</x:f>
      </x:c>
      <x:c r="DZ32" s="117">
        <x:f>IF(AND(DZ$3&lt;$B$7,$B$5=1),(DZ30+DZ34)*DZ31/12,0)</x:f>
      </x:c>
      <x:c r="EA32" s="117">
        <x:f>IF(AND(EA$3&lt;$B$7,$B$5=1),(EA30+EA34)*EA31/12,0)</x:f>
      </x:c>
      <x:c r="EB32" s="117">
        <x:f>IF(AND(EB$3&lt;$B$7,$B$5=1),(EB30+EB34)*EB31/12,0)</x:f>
      </x:c>
      <x:c r="EC32" s="117">
        <x:f>IF(AND(EC$3&lt;$B$7,$B$5=1),(EC30+EC34)*EC31/12,0)</x:f>
      </x:c>
      <x:c r="ED32" s="117">
        <x:f>IF(AND(ED$3&lt;$B$7,$B$5=1),(ED30+ED34)*ED31/12,0)</x:f>
      </x:c>
      <x:c r="EE32" s="117">
        <x:f>IF(AND(EE$3&lt;$B$7,$B$5=1),(EE30+EE34)*EE31/12,0)</x:f>
      </x:c>
      <x:c r="EF32" s="117">
        <x:f>IF(AND(EF$3&lt;$B$7,$B$5=1),(EF30+EF34)*EF31/12,0)</x:f>
      </x:c>
      <x:c r="EG32" s="117">
        <x:f>IF(AND(EG$3&lt;$B$7,$B$5=1),(EG30+EG34)*EG31/12,0)</x:f>
      </x:c>
      <x:c r="EH32" s="117">
        <x:f>IF(AND(EH$3&lt;$B$7,$B$5=1),(EH30+EH34)*EH31/12,0)</x:f>
      </x:c>
      <x:c r="EI32" s="117">
        <x:f>IF(AND(EI$3&lt;$B$7,$B$5=1),(EI30+EI34)*EI31/12,0)</x:f>
      </x:c>
      <x:c r="EJ32" s="117">
        <x:f>IF(AND(EJ$3&lt;$B$7,$B$5=1),(EJ30+EJ34)*EJ31/12,0)</x:f>
      </x:c>
      <x:c r="EK32" s="117">
        <x:f>IF(AND(EK$3&lt;$B$7,$B$5=1),(EK30+EK34)*EK31/12,0)</x:f>
      </x:c>
      <x:c r="EL32" s="117">
        <x:f>IF(AND(EL$3&lt;$B$7,$B$5=1),(EL30+EL34)*EL31/12,0)</x:f>
      </x:c>
      <x:c r="EM32" s="117">
        <x:f>IF(AND(EM$3&lt;$B$7,$B$5=1),(EM30+EM34)*EM31/12,0)</x:f>
      </x:c>
      <x:c r="EN32" s="117">
        <x:f>IF(AND(EN$3&lt;$B$7,$B$5=1),(EN30+EN34)*EN31/12,0)</x:f>
      </x:c>
      <x:c r="EO32" s="117">
        <x:f>IF(AND(EO$3&lt;$B$7,$B$5=1),(EO30+EO34)*EO31/12,0)</x:f>
      </x:c>
      <x:c r="EP32" s="117">
        <x:f>IF(AND(EP$3&lt;$B$7,$B$5=1),(EP30+EP34)*EP31/12,0)</x:f>
      </x:c>
      <x:c r="EQ32" s="117">
        <x:f>IF(AND(EQ$3&lt;$B$7,$B$5=1),(EQ30+EQ34)*EQ31/12,0)</x:f>
      </x:c>
      <x:c r="ER32" s="117">
        <x:f>IF(AND(ER$3&lt;$B$7,$B$5=1),(ER30+ER34)*ER31/12,0)</x:f>
      </x:c>
      <x:c r="ES32" s="117">
        <x:f>IF(AND(ES$3&lt;$B$7,$B$5=1),(ES30+ES34)*ES31/12,0)</x:f>
      </x:c>
      <x:c r="ET32" s="117">
        <x:f>IF(AND(ET$3&lt;$B$7,$B$5=1),(ET30+ET34)*ET31/12,0)</x:f>
      </x:c>
      <x:c r="EU32" s="117">
        <x:f>IF(AND(EU$3&lt;$B$7,$B$5=1),(EU30+EU34)*EU31/12,0)</x:f>
      </x:c>
      <x:c r="EV32" s="117">
        <x:f>IF(AND(EV$3&lt;$B$7,$B$5=1),(EV30+EV34)*EV31/12,0)</x:f>
      </x:c>
      <x:c r="EW32" s="117">
        <x:f>IF(AND(EW$3&lt;$B$7,$B$5=1),(EW30+EW34)*EW31/12,0)</x:f>
      </x:c>
      <x:c r="EX32" s="117">
        <x:f>IF(AND(EX$3&lt;$B$7,$B$5=1),(EX30+EX34)*EX31/12,0)</x:f>
      </x:c>
      <x:c r="EY32" s="117">
        <x:f>IF(AND(EY$3&lt;$B$7,$B$5=1),(EY30+EY34)*EY31/12,0)</x:f>
      </x:c>
      <x:c r="EZ32" s="117">
        <x:f>IF(AND(EZ$3&lt;$B$7,$B$5=1),(EZ30+EZ34)*EZ31/12,0)</x:f>
      </x:c>
      <x:c r="FA32" s="117">
        <x:f>IF(AND(FA$3&lt;$B$7,$B$5=1),(FA30+FA34)*FA31/12,0)</x:f>
      </x:c>
      <x:c r="FB32" s="117">
        <x:f>IF(AND(FB$3&lt;$B$7,$B$5=1),(FB30+FB34)*FB31/12,0)</x:f>
      </x:c>
      <x:c r="FC32" s="117">
        <x:f>IF(AND(FC$3&lt;$B$7,$B$5=1),(FC30+FC34)*FC31/12,0)</x:f>
      </x:c>
      <x:c r="FD32" s="117">
        <x:f>IF(AND(FD$3&lt;$B$7,$B$5=1),(FD30+FD34)*FD31/12,0)</x:f>
      </x:c>
      <x:c r="FE32" s="117">
        <x:f>IF(AND(FE$3&lt;$B$7,$B$5=1),(FE30+FE34)*FE31/12,0)</x:f>
      </x:c>
      <x:c r="FF32" s="117">
        <x:f>IF(AND(FF$3&lt;$B$7,$B$5=1),(FF30+FF34)*FF31/12,0)</x:f>
      </x:c>
      <x:c r="FG32" s="117">
        <x:f>IF(AND(FG$3&lt;$B$7,$B$5=1),(FG30+FG34)*FG31/12,0)</x:f>
      </x:c>
      <x:c r="FH32" s="117">
        <x:f>IF(AND(FH$3&lt;$B$7,$B$5=1),(FH30+FH34)*FH31/12,0)</x:f>
      </x:c>
      <x:c r="FI32" s="117">
        <x:f>IF(AND(FI$3&lt;$B$7,$B$5=1),(FI30+FI34)*FI31/12,0)</x:f>
      </x:c>
      <x:c r="FJ32" s="117">
        <x:f>IF(AND(FJ$3&lt;$B$7,$B$5=1),(FJ30+FJ34)*FJ31/12,0)</x:f>
      </x:c>
      <x:c r="FK32" s="117">
        <x:f>IF(AND(FK$3&lt;$B$7,$B$5=1),(FK30+FK34)*FK31/12,0)</x:f>
      </x:c>
      <x:c r="FL32" s="117">
        <x:f>IF(AND(FL$3&lt;$B$7,$B$5=1),(FL30+FL34)*FL31/12,0)</x:f>
      </x:c>
      <x:c r="FM32" s="117">
        <x:f>IF(AND(FM$3&lt;$B$7,$B$5=1),(FM30+FM34)*FM31/12,0)</x:f>
      </x:c>
      <x:c r="FN32" s="117">
        <x:f>IF(AND(FN$3&lt;$B$7,$B$5=1),(FN30+FN34)*FN31/12,0)</x:f>
      </x:c>
      <x:c r="FO32" s="117">
        <x:f>IF(AND(FO$3&lt;$B$7,$B$5=1),(FO30+FO34)*FO31/12,0)</x:f>
      </x:c>
      <x:c r="FP32" s="117">
        <x:f>IF(AND(FP$3&lt;$B$7,$B$5=1),(FP30+FP34)*FP31/12,0)</x:f>
      </x:c>
      <x:c r="FQ32" s="117">
        <x:f>IF(AND(FQ$3&lt;$B$7,$B$5=1),(FQ30+FQ34)*FQ31/12,0)</x:f>
      </x:c>
      <x:c r="FR32" s="117">
        <x:f>IF(AND(FR$3&lt;$B$7,$B$5=1),(FR30+FR34)*FR31/12,0)</x:f>
      </x:c>
      <x:c r="FS32" s="117">
        <x:f>IF(AND(FS$3&lt;$B$7,$B$5=1),(FS30+FS34)*FS31/12,0)</x:f>
      </x:c>
      <x:c r="FT32" s="117">
        <x:f>IF(AND(FT$3&lt;$B$7,$B$5=1),(FT30+FT34)*FT31/12,0)</x:f>
      </x:c>
      <x:c r="FU32" s="117">
        <x:f>IF(AND(FU$3&lt;$B$7,$B$5=1),(FU30+FU34)*FU31/12,0)</x:f>
      </x:c>
      <x:c r="FV32" s="117">
        <x:f>IF(AND(FV$3&lt;$B$7,$B$5=1),(FV30+FV34)*FV31/12,0)</x:f>
      </x:c>
      <x:c r="FW32" s="117">
        <x:f>IF(AND(FW$3&lt;$B$7,$B$5=1),(FW30+FW34)*FW31/12,0)</x:f>
      </x:c>
      <x:c r="FX32" s="117">
        <x:f>IF(AND(FX$3&lt;$B$7,$B$5=1),(FX30+FX34)*FX31/12,0)</x:f>
      </x:c>
      <x:c r="FY32" s="117">
        <x:f>IF(AND(FY$3&lt;$B$7,$B$5=1),(FY30+FY34)*FY31/12,0)</x:f>
      </x:c>
      <x:c r="FZ32" s="117">
        <x:f>IF(AND(FZ$3&lt;$B$7,$B$5=1),(FZ30+FZ34)*FZ31/12,0)</x:f>
      </x:c>
      <x:c r="GA32" s="117">
        <x:f>IF(AND(GA$3&lt;$B$7,$B$5=1),(GA30+GA34)*GA31/12,0)</x:f>
      </x:c>
    </x:row>
    <x:row r="33">
      <x:c r="A33" t="str">
        <x:v>БРИДЖ — потребность</x:v>
      </x:c>
      <x:c r="B33"/>
      <x:c r="C33" t="str">
        <x:v>млн ₽</x:v>
      </x:c>
      <x:c r="D33" s="117">
        <x:f>IF(D$3&lt;$B$7,MAX(0,D20+D24-D27),0)</x:f>
      </x:c>
      <x:c r="E33" s="117">
        <x:f>IF(E$3&lt;$B$7,MAX(0,E20+E24-E27),0)</x:f>
      </x:c>
      <x:c r="F33" s="117">
        <x:f>IF(F$3&lt;$B$7,MAX(0,F20+F24-F27),0)</x:f>
      </x:c>
      <x:c r="G33" s="117">
        <x:f>IF(G$3&lt;$B$7,MAX(0,G20+G24-G27),0)</x:f>
      </x:c>
      <x:c r="H33" s="117">
        <x:f>IF(H$3&lt;$B$7,MAX(0,H20+H24-H27),0)</x:f>
      </x:c>
      <x:c r="I33" s="117">
        <x:f>IF(I$3&lt;$B$7,MAX(0,I20+I24-I27),0)</x:f>
      </x:c>
      <x:c r="J33" s="117">
        <x:f>IF(J$3&lt;$B$7,MAX(0,J20+J24-J27),0)</x:f>
      </x:c>
      <x:c r="K33" s="117">
        <x:f>IF(K$3&lt;$B$7,MAX(0,K20+K24-K27),0)</x:f>
      </x:c>
      <x:c r="L33" s="117">
        <x:f>IF(L$3&lt;$B$7,MAX(0,L20+L24-L27),0)</x:f>
      </x:c>
      <x:c r="M33" s="117">
        <x:f>IF(M$3&lt;$B$7,MAX(0,M20+M24-M27),0)</x:f>
      </x:c>
      <x:c r="N33" s="117">
        <x:f>IF(N$3&lt;$B$7,MAX(0,N20+N24-N27),0)</x:f>
      </x:c>
      <x:c r="O33" s="117">
        <x:f>IF(O$3&lt;$B$7,MAX(0,O20+O24-O27),0)</x:f>
      </x:c>
      <x:c r="P33" s="117">
        <x:f>IF(P$3&lt;$B$7,MAX(0,P20+P24-P27),0)</x:f>
      </x:c>
      <x:c r="Q33" s="117">
        <x:f>IF(Q$3&lt;$B$7,MAX(0,Q20+Q24-Q27),0)</x:f>
      </x:c>
      <x:c r="R33" s="117">
        <x:f>IF(R$3&lt;$B$7,MAX(0,R20+R24-R27),0)</x:f>
      </x:c>
      <x:c r="S33" s="117">
        <x:f>IF(S$3&lt;$B$7,MAX(0,S20+S24-S27),0)</x:f>
      </x:c>
      <x:c r="T33" s="117">
        <x:f>IF(T$3&lt;$B$7,MAX(0,T20+T24-T27),0)</x:f>
      </x:c>
      <x:c r="U33" s="117">
        <x:f>IF(U$3&lt;$B$7,MAX(0,U20+U24-U27),0)</x:f>
      </x:c>
      <x:c r="V33" s="117">
        <x:f>IF(V$3&lt;$B$7,MAX(0,V20+V24-V27),0)</x:f>
      </x:c>
      <x:c r="W33" s="117">
        <x:f>IF(W$3&lt;$B$7,MAX(0,W20+W24-W27),0)</x:f>
      </x:c>
      <x:c r="X33" s="117">
        <x:f>IF(X$3&lt;$B$7,MAX(0,X20+X24-X27),0)</x:f>
      </x:c>
      <x:c r="Y33" s="117">
        <x:f>IF(Y$3&lt;$B$7,MAX(0,Y20+Y24-Y27),0)</x:f>
      </x:c>
      <x:c r="Z33" s="117">
        <x:f>IF(Z$3&lt;$B$7,MAX(0,Z20+Z24-Z27),0)</x:f>
      </x:c>
      <x:c r="AA33" s="117">
        <x:f>IF(AA$3&lt;$B$7,MAX(0,AA20+AA24-AA27),0)</x:f>
      </x:c>
      <x:c r="AB33" s="117">
        <x:f>IF(AB$3&lt;$B$7,MAX(0,AB20+AB24-AB27),0)</x:f>
      </x:c>
      <x:c r="AC33" s="117">
        <x:f>IF(AC$3&lt;$B$7,MAX(0,AC20+AC24-AC27),0)</x:f>
      </x:c>
      <x:c r="AD33" s="117">
        <x:f>IF(AD$3&lt;$B$7,MAX(0,AD20+AD24-AD27),0)</x:f>
      </x:c>
      <x:c r="AE33" s="117">
        <x:f>IF(AE$3&lt;$B$7,MAX(0,AE20+AE24-AE27),0)</x:f>
      </x:c>
      <x:c r="AF33" s="117">
        <x:f>IF(AF$3&lt;$B$7,MAX(0,AF20+AF24-AF27),0)</x:f>
      </x:c>
      <x:c r="AG33" s="117">
        <x:f>IF(AG$3&lt;$B$7,MAX(0,AG20+AG24-AG27),0)</x:f>
      </x:c>
      <x:c r="AH33" s="117">
        <x:f>IF(AH$3&lt;$B$7,MAX(0,AH20+AH24-AH27),0)</x:f>
      </x:c>
      <x:c r="AI33" s="117">
        <x:f>IF(AI$3&lt;$B$7,MAX(0,AI20+AI24-AI27),0)</x:f>
      </x:c>
      <x:c r="AJ33" s="117">
        <x:f>IF(AJ$3&lt;$B$7,MAX(0,AJ20+AJ24-AJ27),0)</x:f>
      </x:c>
      <x:c r="AK33" s="117">
        <x:f>IF(AK$3&lt;$B$7,MAX(0,AK20+AK24-AK27),0)</x:f>
      </x:c>
      <x:c r="AL33" s="117">
        <x:f>IF(AL$3&lt;$B$7,MAX(0,AL20+AL24-AL27),0)</x:f>
      </x:c>
      <x:c r="AM33" s="117">
        <x:f>IF(AM$3&lt;$B$7,MAX(0,AM20+AM24-AM27),0)</x:f>
      </x:c>
      <x:c r="AN33" s="117">
        <x:f>IF(AN$3&lt;$B$7,MAX(0,AN20+AN24-AN27),0)</x:f>
      </x:c>
      <x:c r="AO33" s="117">
        <x:f>IF(AO$3&lt;$B$7,MAX(0,AO20+AO24-AO27),0)</x:f>
      </x:c>
      <x:c r="AP33" s="117">
        <x:f>IF(AP$3&lt;$B$7,MAX(0,AP20+AP24-AP27),0)</x:f>
      </x:c>
      <x:c r="AQ33" s="117">
        <x:f>IF(AQ$3&lt;$B$7,MAX(0,AQ20+AQ24-AQ27),0)</x:f>
      </x:c>
      <x:c r="AR33" s="117">
        <x:f>IF(AR$3&lt;$B$7,MAX(0,AR20+AR24-AR27),0)</x:f>
      </x:c>
      <x:c r="AS33" s="117">
        <x:f>IF(AS$3&lt;$B$7,MAX(0,AS20+AS24-AS27),0)</x:f>
      </x:c>
      <x:c r="AT33" s="117">
        <x:f>IF(AT$3&lt;$B$7,MAX(0,AT20+AT24-AT27),0)</x:f>
      </x:c>
      <x:c r="AU33" s="117">
        <x:f>IF(AU$3&lt;$B$7,MAX(0,AU20+AU24-AU27),0)</x:f>
      </x:c>
      <x:c r="AV33" s="117">
        <x:f>IF(AV$3&lt;$B$7,MAX(0,AV20+AV24-AV27),0)</x:f>
      </x:c>
      <x:c r="AW33" s="117">
        <x:f>IF(AW$3&lt;$B$7,MAX(0,AW20+AW24-AW27),0)</x:f>
      </x:c>
      <x:c r="AX33" s="117">
        <x:f>IF(AX$3&lt;$B$7,MAX(0,AX20+AX24-AX27),0)</x:f>
      </x:c>
      <x:c r="AY33" s="117">
        <x:f>IF(AY$3&lt;$B$7,MAX(0,AY20+AY24-AY27),0)</x:f>
      </x:c>
      <x:c r="AZ33" s="117">
        <x:f>IF(AZ$3&lt;$B$7,MAX(0,AZ20+AZ24-AZ27),0)</x:f>
      </x:c>
      <x:c r="BA33" s="117">
        <x:f>IF(BA$3&lt;$B$7,MAX(0,BA20+BA24-BA27),0)</x:f>
      </x:c>
      <x:c r="BB33" s="117">
        <x:f>IF(BB$3&lt;$B$7,MAX(0,BB20+BB24-BB27),0)</x:f>
      </x:c>
      <x:c r="BC33" s="117">
        <x:f>IF(BC$3&lt;$B$7,MAX(0,BC20+BC24-BC27),0)</x:f>
      </x:c>
      <x:c r="BD33" s="117">
        <x:f>IF(BD$3&lt;$B$7,MAX(0,BD20+BD24-BD27),0)</x:f>
      </x:c>
      <x:c r="BE33" s="117">
        <x:f>IF(BE$3&lt;$B$7,MAX(0,BE20+BE24-BE27),0)</x:f>
      </x:c>
      <x:c r="BF33" s="117">
        <x:f>IF(BF$3&lt;$B$7,MAX(0,BF20+BF24-BF27),0)</x:f>
      </x:c>
      <x:c r="BG33" s="117">
        <x:f>IF(BG$3&lt;$B$7,MAX(0,BG20+BG24-BG27),0)</x:f>
      </x:c>
      <x:c r="BH33" s="117">
        <x:f>IF(BH$3&lt;$B$7,MAX(0,BH20+BH24-BH27),0)</x:f>
      </x:c>
      <x:c r="BI33" s="117">
        <x:f>IF(BI$3&lt;$B$7,MAX(0,BI20+BI24-BI27),0)</x:f>
      </x:c>
      <x:c r="BJ33" s="117">
        <x:f>IF(BJ$3&lt;$B$7,MAX(0,BJ20+BJ24-BJ27),0)</x:f>
      </x:c>
      <x:c r="BK33" s="117">
        <x:f>IF(BK$3&lt;$B$7,MAX(0,BK20+BK24-BK27),0)</x:f>
      </x:c>
      <x:c r="BL33" s="117">
        <x:f>IF(BL$3&lt;$B$7,MAX(0,BL20+BL24-BL27),0)</x:f>
      </x:c>
      <x:c r="BM33" s="117">
        <x:f>IF(BM$3&lt;$B$7,MAX(0,BM20+BM24-BM27),0)</x:f>
      </x:c>
      <x:c r="BN33" s="117">
        <x:f>IF(BN$3&lt;$B$7,MAX(0,BN20+BN24-BN27),0)</x:f>
      </x:c>
      <x:c r="BO33" s="117">
        <x:f>IF(BO$3&lt;$B$7,MAX(0,BO20+BO24-BO27),0)</x:f>
      </x:c>
      <x:c r="BP33" s="117">
        <x:f>IF(BP$3&lt;$B$7,MAX(0,BP20+BP24-BP27),0)</x:f>
      </x:c>
      <x:c r="BQ33" s="117">
        <x:f>IF(BQ$3&lt;$B$7,MAX(0,BQ20+BQ24-BQ27),0)</x:f>
      </x:c>
      <x:c r="BR33" s="117">
        <x:f>IF(BR$3&lt;$B$7,MAX(0,BR20+BR24-BR27),0)</x:f>
      </x:c>
      <x:c r="BS33" s="117">
        <x:f>IF(BS$3&lt;$B$7,MAX(0,BS20+BS24-BS27),0)</x:f>
      </x:c>
      <x:c r="BT33" s="117">
        <x:f>IF(BT$3&lt;$B$7,MAX(0,BT20+BT24-BT27),0)</x:f>
      </x:c>
      <x:c r="BU33" s="117">
        <x:f>IF(BU$3&lt;$B$7,MAX(0,BU20+BU24-BU27),0)</x:f>
      </x:c>
      <x:c r="BV33" s="117">
        <x:f>IF(BV$3&lt;$B$7,MAX(0,BV20+BV24-BV27),0)</x:f>
      </x:c>
      <x:c r="BW33" s="117">
        <x:f>IF(BW$3&lt;$B$7,MAX(0,BW20+BW24-BW27),0)</x:f>
      </x:c>
      <x:c r="BX33" s="117">
        <x:f>IF(BX$3&lt;$B$7,MAX(0,BX20+BX24-BX27),0)</x:f>
      </x:c>
      <x:c r="BY33" s="117">
        <x:f>IF(BY$3&lt;$B$7,MAX(0,BY20+BY24-BY27),0)</x:f>
      </x:c>
      <x:c r="BZ33" s="117">
        <x:f>IF(BZ$3&lt;$B$7,MAX(0,BZ20+BZ24-BZ27),0)</x:f>
      </x:c>
      <x:c r="CA33" s="117">
        <x:f>IF(CA$3&lt;$B$7,MAX(0,CA20+CA24-CA27),0)</x:f>
      </x:c>
      <x:c r="CB33" s="117">
        <x:f>IF(CB$3&lt;$B$7,MAX(0,CB20+CB24-CB27),0)</x:f>
      </x:c>
      <x:c r="CC33" s="117">
        <x:f>IF(CC$3&lt;$B$7,MAX(0,CC20+CC24-CC27),0)</x:f>
      </x:c>
      <x:c r="CD33" s="117">
        <x:f>IF(CD$3&lt;$B$7,MAX(0,CD20+CD24-CD27),0)</x:f>
      </x:c>
      <x:c r="CE33" s="117">
        <x:f>IF(CE$3&lt;$B$7,MAX(0,CE20+CE24-CE27),0)</x:f>
      </x:c>
      <x:c r="CF33" s="117">
        <x:f>IF(CF$3&lt;$B$7,MAX(0,CF20+CF24-CF27),0)</x:f>
      </x:c>
      <x:c r="CG33" s="117">
        <x:f>IF(CG$3&lt;$B$7,MAX(0,CG20+CG24-CG27),0)</x:f>
      </x:c>
      <x:c r="CH33" s="117">
        <x:f>IF(CH$3&lt;$B$7,MAX(0,CH20+CH24-CH27),0)</x:f>
      </x:c>
      <x:c r="CI33" s="117">
        <x:f>IF(CI$3&lt;$B$7,MAX(0,CI20+CI24-CI27),0)</x:f>
      </x:c>
      <x:c r="CJ33" s="117">
        <x:f>IF(CJ$3&lt;$B$7,MAX(0,CJ20+CJ24-CJ27),0)</x:f>
      </x:c>
      <x:c r="CK33" s="117">
        <x:f>IF(CK$3&lt;$B$7,MAX(0,CK20+CK24-CK27),0)</x:f>
      </x:c>
      <x:c r="CL33" s="117">
        <x:f>IF(CL$3&lt;$B$7,MAX(0,CL20+CL24-CL27),0)</x:f>
      </x:c>
      <x:c r="CM33" s="117">
        <x:f>IF(CM$3&lt;$B$7,MAX(0,CM20+CM24-CM27),0)</x:f>
      </x:c>
      <x:c r="CN33" s="117">
        <x:f>IF(CN$3&lt;$B$7,MAX(0,CN20+CN24-CN27),0)</x:f>
      </x:c>
      <x:c r="CO33" s="117">
        <x:f>IF(CO$3&lt;$B$7,MAX(0,CO20+CO24-CO27),0)</x:f>
      </x:c>
      <x:c r="CP33" s="117">
        <x:f>IF(CP$3&lt;$B$7,MAX(0,CP20+CP24-CP27),0)</x:f>
      </x:c>
      <x:c r="CQ33" s="117">
        <x:f>IF(CQ$3&lt;$B$7,MAX(0,CQ20+CQ24-CQ27),0)</x:f>
      </x:c>
      <x:c r="CR33" s="117">
        <x:f>IF(CR$3&lt;$B$7,MAX(0,CR20+CR24-CR27),0)</x:f>
      </x:c>
      <x:c r="CS33" s="117">
        <x:f>IF(CS$3&lt;$B$7,MAX(0,CS20+CS24-CS27),0)</x:f>
      </x:c>
      <x:c r="CT33" s="117">
        <x:f>IF(CT$3&lt;$B$7,MAX(0,CT20+CT24-CT27),0)</x:f>
      </x:c>
      <x:c r="CU33" s="117">
        <x:f>IF(CU$3&lt;$B$7,MAX(0,CU20+CU24-CU27),0)</x:f>
      </x:c>
      <x:c r="CV33" s="117">
        <x:f>IF(CV$3&lt;$B$7,MAX(0,CV20+CV24-CV27),0)</x:f>
      </x:c>
      <x:c r="CW33" s="117">
        <x:f>IF(CW$3&lt;$B$7,MAX(0,CW20+CW24-CW27),0)</x:f>
      </x:c>
      <x:c r="CX33" s="117">
        <x:f>IF(CX$3&lt;$B$7,MAX(0,CX20+CX24-CX27),0)</x:f>
      </x:c>
      <x:c r="CY33" s="117">
        <x:f>IF(CY$3&lt;$B$7,MAX(0,CY20+CY24-CY27),0)</x:f>
      </x:c>
      <x:c r="CZ33" s="117">
        <x:f>IF(CZ$3&lt;$B$7,MAX(0,CZ20+CZ24-CZ27),0)</x:f>
      </x:c>
      <x:c r="DA33" s="117">
        <x:f>IF(DA$3&lt;$B$7,MAX(0,DA20+DA24-DA27),0)</x:f>
      </x:c>
      <x:c r="DB33" s="117">
        <x:f>IF(DB$3&lt;$B$7,MAX(0,DB20+DB24-DB27),0)</x:f>
      </x:c>
      <x:c r="DC33" s="117">
        <x:f>IF(DC$3&lt;$B$7,MAX(0,DC20+DC24-DC27),0)</x:f>
      </x:c>
      <x:c r="DD33" s="117">
        <x:f>IF(DD$3&lt;$B$7,MAX(0,DD20+DD24-DD27),0)</x:f>
      </x:c>
      <x:c r="DE33" s="117">
        <x:f>IF(DE$3&lt;$B$7,MAX(0,DE20+DE24-DE27),0)</x:f>
      </x:c>
      <x:c r="DF33" s="117">
        <x:f>IF(DF$3&lt;$B$7,MAX(0,DF20+DF24-DF27),0)</x:f>
      </x:c>
      <x:c r="DG33" s="117">
        <x:f>IF(DG$3&lt;$B$7,MAX(0,DG20+DG24-DG27),0)</x:f>
      </x:c>
      <x:c r="DH33" s="117">
        <x:f>IF(DH$3&lt;$B$7,MAX(0,DH20+DH24-DH27),0)</x:f>
      </x:c>
      <x:c r="DI33" s="117">
        <x:f>IF(DI$3&lt;$B$7,MAX(0,DI20+DI24-DI27),0)</x:f>
      </x:c>
      <x:c r="DJ33" s="117">
        <x:f>IF(DJ$3&lt;$B$7,MAX(0,DJ20+DJ24-DJ27),0)</x:f>
      </x:c>
      <x:c r="DK33" s="117">
        <x:f>IF(DK$3&lt;$B$7,MAX(0,DK20+DK24-DK27),0)</x:f>
      </x:c>
      <x:c r="DL33" s="117">
        <x:f>IF(DL$3&lt;$B$7,MAX(0,DL20+DL24-DL27),0)</x:f>
      </x:c>
      <x:c r="DM33" s="117">
        <x:f>IF(DM$3&lt;$B$7,MAX(0,DM20+DM24-DM27),0)</x:f>
      </x:c>
      <x:c r="DN33" s="117">
        <x:f>IF(DN$3&lt;$B$7,MAX(0,DN20+DN24-DN27),0)</x:f>
      </x:c>
      <x:c r="DO33" s="117">
        <x:f>IF(DO$3&lt;$B$7,MAX(0,DO20+DO24-DO27),0)</x:f>
      </x:c>
      <x:c r="DP33" s="117">
        <x:f>IF(DP$3&lt;$B$7,MAX(0,DP20+DP24-DP27),0)</x:f>
      </x:c>
      <x:c r="DQ33" s="117">
        <x:f>IF(DQ$3&lt;$B$7,MAX(0,DQ20+DQ24-DQ27),0)</x:f>
      </x:c>
      <x:c r="DR33" s="117">
        <x:f>IF(DR$3&lt;$B$7,MAX(0,DR20+DR24-DR27),0)</x:f>
      </x:c>
      <x:c r="DS33" s="117">
        <x:f>IF(DS$3&lt;$B$7,MAX(0,DS20+DS24-DS27),0)</x:f>
      </x:c>
      <x:c r="DT33" s="117">
        <x:f>IF(DT$3&lt;$B$7,MAX(0,DT20+DT24-DT27),0)</x:f>
      </x:c>
      <x:c r="DU33" s="117">
        <x:f>IF(DU$3&lt;$B$7,MAX(0,DU20+DU24-DU27),0)</x:f>
      </x:c>
      <x:c r="DV33" s="117">
        <x:f>IF(DV$3&lt;$B$7,MAX(0,DV20+DV24-DV27),0)</x:f>
      </x:c>
      <x:c r="DW33" s="117">
        <x:f>IF(DW$3&lt;$B$7,MAX(0,DW20+DW24-DW27),0)</x:f>
      </x:c>
      <x:c r="DX33" s="117">
        <x:f>IF(DX$3&lt;$B$7,MAX(0,DX20+DX24-DX27),0)</x:f>
      </x:c>
      <x:c r="DY33" s="117">
        <x:f>IF(DY$3&lt;$B$7,MAX(0,DY20+DY24-DY27),0)</x:f>
      </x:c>
      <x:c r="DZ33" s="117">
        <x:f>IF(DZ$3&lt;$B$7,MAX(0,DZ20+DZ24-DZ27),0)</x:f>
      </x:c>
      <x:c r="EA33" s="117">
        <x:f>IF(EA$3&lt;$B$7,MAX(0,EA20+EA24-EA27),0)</x:f>
      </x:c>
      <x:c r="EB33" s="117">
        <x:f>IF(EB$3&lt;$B$7,MAX(0,EB20+EB24-EB27),0)</x:f>
      </x:c>
      <x:c r="EC33" s="117">
        <x:f>IF(EC$3&lt;$B$7,MAX(0,EC20+EC24-EC27),0)</x:f>
      </x:c>
      <x:c r="ED33" s="117">
        <x:f>IF(ED$3&lt;$B$7,MAX(0,ED20+ED24-ED27),0)</x:f>
      </x:c>
      <x:c r="EE33" s="117">
        <x:f>IF(EE$3&lt;$B$7,MAX(0,EE20+EE24-EE27),0)</x:f>
      </x:c>
      <x:c r="EF33" s="117">
        <x:f>IF(EF$3&lt;$B$7,MAX(0,EF20+EF24-EF27),0)</x:f>
      </x:c>
      <x:c r="EG33" s="117">
        <x:f>IF(EG$3&lt;$B$7,MAX(0,EG20+EG24-EG27),0)</x:f>
      </x:c>
      <x:c r="EH33" s="117">
        <x:f>IF(EH$3&lt;$B$7,MAX(0,EH20+EH24-EH27),0)</x:f>
      </x:c>
      <x:c r="EI33" s="117">
        <x:f>IF(EI$3&lt;$B$7,MAX(0,EI20+EI24-EI27),0)</x:f>
      </x:c>
      <x:c r="EJ33" s="117">
        <x:f>IF(EJ$3&lt;$B$7,MAX(0,EJ20+EJ24-EJ27),0)</x:f>
      </x:c>
      <x:c r="EK33" s="117">
        <x:f>IF(EK$3&lt;$B$7,MAX(0,EK20+EK24-EK27),0)</x:f>
      </x:c>
      <x:c r="EL33" s="117">
        <x:f>IF(EL$3&lt;$B$7,MAX(0,EL20+EL24-EL27),0)</x:f>
      </x:c>
      <x:c r="EM33" s="117">
        <x:f>IF(EM$3&lt;$B$7,MAX(0,EM20+EM24-EM27),0)</x:f>
      </x:c>
      <x:c r="EN33" s="117">
        <x:f>IF(EN$3&lt;$B$7,MAX(0,EN20+EN24-EN27),0)</x:f>
      </x:c>
      <x:c r="EO33" s="117">
        <x:f>IF(EO$3&lt;$B$7,MAX(0,EO20+EO24-EO27),0)</x:f>
      </x:c>
      <x:c r="EP33" s="117">
        <x:f>IF(EP$3&lt;$B$7,MAX(0,EP20+EP24-EP27),0)</x:f>
      </x:c>
      <x:c r="EQ33" s="117">
        <x:f>IF(EQ$3&lt;$B$7,MAX(0,EQ20+EQ24-EQ27),0)</x:f>
      </x:c>
      <x:c r="ER33" s="117">
        <x:f>IF(ER$3&lt;$B$7,MAX(0,ER20+ER24-ER27),0)</x:f>
      </x:c>
      <x:c r="ES33" s="117">
        <x:f>IF(ES$3&lt;$B$7,MAX(0,ES20+ES24-ES27),0)</x:f>
      </x:c>
      <x:c r="ET33" s="117">
        <x:f>IF(ET$3&lt;$B$7,MAX(0,ET20+ET24-ET27),0)</x:f>
      </x:c>
      <x:c r="EU33" s="117">
        <x:f>IF(EU$3&lt;$B$7,MAX(0,EU20+EU24-EU27),0)</x:f>
      </x:c>
      <x:c r="EV33" s="117">
        <x:f>IF(EV$3&lt;$B$7,MAX(0,EV20+EV24-EV27),0)</x:f>
      </x:c>
      <x:c r="EW33" s="117">
        <x:f>IF(EW$3&lt;$B$7,MAX(0,EW20+EW24-EW27),0)</x:f>
      </x:c>
      <x:c r="EX33" s="117">
        <x:f>IF(EX$3&lt;$B$7,MAX(0,EX20+EX24-EX27),0)</x:f>
      </x:c>
      <x:c r="EY33" s="117">
        <x:f>IF(EY$3&lt;$B$7,MAX(0,EY20+EY24-EY27),0)</x:f>
      </x:c>
      <x:c r="EZ33" s="117">
        <x:f>IF(EZ$3&lt;$B$7,MAX(0,EZ20+EZ24-EZ27),0)</x:f>
      </x:c>
      <x:c r="FA33" s="117">
        <x:f>IF(FA$3&lt;$B$7,MAX(0,FA20+FA24-FA27),0)</x:f>
      </x:c>
      <x:c r="FB33" s="117">
        <x:f>IF(FB$3&lt;$B$7,MAX(0,FB20+FB24-FB27),0)</x:f>
      </x:c>
      <x:c r="FC33" s="117">
        <x:f>IF(FC$3&lt;$B$7,MAX(0,FC20+FC24-FC27),0)</x:f>
      </x:c>
      <x:c r="FD33" s="117">
        <x:f>IF(FD$3&lt;$B$7,MAX(0,FD20+FD24-FD27),0)</x:f>
      </x:c>
      <x:c r="FE33" s="117">
        <x:f>IF(FE$3&lt;$B$7,MAX(0,FE20+FE24-FE27),0)</x:f>
      </x:c>
      <x:c r="FF33" s="117">
        <x:f>IF(FF$3&lt;$B$7,MAX(0,FF20+FF24-FF27),0)</x:f>
      </x:c>
      <x:c r="FG33" s="117">
        <x:f>IF(FG$3&lt;$B$7,MAX(0,FG20+FG24-FG27),0)</x:f>
      </x:c>
      <x:c r="FH33" s="117">
        <x:f>IF(FH$3&lt;$B$7,MAX(0,FH20+FH24-FH27),0)</x:f>
      </x:c>
      <x:c r="FI33" s="117">
        <x:f>IF(FI$3&lt;$B$7,MAX(0,FI20+FI24-FI27),0)</x:f>
      </x:c>
      <x:c r="FJ33" s="117">
        <x:f>IF(FJ$3&lt;$B$7,MAX(0,FJ20+FJ24-FJ27),0)</x:f>
      </x:c>
      <x:c r="FK33" s="117">
        <x:f>IF(FK$3&lt;$B$7,MAX(0,FK20+FK24-FK27),0)</x:f>
      </x:c>
      <x:c r="FL33" s="117">
        <x:f>IF(FL$3&lt;$B$7,MAX(0,FL20+FL24-FL27),0)</x:f>
      </x:c>
      <x:c r="FM33" s="117">
        <x:f>IF(FM$3&lt;$B$7,MAX(0,FM20+FM24-FM27),0)</x:f>
      </x:c>
      <x:c r="FN33" s="117">
        <x:f>IF(FN$3&lt;$B$7,MAX(0,FN20+FN24-FN27),0)</x:f>
      </x:c>
      <x:c r="FO33" s="117">
        <x:f>IF(FO$3&lt;$B$7,MAX(0,FO20+FO24-FO27),0)</x:f>
      </x:c>
      <x:c r="FP33" s="117">
        <x:f>IF(FP$3&lt;$B$7,MAX(0,FP20+FP24-FP27),0)</x:f>
      </x:c>
      <x:c r="FQ33" s="117">
        <x:f>IF(FQ$3&lt;$B$7,MAX(0,FQ20+FQ24-FQ27),0)</x:f>
      </x:c>
      <x:c r="FR33" s="117">
        <x:f>IF(FR$3&lt;$B$7,MAX(0,FR20+FR24-FR27),0)</x:f>
      </x:c>
      <x:c r="FS33" s="117">
        <x:f>IF(FS$3&lt;$B$7,MAX(0,FS20+FS24-FS27),0)</x:f>
      </x:c>
      <x:c r="FT33" s="117">
        <x:f>IF(FT$3&lt;$B$7,MAX(0,FT20+FT24-FT27),0)</x:f>
      </x:c>
      <x:c r="FU33" s="117">
        <x:f>IF(FU$3&lt;$B$7,MAX(0,FU20+FU24-FU27),0)</x:f>
      </x:c>
      <x:c r="FV33" s="117">
        <x:f>IF(FV$3&lt;$B$7,MAX(0,FV20+FV24-FV27),0)</x:f>
      </x:c>
      <x:c r="FW33" s="117">
        <x:f>IF(FW$3&lt;$B$7,MAX(0,FW20+FW24-FW27),0)</x:f>
      </x:c>
      <x:c r="FX33" s="117">
        <x:f>IF(FX$3&lt;$B$7,MAX(0,FX20+FX24-FX27),0)</x:f>
      </x:c>
      <x:c r="FY33" s="117">
        <x:f>IF(FY$3&lt;$B$7,MAX(0,FY20+FY24-FY27),0)</x:f>
      </x:c>
      <x:c r="FZ33" s="117">
        <x:f>IF(FZ$3&lt;$B$7,MAX(0,FZ20+FZ24-FZ27),0)</x:f>
      </x:c>
      <x:c r="GA33" s="117">
        <x:f>IF(GA$3&lt;$B$7,MAX(0,GA20+GA24-GA27),0)</x:f>
      </x:c>
    </x:row>
    <x:row r="34">
      <x:c r="A34" t="str">
        <x:v>БРИДЖ — выборка</x:v>
      </x:c>
      <x:c r="B34" t="n">
        <x:f>SUM(D34:GA34)</x:f>
      </x:c>
      <x:c r="C34" t="str">
        <x:v>млн ₽</x:v>
      </x:c>
      <x:c r="D34" s="117">
        <x:f>MAX(0,D33-D56)</x:f>
      </x:c>
      <x:c r="E34" s="117">
        <x:f>MAX(0,E33-E56)</x:f>
      </x:c>
      <x:c r="F34" s="117">
        <x:f>MAX(0,F33-F56)</x:f>
      </x:c>
      <x:c r="G34" s="117">
        <x:f>MAX(0,G33-G56)</x:f>
      </x:c>
      <x:c r="H34" s="117">
        <x:f>MAX(0,H33-H56)</x:f>
      </x:c>
      <x:c r="I34" s="117">
        <x:f>MAX(0,I33-I56)</x:f>
      </x:c>
      <x:c r="J34" s="117">
        <x:f>MAX(0,J33-J56)</x:f>
      </x:c>
      <x:c r="K34" s="117">
        <x:f>MAX(0,K33-K56)</x:f>
      </x:c>
      <x:c r="L34" s="117">
        <x:f>MAX(0,L33-L56)</x:f>
      </x:c>
      <x:c r="M34" s="117">
        <x:f>MAX(0,M33-M56)</x:f>
      </x:c>
      <x:c r="N34" s="117">
        <x:f>MAX(0,N33-N56)</x:f>
      </x:c>
      <x:c r="O34" s="117">
        <x:f>MAX(0,O33-O56)</x:f>
      </x:c>
      <x:c r="P34" s="117">
        <x:f>MAX(0,P33-P56)</x:f>
      </x:c>
      <x:c r="Q34" s="117">
        <x:f>MAX(0,Q33-Q56)</x:f>
      </x:c>
      <x:c r="R34" s="117">
        <x:f>MAX(0,R33-R56)</x:f>
      </x:c>
      <x:c r="S34" s="117">
        <x:f>MAX(0,S33-S56)</x:f>
      </x:c>
      <x:c r="T34" s="117">
        <x:f>MAX(0,T33-T56)</x:f>
      </x:c>
      <x:c r="U34" s="117">
        <x:f>MAX(0,U33-U56)</x:f>
      </x:c>
      <x:c r="V34" s="117">
        <x:f>MAX(0,V33-V56)</x:f>
      </x:c>
      <x:c r="W34" s="117">
        <x:f>MAX(0,W33-W56)</x:f>
      </x:c>
      <x:c r="X34" s="117">
        <x:f>MAX(0,X33-X56)</x:f>
      </x:c>
      <x:c r="Y34" s="117">
        <x:f>MAX(0,Y33-Y56)</x:f>
      </x:c>
      <x:c r="Z34" s="117">
        <x:f>MAX(0,Z33-Z56)</x:f>
      </x:c>
      <x:c r="AA34" s="117">
        <x:f>MAX(0,AA33-AA56)</x:f>
      </x:c>
      <x:c r="AB34" s="117">
        <x:f>MAX(0,AB33-AB56)</x:f>
      </x:c>
      <x:c r="AC34" s="117">
        <x:f>MAX(0,AC33-AC56)</x:f>
      </x:c>
      <x:c r="AD34" s="117">
        <x:f>MAX(0,AD33-AD56)</x:f>
      </x:c>
      <x:c r="AE34" s="117">
        <x:f>MAX(0,AE33-AE56)</x:f>
      </x:c>
      <x:c r="AF34" s="117">
        <x:f>MAX(0,AF33-AF56)</x:f>
      </x:c>
      <x:c r="AG34" s="117">
        <x:f>MAX(0,AG33-AG56)</x:f>
      </x:c>
      <x:c r="AH34" s="117">
        <x:f>MAX(0,AH33-AH56)</x:f>
      </x:c>
      <x:c r="AI34" s="117">
        <x:f>MAX(0,AI33-AI56)</x:f>
      </x:c>
      <x:c r="AJ34" s="117">
        <x:f>MAX(0,AJ33-AJ56)</x:f>
      </x:c>
      <x:c r="AK34" s="117">
        <x:f>MAX(0,AK33-AK56)</x:f>
      </x:c>
      <x:c r="AL34" s="117">
        <x:f>MAX(0,AL33-AL56)</x:f>
      </x:c>
      <x:c r="AM34" s="117">
        <x:f>MAX(0,AM33-AM56)</x:f>
      </x:c>
      <x:c r="AN34" s="117">
        <x:f>MAX(0,AN33-AN56)</x:f>
      </x:c>
      <x:c r="AO34" s="117">
        <x:f>MAX(0,AO33-AO56)</x:f>
      </x:c>
      <x:c r="AP34" s="117">
        <x:f>MAX(0,AP33-AP56)</x:f>
      </x:c>
      <x:c r="AQ34" s="117">
        <x:f>MAX(0,AQ33-AQ56)</x:f>
      </x:c>
      <x:c r="AR34" s="117">
        <x:f>MAX(0,AR33-AR56)</x:f>
      </x:c>
      <x:c r="AS34" s="117">
        <x:f>MAX(0,AS33-AS56)</x:f>
      </x:c>
      <x:c r="AT34" s="117">
        <x:f>MAX(0,AT33-AT56)</x:f>
      </x:c>
      <x:c r="AU34" s="117">
        <x:f>MAX(0,AU33-AU56)</x:f>
      </x:c>
      <x:c r="AV34" s="117">
        <x:f>MAX(0,AV33-AV56)</x:f>
      </x:c>
      <x:c r="AW34" s="117">
        <x:f>MAX(0,AW33-AW56)</x:f>
      </x:c>
      <x:c r="AX34" s="117">
        <x:f>MAX(0,AX33-AX56)</x:f>
      </x:c>
      <x:c r="AY34" s="117">
        <x:f>MAX(0,AY33-AY56)</x:f>
      </x:c>
      <x:c r="AZ34" s="117">
        <x:f>MAX(0,AZ33-AZ56)</x:f>
      </x:c>
      <x:c r="BA34" s="117">
        <x:f>MAX(0,BA33-BA56)</x:f>
      </x:c>
      <x:c r="BB34" s="117">
        <x:f>MAX(0,BB33-BB56)</x:f>
      </x:c>
      <x:c r="BC34" s="117">
        <x:f>MAX(0,BC33-BC56)</x:f>
      </x:c>
      <x:c r="BD34" s="117">
        <x:f>MAX(0,BD33-BD56)</x:f>
      </x:c>
      <x:c r="BE34" s="117">
        <x:f>MAX(0,BE33-BE56)</x:f>
      </x:c>
      <x:c r="BF34" s="117">
        <x:f>MAX(0,BF33-BF56)</x:f>
      </x:c>
      <x:c r="BG34" s="117">
        <x:f>MAX(0,BG33-BG56)</x:f>
      </x:c>
      <x:c r="BH34" s="117">
        <x:f>MAX(0,BH33-BH56)</x:f>
      </x:c>
      <x:c r="BI34" s="117">
        <x:f>MAX(0,BI33-BI56)</x:f>
      </x:c>
      <x:c r="BJ34" s="117">
        <x:f>MAX(0,BJ33-BJ56)</x:f>
      </x:c>
      <x:c r="BK34" s="117">
        <x:f>MAX(0,BK33-BK56)</x:f>
      </x:c>
      <x:c r="BL34" s="117">
        <x:f>MAX(0,BL33-BL56)</x:f>
      </x:c>
      <x:c r="BM34" s="117">
        <x:f>MAX(0,BM33-BM56)</x:f>
      </x:c>
      <x:c r="BN34" s="117">
        <x:f>MAX(0,BN33-BN56)</x:f>
      </x:c>
      <x:c r="BO34" s="117">
        <x:f>MAX(0,BO33-BO56)</x:f>
      </x:c>
      <x:c r="BP34" s="117">
        <x:f>MAX(0,BP33-BP56)</x:f>
      </x:c>
      <x:c r="BQ34" s="117">
        <x:f>MAX(0,BQ33-BQ56)</x:f>
      </x:c>
      <x:c r="BR34" s="117">
        <x:f>MAX(0,BR33-BR56)</x:f>
      </x:c>
      <x:c r="BS34" s="117">
        <x:f>MAX(0,BS33-BS56)</x:f>
      </x:c>
      <x:c r="BT34" s="117">
        <x:f>MAX(0,BT33-BT56)</x:f>
      </x:c>
      <x:c r="BU34" s="117">
        <x:f>MAX(0,BU33-BU56)</x:f>
      </x:c>
      <x:c r="BV34" s="117">
        <x:f>MAX(0,BV33-BV56)</x:f>
      </x:c>
      <x:c r="BW34" s="117">
        <x:f>MAX(0,BW33-BW56)</x:f>
      </x:c>
      <x:c r="BX34" s="117">
        <x:f>MAX(0,BX33-BX56)</x:f>
      </x:c>
      <x:c r="BY34" s="117">
        <x:f>MAX(0,BY33-BY56)</x:f>
      </x:c>
      <x:c r="BZ34" s="117">
        <x:f>MAX(0,BZ33-BZ56)</x:f>
      </x:c>
      <x:c r="CA34" s="117">
        <x:f>MAX(0,CA33-CA56)</x:f>
      </x:c>
      <x:c r="CB34" s="117">
        <x:f>MAX(0,CB33-CB56)</x:f>
      </x:c>
      <x:c r="CC34" s="117">
        <x:f>MAX(0,CC33-CC56)</x:f>
      </x:c>
      <x:c r="CD34" s="117">
        <x:f>MAX(0,CD33-CD56)</x:f>
      </x:c>
      <x:c r="CE34" s="117">
        <x:f>MAX(0,CE33-CE56)</x:f>
      </x:c>
      <x:c r="CF34" s="117">
        <x:f>MAX(0,CF33-CF56)</x:f>
      </x:c>
      <x:c r="CG34" s="117">
        <x:f>MAX(0,CG33-CG56)</x:f>
      </x:c>
      <x:c r="CH34" s="117">
        <x:f>MAX(0,CH33-CH56)</x:f>
      </x:c>
      <x:c r="CI34" s="117">
        <x:f>MAX(0,CI33-CI56)</x:f>
      </x:c>
      <x:c r="CJ34" s="117">
        <x:f>MAX(0,CJ33-CJ56)</x:f>
      </x:c>
      <x:c r="CK34" s="117">
        <x:f>MAX(0,CK33-CK56)</x:f>
      </x:c>
      <x:c r="CL34" s="117">
        <x:f>MAX(0,CL33-CL56)</x:f>
      </x:c>
      <x:c r="CM34" s="117">
        <x:f>MAX(0,CM33-CM56)</x:f>
      </x:c>
      <x:c r="CN34" s="117">
        <x:f>MAX(0,CN33-CN56)</x:f>
      </x:c>
      <x:c r="CO34" s="117">
        <x:f>MAX(0,CO33-CO56)</x:f>
      </x:c>
      <x:c r="CP34" s="117">
        <x:f>MAX(0,CP33-CP56)</x:f>
      </x:c>
      <x:c r="CQ34" s="117">
        <x:f>MAX(0,CQ33-CQ56)</x:f>
      </x:c>
      <x:c r="CR34" s="117">
        <x:f>MAX(0,CR33-CR56)</x:f>
      </x:c>
      <x:c r="CS34" s="117">
        <x:f>MAX(0,CS33-CS56)</x:f>
      </x:c>
      <x:c r="CT34" s="117">
        <x:f>MAX(0,CT33-CT56)</x:f>
      </x:c>
      <x:c r="CU34" s="117">
        <x:f>MAX(0,CU33-CU56)</x:f>
      </x:c>
      <x:c r="CV34" s="117">
        <x:f>MAX(0,CV33-CV56)</x:f>
      </x:c>
      <x:c r="CW34" s="117">
        <x:f>MAX(0,CW33-CW56)</x:f>
      </x:c>
      <x:c r="CX34" s="117">
        <x:f>MAX(0,CX33-CX56)</x:f>
      </x:c>
      <x:c r="CY34" s="117">
        <x:f>MAX(0,CY33-CY56)</x:f>
      </x:c>
      <x:c r="CZ34" s="117">
        <x:f>MAX(0,CZ33-CZ56)</x:f>
      </x:c>
      <x:c r="DA34" s="117">
        <x:f>MAX(0,DA33-DA56)</x:f>
      </x:c>
      <x:c r="DB34" s="117">
        <x:f>MAX(0,DB33-DB56)</x:f>
      </x:c>
      <x:c r="DC34" s="117">
        <x:f>MAX(0,DC33-DC56)</x:f>
      </x:c>
      <x:c r="DD34" s="117">
        <x:f>MAX(0,DD33-DD56)</x:f>
      </x:c>
      <x:c r="DE34" s="117">
        <x:f>MAX(0,DE33-DE56)</x:f>
      </x:c>
      <x:c r="DF34" s="117">
        <x:f>MAX(0,DF33-DF56)</x:f>
      </x:c>
      <x:c r="DG34" s="117">
        <x:f>MAX(0,DG33-DG56)</x:f>
      </x:c>
      <x:c r="DH34" s="117">
        <x:f>MAX(0,DH33-DH56)</x:f>
      </x:c>
      <x:c r="DI34" s="117">
        <x:f>MAX(0,DI33-DI56)</x:f>
      </x:c>
      <x:c r="DJ34" s="117">
        <x:f>MAX(0,DJ33-DJ56)</x:f>
      </x:c>
      <x:c r="DK34" s="117">
        <x:f>MAX(0,DK33-DK56)</x:f>
      </x:c>
      <x:c r="DL34" s="117">
        <x:f>MAX(0,DL33-DL56)</x:f>
      </x:c>
      <x:c r="DM34" s="117">
        <x:f>MAX(0,DM33-DM56)</x:f>
      </x:c>
      <x:c r="DN34" s="117">
        <x:f>MAX(0,DN33-DN56)</x:f>
      </x:c>
      <x:c r="DO34" s="117">
        <x:f>MAX(0,DO33-DO56)</x:f>
      </x:c>
      <x:c r="DP34" s="117">
        <x:f>MAX(0,DP33-DP56)</x:f>
      </x:c>
      <x:c r="DQ34" s="117">
        <x:f>MAX(0,DQ33-DQ56)</x:f>
      </x:c>
      <x:c r="DR34" s="117">
        <x:f>MAX(0,DR33-DR56)</x:f>
      </x:c>
      <x:c r="DS34" s="117">
        <x:f>MAX(0,DS33-DS56)</x:f>
      </x:c>
      <x:c r="DT34" s="117">
        <x:f>MAX(0,DT33-DT56)</x:f>
      </x:c>
      <x:c r="DU34" s="117">
        <x:f>MAX(0,DU33-DU56)</x:f>
      </x:c>
      <x:c r="DV34" s="117">
        <x:f>MAX(0,DV33-DV56)</x:f>
      </x:c>
      <x:c r="DW34" s="117">
        <x:f>MAX(0,DW33-DW56)</x:f>
      </x:c>
      <x:c r="DX34" s="117">
        <x:f>MAX(0,DX33-DX56)</x:f>
      </x:c>
      <x:c r="DY34" s="117">
        <x:f>MAX(0,DY33-DY56)</x:f>
      </x:c>
      <x:c r="DZ34" s="117">
        <x:f>MAX(0,DZ33-DZ56)</x:f>
      </x:c>
      <x:c r="EA34" s="117">
        <x:f>MAX(0,EA33-EA56)</x:f>
      </x:c>
      <x:c r="EB34" s="117">
        <x:f>MAX(0,EB33-EB56)</x:f>
      </x:c>
      <x:c r="EC34" s="117">
        <x:f>MAX(0,EC33-EC56)</x:f>
      </x:c>
      <x:c r="ED34" s="117">
        <x:f>MAX(0,ED33-ED56)</x:f>
      </x:c>
      <x:c r="EE34" s="117">
        <x:f>MAX(0,EE33-EE56)</x:f>
      </x:c>
      <x:c r="EF34" s="117">
        <x:f>MAX(0,EF33-EF56)</x:f>
      </x:c>
      <x:c r="EG34" s="117">
        <x:f>MAX(0,EG33-EG56)</x:f>
      </x:c>
      <x:c r="EH34" s="117">
        <x:f>MAX(0,EH33-EH56)</x:f>
      </x:c>
      <x:c r="EI34" s="117">
        <x:f>MAX(0,EI33-EI56)</x:f>
      </x:c>
      <x:c r="EJ34" s="117">
        <x:f>MAX(0,EJ33-EJ56)</x:f>
      </x:c>
      <x:c r="EK34" s="117">
        <x:f>MAX(0,EK33-EK56)</x:f>
      </x:c>
      <x:c r="EL34" s="117">
        <x:f>MAX(0,EL33-EL56)</x:f>
      </x:c>
      <x:c r="EM34" s="117">
        <x:f>MAX(0,EM33-EM56)</x:f>
      </x:c>
      <x:c r="EN34" s="117">
        <x:f>MAX(0,EN33-EN56)</x:f>
      </x:c>
      <x:c r="EO34" s="117">
        <x:f>MAX(0,EO33-EO56)</x:f>
      </x:c>
      <x:c r="EP34" s="117">
        <x:f>MAX(0,EP33-EP56)</x:f>
      </x:c>
      <x:c r="EQ34" s="117">
        <x:f>MAX(0,EQ33-EQ56)</x:f>
      </x:c>
      <x:c r="ER34" s="117">
        <x:f>MAX(0,ER33-ER56)</x:f>
      </x:c>
      <x:c r="ES34" s="117">
        <x:f>MAX(0,ES33-ES56)</x:f>
      </x:c>
      <x:c r="ET34" s="117">
        <x:f>MAX(0,ET33-ET56)</x:f>
      </x:c>
      <x:c r="EU34" s="117">
        <x:f>MAX(0,EU33-EU56)</x:f>
      </x:c>
      <x:c r="EV34" s="117">
        <x:f>MAX(0,EV33-EV56)</x:f>
      </x:c>
      <x:c r="EW34" s="117">
        <x:f>MAX(0,EW33-EW56)</x:f>
      </x:c>
      <x:c r="EX34" s="117">
        <x:f>MAX(0,EX33-EX56)</x:f>
      </x:c>
      <x:c r="EY34" s="117">
        <x:f>MAX(0,EY33-EY56)</x:f>
      </x:c>
      <x:c r="EZ34" s="117">
        <x:f>MAX(0,EZ33-EZ56)</x:f>
      </x:c>
      <x:c r="FA34" s="117">
        <x:f>MAX(0,FA33-FA56)</x:f>
      </x:c>
      <x:c r="FB34" s="117">
        <x:f>MAX(0,FB33-FB56)</x:f>
      </x:c>
      <x:c r="FC34" s="117">
        <x:f>MAX(0,FC33-FC56)</x:f>
      </x:c>
      <x:c r="FD34" s="117">
        <x:f>MAX(0,FD33-FD56)</x:f>
      </x:c>
      <x:c r="FE34" s="117">
        <x:f>MAX(0,FE33-FE56)</x:f>
      </x:c>
      <x:c r="FF34" s="117">
        <x:f>MAX(0,FF33-FF56)</x:f>
      </x:c>
      <x:c r="FG34" s="117">
        <x:f>MAX(0,FG33-FG56)</x:f>
      </x:c>
      <x:c r="FH34" s="117">
        <x:f>MAX(0,FH33-FH56)</x:f>
      </x:c>
      <x:c r="FI34" s="117">
        <x:f>MAX(0,FI33-FI56)</x:f>
      </x:c>
      <x:c r="FJ34" s="117">
        <x:f>MAX(0,FJ33-FJ56)</x:f>
      </x:c>
      <x:c r="FK34" s="117">
        <x:f>MAX(0,FK33-FK56)</x:f>
      </x:c>
      <x:c r="FL34" s="117">
        <x:f>MAX(0,FL33-FL56)</x:f>
      </x:c>
      <x:c r="FM34" s="117">
        <x:f>MAX(0,FM33-FM56)</x:f>
      </x:c>
      <x:c r="FN34" s="117">
        <x:f>MAX(0,FN33-FN56)</x:f>
      </x:c>
      <x:c r="FO34" s="117">
        <x:f>MAX(0,FO33-FO56)</x:f>
      </x:c>
      <x:c r="FP34" s="117">
        <x:f>MAX(0,FP33-FP56)</x:f>
      </x:c>
      <x:c r="FQ34" s="117">
        <x:f>MAX(0,FQ33-FQ56)</x:f>
      </x:c>
      <x:c r="FR34" s="117">
        <x:f>MAX(0,FR33-FR56)</x:f>
      </x:c>
      <x:c r="FS34" s="117">
        <x:f>MAX(0,FS33-FS56)</x:f>
      </x:c>
      <x:c r="FT34" s="117">
        <x:f>MAX(0,FT33-FT56)</x:f>
      </x:c>
      <x:c r="FU34" s="117">
        <x:f>MAX(0,FU33-FU56)</x:f>
      </x:c>
      <x:c r="FV34" s="117">
        <x:f>MAX(0,FV33-FV56)</x:f>
      </x:c>
      <x:c r="FW34" s="117">
        <x:f>MAX(0,FW33-FW56)</x:f>
      </x:c>
      <x:c r="FX34" s="117">
        <x:f>MAX(0,FX33-FX56)</x:f>
      </x:c>
      <x:c r="FY34" s="117">
        <x:f>MAX(0,FY33-FY56)</x:f>
      </x:c>
      <x:c r="FZ34" s="117">
        <x:f>MAX(0,FZ33-FZ56)</x:f>
      </x:c>
      <x:c r="GA34" s="117">
        <x:f>MAX(0,GA33-GA56)</x:f>
      </x:c>
    </x:row>
    <x:row r="35">
      <x:c r="A35" t="str">
        <x:v>БРИДЖ — погашение</x:v>
      </x:c>
      <x:c r="B35" t="n">
        <x:f>SUM(D35:GA35)</x:f>
      </x:c>
      <x:c r="C35" t="str">
        <x:v>млн ₽</x:v>
      </x:c>
      <x:c r="D35" s="117">
        <x:f>IF(AND(YEAR(D$3)=YEAR($B$7),MONTH(D$3)=MONTH($B$7)),D30,0)</x:f>
      </x:c>
      <x:c r="E35" s="117">
        <x:f>IF(AND(YEAR(E$3)=YEAR($B$7),MONTH(E$3)=MONTH($B$7)),E30,0)</x:f>
      </x:c>
      <x:c r="F35" s="117">
        <x:f>IF(AND(YEAR(F$3)=YEAR($B$7),MONTH(F$3)=MONTH($B$7)),F30,0)</x:f>
      </x:c>
      <x:c r="G35" s="117">
        <x:f>IF(AND(YEAR(G$3)=YEAR($B$7),MONTH(G$3)=MONTH($B$7)),G30,0)</x:f>
      </x:c>
      <x:c r="H35" s="117">
        <x:f>IF(AND(YEAR(H$3)=YEAR($B$7),MONTH(H$3)=MONTH($B$7)),H30,0)</x:f>
      </x:c>
      <x:c r="I35" s="117">
        <x:f>IF(AND(YEAR(I$3)=YEAR($B$7),MONTH(I$3)=MONTH($B$7)),I30,0)</x:f>
      </x:c>
      <x:c r="J35" s="117">
        <x:f>IF(AND(YEAR(J$3)=YEAR($B$7),MONTH(J$3)=MONTH($B$7)),J30,0)</x:f>
      </x:c>
      <x:c r="K35" s="117">
        <x:f>IF(AND(YEAR(K$3)=YEAR($B$7),MONTH(K$3)=MONTH($B$7)),K30,0)</x:f>
      </x:c>
      <x:c r="L35" s="117">
        <x:f>IF(AND(YEAR(L$3)=YEAR($B$7),MONTH(L$3)=MONTH($B$7)),L30,0)</x:f>
      </x:c>
      <x:c r="M35" s="117">
        <x:f>IF(AND(YEAR(M$3)=YEAR($B$7),MONTH(M$3)=MONTH($B$7)),M30,0)</x:f>
      </x:c>
      <x:c r="N35" s="117">
        <x:f>IF(AND(YEAR(N$3)=YEAR($B$7),MONTH(N$3)=MONTH($B$7)),N30,0)</x:f>
      </x:c>
      <x:c r="O35" s="117">
        <x:f>IF(AND(YEAR(O$3)=YEAR($B$7),MONTH(O$3)=MONTH($B$7)),O30,0)</x:f>
      </x:c>
      <x:c r="P35" s="117">
        <x:f>IF(AND(YEAR(P$3)=YEAR($B$7),MONTH(P$3)=MONTH($B$7)),P30,0)</x:f>
      </x:c>
      <x:c r="Q35" s="117">
        <x:f>IF(AND(YEAR(Q$3)=YEAR($B$7),MONTH(Q$3)=MONTH($B$7)),Q30,0)</x:f>
      </x:c>
      <x:c r="R35" s="117">
        <x:f>IF(AND(YEAR(R$3)=YEAR($B$7),MONTH(R$3)=MONTH($B$7)),R30,0)</x:f>
      </x:c>
      <x:c r="S35" s="117">
        <x:f>IF(AND(YEAR(S$3)=YEAR($B$7),MONTH(S$3)=MONTH($B$7)),S30,0)</x:f>
      </x:c>
      <x:c r="T35" s="117">
        <x:f>IF(AND(YEAR(T$3)=YEAR($B$7),MONTH(T$3)=MONTH($B$7)),T30,0)</x:f>
      </x:c>
      <x:c r="U35" s="117">
        <x:f>IF(AND(YEAR(U$3)=YEAR($B$7),MONTH(U$3)=MONTH($B$7)),U30,0)</x:f>
      </x:c>
      <x:c r="V35" s="117">
        <x:f>IF(AND(YEAR(V$3)=YEAR($B$7),MONTH(V$3)=MONTH($B$7)),V30,0)</x:f>
      </x:c>
      <x:c r="W35" s="117">
        <x:f>IF(AND(YEAR(W$3)=YEAR($B$7),MONTH(W$3)=MONTH($B$7)),W30,0)</x:f>
      </x:c>
      <x:c r="X35" s="117">
        <x:f>IF(AND(YEAR(X$3)=YEAR($B$7),MONTH(X$3)=MONTH($B$7)),X30,0)</x:f>
      </x:c>
      <x:c r="Y35" s="117">
        <x:f>IF(AND(YEAR(Y$3)=YEAR($B$7),MONTH(Y$3)=MONTH($B$7)),Y30,0)</x:f>
      </x:c>
      <x:c r="Z35" s="117">
        <x:f>IF(AND(YEAR(Z$3)=YEAR($B$7),MONTH(Z$3)=MONTH($B$7)),Z30,0)</x:f>
      </x:c>
      <x:c r="AA35" s="117">
        <x:f>IF(AND(YEAR(AA$3)=YEAR($B$7),MONTH(AA$3)=MONTH($B$7)),AA30,0)</x:f>
      </x:c>
      <x:c r="AB35" s="117">
        <x:f>IF(AND(YEAR(AB$3)=YEAR($B$7),MONTH(AB$3)=MONTH($B$7)),AB30,0)</x:f>
      </x:c>
      <x:c r="AC35" s="117">
        <x:f>IF(AND(YEAR(AC$3)=YEAR($B$7),MONTH(AC$3)=MONTH($B$7)),AC30,0)</x:f>
      </x:c>
      <x:c r="AD35" s="117">
        <x:f>IF(AND(YEAR(AD$3)=YEAR($B$7),MONTH(AD$3)=MONTH($B$7)),AD30,0)</x:f>
      </x:c>
      <x:c r="AE35" s="117">
        <x:f>IF(AND(YEAR(AE$3)=YEAR($B$7),MONTH(AE$3)=MONTH($B$7)),AE30,0)</x:f>
      </x:c>
      <x:c r="AF35" s="117">
        <x:f>IF(AND(YEAR(AF$3)=YEAR($B$7),MONTH(AF$3)=MONTH($B$7)),AF30,0)</x:f>
      </x:c>
      <x:c r="AG35" s="117">
        <x:f>IF(AND(YEAR(AG$3)=YEAR($B$7),MONTH(AG$3)=MONTH($B$7)),AG30,0)</x:f>
      </x:c>
      <x:c r="AH35" s="117">
        <x:f>IF(AND(YEAR(AH$3)=YEAR($B$7),MONTH(AH$3)=MONTH($B$7)),AH30,0)</x:f>
      </x:c>
      <x:c r="AI35" s="117">
        <x:f>IF(AND(YEAR(AI$3)=YEAR($B$7),MONTH(AI$3)=MONTH($B$7)),AI30,0)</x:f>
      </x:c>
      <x:c r="AJ35" s="117">
        <x:f>IF(AND(YEAR(AJ$3)=YEAR($B$7),MONTH(AJ$3)=MONTH($B$7)),AJ30,0)</x:f>
      </x:c>
      <x:c r="AK35" s="117">
        <x:f>IF(AND(YEAR(AK$3)=YEAR($B$7),MONTH(AK$3)=MONTH($B$7)),AK30,0)</x:f>
      </x:c>
      <x:c r="AL35" s="117">
        <x:f>IF(AND(YEAR(AL$3)=YEAR($B$7),MONTH(AL$3)=MONTH($B$7)),AL30,0)</x:f>
      </x:c>
      <x:c r="AM35" s="117">
        <x:f>IF(AND(YEAR(AM$3)=YEAR($B$7),MONTH(AM$3)=MONTH($B$7)),AM30,0)</x:f>
      </x:c>
      <x:c r="AN35" s="117">
        <x:f>IF(AND(YEAR(AN$3)=YEAR($B$7),MONTH(AN$3)=MONTH($B$7)),AN30,0)</x:f>
      </x:c>
      <x:c r="AO35" s="117">
        <x:f>IF(AND(YEAR(AO$3)=YEAR($B$7),MONTH(AO$3)=MONTH($B$7)),AO30,0)</x:f>
      </x:c>
      <x:c r="AP35" s="117">
        <x:f>IF(AND(YEAR(AP$3)=YEAR($B$7),MONTH(AP$3)=MONTH($B$7)),AP30,0)</x:f>
      </x:c>
      <x:c r="AQ35" s="117">
        <x:f>IF(AND(YEAR(AQ$3)=YEAR($B$7),MONTH(AQ$3)=MONTH($B$7)),AQ30,0)</x:f>
      </x:c>
      <x:c r="AR35" s="117">
        <x:f>IF(AND(YEAR(AR$3)=YEAR($B$7),MONTH(AR$3)=MONTH($B$7)),AR30,0)</x:f>
      </x:c>
      <x:c r="AS35" s="117">
        <x:f>IF(AND(YEAR(AS$3)=YEAR($B$7),MONTH(AS$3)=MONTH($B$7)),AS30,0)</x:f>
      </x:c>
      <x:c r="AT35" s="117">
        <x:f>IF(AND(YEAR(AT$3)=YEAR($B$7),MONTH(AT$3)=MONTH($B$7)),AT30,0)</x:f>
      </x:c>
      <x:c r="AU35" s="117">
        <x:f>IF(AND(YEAR(AU$3)=YEAR($B$7),MONTH(AU$3)=MONTH($B$7)),AU30,0)</x:f>
      </x:c>
      <x:c r="AV35" s="117">
        <x:f>IF(AND(YEAR(AV$3)=YEAR($B$7),MONTH(AV$3)=MONTH($B$7)),AV30,0)</x:f>
      </x:c>
      <x:c r="AW35" s="117">
        <x:f>IF(AND(YEAR(AW$3)=YEAR($B$7),MONTH(AW$3)=MONTH($B$7)),AW30,0)</x:f>
      </x:c>
      <x:c r="AX35" s="117">
        <x:f>IF(AND(YEAR(AX$3)=YEAR($B$7),MONTH(AX$3)=MONTH($B$7)),AX30,0)</x:f>
      </x:c>
      <x:c r="AY35" s="117">
        <x:f>IF(AND(YEAR(AY$3)=YEAR($B$7),MONTH(AY$3)=MONTH($B$7)),AY30,0)</x:f>
      </x:c>
      <x:c r="AZ35" s="117">
        <x:f>IF(AND(YEAR(AZ$3)=YEAR($B$7),MONTH(AZ$3)=MONTH($B$7)),AZ30,0)</x:f>
      </x:c>
      <x:c r="BA35" s="117">
        <x:f>IF(AND(YEAR(BA$3)=YEAR($B$7),MONTH(BA$3)=MONTH($B$7)),BA30,0)</x:f>
      </x:c>
      <x:c r="BB35" s="117">
        <x:f>IF(AND(YEAR(BB$3)=YEAR($B$7),MONTH(BB$3)=MONTH($B$7)),BB30,0)</x:f>
      </x:c>
      <x:c r="BC35" s="117">
        <x:f>IF(AND(YEAR(BC$3)=YEAR($B$7),MONTH(BC$3)=MONTH($B$7)),BC30,0)</x:f>
      </x:c>
      <x:c r="BD35" s="117">
        <x:f>IF(AND(YEAR(BD$3)=YEAR($B$7),MONTH(BD$3)=MONTH($B$7)),BD30,0)</x:f>
      </x:c>
      <x:c r="BE35" s="117">
        <x:f>IF(AND(YEAR(BE$3)=YEAR($B$7),MONTH(BE$3)=MONTH($B$7)),BE30,0)</x:f>
      </x:c>
      <x:c r="BF35" s="117">
        <x:f>IF(AND(YEAR(BF$3)=YEAR($B$7),MONTH(BF$3)=MONTH($B$7)),BF30,0)</x:f>
      </x:c>
      <x:c r="BG35" s="117">
        <x:f>IF(AND(YEAR(BG$3)=YEAR($B$7),MONTH(BG$3)=MONTH($B$7)),BG30,0)</x:f>
      </x:c>
      <x:c r="BH35" s="117">
        <x:f>IF(AND(YEAR(BH$3)=YEAR($B$7),MONTH(BH$3)=MONTH($B$7)),BH30,0)</x:f>
      </x:c>
      <x:c r="BI35" s="117">
        <x:f>IF(AND(YEAR(BI$3)=YEAR($B$7),MONTH(BI$3)=MONTH($B$7)),BI30,0)</x:f>
      </x:c>
      <x:c r="BJ35" s="117">
        <x:f>IF(AND(YEAR(BJ$3)=YEAR($B$7),MONTH(BJ$3)=MONTH($B$7)),BJ30,0)</x:f>
      </x:c>
      <x:c r="BK35" s="117">
        <x:f>IF(AND(YEAR(BK$3)=YEAR($B$7),MONTH(BK$3)=MONTH($B$7)),BK30,0)</x:f>
      </x:c>
      <x:c r="BL35" s="117">
        <x:f>IF(AND(YEAR(BL$3)=YEAR($B$7),MONTH(BL$3)=MONTH($B$7)),BL30,0)</x:f>
      </x:c>
      <x:c r="BM35" s="117">
        <x:f>IF(AND(YEAR(BM$3)=YEAR($B$7),MONTH(BM$3)=MONTH($B$7)),BM30,0)</x:f>
      </x:c>
      <x:c r="BN35" s="117">
        <x:f>IF(AND(YEAR(BN$3)=YEAR($B$7),MONTH(BN$3)=MONTH($B$7)),BN30,0)</x:f>
      </x:c>
      <x:c r="BO35" s="117">
        <x:f>IF(AND(YEAR(BO$3)=YEAR($B$7),MONTH(BO$3)=MONTH($B$7)),BO30,0)</x:f>
      </x:c>
      <x:c r="BP35" s="117">
        <x:f>IF(AND(YEAR(BP$3)=YEAR($B$7),MONTH(BP$3)=MONTH($B$7)),BP30,0)</x:f>
      </x:c>
      <x:c r="BQ35" s="117">
        <x:f>IF(AND(YEAR(BQ$3)=YEAR($B$7),MONTH(BQ$3)=MONTH($B$7)),BQ30,0)</x:f>
      </x:c>
      <x:c r="BR35" s="117">
        <x:f>IF(AND(YEAR(BR$3)=YEAR($B$7),MONTH(BR$3)=MONTH($B$7)),BR30,0)</x:f>
      </x:c>
      <x:c r="BS35" s="117">
        <x:f>IF(AND(YEAR(BS$3)=YEAR($B$7),MONTH(BS$3)=MONTH($B$7)),BS30,0)</x:f>
      </x:c>
      <x:c r="BT35" s="117">
        <x:f>IF(AND(YEAR(BT$3)=YEAR($B$7),MONTH(BT$3)=MONTH($B$7)),BT30,0)</x:f>
      </x:c>
      <x:c r="BU35" s="117">
        <x:f>IF(AND(YEAR(BU$3)=YEAR($B$7),MONTH(BU$3)=MONTH($B$7)),BU30,0)</x:f>
      </x:c>
      <x:c r="BV35" s="117">
        <x:f>IF(AND(YEAR(BV$3)=YEAR($B$7),MONTH(BV$3)=MONTH($B$7)),BV30,0)</x:f>
      </x:c>
      <x:c r="BW35" s="117">
        <x:f>IF(AND(YEAR(BW$3)=YEAR($B$7),MONTH(BW$3)=MONTH($B$7)),BW30,0)</x:f>
      </x:c>
      <x:c r="BX35" s="117">
        <x:f>IF(AND(YEAR(BX$3)=YEAR($B$7),MONTH(BX$3)=MONTH($B$7)),BX30,0)</x:f>
      </x:c>
      <x:c r="BY35" s="117">
        <x:f>IF(AND(YEAR(BY$3)=YEAR($B$7),MONTH(BY$3)=MONTH($B$7)),BY30,0)</x:f>
      </x:c>
      <x:c r="BZ35" s="117">
        <x:f>IF(AND(YEAR(BZ$3)=YEAR($B$7),MONTH(BZ$3)=MONTH($B$7)),BZ30,0)</x:f>
      </x:c>
      <x:c r="CA35" s="117">
        <x:f>IF(AND(YEAR(CA$3)=YEAR($B$7),MONTH(CA$3)=MONTH($B$7)),CA30,0)</x:f>
      </x:c>
      <x:c r="CB35" s="117">
        <x:f>IF(AND(YEAR(CB$3)=YEAR($B$7),MONTH(CB$3)=MONTH($B$7)),CB30,0)</x:f>
      </x:c>
      <x:c r="CC35" s="117">
        <x:f>IF(AND(YEAR(CC$3)=YEAR($B$7),MONTH(CC$3)=MONTH($B$7)),CC30,0)</x:f>
      </x:c>
      <x:c r="CD35" s="117">
        <x:f>IF(AND(YEAR(CD$3)=YEAR($B$7),MONTH(CD$3)=MONTH($B$7)),CD30,0)</x:f>
      </x:c>
      <x:c r="CE35" s="117">
        <x:f>IF(AND(YEAR(CE$3)=YEAR($B$7),MONTH(CE$3)=MONTH($B$7)),CE30,0)</x:f>
      </x:c>
      <x:c r="CF35" s="117">
        <x:f>IF(AND(YEAR(CF$3)=YEAR($B$7),MONTH(CF$3)=MONTH($B$7)),CF30,0)</x:f>
      </x:c>
      <x:c r="CG35" s="117">
        <x:f>IF(AND(YEAR(CG$3)=YEAR($B$7),MONTH(CG$3)=MONTH($B$7)),CG30,0)</x:f>
      </x:c>
      <x:c r="CH35" s="117">
        <x:f>IF(AND(YEAR(CH$3)=YEAR($B$7),MONTH(CH$3)=MONTH($B$7)),CH30,0)</x:f>
      </x:c>
      <x:c r="CI35" s="117">
        <x:f>IF(AND(YEAR(CI$3)=YEAR($B$7),MONTH(CI$3)=MONTH($B$7)),CI30,0)</x:f>
      </x:c>
      <x:c r="CJ35" s="117">
        <x:f>IF(AND(YEAR(CJ$3)=YEAR($B$7),MONTH(CJ$3)=MONTH($B$7)),CJ30,0)</x:f>
      </x:c>
      <x:c r="CK35" s="117">
        <x:f>IF(AND(YEAR(CK$3)=YEAR($B$7),MONTH(CK$3)=MONTH($B$7)),CK30,0)</x:f>
      </x:c>
      <x:c r="CL35" s="117">
        <x:f>IF(AND(YEAR(CL$3)=YEAR($B$7),MONTH(CL$3)=MONTH($B$7)),CL30,0)</x:f>
      </x:c>
      <x:c r="CM35" s="117">
        <x:f>IF(AND(YEAR(CM$3)=YEAR($B$7),MONTH(CM$3)=MONTH($B$7)),CM30,0)</x:f>
      </x:c>
      <x:c r="CN35" s="117">
        <x:f>IF(AND(YEAR(CN$3)=YEAR($B$7),MONTH(CN$3)=MONTH($B$7)),CN30,0)</x:f>
      </x:c>
      <x:c r="CO35" s="117">
        <x:f>IF(AND(YEAR(CO$3)=YEAR($B$7),MONTH(CO$3)=MONTH($B$7)),CO30,0)</x:f>
      </x:c>
      <x:c r="CP35" s="117">
        <x:f>IF(AND(YEAR(CP$3)=YEAR($B$7),MONTH(CP$3)=MONTH($B$7)),CP30,0)</x:f>
      </x:c>
      <x:c r="CQ35" s="117">
        <x:f>IF(AND(YEAR(CQ$3)=YEAR($B$7),MONTH(CQ$3)=MONTH($B$7)),CQ30,0)</x:f>
      </x:c>
      <x:c r="CR35" s="117">
        <x:f>IF(AND(YEAR(CR$3)=YEAR($B$7),MONTH(CR$3)=MONTH($B$7)),CR30,0)</x:f>
      </x:c>
      <x:c r="CS35" s="117">
        <x:f>IF(AND(YEAR(CS$3)=YEAR($B$7),MONTH(CS$3)=MONTH($B$7)),CS30,0)</x:f>
      </x:c>
      <x:c r="CT35" s="117">
        <x:f>IF(AND(YEAR(CT$3)=YEAR($B$7),MONTH(CT$3)=MONTH($B$7)),CT30,0)</x:f>
      </x:c>
      <x:c r="CU35" s="117">
        <x:f>IF(AND(YEAR(CU$3)=YEAR($B$7),MONTH(CU$3)=MONTH($B$7)),CU30,0)</x:f>
      </x:c>
      <x:c r="CV35" s="117">
        <x:f>IF(AND(YEAR(CV$3)=YEAR($B$7),MONTH(CV$3)=MONTH($B$7)),CV30,0)</x:f>
      </x:c>
      <x:c r="CW35" s="117">
        <x:f>IF(AND(YEAR(CW$3)=YEAR($B$7),MONTH(CW$3)=MONTH($B$7)),CW30,0)</x:f>
      </x:c>
      <x:c r="CX35" s="117">
        <x:f>IF(AND(YEAR(CX$3)=YEAR($B$7),MONTH(CX$3)=MONTH($B$7)),CX30,0)</x:f>
      </x:c>
      <x:c r="CY35" s="117">
        <x:f>IF(AND(YEAR(CY$3)=YEAR($B$7),MONTH(CY$3)=MONTH($B$7)),CY30,0)</x:f>
      </x:c>
      <x:c r="CZ35" s="117">
        <x:f>IF(AND(YEAR(CZ$3)=YEAR($B$7),MONTH(CZ$3)=MONTH($B$7)),CZ30,0)</x:f>
      </x:c>
      <x:c r="DA35" s="117">
        <x:f>IF(AND(YEAR(DA$3)=YEAR($B$7),MONTH(DA$3)=MONTH($B$7)),DA30,0)</x:f>
      </x:c>
      <x:c r="DB35" s="117">
        <x:f>IF(AND(YEAR(DB$3)=YEAR($B$7),MONTH(DB$3)=MONTH($B$7)),DB30,0)</x:f>
      </x:c>
      <x:c r="DC35" s="117">
        <x:f>IF(AND(YEAR(DC$3)=YEAR($B$7),MONTH(DC$3)=MONTH($B$7)),DC30,0)</x:f>
      </x:c>
      <x:c r="DD35" s="117">
        <x:f>IF(AND(YEAR(DD$3)=YEAR($B$7),MONTH(DD$3)=MONTH($B$7)),DD30,0)</x:f>
      </x:c>
      <x:c r="DE35" s="117">
        <x:f>IF(AND(YEAR(DE$3)=YEAR($B$7),MONTH(DE$3)=MONTH($B$7)),DE30,0)</x:f>
      </x:c>
      <x:c r="DF35" s="117">
        <x:f>IF(AND(YEAR(DF$3)=YEAR($B$7),MONTH(DF$3)=MONTH($B$7)),DF30,0)</x:f>
      </x:c>
      <x:c r="DG35" s="117">
        <x:f>IF(AND(YEAR(DG$3)=YEAR($B$7),MONTH(DG$3)=MONTH($B$7)),DG30,0)</x:f>
      </x:c>
      <x:c r="DH35" s="117">
        <x:f>IF(AND(YEAR(DH$3)=YEAR($B$7),MONTH(DH$3)=MONTH($B$7)),DH30,0)</x:f>
      </x:c>
      <x:c r="DI35" s="117">
        <x:f>IF(AND(YEAR(DI$3)=YEAR($B$7),MONTH(DI$3)=MONTH($B$7)),DI30,0)</x:f>
      </x:c>
      <x:c r="DJ35" s="117">
        <x:f>IF(AND(YEAR(DJ$3)=YEAR($B$7),MONTH(DJ$3)=MONTH($B$7)),DJ30,0)</x:f>
      </x:c>
      <x:c r="DK35" s="117">
        <x:f>IF(AND(YEAR(DK$3)=YEAR($B$7),MONTH(DK$3)=MONTH($B$7)),DK30,0)</x:f>
      </x:c>
      <x:c r="DL35" s="117">
        <x:f>IF(AND(YEAR(DL$3)=YEAR($B$7),MONTH(DL$3)=MONTH($B$7)),DL30,0)</x:f>
      </x:c>
      <x:c r="DM35" s="117">
        <x:f>IF(AND(YEAR(DM$3)=YEAR($B$7),MONTH(DM$3)=MONTH($B$7)),DM30,0)</x:f>
      </x:c>
      <x:c r="DN35" s="117">
        <x:f>IF(AND(YEAR(DN$3)=YEAR($B$7),MONTH(DN$3)=MONTH($B$7)),DN30,0)</x:f>
      </x:c>
      <x:c r="DO35" s="117">
        <x:f>IF(AND(YEAR(DO$3)=YEAR($B$7),MONTH(DO$3)=MONTH($B$7)),DO30,0)</x:f>
      </x:c>
      <x:c r="DP35" s="117">
        <x:f>IF(AND(YEAR(DP$3)=YEAR($B$7),MONTH(DP$3)=MONTH($B$7)),DP30,0)</x:f>
      </x:c>
      <x:c r="DQ35" s="117">
        <x:f>IF(AND(YEAR(DQ$3)=YEAR($B$7),MONTH(DQ$3)=MONTH($B$7)),DQ30,0)</x:f>
      </x:c>
      <x:c r="DR35" s="117">
        <x:f>IF(AND(YEAR(DR$3)=YEAR($B$7),MONTH(DR$3)=MONTH($B$7)),DR30,0)</x:f>
      </x:c>
      <x:c r="DS35" s="117">
        <x:f>IF(AND(YEAR(DS$3)=YEAR($B$7),MONTH(DS$3)=MONTH($B$7)),DS30,0)</x:f>
      </x:c>
      <x:c r="DT35" s="117">
        <x:f>IF(AND(YEAR(DT$3)=YEAR($B$7),MONTH(DT$3)=MONTH($B$7)),DT30,0)</x:f>
      </x:c>
      <x:c r="DU35" s="117">
        <x:f>IF(AND(YEAR(DU$3)=YEAR($B$7),MONTH(DU$3)=MONTH($B$7)),DU30,0)</x:f>
      </x:c>
      <x:c r="DV35" s="117">
        <x:f>IF(AND(YEAR(DV$3)=YEAR($B$7),MONTH(DV$3)=MONTH($B$7)),DV30,0)</x:f>
      </x:c>
      <x:c r="DW35" s="117">
        <x:f>IF(AND(YEAR(DW$3)=YEAR($B$7),MONTH(DW$3)=MONTH($B$7)),DW30,0)</x:f>
      </x:c>
      <x:c r="DX35" s="117">
        <x:f>IF(AND(YEAR(DX$3)=YEAR($B$7),MONTH(DX$3)=MONTH($B$7)),DX30,0)</x:f>
      </x:c>
      <x:c r="DY35" s="117">
        <x:f>IF(AND(YEAR(DY$3)=YEAR($B$7),MONTH(DY$3)=MONTH($B$7)),DY30,0)</x:f>
      </x:c>
      <x:c r="DZ35" s="117">
        <x:f>IF(AND(YEAR(DZ$3)=YEAR($B$7),MONTH(DZ$3)=MONTH($B$7)),DZ30,0)</x:f>
      </x:c>
      <x:c r="EA35" s="117">
        <x:f>IF(AND(YEAR(EA$3)=YEAR($B$7),MONTH(EA$3)=MONTH($B$7)),EA30,0)</x:f>
      </x:c>
      <x:c r="EB35" s="117">
        <x:f>IF(AND(YEAR(EB$3)=YEAR($B$7),MONTH(EB$3)=MONTH($B$7)),EB30,0)</x:f>
      </x:c>
      <x:c r="EC35" s="117">
        <x:f>IF(AND(YEAR(EC$3)=YEAR($B$7),MONTH(EC$3)=MONTH($B$7)),EC30,0)</x:f>
      </x:c>
      <x:c r="ED35" s="117">
        <x:f>IF(AND(YEAR(ED$3)=YEAR($B$7),MONTH(ED$3)=MONTH($B$7)),ED30,0)</x:f>
      </x:c>
      <x:c r="EE35" s="117">
        <x:f>IF(AND(YEAR(EE$3)=YEAR($B$7),MONTH(EE$3)=MONTH($B$7)),EE30,0)</x:f>
      </x:c>
      <x:c r="EF35" s="117">
        <x:f>IF(AND(YEAR(EF$3)=YEAR($B$7),MONTH(EF$3)=MONTH($B$7)),EF30,0)</x:f>
      </x:c>
      <x:c r="EG35" s="117">
        <x:f>IF(AND(YEAR(EG$3)=YEAR($B$7),MONTH(EG$3)=MONTH($B$7)),EG30,0)</x:f>
      </x:c>
      <x:c r="EH35" s="117">
        <x:f>IF(AND(YEAR(EH$3)=YEAR($B$7),MONTH(EH$3)=MONTH($B$7)),EH30,0)</x:f>
      </x:c>
      <x:c r="EI35" s="117">
        <x:f>IF(AND(YEAR(EI$3)=YEAR($B$7),MONTH(EI$3)=MONTH($B$7)),EI30,0)</x:f>
      </x:c>
      <x:c r="EJ35" s="117">
        <x:f>IF(AND(YEAR(EJ$3)=YEAR($B$7),MONTH(EJ$3)=MONTH($B$7)),EJ30,0)</x:f>
      </x:c>
      <x:c r="EK35" s="117">
        <x:f>IF(AND(YEAR(EK$3)=YEAR($B$7),MONTH(EK$3)=MONTH($B$7)),EK30,0)</x:f>
      </x:c>
      <x:c r="EL35" s="117">
        <x:f>IF(AND(YEAR(EL$3)=YEAR($B$7),MONTH(EL$3)=MONTH($B$7)),EL30,0)</x:f>
      </x:c>
      <x:c r="EM35" s="117">
        <x:f>IF(AND(YEAR(EM$3)=YEAR($B$7),MONTH(EM$3)=MONTH($B$7)),EM30,0)</x:f>
      </x:c>
      <x:c r="EN35" s="117">
        <x:f>IF(AND(YEAR(EN$3)=YEAR($B$7),MONTH(EN$3)=MONTH($B$7)),EN30,0)</x:f>
      </x:c>
      <x:c r="EO35" s="117">
        <x:f>IF(AND(YEAR(EO$3)=YEAR($B$7),MONTH(EO$3)=MONTH($B$7)),EO30,0)</x:f>
      </x:c>
      <x:c r="EP35" s="117">
        <x:f>IF(AND(YEAR(EP$3)=YEAR($B$7),MONTH(EP$3)=MONTH($B$7)),EP30,0)</x:f>
      </x:c>
      <x:c r="EQ35" s="117">
        <x:f>IF(AND(YEAR(EQ$3)=YEAR($B$7),MONTH(EQ$3)=MONTH($B$7)),EQ30,0)</x:f>
      </x:c>
      <x:c r="ER35" s="117">
        <x:f>IF(AND(YEAR(ER$3)=YEAR($B$7),MONTH(ER$3)=MONTH($B$7)),ER30,0)</x:f>
      </x:c>
      <x:c r="ES35" s="117">
        <x:f>IF(AND(YEAR(ES$3)=YEAR($B$7),MONTH(ES$3)=MONTH($B$7)),ES30,0)</x:f>
      </x:c>
      <x:c r="ET35" s="117">
        <x:f>IF(AND(YEAR(ET$3)=YEAR($B$7),MONTH(ET$3)=MONTH($B$7)),ET30,0)</x:f>
      </x:c>
      <x:c r="EU35" s="117">
        <x:f>IF(AND(YEAR(EU$3)=YEAR($B$7),MONTH(EU$3)=MONTH($B$7)),EU30,0)</x:f>
      </x:c>
      <x:c r="EV35" s="117">
        <x:f>IF(AND(YEAR(EV$3)=YEAR($B$7),MONTH(EV$3)=MONTH($B$7)),EV30,0)</x:f>
      </x:c>
      <x:c r="EW35" s="117">
        <x:f>IF(AND(YEAR(EW$3)=YEAR($B$7),MONTH(EW$3)=MONTH($B$7)),EW30,0)</x:f>
      </x:c>
      <x:c r="EX35" s="117">
        <x:f>IF(AND(YEAR(EX$3)=YEAR($B$7),MONTH(EX$3)=MONTH($B$7)),EX30,0)</x:f>
      </x:c>
      <x:c r="EY35" s="117">
        <x:f>IF(AND(YEAR(EY$3)=YEAR($B$7),MONTH(EY$3)=MONTH($B$7)),EY30,0)</x:f>
      </x:c>
      <x:c r="EZ35" s="117">
        <x:f>IF(AND(YEAR(EZ$3)=YEAR($B$7),MONTH(EZ$3)=MONTH($B$7)),EZ30,0)</x:f>
      </x:c>
      <x:c r="FA35" s="117">
        <x:f>IF(AND(YEAR(FA$3)=YEAR($B$7),MONTH(FA$3)=MONTH($B$7)),FA30,0)</x:f>
      </x:c>
      <x:c r="FB35" s="117">
        <x:f>IF(AND(YEAR(FB$3)=YEAR($B$7),MONTH(FB$3)=MONTH($B$7)),FB30,0)</x:f>
      </x:c>
      <x:c r="FC35" s="117">
        <x:f>IF(AND(YEAR(FC$3)=YEAR($B$7),MONTH(FC$3)=MONTH($B$7)),FC30,0)</x:f>
      </x:c>
      <x:c r="FD35" s="117">
        <x:f>IF(AND(YEAR(FD$3)=YEAR($B$7),MONTH(FD$3)=MONTH($B$7)),FD30,0)</x:f>
      </x:c>
      <x:c r="FE35" s="117">
        <x:f>IF(AND(YEAR(FE$3)=YEAR($B$7),MONTH(FE$3)=MONTH($B$7)),FE30,0)</x:f>
      </x:c>
      <x:c r="FF35" s="117">
        <x:f>IF(AND(YEAR(FF$3)=YEAR($B$7),MONTH(FF$3)=MONTH($B$7)),FF30,0)</x:f>
      </x:c>
      <x:c r="FG35" s="117">
        <x:f>IF(AND(YEAR(FG$3)=YEAR($B$7),MONTH(FG$3)=MONTH($B$7)),FG30,0)</x:f>
      </x:c>
      <x:c r="FH35" s="117">
        <x:f>IF(AND(YEAR(FH$3)=YEAR($B$7),MONTH(FH$3)=MONTH($B$7)),FH30,0)</x:f>
      </x:c>
      <x:c r="FI35" s="117">
        <x:f>IF(AND(YEAR(FI$3)=YEAR($B$7),MONTH(FI$3)=MONTH($B$7)),FI30,0)</x:f>
      </x:c>
      <x:c r="FJ35" s="117">
        <x:f>IF(AND(YEAR(FJ$3)=YEAR($B$7),MONTH(FJ$3)=MONTH($B$7)),FJ30,0)</x:f>
      </x:c>
      <x:c r="FK35" s="117">
        <x:f>IF(AND(YEAR(FK$3)=YEAR($B$7),MONTH(FK$3)=MONTH($B$7)),FK30,0)</x:f>
      </x:c>
      <x:c r="FL35" s="117">
        <x:f>IF(AND(YEAR(FL$3)=YEAR($B$7),MONTH(FL$3)=MONTH($B$7)),FL30,0)</x:f>
      </x:c>
      <x:c r="FM35" s="117">
        <x:f>IF(AND(YEAR(FM$3)=YEAR($B$7),MONTH(FM$3)=MONTH($B$7)),FM30,0)</x:f>
      </x:c>
      <x:c r="FN35" s="117">
        <x:f>IF(AND(YEAR(FN$3)=YEAR($B$7),MONTH(FN$3)=MONTH($B$7)),FN30,0)</x:f>
      </x:c>
      <x:c r="FO35" s="117">
        <x:f>IF(AND(YEAR(FO$3)=YEAR($B$7),MONTH(FO$3)=MONTH($B$7)),FO30,0)</x:f>
      </x:c>
      <x:c r="FP35" s="117">
        <x:f>IF(AND(YEAR(FP$3)=YEAR($B$7),MONTH(FP$3)=MONTH($B$7)),FP30,0)</x:f>
      </x:c>
      <x:c r="FQ35" s="117">
        <x:f>IF(AND(YEAR(FQ$3)=YEAR($B$7),MONTH(FQ$3)=MONTH($B$7)),FQ30,0)</x:f>
      </x:c>
      <x:c r="FR35" s="117">
        <x:f>IF(AND(YEAR(FR$3)=YEAR($B$7),MONTH(FR$3)=MONTH($B$7)),FR30,0)</x:f>
      </x:c>
      <x:c r="FS35" s="117">
        <x:f>IF(AND(YEAR(FS$3)=YEAR($B$7),MONTH(FS$3)=MONTH($B$7)),FS30,0)</x:f>
      </x:c>
      <x:c r="FT35" s="117">
        <x:f>IF(AND(YEAR(FT$3)=YEAR($B$7),MONTH(FT$3)=MONTH($B$7)),FT30,0)</x:f>
      </x:c>
      <x:c r="FU35" s="117">
        <x:f>IF(AND(YEAR(FU$3)=YEAR($B$7),MONTH(FU$3)=MONTH($B$7)),FU30,0)</x:f>
      </x:c>
      <x:c r="FV35" s="117">
        <x:f>IF(AND(YEAR(FV$3)=YEAR($B$7),MONTH(FV$3)=MONTH($B$7)),FV30,0)</x:f>
      </x:c>
      <x:c r="FW35" s="117">
        <x:f>IF(AND(YEAR(FW$3)=YEAR($B$7),MONTH(FW$3)=MONTH($B$7)),FW30,0)</x:f>
      </x:c>
      <x:c r="FX35" s="117">
        <x:f>IF(AND(YEAR(FX$3)=YEAR($B$7),MONTH(FX$3)=MONTH($B$7)),FX30,0)</x:f>
      </x:c>
      <x:c r="FY35" s="117">
        <x:f>IF(AND(YEAR(FY$3)=YEAR($B$7),MONTH(FY$3)=MONTH($B$7)),FY30,0)</x:f>
      </x:c>
      <x:c r="FZ35" s="117">
        <x:f>IF(AND(YEAR(FZ$3)=YEAR($B$7),MONTH(FZ$3)=MONTH($B$7)),FZ30,0)</x:f>
      </x:c>
      <x:c r="GA35" s="117">
        <x:f>IF(AND(YEAR(GA$3)=YEAR($B$7),MONTH(GA$3)=MONTH($B$7)),GA30,0)</x:f>
      </x:c>
    </x:row>
    <x:row r="36">
      <x:c r="A36" s="113" t="str">
        <x:v>БРИДЖ — долг на конец</x:v>
      </x:c>
      <x:c r="B36" s="113" t="n">
        <x:f>GA36</x:f>
      </x:c>
      <x:c r="C36" s="113" t="str">
        <x:v>млн ₽</x:v>
      </x:c>
      <x:c r="D36" s="120">
        <x:f>MAX(0,D30+D34-D35)</x:f>
      </x:c>
      <x:c r="E36" s="120">
        <x:f>MAX(0,E30+E34-E35)</x:f>
      </x:c>
      <x:c r="F36" s="120">
        <x:f>MAX(0,F30+F34-F35)</x:f>
      </x:c>
      <x:c r="G36" s="120">
        <x:f>MAX(0,G30+G34-G35)</x:f>
      </x:c>
      <x:c r="H36" s="120">
        <x:f>MAX(0,H30+H34-H35)</x:f>
      </x:c>
      <x:c r="I36" s="120">
        <x:f>MAX(0,I30+I34-I35)</x:f>
      </x:c>
      <x:c r="J36" s="120">
        <x:f>MAX(0,J30+J34-J35)</x:f>
      </x:c>
      <x:c r="K36" s="120">
        <x:f>MAX(0,K30+K34-K35)</x:f>
      </x:c>
      <x:c r="L36" s="120">
        <x:f>MAX(0,L30+L34-L35)</x:f>
      </x:c>
      <x:c r="M36" s="120">
        <x:f>MAX(0,M30+M34-M35)</x:f>
      </x:c>
      <x:c r="N36" s="120">
        <x:f>MAX(0,N30+N34-N35)</x:f>
      </x:c>
      <x:c r="O36" s="120">
        <x:f>MAX(0,O30+O34-O35)</x:f>
      </x:c>
      <x:c r="P36" s="120">
        <x:f>MAX(0,P30+P34-P35)</x:f>
      </x:c>
      <x:c r="Q36" s="120">
        <x:f>MAX(0,Q30+Q34-Q35)</x:f>
      </x:c>
      <x:c r="R36" s="120">
        <x:f>MAX(0,R30+R34-R35)</x:f>
      </x:c>
      <x:c r="S36" s="120">
        <x:f>MAX(0,S30+S34-S35)</x:f>
      </x:c>
      <x:c r="T36" s="120">
        <x:f>MAX(0,T30+T34-T35)</x:f>
      </x:c>
      <x:c r="U36" s="120">
        <x:f>MAX(0,U30+U34-U35)</x:f>
      </x:c>
      <x:c r="V36" s="120">
        <x:f>MAX(0,V30+V34-V35)</x:f>
      </x:c>
      <x:c r="W36" s="120">
        <x:f>MAX(0,W30+W34-W35)</x:f>
      </x:c>
      <x:c r="X36" s="120">
        <x:f>MAX(0,X30+X34-X35)</x:f>
      </x:c>
      <x:c r="Y36" s="120">
        <x:f>MAX(0,Y30+Y34-Y35)</x:f>
      </x:c>
      <x:c r="Z36" s="120">
        <x:f>MAX(0,Z30+Z34-Z35)</x:f>
      </x:c>
      <x:c r="AA36" s="120">
        <x:f>MAX(0,AA30+AA34-AA35)</x:f>
      </x:c>
      <x:c r="AB36" s="120">
        <x:f>MAX(0,AB30+AB34-AB35)</x:f>
      </x:c>
      <x:c r="AC36" s="120">
        <x:f>MAX(0,AC30+AC34-AC35)</x:f>
      </x:c>
      <x:c r="AD36" s="120">
        <x:f>MAX(0,AD30+AD34-AD35)</x:f>
      </x:c>
      <x:c r="AE36" s="120">
        <x:f>MAX(0,AE30+AE34-AE35)</x:f>
      </x:c>
      <x:c r="AF36" s="120">
        <x:f>MAX(0,AF30+AF34-AF35)</x:f>
      </x:c>
      <x:c r="AG36" s="120">
        <x:f>MAX(0,AG30+AG34-AG35)</x:f>
      </x:c>
      <x:c r="AH36" s="120">
        <x:f>MAX(0,AH30+AH34-AH35)</x:f>
      </x:c>
      <x:c r="AI36" s="120">
        <x:f>MAX(0,AI30+AI34-AI35)</x:f>
      </x:c>
      <x:c r="AJ36" s="120">
        <x:f>MAX(0,AJ30+AJ34-AJ35)</x:f>
      </x:c>
      <x:c r="AK36" s="120">
        <x:f>MAX(0,AK30+AK34-AK35)</x:f>
      </x:c>
      <x:c r="AL36" s="120">
        <x:f>MAX(0,AL30+AL34-AL35)</x:f>
      </x:c>
      <x:c r="AM36" s="120">
        <x:f>MAX(0,AM30+AM34-AM35)</x:f>
      </x:c>
      <x:c r="AN36" s="120">
        <x:f>MAX(0,AN30+AN34-AN35)</x:f>
      </x:c>
      <x:c r="AO36" s="120">
        <x:f>MAX(0,AO30+AO34-AO35)</x:f>
      </x:c>
      <x:c r="AP36" s="120">
        <x:f>MAX(0,AP30+AP34-AP35)</x:f>
      </x:c>
      <x:c r="AQ36" s="120">
        <x:f>MAX(0,AQ30+AQ34-AQ35)</x:f>
      </x:c>
      <x:c r="AR36" s="120">
        <x:f>MAX(0,AR30+AR34-AR35)</x:f>
      </x:c>
      <x:c r="AS36" s="120">
        <x:f>MAX(0,AS30+AS34-AS35)</x:f>
      </x:c>
      <x:c r="AT36" s="120">
        <x:f>MAX(0,AT30+AT34-AT35)</x:f>
      </x:c>
      <x:c r="AU36" s="120">
        <x:f>MAX(0,AU30+AU34-AU35)</x:f>
      </x:c>
      <x:c r="AV36" s="120">
        <x:f>MAX(0,AV30+AV34-AV35)</x:f>
      </x:c>
      <x:c r="AW36" s="120">
        <x:f>MAX(0,AW30+AW34-AW35)</x:f>
      </x:c>
      <x:c r="AX36" s="120">
        <x:f>MAX(0,AX30+AX34-AX35)</x:f>
      </x:c>
      <x:c r="AY36" s="120">
        <x:f>MAX(0,AY30+AY34-AY35)</x:f>
      </x:c>
      <x:c r="AZ36" s="120">
        <x:f>MAX(0,AZ30+AZ34-AZ35)</x:f>
      </x:c>
      <x:c r="BA36" s="120">
        <x:f>MAX(0,BA30+BA34-BA35)</x:f>
      </x:c>
      <x:c r="BB36" s="120">
        <x:f>MAX(0,BB30+BB34-BB35)</x:f>
      </x:c>
      <x:c r="BC36" s="120">
        <x:f>MAX(0,BC30+BC34-BC35)</x:f>
      </x:c>
      <x:c r="BD36" s="120">
        <x:f>MAX(0,BD30+BD34-BD35)</x:f>
      </x:c>
      <x:c r="BE36" s="120">
        <x:f>MAX(0,BE30+BE34-BE35)</x:f>
      </x:c>
      <x:c r="BF36" s="120">
        <x:f>MAX(0,BF30+BF34-BF35)</x:f>
      </x:c>
      <x:c r="BG36" s="120">
        <x:f>MAX(0,BG30+BG34-BG35)</x:f>
      </x:c>
      <x:c r="BH36" s="120">
        <x:f>MAX(0,BH30+BH34-BH35)</x:f>
      </x:c>
      <x:c r="BI36" s="120">
        <x:f>MAX(0,BI30+BI34-BI35)</x:f>
      </x:c>
      <x:c r="BJ36" s="120">
        <x:f>MAX(0,BJ30+BJ34-BJ35)</x:f>
      </x:c>
      <x:c r="BK36" s="120">
        <x:f>MAX(0,BK30+BK34-BK35)</x:f>
      </x:c>
      <x:c r="BL36" s="120">
        <x:f>MAX(0,BL30+BL34-BL35)</x:f>
      </x:c>
      <x:c r="BM36" s="120">
        <x:f>MAX(0,BM30+BM34-BM35)</x:f>
      </x:c>
      <x:c r="BN36" s="120">
        <x:f>MAX(0,BN30+BN34-BN35)</x:f>
      </x:c>
      <x:c r="BO36" s="120">
        <x:f>MAX(0,BO30+BO34-BO35)</x:f>
      </x:c>
      <x:c r="BP36" s="120">
        <x:f>MAX(0,BP30+BP34-BP35)</x:f>
      </x:c>
      <x:c r="BQ36" s="120">
        <x:f>MAX(0,BQ30+BQ34-BQ35)</x:f>
      </x:c>
      <x:c r="BR36" s="120">
        <x:f>MAX(0,BR30+BR34-BR35)</x:f>
      </x:c>
      <x:c r="BS36" s="120">
        <x:f>MAX(0,BS30+BS34-BS35)</x:f>
      </x:c>
      <x:c r="BT36" s="120">
        <x:f>MAX(0,BT30+BT34-BT35)</x:f>
      </x:c>
      <x:c r="BU36" s="120">
        <x:f>MAX(0,BU30+BU34-BU35)</x:f>
      </x:c>
      <x:c r="BV36" s="120">
        <x:f>MAX(0,BV30+BV34-BV35)</x:f>
      </x:c>
      <x:c r="BW36" s="120">
        <x:f>MAX(0,BW30+BW34-BW35)</x:f>
      </x:c>
      <x:c r="BX36" s="120">
        <x:f>MAX(0,BX30+BX34-BX35)</x:f>
      </x:c>
      <x:c r="BY36" s="120">
        <x:f>MAX(0,BY30+BY34-BY35)</x:f>
      </x:c>
      <x:c r="BZ36" s="120">
        <x:f>MAX(0,BZ30+BZ34-BZ35)</x:f>
      </x:c>
      <x:c r="CA36" s="120">
        <x:f>MAX(0,CA30+CA34-CA35)</x:f>
      </x:c>
      <x:c r="CB36" s="120">
        <x:f>MAX(0,CB30+CB34-CB35)</x:f>
      </x:c>
      <x:c r="CC36" s="120">
        <x:f>MAX(0,CC30+CC34-CC35)</x:f>
      </x:c>
      <x:c r="CD36" s="120">
        <x:f>MAX(0,CD30+CD34-CD35)</x:f>
      </x:c>
      <x:c r="CE36" s="120">
        <x:f>MAX(0,CE30+CE34-CE35)</x:f>
      </x:c>
      <x:c r="CF36" s="120">
        <x:f>MAX(0,CF30+CF34-CF35)</x:f>
      </x:c>
      <x:c r="CG36" s="120">
        <x:f>MAX(0,CG30+CG34-CG35)</x:f>
      </x:c>
      <x:c r="CH36" s="120">
        <x:f>MAX(0,CH30+CH34-CH35)</x:f>
      </x:c>
      <x:c r="CI36" s="120">
        <x:f>MAX(0,CI30+CI34-CI35)</x:f>
      </x:c>
      <x:c r="CJ36" s="120">
        <x:f>MAX(0,CJ30+CJ34-CJ35)</x:f>
      </x:c>
      <x:c r="CK36" s="120">
        <x:f>MAX(0,CK30+CK34-CK35)</x:f>
      </x:c>
      <x:c r="CL36" s="120">
        <x:f>MAX(0,CL30+CL34-CL35)</x:f>
      </x:c>
      <x:c r="CM36" s="120">
        <x:f>MAX(0,CM30+CM34-CM35)</x:f>
      </x:c>
      <x:c r="CN36" s="120">
        <x:f>MAX(0,CN30+CN34-CN35)</x:f>
      </x:c>
      <x:c r="CO36" s="120">
        <x:f>MAX(0,CO30+CO34-CO35)</x:f>
      </x:c>
      <x:c r="CP36" s="120">
        <x:f>MAX(0,CP30+CP34-CP35)</x:f>
      </x:c>
      <x:c r="CQ36" s="120">
        <x:f>MAX(0,CQ30+CQ34-CQ35)</x:f>
      </x:c>
      <x:c r="CR36" s="120">
        <x:f>MAX(0,CR30+CR34-CR35)</x:f>
      </x:c>
      <x:c r="CS36" s="120">
        <x:f>MAX(0,CS30+CS34-CS35)</x:f>
      </x:c>
      <x:c r="CT36" s="120">
        <x:f>MAX(0,CT30+CT34-CT35)</x:f>
      </x:c>
      <x:c r="CU36" s="120">
        <x:f>MAX(0,CU30+CU34-CU35)</x:f>
      </x:c>
      <x:c r="CV36" s="120">
        <x:f>MAX(0,CV30+CV34-CV35)</x:f>
      </x:c>
      <x:c r="CW36" s="120">
        <x:f>MAX(0,CW30+CW34-CW35)</x:f>
      </x:c>
      <x:c r="CX36" s="120">
        <x:f>MAX(0,CX30+CX34-CX35)</x:f>
      </x:c>
      <x:c r="CY36" s="120">
        <x:f>MAX(0,CY30+CY34-CY35)</x:f>
      </x:c>
      <x:c r="CZ36" s="120">
        <x:f>MAX(0,CZ30+CZ34-CZ35)</x:f>
      </x:c>
      <x:c r="DA36" s="120">
        <x:f>MAX(0,DA30+DA34-DA35)</x:f>
      </x:c>
      <x:c r="DB36" s="120">
        <x:f>MAX(0,DB30+DB34-DB35)</x:f>
      </x:c>
      <x:c r="DC36" s="120">
        <x:f>MAX(0,DC30+DC34-DC35)</x:f>
      </x:c>
      <x:c r="DD36" s="120">
        <x:f>MAX(0,DD30+DD34-DD35)</x:f>
      </x:c>
      <x:c r="DE36" s="120">
        <x:f>MAX(0,DE30+DE34-DE35)</x:f>
      </x:c>
      <x:c r="DF36" s="120">
        <x:f>MAX(0,DF30+DF34-DF35)</x:f>
      </x:c>
      <x:c r="DG36" s="120">
        <x:f>MAX(0,DG30+DG34-DG35)</x:f>
      </x:c>
      <x:c r="DH36" s="120">
        <x:f>MAX(0,DH30+DH34-DH35)</x:f>
      </x:c>
      <x:c r="DI36" s="120">
        <x:f>MAX(0,DI30+DI34-DI35)</x:f>
      </x:c>
      <x:c r="DJ36" s="120">
        <x:f>MAX(0,DJ30+DJ34-DJ35)</x:f>
      </x:c>
      <x:c r="DK36" s="120">
        <x:f>MAX(0,DK30+DK34-DK35)</x:f>
      </x:c>
      <x:c r="DL36" s="120">
        <x:f>MAX(0,DL30+DL34-DL35)</x:f>
      </x:c>
      <x:c r="DM36" s="120">
        <x:f>MAX(0,DM30+DM34-DM35)</x:f>
      </x:c>
      <x:c r="DN36" s="120">
        <x:f>MAX(0,DN30+DN34-DN35)</x:f>
      </x:c>
      <x:c r="DO36" s="120">
        <x:f>MAX(0,DO30+DO34-DO35)</x:f>
      </x:c>
      <x:c r="DP36" s="120">
        <x:f>MAX(0,DP30+DP34-DP35)</x:f>
      </x:c>
      <x:c r="DQ36" s="120">
        <x:f>MAX(0,DQ30+DQ34-DQ35)</x:f>
      </x:c>
      <x:c r="DR36" s="120">
        <x:f>MAX(0,DR30+DR34-DR35)</x:f>
      </x:c>
      <x:c r="DS36" s="120">
        <x:f>MAX(0,DS30+DS34-DS35)</x:f>
      </x:c>
      <x:c r="DT36" s="120">
        <x:f>MAX(0,DT30+DT34-DT35)</x:f>
      </x:c>
      <x:c r="DU36" s="120">
        <x:f>MAX(0,DU30+DU34-DU35)</x:f>
      </x:c>
      <x:c r="DV36" s="120">
        <x:f>MAX(0,DV30+DV34-DV35)</x:f>
      </x:c>
      <x:c r="DW36" s="120">
        <x:f>MAX(0,DW30+DW34-DW35)</x:f>
      </x:c>
      <x:c r="DX36" s="120">
        <x:f>MAX(0,DX30+DX34-DX35)</x:f>
      </x:c>
      <x:c r="DY36" s="120">
        <x:f>MAX(0,DY30+DY34-DY35)</x:f>
      </x:c>
      <x:c r="DZ36" s="120">
        <x:f>MAX(0,DZ30+DZ34-DZ35)</x:f>
      </x:c>
      <x:c r="EA36" s="120">
        <x:f>MAX(0,EA30+EA34-EA35)</x:f>
      </x:c>
      <x:c r="EB36" s="120">
        <x:f>MAX(0,EB30+EB34-EB35)</x:f>
      </x:c>
      <x:c r="EC36" s="120">
        <x:f>MAX(0,EC30+EC34-EC35)</x:f>
      </x:c>
      <x:c r="ED36" s="120">
        <x:f>MAX(0,ED30+ED34-ED35)</x:f>
      </x:c>
      <x:c r="EE36" s="120">
        <x:f>MAX(0,EE30+EE34-EE35)</x:f>
      </x:c>
      <x:c r="EF36" s="120">
        <x:f>MAX(0,EF30+EF34-EF35)</x:f>
      </x:c>
      <x:c r="EG36" s="120">
        <x:f>MAX(0,EG30+EG34-EG35)</x:f>
      </x:c>
      <x:c r="EH36" s="120">
        <x:f>MAX(0,EH30+EH34-EH35)</x:f>
      </x:c>
      <x:c r="EI36" s="120">
        <x:f>MAX(0,EI30+EI34-EI35)</x:f>
      </x:c>
      <x:c r="EJ36" s="120">
        <x:f>MAX(0,EJ30+EJ34-EJ35)</x:f>
      </x:c>
      <x:c r="EK36" s="120">
        <x:f>MAX(0,EK30+EK34-EK35)</x:f>
      </x:c>
      <x:c r="EL36" s="120">
        <x:f>MAX(0,EL30+EL34-EL35)</x:f>
      </x:c>
      <x:c r="EM36" s="120">
        <x:f>MAX(0,EM30+EM34-EM35)</x:f>
      </x:c>
      <x:c r="EN36" s="120">
        <x:f>MAX(0,EN30+EN34-EN35)</x:f>
      </x:c>
      <x:c r="EO36" s="120">
        <x:f>MAX(0,EO30+EO34-EO35)</x:f>
      </x:c>
      <x:c r="EP36" s="120">
        <x:f>MAX(0,EP30+EP34-EP35)</x:f>
      </x:c>
      <x:c r="EQ36" s="120">
        <x:f>MAX(0,EQ30+EQ34-EQ35)</x:f>
      </x:c>
      <x:c r="ER36" s="120">
        <x:f>MAX(0,ER30+ER34-ER35)</x:f>
      </x:c>
      <x:c r="ES36" s="120">
        <x:f>MAX(0,ES30+ES34-ES35)</x:f>
      </x:c>
      <x:c r="ET36" s="120">
        <x:f>MAX(0,ET30+ET34-ET35)</x:f>
      </x:c>
      <x:c r="EU36" s="120">
        <x:f>MAX(0,EU30+EU34-EU35)</x:f>
      </x:c>
      <x:c r="EV36" s="120">
        <x:f>MAX(0,EV30+EV34-EV35)</x:f>
      </x:c>
      <x:c r="EW36" s="120">
        <x:f>MAX(0,EW30+EW34-EW35)</x:f>
      </x:c>
      <x:c r="EX36" s="120">
        <x:f>MAX(0,EX30+EX34-EX35)</x:f>
      </x:c>
      <x:c r="EY36" s="120">
        <x:f>MAX(0,EY30+EY34-EY35)</x:f>
      </x:c>
      <x:c r="EZ36" s="120">
        <x:f>MAX(0,EZ30+EZ34-EZ35)</x:f>
      </x:c>
      <x:c r="FA36" s="120">
        <x:f>MAX(0,FA30+FA34-FA35)</x:f>
      </x:c>
      <x:c r="FB36" s="120">
        <x:f>MAX(0,FB30+FB34-FB35)</x:f>
      </x:c>
      <x:c r="FC36" s="120">
        <x:f>MAX(0,FC30+FC34-FC35)</x:f>
      </x:c>
      <x:c r="FD36" s="120">
        <x:f>MAX(0,FD30+FD34-FD35)</x:f>
      </x:c>
      <x:c r="FE36" s="120">
        <x:f>MAX(0,FE30+FE34-FE35)</x:f>
      </x:c>
      <x:c r="FF36" s="120">
        <x:f>MAX(0,FF30+FF34-FF35)</x:f>
      </x:c>
      <x:c r="FG36" s="120">
        <x:f>MAX(0,FG30+FG34-FG35)</x:f>
      </x:c>
      <x:c r="FH36" s="120">
        <x:f>MAX(0,FH30+FH34-FH35)</x:f>
      </x:c>
      <x:c r="FI36" s="120">
        <x:f>MAX(0,FI30+FI34-FI35)</x:f>
      </x:c>
      <x:c r="FJ36" s="120">
        <x:f>MAX(0,FJ30+FJ34-FJ35)</x:f>
      </x:c>
      <x:c r="FK36" s="120">
        <x:f>MAX(0,FK30+FK34-FK35)</x:f>
      </x:c>
      <x:c r="FL36" s="120">
        <x:f>MAX(0,FL30+FL34-FL35)</x:f>
      </x:c>
      <x:c r="FM36" s="120">
        <x:f>MAX(0,FM30+FM34-FM35)</x:f>
      </x:c>
      <x:c r="FN36" s="120">
        <x:f>MAX(0,FN30+FN34-FN35)</x:f>
      </x:c>
      <x:c r="FO36" s="120">
        <x:f>MAX(0,FO30+FO34-FO35)</x:f>
      </x:c>
      <x:c r="FP36" s="120">
        <x:f>MAX(0,FP30+FP34-FP35)</x:f>
      </x:c>
      <x:c r="FQ36" s="120">
        <x:f>MAX(0,FQ30+FQ34-FQ35)</x:f>
      </x:c>
      <x:c r="FR36" s="120">
        <x:f>MAX(0,FR30+FR34-FR35)</x:f>
      </x:c>
      <x:c r="FS36" s="120">
        <x:f>MAX(0,FS30+FS34-FS35)</x:f>
      </x:c>
      <x:c r="FT36" s="120">
        <x:f>MAX(0,FT30+FT34-FT35)</x:f>
      </x:c>
      <x:c r="FU36" s="120">
        <x:f>MAX(0,FU30+FU34-FU35)</x:f>
      </x:c>
      <x:c r="FV36" s="120">
        <x:f>MAX(0,FV30+FV34-FV35)</x:f>
      </x:c>
      <x:c r="FW36" s="120">
        <x:f>MAX(0,FW30+FW34-FW35)</x:f>
      </x:c>
      <x:c r="FX36" s="120">
        <x:f>MAX(0,FX30+FX34-FX35)</x:f>
      </x:c>
      <x:c r="FY36" s="120">
        <x:f>MAX(0,FY30+FY34-FY35)</x:f>
      </x:c>
      <x:c r="FZ36" s="120">
        <x:f>MAX(0,FZ30+FZ34-FZ35)</x:f>
      </x:c>
      <x:c r="GA36" s="120">
        <x:f>MAX(0,GA30+GA34-GA35)</x:f>
      </x:c>
    </x:row>
    <x:row r="37">
      <x:c r="A37" t="inlineStr">
        <x:is>
          <x:t>БРИДЖ — проценты к уплате (накопленно)</x:t>
        </x:is>
      </x:c>
      <x:c r="B37"/>
      <x:c r="C37"/>
      <x:c r="D37" s="117">
        <x:f>IF(AND(D$3&lt;$B$7,$B$5=1),C37*(1+'Ставки'!D$6/12)+D32,0)</x:f>
      </x:c>
      <x:c r="E37" s="117">
        <x:f>IF(AND(E$3&lt;$B$7,$B$5=1),D37*(1+'Ставки'!E$6/12)+E32,0)</x:f>
      </x:c>
      <x:c r="F37" s="117">
        <x:f>IF(AND(F$3&lt;$B$7,$B$5=1),E37*(1+'Ставки'!F$6/12)+F32,0)</x:f>
      </x:c>
      <x:c r="G37" s="117">
        <x:f>IF(AND(G$3&lt;$B$7,$B$5=1),F37*(1+'Ставки'!G$6/12)+G32,0)</x:f>
      </x:c>
      <x:c r="H37" s="117">
        <x:f>IF(AND(H$3&lt;$B$7,$B$5=1),G37*(1+'Ставки'!H$6/12)+H32,0)</x:f>
      </x:c>
      <x:c r="I37" s="117">
        <x:f>IF(AND(I$3&lt;$B$7,$B$5=1),H37*(1+'Ставки'!I$6/12)+I32,0)</x:f>
      </x:c>
      <x:c r="J37" s="117">
        <x:f>IF(AND(J$3&lt;$B$7,$B$5=1),I37*(1+'Ставки'!J$6/12)+J32,0)</x:f>
      </x:c>
      <x:c r="K37" s="117">
        <x:f>IF(AND(K$3&lt;$B$7,$B$5=1),J37*(1+'Ставки'!K$6/12)+K32,0)</x:f>
      </x:c>
      <x:c r="L37" s="117">
        <x:f>IF(AND(L$3&lt;$B$7,$B$5=1),K37*(1+'Ставки'!L$6/12)+L32,0)</x:f>
      </x:c>
      <x:c r="M37" s="117">
        <x:f>IF(AND(M$3&lt;$B$7,$B$5=1),L37*(1+'Ставки'!M$6/12)+M32,0)</x:f>
      </x:c>
      <x:c r="N37" s="117">
        <x:f>IF(AND(N$3&lt;$B$7,$B$5=1),M37*(1+'Ставки'!N$6/12)+N32,0)</x:f>
      </x:c>
      <x:c r="O37" s="117">
        <x:f>IF(AND(O$3&lt;$B$7,$B$5=1),N37*(1+'Ставки'!O$6/12)+O32,0)</x:f>
      </x:c>
      <x:c r="P37" s="117">
        <x:f>IF(AND(P$3&lt;$B$7,$B$5=1),O37*(1+'Ставки'!P$6/12)+P32,0)</x:f>
      </x:c>
      <x:c r="Q37" s="117">
        <x:f>IF(AND(Q$3&lt;$B$7,$B$5=1),P37*(1+'Ставки'!Q$6/12)+Q32,0)</x:f>
      </x:c>
      <x:c r="R37" s="117">
        <x:f>IF(AND(R$3&lt;$B$7,$B$5=1),Q37*(1+'Ставки'!R$6/12)+R32,0)</x:f>
      </x:c>
      <x:c r="S37" s="117">
        <x:f>IF(AND(S$3&lt;$B$7,$B$5=1),R37*(1+'Ставки'!S$6/12)+S32,0)</x:f>
      </x:c>
      <x:c r="T37" s="117">
        <x:f>IF(AND(T$3&lt;$B$7,$B$5=1),S37*(1+'Ставки'!T$6/12)+T32,0)</x:f>
      </x:c>
      <x:c r="U37" s="117">
        <x:f>IF(AND(U$3&lt;$B$7,$B$5=1),T37*(1+'Ставки'!U$6/12)+U32,0)</x:f>
      </x:c>
      <x:c r="V37" s="117">
        <x:f>IF(AND(V$3&lt;$B$7,$B$5=1),U37*(1+'Ставки'!V$6/12)+V32,0)</x:f>
      </x:c>
      <x:c r="W37" s="117">
        <x:f>IF(AND(W$3&lt;$B$7,$B$5=1),V37*(1+'Ставки'!W$6/12)+W32,0)</x:f>
      </x:c>
      <x:c r="X37" s="117">
        <x:f>IF(AND(X$3&lt;$B$7,$B$5=1),W37*(1+'Ставки'!X$6/12)+X32,0)</x:f>
      </x:c>
      <x:c r="Y37" s="117">
        <x:f>IF(AND(Y$3&lt;$B$7,$B$5=1),X37*(1+'Ставки'!Y$6/12)+Y32,0)</x:f>
      </x:c>
      <x:c r="Z37" s="117">
        <x:f>IF(AND(Z$3&lt;$B$7,$B$5=1),Y37*(1+'Ставки'!Z$6/12)+Z32,0)</x:f>
      </x:c>
      <x:c r="AA37" s="117">
        <x:f>IF(AND(AA$3&lt;$B$7,$B$5=1),Z37*(1+'Ставки'!AA$6/12)+AA32,0)</x:f>
      </x:c>
      <x:c r="AB37" s="117">
        <x:f>IF(AND(AB$3&lt;$B$7,$B$5=1),AA37*(1+'Ставки'!AB$6/12)+AB32,0)</x:f>
      </x:c>
      <x:c r="AC37" s="117">
        <x:f>IF(AND(AC$3&lt;$B$7,$B$5=1),AB37*(1+'Ставки'!AC$6/12)+AC32,0)</x:f>
      </x:c>
      <x:c r="AD37" s="117">
        <x:f>IF(AND(AD$3&lt;$B$7,$B$5=1),AC37*(1+'Ставки'!AD$6/12)+AD32,0)</x:f>
      </x:c>
      <x:c r="AE37" s="117">
        <x:f>IF(AND(AE$3&lt;$B$7,$B$5=1),AD37*(1+'Ставки'!AE$6/12)+AE32,0)</x:f>
      </x:c>
      <x:c r="AF37" s="117">
        <x:f>IF(AND(AF$3&lt;$B$7,$B$5=1),AE37*(1+'Ставки'!AF$6/12)+AF32,0)</x:f>
      </x:c>
      <x:c r="AG37" s="117">
        <x:f>IF(AND(AG$3&lt;$B$7,$B$5=1),AF37*(1+'Ставки'!AG$6/12)+AG32,0)</x:f>
      </x:c>
      <x:c r="AH37" s="117">
        <x:f>IF(AND(AH$3&lt;$B$7,$B$5=1),AG37*(1+'Ставки'!AH$6/12)+AH32,0)</x:f>
      </x:c>
      <x:c r="AI37" s="117">
        <x:f>IF(AND(AI$3&lt;$B$7,$B$5=1),AH37*(1+'Ставки'!AI$6/12)+AI32,0)</x:f>
      </x:c>
      <x:c r="AJ37" s="117">
        <x:f>IF(AND(AJ$3&lt;$B$7,$B$5=1),AI37*(1+'Ставки'!AJ$6/12)+AJ32,0)</x:f>
      </x:c>
      <x:c r="AK37" s="117">
        <x:f>IF(AND(AK$3&lt;$B$7,$B$5=1),AJ37*(1+'Ставки'!AK$6/12)+AK32,0)</x:f>
      </x:c>
      <x:c r="AL37" s="117">
        <x:f>IF(AND(AL$3&lt;$B$7,$B$5=1),AK37*(1+'Ставки'!AL$6/12)+AL32,0)</x:f>
      </x:c>
      <x:c r="AM37" s="117">
        <x:f>IF(AND(AM$3&lt;$B$7,$B$5=1),AL37*(1+'Ставки'!AM$6/12)+AM32,0)</x:f>
      </x:c>
      <x:c r="AN37" s="117">
        <x:f>IF(AND(AN$3&lt;$B$7,$B$5=1),AM37*(1+'Ставки'!AN$6/12)+AN32,0)</x:f>
      </x:c>
      <x:c r="AO37" s="117">
        <x:f>IF(AND(AO$3&lt;$B$7,$B$5=1),AN37*(1+'Ставки'!AO$6/12)+AO32,0)</x:f>
      </x:c>
      <x:c r="AP37" s="117">
        <x:f>IF(AND(AP$3&lt;$B$7,$B$5=1),AO37*(1+'Ставки'!AP$6/12)+AP32,0)</x:f>
      </x:c>
      <x:c r="AQ37" s="117">
        <x:f>IF(AND(AQ$3&lt;$B$7,$B$5=1),AP37*(1+'Ставки'!AQ$6/12)+AQ32,0)</x:f>
      </x:c>
      <x:c r="AR37" s="117">
        <x:f>IF(AND(AR$3&lt;$B$7,$B$5=1),AQ37*(1+'Ставки'!AR$6/12)+AR32,0)</x:f>
      </x:c>
      <x:c r="AS37" s="117">
        <x:f>IF(AND(AS$3&lt;$B$7,$B$5=1),AR37*(1+'Ставки'!AS$6/12)+AS32,0)</x:f>
      </x:c>
      <x:c r="AT37" s="117">
        <x:f>IF(AND(AT$3&lt;$B$7,$B$5=1),AS37*(1+'Ставки'!AT$6/12)+AT32,0)</x:f>
      </x:c>
      <x:c r="AU37" s="117">
        <x:f>IF(AND(AU$3&lt;$B$7,$B$5=1),AT37*(1+'Ставки'!AU$6/12)+AU32,0)</x:f>
      </x:c>
      <x:c r="AV37" s="117">
        <x:f>IF(AND(AV$3&lt;$B$7,$B$5=1),AU37*(1+'Ставки'!AV$6/12)+AV32,0)</x:f>
      </x:c>
      <x:c r="AW37" s="117">
        <x:f>IF(AND(AW$3&lt;$B$7,$B$5=1),AV37*(1+'Ставки'!AW$6/12)+AW32,0)</x:f>
      </x:c>
      <x:c r="AX37" s="117">
        <x:f>IF(AND(AX$3&lt;$B$7,$B$5=1),AW37*(1+'Ставки'!AX$6/12)+AX32,0)</x:f>
      </x:c>
      <x:c r="AY37" s="117">
        <x:f>IF(AND(AY$3&lt;$B$7,$B$5=1),AX37*(1+'Ставки'!AY$6/12)+AY32,0)</x:f>
      </x:c>
      <x:c r="AZ37" s="117">
        <x:f>IF(AND(AZ$3&lt;$B$7,$B$5=1),AY37*(1+'Ставки'!AZ$6/12)+AZ32,0)</x:f>
      </x:c>
      <x:c r="BA37" s="117">
        <x:f>IF(AND(BA$3&lt;$B$7,$B$5=1),AZ37*(1+'Ставки'!BA$6/12)+BA32,0)</x:f>
      </x:c>
      <x:c r="BB37" s="117">
        <x:f>IF(AND(BB$3&lt;$B$7,$B$5=1),BA37*(1+'Ставки'!BB$6/12)+BB32,0)</x:f>
      </x:c>
      <x:c r="BC37" s="117">
        <x:f>IF(AND(BC$3&lt;$B$7,$B$5=1),BB37*(1+'Ставки'!BC$6/12)+BC32,0)</x:f>
      </x:c>
      <x:c r="BD37" s="117">
        <x:f>IF(AND(BD$3&lt;$B$7,$B$5=1),BC37*(1+'Ставки'!BD$6/12)+BD32,0)</x:f>
      </x:c>
      <x:c r="BE37" s="117">
        <x:f>IF(AND(BE$3&lt;$B$7,$B$5=1),BD37*(1+'Ставки'!BE$6/12)+BE32,0)</x:f>
      </x:c>
      <x:c r="BF37" s="117">
        <x:f>IF(AND(BF$3&lt;$B$7,$B$5=1),BE37*(1+'Ставки'!BF$6/12)+BF32,0)</x:f>
      </x:c>
      <x:c r="BG37" s="117">
        <x:f>IF(AND(BG$3&lt;$B$7,$B$5=1),BF37*(1+'Ставки'!BG$6/12)+BG32,0)</x:f>
      </x:c>
      <x:c r="BH37" s="117">
        <x:f>IF(AND(BH$3&lt;$B$7,$B$5=1),BG37*(1+'Ставки'!BH$6/12)+BH32,0)</x:f>
      </x:c>
      <x:c r="BI37" s="117">
        <x:f>IF(AND(BI$3&lt;$B$7,$B$5=1),BH37*(1+'Ставки'!BI$6/12)+BI32,0)</x:f>
      </x:c>
      <x:c r="BJ37" s="117">
        <x:f>IF(AND(BJ$3&lt;$B$7,$B$5=1),BI37*(1+'Ставки'!BJ$6/12)+BJ32,0)</x:f>
      </x:c>
      <x:c r="BK37" s="117">
        <x:f>IF(AND(BK$3&lt;$B$7,$B$5=1),BJ37*(1+'Ставки'!BK$6/12)+BK32,0)</x:f>
      </x:c>
      <x:c r="BL37" s="117">
        <x:f>IF(AND(BL$3&lt;$B$7,$B$5=1),BK37*(1+'Ставки'!BL$6/12)+BL32,0)</x:f>
      </x:c>
      <x:c r="BM37" s="117">
        <x:f>IF(AND(BM$3&lt;$B$7,$B$5=1),BL37*(1+'Ставки'!BM$6/12)+BM32,0)</x:f>
      </x:c>
      <x:c r="BN37" s="117">
        <x:f>IF(AND(BN$3&lt;$B$7,$B$5=1),BM37*(1+'Ставки'!BN$6/12)+BN32,0)</x:f>
      </x:c>
      <x:c r="BO37" s="117">
        <x:f>IF(AND(BO$3&lt;$B$7,$B$5=1),BN37*(1+'Ставки'!BO$6/12)+BO32,0)</x:f>
      </x:c>
      <x:c r="BP37" s="117">
        <x:f>IF(AND(BP$3&lt;$B$7,$B$5=1),BO37*(1+'Ставки'!BP$6/12)+BP32,0)</x:f>
      </x:c>
      <x:c r="BQ37" s="117">
        <x:f>IF(AND(BQ$3&lt;$B$7,$B$5=1),BP37*(1+'Ставки'!BQ$6/12)+BQ32,0)</x:f>
      </x:c>
      <x:c r="BR37" s="117">
        <x:f>IF(AND(BR$3&lt;$B$7,$B$5=1),BQ37*(1+'Ставки'!BR$6/12)+BR32,0)</x:f>
      </x:c>
      <x:c r="BS37" s="117">
        <x:f>IF(AND(BS$3&lt;$B$7,$B$5=1),BR37*(1+'Ставки'!BS$6/12)+BS32,0)</x:f>
      </x:c>
      <x:c r="BT37" s="117">
        <x:f>IF(AND(BT$3&lt;$B$7,$B$5=1),BS37*(1+'Ставки'!BT$6/12)+BT32,0)</x:f>
      </x:c>
      <x:c r="BU37" s="117">
        <x:f>IF(AND(BU$3&lt;$B$7,$B$5=1),BT37*(1+'Ставки'!BU$6/12)+BU32,0)</x:f>
      </x:c>
      <x:c r="BV37" s="117">
        <x:f>IF(AND(BV$3&lt;$B$7,$B$5=1),BU37*(1+'Ставки'!BV$6/12)+BV32,0)</x:f>
      </x:c>
      <x:c r="BW37" s="117">
        <x:f>IF(AND(BW$3&lt;$B$7,$B$5=1),BV37*(1+'Ставки'!BW$6/12)+BW32,0)</x:f>
      </x:c>
      <x:c r="BX37" s="117">
        <x:f>IF(AND(BX$3&lt;$B$7,$B$5=1),BW37*(1+'Ставки'!BX$6/12)+BX32,0)</x:f>
      </x:c>
      <x:c r="BY37" s="117">
        <x:f>IF(AND(BY$3&lt;$B$7,$B$5=1),BX37*(1+'Ставки'!BY$6/12)+BY32,0)</x:f>
      </x:c>
      <x:c r="BZ37" s="117">
        <x:f>IF(AND(BZ$3&lt;$B$7,$B$5=1),BY37*(1+'Ставки'!BZ$6/12)+BZ32,0)</x:f>
      </x:c>
      <x:c r="CA37" s="117">
        <x:f>IF(AND(CA$3&lt;$B$7,$B$5=1),BZ37*(1+'Ставки'!CA$6/12)+CA32,0)</x:f>
      </x:c>
      <x:c r="CB37" s="117">
        <x:f>IF(AND(CB$3&lt;$B$7,$B$5=1),CA37*(1+'Ставки'!CB$6/12)+CB32,0)</x:f>
      </x:c>
      <x:c r="CC37" s="117">
        <x:f>IF(AND(CC$3&lt;$B$7,$B$5=1),CB37*(1+'Ставки'!CC$6/12)+CC32,0)</x:f>
      </x:c>
      <x:c r="CD37" s="117">
        <x:f>IF(AND(CD$3&lt;$B$7,$B$5=1),CC37*(1+'Ставки'!CD$6/12)+CD32,0)</x:f>
      </x:c>
      <x:c r="CE37" s="117">
        <x:f>IF(AND(CE$3&lt;$B$7,$B$5=1),CD37*(1+'Ставки'!CE$6/12)+CE32,0)</x:f>
      </x:c>
      <x:c r="CF37" s="117">
        <x:f>IF(AND(CF$3&lt;$B$7,$B$5=1),CE37*(1+'Ставки'!CF$6/12)+CF32,0)</x:f>
      </x:c>
      <x:c r="CG37" s="117">
        <x:f>IF(AND(CG$3&lt;$B$7,$B$5=1),CF37*(1+'Ставки'!CG$6/12)+CG32,0)</x:f>
      </x:c>
      <x:c r="CH37" s="117">
        <x:f>IF(AND(CH$3&lt;$B$7,$B$5=1),CG37*(1+'Ставки'!CH$6/12)+CH32,0)</x:f>
      </x:c>
      <x:c r="CI37" s="117">
        <x:f>IF(AND(CI$3&lt;$B$7,$B$5=1),CH37*(1+'Ставки'!CI$6/12)+CI32,0)</x:f>
      </x:c>
      <x:c r="CJ37" s="117">
        <x:f>IF(AND(CJ$3&lt;$B$7,$B$5=1),CI37*(1+'Ставки'!CJ$6/12)+CJ32,0)</x:f>
      </x:c>
      <x:c r="CK37" s="117">
        <x:f>IF(AND(CK$3&lt;$B$7,$B$5=1),CJ37*(1+'Ставки'!CK$6/12)+CK32,0)</x:f>
      </x:c>
      <x:c r="CL37" s="117">
        <x:f>IF(AND(CL$3&lt;$B$7,$B$5=1),CK37*(1+'Ставки'!CL$6/12)+CL32,0)</x:f>
      </x:c>
      <x:c r="CM37" s="117">
        <x:f>IF(AND(CM$3&lt;$B$7,$B$5=1),CL37*(1+'Ставки'!CM$6/12)+CM32,0)</x:f>
      </x:c>
      <x:c r="CN37" s="117">
        <x:f>IF(AND(CN$3&lt;$B$7,$B$5=1),CM37*(1+'Ставки'!CN$6/12)+CN32,0)</x:f>
      </x:c>
      <x:c r="CO37" s="117">
        <x:f>IF(AND(CO$3&lt;$B$7,$B$5=1),CN37*(1+'Ставки'!CO$6/12)+CO32,0)</x:f>
      </x:c>
      <x:c r="CP37" s="117">
        <x:f>IF(AND(CP$3&lt;$B$7,$B$5=1),CO37*(1+'Ставки'!CP$6/12)+CP32,0)</x:f>
      </x:c>
      <x:c r="CQ37" s="117">
        <x:f>IF(AND(CQ$3&lt;$B$7,$B$5=1),CP37*(1+'Ставки'!CQ$6/12)+CQ32,0)</x:f>
      </x:c>
      <x:c r="CR37" s="117">
        <x:f>IF(AND(CR$3&lt;$B$7,$B$5=1),CQ37*(1+'Ставки'!CR$6/12)+CR32,0)</x:f>
      </x:c>
      <x:c r="CS37" s="117">
        <x:f>IF(AND(CS$3&lt;$B$7,$B$5=1),CR37*(1+'Ставки'!CS$6/12)+CS32,0)</x:f>
      </x:c>
      <x:c r="CT37" s="117">
        <x:f>IF(AND(CT$3&lt;$B$7,$B$5=1),CS37*(1+'Ставки'!CT$6/12)+CT32,0)</x:f>
      </x:c>
      <x:c r="CU37" s="117">
        <x:f>IF(AND(CU$3&lt;$B$7,$B$5=1),CT37*(1+'Ставки'!CU$6/12)+CU32,0)</x:f>
      </x:c>
      <x:c r="CV37" s="117">
        <x:f>IF(AND(CV$3&lt;$B$7,$B$5=1),CU37*(1+'Ставки'!CV$6/12)+CV32,0)</x:f>
      </x:c>
      <x:c r="CW37" s="117">
        <x:f>IF(AND(CW$3&lt;$B$7,$B$5=1),CV37*(1+'Ставки'!CW$6/12)+CW32,0)</x:f>
      </x:c>
      <x:c r="CX37" s="117">
        <x:f>IF(AND(CX$3&lt;$B$7,$B$5=1),CW37*(1+'Ставки'!CX$6/12)+CX32,0)</x:f>
      </x:c>
      <x:c r="CY37" s="117">
        <x:f>IF(AND(CY$3&lt;$B$7,$B$5=1),CX37*(1+'Ставки'!CY$6/12)+CY32,0)</x:f>
      </x:c>
      <x:c r="CZ37" s="117">
        <x:f>IF(AND(CZ$3&lt;$B$7,$B$5=1),CY37*(1+'Ставки'!CZ$6/12)+CZ32,0)</x:f>
      </x:c>
      <x:c r="DA37" s="117">
        <x:f>IF(AND(DA$3&lt;$B$7,$B$5=1),CZ37*(1+'Ставки'!DA$6/12)+DA32,0)</x:f>
      </x:c>
      <x:c r="DB37" s="117">
        <x:f>IF(AND(DB$3&lt;$B$7,$B$5=1),DA37*(1+'Ставки'!DB$6/12)+DB32,0)</x:f>
      </x:c>
      <x:c r="DC37" s="117">
        <x:f>IF(AND(DC$3&lt;$B$7,$B$5=1),DB37*(1+'Ставки'!DC$6/12)+DC32,0)</x:f>
      </x:c>
      <x:c r="DD37" s="117">
        <x:f>IF(AND(DD$3&lt;$B$7,$B$5=1),DC37*(1+'Ставки'!DD$6/12)+DD32,0)</x:f>
      </x:c>
      <x:c r="DE37" s="117">
        <x:f>IF(AND(DE$3&lt;$B$7,$B$5=1),DD37*(1+'Ставки'!DE$6/12)+DE32,0)</x:f>
      </x:c>
      <x:c r="DF37" s="117">
        <x:f>IF(AND(DF$3&lt;$B$7,$B$5=1),DE37*(1+'Ставки'!DF$6/12)+DF32,0)</x:f>
      </x:c>
      <x:c r="DG37" s="117">
        <x:f>IF(AND(DG$3&lt;$B$7,$B$5=1),DF37*(1+'Ставки'!DG$6/12)+DG32,0)</x:f>
      </x:c>
      <x:c r="DH37" s="117">
        <x:f>IF(AND(DH$3&lt;$B$7,$B$5=1),DG37*(1+'Ставки'!DH$6/12)+DH32,0)</x:f>
      </x:c>
      <x:c r="DI37" s="117">
        <x:f>IF(AND(DI$3&lt;$B$7,$B$5=1),DH37*(1+'Ставки'!DI$6/12)+DI32,0)</x:f>
      </x:c>
      <x:c r="DJ37" s="117">
        <x:f>IF(AND(DJ$3&lt;$B$7,$B$5=1),DI37*(1+'Ставки'!DJ$6/12)+DJ32,0)</x:f>
      </x:c>
      <x:c r="DK37" s="117">
        <x:f>IF(AND(DK$3&lt;$B$7,$B$5=1),DJ37*(1+'Ставки'!DK$6/12)+DK32,0)</x:f>
      </x:c>
      <x:c r="DL37" s="117">
        <x:f>IF(AND(DL$3&lt;$B$7,$B$5=1),DK37*(1+'Ставки'!DL$6/12)+DL32,0)</x:f>
      </x:c>
      <x:c r="DM37" s="117">
        <x:f>IF(AND(DM$3&lt;$B$7,$B$5=1),DL37*(1+'Ставки'!DM$6/12)+DM32,0)</x:f>
      </x:c>
      <x:c r="DN37" s="117">
        <x:f>IF(AND(DN$3&lt;$B$7,$B$5=1),DM37*(1+'Ставки'!DN$6/12)+DN32,0)</x:f>
      </x:c>
      <x:c r="DO37" s="117">
        <x:f>IF(AND(DO$3&lt;$B$7,$B$5=1),DN37*(1+'Ставки'!DO$6/12)+DO32,0)</x:f>
      </x:c>
      <x:c r="DP37" s="117">
        <x:f>IF(AND(DP$3&lt;$B$7,$B$5=1),DO37*(1+'Ставки'!DP$6/12)+DP32,0)</x:f>
      </x:c>
      <x:c r="DQ37" s="117">
        <x:f>IF(AND(DQ$3&lt;$B$7,$B$5=1),DP37*(1+'Ставки'!DQ$6/12)+DQ32,0)</x:f>
      </x:c>
      <x:c r="DR37" s="117">
        <x:f>IF(AND(DR$3&lt;$B$7,$B$5=1),DQ37*(1+'Ставки'!DR$6/12)+DR32,0)</x:f>
      </x:c>
      <x:c r="DS37" s="117">
        <x:f>IF(AND(DS$3&lt;$B$7,$B$5=1),DR37*(1+'Ставки'!DS$6/12)+DS32,0)</x:f>
      </x:c>
      <x:c r="DT37" s="117">
        <x:f>IF(AND(DT$3&lt;$B$7,$B$5=1),DS37*(1+'Ставки'!DT$6/12)+DT32,0)</x:f>
      </x:c>
      <x:c r="DU37" s="117">
        <x:f>IF(AND(DU$3&lt;$B$7,$B$5=1),DT37*(1+'Ставки'!DU$6/12)+DU32,0)</x:f>
      </x:c>
      <x:c r="DV37" s="117">
        <x:f>IF(AND(DV$3&lt;$B$7,$B$5=1),DU37*(1+'Ставки'!DV$6/12)+DV32,0)</x:f>
      </x:c>
      <x:c r="DW37" s="117">
        <x:f>IF(AND(DW$3&lt;$B$7,$B$5=1),DV37*(1+'Ставки'!DW$6/12)+DW32,0)</x:f>
      </x:c>
      <x:c r="DX37" s="117">
        <x:f>IF(AND(DX$3&lt;$B$7,$B$5=1),DW37*(1+'Ставки'!DX$6/12)+DX32,0)</x:f>
      </x:c>
      <x:c r="DY37" s="117">
        <x:f>IF(AND(DY$3&lt;$B$7,$B$5=1),DX37*(1+'Ставки'!DY$6/12)+DY32,0)</x:f>
      </x:c>
      <x:c r="DZ37" s="117">
        <x:f>IF(AND(DZ$3&lt;$B$7,$B$5=1),DY37*(1+'Ставки'!DZ$6/12)+DZ32,0)</x:f>
      </x:c>
      <x:c r="EA37" s="117">
        <x:f>IF(AND(EA$3&lt;$B$7,$B$5=1),DZ37*(1+'Ставки'!EA$6/12)+EA32,0)</x:f>
      </x:c>
      <x:c r="EB37" s="117">
        <x:f>IF(AND(EB$3&lt;$B$7,$B$5=1),EA37*(1+'Ставки'!EB$6/12)+EB32,0)</x:f>
      </x:c>
      <x:c r="EC37" s="117">
        <x:f>IF(AND(EC$3&lt;$B$7,$B$5=1),EB37*(1+'Ставки'!EC$6/12)+EC32,0)</x:f>
      </x:c>
      <x:c r="ED37" s="117">
        <x:f>IF(AND(ED$3&lt;$B$7,$B$5=1),EC37*(1+'Ставки'!ED$6/12)+ED32,0)</x:f>
      </x:c>
      <x:c r="EE37" s="117">
        <x:f>IF(AND(EE$3&lt;$B$7,$B$5=1),ED37*(1+'Ставки'!EE$6/12)+EE32,0)</x:f>
      </x:c>
      <x:c r="EF37" s="117">
        <x:f>IF(AND(EF$3&lt;$B$7,$B$5=1),EE37*(1+'Ставки'!EF$6/12)+EF32,0)</x:f>
      </x:c>
      <x:c r="EG37" s="117">
        <x:f>IF(AND(EG$3&lt;$B$7,$B$5=1),EF37*(1+'Ставки'!EG$6/12)+EG32,0)</x:f>
      </x:c>
      <x:c r="EH37" s="117">
        <x:f>IF(AND(EH$3&lt;$B$7,$B$5=1),EG37*(1+'Ставки'!EH$6/12)+EH32,0)</x:f>
      </x:c>
      <x:c r="EI37" s="117">
        <x:f>IF(AND(EI$3&lt;$B$7,$B$5=1),EH37*(1+'Ставки'!EI$6/12)+EI32,0)</x:f>
      </x:c>
      <x:c r="EJ37" s="117">
        <x:f>IF(AND(EJ$3&lt;$B$7,$B$5=1),EI37*(1+'Ставки'!EJ$6/12)+EJ32,0)</x:f>
      </x:c>
      <x:c r="EK37" s="117">
        <x:f>IF(AND(EK$3&lt;$B$7,$B$5=1),EJ37*(1+'Ставки'!EK$6/12)+EK32,0)</x:f>
      </x:c>
      <x:c r="EL37" s="117">
        <x:f>IF(AND(EL$3&lt;$B$7,$B$5=1),EK37*(1+'Ставки'!EL$6/12)+EL32,0)</x:f>
      </x:c>
      <x:c r="EM37" s="117">
        <x:f>IF(AND(EM$3&lt;$B$7,$B$5=1),EL37*(1+'Ставки'!EM$6/12)+EM32,0)</x:f>
      </x:c>
      <x:c r="EN37" s="117">
        <x:f>IF(AND(EN$3&lt;$B$7,$B$5=1),EM37*(1+'Ставки'!EN$6/12)+EN32,0)</x:f>
      </x:c>
      <x:c r="EO37" s="117">
        <x:f>IF(AND(EO$3&lt;$B$7,$B$5=1),EN37*(1+'Ставки'!EO$6/12)+EO32,0)</x:f>
      </x:c>
      <x:c r="EP37" s="117">
        <x:f>IF(AND(EP$3&lt;$B$7,$B$5=1),EO37*(1+'Ставки'!EP$6/12)+EP32,0)</x:f>
      </x:c>
      <x:c r="EQ37" s="117">
        <x:f>IF(AND(EQ$3&lt;$B$7,$B$5=1),EP37*(1+'Ставки'!EQ$6/12)+EQ32,0)</x:f>
      </x:c>
      <x:c r="ER37" s="117">
        <x:f>IF(AND(ER$3&lt;$B$7,$B$5=1),EQ37*(1+'Ставки'!ER$6/12)+ER32,0)</x:f>
      </x:c>
      <x:c r="ES37" s="117">
        <x:f>IF(AND(ES$3&lt;$B$7,$B$5=1),ER37*(1+'Ставки'!ES$6/12)+ES32,0)</x:f>
      </x:c>
      <x:c r="ET37" s="117">
        <x:f>IF(AND(ET$3&lt;$B$7,$B$5=1),ES37*(1+'Ставки'!ET$6/12)+ET32,0)</x:f>
      </x:c>
      <x:c r="EU37" s="117">
        <x:f>IF(AND(EU$3&lt;$B$7,$B$5=1),ET37*(1+'Ставки'!EU$6/12)+EU32,0)</x:f>
      </x:c>
      <x:c r="EV37" s="117">
        <x:f>IF(AND(EV$3&lt;$B$7,$B$5=1),EU37*(1+'Ставки'!EV$6/12)+EV32,0)</x:f>
      </x:c>
      <x:c r="EW37" s="117">
        <x:f>IF(AND(EW$3&lt;$B$7,$B$5=1),EV37*(1+'Ставки'!EW$6/12)+EW32,0)</x:f>
      </x:c>
      <x:c r="EX37" s="117">
        <x:f>IF(AND(EX$3&lt;$B$7,$B$5=1),EW37*(1+'Ставки'!EX$6/12)+EX32,0)</x:f>
      </x:c>
      <x:c r="EY37" s="117">
        <x:f>IF(AND(EY$3&lt;$B$7,$B$5=1),EX37*(1+'Ставки'!EY$6/12)+EY32,0)</x:f>
      </x:c>
      <x:c r="EZ37" s="117">
        <x:f>IF(AND(EZ$3&lt;$B$7,$B$5=1),EY37*(1+'Ставки'!EZ$6/12)+EZ32,0)</x:f>
      </x:c>
      <x:c r="FA37" s="117">
        <x:f>IF(AND(FA$3&lt;$B$7,$B$5=1),EZ37*(1+'Ставки'!FA$6/12)+FA32,0)</x:f>
      </x:c>
      <x:c r="FB37" s="117">
        <x:f>IF(AND(FB$3&lt;$B$7,$B$5=1),FA37*(1+'Ставки'!FB$6/12)+FB32,0)</x:f>
      </x:c>
      <x:c r="FC37" s="117">
        <x:f>IF(AND(FC$3&lt;$B$7,$B$5=1),FB37*(1+'Ставки'!FC$6/12)+FC32,0)</x:f>
      </x:c>
      <x:c r="FD37" s="117">
        <x:f>IF(AND(FD$3&lt;$B$7,$B$5=1),FC37*(1+'Ставки'!FD$6/12)+FD32,0)</x:f>
      </x:c>
      <x:c r="FE37" s="117">
        <x:f>IF(AND(FE$3&lt;$B$7,$B$5=1),FD37*(1+'Ставки'!FE$6/12)+FE32,0)</x:f>
      </x:c>
      <x:c r="FF37" s="117">
        <x:f>IF(AND(FF$3&lt;$B$7,$B$5=1),FE37*(1+'Ставки'!FF$6/12)+FF32,0)</x:f>
      </x:c>
      <x:c r="FG37" s="117">
        <x:f>IF(AND(FG$3&lt;$B$7,$B$5=1),FF37*(1+'Ставки'!FG$6/12)+FG32,0)</x:f>
      </x:c>
      <x:c r="FH37" s="117">
        <x:f>IF(AND(FH$3&lt;$B$7,$B$5=1),FG37*(1+'Ставки'!FH$6/12)+FH32,0)</x:f>
      </x:c>
      <x:c r="FI37" s="117">
        <x:f>IF(AND(FI$3&lt;$B$7,$B$5=1),FH37*(1+'Ставки'!FI$6/12)+FI32,0)</x:f>
      </x:c>
      <x:c r="FJ37" s="117">
        <x:f>IF(AND(FJ$3&lt;$B$7,$B$5=1),FI37*(1+'Ставки'!FJ$6/12)+FJ32,0)</x:f>
      </x:c>
      <x:c r="FK37" s="117">
        <x:f>IF(AND(FK$3&lt;$B$7,$B$5=1),FJ37*(1+'Ставки'!FK$6/12)+FK32,0)</x:f>
      </x:c>
      <x:c r="FL37" s="117">
        <x:f>IF(AND(FL$3&lt;$B$7,$B$5=1),FK37*(1+'Ставки'!FL$6/12)+FL32,0)</x:f>
      </x:c>
      <x:c r="FM37" s="117">
        <x:f>IF(AND(FM$3&lt;$B$7,$B$5=1),FL37*(1+'Ставки'!FM$6/12)+FM32,0)</x:f>
      </x:c>
      <x:c r="FN37" s="117">
        <x:f>IF(AND(FN$3&lt;$B$7,$B$5=1),FM37*(1+'Ставки'!FN$6/12)+FN32,0)</x:f>
      </x:c>
      <x:c r="FO37" s="117">
        <x:f>IF(AND(FO$3&lt;$B$7,$B$5=1),FN37*(1+'Ставки'!FO$6/12)+FO32,0)</x:f>
      </x:c>
      <x:c r="FP37" s="117">
        <x:f>IF(AND(FP$3&lt;$B$7,$B$5=1),FO37*(1+'Ставки'!FP$6/12)+FP32,0)</x:f>
      </x:c>
      <x:c r="FQ37" s="117">
        <x:f>IF(AND(FQ$3&lt;$B$7,$B$5=1),FP37*(1+'Ставки'!FQ$6/12)+FQ32,0)</x:f>
      </x:c>
      <x:c r="FR37" s="117">
        <x:f>IF(AND(FR$3&lt;$B$7,$B$5=1),FQ37*(1+'Ставки'!FR$6/12)+FR32,0)</x:f>
      </x:c>
      <x:c r="FS37" s="117">
        <x:f>IF(AND(FS$3&lt;$B$7,$B$5=1),FR37*(1+'Ставки'!FS$6/12)+FS32,0)</x:f>
      </x:c>
      <x:c r="FT37" s="117">
        <x:f>IF(AND(FT$3&lt;$B$7,$B$5=1),FS37*(1+'Ставки'!FT$6/12)+FT32,0)</x:f>
      </x:c>
      <x:c r="FU37" s="117">
        <x:f>IF(AND(FU$3&lt;$B$7,$B$5=1),FT37*(1+'Ставки'!FU$6/12)+FU32,0)</x:f>
      </x:c>
      <x:c r="FV37" s="117">
        <x:f>IF(AND(FV$3&lt;$B$7,$B$5=1),FU37*(1+'Ставки'!FV$6/12)+FV32,0)</x:f>
      </x:c>
      <x:c r="FW37" s="117">
        <x:f>IF(AND(FW$3&lt;$B$7,$B$5=1),FV37*(1+'Ставки'!FW$6/12)+FW32,0)</x:f>
      </x:c>
      <x:c r="FX37" s="117">
        <x:f>IF(AND(FX$3&lt;$B$7,$B$5=1),FW37*(1+'Ставки'!FX$6/12)+FX32,0)</x:f>
      </x:c>
      <x:c r="FY37" s="117">
        <x:f>IF(AND(FY$3&lt;$B$7,$B$5=1),FX37*(1+'Ставки'!FY$6/12)+FY32,0)</x:f>
      </x:c>
      <x:c r="FZ37" s="117">
        <x:f>IF(AND(FZ$3&lt;$B$7,$B$5=1),FY37*(1+'Ставки'!FZ$6/12)+FZ32,0)</x:f>
      </x:c>
      <x:c r="GA37" s="117">
        <x:f>IF(AND(GA$3&lt;$B$7,$B$5=1),FZ37*(1+'Ставки'!GA$6/12)+GA32,0)</x:f>
      </x:c>
    </x:row>
    <x:row r="38">
      <x:c r="A38" t="str">
        <x:v>ПФ — долг на начало</x:v>
      </x:c>
      <x:c r="B38"/>
      <x:c r="C38" t="str">
        <x:v>млн ₽</x:v>
      </x:c>
      <x:c r="D38" s="117" t="n">
        <x:f>0</x:f>
      </x:c>
      <x:c r="E38" s="117" t="n">
        <x:f>D47</x:f>
      </x:c>
      <x:c r="F38" s="117" t="n">
        <x:f>E47</x:f>
      </x:c>
      <x:c r="G38" s="117" t="n">
        <x:f>F47</x:f>
      </x:c>
      <x:c r="H38" s="117" t="n">
        <x:f>G47</x:f>
      </x:c>
      <x:c r="I38" s="117" t="n">
        <x:f>H47</x:f>
      </x:c>
      <x:c r="J38" s="117" t="n">
        <x:f>I47</x:f>
      </x:c>
      <x:c r="K38" s="117" t="n">
        <x:f>J47</x:f>
      </x:c>
      <x:c r="L38" s="117" t="n">
        <x:f>K47</x:f>
      </x:c>
      <x:c r="M38" s="117" t="n">
        <x:f>L47</x:f>
      </x:c>
      <x:c r="N38" s="117" t="n">
        <x:f>M47</x:f>
      </x:c>
      <x:c r="O38" s="117" t="n">
        <x:f>N47</x:f>
      </x:c>
      <x:c r="P38" s="117" t="n">
        <x:f>O47</x:f>
      </x:c>
      <x:c r="Q38" s="117" t="n">
        <x:f>P47</x:f>
      </x:c>
      <x:c r="R38" s="117" t="n">
        <x:f>Q47</x:f>
      </x:c>
      <x:c r="S38" s="117" t="n">
        <x:f>R47</x:f>
      </x:c>
      <x:c r="T38" s="117" t="n">
        <x:f>S47</x:f>
      </x:c>
      <x:c r="U38" s="117" t="n">
        <x:f>T47</x:f>
      </x:c>
      <x:c r="V38" s="117" t="n">
        <x:f>U47</x:f>
      </x:c>
      <x:c r="W38" s="117" t="n">
        <x:f>V47</x:f>
      </x:c>
      <x:c r="X38" s="117" t="n">
        <x:f>W47</x:f>
      </x:c>
      <x:c r="Y38" s="117" t="n">
        <x:f>X47</x:f>
      </x:c>
      <x:c r="Z38" s="117" t="n">
        <x:f>Y47</x:f>
      </x:c>
      <x:c r="AA38" s="117" t="n">
        <x:f>Z47</x:f>
      </x:c>
      <x:c r="AB38" s="117" t="n">
        <x:f>AA47</x:f>
      </x:c>
      <x:c r="AC38" s="117" t="n">
        <x:f>AB47</x:f>
      </x:c>
      <x:c r="AD38" s="117" t="n">
        <x:f>AC47</x:f>
      </x:c>
      <x:c r="AE38" s="117" t="n">
        <x:f>AD47</x:f>
      </x:c>
      <x:c r="AF38" s="117" t="n">
        <x:f>AE47</x:f>
      </x:c>
      <x:c r="AG38" s="117" t="n">
        <x:f>AF47</x:f>
      </x:c>
      <x:c r="AH38" s="117" t="n">
        <x:f>AG47</x:f>
      </x:c>
      <x:c r="AI38" s="117" t="n">
        <x:f>AH47</x:f>
      </x:c>
      <x:c r="AJ38" s="117" t="n">
        <x:f>AI47</x:f>
      </x:c>
      <x:c r="AK38" s="117" t="n">
        <x:f>AJ47</x:f>
      </x:c>
      <x:c r="AL38" s="117" t="n">
        <x:f>AK47</x:f>
      </x:c>
      <x:c r="AM38" s="117" t="n">
        <x:f>AL47</x:f>
      </x:c>
      <x:c r="AN38" s="117" t="n">
        <x:f>AM47</x:f>
      </x:c>
      <x:c r="AO38" s="117" t="n">
        <x:f>AN47</x:f>
      </x:c>
      <x:c r="AP38" s="117" t="n">
        <x:f>AO47</x:f>
      </x:c>
      <x:c r="AQ38" s="117" t="n">
        <x:f>AP47</x:f>
      </x:c>
      <x:c r="AR38" s="117" t="n">
        <x:f>AQ47</x:f>
      </x:c>
      <x:c r="AS38" s="117" t="n">
        <x:f>AR47</x:f>
      </x:c>
      <x:c r="AT38" s="117" t="n">
        <x:f>AS47</x:f>
      </x:c>
      <x:c r="AU38" s="117" t="n">
        <x:f>AT47</x:f>
      </x:c>
      <x:c r="AV38" s="117" t="n">
        <x:f>AU47</x:f>
      </x:c>
      <x:c r="AW38" s="117" t="n">
        <x:f>AV47</x:f>
      </x:c>
      <x:c r="AX38" s="117" t="n">
        <x:f>AW47</x:f>
      </x:c>
      <x:c r="AY38" s="117" t="n">
        <x:f>AX47</x:f>
      </x:c>
      <x:c r="AZ38" s="117" t="n">
        <x:f>AY47</x:f>
      </x:c>
      <x:c r="BA38" s="117" t="n">
        <x:f>AZ47</x:f>
      </x:c>
      <x:c r="BB38" s="117" t="n">
        <x:f>BA47</x:f>
      </x:c>
      <x:c r="BC38" s="117" t="n">
        <x:f>BB47</x:f>
      </x:c>
      <x:c r="BD38" s="117" t="n">
        <x:f>BC47</x:f>
      </x:c>
      <x:c r="BE38" s="117" t="n">
        <x:f>BD47</x:f>
      </x:c>
      <x:c r="BF38" s="117" t="n">
        <x:f>BE47</x:f>
      </x:c>
      <x:c r="BG38" s="117" t="n">
        <x:f>BF47</x:f>
      </x:c>
      <x:c r="BH38" s="117" t="n">
        <x:f>BG47</x:f>
      </x:c>
      <x:c r="BI38" s="117" t="n">
        <x:f>BH47</x:f>
      </x:c>
      <x:c r="BJ38" s="117" t="n">
        <x:f>BI47</x:f>
      </x:c>
      <x:c r="BK38" s="117" t="n">
        <x:f>BJ47</x:f>
      </x:c>
      <x:c r="BL38" s="117" t="n">
        <x:f>BK47</x:f>
      </x:c>
      <x:c r="BM38" s="117" t="n">
        <x:f>BL47</x:f>
      </x:c>
      <x:c r="BN38" s="117" t="n">
        <x:f>BM47</x:f>
      </x:c>
      <x:c r="BO38" s="117" t="n">
        <x:f>BN47</x:f>
      </x:c>
      <x:c r="BP38" s="117" t="n">
        <x:f>BO47</x:f>
      </x:c>
      <x:c r="BQ38" s="117" t="n">
        <x:f>BP47</x:f>
      </x:c>
      <x:c r="BR38" s="117" t="n">
        <x:f>BQ47</x:f>
      </x:c>
      <x:c r="BS38" s="117" t="n">
        <x:f>BR47</x:f>
      </x:c>
      <x:c r="BT38" s="117" t="n">
        <x:f>BS47</x:f>
      </x:c>
      <x:c r="BU38" s="117" t="n">
        <x:f>BT47</x:f>
      </x:c>
      <x:c r="BV38" s="117" t="n">
        <x:f>BU47</x:f>
      </x:c>
      <x:c r="BW38" s="117" t="n">
        <x:f>BV47</x:f>
      </x:c>
      <x:c r="BX38" s="117" t="n">
        <x:f>BW47</x:f>
      </x:c>
      <x:c r="BY38" s="117" t="n">
        <x:f>BX47</x:f>
      </x:c>
      <x:c r="BZ38" s="117" t="n">
        <x:f>BY47</x:f>
      </x:c>
      <x:c r="CA38" s="117" t="n">
        <x:f>BZ47</x:f>
      </x:c>
      <x:c r="CB38" s="117" t="n">
        <x:f>CA47</x:f>
      </x:c>
      <x:c r="CC38" s="117" t="n">
        <x:f>CB47</x:f>
      </x:c>
      <x:c r="CD38" s="117" t="n">
        <x:f>CC47</x:f>
      </x:c>
      <x:c r="CE38" s="117" t="n">
        <x:f>CD47</x:f>
      </x:c>
      <x:c r="CF38" s="117" t="n">
        <x:f>CE47</x:f>
      </x:c>
      <x:c r="CG38" s="117" t="n">
        <x:f>CF47</x:f>
      </x:c>
      <x:c r="CH38" s="117" t="n">
        <x:f>CG47</x:f>
      </x:c>
      <x:c r="CI38" s="117" t="n">
        <x:f>CH47</x:f>
      </x:c>
      <x:c r="CJ38" s="117" t="n">
        <x:f>CI47</x:f>
      </x:c>
      <x:c r="CK38" s="117" t="n">
        <x:f>CJ47</x:f>
      </x:c>
      <x:c r="CL38" s="117" t="n">
        <x:f>CK47</x:f>
      </x:c>
      <x:c r="CM38" s="117" t="n">
        <x:f>CL47</x:f>
      </x:c>
      <x:c r="CN38" s="117" t="n">
        <x:f>CM47</x:f>
      </x:c>
      <x:c r="CO38" s="117" t="n">
        <x:f>CN47</x:f>
      </x:c>
      <x:c r="CP38" s="117" t="n">
        <x:f>CO47</x:f>
      </x:c>
      <x:c r="CQ38" s="117" t="n">
        <x:f>CP47</x:f>
      </x:c>
      <x:c r="CR38" s="117" t="n">
        <x:f>CQ47</x:f>
      </x:c>
      <x:c r="CS38" s="117" t="n">
        <x:f>CR47</x:f>
      </x:c>
      <x:c r="CT38" s="117" t="n">
        <x:f>CS47</x:f>
      </x:c>
      <x:c r="CU38" s="117" t="n">
        <x:f>CT47</x:f>
      </x:c>
      <x:c r="CV38" s="117" t="n">
        <x:f>CU47</x:f>
      </x:c>
      <x:c r="CW38" s="117" t="n">
        <x:f>CV47</x:f>
      </x:c>
      <x:c r="CX38" s="117" t="n">
        <x:f>CW47</x:f>
      </x:c>
      <x:c r="CY38" s="117" t="n">
        <x:f>CX47</x:f>
      </x:c>
      <x:c r="CZ38" s="117" t="n">
        <x:f>CY47</x:f>
      </x:c>
      <x:c r="DA38" s="117" t="n">
        <x:f>CZ47</x:f>
      </x:c>
      <x:c r="DB38" s="117" t="n">
        <x:f>DA47</x:f>
      </x:c>
      <x:c r="DC38" s="117" t="n">
        <x:f>DB47</x:f>
      </x:c>
      <x:c r="DD38" s="117" t="n">
        <x:f>DC47</x:f>
      </x:c>
      <x:c r="DE38" s="117" t="n">
        <x:f>DD47</x:f>
      </x:c>
      <x:c r="DF38" s="117" t="n">
        <x:f>DE47</x:f>
      </x:c>
      <x:c r="DG38" s="117" t="n">
        <x:f>DF47</x:f>
      </x:c>
      <x:c r="DH38" s="117" t="n">
        <x:f>DG47</x:f>
      </x:c>
      <x:c r="DI38" s="117" t="n">
        <x:f>DH47</x:f>
      </x:c>
      <x:c r="DJ38" s="117" t="n">
        <x:f>DI47</x:f>
      </x:c>
      <x:c r="DK38" s="117" t="n">
        <x:f>DJ47</x:f>
      </x:c>
      <x:c r="DL38" s="117" t="n">
        <x:f>DK47</x:f>
      </x:c>
      <x:c r="DM38" s="117" t="n">
        <x:f>DL47</x:f>
      </x:c>
      <x:c r="DN38" s="117" t="n">
        <x:f>DM47</x:f>
      </x:c>
      <x:c r="DO38" s="117" t="n">
        <x:f>DN47</x:f>
      </x:c>
      <x:c r="DP38" s="117" t="n">
        <x:f>DO47</x:f>
      </x:c>
      <x:c r="DQ38" s="117" t="n">
        <x:f>DP47</x:f>
      </x:c>
      <x:c r="DR38" s="117" t="n">
        <x:f>DQ47</x:f>
      </x:c>
      <x:c r="DS38" s="117" t="n">
        <x:f>DR47</x:f>
      </x:c>
      <x:c r="DT38" s="117" t="n">
        <x:f>DS47</x:f>
      </x:c>
      <x:c r="DU38" s="117" t="n">
        <x:f>DT47</x:f>
      </x:c>
      <x:c r="DV38" s="117" t="n">
        <x:f>DU47</x:f>
      </x:c>
      <x:c r="DW38" s="117" t="n">
        <x:f>DV47</x:f>
      </x:c>
      <x:c r="DX38" s="117" t="n">
        <x:f>DW47</x:f>
      </x:c>
      <x:c r="DY38" s="117" t="n">
        <x:f>DX47</x:f>
      </x:c>
      <x:c r="DZ38" s="117" t="n">
        <x:f>DY47</x:f>
      </x:c>
      <x:c r="EA38" s="117" t="n">
        <x:f>DZ47</x:f>
      </x:c>
      <x:c r="EB38" s="117" t="n">
        <x:f>EA47</x:f>
      </x:c>
      <x:c r="EC38" s="117" t="n">
        <x:f>EB47</x:f>
      </x:c>
      <x:c r="ED38" s="117" t="n">
        <x:f>EC47</x:f>
      </x:c>
      <x:c r="EE38" s="117" t="n">
        <x:f>ED47</x:f>
      </x:c>
      <x:c r="EF38" s="117" t="n">
        <x:f>EE47</x:f>
      </x:c>
      <x:c r="EG38" s="117" t="n">
        <x:f>EF47</x:f>
      </x:c>
      <x:c r="EH38" s="117" t="n">
        <x:f>EG47</x:f>
      </x:c>
      <x:c r="EI38" s="117" t="n">
        <x:f>EH47</x:f>
      </x:c>
      <x:c r="EJ38" s="117" t="n">
        <x:f>EI47</x:f>
      </x:c>
      <x:c r="EK38" s="117" t="n">
        <x:f>EJ47</x:f>
      </x:c>
      <x:c r="EL38" s="117" t="n">
        <x:f>EK47</x:f>
      </x:c>
      <x:c r="EM38" s="117" t="n">
        <x:f>EL47</x:f>
      </x:c>
      <x:c r="EN38" s="117" t="n">
        <x:f>EM47</x:f>
      </x:c>
      <x:c r="EO38" s="117" t="n">
        <x:f>EN47</x:f>
      </x:c>
      <x:c r="EP38" s="117" t="n">
        <x:f>EO47</x:f>
      </x:c>
      <x:c r="EQ38" s="117" t="n">
        <x:f>EP47</x:f>
      </x:c>
      <x:c r="ER38" s="117" t="n">
        <x:f>EQ47</x:f>
      </x:c>
      <x:c r="ES38" s="117" t="n">
        <x:f>ER47</x:f>
      </x:c>
      <x:c r="ET38" s="117" t="n">
        <x:f>ES47</x:f>
      </x:c>
      <x:c r="EU38" s="117" t="n">
        <x:f>ET47</x:f>
      </x:c>
      <x:c r="EV38" s="117" t="n">
        <x:f>EU47</x:f>
      </x:c>
      <x:c r="EW38" s="117" t="n">
        <x:f>EV47</x:f>
      </x:c>
      <x:c r="EX38" s="117" t="n">
        <x:f>EW47</x:f>
      </x:c>
      <x:c r="EY38" s="117" t="n">
        <x:f>EX47</x:f>
      </x:c>
      <x:c r="EZ38" s="117" t="n">
        <x:f>EY47</x:f>
      </x:c>
      <x:c r="FA38" s="117" t="n">
        <x:f>EZ47</x:f>
      </x:c>
      <x:c r="FB38" s="117" t="n">
        <x:f>FA47</x:f>
      </x:c>
      <x:c r="FC38" s="117" t="n">
        <x:f>FB47</x:f>
      </x:c>
      <x:c r="FD38" s="117" t="n">
        <x:f>FC47</x:f>
      </x:c>
      <x:c r="FE38" s="117" t="n">
        <x:f>FD47</x:f>
      </x:c>
      <x:c r="FF38" s="117" t="n">
        <x:f>FE47</x:f>
      </x:c>
      <x:c r="FG38" s="117" t="n">
        <x:f>FF47</x:f>
      </x:c>
      <x:c r="FH38" s="117" t="n">
        <x:f>FG47</x:f>
      </x:c>
      <x:c r="FI38" s="117" t="n">
        <x:f>FH47</x:f>
      </x:c>
      <x:c r="FJ38" s="117" t="n">
        <x:f>FI47</x:f>
      </x:c>
      <x:c r="FK38" s="117" t="n">
        <x:f>FJ47</x:f>
      </x:c>
      <x:c r="FL38" s="117" t="n">
        <x:f>FK47</x:f>
      </x:c>
      <x:c r="FM38" s="117" t="n">
        <x:f>FL47</x:f>
      </x:c>
      <x:c r="FN38" s="117" t="n">
        <x:f>FM47</x:f>
      </x:c>
      <x:c r="FO38" s="117" t="n">
        <x:f>FN47</x:f>
      </x:c>
      <x:c r="FP38" s="117" t="n">
        <x:f>FO47</x:f>
      </x:c>
      <x:c r="FQ38" s="117" t="n">
        <x:f>FP47</x:f>
      </x:c>
      <x:c r="FR38" s="117" t="n">
        <x:f>FQ47</x:f>
      </x:c>
      <x:c r="FS38" s="117" t="n">
        <x:f>FR47</x:f>
      </x:c>
      <x:c r="FT38" s="117" t="n">
        <x:f>FS47</x:f>
      </x:c>
      <x:c r="FU38" s="117" t="n">
        <x:f>FT47</x:f>
      </x:c>
      <x:c r="FV38" s="117" t="n">
        <x:f>FU47</x:f>
      </x:c>
      <x:c r="FW38" s="117" t="n">
        <x:f>FV47</x:f>
      </x:c>
      <x:c r="FX38" s="117" t="n">
        <x:f>FW47</x:f>
      </x:c>
      <x:c r="FY38" s="117" t="n">
        <x:f>FX47</x:f>
      </x:c>
      <x:c r="FZ38" s="117" t="n">
        <x:f>FY47</x:f>
      </x:c>
      <x:c r="GA38" s="117" t="n">
        <x:f>FZ47</x:f>
      </x:c>
    </x:row>
    <x:row r="39">
      <x:c r="A39" t="str">
        <x:v>ПФ — базовая ставка</x:v>
      </x:c>
      <x:c r="B39"/>
      <x:c r="C39" t="str">
        <x:v>% год</x:v>
      </x:c>
      <x:c r="D39" s="121" t="n">
        <x:f>'Ставки'!D$7</x:f>
      </x:c>
      <x:c r="E39" s="121" t="n">
        <x:f>'Ставки'!E$7</x:f>
      </x:c>
      <x:c r="F39" s="121" t="n">
        <x:f>'Ставки'!F$7</x:f>
      </x:c>
      <x:c r="G39" s="121" t="n">
        <x:f>'Ставки'!G$7</x:f>
      </x:c>
      <x:c r="H39" s="121" t="n">
        <x:f>'Ставки'!H$7</x:f>
      </x:c>
      <x:c r="I39" s="121" t="n">
        <x:f>'Ставки'!I$7</x:f>
      </x:c>
      <x:c r="J39" s="121" t="n">
        <x:f>'Ставки'!J$7</x:f>
      </x:c>
      <x:c r="K39" s="121" t="n">
        <x:f>'Ставки'!K$7</x:f>
      </x:c>
      <x:c r="L39" s="121" t="n">
        <x:f>'Ставки'!L$7</x:f>
      </x:c>
      <x:c r="M39" s="121" t="n">
        <x:f>'Ставки'!M$7</x:f>
      </x:c>
      <x:c r="N39" s="121" t="n">
        <x:f>'Ставки'!N$7</x:f>
      </x:c>
      <x:c r="O39" s="121" t="n">
        <x:f>'Ставки'!O$7</x:f>
      </x:c>
      <x:c r="P39" s="121" t="n">
        <x:f>'Ставки'!P$7</x:f>
      </x:c>
      <x:c r="Q39" s="121" t="n">
        <x:f>'Ставки'!Q$7</x:f>
      </x:c>
      <x:c r="R39" s="121" t="n">
        <x:f>'Ставки'!R$7</x:f>
      </x:c>
      <x:c r="S39" s="121" t="n">
        <x:f>'Ставки'!S$7</x:f>
      </x:c>
      <x:c r="T39" s="121" t="n">
        <x:f>'Ставки'!T$7</x:f>
      </x:c>
      <x:c r="U39" s="121" t="n">
        <x:f>'Ставки'!U$7</x:f>
      </x:c>
      <x:c r="V39" s="121" t="n">
        <x:f>'Ставки'!V$7</x:f>
      </x:c>
      <x:c r="W39" s="121" t="n">
        <x:f>'Ставки'!W$7</x:f>
      </x:c>
      <x:c r="X39" s="121" t="n">
        <x:f>'Ставки'!X$7</x:f>
      </x:c>
      <x:c r="Y39" s="121" t="n">
        <x:f>'Ставки'!Y$7</x:f>
      </x:c>
      <x:c r="Z39" s="121" t="n">
        <x:f>'Ставки'!Z$7</x:f>
      </x:c>
      <x:c r="AA39" s="121" t="n">
        <x:f>'Ставки'!AA$7</x:f>
      </x:c>
      <x:c r="AB39" s="121" t="n">
        <x:f>'Ставки'!AB$7</x:f>
      </x:c>
      <x:c r="AC39" s="121" t="n">
        <x:f>'Ставки'!AC$7</x:f>
      </x:c>
      <x:c r="AD39" s="121" t="n">
        <x:f>'Ставки'!AD$7</x:f>
      </x:c>
      <x:c r="AE39" s="121" t="n">
        <x:f>'Ставки'!AE$7</x:f>
      </x:c>
      <x:c r="AF39" s="121" t="n">
        <x:f>'Ставки'!AF$7</x:f>
      </x:c>
      <x:c r="AG39" s="121" t="n">
        <x:f>'Ставки'!AG$7</x:f>
      </x:c>
      <x:c r="AH39" s="121" t="n">
        <x:f>'Ставки'!AH$7</x:f>
      </x:c>
      <x:c r="AI39" s="121" t="n">
        <x:f>'Ставки'!AI$7</x:f>
      </x:c>
      <x:c r="AJ39" s="121" t="n">
        <x:f>'Ставки'!AJ$7</x:f>
      </x:c>
      <x:c r="AK39" s="121" t="n">
        <x:f>'Ставки'!AK$7</x:f>
      </x:c>
      <x:c r="AL39" s="121" t="n">
        <x:f>'Ставки'!AL$7</x:f>
      </x:c>
      <x:c r="AM39" s="121" t="n">
        <x:f>'Ставки'!AM$7</x:f>
      </x:c>
      <x:c r="AN39" s="121" t="n">
        <x:f>'Ставки'!AN$7</x:f>
      </x:c>
      <x:c r="AO39" s="121" t="n">
        <x:f>'Ставки'!AO$7</x:f>
      </x:c>
      <x:c r="AP39" s="121" t="n">
        <x:f>'Ставки'!AP$7</x:f>
      </x:c>
      <x:c r="AQ39" s="121" t="n">
        <x:f>'Ставки'!AQ$7</x:f>
      </x:c>
      <x:c r="AR39" s="121" t="n">
        <x:f>'Ставки'!AR$7</x:f>
      </x:c>
      <x:c r="AS39" s="121" t="n">
        <x:f>'Ставки'!AS$7</x:f>
      </x:c>
      <x:c r="AT39" s="121" t="n">
        <x:f>'Ставки'!AT$7</x:f>
      </x:c>
      <x:c r="AU39" s="121" t="n">
        <x:f>'Ставки'!AU$7</x:f>
      </x:c>
      <x:c r="AV39" s="121" t="n">
        <x:f>'Ставки'!AV$7</x:f>
      </x:c>
      <x:c r="AW39" s="121" t="n">
        <x:f>'Ставки'!AW$7</x:f>
      </x:c>
      <x:c r="AX39" s="121" t="n">
        <x:f>'Ставки'!AX$7</x:f>
      </x:c>
      <x:c r="AY39" s="121" t="n">
        <x:f>'Ставки'!AY$7</x:f>
      </x:c>
      <x:c r="AZ39" s="121" t="n">
        <x:f>'Ставки'!AZ$7</x:f>
      </x:c>
      <x:c r="BA39" s="121" t="n">
        <x:f>'Ставки'!BA$7</x:f>
      </x:c>
      <x:c r="BB39" s="121" t="n">
        <x:f>'Ставки'!BB$7</x:f>
      </x:c>
      <x:c r="BC39" s="121" t="n">
        <x:f>'Ставки'!BC$7</x:f>
      </x:c>
      <x:c r="BD39" s="121" t="n">
        <x:f>'Ставки'!BD$7</x:f>
      </x:c>
      <x:c r="BE39" s="121" t="n">
        <x:f>'Ставки'!BE$7</x:f>
      </x:c>
      <x:c r="BF39" s="121" t="n">
        <x:f>'Ставки'!BF$7</x:f>
      </x:c>
      <x:c r="BG39" s="121" t="n">
        <x:f>'Ставки'!BG$7</x:f>
      </x:c>
      <x:c r="BH39" s="121" t="n">
        <x:f>'Ставки'!BH$7</x:f>
      </x:c>
      <x:c r="BI39" s="121" t="n">
        <x:f>'Ставки'!BI$7</x:f>
      </x:c>
      <x:c r="BJ39" s="121" t="n">
        <x:f>'Ставки'!BJ$7</x:f>
      </x:c>
      <x:c r="BK39" s="121" t="n">
        <x:f>'Ставки'!BK$7</x:f>
      </x:c>
      <x:c r="BL39" s="121" t="n">
        <x:f>'Ставки'!BL$7</x:f>
      </x:c>
      <x:c r="BM39" s="121" t="n">
        <x:f>'Ставки'!BM$7</x:f>
      </x:c>
      <x:c r="BN39" s="121" t="n">
        <x:f>'Ставки'!BN$7</x:f>
      </x:c>
      <x:c r="BO39" s="121" t="n">
        <x:f>'Ставки'!BO$7</x:f>
      </x:c>
      <x:c r="BP39" s="121" t="n">
        <x:f>'Ставки'!BP$7</x:f>
      </x:c>
      <x:c r="BQ39" s="121" t="n">
        <x:f>'Ставки'!BQ$7</x:f>
      </x:c>
      <x:c r="BR39" s="121" t="n">
        <x:f>'Ставки'!BR$7</x:f>
      </x:c>
      <x:c r="BS39" s="121" t="n">
        <x:f>'Ставки'!BS$7</x:f>
      </x:c>
      <x:c r="BT39" s="121" t="n">
        <x:f>'Ставки'!BT$7</x:f>
      </x:c>
      <x:c r="BU39" s="121" t="n">
        <x:f>'Ставки'!BU$7</x:f>
      </x:c>
      <x:c r="BV39" s="121" t="n">
        <x:f>'Ставки'!BV$7</x:f>
      </x:c>
      <x:c r="BW39" s="121" t="n">
        <x:f>'Ставки'!BW$7</x:f>
      </x:c>
      <x:c r="BX39" s="121" t="n">
        <x:f>'Ставки'!BX$7</x:f>
      </x:c>
      <x:c r="BY39" s="121" t="n">
        <x:f>'Ставки'!BY$7</x:f>
      </x:c>
      <x:c r="BZ39" s="121" t="n">
        <x:f>'Ставки'!BZ$7</x:f>
      </x:c>
      <x:c r="CA39" s="121" t="n">
        <x:f>'Ставки'!CA$7</x:f>
      </x:c>
      <x:c r="CB39" s="121" t="n">
        <x:f>'Ставки'!CB$7</x:f>
      </x:c>
      <x:c r="CC39" s="121" t="n">
        <x:f>'Ставки'!CC$7</x:f>
      </x:c>
      <x:c r="CD39" s="121" t="n">
        <x:f>'Ставки'!CD$7</x:f>
      </x:c>
      <x:c r="CE39" s="121" t="n">
        <x:f>'Ставки'!CE$7</x:f>
      </x:c>
      <x:c r="CF39" s="121" t="n">
        <x:f>'Ставки'!CF$7</x:f>
      </x:c>
      <x:c r="CG39" s="121" t="n">
        <x:f>'Ставки'!CG$7</x:f>
      </x:c>
      <x:c r="CH39" s="121" t="n">
        <x:f>'Ставки'!CH$7</x:f>
      </x:c>
      <x:c r="CI39" s="121" t="n">
        <x:f>'Ставки'!CI$7</x:f>
      </x:c>
      <x:c r="CJ39" s="121" t="n">
        <x:f>'Ставки'!CJ$7</x:f>
      </x:c>
      <x:c r="CK39" s="121" t="n">
        <x:f>'Ставки'!CK$7</x:f>
      </x:c>
      <x:c r="CL39" s="121" t="n">
        <x:f>'Ставки'!CL$7</x:f>
      </x:c>
      <x:c r="CM39" s="121" t="n">
        <x:f>'Ставки'!CM$7</x:f>
      </x:c>
      <x:c r="CN39" s="121" t="n">
        <x:f>'Ставки'!CN$7</x:f>
      </x:c>
      <x:c r="CO39" s="121" t="n">
        <x:f>'Ставки'!CO$7</x:f>
      </x:c>
      <x:c r="CP39" s="121" t="n">
        <x:f>'Ставки'!CP$7</x:f>
      </x:c>
      <x:c r="CQ39" s="121" t="n">
        <x:f>'Ставки'!CQ$7</x:f>
      </x:c>
      <x:c r="CR39" s="121" t="n">
        <x:f>'Ставки'!CR$7</x:f>
      </x:c>
      <x:c r="CS39" s="121" t="n">
        <x:f>'Ставки'!CS$7</x:f>
      </x:c>
      <x:c r="CT39" s="121" t="n">
        <x:f>'Ставки'!CT$7</x:f>
      </x:c>
      <x:c r="CU39" s="121" t="n">
        <x:f>'Ставки'!CU$7</x:f>
      </x:c>
      <x:c r="CV39" s="121" t="n">
        <x:f>'Ставки'!CV$7</x:f>
      </x:c>
      <x:c r="CW39" s="121" t="n">
        <x:f>'Ставки'!CW$7</x:f>
      </x:c>
      <x:c r="CX39" s="121" t="n">
        <x:f>'Ставки'!CX$7</x:f>
      </x:c>
      <x:c r="CY39" s="121" t="n">
        <x:f>'Ставки'!CY$7</x:f>
      </x:c>
      <x:c r="CZ39" s="121" t="n">
        <x:f>'Ставки'!CZ$7</x:f>
      </x:c>
      <x:c r="DA39" s="121" t="n">
        <x:f>'Ставки'!DA$7</x:f>
      </x:c>
      <x:c r="DB39" s="121" t="n">
        <x:f>'Ставки'!DB$7</x:f>
      </x:c>
      <x:c r="DC39" s="121" t="n">
        <x:f>'Ставки'!DC$7</x:f>
      </x:c>
      <x:c r="DD39" s="121" t="n">
        <x:f>'Ставки'!DD$7</x:f>
      </x:c>
      <x:c r="DE39" s="121" t="n">
        <x:f>'Ставки'!DE$7</x:f>
      </x:c>
      <x:c r="DF39" s="121" t="n">
        <x:f>'Ставки'!DF$7</x:f>
      </x:c>
      <x:c r="DG39" s="121" t="n">
        <x:f>'Ставки'!DG$7</x:f>
      </x:c>
      <x:c r="DH39" s="121" t="n">
        <x:f>'Ставки'!DH$7</x:f>
      </x:c>
      <x:c r="DI39" s="121" t="n">
        <x:f>'Ставки'!DI$7</x:f>
      </x:c>
      <x:c r="DJ39" s="121" t="n">
        <x:f>'Ставки'!DJ$7</x:f>
      </x:c>
      <x:c r="DK39" s="121" t="n">
        <x:f>'Ставки'!DK$7</x:f>
      </x:c>
      <x:c r="DL39" s="121" t="n">
        <x:f>'Ставки'!DL$7</x:f>
      </x:c>
      <x:c r="DM39" s="121" t="n">
        <x:f>'Ставки'!DM$7</x:f>
      </x:c>
      <x:c r="DN39" s="121" t="n">
        <x:f>'Ставки'!DN$7</x:f>
      </x:c>
      <x:c r="DO39" s="121" t="n">
        <x:f>'Ставки'!DO$7</x:f>
      </x:c>
      <x:c r="DP39" s="121" t="n">
        <x:f>'Ставки'!DP$7</x:f>
      </x:c>
      <x:c r="DQ39" s="121" t="n">
        <x:f>'Ставки'!DQ$7</x:f>
      </x:c>
      <x:c r="DR39" s="121" t="n">
        <x:f>'Ставки'!DR$7</x:f>
      </x:c>
      <x:c r="DS39" s="121" t="n">
        <x:f>'Ставки'!DS$7</x:f>
      </x:c>
      <x:c r="DT39" s="121" t="n">
        <x:f>'Ставки'!DT$7</x:f>
      </x:c>
      <x:c r="DU39" s="121" t="n">
        <x:f>'Ставки'!DU$7</x:f>
      </x:c>
      <x:c r="DV39" s="121" t="n">
        <x:f>'Ставки'!DV$7</x:f>
      </x:c>
      <x:c r="DW39" s="121" t="n">
        <x:f>'Ставки'!DW$7</x:f>
      </x:c>
      <x:c r="DX39" s="121" t="n">
        <x:f>'Ставки'!DX$7</x:f>
      </x:c>
      <x:c r="DY39" s="121" t="n">
        <x:f>'Ставки'!DY$7</x:f>
      </x:c>
      <x:c r="DZ39" s="121" t="n">
        <x:f>'Ставки'!DZ$7</x:f>
      </x:c>
      <x:c r="EA39" s="121" t="n">
        <x:f>'Ставки'!EA$7</x:f>
      </x:c>
      <x:c r="EB39" s="121" t="n">
        <x:f>'Ставки'!EB$7</x:f>
      </x:c>
      <x:c r="EC39" s="121" t="n">
        <x:f>'Ставки'!EC$7</x:f>
      </x:c>
      <x:c r="ED39" s="121" t="n">
        <x:f>'Ставки'!ED$7</x:f>
      </x:c>
      <x:c r="EE39" s="121" t="n">
        <x:f>'Ставки'!EE$7</x:f>
      </x:c>
      <x:c r="EF39" s="121" t="n">
        <x:f>'Ставки'!EF$7</x:f>
      </x:c>
      <x:c r="EG39" s="121" t="n">
        <x:f>'Ставки'!EG$7</x:f>
      </x:c>
      <x:c r="EH39" s="121" t="n">
        <x:f>'Ставки'!EH$7</x:f>
      </x:c>
      <x:c r="EI39" s="121" t="n">
        <x:f>'Ставки'!EI$7</x:f>
      </x:c>
      <x:c r="EJ39" s="121" t="n">
        <x:f>'Ставки'!EJ$7</x:f>
      </x:c>
      <x:c r="EK39" s="121" t="n">
        <x:f>'Ставки'!EK$7</x:f>
      </x:c>
      <x:c r="EL39" s="121" t="n">
        <x:f>'Ставки'!EL$7</x:f>
      </x:c>
      <x:c r="EM39" s="121" t="n">
        <x:f>'Ставки'!EM$7</x:f>
      </x:c>
      <x:c r="EN39" s="121" t="n">
        <x:f>'Ставки'!EN$7</x:f>
      </x:c>
      <x:c r="EO39" s="121" t="n">
        <x:f>'Ставки'!EO$7</x:f>
      </x:c>
      <x:c r="EP39" s="121" t="n">
        <x:f>'Ставки'!EP$7</x:f>
      </x:c>
      <x:c r="EQ39" s="121" t="n">
        <x:f>'Ставки'!EQ$7</x:f>
      </x:c>
      <x:c r="ER39" s="121" t="n">
        <x:f>'Ставки'!ER$7</x:f>
      </x:c>
      <x:c r="ES39" s="121" t="n">
        <x:f>'Ставки'!ES$7</x:f>
      </x:c>
      <x:c r="ET39" s="121" t="n">
        <x:f>'Ставки'!ET$7</x:f>
      </x:c>
      <x:c r="EU39" s="121" t="n">
        <x:f>'Ставки'!EU$7</x:f>
      </x:c>
      <x:c r="EV39" s="121" t="n">
        <x:f>'Ставки'!EV$7</x:f>
      </x:c>
      <x:c r="EW39" s="121" t="n">
        <x:f>'Ставки'!EW$7</x:f>
      </x:c>
      <x:c r="EX39" s="121" t="n">
        <x:f>'Ставки'!EX$7</x:f>
      </x:c>
      <x:c r="EY39" s="121" t="n">
        <x:f>'Ставки'!EY$7</x:f>
      </x:c>
      <x:c r="EZ39" s="121" t="n">
        <x:f>'Ставки'!EZ$7</x:f>
      </x:c>
      <x:c r="FA39" s="121" t="n">
        <x:f>'Ставки'!FA$7</x:f>
      </x:c>
      <x:c r="FB39" s="121" t="n">
        <x:f>'Ставки'!FB$7</x:f>
      </x:c>
      <x:c r="FC39" s="121" t="n">
        <x:f>'Ставки'!FC$7</x:f>
      </x:c>
      <x:c r="FD39" s="121" t="n">
        <x:f>'Ставки'!FD$7</x:f>
      </x:c>
      <x:c r="FE39" s="121" t="n">
        <x:f>'Ставки'!FE$7</x:f>
      </x:c>
      <x:c r="FF39" s="121" t="n">
        <x:f>'Ставки'!FF$7</x:f>
      </x:c>
      <x:c r="FG39" s="121" t="n">
        <x:f>'Ставки'!FG$7</x:f>
      </x:c>
      <x:c r="FH39" s="121" t="n">
        <x:f>'Ставки'!FH$7</x:f>
      </x:c>
      <x:c r="FI39" s="121" t="n">
        <x:f>'Ставки'!FI$7</x:f>
      </x:c>
      <x:c r="FJ39" s="121" t="n">
        <x:f>'Ставки'!FJ$7</x:f>
      </x:c>
      <x:c r="FK39" s="121" t="n">
        <x:f>'Ставки'!FK$7</x:f>
      </x:c>
      <x:c r="FL39" s="121" t="n">
        <x:f>'Ставки'!FL$7</x:f>
      </x:c>
      <x:c r="FM39" s="121" t="n">
        <x:f>'Ставки'!FM$7</x:f>
      </x:c>
      <x:c r="FN39" s="121" t="n">
        <x:f>'Ставки'!FN$7</x:f>
      </x:c>
      <x:c r="FO39" s="121" t="n">
        <x:f>'Ставки'!FO$7</x:f>
      </x:c>
      <x:c r="FP39" s="121" t="n">
        <x:f>'Ставки'!FP$7</x:f>
      </x:c>
      <x:c r="FQ39" s="121" t="n">
        <x:f>'Ставки'!FQ$7</x:f>
      </x:c>
      <x:c r="FR39" s="121" t="n">
        <x:f>'Ставки'!FR$7</x:f>
      </x:c>
      <x:c r="FS39" s="121" t="n">
        <x:f>'Ставки'!FS$7</x:f>
      </x:c>
      <x:c r="FT39" s="121" t="n">
        <x:f>'Ставки'!FT$7</x:f>
      </x:c>
      <x:c r="FU39" s="121" t="n">
        <x:f>'Ставки'!FU$7</x:f>
      </x:c>
      <x:c r="FV39" s="121" t="n">
        <x:f>'Ставки'!FV$7</x:f>
      </x:c>
      <x:c r="FW39" s="121" t="n">
        <x:f>'Ставки'!FW$7</x:f>
      </x:c>
      <x:c r="FX39" s="121" t="n">
        <x:f>'Ставки'!FX$7</x:f>
      </x:c>
      <x:c r="FY39" s="121" t="n">
        <x:f>'Ставки'!FY$7</x:f>
      </x:c>
      <x:c r="FZ39" s="121" t="n">
        <x:f>'Ставки'!FZ$7</x:f>
      </x:c>
      <x:c r="GA39" s="121" t="n">
        <x:f>'Ставки'!GA$7</x:f>
      </x:c>
    </x:row>
    <x:row r="40">
      <x:c r="A40" t="str">
        <x:v>Покрытие эскроу</x:v>
      </x:c>
      <x:c r="B40"/>
      <x:c r="C40" t="str">
        <x:v>×</x:v>
      </x:c>
      <x:c r="D40" s="122">
        <x:f>IFERROR((D13+D11)/MAX(1,D38+D45),0)</x:f>
      </x:c>
      <x:c r="E40" s="122">
        <x:f>IFERROR((E13+E11)/MAX(1,E38+E45),0)</x:f>
      </x:c>
      <x:c r="F40" s="122">
        <x:f>IFERROR((F13+F11)/MAX(1,F38+F45),0)</x:f>
      </x:c>
      <x:c r="G40" s="122">
        <x:f>IFERROR((G13+G11)/MAX(1,G38+G45),0)</x:f>
      </x:c>
      <x:c r="H40" s="122">
        <x:f>IFERROR((H13+H11)/MAX(1,H38+H45),0)</x:f>
      </x:c>
      <x:c r="I40" s="122">
        <x:f>IFERROR((I13+I11)/MAX(1,I38+I45),0)</x:f>
      </x:c>
      <x:c r="J40" s="122">
        <x:f>IFERROR((J13+J11)/MAX(1,J38+J45),0)</x:f>
      </x:c>
      <x:c r="K40" s="122">
        <x:f>IFERROR((K13+K11)/MAX(1,K38+K45),0)</x:f>
      </x:c>
      <x:c r="L40" s="122">
        <x:f>IFERROR((L13+L11)/MAX(1,L38+L45),0)</x:f>
      </x:c>
      <x:c r="M40" s="122">
        <x:f>IFERROR((M13+M11)/MAX(1,M38+M45),0)</x:f>
      </x:c>
      <x:c r="N40" s="122">
        <x:f>IFERROR((N13+N11)/MAX(1,N38+N45),0)</x:f>
      </x:c>
      <x:c r="O40" s="122">
        <x:f>IFERROR((O13+O11)/MAX(1,O38+O45),0)</x:f>
      </x:c>
      <x:c r="P40" s="122">
        <x:f>IFERROR((P13+P11)/MAX(1,P38+P45),0)</x:f>
      </x:c>
      <x:c r="Q40" s="122">
        <x:f>IFERROR((Q13+Q11)/MAX(1,Q38+Q45),0)</x:f>
      </x:c>
      <x:c r="R40" s="122">
        <x:f>IFERROR((R13+R11)/MAX(1,R38+R45),0)</x:f>
      </x:c>
      <x:c r="S40" s="122">
        <x:f>IFERROR((S13+S11)/MAX(1,S38+S45),0)</x:f>
      </x:c>
      <x:c r="T40" s="122">
        <x:f>IFERROR((T13+T11)/MAX(1,T38+T45),0)</x:f>
      </x:c>
      <x:c r="U40" s="122">
        <x:f>IFERROR((U13+U11)/MAX(1,U38+U45),0)</x:f>
      </x:c>
      <x:c r="V40" s="122">
        <x:f>IFERROR((V13+V11)/MAX(1,V38+V45),0)</x:f>
      </x:c>
      <x:c r="W40" s="122">
        <x:f>IFERROR((W13+W11)/MAX(1,W38+W45),0)</x:f>
      </x:c>
      <x:c r="X40" s="122">
        <x:f>IFERROR((X13+X11)/MAX(1,X38+X45),0)</x:f>
      </x:c>
      <x:c r="Y40" s="122">
        <x:f>IFERROR((Y13+Y11)/MAX(1,Y38+Y45),0)</x:f>
      </x:c>
      <x:c r="Z40" s="122">
        <x:f>IFERROR((Z13+Z11)/MAX(1,Z38+Z45),0)</x:f>
      </x:c>
      <x:c r="AA40" s="122">
        <x:f>IFERROR((AA13+AA11)/MAX(1,AA38+AA45),0)</x:f>
      </x:c>
      <x:c r="AB40" s="122">
        <x:f>IFERROR((AB13+AB11)/MAX(1,AB38+AB45),0)</x:f>
      </x:c>
      <x:c r="AC40" s="122">
        <x:f>IFERROR((AC13+AC11)/MAX(1,AC38+AC45),0)</x:f>
      </x:c>
      <x:c r="AD40" s="122">
        <x:f>IFERROR((AD13+AD11)/MAX(1,AD38+AD45),0)</x:f>
      </x:c>
      <x:c r="AE40" s="122">
        <x:f>IFERROR((AE13+AE11)/MAX(1,AE38+AE45),0)</x:f>
      </x:c>
      <x:c r="AF40" s="122">
        <x:f>IFERROR((AF13+AF11)/MAX(1,AF38+AF45),0)</x:f>
      </x:c>
      <x:c r="AG40" s="122">
        <x:f>IFERROR((AG13+AG11)/MAX(1,AG38+AG45),0)</x:f>
      </x:c>
      <x:c r="AH40" s="122">
        <x:f>IFERROR((AH13+AH11)/MAX(1,AH38+AH45),0)</x:f>
      </x:c>
      <x:c r="AI40" s="122">
        <x:f>IFERROR((AI13+AI11)/MAX(1,AI38+AI45),0)</x:f>
      </x:c>
      <x:c r="AJ40" s="122">
        <x:f>IFERROR((AJ13+AJ11)/MAX(1,AJ38+AJ45),0)</x:f>
      </x:c>
      <x:c r="AK40" s="122">
        <x:f>IFERROR((AK13+AK11)/MAX(1,AK38+AK45),0)</x:f>
      </x:c>
      <x:c r="AL40" s="122">
        <x:f>IFERROR((AL13+AL11)/MAX(1,AL38+AL45),0)</x:f>
      </x:c>
      <x:c r="AM40" s="122">
        <x:f>IFERROR((AM13+AM11)/MAX(1,AM38+AM45),0)</x:f>
      </x:c>
      <x:c r="AN40" s="122">
        <x:f>IFERROR((AN13+AN11)/MAX(1,AN38+AN45),0)</x:f>
      </x:c>
      <x:c r="AO40" s="122">
        <x:f>IFERROR((AO13+AO11)/MAX(1,AO38+AO45),0)</x:f>
      </x:c>
      <x:c r="AP40" s="122">
        <x:f>IFERROR((AP13+AP11)/MAX(1,AP38+AP45),0)</x:f>
      </x:c>
      <x:c r="AQ40" s="122">
        <x:f>IFERROR((AQ13+AQ11)/MAX(1,AQ38+AQ45),0)</x:f>
      </x:c>
      <x:c r="AR40" s="122">
        <x:f>IFERROR((AR13+AR11)/MAX(1,AR38+AR45),0)</x:f>
      </x:c>
      <x:c r="AS40" s="122">
        <x:f>IFERROR((AS13+AS11)/MAX(1,AS38+AS45),0)</x:f>
      </x:c>
      <x:c r="AT40" s="122">
        <x:f>IFERROR((AT13+AT11)/MAX(1,AT38+AT45),0)</x:f>
      </x:c>
      <x:c r="AU40" s="122">
        <x:f>IFERROR((AU13+AU11)/MAX(1,AU38+AU45),0)</x:f>
      </x:c>
      <x:c r="AV40" s="122">
        <x:f>IFERROR((AV13+AV11)/MAX(1,AV38+AV45),0)</x:f>
      </x:c>
      <x:c r="AW40" s="122">
        <x:f>IFERROR((AW13+AW11)/MAX(1,AW38+AW45),0)</x:f>
      </x:c>
      <x:c r="AX40" s="122">
        <x:f>IFERROR((AX13+AX11)/MAX(1,AX38+AX45),0)</x:f>
      </x:c>
      <x:c r="AY40" s="122">
        <x:f>IFERROR((AY13+AY11)/MAX(1,AY38+AY45),0)</x:f>
      </x:c>
      <x:c r="AZ40" s="122">
        <x:f>IFERROR((AZ13+AZ11)/MAX(1,AZ38+AZ45),0)</x:f>
      </x:c>
      <x:c r="BA40" s="122">
        <x:f>IFERROR((BA13+BA11)/MAX(1,BA38+BA45),0)</x:f>
      </x:c>
      <x:c r="BB40" s="122">
        <x:f>IFERROR((BB13+BB11)/MAX(1,BB38+BB45),0)</x:f>
      </x:c>
      <x:c r="BC40" s="122">
        <x:f>IFERROR((BC13+BC11)/MAX(1,BC38+BC45),0)</x:f>
      </x:c>
      <x:c r="BD40" s="122">
        <x:f>IFERROR((BD13+BD11)/MAX(1,BD38+BD45),0)</x:f>
      </x:c>
      <x:c r="BE40" s="122">
        <x:f>IFERROR((BE13+BE11)/MAX(1,BE38+BE45),0)</x:f>
      </x:c>
      <x:c r="BF40" s="122">
        <x:f>IFERROR((BF13+BF11)/MAX(1,BF38+BF45),0)</x:f>
      </x:c>
      <x:c r="BG40" s="122">
        <x:f>IFERROR((BG13+BG11)/MAX(1,BG38+BG45),0)</x:f>
      </x:c>
      <x:c r="BH40" s="122">
        <x:f>IFERROR((BH13+BH11)/MAX(1,BH38+BH45),0)</x:f>
      </x:c>
      <x:c r="BI40" s="122">
        <x:f>IFERROR((BI13+BI11)/MAX(1,BI38+BI45),0)</x:f>
      </x:c>
      <x:c r="BJ40" s="122">
        <x:f>IFERROR((BJ13+BJ11)/MAX(1,BJ38+BJ45),0)</x:f>
      </x:c>
      <x:c r="BK40" s="122">
        <x:f>IFERROR((BK13+BK11)/MAX(1,BK38+BK45),0)</x:f>
      </x:c>
      <x:c r="BL40" s="122">
        <x:f>IFERROR((BL13+BL11)/MAX(1,BL38+BL45),0)</x:f>
      </x:c>
      <x:c r="BM40" s="122">
        <x:f>IFERROR((BM13+BM11)/MAX(1,BM38+BM45),0)</x:f>
      </x:c>
      <x:c r="BN40" s="122">
        <x:f>IFERROR((BN13+BN11)/MAX(1,BN38+BN45),0)</x:f>
      </x:c>
      <x:c r="BO40" s="122">
        <x:f>IFERROR((BO13+BO11)/MAX(1,BO38+BO45),0)</x:f>
      </x:c>
      <x:c r="BP40" s="122">
        <x:f>IFERROR((BP13+BP11)/MAX(1,BP38+BP45),0)</x:f>
      </x:c>
      <x:c r="BQ40" s="122">
        <x:f>IFERROR((BQ13+BQ11)/MAX(1,BQ38+BQ45),0)</x:f>
      </x:c>
      <x:c r="BR40" s="122">
        <x:f>IFERROR((BR13+BR11)/MAX(1,BR38+BR45),0)</x:f>
      </x:c>
      <x:c r="BS40" s="122">
        <x:f>IFERROR((BS13+BS11)/MAX(1,BS38+BS45),0)</x:f>
      </x:c>
      <x:c r="BT40" s="122">
        <x:f>IFERROR((BT13+BT11)/MAX(1,BT38+BT45),0)</x:f>
      </x:c>
      <x:c r="BU40" s="122">
        <x:f>IFERROR((BU13+BU11)/MAX(1,BU38+BU45),0)</x:f>
      </x:c>
      <x:c r="BV40" s="122">
        <x:f>IFERROR((BV13+BV11)/MAX(1,BV38+BV45),0)</x:f>
      </x:c>
      <x:c r="BW40" s="122">
        <x:f>IFERROR((BW13+BW11)/MAX(1,BW38+BW45),0)</x:f>
      </x:c>
      <x:c r="BX40" s="122">
        <x:f>IFERROR((BX13+BX11)/MAX(1,BX38+BX45),0)</x:f>
      </x:c>
      <x:c r="BY40" s="122">
        <x:f>IFERROR((BY13+BY11)/MAX(1,BY38+BY45),0)</x:f>
      </x:c>
      <x:c r="BZ40" s="122">
        <x:f>IFERROR((BZ13+BZ11)/MAX(1,BZ38+BZ45),0)</x:f>
      </x:c>
      <x:c r="CA40" s="122">
        <x:f>IFERROR((CA13+CA11)/MAX(1,CA38+CA45),0)</x:f>
      </x:c>
      <x:c r="CB40" s="122">
        <x:f>IFERROR((CB13+CB11)/MAX(1,CB38+CB45),0)</x:f>
      </x:c>
      <x:c r="CC40" s="122">
        <x:f>IFERROR((CC13+CC11)/MAX(1,CC38+CC45),0)</x:f>
      </x:c>
      <x:c r="CD40" s="122">
        <x:f>IFERROR((CD13+CD11)/MAX(1,CD38+CD45),0)</x:f>
      </x:c>
      <x:c r="CE40" s="122">
        <x:f>IFERROR((CE13+CE11)/MAX(1,CE38+CE45),0)</x:f>
      </x:c>
      <x:c r="CF40" s="122">
        <x:f>IFERROR((CF13+CF11)/MAX(1,CF38+CF45),0)</x:f>
      </x:c>
      <x:c r="CG40" s="122">
        <x:f>IFERROR((CG13+CG11)/MAX(1,CG38+CG45),0)</x:f>
      </x:c>
      <x:c r="CH40" s="122">
        <x:f>IFERROR((CH13+CH11)/MAX(1,CH38+CH45),0)</x:f>
      </x:c>
      <x:c r="CI40" s="122">
        <x:f>IFERROR((CI13+CI11)/MAX(1,CI38+CI45),0)</x:f>
      </x:c>
      <x:c r="CJ40" s="122">
        <x:f>IFERROR((CJ13+CJ11)/MAX(1,CJ38+CJ45),0)</x:f>
      </x:c>
      <x:c r="CK40" s="122">
        <x:f>IFERROR((CK13+CK11)/MAX(1,CK38+CK45),0)</x:f>
      </x:c>
      <x:c r="CL40" s="122">
        <x:f>IFERROR((CL13+CL11)/MAX(1,CL38+CL45),0)</x:f>
      </x:c>
      <x:c r="CM40" s="122">
        <x:f>IFERROR((CM13+CM11)/MAX(1,CM38+CM45),0)</x:f>
      </x:c>
      <x:c r="CN40" s="122">
        <x:f>IFERROR((CN13+CN11)/MAX(1,CN38+CN45),0)</x:f>
      </x:c>
      <x:c r="CO40" s="122">
        <x:f>IFERROR((CO13+CO11)/MAX(1,CO38+CO45),0)</x:f>
      </x:c>
      <x:c r="CP40" s="122">
        <x:f>IFERROR((CP13+CP11)/MAX(1,CP38+CP45),0)</x:f>
      </x:c>
      <x:c r="CQ40" s="122">
        <x:f>IFERROR((CQ13+CQ11)/MAX(1,CQ38+CQ45),0)</x:f>
      </x:c>
      <x:c r="CR40" s="122">
        <x:f>IFERROR((CR13+CR11)/MAX(1,CR38+CR45),0)</x:f>
      </x:c>
      <x:c r="CS40" s="122">
        <x:f>IFERROR((CS13+CS11)/MAX(1,CS38+CS45),0)</x:f>
      </x:c>
      <x:c r="CT40" s="122">
        <x:f>IFERROR((CT13+CT11)/MAX(1,CT38+CT45),0)</x:f>
      </x:c>
      <x:c r="CU40" s="122">
        <x:f>IFERROR((CU13+CU11)/MAX(1,CU38+CU45),0)</x:f>
      </x:c>
      <x:c r="CV40" s="122">
        <x:f>IFERROR((CV13+CV11)/MAX(1,CV38+CV45),0)</x:f>
      </x:c>
      <x:c r="CW40" s="122">
        <x:f>IFERROR((CW13+CW11)/MAX(1,CW38+CW45),0)</x:f>
      </x:c>
      <x:c r="CX40" s="122">
        <x:f>IFERROR((CX13+CX11)/MAX(1,CX38+CX45),0)</x:f>
      </x:c>
      <x:c r="CY40" s="122">
        <x:f>IFERROR((CY13+CY11)/MAX(1,CY38+CY45),0)</x:f>
      </x:c>
      <x:c r="CZ40" s="122">
        <x:f>IFERROR((CZ13+CZ11)/MAX(1,CZ38+CZ45),0)</x:f>
      </x:c>
      <x:c r="DA40" s="122">
        <x:f>IFERROR((DA13+DA11)/MAX(1,DA38+DA45),0)</x:f>
      </x:c>
      <x:c r="DB40" s="122">
        <x:f>IFERROR((DB13+DB11)/MAX(1,DB38+DB45),0)</x:f>
      </x:c>
      <x:c r="DC40" s="122">
        <x:f>IFERROR((DC13+DC11)/MAX(1,DC38+DC45),0)</x:f>
      </x:c>
      <x:c r="DD40" s="122">
        <x:f>IFERROR((DD13+DD11)/MAX(1,DD38+DD45),0)</x:f>
      </x:c>
      <x:c r="DE40" s="122">
        <x:f>IFERROR((DE13+DE11)/MAX(1,DE38+DE45),0)</x:f>
      </x:c>
      <x:c r="DF40" s="122">
        <x:f>IFERROR((DF13+DF11)/MAX(1,DF38+DF45),0)</x:f>
      </x:c>
      <x:c r="DG40" s="122">
        <x:f>IFERROR((DG13+DG11)/MAX(1,DG38+DG45),0)</x:f>
      </x:c>
      <x:c r="DH40" s="122">
        <x:f>IFERROR((DH13+DH11)/MAX(1,DH38+DH45),0)</x:f>
      </x:c>
      <x:c r="DI40" s="122">
        <x:f>IFERROR((DI13+DI11)/MAX(1,DI38+DI45),0)</x:f>
      </x:c>
      <x:c r="DJ40" s="122">
        <x:f>IFERROR((DJ13+DJ11)/MAX(1,DJ38+DJ45),0)</x:f>
      </x:c>
      <x:c r="DK40" s="122">
        <x:f>IFERROR((DK13+DK11)/MAX(1,DK38+DK45),0)</x:f>
      </x:c>
      <x:c r="DL40" s="122">
        <x:f>IFERROR((DL13+DL11)/MAX(1,DL38+DL45),0)</x:f>
      </x:c>
      <x:c r="DM40" s="122">
        <x:f>IFERROR((DM13+DM11)/MAX(1,DM38+DM45),0)</x:f>
      </x:c>
      <x:c r="DN40" s="122">
        <x:f>IFERROR((DN13+DN11)/MAX(1,DN38+DN45),0)</x:f>
      </x:c>
      <x:c r="DO40" s="122">
        <x:f>IFERROR((DO13+DO11)/MAX(1,DO38+DO45),0)</x:f>
      </x:c>
      <x:c r="DP40" s="122">
        <x:f>IFERROR((DP13+DP11)/MAX(1,DP38+DP45),0)</x:f>
      </x:c>
      <x:c r="DQ40" s="122">
        <x:f>IFERROR((DQ13+DQ11)/MAX(1,DQ38+DQ45),0)</x:f>
      </x:c>
      <x:c r="DR40" s="122">
        <x:f>IFERROR((DR13+DR11)/MAX(1,DR38+DR45),0)</x:f>
      </x:c>
      <x:c r="DS40" s="122">
        <x:f>IFERROR((DS13+DS11)/MAX(1,DS38+DS45),0)</x:f>
      </x:c>
      <x:c r="DT40" s="122">
        <x:f>IFERROR((DT13+DT11)/MAX(1,DT38+DT45),0)</x:f>
      </x:c>
      <x:c r="DU40" s="122">
        <x:f>IFERROR((DU13+DU11)/MAX(1,DU38+DU45),0)</x:f>
      </x:c>
      <x:c r="DV40" s="122">
        <x:f>IFERROR((DV13+DV11)/MAX(1,DV38+DV45),0)</x:f>
      </x:c>
      <x:c r="DW40" s="122">
        <x:f>IFERROR((DW13+DW11)/MAX(1,DW38+DW45),0)</x:f>
      </x:c>
      <x:c r="DX40" s="122">
        <x:f>IFERROR((DX13+DX11)/MAX(1,DX38+DX45),0)</x:f>
      </x:c>
      <x:c r="DY40" s="122">
        <x:f>IFERROR((DY13+DY11)/MAX(1,DY38+DY45),0)</x:f>
      </x:c>
      <x:c r="DZ40" s="122">
        <x:f>IFERROR((DZ13+DZ11)/MAX(1,DZ38+DZ45),0)</x:f>
      </x:c>
      <x:c r="EA40" s="122">
        <x:f>IFERROR((EA13+EA11)/MAX(1,EA38+EA45),0)</x:f>
      </x:c>
      <x:c r="EB40" s="122">
        <x:f>IFERROR((EB13+EB11)/MAX(1,EB38+EB45),0)</x:f>
      </x:c>
      <x:c r="EC40" s="122">
        <x:f>IFERROR((EC13+EC11)/MAX(1,EC38+EC45),0)</x:f>
      </x:c>
      <x:c r="ED40" s="122">
        <x:f>IFERROR((ED13+ED11)/MAX(1,ED38+ED45),0)</x:f>
      </x:c>
      <x:c r="EE40" s="122">
        <x:f>IFERROR((EE13+EE11)/MAX(1,EE38+EE45),0)</x:f>
      </x:c>
      <x:c r="EF40" s="122">
        <x:f>IFERROR((EF13+EF11)/MAX(1,EF38+EF45),0)</x:f>
      </x:c>
      <x:c r="EG40" s="122">
        <x:f>IFERROR((EG13+EG11)/MAX(1,EG38+EG45),0)</x:f>
      </x:c>
      <x:c r="EH40" s="122">
        <x:f>IFERROR((EH13+EH11)/MAX(1,EH38+EH45),0)</x:f>
      </x:c>
      <x:c r="EI40" s="122">
        <x:f>IFERROR((EI13+EI11)/MAX(1,EI38+EI45),0)</x:f>
      </x:c>
      <x:c r="EJ40" s="122">
        <x:f>IFERROR((EJ13+EJ11)/MAX(1,EJ38+EJ45),0)</x:f>
      </x:c>
      <x:c r="EK40" s="122">
        <x:f>IFERROR((EK13+EK11)/MAX(1,EK38+EK45),0)</x:f>
      </x:c>
      <x:c r="EL40" s="122">
        <x:f>IFERROR((EL13+EL11)/MAX(1,EL38+EL45),0)</x:f>
      </x:c>
      <x:c r="EM40" s="122">
        <x:f>IFERROR((EM13+EM11)/MAX(1,EM38+EM45),0)</x:f>
      </x:c>
      <x:c r="EN40" s="122">
        <x:f>IFERROR((EN13+EN11)/MAX(1,EN38+EN45),0)</x:f>
      </x:c>
      <x:c r="EO40" s="122">
        <x:f>IFERROR((EO13+EO11)/MAX(1,EO38+EO45),0)</x:f>
      </x:c>
      <x:c r="EP40" s="122">
        <x:f>IFERROR((EP13+EP11)/MAX(1,EP38+EP45),0)</x:f>
      </x:c>
      <x:c r="EQ40" s="122">
        <x:f>IFERROR((EQ13+EQ11)/MAX(1,EQ38+EQ45),0)</x:f>
      </x:c>
      <x:c r="ER40" s="122">
        <x:f>IFERROR((ER13+ER11)/MAX(1,ER38+ER45),0)</x:f>
      </x:c>
      <x:c r="ES40" s="122">
        <x:f>IFERROR((ES13+ES11)/MAX(1,ES38+ES45),0)</x:f>
      </x:c>
      <x:c r="ET40" s="122">
        <x:f>IFERROR((ET13+ET11)/MAX(1,ET38+ET45),0)</x:f>
      </x:c>
      <x:c r="EU40" s="122">
        <x:f>IFERROR((EU13+EU11)/MAX(1,EU38+EU45),0)</x:f>
      </x:c>
      <x:c r="EV40" s="122">
        <x:f>IFERROR((EV13+EV11)/MAX(1,EV38+EV45),0)</x:f>
      </x:c>
      <x:c r="EW40" s="122">
        <x:f>IFERROR((EW13+EW11)/MAX(1,EW38+EW45),0)</x:f>
      </x:c>
      <x:c r="EX40" s="122">
        <x:f>IFERROR((EX13+EX11)/MAX(1,EX38+EX45),0)</x:f>
      </x:c>
      <x:c r="EY40" s="122">
        <x:f>IFERROR((EY13+EY11)/MAX(1,EY38+EY45),0)</x:f>
      </x:c>
      <x:c r="EZ40" s="122">
        <x:f>IFERROR((EZ13+EZ11)/MAX(1,EZ38+EZ45),0)</x:f>
      </x:c>
      <x:c r="FA40" s="122">
        <x:f>IFERROR((FA13+FA11)/MAX(1,FA38+FA45),0)</x:f>
      </x:c>
      <x:c r="FB40" s="122">
        <x:f>IFERROR((FB13+FB11)/MAX(1,FB38+FB45),0)</x:f>
      </x:c>
      <x:c r="FC40" s="122">
        <x:f>IFERROR((FC13+FC11)/MAX(1,FC38+FC45),0)</x:f>
      </x:c>
      <x:c r="FD40" s="122">
        <x:f>IFERROR((FD13+FD11)/MAX(1,FD38+FD45),0)</x:f>
      </x:c>
      <x:c r="FE40" s="122">
        <x:f>IFERROR((FE13+FE11)/MAX(1,FE38+FE45),0)</x:f>
      </x:c>
      <x:c r="FF40" s="122">
        <x:f>IFERROR((FF13+FF11)/MAX(1,FF38+FF45),0)</x:f>
      </x:c>
      <x:c r="FG40" s="122">
        <x:f>IFERROR((FG13+FG11)/MAX(1,FG38+FG45),0)</x:f>
      </x:c>
      <x:c r="FH40" s="122">
        <x:f>IFERROR((FH13+FH11)/MAX(1,FH38+FH45),0)</x:f>
      </x:c>
      <x:c r="FI40" s="122">
        <x:f>IFERROR((FI13+FI11)/MAX(1,FI38+FI45),0)</x:f>
      </x:c>
      <x:c r="FJ40" s="122">
        <x:f>IFERROR((FJ13+FJ11)/MAX(1,FJ38+FJ45),0)</x:f>
      </x:c>
      <x:c r="FK40" s="122">
        <x:f>IFERROR((FK13+FK11)/MAX(1,FK38+FK45),0)</x:f>
      </x:c>
      <x:c r="FL40" s="122">
        <x:f>IFERROR((FL13+FL11)/MAX(1,FL38+FL45),0)</x:f>
      </x:c>
      <x:c r="FM40" s="122">
        <x:f>IFERROR((FM13+FM11)/MAX(1,FM38+FM45),0)</x:f>
      </x:c>
      <x:c r="FN40" s="122">
        <x:f>IFERROR((FN13+FN11)/MAX(1,FN38+FN45),0)</x:f>
      </x:c>
      <x:c r="FO40" s="122">
        <x:f>IFERROR((FO13+FO11)/MAX(1,FO38+FO45),0)</x:f>
      </x:c>
      <x:c r="FP40" s="122">
        <x:f>IFERROR((FP13+FP11)/MAX(1,FP38+FP45),0)</x:f>
      </x:c>
      <x:c r="FQ40" s="122">
        <x:f>IFERROR((FQ13+FQ11)/MAX(1,FQ38+FQ45),0)</x:f>
      </x:c>
      <x:c r="FR40" s="122">
        <x:f>IFERROR((FR13+FR11)/MAX(1,FR38+FR45),0)</x:f>
      </x:c>
      <x:c r="FS40" s="122">
        <x:f>IFERROR((FS13+FS11)/MAX(1,FS38+FS45),0)</x:f>
      </x:c>
      <x:c r="FT40" s="122">
        <x:f>IFERROR((FT13+FT11)/MAX(1,FT38+FT45),0)</x:f>
      </x:c>
      <x:c r="FU40" s="122">
        <x:f>IFERROR((FU13+FU11)/MAX(1,FU38+FU45),0)</x:f>
      </x:c>
      <x:c r="FV40" s="122">
        <x:f>IFERROR((FV13+FV11)/MAX(1,FV38+FV45),0)</x:f>
      </x:c>
      <x:c r="FW40" s="122">
        <x:f>IFERROR((FW13+FW11)/MAX(1,FW38+FW45),0)</x:f>
      </x:c>
      <x:c r="FX40" s="122">
        <x:f>IFERROR((FX13+FX11)/MAX(1,FX38+FX45),0)</x:f>
      </x:c>
      <x:c r="FY40" s="122">
        <x:f>IFERROR((FY13+FY11)/MAX(1,FY38+FY45),0)</x:f>
      </x:c>
      <x:c r="FZ40" s="122">
        <x:f>IFERROR((FZ13+FZ11)/MAX(1,FZ38+FZ45),0)</x:f>
      </x:c>
      <x:c r="GA40" s="122">
        <x:f>IFERROR((GA13+GA11)/MAX(1,GA38+GA45),0)</x:f>
      </x:c>
    </x:row>
    <x:row r="41">
      <x:c r="A41" t="str">
        <x:v>ПФ — эффективная ставка</x:v>
      </x:c>
      <x:c r="B41" t="n">
        <x:f>IFERROR(SUMPRODUCT(D41:GA41,--(D38:GA38&gt;0))/COUNTIF(D38:GA38,"&gt;0"),0)</x:f>
      </x:c>
      <x:c r="C41" t="str">
        <x:v>% год</x:v>
      </x:c>
      <x:c r="D41" s="121" t="n">
        <x:f>D39*(1-MIN(1,D40))+'Вводные'!$B$28*MIN(1,D40)</x:f>
      </x:c>
      <x:c r="E41" s="121" t="n">
        <x:f>E39*(1-MIN(1,E40))+'Вводные'!$B$28*MIN(1,E40)</x:f>
      </x:c>
      <x:c r="F41" s="121" t="n">
        <x:f>F39*(1-MIN(1,F40))+'Вводные'!$B$28*MIN(1,F40)</x:f>
      </x:c>
      <x:c r="G41" s="121" t="n">
        <x:f>G39*(1-MIN(1,G40))+'Вводные'!$B$28*MIN(1,G40)</x:f>
      </x:c>
      <x:c r="H41" s="121" t="n">
        <x:f>H39*(1-MIN(1,H40))+'Вводные'!$B$28*MIN(1,H40)</x:f>
      </x:c>
      <x:c r="I41" s="121" t="n">
        <x:f>I39*(1-MIN(1,I40))+'Вводные'!$B$28*MIN(1,I40)</x:f>
      </x:c>
      <x:c r="J41" s="121" t="n">
        <x:f>J39*(1-MIN(1,J40))+'Вводные'!$B$28*MIN(1,J40)</x:f>
      </x:c>
      <x:c r="K41" s="121" t="n">
        <x:f>K39*(1-MIN(1,K40))+'Вводные'!$B$28*MIN(1,K40)</x:f>
      </x:c>
      <x:c r="L41" s="121" t="n">
        <x:f>L39*(1-MIN(1,L40))+'Вводные'!$B$28*MIN(1,L40)</x:f>
      </x:c>
      <x:c r="M41" s="121" t="n">
        <x:f>M39*(1-MIN(1,M40))+'Вводные'!$B$28*MIN(1,M40)</x:f>
      </x:c>
      <x:c r="N41" s="121" t="n">
        <x:f>N39*(1-MIN(1,N40))+'Вводные'!$B$28*MIN(1,N40)</x:f>
      </x:c>
      <x:c r="O41" s="121" t="n">
        <x:f>O39*(1-MIN(1,O40))+'Вводные'!$B$28*MIN(1,O40)</x:f>
      </x:c>
      <x:c r="P41" s="121" t="n">
        <x:f>P39*(1-MIN(1,P40))+'Вводные'!$B$28*MIN(1,P40)</x:f>
      </x:c>
      <x:c r="Q41" s="121" t="n">
        <x:f>Q39*(1-MIN(1,Q40))+'Вводные'!$B$28*MIN(1,Q40)</x:f>
      </x:c>
      <x:c r="R41" s="121" t="n">
        <x:f>R39*(1-MIN(1,R40))+'Вводные'!$B$28*MIN(1,R40)</x:f>
      </x:c>
      <x:c r="S41" s="121" t="n">
        <x:f>S39*(1-MIN(1,S40))+'Вводные'!$B$28*MIN(1,S40)</x:f>
      </x:c>
      <x:c r="T41" s="121" t="n">
        <x:f>T39*(1-MIN(1,T40))+'Вводные'!$B$28*MIN(1,T40)</x:f>
      </x:c>
      <x:c r="U41" s="121" t="n">
        <x:f>U39*(1-MIN(1,U40))+'Вводные'!$B$28*MIN(1,U40)</x:f>
      </x:c>
      <x:c r="V41" s="121" t="n">
        <x:f>V39*(1-MIN(1,V40))+'Вводные'!$B$28*MIN(1,V40)</x:f>
      </x:c>
      <x:c r="W41" s="121" t="n">
        <x:f>W39*(1-MIN(1,W40))+'Вводные'!$B$28*MIN(1,W40)</x:f>
      </x:c>
      <x:c r="X41" s="121" t="n">
        <x:f>X39*(1-MIN(1,X40))+'Вводные'!$B$28*MIN(1,X40)</x:f>
      </x:c>
      <x:c r="Y41" s="121" t="n">
        <x:f>Y39*(1-MIN(1,Y40))+'Вводные'!$B$28*MIN(1,Y40)</x:f>
      </x:c>
      <x:c r="Z41" s="121" t="n">
        <x:f>Z39*(1-MIN(1,Z40))+'Вводные'!$B$28*MIN(1,Z40)</x:f>
      </x:c>
      <x:c r="AA41" s="121" t="n">
        <x:f>AA39*(1-MIN(1,AA40))+'Вводные'!$B$28*MIN(1,AA40)</x:f>
      </x:c>
      <x:c r="AB41" s="121" t="n">
        <x:f>AB39*(1-MIN(1,AB40))+'Вводные'!$B$28*MIN(1,AB40)</x:f>
      </x:c>
      <x:c r="AC41" s="121" t="n">
        <x:f>AC39*(1-MIN(1,AC40))+'Вводные'!$B$28*MIN(1,AC40)</x:f>
      </x:c>
      <x:c r="AD41" s="121" t="n">
        <x:f>AD39*(1-MIN(1,AD40))+'Вводные'!$B$28*MIN(1,AD40)</x:f>
      </x:c>
      <x:c r="AE41" s="121" t="n">
        <x:f>AE39*(1-MIN(1,AE40))+'Вводные'!$B$28*MIN(1,AE40)</x:f>
      </x:c>
      <x:c r="AF41" s="121" t="n">
        <x:f>AF39*(1-MIN(1,AF40))+'Вводные'!$B$28*MIN(1,AF40)</x:f>
      </x:c>
      <x:c r="AG41" s="121" t="n">
        <x:f>AG39*(1-MIN(1,AG40))+'Вводные'!$B$28*MIN(1,AG40)</x:f>
      </x:c>
      <x:c r="AH41" s="121" t="n">
        <x:f>AH39*(1-MIN(1,AH40))+'Вводные'!$B$28*MIN(1,AH40)</x:f>
      </x:c>
      <x:c r="AI41" s="121" t="n">
        <x:f>AI39*(1-MIN(1,AI40))+'Вводные'!$B$28*MIN(1,AI40)</x:f>
      </x:c>
      <x:c r="AJ41" s="121" t="n">
        <x:f>AJ39*(1-MIN(1,AJ40))+'Вводные'!$B$28*MIN(1,AJ40)</x:f>
      </x:c>
      <x:c r="AK41" s="121" t="n">
        <x:f>AK39*(1-MIN(1,AK40))+'Вводные'!$B$28*MIN(1,AK40)</x:f>
      </x:c>
      <x:c r="AL41" s="121" t="n">
        <x:f>AL39*(1-MIN(1,AL40))+'Вводные'!$B$28*MIN(1,AL40)</x:f>
      </x:c>
      <x:c r="AM41" s="121" t="n">
        <x:f>AM39*(1-MIN(1,AM40))+'Вводные'!$B$28*MIN(1,AM40)</x:f>
      </x:c>
      <x:c r="AN41" s="121" t="n">
        <x:f>AN39*(1-MIN(1,AN40))+'Вводные'!$B$28*MIN(1,AN40)</x:f>
      </x:c>
      <x:c r="AO41" s="121" t="n">
        <x:f>AO39*(1-MIN(1,AO40))+'Вводные'!$B$28*MIN(1,AO40)</x:f>
      </x:c>
      <x:c r="AP41" s="121" t="n">
        <x:f>AP39*(1-MIN(1,AP40))+'Вводные'!$B$28*MIN(1,AP40)</x:f>
      </x:c>
      <x:c r="AQ41" s="121" t="n">
        <x:f>AQ39*(1-MIN(1,AQ40))+'Вводные'!$B$28*MIN(1,AQ40)</x:f>
      </x:c>
      <x:c r="AR41" s="121" t="n">
        <x:f>AR39*(1-MIN(1,AR40))+'Вводные'!$B$28*MIN(1,AR40)</x:f>
      </x:c>
      <x:c r="AS41" s="121" t="n">
        <x:f>AS39*(1-MIN(1,AS40))+'Вводные'!$B$28*MIN(1,AS40)</x:f>
      </x:c>
      <x:c r="AT41" s="121" t="n">
        <x:f>AT39*(1-MIN(1,AT40))+'Вводные'!$B$28*MIN(1,AT40)</x:f>
      </x:c>
      <x:c r="AU41" s="121" t="n">
        <x:f>AU39*(1-MIN(1,AU40))+'Вводные'!$B$28*MIN(1,AU40)</x:f>
      </x:c>
      <x:c r="AV41" s="121" t="n">
        <x:f>AV39*(1-MIN(1,AV40))+'Вводные'!$B$28*MIN(1,AV40)</x:f>
      </x:c>
      <x:c r="AW41" s="121" t="n">
        <x:f>AW39*(1-MIN(1,AW40))+'Вводные'!$B$28*MIN(1,AW40)</x:f>
      </x:c>
      <x:c r="AX41" s="121" t="n">
        <x:f>AX39*(1-MIN(1,AX40))+'Вводные'!$B$28*MIN(1,AX40)</x:f>
      </x:c>
      <x:c r="AY41" s="121" t="n">
        <x:f>AY39*(1-MIN(1,AY40))+'Вводные'!$B$28*MIN(1,AY40)</x:f>
      </x:c>
      <x:c r="AZ41" s="121" t="n">
        <x:f>AZ39*(1-MIN(1,AZ40))+'Вводные'!$B$28*MIN(1,AZ40)</x:f>
      </x:c>
      <x:c r="BA41" s="121" t="n">
        <x:f>BA39*(1-MIN(1,BA40))+'Вводные'!$B$28*MIN(1,BA40)</x:f>
      </x:c>
      <x:c r="BB41" s="121" t="n">
        <x:f>BB39*(1-MIN(1,BB40))+'Вводные'!$B$28*MIN(1,BB40)</x:f>
      </x:c>
      <x:c r="BC41" s="121" t="n">
        <x:f>BC39*(1-MIN(1,BC40))+'Вводные'!$B$28*MIN(1,BC40)</x:f>
      </x:c>
      <x:c r="BD41" s="121" t="n">
        <x:f>BD39*(1-MIN(1,BD40))+'Вводные'!$B$28*MIN(1,BD40)</x:f>
      </x:c>
      <x:c r="BE41" s="121" t="n">
        <x:f>BE39*(1-MIN(1,BE40))+'Вводные'!$B$28*MIN(1,BE40)</x:f>
      </x:c>
      <x:c r="BF41" s="121" t="n">
        <x:f>BF39*(1-MIN(1,BF40))+'Вводные'!$B$28*MIN(1,BF40)</x:f>
      </x:c>
      <x:c r="BG41" s="121" t="n">
        <x:f>BG39*(1-MIN(1,BG40))+'Вводные'!$B$28*MIN(1,BG40)</x:f>
      </x:c>
      <x:c r="BH41" s="121" t="n">
        <x:f>BH39*(1-MIN(1,BH40))+'Вводные'!$B$28*MIN(1,BH40)</x:f>
      </x:c>
      <x:c r="BI41" s="121" t="n">
        <x:f>BI39*(1-MIN(1,BI40))+'Вводные'!$B$28*MIN(1,BI40)</x:f>
      </x:c>
      <x:c r="BJ41" s="121" t="n">
        <x:f>BJ39*(1-MIN(1,BJ40))+'Вводные'!$B$28*MIN(1,BJ40)</x:f>
      </x:c>
      <x:c r="BK41" s="121" t="n">
        <x:f>BK39*(1-MIN(1,BK40))+'Вводные'!$B$28*MIN(1,BK40)</x:f>
      </x:c>
      <x:c r="BL41" s="121" t="n">
        <x:f>BL39*(1-MIN(1,BL40))+'Вводные'!$B$28*MIN(1,BL40)</x:f>
      </x:c>
      <x:c r="BM41" s="121" t="n">
        <x:f>BM39*(1-MIN(1,BM40))+'Вводные'!$B$28*MIN(1,BM40)</x:f>
      </x:c>
      <x:c r="BN41" s="121" t="n">
        <x:f>BN39*(1-MIN(1,BN40))+'Вводные'!$B$28*MIN(1,BN40)</x:f>
      </x:c>
      <x:c r="BO41" s="121" t="n">
        <x:f>BO39*(1-MIN(1,BO40))+'Вводные'!$B$28*MIN(1,BO40)</x:f>
      </x:c>
      <x:c r="BP41" s="121" t="n">
        <x:f>BP39*(1-MIN(1,BP40))+'Вводные'!$B$28*MIN(1,BP40)</x:f>
      </x:c>
      <x:c r="BQ41" s="121" t="n">
        <x:f>BQ39*(1-MIN(1,BQ40))+'Вводные'!$B$28*MIN(1,BQ40)</x:f>
      </x:c>
      <x:c r="BR41" s="121" t="n">
        <x:f>BR39*(1-MIN(1,BR40))+'Вводные'!$B$28*MIN(1,BR40)</x:f>
      </x:c>
      <x:c r="BS41" s="121" t="n">
        <x:f>BS39*(1-MIN(1,BS40))+'Вводные'!$B$28*MIN(1,BS40)</x:f>
      </x:c>
      <x:c r="BT41" s="121" t="n">
        <x:f>BT39*(1-MIN(1,BT40))+'Вводные'!$B$28*MIN(1,BT40)</x:f>
      </x:c>
      <x:c r="BU41" s="121" t="n">
        <x:f>BU39*(1-MIN(1,BU40))+'Вводные'!$B$28*MIN(1,BU40)</x:f>
      </x:c>
      <x:c r="BV41" s="121" t="n">
        <x:f>BV39*(1-MIN(1,BV40))+'Вводные'!$B$28*MIN(1,BV40)</x:f>
      </x:c>
      <x:c r="BW41" s="121" t="n">
        <x:f>BW39*(1-MIN(1,BW40))+'Вводные'!$B$28*MIN(1,BW40)</x:f>
      </x:c>
      <x:c r="BX41" s="121" t="n">
        <x:f>BX39*(1-MIN(1,BX40))+'Вводные'!$B$28*MIN(1,BX40)</x:f>
      </x:c>
      <x:c r="BY41" s="121" t="n">
        <x:f>BY39*(1-MIN(1,BY40))+'Вводные'!$B$28*MIN(1,BY40)</x:f>
      </x:c>
      <x:c r="BZ41" s="121" t="n">
        <x:f>BZ39*(1-MIN(1,BZ40))+'Вводные'!$B$28*MIN(1,BZ40)</x:f>
      </x:c>
      <x:c r="CA41" s="121" t="n">
        <x:f>CA39*(1-MIN(1,CA40))+'Вводные'!$B$28*MIN(1,CA40)</x:f>
      </x:c>
      <x:c r="CB41" s="121" t="n">
        <x:f>CB39*(1-MIN(1,CB40))+'Вводные'!$B$28*MIN(1,CB40)</x:f>
      </x:c>
      <x:c r="CC41" s="121" t="n">
        <x:f>CC39*(1-MIN(1,CC40))+'Вводные'!$B$28*MIN(1,CC40)</x:f>
      </x:c>
      <x:c r="CD41" s="121" t="n">
        <x:f>CD39*(1-MIN(1,CD40))+'Вводные'!$B$28*MIN(1,CD40)</x:f>
      </x:c>
      <x:c r="CE41" s="121" t="n">
        <x:f>CE39*(1-MIN(1,CE40))+'Вводные'!$B$28*MIN(1,CE40)</x:f>
      </x:c>
      <x:c r="CF41" s="121" t="n">
        <x:f>CF39*(1-MIN(1,CF40))+'Вводные'!$B$28*MIN(1,CF40)</x:f>
      </x:c>
      <x:c r="CG41" s="121" t="n">
        <x:f>CG39*(1-MIN(1,CG40))+'Вводные'!$B$28*MIN(1,CG40)</x:f>
      </x:c>
      <x:c r="CH41" s="121" t="n">
        <x:f>CH39*(1-MIN(1,CH40))+'Вводные'!$B$28*MIN(1,CH40)</x:f>
      </x:c>
      <x:c r="CI41" s="121" t="n">
        <x:f>CI39*(1-MIN(1,CI40))+'Вводные'!$B$28*MIN(1,CI40)</x:f>
      </x:c>
      <x:c r="CJ41" s="121" t="n">
        <x:f>CJ39*(1-MIN(1,CJ40))+'Вводные'!$B$28*MIN(1,CJ40)</x:f>
      </x:c>
      <x:c r="CK41" s="121" t="n">
        <x:f>CK39*(1-MIN(1,CK40))+'Вводные'!$B$28*MIN(1,CK40)</x:f>
      </x:c>
      <x:c r="CL41" s="121" t="n">
        <x:f>CL39*(1-MIN(1,CL40))+'Вводные'!$B$28*MIN(1,CL40)</x:f>
      </x:c>
      <x:c r="CM41" s="121" t="n">
        <x:f>CM39*(1-MIN(1,CM40))+'Вводные'!$B$28*MIN(1,CM40)</x:f>
      </x:c>
      <x:c r="CN41" s="121" t="n">
        <x:f>CN39*(1-MIN(1,CN40))+'Вводные'!$B$28*MIN(1,CN40)</x:f>
      </x:c>
      <x:c r="CO41" s="121" t="n">
        <x:f>CO39*(1-MIN(1,CO40))+'Вводные'!$B$28*MIN(1,CO40)</x:f>
      </x:c>
      <x:c r="CP41" s="121" t="n">
        <x:f>CP39*(1-MIN(1,CP40))+'Вводные'!$B$28*MIN(1,CP40)</x:f>
      </x:c>
      <x:c r="CQ41" s="121" t="n">
        <x:f>CQ39*(1-MIN(1,CQ40))+'Вводные'!$B$28*MIN(1,CQ40)</x:f>
      </x:c>
      <x:c r="CR41" s="121" t="n">
        <x:f>CR39*(1-MIN(1,CR40))+'Вводные'!$B$28*MIN(1,CR40)</x:f>
      </x:c>
      <x:c r="CS41" s="121" t="n">
        <x:f>CS39*(1-MIN(1,CS40))+'Вводные'!$B$28*MIN(1,CS40)</x:f>
      </x:c>
      <x:c r="CT41" s="121" t="n">
        <x:f>CT39*(1-MIN(1,CT40))+'Вводные'!$B$28*MIN(1,CT40)</x:f>
      </x:c>
      <x:c r="CU41" s="121" t="n">
        <x:f>CU39*(1-MIN(1,CU40))+'Вводные'!$B$28*MIN(1,CU40)</x:f>
      </x:c>
      <x:c r="CV41" s="121" t="n">
        <x:f>CV39*(1-MIN(1,CV40))+'Вводные'!$B$28*MIN(1,CV40)</x:f>
      </x:c>
      <x:c r="CW41" s="121" t="n">
        <x:f>CW39*(1-MIN(1,CW40))+'Вводные'!$B$28*MIN(1,CW40)</x:f>
      </x:c>
      <x:c r="CX41" s="121" t="n">
        <x:f>CX39*(1-MIN(1,CX40))+'Вводные'!$B$28*MIN(1,CX40)</x:f>
      </x:c>
      <x:c r="CY41" s="121" t="n">
        <x:f>CY39*(1-MIN(1,CY40))+'Вводные'!$B$28*MIN(1,CY40)</x:f>
      </x:c>
      <x:c r="CZ41" s="121" t="n">
        <x:f>CZ39*(1-MIN(1,CZ40))+'Вводные'!$B$28*MIN(1,CZ40)</x:f>
      </x:c>
      <x:c r="DA41" s="121" t="n">
        <x:f>DA39*(1-MIN(1,DA40))+'Вводные'!$B$28*MIN(1,DA40)</x:f>
      </x:c>
      <x:c r="DB41" s="121" t="n">
        <x:f>DB39*(1-MIN(1,DB40))+'Вводные'!$B$28*MIN(1,DB40)</x:f>
      </x:c>
      <x:c r="DC41" s="121" t="n">
        <x:f>DC39*(1-MIN(1,DC40))+'Вводные'!$B$28*MIN(1,DC40)</x:f>
      </x:c>
      <x:c r="DD41" s="121" t="n">
        <x:f>DD39*(1-MIN(1,DD40))+'Вводные'!$B$28*MIN(1,DD40)</x:f>
      </x:c>
      <x:c r="DE41" s="121" t="n">
        <x:f>DE39*(1-MIN(1,DE40))+'Вводные'!$B$28*MIN(1,DE40)</x:f>
      </x:c>
      <x:c r="DF41" s="121" t="n">
        <x:f>DF39*(1-MIN(1,DF40))+'Вводные'!$B$28*MIN(1,DF40)</x:f>
      </x:c>
      <x:c r="DG41" s="121" t="n">
        <x:f>DG39*(1-MIN(1,DG40))+'Вводные'!$B$28*MIN(1,DG40)</x:f>
      </x:c>
      <x:c r="DH41" s="121" t="n">
        <x:f>DH39*(1-MIN(1,DH40))+'Вводные'!$B$28*MIN(1,DH40)</x:f>
      </x:c>
      <x:c r="DI41" s="121" t="n">
        <x:f>DI39*(1-MIN(1,DI40))+'Вводные'!$B$28*MIN(1,DI40)</x:f>
      </x:c>
      <x:c r="DJ41" s="121" t="n">
        <x:f>DJ39*(1-MIN(1,DJ40))+'Вводные'!$B$28*MIN(1,DJ40)</x:f>
      </x:c>
      <x:c r="DK41" s="121" t="n">
        <x:f>DK39*(1-MIN(1,DK40))+'Вводные'!$B$28*MIN(1,DK40)</x:f>
      </x:c>
      <x:c r="DL41" s="121" t="n">
        <x:f>DL39*(1-MIN(1,DL40))+'Вводные'!$B$28*MIN(1,DL40)</x:f>
      </x:c>
      <x:c r="DM41" s="121" t="n">
        <x:f>DM39*(1-MIN(1,DM40))+'Вводные'!$B$28*MIN(1,DM40)</x:f>
      </x:c>
      <x:c r="DN41" s="121" t="n">
        <x:f>DN39*(1-MIN(1,DN40))+'Вводные'!$B$28*MIN(1,DN40)</x:f>
      </x:c>
      <x:c r="DO41" s="121" t="n">
        <x:f>DO39*(1-MIN(1,DO40))+'Вводные'!$B$28*MIN(1,DO40)</x:f>
      </x:c>
      <x:c r="DP41" s="121" t="n">
        <x:f>DP39*(1-MIN(1,DP40))+'Вводные'!$B$28*MIN(1,DP40)</x:f>
      </x:c>
      <x:c r="DQ41" s="121" t="n">
        <x:f>DQ39*(1-MIN(1,DQ40))+'Вводные'!$B$28*MIN(1,DQ40)</x:f>
      </x:c>
      <x:c r="DR41" s="121" t="n">
        <x:f>DR39*(1-MIN(1,DR40))+'Вводные'!$B$28*MIN(1,DR40)</x:f>
      </x:c>
      <x:c r="DS41" s="121" t="n">
        <x:f>DS39*(1-MIN(1,DS40))+'Вводные'!$B$28*MIN(1,DS40)</x:f>
      </x:c>
      <x:c r="DT41" s="121" t="n">
        <x:f>DT39*(1-MIN(1,DT40))+'Вводные'!$B$28*MIN(1,DT40)</x:f>
      </x:c>
      <x:c r="DU41" s="121" t="n">
        <x:f>DU39*(1-MIN(1,DU40))+'Вводные'!$B$28*MIN(1,DU40)</x:f>
      </x:c>
      <x:c r="DV41" s="121" t="n">
        <x:f>DV39*(1-MIN(1,DV40))+'Вводные'!$B$28*MIN(1,DV40)</x:f>
      </x:c>
      <x:c r="DW41" s="121" t="n">
        <x:f>DW39*(1-MIN(1,DW40))+'Вводные'!$B$28*MIN(1,DW40)</x:f>
      </x:c>
      <x:c r="DX41" s="121" t="n">
        <x:f>DX39*(1-MIN(1,DX40))+'Вводные'!$B$28*MIN(1,DX40)</x:f>
      </x:c>
      <x:c r="DY41" s="121" t="n">
        <x:f>DY39*(1-MIN(1,DY40))+'Вводные'!$B$28*MIN(1,DY40)</x:f>
      </x:c>
      <x:c r="DZ41" s="121" t="n">
        <x:f>DZ39*(1-MIN(1,DZ40))+'Вводные'!$B$28*MIN(1,DZ40)</x:f>
      </x:c>
      <x:c r="EA41" s="121" t="n">
        <x:f>EA39*(1-MIN(1,EA40))+'Вводные'!$B$28*MIN(1,EA40)</x:f>
      </x:c>
      <x:c r="EB41" s="121" t="n">
        <x:f>EB39*(1-MIN(1,EB40))+'Вводные'!$B$28*MIN(1,EB40)</x:f>
      </x:c>
      <x:c r="EC41" s="121" t="n">
        <x:f>EC39*(1-MIN(1,EC40))+'Вводные'!$B$28*MIN(1,EC40)</x:f>
      </x:c>
      <x:c r="ED41" s="121" t="n">
        <x:f>ED39*(1-MIN(1,ED40))+'Вводные'!$B$28*MIN(1,ED40)</x:f>
      </x:c>
      <x:c r="EE41" s="121" t="n">
        <x:f>EE39*(1-MIN(1,EE40))+'Вводные'!$B$28*MIN(1,EE40)</x:f>
      </x:c>
      <x:c r="EF41" s="121" t="n">
        <x:f>EF39*(1-MIN(1,EF40))+'Вводные'!$B$28*MIN(1,EF40)</x:f>
      </x:c>
      <x:c r="EG41" s="121" t="n">
        <x:f>EG39*(1-MIN(1,EG40))+'Вводные'!$B$28*MIN(1,EG40)</x:f>
      </x:c>
      <x:c r="EH41" s="121" t="n">
        <x:f>EH39*(1-MIN(1,EH40))+'Вводные'!$B$28*MIN(1,EH40)</x:f>
      </x:c>
      <x:c r="EI41" s="121" t="n">
        <x:f>EI39*(1-MIN(1,EI40))+'Вводные'!$B$28*MIN(1,EI40)</x:f>
      </x:c>
      <x:c r="EJ41" s="121" t="n">
        <x:f>EJ39*(1-MIN(1,EJ40))+'Вводные'!$B$28*MIN(1,EJ40)</x:f>
      </x:c>
      <x:c r="EK41" s="121" t="n">
        <x:f>EK39*(1-MIN(1,EK40))+'Вводные'!$B$28*MIN(1,EK40)</x:f>
      </x:c>
      <x:c r="EL41" s="121" t="n">
        <x:f>EL39*(1-MIN(1,EL40))+'Вводные'!$B$28*MIN(1,EL40)</x:f>
      </x:c>
      <x:c r="EM41" s="121" t="n">
        <x:f>EM39*(1-MIN(1,EM40))+'Вводные'!$B$28*MIN(1,EM40)</x:f>
      </x:c>
      <x:c r="EN41" s="121" t="n">
        <x:f>EN39*(1-MIN(1,EN40))+'Вводные'!$B$28*MIN(1,EN40)</x:f>
      </x:c>
      <x:c r="EO41" s="121" t="n">
        <x:f>EO39*(1-MIN(1,EO40))+'Вводные'!$B$28*MIN(1,EO40)</x:f>
      </x:c>
      <x:c r="EP41" s="121" t="n">
        <x:f>EP39*(1-MIN(1,EP40))+'Вводные'!$B$28*MIN(1,EP40)</x:f>
      </x:c>
      <x:c r="EQ41" s="121" t="n">
        <x:f>EQ39*(1-MIN(1,EQ40))+'Вводные'!$B$28*MIN(1,EQ40)</x:f>
      </x:c>
      <x:c r="ER41" s="121" t="n">
        <x:f>ER39*(1-MIN(1,ER40))+'Вводные'!$B$28*MIN(1,ER40)</x:f>
      </x:c>
      <x:c r="ES41" s="121" t="n">
        <x:f>ES39*(1-MIN(1,ES40))+'Вводные'!$B$28*MIN(1,ES40)</x:f>
      </x:c>
      <x:c r="ET41" s="121" t="n">
        <x:f>ET39*(1-MIN(1,ET40))+'Вводные'!$B$28*MIN(1,ET40)</x:f>
      </x:c>
      <x:c r="EU41" s="121" t="n">
        <x:f>EU39*(1-MIN(1,EU40))+'Вводные'!$B$28*MIN(1,EU40)</x:f>
      </x:c>
      <x:c r="EV41" s="121" t="n">
        <x:f>EV39*(1-MIN(1,EV40))+'Вводные'!$B$28*MIN(1,EV40)</x:f>
      </x:c>
      <x:c r="EW41" s="121" t="n">
        <x:f>EW39*(1-MIN(1,EW40))+'Вводные'!$B$28*MIN(1,EW40)</x:f>
      </x:c>
      <x:c r="EX41" s="121" t="n">
        <x:f>EX39*(1-MIN(1,EX40))+'Вводные'!$B$28*MIN(1,EX40)</x:f>
      </x:c>
      <x:c r="EY41" s="121" t="n">
        <x:f>EY39*(1-MIN(1,EY40))+'Вводные'!$B$28*MIN(1,EY40)</x:f>
      </x:c>
      <x:c r="EZ41" s="121" t="n">
        <x:f>EZ39*(1-MIN(1,EZ40))+'Вводные'!$B$28*MIN(1,EZ40)</x:f>
      </x:c>
      <x:c r="FA41" s="121" t="n">
        <x:f>FA39*(1-MIN(1,FA40))+'Вводные'!$B$28*MIN(1,FA40)</x:f>
      </x:c>
      <x:c r="FB41" s="121" t="n">
        <x:f>FB39*(1-MIN(1,FB40))+'Вводные'!$B$28*MIN(1,FB40)</x:f>
      </x:c>
      <x:c r="FC41" s="121" t="n">
        <x:f>FC39*(1-MIN(1,FC40))+'Вводные'!$B$28*MIN(1,FC40)</x:f>
      </x:c>
      <x:c r="FD41" s="121" t="n">
        <x:f>FD39*(1-MIN(1,FD40))+'Вводные'!$B$28*MIN(1,FD40)</x:f>
      </x:c>
      <x:c r="FE41" s="121" t="n">
        <x:f>FE39*(1-MIN(1,FE40))+'Вводные'!$B$28*MIN(1,FE40)</x:f>
      </x:c>
      <x:c r="FF41" s="121" t="n">
        <x:f>FF39*(1-MIN(1,FF40))+'Вводные'!$B$28*MIN(1,FF40)</x:f>
      </x:c>
      <x:c r="FG41" s="121" t="n">
        <x:f>FG39*(1-MIN(1,FG40))+'Вводные'!$B$28*MIN(1,FG40)</x:f>
      </x:c>
      <x:c r="FH41" s="121" t="n">
        <x:f>FH39*(1-MIN(1,FH40))+'Вводные'!$B$28*MIN(1,FH40)</x:f>
      </x:c>
      <x:c r="FI41" s="121" t="n">
        <x:f>FI39*(1-MIN(1,FI40))+'Вводные'!$B$28*MIN(1,FI40)</x:f>
      </x:c>
      <x:c r="FJ41" s="121" t="n">
        <x:f>FJ39*(1-MIN(1,FJ40))+'Вводные'!$B$28*MIN(1,FJ40)</x:f>
      </x:c>
      <x:c r="FK41" s="121" t="n">
        <x:f>FK39*(1-MIN(1,FK40))+'Вводные'!$B$28*MIN(1,FK40)</x:f>
      </x:c>
      <x:c r="FL41" s="121" t="n">
        <x:f>FL39*(1-MIN(1,FL40))+'Вводные'!$B$28*MIN(1,FL40)</x:f>
      </x:c>
      <x:c r="FM41" s="121" t="n">
        <x:f>FM39*(1-MIN(1,FM40))+'Вводные'!$B$28*MIN(1,FM40)</x:f>
      </x:c>
      <x:c r="FN41" s="121" t="n">
        <x:f>FN39*(1-MIN(1,FN40))+'Вводные'!$B$28*MIN(1,FN40)</x:f>
      </x:c>
      <x:c r="FO41" s="121" t="n">
        <x:f>FO39*(1-MIN(1,FO40))+'Вводные'!$B$28*MIN(1,FO40)</x:f>
      </x:c>
      <x:c r="FP41" s="121" t="n">
        <x:f>FP39*(1-MIN(1,FP40))+'Вводные'!$B$28*MIN(1,FP40)</x:f>
      </x:c>
      <x:c r="FQ41" s="121" t="n">
        <x:f>FQ39*(1-MIN(1,FQ40))+'Вводные'!$B$28*MIN(1,FQ40)</x:f>
      </x:c>
      <x:c r="FR41" s="121" t="n">
        <x:f>FR39*(1-MIN(1,FR40))+'Вводные'!$B$28*MIN(1,FR40)</x:f>
      </x:c>
      <x:c r="FS41" s="121" t="n">
        <x:f>FS39*(1-MIN(1,FS40))+'Вводные'!$B$28*MIN(1,FS40)</x:f>
      </x:c>
      <x:c r="FT41" s="121" t="n">
        <x:f>FT39*(1-MIN(1,FT40))+'Вводные'!$B$28*MIN(1,FT40)</x:f>
      </x:c>
      <x:c r="FU41" s="121" t="n">
        <x:f>FU39*(1-MIN(1,FU40))+'Вводные'!$B$28*MIN(1,FU40)</x:f>
      </x:c>
      <x:c r="FV41" s="121" t="n">
        <x:f>FV39*(1-MIN(1,FV40))+'Вводные'!$B$28*MIN(1,FV40)</x:f>
      </x:c>
      <x:c r="FW41" s="121" t="n">
        <x:f>FW39*(1-MIN(1,FW40))+'Вводные'!$B$28*MIN(1,FW40)</x:f>
      </x:c>
      <x:c r="FX41" s="121" t="n">
        <x:f>FX39*(1-MIN(1,FX40))+'Вводные'!$B$28*MIN(1,FX40)</x:f>
      </x:c>
      <x:c r="FY41" s="121" t="n">
        <x:f>FY39*(1-MIN(1,FY40))+'Вводные'!$B$28*MIN(1,FY40)</x:f>
      </x:c>
      <x:c r="FZ41" s="121" t="n">
        <x:f>FZ39*(1-MIN(1,FZ40))+'Вводные'!$B$28*MIN(1,FZ40)</x:f>
      </x:c>
      <x:c r="GA41" s="121" t="n">
        <x:f>GA39*(1-MIN(1,GA40))+'Вводные'!$B$28*MIN(1,GA40)</x:f>
      </x:c>
    </x:row>
    <x:row r="42">
      <x:c r="A42" t="str">
        <x:v>ПФ — проценты</x:v>
      </x:c>
      <x:c r="B42" t="n">
        <x:f>SUM(D42:GA42)</x:f>
      </x:c>
      <x:c r="C42" t="str">
        <x:v>млн ₽</x:v>
      </x:c>
      <x:c r="D42" s="117">
        <x:f>IF(AND((D38+D45)&gt;0,$B$5=1,D$3&lt;MAX(EDATE($B$8,MAX('Вводные'!$B$69+3,12)+1),IF('Вводные'!$B$71=0,0,EDATE('Вводные'!$B$71,1)))),(D38+D45)*D41/12,0)</x:f>
      </x:c>
      <x:c r="E42" s="117">
        <x:f>IF(AND((E38+E45)&gt;0,$B$5=1,E$3&lt;MAX(EDATE($B$8,MAX('Вводные'!$B$69+3,12)+1),IF('Вводные'!$B$71=0,0,EDATE('Вводные'!$B$71,1)))),(E38+E45)*E41/12,0)</x:f>
      </x:c>
      <x:c r="F42" s="117">
        <x:f>IF(AND((F38+F45)&gt;0,$B$5=1,F$3&lt;MAX(EDATE($B$8,MAX('Вводные'!$B$69+3,12)+1),IF('Вводные'!$B$71=0,0,EDATE('Вводные'!$B$71,1)))),(F38+F45)*F41/12,0)</x:f>
      </x:c>
      <x:c r="G42" s="117">
        <x:f>IF(AND((G38+G45)&gt;0,$B$5=1,G$3&lt;MAX(EDATE($B$8,MAX('Вводные'!$B$69+3,12)+1),IF('Вводные'!$B$71=0,0,EDATE('Вводные'!$B$71,1)))),(G38+G45)*G41/12,0)</x:f>
      </x:c>
      <x:c r="H42" s="117">
        <x:f>IF(AND((H38+H45)&gt;0,$B$5=1,H$3&lt;MAX(EDATE($B$8,MAX('Вводные'!$B$69+3,12)+1),IF('Вводные'!$B$71=0,0,EDATE('Вводные'!$B$71,1)))),(H38+H45)*H41/12,0)</x:f>
      </x:c>
      <x:c r="I42" s="117">
        <x:f>IF(AND((I38+I45)&gt;0,$B$5=1,I$3&lt;MAX(EDATE($B$8,MAX('Вводные'!$B$69+3,12)+1),IF('Вводные'!$B$71=0,0,EDATE('Вводные'!$B$71,1)))),(I38+I45)*I41/12,0)</x:f>
      </x:c>
      <x:c r="J42" s="117">
        <x:f>IF(AND((J38+J45)&gt;0,$B$5=1,J$3&lt;MAX(EDATE($B$8,MAX('Вводные'!$B$69+3,12)+1),IF('Вводные'!$B$71=0,0,EDATE('Вводные'!$B$71,1)))),(J38+J45)*J41/12,0)</x:f>
      </x:c>
      <x:c r="K42" s="117">
        <x:f>IF(AND((K38+K45)&gt;0,$B$5=1,K$3&lt;MAX(EDATE($B$8,MAX('Вводные'!$B$69+3,12)+1),IF('Вводные'!$B$71=0,0,EDATE('Вводные'!$B$71,1)))),(K38+K45)*K41/12,0)</x:f>
      </x:c>
      <x:c r="L42" s="117">
        <x:f>IF(AND((L38+L45)&gt;0,$B$5=1,L$3&lt;MAX(EDATE($B$8,MAX('Вводные'!$B$69+3,12)+1),IF('Вводные'!$B$71=0,0,EDATE('Вводные'!$B$71,1)))),(L38+L45)*L41/12,0)</x:f>
      </x:c>
      <x:c r="M42" s="117">
        <x:f>IF(AND((M38+M45)&gt;0,$B$5=1,M$3&lt;MAX(EDATE($B$8,MAX('Вводные'!$B$69+3,12)+1),IF('Вводные'!$B$71=0,0,EDATE('Вводные'!$B$71,1)))),(M38+M45)*M41/12,0)</x:f>
      </x:c>
      <x:c r="N42" s="117">
        <x:f>IF(AND((N38+N45)&gt;0,$B$5=1,N$3&lt;MAX(EDATE($B$8,MAX('Вводные'!$B$69+3,12)+1),IF('Вводные'!$B$71=0,0,EDATE('Вводные'!$B$71,1)))),(N38+N45)*N41/12,0)</x:f>
      </x:c>
      <x:c r="O42" s="117">
        <x:f>IF(AND((O38+O45)&gt;0,$B$5=1,O$3&lt;MAX(EDATE($B$8,MAX('Вводные'!$B$69+3,12)+1),IF('Вводные'!$B$71=0,0,EDATE('Вводные'!$B$71,1)))),(O38+O45)*O41/12,0)</x:f>
      </x:c>
      <x:c r="P42" s="117">
        <x:f>IF(AND((P38+P45)&gt;0,$B$5=1,P$3&lt;MAX(EDATE($B$8,MAX('Вводные'!$B$69+3,12)+1),IF('Вводные'!$B$71=0,0,EDATE('Вводные'!$B$71,1)))),(P38+P45)*P41/12,0)</x:f>
      </x:c>
      <x:c r="Q42" s="117">
        <x:f>IF(AND((Q38+Q45)&gt;0,$B$5=1,Q$3&lt;MAX(EDATE($B$8,MAX('Вводные'!$B$69+3,12)+1),IF('Вводные'!$B$71=0,0,EDATE('Вводные'!$B$71,1)))),(Q38+Q45)*Q41/12,0)</x:f>
      </x:c>
      <x:c r="R42" s="117">
        <x:f>IF(AND((R38+R45)&gt;0,$B$5=1,R$3&lt;MAX(EDATE($B$8,MAX('Вводные'!$B$69+3,12)+1),IF('Вводные'!$B$71=0,0,EDATE('Вводные'!$B$71,1)))),(R38+R45)*R41/12,0)</x:f>
      </x:c>
      <x:c r="S42" s="117">
        <x:f>IF(AND((S38+S45)&gt;0,$B$5=1,S$3&lt;MAX(EDATE($B$8,MAX('Вводные'!$B$69+3,12)+1),IF('Вводные'!$B$71=0,0,EDATE('Вводные'!$B$71,1)))),(S38+S45)*S41/12,0)</x:f>
      </x:c>
      <x:c r="T42" s="117">
        <x:f>IF(AND((T38+T45)&gt;0,$B$5=1,T$3&lt;MAX(EDATE($B$8,MAX('Вводные'!$B$69+3,12)+1),IF('Вводные'!$B$71=0,0,EDATE('Вводные'!$B$71,1)))),(T38+T45)*T41/12,0)</x:f>
      </x:c>
      <x:c r="U42" s="117">
        <x:f>IF(AND((U38+U45)&gt;0,$B$5=1,U$3&lt;MAX(EDATE($B$8,MAX('Вводные'!$B$69+3,12)+1),IF('Вводные'!$B$71=0,0,EDATE('Вводные'!$B$71,1)))),(U38+U45)*U41/12,0)</x:f>
      </x:c>
      <x:c r="V42" s="117">
        <x:f>IF(AND((V38+V45)&gt;0,$B$5=1,V$3&lt;MAX(EDATE($B$8,MAX('Вводные'!$B$69+3,12)+1),IF('Вводные'!$B$71=0,0,EDATE('Вводные'!$B$71,1)))),(V38+V45)*V41/12,0)</x:f>
      </x:c>
      <x:c r="W42" s="117">
        <x:f>IF(AND((W38+W45)&gt;0,$B$5=1,W$3&lt;MAX(EDATE($B$8,MAX('Вводные'!$B$69+3,12)+1),IF('Вводные'!$B$71=0,0,EDATE('Вводные'!$B$71,1)))),(W38+W45)*W41/12,0)</x:f>
      </x:c>
      <x:c r="X42" s="117">
        <x:f>IF(AND((X38+X45)&gt;0,$B$5=1,X$3&lt;MAX(EDATE($B$8,MAX('Вводные'!$B$69+3,12)+1),IF('Вводные'!$B$71=0,0,EDATE('Вводные'!$B$71,1)))),(X38+X45)*X41/12,0)</x:f>
      </x:c>
      <x:c r="Y42" s="117">
        <x:f>IF(AND((Y38+Y45)&gt;0,$B$5=1,Y$3&lt;MAX(EDATE($B$8,MAX('Вводные'!$B$69+3,12)+1),IF('Вводные'!$B$71=0,0,EDATE('Вводные'!$B$71,1)))),(Y38+Y45)*Y41/12,0)</x:f>
      </x:c>
      <x:c r="Z42" s="117">
        <x:f>IF(AND((Z38+Z45)&gt;0,$B$5=1,Z$3&lt;MAX(EDATE($B$8,MAX('Вводные'!$B$69+3,12)+1),IF('Вводные'!$B$71=0,0,EDATE('Вводные'!$B$71,1)))),(Z38+Z45)*Z41/12,0)</x:f>
      </x:c>
      <x:c r="AA42" s="117">
        <x:f>IF(AND((AA38+AA45)&gt;0,$B$5=1,AA$3&lt;MAX(EDATE($B$8,MAX('Вводные'!$B$69+3,12)+1),IF('Вводные'!$B$71=0,0,EDATE('Вводные'!$B$71,1)))),(AA38+AA45)*AA41/12,0)</x:f>
      </x:c>
      <x:c r="AB42" s="117">
        <x:f>IF(AND((AB38+AB45)&gt;0,$B$5=1,AB$3&lt;MAX(EDATE($B$8,MAX('Вводные'!$B$69+3,12)+1),IF('Вводные'!$B$71=0,0,EDATE('Вводные'!$B$71,1)))),(AB38+AB45)*AB41/12,0)</x:f>
      </x:c>
      <x:c r="AC42" s="117">
        <x:f>IF(AND((AC38+AC45)&gt;0,$B$5=1,AC$3&lt;MAX(EDATE($B$8,MAX('Вводные'!$B$69+3,12)+1),IF('Вводные'!$B$71=0,0,EDATE('Вводные'!$B$71,1)))),(AC38+AC45)*AC41/12,0)</x:f>
      </x:c>
      <x:c r="AD42" s="117">
        <x:f>IF(AND((AD38+AD45)&gt;0,$B$5=1,AD$3&lt;MAX(EDATE($B$8,MAX('Вводные'!$B$69+3,12)+1),IF('Вводные'!$B$71=0,0,EDATE('Вводные'!$B$71,1)))),(AD38+AD45)*AD41/12,0)</x:f>
      </x:c>
      <x:c r="AE42" s="117">
        <x:f>IF(AND((AE38+AE45)&gt;0,$B$5=1,AE$3&lt;MAX(EDATE($B$8,MAX('Вводные'!$B$69+3,12)+1),IF('Вводные'!$B$71=0,0,EDATE('Вводные'!$B$71,1)))),(AE38+AE45)*AE41/12,0)</x:f>
      </x:c>
      <x:c r="AF42" s="117">
        <x:f>IF(AND((AF38+AF45)&gt;0,$B$5=1,AF$3&lt;MAX(EDATE($B$8,MAX('Вводные'!$B$69+3,12)+1),IF('Вводные'!$B$71=0,0,EDATE('Вводные'!$B$71,1)))),(AF38+AF45)*AF41/12,0)</x:f>
      </x:c>
      <x:c r="AG42" s="117">
        <x:f>IF(AND((AG38+AG45)&gt;0,$B$5=1,AG$3&lt;MAX(EDATE($B$8,MAX('Вводные'!$B$69+3,12)+1),IF('Вводные'!$B$71=0,0,EDATE('Вводные'!$B$71,1)))),(AG38+AG45)*AG41/12,0)</x:f>
      </x:c>
      <x:c r="AH42" s="117">
        <x:f>IF(AND((AH38+AH45)&gt;0,$B$5=1,AH$3&lt;MAX(EDATE($B$8,MAX('Вводные'!$B$69+3,12)+1),IF('Вводные'!$B$71=0,0,EDATE('Вводные'!$B$71,1)))),(AH38+AH45)*AH41/12,0)</x:f>
      </x:c>
      <x:c r="AI42" s="117">
        <x:f>IF(AND((AI38+AI45)&gt;0,$B$5=1,AI$3&lt;MAX(EDATE($B$8,MAX('Вводные'!$B$69+3,12)+1),IF('Вводные'!$B$71=0,0,EDATE('Вводные'!$B$71,1)))),(AI38+AI45)*AI41/12,0)</x:f>
      </x:c>
      <x:c r="AJ42" s="117">
        <x:f>IF(AND((AJ38+AJ45)&gt;0,$B$5=1,AJ$3&lt;MAX(EDATE($B$8,MAX('Вводные'!$B$69+3,12)+1),IF('Вводные'!$B$71=0,0,EDATE('Вводные'!$B$71,1)))),(AJ38+AJ45)*AJ41/12,0)</x:f>
      </x:c>
      <x:c r="AK42" s="117">
        <x:f>IF(AND((AK38+AK45)&gt;0,$B$5=1,AK$3&lt;MAX(EDATE($B$8,MAX('Вводные'!$B$69+3,12)+1),IF('Вводные'!$B$71=0,0,EDATE('Вводные'!$B$71,1)))),(AK38+AK45)*AK41/12,0)</x:f>
      </x:c>
      <x:c r="AL42" s="117">
        <x:f>IF(AND((AL38+AL45)&gt;0,$B$5=1,AL$3&lt;MAX(EDATE($B$8,MAX('Вводные'!$B$69+3,12)+1),IF('Вводные'!$B$71=0,0,EDATE('Вводные'!$B$71,1)))),(AL38+AL45)*AL41/12,0)</x:f>
      </x:c>
      <x:c r="AM42" s="117">
        <x:f>IF(AND((AM38+AM45)&gt;0,$B$5=1,AM$3&lt;MAX(EDATE($B$8,MAX('Вводные'!$B$69+3,12)+1),IF('Вводные'!$B$71=0,0,EDATE('Вводные'!$B$71,1)))),(AM38+AM45)*AM41/12,0)</x:f>
      </x:c>
      <x:c r="AN42" s="117">
        <x:f>IF(AND((AN38+AN45)&gt;0,$B$5=1,AN$3&lt;MAX(EDATE($B$8,MAX('Вводные'!$B$69+3,12)+1),IF('Вводные'!$B$71=0,0,EDATE('Вводные'!$B$71,1)))),(AN38+AN45)*AN41/12,0)</x:f>
      </x:c>
      <x:c r="AO42" s="117">
        <x:f>IF(AND((AO38+AO45)&gt;0,$B$5=1,AO$3&lt;MAX(EDATE($B$8,MAX('Вводные'!$B$69+3,12)+1),IF('Вводные'!$B$71=0,0,EDATE('Вводные'!$B$71,1)))),(AO38+AO45)*AO41/12,0)</x:f>
      </x:c>
      <x:c r="AP42" s="117">
        <x:f>IF(AND((AP38+AP45)&gt;0,$B$5=1,AP$3&lt;MAX(EDATE($B$8,MAX('Вводные'!$B$69+3,12)+1),IF('Вводные'!$B$71=0,0,EDATE('Вводные'!$B$71,1)))),(AP38+AP45)*AP41/12,0)</x:f>
      </x:c>
      <x:c r="AQ42" s="117">
        <x:f>IF(AND((AQ38+AQ45)&gt;0,$B$5=1,AQ$3&lt;MAX(EDATE($B$8,MAX('Вводные'!$B$69+3,12)+1),IF('Вводные'!$B$71=0,0,EDATE('Вводные'!$B$71,1)))),(AQ38+AQ45)*AQ41/12,0)</x:f>
      </x:c>
      <x:c r="AR42" s="117">
        <x:f>IF(AND((AR38+AR45)&gt;0,$B$5=1,AR$3&lt;MAX(EDATE($B$8,MAX('Вводные'!$B$69+3,12)+1),IF('Вводные'!$B$71=0,0,EDATE('Вводные'!$B$71,1)))),(AR38+AR45)*AR41/12,0)</x:f>
      </x:c>
      <x:c r="AS42" s="117">
        <x:f>IF(AND((AS38+AS45)&gt;0,$B$5=1,AS$3&lt;MAX(EDATE($B$8,MAX('Вводные'!$B$69+3,12)+1),IF('Вводные'!$B$71=0,0,EDATE('Вводные'!$B$71,1)))),(AS38+AS45)*AS41/12,0)</x:f>
      </x:c>
      <x:c r="AT42" s="117">
        <x:f>IF(AND((AT38+AT45)&gt;0,$B$5=1,AT$3&lt;MAX(EDATE($B$8,MAX('Вводные'!$B$69+3,12)+1),IF('Вводные'!$B$71=0,0,EDATE('Вводные'!$B$71,1)))),(AT38+AT45)*AT41/12,0)</x:f>
      </x:c>
      <x:c r="AU42" s="117">
        <x:f>IF(AND((AU38+AU45)&gt;0,$B$5=1,AU$3&lt;MAX(EDATE($B$8,MAX('Вводные'!$B$69+3,12)+1),IF('Вводные'!$B$71=0,0,EDATE('Вводные'!$B$71,1)))),(AU38+AU45)*AU41/12,0)</x:f>
      </x:c>
      <x:c r="AV42" s="117">
        <x:f>IF(AND((AV38+AV45)&gt;0,$B$5=1,AV$3&lt;MAX(EDATE($B$8,MAX('Вводные'!$B$69+3,12)+1),IF('Вводные'!$B$71=0,0,EDATE('Вводные'!$B$71,1)))),(AV38+AV45)*AV41/12,0)</x:f>
      </x:c>
      <x:c r="AW42" s="117">
        <x:f>IF(AND((AW38+AW45)&gt;0,$B$5=1,AW$3&lt;MAX(EDATE($B$8,MAX('Вводные'!$B$69+3,12)+1),IF('Вводные'!$B$71=0,0,EDATE('Вводные'!$B$71,1)))),(AW38+AW45)*AW41/12,0)</x:f>
      </x:c>
      <x:c r="AX42" s="117">
        <x:f>IF(AND((AX38+AX45)&gt;0,$B$5=1,AX$3&lt;MAX(EDATE($B$8,MAX('Вводные'!$B$69+3,12)+1),IF('Вводные'!$B$71=0,0,EDATE('Вводные'!$B$71,1)))),(AX38+AX45)*AX41/12,0)</x:f>
      </x:c>
      <x:c r="AY42" s="117">
        <x:f>IF(AND((AY38+AY45)&gt;0,$B$5=1,AY$3&lt;MAX(EDATE($B$8,MAX('Вводные'!$B$69+3,12)+1),IF('Вводные'!$B$71=0,0,EDATE('Вводные'!$B$71,1)))),(AY38+AY45)*AY41/12,0)</x:f>
      </x:c>
      <x:c r="AZ42" s="117">
        <x:f>IF(AND((AZ38+AZ45)&gt;0,$B$5=1,AZ$3&lt;MAX(EDATE($B$8,MAX('Вводные'!$B$69+3,12)+1),IF('Вводные'!$B$71=0,0,EDATE('Вводные'!$B$71,1)))),(AZ38+AZ45)*AZ41/12,0)</x:f>
      </x:c>
      <x:c r="BA42" s="117">
        <x:f>IF(AND((BA38+BA45)&gt;0,$B$5=1,BA$3&lt;MAX(EDATE($B$8,MAX('Вводные'!$B$69+3,12)+1),IF('Вводные'!$B$71=0,0,EDATE('Вводные'!$B$71,1)))),(BA38+BA45)*BA41/12,0)</x:f>
      </x:c>
      <x:c r="BB42" s="117">
        <x:f>IF(AND((BB38+BB45)&gt;0,$B$5=1,BB$3&lt;MAX(EDATE($B$8,MAX('Вводные'!$B$69+3,12)+1),IF('Вводные'!$B$71=0,0,EDATE('Вводные'!$B$71,1)))),(BB38+BB45)*BB41/12,0)</x:f>
      </x:c>
      <x:c r="BC42" s="117">
        <x:f>IF(AND((BC38+BC45)&gt;0,$B$5=1,BC$3&lt;MAX(EDATE($B$8,MAX('Вводные'!$B$69+3,12)+1),IF('Вводные'!$B$71=0,0,EDATE('Вводные'!$B$71,1)))),(BC38+BC45)*BC41/12,0)</x:f>
      </x:c>
      <x:c r="BD42" s="117">
        <x:f>IF(AND((BD38+BD45)&gt;0,$B$5=1,BD$3&lt;MAX(EDATE($B$8,MAX('Вводные'!$B$69+3,12)+1),IF('Вводные'!$B$71=0,0,EDATE('Вводные'!$B$71,1)))),(BD38+BD45)*BD41/12,0)</x:f>
      </x:c>
      <x:c r="BE42" s="117">
        <x:f>IF(AND((BE38+BE45)&gt;0,$B$5=1,BE$3&lt;MAX(EDATE($B$8,MAX('Вводные'!$B$69+3,12)+1),IF('Вводные'!$B$71=0,0,EDATE('Вводные'!$B$71,1)))),(BE38+BE45)*BE41/12,0)</x:f>
      </x:c>
      <x:c r="BF42" s="117">
        <x:f>IF(AND((BF38+BF45)&gt;0,$B$5=1,BF$3&lt;MAX(EDATE($B$8,MAX('Вводные'!$B$69+3,12)+1),IF('Вводные'!$B$71=0,0,EDATE('Вводные'!$B$71,1)))),(BF38+BF45)*BF41/12,0)</x:f>
      </x:c>
      <x:c r="BG42" s="117">
        <x:f>IF(AND((BG38+BG45)&gt;0,$B$5=1,BG$3&lt;MAX(EDATE($B$8,MAX('Вводные'!$B$69+3,12)+1),IF('Вводные'!$B$71=0,0,EDATE('Вводные'!$B$71,1)))),(BG38+BG45)*BG41/12,0)</x:f>
      </x:c>
      <x:c r="BH42" s="117">
        <x:f>IF(AND((BH38+BH45)&gt;0,$B$5=1,BH$3&lt;MAX(EDATE($B$8,MAX('Вводные'!$B$69+3,12)+1),IF('Вводные'!$B$71=0,0,EDATE('Вводные'!$B$71,1)))),(BH38+BH45)*BH41/12,0)</x:f>
      </x:c>
      <x:c r="BI42" s="117">
        <x:f>IF(AND((BI38+BI45)&gt;0,$B$5=1,BI$3&lt;MAX(EDATE($B$8,MAX('Вводные'!$B$69+3,12)+1),IF('Вводные'!$B$71=0,0,EDATE('Вводные'!$B$71,1)))),(BI38+BI45)*BI41/12,0)</x:f>
      </x:c>
      <x:c r="BJ42" s="117">
        <x:f>IF(AND((BJ38+BJ45)&gt;0,$B$5=1,BJ$3&lt;MAX(EDATE($B$8,MAX('Вводные'!$B$69+3,12)+1),IF('Вводные'!$B$71=0,0,EDATE('Вводные'!$B$71,1)))),(BJ38+BJ45)*BJ41/12,0)</x:f>
      </x:c>
      <x:c r="BK42" s="117">
        <x:f>IF(AND((BK38+BK45)&gt;0,$B$5=1,BK$3&lt;MAX(EDATE($B$8,MAX('Вводные'!$B$69+3,12)+1),IF('Вводные'!$B$71=0,0,EDATE('Вводные'!$B$71,1)))),(BK38+BK45)*BK41/12,0)</x:f>
      </x:c>
      <x:c r="BL42" s="117">
        <x:f>IF(AND((BL38+BL45)&gt;0,$B$5=1,BL$3&lt;MAX(EDATE($B$8,MAX('Вводные'!$B$69+3,12)+1),IF('Вводные'!$B$71=0,0,EDATE('Вводные'!$B$71,1)))),(BL38+BL45)*BL41/12,0)</x:f>
      </x:c>
      <x:c r="BM42" s="117">
        <x:f>IF(AND((BM38+BM45)&gt;0,$B$5=1,BM$3&lt;MAX(EDATE($B$8,MAX('Вводные'!$B$69+3,12)+1),IF('Вводные'!$B$71=0,0,EDATE('Вводные'!$B$71,1)))),(BM38+BM45)*BM41/12,0)</x:f>
      </x:c>
      <x:c r="BN42" s="117">
        <x:f>IF(AND((BN38+BN45)&gt;0,$B$5=1,BN$3&lt;MAX(EDATE($B$8,MAX('Вводные'!$B$69+3,12)+1),IF('Вводные'!$B$71=0,0,EDATE('Вводные'!$B$71,1)))),(BN38+BN45)*BN41/12,0)</x:f>
      </x:c>
      <x:c r="BO42" s="117">
        <x:f>IF(AND((BO38+BO45)&gt;0,$B$5=1,BO$3&lt;MAX(EDATE($B$8,MAX('Вводные'!$B$69+3,12)+1),IF('Вводные'!$B$71=0,0,EDATE('Вводные'!$B$71,1)))),(BO38+BO45)*BO41/12,0)</x:f>
      </x:c>
      <x:c r="BP42" s="117">
        <x:f>IF(AND((BP38+BP45)&gt;0,$B$5=1,BP$3&lt;MAX(EDATE($B$8,MAX('Вводные'!$B$69+3,12)+1),IF('Вводные'!$B$71=0,0,EDATE('Вводные'!$B$71,1)))),(BP38+BP45)*BP41/12,0)</x:f>
      </x:c>
      <x:c r="BQ42" s="117">
        <x:f>IF(AND((BQ38+BQ45)&gt;0,$B$5=1,BQ$3&lt;MAX(EDATE($B$8,MAX('Вводные'!$B$69+3,12)+1),IF('Вводные'!$B$71=0,0,EDATE('Вводные'!$B$71,1)))),(BQ38+BQ45)*BQ41/12,0)</x:f>
      </x:c>
      <x:c r="BR42" s="117">
        <x:f>IF(AND((BR38+BR45)&gt;0,$B$5=1,BR$3&lt;MAX(EDATE($B$8,MAX('Вводные'!$B$69+3,12)+1),IF('Вводные'!$B$71=0,0,EDATE('Вводные'!$B$71,1)))),(BR38+BR45)*BR41/12,0)</x:f>
      </x:c>
      <x:c r="BS42" s="117">
        <x:f>IF(AND((BS38+BS45)&gt;0,$B$5=1,BS$3&lt;MAX(EDATE($B$8,MAX('Вводные'!$B$69+3,12)+1),IF('Вводные'!$B$71=0,0,EDATE('Вводные'!$B$71,1)))),(BS38+BS45)*BS41/12,0)</x:f>
      </x:c>
      <x:c r="BT42" s="117">
        <x:f>IF(AND((BT38+BT45)&gt;0,$B$5=1,BT$3&lt;MAX(EDATE($B$8,MAX('Вводные'!$B$69+3,12)+1),IF('Вводные'!$B$71=0,0,EDATE('Вводные'!$B$71,1)))),(BT38+BT45)*BT41/12,0)</x:f>
      </x:c>
      <x:c r="BU42" s="117">
        <x:f>IF(AND((BU38+BU45)&gt;0,$B$5=1,BU$3&lt;MAX(EDATE($B$8,MAX('Вводные'!$B$69+3,12)+1),IF('Вводные'!$B$71=0,0,EDATE('Вводные'!$B$71,1)))),(BU38+BU45)*BU41/12,0)</x:f>
      </x:c>
      <x:c r="BV42" s="117">
        <x:f>IF(AND((BV38+BV45)&gt;0,$B$5=1,BV$3&lt;MAX(EDATE($B$8,MAX('Вводные'!$B$69+3,12)+1),IF('Вводные'!$B$71=0,0,EDATE('Вводные'!$B$71,1)))),(BV38+BV45)*BV41/12,0)</x:f>
      </x:c>
      <x:c r="BW42" s="117">
        <x:f>IF(AND((BW38+BW45)&gt;0,$B$5=1,BW$3&lt;MAX(EDATE($B$8,MAX('Вводные'!$B$69+3,12)+1),IF('Вводные'!$B$71=0,0,EDATE('Вводные'!$B$71,1)))),(BW38+BW45)*BW41/12,0)</x:f>
      </x:c>
      <x:c r="BX42" s="117">
        <x:f>IF(AND((BX38+BX45)&gt;0,$B$5=1,BX$3&lt;MAX(EDATE($B$8,MAX('Вводные'!$B$69+3,12)+1),IF('Вводные'!$B$71=0,0,EDATE('Вводные'!$B$71,1)))),(BX38+BX45)*BX41/12,0)</x:f>
      </x:c>
      <x:c r="BY42" s="117">
        <x:f>IF(AND((BY38+BY45)&gt;0,$B$5=1,BY$3&lt;MAX(EDATE($B$8,MAX('Вводные'!$B$69+3,12)+1),IF('Вводные'!$B$71=0,0,EDATE('Вводные'!$B$71,1)))),(BY38+BY45)*BY41/12,0)</x:f>
      </x:c>
      <x:c r="BZ42" s="117">
        <x:f>IF(AND((BZ38+BZ45)&gt;0,$B$5=1,BZ$3&lt;MAX(EDATE($B$8,MAX('Вводные'!$B$69+3,12)+1),IF('Вводные'!$B$71=0,0,EDATE('Вводные'!$B$71,1)))),(BZ38+BZ45)*BZ41/12,0)</x:f>
      </x:c>
      <x:c r="CA42" s="117">
        <x:f>IF(AND((CA38+CA45)&gt;0,$B$5=1,CA$3&lt;MAX(EDATE($B$8,MAX('Вводные'!$B$69+3,12)+1),IF('Вводные'!$B$71=0,0,EDATE('Вводные'!$B$71,1)))),(CA38+CA45)*CA41/12,0)</x:f>
      </x:c>
      <x:c r="CB42" s="117">
        <x:f>IF(AND((CB38+CB45)&gt;0,$B$5=1,CB$3&lt;MAX(EDATE($B$8,MAX('Вводные'!$B$69+3,12)+1),IF('Вводные'!$B$71=0,0,EDATE('Вводные'!$B$71,1)))),(CB38+CB45)*CB41/12,0)</x:f>
      </x:c>
      <x:c r="CC42" s="117">
        <x:f>IF(AND((CC38+CC45)&gt;0,$B$5=1,CC$3&lt;MAX(EDATE($B$8,MAX('Вводные'!$B$69+3,12)+1),IF('Вводные'!$B$71=0,0,EDATE('Вводные'!$B$71,1)))),(CC38+CC45)*CC41/12,0)</x:f>
      </x:c>
      <x:c r="CD42" s="117">
        <x:f>IF(AND((CD38+CD45)&gt;0,$B$5=1,CD$3&lt;MAX(EDATE($B$8,MAX('Вводные'!$B$69+3,12)+1),IF('Вводные'!$B$71=0,0,EDATE('Вводные'!$B$71,1)))),(CD38+CD45)*CD41/12,0)</x:f>
      </x:c>
      <x:c r="CE42" s="117">
        <x:f>IF(AND((CE38+CE45)&gt;0,$B$5=1,CE$3&lt;MAX(EDATE($B$8,MAX('Вводные'!$B$69+3,12)+1),IF('Вводные'!$B$71=0,0,EDATE('Вводные'!$B$71,1)))),(CE38+CE45)*CE41/12,0)</x:f>
      </x:c>
      <x:c r="CF42" s="117">
        <x:f>IF(AND((CF38+CF45)&gt;0,$B$5=1,CF$3&lt;MAX(EDATE($B$8,MAX('Вводные'!$B$69+3,12)+1),IF('Вводные'!$B$71=0,0,EDATE('Вводные'!$B$71,1)))),(CF38+CF45)*CF41/12,0)</x:f>
      </x:c>
      <x:c r="CG42" s="117">
        <x:f>IF(AND((CG38+CG45)&gt;0,$B$5=1,CG$3&lt;MAX(EDATE($B$8,MAX('Вводные'!$B$69+3,12)+1),IF('Вводные'!$B$71=0,0,EDATE('Вводные'!$B$71,1)))),(CG38+CG45)*CG41/12,0)</x:f>
      </x:c>
      <x:c r="CH42" s="117">
        <x:f>IF(AND((CH38+CH45)&gt;0,$B$5=1,CH$3&lt;MAX(EDATE($B$8,MAX('Вводные'!$B$69+3,12)+1),IF('Вводные'!$B$71=0,0,EDATE('Вводные'!$B$71,1)))),(CH38+CH45)*CH41/12,0)</x:f>
      </x:c>
      <x:c r="CI42" s="117">
        <x:f>IF(AND((CI38+CI45)&gt;0,$B$5=1,CI$3&lt;MAX(EDATE($B$8,MAX('Вводные'!$B$69+3,12)+1),IF('Вводные'!$B$71=0,0,EDATE('Вводные'!$B$71,1)))),(CI38+CI45)*CI41/12,0)</x:f>
      </x:c>
      <x:c r="CJ42" s="117">
        <x:f>IF(AND((CJ38+CJ45)&gt;0,$B$5=1,CJ$3&lt;MAX(EDATE($B$8,MAX('Вводные'!$B$69+3,12)+1),IF('Вводные'!$B$71=0,0,EDATE('Вводные'!$B$71,1)))),(CJ38+CJ45)*CJ41/12,0)</x:f>
      </x:c>
      <x:c r="CK42" s="117">
        <x:f>IF(AND((CK38+CK45)&gt;0,$B$5=1,CK$3&lt;MAX(EDATE($B$8,MAX('Вводные'!$B$69+3,12)+1),IF('Вводные'!$B$71=0,0,EDATE('Вводные'!$B$71,1)))),(CK38+CK45)*CK41/12,0)</x:f>
      </x:c>
      <x:c r="CL42" s="117">
        <x:f>IF(AND((CL38+CL45)&gt;0,$B$5=1,CL$3&lt;MAX(EDATE($B$8,MAX('Вводные'!$B$69+3,12)+1),IF('Вводные'!$B$71=0,0,EDATE('Вводные'!$B$71,1)))),(CL38+CL45)*CL41/12,0)</x:f>
      </x:c>
      <x:c r="CM42" s="117">
        <x:f>IF(AND((CM38+CM45)&gt;0,$B$5=1,CM$3&lt;MAX(EDATE($B$8,MAX('Вводные'!$B$69+3,12)+1),IF('Вводные'!$B$71=0,0,EDATE('Вводные'!$B$71,1)))),(CM38+CM45)*CM41/12,0)</x:f>
      </x:c>
      <x:c r="CN42" s="117">
        <x:f>IF(AND((CN38+CN45)&gt;0,$B$5=1,CN$3&lt;MAX(EDATE($B$8,MAX('Вводные'!$B$69+3,12)+1),IF('Вводные'!$B$71=0,0,EDATE('Вводные'!$B$71,1)))),(CN38+CN45)*CN41/12,0)</x:f>
      </x:c>
      <x:c r="CO42" s="117">
        <x:f>IF(AND((CO38+CO45)&gt;0,$B$5=1,CO$3&lt;MAX(EDATE($B$8,MAX('Вводные'!$B$69+3,12)+1),IF('Вводные'!$B$71=0,0,EDATE('Вводные'!$B$71,1)))),(CO38+CO45)*CO41/12,0)</x:f>
      </x:c>
      <x:c r="CP42" s="117">
        <x:f>IF(AND((CP38+CP45)&gt;0,$B$5=1,CP$3&lt;MAX(EDATE($B$8,MAX('Вводные'!$B$69+3,12)+1),IF('Вводные'!$B$71=0,0,EDATE('Вводные'!$B$71,1)))),(CP38+CP45)*CP41/12,0)</x:f>
      </x:c>
      <x:c r="CQ42" s="117">
        <x:f>IF(AND((CQ38+CQ45)&gt;0,$B$5=1,CQ$3&lt;MAX(EDATE($B$8,MAX('Вводные'!$B$69+3,12)+1),IF('Вводные'!$B$71=0,0,EDATE('Вводные'!$B$71,1)))),(CQ38+CQ45)*CQ41/12,0)</x:f>
      </x:c>
      <x:c r="CR42" s="117">
        <x:f>IF(AND((CR38+CR45)&gt;0,$B$5=1,CR$3&lt;MAX(EDATE($B$8,MAX('Вводные'!$B$69+3,12)+1),IF('Вводные'!$B$71=0,0,EDATE('Вводные'!$B$71,1)))),(CR38+CR45)*CR41/12,0)</x:f>
      </x:c>
      <x:c r="CS42" s="117">
        <x:f>IF(AND((CS38+CS45)&gt;0,$B$5=1,CS$3&lt;MAX(EDATE($B$8,MAX('Вводные'!$B$69+3,12)+1),IF('Вводные'!$B$71=0,0,EDATE('Вводные'!$B$71,1)))),(CS38+CS45)*CS41/12,0)</x:f>
      </x:c>
      <x:c r="CT42" s="117">
        <x:f>IF(AND((CT38+CT45)&gt;0,$B$5=1,CT$3&lt;MAX(EDATE($B$8,MAX('Вводные'!$B$69+3,12)+1),IF('Вводные'!$B$71=0,0,EDATE('Вводные'!$B$71,1)))),(CT38+CT45)*CT41/12,0)</x:f>
      </x:c>
      <x:c r="CU42" s="117">
        <x:f>IF(AND((CU38+CU45)&gt;0,$B$5=1,CU$3&lt;MAX(EDATE($B$8,MAX('Вводные'!$B$69+3,12)+1),IF('Вводные'!$B$71=0,0,EDATE('Вводные'!$B$71,1)))),(CU38+CU45)*CU41/12,0)</x:f>
      </x:c>
      <x:c r="CV42" s="117">
        <x:f>IF(AND((CV38+CV45)&gt;0,$B$5=1,CV$3&lt;MAX(EDATE($B$8,MAX('Вводные'!$B$69+3,12)+1),IF('Вводные'!$B$71=0,0,EDATE('Вводные'!$B$71,1)))),(CV38+CV45)*CV41/12,0)</x:f>
      </x:c>
      <x:c r="CW42" s="117">
        <x:f>IF(AND((CW38+CW45)&gt;0,$B$5=1,CW$3&lt;MAX(EDATE($B$8,MAX('Вводные'!$B$69+3,12)+1),IF('Вводные'!$B$71=0,0,EDATE('Вводные'!$B$71,1)))),(CW38+CW45)*CW41/12,0)</x:f>
      </x:c>
      <x:c r="CX42" s="117">
        <x:f>IF(AND((CX38+CX45)&gt;0,$B$5=1,CX$3&lt;MAX(EDATE($B$8,MAX('Вводные'!$B$69+3,12)+1),IF('Вводные'!$B$71=0,0,EDATE('Вводные'!$B$71,1)))),(CX38+CX45)*CX41/12,0)</x:f>
      </x:c>
      <x:c r="CY42" s="117">
        <x:f>IF(AND((CY38+CY45)&gt;0,$B$5=1,CY$3&lt;MAX(EDATE($B$8,MAX('Вводные'!$B$69+3,12)+1),IF('Вводные'!$B$71=0,0,EDATE('Вводные'!$B$71,1)))),(CY38+CY45)*CY41/12,0)</x:f>
      </x:c>
      <x:c r="CZ42" s="117">
        <x:f>IF(AND((CZ38+CZ45)&gt;0,$B$5=1,CZ$3&lt;MAX(EDATE($B$8,MAX('Вводные'!$B$69+3,12)+1),IF('Вводные'!$B$71=0,0,EDATE('Вводные'!$B$71,1)))),(CZ38+CZ45)*CZ41/12,0)</x:f>
      </x:c>
      <x:c r="DA42" s="117">
        <x:f>IF(AND((DA38+DA45)&gt;0,$B$5=1,DA$3&lt;MAX(EDATE($B$8,MAX('Вводные'!$B$69+3,12)+1),IF('Вводные'!$B$71=0,0,EDATE('Вводные'!$B$71,1)))),(DA38+DA45)*DA41/12,0)</x:f>
      </x:c>
      <x:c r="DB42" s="117">
        <x:f>IF(AND((DB38+DB45)&gt;0,$B$5=1,DB$3&lt;MAX(EDATE($B$8,MAX('Вводные'!$B$69+3,12)+1),IF('Вводные'!$B$71=0,0,EDATE('Вводные'!$B$71,1)))),(DB38+DB45)*DB41/12,0)</x:f>
      </x:c>
      <x:c r="DC42" s="117">
        <x:f>IF(AND((DC38+DC45)&gt;0,$B$5=1,DC$3&lt;MAX(EDATE($B$8,MAX('Вводные'!$B$69+3,12)+1),IF('Вводные'!$B$71=0,0,EDATE('Вводные'!$B$71,1)))),(DC38+DC45)*DC41/12,0)</x:f>
      </x:c>
      <x:c r="DD42" s="117">
        <x:f>IF(AND((DD38+DD45)&gt;0,$B$5=1,DD$3&lt;MAX(EDATE($B$8,MAX('Вводные'!$B$69+3,12)+1),IF('Вводные'!$B$71=0,0,EDATE('Вводные'!$B$71,1)))),(DD38+DD45)*DD41/12,0)</x:f>
      </x:c>
      <x:c r="DE42" s="117">
        <x:f>IF(AND((DE38+DE45)&gt;0,$B$5=1,DE$3&lt;MAX(EDATE($B$8,MAX('Вводные'!$B$69+3,12)+1),IF('Вводные'!$B$71=0,0,EDATE('Вводные'!$B$71,1)))),(DE38+DE45)*DE41/12,0)</x:f>
      </x:c>
      <x:c r="DF42" s="117">
        <x:f>IF(AND((DF38+DF45)&gt;0,$B$5=1,DF$3&lt;MAX(EDATE($B$8,MAX('Вводные'!$B$69+3,12)+1),IF('Вводные'!$B$71=0,0,EDATE('Вводные'!$B$71,1)))),(DF38+DF45)*DF41/12,0)</x:f>
      </x:c>
      <x:c r="DG42" s="117">
        <x:f>IF(AND((DG38+DG45)&gt;0,$B$5=1,DG$3&lt;MAX(EDATE($B$8,MAX('Вводные'!$B$69+3,12)+1),IF('Вводные'!$B$71=0,0,EDATE('Вводные'!$B$71,1)))),(DG38+DG45)*DG41/12,0)</x:f>
      </x:c>
      <x:c r="DH42" s="117">
        <x:f>IF(AND((DH38+DH45)&gt;0,$B$5=1,DH$3&lt;MAX(EDATE($B$8,MAX('Вводные'!$B$69+3,12)+1),IF('Вводные'!$B$71=0,0,EDATE('Вводные'!$B$71,1)))),(DH38+DH45)*DH41/12,0)</x:f>
      </x:c>
      <x:c r="DI42" s="117">
        <x:f>IF(AND((DI38+DI45)&gt;0,$B$5=1,DI$3&lt;MAX(EDATE($B$8,MAX('Вводные'!$B$69+3,12)+1),IF('Вводные'!$B$71=0,0,EDATE('Вводные'!$B$71,1)))),(DI38+DI45)*DI41/12,0)</x:f>
      </x:c>
      <x:c r="DJ42" s="117">
        <x:f>IF(AND((DJ38+DJ45)&gt;0,$B$5=1,DJ$3&lt;MAX(EDATE($B$8,MAX('Вводные'!$B$69+3,12)+1),IF('Вводные'!$B$71=0,0,EDATE('Вводные'!$B$71,1)))),(DJ38+DJ45)*DJ41/12,0)</x:f>
      </x:c>
      <x:c r="DK42" s="117">
        <x:f>IF(AND((DK38+DK45)&gt;0,$B$5=1,DK$3&lt;MAX(EDATE($B$8,MAX('Вводные'!$B$69+3,12)+1),IF('Вводные'!$B$71=0,0,EDATE('Вводные'!$B$71,1)))),(DK38+DK45)*DK41/12,0)</x:f>
      </x:c>
      <x:c r="DL42" s="117">
        <x:f>IF(AND((DL38+DL45)&gt;0,$B$5=1,DL$3&lt;MAX(EDATE($B$8,MAX('Вводные'!$B$69+3,12)+1),IF('Вводные'!$B$71=0,0,EDATE('Вводные'!$B$71,1)))),(DL38+DL45)*DL41/12,0)</x:f>
      </x:c>
      <x:c r="DM42" s="117">
        <x:f>IF(AND((DM38+DM45)&gt;0,$B$5=1,DM$3&lt;MAX(EDATE($B$8,MAX('Вводные'!$B$69+3,12)+1),IF('Вводные'!$B$71=0,0,EDATE('Вводные'!$B$71,1)))),(DM38+DM45)*DM41/12,0)</x:f>
      </x:c>
      <x:c r="DN42" s="117">
        <x:f>IF(AND((DN38+DN45)&gt;0,$B$5=1,DN$3&lt;MAX(EDATE($B$8,MAX('Вводные'!$B$69+3,12)+1),IF('Вводные'!$B$71=0,0,EDATE('Вводные'!$B$71,1)))),(DN38+DN45)*DN41/12,0)</x:f>
      </x:c>
      <x:c r="DO42" s="117">
        <x:f>IF(AND((DO38+DO45)&gt;0,$B$5=1,DO$3&lt;MAX(EDATE($B$8,MAX('Вводные'!$B$69+3,12)+1),IF('Вводные'!$B$71=0,0,EDATE('Вводные'!$B$71,1)))),(DO38+DO45)*DO41/12,0)</x:f>
      </x:c>
      <x:c r="DP42" s="117">
        <x:f>IF(AND((DP38+DP45)&gt;0,$B$5=1,DP$3&lt;MAX(EDATE($B$8,MAX('Вводные'!$B$69+3,12)+1),IF('Вводные'!$B$71=0,0,EDATE('Вводные'!$B$71,1)))),(DP38+DP45)*DP41/12,0)</x:f>
      </x:c>
      <x:c r="DQ42" s="117">
        <x:f>IF(AND((DQ38+DQ45)&gt;0,$B$5=1,DQ$3&lt;MAX(EDATE($B$8,MAX('Вводные'!$B$69+3,12)+1),IF('Вводные'!$B$71=0,0,EDATE('Вводные'!$B$71,1)))),(DQ38+DQ45)*DQ41/12,0)</x:f>
      </x:c>
      <x:c r="DR42" s="117">
        <x:f>IF(AND((DR38+DR45)&gt;0,$B$5=1,DR$3&lt;MAX(EDATE($B$8,MAX('Вводные'!$B$69+3,12)+1),IF('Вводные'!$B$71=0,0,EDATE('Вводные'!$B$71,1)))),(DR38+DR45)*DR41/12,0)</x:f>
      </x:c>
      <x:c r="DS42" s="117">
        <x:f>IF(AND((DS38+DS45)&gt;0,$B$5=1,DS$3&lt;MAX(EDATE($B$8,MAX('Вводные'!$B$69+3,12)+1),IF('Вводные'!$B$71=0,0,EDATE('Вводные'!$B$71,1)))),(DS38+DS45)*DS41/12,0)</x:f>
      </x:c>
      <x:c r="DT42" s="117">
        <x:f>IF(AND((DT38+DT45)&gt;0,$B$5=1,DT$3&lt;MAX(EDATE($B$8,MAX('Вводные'!$B$69+3,12)+1),IF('Вводные'!$B$71=0,0,EDATE('Вводные'!$B$71,1)))),(DT38+DT45)*DT41/12,0)</x:f>
      </x:c>
      <x:c r="DU42" s="117">
        <x:f>IF(AND((DU38+DU45)&gt;0,$B$5=1,DU$3&lt;MAX(EDATE($B$8,MAX('Вводные'!$B$69+3,12)+1),IF('Вводные'!$B$71=0,0,EDATE('Вводные'!$B$71,1)))),(DU38+DU45)*DU41/12,0)</x:f>
      </x:c>
      <x:c r="DV42" s="117">
        <x:f>IF(AND((DV38+DV45)&gt;0,$B$5=1,DV$3&lt;MAX(EDATE($B$8,MAX('Вводные'!$B$69+3,12)+1),IF('Вводные'!$B$71=0,0,EDATE('Вводные'!$B$71,1)))),(DV38+DV45)*DV41/12,0)</x:f>
      </x:c>
      <x:c r="DW42" s="117">
        <x:f>IF(AND((DW38+DW45)&gt;0,$B$5=1,DW$3&lt;MAX(EDATE($B$8,MAX('Вводные'!$B$69+3,12)+1),IF('Вводные'!$B$71=0,0,EDATE('Вводные'!$B$71,1)))),(DW38+DW45)*DW41/12,0)</x:f>
      </x:c>
      <x:c r="DX42" s="117">
        <x:f>IF(AND((DX38+DX45)&gt;0,$B$5=1,DX$3&lt;MAX(EDATE($B$8,MAX('Вводные'!$B$69+3,12)+1),IF('Вводные'!$B$71=0,0,EDATE('Вводные'!$B$71,1)))),(DX38+DX45)*DX41/12,0)</x:f>
      </x:c>
      <x:c r="DY42" s="117">
        <x:f>IF(AND((DY38+DY45)&gt;0,$B$5=1,DY$3&lt;MAX(EDATE($B$8,MAX('Вводные'!$B$69+3,12)+1),IF('Вводные'!$B$71=0,0,EDATE('Вводные'!$B$71,1)))),(DY38+DY45)*DY41/12,0)</x:f>
      </x:c>
      <x:c r="DZ42" s="117">
        <x:f>IF(AND((DZ38+DZ45)&gt;0,$B$5=1,DZ$3&lt;MAX(EDATE($B$8,MAX('Вводные'!$B$69+3,12)+1),IF('Вводные'!$B$71=0,0,EDATE('Вводные'!$B$71,1)))),(DZ38+DZ45)*DZ41/12,0)</x:f>
      </x:c>
      <x:c r="EA42" s="117">
        <x:f>IF(AND((EA38+EA45)&gt;0,$B$5=1,EA$3&lt;MAX(EDATE($B$8,MAX('Вводные'!$B$69+3,12)+1),IF('Вводные'!$B$71=0,0,EDATE('Вводные'!$B$71,1)))),(EA38+EA45)*EA41/12,0)</x:f>
      </x:c>
      <x:c r="EB42" s="117">
        <x:f>IF(AND((EB38+EB45)&gt;0,$B$5=1,EB$3&lt;MAX(EDATE($B$8,MAX('Вводные'!$B$69+3,12)+1),IF('Вводные'!$B$71=0,0,EDATE('Вводные'!$B$71,1)))),(EB38+EB45)*EB41/12,0)</x:f>
      </x:c>
      <x:c r="EC42" s="117">
        <x:f>IF(AND((EC38+EC45)&gt;0,$B$5=1,EC$3&lt;MAX(EDATE($B$8,MAX('Вводные'!$B$69+3,12)+1),IF('Вводные'!$B$71=0,0,EDATE('Вводные'!$B$71,1)))),(EC38+EC45)*EC41/12,0)</x:f>
      </x:c>
      <x:c r="ED42" s="117">
        <x:f>IF(AND((ED38+ED45)&gt;0,$B$5=1,ED$3&lt;MAX(EDATE($B$8,MAX('Вводные'!$B$69+3,12)+1),IF('Вводные'!$B$71=0,0,EDATE('Вводные'!$B$71,1)))),(ED38+ED45)*ED41/12,0)</x:f>
      </x:c>
      <x:c r="EE42" s="117">
        <x:f>IF(AND((EE38+EE45)&gt;0,$B$5=1,EE$3&lt;MAX(EDATE($B$8,MAX('Вводные'!$B$69+3,12)+1),IF('Вводные'!$B$71=0,0,EDATE('Вводные'!$B$71,1)))),(EE38+EE45)*EE41/12,0)</x:f>
      </x:c>
      <x:c r="EF42" s="117">
        <x:f>IF(AND((EF38+EF45)&gt;0,$B$5=1,EF$3&lt;MAX(EDATE($B$8,MAX('Вводные'!$B$69+3,12)+1),IF('Вводные'!$B$71=0,0,EDATE('Вводные'!$B$71,1)))),(EF38+EF45)*EF41/12,0)</x:f>
      </x:c>
      <x:c r="EG42" s="117">
        <x:f>IF(AND((EG38+EG45)&gt;0,$B$5=1,EG$3&lt;MAX(EDATE($B$8,MAX('Вводные'!$B$69+3,12)+1),IF('Вводные'!$B$71=0,0,EDATE('Вводные'!$B$71,1)))),(EG38+EG45)*EG41/12,0)</x:f>
      </x:c>
      <x:c r="EH42" s="117">
        <x:f>IF(AND((EH38+EH45)&gt;0,$B$5=1,EH$3&lt;MAX(EDATE($B$8,MAX('Вводные'!$B$69+3,12)+1),IF('Вводные'!$B$71=0,0,EDATE('Вводные'!$B$71,1)))),(EH38+EH45)*EH41/12,0)</x:f>
      </x:c>
      <x:c r="EI42" s="117">
        <x:f>IF(AND((EI38+EI45)&gt;0,$B$5=1,EI$3&lt;MAX(EDATE($B$8,MAX('Вводные'!$B$69+3,12)+1),IF('Вводные'!$B$71=0,0,EDATE('Вводные'!$B$71,1)))),(EI38+EI45)*EI41/12,0)</x:f>
      </x:c>
      <x:c r="EJ42" s="117">
        <x:f>IF(AND((EJ38+EJ45)&gt;0,$B$5=1,EJ$3&lt;MAX(EDATE($B$8,MAX('Вводные'!$B$69+3,12)+1),IF('Вводные'!$B$71=0,0,EDATE('Вводные'!$B$71,1)))),(EJ38+EJ45)*EJ41/12,0)</x:f>
      </x:c>
      <x:c r="EK42" s="117">
        <x:f>IF(AND((EK38+EK45)&gt;0,$B$5=1,EK$3&lt;MAX(EDATE($B$8,MAX('Вводные'!$B$69+3,12)+1),IF('Вводные'!$B$71=0,0,EDATE('Вводные'!$B$71,1)))),(EK38+EK45)*EK41/12,0)</x:f>
      </x:c>
      <x:c r="EL42" s="117">
        <x:f>IF(AND((EL38+EL45)&gt;0,$B$5=1,EL$3&lt;MAX(EDATE($B$8,MAX('Вводные'!$B$69+3,12)+1),IF('Вводные'!$B$71=0,0,EDATE('Вводные'!$B$71,1)))),(EL38+EL45)*EL41/12,0)</x:f>
      </x:c>
      <x:c r="EM42" s="117">
        <x:f>IF(AND((EM38+EM45)&gt;0,$B$5=1,EM$3&lt;MAX(EDATE($B$8,MAX('Вводные'!$B$69+3,12)+1),IF('Вводные'!$B$71=0,0,EDATE('Вводные'!$B$71,1)))),(EM38+EM45)*EM41/12,0)</x:f>
      </x:c>
      <x:c r="EN42" s="117">
        <x:f>IF(AND((EN38+EN45)&gt;0,$B$5=1,EN$3&lt;MAX(EDATE($B$8,MAX('Вводные'!$B$69+3,12)+1),IF('Вводные'!$B$71=0,0,EDATE('Вводные'!$B$71,1)))),(EN38+EN45)*EN41/12,0)</x:f>
      </x:c>
      <x:c r="EO42" s="117">
        <x:f>IF(AND((EO38+EO45)&gt;0,$B$5=1,EO$3&lt;MAX(EDATE($B$8,MAX('Вводные'!$B$69+3,12)+1),IF('Вводные'!$B$71=0,0,EDATE('Вводные'!$B$71,1)))),(EO38+EO45)*EO41/12,0)</x:f>
      </x:c>
      <x:c r="EP42" s="117">
        <x:f>IF(AND((EP38+EP45)&gt;0,$B$5=1,EP$3&lt;MAX(EDATE($B$8,MAX('Вводные'!$B$69+3,12)+1),IF('Вводные'!$B$71=0,0,EDATE('Вводные'!$B$71,1)))),(EP38+EP45)*EP41/12,0)</x:f>
      </x:c>
      <x:c r="EQ42" s="117">
        <x:f>IF(AND((EQ38+EQ45)&gt;0,$B$5=1,EQ$3&lt;MAX(EDATE($B$8,MAX('Вводные'!$B$69+3,12)+1),IF('Вводные'!$B$71=0,0,EDATE('Вводные'!$B$71,1)))),(EQ38+EQ45)*EQ41/12,0)</x:f>
      </x:c>
      <x:c r="ER42" s="117">
        <x:f>IF(AND((ER38+ER45)&gt;0,$B$5=1,ER$3&lt;MAX(EDATE($B$8,MAX('Вводные'!$B$69+3,12)+1),IF('Вводные'!$B$71=0,0,EDATE('Вводные'!$B$71,1)))),(ER38+ER45)*ER41/12,0)</x:f>
      </x:c>
      <x:c r="ES42" s="117">
        <x:f>IF(AND((ES38+ES45)&gt;0,$B$5=1,ES$3&lt;MAX(EDATE($B$8,MAX('Вводные'!$B$69+3,12)+1),IF('Вводные'!$B$71=0,0,EDATE('Вводные'!$B$71,1)))),(ES38+ES45)*ES41/12,0)</x:f>
      </x:c>
      <x:c r="ET42" s="117">
        <x:f>IF(AND((ET38+ET45)&gt;0,$B$5=1,ET$3&lt;MAX(EDATE($B$8,MAX('Вводные'!$B$69+3,12)+1),IF('Вводные'!$B$71=0,0,EDATE('Вводные'!$B$71,1)))),(ET38+ET45)*ET41/12,0)</x:f>
      </x:c>
      <x:c r="EU42" s="117">
        <x:f>IF(AND((EU38+EU45)&gt;0,$B$5=1,EU$3&lt;MAX(EDATE($B$8,MAX('Вводные'!$B$69+3,12)+1),IF('Вводные'!$B$71=0,0,EDATE('Вводные'!$B$71,1)))),(EU38+EU45)*EU41/12,0)</x:f>
      </x:c>
      <x:c r="EV42" s="117">
        <x:f>IF(AND((EV38+EV45)&gt;0,$B$5=1,EV$3&lt;MAX(EDATE($B$8,MAX('Вводные'!$B$69+3,12)+1),IF('Вводные'!$B$71=0,0,EDATE('Вводные'!$B$71,1)))),(EV38+EV45)*EV41/12,0)</x:f>
      </x:c>
      <x:c r="EW42" s="117">
        <x:f>IF(AND((EW38+EW45)&gt;0,$B$5=1,EW$3&lt;MAX(EDATE($B$8,MAX('Вводные'!$B$69+3,12)+1),IF('Вводные'!$B$71=0,0,EDATE('Вводные'!$B$71,1)))),(EW38+EW45)*EW41/12,0)</x:f>
      </x:c>
      <x:c r="EX42" s="117">
        <x:f>IF(AND((EX38+EX45)&gt;0,$B$5=1,EX$3&lt;MAX(EDATE($B$8,MAX('Вводные'!$B$69+3,12)+1),IF('Вводные'!$B$71=0,0,EDATE('Вводные'!$B$71,1)))),(EX38+EX45)*EX41/12,0)</x:f>
      </x:c>
      <x:c r="EY42" s="117">
        <x:f>IF(AND((EY38+EY45)&gt;0,$B$5=1,EY$3&lt;MAX(EDATE($B$8,MAX('Вводные'!$B$69+3,12)+1),IF('Вводные'!$B$71=0,0,EDATE('Вводные'!$B$71,1)))),(EY38+EY45)*EY41/12,0)</x:f>
      </x:c>
      <x:c r="EZ42" s="117">
        <x:f>IF(AND((EZ38+EZ45)&gt;0,$B$5=1,EZ$3&lt;MAX(EDATE($B$8,MAX('Вводные'!$B$69+3,12)+1),IF('Вводные'!$B$71=0,0,EDATE('Вводные'!$B$71,1)))),(EZ38+EZ45)*EZ41/12,0)</x:f>
      </x:c>
      <x:c r="FA42" s="117">
        <x:f>IF(AND((FA38+FA45)&gt;0,$B$5=1,FA$3&lt;MAX(EDATE($B$8,MAX('Вводные'!$B$69+3,12)+1),IF('Вводные'!$B$71=0,0,EDATE('Вводные'!$B$71,1)))),(FA38+FA45)*FA41/12,0)</x:f>
      </x:c>
      <x:c r="FB42" s="117">
        <x:f>IF(AND((FB38+FB45)&gt;0,$B$5=1,FB$3&lt;MAX(EDATE($B$8,MAX('Вводные'!$B$69+3,12)+1),IF('Вводные'!$B$71=0,0,EDATE('Вводные'!$B$71,1)))),(FB38+FB45)*FB41/12,0)</x:f>
      </x:c>
      <x:c r="FC42" s="117">
        <x:f>IF(AND((FC38+FC45)&gt;0,$B$5=1,FC$3&lt;MAX(EDATE($B$8,MAX('Вводные'!$B$69+3,12)+1),IF('Вводные'!$B$71=0,0,EDATE('Вводные'!$B$71,1)))),(FC38+FC45)*FC41/12,0)</x:f>
      </x:c>
      <x:c r="FD42" s="117">
        <x:f>IF(AND((FD38+FD45)&gt;0,$B$5=1,FD$3&lt;MAX(EDATE($B$8,MAX('Вводные'!$B$69+3,12)+1),IF('Вводные'!$B$71=0,0,EDATE('Вводные'!$B$71,1)))),(FD38+FD45)*FD41/12,0)</x:f>
      </x:c>
      <x:c r="FE42" s="117">
        <x:f>IF(AND((FE38+FE45)&gt;0,$B$5=1,FE$3&lt;MAX(EDATE($B$8,MAX('Вводные'!$B$69+3,12)+1),IF('Вводные'!$B$71=0,0,EDATE('Вводные'!$B$71,1)))),(FE38+FE45)*FE41/12,0)</x:f>
      </x:c>
      <x:c r="FF42" s="117">
        <x:f>IF(AND((FF38+FF45)&gt;0,$B$5=1,FF$3&lt;MAX(EDATE($B$8,MAX('Вводные'!$B$69+3,12)+1),IF('Вводные'!$B$71=0,0,EDATE('Вводные'!$B$71,1)))),(FF38+FF45)*FF41/12,0)</x:f>
      </x:c>
      <x:c r="FG42" s="117">
        <x:f>IF(AND((FG38+FG45)&gt;0,$B$5=1,FG$3&lt;MAX(EDATE($B$8,MAX('Вводные'!$B$69+3,12)+1),IF('Вводные'!$B$71=0,0,EDATE('Вводные'!$B$71,1)))),(FG38+FG45)*FG41/12,0)</x:f>
      </x:c>
      <x:c r="FH42" s="117">
        <x:f>IF(AND((FH38+FH45)&gt;0,$B$5=1,FH$3&lt;MAX(EDATE($B$8,MAX('Вводные'!$B$69+3,12)+1),IF('Вводные'!$B$71=0,0,EDATE('Вводные'!$B$71,1)))),(FH38+FH45)*FH41/12,0)</x:f>
      </x:c>
      <x:c r="FI42" s="117">
        <x:f>IF(AND((FI38+FI45)&gt;0,$B$5=1,FI$3&lt;MAX(EDATE($B$8,MAX('Вводные'!$B$69+3,12)+1),IF('Вводные'!$B$71=0,0,EDATE('Вводные'!$B$71,1)))),(FI38+FI45)*FI41/12,0)</x:f>
      </x:c>
      <x:c r="FJ42" s="117">
        <x:f>IF(AND((FJ38+FJ45)&gt;0,$B$5=1,FJ$3&lt;MAX(EDATE($B$8,MAX('Вводные'!$B$69+3,12)+1),IF('Вводные'!$B$71=0,0,EDATE('Вводные'!$B$71,1)))),(FJ38+FJ45)*FJ41/12,0)</x:f>
      </x:c>
      <x:c r="FK42" s="117">
        <x:f>IF(AND((FK38+FK45)&gt;0,$B$5=1,FK$3&lt;MAX(EDATE($B$8,MAX('Вводные'!$B$69+3,12)+1),IF('Вводные'!$B$71=0,0,EDATE('Вводные'!$B$71,1)))),(FK38+FK45)*FK41/12,0)</x:f>
      </x:c>
      <x:c r="FL42" s="117">
        <x:f>IF(AND((FL38+FL45)&gt;0,$B$5=1,FL$3&lt;MAX(EDATE($B$8,MAX('Вводные'!$B$69+3,12)+1),IF('Вводные'!$B$71=0,0,EDATE('Вводные'!$B$71,1)))),(FL38+FL45)*FL41/12,0)</x:f>
      </x:c>
      <x:c r="FM42" s="117">
        <x:f>IF(AND((FM38+FM45)&gt;0,$B$5=1,FM$3&lt;MAX(EDATE($B$8,MAX('Вводные'!$B$69+3,12)+1),IF('Вводные'!$B$71=0,0,EDATE('Вводные'!$B$71,1)))),(FM38+FM45)*FM41/12,0)</x:f>
      </x:c>
      <x:c r="FN42" s="117">
        <x:f>IF(AND((FN38+FN45)&gt;0,$B$5=1,FN$3&lt;MAX(EDATE($B$8,MAX('Вводные'!$B$69+3,12)+1),IF('Вводные'!$B$71=0,0,EDATE('Вводные'!$B$71,1)))),(FN38+FN45)*FN41/12,0)</x:f>
      </x:c>
      <x:c r="FO42" s="117">
        <x:f>IF(AND((FO38+FO45)&gt;0,$B$5=1,FO$3&lt;MAX(EDATE($B$8,MAX('Вводные'!$B$69+3,12)+1),IF('Вводные'!$B$71=0,0,EDATE('Вводные'!$B$71,1)))),(FO38+FO45)*FO41/12,0)</x:f>
      </x:c>
      <x:c r="FP42" s="117">
        <x:f>IF(AND((FP38+FP45)&gt;0,$B$5=1,FP$3&lt;MAX(EDATE($B$8,MAX('Вводные'!$B$69+3,12)+1),IF('Вводные'!$B$71=0,0,EDATE('Вводные'!$B$71,1)))),(FP38+FP45)*FP41/12,0)</x:f>
      </x:c>
      <x:c r="FQ42" s="117">
        <x:f>IF(AND((FQ38+FQ45)&gt;0,$B$5=1,FQ$3&lt;MAX(EDATE($B$8,MAX('Вводные'!$B$69+3,12)+1),IF('Вводные'!$B$71=0,0,EDATE('Вводные'!$B$71,1)))),(FQ38+FQ45)*FQ41/12,0)</x:f>
      </x:c>
      <x:c r="FR42" s="117">
        <x:f>IF(AND((FR38+FR45)&gt;0,$B$5=1,FR$3&lt;MAX(EDATE($B$8,MAX('Вводные'!$B$69+3,12)+1),IF('Вводные'!$B$71=0,0,EDATE('Вводные'!$B$71,1)))),(FR38+FR45)*FR41/12,0)</x:f>
      </x:c>
      <x:c r="FS42" s="117">
        <x:f>IF(AND((FS38+FS45)&gt;0,$B$5=1,FS$3&lt;MAX(EDATE($B$8,MAX('Вводные'!$B$69+3,12)+1),IF('Вводные'!$B$71=0,0,EDATE('Вводные'!$B$71,1)))),(FS38+FS45)*FS41/12,0)</x:f>
      </x:c>
      <x:c r="FT42" s="117">
        <x:f>IF(AND((FT38+FT45)&gt;0,$B$5=1,FT$3&lt;MAX(EDATE($B$8,MAX('Вводные'!$B$69+3,12)+1),IF('Вводные'!$B$71=0,0,EDATE('Вводные'!$B$71,1)))),(FT38+FT45)*FT41/12,0)</x:f>
      </x:c>
      <x:c r="FU42" s="117">
        <x:f>IF(AND((FU38+FU45)&gt;0,$B$5=1,FU$3&lt;MAX(EDATE($B$8,MAX('Вводные'!$B$69+3,12)+1),IF('Вводные'!$B$71=0,0,EDATE('Вводные'!$B$71,1)))),(FU38+FU45)*FU41/12,0)</x:f>
      </x:c>
      <x:c r="FV42" s="117">
        <x:f>IF(AND((FV38+FV45)&gt;0,$B$5=1,FV$3&lt;MAX(EDATE($B$8,MAX('Вводные'!$B$69+3,12)+1),IF('Вводные'!$B$71=0,0,EDATE('Вводные'!$B$71,1)))),(FV38+FV45)*FV41/12,0)</x:f>
      </x:c>
      <x:c r="FW42" s="117">
        <x:f>IF(AND((FW38+FW45)&gt;0,$B$5=1,FW$3&lt;MAX(EDATE($B$8,MAX('Вводные'!$B$69+3,12)+1),IF('Вводные'!$B$71=0,0,EDATE('Вводные'!$B$71,1)))),(FW38+FW45)*FW41/12,0)</x:f>
      </x:c>
      <x:c r="FX42" s="117">
        <x:f>IF(AND((FX38+FX45)&gt;0,$B$5=1,FX$3&lt;MAX(EDATE($B$8,MAX('Вводные'!$B$69+3,12)+1),IF('Вводные'!$B$71=0,0,EDATE('Вводные'!$B$71,1)))),(FX38+FX45)*FX41/12,0)</x:f>
      </x:c>
      <x:c r="FY42" s="117">
        <x:f>IF(AND((FY38+FY45)&gt;0,$B$5=1,FY$3&lt;MAX(EDATE($B$8,MAX('Вводные'!$B$69+3,12)+1),IF('Вводные'!$B$71=0,0,EDATE('Вводные'!$B$71,1)))),(FY38+FY45)*FY41/12,0)</x:f>
      </x:c>
      <x:c r="FZ42" s="117">
        <x:f>IF(AND((FZ38+FZ45)&gt;0,$B$5=1,FZ$3&lt;MAX(EDATE($B$8,MAX('Вводные'!$B$69+3,12)+1),IF('Вводные'!$B$71=0,0,EDATE('Вводные'!$B$71,1)))),(FZ38+FZ45)*FZ41/12,0)</x:f>
      </x:c>
      <x:c r="GA42" s="117">
        <x:f>IF(AND((GA38+GA45)&gt;0,$B$5=1,GA$3&lt;MAX(EDATE($B$8,MAX('Вводные'!$B$69+3,12)+1),IF('Вводные'!$B$71=0,0,EDATE('Вводные'!$B$71,1)))),(GA38+GA45)*GA41/12,0)</x:f>
      </x:c>
    </x:row>
    <x:row r="43">
      <x:c r="A43" t="str">
        <x:v>ПФ — плата за лимит</x:v>
      </x:c>
      <x:c r="B43" t="n">
        <x:f>SUM(D43:GA43)</x:f>
      </x:c>
      <x:c r="C43" t="str">
        <x:v>млн ₽</x:v>
      </x:c>
      <x:c r="D43" s="117">
        <x:f>IF(AND(D$3&gt;=$B$7,D$3&lt;$B$8),MAX(0,'Вводные'!$B$26*'Вводные'!$V$91-(D38+D45))*'Вводные'!$B$29/12,0)</x:f>
      </x:c>
      <x:c r="E43" s="117">
        <x:f>IF(AND(E$3&gt;=$B$7,E$3&lt;$B$8),MAX(0,'Вводные'!$B$26*'Вводные'!$V$91-(E38+E45))*'Вводные'!$B$29/12,0)</x:f>
      </x:c>
      <x:c r="F43" s="117">
        <x:f>IF(AND(F$3&gt;=$B$7,F$3&lt;$B$8),MAX(0,'Вводные'!$B$26*'Вводные'!$V$91-(F38+F45))*'Вводные'!$B$29/12,0)</x:f>
      </x:c>
      <x:c r="G43" s="117">
        <x:f>IF(AND(G$3&gt;=$B$7,G$3&lt;$B$8),MAX(0,'Вводные'!$B$26*'Вводные'!$V$91-(G38+G45))*'Вводные'!$B$29/12,0)</x:f>
      </x:c>
      <x:c r="H43" s="117">
        <x:f>IF(AND(H$3&gt;=$B$7,H$3&lt;$B$8),MAX(0,'Вводные'!$B$26*'Вводные'!$V$91-(H38+H45))*'Вводные'!$B$29/12,0)</x:f>
      </x:c>
      <x:c r="I43" s="117">
        <x:f>IF(AND(I$3&gt;=$B$7,I$3&lt;$B$8),MAX(0,'Вводные'!$B$26*'Вводные'!$V$91-(I38+I45))*'Вводные'!$B$29/12,0)</x:f>
      </x:c>
      <x:c r="J43" s="117">
        <x:f>IF(AND(J$3&gt;=$B$7,J$3&lt;$B$8),MAX(0,'Вводные'!$B$26*'Вводные'!$V$91-(J38+J45))*'Вводные'!$B$29/12,0)</x:f>
      </x:c>
      <x:c r="K43" s="117">
        <x:f>IF(AND(K$3&gt;=$B$7,K$3&lt;$B$8),MAX(0,'Вводные'!$B$26*'Вводные'!$V$91-(K38+K45))*'Вводные'!$B$29/12,0)</x:f>
      </x:c>
      <x:c r="L43" s="117">
        <x:f>IF(AND(L$3&gt;=$B$7,L$3&lt;$B$8),MAX(0,'Вводные'!$B$26*'Вводные'!$V$91-(L38+L45))*'Вводные'!$B$29/12,0)</x:f>
      </x:c>
      <x:c r="M43" s="117">
        <x:f>IF(AND(M$3&gt;=$B$7,M$3&lt;$B$8),MAX(0,'Вводные'!$B$26*'Вводные'!$V$91-(M38+M45))*'Вводные'!$B$29/12,0)</x:f>
      </x:c>
      <x:c r="N43" s="117">
        <x:f>IF(AND(N$3&gt;=$B$7,N$3&lt;$B$8),MAX(0,'Вводные'!$B$26*'Вводные'!$V$91-(N38+N45))*'Вводные'!$B$29/12,0)</x:f>
      </x:c>
      <x:c r="O43" s="117">
        <x:f>IF(AND(O$3&gt;=$B$7,O$3&lt;$B$8),MAX(0,'Вводные'!$B$26*'Вводные'!$V$91-(O38+O45))*'Вводные'!$B$29/12,0)</x:f>
      </x:c>
      <x:c r="P43" s="117">
        <x:f>IF(AND(P$3&gt;=$B$7,P$3&lt;$B$8),MAX(0,'Вводные'!$B$26*'Вводные'!$V$91-(P38+P45))*'Вводные'!$B$29/12,0)</x:f>
      </x:c>
      <x:c r="Q43" s="117">
        <x:f>IF(AND(Q$3&gt;=$B$7,Q$3&lt;$B$8),MAX(0,'Вводные'!$B$26*'Вводные'!$V$91-(Q38+Q45))*'Вводные'!$B$29/12,0)</x:f>
      </x:c>
      <x:c r="R43" s="117">
        <x:f>IF(AND(R$3&gt;=$B$7,R$3&lt;$B$8),MAX(0,'Вводные'!$B$26*'Вводные'!$V$91-(R38+R45))*'Вводные'!$B$29/12,0)</x:f>
      </x:c>
      <x:c r="S43" s="117">
        <x:f>IF(AND(S$3&gt;=$B$7,S$3&lt;$B$8),MAX(0,'Вводные'!$B$26*'Вводные'!$V$91-(S38+S45))*'Вводные'!$B$29/12,0)</x:f>
      </x:c>
      <x:c r="T43" s="117">
        <x:f>IF(AND(T$3&gt;=$B$7,T$3&lt;$B$8),MAX(0,'Вводные'!$B$26*'Вводные'!$V$91-(T38+T45))*'Вводные'!$B$29/12,0)</x:f>
      </x:c>
      <x:c r="U43" s="117">
        <x:f>IF(AND(U$3&gt;=$B$7,U$3&lt;$B$8),MAX(0,'Вводные'!$B$26*'Вводные'!$V$91-(U38+U45))*'Вводные'!$B$29/12,0)</x:f>
      </x:c>
      <x:c r="V43" s="117">
        <x:f>IF(AND(V$3&gt;=$B$7,V$3&lt;$B$8),MAX(0,'Вводные'!$B$26*'Вводные'!$V$91-(V38+V45))*'Вводные'!$B$29/12,0)</x:f>
      </x:c>
      <x:c r="W43" s="117">
        <x:f>IF(AND(W$3&gt;=$B$7,W$3&lt;$B$8),MAX(0,'Вводные'!$B$26*'Вводные'!$V$91-(W38+W45))*'Вводные'!$B$29/12,0)</x:f>
      </x:c>
      <x:c r="X43" s="117">
        <x:f>IF(AND(X$3&gt;=$B$7,X$3&lt;$B$8),MAX(0,'Вводные'!$B$26*'Вводные'!$V$91-(X38+X45))*'Вводные'!$B$29/12,0)</x:f>
      </x:c>
      <x:c r="Y43" s="117">
        <x:f>IF(AND(Y$3&gt;=$B$7,Y$3&lt;$B$8),MAX(0,'Вводные'!$B$26*'Вводные'!$V$91-(Y38+Y45))*'Вводные'!$B$29/12,0)</x:f>
      </x:c>
      <x:c r="Z43" s="117">
        <x:f>IF(AND(Z$3&gt;=$B$7,Z$3&lt;$B$8),MAX(0,'Вводные'!$B$26*'Вводные'!$V$91-(Z38+Z45))*'Вводные'!$B$29/12,0)</x:f>
      </x:c>
      <x:c r="AA43" s="117">
        <x:f>IF(AND(AA$3&gt;=$B$7,AA$3&lt;$B$8),MAX(0,'Вводные'!$B$26*'Вводные'!$V$91-(AA38+AA45))*'Вводные'!$B$29/12,0)</x:f>
      </x:c>
      <x:c r="AB43" s="117">
        <x:f>IF(AND(AB$3&gt;=$B$7,AB$3&lt;$B$8),MAX(0,'Вводные'!$B$26*'Вводные'!$V$91-(AB38+AB45))*'Вводные'!$B$29/12,0)</x:f>
      </x:c>
      <x:c r="AC43" s="117">
        <x:f>IF(AND(AC$3&gt;=$B$7,AC$3&lt;$B$8),MAX(0,'Вводные'!$B$26*'Вводные'!$V$91-(AC38+AC45))*'Вводные'!$B$29/12,0)</x:f>
      </x:c>
      <x:c r="AD43" s="117">
        <x:f>IF(AND(AD$3&gt;=$B$7,AD$3&lt;$B$8),MAX(0,'Вводные'!$B$26*'Вводные'!$V$91-(AD38+AD45))*'Вводные'!$B$29/12,0)</x:f>
      </x:c>
      <x:c r="AE43" s="117">
        <x:f>IF(AND(AE$3&gt;=$B$7,AE$3&lt;$B$8),MAX(0,'Вводные'!$B$26*'Вводные'!$V$91-(AE38+AE45))*'Вводные'!$B$29/12,0)</x:f>
      </x:c>
      <x:c r="AF43" s="117">
        <x:f>IF(AND(AF$3&gt;=$B$7,AF$3&lt;$B$8),MAX(0,'Вводные'!$B$26*'Вводные'!$V$91-(AF38+AF45))*'Вводные'!$B$29/12,0)</x:f>
      </x:c>
      <x:c r="AG43" s="117">
        <x:f>IF(AND(AG$3&gt;=$B$7,AG$3&lt;$B$8),MAX(0,'Вводные'!$B$26*'Вводные'!$V$91-(AG38+AG45))*'Вводные'!$B$29/12,0)</x:f>
      </x:c>
      <x:c r="AH43" s="117">
        <x:f>IF(AND(AH$3&gt;=$B$7,AH$3&lt;$B$8),MAX(0,'Вводные'!$B$26*'Вводные'!$V$91-(AH38+AH45))*'Вводные'!$B$29/12,0)</x:f>
      </x:c>
      <x:c r="AI43" s="117">
        <x:f>IF(AND(AI$3&gt;=$B$7,AI$3&lt;$B$8),MAX(0,'Вводные'!$B$26*'Вводные'!$V$91-(AI38+AI45))*'Вводные'!$B$29/12,0)</x:f>
      </x:c>
      <x:c r="AJ43" s="117">
        <x:f>IF(AND(AJ$3&gt;=$B$7,AJ$3&lt;$B$8),MAX(0,'Вводные'!$B$26*'Вводные'!$V$91-(AJ38+AJ45))*'Вводные'!$B$29/12,0)</x:f>
      </x:c>
      <x:c r="AK43" s="117">
        <x:f>IF(AND(AK$3&gt;=$B$7,AK$3&lt;$B$8),MAX(0,'Вводные'!$B$26*'Вводные'!$V$91-(AK38+AK45))*'Вводные'!$B$29/12,0)</x:f>
      </x:c>
      <x:c r="AL43" s="117">
        <x:f>IF(AND(AL$3&gt;=$B$7,AL$3&lt;$B$8),MAX(0,'Вводные'!$B$26*'Вводные'!$V$91-(AL38+AL45))*'Вводные'!$B$29/12,0)</x:f>
      </x:c>
      <x:c r="AM43" s="117">
        <x:f>IF(AND(AM$3&gt;=$B$7,AM$3&lt;$B$8),MAX(0,'Вводные'!$B$26*'Вводные'!$V$91-(AM38+AM45))*'Вводные'!$B$29/12,0)</x:f>
      </x:c>
      <x:c r="AN43" s="117">
        <x:f>IF(AND(AN$3&gt;=$B$7,AN$3&lt;$B$8),MAX(0,'Вводные'!$B$26*'Вводные'!$V$91-(AN38+AN45))*'Вводные'!$B$29/12,0)</x:f>
      </x:c>
      <x:c r="AO43" s="117">
        <x:f>IF(AND(AO$3&gt;=$B$7,AO$3&lt;$B$8),MAX(0,'Вводные'!$B$26*'Вводные'!$V$91-(AO38+AO45))*'Вводные'!$B$29/12,0)</x:f>
      </x:c>
      <x:c r="AP43" s="117">
        <x:f>IF(AND(AP$3&gt;=$B$7,AP$3&lt;$B$8),MAX(0,'Вводные'!$B$26*'Вводные'!$V$91-(AP38+AP45))*'Вводные'!$B$29/12,0)</x:f>
      </x:c>
      <x:c r="AQ43" s="117">
        <x:f>IF(AND(AQ$3&gt;=$B$7,AQ$3&lt;$B$8),MAX(0,'Вводные'!$B$26*'Вводные'!$V$91-(AQ38+AQ45))*'Вводные'!$B$29/12,0)</x:f>
      </x:c>
      <x:c r="AR43" s="117">
        <x:f>IF(AND(AR$3&gt;=$B$7,AR$3&lt;$B$8),MAX(0,'Вводные'!$B$26*'Вводные'!$V$91-(AR38+AR45))*'Вводные'!$B$29/12,0)</x:f>
      </x:c>
      <x:c r="AS43" s="117">
        <x:f>IF(AND(AS$3&gt;=$B$7,AS$3&lt;$B$8),MAX(0,'Вводные'!$B$26*'Вводные'!$V$91-(AS38+AS45))*'Вводные'!$B$29/12,0)</x:f>
      </x:c>
      <x:c r="AT43" s="117">
        <x:f>IF(AND(AT$3&gt;=$B$7,AT$3&lt;$B$8),MAX(0,'Вводные'!$B$26*'Вводные'!$V$91-(AT38+AT45))*'Вводные'!$B$29/12,0)</x:f>
      </x:c>
      <x:c r="AU43" s="117">
        <x:f>IF(AND(AU$3&gt;=$B$7,AU$3&lt;$B$8),MAX(0,'Вводные'!$B$26*'Вводные'!$V$91-(AU38+AU45))*'Вводные'!$B$29/12,0)</x:f>
      </x:c>
      <x:c r="AV43" s="117">
        <x:f>IF(AND(AV$3&gt;=$B$7,AV$3&lt;$B$8),MAX(0,'Вводные'!$B$26*'Вводные'!$V$91-(AV38+AV45))*'Вводные'!$B$29/12,0)</x:f>
      </x:c>
      <x:c r="AW43" s="117">
        <x:f>IF(AND(AW$3&gt;=$B$7,AW$3&lt;$B$8),MAX(0,'Вводные'!$B$26*'Вводные'!$V$91-(AW38+AW45))*'Вводные'!$B$29/12,0)</x:f>
      </x:c>
      <x:c r="AX43" s="117">
        <x:f>IF(AND(AX$3&gt;=$B$7,AX$3&lt;$B$8),MAX(0,'Вводные'!$B$26*'Вводные'!$V$91-(AX38+AX45))*'Вводные'!$B$29/12,0)</x:f>
      </x:c>
      <x:c r="AY43" s="117">
        <x:f>IF(AND(AY$3&gt;=$B$7,AY$3&lt;$B$8),MAX(0,'Вводные'!$B$26*'Вводные'!$V$91-(AY38+AY45))*'Вводные'!$B$29/12,0)</x:f>
      </x:c>
      <x:c r="AZ43" s="117">
        <x:f>IF(AND(AZ$3&gt;=$B$7,AZ$3&lt;$B$8),MAX(0,'Вводные'!$B$26*'Вводные'!$V$91-(AZ38+AZ45))*'Вводные'!$B$29/12,0)</x:f>
      </x:c>
      <x:c r="BA43" s="117">
        <x:f>IF(AND(BA$3&gt;=$B$7,BA$3&lt;$B$8),MAX(0,'Вводные'!$B$26*'Вводные'!$V$91-(BA38+BA45))*'Вводные'!$B$29/12,0)</x:f>
      </x:c>
      <x:c r="BB43" s="117">
        <x:f>IF(AND(BB$3&gt;=$B$7,BB$3&lt;$B$8),MAX(0,'Вводные'!$B$26*'Вводные'!$V$91-(BB38+BB45))*'Вводные'!$B$29/12,0)</x:f>
      </x:c>
      <x:c r="BC43" s="117">
        <x:f>IF(AND(BC$3&gt;=$B$7,BC$3&lt;$B$8),MAX(0,'Вводные'!$B$26*'Вводные'!$V$91-(BC38+BC45))*'Вводные'!$B$29/12,0)</x:f>
      </x:c>
      <x:c r="BD43" s="117">
        <x:f>IF(AND(BD$3&gt;=$B$7,BD$3&lt;$B$8),MAX(0,'Вводные'!$B$26*'Вводные'!$V$91-(BD38+BD45))*'Вводные'!$B$29/12,0)</x:f>
      </x:c>
      <x:c r="BE43" s="117">
        <x:f>IF(AND(BE$3&gt;=$B$7,BE$3&lt;$B$8),MAX(0,'Вводные'!$B$26*'Вводные'!$V$91-(BE38+BE45))*'Вводные'!$B$29/12,0)</x:f>
      </x:c>
      <x:c r="BF43" s="117">
        <x:f>IF(AND(BF$3&gt;=$B$7,BF$3&lt;$B$8),MAX(0,'Вводные'!$B$26*'Вводные'!$V$91-(BF38+BF45))*'Вводные'!$B$29/12,0)</x:f>
      </x:c>
      <x:c r="BG43" s="117">
        <x:f>IF(AND(BG$3&gt;=$B$7,BG$3&lt;$B$8),MAX(0,'Вводные'!$B$26*'Вводные'!$V$91-(BG38+BG45))*'Вводные'!$B$29/12,0)</x:f>
      </x:c>
      <x:c r="BH43" s="117">
        <x:f>IF(AND(BH$3&gt;=$B$7,BH$3&lt;$B$8),MAX(0,'Вводные'!$B$26*'Вводные'!$V$91-(BH38+BH45))*'Вводные'!$B$29/12,0)</x:f>
      </x:c>
      <x:c r="BI43" s="117">
        <x:f>IF(AND(BI$3&gt;=$B$7,BI$3&lt;$B$8),MAX(0,'Вводные'!$B$26*'Вводные'!$V$91-(BI38+BI45))*'Вводные'!$B$29/12,0)</x:f>
      </x:c>
      <x:c r="BJ43" s="117">
        <x:f>IF(AND(BJ$3&gt;=$B$7,BJ$3&lt;$B$8),MAX(0,'Вводные'!$B$26*'Вводные'!$V$91-(BJ38+BJ45))*'Вводные'!$B$29/12,0)</x:f>
      </x:c>
      <x:c r="BK43" s="117">
        <x:f>IF(AND(BK$3&gt;=$B$7,BK$3&lt;$B$8),MAX(0,'Вводные'!$B$26*'Вводные'!$V$91-(BK38+BK45))*'Вводные'!$B$29/12,0)</x:f>
      </x:c>
      <x:c r="BL43" s="117">
        <x:f>IF(AND(BL$3&gt;=$B$7,BL$3&lt;$B$8),MAX(0,'Вводные'!$B$26*'Вводные'!$V$91-(BL38+BL45))*'Вводные'!$B$29/12,0)</x:f>
      </x:c>
      <x:c r="BM43" s="117">
        <x:f>IF(AND(BM$3&gt;=$B$7,BM$3&lt;$B$8),MAX(0,'Вводные'!$B$26*'Вводные'!$V$91-(BM38+BM45))*'Вводные'!$B$29/12,0)</x:f>
      </x:c>
      <x:c r="BN43" s="117">
        <x:f>IF(AND(BN$3&gt;=$B$7,BN$3&lt;$B$8),MAX(0,'Вводные'!$B$26*'Вводные'!$V$91-(BN38+BN45))*'Вводные'!$B$29/12,0)</x:f>
      </x:c>
      <x:c r="BO43" s="117">
        <x:f>IF(AND(BO$3&gt;=$B$7,BO$3&lt;$B$8),MAX(0,'Вводные'!$B$26*'Вводные'!$V$91-(BO38+BO45))*'Вводные'!$B$29/12,0)</x:f>
      </x:c>
      <x:c r="BP43" s="117">
        <x:f>IF(AND(BP$3&gt;=$B$7,BP$3&lt;$B$8),MAX(0,'Вводные'!$B$26*'Вводные'!$V$91-(BP38+BP45))*'Вводные'!$B$29/12,0)</x:f>
      </x:c>
      <x:c r="BQ43" s="117">
        <x:f>IF(AND(BQ$3&gt;=$B$7,BQ$3&lt;$B$8),MAX(0,'Вводные'!$B$26*'Вводные'!$V$91-(BQ38+BQ45))*'Вводные'!$B$29/12,0)</x:f>
      </x:c>
      <x:c r="BR43" s="117">
        <x:f>IF(AND(BR$3&gt;=$B$7,BR$3&lt;$B$8),MAX(0,'Вводные'!$B$26*'Вводные'!$V$91-(BR38+BR45))*'Вводные'!$B$29/12,0)</x:f>
      </x:c>
      <x:c r="BS43" s="117">
        <x:f>IF(AND(BS$3&gt;=$B$7,BS$3&lt;$B$8),MAX(0,'Вводные'!$B$26*'Вводные'!$V$91-(BS38+BS45))*'Вводные'!$B$29/12,0)</x:f>
      </x:c>
      <x:c r="BT43" s="117">
        <x:f>IF(AND(BT$3&gt;=$B$7,BT$3&lt;$B$8),MAX(0,'Вводные'!$B$26*'Вводные'!$V$91-(BT38+BT45))*'Вводные'!$B$29/12,0)</x:f>
      </x:c>
      <x:c r="BU43" s="117">
        <x:f>IF(AND(BU$3&gt;=$B$7,BU$3&lt;$B$8),MAX(0,'Вводные'!$B$26*'Вводные'!$V$91-(BU38+BU45))*'Вводные'!$B$29/12,0)</x:f>
      </x:c>
      <x:c r="BV43" s="117">
        <x:f>IF(AND(BV$3&gt;=$B$7,BV$3&lt;$B$8),MAX(0,'Вводные'!$B$26*'Вводные'!$V$91-(BV38+BV45))*'Вводные'!$B$29/12,0)</x:f>
      </x:c>
      <x:c r="BW43" s="117">
        <x:f>IF(AND(BW$3&gt;=$B$7,BW$3&lt;$B$8),MAX(0,'Вводные'!$B$26*'Вводные'!$V$91-(BW38+BW45))*'Вводные'!$B$29/12,0)</x:f>
      </x:c>
      <x:c r="BX43" s="117">
        <x:f>IF(AND(BX$3&gt;=$B$7,BX$3&lt;$B$8),MAX(0,'Вводные'!$B$26*'Вводные'!$V$91-(BX38+BX45))*'Вводные'!$B$29/12,0)</x:f>
      </x:c>
      <x:c r="BY43" s="117">
        <x:f>IF(AND(BY$3&gt;=$B$7,BY$3&lt;$B$8),MAX(0,'Вводные'!$B$26*'Вводные'!$V$91-(BY38+BY45))*'Вводные'!$B$29/12,0)</x:f>
      </x:c>
      <x:c r="BZ43" s="117">
        <x:f>IF(AND(BZ$3&gt;=$B$7,BZ$3&lt;$B$8),MAX(0,'Вводные'!$B$26*'Вводные'!$V$91-(BZ38+BZ45))*'Вводные'!$B$29/12,0)</x:f>
      </x:c>
      <x:c r="CA43" s="117">
        <x:f>IF(AND(CA$3&gt;=$B$7,CA$3&lt;$B$8),MAX(0,'Вводные'!$B$26*'Вводные'!$V$91-(CA38+CA45))*'Вводные'!$B$29/12,0)</x:f>
      </x:c>
      <x:c r="CB43" s="117">
        <x:f>IF(AND(CB$3&gt;=$B$7,CB$3&lt;$B$8),MAX(0,'Вводные'!$B$26*'Вводные'!$V$91-(CB38+CB45))*'Вводные'!$B$29/12,0)</x:f>
      </x:c>
      <x:c r="CC43" s="117">
        <x:f>IF(AND(CC$3&gt;=$B$7,CC$3&lt;$B$8),MAX(0,'Вводные'!$B$26*'Вводные'!$V$91-(CC38+CC45))*'Вводные'!$B$29/12,0)</x:f>
      </x:c>
      <x:c r="CD43" s="117">
        <x:f>IF(AND(CD$3&gt;=$B$7,CD$3&lt;$B$8),MAX(0,'Вводные'!$B$26*'Вводные'!$V$91-(CD38+CD45))*'Вводные'!$B$29/12,0)</x:f>
      </x:c>
      <x:c r="CE43" s="117">
        <x:f>IF(AND(CE$3&gt;=$B$7,CE$3&lt;$B$8),MAX(0,'Вводные'!$B$26*'Вводные'!$V$91-(CE38+CE45))*'Вводные'!$B$29/12,0)</x:f>
      </x:c>
      <x:c r="CF43" s="117">
        <x:f>IF(AND(CF$3&gt;=$B$7,CF$3&lt;$B$8),MAX(0,'Вводные'!$B$26*'Вводные'!$V$91-(CF38+CF45))*'Вводные'!$B$29/12,0)</x:f>
      </x:c>
      <x:c r="CG43" s="117">
        <x:f>IF(AND(CG$3&gt;=$B$7,CG$3&lt;$B$8),MAX(0,'Вводные'!$B$26*'Вводные'!$V$91-(CG38+CG45))*'Вводные'!$B$29/12,0)</x:f>
      </x:c>
      <x:c r="CH43" s="117">
        <x:f>IF(AND(CH$3&gt;=$B$7,CH$3&lt;$B$8),MAX(0,'Вводные'!$B$26*'Вводные'!$V$91-(CH38+CH45))*'Вводные'!$B$29/12,0)</x:f>
      </x:c>
      <x:c r="CI43" s="117">
        <x:f>IF(AND(CI$3&gt;=$B$7,CI$3&lt;$B$8),MAX(0,'Вводные'!$B$26*'Вводные'!$V$91-(CI38+CI45))*'Вводные'!$B$29/12,0)</x:f>
      </x:c>
      <x:c r="CJ43" s="117">
        <x:f>IF(AND(CJ$3&gt;=$B$7,CJ$3&lt;$B$8),MAX(0,'Вводные'!$B$26*'Вводные'!$V$91-(CJ38+CJ45))*'Вводные'!$B$29/12,0)</x:f>
      </x:c>
      <x:c r="CK43" s="117">
        <x:f>IF(AND(CK$3&gt;=$B$7,CK$3&lt;$B$8),MAX(0,'Вводные'!$B$26*'Вводные'!$V$91-(CK38+CK45))*'Вводные'!$B$29/12,0)</x:f>
      </x:c>
      <x:c r="CL43" s="117">
        <x:f>IF(AND(CL$3&gt;=$B$7,CL$3&lt;$B$8),MAX(0,'Вводные'!$B$26*'Вводные'!$V$91-(CL38+CL45))*'Вводные'!$B$29/12,0)</x:f>
      </x:c>
      <x:c r="CM43" s="117">
        <x:f>IF(AND(CM$3&gt;=$B$7,CM$3&lt;$B$8),MAX(0,'Вводные'!$B$26*'Вводные'!$V$91-(CM38+CM45))*'Вводные'!$B$29/12,0)</x:f>
      </x:c>
      <x:c r="CN43" s="117">
        <x:f>IF(AND(CN$3&gt;=$B$7,CN$3&lt;$B$8),MAX(0,'Вводные'!$B$26*'Вводные'!$V$91-(CN38+CN45))*'Вводные'!$B$29/12,0)</x:f>
      </x:c>
      <x:c r="CO43" s="117">
        <x:f>IF(AND(CO$3&gt;=$B$7,CO$3&lt;$B$8),MAX(0,'Вводные'!$B$26*'Вводные'!$V$91-(CO38+CO45))*'Вводные'!$B$29/12,0)</x:f>
      </x:c>
      <x:c r="CP43" s="117">
        <x:f>IF(AND(CP$3&gt;=$B$7,CP$3&lt;$B$8),MAX(0,'Вводные'!$B$26*'Вводные'!$V$91-(CP38+CP45))*'Вводные'!$B$29/12,0)</x:f>
      </x:c>
      <x:c r="CQ43" s="117">
        <x:f>IF(AND(CQ$3&gt;=$B$7,CQ$3&lt;$B$8),MAX(0,'Вводные'!$B$26*'Вводные'!$V$91-(CQ38+CQ45))*'Вводные'!$B$29/12,0)</x:f>
      </x:c>
      <x:c r="CR43" s="117">
        <x:f>IF(AND(CR$3&gt;=$B$7,CR$3&lt;$B$8),MAX(0,'Вводные'!$B$26*'Вводные'!$V$91-(CR38+CR45))*'Вводные'!$B$29/12,0)</x:f>
      </x:c>
      <x:c r="CS43" s="117">
        <x:f>IF(AND(CS$3&gt;=$B$7,CS$3&lt;$B$8),MAX(0,'Вводные'!$B$26*'Вводные'!$V$91-(CS38+CS45))*'Вводные'!$B$29/12,0)</x:f>
      </x:c>
      <x:c r="CT43" s="117">
        <x:f>IF(AND(CT$3&gt;=$B$7,CT$3&lt;$B$8),MAX(0,'Вводные'!$B$26*'Вводные'!$V$91-(CT38+CT45))*'Вводные'!$B$29/12,0)</x:f>
      </x:c>
      <x:c r="CU43" s="117">
        <x:f>IF(AND(CU$3&gt;=$B$7,CU$3&lt;$B$8),MAX(0,'Вводные'!$B$26*'Вводные'!$V$91-(CU38+CU45))*'Вводные'!$B$29/12,0)</x:f>
      </x:c>
      <x:c r="CV43" s="117">
        <x:f>IF(AND(CV$3&gt;=$B$7,CV$3&lt;$B$8),MAX(0,'Вводные'!$B$26*'Вводные'!$V$91-(CV38+CV45))*'Вводные'!$B$29/12,0)</x:f>
      </x:c>
      <x:c r="CW43" s="117">
        <x:f>IF(AND(CW$3&gt;=$B$7,CW$3&lt;$B$8),MAX(0,'Вводные'!$B$26*'Вводные'!$V$91-(CW38+CW45))*'Вводные'!$B$29/12,0)</x:f>
      </x:c>
      <x:c r="CX43" s="117">
        <x:f>IF(AND(CX$3&gt;=$B$7,CX$3&lt;$B$8),MAX(0,'Вводные'!$B$26*'Вводные'!$V$91-(CX38+CX45))*'Вводные'!$B$29/12,0)</x:f>
      </x:c>
      <x:c r="CY43" s="117">
        <x:f>IF(AND(CY$3&gt;=$B$7,CY$3&lt;$B$8),MAX(0,'Вводные'!$B$26*'Вводные'!$V$91-(CY38+CY45))*'Вводные'!$B$29/12,0)</x:f>
      </x:c>
      <x:c r="CZ43" s="117">
        <x:f>IF(AND(CZ$3&gt;=$B$7,CZ$3&lt;$B$8),MAX(0,'Вводные'!$B$26*'Вводные'!$V$91-(CZ38+CZ45))*'Вводные'!$B$29/12,0)</x:f>
      </x:c>
      <x:c r="DA43" s="117">
        <x:f>IF(AND(DA$3&gt;=$B$7,DA$3&lt;$B$8),MAX(0,'Вводные'!$B$26*'Вводные'!$V$91-(DA38+DA45))*'Вводные'!$B$29/12,0)</x:f>
      </x:c>
      <x:c r="DB43" s="117">
        <x:f>IF(AND(DB$3&gt;=$B$7,DB$3&lt;$B$8),MAX(0,'Вводные'!$B$26*'Вводные'!$V$91-(DB38+DB45))*'Вводные'!$B$29/12,0)</x:f>
      </x:c>
      <x:c r="DC43" s="117">
        <x:f>IF(AND(DC$3&gt;=$B$7,DC$3&lt;$B$8),MAX(0,'Вводные'!$B$26*'Вводные'!$V$91-(DC38+DC45))*'Вводные'!$B$29/12,0)</x:f>
      </x:c>
      <x:c r="DD43" s="117">
        <x:f>IF(AND(DD$3&gt;=$B$7,DD$3&lt;$B$8),MAX(0,'Вводные'!$B$26*'Вводные'!$V$91-(DD38+DD45))*'Вводные'!$B$29/12,0)</x:f>
      </x:c>
      <x:c r="DE43" s="117">
        <x:f>IF(AND(DE$3&gt;=$B$7,DE$3&lt;$B$8),MAX(0,'Вводные'!$B$26*'Вводные'!$V$91-(DE38+DE45))*'Вводные'!$B$29/12,0)</x:f>
      </x:c>
      <x:c r="DF43" s="117">
        <x:f>IF(AND(DF$3&gt;=$B$7,DF$3&lt;$B$8),MAX(0,'Вводные'!$B$26*'Вводные'!$V$91-(DF38+DF45))*'Вводные'!$B$29/12,0)</x:f>
      </x:c>
      <x:c r="DG43" s="117">
        <x:f>IF(AND(DG$3&gt;=$B$7,DG$3&lt;$B$8),MAX(0,'Вводные'!$B$26*'Вводные'!$V$91-(DG38+DG45))*'Вводные'!$B$29/12,0)</x:f>
      </x:c>
      <x:c r="DH43" s="117">
        <x:f>IF(AND(DH$3&gt;=$B$7,DH$3&lt;$B$8),MAX(0,'Вводные'!$B$26*'Вводные'!$V$91-(DH38+DH45))*'Вводные'!$B$29/12,0)</x:f>
      </x:c>
      <x:c r="DI43" s="117">
        <x:f>IF(AND(DI$3&gt;=$B$7,DI$3&lt;$B$8),MAX(0,'Вводные'!$B$26*'Вводные'!$V$91-(DI38+DI45))*'Вводные'!$B$29/12,0)</x:f>
      </x:c>
      <x:c r="DJ43" s="117">
        <x:f>IF(AND(DJ$3&gt;=$B$7,DJ$3&lt;$B$8),MAX(0,'Вводные'!$B$26*'Вводные'!$V$91-(DJ38+DJ45))*'Вводные'!$B$29/12,0)</x:f>
      </x:c>
      <x:c r="DK43" s="117">
        <x:f>IF(AND(DK$3&gt;=$B$7,DK$3&lt;$B$8),MAX(0,'Вводные'!$B$26*'Вводные'!$V$91-(DK38+DK45))*'Вводные'!$B$29/12,0)</x:f>
      </x:c>
      <x:c r="DL43" s="117">
        <x:f>IF(AND(DL$3&gt;=$B$7,DL$3&lt;$B$8),MAX(0,'Вводные'!$B$26*'Вводные'!$V$91-(DL38+DL45))*'Вводные'!$B$29/12,0)</x:f>
      </x:c>
      <x:c r="DM43" s="117">
        <x:f>IF(AND(DM$3&gt;=$B$7,DM$3&lt;$B$8),MAX(0,'Вводные'!$B$26*'Вводные'!$V$91-(DM38+DM45))*'Вводные'!$B$29/12,0)</x:f>
      </x:c>
      <x:c r="DN43" s="117">
        <x:f>IF(AND(DN$3&gt;=$B$7,DN$3&lt;$B$8),MAX(0,'Вводные'!$B$26*'Вводные'!$V$91-(DN38+DN45))*'Вводные'!$B$29/12,0)</x:f>
      </x:c>
      <x:c r="DO43" s="117">
        <x:f>IF(AND(DO$3&gt;=$B$7,DO$3&lt;$B$8),MAX(0,'Вводные'!$B$26*'Вводные'!$V$91-(DO38+DO45))*'Вводные'!$B$29/12,0)</x:f>
      </x:c>
      <x:c r="DP43" s="117">
        <x:f>IF(AND(DP$3&gt;=$B$7,DP$3&lt;$B$8),MAX(0,'Вводные'!$B$26*'Вводные'!$V$91-(DP38+DP45))*'Вводные'!$B$29/12,0)</x:f>
      </x:c>
      <x:c r="DQ43" s="117">
        <x:f>IF(AND(DQ$3&gt;=$B$7,DQ$3&lt;$B$8),MAX(0,'Вводные'!$B$26*'Вводные'!$V$91-(DQ38+DQ45))*'Вводные'!$B$29/12,0)</x:f>
      </x:c>
      <x:c r="DR43" s="117">
        <x:f>IF(AND(DR$3&gt;=$B$7,DR$3&lt;$B$8),MAX(0,'Вводные'!$B$26*'Вводные'!$V$91-(DR38+DR45))*'Вводные'!$B$29/12,0)</x:f>
      </x:c>
      <x:c r="DS43" s="117">
        <x:f>IF(AND(DS$3&gt;=$B$7,DS$3&lt;$B$8),MAX(0,'Вводные'!$B$26*'Вводные'!$V$91-(DS38+DS45))*'Вводные'!$B$29/12,0)</x:f>
      </x:c>
      <x:c r="DT43" s="117">
        <x:f>IF(AND(DT$3&gt;=$B$7,DT$3&lt;$B$8),MAX(0,'Вводные'!$B$26*'Вводные'!$V$91-(DT38+DT45))*'Вводные'!$B$29/12,0)</x:f>
      </x:c>
      <x:c r="DU43" s="117">
        <x:f>IF(AND(DU$3&gt;=$B$7,DU$3&lt;$B$8),MAX(0,'Вводные'!$B$26*'Вводные'!$V$91-(DU38+DU45))*'Вводные'!$B$29/12,0)</x:f>
      </x:c>
      <x:c r="DV43" s="117">
        <x:f>IF(AND(DV$3&gt;=$B$7,DV$3&lt;$B$8),MAX(0,'Вводные'!$B$26*'Вводные'!$V$91-(DV38+DV45))*'Вводные'!$B$29/12,0)</x:f>
      </x:c>
      <x:c r="DW43" s="117">
        <x:f>IF(AND(DW$3&gt;=$B$7,DW$3&lt;$B$8),MAX(0,'Вводные'!$B$26*'Вводные'!$V$91-(DW38+DW45))*'Вводные'!$B$29/12,0)</x:f>
      </x:c>
      <x:c r="DX43" s="117">
        <x:f>IF(AND(DX$3&gt;=$B$7,DX$3&lt;$B$8),MAX(0,'Вводные'!$B$26*'Вводные'!$V$91-(DX38+DX45))*'Вводные'!$B$29/12,0)</x:f>
      </x:c>
      <x:c r="DY43" s="117">
        <x:f>IF(AND(DY$3&gt;=$B$7,DY$3&lt;$B$8),MAX(0,'Вводные'!$B$26*'Вводные'!$V$91-(DY38+DY45))*'Вводные'!$B$29/12,0)</x:f>
      </x:c>
      <x:c r="DZ43" s="117">
        <x:f>IF(AND(DZ$3&gt;=$B$7,DZ$3&lt;$B$8),MAX(0,'Вводные'!$B$26*'Вводные'!$V$91-(DZ38+DZ45))*'Вводные'!$B$29/12,0)</x:f>
      </x:c>
      <x:c r="EA43" s="117">
        <x:f>IF(AND(EA$3&gt;=$B$7,EA$3&lt;$B$8),MAX(0,'Вводные'!$B$26*'Вводные'!$V$91-(EA38+EA45))*'Вводные'!$B$29/12,0)</x:f>
      </x:c>
      <x:c r="EB43" s="117">
        <x:f>IF(AND(EB$3&gt;=$B$7,EB$3&lt;$B$8),MAX(0,'Вводные'!$B$26*'Вводные'!$V$91-(EB38+EB45))*'Вводные'!$B$29/12,0)</x:f>
      </x:c>
      <x:c r="EC43" s="117">
        <x:f>IF(AND(EC$3&gt;=$B$7,EC$3&lt;$B$8),MAX(0,'Вводные'!$B$26*'Вводные'!$V$91-(EC38+EC45))*'Вводные'!$B$29/12,0)</x:f>
      </x:c>
      <x:c r="ED43" s="117">
        <x:f>IF(AND(ED$3&gt;=$B$7,ED$3&lt;$B$8),MAX(0,'Вводные'!$B$26*'Вводные'!$V$91-(ED38+ED45))*'Вводные'!$B$29/12,0)</x:f>
      </x:c>
      <x:c r="EE43" s="117">
        <x:f>IF(AND(EE$3&gt;=$B$7,EE$3&lt;$B$8),MAX(0,'Вводные'!$B$26*'Вводные'!$V$91-(EE38+EE45))*'Вводные'!$B$29/12,0)</x:f>
      </x:c>
      <x:c r="EF43" s="117">
        <x:f>IF(AND(EF$3&gt;=$B$7,EF$3&lt;$B$8),MAX(0,'Вводные'!$B$26*'Вводные'!$V$91-(EF38+EF45))*'Вводные'!$B$29/12,0)</x:f>
      </x:c>
      <x:c r="EG43" s="117">
        <x:f>IF(AND(EG$3&gt;=$B$7,EG$3&lt;$B$8),MAX(0,'Вводные'!$B$26*'Вводные'!$V$91-(EG38+EG45))*'Вводные'!$B$29/12,0)</x:f>
      </x:c>
      <x:c r="EH43" s="117">
        <x:f>IF(AND(EH$3&gt;=$B$7,EH$3&lt;$B$8),MAX(0,'Вводные'!$B$26*'Вводные'!$V$91-(EH38+EH45))*'Вводные'!$B$29/12,0)</x:f>
      </x:c>
      <x:c r="EI43" s="117">
        <x:f>IF(AND(EI$3&gt;=$B$7,EI$3&lt;$B$8),MAX(0,'Вводные'!$B$26*'Вводные'!$V$91-(EI38+EI45))*'Вводные'!$B$29/12,0)</x:f>
      </x:c>
      <x:c r="EJ43" s="117">
        <x:f>IF(AND(EJ$3&gt;=$B$7,EJ$3&lt;$B$8),MAX(0,'Вводные'!$B$26*'Вводные'!$V$91-(EJ38+EJ45))*'Вводные'!$B$29/12,0)</x:f>
      </x:c>
      <x:c r="EK43" s="117">
        <x:f>IF(AND(EK$3&gt;=$B$7,EK$3&lt;$B$8),MAX(0,'Вводные'!$B$26*'Вводные'!$V$91-(EK38+EK45))*'Вводные'!$B$29/12,0)</x:f>
      </x:c>
      <x:c r="EL43" s="117">
        <x:f>IF(AND(EL$3&gt;=$B$7,EL$3&lt;$B$8),MAX(0,'Вводные'!$B$26*'Вводные'!$V$91-(EL38+EL45))*'Вводные'!$B$29/12,0)</x:f>
      </x:c>
      <x:c r="EM43" s="117">
        <x:f>IF(AND(EM$3&gt;=$B$7,EM$3&lt;$B$8),MAX(0,'Вводные'!$B$26*'Вводные'!$V$91-(EM38+EM45))*'Вводные'!$B$29/12,0)</x:f>
      </x:c>
      <x:c r="EN43" s="117">
        <x:f>IF(AND(EN$3&gt;=$B$7,EN$3&lt;$B$8),MAX(0,'Вводные'!$B$26*'Вводные'!$V$91-(EN38+EN45))*'Вводные'!$B$29/12,0)</x:f>
      </x:c>
      <x:c r="EO43" s="117">
        <x:f>IF(AND(EO$3&gt;=$B$7,EO$3&lt;$B$8),MAX(0,'Вводные'!$B$26*'Вводные'!$V$91-(EO38+EO45))*'Вводные'!$B$29/12,0)</x:f>
      </x:c>
      <x:c r="EP43" s="117">
        <x:f>IF(AND(EP$3&gt;=$B$7,EP$3&lt;$B$8),MAX(0,'Вводные'!$B$26*'Вводные'!$V$91-(EP38+EP45))*'Вводные'!$B$29/12,0)</x:f>
      </x:c>
      <x:c r="EQ43" s="117">
        <x:f>IF(AND(EQ$3&gt;=$B$7,EQ$3&lt;$B$8),MAX(0,'Вводные'!$B$26*'Вводные'!$V$91-(EQ38+EQ45))*'Вводные'!$B$29/12,0)</x:f>
      </x:c>
      <x:c r="ER43" s="117">
        <x:f>IF(AND(ER$3&gt;=$B$7,ER$3&lt;$B$8),MAX(0,'Вводные'!$B$26*'Вводные'!$V$91-(ER38+ER45))*'Вводные'!$B$29/12,0)</x:f>
      </x:c>
      <x:c r="ES43" s="117">
        <x:f>IF(AND(ES$3&gt;=$B$7,ES$3&lt;$B$8),MAX(0,'Вводные'!$B$26*'Вводные'!$V$91-(ES38+ES45))*'Вводные'!$B$29/12,0)</x:f>
      </x:c>
      <x:c r="ET43" s="117">
        <x:f>IF(AND(ET$3&gt;=$B$7,ET$3&lt;$B$8),MAX(0,'Вводные'!$B$26*'Вводные'!$V$91-(ET38+ET45))*'Вводные'!$B$29/12,0)</x:f>
      </x:c>
      <x:c r="EU43" s="117">
        <x:f>IF(AND(EU$3&gt;=$B$7,EU$3&lt;$B$8),MAX(0,'Вводные'!$B$26*'Вводные'!$V$91-(EU38+EU45))*'Вводные'!$B$29/12,0)</x:f>
      </x:c>
      <x:c r="EV43" s="117">
        <x:f>IF(AND(EV$3&gt;=$B$7,EV$3&lt;$B$8),MAX(0,'Вводные'!$B$26*'Вводные'!$V$91-(EV38+EV45))*'Вводные'!$B$29/12,0)</x:f>
      </x:c>
      <x:c r="EW43" s="117">
        <x:f>IF(AND(EW$3&gt;=$B$7,EW$3&lt;$B$8),MAX(0,'Вводные'!$B$26*'Вводные'!$V$91-(EW38+EW45))*'Вводные'!$B$29/12,0)</x:f>
      </x:c>
      <x:c r="EX43" s="117">
        <x:f>IF(AND(EX$3&gt;=$B$7,EX$3&lt;$B$8),MAX(0,'Вводные'!$B$26*'Вводные'!$V$91-(EX38+EX45))*'Вводные'!$B$29/12,0)</x:f>
      </x:c>
      <x:c r="EY43" s="117">
        <x:f>IF(AND(EY$3&gt;=$B$7,EY$3&lt;$B$8),MAX(0,'Вводные'!$B$26*'Вводные'!$V$91-(EY38+EY45))*'Вводные'!$B$29/12,0)</x:f>
      </x:c>
      <x:c r="EZ43" s="117">
        <x:f>IF(AND(EZ$3&gt;=$B$7,EZ$3&lt;$B$8),MAX(0,'Вводные'!$B$26*'Вводные'!$V$91-(EZ38+EZ45))*'Вводные'!$B$29/12,0)</x:f>
      </x:c>
      <x:c r="FA43" s="117">
        <x:f>IF(AND(FA$3&gt;=$B$7,FA$3&lt;$B$8),MAX(0,'Вводные'!$B$26*'Вводные'!$V$91-(FA38+FA45))*'Вводные'!$B$29/12,0)</x:f>
      </x:c>
      <x:c r="FB43" s="117">
        <x:f>IF(AND(FB$3&gt;=$B$7,FB$3&lt;$B$8),MAX(0,'Вводные'!$B$26*'Вводные'!$V$91-(FB38+FB45))*'Вводные'!$B$29/12,0)</x:f>
      </x:c>
      <x:c r="FC43" s="117">
        <x:f>IF(AND(FC$3&gt;=$B$7,FC$3&lt;$B$8),MAX(0,'Вводные'!$B$26*'Вводные'!$V$91-(FC38+FC45))*'Вводные'!$B$29/12,0)</x:f>
      </x:c>
      <x:c r="FD43" s="117">
        <x:f>IF(AND(FD$3&gt;=$B$7,FD$3&lt;$B$8),MAX(0,'Вводные'!$B$26*'Вводные'!$V$91-(FD38+FD45))*'Вводные'!$B$29/12,0)</x:f>
      </x:c>
      <x:c r="FE43" s="117">
        <x:f>IF(AND(FE$3&gt;=$B$7,FE$3&lt;$B$8),MAX(0,'Вводные'!$B$26*'Вводные'!$V$91-(FE38+FE45))*'Вводные'!$B$29/12,0)</x:f>
      </x:c>
      <x:c r="FF43" s="117">
        <x:f>IF(AND(FF$3&gt;=$B$7,FF$3&lt;$B$8),MAX(0,'Вводные'!$B$26*'Вводные'!$V$91-(FF38+FF45))*'Вводные'!$B$29/12,0)</x:f>
      </x:c>
      <x:c r="FG43" s="117">
        <x:f>IF(AND(FG$3&gt;=$B$7,FG$3&lt;$B$8),MAX(0,'Вводные'!$B$26*'Вводные'!$V$91-(FG38+FG45))*'Вводные'!$B$29/12,0)</x:f>
      </x:c>
      <x:c r="FH43" s="117">
        <x:f>IF(AND(FH$3&gt;=$B$7,FH$3&lt;$B$8),MAX(0,'Вводные'!$B$26*'Вводные'!$V$91-(FH38+FH45))*'Вводные'!$B$29/12,0)</x:f>
      </x:c>
      <x:c r="FI43" s="117">
        <x:f>IF(AND(FI$3&gt;=$B$7,FI$3&lt;$B$8),MAX(0,'Вводные'!$B$26*'Вводные'!$V$91-(FI38+FI45))*'Вводные'!$B$29/12,0)</x:f>
      </x:c>
      <x:c r="FJ43" s="117">
        <x:f>IF(AND(FJ$3&gt;=$B$7,FJ$3&lt;$B$8),MAX(0,'Вводные'!$B$26*'Вводные'!$V$91-(FJ38+FJ45))*'Вводные'!$B$29/12,0)</x:f>
      </x:c>
      <x:c r="FK43" s="117">
        <x:f>IF(AND(FK$3&gt;=$B$7,FK$3&lt;$B$8),MAX(0,'Вводные'!$B$26*'Вводные'!$V$91-(FK38+FK45))*'Вводные'!$B$29/12,0)</x:f>
      </x:c>
      <x:c r="FL43" s="117">
        <x:f>IF(AND(FL$3&gt;=$B$7,FL$3&lt;$B$8),MAX(0,'Вводные'!$B$26*'Вводные'!$V$91-(FL38+FL45))*'Вводные'!$B$29/12,0)</x:f>
      </x:c>
      <x:c r="FM43" s="117">
        <x:f>IF(AND(FM$3&gt;=$B$7,FM$3&lt;$B$8),MAX(0,'Вводные'!$B$26*'Вводные'!$V$91-(FM38+FM45))*'Вводные'!$B$29/12,0)</x:f>
      </x:c>
      <x:c r="FN43" s="117">
        <x:f>IF(AND(FN$3&gt;=$B$7,FN$3&lt;$B$8),MAX(0,'Вводные'!$B$26*'Вводные'!$V$91-(FN38+FN45))*'Вводные'!$B$29/12,0)</x:f>
      </x:c>
      <x:c r="FO43" s="117">
        <x:f>IF(AND(FO$3&gt;=$B$7,FO$3&lt;$B$8),MAX(0,'Вводные'!$B$26*'Вводные'!$V$91-(FO38+FO45))*'Вводные'!$B$29/12,0)</x:f>
      </x:c>
      <x:c r="FP43" s="117">
        <x:f>IF(AND(FP$3&gt;=$B$7,FP$3&lt;$B$8),MAX(0,'Вводные'!$B$26*'Вводные'!$V$91-(FP38+FP45))*'Вводные'!$B$29/12,0)</x:f>
      </x:c>
      <x:c r="FQ43" s="117">
        <x:f>IF(AND(FQ$3&gt;=$B$7,FQ$3&lt;$B$8),MAX(0,'Вводные'!$B$26*'Вводные'!$V$91-(FQ38+FQ45))*'Вводные'!$B$29/12,0)</x:f>
      </x:c>
      <x:c r="FR43" s="117">
        <x:f>IF(AND(FR$3&gt;=$B$7,FR$3&lt;$B$8),MAX(0,'Вводные'!$B$26*'Вводные'!$V$91-(FR38+FR45))*'Вводные'!$B$29/12,0)</x:f>
      </x:c>
      <x:c r="FS43" s="117">
        <x:f>IF(AND(FS$3&gt;=$B$7,FS$3&lt;$B$8),MAX(0,'Вводные'!$B$26*'Вводные'!$V$91-(FS38+FS45))*'Вводные'!$B$29/12,0)</x:f>
      </x:c>
      <x:c r="FT43" s="117">
        <x:f>IF(AND(FT$3&gt;=$B$7,FT$3&lt;$B$8),MAX(0,'Вводные'!$B$26*'Вводные'!$V$91-(FT38+FT45))*'Вводные'!$B$29/12,0)</x:f>
      </x:c>
      <x:c r="FU43" s="117">
        <x:f>IF(AND(FU$3&gt;=$B$7,FU$3&lt;$B$8),MAX(0,'Вводные'!$B$26*'Вводные'!$V$91-(FU38+FU45))*'Вводные'!$B$29/12,0)</x:f>
      </x:c>
      <x:c r="FV43" s="117">
        <x:f>IF(AND(FV$3&gt;=$B$7,FV$3&lt;$B$8),MAX(0,'Вводные'!$B$26*'Вводные'!$V$91-(FV38+FV45))*'Вводные'!$B$29/12,0)</x:f>
      </x:c>
      <x:c r="FW43" s="117">
        <x:f>IF(AND(FW$3&gt;=$B$7,FW$3&lt;$B$8),MAX(0,'Вводные'!$B$26*'Вводные'!$V$91-(FW38+FW45))*'Вводные'!$B$29/12,0)</x:f>
      </x:c>
      <x:c r="FX43" s="117">
        <x:f>IF(AND(FX$3&gt;=$B$7,FX$3&lt;$B$8),MAX(0,'Вводные'!$B$26*'Вводные'!$V$91-(FX38+FX45))*'Вводные'!$B$29/12,0)</x:f>
      </x:c>
      <x:c r="FY43" s="117">
        <x:f>IF(AND(FY$3&gt;=$B$7,FY$3&lt;$B$8),MAX(0,'Вводные'!$B$26*'Вводные'!$V$91-(FY38+FY45))*'Вводные'!$B$29/12,0)</x:f>
      </x:c>
      <x:c r="FZ43" s="117">
        <x:f>IF(AND(FZ$3&gt;=$B$7,FZ$3&lt;$B$8),MAX(0,'Вводные'!$B$26*'Вводные'!$V$91-(FZ38+FZ45))*'Вводные'!$B$29/12,0)</x:f>
      </x:c>
      <x:c r="GA43" s="117">
        <x:f>IF(AND(GA$3&gt;=$B$7,GA$3&lt;$B$8),MAX(0,'Вводные'!$B$26*'Вводные'!$V$91-(GA38+GA45))*'Вводные'!$B$29/12,0)</x:f>
      </x:c>
    </x:row>
    <x:row r="44">
      <x:c r="A44" t="str">
        <x:v>ПФ — потребность</x:v>
      </x:c>
      <x:c r="B44"/>
      <x:c r="C44" t="str">
        <x:v>млн ₽</x:v>
      </x:c>
      <x:c r="D44" s="117">
        <x:f>IF(D$3&gt;=$B$7,MAX(0,D20)+D35+IF(AND(AND(YEAR(D$3)=YEAR($B$7),MONTH(D$3)=MONTH($B$7)),'Вводные'!$B$31="Оплата капиталом"),C37,0),0)</x:f>
      </x:c>
      <x:c r="E44" s="117">
        <x:f>IF(E$3&gt;=$B$7,MAX(0,E20)+E35+IF(AND(AND(YEAR(E$3)=YEAR($B$7),MONTH(E$3)=MONTH($B$7)),'Вводные'!$B$31="Оплата капиталом"),D37,0),0)</x:f>
      </x:c>
      <x:c r="F44" s="117">
        <x:f>IF(F$3&gt;=$B$7,MAX(0,F20)+F35+IF(AND(AND(YEAR(F$3)=YEAR($B$7),MONTH(F$3)=MONTH($B$7)),'Вводные'!$B$31="Оплата капиталом"),E37,0),0)</x:f>
      </x:c>
      <x:c r="G44" s="117">
        <x:f>IF(G$3&gt;=$B$7,MAX(0,G20)+G35+IF(AND(AND(YEAR(G$3)=YEAR($B$7),MONTH(G$3)=MONTH($B$7)),'Вводные'!$B$31="Оплата капиталом"),F37,0),0)</x:f>
      </x:c>
      <x:c r="H44" s="117">
        <x:f>IF(H$3&gt;=$B$7,MAX(0,H20)+H35+IF(AND(AND(YEAR(H$3)=YEAR($B$7),MONTH(H$3)=MONTH($B$7)),'Вводные'!$B$31="Оплата капиталом"),G37,0),0)</x:f>
      </x:c>
      <x:c r="I44" s="117">
        <x:f>IF(I$3&gt;=$B$7,MAX(0,I20)+I35+IF(AND(AND(YEAR(I$3)=YEAR($B$7),MONTH(I$3)=MONTH($B$7)),'Вводные'!$B$31="Оплата капиталом"),H37,0),0)</x:f>
      </x:c>
      <x:c r="J44" s="117">
        <x:f>IF(J$3&gt;=$B$7,MAX(0,J20)+J35+IF(AND(AND(YEAR(J$3)=YEAR($B$7),MONTH(J$3)=MONTH($B$7)),'Вводные'!$B$31="Оплата капиталом"),I37,0),0)</x:f>
      </x:c>
      <x:c r="K44" s="117">
        <x:f>IF(K$3&gt;=$B$7,MAX(0,K20)+K35+IF(AND(AND(YEAR(K$3)=YEAR($B$7),MONTH(K$3)=MONTH($B$7)),'Вводные'!$B$31="Оплата капиталом"),J37,0),0)</x:f>
      </x:c>
      <x:c r="L44" s="117">
        <x:f>IF(L$3&gt;=$B$7,MAX(0,L20)+L35+IF(AND(AND(YEAR(L$3)=YEAR($B$7),MONTH(L$3)=MONTH($B$7)),'Вводные'!$B$31="Оплата капиталом"),K37,0),0)</x:f>
      </x:c>
      <x:c r="M44" s="117">
        <x:f>IF(M$3&gt;=$B$7,MAX(0,M20)+M35+IF(AND(AND(YEAR(M$3)=YEAR($B$7),MONTH(M$3)=MONTH($B$7)),'Вводные'!$B$31="Оплата капиталом"),L37,0),0)</x:f>
      </x:c>
      <x:c r="N44" s="117">
        <x:f>IF(N$3&gt;=$B$7,MAX(0,N20)+N35+IF(AND(AND(YEAR(N$3)=YEAR($B$7),MONTH(N$3)=MONTH($B$7)),'Вводные'!$B$31="Оплата капиталом"),M37,0),0)</x:f>
      </x:c>
      <x:c r="O44" s="117">
        <x:f>IF(O$3&gt;=$B$7,MAX(0,O20)+O35+IF(AND(AND(YEAR(O$3)=YEAR($B$7),MONTH(O$3)=MONTH($B$7)),'Вводные'!$B$31="Оплата капиталом"),N37,0),0)</x:f>
      </x:c>
      <x:c r="P44" s="117">
        <x:f>IF(P$3&gt;=$B$7,MAX(0,P20)+P35+IF(AND(AND(YEAR(P$3)=YEAR($B$7),MONTH(P$3)=MONTH($B$7)),'Вводные'!$B$31="Оплата капиталом"),O37,0),0)</x:f>
      </x:c>
      <x:c r="Q44" s="117">
        <x:f>IF(Q$3&gt;=$B$7,MAX(0,Q20)+Q35+IF(AND(AND(YEAR(Q$3)=YEAR($B$7),MONTH(Q$3)=MONTH($B$7)),'Вводные'!$B$31="Оплата капиталом"),P37,0),0)</x:f>
      </x:c>
      <x:c r="R44" s="117">
        <x:f>IF(R$3&gt;=$B$7,MAX(0,R20)+R35+IF(AND(AND(YEAR(R$3)=YEAR($B$7),MONTH(R$3)=MONTH($B$7)),'Вводные'!$B$31="Оплата капиталом"),Q37,0),0)</x:f>
      </x:c>
      <x:c r="S44" s="117">
        <x:f>IF(S$3&gt;=$B$7,MAX(0,S20)+S35+IF(AND(AND(YEAR(S$3)=YEAR($B$7),MONTH(S$3)=MONTH($B$7)),'Вводные'!$B$31="Оплата капиталом"),R37,0),0)</x:f>
      </x:c>
      <x:c r="T44" s="117">
        <x:f>IF(T$3&gt;=$B$7,MAX(0,T20)+T35+IF(AND(AND(YEAR(T$3)=YEAR($B$7),MONTH(T$3)=MONTH($B$7)),'Вводные'!$B$31="Оплата капиталом"),S37,0),0)</x:f>
      </x:c>
      <x:c r="U44" s="117">
        <x:f>IF(U$3&gt;=$B$7,MAX(0,U20)+U35+IF(AND(AND(YEAR(U$3)=YEAR($B$7),MONTH(U$3)=MONTH($B$7)),'Вводные'!$B$31="Оплата капиталом"),T37,0),0)</x:f>
      </x:c>
      <x:c r="V44" s="117">
        <x:f>IF(V$3&gt;=$B$7,MAX(0,V20)+V35+IF(AND(AND(YEAR(V$3)=YEAR($B$7),MONTH(V$3)=MONTH($B$7)),'Вводные'!$B$31="Оплата капиталом"),U37,0),0)</x:f>
      </x:c>
      <x:c r="W44" s="117">
        <x:f>IF(W$3&gt;=$B$7,MAX(0,W20)+W35+IF(AND(AND(YEAR(W$3)=YEAR($B$7),MONTH(W$3)=MONTH($B$7)),'Вводные'!$B$31="Оплата капиталом"),V37,0),0)</x:f>
      </x:c>
      <x:c r="X44" s="117">
        <x:f>IF(X$3&gt;=$B$7,MAX(0,X20)+X35+IF(AND(AND(YEAR(X$3)=YEAR($B$7),MONTH(X$3)=MONTH($B$7)),'Вводные'!$B$31="Оплата капиталом"),W37,0),0)</x:f>
      </x:c>
      <x:c r="Y44" s="117">
        <x:f>IF(Y$3&gt;=$B$7,MAX(0,Y20)+Y35+IF(AND(AND(YEAR(Y$3)=YEAR($B$7),MONTH(Y$3)=MONTH($B$7)),'Вводные'!$B$31="Оплата капиталом"),X37,0),0)</x:f>
      </x:c>
      <x:c r="Z44" s="117">
        <x:f>IF(Z$3&gt;=$B$7,MAX(0,Z20)+Z35+IF(AND(AND(YEAR(Z$3)=YEAR($B$7),MONTH(Z$3)=MONTH($B$7)),'Вводные'!$B$31="Оплата капиталом"),Y37,0),0)</x:f>
      </x:c>
      <x:c r="AA44" s="117">
        <x:f>IF(AA$3&gt;=$B$7,MAX(0,AA20)+AA35+IF(AND(AND(YEAR(AA$3)=YEAR($B$7),MONTH(AA$3)=MONTH($B$7)),'Вводные'!$B$31="Оплата капиталом"),Z37,0),0)</x:f>
      </x:c>
      <x:c r="AB44" s="117">
        <x:f>IF(AB$3&gt;=$B$7,MAX(0,AB20)+AB35+IF(AND(AND(YEAR(AB$3)=YEAR($B$7),MONTH(AB$3)=MONTH($B$7)),'Вводные'!$B$31="Оплата капиталом"),AA37,0),0)</x:f>
      </x:c>
      <x:c r="AC44" s="117">
        <x:f>IF(AC$3&gt;=$B$7,MAX(0,AC20)+AC35+IF(AND(AND(YEAR(AC$3)=YEAR($B$7),MONTH(AC$3)=MONTH($B$7)),'Вводные'!$B$31="Оплата капиталом"),AB37,0),0)</x:f>
      </x:c>
      <x:c r="AD44" s="117">
        <x:f>IF(AD$3&gt;=$B$7,MAX(0,AD20)+AD35+IF(AND(AND(YEAR(AD$3)=YEAR($B$7),MONTH(AD$3)=MONTH($B$7)),'Вводные'!$B$31="Оплата капиталом"),AC37,0),0)</x:f>
      </x:c>
      <x:c r="AE44" s="117">
        <x:f>IF(AE$3&gt;=$B$7,MAX(0,AE20)+AE35+IF(AND(AND(YEAR(AE$3)=YEAR($B$7),MONTH(AE$3)=MONTH($B$7)),'Вводные'!$B$31="Оплата капиталом"),AD37,0),0)</x:f>
      </x:c>
      <x:c r="AF44" s="117">
        <x:f>IF(AF$3&gt;=$B$7,MAX(0,AF20)+AF35+IF(AND(AND(YEAR(AF$3)=YEAR($B$7),MONTH(AF$3)=MONTH($B$7)),'Вводные'!$B$31="Оплата капиталом"),AE37,0),0)</x:f>
      </x:c>
      <x:c r="AG44" s="117">
        <x:f>IF(AG$3&gt;=$B$7,MAX(0,AG20)+AG35+IF(AND(AND(YEAR(AG$3)=YEAR($B$7),MONTH(AG$3)=MONTH($B$7)),'Вводные'!$B$31="Оплата капиталом"),AF37,0),0)</x:f>
      </x:c>
      <x:c r="AH44" s="117">
        <x:f>IF(AH$3&gt;=$B$7,MAX(0,AH20)+AH35+IF(AND(AND(YEAR(AH$3)=YEAR($B$7),MONTH(AH$3)=MONTH($B$7)),'Вводные'!$B$31="Оплата капиталом"),AG37,0),0)</x:f>
      </x:c>
      <x:c r="AI44" s="117">
        <x:f>IF(AI$3&gt;=$B$7,MAX(0,AI20)+AI35+IF(AND(AND(YEAR(AI$3)=YEAR($B$7),MONTH(AI$3)=MONTH($B$7)),'Вводные'!$B$31="Оплата капиталом"),AH37,0),0)</x:f>
      </x:c>
      <x:c r="AJ44" s="117">
        <x:f>IF(AJ$3&gt;=$B$7,MAX(0,AJ20)+AJ35+IF(AND(AND(YEAR(AJ$3)=YEAR($B$7),MONTH(AJ$3)=MONTH($B$7)),'Вводные'!$B$31="Оплата капиталом"),AI37,0),0)</x:f>
      </x:c>
      <x:c r="AK44" s="117">
        <x:f>IF(AK$3&gt;=$B$7,MAX(0,AK20)+AK35+IF(AND(AND(YEAR(AK$3)=YEAR($B$7),MONTH(AK$3)=MONTH($B$7)),'Вводные'!$B$31="Оплата капиталом"),AJ37,0),0)</x:f>
      </x:c>
      <x:c r="AL44" s="117">
        <x:f>IF(AL$3&gt;=$B$7,MAX(0,AL20)+AL35+IF(AND(AND(YEAR(AL$3)=YEAR($B$7),MONTH(AL$3)=MONTH($B$7)),'Вводные'!$B$31="Оплата капиталом"),AK37,0),0)</x:f>
      </x:c>
      <x:c r="AM44" s="117">
        <x:f>IF(AM$3&gt;=$B$7,MAX(0,AM20)+AM35+IF(AND(AND(YEAR(AM$3)=YEAR($B$7),MONTH(AM$3)=MONTH($B$7)),'Вводные'!$B$31="Оплата капиталом"),AL37,0),0)</x:f>
      </x:c>
      <x:c r="AN44" s="117">
        <x:f>IF(AN$3&gt;=$B$7,MAX(0,AN20)+AN35+IF(AND(AND(YEAR(AN$3)=YEAR($B$7),MONTH(AN$3)=MONTH($B$7)),'Вводные'!$B$31="Оплата капиталом"),AM37,0),0)</x:f>
      </x:c>
      <x:c r="AO44" s="117">
        <x:f>IF(AO$3&gt;=$B$7,MAX(0,AO20)+AO35+IF(AND(AND(YEAR(AO$3)=YEAR($B$7),MONTH(AO$3)=MONTH($B$7)),'Вводные'!$B$31="Оплата капиталом"),AN37,0),0)</x:f>
      </x:c>
      <x:c r="AP44" s="117">
        <x:f>IF(AP$3&gt;=$B$7,MAX(0,AP20)+AP35+IF(AND(AND(YEAR(AP$3)=YEAR($B$7),MONTH(AP$3)=MONTH($B$7)),'Вводные'!$B$31="Оплата капиталом"),AO37,0),0)</x:f>
      </x:c>
      <x:c r="AQ44" s="117">
        <x:f>IF(AQ$3&gt;=$B$7,MAX(0,AQ20)+AQ35+IF(AND(AND(YEAR(AQ$3)=YEAR($B$7),MONTH(AQ$3)=MONTH($B$7)),'Вводные'!$B$31="Оплата капиталом"),AP37,0),0)</x:f>
      </x:c>
      <x:c r="AR44" s="117">
        <x:f>IF(AR$3&gt;=$B$7,MAX(0,AR20)+AR35+IF(AND(AND(YEAR(AR$3)=YEAR($B$7),MONTH(AR$3)=MONTH($B$7)),'Вводные'!$B$31="Оплата капиталом"),AQ37,0),0)</x:f>
      </x:c>
      <x:c r="AS44" s="117">
        <x:f>IF(AS$3&gt;=$B$7,MAX(0,AS20)+AS35+IF(AND(AND(YEAR(AS$3)=YEAR($B$7),MONTH(AS$3)=MONTH($B$7)),'Вводные'!$B$31="Оплата капиталом"),AR37,0),0)</x:f>
      </x:c>
      <x:c r="AT44" s="117">
        <x:f>IF(AT$3&gt;=$B$7,MAX(0,AT20)+AT35+IF(AND(AND(YEAR(AT$3)=YEAR($B$7),MONTH(AT$3)=MONTH($B$7)),'Вводные'!$B$31="Оплата капиталом"),AS37,0),0)</x:f>
      </x:c>
      <x:c r="AU44" s="117">
        <x:f>IF(AU$3&gt;=$B$7,MAX(0,AU20)+AU35+IF(AND(AND(YEAR(AU$3)=YEAR($B$7),MONTH(AU$3)=MONTH($B$7)),'Вводные'!$B$31="Оплата капиталом"),AT37,0),0)</x:f>
      </x:c>
      <x:c r="AV44" s="117">
        <x:f>IF(AV$3&gt;=$B$7,MAX(0,AV20)+AV35+IF(AND(AND(YEAR(AV$3)=YEAR($B$7),MONTH(AV$3)=MONTH($B$7)),'Вводные'!$B$31="Оплата капиталом"),AU37,0),0)</x:f>
      </x:c>
      <x:c r="AW44" s="117">
        <x:f>IF(AW$3&gt;=$B$7,MAX(0,AW20)+AW35+IF(AND(AND(YEAR(AW$3)=YEAR($B$7),MONTH(AW$3)=MONTH($B$7)),'Вводные'!$B$31="Оплата капиталом"),AV37,0),0)</x:f>
      </x:c>
      <x:c r="AX44" s="117">
        <x:f>IF(AX$3&gt;=$B$7,MAX(0,AX20)+AX35+IF(AND(AND(YEAR(AX$3)=YEAR($B$7),MONTH(AX$3)=MONTH($B$7)),'Вводные'!$B$31="Оплата капиталом"),AW37,0),0)</x:f>
      </x:c>
      <x:c r="AY44" s="117">
        <x:f>IF(AY$3&gt;=$B$7,MAX(0,AY20)+AY35+IF(AND(AND(YEAR(AY$3)=YEAR($B$7),MONTH(AY$3)=MONTH($B$7)),'Вводные'!$B$31="Оплата капиталом"),AX37,0),0)</x:f>
      </x:c>
      <x:c r="AZ44" s="117">
        <x:f>IF(AZ$3&gt;=$B$7,MAX(0,AZ20)+AZ35+IF(AND(AND(YEAR(AZ$3)=YEAR($B$7),MONTH(AZ$3)=MONTH($B$7)),'Вводные'!$B$31="Оплата капиталом"),AY37,0),0)</x:f>
      </x:c>
      <x:c r="BA44" s="117">
        <x:f>IF(BA$3&gt;=$B$7,MAX(0,BA20)+BA35+IF(AND(AND(YEAR(BA$3)=YEAR($B$7),MONTH(BA$3)=MONTH($B$7)),'Вводные'!$B$31="Оплата капиталом"),AZ37,0),0)</x:f>
      </x:c>
      <x:c r="BB44" s="117">
        <x:f>IF(BB$3&gt;=$B$7,MAX(0,BB20)+BB35+IF(AND(AND(YEAR(BB$3)=YEAR($B$7),MONTH(BB$3)=MONTH($B$7)),'Вводные'!$B$31="Оплата капиталом"),BA37,0),0)</x:f>
      </x:c>
      <x:c r="BC44" s="117">
        <x:f>IF(BC$3&gt;=$B$7,MAX(0,BC20)+BC35+IF(AND(AND(YEAR(BC$3)=YEAR($B$7),MONTH(BC$3)=MONTH($B$7)),'Вводные'!$B$31="Оплата капиталом"),BB37,0),0)</x:f>
      </x:c>
      <x:c r="BD44" s="117">
        <x:f>IF(BD$3&gt;=$B$7,MAX(0,BD20)+BD35+IF(AND(AND(YEAR(BD$3)=YEAR($B$7),MONTH(BD$3)=MONTH($B$7)),'Вводные'!$B$31="Оплата капиталом"),BC37,0),0)</x:f>
      </x:c>
      <x:c r="BE44" s="117">
        <x:f>IF(BE$3&gt;=$B$7,MAX(0,BE20)+BE35+IF(AND(AND(YEAR(BE$3)=YEAR($B$7),MONTH(BE$3)=MONTH($B$7)),'Вводные'!$B$31="Оплата капиталом"),BD37,0),0)</x:f>
      </x:c>
      <x:c r="BF44" s="117">
        <x:f>IF(BF$3&gt;=$B$7,MAX(0,BF20)+BF35+IF(AND(AND(YEAR(BF$3)=YEAR($B$7),MONTH(BF$3)=MONTH($B$7)),'Вводные'!$B$31="Оплата капиталом"),BE37,0),0)</x:f>
      </x:c>
      <x:c r="BG44" s="117">
        <x:f>IF(BG$3&gt;=$B$7,MAX(0,BG20)+BG35+IF(AND(AND(YEAR(BG$3)=YEAR($B$7),MONTH(BG$3)=MONTH($B$7)),'Вводные'!$B$31="Оплата капиталом"),BF37,0),0)</x:f>
      </x:c>
      <x:c r="BH44" s="117">
        <x:f>IF(BH$3&gt;=$B$7,MAX(0,BH20)+BH35+IF(AND(AND(YEAR(BH$3)=YEAR($B$7),MONTH(BH$3)=MONTH($B$7)),'Вводные'!$B$31="Оплата капиталом"),BG37,0),0)</x:f>
      </x:c>
      <x:c r="BI44" s="117">
        <x:f>IF(BI$3&gt;=$B$7,MAX(0,BI20)+BI35+IF(AND(AND(YEAR(BI$3)=YEAR($B$7),MONTH(BI$3)=MONTH($B$7)),'Вводные'!$B$31="Оплата капиталом"),BH37,0),0)</x:f>
      </x:c>
      <x:c r="BJ44" s="117">
        <x:f>IF(BJ$3&gt;=$B$7,MAX(0,BJ20)+BJ35+IF(AND(AND(YEAR(BJ$3)=YEAR($B$7),MONTH(BJ$3)=MONTH($B$7)),'Вводные'!$B$31="Оплата капиталом"),BI37,0),0)</x:f>
      </x:c>
      <x:c r="BK44" s="117">
        <x:f>IF(BK$3&gt;=$B$7,MAX(0,BK20)+BK35+IF(AND(AND(YEAR(BK$3)=YEAR($B$7),MONTH(BK$3)=MONTH($B$7)),'Вводные'!$B$31="Оплата капиталом"),BJ37,0),0)</x:f>
      </x:c>
      <x:c r="BL44" s="117">
        <x:f>IF(BL$3&gt;=$B$7,MAX(0,BL20)+BL35+IF(AND(AND(YEAR(BL$3)=YEAR($B$7),MONTH(BL$3)=MONTH($B$7)),'Вводные'!$B$31="Оплата капиталом"),BK37,0),0)</x:f>
      </x:c>
      <x:c r="BM44" s="117">
        <x:f>IF(BM$3&gt;=$B$7,MAX(0,BM20)+BM35+IF(AND(AND(YEAR(BM$3)=YEAR($B$7),MONTH(BM$3)=MONTH($B$7)),'Вводные'!$B$31="Оплата капиталом"),BL37,0),0)</x:f>
      </x:c>
      <x:c r="BN44" s="117">
        <x:f>IF(BN$3&gt;=$B$7,MAX(0,BN20)+BN35+IF(AND(AND(YEAR(BN$3)=YEAR($B$7),MONTH(BN$3)=MONTH($B$7)),'Вводные'!$B$31="Оплата капиталом"),BM37,0),0)</x:f>
      </x:c>
      <x:c r="BO44" s="117">
        <x:f>IF(BO$3&gt;=$B$7,MAX(0,BO20)+BO35+IF(AND(AND(YEAR(BO$3)=YEAR($B$7),MONTH(BO$3)=MONTH($B$7)),'Вводные'!$B$31="Оплата капиталом"),BN37,0),0)</x:f>
      </x:c>
      <x:c r="BP44" s="117">
        <x:f>IF(BP$3&gt;=$B$7,MAX(0,BP20)+BP35+IF(AND(AND(YEAR(BP$3)=YEAR($B$7),MONTH(BP$3)=MONTH($B$7)),'Вводные'!$B$31="Оплата капиталом"),BO37,0),0)</x:f>
      </x:c>
      <x:c r="BQ44" s="117">
        <x:f>IF(BQ$3&gt;=$B$7,MAX(0,BQ20)+BQ35+IF(AND(AND(YEAR(BQ$3)=YEAR($B$7),MONTH(BQ$3)=MONTH($B$7)),'Вводные'!$B$31="Оплата капиталом"),BP37,0),0)</x:f>
      </x:c>
      <x:c r="BR44" s="117">
        <x:f>IF(BR$3&gt;=$B$7,MAX(0,BR20)+BR35+IF(AND(AND(YEAR(BR$3)=YEAR($B$7),MONTH(BR$3)=MONTH($B$7)),'Вводные'!$B$31="Оплата капиталом"),BQ37,0),0)</x:f>
      </x:c>
      <x:c r="BS44" s="117">
        <x:f>IF(BS$3&gt;=$B$7,MAX(0,BS20)+BS35+IF(AND(AND(YEAR(BS$3)=YEAR($B$7),MONTH(BS$3)=MONTH($B$7)),'Вводные'!$B$31="Оплата капиталом"),BR37,0),0)</x:f>
      </x:c>
      <x:c r="BT44" s="117">
        <x:f>IF(BT$3&gt;=$B$7,MAX(0,BT20)+BT35+IF(AND(AND(YEAR(BT$3)=YEAR($B$7),MONTH(BT$3)=MONTH($B$7)),'Вводные'!$B$31="Оплата капиталом"),BS37,0),0)</x:f>
      </x:c>
      <x:c r="BU44" s="117">
        <x:f>IF(BU$3&gt;=$B$7,MAX(0,BU20)+BU35+IF(AND(AND(YEAR(BU$3)=YEAR($B$7),MONTH(BU$3)=MONTH($B$7)),'Вводные'!$B$31="Оплата капиталом"),BT37,0),0)</x:f>
      </x:c>
      <x:c r="BV44" s="117">
        <x:f>IF(BV$3&gt;=$B$7,MAX(0,BV20)+BV35+IF(AND(AND(YEAR(BV$3)=YEAR($B$7),MONTH(BV$3)=MONTH($B$7)),'Вводные'!$B$31="Оплата капиталом"),BU37,0),0)</x:f>
      </x:c>
      <x:c r="BW44" s="117">
        <x:f>IF(BW$3&gt;=$B$7,MAX(0,BW20)+BW35+IF(AND(AND(YEAR(BW$3)=YEAR($B$7),MONTH(BW$3)=MONTH($B$7)),'Вводные'!$B$31="Оплата капиталом"),BV37,0),0)</x:f>
      </x:c>
      <x:c r="BX44" s="117">
        <x:f>IF(BX$3&gt;=$B$7,MAX(0,BX20)+BX35+IF(AND(AND(YEAR(BX$3)=YEAR($B$7),MONTH(BX$3)=MONTH($B$7)),'Вводные'!$B$31="Оплата капиталом"),BW37,0),0)</x:f>
      </x:c>
      <x:c r="BY44" s="117">
        <x:f>IF(BY$3&gt;=$B$7,MAX(0,BY20)+BY35+IF(AND(AND(YEAR(BY$3)=YEAR($B$7),MONTH(BY$3)=MONTH($B$7)),'Вводные'!$B$31="Оплата капиталом"),BX37,0),0)</x:f>
      </x:c>
      <x:c r="BZ44" s="117">
        <x:f>IF(BZ$3&gt;=$B$7,MAX(0,BZ20)+BZ35+IF(AND(AND(YEAR(BZ$3)=YEAR($B$7),MONTH(BZ$3)=MONTH($B$7)),'Вводные'!$B$31="Оплата капиталом"),BY37,0),0)</x:f>
      </x:c>
      <x:c r="CA44" s="117">
        <x:f>IF(CA$3&gt;=$B$7,MAX(0,CA20)+CA35+IF(AND(AND(YEAR(CA$3)=YEAR($B$7),MONTH(CA$3)=MONTH($B$7)),'Вводные'!$B$31="Оплата капиталом"),BZ37,0),0)</x:f>
      </x:c>
      <x:c r="CB44" s="117">
        <x:f>IF(CB$3&gt;=$B$7,MAX(0,CB20)+CB35+IF(AND(AND(YEAR(CB$3)=YEAR($B$7),MONTH(CB$3)=MONTH($B$7)),'Вводные'!$B$31="Оплата капиталом"),CA37,0),0)</x:f>
      </x:c>
      <x:c r="CC44" s="117">
        <x:f>IF(CC$3&gt;=$B$7,MAX(0,CC20)+CC35+IF(AND(AND(YEAR(CC$3)=YEAR($B$7),MONTH(CC$3)=MONTH($B$7)),'Вводные'!$B$31="Оплата капиталом"),CB37,0),0)</x:f>
      </x:c>
      <x:c r="CD44" s="117">
        <x:f>IF(CD$3&gt;=$B$7,MAX(0,CD20)+CD35+IF(AND(AND(YEAR(CD$3)=YEAR($B$7),MONTH(CD$3)=MONTH($B$7)),'Вводные'!$B$31="Оплата капиталом"),CC37,0),0)</x:f>
      </x:c>
      <x:c r="CE44" s="117">
        <x:f>IF(CE$3&gt;=$B$7,MAX(0,CE20)+CE35+IF(AND(AND(YEAR(CE$3)=YEAR($B$7),MONTH(CE$3)=MONTH($B$7)),'Вводные'!$B$31="Оплата капиталом"),CD37,0),0)</x:f>
      </x:c>
      <x:c r="CF44" s="117">
        <x:f>IF(CF$3&gt;=$B$7,MAX(0,CF20)+CF35+IF(AND(AND(YEAR(CF$3)=YEAR($B$7),MONTH(CF$3)=MONTH($B$7)),'Вводные'!$B$31="Оплата капиталом"),CE37,0),0)</x:f>
      </x:c>
      <x:c r="CG44" s="117">
        <x:f>IF(CG$3&gt;=$B$7,MAX(0,CG20)+CG35+IF(AND(AND(YEAR(CG$3)=YEAR($B$7),MONTH(CG$3)=MONTH($B$7)),'Вводные'!$B$31="Оплата капиталом"),CF37,0),0)</x:f>
      </x:c>
      <x:c r="CH44" s="117">
        <x:f>IF(CH$3&gt;=$B$7,MAX(0,CH20)+CH35+IF(AND(AND(YEAR(CH$3)=YEAR($B$7),MONTH(CH$3)=MONTH($B$7)),'Вводные'!$B$31="Оплата капиталом"),CG37,0),0)</x:f>
      </x:c>
      <x:c r="CI44" s="117">
        <x:f>IF(CI$3&gt;=$B$7,MAX(0,CI20)+CI35+IF(AND(AND(YEAR(CI$3)=YEAR($B$7),MONTH(CI$3)=MONTH($B$7)),'Вводные'!$B$31="Оплата капиталом"),CH37,0),0)</x:f>
      </x:c>
      <x:c r="CJ44" s="117">
        <x:f>IF(CJ$3&gt;=$B$7,MAX(0,CJ20)+CJ35+IF(AND(AND(YEAR(CJ$3)=YEAR($B$7),MONTH(CJ$3)=MONTH($B$7)),'Вводные'!$B$31="Оплата капиталом"),CI37,0),0)</x:f>
      </x:c>
      <x:c r="CK44" s="117">
        <x:f>IF(CK$3&gt;=$B$7,MAX(0,CK20)+CK35+IF(AND(AND(YEAR(CK$3)=YEAR($B$7),MONTH(CK$3)=MONTH($B$7)),'Вводные'!$B$31="Оплата капиталом"),CJ37,0),0)</x:f>
      </x:c>
      <x:c r="CL44" s="117">
        <x:f>IF(CL$3&gt;=$B$7,MAX(0,CL20)+CL35+IF(AND(AND(YEAR(CL$3)=YEAR($B$7),MONTH(CL$3)=MONTH($B$7)),'Вводные'!$B$31="Оплата капиталом"),CK37,0),0)</x:f>
      </x:c>
      <x:c r="CM44" s="117">
        <x:f>IF(CM$3&gt;=$B$7,MAX(0,CM20)+CM35+IF(AND(AND(YEAR(CM$3)=YEAR($B$7),MONTH(CM$3)=MONTH($B$7)),'Вводные'!$B$31="Оплата капиталом"),CL37,0),0)</x:f>
      </x:c>
      <x:c r="CN44" s="117">
        <x:f>IF(CN$3&gt;=$B$7,MAX(0,CN20)+CN35+IF(AND(AND(YEAR(CN$3)=YEAR($B$7),MONTH(CN$3)=MONTH($B$7)),'Вводные'!$B$31="Оплата капиталом"),CM37,0),0)</x:f>
      </x:c>
      <x:c r="CO44" s="117">
        <x:f>IF(CO$3&gt;=$B$7,MAX(0,CO20)+CO35+IF(AND(AND(YEAR(CO$3)=YEAR($B$7),MONTH(CO$3)=MONTH($B$7)),'Вводные'!$B$31="Оплата капиталом"),CN37,0),0)</x:f>
      </x:c>
      <x:c r="CP44" s="117">
        <x:f>IF(CP$3&gt;=$B$7,MAX(0,CP20)+CP35+IF(AND(AND(YEAR(CP$3)=YEAR($B$7),MONTH(CP$3)=MONTH($B$7)),'Вводные'!$B$31="Оплата капиталом"),CO37,0),0)</x:f>
      </x:c>
      <x:c r="CQ44" s="117">
        <x:f>IF(CQ$3&gt;=$B$7,MAX(0,CQ20)+CQ35+IF(AND(AND(YEAR(CQ$3)=YEAR($B$7),MONTH(CQ$3)=MONTH($B$7)),'Вводные'!$B$31="Оплата капиталом"),CP37,0),0)</x:f>
      </x:c>
      <x:c r="CR44" s="117">
        <x:f>IF(CR$3&gt;=$B$7,MAX(0,CR20)+CR35+IF(AND(AND(YEAR(CR$3)=YEAR($B$7),MONTH(CR$3)=MONTH($B$7)),'Вводные'!$B$31="Оплата капиталом"),CQ37,0),0)</x:f>
      </x:c>
      <x:c r="CS44" s="117">
        <x:f>IF(CS$3&gt;=$B$7,MAX(0,CS20)+CS35+IF(AND(AND(YEAR(CS$3)=YEAR($B$7),MONTH(CS$3)=MONTH($B$7)),'Вводные'!$B$31="Оплата капиталом"),CR37,0),0)</x:f>
      </x:c>
      <x:c r="CT44" s="117">
        <x:f>IF(CT$3&gt;=$B$7,MAX(0,CT20)+CT35+IF(AND(AND(YEAR(CT$3)=YEAR($B$7),MONTH(CT$3)=MONTH($B$7)),'Вводные'!$B$31="Оплата капиталом"),CS37,0),0)</x:f>
      </x:c>
      <x:c r="CU44" s="117">
        <x:f>IF(CU$3&gt;=$B$7,MAX(0,CU20)+CU35+IF(AND(AND(YEAR(CU$3)=YEAR($B$7),MONTH(CU$3)=MONTH($B$7)),'Вводные'!$B$31="Оплата капиталом"),CT37,0),0)</x:f>
      </x:c>
      <x:c r="CV44" s="117">
        <x:f>IF(CV$3&gt;=$B$7,MAX(0,CV20)+CV35+IF(AND(AND(YEAR(CV$3)=YEAR($B$7),MONTH(CV$3)=MONTH($B$7)),'Вводные'!$B$31="Оплата капиталом"),CU37,0),0)</x:f>
      </x:c>
      <x:c r="CW44" s="117">
        <x:f>IF(CW$3&gt;=$B$7,MAX(0,CW20)+CW35+IF(AND(AND(YEAR(CW$3)=YEAR($B$7),MONTH(CW$3)=MONTH($B$7)),'Вводные'!$B$31="Оплата капиталом"),CV37,0),0)</x:f>
      </x:c>
      <x:c r="CX44" s="117">
        <x:f>IF(CX$3&gt;=$B$7,MAX(0,CX20)+CX35+IF(AND(AND(YEAR(CX$3)=YEAR($B$7),MONTH(CX$3)=MONTH($B$7)),'Вводные'!$B$31="Оплата капиталом"),CW37,0),0)</x:f>
      </x:c>
      <x:c r="CY44" s="117">
        <x:f>IF(CY$3&gt;=$B$7,MAX(0,CY20)+CY35+IF(AND(AND(YEAR(CY$3)=YEAR($B$7),MONTH(CY$3)=MONTH($B$7)),'Вводные'!$B$31="Оплата капиталом"),CX37,0),0)</x:f>
      </x:c>
      <x:c r="CZ44" s="117">
        <x:f>IF(CZ$3&gt;=$B$7,MAX(0,CZ20)+CZ35+IF(AND(AND(YEAR(CZ$3)=YEAR($B$7),MONTH(CZ$3)=MONTH($B$7)),'Вводные'!$B$31="Оплата капиталом"),CY37,0),0)</x:f>
      </x:c>
      <x:c r="DA44" s="117">
        <x:f>IF(DA$3&gt;=$B$7,MAX(0,DA20)+DA35+IF(AND(AND(YEAR(DA$3)=YEAR($B$7),MONTH(DA$3)=MONTH($B$7)),'Вводные'!$B$31="Оплата капиталом"),CZ37,0),0)</x:f>
      </x:c>
      <x:c r="DB44" s="117">
        <x:f>IF(DB$3&gt;=$B$7,MAX(0,DB20)+DB35+IF(AND(AND(YEAR(DB$3)=YEAR($B$7),MONTH(DB$3)=MONTH($B$7)),'Вводные'!$B$31="Оплата капиталом"),DA37,0),0)</x:f>
      </x:c>
      <x:c r="DC44" s="117">
        <x:f>IF(DC$3&gt;=$B$7,MAX(0,DC20)+DC35+IF(AND(AND(YEAR(DC$3)=YEAR($B$7),MONTH(DC$3)=MONTH($B$7)),'Вводные'!$B$31="Оплата капиталом"),DB37,0),0)</x:f>
      </x:c>
      <x:c r="DD44" s="117">
        <x:f>IF(DD$3&gt;=$B$7,MAX(0,DD20)+DD35+IF(AND(AND(YEAR(DD$3)=YEAR($B$7),MONTH(DD$3)=MONTH($B$7)),'Вводные'!$B$31="Оплата капиталом"),DC37,0),0)</x:f>
      </x:c>
      <x:c r="DE44" s="117">
        <x:f>IF(DE$3&gt;=$B$7,MAX(0,DE20)+DE35+IF(AND(AND(YEAR(DE$3)=YEAR($B$7),MONTH(DE$3)=MONTH($B$7)),'Вводные'!$B$31="Оплата капиталом"),DD37,0),0)</x:f>
      </x:c>
      <x:c r="DF44" s="117">
        <x:f>IF(DF$3&gt;=$B$7,MAX(0,DF20)+DF35+IF(AND(AND(YEAR(DF$3)=YEAR($B$7),MONTH(DF$3)=MONTH($B$7)),'Вводные'!$B$31="Оплата капиталом"),DE37,0),0)</x:f>
      </x:c>
      <x:c r="DG44" s="117">
        <x:f>IF(DG$3&gt;=$B$7,MAX(0,DG20)+DG35+IF(AND(AND(YEAR(DG$3)=YEAR($B$7),MONTH(DG$3)=MONTH($B$7)),'Вводные'!$B$31="Оплата капиталом"),DF37,0),0)</x:f>
      </x:c>
      <x:c r="DH44" s="117">
        <x:f>IF(DH$3&gt;=$B$7,MAX(0,DH20)+DH35+IF(AND(AND(YEAR(DH$3)=YEAR($B$7),MONTH(DH$3)=MONTH($B$7)),'Вводные'!$B$31="Оплата капиталом"),DG37,0),0)</x:f>
      </x:c>
      <x:c r="DI44" s="117">
        <x:f>IF(DI$3&gt;=$B$7,MAX(0,DI20)+DI35+IF(AND(AND(YEAR(DI$3)=YEAR($B$7),MONTH(DI$3)=MONTH($B$7)),'Вводные'!$B$31="Оплата капиталом"),DH37,0),0)</x:f>
      </x:c>
      <x:c r="DJ44" s="117">
        <x:f>IF(DJ$3&gt;=$B$7,MAX(0,DJ20)+DJ35+IF(AND(AND(YEAR(DJ$3)=YEAR($B$7),MONTH(DJ$3)=MONTH($B$7)),'Вводные'!$B$31="Оплата капиталом"),DI37,0),0)</x:f>
      </x:c>
      <x:c r="DK44" s="117">
        <x:f>IF(DK$3&gt;=$B$7,MAX(0,DK20)+DK35+IF(AND(AND(YEAR(DK$3)=YEAR($B$7),MONTH(DK$3)=MONTH($B$7)),'Вводные'!$B$31="Оплата капиталом"),DJ37,0),0)</x:f>
      </x:c>
      <x:c r="DL44" s="117">
        <x:f>IF(DL$3&gt;=$B$7,MAX(0,DL20)+DL35+IF(AND(AND(YEAR(DL$3)=YEAR($B$7),MONTH(DL$3)=MONTH($B$7)),'Вводные'!$B$31="Оплата капиталом"),DK37,0),0)</x:f>
      </x:c>
      <x:c r="DM44" s="117">
        <x:f>IF(DM$3&gt;=$B$7,MAX(0,DM20)+DM35+IF(AND(AND(YEAR(DM$3)=YEAR($B$7),MONTH(DM$3)=MONTH($B$7)),'Вводные'!$B$31="Оплата капиталом"),DL37,0),0)</x:f>
      </x:c>
      <x:c r="DN44" s="117">
        <x:f>IF(DN$3&gt;=$B$7,MAX(0,DN20)+DN35+IF(AND(AND(YEAR(DN$3)=YEAR($B$7),MONTH(DN$3)=MONTH($B$7)),'Вводные'!$B$31="Оплата капиталом"),DM37,0),0)</x:f>
      </x:c>
      <x:c r="DO44" s="117">
        <x:f>IF(DO$3&gt;=$B$7,MAX(0,DO20)+DO35+IF(AND(AND(YEAR(DO$3)=YEAR($B$7),MONTH(DO$3)=MONTH($B$7)),'Вводные'!$B$31="Оплата капиталом"),DN37,0),0)</x:f>
      </x:c>
      <x:c r="DP44" s="117">
        <x:f>IF(DP$3&gt;=$B$7,MAX(0,DP20)+DP35+IF(AND(AND(YEAR(DP$3)=YEAR($B$7),MONTH(DP$3)=MONTH($B$7)),'Вводные'!$B$31="Оплата капиталом"),DO37,0),0)</x:f>
      </x:c>
      <x:c r="DQ44" s="117">
        <x:f>IF(DQ$3&gt;=$B$7,MAX(0,DQ20)+DQ35+IF(AND(AND(YEAR(DQ$3)=YEAR($B$7),MONTH(DQ$3)=MONTH($B$7)),'Вводные'!$B$31="Оплата капиталом"),DP37,0),0)</x:f>
      </x:c>
      <x:c r="DR44" s="117">
        <x:f>IF(DR$3&gt;=$B$7,MAX(0,DR20)+DR35+IF(AND(AND(YEAR(DR$3)=YEAR($B$7),MONTH(DR$3)=MONTH($B$7)),'Вводные'!$B$31="Оплата капиталом"),DQ37,0),0)</x:f>
      </x:c>
      <x:c r="DS44" s="117">
        <x:f>IF(DS$3&gt;=$B$7,MAX(0,DS20)+DS35+IF(AND(AND(YEAR(DS$3)=YEAR($B$7),MONTH(DS$3)=MONTH($B$7)),'Вводные'!$B$31="Оплата капиталом"),DR37,0),0)</x:f>
      </x:c>
      <x:c r="DT44" s="117">
        <x:f>IF(DT$3&gt;=$B$7,MAX(0,DT20)+DT35+IF(AND(AND(YEAR(DT$3)=YEAR($B$7),MONTH(DT$3)=MONTH($B$7)),'Вводные'!$B$31="Оплата капиталом"),DS37,0),0)</x:f>
      </x:c>
      <x:c r="DU44" s="117">
        <x:f>IF(DU$3&gt;=$B$7,MAX(0,DU20)+DU35+IF(AND(AND(YEAR(DU$3)=YEAR($B$7),MONTH(DU$3)=MONTH($B$7)),'Вводные'!$B$31="Оплата капиталом"),DT37,0),0)</x:f>
      </x:c>
      <x:c r="DV44" s="117">
        <x:f>IF(DV$3&gt;=$B$7,MAX(0,DV20)+DV35+IF(AND(AND(YEAR(DV$3)=YEAR($B$7),MONTH(DV$3)=MONTH($B$7)),'Вводные'!$B$31="Оплата капиталом"),DU37,0),0)</x:f>
      </x:c>
      <x:c r="DW44" s="117">
        <x:f>IF(DW$3&gt;=$B$7,MAX(0,DW20)+DW35+IF(AND(AND(YEAR(DW$3)=YEAR($B$7),MONTH(DW$3)=MONTH($B$7)),'Вводные'!$B$31="Оплата капиталом"),DV37,0),0)</x:f>
      </x:c>
      <x:c r="DX44" s="117">
        <x:f>IF(DX$3&gt;=$B$7,MAX(0,DX20)+DX35+IF(AND(AND(YEAR(DX$3)=YEAR($B$7),MONTH(DX$3)=MONTH($B$7)),'Вводные'!$B$31="Оплата капиталом"),DW37,0),0)</x:f>
      </x:c>
      <x:c r="DY44" s="117">
        <x:f>IF(DY$3&gt;=$B$7,MAX(0,DY20)+DY35+IF(AND(AND(YEAR(DY$3)=YEAR($B$7),MONTH(DY$3)=MONTH($B$7)),'Вводные'!$B$31="Оплата капиталом"),DX37,0),0)</x:f>
      </x:c>
      <x:c r="DZ44" s="117">
        <x:f>IF(DZ$3&gt;=$B$7,MAX(0,DZ20)+DZ35+IF(AND(AND(YEAR(DZ$3)=YEAR($B$7),MONTH(DZ$3)=MONTH($B$7)),'Вводные'!$B$31="Оплата капиталом"),DY37,0),0)</x:f>
      </x:c>
      <x:c r="EA44" s="117">
        <x:f>IF(EA$3&gt;=$B$7,MAX(0,EA20)+EA35+IF(AND(AND(YEAR(EA$3)=YEAR($B$7),MONTH(EA$3)=MONTH($B$7)),'Вводные'!$B$31="Оплата капиталом"),DZ37,0),0)</x:f>
      </x:c>
      <x:c r="EB44" s="117">
        <x:f>IF(EB$3&gt;=$B$7,MAX(0,EB20)+EB35+IF(AND(AND(YEAR(EB$3)=YEAR($B$7),MONTH(EB$3)=MONTH($B$7)),'Вводные'!$B$31="Оплата капиталом"),EA37,0),0)</x:f>
      </x:c>
      <x:c r="EC44" s="117">
        <x:f>IF(EC$3&gt;=$B$7,MAX(0,EC20)+EC35+IF(AND(AND(YEAR(EC$3)=YEAR($B$7),MONTH(EC$3)=MONTH($B$7)),'Вводные'!$B$31="Оплата капиталом"),EB37,0),0)</x:f>
      </x:c>
      <x:c r="ED44" s="117">
        <x:f>IF(ED$3&gt;=$B$7,MAX(0,ED20)+ED35+IF(AND(AND(YEAR(ED$3)=YEAR($B$7),MONTH(ED$3)=MONTH($B$7)),'Вводные'!$B$31="Оплата капиталом"),EC37,0),0)</x:f>
      </x:c>
      <x:c r="EE44" s="117">
        <x:f>IF(EE$3&gt;=$B$7,MAX(0,EE20)+EE35+IF(AND(AND(YEAR(EE$3)=YEAR($B$7),MONTH(EE$3)=MONTH($B$7)),'Вводные'!$B$31="Оплата капиталом"),ED37,0),0)</x:f>
      </x:c>
      <x:c r="EF44" s="117">
        <x:f>IF(EF$3&gt;=$B$7,MAX(0,EF20)+EF35+IF(AND(AND(YEAR(EF$3)=YEAR($B$7),MONTH(EF$3)=MONTH($B$7)),'Вводные'!$B$31="Оплата капиталом"),EE37,0),0)</x:f>
      </x:c>
      <x:c r="EG44" s="117">
        <x:f>IF(EG$3&gt;=$B$7,MAX(0,EG20)+EG35+IF(AND(AND(YEAR(EG$3)=YEAR($B$7),MONTH(EG$3)=MONTH($B$7)),'Вводные'!$B$31="Оплата капиталом"),EF37,0),0)</x:f>
      </x:c>
      <x:c r="EH44" s="117">
        <x:f>IF(EH$3&gt;=$B$7,MAX(0,EH20)+EH35+IF(AND(AND(YEAR(EH$3)=YEAR($B$7),MONTH(EH$3)=MONTH($B$7)),'Вводные'!$B$31="Оплата капиталом"),EG37,0),0)</x:f>
      </x:c>
      <x:c r="EI44" s="117">
        <x:f>IF(EI$3&gt;=$B$7,MAX(0,EI20)+EI35+IF(AND(AND(YEAR(EI$3)=YEAR($B$7),MONTH(EI$3)=MONTH($B$7)),'Вводные'!$B$31="Оплата капиталом"),EH37,0),0)</x:f>
      </x:c>
      <x:c r="EJ44" s="117">
        <x:f>IF(EJ$3&gt;=$B$7,MAX(0,EJ20)+EJ35+IF(AND(AND(YEAR(EJ$3)=YEAR($B$7),MONTH(EJ$3)=MONTH($B$7)),'Вводные'!$B$31="Оплата капиталом"),EI37,0),0)</x:f>
      </x:c>
      <x:c r="EK44" s="117">
        <x:f>IF(EK$3&gt;=$B$7,MAX(0,EK20)+EK35+IF(AND(AND(YEAR(EK$3)=YEAR($B$7),MONTH(EK$3)=MONTH($B$7)),'Вводные'!$B$31="Оплата капиталом"),EJ37,0),0)</x:f>
      </x:c>
      <x:c r="EL44" s="117">
        <x:f>IF(EL$3&gt;=$B$7,MAX(0,EL20)+EL35+IF(AND(AND(YEAR(EL$3)=YEAR($B$7),MONTH(EL$3)=MONTH($B$7)),'Вводные'!$B$31="Оплата капиталом"),EK37,0),0)</x:f>
      </x:c>
      <x:c r="EM44" s="117">
        <x:f>IF(EM$3&gt;=$B$7,MAX(0,EM20)+EM35+IF(AND(AND(YEAR(EM$3)=YEAR($B$7),MONTH(EM$3)=MONTH($B$7)),'Вводные'!$B$31="Оплата капиталом"),EL37,0),0)</x:f>
      </x:c>
      <x:c r="EN44" s="117">
        <x:f>IF(EN$3&gt;=$B$7,MAX(0,EN20)+EN35+IF(AND(AND(YEAR(EN$3)=YEAR($B$7),MONTH(EN$3)=MONTH($B$7)),'Вводные'!$B$31="Оплата капиталом"),EM37,0),0)</x:f>
      </x:c>
      <x:c r="EO44" s="117">
        <x:f>IF(EO$3&gt;=$B$7,MAX(0,EO20)+EO35+IF(AND(AND(YEAR(EO$3)=YEAR($B$7),MONTH(EO$3)=MONTH($B$7)),'Вводные'!$B$31="Оплата капиталом"),EN37,0),0)</x:f>
      </x:c>
      <x:c r="EP44" s="117">
        <x:f>IF(EP$3&gt;=$B$7,MAX(0,EP20)+EP35+IF(AND(AND(YEAR(EP$3)=YEAR($B$7),MONTH(EP$3)=MONTH($B$7)),'Вводные'!$B$31="Оплата капиталом"),EO37,0),0)</x:f>
      </x:c>
      <x:c r="EQ44" s="117">
        <x:f>IF(EQ$3&gt;=$B$7,MAX(0,EQ20)+EQ35+IF(AND(AND(YEAR(EQ$3)=YEAR($B$7),MONTH(EQ$3)=MONTH($B$7)),'Вводные'!$B$31="Оплата капиталом"),EP37,0),0)</x:f>
      </x:c>
      <x:c r="ER44" s="117">
        <x:f>IF(ER$3&gt;=$B$7,MAX(0,ER20)+ER35+IF(AND(AND(YEAR(ER$3)=YEAR($B$7),MONTH(ER$3)=MONTH($B$7)),'Вводные'!$B$31="Оплата капиталом"),EQ37,0),0)</x:f>
      </x:c>
      <x:c r="ES44" s="117">
        <x:f>IF(ES$3&gt;=$B$7,MAX(0,ES20)+ES35+IF(AND(AND(YEAR(ES$3)=YEAR($B$7),MONTH(ES$3)=MONTH($B$7)),'Вводные'!$B$31="Оплата капиталом"),ER37,0),0)</x:f>
      </x:c>
      <x:c r="ET44" s="117">
        <x:f>IF(ET$3&gt;=$B$7,MAX(0,ET20)+ET35+IF(AND(AND(YEAR(ET$3)=YEAR($B$7),MONTH(ET$3)=MONTH($B$7)),'Вводные'!$B$31="Оплата капиталом"),ES37,0),0)</x:f>
      </x:c>
      <x:c r="EU44" s="117">
        <x:f>IF(EU$3&gt;=$B$7,MAX(0,EU20)+EU35+IF(AND(AND(YEAR(EU$3)=YEAR($B$7),MONTH(EU$3)=MONTH($B$7)),'Вводные'!$B$31="Оплата капиталом"),ET37,0),0)</x:f>
      </x:c>
      <x:c r="EV44" s="117">
        <x:f>IF(EV$3&gt;=$B$7,MAX(0,EV20)+EV35+IF(AND(AND(YEAR(EV$3)=YEAR($B$7),MONTH(EV$3)=MONTH($B$7)),'Вводные'!$B$31="Оплата капиталом"),EU37,0),0)</x:f>
      </x:c>
      <x:c r="EW44" s="117">
        <x:f>IF(EW$3&gt;=$B$7,MAX(0,EW20)+EW35+IF(AND(AND(YEAR(EW$3)=YEAR($B$7),MONTH(EW$3)=MONTH($B$7)),'Вводные'!$B$31="Оплата капиталом"),EV37,0),0)</x:f>
      </x:c>
      <x:c r="EX44" s="117">
        <x:f>IF(EX$3&gt;=$B$7,MAX(0,EX20)+EX35+IF(AND(AND(YEAR(EX$3)=YEAR($B$7),MONTH(EX$3)=MONTH($B$7)),'Вводные'!$B$31="Оплата капиталом"),EW37,0),0)</x:f>
      </x:c>
      <x:c r="EY44" s="117">
        <x:f>IF(EY$3&gt;=$B$7,MAX(0,EY20)+EY35+IF(AND(AND(YEAR(EY$3)=YEAR($B$7),MONTH(EY$3)=MONTH($B$7)),'Вводные'!$B$31="Оплата капиталом"),EX37,0),0)</x:f>
      </x:c>
      <x:c r="EZ44" s="117">
        <x:f>IF(EZ$3&gt;=$B$7,MAX(0,EZ20)+EZ35+IF(AND(AND(YEAR(EZ$3)=YEAR($B$7),MONTH(EZ$3)=MONTH($B$7)),'Вводные'!$B$31="Оплата капиталом"),EY37,0),0)</x:f>
      </x:c>
      <x:c r="FA44" s="117">
        <x:f>IF(FA$3&gt;=$B$7,MAX(0,FA20)+FA35+IF(AND(AND(YEAR(FA$3)=YEAR($B$7),MONTH(FA$3)=MONTH($B$7)),'Вводные'!$B$31="Оплата капиталом"),EZ37,0),0)</x:f>
      </x:c>
      <x:c r="FB44" s="117">
        <x:f>IF(FB$3&gt;=$B$7,MAX(0,FB20)+FB35+IF(AND(AND(YEAR(FB$3)=YEAR($B$7),MONTH(FB$3)=MONTH($B$7)),'Вводные'!$B$31="Оплата капиталом"),FA37,0),0)</x:f>
      </x:c>
      <x:c r="FC44" s="117">
        <x:f>IF(FC$3&gt;=$B$7,MAX(0,FC20)+FC35+IF(AND(AND(YEAR(FC$3)=YEAR($B$7),MONTH(FC$3)=MONTH($B$7)),'Вводные'!$B$31="Оплата капиталом"),FB37,0),0)</x:f>
      </x:c>
      <x:c r="FD44" s="117">
        <x:f>IF(FD$3&gt;=$B$7,MAX(0,FD20)+FD35+IF(AND(AND(YEAR(FD$3)=YEAR($B$7),MONTH(FD$3)=MONTH($B$7)),'Вводные'!$B$31="Оплата капиталом"),FC37,0),0)</x:f>
      </x:c>
      <x:c r="FE44" s="117">
        <x:f>IF(FE$3&gt;=$B$7,MAX(0,FE20)+FE35+IF(AND(AND(YEAR(FE$3)=YEAR($B$7),MONTH(FE$3)=MONTH($B$7)),'Вводные'!$B$31="Оплата капиталом"),FD37,0),0)</x:f>
      </x:c>
      <x:c r="FF44" s="117">
        <x:f>IF(FF$3&gt;=$B$7,MAX(0,FF20)+FF35+IF(AND(AND(YEAR(FF$3)=YEAR($B$7),MONTH(FF$3)=MONTH($B$7)),'Вводные'!$B$31="Оплата капиталом"),FE37,0),0)</x:f>
      </x:c>
      <x:c r="FG44" s="117">
        <x:f>IF(FG$3&gt;=$B$7,MAX(0,FG20)+FG35+IF(AND(AND(YEAR(FG$3)=YEAR($B$7),MONTH(FG$3)=MONTH($B$7)),'Вводные'!$B$31="Оплата капиталом"),FF37,0),0)</x:f>
      </x:c>
      <x:c r="FH44" s="117">
        <x:f>IF(FH$3&gt;=$B$7,MAX(0,FH20)+FH35+IF(AND(AND(YEAR(FH$3)=YEAR($B$7),MONTH(FH$3)=MONTH($B$7)),'Вводные'!$B$31="Оплата капиталом"),FG37,0),0)</x:f>
      </x:c>
      <x:c r="FI44" s="117">
        <x:f>IF(FI$3&gt;=$B$7,MAX(0,FI20)+FI35+IF(AND(AND(YEAR(FI$3)=YEAR($B$7),MONTH(FI$3)=MONTH($B$7)),'Вводные'!$B$31="Оплата капиталом"),FH37,0),0)</x:f>
      </x:c>
      <x:c r="FJ44" s="117">
        <x:f>IF(FJ$3&gt;=$B$7,MAX(0,FJ20)+FJ35+IF(AND(AND(YEAR(FJ$3)=YEAR($B$7),MONTH(FJ$3)=MONTH($B$7)),'Вводные'!$B$31="Оплата капиталом"),FI37,0),0)</x:f>
      </x:c>
      <x:c r="FK44" s="117">
        <x:f>IF(FK$3&gt;=$B$7,MAX(0,FK20)+FK35+IF(AND(AND(YEAR(FK$3)=YEAR($B$7),MONTH(FK$3)=MONTH($B$7)),'Вводные'!$B$31="Оплата капиталом"),FJ37,0),0)</x:f>
      </x:c>
      <x:c r="FL44" s="117">
        <x:f>IF(FL$3&gt;=$B$7,MAX(0,FL20)+FL35+IF(AND(AND(YEAR(FL$3)=YEAR($B$7),MONTH(FL$3)=MONTH($B$7)),'Вводные'!$B$31="Оплата капиталом"),FK37,0),0)</x:f>
      </x:c>
      <x:c r="FM44" s="117">
        <x:f>IF(FM$3&gt;=$B$7,MAX(0,FM20)+FM35+IF(AND(AND(YEAR(FM$3)=YEAR($B$7),MONTH(FM$3)=MONTH($B$7)),'Вводные'!$B$31="Оплата капиталом"),FL37,0),0)</x:f>
      </x:c>
      <x:c r="FN44" s="117">
        <x:f>IF(FN$3&gt;=$B$7,MAX(0,FN20)+FN35+IF(AND(AND(YEAR(FN$3)=YEAR($B$7),MONTH(FN$3)=MONTH($B$7)),'Вводные'!$B$31="Оплата капиталом"),FM37,0),0)</x:f>
      </x:c>
      <x:c r="FO44" s="117">
        <x:f>IF(FO$3&gt;=$B$7,MAX(0,FO20)+FO35+IF(AND(AND(YEAR(FO$3)=YEAR($B$7),MONTH(FO$3)=MONTH($B$7)),'Вводные'!$B$31="Оплата капиталом"),FN37,0),0)</x:f>
      </x:c>
      <x:c r="FP44" s="117">
        <x:f>IF(FP$3&gt;=$B$7,MAX(0,FP20)+FP35+IF(AND(AND(YEAR(FP$3)=YEAR($B$7),MONTH(FP$3)=MONTH($B$7)),'Вводные'!$B$31="Оплата капиталом"),FO37,0),0)</x:f>
      </x:c>
      <x:c r="FQ44" s="117">
        <x:f>IF(FQ$3&gt;=$B$7,MAX(0,FQ20)+FQ35+IF(AND(AND(YEAR(FQ$3)=YEAR($B$7),MONTH(FQ$3)=MONTH($B$7)),'Вводные'!$B$31="Оплата капиталом"),FP37,0),0)</x:f>
      </x:c>
      <x:c r="FR44" s="117">
        <x:f>IF(FR$3&gt;=$B$7,MAX(0,FR20)+FR35+IF(AND(AND(YEAR(FR$3)=YEAR($B$7),MONTH(FR$3)=MONTH($B$7)),'Вводные'!$B$31="Оплата капиталом"),FQ37,0),0)</x:f>
      </x:c>
      <x:c r="FS44" s="117">
        <x:f>IF(FS$3&gt;=$B$7,MAX(0,FS20)+FS35+IF(AND(AND(YEAR(FS$3)=YEAR($B$7),MONTH(FS$3)=MONTH($B$7)),'Вводные'!$B$31="Оплата капиталом"),FR37,0),0)</x:f>
      </x:c>
      <x:c r="FT44" s="117">
        <x:f>IF(FT$3&gt;=$B$7,MAX(0,FT20)+FT35+IF(AND(AND(YEAR(FT$3)=YEAR($B$7),MONTH(FT$3)=MONTH($B$7)),'Вводные'!$B$31="Оплата капиталом"),FS37,0),0)</x:f>
      </x:c>
      <x:c r="FU44" s="117">
        <x:f>IF(FU$3&gt;=$B$7,MAX(0,FU20)+FU35+IF(AND(AND(YEAR(FU$3)=YEAR($B$7),MONTH(FU$3)=MONTH($B$7)),'Вводные'!$B$31="Оплата капиталом"),FT37,0),0)</x:f>
      </x:c>
      <x:c r="FV44" s="117">
        <x:f>IF(FV$3&gt;=$B$7,MAX(0,FV20)+FV35+IF(AND(AND(YEAR(FV$3)=YEAR($B$7),MONTH(FV$3)=MONTH($B$7)),'Вводные'!$B$31="Оплата капиталом"),FU37,0),0)</x:f>
      </x:c>
      <x:c r="FW44" s="117">
        <x:f>IF(FW$3&gt;=$B$7,MAX(0,FW20)+FW35+IF(AND(AND(YEAR(FW$3)=YEAR($B$7),MONTH(FW$3)=MONTH($B$7)),'Вводные'!$B$31="Оплата капиталом"),FV37,0),0)</x:f>
      </x:c>
      <x:c r="FX44" s="117">
        <x:f>IF(FX$3&gt;=$B$7,MAX(0,FX20)+FX35+IF(AND(AND(YEAR(FX$3)=YEAR($B$7),MONTH(FX$3)=MONTH($B$7)),'Вводные'!$B$31="Оплата капиталом"),FW37,0),0)</x:f>
      </x:c>
      <x:c r="FY44" s="117">
        <x:f>IF(FY$3&gt;=$B$7,MAX(0,FY20)+FY35+IF(AND(AND(YEAR(FY$3)=YEAR($B$7),MONTH(FY$3)=MONTH($B$7)),'Вводные'!$B$31="Оплата капиталом"),FX37,0),0)</x:f>
      </x:c>
      <x:c r="FZ44" s="117">
        <x:f>IF(FZ$3&gt;=$B$7,MAX(0,FZ20)+FZ35+IF(AND(AND(YEAR(FZ$3)=YEAR($B$7),MONTH(FZ$3)=MONTH($B$7)),'Вводные'!$B$31="Оплата капиталом"),FY37,0),0)</x:f>
      </x:c>
      <x:c r="GA44" s="117">
        <x:f>IF(GA$3&gt;=$B$7,MAX(0,GA20)+GA35+IF(AND(AND(YEAR(GA$3)=YEAR($B$7),MONTH(GA$3)=MONTH($B$7)),'Вводные'!$B$31="Оплата капиталом"),FZ37,0),0)</x:f>
      </x:c>
    </x:row>
    <x:row r="45">
      <x:c r="A45" t="str">
        <x:v>ПФ — выборка</x:v>
      </x:c>
      <x:c r="B45" t="n">
        <x:f>SUM(D45:GA45)</x:f>
      </x:c>
      <x:c r="C45" t="str">
        <x:v>млн ₽</x:v>
      </x:c>
      <x:c r="D45" s="117" t="n">
        <x:f>D44</x:f>
      </x:c>
      <x:c r="E45" s="117" t="n">
        <x:f>E44</x:f>
      </x:c>
      <x:c r="F45" s="117" t="n">
        <x:f>F44</x:f>
      </x:c>
      <x:c r="G45" s="117" t="n">
        <x:f>G44</x:f>
      </x:c>
      <x:c r="H45" s="117" t="n">
        <x:f>H44</x:f>
      </x:c>
      <x:c r="I45" s="117" t="n">
        <x:f>I44</x:f>
      </x:c>
      <x:c r="J45" s="117" t="n">
        <x:f>J44</x:f>
      </x:c>
      <x:c r="K45" s="117" t="n">
        <x:f>K44</x:f>
      </x:c>
      <x:c r="L45" s="117" t="n">
        <x:f>L44</x:f>
      </x:c>
      <x:c r="M45" s="117" t="n">
        <x:f>M44</x:f>
      </x:c>
      <x:c r="N45" s="117" t="n">
        <x:f>N44</x:f>
      </x:c>
      <x:c r="O45" s="117" t="n">
        <x:f>O44</x:f>
      </x:c>
      <x:c r="P45" s="117" t="n">
        <x:f>P44</x:f>
      </x:c>
      <x:c r="Q45" s="117" t="n">
        <x:f>Q44</x:f>
      </x:c>
      <x:c r="R45" s="117" t="n">
        <x:f>R44</x:f>
      </x:c>
      <x:c r="S45" s="117" t="n">
        <x:f>S44</x:f>
      </x:c>
      <x:c r="T45" s="117" t="n">
        <x:f>T44</x:f>
      </x:c>
      <x:c r="U45" s="117" t="n">
        <x:f>U44</x:f>
      </x:c>
      <x:c r="V45" s="117" t="n">
        <x:f>V44</x:f>
      </x:c>
      <x:c r="W45" s="117" t="n">
        <x:f>W44</x:f>
      </x:c>
      <x:c r="X45" s="117" t="n">
        <x:f>X44</x:f>
      </x:c>
      <x:c r="Y45" s="117" t="n">
        <x:f>Y44</x:f>
      </x:c>
      <x:c r="Z45" s="117" t="n">
        <x:f>Z44</x:f>
      </x:c>
      <x:c r="AA45" s="117" t="n">
        <x:f>AA44</x:f>
      </x:c>
      <x:c r="AB45" s="117" t="n">
        <x:f>AB44</x:f>
      </x:c>
      <x:c r="AC45" s="117" t="n">
        <x:f>AC44</x:f>
      </x:c>
      <x:c r="AD45" s="117" t="n">
        <x:f>AD44</x:f>
      </x:c>
      <x:c r="AE45" s="117" t="n">
        <x:f>AE44</x:f>
      </x:c>
      <x:c r="AF45" s="117" t="n">
        <x:f>AF44</x:f>
      </x:c>
      <x:c r="AG45" s="117" t="n">
        <x:f>AG44</x:f>
      </x:c>
      <x:c r="AH45" s="117" t="n">
        <x:f>AH44</x:f>
      </x:c>
      <x:c r="AI45" s="117" t="n">
        <x:f>AI44</x:f>
      </x:c>
      <x:c r="AJ45" s="117" t="n">
        <x:f>AJ44</x:f>
      </x:c>
      <x:c r="AK45" s="117" t="n">
        <x:f>AK44</x:f>
      </x:c>
      <x:c r="AL45" s="117" t="n">
        <x:f>AL44</x:f>
      </x:c>
      <x:c r="AM45" s="117" t="n">
        <x:f>AM44</x:f>
      </x:c>
      <x:c r="AN45" s="117" t="n">
        <x:f>AN44</x:f>
      </x:c>
      <x:c r="AO45" s="117" t="n">
        <x:f>AO44</x:f>
      </x:c>
      <x:c r="AP45" s="117" t="n">
        <x:f>AP44</x:f>
      </x:c>
      <x:c r="AQ45" s="117" t="n">
        <x:f>AQ44</x:f>
      </x:c>
      <x:c r="AR45" s="117" t="n">
        <x:f>AR44</x:f>
      </x:c>
      <x:c r="AS45" s="117" t="n">
        <x:f>AS44</x:f>
      </x:c>
      <x:c r="AT45" s="117" t="n">
        <x:f>AT44</x:f>
      </x:c>
      <x:c r="AU45" s="117" t="n">
        <x:f>AU44</x:f>
      </x:c>
      <x:c r="AV45" s="117" t="n">
        <x:f>AV44</x:f>
      </x:c>
      <x:c r="AW45" s="117" t="n">
        <x:f>AW44</x:f>
      </x:c>
      <x:c r="AX45" s="117" t="n">
        <x:f>AX44</x:f>
      </x:c>
      <x:c r="AY45" s="117" t="n">
        <x:f>AY44</x:f>
      </x:c>
      <x:c r="AZ45" s="117" t="n">
        <x:f>AZ44</x:f>
      </x:c>
      <x:c r="BA45" s="117" t="n">
        <x:f>BA44</x:f>
      </x:c>
      <x:c r="BB45" s="117" t="n">
        <x:f>BB44</x:f>
      </x:c>
      <x:c r="BC45" s="117" t="n">
        <x:f>BC44</x:f>
      </x:c>
      <x:c r="BD45" s="117" t="n">
        <x:f>BD44</x:f>
      </x:c>
      <x:c r="BE45" s="117" t="n">
        <x:f>BE44</x:f>
      </x:c>
      <x:c r="BF45" s="117" t="n">
        <x:f>BF44</x:f>
      </x:c>
      <x:c r="BG45" s="117" t="n">
        <x:f>BG44</x:f>
      </x:c>
      <x:c r="BH45" s="117" t="n">
        <x:f>BH44</x:f>
      </x:c>
      <x:c r="BI45" s="117" t="n">
        <x:f>BI44</x:f>
      </x:c>
      <x:c r="BJ45" s="117" t="n">
        <x:f>BJ44</x:f>
      </x:c>
      <x:c r="BK45" s="117" t="n">
        <x:f>BK44</x:f>
      </x:c>
      <x:c r="BL45" s="117" t="n">
        <x:f>BL44</x:f>
      </x:c>
      <x:c r="BM45" s="117" t="n">
        <x:f>BM44</x:f>
      </x:c>
      <x:c r="BN45" s="117" t="n">
        <x:f>BN44</x:f>
      </x:c>
      <x:c r="BO45" s="117" t="n">
        <x:f>BO44</x:f>
      </x:c>
      <x:c r="BP45" s="117" t="n">
        <x:f>BP44</x:f>
      </x:c>
      <x:c r="BQ45" s="117" t="n">
        <x:f>BQ44</x:f>
      </x:c>
      <x:c r="BR45" s="117" t="n">
        <x:f>BR44</x:f>
      </x:c>
      <x:c r="BS45" s="117" t="n">
        <x:f>BS44</x:f>
      </x:c>
      <x:c r="BT45" s="117" t="n">
        <x:f>BT44</x:f>
      </x:c>
      <x:c r="BU45" s="117" t="n">
        <x:f>BU44</x:f>
      </x:c>
      <x:c r="BV45" s="117" t="n">
        <x:f>BV44</x:f>
      </x:c>
      <x:c r="BW45" s="117" t="n">
        <x:f>BW44</x:f>
      </x:c>
      <x:c r="BX45" s="117" t="n">
        <x:f>BX44</x:f>
      </x:c>
      <x:c r="BY45" s="117" t="n">
        <x:f>BY44</x:f>
      </x:c>
      <x:c r="BZ45" s="117" t="n">
        <x:f>BZ44</x:f>
      </x:c>
      <x:c r="CA45" s="117" t="n">
        <x:f>CA44</x:f>
      </x:c>
      <x:c r="CB45" s="117" t="n">
        <x:f>CB44</x:f>
      </x:c>
      <x:c r="CC45" s="117" t="n">
        <x:f>CC44</x:f>
      </x:c>
      <x:c r="CD45" s="117" t="n">
        <x:f>CD44</x:f>
      </x:c>
      <x:c r="CE45" s="117" t="n">
        <x:f>CE44</x:f>
      </x:c>
      <x:c r="CF45" s="117" t="n">
        <x:f>CF44</x:f>
      </x:c>
      <x:c r="CG45" s="117" t="n">
        <x:f>CG44</x:f>
      </x:c>
      <x:c r="CH45" s="117" t="n">
        <x:f>CH44</x:f>
      </x:c>
      <x:c r="CI45" s="117" t="n">
        <x:f>CI44</x:f>
      </x:c>
      <x:c r="CJ45" s="117" t="n">
        <x:f>CJ44</x:f>
      </x:c>
      <x:c r="CK45" s="117" t="n">
        <x:f>CK44</x:f>
      </x:c>
      <x:c r="CL45" s="117" t="n">
        <x:f>CL44</x:f>
      </x:c>
      <x:c r="CM45" s="117" t="n">
        <x:f>CM44</x:f>
      </x:c>
      <x:c r="CN45" s="117" t="n">
        <x:f>CN44</x:f>
      </x:c>
      <x:c r="CO45" s="117" t="n">
        <x:f>CO44</x:f>
      </x:c>
      <x:c r="CP45" s="117" t="n">
        <x:f>CP44</x:f>
      </x:c>
      <x:c r="CQ45" s="117" t="n">
        <x:f>CQ44</x:f>
      </x:c>
      <x:c r="CR45" s="117" t="n">
        <x:f>CR44</x:f>
      </x:c>
      <x:c r="CS45" s="117" t="n">
        <x:f>CS44</x:f>
      </x:c>
      <x:c r="CT45" s="117" t="n">
        <x:f>CT44</x:f>
      </x:c>
      <x:c r="CU45" s="117" t="n">
        <x:f>CU44</x:f>
      </x:c>
      <x:c r="CV45" s="117" t="n">
        <x:f>CV44</x:f>
      </x:c>
      <x:c r="CW45" s="117" t="n">
        <x:f>CW44</x:f>
      </x:c>
      <x:c r="CX45" s="117" t="n">
        <x:f>CX44</x:f>
      </x:c>
      <x:c r="CY45" s="117" t="n">
        <x:f>CY44</x:f>
      </x:c>
      <x:c r="CZ45" s="117" t="n">
        <x:f>CZ44</x:f>
      </x:c>
      <x:c r="DA45" s="117" t="n">
        <x:f>DA44</x:f>
      </x:c>
      <x:c r="DB45" s="117" t="n">
        <x:f>DB44</x:f>
      </x:c>
      <x:c r="DC45" s="117" t="n">
        <x:f>DC44</x:f>
      </x:c>
      <x:c r="DD45" s="117" t="n">
        <x:f>DD44</x:f>
      </x:c>
      <x:c r="DE45" s="117" t="n">
        <x:f>DE44</x:f>
      </x:c>
      <x:c r="DF45" s="117" t="n">
        <x:f>DF44</x:f>
      </x:c>
      <x:c r="DG45" s="117" t="n">
        <x:f>DG44</x:f>
      </x:c>
      <x:c r="DH45" s="117" t="n">
        <x:f>DH44</x:f>
      </x:c>
      <x:c r="DI45" s="117" t="n">
        <x:f>DI44</x:f>
      </x:c>
      <x:c r="DJ45" s="117" t="n">
        <x:f>DJ44</x:f>
      </x:c>
      <x:c r="DK45" s="117" t="n">
        <x:f>DK44</x:f>
      </x:c>
      <x:c r="DL45" s="117" t="n">
        <x:f>DL44</x:f>
      </x:c>
      <x:c r="DM45" s="117" t="n">
        <x:f>DM44</x:f>
      </x:c>
      <x:c r="DN45" s="117" t="n">
        <x:f>DN44</x:f>
      </x:c>
      <x:c r="DO45" s="117" t="n">
        <x:f>DO44</x:f>
      </x:c>
      <x:c r="DP45" s="117" t="n">
        <x:f>DP44</x:f>
      </x:c>
      <x:c r="DQ45" s="117" t="n">
        <x:f>DQ44</x:f>
      </x:c>
      <x:c r="DR45" s="117" t="n">
        <x:f>DR44</x:f>
      </x:c>
      <x:c r="DS45" s="117" t="n">
        <x:f>DS44</x:f>
      </x:c>
      <x:c r="DT45" s="117" t="n">
        <x:f>DT44</x:f>
      </x:c>
      <x:c r="DU45" s="117" t="n">
        <x:f>DU44</x:f>
      </x:c>
      <x:c r="DV45" s="117" t="n">
        <x:f>DV44</x:f>
      </x:c>
      <x:c r="DW45" s="117" t="n">
        <x:f>DW44</x:f>
      </x:c>
      <x:c r="DX45" s="117" t="n">
        <x:f>DX44</x:f>
      </x:c>
      <x:c r="DY45" s="117" t="n">
        <x:f>DY44</x:f>
      </x:c>
      <x:c r="DZ45" s="117" t="n">
        <x:f>DZ44</x:f>
      </x:c>
      <x:c r="EA45" s="117" t="n">
        <x:f>EA44</x:f>
      </x:c>
      <x:c r="EB45" s="117" t="n">
        <x:f>EB44</x:f>
      </x:c>
      <x:c r="EC45" s="117" t="n">
        <x:f>EC44</x:f>
      </x:c>
      <x:c r="ED45" s="117" t="n">
        <x:f>ED44</x:f>
      </x:c>
      <x:c r="EE45" s="117" t="n">
        <x:f>EE44</x:f>
      </x:c>
      <x:c r="EF45" s="117" t="n">
        <x:f>EF44</x:f>
      </x:c>
      <x:c r="EG45" s="117" t="n">
        <x:f>EG44</x:f>
      </x:c>
      <x:c r="EH45" s="117" t="n">
        <x:f>EH44</x:f>
      </x:c>
      <x:c r="EI45" s="117" t="n">
        <x:f>EI44</x:f>
      </x:c>
      <x:c r="EJ45" s="117" t="n">
        <x:f>EJ44</x:f>
      </x:c>
      <x:c r="EK45" s="117" t="n">
        <x:f>EK44</x:f>
      </x:c>
      <x:c r="EL45" s="117" t="n">
        <x:f>EL44</x:f>
      </x:c>
      <x:c r="EM45" s="117" t="n">
        <x:f>EM44</x:f>
      </x:c>
      <x:c r="EN45" s="117" t="n">
        <x:f>EN44</x:f>
      </x:c>
      <x:c r="EO45" s="117" t="n">
        <x:f>EO44</x:f>
      </x:c>
      <x:c r="EP45" s="117" t="n">
        <x:f>EP44</x:f>
      </x:c>
      <x:c r="EQ45" s="117" t="n">
        <x:f>EQ44</x:f>
      </x:c>
      <x:c r="ER45" s="117" t="n">
        <x:f>ER44</x:f>
      </x:c>
      <x:c r="ES45" s="117" t="n">
        <x:f>ES44</x:f>
      </x:c>
      <x:c r="ET45" s="117" t="n">
        <x:f>ET44</x:f>
      </x:c>
      <x:c r="EU45" s="117" t="n">
        <x:f>EU44</x:f>
      </x:c>
      <x:c r="EV45" s="117" t="n">
        <x:f>EV44</x:f>
      </x:c>
      <x:c r="EW45" s="117" t="n">
        <x:f>EW44</x:f>
      </x:c>
      <x:c r="EX45" s="117" t="n">
        <x:f>EX44</x:f>
      </x:c>
      <x:c r="EY45" s="117" t="n">
        <x:f>EY44</x:f>
      </x:c>
      <x:c r="EZ45" s="117" t="n">
        <x:f>EZ44</x:f>
      </x:c>
      <x:c r="FA45" s="117" t="n">
        <x:f>FA44</x:f>
      </x:c>
      <x:c r="FB45" s="117" t="n">
        <x:f>FB44</x:f>
      </x:c>
      <x:c r="FC45" s="117" t="n">
        <x:f>FC44</x:f>
      </x:c>
      <x:c r="FD45" s="117" t="n">
        <x:f>FD44</x:f>
      </x:c>
      <x:c r="FE45" s="117" t="n">
        <x:f>FE44</x:f>
      </x:c>
      <x:c r="FF45" s="117" t="n">
        <x:f>FF44</x:f>
      </x:c>
      <x:c r="FG45" s="117" t="n">
        <x:f>FG44</x:f>
      </x:c>
      <x:c r="FH45" s="117" t="n">
        <x:f>FH44</x:f>
      </x:c>
      <x:c r="FI45" s="117" t="n">
        <x:f>FI44</x:f>
      </x:c>
      <x:c r="FJ45" s="117" t="n">
        <x:f>FJ44</x:f>
      </x:c>
      <x:c r="FK45" s="117" t="n">
        <x:f>FK44</x:f>
      </x:c>
      <x:c r="FL45" s="117" t="n">
        <x:f>FL44</x:f>
      </x:c>
      <x:c r="FM45" s="117" t="n">
        <x:f>FM44</x:f>
      </x:c>
      <x:c r="FN45" s="117" t="n">
        <x:f>FN44</x:f>
      </x:c>
      <x:c r="FO45" s="117" t="n">
        <x:f>FO44</x:f>
      </x:c>
      <x:c r="FP45" s="117" t="n">
        <x:f>FP44</x:f>
      </x:c>
      <x:c r="FQ45" s="117" t="n">
        <x:f>FQ44</x:f>
      </x:c>
      <x:c r="FR45" s="117" t="n">
        <x:f>FR44</x:f>
      </x:c>
      <x:c r="FS45" s="117" t="n">
        <x:f>FS44</x:f>
      </x:c>
      <x:c r="FT45" s="117" t="n">
        <x:f>FT44</x:f>
      </x:c>
      <x:c r="FU45" s="117" t="n">
        <x:f>FU44</x:f>
      </x:c>
      <x:c r="FV45" s="117" t="n">
        <x:f>FV44</x:f>
      </x:c>
      <x:c r="FW45" s="117" t="n">
        <x:f>FW44</x:f>
      </x:c>
      <x:c r="FX45" s="117" t="n">
        <x:f>FX44</x:f>
      </x:c>
      <x:c r="FY45" s="117" t="n">
        <x:f>FY44</x:f>
      </x:c>
      <x:c r="FZ45" s="117" t="n">
        <x:f>FZ44</x:f>
      </x:c>
      <x:c r="GA45" s="117" t="n">
        <x:f>GA44</x:f>
      </x:c>
    </x:row>
    <x:row r="46">
      <x:c r="A46" t="str">
        <x:v>ПФ — погашение</x:v>
      </x:c>
      <x:c r="B46" t="n">
        <x:f>SUM(D46:GA46)</x:f>
      </x:c>
      <x:c r="C46" t="str">
        <x:v>млн ₽</x:v>
      </x:c>
      <x:c r="D46" s="117">
        <x:f>MIN(D38+D45,IF(AND(YEAR(D$3)=YEAR($B$8),MONTH(D$3)=MONTH($B$8)),D14,IF(D$3&gt;$B$8,D12,0)))</x:f>
      </x:c>
      <x:c r="E46" s="117">
        <x:f>MIN(E38+E45,IF(AND(YEAR(E$3)=YEAR($B$8),MONTH(E$3)=MONTH($B$8)),E14,IF(E$3&gt;$B$8,E12,0)))</x:f>
      </x:c>
      <x:c r="F46" s="117">
        <x:f>MIN(F38+F45,IF(AND(YEAR(F$3)=YEAR($B$8),MONTH(F$3)=MONTH($B$8)),F14,IF(F$3&gt;$B$8,F12,0)))</x:f>
      </x:c>
      <x:c r="G46" s="117">
        <x:f>MIN(G38+G45,IF(AND(YEAR(G$3)=YEAR($B$8),MONTH(G$3)=MONTH($B$8)),G14,IF(G$3&gt;$B$8,G12,0)))</x:f>
      </x:c>
      <x:c r="H46" s="117">
        <x:f>MIN(H38+H45,IF(AND(YEAR(H$3)=YEAR($B$8),MONTH(H$3)=MONTH($B$8)),H14,IF(H$3&gt;$B$8,H12,0)))</x:f>
      </x:c>
      <x:c r="I46" s="117">
        <x:f>MIN(I38+I45,IF(AND(YEAR(I$3)=YEAR($B$8),MONTH(I$3)=MONTH($B$8)),I14,IF(I$3&gt;$B$8,I12,0)))</x:f>
      </x:c>
      <x:c r="J46" s="117">
        <x:f>MIN(J38+J45,IF(AND(YEAR(J$3)=YEAR($B$8),MONTH(J$3)=MONTH($B$8)),J14,IF(J$3&gt;$B$8,J12,0)))</x:f>
      </x:c>
      <x:c r="K46" s="117">
        <x:f>MIN(K38+K45,IF(AND(YEAR(K$3)=YEAR($B$8),MONTH(K$3)=MONTH($B$8)),K14,IF(K$3&gt;$B$8,K12,0)))</x:f>
      </x:c>
      <x:c r="L46" s="117">
        <x:f>MIN(L38+L45,IF(AND(YEAR(L$3)=YEAR($B$8),MONTH(L$3)=MONTH($B$8)),L14,IF(L$3&gt;$B$8,L12,0)))</x:f>
      </x:c>
      <x:c r="M46" s="117">
        <x:f>MIN(M38+M45,IF(AND(YEAR(M$3)=YEAR($B$8),MONTH(M$3)=MONTH($B$8)),M14,IF(M$3&gt;$B$8,M12,0)))</x:f>
      </x:c>
      <x:c r="N46" s="117">
        <x:f>MIN(N38+N45,IF(AND(YEAR(N$3)=YEAR($B$8),MONTH(N$3)=MONTH($B$8)),N14,IF(N$3&gt;$B$8,N12,0)))</x:f>
      </x:c>
      <x:c r="O46" s="117">
        <x:f>MIN(O38+O45,IF(AND(YEAR(O$3)=YEAR($B$8),MONTH(O$3)=MONTH($B$8)),O14,IF(O$3&gt;$B$8,O12,0)))</x:f>
      </x:c>
      <x:c r="P46" s="117">
        <x:f>MIN(P38+P45,IF(AND(YEAR(P$3)=YEAR($B$8),MONTH(P$3)=MONTH($B$8)),P14,IF(P$3&gt;$B$8,P12,0)))</x:f>
      </x:c>
      <x:c r="Q46" s="117">
        <x:f>MIN(Q38+Q45,IF(AND(YEAR(Q$3)=YEAR($B$8),MONTH(Q$3)=MONTH($B$8)),Q14,IF(Q$3&gt;$B$8,Q12,0)))</x:f>
      </x:c>
      <x:c r="R46" s="117">
        <x:f>MIN(R38+R45,IF(AND(YEAR(R$3)=YEAR($B$8),MONTH(R$3)=MONTH($B$8)),R14,IF(R$3&gt;$B$8,R12,0)))</x:f>
      </x:c>
      <x:c r="S46" s="117">
        <x:f>MIN(S38+S45,IF(AND(YEAR(S$3)=YEAR($B$8),MONTH(S$3)=MONTH($B$8)),S14,IF(S$3&gt;$B$8,S12,0)))</x:f>
      </x:c>
      <x:c r="T46" s="117">
        <x:f>MIN(T38+T45,IF(AND(YEAR(T$3)=YEAR($B$8),MONTH(T$3)=MONTH($B$8)),T14,IF(T$3&gt;$B$8,T12,0)))</x:f>
      </x:c>
      <x:c r="U46" s="117">
        <x:f>MIN(U38+U45,IF(AND(YEAR(U$3)=YEAR($B$8),MONTH(U$3)=MONTH($B$8)),U14,IF(U$3&gt;$B$8,U12,0)))</x:f>
      </x:c>
      <x:c r="V46" s="117">
        <x:f>MIN(V38+V45,IF(AND(YEAR(V$3)=YEAR($B$8),MONTH(V$3)=MONTH($B$8)),V14,IF(V$3&gt;$B$8,V12,0)))</x:f>
      </x:c>
      <x:c r="W46" s="117">
        <x:f>MIN(W38+W45,IF(AND(YEAR(W$3)=YEAR($B$8),MONTH(W$3)=MONTH($B$8)),W14,IF(W$3&gt;$B$8,W12,0)))</x:f>
      </x:c>
      <x:c r="X46" s="117">
        <x:f>MIN(X38+X45,IF(AND(YEAR(X$3)=YEAR($B$8),MONTH(X$3)=MONTH($B$8)),X14,IF(X$3&gt;$B$8,X12,0)))</x:f>
      </x:c>
      <x:c r="Y46" s="117">
        <x:f>MIN(Y38+Y45,IF(AND(YEAR(Y$3)=YEAR($B$8),MONTH(Y$3)=MONTH($B$8)),Y14,IF(Y$3&gt;$B$8,Y12,0)))</x:f>
      </x:c>
      <x:c r="Z46" s="117">
        <x:f>MIN(Z38+Z45,IF(AND(YEAR(Z$3)=YEAR($B$8),MONTH(Z$3)=MONTH($B$8)),Z14,IF(Z$3&gt;$B$8,Z12,0)))</x:f>
      </x:c>
      <x:c r="AA46" s="117">
        <x:f>MIN(AA38+AA45,IF(AND(YEAR(AA$3)=YEAR($B$8),MONTH(AA$3)=MONTH($B$8)),AA14,IF(AA$3&gt;$B$8,AA12,0)))</x:f>
      </x:c>
      <x:c r="AB46" s="117">
        <x:f>MIN(AB38+AB45,IF(AND(YEAR(AB$3)=YEAR($B$8),MONTH(AB$3)=MONTH($B$8)),AB14,IF(AB$3&gt;$B$8,AB12,0)))</x:f>
      </x:c>
      <x:c r="AC46" s="117">
        <x:f>MIN(AC38+AC45,IF(AND(YEAR(AC$3)=YEAR($B$8),MONTH(AC$3)=MONTH($B$8)),AC14,IF(AC$3&gt;$B$8,AC12,0)))</x:f>
      </x:c>
      <x:c r="AD46" s="117">
        <x:f>MIN(AD38+AD45,IF(AND(YEAR(AD$3)=YEAR($B$8),MONTH(AD$3)=MONTH($B$8)),AD14,IF(AD$3&gt;$B$8,AD12,0)))</x:f>
      </x:c>
      <x:c r="AE46" s="117">
        <x:f>MIN(AE38+AE45,IF(AND(YEAR(AE$3)=YEAR($B$8),MONTH(AE$3)=MONTH($B$8)),AE14,IF(AE$3&gt;$B$8,AE12,0)))</x:f>
      </x:c>
      <x:c r="AF46" s="117">
        <x:f>MIN(AF38+AF45,IF(AND(YEAR(AF$3)=YEAR($B$8),MONTH(AF$3)=MONTH($B$8)),AF14,IF(AF$3&gt;$B$8,AF12,0)))</x:f>
      </x:c>
      <x:c r="AG46" s="117">
        <x:f>MIN(AG38+AG45,IF(AND(YEAR(AG$3)=YEAR($B$8),MONTH(AG$3)=MONTH($B$8)),AG14,IF(AG$3&gt;$B$8,AG12,0)))</x:f>
      </x:c>
      <x:c r="AH46" s="117">
        <x:f>MIN(AH38+AH45,IF(AND(YEAR(AH$3)=YEAR($B$8),MONTH(AH$3)=MONTH($B$8)),AH14,IF(AH$3&gt;$B$8,AH12,0)))</x:f>
      </x:c>
      <x:c r="AI46" s="117">
        <x:f>MIN(AI38+AI45,IF(AND(YEAR(AI$3)=YEAR($B$8),MONTH(AI$3)=MONTH($B$8)),AI14,IF(AI$3&gt;$B$8,AI12,0)))</x:f>
      </x:c>
      <x:c r="AJ46" s="117">
        <x:f>MIN(AJ38+AJ45,IF(AND(YEAR(AJ$3)=YEAR($B$8),MONTH(AJ$3)=MONTH($B$8)),AJ14,IF(AJ$3&gt;$B$8,AJ12,0)))</x:f>
      </x:c>
      <x:c r="AK46" s="117">
        <x:f>MIN(AK38+AK45,IF(AND(YEAR(AK$3)=YEAR($B$8),MONTH(AK$3)=MONTH($B$8)),AK14,IF(AK$3&gt;$B$8,AK12,0)))</x:f>
      </x:c>
      <x:c r="AL46" s="117">
        <x:f>MIN(AL38+AL45,IF(AND(YEAR(AL$3)=YEAR($B$8),MONTH(AL$3)=MONTH($B$8)),AL14,IF(AL$3&gt;$B$8,AL12,0)))</x:f>
      </x:c>
      <x:c r="AM46" s="117">
        <x:f>MIN(AM38+AM45,IF(AND(YEAR(AM$3)=YEAR($B$8),MONTH(AM$3)=MONTH($B$8)),AM14,IF(AM$3&gt;$B$8,AM12,0)))</x:f>
      </x:c>
      <x:c r="AN46" s="117">
        <x:f>MIN(AN38+AN45,IF(AND(YEAR(AN$3)=YEAR($B$8),MONTH(AN$3)=MONTH($B$8)),AN14,IF(AN$3&gt;$B$8,AN12,0)))</x:f>
      </x:c>
      <x:c r="AO46" s="117">
        <x:f>MIN(AO38+AO45,IF(AND(YEAR(AO$3)=YEAR($B$8),MONTH(AO$3)=MONTH($B$8)),AO14,IF(AO$3&gt;$B$8,AO12,0)))</x:f>
      </x:c>
      <x:c r="AP46" s="117">
        <x:f>MIN(AP38+AP45,IF(AND(YEAR(AP$3)=YEAR($B$8),MONTH(AP$3)=MONTH($B$8)),AP14,IF(AP$3&gt;$B$8,AP12,0)))</x:f>
      </x:c>
      <x:c r="AQ46" s="117">
        <x:f>MIN(AQ38+AQ45,IF(AND(YEAR(AQ$3)=YEAR($B$8),MONTH(AQ$3)=MONTH($B$8)),AQ14,IF(AQ$3&gt;$B$8,AQ12,0)))</x:f>
      </x:c>
      <x:c r="AR46" s="117">
        <x:f>MIN(AR38+AR45,IF(AND(YEAR(AR$3)=YEAR($B$8),MONTH(AR$3)=MONTH($B$8)),AR14,IF(AR$3&gt;$B$8,AR12,0)))</x:f>
      </x:c>
      <x:c r="AS46" s="117">
        <x:f>MIN(AS38+AS45,IF(AND(YEAR(AS$3)=YEAR($B$8),MONTH(AS$3)=MONTH($B$8)),AS14,IF(AS$3&gt;$B$8,AS12,0)))</x:f>
      </x:c>
      <x:c r="AT46" s="117">
        <x:f>MIN(AT38+AT45,IF(AND(YEAR(AT$3)=YEAR($B$8),MONTH(AT$3)=MONTH($B$8)),AT14,IF(AT$3&gt;$B$8,AT12,0)))</x:f>
      </x:c>
      <x:c r="AU46" s="117">
        <x:f>MIN(AU38+AU45,IF(AND(YEAR(AU$3)=YEAR($B$8),MONTH(AU$3)=MONTH($B$8)),AU14,IF(AU$3&gt;$B$8,AU12,0)))</x:f>
      </x:c>
      <x:c r="AV46" s="117">
        <x:f>MIN(AV38+AV45,IF(AND(YEAR(AV$3)=YEAR($B$8),MONTH(AV$3)=MONTH($B$8)),AV14,IF(AV$3&gt;$B$8,AV12,0)))</x:f>
      </x:c>
      <x:c r="AW46" s="117">
        <x:f>MIN(AW38+AW45,IF(AND(YEAR(AW$3)=YEAR($B$8),MONTH(AW$3)=MONTH($B$8)),AW14,IF(AW$3&gt;$B$8,AW12,0)))</x:f>
      </x:c>
      <x:c r="AX46" s="117">
        <x:f>MIN(AX38+AX45,IF(AND(YEAR(AX$3)=YEAR($B$8),MONTH(AX$3)=MONTH($B$8)),AX14,IF(AX$3&gt;$B$8,AX12,0)))</x:f>
      </x:c>
      <x:c r="AY46" s="117">
        <x:f>MIN(AY38+AY45,IF(AND(YEAR(AY$3)=YEAR($B$8),MONTH(AY$3)=MONTH($B$8)),AY14,IF(AY$3&gt;$B$8,AY12,0)))</x:f>
      </x:c>
      <x:c r="AZ46" s="117">
        <x:f>MIN(AZ38+AZ45,IF(AND(YEAR(AZ$3)=YEAR($B$8),MONTH(AZ$3)=MONTH($B$8)),AZ14,IF(AZ$3&gt;$B$8,AZ12,0)))</x:f>
      </x:c>
      <x:c r="BA46" s="117">
        <x:f>MIN(BA38+BA45,IF(AND(YEAR(BA$3)=YEAR($B$8),MONTH(BA$3)=MONTH($B$8)),BA14,IF(BA$3&gt;$B$8,BA12,0)))</x:f>
      </x:c>
      <x:c r="BB46" s="117">
        <x:f>MIN(BB38+BB45,IF(AND(YEAR(BB$3)=YEAR($B$8),MONTH(BB$3)=MONTH($B$8)),BB14,IF(BB$3&gt;$B$8,BB12,0)))</x:f>
      </x:c>
      <x:c r="BC46" s="117">
        <x:f>MIN(BC38+BC45,IF(AND(YEAR(BC$3)=YEAR($B$8),MONTH(BC$3)=MONTH($B$8)),BC14,IF(BC$3&gt;$B$8,BC12,0)))</x:f>
      </x:c>
      <x:c r="BD46" s="117">
        <x:f>MIN(BD38+BD45,IF(AND(YEAR(BD$3)=YEAR($B$8),MONTH(BD$3)=MONTH($B$8)),BD14,IF(BD$3&gt;$B$8,BD12,0)))</x:f>
      </x:c>
      <x:c r="BE46" s="117">
        <x:f>MIN(BE38+BE45,IF(AND(YEAR(BE$3)=YEAR($B$8),MONTH(BE$3)=MONTH($B$8)),BE14,IF(BE$3&gt;$B$8,BE12,0)))</x:f>
      </x:c>
      <x:c r="BF46" s="117">
        <x:f>MIN(BF38+BF45,IF(AND(YEAR(BF$3)=YEAR($B$8),MONTH(BF$3)=MONTH($B$8)),BF14,IF(BF$3&gt;$B$8,BF12,0)))</x:f>
      </x:c>
      <x:c r="BG46" s="117">
        <x:f>MIN(BG38+BG45,IF(AND(YEAR(BG$3)=YEAR($B$8),MONTH(BG$3)=MONTH($B$8)),BG14,IF(BG$3&gt;$B$8,BG12,0)))</x:f>
      </x:c>
      <x:c r="BH46" s="117">
        <x:f>MIN(BH38+BH45,IF(AND(YEAR(BH$3)=YEAR($B$8),MONTH(BH$3)=MONTH($B$8)),BH14,IF(BH$3&gt;$B$8,BH12,0)))</x:f>
      </x:c>
      <x:c r="BI46" s="117">
        <x:f>MIN(BI38+BI45,IF(AND(YEAR(BI$3)=YEAR($B$8),MONTH(BI$3)=MONTH($B$8)),BI14,IF(BI$3&gt;$B$8,BI12,0)))</x:f>
      </x:c>
      <x:c r="BJ46" s="117">
        <x:f>MIN(BJ38+BJ45,IF(AND(YEAR(BJ$3)=YEAR($B$8),MONTH(BJ$3)=MONTH($B$8)),BJ14,IF(BJ$3&gt;$B$8,BJ12,0)))</x:f>
      </x:c>
      <x:c r="BK46" s="117">
        <x:f>MIN(BK38+BK45,IF(AND(YEAR(BK$3)=YEAR($B$8),MONTH(BK$3)=MONTH($B$8)),BK14,IF(BK$3&gt;$B$8,BK12,0)))</x:f>
      </x:c>
      <x:c r="BL46" s="117">
        <x:f>MIN(BL38+BL45,IF(AND(YEAR(BL$3)=YEAR($B$8),MONTH(BL$3)=MONTH($B$8)),BL14,IF(BL$3&gt;$B$8,BL12,0)))</x:f>
      </x:c>
      <x:c r="BM46" s="117">
        <x:f>MIN(BM38+BM45,IF(AND(YEAR(BM$3)=YEAR($B$8),MONTH(BM$3)=MONTH($B$8)),BM14,IF(BM$3&gt;$B$8,BM12,0)))</x:f>
      </x:c>
      <x:c r="BN46" s="117">
        <x:f>MIN(BN38+BN45,IF(AND(YEAR(BN$3)=YEAR($B$8),MONTH(BN$3)=MONTH($B$8)),BN14,IF(BN$3&gt;$B$8,BN12,0)))</x:f>
      </x:c>
      <x:c r="BO46" s="117">
        <x:f>MIN(BO38+BO45,IF(AND(YEAR(BO$3)=YEAR($B$8),MONTH(BO$3)=MONTH($B$8)),BO14,IF(BO$3&gt;$B$8,BO12,0)))</x:f>
      </x:c>
      <x:c r="BP46" s="117">
        <x:f>MIN(BP38+BP45,IF(AND(YEAR(BP$3)=YEAR($B$8),MONTH(BP$3)=MONTH($B$8)),BP14,IF(BP$3&gt;$B$8,BP12,0)))</x:f>
      </x:c>
      <x:c r="BQ46" s="117">
        <x:f>MIN(BQ38+BQ45,IF(AND(YEAR(BQ$3)=YEAR($B$8),MONTH(BQ$3)=MONTH($B$8)),BQ14,IF(BQ$3&gt;$B$8,BQ12,0)))</x:f>
      </x:c>
      <x:c r="BR46" s="117">
        <x:f>MIN(BR38+BR45,IF(AND(YEAR(BR$3)=YEAR($B$8),MONTH(BR$3)=MONTH($B$8)),BR14,IF(BR$3&gt;$B$8,BR12,0)))</x:f>
      </x:c>
      <x:c r="BS46" s="117">
        <x:f>MIN(BS38+BS45,IF(AND(YEAR(BS$3)=YEAR($B$8),MONTH(BS$3)=MONTH($B$8)),BS14,IF(BS$3&gt;$B$8,BS12,0)))</x:f>
      </x:c>
      <x:c r="BT46" s="117">
        <x:f>MIN(BT38+BT45,IF(AND(YEAR(BT$3)=YEAR($B$8),MONTH(BT$3)=MONTH($B$8)),BT14,IF(BT$3&gt;$B$8,BT12,0)))</x:f>
      </x:c>
      <x:c r="BU46" s="117">
        <x:f>MIN(BU38+BU45,IF(AND(YEAR(BU$3)=YEAR($B$8),MONTH(BU$3)=MONTH($B$8)),BU14,IF(BU$3&gt;$B$8,BU12,0)))</x:f>
      </x:c>
      <x:c r="BV46" s="117">
        <x:f>MIN(BV38+BV45,IF(AND(YEAR(BV$3)=YEAR($B$8),MONTH(BV$3)=MONTH($B$8)),BV14,IF(BV$3&gt;$B$8,BV12,0)))</x:f>
      </x:c>
      <x:c r="BW46" s="117">
        <x:f>MIN(BW38+BW45,IF(AND(YEAR(BW$3)=YEAR($B$8),MONTH(BW$3)=MONTH($B$8)),BW14,IF(BW$3&gt;$B$8,BW12,0)))</x:f>
      </x:c>
      <x:c r="BX46" s="117">
        <x:f>MIN(BX38+BX45,IF(AND(YEAR(BX$3)=YEAR($B$8),MONTH(BX$3)=MONTH($B$8)),BX14,IF(BX$3&gt;$B$8,BX12,0)))</x:f>
      </x:c>
      <x:c r="BY46" s="117">
        <x:f>MIN(BY38+BY45,IF(AND(YEAR(BY$3)=YEAR($B$8),MONTH(BY$3)=MONTH($B$8)),BY14,IF(BY$3&gt;$B$8,BY12,0)))</x:f>
      </x:c>
      <x:c r="BZ46" s="117">
        <x:f>MIN(BZ38+BZ45,IF(AND(YEAR(BZ$3)=YEAR($B$8),MONTH(BZ$3)=MONTH($B$8)),BZ14,IF(BZ$3&gt;$B$8,BZ12,0)))</x:f>
      </x:c>
      <x:c r="CA46" s="117">
        <x:f>MIN(CA38+CA45,IF(AND(YEAR(CA$3)=YEAR($B$8),MONTH(CA$3)=MONTH($B$8)),CA14,IF(CA$3&gt;$B$8,CA12,0)))</x:f>
      </x:c>
      <x:c r="CB46" s="117">
        <x:f>MIN(CB38+CB45,IF(AND(YEAR(CB$3)=YEAR($B$8),MONTH(CB$3)=MONTH($B$8)),CB14,IF(CB$3&gt;$B$8,CB12,0)))</x:f>
      </x:c>
      <x:c r="CC46" s="117">
        <x:f>MIN(CC38+CC45,IF(AND(YEAR(CC$3)=YEAR($B$8),MONTH(CC$3)=MONTH($B$8)),CC14,IF(CC$3&gt;$B$8,CC12,0)))</x:f>
      </x:c>
      <x:c r="CD46" s="117">
        <x:f>MIN(CD38+CD45,IF(AND(YEAR(CD$3)=YEAR($B$8),MONTH(CD$3)=MONTH($B$8)),CD14,IF(CD$3&gt;$B$8,CD12,0)))</x:f>
      </x:c>
      <x:c r="CE46" s="117">
        <x:f>MIN(CE38+CE45,IF(AND(YEAR(CE$3)=YEAR($B$8),MONTH(CE$3)=MONTH($B$8)),CE14,IF(CE$3&gt;$B$8,CE12,0)))</x:f>
      </x:c>
      <x:c r="CF46" s="117">
        <x:f>MIN(CF38+CF45,IF(AND(YEAR(CF$3)=YEAR($B$8),MONTH(CF$3)=MONTH($B$8)),CF14,IF(CF$3&gt;$B$8,CF12,0)))</x:f>
      </x:c>
      <x:c r="CG46" s="117">
        <x:f>MIN(CG38+CG45,IF(AND(YEAR(CG$3)=YEAR($B$8),MONTH(CG$3)=MONTH($B$8)),CG14,IF(CG$3&gt;$B$8,CG12,0)))</x:f>
      </x:c>
      <x:c r="CH46" s="117">
        <x:f>MIN(CH38+CH45,IF(AND(YEAR(CH$3)=YEAR($B$8),MONTH(CH$3)=MONTH($B$8)),CH14,IF(CH$3&gt;$B$8,CH12,0)))</x:f>
      </x:c>
      <x:c r="CI46" s="117">
        <x:f>MIN(CI38+CI45,IF(AND(YEAR(CI$3)=YEAR($B$8),MONTH(CI$3)=MONTH($B$8)),CI14,IF(CI$3&gt;$B$8,CI12,0)))</x:f>
      </x:c>
      <x:c r="CJ46" s="117">
        <x:f>MIN(CJ38+CJ45,IF(AND(YEAR(CJ$3)=YEAR($B$8),MONTH(CJ$3)=MONTH($B$8)),CJ14,IF(CJ$3&gt;$B$8,CJ12,0)))</x:f>
      </x:c>
      <x:c r="CK46" s="117">
        <x:f>MIN(CK38+CK45,IF(AND(YEAR(CK$3)=YEAR($B$8),MONTH(CK$3)=MONTH($B$8)),CK14,IF(CK$3&gt;$B$8,CK12,0)))</x:f>
      </x:c>
      <x:c r="CL46" s="117">
        <x:f>MIN(CL38+CL45,IF(AND(YEAR(CL$3)=YEAR($B$8),MONTH(CL$3)=MONTH($B$8)),CL14,IF(CL$3&gt;$B$8,CL12,0)))</x:f>
      </x:c>
      <x:c r="CM46" s="117">
        <x:f>MIN(CM38+CM45,IF(AND(YEAR(CM$3)=YEAR($B$8),MONTH(CM$3)=MONTH($B$8)),CM14,IF(CM$3&gt;$B$8,CM12,0)))</x:f>
      </x:c>
      <x:c r="CN46" s="117">
        <x:f>MIN(CN38+CN45,IF(AND(YEAR(CN$3)=YEAR($B$8),MONTH(CN$3)=MONTH($B$8)),CN14,IF(CN$3&gt;$B$8,CN12,0)))</x:f>
      </x:c>
      <x:c r="CO46" s="117">
        <x:f>MIN(CO38+CO45,IF(AND(YEAR(CO$3)=YEAR($B$8),MONTH(CO$3)=MONTH($B$8)),CO14,IF(CO$3&gt;$B$8,CO12,0)))</x:f>
      </x:c>
      <x:c r="CP46" s="117">
        <x:f>MIN(CP38+CP45,IF(AND(YEAR(CP$3)=YEAR($B$8),MONTH(CP$3)=MONTH($B$8)),CP14,IF(CP$3&gt;$B$8,CP12,0)))</x:f>
      </x:c>
      <x:c r="CQ46" s="117">
        <x:f>MIN(CQ38+CQ45,IF(AND(YEAR(CQ$3)=YEAR($B$8),MONTH(CQ$3)=MONTH($B$8)),CQ14,IF(CQ$3&gt;$B$8,CQ12,0)))</x:f>
      </x:c>
      <x:c r="CR46" s="117">
        <x:f>MIN(CR38+CR45,IF(AND(YEAR(CR$3)=YEAR($B$8),MONTH(CR$3)=MONTH($B$8)),CR14,IF(CR$3&gt;$B$8,CR12,0)))</x:f>
      </x:c>
      <x:c r="CS46" s="117">
        <x:f>MIN(CS38+CS45,IF(AND(YEAR(CS$3)=YEAR($B$8),MONTH(CS$3)=MONTH($B$8)),CS14,IF(CS$3&gt;$B$8,CS12,0)))</x:f>
      </x:c>
      <x:c r="CT46" s="117">
        <x:f>MIN(CT38+CT45,IF(AND(YEAR(CT$3)=YEAR($B$8),MONTH(CT$3)=MONTH($B$8)),CT14,IF(CT$3&gt;$B$8,CT12,0)))</x:f>
      </x:c>
      <x:c r="CU46" s="117">
        <x:f>MIN(CU38+CU45,IF(AND(YEAR(CU$3)=YEAR($B$8),MONTH(CU$3)=MONTH($B$8)),CU14,IF(CU$3&gt;$B$8,CU12,0)))</x:f>
      </x:c>
      <x:c r="CV46" s="117">
        <x:f>MIN(CV38+CV45,IF(AND(YEAR(CV$3)=YEAR($B$8),MONTH(CV$3)=MONTH($B$8)),CV14,IF(CV$3&gt;$B$8,CV12,0)))</x:f>
      </x:c>
      <x:c r="CW46" s="117">
        <x:f>MIN(CW38+CW45,IF(AND(YEAR(CW$3)=YEAR($B$8),MONTH(CW$3)=MONTH($B$8)),CW14,IF(CW$3&gt;$B$8,CW12,0)))</x:f>
      </x:c>
      <x:c r="CX46" s="117">
        <x:f>MIN(CX38+CX45,IF(AND(YEAR(CX$3)=YEAR($B$8),MONTH(CX$3)=MONTH($B$8)),CX14,IF(CX$3&gt;$B$8,CX12,0)))</x:f>
      </x:c>
      <x:c r="CY46" s="117">
        <x:f>MIN(CY38+CY45,IF(AND(YEAR(CY$3)=YEAR($B$8),MONTH(CY$3)=MONTH($B$8)),CY14,IF(CY$3&gt;$B$8,CY12,0)))</x:f>
      </x:c>
      <x:c r="CZ46" s="117">
        <x:f>MIN(CZ38+CZ45,IF(AND(YEAR(CZ$3)=YEAR($B$8),MONTH(CZ$3)=MONTH($B$8)),CZ14,IF(CZ$3&gt;$B$8,CZ12,0)))</x:f>
      </x:c>
      <x:c r="DA46" s="117">
        <x:f>MIN(DA38+DA45,IF(AND(YEAR(DA$3)=YEAR($B$8),MONTH(DA$3)=MONTH($B$8)),DA14,IF(DA$3&gt;$B$8,DA12,0)))</x:f>
      </x:c>
      <x:c r="DB46" s="117">
        <x:f>MIN(DB38+DB45,IF(AND(YEAR(DB$3)=YEAR($B$8),MONTH(DB$3)=MONTH($B$8)),DB14,IF(DB$3&gt;$B$8,DB12,0)))</x:f>
      </x:c>
      <x:c r="DC46" s="117">
        <x:f>MIN(DC38+DC45,IF(AND(YEAR(DC$3)=YEAR($B$8),MONTH(DC$3)=MONTH($B$8)),DC14,IF(DC$3&gt;$B$8,DC12,0)))</x:f>
      </x:c>
      <x:c r="DD46" s="117">
        <x:f>MIN(DD38+DD45,IF(AND(YEAR(DD$3)=YEAR($B$8),MONTH(DD$3)=MONTH($B$8)),DD14,IF(DD$3&gt;$B$8,DD12,0)))</x:f>
      </x:c>
      <x:c r="DE46" s="117">
        <x:f>MIN(DE38+DE45,IF(AND(YEAR(DE$3)=YEAR($B$8),MONTH(DE$3)=MONTH($B$8)),DE14,IF(DE$3&gt;$B$8,DE12,0)))</x:f>
      </x:c>
      <x:c r="DF46" s="117">
        <x:f>MIN(DF38+DF45,IF(AND(YEAR(DF$3)=YEAR($B$8),MONTH(DF$3)=MONTH($B$8)),DF14,IF(DF$3&gt;$B$8,DF12,0)))</x:f>
      </x:c>
      <x:c r="DG46" s="117">
        <x:f>MIN(DG38+DG45,IF(AND(YEAR(DG$3)=YEAR($B$8),MONTH(DG$3)=MONTH($B$8)),DG14,IF(DG$3&gt;$B$8,DG12,0)))</x:f>
      </x:c>
      <x:c r="DH46" s="117">
        <x:f>MIN(DH38+DH45,IF(AND(YEAR(DH$3)=YEAR($B$8),MONTH(DH$3)=MONTH($B$8)),DH14,IF(DH$3&gt;$B$8,DH12,0)))</x:f>
      </x:c>
      <x:c r="DI46" s="117">
        <x:f>MIN(DI38+DI45,IF(AND(YEAR(DI$3)=YEAR($B$8),MONTH(DI$3)=MONTH($B$8)),DI14,IF(DI$3&gt;$B$8,DI12,0)))</x:f>
      </x:c>
      <x:c r="DJ46" s="117">
        <x:f>MIN(DJ38+DJ45,IF(AND(YEAR(DJ$3)=YEAR($B$8),MONTH(DJ$3)=MONTH($B$8)),DJ14,IF(DJ$3&gt;$B$8,DJ12,0)))</x:f>
      </x:c>
      <x:c r="DK46" s="117">
        <x:f>MIN(DK38+DK45,IF(AND(YEAR(DK$3)=YEAR($B$8),MONTH(DK$3)=MONTH($B$8)),DK14,IF(DK$3&gt;$B$8,DK12,0)))</x:f>
      </x:c>
      <x:c r="DL46" s="117">
        <x:f>MIN(DL38+DL45,IF(AND(YEAR(DL$3)=YEAR($B$8),MONTH(DL$3)=MONTH($B$8)),DL14,IF(DL$3&gt;$B$8,DL12,0)))</x:f>
      </x:c>
      <x:c r="DM46" s="117">
        <x:f>MIN(DM38+DM45,IF(AND(YEAR(DM$3)=YEAR($B$8),MONTH(DM$3)=MONTH($B$8)),DM14,IF(DM$3&gt;$B$8,DM12,0)))</x:f>
      </x:c>
      <x:c r="DN46" s="117">
        <x:f>MIN(DN38+DN45,IF(AND(YEAR(DN$3)=YEAR($B$8),MONTH(DN$3)=MONTH($B$8)),DN14,IF(DN$3&gt;$B$8,DN12,0)))</x:f>
      </x:c>
      <x:c r="DO46" s="117">
        <x:f>MIN(DO38+DO45,IF(AND(YEAR(DO$3)=YEAR($B$8),MONTH(DO$3)=MONTH($B$8)),DO14,IF(DO$3&gt;$B$8,DO12,0)))</x:f>
      </x:c>
      <x:c r="DP46" s="117">
        <x:f>MIN(DP38+DP45,IF(AND(YEAR(DP$3)=YEAR($B$8),MONTH(DP$3)=MONTH($B$8)),DP14,IF(DP$3&gt;$B$8,DP12,0)))</x:f>
      </x:c>
      <x:c r="DQ46" s="117">
        <x:f>MIN(DQ38+DQ45,IF(AND(YEAR(DQ$3)=YEAR($B$8),MONTH(DQ$3)=MONTH($B$8)),DQ14,IF(DQ$3&gt;$B$8,DQ12,0)))</x:f>
      </x:c>
      <x:c r="DR46" s="117">
        <x:f>MIN(DR38+DR45,IF(AND(YEAR(DR$3)=YEAR($B$8),MONTH(DR$3)=MONTH($B$8)),DR14,IF(DR$3&gt;$B$8,DR12,0)))</x:f>
      </x:c>
      <x:c r="DS46" s="117">
        <x:f>MIN(DS38+DS45,IF(AND(YEAR(DS$3)=YEAR($B$8),MONTH(DS$3)=MONTH($B$8)),DS14,IF(DS$3&gt;$B$8,DS12,0)))</x:f>
      </x:c>
      <x:c r="DT46" s="117">
        <x:f>MIN(DT38+DT45,IF(AND(YEAR(DT$3)=YEAR($B$8),MONTH(DT$3)=MONTH($B$8)),DT14,IF(DT$3&gt;$B$8,DT12,0)))</x:f>
      </x:c>
      <x:c r="DU46" s="117">
        <x:f>MIN(DU38+DU45,IF(AND(YEAR(DU$3)=YEAR($B$8),MONTH(DU$3)=MONTH($B$8)),DU14,IF(DU$3&gt;$B$8,DU12,0)))</x:f>
      </x:c>
      <x:c r="DV46" s="117">
        <x:f>MIN(DV38+DV45,IF(AND(YEAR(DV$3)=YEAR($B$8),MONTH(DV$3)=MONTH($B$8)),DV14,IF(DV$3&gt;$B$8,DV12,0)))</x:f>
      </x:c>
      <x:c r="DW46" s="117">
        <x:f>MIN(DW38+DW45,IF(AND(YEAR(DW$3)=YEAR($B$8),MONTH(DW$3)=MONTH($B$8)),DW14,IF(DW$3&gt;$B$8,DW12,0)))</x:f>
      </x:c>
      <x:c r="DX46" s="117">
        <x:f>MIN(DX38+DX45,IF(AND(YEAR(DX$3)=YEAR($B$8),MONTH(DX$3)=MONTH($B$8)),DX14,IF(DX$3&gt;$B$8,DX12,0)))</x:f>
      </x:c>
      <x:c r="DY46" s="117">
        <x:f>MIN(DY38+DY45,IF(AND(YEAR(DY$3)=YEAR($B$8),MONTH(DY$3)=MONTH($B$8)),DY14,IF(DY$3&gt;$B$8,DY12,0)))</x:f>
      </x:c>
      <x:c r="DZ46" s="117">
        <x:f>MIN(DZ38+DZ45,IF(AND(YEAR(DZ$3)=YEAR($B$8),MONTH(DZ$3)=MONTH($B$8)),DZ14,IF(DZ$3&gt;$B$8,DZ12,0)))</x:f>
      </x:c>
      <x:c r="EA46" s="117">
        <x:f>MIN(EA38+EA45,IF(AND(YEAR(EA$3)=YEAR($B$8),MONTH(EA$3)=MONTH($B$8)),EA14,IF(EA$3&gt;$B$8,EA12,0)))</x:f>
      </x:c>
      <x:c r="EB46" s="117">
        <x:f>MIN(EB38+EB45,IF(AND(YEAR(EB$3)=YEAR($B$8),MONTH(EB$3)=MONTH($B$8)),EB14,IF(EB$3&gt;$B$8,EB12,0)))</x:f>
      </x:c>
      <x:c r="EC46" s="117">
        <x:f>MIN(EC38+EC45,IF(AND(YEAR(EC$3)=YEAR($B$8),MONTH(EC$3)=MONTH($B$8)),EC14,IF(EC$3&gt;$B$8,EC12,0)))</x:f>
      </x:c>
      <x:c r="ED46" s="117">
        <x:f>MIN(ED38+ED45,IF(AND(YEAR(ED$3)=YEAR($B$8),MONTH(ED$3)=MONTH($B$8)),ED14,IF(ED$3&gt;$B$8,ED12,0)))</x:f>
      </x:c>
      <x:c r="EE46" s="117">
        <x:f>MIN(EE38+EE45,IF(AND(YEAR(EE$3)=YEAR($B$8),MONTH(EE$3)=MONTH($B$8)),EE14,IF(EE$3&gt;$B$8,EE12,0)))</x:f>
      </x:c>
      <x:c r="EF46" s="117">
        <x:f>MIN(EF38+EF45,IF(AND(YEAR(EF$3)=YEAR($B$8),MONTH(EF$3)=MONTH($B$8)),EF14,IF(EF$3&gt;$B$8,EF12,0)))</x:f>
      </x:c>
      <x:c r="EG46" s="117">
        <x:f>MIN(EG38+EG45,IF(AND(YEAR(EG$3)=YEAR($B$8),MONTH(EG$3)=MONTH($B$8)),EG14,IF(EG$3&gt;$B$8,EG12,0)))</x:f>
      </x:c>
      <x:c r="EH46" s="117">
        <x:f>MIN(EH38+EH45,IF(AND(YEAR(EH$3)=YEAR($B$8),MONTH(EH$3)=MONTH($B$8)),EH14,IF(EH$3&gt;$B$8,EH12,0)))</x:f>
      </x:c>
      <x:c r="EI46" s="117">
        <x:f>MIN(EI38+EI45,IF(AND(YEAR(EI$3)=YEAR($B$8),MONTH(EI$3)=MONTH($B$8)),EI14,IF(EI$3&gt;$B$8,EI12,0)))</x:f>
      </x:c>
      <x:c r="EJ46" s="117">
        <x:f>MIN(EJ38+EJ45,IF(AND(YEAR(EJ$3)=YEAR($B$8),MONTH(EJ$3)=MONTH($B$8)),EJ14,IF(EJ$3&gt;$B$8,EJ12,0)))</x:f>
      </x:c>
      <x:c r="EK46" s="117">
        <x:f>MIN(EK38+EK45,IF(AND(YEAR(EK$3)=YEAR($B$8),MONTH(EK$3)=MONTH($B$8)),EK14,IF(EK$3&gt;$B$8,EK12,0)))</x:f>
      </x:c>
      <x:c r="EL46" s="117">
        <x:f>MIN(EL38+EL45,IF(AND(YEAR(EL$3)=YEAR($B$8),MONTH(EL$3)=MONTH($B$8)),EL14,IF(EL$3&gt;$B$8,EL12,0)))</x:f>
      </x:c>
      <x:c r="EM46" s="117">
        <x:f>MIN(EM38+EM45,IF(AND(YEAR(EM$3)=YEAR($B$8),MONTH(EM$3)=MONTH($B$8)),EM14,IF(EM$3&gt;$B$8,EM12,0)))</x:f>
      </x:c>
      <x:c r="EN46" s="117">
        <x:f>MIN(EN38+EN45,IF(AND(YEAR(EN$3)=YEAR($B$8),MONTH(EN$3)=MONTH($B$8)),EN14,IF(EN$3&gt;$B$8,EN12,0)))</x:f>
      </x:c>
      <x:c r="EO46" s="117">
        <x:f>MIN(EO38+EO45,IF(AND(YEAR(EO$3)=YEAR($B$8),MONTH(EO$3)=MONTH($B$8)),EO14,IF(EO$3&gt;$B$8,EO12,0)))</x:f>
      </x:c>
      <x:c r="EP46" s="117">
        <x:f>MIN(EP38+EP45,IF(AND(YEAR(EP$3)=YEAR($B$8),MONTH(EP$3)=MONTH($B$8)),EP14,IF(EP$3&gt;$B$8,EP12,0)))</x:f>
      </x:c>
      <x:c r="EQ46" s="117">
        <x:f>MIN(EQ38+EQ45,IF(AND(YEAR(EQ$3)=YEAR($B$8),MONTH(EQ$3)=MONTH($B$8)),EQ14,IF(EQ$3&gt;$B$8,EQ12,0)))</x:f>
      </x:c>
      <x:c r="ER46" s="117">
        <x:f>MIN(ER38+ER45,IF(AND(YEAR(ER$3)=YEAR($B$8),MONTH(ER$3)=MONTH($B$8)),ER14,IF(ER$3&gt;$B$8,ER12,0)))</x:f>
      </x:c>
      <x:c r="ES46" s="117">
        <x:f>MIN(ES38+ES45,IF(AND(YEAR(ES$3)=YEAR($B$8),MONTH(ES$3)=MONTH($B$8)),ES14,IF(ES$3&gt;$B$8,ES12,0)))</x:f>
      </x:c>
      <x:c r="ET46" s="117">
        <x:f>MIN(ET38+ET45,IF(AND(YEAR(ET$3)=YEAR($B$8),MONTH(ET$3)=MONTH($B$8)),ET14,IF(ET$3&gt;$B$8,ET12,0)))</x:f>
      </x:c>
      <x:c r="EU46" s="117">
        <x:f>MIN(EU38+EU45,IF(AND(YEAR(EU$3)=YEAR($B$8),MONTH(EU$3)=MONTH($B$8)),EU14,IF(EU$3&gt;$B$8,EU12,0)))</x:f>
      </x:c>
      <x:c r="EV46" s="117">
        <x:f>MIN(EV38+EV45,IF(AND(YEAR(EV$3)=YEAR($B$8),MONTH(EV$3)=MONTH($B$8)),EV14,IF(EV$3&gt;$B$8,EV12,0)))</x:f>
      </x:c>
      <x:c r="EW46" s="117">
        <x:f>MIN(EW38+EW45,IF(AND(YEAR(EW$3)=YEAR($B$8),MONTH(EW$3)=MONTH($B$8)),EW14,IF(EW$3&gt;$B$8,EW12,0)))</x:f>
      </x:c>
      <x:c r="EX46" s="117">
        <x:f>MIN(EX38+EX45,IF(AND(YEAR(EX$3)=YEAR($B$8),MONTH(EX$3)=MONTH($B$8)),EX14,IF(EX$3&gt;$B$8,EX12,0)))</x:f>
      </x:c>
      <x:c r="EY46" s="117">
        <x:f>MIN(EY38+EY45,IF(AND(YEAR(EY$3)=YEAR($B$8),MONTH(EY$3)=MONTH($B$8)),EY14,IF(EY$3&gt;$B$8,EY12,0)))</x:f>
      </x:c>
      <x:c r="EZ46" s="117">
        <x:f>MIN(EZ38+EZ45,IF(AND(YEAR(EZ$3)=YEAR($B$8),MONTH(EZ$3)=MONTH($B$8)),EZ14,IF(EZ$3&gt;$B$8,EZ12,0)))</x:f>
      </x:c>
      <x:c r="FA46" s="117">
        <x:f>MIN(FA38+FA45,IF(AND(YEAR(FA$3)=YEAR($B$8),MONTH(FA$3)=MONTH($B$8)),FA14,IF(FA$3&gt;$B$8,FA12,0)))</x:f>
      </x:c>
      <x:c r="FB46" s="117">
        <x:f>MIN(FB38+FB45,IF(AND(YEAR(FB$3)=YEAR($B$8),MONTH(FB$3)=MONTH($B$8)),FB14,IF(FB$3&gt;$B$8,FB12,0)))</x:f>
      </x:c>
      <x:c r="FC46" s="117">
        <x:f>MIN(FC38+FC45,IF(AND(YEAR(FC$3)=YEAR($B$8),MONTH(FC$3)=MONTH($B$8)),FC14,IF(FC$3&gt;$B$8,FC12,0)))</x:f>
      </x:c>
      <x:c r="FD46" s="117">
        <x:f>MIN(FD38+FD45,IF(AND(YEAR(FD$3)=YEAR($B$8),MONTH(FD$3)=MONTH($B$8)),FD14,IF(FD$3&gt;$B$8,FD12,0)))</x:f>
      </x:c>
      <x:c r="FE46" s="117">
        <x:f>MIN(FE38+FE45,IF(AND(YEAR(FE$3)=YEAR($B$8),MONTH(FE$3)=MONTH($B$8)),FE14,IF(FE$3&gt;$B$8,FE12,0)))</x:f>
      </x:c>
      <x:c r="FF46" s="117">
        <x:f>MIN(FF38+FF45,IF(AND(YEAR(FF$3)=YEAR($B$8),MONTH(FF$3)=MONTH($B$8)),FF14,IF(FF$3&gt;$B$8,FF12,0)))</x:f>
      </x:c>
      <x:c r="FG46" s="117">
        <x:f>MIN(FG38+FG45,IF(AND(YEAR(FG$3)=YEAR($B$8),MONTH(FG$3)=MONTH($B$8)),FG14,IF(FG$3&gt;$B$8,FG12,0)))</x:f>
      </x:c>
      <x:c r="FH46" s="117">
        <x:f>MIN(FH38+FH45,IF(AND(YEAR(FH$3)=YEAR($B$8),MONTH(FH$3)=MONTH($B$8)),FH14,IF(FH$3&gt;$B$8,FH12,0)))</x:f>
      </x:c>
      <x:c r="FI46" s="117">
        <x:f>MIN(FI38+FI45,IF(AND(YEAR(FI$3)=YEAR($B$8),MONTH(FI$3)=MONTH($B$8)),FI14,IF(FI$3&gt;$B$8,FI12,0)))</x:f>
      </x:c>
      <x:c r="FJ46" s="117">
        <x:f>MIN(FJ38+FJ45,IF(AND(YEAR(FJ$3)=YEAR($B$8),MONTH(FJ$3)=MONTH($B$8)),FJ14,IF(FJ$3&gt;$B$8,FJ12,0)))</x:f>
      </x:c>
      <x:c r="FK46" s="117">
        <x:f>MIN(FK38+FK45,IF(AND(YEAR(FK$3)=YEAR($B$8),MONTH(FK$3)=MONTH($B$8)),FK14,IF(FK$3&gt;$B$8,FK12,0)))</x:f>
      </x:c>
      <x:c r="FL46" s="117">
        <x:f>MIN(FL38+FL45,IF(AND(YEAR(FL$3)=YEAR($B$8),MONTH(FL$3)=MONTH($B$8)),FL14,IF(FL$3&gt;$B$8,FL12,0)))</x:f>
      </x:c>
      <x:c r="FM46" s="117">
        <x:f>MIN(FM38+FM45,IF(AND(YEAR(FM$3)=YEAR($B$8),MONTH(FM$3)=MONTH($B$8)),FM14,IF(FM$3&gt;$B$8,FM12,0)))</x:f>
      </x:c>
      <x:c r="FN46" s="117">
        <x:f>MIN(FN38+FN45,IF(AND(YEAR(FN$3)=YEAR($B$8),MONTH(FN$3)=MONTH($B$8)),FN14,IF(FN$3&gt;$B$8,FN12,0)))</x:f>
      </x:c>
      <x:c r="FO46" s="117">
        <x:f>MIN(FO38+FO45,IF(AND(YEAR(FO$3)=YEAR($B$8),MONTH(FO$3)=MONTH($B$8)),FO14,IF(FO$3&gt;$B$8,FO12,0)))</x:f>
      </x:c>
      <x:c r="FP46" s="117">
        <x:f>MIN(FP38+FP45,IF(AND(YEAR(FP$3)=YEAR($B$8),MONTH(FP$3)=MONTH($B$8)),FP14,IF(FP$3&gt;$B$8,FP12,0)))</x:f>
      </x:c>
      <x:c r="FQ46" s="117">
        <x:f>MIN(FQ38+FQ45,IF(AND(YEAR(FQ$3)=YEAR($B$8),MONTH(FQ$3)=MONTH($B$8)),FQ14,IF(FQ$3&gt;$B$8,FQ12,0)))</x:f>
      </x:c>
      <x:c r="FR46" s="117">
        <x:f>MIN(FR38+FR45,IF(AND(YEAR(FR$3)=YEAR($B$8),MONTH(FR$3)=MONTH($B$8)),FR14,IF(FR$3&gt;$B$8,FR12,0)))</x:f>
      </x:c>
      <x:c r="FS46" s="117">
        <x:f>MIN(FS38+FS45,IF(AND(YEAR(FS$3)=YEAR($B$8),MONTH(FS$3)=MONTH($B$8)),FS14,IF(FS$3&gt;$B$8,FS12,0)))</x:f>
      </x:c>
      <x:c r="FT46" s="117">
        <x:f>MIN(FT38+FT45,IF(AND(YEAR(FT$3)=YEAR($B$8),MONTH(FT$3)=MONTH($B$8)),FT14,IF(FT$3&gt;$B$8,FT12,0)))</x:f>
      </x:c>
      <x:c r="FU46" s="117">
        <x:f>MIN(FU38+FU45,IF(AND(YEAR(FU$3)=YEAR($B$8),MONTH(FU$3)=MONTH($B$8)),FU14,IF(FU$3&gt;$B$8,FU12,0)))</x:f>
      </x:c>
      <x:c r="FV46" s="117">
        <x:f>MIN(FV38+FV45,IF(AND(YEAR(FV$3)=YEAR($B$8),MONTH(FV$3)=MONTH($B$8)),FV14,IF(FV$3&gt;$B$8,FV12,0)))</x:f>
      </x:c>
      <x:c r="FW46" s="117">
        <x:f>MIN(FW38+FW45,IF(AND(YEAR(FW$3)=YEAR($B$8),MONTH(FW$3)=MONTH($B$8)),FW14,IF(FW$3&gt;$B$8,FW12,0)))</x:f>
      </x:c>
      <x:c r="FX46" s="117">
        <x:f>MIN(FX38+FX45,IF(AND(YEAR(FX$3)=YEAR($B$8),MONTH(FX$3)=MONTH($B$8)),FX14,IF(FX$3&gt;$B$8,FX12,0)))</x:f>
      </x:c>
      <x:c r="FY46" s="117">
        <x:f>MIN(FY38+FY45,IF(AND(YEAR(FY$3)=YEAR($B$8),MONTH(FY$3)=MONTH($B$8)),FY14,IF(FY$3&gt;$B$8,FY12,0)))</x:f>
      </x:c>
      <x:c r="FZ46" s="117">
        <x:f>MIN(FZ38+FZ45,IF(AND(YEAR(FZ$3)=YEAR($B$8),MONTH(FZ$3)=MONTH($B$8)),FZ14,IF(FZ$3&gt;$B$8,FZ12,0)))</x:f>
      </x:c>
      <x:c r="GA46" s="117">
        <x:f>MIN(GA38+GA45,IF(AND(YEAR(GA$3)=YEAR($B$8),MONTH(GA$3)=MONTH($B$8)),GA14,IF(GA$3&gt;$B$8,GA12,0)))</x:f>
      </x:c>
    </x:row>
    <x:row r="47">
      <x:c r="A47" s="113" t="str">
        <x:v>ПФ — долг на конец</x:v>
      </x:c>
      <x:c r="B47" s="113" t="n">
        <x:f>GA47</x:f>
      </x:c>
      <x:c r="C47" s="113" t="str">
        <x:v>млн ₽</x:v>
      </x:c>
      <x:c r="D47" s="120">
        <x:f>MAX(0,D38+D45-D46)</x:f>
      </x:c>
      <x:c r="E47" s="120">
        <x:f>MAX(0,E38+E45-E46)</x:f>
      </x:c>
      <x:c r="F47" s="120">
        <x:f>MAX(0,F38+F45-F46)</x:f>
      </x:c>
      <x:c r="G47" s="120">
        <x:f>MAX(0,G38+G45-G46)</x:f>
      </x:c>
      <x:c r="H47" s="120">
        <x:f>MAX(0,H38+H45-H46)</x:f>
      </x:c>
      <x:c r="I47" s="120">
        <x:f>MAX(0,I38+I45-I46)</x:f>
      </x:c>
      <x:c r="J47" s="120">
        <x:f>MAX(0,J38+J45-J46)</x:f>
      </x:c>
      <x:c r="K47" s="120">
        <x:f>MAX(0,K38+K45-K46)</x:f>
      </x:c>
      <x:c r="L47" s="120">
        <x:f>MAX(0,L38+L45-L46)</x:f>
      </x:c>
      <x:c r="M47" s="120">
        <x:f>MAX(0,M38+M45-M46)</x:f>
      </x:c>
      <x:c r="N47" s="120">
        <x:f>MAX(0,N38+N45-N46)</x:f>
      </x:c>
      <x:c r="O47" s="120">
        <x:f>MAX(0,O38+O45-O46)</x:f>
      </x:c>
      <x:c r="P47" s="120">
        <x:f>MAX(0,P38+P45-P46)</x:f>
      </x:c>
      <x:c r="Q47" s="120">
        <x:f>MAX(0,Q38+Q45-Q46)</x:f>
      </x:c>
      <x:c r="R47" s="120">
        <x:f>MAX(0,R38+R45-R46)</x:f>
      </x:c>
      <x:c r="S47" s="120">
        <x:f>MAX(0,S38+S45-S46)</x:f>
      </x:c>
      <x:c r="T47" s="120">
        <x:f>MAX(0,T38+T45-T46)</x:f>
      </x:c>
      <x:c r="U47" s="120">
        <x:f>MAX(0,U38+U45-U46)</x:f>
      </x:c>
      <x:c r="V47" s="120">
        <x:f>MAX(0,V38+V45-V46)</x:f>
      </x:c>
      <x:c r="W47" s="120">
        <x:f>MAX(0,W38+W45-W46)</x:f>
      </x:c>
      <x:c r="X47" s="120">
        <x:f>MAX(0,X38+X45-X46)</x:f>
      </x:c>
      <x:c r="Y47" s="120">
        <x:f>MAX(0,Y38+Y45-Y46)</x:f>
      </x:c>
      <x:c r="Z47" s="120">
        <x:f>MAX(0,Z38+Z45-Z46)</x:f>
      </x:c>
      <x:c r="AA47" s="120">
        <x:f>MAX(0,AA38+AA45-AA46)</x:f>
      </x:c>
      <x:c r="AB47" s="120">
        <x:f>MAX(0,AB38+AB45-AB46)</x:f>
      </x:c>
      <x:c r="AC47" s="120">
        <x:f>MAX(0,AC38+AC45-AC46)</x:f>
      </x:c>
      <x:c r="AD47" s="120">
        <x:f>MAX(0,AD38+AD45-AD46)</x:f>
      </x:c>
      <x:c r="AE47" s="120">
        <x:f>MAX(0,AE38+AE45-AE46)</x:f>
      </x:c>
      <x:c r="AF47" s="120">
        <x:f>MAX(0,AF38+AF45-AF46)</x:f>
      </x:c>
      <x:c r="AG47" s="120">
        <x:f>MAX(0,AG38+AG45-AG46)</x:f>
      </x:c>
      <x:c r="AH47" s="120">
        <x:f>MAX(0,AH38+AH45-AH46)</x:f>
      </x:c>
      <x:c r="AI47" s="120">
        <x:f>MAX(0,AI38+AI45-AI46)</x:f>
      </x:c>
      <x:c r="AJ47" s="120">
        <x:f>MAX(0,AJ38+AJ45-AJ46)</x:f>
      </x:c>
      <x:c r="AK47" s="120">
        <x:f>MAX(0,AK38+AK45-AK46)</x:f>
      </x:c>
      <x:c r="AL47" s="120">
        <x:f>MAX(0,AL38+AL45-AL46)</x:f>
      </x:c>
      <x:c r="AM47" s="120">
        <x:f>MAX(0,AM38+AM45-AM46)</x:f>
      </x:c>
      <x:c r="AN47" s="120">
        <x:f>MAX(0,AN38+AN45-AN46)</x:f>
      </x:c>
      <x:c r="AO47" s="120">
        <x:f>MAX(0,AO38+AO45-AO46)</x:f>
      </x:c>
      <x:c r="AP47" s="120">
        <x:f>MAX(0,AP38+AP45-AP46)</x:f>
      </x:c>
      <x:c r="AQ47" s="120">
        <x:f>MAX(0,AQ38+AQ45-AQ46)</x:f>
      </x:c>
      <x:c r="AR47" s="120">
        <x:f>MAX(0,AR38+AR45-AR46)</x:f>
      </x:c>
      <x:c r="AS47" s="120">
        <x:f>MAX(0,AS38+AS45-AS46)</x:f>
      </x:c>
      <x:c r="AT47" s="120">
        <x:f>MAX(0,AT38+AT45-AT46)</x:f>
      </x:c>
      <x:c r="AU47" s="120">
        <x:f>MAX(0,AU38+AU45-AU46)</x:f>
      </x:c>
      <x:c r="AV47" s="120">
        <x:f>MAX(0,AV38+AV45-AV46)</x:f>
      </x:c>
      <x:c r="AW47" s="120">
        <x:f>MAX(0,AW38+AW45-AW46)</x:f>
      </x:c>
      <x:c r="AX47" s="120">
        <x:f>MAX(0,AX38+AX45-AX46)</x:f>
      </x:c>
      <x:c r="AY47" s="120">
        <x:f>MAX(0,AY38+AY45-AY46)</x:f>
      </x:c>
      <x:c r="AZ47" s="120">
        <x:f>MAX(0,AZ38+AZ45-AZ46)</x:f>
      </x:c>
      <x:c r="BA47" s="120">
        <x:f>MAX(0,BA38+BA45-BA46)</x:f>
      </x:c>
      <x:c r="BB47" s="120">
        <x:f>MAX(0,BB38+BB45-BB46)</x:f>
      </x:c>
      <x:c r="BC47" s="120">
        <x:f>MAX(0,BC38+BC45-BC46)</x:f>
      </x:c>
      <x:c r="BD47" s="120">
        <x:f>MAX(0,BD38+BD45-BD46)</x:f>
      </x:c>
      <x:c r="BE47" s="120">
        <x:f>MAX(0,BE38+BE45-BE46)</x:f>
      </x:c>
      <x:c r="BF47" s="120">
        <x:f>MAX(0,BF38+BF45-BF46)</x:f>
      </x:c>
      <x:c r="BG47" s="120">
        <x:f>MAX(0,BG38+BG45-BG46)</x:f>
      </x:c>
      <x:c r="BH47" s="120">
        <x:f>MAX(0,BH38+BH45-BH46)</x:f>
      </x:c>
      <x:c r="BI47" s="120">
        <x:f>MAX(0,BI38+BI45-BI46)</x:f>
      </x:c>
      <x:c r="BJ47" s="120">
        <x:f>MAX(0,BJ38+BJ45-BJ46)</x:f>
      </x:c>
      <x:c r="BK47" s="120">
        <x:f>MAX(0,BK38+BK45-BK46)</x:f>
      </x:c>
      <x:c r="BL47" s="120">
        <x:f>MAX(0,BL38+BL45-BL46)</x:f>
      </x:c>
      <x:c r="BM47" s="120">
        <x:f>MAX(0,BM38+BM45-BM46)</x:f>
      </x:c>
      <x:c r="BN47" s="120">
        <x:f>MAX(0,BN38+BN45-BN46)</x:f>
      </x:c>
      <x:c r="BO47" s="120">
        <x:f>MAX(0,BO38+BO45-BO46)</x:f>
      </x:c>
      <x:c r="BP47" s="120">
        <x:f>MAX(0,BP38+BP45-BP46)</x:f>
      </x:c>
      <x:c r="BQ47" s="120">
        <x:f>MAX(0,BQ38+BQ45-BQ46)</x:f>
      </x:c>
      <x:c r="BR47" s="120">
        <x:f>MAX(0,BR38+BR45-BR46)</x:f>
      </x:c>
      <x:c r="BS47" s="120">
        <x:f>MAX(0,BS38+BS45-BS46)</x:f>
      </x:c>
      <x:c r="BT47" s="120">
        <x:f>MAX(0,BT38+BT45-BT46)</x:f>
      </x:c>
      <x:c r="BU47" s="120">
        <x:f>MAX(0,BU38+BU45-BU46)</x:f>
      </x:c>
      <x:c r="BV47" s="120">
        <x:f>MAX(0,BV38+BV45-BV46)</x:f>
      </x:c>
      <x:c r="BW47" s="120">
        <x:f>MAX(0,BW38+BW45-BW46)</x:f>
      </x:c>
      <x:c r="BX47" s="120">
        <x:f>MAX(0,BX38+BX45-BX46)</x:f>
      </x:c>
      <x:c r="BY47" s="120">
        <x:f>MAX(0,BY38+BY45-BY46)</x:f>
      </x:c>
      <x:c r="BZ47" s="120">
        <x:f>MAX(0,BZ38+BZ45-BZ46)</x:f>
      </x:c>
      <x:c r="CA47" s="120">
        <x:f>MAX(0,CA38+CA45-CA46)</x:f>
      </x:c>
      <x:c r="CB47" s="120">
        <x:f>MAX(0,CB38+CB45-CB46)</x:f>
      </x:c>
      <x:c r="CC47" s="120">
        <x:f>MAX(0,CC38+CC45-CC46)</x:f>
      </x:c>
      <x:c r="CD47" s="120">
        <x:f>MAX(0,CD38+CD45-CD46)</x:f>
      </x:c>
      <x:c r="CE47" s="120">
        <x:f>MAX(0,CE38+CE45-CE46)</x:f>
      </x:c>
      <x:c r="CF47" s="120">
        <x:f>MAX(0,CF38+CF45-CF46)</x:f>
      </x:c>
      <x:c r="CG47" s="120">
        <x:f>MAX(0,CG38+CG45-CG46)</x:f>
      </x:c>
      <x:c r="CH47" s="120">
        <x:f>MAX(0,CH38+CH45-CH46)</x:f>
      </x:c>
      <x:c r="CI47" s="120">
        <x:f>MAX(0,CI38+CI45-CI46)</x:f>
      </x:c>
      <x:c r="CJ47" s="120">
        <x:f>MAX(0,CJ38+CJ45-CJ46)</x:f>
      </x:c>
      <x:c r="CK47" s="120">
        <x:f>MAX(0,CK38+CK45-CK46)</x:f>
      </x:c>
      <x:c r="CL47" s="120">
        <x:f>MAX(0,CL38+CL45-CL46)</x:f>
      </x:c>
      <x:c r="CM47" s="120">
        <x:f>MAX(0,CM38+CM45-CM46)</x:f>
      </x:c>
      <x:c r="CN47" s="120">
        <x:f>MAX(0,CN38+CN45-CN46)</x:f>
      </x:c>
      <x:c r="CO47" s="120">
        <x:f>MAX(0,CO38+CO45-CO46)</x:f>
      </x:c>
      <x:c r="CP47" s="120">
        <x:f>MAX(0,CP38+CP45-CP46)</x:f>
      </x:c>
      <x:c r="CQ47" s="120">
        <x:f>MAX(0,CQ38+CQ45-CQ46)</x:f>
      </x:c>
      <x:c r="CR47" s="120">
        <x:f>MAX(0,CR38+CR45-CR46)</x:f>
      </x:c>
      <x:c r="CS47" s="120">
        <x:f>MAX(0,CS38+CS45-CS46)</x:f>
      </x:c>
      <x:c r="CT47" s="120">
        <x:f>MAX(0,CT38+CT45-CT46)</x:f>
      </x:c>
      <x:c r="CU47" s="120">
        <x:f>MAX(0,CU38+CU45-CU46)</x:f>
      </x:c>
      <x:c r="CV47" s="120">
        <x:f>MAX(0,CV38+CV45-CV46)</x:f>
      </x:c>
      <x:c r="CW47" s="120">
        <x:f>MAX(0,CW38+CW45-CW46)</x:f>
      </x:c>
      <x:c r="CX47" s="120">
        <x:f>MAX(0,CX38+CX45-CX46)</x:f>
      </x:c>
      <x:c r="CY47" s="120">
        <x:f>MAX(0,CY38+CY45-CY46)</x:f>
      </x:c>
      <x:c r="CZ47" s="120">
        <x:f>MAX(0,CZ38+CZ45-CZ46)</x:f>
      </x:c>
      <x:c r="DA47" s="120">
        <x:f>MAX(0,DA38+DA45-DA46)</x:f>
      </x:c>
      <x:c r="DB47" s="120">
        <x:f>MAX(0,DB38+DB45-DB46)</x:f>
      </x:c>
      <x:c r="DC47" s="120">
        <x:f>MAX(0,DC38+DC45-DC46)</x:f>
      </x:c>
      <x:c r="DD47" s="120">
        <x:f>MAX(0,DD38+DD45-DD46)</x:f>
      </x:c>
      <x:c r="DE47" s="120">
        <x:f>MAX(0,DE38+DE45-DE46)</x:f>
      </x:c>
      <x:c r="DF47" s="120">
        <x:f>MAX(0,DF38+DF45-DF46)</x:f>
      </x:c>
      <x:c r="DG47" s="120">
        <x:f>MAX(0,DG38+DG45-DG46)</x:f>
      </x:c>
      <x:c r="DH47" s="120">
        <x:f>MAX(0,DH38+DH45-DH46)</x:f>
      </x:c>
      <x:c r="DI47" s="120">
        <x:f>MAX(0,DI38+DI45-DI46)</x:f>
      </x:c>
      <x:c r="DJ47" s="120">
        <x:f>MAX(0,DJ38+DJ45-DJ46)</x:f>
      </x:c>
      <x:c r="DK47" s="120">
        <x:f>MAX(0,DK38+DK45-DK46)</x:f>
      </x:c>
      <x:c r="DL47" s="120">
        <x:f>MAX(0,DL38+DL45-DL46)</x:f>
      </x:c>
      <x:c r="DM47" s="120">
        <x:f>MAX(0,DM38+DM45-DM46)</x:f>
      </x:c>
      <x:c r="DN47" s="120">
        <x:f>MAX(0,DN38+DN45-DN46)</x:f>
      </x:c>
      <x:c r="DO47" s="120">
        <x:f>MAX(0,DO38+DO45-DO46)</x:f>
      </x:c>
      <x:c r="DP47" s="120">
        <x:f>MAX(0,DP38+DP45-DP46)</x:f>
      </x:c>
      <x:c r="DQ47" s="120">
        <x:f>MAX(0,DQ38+DQ45-DQ46)</x:f>
      </x:c>
      <x:c r="DR47" s="120">
        <x:f>MAX(0,DR38+DR45-DR46)</x:f>
      </x:c>
      <x:c r="DS47" s="120">
        <x:f>MAX(0,DS38+DS45-DS46)</x:f>
      </x:c>
      <x:c r="DT47" s="120">
        <x:f>MAX(0,DT38+DT45-DT46)</x:f>
      </x:c>
      <x:c r="DU47" s="120">
        <x:f>MAX(0,DU38+DU45-DU46)</x:f>
      </x:c>
      <x:c r="DV47" s="120">
        <x:f>MAX(0,DV38+DV45-DV46)</x:f>
      </x:c>
      <x:c r="DW47" s="120">
        <x:f>MAX(0,DW38+DW45-DW46)</x:f>
      </x:c>
      <x:c r="DX47" s="120">
        <x:f>MAX(0,DX38+DX45-DX46)</x:f>
      </x:c>
      <x:c r="DY47" s="120">
        <x:f>MAX(0,DY38+DY45-DY46)</x:f>
      </x:c>
      <x:c r="DZ47" s="120">
        <x:f>MAX(0,DZ38+DZ45-DZ46)</x:f>
      </x:c>
      <x:c r="EA47" s="120">
        <x:f>MAX(0,EA38+EA45-EA46)</x:f>
      </x:c>
      <x:c r="EB47" s="120">
        <x:f>MAX(0,EB38+EB45-EB46)</x:f>
      </x:c>
      <x:c r="EC47" s="120">
        <x:f>MAX(0,EC38+EC45-EC46)</x:f>
      </x:c>
      <x:c r="ED47" s="120">
        <x:f>MAX(0,ED38+ED45-ED46)</x:f>
      </x:c>
      <x:c r="EE47" s="120">
        <x:f>MAX(0,EE38+EE45-EE46)</x:f>
      </x:c>
      <x:c r="EF47" s="120">
        <x:f>MAX(0,EF38+EF45-EF46)</x:f>
      </x:c>
      <x:c r="EG47" s="120">
        <x:f>MAX(0,EG38+EG45-EG46)</x:f>
      </x:c>
      <x:c r="EH47" s="120">
        <x:f>MAX(0,EH38+EH45-EH46)</x:f>
      </x:c>
      <x:c r="EI47" s="120">
        <x:f>MAX(0,EI38+EI45-EI46)</x:f>
      </x:c>
      <x:c r="EJ47" s="120">
        <x:f>MAX(0,EJ38+EJ45-EJ46)</x:f>
      </x:c>
      <x:c r="EK47" s="120">
        <x:f>MAX(0,EK38+EK45-EK46)</x:f>
      </x:c>
      <x:c r="EL47" s="120">
        <x:f>MAX(0,EL38+EL45-EL46)</x:f>
      </x:c>
      <x:c r="EM47" s="120">
        <x:f>MAX(0,EM38+EM45-EM46)</x:f>
      </x:c>
      <x:c r="EN47" s="120">
        <x:f>MAX(0,EN38+EN45-EN46)</x:f>
      </x:c>
      <x:c r="EO47" s="120">
        <x:f>MAX(0,EO38+EO45-EO46)</x:f>
      </x:c>
      <x:c r="EP47" s="120">
        <x:f>MAX(0,EP38+EP45-EP46)</x:f>
      </x:c>
      <x:c r="EQ47" s="120">
        <x:f>MAX(0,EQ38+EQ45-EQ46)</x:f>
      </x:c>
      <x:c r="ER47" s="120">
        <x:f>MAX(0,ER38+ER45-ER46)</x:f>
      </x:c>
      <x:c r="ES47" s="120">
        <x:f>MAX(0,ES38+ES45-ES46)</x:f>
      </x:c>
      <x:c r="ET47" s="120">
        <x:f>MAX(0,ET38+ET45-ET46)</x:f>
      </x:c>
      <x:c r="EU47" s="120">
        <x:f>MAX(0,EU38+EU45-EU46)</x:f>
      </x:c>
      <x:c r="EV47" s="120">
        <x:f>MAX(0,EV38+EV45-EV46)</x:f>
      </x:c>
      <x:c r="EW47" s="120">
        <x:f>MAX(0,EW38+EW45-EW46)</x:f>
      </x:c>
      <x:c r="EX47" s="120">
        <x:f>MAX(0,EX38+EX45-EX46)</x:f>
      </x:c>
      <x:c r="EY47" s="120">
        <x:f>MAX(0,EY38+EY45-EY46)</x:f>
      </x:c>
      <x:c r="EZ47" s="120">
        <x:f>MAX(0,EZ38+EZ45-EZ46)</x:f>
      </x:c>
      <x:c r="FA47" s="120">
        <x:f>MAX(0,FA38+FA45-FA46)</x:f>
      </x:c>
      <x:c r="FB47" s="120">
        <x:f>MAX(0,FB38+FB45-FB46)</x:f>
      </x:c>
      <x:c r="FC47" s="120">
        <x:f>MAX(0,FC38+FC45-FC46)</x:f>
      </x:c>
      <x:c r="FD47" s="120">
        <x:f>MAX(0,FD38+FD45-FD46)</x:f>
      </x:c>
      <x:c r="FE47" s="120">
        <x:f>MAX(0,FE38+FE45-FE46)</x:f>
      </x:c>
      <x:c r="FF47" s="120">
        <x:f>MAX(0,FF38+FF45-FF46)</x:f>
      </x:c>
      <x:c r="FG47" s="120">
        <x:f>MAX(0,FG38+FG45-FG46)</x:f>
      </x:c>
      <x:c r="FH47" s="120">
        <x:f>MAX(0,FH38+FH45-FH46)</x:f>
      </x:c>
      <x:c r="FI47" s="120">
        <x:f>MAX(0,FI38+FI45-FI46)</x:f>
      </x:c>
      <x:c r="FJ47" s="120">
        <x:f>MAX(0,FJ38+FJ45-FJ46)</x:f>
      </x:c>
      <x:c r="FK47" s="120">
        <x:f>MAX(0,FK38+FK45-FK46)</x:f>
      </x:c>
      <x:c r="FL47" s="120">
        <x:f>MAX(0,FL38+FL45-FL46)</x:f>
      </x:c>
      <x:c r="FM47" s="120">
        <x:f>MAX(0,FM38+FM45-FM46)</x:f>
      </x:c>
      <x:c r="FN47" s="120">
        <x:f>MAX(0,FN38+FN45-FN46)</x:f>
      </x:c>
      <x:c r="FO47" s="120">
        <x:f>MAX(0,FO38+FO45-FO46)</x:f>
      </x:c>
      <x:c r="FP47" s="120">
        <x:f>MAX(0,FP38+FP45-FP46)</x:f>
      </x:c>
      <x:c r="FQ47" s="120">
        <x:f>MAX(0,FQ38+FQ45-FQ46)</x:f>
      </x:c>
      <x:c r="FR47" s="120">
        <x:f>MAX(0,FR38+FR45-FR46)</x:f>
      </x:c>
      <x:c r="FS47" s="120">
        <x:f>MAX(0,FS38+FS45-FS46)</x:f>
      </x:c>
      <x:c r="FT47" s="120">
        <x:f>MAX(0,FT38+FT45-FT46)</x:f>
      </x:c>
      <x:c r="FU47" s="120">
        <x:f>MAX(0,FU38+FU45-FU46)</x:f>
      </x:c>
      <x:c r="FV47" s="120">
        <x:f>MAX(0,FV38+FV45-FV46)</x:f>
      </x:c>
      <x:c r="FW47" s="120">
        <x:f>MAX(0,FW38+FW45-FW46)</x:f>
      </x:c>
      <x:c r="FX47" s="120">
        <x:f>MAX(0,FX38+FX45-FX46)</x:f>
      </x:c>
      <x:c r="FY47" s="120">
        <x:f>MAX(0,FY38+FY45-FY46)</x:f>
      </x:c>
      <x:c r="FZ47" s="120">
        <x:f>MAX(0,FZ38+FZ45-FZ46)</x:f>
      </x:c>
      <x:c r="GA47" s="120">
        <x:f>MAX(0,GA38+GA45-GA46)</x:f>
      </x:c>
    </x:row>
    <x:row r="48">
      <x:c r="A48" t="inlineStr">
        <x:is>
          <x:t>ПФ — проценты к уплате (накопленно)</x:t>
        </x:is>
      </x:c>
      <x:c r="B48"/>
      <x:c r="C48"/>
      <x:c r="D48" s="117">
        <x:f>IF(AND(D$3&gt;=$B$7,D$3&lt;$B$8),C48*(1+D41/12)+D42+D43+IF(AND(AND(YEAR(D$3)=YEAR($B$7),MONTH(D$3)=MONTH($B$7)),'Вводные'!$B$31="Капитализация в ПФ"),C37,0),0)</x:f>
      </x:c>
      <x:c r="E48" s="117">
        <x:f>IF(AND(E$3&gt;=$B$7,E$3&lt;$B$8),D48*(1+E41/12)+E42+E43+IF(AND(AND(YEAR(E$3)=YEAR($B$7),MONTH(E$3)=MONTH($B$7)),'Вводные'!$B$31="Капитализация в ПФ"),D37,0),0)</x:f>
      </x:c>
      <x:c r="F48" s="117">
        <x:f>IF(AND(F$3&gt;=$B$7,F$3&lt;$B$8),E48*(1+F41/12)+F42+F43+IF(AND(AND(YEAR(F$3)=YEAR($B$7),MONTH(F$3)=MONTH($B$7)),'Вводные'!$B$31="Капитализация в ПФ"),E37,0),0)</x:f>
      </x:c>
      <x:c r="G48" s="117">
        <x:f>IF(AND(G$3&gt;=$B$7,G$3&lt;$B$8),F48*(1+G41/12)+G42+G43+IF(AND(AND(YEAR(G$3)=YEAR($B$7),MONTH(G$3)=MONTH($B$7)),'Вводные'!$B$31="Капитализация в ПФ"),F37,0),0)</x:f>
      </x:c>
      <x:c r="H48" s="117">
        <x:f>IF(AND(H$3&gt;=$B$7,H$3&lt;$B$8),G48*(1+H41/12)+H42+H43+IF(AND(AND(YEAR(H$3)=YEAR($B$7),MONTH(H$3)=MONTH($B$7)),'Вводные'!$B$31="Капитализация в ПФ"),G37,0),0)</x:f>
      </x:c>
      <x:c r="I48" s="117">
        <x:f>IF(AND(I$3&gt;=$B$7,I$3&lt;$B$8),H48*(1+I41/12)+I42+I43+IF(AND(AND(YEAR(I$3)=YEAR($B$7),MONTH(I$3)=MONTH($B$7)),'Вводные'!$B$31="Капитализация в ПФ"),H37,0),0)</x:f>
      </x:c>
      <x:c r="J48" s="117">
        <x:f>IF(AND(J$3&gt;=$B$7,J$3&lt;$B$8),I48*(1+J41/12)+J42+J43+IF(AND(AND(YEAR(J$3)=YEAR($B$7),MONTH(J$3)=MONTH($B$7)),'Вводные'!$B$31="Капитализация в ПФ"),I37,0),0)</x:f>
      </x:c>
      <x:c r="K48" s="117">
        <x:f>IF(AND(K$3&gt;=$B$7,K$3&lt;$B$8),J48*(1+K41/12)+K42+K43+IF(AND(AND(YEAR(K$3)=YEAR($B$7),MONTH(K$3)=MONTH($B$7)),'Вводные'!$B$31="Капитализация в ПФ"),J37,0),0)</x:f>
      </x:c>
      <x:c r="L48" s="117">
        <x:f>IF(AND(L$3&gt;=$B$7,L$3&lt;$B$8),K48*(1+L41/12)+L42+L43+IF(AND(AND(YEAR(L$3)=YEAR($B$7),MONTH(L$3)=MONTH($B$7)),'Вводные'!$B$31="Капитализация в ПФ"),K37,0),0)</x:f>
      </x:c>
      <x:c r="M48" s="117">
        <x:f>IF(AND(M$3&gt;=$B$7,M$3&lt;$B$8),L48*(1+M41/12)+M42+M43+IF(AND(AND(YEAR(M$3)=YEAR($B$7),MONTH(M$3)=MONTH($B$7)),'Вводные'!$B$31="Капитализация в ПФ"),L37,0),0)</x:f>
      </x:c>
      <x:c r="N48" s="117">
        <x:f>IF(AND(N$3&gt;=$B$7,N$3&lt;$B$8),M48*(1+N41/12)+N42+N43+IF(AND(AND(YEAR(N$3)=YEAR($B$7),MONTH(N$3)=MONTH($B$7)),'Вводные'!$B$31="Капитализация в ПФ"),M37,0),0)</x:f>
      </x:c>
      <x:c r="O48" s="117">
        <x:f>IF(AND(O$3&gt;=$B$7,O$3&lt;$B$8),N48*(1+O41/12)+O42+O43+IF(AND(AND(YEAR(O$3)=YEAR($B$7),MONTH(O$3)=MONTH($B$7)),'Вводные'!$B$31="Капитализация в ПФ"),N37,0),0)</x:f>
      </x:c>
      <x:c r="P48" s="117">
        <x:f>IF(AND(P$3&gt;=$B$7,P$3&lt;$B$8),O48*(1+P41/12)+P42+P43+IF(AND(AND(YEAR(P$3)=YEAR($B$7),MONTH(P$3)=MONTH($B$7)),'Вводные'!$B$31="Капитализация в ПФ"),O37,0),0)</x:f>
      </x:c>
      <x:c r="Q48" s="117">
        <x:f>IF(AND(Q$3&gt;=$B$7,Q$3&lt;$B$8),P48*(1+Q41/12)+Q42+Q43+IF(AND(AND(YEAR(Q$3)=YEAR($B$7),MONTH(Q$3)=MONTH($B$7)),'Вводные'!$B$31="Капитализация в ПФ"),P37,0),0)</x:f>
      </x:c>
      <x:c r="R48" s="117">
        <x:f>IF(AND(R$3&gt;=$B$7,R$3&lt;$B$8),Q48*(1+R41/12)+R42+R43+IF(AND(AND(YEAR(R$3)=YEAR($B$7),MONTH(R$3)=MONTH($B$7)),'Вводные'!$B$31="Капитализация в ПФ"),Q37,0),0)</x:f>
      </x:c>
      <x:c r="S48" s="117">
        <x:f>IF(AND(S$3&gt;=$B$7,S$3&lt;$B$8),R48*(1+S41/12)+S42+S43+IF(AND(AND(YEAR(S$3)=YEAR($B$7),MONTH(S$3)=MONTH($B$7)),'Вводные'!$B$31="Капитализация в ПФ"),R37,0),0)</x:f>
      </x:c>
      <x:c r="T48" s="117">
        <x:f>IF(AND(T$3&gt;=$B$7,T$3&lt;$B$8),S48*(1+T41/12)+T42+T43+IF(AND(AND(YEAR(T$3)=YEAR($B$7),MONTH(T$3)=MONTH($B$7)),'Вводные'!$B$31="Капитализация в ПФ"),S37,0),0)</x:f>
      </x:c>
      <x:c r="U48" s="117">
        <x:f>IF(AND(U$3&gt;=$B$7,U$3&lt;$B$8),T48*(1+U41/12)+U42+U43+IF(AND(AND(YEAR(U$3)=YEAR($B$7),MONTH(U$3)=MONTH($B$7)),'Вводные'!$B$31="Капитализация в ПФ"),T37,0),0)</x:f>
      </x:c>
      <x:c r="V48" s="117">
        <x:f>IF(AND(V$3&gt;=$B$7,V$3&lt;$B$8),U48*(1+V41/12)+V42+V43+IF(AND(AND(YEAR(V$3)=YEAR($B$7),MONTH(V$3)=MONTH($B$7)),'Вводные'!$B$31="Капитализация в ПФ"),U37,0),0)</x:f>
      </x:c>
      <x:c r="W48" s="117">
        <x:f>IF(AND(W$3&gt;=$B$7,W$3&lt;$B$8),V48*(1+W41/12)+W42+W43+IF(AND(AND(YEAR(W$3)=YEAR($B$7),MONTH(W$3)=MONTH($B$7)),'Вводные'!$B$31="Капитализация в ПФ"),V37,0),0)</x:f>
      </x:c>
      <x:c r="X48" s="117">
        <x:f>IF(AND(X$3&gt;=$B$7,X$3&lt;$B$8),W48*(1+X41/12)+X42+X43+IF(AND(AND(YEAR(X$3)=YEAR($B$7),MONTH(X$3)=MONTH($B$7)),'Вводные'!$B$31="Капитализация в ПФ"),W37,0),0)</x:f>
      </x:c>
      <x:c r="Y48" s="117">
        <x:f>IF(AND(Y$3&gt;=$B$7,Y$3&lt;$B$8),X48*(1+Y41/12)+Y42+Y43+IF(AND(AND(YEAR(Y$3)=YEAR($B$7),MONTH(Y$3)=MONTH($B$7)),'Вводные'!$B$31="Капитализация в ПФ"),X37,0),0)</x:f>
      </x:c>
      <x:c r="Z48" s="117">
        <x:f>IF(AND(Z$3&gt;=$B$7,Z$3&lt;$B$8),Y48*(1+Z41/12)+Z42+Z43+IF(AND(AND(YEAR(Z$3)=YEAR($B$7),MONTH(Z$3)=MONTH($B$7)),'Вводные'!$B$31="Капитализация в ПФ"),Y37,0),0)</x:f>
      </x:c>
      <x:c r="AA48" s="117">
        <x:f>IF(AND(AA$3&gt;=$B$7,AA$3&lt;$B$8),Z48*(1+AA41/12)+AA42+AA43+IF(AND(AND(YEAR(AA$3)=YEAR($B$7),MONTH(AA$3)=MONTH($B$7)),'Вводные'!$B$31="Капитализация в ПФ"),Z37,0),0)</x:f>
      </x:c>
      <x:c r="AB48" s="117">
        <x:f>IF(AND(AB$3&gt;=$B$7,AB$3&lt;$B$8),AA48*(1+AB41/12)+AB42+AB43+IF(AND(AND(YEAR(AB$3)=YEAR($B$7),MONTH(AB$3)=MONTH($B$7)),'Вводные'!$B$31="Капитализация в ПФ"),AA37,0),0)</x:f>
      </x:c>
      <x:c r="AC48" s="117">
        <x:f>IF(AND(AC$3&gt;=$B$7,AC$3&lt;$B$8),AB48*(1+AC41/12)+AC42+AC43+IF(AND(AND(YEAR(AC$3)=YEAR($B$7),MONTH(AC$3)=MONTH($B$7)),'Вводные'!$B$31="Капитализация в ПФ"),AB37,0),0)</x:f>
      </x:c>
      <x:c r="AD48" s="117">
        <x:f>IF(AND(AD$3&gt;=$B$7,AD$3&lt;$B$8),AC48*(1+AD41/12)+AD42+AD43+IF(AND(AND(YEAR(AD$3)=YEAR($B$7),MONTH(AD$3)=MONTH($B$7)),'Вводные'!$B$31="Капитализация в ПФ"),AC37,0),0)</x:f>
      </x:c>
      <x:c r="AE48" s="117">
        <x:f>IF(AND(AE$3&gt;=$B$7,AE$3&lt;$B$8),AD48*(1+AE41/12)+AE42+AE43+IF(AND(AND(YEAR(AE$3)=YEAR($B$7),MONTH(AE$3)=MONTH($B$7)),'Вводные'!$B$31="Капитализация в ПФ"),AD37,0),0)</x:f>
      </x:c>
      <x:c r="AF48" s="117">
        <x:f>IF(AND(AF$3&gt;=$B$7,AF$3&lt;$B$8),AE48*(1+AF41/12)+AF42+AF43+IF(AND(AND(YEAR(AF$3)=YEAR($B$7),MONTH(AF$3)=MONTH($B$7)),'Вводные'!$B$31="Капитализация в ПФ"),AE37,0),0)</x:f>
      </x:c>
      <x:c r="AG48" s="117">
        <x:f>IF(AND(AG$3&gt;=$B$7,AG$3&lt;$B$8),AF48*(1+AG41/12)+AG42+AG43+IF(AND(AND(YEAR(AG$3)=YEAR($B$7),MONTH(AG$3)=MONTH($B$7)),'Вводные'!$B$31="Капитализация в ПФ"),AF37,0),0)</x:f>
      </x:c>
      <x:c r="AH48" s="117">
        <x:f>IF(AND(AH$3&gt;=$B$7,AH$3&lt;$B$8),AG48*(1+AH41/12)+AH42+AH43+IF(AND(AND(YEAR(AH$3)=YEAR($B$7),MONTH(AH$3)=MONTH($B$7)),'Вводные'!$B$31="Капитализация в ПФ"),AG37,0),0)</x:f>
      </x:c>
      <x:c r="AI48" s="117">
        <x:f>IF(AND(AI$3&gt;=$B$7,AI$3&lt;$B$8),AH48*(1+AI41/12)+AI42+AI43+IF(AND(AND(YEAR(AI$3)=YEAR($B$7),MONTH(AI$3)=MONTH($B$7)),'Вводные'!$B$31="Капитализация в ПФ"),AH37,0),0)</x:f>
      </x:c>
      <x:c r="AJ48" s="117">
        <x:f>IF(AND(AJ$3&gt;=$B$7,AJ$3&lt;$B$8),AI48*(1+AJ41/12)+AJ42+AJ43+IF(AND(AND(YEAR(AJ$3)=YEAR($B$7),MONTH(AJ$3)=MONTH($B$7)),'Вводные'!$B$31="Капитализация в ПФ"),AI37,0),0)</x:f>
      </x:c>
      <x:c r="AK48" s="117">
        <x:f>IF(AND(AK$3&gt;=$B$7,AK$3&lt;$B$8),AJ48*(1+AK41/12)+AK42+AK43+IF(AND(AND(YEAR(AK$3)=YEAR($B$7),MONTH(AK$3)=MONTH($B$7)),'Вводные'!$B$31="Капитализация в ПФ"),AJ37,0),0)</x:f>
      </x:c>
      <x:c r="AL48" s="117">
        <x:f>IF(AND(AL$3&gt;=$B$7,AL$3&lt;$B$8),AK48*(1+AL41/12)+AL42+AL43+IF(AND(AND(YEAR(AL$3)=YEAR($B$7),MONTH(AL$3)=MONTH($B$7)),'Вводные'!$B$31="Капитализация в ПФ"),AK37,0),0)</x:f>
      </x:c>
      <x:c r="AM48" s="117">
        <x:f>IF(AND(AM$3&gt;=$B$7,AM$3&lt;$B$8),AL48*(1+AM41/12)+AM42+AM43+IF(AND(AND(YEAR(AM$3)=YEAR($B$7),MONTH(AM$3)=MONTH($B$7)),'Вводные'!$B$31="Капитализация в ПФ"),AL37,0),0)</x:f>
      </x:c>
      <x:c r="AN48" s="117">
        <x:f>IF(AND(AN$3&gt;=$B$7,AN$3&lt;$B$8),AM48*(1+AN41/12)+AN42+AN43+IF(AND(AND(YEAR(AN$3)=YEAR($B$7),MONTH(AN$3)=MONTH($B$7)),'Вводные'!$B$31="Капитализация в ПФ"),AM37,0),0)</x:f>
      </x:c>
      <x:c r="AO48" s="117">
        <x:f>IF(AND(AO$3&gt;=$B$7,AO$3&lt;$B$8),AN48*(1+AO41/12)+AO42+AO43+IF(AND(AND(YEAR(AO$3)=YEAR($B$7),MONTH(AO$3)=MONTH($B$7)),'Вводные'!$B$31="Капитализация в ПФ"),AN37,0),0)</x:f>
      </x:c>
      <x:c r="AP48" s="117">
        <x:f>IF(AND(AP$3&gt;=$B$7,AP$3&lt;$B$8),AO48*(1+AP41/12)+AP42+AP43+IF(AND(AND(YEAR(AP$3)=YEAR($B$7),MONTH(AP$3)=MONTH($B$7)),'Вводные'!$B$31="Капитализация в ПФ"),AO37,0),0)</x:f>
      </x:c>
      <x:c r="AQ48" s="117">
        <x:f>IF(AND(AQ$3&gt;=$B$7,AQ$3&lt;$B$8),AP48*(1+AQ41/12)+AQ42+AQ43+IF(AND(AND(YEAR(AQ$3)=YEAR($B$7),MONTH(AQ$3)=MONTH($B$7)),'Вводные'!$B$31="Капитализация в ПФ"),AP37,0),0)</x:f>
      </x:c>
      <x:c r="AR48" s="117">
        <x:f>IF(AND(AR$3&gt;=$B$7,AR$3&lt;$B$8),AQ48*(1+AR41/12)+AR42+AR43+IF(AND(AND(YEAR(AR$3)=YEAR($B$7),MONTH(AR$3)=MONTH($B$7)),'Вводные'!$B$31="Капитализация в ПФ"),AQ37,0),0)</x:f>
      </x:c>
      <x:c r="AS48" s="117">
        <x:f>IF(AND(AS$3&gt;=$B$7,AS$3&lt;$B$8),AR48*(1+AS41/12)+AS42+AS43+IF(AND(AND(YEAR(AS$3)=YEAR($B$7),MONTH(AS$3)=MONTH($B$7)),'Вводные'!$B$31="Капитализация в ПФ"),AR37,0),0)</x:f>
      </x:c>
      <x:c r="AT48" s="117">
        <x:f>IF(AND(AT$3&gt;=$B$7,AT$3&lt;$B$8),AS48*(1+AT41/12)+AT42+AT43+IF(AND(AND(YEAR(AT$3)=YEAR($B$7),MONTH(AT$3)=MONTH($B$7)),'Вводные'!$B$31="Капитализация в ПФ"),AS37,0),0)</x:f>
      </x:c>
      <x:c r="AU48" s="117">
        <x:f>IF(AND(AU$3&gt;=$B$7,AU$3&lt;$B$8),AT48*(1+AU41/12)+AU42+AU43+IF(AND(AND(YEAR(AU$3)=YEAR($B$7),MONTH(AU$3)=MONTH($B$7)),'Вводные'!$B$31="Капитализация в ПФ"),AT37,0),0)</x:f>
      </x:c>
      <x:c r="AV48" s="117">
        <x:f>IF(AND(AV$3&gt;=$B$7,AV$3&lt;$B$8),AU48*(1+AV41/12)+AV42+AV43+IF(AND(AND(YEAR(AV$3)=YEAR($B$7),MONTH(AV$3)=MONTH($B$7)),'Вводные'!$B$31="Капитализация в ПФ"),AU37,0),0)</x:f>
      </x:c>
      <x:c r="AW48" s="117">
        <x:f>IF(AND(AW$3&gt;=$B$7,AW$3&lt;$B$8),AV48*(1+AW41/12)+AW42+AW43+IF(AND(AND(YEAR(AW$3)=YEAR($B$7),MONTH(AW$3)=MONTH($B$7)),'Вводные'!$B$31="Капитализация в ПФ"),AV37,0),0)</x:f>
      </x:c>
      <x:c r="AX48" s="117">
        <x:f>IF(AND(AX$3&gt;=$B$7,AX$3&lt;$B$8),AW48*(1+AX41/12)+AX42+AX43+IF(AND(AND(YEAR(AX$3)=YEAR($B$7),MONTH(AX$3)=MONTH($B$7)),'Вводные'!$B$31="Капитализация в ПФ"),AW37,0),0)</x:f>
      </x:c>
      <x:c r="AY48" s="117">
        <x:f>IF(AND(AY$3&gt;=$B$7,AY$3&lt;$B$8),AX48*(1+AY41/12)+AY42+AY43+IF(AND(AND(YEAR(AY$3)=YEAR($B$7),MONTH(AY$3)=MONTH($B$7)),'Вводные'!$B$31="Капитализация в ПФ"),AX37,0),0)</x:f>
      </x:c>
      <x:c r="AZ48" s="117">
        <x:f>IF(AND(AZ$3&gt;=$B$7,AZ$3&lt;$B$8),AY48*(1+AZ41/12)+AZ42+AZ43+IF(AND(AND(YEAR(AZ$3)=YEAR($B$7),MONTH(AZ$3)=MONTH($B$7)),'Вводные'!$B$31="Капитализация в ПФ"),AY37,0),0)</x:f>
      </x:c>
      <x:c r="BA48" s="117">
        <x:f>IF(AND(BA$3&gt;=$B$7,BA$3&lt;$B$8),AZ48*(1+BA41/12)+BA42+BA43+IF(AND(AND(YEAR(BA$3)=YEAR($B$7),MONTH(BA$3)=MONTH($B$7)),'Вводные'!$B$31="Капитализация в ПФ"),AZ37,0),0)</x:f>
      </x:c>
      <x:c r="BB48" s="117">
        <x:f>IF(AND(BB$3&gt;=$B$7,BB$3&lt;$B$8),BA48*(1+BB41/12)+BB42+BB43+IF(AND(AND(YEAR(BB$3)=YEAR($B$7),MONTH(BB$3)=MONTH($B$7)),'Вводные'!$B$31="Капитализация в ПФ"),BA37,0),0)</x:f>
      </x:c>
      <x:c r="BC48" s="117">
        <x:f>IF(AND(BC$3&gt;=$B$7,BC$3&lt;$B$8),BB48*(1+BC41/12)+BC42+BC43+IF(AND(AND(YEAR(BC$3)=YEAR($B$7),MONTH(BC$3)=MONTH($B$7)),'Вводные'!$B$31="Капитализация в ПФ"),BB37,0),0)</x:f>
      </x:c>
      <x:c r="BD48" s="117">
        <x:f>IF(AND(BD$3&gt;=$B$7,BD$3&lt;$B$8),BC48*(1+BD41/12)+BD42+BD43+IF(AND(AND(YEAR(BD$3)=YEAR($B$7),MONTH(BD$3)=MONTH($B$7)),'Вводные'!$B$31="Капитализация в ПФ"),BC37,0),0)</x:f>
      </x:c>
      <x:c r="BE48" s="117">
        <x:f>IF(AND(BE$3&gt;=$B$7,BE$3&lt;$B$8),BD48*(1+BE41/12)+BE42+BE43+IF(AND(AND(YEAR(BE$3)=YEAR($B$7),MONTH(BE$3)=MONTH($B$7)),'Вводные'!$B$31="Капитализация в ПФ"),BD37,0),0)</x:f>
      </x:c>
      <x:c r="BF48" s="117">
        <x:f>IF(AND(BF$3&gt;=$B$7,BF$3&lt;$B$8),BE48*(1+BF41/12)+BF42+BF43+IF(AND(AND(YEAR(BF$3)=YEAR($B$7),MONTH(BF$3)=MONTH($B$7)),'Вводные'!$B$31="Капитализация в ПФ"),BE37,0),0)</x:f>
      </x:c>
      <x:c r="BG48" s="117">
        <x:f>IF(AND(BG$3&gt;=$B$7,BG$3&lt;$B$8),BF48*(1+BG41/12)+BG42+BG43+IF(AND(AND(YEAR(BG$3)=YEAR($B$7),MONTH(BG$3)=MONTH($B$7)),'Вводные'!$B$31="Капитализация в ПФ"),BF37,0),0)</x:f>
      </x:c>
      <x:c r="BH48" s="117">
        <x:f>IF(AND(BH$3&gt;=$B$7,BH$3&lt;$B$8),BG48*(1+BH41/12)+BH42+BH43+IF(AND(AND(YEAR(BH$3)=YEAR($B$7),MONTH(BH$3)=MONTH($B$7)),'Вводные'!$B$31="Капитализация в ПФ"),BG37,0),0)</x:f>
      </x:c>
      <x:c r="BI48" s="117">
        <x:f>IF(AND(BI$3&gt;=$B$7,BI$3&lt;$B$8),BH48*(1+BI41/12)+BI42+BI43+IF(AND(AND(YEAR(BI$3)=YEAR($B$7),MONTH(BI$3)=MONTH($B$7)),'Вводные'!$B$31="Капитализация в ПФ"),BH37,0),0)</x:f>
      </x:c>
      <x:c r="BJ48" s="117">
        <x:f>IF(AND(BJ$3&gt;=$B$7,BJ$3&lt;$B$8),BI48*(1+BJ41/12)+BJ42+BJ43+IF(AND(AND(YEAR(BJ$3)=YEAR($B$7),MONTH(BJ$3)=MONTH($B$7)),'Вводные'!$B$31="Капитализация в ПФ"),BI37,0),0)</x:f>
      </x:c>
      <x:c r="BK48" s="117">
        <x:f>IF(AND(BK$3&gt;=$B$7,BK$3&lt;$B$8),BJ48*(1+BK41/12)+BK42+BK43+IF(AND(AND(YEAR(BK$3)=YEAR($B$7),MONTH(BK$3)=MONTH($B$7)),'Вводные'!$B$31="Капитализация в ПФ"),BJ37,0),0)</x:f>
      </x:c>
      <x:c r="BL48" s="117">
        <x:f>IF(AND(BL$3&gt;=$B$7,BL$3&lt;$B$8),BK48*(1+BL41/12)+BL42+BL43+IF(AND(AND(YEAR(BL$3)=YEAR($B$7),MONTH(BL$3)=MONTH($B$7)),'Вводные'!$B$31="Капитализация в ПФ"),BK37,0),0)</x:f>
      </x:c>
      <x:c r="BM48" s="117">
        <x:f>IF(AND(BM$3&gt;=$B$7,BM$3&lt;$B$8),BL48*(1+BM41/12)+BM42+BM43+IF(AND(AND(YEAR(BM$3)=YEAR($B$7),MONTH(BM$3)=MONTH($B$7)),'Вводные'!$B$31="Капитализация в ПФ"),BL37,0),0)</x:f>
      </x:c>
      <x:c r="BN48" s="117">
        <x:f>IF(AND(BN$3&gt;=$B$7,BN$3&lt;$B$8),BM48*(1+BN41/12)+BN42+BN43+IF(AND(AND(YEAR(BN$3)=YEAR($B$7),MONTH(BN$3)=MONTH($B$7)),'Вводные'!$B$31="Капитализация в ПФ"),BM37,0),0)</x:f>
      </x:c>
      <x:c r="BO48" s="117">
        <x:f>IF(AND(BO$3&gt;=$B$7,BO$3&lt;$B$8),BN48*(1+BO41/12)+BO42+BO43+IF(AND(AND(YEAR(BO$3)=YEAR($B$7),MONTH(BO$3)=MONTH($B$7)),'Вводные'!$B$31="Капитализация в ПФ"),BN37,0),0)</x:f>
      </x:c>
      <x:c r="BP48" s="117">
        <x:f>IF(AND(BP$3&gt;=$B$7,BP$3&lt;$B$8),BO48*(1+BP41/12)+BP42+BP43+IF(AND(AND(YEAR(BP$3)=YEAR($B$7),MONTH(BP$3)=MONTH($B$7)),'Вводные'!$B$31="Капитализация в ПФ"),BO37,0),0)</x:f>
      </x:c>
      <x:c r="BQ48" s="117">
        <x:f>IF(AND(BQ$3&gt;=$B$7,BQ$3&lt;$B$8),BP48*(1+BQ41/12)+BQ42+BQ43+IF(AND(AND(YEAR(BQ$3)=YEAR($B$7),MONTH(BQ$3)=MONTH($B$7)),'Вводные'!$B$31="Капитализация в ПФ"),BP37,0),0)</x:f>
      </x:c>
      <x:c r="BR48" s="117">
        <x:f>IF(AND(BR$3&gt;=$B$7,BR$3&lt;$B$8),BQ48*(1+BR41/12)+BR42+BR43+IF(AND(AND(YEAR(BR$3)=YEAR($B$7),MONTH(BR$3)=MONTH($B$7)),'Вводные'!$B$31="Капитализация в ПФ"),BQ37,0),0)</x:f>
      </x:c>
      <x:c r="BS48" s="117">
        <x:f>IF(AND(BS$3&gt;=$B$7,BS$3&lt;$B$8),BR48*(1+BS41/12)+BS42+BS43+IF(AND(AND(YEAR(BS$3)=YEAR($B$7),MONTH(BS$3)=MONTH($B$7)),'Вводные'!$B$31="Капитализация в ПФ"),BR37,0),0)</x:f>
      </x:c>
      <x:c r="BT48" s="117">
        <x:f>IF(AND(BT$3&gt;=$B$7,BT$3&lt;$B$8),BS48*(1+BT41/12)+BT42+BT43+IF(AND(AND(YEAR(BT$3)=YEAR($B$7),MONTH(BT$3)=MONTH($B$7)),'Вводные'!$B$31="Капитализация в ПФ"),BS37,0),0)</x:f>
      </x:c>
      <x:c r="BU48" s="117">
        <x:f>IF(AND(BU$3&gt;=$B$7,BU$3&lt;$B$8),BT48*(1+BU41/12)+BU42+BU43+IF(AND(AND(YEAR(BU$3)=YEAR($B$7),MONTH(BU$3)=MONTH($B$7)),'Вводные'!$B$31="Капитализация в ПФ"),BT37,0),0)</x:f>
      </x:c>
      <x:c r="BV48" s="117">
        <x:f>IF(AND(BV$3&gt;=$B$7,BV$3&lt;$B$8),BU48*(1+BV41/12)+BV42+BV43+IF(AND(AND(YEAR(BV$3)=YEAR($B$7),MONTH(BV$3)=MONTH($B$7)),'Вводные'!$B$31="Капитализация в ПФ"),BU37,0),0)</x:f>
      </x:c>
      <x:c r="BW48" s="117">
        <x:f>IF(AND(BW$3&gt;=$B$7,BW$3&lt;$B$8),BV48*(1+BW41/12)+BW42+BW43+IF(AND(AND(YEAR(BW$3)=YEAR($B$7),MONTH(BW$3)=MONTH($B$7)),'Вводные'!$B$31="Капитализация в ПФ"),BV37,0),0)</x:f>
      </x:c>
      <x:c r="BX48" s="117">
        <x:f>IF(AND(BX$3&gt;=$B$7,BX$3&lt;$B$8),BW48*(1+BX41/12)+BX42+BX43+IF(AND(AND(YEAR(BX$3)=YEAR($B$7),MONTH(BX$3)=MONTH($B$7)),'Вводные'!$B$31="Капитализация в ПФ"),BW37,0),0)</x:f>
      </x:c>
      <x:c r="BY48" s="117">
        <x:f>IF(AND(BY$3&gt;=$B$7,BY$3&lt;$B$8),BX48*(1+BY41/12)+BY42+BY43+IF(AND(AND(YEAR(BY$3)=YEAR($B$7),MONTH(BY$3)=MONTH($B$7)),'Вводные'!$B$31="Капитализация в ПФ"),BX37,0),0)</x:f>
      </x:c>
      <x:c r="BZ48" s="117">
        <x:f>IF(AND(BZ$3&gt;=$B$7,BZ$3&lt;$B$8),BY48*(1+BZ41/12)+BZ42+BZ43+IF(AND(AND(YEAR(BZ$3)=YEAR($B$7),MONTH(BZ$3)=MONTH($B$7)),'Вводные'!$B$31="Капитализация в ПФ"),BY37,0),0)</x:f>
      </x:c>
      <x:c r="CA48" s="117">
        <x:f>IF(AND(CA$3&gt;=$B$7,CA$3&lt;$B$8),BZ48*(1+CA41/12)+CA42+CA43+IF(AND(AND(YEAR(CA$3)=YEAR($B$7),MONTH(CA$3)=MONTH($B$7)),'Вводные'!$B$31="Капитализация в ПФ"),BZ37,0),0)</x:f>
      </x:c>
      <x:c r="CB48" s="117">
        <x:f>IF(AND(CB$3&gt;=$B$7,CB$3&lt;$B$8),CA48*(1+CB41/12)+CB42+CB43+IF(AND(AND(YEAR(CB$3)=YEAR($B$7),MONTH(CB$3)=MONTH($B$7)),'Вводные'!$B$31="Капитализация в ПФ"),CA37,0),0)</x:f>
      </x:c>
      <x:c r="CC48" s="117">
        <x:f>IF(AND(CC$3&gt;=$B$7,CC$3&lt;$B$8),CB48*(1+CC41/12)+CC42+CC43+IF(AND(AND(YEAR(CC$3)=YEAR($B$7),MONTH(CC$3)=MONTH($B$7)),'Вводные'!$B$31="Капитализация в ПФ"),CB37,0),0)</x:f>
      </x:c>
      <x:c r="CD48" s="117">
        <x:f>IF(AND(CD$3&gt;=$B$7,CD$3&lt;$B$8),CC48*(1+CD41/12)+CD42+CD43+IF(AND(AND(YEAR(CD$3)=YEAR($B$7),MONTH(CD$3)=MONTH($B$7)),'Вводные'!$B$31="Капитализация в ПФ"),CC37,0),0)</x:f>
      </x:c>
      <x:c r="CE48" s="117">
        <x:f>IF(AND(CE$3&gt;=$B$7,CE$3&lt;$B$8),CD48*(1+CE41/12)+CE42+CE43+IF(AND(AND(YEAR(CE$3)=YEAR($B$7),MONTH(CE$3)=MONTH($B$7)),'Вводные'!$B$31="Капитализация в ПФ"),CD37,0),0)</x:f>
      </x:c>
      <x:c r="CF48" s="117">
        <x:f>IF(AND(CF$3&gt;=$B$7,CF$3&lt;$B$8),CE48*(1+CF41/12)+CF42+CF43+IF(AND(AND(YEAR(CF$3)=YEAR($B$7),MONTH(CF$3)=MONTH($B$7)),'Вводные'!$B$31="Капитализация в ПФ"),CE37,0),0)</x:f>
      </x:c>
      <x:c r="CG48" s="117">
        <x:f>IF(AND(CG$3&gt;=$B$7,CG$3&lt;$B$8),CF48*(1+CG41/12)+CG42+CG43+IF(AND(AND(YEAR(CG$3)=YEAR($B$7),MONTH(CG$3)=MONTH($B$7)),'Вводные'!$B$31="Капитализация в ПФ"),CF37,0),0)</x:f>
      </x:c>
      <x:c r="CH48" s="117">
        <x:f>IF(AND(CH$3&gt;=$B$7,CH$3&lt;$B$8),CG48*(1+CH41/12)+CH42+CH43+IF(AND(AND(YEAR(CH$3)=YEAR($B$7),MONTH(CH$3)=MONTH($B$7)),'Вводные'!$B$31="Капитализация в ПФ"),CG37,0),0)</x:f>
      </x:c>
      <x:c r="CI48" s="117">
        <x:f>IF(AND(CI$3&gt;=$B$7,CI$3&lt;$B$8),CH48*(1+CI41/12)+CI42+CI43+IF(AND(AND(YEAR(CI$3)=YEAR($B$7),MONTH(CI$3)=MONTH($B$7)),'Вводные'!$B$31="Капитализация в ПФ"),CH37,0),0)</x:f>
      </x:c>
      <x:c r="CJ48" s="117">
        <x:f>IF(AND(CJ$3&gt;=$B$7,CJ$3&lt;$B$8),CI48*(1+CJ41/12)+CJ42+CJ43+IF(AND(AND(YEAR(CJ$3)=YEAR($B$7),MONTH(CJ$3)=MONTH($B$7)),'Вводные'!$B$31="Капитализация в ПФ"),CI37,0),0)</x:f>
      </x:c>
      <x:c r="CK48" s="117">
        <x:f>IF(AND(CK$3&gt;=$B$7,CK$3&lt;$B$8),CJ48*(1+CK41/12)+CK42+CK43+IF(AND(AND(YEAR(CK$3)=YEAR($B$7),MONTH(CK$3)=MONTH($B$7)),'Вводные'!$B$31="Капитализация в ПФ"),CJ37,0),0)</x:f>
      </x:c>
      <x:c r="CL48" s="117">
        <x:f>IF(AND(CL$3&gt;=$B$7,CL$3&lt;$B$8),CK48*(1+CL41/12)+CL42+CL43+IF(AND(AND(YEAR(CL$3)=YEAR($B$7),MONTH(CL$3)=MONTH($B$7)),'Вводные'!$B$31="Капитализация в ПФ"),CK37,0),0)</x:f>
      </x:c>
      <x:c r="CM48" s="117">
        <x:f>IF(AND(CM$3&gt;=$B$7,CM$3&lt;$B$8),CL48*(1+CM41/12)+CM42+CM43+IF(AND(AND(YEAR(CM$3)=YEAR($B$7),MONTH(CM$3)=MONTH($B$7)),'Вводные'!$B$31="Капитализация в ПФ"),CL37,0),0)</x:f>
      </x:c>
      <x:c r="CN48" s="117">
        <x:f>IF(AND(CN$3&gt;=$B$7,CN$3&lt;$B$8),CM48*(1+CN41/12)+CN42+CN43+IF(AND(AND(YEAR(CN$3)=YEAR($B$7),MONTH(CN$3)=MONTH($B$7)),'Вводные'!$B$31="Капитализация в ПФ"),CM37,0),0)</x:f>
      </x:c>
      <x:c r="CO48" s="117">
        <x:f>IF(AND(CO$3&gt;=$B$7,CO$3&lt;$B$8),CN48*(1+CO41/12)+CO42+CO43+IF(AND(AND(YEAR(CO$3)=YEAR($B$7),MONTH(CO$3)=MONTH($B$7)),'Вводные'!$B$31="Капитализация в ПФ"),CN37,0),0)</x:f>
      </x:c>
      <x:c r="CP48" s="117">
        <x:f>IF(AND(CP$3&gt;=$B$7,CP$3&lt;$B$8),CO48*(1+CP41/12)+CP42+CP43+IF(AND(AND(YEAR(CP$3)=YEAR($B$7),MONTH(CP$3)=MONTH($B$7)),'Вводные'!$B$31="Капитализация в ПФ"),CO37,0),0)</x:f>
      </x:c>
      <x:c r="CQ48" s="117">
        <x:f>IF(AND(CQ$3&gt;=$B$7,CQ$3&lt;$B$8),CP48*(1+CQ41/12)+CQ42+CQ43+IF(AND(AND(YEAR(CQ$3)=YEAR($B$7),MONTH(CQ$3)=MONTH($B$7)),'Вводные'!$B$31="Капитализация в ПФ"),CP37,0),0)</x:f>
      </x:c>
      <x:c r="CR48" s="117">
        <x:f>IF(AND(CR$3&gt;=$B$7,CR$3&lt;$B$8),CQ48*(1+CR41/12)+CR42+CR43+IF(AND(AND(YEAR(CR$3)=YEAR($B$7),MONTH(CR$3)=MONTH($B$7)),'Вводные'!$B$31="Капитализация в ПФ"),CQ37,0),0)</x:f>
      </x:c>
      <x:c r="CS48" s="117">
        <x:f>IF(AND(CS$3&gt;=$B$7,CS$3&lt;$B$8),CR48*(1+CS41/12)+CS42+CS43+IF(AND(AND(YEAR(CS$3)=YEAR($B$7),MONTH(CS$3)=MONTH($B$7)),'Вводные'!$B$31="Капитализация в ПФ"),CR37,0),0)</x:f>
      </x:c>
      <x:c r="CT48" s="117">
        <x:f>IF(AND(CT$3&gt;=$B$7,CT$3&lt;$B$8),CS48*(1+CT41/12)+CT42+CT43+IF(AND(AND(YEAR(CT$3)=YEAR($B$7),MONTH(CT$3)=MONTH($B$7)),'Вводные'!$B$31="Капитализация в ПФ"),CS37,0),0)</x:f>
      </x:c>
      <x:c r="CU48" s="117">
        <x:f>IF(AND(CU$3&gt;=$B$7,CU$3&lt;$B$8),CT48*(1+CU41/12)+CU42+CU43+IF(AND(AND(YEAR(CU$3)=YEAR($B$7),MONTH(CU$3)=MONTH($B$7)),'Вводные'!$B$31="Капитализация в ПФ"),CT37,0),0)</x:f>
      </x:c>
      <x:c r="CV48" s="117">
        <x:f>IF(AND(CV$3&gt;=$B$7,CV$3&lt;$B$8),CU48*(1+CV41/12)+CV42+CV43+IF(AND(AND(YEAR(CV$3)=YEAR($B$7),MONTH(CV$3)=MONTH($B$7)),'Вводные'!$B$31="Капитализация в ПФ"),CU37,0),0)</x:f>
      </x:c>
      <x:c r="CW48" s="117">
        <x:f>IF(AND(CW$3&gt;=$B$7,CW$3&lt;$B$8),CV48*(1+CW41/12)+CW42+CW43+IF(AND(AND(YEAR(CW$3)=YEAR($B$7),MONTH(CW$3)=MONTH($B$7)),'Вводные'!$B$31="Капитализация в ПФ"),CV37,0),0)</x:f>
      </x:c>
      <x:c r="CX48" s="117">
        <x:f>IF(AND(CX$3&gt;=$B$7,CX$3&lt;$B$8),CW48*(1+CX41/12)+CX42+CX43+IF(AND(AND(YEAR(CX$3)=YEAR($B$7),MONTH(CX$3)=MONTH($B$7)),'Вводные'!$B$31="Капитализация в ПФ"),CW37,0),0)</x:f>
      </x:c>
      <x:c r="CY48" s="117">
        <x:f>IF(AND(CY$3&gt;=$B$7,CY$3&lt;$B$8),CX48*(1+CY41/12)+CY42+CY43+IF(AND(AND(YEAR(CY$3)=YEAR($B$7),MONTH(CY$3)=MONTH($B$7)),'Вводные'!$B$31="Капитализация в ПФ"),CX37,0),0)</x:f>
      </x:c>
      <x:c r="CZ48" s="117">
        <x:f>IF(AND(CZ$3&gt;=$B$7,CZ$3&lt;$B$8),CY48*(1+CZ41/12)+CZ42+CZ43+IF(AND(AND(YEAR(CZ$3)=YEAR($B$7),MONTH(CZ$3)=MONTH($B$7)),'Вводные'!$B$31="Капитализация в ПФ"),CY37,0),0)</x:f>
      </x:c>
      <x:c r="DA48" s="117">
        <x:f>IF(AND(DA$3&gt;=$B$7,DA$3&lt;$B$8),CZ48*(1+DA41/12)+DA42+DA43+IF(AND(AND(YEAR(DA$3)=YEAR($B$7),MONTH(DA$3)=MONTH($B$7)),'Вводные'!$B$31="Капитализация в ПФ"),CZ37,0),0)</x:f>
      </x:c>
      <x:c r="DB48" s="117">
        <x:f>IF(AND(DB$3&gt;=$B$7,DB$3&lt;$B$8),DA48*(1+DB41/12)+DB42+DB43+IF(AND(AND(YEAR(DB$3)=YEAR($B$7),MONTH(DB$3)=MONTH($B$7)),'Вводные'!$B$31="Капитализация в ПФ"),DA37,0),0)</x:f>
      </x:c>
      <x:c r="DC48" s="117">
        <x:f>IF(AND(DC$3&gt;=$B$7,DC$3&lt;$B$8),DB48*(1+DC41/12)+DC42+DC43+IF(AND(AND(YEAR(DC$3)=YEAR($B$7),MONTH(DC$3)=MONTH($B$7)),'Вводные'!$B$31="Капитализация в ПФ"),DB37,0),0)</x:f>
      </x:c>
      <x:c r="DD48" s="117">
        <x:f>IF(AND(DD$3&gt;=$B$7,DD$3&lt;$B$8),DC48*(1+DD41/12)+DD42+DD43+IF(AND(AND(YEAR(DD$3)=YEAR($B$7),MONTH(DD$3)=MONTH($B$7)),'Вводные'!$B$31="Капитализация в ПФ"),DC37,0),0)</x:f>
      </x:c>
      <x:c r="DE48" s="117">
        <x:f>IF(AND(DE$3&gt;=$B$7,DE$3&lt;$B$8),DD48*(1+DE41/12)+DE42+DE43+IF(AND(AND(YEAR(DE$3)=YEAR($B$7),MONTH(DE$3)=MONTH($B$7)),'Вводные'!$B$31="Капитализация в ПФ"),DD37,0),0)</x:f>
      </x:c>
      <x:c r="DF48" s="117">
        <x:f>IF(AND(DF$3&gt;=$B$7,DF$3&lt;$B$8),DE48*(1+DF41/12)+DF42+DF43+IF(AND(AND(YEAR(DF$3)=YEAR($B$7),MONTH(DF$3)=MONTH($B$7)),'Вводные'!$B$31="Капитализация в ПФ"),DE37,0),0)</x:f>
      </x:c>
      <x:c r="DG48" s="117">
        <x:f>IF(AND(DG$3&gt;=$B$7,DG$3&lt;$B$8),DF48*(1+DG41/12)+DG42+DG43+IF(AND(AND(YEAR(DG$3)=YEAR($B$7),MONTH(DG$3)=MONTH($B$7)),'Вводные'!$B$31="Капитализация в ПФ"),DF37,0),0)</x:f>
      </x:c>
      <x:c r="DH48" s="117">
        <x:f>IF(AND(DH$3&gt;=$B$7,DH$3&lt;$B$8),DG48*(1+DH41/12)+DH42+DH43+IF(AND(AND(YEAR(DH$3)=YEAR($B$7),MONTH(DH$3)=MONTH($B$7)),'Вводные'!$B$31="Капитализация в ПФ"),DG37,0),0)</x:f>
      </x:c>
      <x:c r="DI48" s="117">
        <x:f>IF(AND(DI$3&gt;=$B$7,DI$3&lt;$B$8),DH48*(1+DI41/12)+DI42+DI43+IF(AND(AND(YEAR(DI$3)=YEAR($B$7),MONTH(DI$3)=MONTH($B$7)),'Вводные'!$B$31="Капитализация в ПФ"),DH37,0),0)</x:f>
      </x:c>
      <x:c r="DJ48" s="117">
        <x:f>IF(AND(DJ$3&gt;=$B$7,DJ$3&lt;$B$8),DI48*(1+DJ41/12)+DJ42+DJ43+IF(AND(AND(YEAR(DJ$3)=YEAR($B$7),MONTH(DJ$3)=MONTH($B$7)),'Вводные'!$B$31="Капитализация в ПФ"),DI37,0),0)</x:f>
      </x:c>
      <x:c r="DK48" s="117">
        <x:f>IF(AND(DK$3&gt;=$B$7,DK$3&lt;$B$8),DJ48*(1+DK41/12)+DK42+DK43+IF(AND(AND(YEAR(DK$3)=YEAR($B$7),MONTH(DK$3)=MONTH($B$7)),'Вводные'!$B$31="Капитализация в ПФ"),DJ37,0),0)</x:f>
      </x:c>
      <x:c r="DL48" s="117">
        <x:f>IF(AND(DL$3&gt;=$B$7,DL$3&lt;$B$8),DK48*(1+DL41/12)+DL42+DL43+IF(AND(AND(YEAR(DL$3)=YEAR($B$7),MONTH(DL$3)=MONTH($B$7)),'Вводные'!$B$31="Капитализация в ПФ"),DK37,0),0)</x:f>
      </x:c>
      <x:c r="DM48" s="117">
        <x:f>IF(AND(DM$3&gt;=$B$7,DM$3&lt;$B$8),DL48*(1+DM41/12)+DM42+DM43+IF(AND(AND(YEAR(DM$3)=YEAR($B$7),MONTH(DM$3)=MONTH($B$7)),'Вводные'!$B$31="Капитализация в ПФ"),DL37,0),0)</x:f>
      </x:c>
      <x:c r="DN48" s="117">
        <x:f>IF(AND(DN$3&gt;=$B$7,DN$3&lt;$B$8),DM48*(1+DN41/12)+DN42+DN43+IF(AND(AND(YEAR(DN$3)=YEAR($B$7),MONTH(DN$3)=MONTH($B$7)),'Вводные'!$B$31="Капитализация в ПФ"),DM37,0),0)</x:f>
      </x:c>
      <x:c r="DO48" s="117">
        <x:f>IF(AND(DO$3&gt;=$B$7,DO$3&lt;$B$8),DN48*(1+DO41/12)+DO42+DO43+IF(AND(AND(YEAR(DO$3)=YEAR($B$7),MONTH(DO$3)=MONTH($B$7)),'Вводные'!$B$31="Капитализация в ПФ"),DN37,0),0)</x:f>
      </x:c>
      <x:c r="DP48" s="117">
        <x:f>IF(AND(DP$3&gt;=$B$7,DP$3&lt;$B$8),DO48*(1+DP41/12)+DP42+DP43+IF(AND(AND(YEAR(DP$3)=YEAR($B$7),MONTH(DP$3)=MONTH($B$7)),'Вводные'!$B$31="Капитализация в ПФ"),DO37,0),0)</x:f>
      </x:c>
      <x:c r="DQ48" s="117">
        <x:f>IF(AND(DQ$3&gt;=$B$7,DQ$3&lt;$B$8),DP48*(1+DQ41/12)+DQ42+DQ43+IF(AND(AND(YEAR(DQ$3)=YEAR($B$7),MONTH(DQ$3)=MONTH($B$7)),'Вводные'!$B$31="Капитализация в ПФ"),DP37,0),0)</x:f>
      </x:c>
      <x:c r="DR48" s="117">
        <x:f>IF(AND(DR$3&gt;=$B$7,DR$3&lt;$B$8),DQ48*(1+DR41/12)+DR42+DR43+IF(AND(AND(YEAR(DR$3)=YEAR($B$7),MONTH(DR$3)=MONTH($B$7)),'Вводные'!$B$31="Капитализация в ПФ"),DQ37,0),0)</x:f>
      </x:c>
      <x:c r="DS48" s="117">
        <x:f>IF(AND(DS$3&gt;=$B$7,DS$3&lt;$B$8),DR48*(1+DS41/12)+DS42+DS43+IF(AND(AND(YEAR(DS$3)=YEAR($B$7),MONTH(DS$3)=MONTH($B$7)),'Вводные'!$B$31="Капитализация в ПФ"),DR37,0),0)</x:f>
      </x:c>
      <x:c r="DT48" s="117">
        <x:f>IF(AND(DT$3&gt;=$B$7,DT$3&lt;$B$8),DS48*(1+DT41/12)+DT42+DT43+IF(AND(AND(YEAR(DT$3)=YEAR($B$7),MONTH(DT$3)=MONTH($B$7)),'Вводные'!$B$31="Капитализация в ПФ"),DS37,0),0)</x:f>
      </x:c>
      <x:c r="DU48" s="117">
        <x:f>IF(AND(DU$3&gt;=$B$7,DU$3&lt;$B$8),DT48*(1+DU41/12)+DU42+DU43+IF(AND(AND(YEAR(DU$3)=YEAR($B$7),MONTH(DU$3)=MONTH($B$7)),'Вводные'!$B$31="Капитализация в ПФ"),DT37,0),0)</x:f>
      </x:c>
      <x:c r="DV48" s="117">
        <x:f>IF(AND(DV$3&gt;=$B$7,DV$3&lt;$B$8),DU48*(1+DV41/12)+DV42+DV43+IF(AND(AND(YEAR(DV$3)=YEAR($B$7),MONTH(DV$3)=MONTH($B$7)),'Вводные'!$B$31="Капитализация в ПФ"),DU37,0),0)</x:f>
      </x:c>
      <x:c r="DW48" s="117">
        <x:f>IF(AND(DW$3&gt;=$B$7,DW$3&lt;$B$8),DV48*(1+DW41/12)+DW42+DW43+IF(AND(AND(YEAR(DW$3)=YEAR($B$7),MONTH(DW$3)=MONTH($B$7)),'Вводные'!$B$31="Капитализация в ПФ"),DV37,0),0)</x:f>
      </x:c>
      <x:c r="DX48" s="117">
        <x:f>IF(AND(DX$3&gt;=$B$7,DX$3&lt;$B$8),DW48*(1+DX41/12)+DX42+DX43+IF(AND(AND(YEAR(DX$3)=YEAR($B$7),MONTH(DX$3)=MONTH($B$7)),'Вводные'!$B$31="Капитализация в ПФ"),DW37,0),0)</x:f>
      </x:c>
      <x:c r="DY48" s="117">
        <x:f>IF(AND(DY$3&gt;=$B$7,DY$3&lt;$B$8),DX48*(1+DY41/12)+DY42+DY43+IF(AND(AND(YEAR(DY$3)=YEAR($B$7),MONTH(DY$3)=MONTH($B$7)),'Вводные'!$B$31="Капитализация в ПФ"),DX37,0),0)</x:f>
      </x:c>
      <x:c r="DZ48" s="117">
        <x:f>IF(AND(DZ$3&gt;=$B$7,DZ$3&lt;$B$8),DY48*(1+DZ41/12)+DZ42+DZ43+IF(AND(AND(YEAR(DZ$3)=YEAR($B$7),MONTH(DZ$3)=MONTH($B$7)),'Вводные'!$B$31="Капитализация в ПФ"),DY37,0),0)</x:f>
      </x:c>
      <x:c r="EA48" s="117">
        <x:f>IF(AND(EA$3&gt;=$B$7,EA$3&lt;$B$8),DZ48*(1+EA41/12)+EA42+EA43+IF(AND(AND(YEAR(EA$3)=YEAR($B$7),MONTH(EA$3)=MONTH($B$7)),'Вводные'!$B$31="Капитализация в ПФ"),DZ37,0),0)</x:f>
      </x:c>
      <x:c r="EB48" s="117">
        <x:f>IF(AND(EB$3&gt;=$B$7,EB$3&lt;$B$8),EA48*(1+EB41/12)+EB42+EB43+IF(AND(AND(YEAR(EB$3)=YEAR($B$7),MONTH(EB$3)=MONTH($B$7)),'Вводные'!$B$31="Капитализация в ПФ"),EA37,0),0)</x:f>
      </x:c>
      <x:c r="EC48" s="117">
        <x:f>IF(AND(EC$3&gt;=$B$7,EC$3&lt;$B$8),EB48*(1+EC41/12)+EC42+EC43+IF(AND(AND(YEAR(EC$3)=YEAR($B$7),MONTH(EC$3)=MONTH($B$7)),'Вводные'!$B$31="Капитализация в ПФ"),EB37,0),0)</x:f>
      </x:c>
      <x:c r="ED48" s="117">
        <x:f>IF(AND(ED$3&gt;=$B$7,ED$3&lt;$B$8),EC48*(1+ED41/12)+ED42+ED43+IF(AND(AND(YEAR(ED$3)=YEAR($B$7),MONTH(ED$3)=MONTH($B$7)),'Вводные'!$B$31="Капитализация в ПФ"),EC37,0),0)</x:f>
      </x:c>
      <x:c r="EE48" s="117">
        <x:f>IF(AND(EE$3&gt;=$B$7,EE$3&lt;$B$8),ED48*(1+EE41/12)+EE42+EE43+IF(AND(AND(YEAR(EE$3)=YEAR($B$7),MONTH(EE$3)=MONTH($B$7)),'Вводные'!$B$31="Капитализация в ПФ"),ED37,0),0)</x:f>
      </x:c>
      <x:c r="EF48" s="117">
        <x:f>IF(AND(EF$3&gt;=$B$7,EF$3&lt;$B$8),EE48*(1+EF41/12)+EF42+EF43+IF(AND(AND(YEAR(EF$3)=YEAR($B$7),MONTH(EF$3)=MONTH($B$7)),'Вводные'!$B$31="Капитализация в ПФ"),EE37,0),0)</x:f>
      </x:c>
      <x:c r="EG48" s="117">
        <x:f>IF(AND(EG$3&gt;=$B$7,EG$3&lt;$B$8),EF48*(1+EG41/12)+EG42+EG43+IF(AND(AND(YEAR(EG$3)=YEAR($B$7),MONTH(EG$3)=MONTH($B$7)),'Вводные'!$B$31="Капитализация в ПФ"),EF37,0),0)</x:f>
      </x:c>
      <x:c r="EH48" s="117">
        <x:f>IF(AND(EH$3&gt;=$B$7,EH$3&lt;$B$8),EG48*(1+EH41/12)+EH42+EH43+IF(AND(AND(YEAR(EH$3)=YEAR($B$7),MONTH(EH$3)=MONTH($B$7)),'Вводные'!$B$31="Капитализация в ПФ"),EG37,0),0)</x:f>
      </x:c>
      <x:c r="EI48" s="117">
        <x:f>IF(AND(EI$3&gt;=$B$7,EI$3&lt;$B$8),EH48*(1+EI41/12)+EI42+EI43+IF(AND(AND(YEAR(EI$3)=YEAR($B$7),MONTH(EI$3)=MONTH($B$7)),'Вводные'!$B$31="Капитализация в ПФ"),EH37,0),0)</x:f>
      </x:c>
      <x:c r="EJ48" s="117">
        <x:f>IF(AND(EJ$3&gt;=$B$7,EJ$3&lt;$B$8),EI48*(1+EJ41/12)+EJ42+EJ43+IF(AND(AND(YEAR(EJ$3)=YEAR($B$7),MONTH(EJ$3)=MONTH($B$7)),'Вводные'!$B$31="Капитализация в ПФ"),EI37,0),0)</x:f>
      </x:c>
      <x:c r="EK48" s="117">
        <x:f>IF(AND(EK$3&gt;=$B$7,EK$3&lt;$B$8),EJ48*(1+EK41/12)+EK42+EK43+IF(AND(AND(YEAR(EK$3)=YEAR($B$7),MONTH(EK$3)=MONTH($B$7)),'Вводные'!$B$31="Капитализация в ПФ"),EJ37,0),0)</x:f>
      </x:c>
      <x:c r="EL48" s="117">
        <x:f>IF(AND(EL$3&gt;=$B$7,EL$3&lt;$B$8),EK48*(1+EL41/12)+EL42+EL43+IF(AND(AND(YEAR(EL$3)=YEAR($B$7),MONTH(EL$3)=MONTH($B$7)),'Вводные'!$B$31="Капитализация в ПФ"),EK37,0),0)</x:f>
      </x:c>
      <x:c r="EM48" s="117">
        <x:f>IF(AND(EM$3&gt;=$B$7,EM$3&lt;$B$8),EL48*(1+EM41/12)+EM42+EM43+IF(AND(AND(YEAR(EM$3)=YEAR($B$7),MONTH(EM$3)=MONTH($B$7)),'Вводные'!$B$31="Капитализация в ПФ"),EL37,0),0)</x:f>
      </x:c>
      <x:c r="EN48" s="117">
        <x:f>IF(AND(EN$3&gt;=$B$7,EN$3&lt;$B$8),EM48*(1+EN41/12)+EN42+EN43+IF(AND(AND(YEAR(EN$3)=YEAR($B$7),MONTH(EN$3)=MONTH($B$7)),'Вводные'!$B$31="Капитализация в ПФ"),EM37,0),0)</x:f>
      </x:c>
      <x:c r="EO48" s="117">
        <x:f>IF(AND(EO$3&gt;=$B$7,EO$3&lt;$B$8),EN48*(1+EO41/12)+EO42+EO43+IF(AND(AND(YEAR(EO$3)=YEAR($B$7),MONTH(EO$3)=MONTH($B$7)),'Вводные'!$B$31="Капитализация в ПФ"),EN37,0),0)</x:f>
      </x:c>
      <x:c r="EP48" s="117">
        <x:f>IF(AND(EP$3&gt;=$B$7,EP$3&lt;$B$8),EO48*(1+EP41/12)+EP42+EP43+IF(AND(AND(YEAR(EP$3)=YEAR($B$7),MONTH(EP$3)=MONTH($B$7)),'Вводные'!$B$31="Капитализация в ПФ"),EO37,0),0)</x:f>
      </x:c>
      <x:c r="EQ48" s="117">
        <x:f>IF(AND(EQ$3&gt;=$B$7,EQ$3&lt;$B$8),EP48*(1+EQ41/12)+EQ42+EQ43+IF(AND(AND(YEAR(EQ$3)=YEAR($B$7),MONTH(EQ$3)=MONTH($B$7)),'Вводные'!$B$31="Капитализация в ПФ"),EP37,0),0)</x:f>
      </x:c>
      <x:c r="ER48" s="117">
        <x:f>IF(AND(ER$3&gt;=$B$7,ER$3&lt;$B$8),EQ48*(1+ER41/12)+ER42+ER43+IF(AND(AND(YEAR(ER$3)=YEAR($B$7),MONTH(ER$3)=MONTH($B$7)),'Вводные'!$B$31="Капитализация в ПФ"),EQ37,0),0)</x:f>
      </x:c>
      <x:c r="ES48" s="117">
        <x:f>IF(AND(ES$3&gt;=$B$7,ES$3&lt;$B$8),ER48*(1+ES41/12)+ES42+ES43+IF(AND(AND(YEAR(ES$3)=YEAR($B$7),MONTH(ES$3)=MONTH($B$7)),'Вводные'!$B$31="Капитализация в ПФ"),ER37,0),0)</x:f>
      </x:c>
      <x:c r="ET48" s="117">
        <x:f>IF(AND(ET$3&gt;=$B$7,ET$3&lt;$B$8),ES48*(1+ET41/12)+ET42+ET43+IF(AND(AND(YEAR(ET$3)=YEAR($B$7),MONTH(ET$3)=MONTH($B$7)),'Вводные'!$B$31="Капитализация в ПФ"),ES37,0),0)</x:f>
      </x:c>
      <x:c r="EU48" s="117">
        <x:f>IF(AND(EU$3&gt;=$B$7,EU$3&lt;$B$8),ET48*(1+EU41/12)+EU42+EU43+IF(AND(AND(YEAR(EU$3)=YEAR($B$7),MONTH(EU$3)=MONTH($B$7)),'Вводные'!$B$31="Капитализация в ПФ"),ET37,0),0)</x:f>
      </x:c>
      <x:c r="EV48" s="117">
        <x:f>IF(AND(EV$3&gt;=$B$7,EV$3&lt;$B$8),EU48*(1+EV41/12)+EV42+EV43+IF(AND(AND(YEAR(EV$3)=YEAR($B$7),MONTH(EV$3)=MONTH($B$7)),'Вводные'!$B$31="Капитализация в ПФ"),EU37,0),0)</x:f>
      </x:c>
      <x:c r="EW48" s="117">
        <x:f>IF(AND(EW$3&gt;=$B$7,EW$3&lt;$B$8),EV48*(1+EW41/12)+EW42+EW43+IF(AND(AND(YEAR(EW$3)=YEAR($B$7),MONTH(EW$3)=MONTH($B$7)),'Вводные'!$B$31="Капитализация в ПФ"),EV37,0),0)</x:f>
      </x:c>
      <x:c r="EX48" s="117">
        <x:f>IF(AND(EX$3&gt;=$B$7,EX$3&lt;$B$8),EW48*(1+EX41/12)+EX42+EX43+IF(AND(AND(YEAR(EX$3)=YEAR($B$7),MONTH(EX$3)=MONTH($B$7)),'Вводные'!$B$31="Капитализация в ПФ"),EW37,0),0)</x:f>
      </x:c>
      <x:c r="EY48" s="117">
        <x:f>IF(AND(EY$3&gt;=$B$7,EY$3&lt;$B$8),EX48*(1+EY41/12)+EY42+EY43+IF(AND(AND(YEAR(EY$3)=YEAR($B$7),MONTH(EY$3)=MONTH($B$7)),'Вводные'!$B$31="Капитализация в ПФ"),EX37,0),0)</x:f>
      </x:c>
      <x:c r="EZ48" s="117">
        <x:f>IF(AND(EZ$3&gt;=$B$7,EZ$3&lt;$B$8),EY48*(1+EZ41/12)+EZ42+EZ43+IF(AND(AND(YEAR(EZ$3)=YEAR($B$7),MONTH(EZ$3)=MONTH($B$7)),'Вводные'!$B$31="Капитализация в ПФ"),EY37,0),0)</x:f>
      </x:c>
      <x:c r="FA48" s="117">
        <x:f>IF(AND(FA$3&gt;=$B$7,FA$3&lt;$B$8),EZ48*(1+FA41/12)+FA42+FA43+IF(AND(AND(YEAR(FA$3)=YEAR($B$7),MONTH(FA$3)=MONTH($B$7)),'Вводные'!$B$31="Капитализация в ПФ"),EZ37,0),0)</x:f>
      </x:c>
      <x:c r="FB48" s="117">
        <x:f>IF(AND(FB$3&gt;=$B$7,FB$3&lt;$B$8),FA48*(1+FB41/12)+FB42+FB43+IF(AND(AND(YEAR(FB$3)=YEAR($B$7),MONTH(FB$3)=MONTH($B$7)),'Вводные'!$B$31="Капитализация в ПФ"),FA37,0),0)</x:f>
      </x:c>
      <x:c r="FC48" s="117">
        <x:f>IF(AND(FC$3&gt;=$B$7,FC$3&lt;$B$8),FB48*(1+FC41/12)+FC42+FC43+IF(AND(AND(YEAR(FC$3)=YEAR($B$7),MONTH(FC$3)=MONTH($B$7)),'Вводные'!$B$31="Капитализация в ПФ"),FB37,0),0)</x:f>
      </x:c>
      <x:c r="FD48" s="117">
        <x:f>IF(AND(FD$3&gt;=$B$7,FD$3&lt;$B$8),FC48*(1+FD41/12)+FD42+FD43+IF(AND(AND(YEAR(FD$3)=YEAR($B$7),MONTH(FD$3)=MONTH($B$7)),'Вводные'!$B$31="Капитализация в ПФ"),FC37,0),0)</x:f>
      </x:c>
      <x:c r="FE48" s="117">
        <x:f>IF(AND(FE$3&gt;=$B$7,FE$3&lt;$B$8),FD48*(1+FE41/12)+FE42+FE43+IF(AND(AND(YEAR(FE$3)=YEAR($B$7),MONTH(FE$3)=MONTH($B$7)),'Вводные'!$B$31="Капитализация в ПФ"),FD37,0),0)</x:f>
      </x:c>
      <x:c r="FF48" s="117">
        <x:f>IF(AND(FF$3&gt;=$B$7,FF$3&lt;$B$8),FE48*(1+FF41/12)+FF42+FF43+IF(AND(AND(YEAR(FF$3)=YEAR($B$7),MONTH(FF$3)=MONTH($B$7)),'Вводные'!$B$31="Капитализация в ПФ"),FE37,0),0)</x:f>
      </x:c>
      <x:c r="FG48" s="117">
        <x:f>IF(AND(FG$3&gt;=$B$7,FG$3&lt;$B$8),FF48*(1+FG41/12)+FG42+FG43+IF(AND(AND(YEAR(FG$3)=YEAR($B$7),MONTH(FG$3)=MONTH($B$7)),'Вводные'!$B$31="Капитализация в ПФ"),FF37,0),0)</x:f>
      </x:c>
      <x:c r="FH48" s="117">
        <x:f>IF(AND(FH$3&gt;=$B$7,FH$3&lt;$B$8),FG48*(1+FH41/12)+FH42+FH43+IF(AND(AND(YEAR(FH$3)=YEAR($B$7),MONTH(FH$3)=MONTH($B$7)),'Вводные'!$B$31="Капитализация в ПФ"),FG37,0),0)</x:f>
      </x:c>
      <x:c r="FI48" s="117">
        <x:f>IF(AND(FI$3&gt;=$B$7,FI$3&lt;$B$8),FH48*(1+FI41/12)+FI42+FI43+IF(AND(AND(YEAR(FI$3)=YEAR($B$7),MONTH(FI$3)=MONTH($B$7)),'Вводные'!$B$31="Капитализация в ПФ"),FH37,0),0)</x:f>
      </x:c>
      <x:c r="FJ48" s="117">
        <x:f>IF(AND(FJ$3&gt;=$B$7,FJ$3&lt;$B$8),FI48*(1+FJ41/12)+FJ42+FJ43+IF(AND(AND(YEAR(FJ$3)=YEAR($B$7),MONTH(FJ$3)=MONTH($B$7)),'Вводные'!$B$31="Капитализация в ПФ"),FI37,0),0)</x:f>
      </x:c>
      <x:c r="FK48" s="117">
        <x:f>IF(AND(FK$3&gt;=$B$7,FK$3&lt;$B$8),FJ48*(1+FK41/12)+FK42+FK43+IF(AND(AND(YEAR(FK$3)=YEAR($B$7),MONTH(FK$3)=MONTH($B$7)),'Вводные'!$B$31="Капитализация в ПФ"),FJ37,0),0)</x:f>
      </x:c>
      <x:c r="FL48" s="117">
        <x:f>IF(AND(FL$3&gt;=$B$7,FL$3&lt;$B$8),FK48*(1+FL41/12)+FL42+FL43+IF(AND(AND(YEAR(FL$3)=YEAR($B$7),MONTH(FL$3)=MONTH($B$7)),'Вводные'!$B$31="Капитализация в ПФ"),FK37,0),0)</x:f>
      </x:c>
      <x:c r="FM48" s="117">
        <x:f>IF(AND(FM$3&gt;=$B$7,FM$3&lt;$B$8),FL48*(1+FM41/12)+FM42+FM43+IF(AND(AND(YEAR(FM$3)=YEAR($B$7),MONTH(FM$3)=MONTH($B$7)),'Вводные'!$B$31="Капитализация в ПФ"),FL37,0),0)</x:f>
      </x:c>
      <x:c r="FN48" s="117">
        <x:f>IF(AND(FN$3&gt;=$B$7,FN$3&lt;$B$8),FM48*(1+FN41/12)+FN42+FN43+IF(AND(AND(YEAR(FN$3)=YEAR($B$7),MONTH(FN$3)=MONTH($B$7)),'Вводные'!$B$31="Капитализация в ПФ"),FM37,0),0)</x:f>
      </x:c>
      <x:c r="FO48" s="117">
        <x:f>IF(AND(FO$3&gt;=$B$7,FO$3&lt;$B$8),FN48*(1+FO41/12)+FO42+FO43+IF(AND(AND(YEAR(FO$3)=YEAR($B$7),MONTH(FO$3)=MONTH($B$7)),'Вводные'!$B$31="Капитализация в ПФ"),FN37,0),0)</x:f>
      </x:c>
      <x:c r="FP48" s="117">
        <x:f>IF(AND(FP$3&gt;=$B$7,FP$3&lt;$B$8),FO48*(1+FP41/12)+FP42+FP43+IF(AND(AND(YEAR(FP$3)=YEAR($B$7),MONTH(FP$3)=MONTH($B$7)),'Вводные'!$B$31="Капитализация в ПФ"),FO37,0),0)</x:f>
      </x:c>
      <x:c r="FQ48" s="117">
        <x:f>IF(AND(FQ$3&gt;=$B$7,FQ$3&lt;$B$8),FP48*(1+FQ41/12)+FQ42+FQ43+IF(AND(AND(YEAR(FQ$3)=YEAR($B$7),MONTH(FQ$3)=MONTH($B$7)),'Вводные'!$B$31="Капитализация в ПФ"),FP37,0),0)</x:f>
      </x:c>
      <x:c r="FR48" s="117">
        <x:f>IF(AND(FR$3&gt;=$B$7,FR$3&lt;$B$8),FQ48*(1+FR41/12)+FR42+FR43+IF(AND(AND(YEAR(FR$3)=YEAR($B$7),MONTH(FR$3)=MONTH($B$7)),'Вводные'!$B$31="Капитализация в ПФ"),FQ37,0),0)</x:f>
      </x:c>
      <x:c r="FS48" s="117">
        <x:f>IF(AND(FS$3&gt;=$B$7,FS$3&lt;$B$8),FR48*(1+FS41/12)+FS42+FS43+IF(AND(AND(YEAR(FS$3)=YEAR($B$7),MONTH(FS$3)=MONTH($B$7)),'Вводные'!$B$31="Капитализация в ПФ"),FR37,0),0)</x:f>
      </x:c>
      <x:c r="FT48" s="117">
        <x:f>IF(AND(FT$3&gt;=$B$7,FT$3&lt;$B$8),FS48*(1+FT41/12)+FT42+FT43+IF(AND(AND(YEAR(FT$3)=YEAR($B$7),MONTH(FT$3)=MONTH($B$7)),'Вводные'!$B$31="Капитализация в ПФ"),FS37,0),0)</x:f>
      </x:c>
      <x:c r="FU48" s="117">
        <x:f>IF(AND(FU$3&gt;=$B$7,FU$3&lt;$B$8),FT48*(1+FU41/12)+FU42+FU43+IF(AND(AND(YEAR(FU$3)=YEAR($B$7),MONTH(FU$3)=MONTH($B$7)),'Вводные'!$B$31="Капитализация в ПФ"),FT37,0),0)</x:f>
      </x:c>
      <x:c r="FV48" s="117">
        <x:f>IF(AND(FV$3&gt;=$B$7,FV$3&lt;$B$8),FU48*(1+FV41/12)+FV42+FV43+IF(AND(AND(YEAR(FV$3)=YEAR($B$7),MONTH(FV$3)=MONTH($B$7)),'Вводные'!$B$31="Капитализация в ПФ"),FU37,0),0)</x:f>
      </x:c>
      <x:c r="FW48" s="117">
        <x:f>IF(AND(FW$3&gt;=$B$7,FW$3&lt;$B$8),FV48*(1+FW41/12)+FW42+FW43+IF(AND(AND(YEAR(FW$3)=YEAR($B$7),MONTH(FW$3)=MONTH($B$7)),'Вводные'!$B$31="Капитализация в ПФ"),FV37,0),0)</x:f>
      </x:c>
      <x:c r="FX48" s="117">
        <x:f>IF(AND(FX$3&gt;=$B$7,FX$3&lt;$B$8),FW48*(1+FX41/12)+FX42+FX43+IF(AND(AND(YEAR(FX$3)=YEAR($B$7),MONTH(FX$3)=MONTH($B$7)),'Вводные'!$B$31="Капитализация в ПФ"),FW37,0),0)</x:f>
      </x:c>
      <x:c r="FY48" s="117">
        <x:f>IF(AND(FY$3&gt;=$B$7,FY$3&lt;$B$8),FX48*(1+FY41/12)+FY42+FY43+IF(AND(AND(YEAR(FY$3)=YEAR($B$7),MONTH(FY$3)=MONTH($B$7)),'Вводные'!$B$31="Капитализация в ПФ"),FX37,0),0)</x:f>
      </x:c>
      <x:c r="FZ48" s="117">
        <x:f>IF(AND(FZ$3&gt;=$B$7,FZ$3&lt;$B$8),FY48*(1+FZ41/12)+FZ42+FZ43+IF(AND(AND(YEAR(FZ$3)=YEAR($B$7),MONTH(FZ$3)=MONTH($B$7)),'Вводные'!$B$31="Капитализация в ПФ"),FY37,0),0)</x:f>
      </x:c>
      <x:c r="GA48" s="117">
        <x:f>IF(AND(GA$3&gt;=$B$7,GA$3&lt;$B$8),FZ48*(1+GA41/12)+GA42+GA43+IF(AND(AND(YEAR(GA$3)=YEAR($B$7),MONTH(GA$3)=MONTH($B$7)),'Вводные'!$B$31="Капитализация в ПФ"),FZ37,0),0)</x:f>
      </x:c>
    </x:row>
    <x:row r="49">
      <x:c r="A49" t="str">
        <x:v>Вклад собственного капитала</x:v>
      </x:c>
      <x:c r="B49" t="n">
        <x:f>SUM(D49:GA49)</x:f>
      </x:c>
      <x:c r="C49" t="str">
        <x:v>млн ₽</x:v>
      </x:c>
      <x:c r="D49" s="117">
        <x:f>MAX(0,D20+D24+D53+D57+D35+D46-D27-D34-D45)</x:f>
      </x:c>
      <x:c r="E49" s="117">
        <x:f>MAX(0,E20+E24+E53+E57+E35+E46-E27-E34-E45)</x:f>
      </x:c>
      <x:c r="F49" s="117">
        <x:f>MAX(0,F20+F24+F53+F57+F35+F46-F27-F34-F45)</x:f>
      </x:c>
      <x:c r="G49" s="117">
        <x:f>MAX(0,G20+G24+G53+G57+G35+G46-G27-G34-G45)</x:f>
      </x:c>
      <x:c r="H49" s="117">
        <x:f>MAX(0,H20+H24+H53+H57+H35+H46-H27-H34-H45)</x:f>
      </x:c>
      <x:c r="I49" s="117">
        <x:f>MAX(0,I20+I24+I53+I57+I35+I46-I27-I34-I45)</x:f>
      </x:c>
      <x:c r="J49" s="117">
        <x:f>MAX(0,J20+J24+J53+J57+J35+J46-J27-J34-J45)</x:f>
      </x:c>
      <x:c r="K49" s="117">
        <x:f>MAX(0,K20+K24+K53+K57+K35+K46-K27-K34-K45)</x:f>
      </x:c>
      <x:c r="L49" s="117">
        <x:f>MAX(0,L20+L24+L53+L57+L35+L46-L27-L34-L45)</x:f>
      </x:c>
      <x:c r="M49" s="117">
        <x:f>MAX(0,M20+M24+M53+M57+M35+M46-M27-M34-M45)</x:f>
      </x:c>
      <x:c r="N49" s="117">
        <x:f>MAX(0,N20+N24+N53+N57+N35+N46-N27-N34-N45)</x:f>
      </x:c>
      <x:c r="O49" s="117">
        <x:f>MAX(0,O20+O24+O53+O57+O35+O46-O27-O34-O45)</x:f>
      </x:c>
      <x:c r="P49" s="117">
        <x:f>MAX(0,P20+P24+P53+P57+P35+P46-P27-P34-P45)</x:f>
      </x:c>
      <x:c r="Q49" s="117">
        <x:f>MAX(0,Q20+Q24+Q53+Q57+Q35+Q46-Q27-Q34-Q45)</x:f>
      </x:c>
      <x:c r="R49" s="117">
        <x:f>MAX(0,R20+R24+R53+R57+R35+R46-R27-R34-R45)</x:f>
      </x:c>
      <x:c r="S49" s="117">
        <x:f>MAX(0,S20+S24+S53+S57+S35+S46-S27-S34-S45)</x:f>
      </x:c>
      <x:c r="T49" s="117">
        <x:f>MAX(0,T20+T24+T53+T57+T35+T46-T27-T34-T45)</x:f>
      </x:c>
      <x:c r="U49" s="117">
        <x:f>MAX(0,U20+U24+U53+U57+U35+U46-U27-U34-U45)</x:f>
      </x:c>
      <x:c r="V49" s="117">
        <x:f>MAX(0,V20+V24+V53+V57+V35+V46-V27-V34-V45)</x:f>
      </x:c>
      <x:c r="W49" s="117">
        <x:f>MAX(0,W20+W24+W53+W57+W35+W46-W27-W34-W45)</x:f>
      </x:c>
      <x:c r="X49" s="117">
        <x:f>MAX(0,X20+X24+X53+X57+X35+X46-X27-X34-X45)</x:f>
      </x:c>
      <x:c r="Y49" s="117">
        <x:f>MAX(0,Y20+Y24+Y53+Y57+Y35+Y46-Y27-Y34-Y45)</x:f>
      </x:c>
      <x:c r="Z49" s="117">
        <x:f>MAX(0,Z20+Z24+Z53+Z57+Z35+Z46-Z27-Z34-Z45)</x:f>
      </x:c>
      <x:c r="AA49" s="117">
        <x:f>MAX(0,AA20+AA24+AA53+AA57+AA35+AA46-AA27-AA34-AA45)</x:f>
      </x:c>
      <x:c r="AB49" s="117">
        <x:f>MAX(0,AB20+AB24+AB53+AB57+AB35+AB46-AB27-AB34-AB45)</x:f>
      </x:c>
      <x:c r="AC49" s="117">
        <x:f>MAX(0,AC20+AC24+AC53+AC57+AC35+AC46-AC27-AC34-AC45)</x:f>
      </x:c>
      <x:c r="AD49" s="117">
        <x:f>MAX(0,AD20+AD24+AD53+AD57+AD35+AD46-AD27-AD34-AD45)</x:f>
      </x:c>
      <x:c r="AE49" s="117">
        <x:f>MAX(0,AE20+AE24+AE53+AE57+AE35+AE46-AE27-AE34-AE45)</x:f>
      </x:c>
      <x:c r="AF49" s="117">
        <x:f>MAX(0,AF20+AF24+AF53+AF57+AF35+AF46-AF27-AF34-AF45)</x:f>
      </x:c>
      <x:c r="AG49" s="117">
        <x:f>MAX(0,AG20+AG24+AG53+AG57+AG35+AG46-AG27-AG34-AG45)</x:f>
      </x:c>
      <x:c r="AH49" s="117">
        <x:f>MAX(0,AH20+AH24+AH53+AH57+AH35+AH46-AH27-AH34-AH45)</x:f>
      </x:c>
      <x:c r="AI49" s="117">
        <x:f>MAX(0,AI20+AI24+AI53+AI57+AI35+AI46-AI27-AI34-AI45)</x:f>
      </x:c>
      <x:c r="AJ49" s="117">
        <x:f>MAX(0,AJ20+AJ24+AJ53+AJ57+AJ35+AJ46-AJ27-AJ34-AJ45)</x:f>
      </x:c>
      <x:c r="AK49" s="117">
        <x:f>MAX(0,AK20+AK24+AK53+AK57+AK35+AK46-AK27-AK34-AK45)</x:f>
      </x:c>
      <x:c r="AL49" s="117">
        <x:f>MAX(0,AL20+AL24+AL53+AL57+AL35+AL46-AL27-AL34-AL45)</x:f>
      </x:c>
      <x:c r="AM49" s="117">
        <x:f>MAX(0,AM20+AM24+AM53+AM57+AM35+AM46-AM27-AM34-AM45)</x:f>
      </x:c>
      <x:c r="AN49" s="117">
        <x:f>MAX(0,AN20+AN24+AN53+AN57+AN35+AN46-AN27-AN34-AN45)</x:f>
      </x:c>
      <x:c r="AO49" s="117">
        <x:f>MAX(0,AO20+AO24+AO53+AO57+AO35+AO46-AO27-AO34-AO45)</x:f>
      </x:c>
      <x:c r="AP49" s="117">
        <x:f>MAX(0,AP20+AP24+AP53+AP57+AP35+AP46-AP27-AP34-AP45)</x:f>
      </x:c>
      <x:c r="AQ49" s="117">
        <x:f>MAX(0,AQ20+AQ24+AQ53+AQ57+AQ35+AQ46-AQ27-AQ34-AQ45)</x:f>
      </x:c>
      <x:c r="AR49" s="117">
        <x:f>MAX(0,AR20+AR24+AR53+AR57+AR35+AR46-AR27-AR34-AR45)</x:f>
      </x:c>
      <x:c r="AS49" s="117">
        <x:f>MAX(0,AS20+AS24+AS53+AS57+AS35+AS46-AS27-AS34-AS45)</x:f>
      </x:c>
      <x:c r="AT49" s="117">
        <x:f>MAX(0,AT20+AT24+AT53+AT57+AT35+AT46-AT27-AT34-AT45)</x:f>
      </x:c>
      <x:c r="AU49" s="117">
        <x:f>MAX(0,AU20+AU24+AU53+AU57+AU35+AU46-AU27-AU34-AU45)</x:f>
      </x:c>
      <x:c r="AV49" s="117">
        <x:f>MAX(0,AV20+AV24+AV53+AV57+AV35+AV46-AV27-AV34-AV45)</x:f>
      </x:c>
      <x:c r="AW49" s="117">
        <x:f>MAX(0,AW20+AW24+AW53+AW57+AW35+AW46-AW27-AW34-AW45)</x:f>
      </x:c>
      <x:c r="AX49" s="117">
        <x:f>MAX(0,AX20+AX24+AX53+AX57+AX35+AX46-AX27-AX34-AX45)</x:f>
      </x:c>
      <x:c r="AY49" s="117">
        <x:f>MAX(0,AY20+AY24+AY53+AY57+AY35+AY46-AY27-AY34-AY45)</x:f>
      </x:c>
      <x:c r="AZ49" s="117">
        <x:f>MAX(0,AZ20+AZ24+AZ53+AZ57+AZ35+AZ46-AZ27-AZ34-AZ45)</x:f>
      </x:c>
      <x:c r="BA49" s="117">
        <x:f>MAX(0,BA20+BA24+BA53+BA57+BA35+BA46-BA27-BA34-BA45)</x:f>
      </x:c>
      <x:c r="BB49" s="117">
        <x:f>MAX(0,BB20+BB24+BB53+BB57+BB35+BB46-BB27-BB34-BB45)</x:f>
      </x:c>
      <x:c r="BC49" s="117">
        <x:f>MAX(0,BC20+BC24+BC53+BC57+BC35+BC46-BC27-BC34-BC45)</x:f>
      </x:c>
      <x:c r="BD49" s="117">
        <x:f>MAX(0,BD20+BD24+BD53+BD57+BD35+BD46-BD27-BD34-BD45)</x:f>
      </x:c>
      <x:c r="BE49" s="117">
        <x:f>MAX(0,BE20+BE24+BE53+BE57+BE35+BE46-BE27-BE34-BE45)</x:f>
      </x:c>
      <x:c r="BF49" s="117">
        <x:f>MAX(0,BF20+BF24+BF53+BF57+BF35+BF46-BF27-BF34-BF45)</x:f>
      </x:c>
      <x:c r="BG49" s="117">
        <x:f>MAX(0,BG20+BG24+BG53+BG57+BG35+BG46-BG27-BG34-BG45)</x:f>
      </x:c>
      <x:c r="BH49" s="117">
        <x:f>MAX(0,BH20+BH24+BH53+BH57+BH35+BH46-BH27-BH34-BH45)</x:f>
      </x:c>
      <x:c r="BI49" s="117">
        <x:f>MAX(0,BI20+BI24+BI53+BI57+BI35+BI46-BI27-BI34-BI45)</x:f>
      </x:c>
      <x:c r="BJ49" s="117">
        <x:f>MAX(0,BJ20+BJ24+BJ53+BJ57+BJ35+BJ46-BJ27-BJ34-BJ45)</x:f>
      </x:c>
      <x:c r="BK49" s="117">
        <x:f>MAX(0,BK20+BK24+BK53+BK57+BK35+BK46-BK27-BK34-BK45)</x:f>
      </x:c>
      <x:c r="BL49" s="117">
        <x:f>MAX(0,BL20+BL24+BL53+BL57+BL35+BL46-BL27-BL34-BL45)</x:f>
      </x:c>
      <x:c r="BM49" s="117">
        <x:f>MAX(0,BM20+BM24+BM53+BM57+BM35+BM46-BM27-BM34-BM45)</x:f>
      </x:c>
      <x:c r="BN49" s="117">
        <x:f>MAX(0,BN20+BN24+BN53+BN57+BN35+BN46-BN27-BN34-BN45)</x:f>
      </x:c>
      <x:c r="BO49" s="117">
        <x:f>MAX(0,BO20+BO24+BO53+BO57+BO35+BO46-BO27-BO34-BO45)</x:f>
      </x:c>
      <x:c r="BP49" s="117">
        <x:f>MAX(0,BP20+BP24+BP53+BP57+BP35+BP46-BP27-BP34-BP45)</x:f>
      </x:c>
      <x:c r="BQ49" s="117">
        <x:f>MAX(0,BQ20+BQ24+BQ53+BQ57+BQ35+BQ46-BQ27-BQ34-BQ45)</x:f>
      </x:c>
      <x:c r="BR49" s="117">
        <x:f>MAX(0,BR20+BR24+BR53+BR57+BR35+BR46-BR27-BR34-BR45)</x:f>
      </x:c>
      <x:c r="BS49" s="117">
        <x:f>MAX(0,BS20+BS24+BS53+BS57+BS35+BS46-BS27-BS34-BS45)</x:f>
      </x:c>
      <x:c r="BT49" s="117">
        <x:f>MAX(0,BT20+BT24+BT53+BT57+BT35+BT46-BT27-BT34-BT45)</x:f>
      </x:c>
      <x:c r="BU49" s="117">
        <x:f>MAX(0,BU20+BU24+BU53+BU57+BU35+BU46-BU27-BU34-BU45)</x:f>
      </x:c>
      <x:c r="BV49" s="117">
        <x:f>MAX(0,BV20+BV24+BV53+BV57+BV35+BV46-BV27-BV34-BV45)</x:f>
      </x:c>
      <x:c r="BW49" s="117">
        <x:f>MAX(0,BW20+BW24+BW53+BW57+BW35+BW46-BW27-BW34-BW45)</x:f>
      </x:c>
      <x:c r="BX49" s="117">
        <x:f>MAX(0,BX20+BX24+BX53+BX57+BX35+BX46-BX27-BX34-BX45)</x:f>
      </x:c>
      <x:c r="BY49" s="117">
        <x:f>MAX(0,BY20+BY24+BY53+BY57+BY35+BY46-BY27-BY34-BY45)</x:f>
      </x:c>
      <x:c r="BZ49" s="117">
        <x:f>MAX(0,BZ20+BZ24+BZ53+BZ57+BZ35+BZ46-BZ27-BZ34-BZ45)</x:f>
      </x:c>
      <x:c r="CA49" s="117">
        <x:f>MAX(0,CA20+CA24+CA53+CA57+CA35+CA46-CA27-CA34-CA45)</x:f>
      </x:c>
      <x:c r="CB49" s="117">
        <x:f>MAX(0,CB20+CB24+CB53+CB57+CB35+CB46-CB27-CB34-CB45)</x:f>
      </x:c>
      <x:c r="CC49" s="117">
        <x:f>MAX(0,CC20+CC24+CC53+CC57+CC35+CC46-CC27-CC34-CC45)</x:f>
      </x:c>
      <x:c r="CD49" s="117">
        <x:f>MAX(0,CD20+CD24+CD53+CD57+CD35+CD46-CD27-CD34-CD45)</x:f>
      </x:c>
      <x:c r="CE49" s="117">
        <x:f>MAX(0,CE20+CE24+CE53+CE57+CE35+CE46-CE27-CE34-CE45)</x:f>
      </x:c>
      <x:c r="CF49" s="117">
        <x:f>MAX(0,CF20+CF24+CF53+CF57+CF35+CF46-CF27-CF34-CF45)</x:f>
      </x:c>
      <x:c r="CG49" s="117">
        <x:f>MAX(0,CG20+CG24+CG53+CG57+CG35+CG46-CG27-CG34-CG45)</x:f>
      </x:c>
      <x:c r="CH49" s="117">
        <x:f>MAX(0,CH20+CH24+CH53+CH57+CH35+CH46-CH27-CH34-CH45)</x:f>
      </x:c>
      <x:c r="CI49" s="117">
        <x:f>MAX(0,CI20+CI24+CI53+CI57+CI35+CI46-CI27-CI34-CI45)</x:f>
      </x:c>
      <x:c r="CJ49" s="117">
        <x:f>MAX(0,CJ20+CJ24+CJ53+CJ57+CJ35+CJ46-CJ27-CJ34-CJ45)</x:f>
      </x:c>
      <x:c r="CK49" s="117">
        <x:f>MAX(0,CK20+CK24+CK53+CK57+CK35+CK46-CK27-CK34-CK45)</x:f>
      </x:c>
      <x:c r="CL49" s="117">
        <x:f>MAX(0,CL20+CL24+CL53+CL57+CL35+CL46-CL27-CL34-CL45)</x:f>
      </x:c>
      <x:c r="CM49" s="117">
        <x:f>MAX(0,CM20+CM24+CM53+CM57+CM35+CM46-CM27-CM34-CM45)</x:f>
      </x:c>
      <x:c r="CN49" s="117">
        <x:f>MAX(0,CN20+CN24+CN53+CN57+CN35+CN46-CN27-CN34-CN45)</x:f>
      </x:c>
      <x:c r="CO49" s="117">
        <x:f>MAX(0,CO20+CO24+CO53+CO57+CO35+CO46-CO27-CO34-CO45)</x:f>
      </x:c>
      <x:c r="CP49" s="117">
        <x:f>MAX(0,CP20+CP24+CP53+CP57+CP35+CP46-CP27-CP34-CP45)</x:f>
      </x:c>
      <x:c r="CQ49" s="117">
        <x:f>MAX(0,CQ20+CQ24+CQ53+CQ57+CQ35+CQ46-CQ27-CQ34-CQ45)</x:f>
      </x:c>
      <x:c r="CR49" s="117">
        <x:f>MAX(0,CR20+CR24+CR53+CR57+CR35+CR46-CR27-CR34-CR45)</x:f>
      </x:c>
      <x:c r="CS49" s="117">
        <x:f>MAX(0,CS20+CS24+CS53+CS57+CS35+CS46-CS27-CS34-CS45)</x:f>
      </x:c>
      <x:c r="CT49" s="117">
        <x:f>MAX(0,CT20+CT24+CT53+CT57+CT35+CT46-CT27-CT34-CT45)</x:f>
      </x:c>
      <x:c r="CU49" s="117">
        <x:f>MAX(0,CU20+CU24+CU53+CU57+CU35+CU46-CU27-CU34-CU45)</x:f>
      </x:c>
      <x:c r="CV49" s="117">
        <x:f>MAX(0,CV20+CV24+CV53+CV57+CV35+CV46-CV27-CV34-CV45)</x:f>
      </x:c>
      <x:c r="CW49" s="117">
        <x:f>MAX(0,CW20+CW24+CW53+CW57+CW35+CW46-CW27-CW34-CW45)</x:f>
      </x:c>
      <x:c r="CX49" s="117">
        <x:f>MAX(0,CX20+CX24+CX53+CX57+CX35+CX46-CX27-CX34-CX45)</x:f>
      </x:c>
      <x:c r="CY49" s="117">
        <x:f>MAX(0,CY20+CY24+CY53+CY57+CY35+CY46-CY27-CY34-CY45)</x:f>
      </x:c>
      <x:c r="CZ49" s="117">
        <x:f>MAX(0,CZ20+CZ24+CZ53+CZ57+CZ35+CZ46-CZ27-CZ34-CZ45)</x:f>
      </x:c>
      <x:c r="DA49" s="117">
        <x:f>MAX(0,DA20+DA24+DA53+DA57+DA35+DA46-DA27-DA34-DA45)</x:f>
      </x:c>
      <x:c r="DB49" s="117">
        <x:f>MAX(0,DB20+DB24+DB53+DB57+DB35+DB46-DB27-DB34-DB45)</x:f>
      </x:c>
      <x:c r="DC49" s="117">
        <x:f>MAX(0,DC20+DC24+DC53+DC57+DC35+DC46-DC27-DC34-DC45)</x:f>
      </x:c>
      <x:c r="DD49" s="117">
        <x:f>MAX(0,DD20+DD24+DD53+DD57+DD35+DD46-DD27-DD34-DD45)</x:f>
      </x:c>
      <x:c r="DE49" s="117">
        <x:f>MAX(0,DE20+DE24+DE53+DE57+DE35+DE46-DE27-DE34-DE45)</x:f>
      </x:c>
      <x:c r="DF49" s="117">
        <x:f>MAX(0,DF20+DF24+DF53+DF57+DF35+DF46-DF27-DF34-DF45)</x:f>
      </x:c>
      <x:c r="DG49" s="117">
        <x:f>MAX(0,DG20+DG24+DG53+DG57+DG35+DG46-DG27-DG34-DG45)</x:f>
      </x:c>
      <x:c r="DH49" s="117">
        <x:f>MAX(0,DH20+DH24+DH53+DH57+DH35+DH46-DH27-DH34-DH45)</x:f>
      </x:c>
      <x:c r="DI49" s="117">
        <x:f>MAX(0,DI20+DI24+DI53+DI57+DI35+DI46-DI27-DI34-DI45)</x:f>
      </x:c>
      <x:c r="DJ49" s="117">
        <x:f>MAX(0,DJ20+DJ24+DJ53+DJ57+DJ35+DJ46-DJ27-DJ34-DJ45)</x:f>
      </x:c>
      <x:c r="DK49" s="117">
        <x:f>MAX(0,DK20+DK24+DK53+DK57+DK35+DK46-DK27-DK34-DK45)</x:f>
      </x:c>
      <x:c r="DL49" s="117">
        <x:f>MAX(0,DL20+DL24+DL53+DL57+DL35+DL46-DL27-DL34-DL45)</x:f>
      </x:c>
      <x:c r="DM49" s="117">
        <x:f>MAX(0,DM20+DM24+DM53+DM57+DM35+DM46-DM27-DM34-DM45)</x:f>
      </x:c>
      <x:c r="DN49" s="117">
        <x:f>MAX(0,DN20+DN24+DN53+DN57+DN35+DN46-DN27-DN34-DN45)</x:f>
      </x:c>
      <x:c r="DO49" s="117">
        <x:f>MAX(0,DO20+DO24+DO53+DO57+DO35+DO46-DO27-DO34-DO45)</x:f>
      </x:c>
      <x:c r="DP49" s="117">
        <x:f>MAX(0,DP20+DP24+DP53+DP57+DP35+DP46-DP27-DP34-DP45)</x:f>
      </x:c>
      <x:c r="DQ49" s="117">
        <x:f>MAX(0,DQ20+DQ24+DQ53+DQ57+DQ35+DQ46-DQ27-DQ34-DQ45)</x:f>
      </x:c>
      <x:c r="DR49" s="117">
        <x:f>MAX(0,DR20+DR24+DR53+DR57+DR35+DR46-DR27-DR34-DR45)</x:f>
      </x:c>
      <x:c r="DS49" s="117">
        <x:f>MAX(0,DS20+DS24+DS53+DS57+DS35+DS46-DS27-DS34-DS45)</x:f>
      </x:c>
      <x:c r="DT49" s="117">
        <x:f>MAX(0,DT20+DT24+DT53+DT57+DT35+DT46-DT27-DT34-DT45)</x:f>
      </x:c>
      <x:c r="DU49" s="117">
        <x:f>MAX(0,DU20+DU24+DU53+DU57+DU35+DU46-DU27-DU34-DU45)</x:f>
      </x:c>
      <x:c r="DV49" s="117">
        <x:f>MAX(0,DV20+DV24+DV53+DV57+DV35+DV46-DV27-DV34-DV45)</x:f>
      </x:c>
      <x:c r="DW49" s="117">
        <x:f>MAX(0,DW20+DW24+DW53+DW57+DW35+DW46-DW27-DW34-DW45)</x:f>
      </x:c>
      <x:c r="DX49" s="117">
        <x:f>MAX(0,DX20+DX24+DX53+DX57+DX35+DX46-DX27-DX34-DX45)</x:f>
      </x:c>
      <x:c r="DY49" s="117">
        <x:f>MAX(0,DY20+DY24+DY53+DY57+DY35+DY46-DY27-DY34-DY45)</x:f>
      </x:c>
      <x:c r="DZ49" s="117">
        <x:f>MAX(0,DZ20+DZ24+DZ53+DZ57+DZ35+DZ46-DZ27-DZ34-DZ45)</x:f>
      </x:c>
      <x:c r="EA49" s="117">
        <x:f>MAX(0,EA20+EA24+EA53+EA57+EA35+EA46-EA27-EA34-EA45)</x:f>
      </x:c>
      <x:c r="EB49" s="117">
        <x:f>MAX(0,EB20+EB24+EB53+EB57+EB35+EB46-EB27-EB34-EB45)</x:f>
      </x:c>
      <x:c r="EC49" s="117">
        <x:f>MAX(0,EC20+EC24+EC53+EC57+EC35+EC46-EC27-EC34-EC45)</x:f>
      </x:c>
      <x:c r="ED49" s="117">
        <x:f>MAX(0,ED20+ED24+ED53+ED57+ED35+ED46-ED27-ED34-ED45)</x:f>
      </x:c>
      <x:c r="EE49" s="117">
        <x:f>MAX(0,EE20+EE24+EE53+EE57+EE35+EE46-EE27-EE34-EE45)</x:f>
      </x:c>
      <x:c r="EF49" s="117">
        <x:f>MAX(0,EF20+EF24+EF53+EF57+EF35+EF46-EF27-EF34-EF45)</x:f>
      </x:c>
      <x:c r="EG49" s="117">
        <x:f>MAX(0,EG20+EG24+EG53+EG57+EG35+EG46-EG27-EG34-EG45)</x:f>
      </x:c>
      <x:c r="EH49" s="117">
        <x:f>MAX(0,EH20+EH24+EH53+EH57+EH35+EH46-EH27-EH34-EH45)</x:f>
      </x:c>
      <x:c r="EI49" s="117">
        <x:f>MAX(0,EI20+EI24+EI53+EI57+EI35+EI46-EI27-EI34-EI45)</x:f>
      </x:c>
      <x:c r="EJ49" s="117">
        <x:f>MAX(0,EJ20+EJ24+EJ53+EJ57+EJ35+EJ46-EJ27-EJ34-EJ45)</x:f>
      </x:c>
      <x:c r="EK49" s="117">
        <x:f>MAX(0,EK20+EK24+EK53+EK57+EK35+EK46-EK27-EK34-EK45)</x:f>
      </x:c>
      <x:c r="EL49" s="117">
        <x:f>MAX(0,EL20+EL24+EL53+EL57+EL35+EL46-EL27-EL34-EL45)</x:f>
      </x:c>
      <x:c r="EM49" s="117">
        <x:f>MAX(0,EM20+EM24+EM53+EM57+EM35+EM46-EM27-EM34-EM45)</x:f>
      </x:c>
      <x:c r="EN49" s="117">
        <x:f>MAX(0,EN20+EN24+EN53+EN57+EN35+EN46-EN27-EN34-EN45)</x:f>
      </x:c>
      <x:c r="EO49" s="117">
        <x:f>MAX(0,EO20+EO24+EO53+EO57+EO35+EO46-EO27-EO34-EO45)</x:f>
      </x:c>
      <x:c r="EP49" s="117">
        <x:f>MAX(0,EP20+EP24+EP53+EP57+EP35+EP46-EP27-EP34-EP45)</x:f>
      </x:c>
      <x:c r="EQ49" s="117">
        <x:f>MAX(0,EQ20+EQ24+EQ53+EQ57+EQ35+EQ46-EQ27-EQ34-EQ45)</x:f>
      </x:c>
      <x:c r="ER49" s="117">
        <x:f>MAX(0,ER20+ER24+ER53+ER57+ER35+ER46-ER27-ER34-ER45)</x:f>
      </x:c>
      <x:c r="ES49" s="117">
        <x:f>MAX(0,ES20+ES24+ES53+ES57+ES35+ES46-ES27-ES34-ES45)</x:f>
      </x:c>
      <x:c r="ET49" s="117">
        <x:f>MAX(0,ET20+ET24+ET53+ET57+ET35+ET46-ET27-ET34-ET45)</x:f>
      </x:c>
      <x:c r="EU49" s="117">
        <x:f>MAX(0,EU20+EU24+EU53+EU57+EU35+EU46-EU27-EU34-EU45)</x:f>
      </x:c>
      <x:c r="EV49" s="117">
        <x:f>MAX(0,EV20+EV24+EV53+EV57+EV35+EV46-EV27-EV34-EV45)</x:f>
      </x:c>
      <x:c r="EW49" s="117">
        <x:f>MAX(0,EW20+EW24+EW53+EW57+EW35+EW46-EW27-EW34-EW45)</x:f>
      </x:c>
      <x:c r="EX49" s="117">
        <x:f>MAX(0,EX20+EX24+EX53+EX57+EX35+EX46-EX27-EX34-EX45)</x:f>
      </x:c>
      <x:c r="EY49" s="117">
        <x:f>MAX(0,EY20+EY24+EY53+EY57+EY35+EY46-EY27-EY34-EY45)</x:f>
      </x:c>
      <x:c r="EZ49" s="117">
        <x:f>MAX(0,EZ20+EZ24+EZ53+EZ57+EZ35+EZ46-EZ27-EZ34-EZ45)</x:f>
      </x:c>
      <x:c r="FA49" s="117">
        <x:f>MAX(0,FA20+FA24+FA53+FA57+FA35+FA46-FA27-FA34-FA45)</x:f>
      </x:c>
      <x:c r="FB49" s="117">
        <x:f>MAX(0,FB20+FB24+FB53+FB57+FB35+FB46-FB27-FB34-FB45)</x:f>
      </x:c>
      <x:c r="FC49" s="117">
        <x:f>MAX(0,FC20+FC24+FC53+FC57+FC35+FC46-FC27-FC34-FC45)</x:f>
      </x:c>
      <x:c r="FD49" s="117">
        <x:f>MAX(0,FD20+FD24+FD53+FD57+FD35+FD46-FD27-FD34-FD45)</x:f>
      </x:c>
      <x:c r="FE49" s="117">
        <x:f>MAX(0,FE20+FE24+FE53+FE57+FE35+FE46-FE27-FE34-FE45)</x:f>
      </x:c>
      <x:c r="FF49" s="117">
        <x:f>MAX(0,FF20+FF24+FF53+FF57+FF35+FF46-FF27-FF34-FF45)</x:f>
      </x:c>
      <x:c r="FG49" s="117">
        <x:f>MAX(0,FG20+FG24+FG53+FG57+FG35+FG46-FG27-FG34-FG45)</x:f>
      </x:c>
      <x:c r="FH49" s="117">
        <x:f>MAX(0,FH20+FH24+FH53+FH57+FH35+FH46-FH27-FH34-FH45)</x:f>
      </x:c>
      <x:c r="FI49" s="117">
        <x:f>MAX(0,FI20+FI24+FI53+FI57+FI35+FI46-FI27-FI34-FI45)</x:f>
      </x:c>
      <x:c r="FJ49" s="117">
        <x:f>MAX(0,FJ20+FJ24+FJ53+FJ57+FJ35+FJ46-FJ27-FJ34-FJ45)</x:f>
      </x:c>
      <x:c r="FK49" s="117">
        <x:f>MAX(0,FK20+FK24+FK53+FK57+FK35+FK46-FK27-FK34-FK45)</x:f>
      </x:c>
      <x:c r="FL49" s="117">
        <x:f>MAX(0,FL20+FL24+FL53+FL57+FL35+FL46-FL27-FL34-FL45)</x:f>
      </x:c>
      <x:c r="FM49" s="117">
        <x:f>MAX(0,FM20+FM24+FM53+FM57+FM35+FM46-FM27-FM34-FM45)</x:f>
      </x:c>
      <x:c r="FN49" s="117">
        <x:f>MAX(0,FN20+FN24+FN53+FN57+FN35+FN46-FN27-FN34-FN45)</x:f>
      </x:c>
      <x:c r="FO49" s="117">
        <x:f>MAX(0,FO20+FO24+FO53+FO57+FO35+FO46-FO27-FO34-FO45)</x:f>
      </x:c>
      <x:c r="FP49" s="117">
        <x:f>MAX(0,FP20+FP24+FP53+FP57+FP35+FP46-FP27-FP34-FP45)</x:f>
      </x:c>
      <x:c r="FQ49" s="117">
        <x:f>MAX(0,FQ20+FQ24+FQ53+FQ57+FQ35+FQ46-FQ27-FQ34-FQ45)</x:f>
      </x:c>
      <x:c r="FR49" s="117">
        <x:f>MAX(0,FR20+FR24+FR53+FR57+FR35+FR46-FR27-FR34-FR45)</x:f>
      </x:c>
      <x:c r="FS49" s="117">
        <x:f>MAX(0,FS20+FS24+FS53+FS57+FS35+FS46-FS27-FS34-FS45)</x:f>
      </x:c>
      <x:c r="FT49" s="117">
        <x:f>MAX(0,FT20+FT24+FT53+FT57+FT35+FT46-FT27-FT34-FT45)</x:f>
      </x:c>
      <x:c r="FU49" s="117">
        <x:f>MAX(0,FU20+FU24+FU53+FU57+FU35+FU46-FU27-FU34-FU45)</x:f>
      </x:c>
      <x:c r="FV49" s="117">
        <x:f>MAX(0,FV20+FV24+FV53+FV57+FV35+FV46-FV27-FV34-FV45)</x:f>
      </x:c>
      <x:c r="FW49" s="117">
        <x:f>MAX(0,FW20+FW24+FW53+FW57+FW35+FW46-FW27-FW34-FW45)</x:f>
      </x:c>
      <x:c r="FX49" s="117">
        <x:f>MAX(0,FX20+FX24+FX53+FX57+FX35+FX46-FX27-FX34-FX45)</x:f>
      </x:c>
      <x:c r="FY49" s="117">
        <x:f>MAX(0,FY20+FY24+FY53+FY57+FY35+FY46-FY27-FY34-FY45)</x:f>
      </x:c>
      <x:c r="FZ49" s="117">
        <x:f>MAX(0,FZ20+FZ24+FZ53+FZ57+FZ35+FZ46-FZ27-FZ34-FZ45)</x:f>
      </x:c>
      <x:c r="GA49" s="117">
        <x:f>MAX(0,GA20+GA24+GA53+GA57+GA35+GA46-GA27-GA34-GA45)</x:f>
      </x:c>
    </x:row>
    <x:row r="50">
      <x:c r="A50" t="str">
        <x:v>Распределение собственнику</x:v>
      </x:c>
      <x:c r="B50" t="n">
        <x:f>SUM(D50:GA50)</x:f>
      </x:c>
      <x:c r="C50" t="str">
        <x:v>млн ₽</x:v>
      </x:c>
      <x:c r="D50" s="117">
        <x:f>MAX(0,D27+D34+D45-D20-D24-D53-D57-D35-D46)</x:f>
      </x:c>
      <x:c r="E50" s="117">
        <x:f>MAX(0,E27+E34+E45-E20-E24-E53-E57-E35-E46)</x:f>
      </x:c>
      <x:c r="F50" s="117">
        <x:f>MAX(0,F27+F34+F45-F20-F24-F53-F57-F35-F46)</x:f>
      </x:c>
      <x:c r="G50" s="117">
        <x:f>MAX(0,G27+G34+G45-G20-G24-G53-G57-G35-G46)</x:f>
      </x:c>
      <x:c r="H50" s="117">
        <x:f>MAX(0,H27+H34+H45-H20-H24-H53-H57-H35-H46)</x:f>
      </x:c>
      <x:c r="I50" s="117">
        <x:f>MAX(0,I27+I34+I45-I20-I24-I53-I57-I35-I46)</x:f>
      </x:c>
      <x:c r="J50" s="117">
        <x:f>MAX(0,J27+J34+J45-J20-J24-J53-J57-J35-J46)</x:f>
      </x:c>
      <x:c r="K50" s="117">
        <x:f>MAX(0,K27+K34+K45-K20-K24-K53-K57-K35-K46)</x:f>
      </x:c>
      <x:c r="L50" s="117">
        <x:f>MAX(0,L27+L34+L45-L20-L24-L53-L57-L35-L46)</x:f>
      </x:c>
      <x:c r="M50" s="117">
        <x:f>MAX(0,M27+M34+M45-M20-M24-M53-M57-M35-M46)</x:f>
      </x:c>
      <x:c r="N50" s="117">
        <x:f>MAX(0,N27+N34+N45-N20-N24-N53-N57-N35-N46)</x:f>
      </x:c>
      <x:c r="O50" s="117">
        <x:f>MAX(0,O27+O34+O45-O20-O24-O53-O57-O35-O46)</x:f>
      </x:c>
      <x:c r="P50" s="117">
        <x:f>MAX(0,P27+P34+P45-P20-P24-P53-P57-P35-P46)</x:f>
      </x:c>
      <x:c r="Q50" s="117">
        <x:f>MAX(0,Q27+Q34+Q45-Q20-Q24-Q53-Q57-Q35-Q46)</x:f>
      </x:c>
      <x:c r="R50" s="117">
        <x:f>MAX(0,R27+R34+R45-R20-R24-R53-R57-R35-R46)</x:f>
      </x:c>
      <x:c r="S50" s="117">
        <x:f>MAX(0,S27+S34+S45-S20-S24-S53-S57-S35-S46)</x:f>
      </x:c>
      <x:c r="T50" s="117">
        <x:f>MAX(0,T27+T34+T45-T20-T24-T53-T57-T35-T46)</x:f>
      </x:c>
      <x:c r="U50" s="117">
        <x:f>MAX(0,U27+U34+U45-U20-U24-U53-U57-U35-U46)</x:f>
      </x:c>
      <x:c r="V50" s="117">
        <x:f>MAX(0,V27+V34+V45-V20-V24-V53-V57-V35-V46)</x:f>
      </x:c>
      <x:c r="W50" s="117">
        <x:f>MAX(0,W27+W34+W45-W20-W24-W53-W57-W35-W46)</x:f>
      </x:c>
      <x:c r="X50" s="117">
        <x:f>MAX(0,X27+X34+X45-X20-X24-X53-X57-X35-X46)</x:f>
      </x:c>
      <x:c r="Y50" s="117">
        <x:f>MAX(0,Y27+Y34+Y45-Y20-Y24-Y53-Y57-Y35-Y46)</x:f>
      </x:c>
      <x:c r="Z50" s="117">
        <x:f>MAX(0,Z27+Z34+Z45-Z20-Z24-Z53-Z57-Z35-Z46)</x:f>
      </x:c>
      <x:c r="AA50" s="117">
        <x:f>MAX(0,AA27+AA34+AA45-AA20-AA24-AA53-AA57-AA35-AA46)</x:f>
      </x:c>
      <x:c r="AB50" s="117">
        <x:f>MAX(0,AB27+AB34+AB45-AB20-AB24-AB53-AB57-AB35-AB46)</x:f>
      </x:c>
      <x:c r="AC50" s="117">
        <x:f>MAX(0,AC27+AC34+AC45-AC20-AC24-AC53-AC57-AC35-AC46)</x:f>
      </x:c>
      <x:c r="AD50" s="117">
        <x:f>MAX(0,AD27+AD34+AD45-AD20-AD24-AD53-AD57-AD35-AD46)</x:f>
      </x:c>
      <x:c r="AE50" s="117">
        <x:f>MAX(0,AE27+AE34+AE45-AE20-AE24-AE53-AE57-AE35-AE46)</x:f>
      </x:c>
      <x:c r="AF50" s="117">
        <x:f>MAX(0,AF27+AF34+AF45-AF20-AF24-AF53-AF57-AF35-AF46)</x:f>
      </x:c>
      <x:c r="AG50" s="117">
        <x:f>MAX(0,AG27+AG34+AG45-AG20-AG24-AG53-AG57-AG35-AG46)</x:f>
      </x:c>
      <x:c r="AH50" s="117">
        <x:f>MAX(0,AH27+AH34+AH45-AH20-AH24-AH53-AH57-AH35-AH46)</x:f>
      </x:c>
      <x:c r="AI50" s="117">
        <x:f>MAX(0,AI27+AI34+AI45-AI20-AI24-AI53-AI57-AI35-AI46)</x:f>
      </x:c>
      <x:c r="AJ50" s="117">
        <x:f>MAX(0,AJ27+AJ34+AJ45-AJ20-AJ24-AJ53-AJ57-AJ35-AJ46)</x:f>
      </x:c>
      <x:c r="AK50" s="117">
        <x:f>MAX(0,AK27+AK34+AK45-AK20-AK24-AK53-AK57-AK35-AK46)</x:f>
      </x:c>
      <x:c r="AL50" s="117">
        <x:f>MAX(0,AL27+AL34+AL45-AL20-AL24-AL53-AL57-AL35-AL46)</x:f>
      </x:c>
      <x:c r="AM50" s="117">
        <x:f>MAX(0,AM27+AM34+AM45-AM20-AM24-AM53-AM57-AM35-AM46)</x:f>
      </x:c>
      <x:c r="AN50" s="117">
        <x:f>MAX(0,AN27+AN34+AN45-AN20-AN24-AN53-AN57-AN35-AN46)</x:f>
      </x:c>
      <x:c r="AO50" s="117">
        <x:f>MAX(0,AO27+AO34+AO45-AO20-AO24-AO53-AO57-AO35-AO46)</x:f>
      </x:c>
      <x:c r="AP50" s="117">
        <x:f>MAX(0,AP27+AP34+AP45-AP20-AP24-AP53-AP57-AP35-AP46)</x:f>
      </x:c>
      <x:c r="AQ50" s="117">
        <x:f>MAX(0,AQ27+AQ34+AQ45-AQ20-AQ24-AQ53-AQ57-AQ35-AQ46)</x:f>
      </x:c>
      <x:c r="AR50" s="117">
        <x:f>MAX(0,AR27+AR34+AR45-AR20-AR24-AR53-AR57-AR35-AR46)</x:f>
      </x:c>
      <x:c r="AS50" s="117">
        <x:f>MAX(0,AS27+AS34+AS45-AS20-AS24-AS53-AS57-AS35-AS46)</x:f>
      </x:c>
      <x:c r="AT50" s="117">
        <x:f>MAX(0,AT27+AT34+AT45-AT20-AT24-AT53-AT57-AT35-AT46)</x:f>
      </x:c>
      <x:c r="AU50" s="117">
        <x:f>MAX(0,AU27+AU34+AU45-AU20-AU24-AU53-AU57-AU35-AU46)</x:f>
      </x:c>
      <x:c r="AV50" s="117">
        <x:f>MAX(0,AV27+AV34+AV45-AV20-AV24-AV53-AV57-AV35-AV46)</x:f>
      </x:c>
      <x:c r="AW50" s="117">
        <x:f>MAX(0,AW27+AW34+AW45-AW20-AW24-AW53-AW57-AW35-AW46)</x:f>
      </x:c>
      <x:c r="AX50" s="117">
        <x:f>MAX(0,AX27+AX34+AX45-AX20-AX24-AX53-AX57-AX35-AX46)</x:f>
      </x:c>
      <x:c r="AY50" s="117">
        <x:f>MAX(0,AY27+AY34+AY45-AY20-AY24-AY53-AY57-AY35-AY46)</x:f>
      </x:c>
      <x:c r="AZ50" s="117">
        <x:f>MAX(0,AZ27+AZ34+AZ45-AZ20-AZ24-AZ53-AZ57-AZ35-AZ46)</x:f>
      </x:c>
      <x:c r="BA50" s="117">
        <x:f>MAX(0,BA27+BA34+BA45-BA20-BA24-BA53-BA57-BA35-BA46)</x:f>
      </x:c>
      <x:c r="BB50" s="117">
        <x:f>MAX(0,BB27+BB34+BB45-BB20-BB24-BB53-BB57-BB35-BB46)</x:f>
      </x:c>
      <x:c r="BC50" s="117">
        <x:f>MAX(0,BC27+BC34+BC45-BC20-BC24-BC53-BC57-BC35-BC46)</x:f>
      </x:c>
      <x:c r="BD50" s="117">
        <x:f>MAX(0,BD27+BD34+BD45-BD20-BD24-BD53-BD57-BD35-BD46)</x:f>
      </x:c>
      <x:c r="BE50" s="117">
        <x:f>MAX(0,BE27+BE34+BE45-BE20-BE24-BE53-BE57-BE35-BE46)</x:f>
      </x:c>
      <x:c r="BF50" s="117">
        <x:f>MAX(0,BF27+BF34+BF45-BF20-BF24-BF53-BF57-BF35-BF46)</x:f>
      </x:c>
      <x:c r="BG50" s="117">
        <x:f>MAX(0,BG27+BG34+BG45-BG20-BG24-BG53-BG57-BG35-BG46)</x:f>
      </x:c>
      <x:c r="BH50" s="117">
        <x:f>MAX(0,BH27+BH34+BH45-BH20-BH24-BH53-BH57-BH35-BH46)</x:f>
      </x:c>
      <x:c r="BI50" s="117">
        <x:f>MAX(0,BI27+BI34+BI45-BI20-BI24-BI53-BI57-BI35-BI46)</x:f>
      </x:c>
      <x:c r="BJ50" s="117">
        <x:f>MAX(0,BJ27+BJ34+BJ45-BJ20-BJ24-BJ53-BJ57-BJ35-BJ46)</x:f>
      </x:c>
      <x:c r="BK50" s="117">
        <x:f>MAX(0,BK27+BK34+BK45-BK20-BK24-BK53-BK57-BK35-BK46)</x:f>
      </x:c>
      <x:c r="BL50" s="117">
        <x:f>MAX(0,BL27+BL34+BL45-BL20-BL24-BL53-BL57-BL35-BL46)</x:f>
      </x:c>
      <x:c r="BM50" s="117">
        <x:f>MAX(0,BM27+BM34+BM45-BM20-BM24-BM53-BM57-BM35-BM46)</x:f>
      </x:c>
      <x:c r="BN50" s="117">
        <x:f>MAX(0,BN27+BN34+BN45-BN20-BN24-BN53-BN57-BN35-BN46)</x:f>
      </x:c>
      <x:c r="BO50" s="117">
        <x:f>MAX(0,BO27+BO34+BO45-BO20-BO24-BO53-BO57-BO35-BO46)</x:f>
      </x:c>
      <x:c r="BP50" s="117">
        <x:f>MAX(0,BP27+BP34+BP45-BP20-BP24-BP53-BP57-BP35-BP46)</x:f>
      </x:c>
      <x:c r="BQ50" s="117">
        <x:f>MAX(0,BQ27+BQ34+BQ45-BQ20-BQ24-BQ53-BQ57-BQ35-BQ46)</x:f>
      </x:c>
      <x:c r="BR50" s="117">
        <x:f>MAX(0,BR27+BR34+BR45-BR20-BR24-BR53-BR57-BR35-BR46)</x:f>
      </x:c>
      <x:c r="BS50" s="117">
        <x:f>MAX(0,BS27+BS34+BS45-BS20-BS24-BS53-BS57-BS35-BS46)</x:f>
      </x:c>
      <x:c r="BT50" s="117">
        <x:f>MAX(0,BT27+BT34+BT45-BT20-BT24-BT53-BT57-BT35-BT46)</x:f>
      </x:c>
      <x:c r="BU50" s="117">
        <x:f>MAX(0,BU27+BU34+BU45-BU20-BU24-BU53-BU57-BU35-BU46)</x:f>
      </x:c>
      <x:c r="BV50" s="117">
        <x:f>MAX(0,BV27+BV34+BV45-BV20-BV24-BV53-BV57-BV35-BV46)</x:f>
      </x:c>
      <x:c r="BW50" s="117">
        <x:f>MAX(0,BW27+BW34+BW45-BW20-BW24-BW53-BW57-BW35-BW46)</x:f>
      </x:c>
      <x:c r="BX50" s="117">
        <x:f>MAX(0,BX27+BX34+BX45-BX20-BX24-BX53-BX57-BX35-BX46)</x:f>
      </x:c>
      <x:c r="BY50" s="117">
        <x:f>MAX(0,BY27+BY34+BY45-BY20-BY24-BY53-BY57-BY35-BY46)</x:f>
      </x:c>
      <x:c r="BZ50" s="117">
        <x:f>MAX(0,BZ27+BZ34+BZ45-BZ20-BZ24-BZ53-BZ57-BZ35-BZ46)</x:f>
      </x:c>
      <x:c r="CA50" s="117">
        <x:f>MAX(0,CA27+CA34+CA45-CA20-CA24-CA53-CA57-CA35-CA46)</x:f>
      </x:c>
      <x:c r="CB50" s="117">
        <x:f>MAX(0,CB27+CB34+CB45-CB20-CB24-CB53-CB57-CB35-CB46)</x:f>
      </x:c>
      <x:c r="CC50" s="117">
        <x:f>MAX(0,CC27+CC34+CC45-CC20-CC24-CC53-CC57-CC35-CC46)</x:f>
      </x:c>
      <x:c r="CD50" s="117">
        <x:f>MAX(0,CD27+CD34+CD45-CD20-CD24-CD53-CD57-CD35-CD46)</x:f>
      </x:c>
      <x:c r="CE50" s="117">
        <x:f>MAX(0,CE27+CE34+CE45-CE20-CE24-CE53-CE57-CE35-CE46)</x:f>
      </x:c>
      <x:c r="CF50" s="117">
        <x:f>MAX(0,CF27+CF34+CF45-CF20-CF24-CF53-CF57-CF35-CF46)</x:f>
      </x:c>
      <x:c r="CG50" s="117">
        <x:f>MAX(0,CG27+CG34+CG45-CG20-CG24-CG53-CG57-CG35-CG46)</x:f>
      </x:c>
      <x:c r="CH50" s="117">
        <x:f>MAX(0,CH27+CH34+CH45-CH20-CH24-CH53-CH57-CH35-CH46)</x:f>
      </x:c>
      <x:c r="CI50" s="117">
        <x:f>MAX(0,CI27+CI34+CI45-CI20-CI24-CI53-CI57-CI35-CI46)</x:f>
      </x:c>
      <x:c r="CJ50" s="117">
        <x:f>MAX(0,CJ27+CJ34+CJ45-CJ20-CJ24-CJ53-CJ57-CJ35-CJ46)</x:f>
      </x:c>
      <x:c r="CK50" s="117">
        <x:f>MAX(0,CK27+CK34+CK45-CK20-CK24-CK53-CK57-CK35-CK46)</x:f>
      </x:c>
      <x:c r="CL50" s="117">
        <x:f>MAX(0,CL27+CL34+CL45-CL20-CL24-CL53-CL57-CL35-CL46)</x:f>
      </x:c>
      <x:c r="CM50" s="117">
        <x:f>MAX(0,CM27+CM34+CM45-CM20-CM24-CM53-CM57-CM35-CM46)</x:f>
      </x:c>
      <x:c r="CN50" s="117">
        <x:f>MAX(0,CN27+CN34+CN45-CN20-CN24-CN53-CN57-CN35-CN46)</x:f>
      </x:c>
      <x:c r="CO50" s="117">
        <x:f>MAX(0,CO27+CO34+CO45-CO20-CO24-CO53-CO57-CO35-CO46)</x:f>
      </x:c>
      <x:c r="CP50" s="117">
        <x:f>MAX(0,CP27+CP34+CP45-CP20-CP24-CP53-CP57-CP35-CP46)</x:f>
      </x:c>
      <x:c r="CQ50" s="117">
        <x:f>MAX(0,CQ27+CQ34+CQ45-CQ20-CQ24-CQ53-CQ57-CQ35-CQ46)</x:f>
      </x:c>
      <x:c r="CR50" s="117">
        <x:f>MAX(0,CR27+CR34+CR45-CR20-CR24-CR53-CR57-CR35-CR46)</x:f>
      </x:c>
      <x:c r="CS50" s="117">
        <x:f>MAX(0,CS27+CS34+CS45-CS20-CS24-CS53-CS57-CS35-CS46)</x:f>
      </x:c>
      <x:c r="CT50" s="117">
        <x:f>MAX(0,CT27+CT34+CT45-CT20-CT24-CT53-CT57-CT35-CT46)</x:f>
      </x:c>
      <x:c r="CU50" s="117">
        <x:f>MAX(0,CU27+CU34+CU45-CU20-CU24-CU53-CU57-CU35-CU46)</x:f>
      </x:c>
      <x:c r="CV50" s="117">
        <x:f>MAX(0,CV27+CV34+CV45-CV20-CV24-CV53-CV57-CV35-CV46)</x:f>
      </x:c>
      <x:c r="CW50" s="117">
        <x:f>MAX(0,CW27+CW34+CW45-CW20-CW24-CW53-CW57-CW35-CW46)</x:f>
      </x:c>
      <x:c r="CX50" s="117">
        <x:f>MAX(0,CX27+CX34+CX45-CX20-CX24-CX53-CX57-CX35-CX46)</x:f>
      </x:c>
      <x:c r="CY50" s="117">
        <x:f>MAX(0,CY27+CY34+CY45-CY20-CY24-CY53-CY57-CY35-CY46)</x:f>
      </x:c>
      <x:c r="CZ50" s="117">
        <x:f>MAX(0,CZ27+CZ34+CZ45-CZ20-CZ24-CZ53-CZ57-CZ35-CZ46)</x:f>
      </x:c>
      <x:c r="DA50" s="117">
        <x:f>MAX(0,DA27+DA34+DA45-DA20-DA24-DA53-DA57-DA35-DA46)</x:f>
      </x:c>
      <x:c r="DB50" s="117">
        <x:f>MAX(0,DB27+DB34+DB45-DB20-DB24-DB53-DB57-DB35-DB46)</x:f>
      </x:c>
      <x:c r="DC50" s="117">
        <x:f>MAX(0,DC27+DC34+DC45-DC20-DC24-DC53-DC57-DC35-DC46)</x:f>
      </x:c>
      <x:c r="DD50" s="117">
        <x:f>MAX(0,DD27+DD34+DD45-DD20-DD24-DD53-DD57-DD35-DD46)</x:f>
      </x:c>
      <x:c r="DE50" s="117">
        <x:f>MAX(0,DE27+DE34+DE45-DE20-DE24-DE53-DE57-DE35-DE46)</x:f>
      </x:c>
      <x:c r="DF50" s="117">
        <x:f>MAX(0,DF27+DF34+DF45-DF20-DF24-DF53-DF57-DF35-DF46)</x:f>
      </x:c>
      <x:c r="DG50" s="117">
        <x:f>MAX(0,DG27+DG34+DG45-DG20-DG24-DG53-DG57-DG35-DG46)</x:f>
      </x:c>
      <x:c r="DH50" s="117">
        <x:f>MAX(0,DH27+DH34+DH45-DH20-DH24-DH53-DH57-DH35-DH46)</x:f>
      </x:c>
      <x:c r="DI50" s="117">
        <x:f>MAX(0,DI27+DI34+DI45-DI20-DI24-DI53-DI57-DI35-DI46)</x:f>
      </x:c>
      <x:c r="DJ50" s="117">
        <x:f>MAX(0,DJ27+DJ34+DJ45-DJ20-DJ24-DJ53-DJ57-DJ35-DJ46)</x:f>
      </x:c>
      <x:c r="DK50" s="117">
        <x:f>MAX(0,DK27+DK34+DK45-DK20-DK24-DK53-DK57-DK35-DK46)</x:f>
      </x:c>
      <x:c r="DL50" s="117">
        <x:f>MAX(0,DL27+DL34+DL45-DL20-DL24-DL53-DL57-DL35-DL46)</x:f>
      </x:c>
      <x:c r="DM50" s="117">
        <x:f>MAX(0,DM27+DM34+DM45-DM20-DM24-DM53-DM57-DM35-DM46)</x:f>
      </x:c>
      <x:c r="DN50" s="117">
        <x:f>MAX(0,DN27+DN34+DN45-DN20-DN24-DN53-DN57-DN35-DN46)</x:f>
      </x:c>
      <x:c r="DO50" s="117">
        <x:f>MAX(0,DO27+DO34+DO45-DO20-DO24-DO53-DO57-DO35-DO46)</x:f>
      </x:c>
      <x:c r="DP50" s="117">
        <x:f>MAX(0,DP27+DP34+DP45-DP20-DP24-DP53-DP57-DP35-DP46)</x:f>
      </x:c>
      <x:c r="DQ50" s="117">
        <x:f>MAX(0,DQ27+DQ34+DQ45-DQ20-DQ24-DQ53-DQ57-DQ35-DQ46)</x:f>
      </x:c>
      <x:c r="DR50" s="117">
        <x:f>MAX(0,DR27+DR34+DR45-DR20-DR24-DR53-DR57-DR35-DR46)</x:f>
      </x:c>
      <x:c r="DS50" s="117">
        <x:f>MAX(0,DS27+DS34+DS45-DS20-DS24-DS53-DS57-DS35-DS46)</x:f>
      </x:c>
      <x:c r="DT50" s="117">
        <x:f>MAX(0,DT27+DT34+DT45-DT20-DT24-DT53-DT57-DT35-DT46)</x:f>
      </x:c>
      <x:c r="DU50" s="117">
        <x:f>MAX(0,DU27+DU34+DU45-DU20-DU24-DU53-DU57-DU35-DU46)</x:f>
      </x:c>
      <x:c r="DV50" s="117">
        <x:f>MAX(0,DV27+DV34+DV45-DV20-DV24-DV53-DV57-DV35-DV46)</x:f>
      </x:c>
      <x:c r="DW50" s="117">
        <x:f>MAX(0,DW27+DW34+DW45-DW20-DW24-DW53-DW57-DW35-DW46)</x:f>
      </x:c>
      <x:c r="DX50" s="117">
        <x:f>MAX(0,DX27+DX34+DX45-DX20-DX24-DX53-DX57-DX35-DX46)</x:f>
      </x:c>
      <x:c r="DY50" s="117">
        <x:f>MAX(0,DY27+DY34+DY45-DY20-DY24-DY53-DY57-DY35-DY46)</x:f>
      </x:c>
      <x:c r="DZ50" s="117">
        <x:f>MAX(0,DZ27+DZ34+DZ45-DZ20-DZ24-DZ53-DZ57-DZ35-DZ46)</x:f>
      </x:c>
      <x:c r="EA50" s="117">
        <x:f>MAX(0,EA27+EA34+EA45-EA20-EA24-EA53-EA57-EA35-EA46)</x:f>
      </x:c>
      <x:c r="EB50" s="117">
        <x:f>MAX(0,EB27+EB34+EB45-EB20-EB24-EB53-EB57-EB35-EB46)</x:f>
      </x:c>
      <x:c r="EC50" s="117">
        <x:f>MAX(0,EC27+EC34+EC45-EC20-EC24-EC53-EC57-EC35-EC46)</x:f>
      </x:c>
      <x:c r="ED50" s="117">
        <x:f>MAX(0,ED27+ED34+ED45-ED20-ED24-ED53-ED57-ED35-ED46)</x:f>
      </x:c>
      <x:c r="EE50" s="117">
        <x:f>MAX(0,EE27+EE34+EE45-EE20-EE24-EE53-EE57-EE35-EE46)</x:f>
      </x:c>
      <x:c r="EF50" s="117">
        <x:f>MAX(0,EF27+EF34+EF45-EF20-EF24-EF53-EF57-EF35-EF46)</x:f>
      </x:c>
      <x:c r="EG50" s="117">
        <x:f>MAX(0,EG27+EG34+EG45-EG20-EG24-EG53-EG57-EG35-EG46)</x:f>
      </x:c>
      <x:c r="EH50" s="117">
        <x:f>MAX(0,EH27+EH34+EH45-EH20-EH24-EH53-EH57-EH35-EH46)</x:f>
      </x:c>
      <x:c r="EI50" s="117">
        <x:f>MAX(0,EI27+EI34+EI45-EI20-EI24-EI53-EI57-EI35-EI46)</x:f>
      </x:c>
      <x:c r="EJ50" s="117">
        <x:f>MAX(0,EJ27+EJ34+EJ45-EJ20-EJ24-EJ53-EJ57-EJ35-EJ46)</x:f>
      </x:c>
      <x:c r="EK50" s="117">
        <x:f>MAX(0,EK27+EK34+EK45-EK20-EK24-EK53-EK57-EK35-EK46)</x:f>
      </x:c>
      <x:c r="EL50" s="117">
        <x:f>MAX(0,EL27+EL34+EL45-EL20-EL24-EL53-EL57-EL35-EL46)</x:f>
      </x:c>
      <x:c r="EM50" s="117">
        <x:f>MAX(0,EM27+EM34+EM45-EM20-EM24-EM53-EM57-EM35-EM46)</x:f>
      </x:c>
      <x:c r="EN50" s="117">
        <x:f>MAX(0,EN27+EN34+EN45-EN20-EN24-EN53-EN57-EN35-EN46)</x:f>
      </x:c>
      <x:c r="EO50" s="117">
        <x:f>MAX(0,EO27+EO34+EO45-EO20-EO24-EO53-EO57-EO35-EO46)</x:f>
      </x:c>
      <x:c r="EP50" s="117">
        <x:f>MAX(0,EP27+EP34+EP45-EP20-EP24-EP53-EP57-EP35-EP46)</x:f>
      </x:c>
      <x:c r="EQ50" s="117">
        <x:f>MAX(0,EQ27+EQ34+EQ45-EQ20-EQ24-EQ53-EQ57-EQ35-EQ46)</x:f>
      </x:c>
      <x:c r="ER50" s="117">
        <x:f>MAX(0,ER27+ER34+ER45-ER20-ER24-ER53-ER57-ER35-ER46)</x:f>
      </x:c>
      <x:c r="ES50" s="117">
        <x:f>MAX(0,ES27+ES34+ES45-ES20-ES24-ES53-ES57-ES35-ES46)</x:f>
      </x:c>
      <x:c r="ET50" s="117">
        <x:f>MAX(0,ET27+ET34+ET45-ET20-ET24-ET53-ET57-ET35-ET46)</x:f>
      </x:c>
      <x:c r="EU50" s="117">
        <x:f>MAX(0,EU27+EU34+EU45-EU20-EU24-EU53-EU57-EU35-EU46)</x:f>
      </x:c>
      <x:c r="EV50" s="117">
        <x:f>MAX(0,EV27+EV34+EV45-EV20-EV24-EV53-EV57-EV35-EV46)</x:f>
      </x:c>
      <x:c r="EW50" s="117">
        <x:f>MAX(0,EW27+EW34+EW45-EW20-EW24-EW53-EW57-EW35-EW46)</x:f>
      </x:c>
      <x:c r="EX50" s="117">
        <x:f>MAX(0,EX27+EX34+EX45-EX20-EX24-EX53-EX57-EX35-EX46)</x:f>
      </x:c>
      <x:c r="EY50" s="117">
        <x:f>MAX(0,EY27+EY34+EY45-EY20-EY24-EY53-EY57-EY35-EY46)</x:f>
      </x:c>
      <x:c r="EZ50" s="117">
        <x:f>MAX(0,EZ27+EZ34+EZ45-EZ20-EZ24-EZ53-EZ57-EZ35-EZ46)</x:f>
      </x:c>
      <x:c r="FA50" s="117">
        <x:f>MAX(0,FA27+FA34+FA45-FA20-FA24-FA53-FA57-FA35-FA46)</x:f>
      </x:c>
      <x:c r="FB50" s="117">
        <x:f>MAX(0,FB27+FB34+FB45-FB20-FB24-FB53-FB57-FB35-FB46)</x:f>
      </x:c>
      <x:c r="FC50" s="117">
        <x:f>MAX(0,FC27+FC34+FC45-FC20-FC24-FC53-FC57-FC35-FC46)</x:f>
      </x:c>
      <x:c r="FD50" s="117">
        <x:f>MAX(0,FD27+FD34+FD45-FD20-FD24-FD53-FD57-FD35-FD46)</x:f>
      </x:c>
      <x:c r="FE50" s="117">
        <x:f>MAX(0,FE27+FE34+FE45-FE20-FE24-FE53-FE57-FE35-FE46)</x:f>
      </x:c>
      <x:c r="FF50" s="117">
        <x:f>MAX(0,FF27+FF34+FF45-FF20-FF24-FF53-FF57-FF35-FF46)</x:f>
      </x:c>
      <x:c r="FG50" s="117">
        <x:f>MAX(0,FG27+FG34+FG45-FG20-FG24-FG53-FG57-FG35-FG46)</x:f>
      </x:c>
      <x:c r="FH50" s="117">
        <x:f>MAX(0,FH27+FH34+FH45-FH20-FH24-FH53-FH57-FH35-FH46)</x:f>
      </x:c>
      <x:c r="FI50" s="117">
        <x:f>MAX(0,FI27+FI34+FI45-FI20-FI24-FI53-FI57-FI35-FI46)</x:f>
      </x:c>
      <x:c r="FJ50" s="117">
        <x:f>MAX(0,FJ27+FJ34+FJ45-FJ20-FJ24-FJ53-FJ57-FJ35-FJ46)</x:f>
      </x:c>
      <x:c r="FK50" s="117">
        <x:f>MAX(0,FK27+FK34+FK45-FK20-FK24-FK53-FK57-FK35-FK46)</x:f>
      </x:c>
      <x:c r="FL50" s="117">
        <x:f>MAX(0,FL27+FL34+FL45-FL20-FL24-FL53-FL57-FL35-FL46)</x:f>
      </x:c>
      <x:c r="FM50" s="117">
        <x:f>MAX(0,FM27+FM34+FM45-FM20-FM24-FM53-FM57-FM35-FM46)</x:f>
      </x:c>
      <x:c r="FN50" s="117">
        <x:f>MAX(0,FN27+FN34+FN45-FN20-FN24-FN53-FN57-FN35-FN46)</x:f>
      </x:c>
      <x:c r="FO50" s="117">
        <x:f>MAX(0,FO27+FO34+FO45-FO20-FO24-FO53-FO57-FO35-FO46)</x:f>
      </x:c>
      <x:c r="FP50" s="117">
        <x:f>MAX(0,FP27+FP34+FP45-FP20-FP24-FP53-FP57-FP35-FP46)</x:f>
      </x:c>
      <x:c r="FQ50" s="117">
        <x:f>MAX(0,FQ27+FQ34+FQ45-FQ20-FQ24-FQ53-FQ57-FQ35-FQ46)</x:f>
      </x:c>
      <x:c r="FR50" s="117">
        <x:f>MAX(0,FR27+FR34+FR45-FR20-FR24-FR53-FR57-FR35-FR46)</x:f>
      </x:c>
      <x:c r="FS50" s="117">
        <x:f>MAX(0,FS27+FS34+FS45-FS20-FS24-FS53-FS57-FS35-FS46)</x:f>
      </x:c>
      <x:c r="FT50" s="117">
        <x:f>MAX(0,FT27+FT34+FT45-FT20-FT24-FT53-FT57-FT35-FT46)</x:f>
      </x:c>
      <x:c r="FU50" s="117">
        <x:f>MAX(0,FU27+FU34+FU45-FU20-FU24-FU53-FU57-FU35-FU46)</x:f>
      </x:c>
      <x:c r="FV50" s="117">
        <x:f>MAX(0,FV27+FV34+FV45-FV20-FV24-FV53-FV57-FV35-FV46)</x:f>
      </x:c>
      <x:c r="FW50" s="117">
        <x:f>MAX(0,FW27+FW34+FW45-FW20-FW24-FW53-FW57-FW35-FW46)</x:f>
      </x:c>
      <x:c r="FX50" s="117">
        <x:f>MAX(0,FX27+FX34+FX45-FX20-FX24-FX53-FX57-FX35-FX46)</x:f>
      </x:c>
      <x:c r="FY50" s="117">
        <x:f>MAX(0,FY27+FY34+FY45-FY20-FY24-FY53-FY57-FY35-FY46)</x:f>
      </x:c>
      <x:c r="FZ50" s="117">
        <x:f>MAX(0,FZ27+FZ34+FZ45-FZ20-FZ24-FZ53-FZ57-FZ35-FZ46)</x:f>
      </x:c>
      <x:c r="GA50" s="117">
        <x:f>MAX(0,GA27+GA34+GA45-GA20-GA24-GA53-GA57-GA35-GA46)</x:f>
      </x:c>
    </x:row>
    <x:row r="51">
      <x:c r="A51" s="113" t="str">
        <x:v>Чистый CF собственного капитала</x:v>
      </x:c>
      <x:c r="B51" s="113" t="n">
        <x:f>SUM(D51:GA51)</x:f>
      </x:c>
      <x:c r="C51" s="113" t="str">
        <x:v>млн ₽</x:v>
      </x:c>
      <x:c r="D51" s="120" t="n">
        <x:f>D50-D49</x:f>
      </x:c>
      <x:c r="E51" s="120" t="n">
        <x:f>E50-E49</x:f>
      </x:c>
      <x:c r="F51" s="120" t="n">
        <x:f>F50-F49</x:f>
      </x:c>
      <x:c r="G51" s="120" t="n">
        <x:f>G50-G49</x:f>
      </x:c>
      <x:c r="H51" s="120" t="n">
        <x:f>H50-H49</x:f>
      </x:c>
      <x:c r="I51" s="120" t="n">
        <x:f>I50-I49</x:f>
      </x:c>
      <x:c r="J51" s="120" t="n">
        <x:f>J50-J49</x:f>
      </x:c>
      <x:c r="K51" s="120" t="n">
        <x:f>K50-K49</x:f>
      </x:c>
      <x:c r="L51" s="120" t="n">
        <x:f>L50-L49</x:f>
      </x:c>
      <x:c r="M51" s="120" t="n">
        <x:f>M50-M49</x:f>
      </x:c>
      <x:c r="N51" s="120" t="n">
        <x:f>N50-N49</x:f>
      </x:c>
      <x:c r="O51" s="120" t="n">
        <x:f>O50-O49</x:f>
      </x:c>
      <x:c r="P51" s="120" t="n">
        <x:f>P50-P49</x:f>
      </x:c>
      <x:c r="Q51" s="120" t="n">
        <x:f>Q50-Q49</x:f>
      </x:c>
      <x:c r="R51" s="120" t="n">
        <x:f>R50-R49</x:f>
      </x:c>
      <x:c r="S51" s="120" t="n">
        <x:f>S50-S49</x:f>
      </x:c>
      <x:c r="T51" s="120" t="n">
        <x:f>T50-T49</x:f>
      </x:c>
      <x:c r="U51" s="120" t="n">
        <x:f>U50-U49</x:f>
      </x:c>
      <x:c r="V51" s="120" t="n">
        <x:f>V50-V49</x:f>
      </x:c>
      <x:c r="W51" s="120" t="n">
        <x:f>W50-W49</x:f>
      </x:c>
      <x:c r="X51" s="120" t="n">
        <x:f>X50-X49</x:f>
      </x:c>
      <x:c r="Y51" s="120" t="n">
        <x:f>Y50-Y49</x:f>
      </x:c>
      <x:c r="Z51" s="120" t="n">
        <x:f>Z50-Z49</x:f>
      </x:c>
      <x:c r="AA51" s="120" t="n">
        <x:f>AA50-AA49</x:f>
      </x:c>
      <x:c r="AB51" s="120" t="n">
        <x:f>AB50-AB49</x:f>
      </x:c>
      <x:c r="AC51" s="120" t="n">
        <x:f>AC50-AC49</x:f>
      </x:c>
      <x:c r="AD51" s="120" t="n">
        <x:f>AD50-AD49</x:f>
      </x:c>
      <x:c r="AE51" s="120" t="n">
        <x:f>AE50-AE49</x:f>
      </x:c>
      <x:c r="AF51" s="120" t="n">
        <x:f>AF50-AF49</x:f>
      </x:c>
      <x:c r="AG51" s="120" t="n">
        <x:f>AG50-AG49</x:f>
      </x:c>
      <x:c r="AH51" s="120" t="n">
        <x:f>AH50-AH49</x:f>
      </x:c>
      <x:c r="AI51" s="120" t="n">
        <x:f>AI50-AI49</x:f>
      </x:c>
      <x:c r="AJ51" s="120" t="n">
        <x:f>AJ50-AJ49</x:f>
      </x:c>
      <x:c r="AK51" s="120" t="n">
        <x:f>AK50-AK49</x:f>
      </x:c>
      <x:c r="AL51" s="120" t="n">
        <x:f>AL50-AL49</x:f>
      </x:c>
      <x:c r="AM51" s="120" t="n">
        <x:f>AM50-AM49</x:f>
      </x:c>
      <x:c r="AN51" s="120" t="n">
        <x:f>AN50-AN49</x:f>
      </x:c>
      <x:c r="AO51" s="120" t="n">
        <x:f>AO50-AO49</x:f>
      </x:c>
      <x:c r="AP51" s="120" t="n">
        <x:f>AP50-AP49</x:f>
      </x:c>
      <x:c r="AQ51" s="120" t="n">
        <x:f>AQ50-AQ49</x:f>
      </x:c>
      <x:c r="AR51" s="120" t="n">
        <x:f>AR50-AR49</x:f>
      </x:c>
      <x:c r="AS51" s="120" t="n">
        <x:f>AS50-AS49</x:f>
      </x:c>
      <x:c r="AT51" s="120" t="n">
        <x:f>AT50-AT49</x:f>
      </x:c>
      <x:c r="AU51" s="120" t="n">
        <x:f>AU50-AU49</x:f>
      </x:c>
      <x:c r="AV51" s="120" t="n">
        <x:f>AV50-AV49</x:f>
      </x:c>
      <x:c r="AW51" s="120" t="n">
        <x:f>AW50-AW49</x:f>
      </x:c>
      <x:c r="AX51" s="120" t="n">
        <x:f>AX50-AX49</x:f>
      </x:c>
      <x:c r="AY51" s="120" t="n">
        <x:f>AY50-AY49</x:f>
      </x:c>
      <x:c r="AZ51" s="120" t="n">
        <x:f>AZ50-AZ49</x:f>
      </x:c>
      <x:c r="BA51" s="120" t="n">
        <x:f>BA50-BA49</x:f>
      </x:c>
      <x:c r="BB51" s="120" t="n">
        <x:f>BB50-BB49</x:f>
      </x:c>
      <x:c r="BC51" s="120" t="n">
        <x:f>BC50-BC49</x:f>
      </x:c>
      <x:c r="BD51" s="120" t="n">
        <x:f>BD50-BD49</x:f>
      </x:c>
      <x:c r="BE51" s="120" t="n">
        <x:f>BE50-BE49</x:f>
      </x:c>
      <x:c r="BF51" s="120" t="n">
        <x:f>BF50-BF49</x:f>
      </x:c>
      <x:c r="BG51" s="120" t="n">
        <x:f>BG50-BG49</x:f>
      </x:c>
      <x:c r="BH51" s="120" t="n">
        <x:f>BH50-BH49</x:f>
      </x:c>
      <x:c r="BI51" s="120" t="n">
        <x:f>BI50-BI49</x:f>
      </x:c>
      <x:c r="BJ51" s="120" t="n">
        <x:f>BJ50-BJ49</x:f>
      </x:c>
      <x:c r="BK51" s="120" t="n">
        <x:f>BK50-BK49</x:f>
      </x:c>
      <x:c r="BL51" s="120" t="n">
        <x:f>BL50-BL49</x:f>
      </x:c>
      <x:c r="BM51" s="120" t="n">
        <x:f>BM50-BM49</x:f>
      </x:c>
      <x:c r="BN51" s="120" t="n">
        <x:f>BN50-BN49</x:f>
      </x:c>
      <x:c r="BO51" s="120" t="n">
        <x:f>BO50-BO49</x:f>
      </x:c>
      <x:c r="BP51" s="120" t="n">
        <x:f>BP50-BP49</x:f>
      </x:c>
      <x:c r="BQ51" s="120" t="n">
        <x:f>BQ50-BQ49</x:f>
      </x:c>
      <x:c r="BR51" s="120" t="n">
        <x:f>BR50-BR49</x:f>
      </x:c>
      <x:c r="BS51" s="120" t="n">
        <x:f>BS50-BS49</x:f>
      </x:c>
      <x:c r="BT51" s="120" t="n">
        <x:f>BT50-BT49</x:f>
      </x:c>
      <x:c r="BU51" s="120" t="n">
        <x:f>BU50-BU49</x:f>
      </x:c>
      <x:c r="BV51" s="120" t="n">
        <x:f>BV50-BV49</x:f>
      </x:c>
      <x:c r="BW51" s="120" t="n">
        <x:f>BW50-BW49</x:f>
      </x:c>
      <x:c r="BX51" s="120" t="n">
        <x:f>BX50-BX49</x:f>
      </x:c>
      <x:c r="BY51" s="120" t="n">
        <x:f>BY50-BY49</x:f>
      </x:c>
      <x:c r="BZ51" s="120" t="n">
        <x:f>BZ50-BZ49</x:f>
      </x:c>
      <x:c r="CA51" s="120" t="n">
        <x:f>CA50-CA49</x:f>
      </x:c>
      <x:c r="CB51" s="120" t="n">
        <x:f>CB50-CB49</x:f>
      </x:c>
      <x:c r="CC51" s="120" t="n">
        <x:f>CC50-CC49</x:f>
      </x:c>
      <x:c r="CD51" s="120" t="n">
        <x:f>CD50-CD49</x:f>
      </x:c>
      <x:c r="CE51" s="120" t="n">
        <x:f>CE50-CE49</x:f>
      </x:c>
      <x:c r="CF51" s="120" t="n">
        <x:f>CF50-CF49</x:f>
      </x:c>
      <x:c r="CG51" s="120" t="n">
        <x:f>CG50-CG49</x:f>
      </x:c>
      <x:c r="CH51" s="120" t="n">
        <x:f>CH50-CH49</x:f>
      </x:c>
      <x:c r="CI51" s="120" t="n">
        <x:f>CI50-CI49</x:f>
      </x:c>
      <x:c r="CJ51" s="120" t="n">
        <x:f>CJ50-CJ49</x:f>
      </x:c>
      <x:c r="CK51" s="120" t="n">
        <x:f>CK50-CK49</x:f>
      </x:c>
      <x:c r="CL51" s="120" t="n">
        <x:f>CL50-CL49</x:f>
      </x:c>
      <x:c r="CM51" s="120" t="n">
        <x:f>CM50-CM49</x:f>
      </x:c>
      <x:c r="CN51" s="120" t="n">
        <x:f>CN50-CN49</x:f>
      </x:c>
      <x:c r="CO51" s="120" t="n">
        <x:f>CO50-CO49</x:f>
      </x:c>
      <x:c r="CP51" s="120" t="n">
        <x:f>CP50-CP49</x:f>
      </x:c>
      <x:c r="CQ51" s="120" t="n">
        <x:f>CQ50-CQ49</x:f>
      </x:c>
      <x:c r="CR51" s="120" t="n">
        <x:f>CR50-CR49</x:f>
      </x:c>
      <x:c r="CS51" s="120" t="n">
        <x:f>CS50-CS49</x:f>
      </x:c>
      <x:c r="CT51" s="120" t="n">
        <x:f>CT50-CT49</x:f>
      </x:c>
      <x:c r="CU51" s="120" t="n">
        <x:f>CU50-CU49</x:f>
      </x:c>
      <x:c r="CV51" s="120" t="n">
        <x:f>CV50-CV49</x:f>
      </x:c>
      <x:c r="CW51" s="120" t="n">
        <x:f>CW50-CW49</x:f>
      </x:c>
      <x:c r="CX51" s="120" t="n">
        <x:f>CX50-CX49</x:f>
      </x:c>
      <x:c r="CY51" s="120" t="n">
        <x:f>CY50-CY49</x:f>
      </x:c>
      <x:c r="CZ51" s="120" t="n">
        <x:f>CZ50-CZ49</x:f>
      </x:c>
      <x:c r="DA51" s="120" t="n">
        <x:f>DA50-DA49</x:f>
      </x:c>
      <x:c r="DB51" s="120" t="n">
        <x:f>DB50-DB49</x:f>
      </x:c>
      <x:c r="DC51" s="120" t="n">
        <x:f>DC50-DC49</x:f>
      </x:c>
      <x:c r="DD51" s="120" t="n">
        <x:f>DD50-DD49</x:f>
      </x:c>
      <x:c r="DE51" s="120" t="n">
        <x:f>DE50-DE49</x:f>
      </x:c>
      <x:c r="DF51" s="120" t="n">
        <x:f>DF50-DF49</x:f>
      </x:c>
      <x:c r="DG51" s="120" t="n">
        <x:f>DG50-DG49</x:f>
      </x:c>
      <x:c r="DH51" s="120" t="n">
        <x:f>DH50-DH49</x:f>
      </x:c>
      <x:c r="DI51" s="120" t="n">
        <x:f>DI50-DI49</x:f>
      </x:c>
      <x:c r="DJ51" s="120" t="n">
        <x:f>DJ50-DJ49</x:f>
      </x:c>
      <x:c r="DK51" s="120" t="n">
        <x:f>DK50-DK49</x:f>
      </x:c>
      <x:c r="DL51" s="120" t="n">
        <x:f>DL50-DL49</x:f>
      </x:c>
      <x:c r="DM51" s="120" t="n">
        <x:f>DM50-DM49</x:f>
      </x:c>
      <x:c r="DN51" s="120" t="n">
        <x:f>DN50-DN49</x:f>
      </x:c>
      <x:c r="DO51" s="120" t="n">
        <x:f>DO50-DO49</x:f>
      </x:c>
      <x:c r="DP51" s="120" t="n">
        <x:f>DP50-DP49</x:f>
      </x:c>
      <x:c r="DQ51" s="120" t="n">
        <x:f>DQ50-DQ49</x:f>
      </x:c>
      <x:c r="DR51" s="120" t="n">
        <x:f>DR50-DR49</x:f>
      </x:c>
      <x:c r="DS51" s="120" t="n">
        <x:f>DS50-DS49</x:f>
      </x:c>
      <x:c r="DT51" s="120" t="n">
        <x:f>DT50-DT49</x:f>
      </x:c>
      <x:c r="DU51" s="120" t="n">
        <x:f>DU50-DU49</x:f>
      </x:c>
      <x:c r="DV51" s="120" t="n">
        <x:f>DV50-DV49</x:f>
      </x:c>
      <x:c r="DW51" s="120" t="n">
        <x:f>DW50-DW49</x:f>
      </x:c>
      <x:c r="DX51" s="120" t="n">
        <x:f>DX50-DX49</x:f>
      </x:c>
      <x:c r="DY51" s="120" t="n">
        <x:f>DY50-DY49</x:f>
      </x:c>
      <x:c r="DZ51" s="120" t="n">
        <x:f>DZ50-DZ49</x:f>
      </x:c>
      <x:c r="EA51" s="120" t="n">
        <x:f>EA50-EA49</x:f>
      </x:c>
      <x:c r="EB51" s="120" t="n">
        <x:f>EB50-EB49</x:f>
      </x:c>
      <x:c r="EC51" s="120" t="n">
        <x:f>EC50-EC49</x:f>
      </x:c>
      <x:c r="ED51" s="120" t="n">
        <x:f>ED50-ED49</x:f>
      </x:c>
      <x:c r="EE51" s="120" t="n">
        <x:f>EE50-EE49</x:f>
      </x:c>
      <x:c r="EF51" s="120" t="n">
        <x:f>EF50-EF49</x:f>
      </x:c>
      <x:c r="EG51" s="120" t="n">
        <x:f>EG50-EG49</x:f>
      </x:c>
      <x:c r="EH51" s="120" t="n">
        <x:f>EH50-EH49</x:f>
      </x:c>
      <x:c r="EI51" s="120" t="n">
        <x:f>EI50-EI49</x:f>
      </x:c>
      <x:c r="EJ51" s="120" t="n">
        <x:f>EJ50-EJ49</x:f>
      </x:c>
      <x:c r="EK51" s="120" t="n">
        <x:f>EK50-EK49</x:f>
      </x:c>
      <x:c r="EL51" s="120" t="n">
        <x:f>EL50-EL49</x:f>
      </x:c>
      <x:c r="EM51" s="120" t="n">
        <x:f>EM50-EM49</x:f>
      </x:c>
      <x:c r="EN51" s="120" t="n">
        <x:f>EN50-EN49</x:f>
      </x:c>
      <x:c r="EO51" s="120" t="n">
        <x:f>EO50-EO49</x:f>
      </x:c>
      <x:c r="EP51" s="120" t="n">
        <x:f>EP50-EP49</x:f>
      </x:c>
      <x:c r="EQ51" s="120" t="n">
        <x:f>EQ50-EQ49</x:f>
      </x:c>
      <x:c r="ER51" s="120" t="n">
        <x:f>ER50-ER49</x:f>
      </x:c>
      <x:c r="ES51" s="120" t="n">
        <x:f>ES50-ES49</x:f>
      </x:c>
      <x:c r="ET51" s="120" t="n">
        <x:f>ET50-ET49</x:f>
      </x:c>
      <x:c r="EU51" s="120" t="n">
        <x:f>EU50-EU49</x:f>
      </x:c>
      <x:c r="EV51" s="120" t="n">
        <x:f>EV50-EV49</x:f>
      </x:c>
      <x:c r="EW51" s="120" t="n">
        <x:f>EW50-EW49</x:f>
      </x:c>
      <x:c r="EX51" s="120" t="n">
        <x:f>EX50-EX49</x:f>
      </x:c>
      <x:c r="EY51" s="120" t="n">
        <x:f>EY50-EY49</x:f>
      </x:c>
      <x:c r="EZ51" s="120" t="n">
        <x:f>EZ50-EZ49</x:f>
      </x:c>
      <x:c r="FA51" s="120" t="n">
        <x:f>FA50-FA49</x:f>
      </x:c>
      <x:c r="FB51" s="120" t="n">
        <x:f>FB50-FB49</x:f>
      </x:c>
      <x:c r="FC51" s="120" t="n">
        <x:f>FC50-FC49</x:f>
      </x:c>
      <x:c r="FD51" s="120" t="n">
        <x:f>FD50-FD49</x:f>
      </x:c>
      <x:c r="FE51" s="120" t="n">
        <x:f>FE50-FE49</x:f>
      </x:c>
      <x:c r="FF51" s="120" t="n">
        <x:f>FF50-FF49</x:f>
      </x:c>
      <x:c r="FG51" s="120" t="n">
        <x:f>FG50-FG49</x:f>
      </x:c>
      <x:c r="FH51" s="120" t="n">
        <x:f>FH50-FH49</x:f>
      </x:c>
      <x:c r="FI51" s="120" t="n">
        <x:f>FI50-FI49</x:f>
      </x:c>
      <x:c r="FJ51" s="120" t="n">
        <x:f>FJ50-FJ49</x:f>
      </x:c>
      <x:c r="FK51" s="120" t="n">
        <x:f>FK50-FK49</x:f>
      </x:c>
      <x:c r="FL51" s="120" t="n">
        <x:f>FL50-FL49</x:f>
      </x:c>
      <x:c r="FM51" s="120" t="n">
        <x:f>FM50-FM49</x:f>
      </x:c>
      <x:c r="FN51" s="120" t="n">
        <x:f>FN50-FN49</x:f>
      </x:c>
      <x:c r="FO51" s="120" t="n">
        <x:f>FO50-FO49</x:f>
      </x:c>
      <x:c r="FP51" s="120" t="n">
        <x:f>FP50-FP49</x:f>
      </x:c>
      <x:c r="FQ51" s="120" t="n">
        <x:f>FQ50-FQ49</x:f>
      </x:c>
      <x:c r="FR51" s="120" t="n">
        <x:f>FR50-FR49</x:f>
      </x:c>
      <x:c r="FS51" s="120" t="n">
        <x:f>FS50-FS49</x:f>
      </x:c>
      <x:c r="FT51" s="120" t="n">
        <x:f>FT50-FT49</x:f>
      </x:c>
      <x:c r="FU51" s="120" t="n">
        <x:f>FU50-FU49</x:f>
      </x:c>
      <x:c r="FV51" s="120" t="n">
        <x:f>FV50-FV49</x:f>
      </x:c>
      <x:c r="FW51" s="120" t="n">
        <x:f>FW50-FW49</x:f>
      </x:c>
      <x:c r="FX51" s="120" t="n">
        <x:f>FX50-FX49</x:f>
      </x:c>
      <x:c r="FY51" s="120" t="n">
        <x:f>FY50-FY49</x:f>
      </x:c>
      <x:c r="FZ51" s="120" t="n">
        <x:f>FZ50-FZ49</x:f>
      </x:c>
      <x:c r="GA51" s="120" t="n">
        <x:f>GA50-GA49</x:f>
      </x:c>
    </x:row>
    <x:row r="52">
      <x:c r="A52" t="str">
        <x:v>Накопленный CF капитала</x:v>
      </x:c>
      <x:c r="B52" t="n">
        <x:f>GA52</x:f>
      </x:c>
      <x:c r="C52" t="str">
        <x:v>млн ₽</x:v>
      </x:c>
      <x:c r="D52" s="117" t="n">
        <x:f>D51</x:f>
      </x:c>
      <x:c r="E52" s="117" t="n">
        <x:f>D52+E51</x:f>
      </x:c>
      <x:c r="F52" s="117" t="n">
        <x:f>E52+F51</x:f>
      </x:c>
      <x:c r="G52" s="117" t="n">
        <x:f>F52+G51</x:f>
      </x:c>
      <x:c r="H52" s="117" t="n">
        <x:f>G52+H51</x:f>
      </x:c>
      <x:c r="I52" s="117" t="n">
        <x:f>H52+I51</x:f>
      </x:c>
      <x:c r="J52" s="117" t="n">
        <x:f>I52+J51</x:f>
      </x:c>
      <x:c r="K52" s="117" t="n">
        <x:f>J52+K51</x:f>
      </x:c>
      <x:c r="L52" s="117" t="n">
        <x:f>K52+L51</x:f>
      </x:c>
      <x:c r="M52" s="117" t="n">
        <x:f>L52+M51</x:f>
      </x:c>
      <x:c r="N52" s="117" t="n">
        <x:f>M52+N51</x:f>
      </x:c>
      <x:c r="O52" s="117" t="n">
        <x:f>N52+O51</x:f>
      </x:c>
      <x:c r="P52" s="117" t="n">
        <x:f>O52+P51</x:f>
      </x:c>
      <x:c r="Q52" s="117" t="n">
        <x:f>P52+Q51</x:f>
      </x:c>
      <x:c r="R52" s="117" t="n">
        <x:f>Q52+R51</x:f>
      </x:c>
      <x:c r="S52" s="117" t="n">
        <x:f>R52+S51</x:f>
      </x:c>
      <x:c r="T52" s="117" t="n">
        <x:f>S52+T51</x:f>
      </x:c>
      <x:c r="U52" s="117" t="n">
        <x:f>T52+U51</x:f>
      </x:c>
      <x:c r="V52" s="117" t="n">
        <x:f>U52+V51</x:f>
      </x:c>
      <x:c r="W52" s="117" t="n">
        <x:f>V52+W51</x:f>
      </x:c>
      <x:c r="X52" s="117" t="n">
        <x:f>W52+X51</x:f>
      </x:c>
      <x:c r="Y52" s="117" t="n">
        <x:f>X52+Y51</x:f>
      </x:c>
      <x:c r="Z52" s="117" t="n">
        <x:f>Y52+Z51</x:f>
      </x:c>
      <x:c r="AA52" s="117" t="n">
        <x:f>Z52+AA51</x:f>
      </x:c>
      <x:c r="AB52" s="117" t="n">
        <x:f>AA52+AB51</x:f>
      </x:c>
      <x:c r="AC52" s="117" t="n">
        <x:f>AB52+AC51</x:f>
      </x:c>
      <x:c r="AD52" s="117" t="n">
        <x:f>AC52+AD51</x:f>
      </x:c>
      <x:c r="AE52" s="117" t="n">
        <x:f>AD52+AE51</x:f>
      </x:c>
      <x:c r="AF52" s="117" t="n">
        <x:f>AE52+AF51</x:f>
      </x:c>
      <x:c r="AG52" s="117" t="n">
        <x:f>AF52+AG51</x:f>
      </x:c>
      <x:c r="AH52" s="117" t="n">
        <x:f>AG52+AH51</x:f>
      </x:c>
      <x:c r="AI52" s="117" t="n">
        <x:f>AH52+AI51</x:f>
      </x:c>
      <x:c r="AJ52" s="117" t="n">
        <x:f>AI52+AJ51</x:f>
      </x:c>
      <x:c r="AK52" s="117" t="n">
        <x:f>AJ52+AK51</x:f>
      </x:c>
      <x:c r="AL52" s="117" t="n">
        <x:f>AK52+AL51</x:f>
      </x:c>
      <x:c r="AM52" s="117" t="n">
        <x:f>AL52+AM51</x:f>
      </x:c>
      <x:c r="AN52" s="117" t="n">
        <x:f>AM52+AN51</x:f>
      </x:c>
      <x:c r="AO52" s="117" t="n">
        <x:f>AN52+AO51</x:f>
      </x:c>
      <x:c r="AP52" s="117" t="n">
        <x:f>AO52+AP51</x:f>
      </x:c>
      <x:c r="AQ52" s="117" t="n">
        <x:f>AP52+AQ51</x:f>
      </x:c>
      <x:c r="AR52" s="117" t="n">
        <x:f>AQ52+AR51</x:f>
      </x:c>
      <x:c r="AS52" s="117" t="n">
        <x:f>AR52+AS51</x:f>
      </x:c>
      <x:c r="AT52" s="117" t="n">
        <x:f>AS52+AT51</x:f>
      </x:c>
      <x:c r="AU52" s="117" t="n">
        <x:f>AT52+AU51</x:f>
      </x:c>
      <x:c r="AV52" s="117" t="n">
        <x:f>AU52+AV51</x:f>
      </x:c>
      <x:c r="AW52" s="117" t="n">
        <x:f>AV52+AW51</x:f>
      </x:c>
      <x:c r="AX52" s="117" t="n">
        <x:f>AW52+AX51</x:f>
      </x:c>
      <x:c r="AY52" s="117" t="n">
        <x:f>AX52+AY51</x:f>
      </x:c>
      <x:c r="AZ52" s="117" t="n">
        <x:f>AY52+AZ51</x:f>
      </x:c>
      <x:c r="BA52" s="117" t="n">
        <x:f>AZ52+BA51</x:f>
      </x:c>
      <x:c r="BB52" s="117" t="n">
        <x:f>BA52+BB51</x:f>
      </x:c>
      <x:c r="BC52" s="117" t="n">
        <x:f>BB52+BC51</x:f>
      </x:c>
      <x:c r="BD52" s="117" t="n">
        <x:f>BC52+BD51</x:f>
      </x:c>
      <x:c r="BE52" s="117" t="n">
        <x:f>BD52+BE51</x:f>
      </x:c>
      <x:c r="BF52" s="117" t="n">
        <x:f>BE52+BF51</x:f>
      </x:c>
      <x:c r="BG52" s="117" t="n">
        <x:f>BF52+BG51</x:f>
      </x:c>
      <x:c r="BH52" s="117" t="n">
        <x:f>BG52+BH51</x:f>
      </x:c>
      <x:c r="BI52" s="117" t="n">
        <x:f>BH52+BI51</x:f>
      </x:c>
      <x:c r="BJ52" s="117" t="n">
        <x:f>BI52+BJ51</x:f>
      </x:c>
      <x:c r="BK52" s="117" t="n">
        <x:f>BJ52+BK51</x:f>
      </x:c>
      <x:c r="BL52" s="117" t="n">
        <x:f>BK52+BL51</x:f>
      </x:c>
      <x:c r="BM52" s="117" t="n">
        <x:f>BL52+BM51</x:f>
      </x:c>
      <x:c r="BN52" s="117" t="n">
        <x:f>BM52+BN51</x:f>
      </x:c>
      <x:c r="BO52" s="117" t="n">
        <x:f>BN52+BO51</x:f>
      </x:c>
      <x:c r="BP52" s="117" t="n">
        <x:f>BO52+BP51</x:f>
      </x:c>
      <x:c r="BQ52" s="117" t="n">
        <x:f>BP52+BQ51</x:f>
      </x:c>
      <x:c r="BR52" s="117" t="n">
        <x:f>BQ52+BR51</x:f>
      </x:c>
      <x:c r="BS52" s="117" t="n">
        <x:f>BR52+BS51</x:f>
      </x:c>
      <x:c r="BT52" s="117" t="n">
        <x:f>BS52+BT51</x:f>
      </x:c>
      <x:c r="BU52" s="117" t="n">
        <x:f>BT52+BU51</x:f>
      </x:c>
      <x:c r="BV52" s="117" t="n">
        <x:f>BU52+BV51</x:f>
      </x:c>
      <x:c r="BW52" s="117" t="n">
        <x:f>BV52+BW51</x:f>
      </x:c>
      <x:c r="BX52" s="117" t="n">
        <x:f>BW52+BX51</x:f>
      </x:c>
      <x:c r="BY52" s="117" t="n">
        <x:f>BX52+BY51</x:f>
      </x:c>
      <x:c r="BZ52" s="117" t="n">
        <x:f>BY52+BZ51</x:f>
      </x:c>
      <x:c r="CA52" s="117" t="n">
        <x:f>BZ52+CA51</x:f>
      </x:c>
      <x:c r="CB52" s="117" t="n">
        <x:f>CA52+CB51</x:f>
      </x:c>
      <x:c r="CC52" s="117" t="n">
        <x:f>CB52+CC51</x:f>
      </x:c>
      <x:c r="CD52" s="117" t="n">
        <x:f>CC52+CD51</x:f>
      </x:c>
      <x:c r="CE52" s="117" t="n">
        <x:f>CD52+CE51</x:f>
      </x:c>
      <x:c r="CF52" s="117" t="n">
        <x:f>CE52+CF51</x:f>
      </x:c>
      <x:c r="CG52" s="117" t="n">
        <x:f>CF52+CG51</x:f>
      </x:c>
      <x:c r="CH52" s="117" t="n">
        <x:f>CG52+CH51</x:f>
      </x:c>
      <x:c r="CI52" s="117" t="n">
        <x:f>CH52+CI51</x:f>
      </x:c>
      <x:c r="CJ52" s="117" t="n">
        <x:f>CI52+CJ51</x:f>
      </x:c>
      <x:c r="CK52" s="117" t="n">
        <x:f>CJ52+CK51</x:f>
      </x:c>
      <x:c r="CL52" s="117" t="n">
        <x:f>CK52+CL51</x:f>
      </x:c>
      <x:c r="CM52" s="117" t="n">
        <x:f>CL52+CM51</x:f>
      </x:c>
      <x:c r="CN52" s="117" t="n">
        <x:f>CM52+CN51</x:f>
      </x:c>
      <x:c r="CO52" s="117" t="n">
        <x:f>CN52+CO51</x:f>
      </x:c>
      <x:c r="CP52" s="117" t="n">
        <x:f>CO52+CP51</x:f>
      </x:c>
      <x:c r="CQ52" s="117" t="n">
        <x:f>CP52+CQ51</x:f>
      </x:c>
      <x:c r="CR52" s="117" t="n">
        <x:f>CQ52+CR51</x:f>
      </x:c>
      <x:c r="CS52" s="117" t="n">
        <x:f>CR52+CS51</x:f>
      </x:c>
      <x:c r="CT52" s="117" t="n">
        <x:f>CS52+CT51</x:f>
      </x:c>
      <x:c r="CU52" s="117" t="n">
        <x:f>CT52+CU51</x:f>
      </x:c>
      <x:c r="CV52" s="117" t="n">
        <x:f>CU52+CV51</x:f>
      </x:c>
      <x:c r="CW52" s="117" t="n">
        <x:f>CV52+CW51</x:f>
      </x:c>
      <x:c r="CX52" s="117" t="n">
        <x:f>CW52+CX51</x:f>
      </x:c>
      <x:c r="CY52" s="117" t="n">
        <x:f>CX52+CY51</x:f>
      </x:c>
      <x:c r="CZ52" s="117" t="n">
        <x:f>CY52+CZ51</x:f>
      </x:c>
      <x:c r="DA52" s="117" t="n">
        <x:f>CZ52+DA51</x:f>
      </x:c>
      <x:c r="DB52" s="117" t="n">
        <x:f>DA52+DB51</x:f>
      </x:c>
      <x:c r="DC52" s="117" t="n">
        <x:f>DB52+DC51</x:f>
      </x:c>
      <x:c r="DD52" s="117" t="n">
        <x:f>DC52+DD51</x:f>
      </x:c>
      <x:c r="DE52" s="117" t="n">
        <x:f>DD52+DE51</x:f>
      </x:c>
      <x:c r="DF52" s="117" t="n">
        <x:f>DE52+DF51</x:f>
      </x:c>
      <x:c r="DG52" s="117" t="n">
        <x:f>DF52+DG51</x:f>
      </x:c>
      <x:c r="DH52" s="117" t="n">
        <x:f>DG52+DH51</x:f>
      </x:c>
      <x:c r="DI52" s="117" t="n">
        <x:f>DH52+DI51</x:f>
      </x:c>
      <x:c r="DJ52" s="117" t="n">
        <x:f>DI52+DJ51</x:f>
      </x:c>
      <x:c r="DK52" s="117" t="n">
        <x:f>DJ52+DK51</x:f>
      </x:c>
      <x:c r="DL52" s="117" t="n">
        <x:f>DK52+DL51</x:f>
      </x:c>
      <x:c r="DM52" s="117" t="n">
        <x:f>DL52+DM51</x:f>
      </x:c>
      <x:c r="DN52" s="117" t="n">
        <x:f>DM52+DN51</x:f>
      </x:c>
      <x:c r="DO52" s="117" t="n">
        <x:f>DN52+DO51</x:f>
      </x:c>
      <x:c r="DP52" s="117" t="n">
        <x:f>DO52+DP51</x:f>
      </x:c>
      <x:c r="DQ52" s="117" t="n">
        <x:f>DP52+DQ51</x:f>
      </x:c>
      <x:c r="DR52" s="117" t="n">
        <x:f>DQ52+DR51</x:f>
      </x:c>
      <x:c r="DS52" s="117" t="n">
        <x:f>DR52+DS51</x:f>
      </x:c>
      <x:c r="DT52" s="117" t="n">
        <x:f>DS52+DT51</x:f>
      </x:c>
      <x:c r="DU52" s="117" t="n">
        <x:f>DT52+DU51</x:f>
      </x:c>
      <x:c r="DV52" s="117" t="n">
        <x:f>DU52+DV51</x:f>
      </x:c>
      <x:c r="DW52" s="117" t="n">
        <x:f>DV52+DW51</x:f>
      </x:c>
      <x:c r="DX52" s="117" t="n">
        <x:f>DW52+DX51</x:f>
      </x:c>
      <x:c r="DY52" s="117" t="n">
        <x:f>DX52+DY51</x:f>
      </x:c>
      <x:c r="DZ52" s="117" t="n">
        <x:f>DY52+DZ51</x:f>
      </x:c>
      <x:c r="EA52" s="117" t="n">
        <x:f>DZ52+EA51</x:f>
      </x:c>
      <x:c r="EB52" s="117" t="n">
        <x:f>EA52+EB51</x:f>
      </x:c>
      <x:c r="EC52" s="117" t="n">
        <x:f>EB52+EC51</x:f>
      </x:c>
      <x:c r="ED52" s="117" t="n">
        <x:f>EC52+ED51</x:f>
      </x:c>
      <x:c r="EE52" s="117" t="n">
        <x:f>ED52+EE51</x:f>
      </x:c>
      <x:c r="EF52" s="117" t="n">
        <x:f>EE52+EF51</x:f>
      </x:c>
      <x:c r="EG52" s="117" t="n">
        <x:f>EF52+EG51</x:f>
      </x:c>
      <x:c r="EH52" s="117" t="n">
        <x:f>EG52+EH51</x:f>
      </x:c>
      <x:c r="EI52" s="117" t="n">
        <x:f>EH52+EI51</x:f>
      </x:c>
      <x:c r="EJ52" s="117" t="n">
        <x:f>EI52+EJ51</x:f>
      </x:c>
      <x:c r="EK52" s="117" t="n">
        <x:f>EJ52+EK51</x:f>
      </x:c>
      <x:c r="EL52" s="117" t="n">
        <x:f>EK52+EL51</x:f>
      </x:c>
      <x:c r="EM52" s="117" t="n">
        <x:f>EL52+EM51</x:f>
      </x:c>
      <x:c r="EN52" s="117" t="n">
        <x:f>EM52+EN51</x:f>
      </x:c>
      <x:c r="EO52" s="117" t="n">
        <x:f>EN52+EO51</x:f>
      </x:c>
      <x:c r="EP52" s="117" t="n">
        <x:f>EO52+EP51</x:f>
      </x:c>
      <x:c r="EQ52" s="117" t="n">
        <x:f>EP52+EQ51</x:f>
      </x:c>
      <x:c r="ER52" s="117" t="n">
        <x:f>EQ52+ER51</x:f>
      </x:c>
      <x:c r="ES52" s="117" t="n">
        <x:f>ER52+ES51</x:f>
      </x:c>
      <x:c r="ET52" s="117" t="n">
        <x:f>ES52+ET51</x:f>
      </x:c>
      <x:c r="EU52" s="117" t="n">
        <x:f>ET52+EU51</x:f>
      </x:c>
      <x:c r="EV52" s="117" t="n">
        <x:f>EU52+EV51</x:f>
      </x:c>
      <x:c r="EW52" s="117" t="n">
        <x:f>EV52+EW51</x:f>
      </x:c>
      <x:c r="EX52" s="117" t="n">
        <x:f>EW52+EX51</x:f>
      </x:c>
      <x:c r="EY52" s="117" t="n">
        <x:f>EX52+EY51</x:f>
      </x:c>
      <x:c r="EZ52" s="117" t="n">
        <x:f>EY52+EZ51</x:f>
      </x:c>
      <x:c r="FA52" s="117" t="n">
        <x:f>EZ52+FA51</x:f>
      </x:c>
      <x:c r="FB52" s="117" t="n">
        <x:f>FA52+FB51</x:f>
      </x:c>
      <x:c r="FC52" s="117" t="n">
        <x:f>FB52+FC51</x:f>
      </x:c>
      <x:c r="FD52" s="117" t="n">
        <x:f>FC52+FD51</x:f>
      </x:c>
      <x:c r="FE52" s="117" t="n">
        <x:f>FD52+FE51</x:f>
      </x:c>
      <x:c r="FF52" s="117" t="n">
        <x:f>FE52+FF51</x:f>
      </x:c>
      <x:c r="FG52" s="117" t="n">
        <x:f>FF52+FG51</x:f>
      </x:c>
      <x:c r="FH52" s="117" t="n">
        <x:f>FG52+FH51</x:f>
      </x:c>
      <x:c r="FI52" s="117" t="n">
        <x:f>FH52+FI51</x:f>
      </x:c>
      <x:c r="FJ52" s="117" t="n">
        <x:f>FI52+FJ51</x:f>
      </x:c>
      <x:c r="FK52" s="117" t="n">
        <x:f>FJ52+FK51</x:f>
      </x:c>
      <x:c r="FL52" s="117" t="n">
        <x:f>FK52+FL51</x:f>
      </x:c>
      <x:c r="FM52" s="117" t="n">
        <x:f>FL52+FM51</x:f>
      </x:c>
      <x:c r="FN52" s="117" t="n">
        <x:f>FM52+FN51</x:f>
      </x:c>
      <x:c r="FO52" s="117" t="n">
        <x:f>FN52+FO51</x:f>
      </x:c>
      <x:c r="FP52" s="117" t="n">
        <x:f>FO52+FP51</x:f>
      </x:c>
      <x:c r="FQ52" s="117" t="n">
        <x:f>FP52+FQ51</x:f>
      </x:c>
      <x:c r="FR52" s="117" t="n">
        <x:f>FQ52+FR51</x:f>
      </x:c>
      <x:c r="FS52" s="117" t="n">
        <x:f>FR52+FS51</x:f>
      </x:c>
      <x:c r="FT52" s="117" t="n">
        <x:f>FS52+FT51</x:f>
      </x:c>
      <x:c r="FU52" s="117" t="n">
        <x:f>FT52+FU51</x:f>
      </x:c>
      <x:c r="FV52" s="117" t="n">
        <x:f>FU52+FV51</x:f>
      </x:c>
      <x:c r="FW52" s="117" t="n">
        <x:f>FV52+FW51</x:f>
      </x:c>
      <x:c r="FX52" s="117" t="n">
        <x:f>FW52+FX51</x:f>
      </x:c>
      <x:c r="FY52" s="117" t="n">
        <x:f>FX52+FY51</x:f>
      </x:c>
      <x:c r="FZ52" s="117" t="n">
        <x:f>FY52+FZ51</x:f>
      </x:c>
      <x:c r="GA52" s="117" t="n">
        <x:f>FZ52+GA51</x:f>
      </x:c>
    </x:row>
    <x:row r="53">
      <x:c r="A53" t="inlineStr">
        <x:is>
          <x:t>ПФ — уплата процентов и комиссий</x:t>
        </x:is>
      </x:c>
      <x:c r="B53">
        <x:f>SUM(D53:GA53)</x:f>
      </x:c>
      <x:c r="C53"/>
      <x:c r="D53" s="117">
        <x:f>IF(D$3&lt;$B$8,0,IF(AND(YEAR(D$3)=YEAR($B$8),MONTH(D$3)=MONTH($B$8)),C48*(1+D41/12),0)+D42+D43)</x:f>
      </x:c>
      <x:c r="E53" s="117">
        <x:f>IF(E$3&lt;$B$8,0,IF(AND(YEAR(E$3)=YEAR($B$8),MONTH(E$3)=MONTH($B$8)),D48*(1+E41/12),0)+E42+E43)</x:f>
      </x:c>
      <x:c r="F53" s="117">
        <x:f>IF(F$3&lt;$B$8,0,IF(AND(YEAR(F$3)=YEAR($B$8),MONTH(F$3)=MONTH($B$8)),E48*(1+F41/12),0)+F42+F43)</x:f>
      </x:c>
      <x:c r="G53" s="117">
        <x:f>IF(G$3&lt;$B$8,0,IF(AND(YEAR(G$3)=YEAR($B$8),MONTH(G$3)=MONTH($B$8)),F48*(1+G41/12),0)+G42+G43)</x:f>
      </x:c>
      <x:c r="H53" s="117">
        <x:f>IF(H$3&lt;$B$8,0,IF(AND(YEAR(H$3)=YEAR($B$8),MONTH(H$3)=MONTH($B$8)),G48*(1+H41/12),0)+H42+H43)</x:f>
      </x:c>
      <x:c r="I53" s="117">
        <x:f>IF(I$3&lt;$B$8,0,IF(AND(YEAR(I$3)=YEAR($B$8),MONTH(I$3)=MONTH($B$8)),H48*(1+I41/12),0)+I42+I43)</x:f>
      </x:c>
      <x:c r="J53" s="117">
        <x:f>IF(J$3&lt;$B$8,0,IF(AND(YEAR(J$3)=YEAR($B$8),MONTH(J$3)=MONTH($B$8)),I48*(1+J41/12),0)+J42+J43)</x:f>
      </x:c>
      <x:c r="K53" s="117">
        <x:f>IF(K$3&lt;$B$8,0,IF(AND(YEAR(K$3)=YEAR($B$8),MONTH(K$3)=MONTH($B$8)),J48*(1+K41/12),0)+K42+K43)</x:f>
      </x:c>
      <x:c r="L53" s="117">
        <x:f>IF(L$3&lt;$B$8,0,IF(AND(YEAR(L$3)=YEAR($B$8),MONTH(L$3)=MONTH($B$8)),K48*(1+L41/12),0)+L42+L43)</x:f>
      </x:c>
      <x:c r="M53" s="117">
        <x:f>IF(M$3&lt;$B$8,0,IF(AND(YEAR(M$3)=YEAR($B$8),MONTH(M$3)=MONTH($B$8)),L48*(1+M41/12),0)+M42+M43)</x:f>
      </x:c>
      <x:c r="N53" s="117">
        <x:f>IF(N$3&lt;$B$8,0,IF(AND(YEAR(N$3)=YEAR($B$8),MONTH(N$3)=MONTH($B$8)),M48*(1+N41/12),0)+N42+N43)</x:f>
      </x:c>
      <x:c r="O53" s="117">
        <x:f>IF(O$3&lt;$B$8,0,IF(AND(YEAR(O$3)=YEAR($B$8),MONTH(O$3)=MONTH($B$8)),N48*(1+O41/12),0)+O42+O43)</x:f>
      </x:c>
      <x:c r="P53" s="117">
        <x:f>IF(P$3&lt;$B$8,0,IF(AND(YEAR(P$3)=YEAR($B$8),MONTH(P$3)=MONTH($B$8)),O48*(1+P41/12),0)+P42+P43)</x:f>
      </x:c>
      <x:c r="Q53" s="117">
        <x:f>IF(Q$3&lt;$B$8,0,IF(AND(YEAR(Q$3)=YEAR($B$8),MONTH(Q$3)=MONTH($B$8)),P48*(1+Q41/12),0)+Q42+Q43)</x:f>
      </x:c>
      <x:c r="R53" s="117">
        <x:f>IF(R$3&lt;$B$8,0,IF(AND(YEAR(R$3)=YEAR($B$8),MONTH(R$3)=MONTH($B$8)),Q48*(1+R41/12),0)+R42+R43)</x:f>
      </x:c>
      <x:c r="S53" s="117">
        <x:f>IF(S$3&lt;$B$8,0,IF(AND(YEAR(S$3)=YEAR($B$8),MONTH(S$3)=MONTH($B$8)),R48*(1+S41/12),0)+S42+S43)</x:f>
      </x:c>
      <x:c r="T53" s="117">
        <x:f>IF(T$3&lt;$B$8,0,IF(AND(YEAR(T$3)=YEAR($B$8),MONTH(T$3)=MONTH($B$8)),S48*(1+T41/12),0)+T42+T43)</x:f>
      </x:c>
      <x:c r="U53" s="117">
        <x:f>IF(U$3&lt;$B$8,0,IF(AND(YEAR(U$3)=YEAR($B$8),MONTH(U$3)=MONTH($B$8)),T48*(1+U41/12),0)+U42+U43)</x:f>
      </x:c>
      <x:c r="V53" s="117">
        <x:f>IF(V$3&lt;$B$8,0,IF(AND(YEAR(V$3)=YEAR($B$8),MONTH(V$3)=MONTH($B$8)),U48*(1+V41/12),0)+V42+V43)</x:f>
      </x:c>
      <x:c r="W53" s="117">
        <x:f>IF(W$3&lt;$B$8,0,IF(AND(YEAR(W$3)=YEAR($B$8),MONTH(W$3)=MONTH($B$8)),V48*(1+W41/12),0)+W42+W43)</x:f>
      </x:c>
      <x:c r="X53" s="117">
        <x:f>IF(X$3&lt;$B$8,0,IF(AND(YEAR(X$3)=YEAR($B$8),MONTH(X$3)=MONTH($B$8)),W48*(1+X41/12),0)+X42+X43)</x:f>
      </x:c>
      <x:c r="Y53" s="117">
        <x:f>IF(Y$3&lt;$B$8,0,IF(AND(YEAR(Y$3)=YEAR($B$8),MONTH(Y$3)=MONTH($B$8)),X48*(1+Y41/12),0)+Y42+Y43)</x:f>
      </x:c>
      <x:c r="Z53" s="117">
        <x:f>IF(Z$3&lt;$B$8,0,IF(AND(YEAR(Z$3)=YEAR($B$8),MONTH(Z$3)=MONTH($B$8)),Y48*(1+Z41/12),0)+Z42+Z43)</x:f>
      </x:c>
      <x:c r="AA53" s="117">
        <x:f>IF(AA$3&lt;$B$8,0,IF(AND(YEAR(AA$3)=YEAR($B$8),MONTH(AA$3)=MONTH($B$8)),Z48*(1+AA41/12),0)+AA42+AA43)</x:f>
      </x:c>
      <x:c r="AB53" s="117">
        <x:f>IF(AB$3&lt;$B$8,0,IF(AND(YEAR(AB$3)=YEAR($B$8),MONTH(AB$3)=MONTH($B$8)),AA48*(1+AB41/12),0)+AB42+AB43)</x:f>
      </x:c>
      <x:c r="AC53" s="117">
        <x:f>IF(AC$3&lt;$B$8,0,IF(AND(YEAR(AC$3)=YEAR($B$8),MONTH(AC$3)=MONTH($B$8)),AB48*(1+AC41/12),0)+AC42+AC43)</x:f>
      </x:c>
      <x:c r="AD53" s="117">
        <x:f>IF(AD$3&lt;$B$8,0,IF(AND(YEAR(AD$3)=YEAR($B$8),MONTH(AD$3)=MONTH($B$8)),AC48*(1+AD41/12),0)+AD42+AD43)</x:f>
      </x:c>
      <x:c r="AE53" s="117">
        <x:f>IF(AE$3&lt;$B$8,0,IF(AND(YEAR(AE$3)=YEAR($B$8),MONTH(AE$3)=MONTH($B$8)),AD48*(1+AE41/12),0)+AE42+AE43)</x:f>
      </x:c>
      <x:c r="AF53" s="117">
        <x:f>IF(AF$3&lt;$B$8,0,IF(AND(YEAR(AF$3)=YEAR($B$8),MONTH(AF$3)=MONTH($B$8)),AE48*(1+AF41/12),0)+AF42+AF43)</x:f>
      </x:c>
      <x:c r="AG53" s="117">
        <x:f>IF(AG$3&lt;$B$8,0,IF(AND(YEAR(AG$3)=YEAR($B$8),MONTH(AG$3)=MONTH($B$8)),AF48*(1+AG41/12),0)+AG42+AG43)</x:f>
      </x:c>
      <x:c r="AH53" s="117">
        <x:f>IF(AH$3&lt;$B$8,0,IF(AND(YEAR(AH$3)=YEAR($B$8),MONTH(AH$3)=MONTH($B$8)),AG48*(1+AH41/12),0)+AH42+AH43)</x:f>
      </x:c>
      <x:c r="AI53" s="117">
        <x:f>IF(AI$3&lt;$B$8,0,IF(AND(YEAR(AI$3)=YEAR($B$8),MONTH(AI$3)=MONTH($B$8)),AH48*(1+AI41/12),0)+AI42+AI43)</x:f>
      </x:c>
      <x:c r="AJ53" s="117">
        <x:f>IF(AJ$3&lt;$B$8,0,IF(AND(YEAR(AJ$3)=YEAR($B$8),MONTH(AJ$3)=MONTH($B$8)),AI48*(1+AJ41/12),0)+AJ42+AJ43)</x:f>
      </x:c>
      <x:c r="AK53" s="117">
        <x:f>IF(AK$3&lt;$B$8,0,IF(AND(YEAR(AK$3)=YEAR($B$8),MONTH(AK$3)=MONTH($B$8)),AJ48*(1+AK41/12),0)+AK42+AK43)</x:f>
      </x:c>
      <x:c r="AL53" s="117">
        <x:f>IF(AL$3&lt;$B$8,0,IF(AND(YEAR(AL$3)=YEAR($B$8),MONTH(AL$3)=MONTH($B$8)),AK48*(1+AL41/12),0)+AL42+AL43)</x:f>
      </x:c>
      <x:c r="AM53" s="117">
        <x:f>IF(AM$3&lt;$B$8,0,IF(AND(YEAR(AM$3)=YEAR($B$8),MONTH(AM$3)=MONTH($B$8)),AL48*(1+AM41/12),0)+AM42+AM43)</x:f>
      </x:c>
      <x:c r="AN53" s="117">
        <x:f>IF(AN$3&lt;$B$8,0,IF(AND(YEAR(AN$3)=YEAR($B$8),MONTH(AN$3)=MONTH($B$8)),AM48*(1+AN41/12),0)+AN42+AN43)</x:f>
      </x:c>
      <x:c r="AO53" s="117">
        <x:f>IF(AO$3&lt;$B$8,0,IF(AND(YEAR(AO$3)=YEAR($B$8),MONTH(AO$3)=MONTH($B$8)),AN48*(1+AO41/12),0)+AO42+AO43)</x:f>
      </x:c>
      <x:c r="AP53" s="117">
        <x:f>IF(AP$3&lt;$B$8,0,IF(AND(YEAR(AP$3)=YEAR($B$8),MONTH(AP$3)=MONTH($B$8)),AO48*(1+AP41/12),0)+AP42+AP43)</x:f>
      </x:c>
      <x:c r="AQ53" s="117">
        <x:f>IF(AQ$3&lt;$B$8,0,IF(AND(YEAR(AQ$3)=YEAR($B$8),MONTH(AQ$3)=MONTH($B$8)),AP48*(1+AQ41/12),0)+AQ42+AQ43)</x:f>
      </x:c>
      <x:c r="AR53" s="117">
        <x:f>IF(AR$3&lt;$B$8,0,IF(AND(YEAR(AR$3)=YEAR($B$8),MONTH(AR$3)=MONTH($B$8)),AQ48*(1+AR41/12),0)+AR42+AR43)</x:f>
      </x:c>
      <x:c r="AS53" s="117">
        <x:f>IF(AS$3&lt;$B$8,0,IF(AND(YEAR(AS$3)=YEAR($B$8),MONTH(AS$3)=MONTH($B$8)),AR48*(1+AS41/12),0)+AS42+AS43)</x:f>
      </x:c>
      <x:c r="AT53" s="117">
        <x:f>IF(AT$3&lt;$B$8,0,IF(AND(YEAR(AT$3)=YEAR($B$8),MONTH(AT$3)=MONTH($B$8)),AS48*(1+AT41/12),0)+AT42+AT43)</x:f>
      </x:c>
      <x:c r="AU53" s="117">
        <x:f>IF(AU$3&lt;$B$8,0,IF(AND(YEAR(AU$3)=YEAR($B$8),MONTH(AU$3)=MONTH($B$8)),AT48*(1+AU41/12),0)+AU42+AU43)</x:f>
      </x:c>
      <x:c r="AV53" s="117">
        <x:f>IF(AV$3&lt;$B$8,0,IF(AND(YEAR(AV$3)=YEAR($B$8),MONTH(AV$3)=MONTH($B$8)),AU48*(1+AV41/12),0)+AV42+AV43)</x:f>
      </x:c>
      <x:c r="AW53" s="117">
        <x:f>IF(AW$3&lt;$B$8,0,IF(AND(YEAR(AW$3)=YEAR($B$8),MONTH(AW$3)=MONTH($B$8)),AV48*(1+AW41/12),0)+AW42+AW43)</x:f>
      </x:c>
      <x:c r="AX53" s="117">
        <x:f>IF(AX$3&lt;$B$8,0,IF(AND(YEAR(AX$3)=YEAR($B$8),MONTH(AX$3)=MONTH($B$8)),AW48*(1+AX41/12),0)+AX42+AX43)</x:f>
      </x:c>
      <x:c r="AY53" s="117">
        <x:f>IF(AY$3&lt;$B$8,0,IF(AND(YEAR(AY$3)=YEAR($B$8),MONTH(AY$3)=MONTH($B$8)),AX48*(1+AY41/12),0)+AY42+AY43)</x:f>
      </x:c>
      <x:c r="AZ53" s="117">
        <x:f>IF(AZ$3&lt;$B$8,0,IF(AND(YEAR(AZ$3)=YEAR($B$8),MONTH(AZ$3)=MONTH($B$8)),AY48*(1+AZ41/12),0)+AZ42+AZ43)</x:f>
      </x:c>
      <x:c r="BA53" s="117">
        <x:f>IF(BA$3&lt;$B$8,0,IF(AND(YEAR(BA$3)=YEAR($B$8),MONTH(BA$3)=MONTH($B$8)),AZ48*(1+BA41/12),0)+BA42+BA43)</x:f>
      </x:c>
      <x:c r="BB53" s="117">
        <x:f>IF(BB$3&lt;$B$8,0,IF(AND(YEAR(BB$3)=YEAR($B$8),MONTH(BB$3)=MONTH($B$8)),BA48*(1+BB41/12),0)+BB42+BB43)</x:f>
      </x:c>
      <x:c r="BC53" s="117">
        <x:f>IF(BC$3&lt;$B$8,0,IF(AND(YEAR(BC$3)=YEAR($B$8),MONTH(BC$3)=MONTH($B$8)),BB48*(1+BC41/12),0)+BC42+BC43)</x:f>
      </x:c>
      <x:c r="BD53" s="117">
        <x:f>IF(BD$3&lt;$B$8,0,IF(AND(YEAR(BD$3)=YEAR($B$8),MONTH(BD$3)=MONTH($B$8)),BC48*(1+BD41/12),0)+BD42+BD43)</x:f>
      </x:c>
      <x:c r="BE53" s="117">
        <x:f>IF(BE$3&lt;$B$8,0,IF(AND(YEAR(BE$3)=YEAR($B$8),MONTH(BE$3)=MONTH($B$8)),BD48*(1+BE41/12),0)+BE42+BE43)</x:f>
      </x:c>
      <x:c r="BF53" s="117">
        <x:f>IF(BF$3&lt;$B$8,0,IF(AND(YEAR(BF$3)=YEAR($B$8),MONTH(BF$3)=MONTH($B$8)),BE48*(1+BF41/12),0)+BF42+BF43)</x:f>
      </x:c>
      <x:c r="BG53" s="117">
        <x:f>IF(BG$3&lt;$B$8,0,IF(AND(YEAR(BG$3)=YEAR($B$8),MONTH(BG$3)=MONTH($B$8)),BF48*(1+BG41/12),0)+BG42+BG43)</x:f>
      </x:c>
      <x:c r="BH53" s="117">
        <x:f>IF(BH$3&lt;$B$8,0,IF(AND(YEAR(BH$3)=YEAR($B$8),MONTH(BH$3)=MONTH($B$8)),BG48*(1+BH41/12),0)+BH42+BH43)</x:f>
      </x:c>
      <x:c r="BI53" s="117">
        <x:f>IF(BI$3&lt;$B$8,0,IF(AND(YEAR(BI$3)=YEAR($B$8),MONTH(BI$3)=MONTH($B$8)),BH48*(1+BI41/12),0)+BI42+BI43)</x:f>
      </x:c>
      <x:c r="BJ53" s="117">
        <x:f>IF(BJ$3&lt;$B$8,0,IF(AND(YEAR(BJ$3)=YEAR($B$8),MONTH(BJ$3)=MONTH($B$8)),BI48*(1+BJ41/12),0)+BJ42+BJ43)</x:f>
      </x:c>
      <x:c r="BK53" s="117">
        <x:f>IF(BK$3&lt;$B$8,0,IF(AND(YEAR(BK$3)=YEAR($B$8),MONTH(BK$3)=MONTH($B$8)),BJ48*(1+BK41/12),0)+BK42+BK43)</x:f>
      </x:c>
      <x:c r="BL53" s="117">
        <x:f>IF(BL$3&lt;$B$8,0,IF(AND(YEAR(BL$3)=YEAR($B$8),MONTH(BL$3)=MONTH($B$8)),BK48*(1+BL41/12),0)+BL42+BL43)</x:f>
      </x:c>
      <x:c r="BM53" s="117">
        <x:f>IF(BM$3&lt;$B$8,0,IF(AND(YEAR(BM$3)=YEAR($B$8),MONTH(BM$3)=MONTH($B$8)),BL48*(1+BM41/12),0)+BM42+BM43)</x:f>
      </x:c>
      <x:c r="BN53" s="117">
        <x:f>IF(BN$3&lt;$B$8,0,IF(AND(YEAR(BN$3)=YEAR($B$8),MONTH(BN$3)=MONTH($B$8)),BM48*(1+BN41/12),0)+BN42+BN43)</x:f>
      </x:c>
      <x:c r="BO53" s="117">
        <x:f>IF(BO$3&lt;$B$8,0,IF(AND(YEAR(BO$3)=YEAR($B$8),MONTH(BO$3)=MONTH($B$8)),BN48*(1+BO41/12),0)+BO42+BO43)</x:f>
      </x:c>
      <x:c r="BP53" s="117">
        <x:f>IF(BP$3&lt;$B$8,0,IF(AND(YEAR(BP$3)=YEAR($B$8),MONTH(BP$3)=MONTH($B$8)),BO48*(1+BP41/12),0)+BP42+BP43)</x:f>
      </x:c>
      <x:c r="BQ53" s="117">
        <x:f>IF(BQ$3&lt;$B$8,0,IF(AND(YEAR(BQ$3)=YEAR($B$8),MONTH(BQ$3)=MONTH($B$8)),BP48*(1+BQ41/12),0)+BQ42+BQ43)</x:f>
      </x:c>
      <x:c r="BR53" s="117">
        <x:f>IF(BR$3&lt;$B$8,0,IF(AND(YEAR(BR$3)=YEAR($B$8),MONTH(BR$3)=MONTH($B$8)),BQ48*(1+BR41/12),0)+BR42+BR43)</x:f>
      </x:c>
      <x:c r="BS53" s="117">
        <x:f>IF(BS$3&lt;$B$8,0,IF(AND(YEAR(BS$3)=YEAR($B$8),MONTH(BS$3)=MONTH($B$8)),BR48*(1+BS41/12),0)+BS42+BS43)</x:f>
      </x:c>
      <x:c r="BT53" s="117">
        <x:f>IF(BT$3&lt;$B$8,0,IF(AND(YEAR(BT$3)=YEAR($B$8),MONTH(BT$3)=MONTH($B$8)),BS48*(1+BT41/12),0)+BT42+BT43)</x:f>
      </x:c>
      <x:c r="BU53" s="117">
        <x:f>IF(BU$3&lt;$B$8,0,IF(AND(YEAR(BU$3)=YEAR($B$8),MONTH(BU$3)=MONTH($B$8)),BT48*(1+BU41/12),0)+BU42+BU43)</x:f>
      </x:c>
      <x:c r="BV53" s="117">
        <x:f>IF(BV$3&lt;$B$8,0,IF(AND(YEAR(BV$3)=YEAR($B$8),MONTH(BV$3)=MONTH($B$8)),BU48*(1+BV41/12),0)+BV42+BV43)</x:f>
      </x:c>
      <x:c r="BW53" s="117">
        <x:f>IF(BW$3&lt;$B$8,0,IF(AND(YEAR(BW$3)=YEAR($B$8),MONTH(BW$3)=MONTH($B$8)),BV48*(1+BW41/12),0)+BW42+BW43)</x:f>
      </x:c>
      <x:c r="BX53" s="117">
        <x:f>IF(BX$3&lt;$B$8,0,IF(AND(YEAR(BX$3)=YEAR($B$8),MONTH(BX$3)=MONTH($B$8)),BW48*(1+BX41/12),0)+BX42+BX43)</x:f>
      </x:c>
      <x:c r="BY53" s="117">
        <x:f>IF(BY$3&lt;$B$8,0,IF(AND(YEAR(BY$3)=YEAR($B$8),MONTH(BY$3)=MONTH($B$8)),BX48*(1+BY41/12),0)+BY42+BY43)</x:f>
      </x:c>
      <x:c r="BZ53" s="117">
        <x:f>IF(BZ$3&lt;$B$8,0,IF(AND(YEAR(BZ$3)=YEAR($B$8),MONTH(BZ$3)=MONTH($B$8)),BY48*(1+BZ41/12),0)+BZ42+BZ43)</x:f>
      </x:c>
      <x:c r="CA53" s="117">
        <x:f>IF(CA$3&lt;$B$8,0,IF(AND(YEAR(CA$3)=YEAR($B$8),MONTH(CA$3)=MONTH($B$8)),BZ48*(1+CA41/12),0)+CA42+CA43)</x:f>
      </x:c>
      <x:c r="CB53" s="117">
        <x:f>IF(CB$3&lt;$B$8,0,IF(AND(YEAR(CB$3)=YEAR($B$8),MONTH(CB$3)=MONTH($B$8)),CA48*(1+CB41/12),0)+CB42+CB43)</x:f>
      </x:c>
      <x:c r="CC53" s="117">
        <x:f>IF(CC$3&lt;$B$8,0,IF(AND(YEAR(CC$3)=YEAR($B$8),MONTH(CC$3)=MONTH($B$8)),CB48*(1+CC41/12),0)+CC42+CC43)</x:f>
      </x:c>
      <x:c r="CD53" s="117">
        <x:f>IF(CD$3&lt;$B$8,0,IF(AND(YEAR(CD$3)=YEAR($B$8),MONTH(CD$3)=MONTH($B$8)),CC48*(1+CD41/12),0)+CD42+CD43)</x:f>
      </x:c>
      <x:c r="CE53" s="117">
        <x:f>IF(CE$3&lt;$B$8,0,IF(AND(YEAR(CE$3)=YEAR($B$8),MONTH(CE$3)=MONTH($B$8)),CD48*(1+CE41/12),0)+CE42+CE43)</x:f>
      </x:c>
      <x:c r="CF53" s="117">
        <x:f>IF(CF$3&lt;$B$8,0,IF(AND(YEAR(CF$3)=YEAR($B$8),MONTH(CF$3)=MONTH($B$8)),CE48*(1+CF41/12),0)+CF42+CF43)</x:f>
      </x:c>
      <x:c r="CG53" s="117">
        <x:f>IF(CG$3&lt;$B$8,0,IF(AND(YEAR(CG$3)=YEAR($B$8),MONTH(CG$3)=MONTH($B$8)),CF48*(1+CG41/12),0)+CG42+CG43)</x:f>
      </x:c>
      <x:c r="CH53" s="117">
        <x:f>IF(CH$3&lt;$B$8,0,IF(AND(YEAR(CH$3)=YEAR($B$8),MONTH(CH$3)=MONTH($B$8)),CG48*(1+CH41/12),0)+CH42+CH43)</x:f>
      </x:c>
      <x:c r="CI53" s="117">
        <x:f>IF(CI$3&lt;$B$8,0,IF(AND(YEAR(CI$3)=YEAR($B$8),MONTH(CI$3)=MONTH($B$8)),CH48*(1+CI41/12),0)+CI42+CI43)</x:f>
      </x:c>
      <x:c r="CJ53" s="117">
        <x:f>IF(CJ$3&lt;$B$8,0,IF(AND(YEAR(CJ$3)=YEAR($B$8),MONTH(CJ$3)=MONTH($B$8)),CI48*(1+CJ41/12),0)+CJ42+CJ43)</x:f>
      </x:c>
      <x:c r="CK53" s="117">
        <x:f>IF(CK$3&lt;$B$8,0,IF(AND(YEAR(CK$3)=YEAR($B$8),MONTH(CK$3)=MONTH($B$8)),CJ48*(1+CK41/12),0)+CK42+CK43)</x:f>
      </x:c>
      <x:c r="CL53" s="117">
        <x:f>IF(CL$3&lt;$B$8,0,IF(AND(YEAR(CL$3)=YEAR($B$8),MONTH(CL$3)=MONTH($B$8)),CK48*(1+CL41/12),0)+CL42+CL43)</x:f>
      </x:c>
      <x:c r="CM53" s="117">
        <x:f>IF(CM$3&lt;$B$8,0,IF(AND(YEAR(CM$3)=YEAR($B$8),MONTH(CM$3)=MONTH($B$8)),CL48*(1+CM41/12),0)+CM42+CM43)</x:f>
      </x:c>
      <x:c r="CN53" s="117">
        <x:f>IF(CN$3&lt;$B$8,0,IF(AND(YEAR(CN$3)=YEAR($B$8),MONTH(CN$3)=MONTH($B$8)),CM48*(1+CN41/12),0)+CN42+CN43)</x:f>
      </x:c>
      <x:c r="CO53" s="117">
        <x:f>IF(CO$3&lt;$B$8,0,IF(AND(YEAR(CO$3)=YEAR($B$8),MONTH(CO$3)=MONTH($B$8)),CN48*(1+CO41/12),0)+CO42+CO43)</x:f>
      </x:c>
      <x:c r="CP53" s="117">
        <x:f>IF(CP$3&lt;$B$8,0,IF(AND(YEAR(CP$3)=YEAR($B$8),MONTH(CP$3)=MONTH($B$8)),CO48*(1+CP41/12),0)+CP42+CP43)</x:f>
      </x:c>
      <x:c r="CQ53" s="117">
        <x:f>IF(CQ$3&lt;$B$8,0,IF(AND(YEAR(CQ$3)=YEAR($B$8),MONTH(CQ$3)=MONTH($B$8)),CP48*(1+CQ41/12),0)+CQ42+CQ43)</x:f>
      </x:c>
      <x:c r="CR53" s="117">
        <x:f>IF(CR$3&lt;$B$8,0,IF(AND(YEAR(CR$3)=YEAR($B$8),MONTH(CR$3)=MONTH($B$8)),CQ48*(1+CR41/12),0)+CR42+CR43)</x:f>
      </x:c>
      <x:c r="CS53" s="117">
        <x:f>IF(CS$3&lt;$B$8,0,IF(AND(YEAR(CS$3)=YEAR($B$8),MONTH(CS$3)=MONTH($B$8)),CR48*(1+CS41/12),0)+CS42+CS43)</x:f>
      </x:c>
      <x:c r="CT53" s="117">
        <x:f>IF(CT$3&lt;$B$8,0,IF(AND(YEAR(CT$3)=YEAR($B$8),MONTH(CT$3)=MONTH($B$8)),CS48*(1+CT41/12),0)+CT42+CT43)</x:f>
      </x:c>
      <x:c r="CU53" s="117">
        <x:f>IF(CU$3&lt;$B$8,0,IF(AND(YEAR(CU$3)=YEAR($B$8),MONTH(CU$3)=MONTH($B$8)),CT48*(1+CU41/12),0)+CU42+CU43)</x:f>
      </x:c>
      <x:c r="CV53" s="117">
        <x:f>IF(CV$3&lt;$B$8,0,IF(AND(YEAR(CV$3)=YEAR($B$8),MONTH(CV$3)=MONTH($B$8)),CU48*(1+CV41/12),0)+CV42+CV43)</x:f>
      </x:c>
      <x:c r="CW53" s="117">
        <x:f>IF(CW$3&lt;$B$8,0,IF(AND(YEAR(CW$3)=YEAR($B$8),MONTH(CW$3)=MONTH($B$8)),CV48*(1+CW41/12),0)+CW42+CW43)</x:f>
      </x:c>
      <x:c r="CX53" s="117">
        <x:f>IF(CX$3&lt;$B$8,0,IF(AND(YEAR(CX$3)=YEAR($B$8),MONTH(CX$3)=MONTH($B$8)),CW48*(1+CX41/12),0)+CX42+CX43)</x:f>
      </x:c>
      <x:c r="CY53" s="117">
        <x:f>IF(CY$3&lt;$B$8,0,IF(AND(YEAR(CY$3)=YEAR($B$8),MONTH(CY$3)=MONTH($B$8)),CX48*(1+CY41/12),0)+CY42+CY43)</x:f>
      </x:c>
      <x:c r="CZ53" s="117">
        <x:f>IF(CZ$3&lt;$B$8,0,IF(AND(YEAR(CZ$3)=YEAR($B$8),MONTH(CZ$3)=MONTH($B$8)),CY48*(1+CZ41/12),0)+CZ42+CZ43)</x:f>
      </x:c>
      <x:c r="DA53" s="117">
        <x:f>IF(DA$3&lt;$B$8,0,IF(AND(YEAR(DA$3)=YEAR($B$8),MONTH(DA$3)=MONTH($B$8)),CZ48*(1+DA41/12),0)+DA42+DA43)</x:f>
      </x:c>
      <x:c r="DB53" s="117">
        <x:f>IF(DB$3&lt;$B$8,0,IF(AND(YEAR(DB$3)=YEAR($B$8),MONTH(DB$3)=MONTH($B$8)),DA48*(1+DB41/12),0)+DB42+DB43)</x:f>
      </x:c>
      <x:c r="DC53" s="117">
        <x:f>IF(DC$3&lt;$B$8,0,IF(AND(YEAR(DC$3)=YEAR($B$8),MONTH(DC$3)=MONTH($B$8)),DB48*(1+DC41/12),0)+DC42+DC43)</x:f>
      </x:c>
      <x:c r="DD53" s="117">
        <x:f>IF(DD$3&lt;$B$8,0,IF(AND(YEAR(DD$3)=YEAR($B$8),MONTH(DD$3)=MONTH($B$8)),DC48*(1+DD41/12),0)+DD42+DD43)</x:f>
      </x:c>
      <x:c r="DE53" s="117">
        <x:f>IF(DE$3&lt;$B$8,0,IF(AND(YEAR(DE$3)=YEAR($B$8),MONTH(DE$3)=MONTH($B$8)),DD48*(1+DE41/12),0)+DE42+DE43)</x:f>
      </x:c>
      <x:c r="DF53" s="117">
        <x:f>IF(DF$3&lt;$B$8,0,IF(AND(YEAR(DF$3)=YEAR($B$8),MONTH(DF$3)=MONTH($B$8)),DE48*(1+DF41/12),0)+DF42+DF43)</x:f>
      </x:c>
      <x:c r="DG53" s="117">
        <x:f>IF(DG$3&lt;$B$8,0,IF(AND(YEAR(DG$3)=YEAR($B$8),MONTH(DG$3)=MONTH($B$8)),DF48*(1+DG41/12),0)+DG42+DG43)</x:f>
      </x:c>
      <x:c r="DH53" s="117">
        <x:f>IF(DH$3&lt;$B$8,0,IF(AND(YEAR(DH$3)=YEAR($B$8),MONTH(DH$3)=MONTH($B$8)),DG48*(1+DH41/12),0)+DH42+DH43)</x:f>
      </x:c>
      <x:c r="DI53" s="117">
        <x:f>IF(DI$3&lt;$B$8,0,IF(AND(YEAR(DI$3)=YEAR($B$8),MONTH(DI$3)=MONTH($B$8)),DH48*(1+DI41/12),0)+DI42+DI43)</x:f>
      </x:c>
      <x:c r="DJ53" s="117">
        <x:f>IF(DJ$3&lt;$B$8,0,IF(AND(YEAR(DJ$3)=YEAR($B$8),MONTH(DJ$3)=MONTH($B$8)),DI48*(1+DJ41/12),0)+DJ42+DJ43)</x:f>
      </x:c>
      <x:c r="DK53" s="117">
        <x:f>IF(DK$3&lt;$B$8,0,IF(AND(YEAR(DK$3)=YEAR($B$8),MONTH(DK$3)=MONTH($B$8)),DJ48*(1+DK41/12),0)+DK42+DK43)</x:f>
      </x:c>
      <x:c r="DL53" s="117">
        <x:f>IF(DL$3&lt;$B$8,0,IF(AND(YEAR(DL$3)=YEAR($B$8),MONTH(DL$3)=MONTH($B$8)),DK48*(1+DL41/12),0)+DL42+DL43)</x:f>
      </x:c>
      <x:c r="DM53" s="117">
        <x:f>IF(DM$3&lt;$B$8,0,IF(AND(YEAR(DM$3)=YEAR($B$8),MONTH(DM$3)=MONTH($B$8)),DL48*(1+DM41/12),0)+DM42+DM43)</x:f>
      </x:c>
      <x:c r="DN53" s="117">
        <x:f>IF(DN$3&lt;$B$8,0,IF(AND(YEAR(DN$3)=YEAR($B$8),MONTH(DN$3)=MONTH($B$8)),DM48*(1+DN41/12),0)+DN42+DN43)</x:f>
      </x:c>
      <x:c r="DO53" s="117">
        <x:f>IF(DO$3&lt;$B$8,0,IF(AND(YEAR(DO$3)=YEAR($B$8),MONTH(DO$3)=MONTH($B$8)),DN48*(1+DO41/12),0)+DO42+DO43)</x:f>
      </x:c>
      <x:c r="DP53" s="117">
        <x:f>IF(DP$3&lt;$B$8,0,IF(AND(YEAR(DP$3)=YEAR($B$8),MONTH(DP$3)=MONTH($B$8)),DO48*(1+DP41/12),0)+DP42+DP43)</x:f>
      </x:c>
      <x:c r="DQ53" s="117">
        <x:f>IF(DQ$3&lt;$B$8,0,IF(AND(YEAR(DQ$3)=YEAR($B$8),MONTH(DQ$3)=MONTH($B$8)),DP48*(1+DQ41/12),0)+DQ42+DQ43)</x:f>
      </x:c>
      <x:c r="DR53" s="117">
        <x:f>IF(DR$3&lt;$B$8,0,IF(AND(YEAR(DR$3)=YEAR($B$8),MONTH(DR$3)=MONTH($B$8)),DQ48*(1+DR41/12),0)+DR42+DR43)</x:f>
      </x:c>
      <x:c r="DS53" s="117">
        <x:f>IF(DS$3&lt;$B$8,0,IF(AND(YEAR(DS$3)=YEAR($B$8),MONTH(DS$3)=MONTH($B$8)),DR48*(1+DS41/12),0)+DS42+DS43)</x:f>
      </x:c>
      <x:c r="DT53" s="117">
        <x:f>IF(DT$3&lt;$B$8,0,IF(AND(YEAR(DT$3)=YEAR($B$8),MONTH(DT$3)=MONTH($B$8)),DS48*(1+DT41/12),0)+DT42+DT43)</x:f>
      </x:c>
      <x:c r="DU53" s="117">
        <x:f>IF(DU$3&lt;$B$8,0,IF(AND(YEAR(DU$3)=YEAR($B$8),MONTH(DU$3)=MONTH($B$8)),DT48*(1+DU41/12),0)+DU42+DU43)</x:f>
      </x:c>
      <x:c r="DV53" s="117">
        <x:f>IF(DV$3&lt;$B$8,0,IF(AND(YEAR(DV$3)=YEAR($B$8),MONTH(DV$3)=MONTH($B$8)),DU48*(1+DV41/12),0)+DV42+DV43)</x:f>
      </x:c>
      <x:c r="DW53" s="117">
        <x:f>IF(DW$3&lt;$B$8,0,IF(AND(YEAR(DW$3)=YEAR($B$8),MONTH(DW$3)=MONTH($B$8)),DV48*(1+DW41/12),0)+DW42+DW43)</x:f>
      </x:c>
      <x:c r="DX53" s="117">
        <x:f>IF(DX$3&lt;$B$8,0,IF(AND(YEAR(DX$3)=YEAR($B$8),MONTH(DX$3)=MONTH($B$8)),DW48*(1+DX41/12),0)+DX42+DX43)</x:f>
      </x:c>
      <x:c r="DY53" s="117">
        <x:f>IF(DY$3&lt;$B$8,0,IF(AND(YEAR(DY$3)=YEAR($B$8),MONTH(DY$3)=MONTH($B$8)),DX48*(1+DY41/12),0)+DY42+DY43)</x:f>
      </x:c>
      <x:c r="DZ53" s="117">
        <x:f>IF(DZ$3&lt;$B$8,0,IF(AND(YEAR(DZ$3)=YEAR($B$8),MONTH(DZ$3)=MONTH($B$8)),DY48*(1+DZ41/12),0)+DZ42+DZ43)</x:f>
      </x:c>
      <x:c r="EA53" s="117">
        <x:f>IF(EA$3&lt;$B$8,0,IF(AND(YEAR(EA$3)=YEAR($B$8),MONTH(EA$3)=MONTH($B$8)),DZ48*(1+EA41/12),0)+EA42+EA43)</x:f>
      </x:c>
      <x:c r="EB53" s="117">
        <x:f>IF(EB$3&lt;$B$8,0,IF(AND(YEAR(EB$3)=YEAR($B$8),MONTH(EB$3)=MONTH($B$8)),EA48*(1+EB41/12),0)+EB42+EB43)</x:f>
      </x:c>
      <x:c r="EC53" s="117">
        <x:f>IF(EC$3&lt;$B$8,0,IF(AND(YEAR(EC$3)=YEAR($B$8),MONTH(EC$3)=MONTH($B$8)),EB48*(1+EC41/12),0)+EC42+EC43)</x:f>
      </x:c>
      <x:c r="ED53" s="117">
        <x:f>IF(ED$3&lt;$B$8,0,IF(AND(YEAR(ED$3)=YEAR($B$8),MONTH(ED$3)=MONTH($B$8)),EC48*(1+ED41/12),0)+ED42+ED43)</x:f>
      </x:c>
      <x:c r="EE53" s="117">
        <x:f>IF(EE$3&lt;$B$8,0,IF(AND(YEAR(EE$3)=YEAR($B$8),MONTH(EE$3)=MONTH($B$8)),ED48*(1+EE41/12),0)+EE42+EE43)</x:f>
      </x:c>
      <x:c r="EF53" s="117">
        <x:f>IF(EF$3&lt;$B$8,0,IF(AND(YEAR(EF$3)=YEAR($B$8),MONTH(EF$3)=MONTH($B$8)),EE48*(1+EF41/12),0)+EF42+EF43)</x:f>
      </x:c>
      <x:c r="EG53" s="117">
        <x:f>IF(EG$3&lt;$B$8,0,IF(AND(YEAR(EG$3)=YEAR($B$8),MONTH(EG$3)=MONTH($B$8)),EF48*(1+EG41/12),0)+EG42+EG43)</x:f>
      </x:c>
      <x:c r="EH53" s="117">
        <x:f>IF(EH$3&lt;$B$8,0,IF(AND(YEAR(EH$3)=YEAR($B$8),MONTH(EH$3)=MONTH($B$8)),EG48*(1+EH41/12),0)+EH42+EH43)</x:f>
      </x:c>
      <x:c r="EI53" s="117">
        <x:f>IF(EI$3&lt;$B$8,0,IF(AND(YEAR(EI$3)=YEAR($B$8),MONTH(EI$3)=MONTH($B$8)),EH48*(1+EI41/12),0)+EI42+EI43)</x:f>
      </x:c>
      <x:c r="EJ53" s="117">
        <x:f>IF(EJ$3&lt;$B$8,0,IF(AND(YEAR(EJ$3)=YEAR($B$8),MONTH(EJ$3)=MONTH($B$8)),EI48*(1+EJ41/12),0)+EJ42+EJ43)</x:f>
      </x:c>
      <x:c r="EK53" s="117">
        <x:f>IF(EK$3&lt;$B$8,0,IF(AND(YEAR(EK$3)=YEAR($B$8),MONTH(EK$3)=MONTH($B$8)),EJ48*(1+EK41/12),0)+EK42+EK43)</x:f>
      </x:c>
      <x:c r="EL53" s="117">
        <x:f>IF(EL$3&lt;$B$8,0,IF(AND(YEAR(EL$3)=YEAR($B$8),MONTH(EL$3)=MONTH($B$8)),EK48*(1+EL41/12),0)+EL42+EL43)</x:f>
      </x:c>
      <x:c r="EM53" s="117">
        <x:f>IF(EM$3&lt;$B$8,0,IF(AND(YEAR(EM$3)=YEAR($B$8),MONTH(EM$3)=MONTH($B$8)),EL48*(1+EM41/12),0)+EM42+EM43)</x:f>
      </x:c>
      <x:c r="EN53" s="117">
        <x:f>IF(EN$3&lt;$B$8,0,IF(AND(YEAR(EN$3)=YEAR($B$8),MONTH(EN$3)=MONTH($B$8)),EM48*(1+EN41/12),0)+EN42+EN43)</x:f>
      </x:c>
      <x:c r="EO53" s="117">
        <x:f>IF(EO$3&lt;$B$8,0,IF(AND(YEAR(EO$3)=YEAR($B$8),MONTH(EO$3)=MONTH($B$8)),EN48*(1+EO41/12),0)+EO42+EO43)</x:f>
      </x:c>
      <x:c r="EP53" s="117">
        <x:f>IF(EP$3&lt;$B$8,0,IF(AND(YEAR(EP$3)=YEAR($B$8),MONTH(EP$3)=MONTH($B$8)),EO48*(1+EP41/12),0)+EP42+EP43)</x:f>
      </x:c>
      <x:c r="EQ53" s="117">
        <x:f>IF(EQ$3&lt;$B$8,0,IF(AND(YEAR(EQ$3)=YEAR($B$8),MONTH(EQ$3)=MONTH($B$8)),EP48*(1+EQ41/12),0)+EQ42+EQ43)</x:f>
      </x:c>
      <x:c r="ER53" s="117">
        <x:f>IF(ER$3&lt;$B$8,0,IF(AND(YEAR(ER$3)=YEAR($B$8),MONTH(ER$3)=MONTH($B$8)),EQ48*(1+ER41/12),0)+ER42+ER43)</x:f>
      </x:c>
      <x:c r="ES53" s="117">
        <x:f>IF(ES$3&lt;$B$8,0,IF(AND(YEAR(ES$3)=YEAR($B$8),MONTH(ES$3)=MONTH($B$8)),ER48*(1+ES41/12),0)+ES42+ES43)</x:f>
      </x:c>
      <x:c r="ET53" s="117">
        <x:f>IF(ET$3&lt;$B$8,0,IF(AND(YEAR(ET$3)=YEAR($B$8),MONTH(ET$3)=MONTH($B$8)),ES48*(1+ET41/12),0)+ET42+ET43)</x:f>
      </x:c>
      <x:c r="EU53" s="117">
        <x:f>IF(EU$3&lt;$B$8,0,IF(AND(YEAR(EU$3)=YEAR($B$8),MONTH(EU$3)=MONTH($B$8)),ET48*(1+EU41/12),0)+EU42+EU43)</x:f>
      </x:c>
      <x:c r="EV53" s="117">
        <x:f>IF(EV$3&lt;$B$8,0,IF(AND(YEAR(EV$3)=YEAR($B$8),MONTH(EV$3)=MONTH($B$8)),EU48*(1+EV41/12),0)+EV42+EV43)</x:f>
      </x:c>
      <x:c r="EW53" s="117">
        <x:f>IF(EW$3&lt;$B$8,0,IF(AND(YEAR(EW$3)=YEAR($B$8),MONTH(EW$3)=MONTH($B$8)),EV48*(1+EW41/12),0)+EW42+EW43)</x:f>
      </x:c>
      <x:c r="EX53" s="117">
        <x:f>IF(EX$3&lt;$B$8,0,IF(AND(YEAR(EX$3)=YEAR($B$8),MONTH(EX$3)=MONTH($B$8)),EW48*(1+EX41/12),0)+EX42+EX43)</x:f>
      </x:c>
      <x:c r="EY53" s="117">
        <x:f>IF(EY$3&lt;$B$8,0,IF(AND(YEAR(EY$3)=YEAR($B$8),MONTH(EY$3)=MONTH($B$8)),EX48*(1+EY41/12),0)+EY42+EY43)</x:f>
      </x:c>
      <x:c r="EZ53" s="117">
        <x:f>IF(EZ$3&lt;$B$8,0,IF(AND(YEAR(EZ$3)=YEAR($B$8),MONTH(EZ$3)=MONTH($B$8)),EY48*(1+EZ41/12),0)+EZ42+EZ43)</x:f>
      </x:c>
      <x:c r="FA53" s="117">
        <x:f>IF(FA$3&lt;$B$8,0,IF(AND(YEAR(FA$3)=YEAR($B$8),MONTH(FA$3)=MONTH($B$8)),EZ48*(1+FA41/12),0)+FA42+FA43)</x:f>
      </x:c>
      <x:c r="FB53" s="117">
        <x:f>IF(FB$3&lt;$B$8,0,IF(AND(YEAR(FB$3)=YEAR($B$8),MONTH(FB$3)=MONTH($B$8)),FA48*(1+FB41/12),0)+FB42+FB43)</x:f>
      </x:c>
      <x:c r="FC53" s="117">
        <x:f>IF(FC$3&lt;$B$8,0,IF(AND(YEAR(FC$3)=YEAR($B$8),MONTH(FC$3)=MONTH($B$8)),FB48*(1+FC41/12),0)+FC42+FC43)</x:f>
      </x:c>
      <x:c r="FD53" s="117">
        <x:f>IF(FD$3&lt;$B$8,0,IF(AND(YEAR(FD$3)=YEAR($B$8),MONTH(FD$3)=MONTH($B$8)),FC48*(1+FD41/12),0)+FD42+FD43)</x:f>
      </x:c>
      <x:c r="FE53" s="117">
        <x:f>IF(FE$3&lt;$B$8,0,IF(AND(YEAR(FE$3)=YEAR($B$8),MONTH(FE$3)=MONTH($B$8)),FD48*(1+FE41/12),0)+FE42+FE43)</x:f>
      </x:c>
      <x:c r="FF53" s="117">
        <x:f>IF(FF$3&lt;$B$8,0,IF(AND(YEAR(FF$3)=YEAR($B$8),MONTH(FF$3)=MONTH($B$8)),FE48*(1+FF41/12),0)+FF42+FF43)</x:f>
      </x:c>
      <x:c r="FG53" s="117">
        <x:f>IF(FG$3&lt;$B$8,0,IF(AND(YEAR(FG$3)=YEAR($B$8),MONTH(FG$3)=MONTH($B$8)),FF48*(1+FG41/12),0)+FG42+FG43)</x:f>
      </x:c>
      <x:c r="FH53" s="117">
        <x:f>IF(FH$3&lt;$B$8,0,IF(AND(YEAR(FH$3)=YEAR($B$8),MONTH(FH$3)=MONTH($B$8)),FG48*(1+FH41/12),0)+FH42+FH43)</x:f>
      </x:c>
      <x:c r="FI53" s="117">
        <x:f>IF(FI$3&lt;$B$8,0,IF(AND(YEAR(FI$3)=YEAR($B$8),MONTH(FI$3)=MONTH($B$8)),FH48*(1+FI41/12),0)+FI42+FI43)</x:f>
      </x:c>
      <x:c r="FJ53" s="117">
        <x:f>IF(FJ$3&lt;$B$8,0,IF(AND(YEAR(FJ$3)=YEAR($B$8),MONTH(FJ$3)=MONTH($B$8)),FI48*(1+FJ41/12),0)+FJ42+FJ43)</x:f>
      </x:c>
      <x:c r="FK53" s="117">
        <x:f>IF(FK$3&lt;$B$8,0,IF(AND(YEAR(FK$3)=YEAR($B$8),MONTH(FK$3)=MONTH($B$8)),FJ48*(1+FK41/12),0)+FK42+FK43)</x:f>
      </x:c>
      <x:c r="FL53" s="117">
        <x:f>IF(FL$3&lt;$B$8,0,IF(AND(YEAR(FL$3)=YEAR($B$8),MONTH(FL$3)=MONTH($B$8)),FK48*(1+FL41/12),0)+FL42+FL43)</x:f>
      </x:c>
      <x:c r="FM53" s="117">
        <x:f>IF(FM$3&lt;$B$8,0,IF(AND(YEAR(FM$3)=YEAR($B$8),MONTH(FM$3)=MONTH($B$8)),FL48*(1+FM41/12),0)+FM42+FM43)</x:f>
      </x:c>
      <x:c r="FN53" s="117">
        <x:f>IF(FN$3&lt;$B$8,0,IF(AND(YEAR(FN$3)=YEAR($B$8),MONTH(FN$3)=MONTH($B$8)),FM48*(1+FN41/12),0)+FN42+FN43)</x:f>
      </x:c>
      <x:c r="FO53" s="117">
        <x:f>IF(FO$3&lt;$B$8,0,IF(AND(YEAR(FO$3)=YEAR($B$8),MONTH(FO$3)=MONTH($B$8)),FN48*(1+FO41/12),0)+FO42+FO43)</x:f>
      </x:c>
      <x:c r="FP53" s="117">
        <x:f>IF(FP$3&lt;$B$8,0,IF(AND(YEAR(FP$3)=YEAR($B$8),MONTH(FP$3)=MONTH($B$8)),FO48*(1+FP41/12),0)+FP42+FP43)</x:f>
      </x:c>
      <x:c r="FQ53" s="117">
        <x:f>IF(FQ$3&lt;$B$8,0,IF(AND(YEAR(FQ$3)=YEAR($B$8),MONTH(FQ$3)=MONTH($B$8)),FP48*(1+FQ41/12),0)+FQ42+FQ43)</x:f>
      </x:c>
      <x:c r="FR53" s="117">
        <x:f>IF(FR$3&lt;$B$8,0,IF(AND(YEAR(FR$3)=YEAR($B$8),MONTH(FR$3)=MONTH($B$8)),FQ48*(1+FR41/12),0)+FR42+FR43)</x:f>
      </x:c>
      <x:c r="FS53" s="117">
        <x:f>IF(FS$3&lt;$B$8,0,IF(AND(YEAR(FS$3)=YEAR($B$8),MONTH(FS$3)=MONTH($B$8)),FR48*(1+FS41/12),0)+FS42+FS43)</x:f>
      </x:c>
      <x:c r="FT53" s="117">
        <x:f>IF(FT$3&lt;$B$8,0,IF(AND(YEAR(FT$3)=YEAR($B$8),MONTH(FT$3)=MONTH($B$8)),FS48*(1+FT41/12),0)+FT42+FT43)</x:f>
      </x:c>
      <x:c r="FU53" s="117">
        <x:f>IF(FU$3&lt;$B$8,0,IF(AND(YEAR(FU$3)=YEAR($B$8),MONTH(FU$3)=MONTH($B$8)),FT48*(1+FU41/12),0)+FU42+FU43)</x:f>
      </x:c>
      <x:c r="FV53" s="117">
        <x:f>IF(FV$3&lt;$B$8,0,IF(AND(YEAR(FV$3)=YEAR($B$8),MONTH(FV$3)=MONTH($B$8)),FU48*(1+FV41/12),0)+FV42+FV43)</x:f>
      </x:c>
      <x:c r="FW53" s="117">
        <x:f>IF(FW$3&lt;$B$8,0,IF(AND(YEAR(FW$3)=YEAR($B$8),MONTH(FW$3)=MONTH($B$8)),FV48*(1+FW41/12),0)+FW42+FW43)</x:f>
      </x:c>
      <x:c r="FX53" s="117">
        <x:f>IF(FX$3&lt;$B$8,0,IF(AND(YEAR(FX$3)=YEAR($B$8),MONTH(FX$3)=MONTH($B$8)),FW48*(1+FX41/12),0)+FX42+FX43)</x:f>
      </x:c>
      <x:c r="FY53" s="117">
        <x:f>IF(FY$3&lt;$B$8,0,IF(AND(YEAR(FY$3)=YEAR($B$8),MONTH(FY$3)=MONTH($B$8)),FX48*(1+FY41/12),0)+FY42+FY43)</x:f>
      </x:c>
      <x:c r="FZ53" s="117">
        <x:f>IF(FZ$3&lt;$B$8,0,IF(AND(YEAR(FZ$3)=YEAR($B$8),MONTH(FZ$3)=MONTH($B$8)),FY48*(1+FZ41/12),0)+FZ42+FZ43)</x:f>
      </x:c>
      <x:c r="GA53" s="117">
        <x:f>IF(GA$3&lt;$B$8,0,IF(AND(YEAR(GA$3)=YEAR($B$8),MONTH(GA$3)=MONTH($B$8)),FZ48*(1+GA41/12),0)+GA42+GA43)</x:f>
      </x:c>
    </x:row>
    <x:row r="54">
      <x:c r="A54" s="113" t="str">
        <x:v>Проектный CF до финансирования</x:v>
      </x:c>
      <x:c r="B54" s="113" t="n">
        <x:f>SUM(D54:GA54)</x:f>
      </x:c>
      <x:c r="C54" s="113" t="str">
        <x:v>млн ₽</x:v>
      </x:c>
      <x:c r="D54" s="120" t="n">
        <x:f>D27-D20-D24</x:f>
      </x:c>
      <x:c r="E54" s="120" t="n">
        <x:f>E27-E20-E24</x:f>
      </x:c>
      <x:c r="F54" s="120" t="n">
        <x:f>F27-F20-F24</x:f>
      </x:c>
      <x:c r="G54" s="120" t="n">
        <x:f>G27-G20-G24</x:f>
      </x:c>
      <x:c r="H54" s="120" t="n">
        <x:f>H27-H20-H24</x:f>
      </x:c>
      <x:c r="I54" s="120" t="n">
        <x:f>I27-I20-I24</x:f>
      </x:c>
      <x:c r="J54" s="120" t="n">
        <x:f>J27-J20-J24</x:f>
      </x:c>
      <x:c r="K54" s="120" t="n">
        <x:f>K27-K20-K24</x:f>
      </x:c>
      <x:c r="L54" s="120" t="n">
        <x:f>L27-L20-L24</x:f>
      </x:c>
      <x:c r="M54" s="120" t="n">
        <x:f>M27-M20-M24</x:f>
      </x:c>
      <x:c r="N54" s="120" t="n">
        <x:f>N27-N20-N24</x:f>
      </x:c>
      <x:c r="O54" s="120" t="n">
        <x:f>O27-O20-O24</x:f>
      </x:c>
      <x:c r="P54" s="120" t="n">
        <x:f>P27-P20-P24</x:f>
      </x:c>
      <x:c r="Q54" s="120" t="n">
        <x:f>Q27-Q20-Q24</x:f>
      </x:c>
      <x:c r="R54" s="120" t="n">
        <x:f>R27-R20-R24</x:f>
      </x:c>
      <x:c r="S54" s="120" t="n">
        <x:f>S27-S20-S24</x:f>
      </x:c>
      <x:c r="T54" s="120" t="n">
        <x:f>T27-T20-T24</x:f>
      </x:c>
      <x:c r="U54" s="120" t="n">
        <x:f>U27-U20-U24</x:f>
      </x:c>
      <x:c r="V54" s="120" t="n">
        <x:f>V27-V20-V24</x:f>
      </x:c>
      <x:c r="W54" s="120" t="n">
        <x:f>W27-W20-W24</x:f>
      </x:c>
      <x:c r="X54" s="120" t="n">
        <x:f>X27-X20-X24</x:f>
      </x:c>
      <x:c r="Y54" s="120" t="n">
        <x:f>Y27-Y20-Y24</x:f>
      </x:c>
      <x:c r="Z54" s="120" t="n">
        <x:f>Z27-Z20-Z24</x:f>
      </x:c>
      <x:c r="AA54" s="120" t="n">
        <x:f>AA27-AA20-AA24</x:f>
      </x:c>
      <x:c r="AB54" s="120" t="n">
        <x:f>AB27-AB20-AB24</x:f>
      </x:c>
      <x:c r="AC54" s="120" t="n">
        <x:f>AC27-AC20-AC24</x:f>
      </x:c>
      <x:c r="AD54" s="120" t="n">
        <x:f>AD27-AD20-AD24</x:f>
      </x:c>
      <x:c r="AE54" s="120" t="n">
        <x:f>AE27-AE20-AE24</x:f>
      </x:c>
      <x:c r="AF54" s="120" t="n">
        <x:f>AF27-AF20-AF24</x:f>
      </x:c>
      <x:c r="AG54" s="120" t="n">
        <x:f>AG27-AG20-AG24</x:f>
      </x:c>
      <x:c r="AH54" s="120" t="n">
        <x:f>AH27-AH20-AH24</x:f>
      </x:c>
      <x:c r="AI54" s="120" t="n">
        <x:f>AI27-AI20-AI24</x:f>
      </x:c>
      <x:c r="AJ54" s="120" t="n">
        <x:f>AJ27-AJ20-AJ24</x:f>
      </x:c>
      <x:c r="AK54" s="120" t="n">
        <x:f>AK27-AK20-AK24</x:f>
      </x:c>
      <x:c r="AL54" s="120" t="n">
        <x:f>AL27-AL20-AL24</x:f>
      </x:c>
      <x:c r="AM54" s="120" t="n">
        <x:f>AM27-AM20-AM24</x:f>
      </x:c>
      <x:c r="AN54" s="120" t="n">
        <x:f>AN27-AN20-AN24</x:f>
      </x:c>
      <x:c r="AO54" s="120" t="n">
        <x:f>AO27-AO20-AO24</x:f>
      </x:c>
      <x:c r="AP54" s="120" t="n">
        <x:f>AP27-AP20-AP24</x:f>
      </x:c>
      <x:c r="AQ54" s="120" t="n">
        <x:f>AQ27-AQ20-AQ24</x:f>
      </x:c>
      <x:c r="AR54" s="120" t="n">
        <x:f>AR27-AR20-AR24</x:f>
      </x:c>
      <x:c r="AS54" s="120" t="n">
        <x:f>AS27-AS20-AS24</x:f>
      </x:c>
      <x:c r="AT54" s="120" t="n">
        <x:f>AT27-AT20-AT24</x:f>
      </x:c>
      <x:c r="AU54" s="120" t="n">
        <x:f>AU27-AU20-AU24</x:f>
      </x:c>
      <x:c r="AV54" s="120" t="n">
        <x:f>AV27-AV20-AV24</x:f>
      </x:c>
      <x:c r="AW54" s="120" t="n">
        <x:f>AW27-AW20-AW24</x:f>
      </x:c>
      <x:c r="AX54" s="120" t="n">
        <x:f>AX27-AX20-AX24</x:f>
      </x:c>
      <x:c r="AY54" s="120" t="n">
        <x:f>AY27-AY20-AY24</x:f>
      </x:c>
      <x:c r="AZ54" s="120" t="n">
        <x:f>AZ27-AZ20-AZ24</x:f>
      </x:c>
      <x:c r="BA54" s="120" t="n">
        <x:f>BA27-BA20-BA24</x:f>
      </x:c>
      <x:c r="BB54" s="120" t="n">
        <x:f>BB27-BB20-BB24</x:f>
      </x:c>
      <x:c r="BC54" s="120" t="n">
        <x:f>BC27-BC20-BC24</x:f>
      </x:c>
      <x:c r="BD54" s="120" t="n">
        <x:f>BD27-BD20-BD24</x:f>
      </x:c>
      <x:c r="BE54" s="120" t="n">
        <x:f>BE27-BE20-BE24</x:f>
      </x:c>
      <x:c r="BF54" s="120" t="n">
        <x:f>BF27-BF20-BF24</x:f>
      </x:c>
      <x:c r="BG54" s="120" t="n">
        <x:f>BG27-BG20-BG24</x:f>
      </x:c>
      <x:c r="BH54" s="120" t="n">
        <x:f>BH27-BH20-BH24</x:f>
      </x:c>
      <x:c r="BI54" s="120" t="n">
        <x:f>BI27-BI20-BI24</x:f>
      </x:c>
      <x:c r="BJ54" s="120" t="n">
        <x:f>BJ27-BJ20-BJ24</x:f>
      </x:c>
      <x:c r="BK54" s="120" t="n">
        <x:f>BK27-BK20-BK24</x:f>
      </x:c>
      <x:c r="BL54" s="120" t="n">
        <x:f>BL27-BL20-BL24</x:f>
      </x:c>
      <x:c r="BM54" s="120" t="n">
        <x:f>BM27-BM20-BM24</x:f>
      </x:c>
      <x:c r="BN54" s="120" t="n">
        <x:f>BN27-BN20-BN24</x:f>
      </x:c>
      <x:c r="BO54" s="120" t="n">
        <x:f>BO27-BO20-BO24</x:f>
      </x:c>
      <x:c r="BP54" s="120" t="n">
        <x:f>BP27-BP20-BP24</x:f>
      </x:c>
      <x:c r="BQ54" s="120" t="n">
        <x:f>BQ27-BQ20-BQ24</x:f>
      </x:c>
      <x:c r="BR54" s="120" t="n">
        <x:f>BR27-BR20-BR24</x:f>
      </x:c>
      <x:c r="BS54" s="120" t="n">
        <x:f>BS27-BS20-BS24</x:f>
      </x:c>
      <x:c r="BT54" s="120" t="n">
        <x:f>BT27-BT20-BT24</x:f>
      </x:c>
      <x:c r="BU54" s="120" t="n">
        <x:f>BU27-BU20-BU24</x:f>
      </x:c>
      <x:c r="BV54" s="120" t="n">
        <x:f>BV27-BV20-BV24</x:f>
      </x:c>
      <x:c r="BW54" s="120" t="n">
        <x:f>BW27-BW20-BW24</x:f>
      </x:c>
      <x:c r="BX54" s="120" t="n">
        <x:f>BX27-BX20-BX24</x:f>
      </x:c>
      <x:c r="BY54" s="120" t="n">
        <x:f>BY27-BY20-BY24</x:f>
      </x:c>
      <x:c r="BZ54" s="120" t="n">
        <x:f>BZ27-BZ20-BZ24</x:f>
      </x:c>
      <x:c r="CA54" s="120" t="n">
        <x:f>CA27-CA20-CA24</x:f>
      </x:c>
      <x:c r="CB54" s="120" t="n">
        <x:f>CB27-CB20-CB24</x:f>
      </x:c>
      <x:c r="CC54" s="120" t="n">
        <x:f>CC27-CC20-CC24</x:f>
      </x:c>
      <x:c r="CD54" s="120" t="n">
        <x:f>CD27-CD20-CD24</x:f>
      </x:c>
      <x:c r="CE54" s="120" t="n">
        <x:f>CE27-CE20-CE24</x:f>
      </x:c>
      <x:c r="CF54" s="120" t="n">
        <x:f>CF27-CF20-CF24</x:f>
      </x:c>
      <x:c r="CG54" s="120" t="n">
        <x:f>CG27-CG20-CG24</x:f>
      </x:c>
      <x:c r="CH54" s="120" t="n">
        <x:f>CH27-CH20-CH24</x:f>
      </x:c>
      <x:c r="CI54" s="120" t="n">
        <x:f>CI27-CI20-CI24</x:f>
      </x:c>
      <x:c r="CJ54" s="120" t="n">
        <x:f>CJ27-CJ20-CJ24</x:f>
      </x:c>
      <x:c r="CK54" s="120" t="n">
        <x:f>CK27-CK20-CK24</x:f>
      </x:c>
      <x:c r="CL54" s="120" t="n">
        <x:f>CL27-CL20-CL24</x:f>
      </x:c>
      <x:c r="CM54" s="120" t="n">
        <x:f>CM27-CM20-CM24</x:f>
      </x:c>
      <x:c r="CN54" s="120" t="n">
        <x:f>CN27-CN20-CN24</x:f>
      </x:c>
      <x:c r="CO54" s="120" t="n">
        <x:f>CO27-CO20-CO24</x:f>
      </x:c>
      <x:c r="CP54" s="120" t="n">
        <x:f>CP27-CP20-CP24</x:f>
      </x:c>
      <x:c r="CQ54" s="120" t="n">
        <x:f>CQ27-CQ20-CQ24</x:f>
      </x:c>
      <x:c r="CR54" s="120" t="n">
        <x:f>CR27-CR20-CR24</x:f>
      </x:c>
      <x:c r="CS54" s="120" t="n">
        <x:f>CS27-CS20-CS24</x:f>
      </x:c>
      <x:c r="CT54" s="120" t="n">
        <x:f>CT27-CT20-CT24</x:f>
      </x:c>
      <x:c r="CU54" s="120" t="n">
        <x:f>CU27-CU20-CU24</x:f>
      </x:c>
      <x:c r="CV54" s="120" t="n">
        <x:f>CV27-CV20-CV24</x:f>
      </x:c>
      <x:c r="CW54" s="120" t="n">
        <x:f>CW27-CW20-CW24</x:f>
      </x:c>
      <x:c r="CX54" s="120" t="n">
        <x:f>CX27-CX20-CX24</x:f>
      </x:c>
      <x:c r="CY54" s="120" t="n">
        <x:f>CY27-CY20-CY24</x:f>
      </x:c>
      <x:c r="CZ54" s="120" t="n">
        <x:f>CZ27-CZ20-CZ24</x:f>
      </x:c>
      <x:c r="DA54" s="120" t="n">
        <x:f>DA27-DA20-DA24</x:f>
      </x:c>
      <x:c r="DB54" s="120" t="n">
        <x:f>DB27-DB20-DB24</x:f>
      </x:c>
      <x:c r="DC54" s="120" t="n">
        <x:f>DC27-DC20-DC24</x:f>
      </x:c>
      <x:c r="DD54" s="120" t="n">
        <x:f>DD27-DD20-DD24</x:f>
      </x:c>
      <x:c r="DE54" s="120" t="n">
        <x:f>DE27-DE20-DE24</x:f>
      </x:c>
      <x:c r="DF54" s="120" t="n">
        <x:f>DF27-DF20-DF24</x:f>
      </x:c>
      <x:c r="DG54" s="120" t="n">
        <x:f>DG27-DG20-DG24</x:f>
      </x:c>
      <x:c r="DH54" s="120" t="n">
        <x:f>DH27-DH20-DH24</x:f>
      </x:c>
      <x:c r="DI54" s="120" t="n">
        <x:f>DI27-DI20-DI24</x:f>
      </x:c>
      <x:c r="DJ54" s="120" t="n">
        <x:f>DJ27-DJ20-DJ24</x:f>
      </x:c>
      <x:c r="DK54" s="120" t="n">
        <x:f>DK27-DK20-DK24</x:f>
      </x:c>
      <x:c r="DL54" s="120" t="n">
        <x:f>DL27-DL20-DL24</x:f>
      </x:c>
      <x:c r="DM54" s="120" t="n">
        <x:f>DM27-DM20-DM24</x:f>
      </x:c>
      <x:c r="DN54" s="120" t="n">
        <x:f>DN27-DN20-DN24</x:f>
      </x:c>
      <x:c r="DO54" s="120" t="n">
        <x:f>DO27-DO20-DO24</x:f>
      </x:c>
      <x:c r="DP54" s="120" t="n">
        <x:f>DP27-DP20-DP24</x:f>
      </x:c>
      <x:c r="DQ54" s="120" t="n">
        <x:f>DQ27-DQ20-DQ24</x:f>
      </x:c>
      <x:c r="DR54" s="120" t="n">
        <x:f>DR27-DR20-DR24</x:f>
      </x:c>
      <x:c r="DS54" s="120" t="n">
        <x:f>DS27-DS20-DS24</x:f>
      </x:c>
      <x:c r="DT54" s="120" t="n">
        <x:f>DT27-DT20-DT24</x:f>
      </x:c>
      <x:c r="DU54" s="120" t="n">
        <x:f>DU27-DU20-DU24</x:f>
      </x:c>
      <x:c r="DV54" s="120" t="n">
        <x:f>DV27-DV20-DV24</x:f>
      </x:c>
      <x:c r="DW54" s="120" t="n">
        <x:f>DW27-DW20-DW24</x:f>
      </x:c>
      <x:c r="DX54" s="120" t="n">
        <x:f>DX27-DX20-DX24</x:f>
      </x:c>
      <x:c r="DY54" s="120" t="n">
        <x:f>DY27-DY20-DY24</x:f>
      </x:c>
      <x:c r="DZ54" s="120" t="n">
        <x:f>DZ27-DZ20-DZ24</x:f>
      </x:c>
      <x:c r="EA54" s="120" t="n">
        <x:f>EA27-EA20-EA24</x:f>
      </x:c>
      <x:c r="EB54" s="120" t="n">
        <x:f>EB27-EB20-EB24</x:f>
      </x:c>
      <x:c r="EC54" s="120" t="n">
        <x:f>EC27-EC20-EC24</x:f>
      </x:c>
      <x:c r="ED54" s="120" t="n">
        <x:f>ED27-ED20-ED24</x:f>
      </x:c>
      <x:c r="EE54" s="120" t="n">
        <x:f>EE27-EE20-EE24</x:f>
      </x:c>
      <x:c r="EF54" s="120" t="n">
        <x:f>EF27-EF20-EF24</x:f>
      </x:c>
      <x:c r="EG54" s="120" t="n">
        <x:f>EG27-EG20-EG24</x:f>
      </x:c>
      <x:c r="EH54" s="120" t="n">
        <x:f>EH27-EH20-EH24</x:f>
      </x:c>
      <x:c r="EI54" s="120" t="n">
        <x:f>EI27-EI20-EI24</x:f>
      </x:c>
      <x:c r="EJ54" s="120" t="n">
        <x:f>EJ27-EJ20-EJ24</x:f>
      </x:c>
      <x:c r="EK54" s="120" t="n">
        <x:f>EK27-EK20-EK24</x:f>
      </x:c>
      <x:c r="EL54" s="120" t="n">
        <x:f>EL27-EL20-EL24</x:f>
      </x:c>
      <x:c r="EM54" s="120" t="n">
        <x:f>EM27-EM20-EM24</x:f>
      </x:c>
      <x:c r="EN54" s="120" t="n">
        <x:f>EN27-EN20-EN24</x:f>
      </x:c>
      <x:c r="EO54" s="120" t="n">
        <x:f>EO27-EO20-EO24</x:f>
      </x:c>
      <x:c r="EP54" s="120" t="n">
        <x:f>EP27-EP20-EP24</x:f>
      </x:c>
      <x:c r="EQ54" s="120" t="n">
        <x:f>EQ27-EQ20-EQ24</x:f>
      </x:c>
      <x:c r="ER54" s="120" t="n">
        <x:f>ER27-ER20-ER24</x:f>
      </x:c>
      <x:c r="ES54" s="120" t="n">
        <x:f>ES27-ES20-ES24</x:f>
      </x:c>
      <x:c r="ET54" s="120" t="n">
        <x:f>ET27-ET20-ET24</x:f>
      </x:c>
      <x:c r="EU54" s="120" t="n">
        <x:f>EU27-EU20-EU24</x:f>
      </x:c>
      <x:c r="EV54" s="120" t="n">
        <x:f>EV27-EV20-EV24</x:f>
      </x:c>
      <x:c r="EW54" s="120" t="n">
        <x:f>EW27-EW20-EW24</x:f>
      </x:c>
      <x:c r="EX54" s="120" t="n">
        <x:f>EX27-EX20-EX24</x:f>
      </x:c>
      <x:c r="EY54" s="120" t="n">
        <x:f>EY27-EY20-EY24</x:f>
      </x:c>
      <x:c r="EZ54" s="120" t="n">
        <x:f>EZ27-EZ20-EZ24</x:f>
      </x:c>
      <x:c r="FA54" s="120" t="n">
        <x:f>FA27-FA20-FA24</x:f>
      </x:c>
      <x:c r="FB54" s="120" t="n">
        <x:f>FB27-FB20-FB24</x:f>
      </x:c>
      <x:c r="FC54" s="120" t="n">
        <x:f>FC27-FC20-FC24</x:f>
      </x:c>
      <x:c r="FD54" s="120" t="n">
        <x:f>FD27-FD20-FD24</x:f>
      </x:c>
      <x:c r="FE54" s="120" t="n">
        <x:f>FE27-FE20-FE24</x:f>
      </x:c>
      <x:c r="FF54" s="120" t="n">
        <x:f>FF27-FF20-FF24</x:f>
      </x:c>
      <x:c r="FG54" s="120" t="n">
        <x:f>FG27-FG20-FG24</x:f>
      </x:c>
      <x:c r="FH54" s="120" t="n">
        <x:f>FH27-FH20-FH24</x:f>
      </x:c>
      <x:c r="FI54" s="120" t="n">
        <x:f>FI27-FI20-FI24</x:f>
      </x:c>
      <x:c r="FJ54" s="120" t="n">
        <x:f>FJ27-FJ20-FJ24</x:f>
      </x:c>
      <x:c r="FK54" s="120" t="n">
        <x:f>FK27-FK20-FK24</x:f>
      </x:c>
      <x:c r="FL54" s="120" t="n">
        <x:f>FL27-FL20-FL24</x:f>
      </x:c>
      <x:c r="FM54" s="120" t="n">
        <x:f>FM27-FM20-FM24</x:f>
      </x:c>
      <x:c r="FN54" s="120" t="n">
        <x:f>FN27-FN20-FN24</x:f>
      </x:c>
      <x:c r="FO54" s="120" t="n">
        <x:f>FO27-FO20-FO24</x:f>
      </x:c>
      <x:c r="FP54" s="120" t="n">
        <x:f>FP27-FP20-FP24</x:f>
      </x:c>
      <x:c r="FQ54" s="120" t="n">
        <x:f>FQ27-FQ20-FQ24</x:f>
      </x:c>
      <x:c r="FR54" s="120" t="n">
        <x:f>FR27-FR20-FR24</x:f>
      </x:c>
      <x:c r="FS54" s="120" t="n">
        <x:f>FS27-FS20-FS24</x:f>
      </x:c>
      <x:c r="FT54" s="120" t="n">
        <x:f>FT27-FT20-FT24</x:f>
      </x:c>
      <x:c r="FU54" s="120" t="n">
        <x:f>FU27-FU20-FU24</x:f>
      </x:c>
      <x:c r="FV54" s="120" t="n">
        <x:f>FV27-FV20-FV24</x:f>
      </x:c>
      <x:c r="FW54" s="120" t="n">
        <x:f>FW27-FW20-FW24</x:f>
      </x:c>
      <x:c r="FX54" s="120" t="n">
        <x:f>FX27-FX20-FX24</x:f>
      </x:c>
      <x:c r="FY54" s="120" t="n">
        <x:f>FY27-FY20-FY24</x:f>
      </x:c>
      <x:c r="FZ54" s="120" t="n">
        <x:f>FZ27-FZ20-FZ24</x:f>
      </x:c>
      <x:c r="GA54" s="120" t="n">
        <x:f>GA27-GA20-GA24</x:f>
      </x:c>
    </x:row>
    <x:row r="55">
      <x:c r="A55" t="str">
        <x:v>Накопленный проектный CF</x:v>
      </x:c>
      <x:c r="B55" t="n">
        <x:f>GA55</x:f>
      </x:c>
      <x:c r="C55" t="str">
        <x:v>млн ₽</x:v>
      </x:c>
      <x:c r="D55" s="117" t="n">
        <x:f>D54</x:f>
      </x:c>
      <x:c r="E55" s="117" t="n">
        <x:f>D55+E54</x:f>
      </x:c>
      <x:c r="F55" s="117" t="n">
        <x:f>E55+F54</x:f>
      </x:c>
      <x:c r="G55" s="117" t="n">
        <x:f>F55+G54</x:f>
      </x:c>
      <x:c r="H55" s="117" t="n">
        <x:f>G55+H54</x:f>
      </x:c>
      <x:c r="I55" s="117" t="n">
        <x:f>H55+I54</x:f>
      </x:c>
      <x:c r="J55" s="117" t="n">
        <x:f>I55+J54</x:f>
      </x:c>
      <x:c r="K55" s="117" t="n">
        <x:f>J55+K54</x:f>
      </x:c>
      <x:c r="L55" s="117" t="n">
        <x:f>K55+L54</x:f>
      </x:c>
      <x:c r="M55" s="117" t="n">
        <x:f>L55+M54</x:f>
      </x:c>
      <x:c r="N55" s="117" t="n">
        <x:f>M55+N54</x:f>
      </x:c>
      <x:c r="O55" s="117" t="n">
        <x:f>N55+O54</x:f>
      </x:c>
      <x:c r="P55" s="117" t="n">
        <x:f>O55+P54</x:f>
      </x:c>
      <x:c r="Q55" s="117" t="n">
        <x:f>P55+Q54</x:f>
      </x:c>
      <x:c r="R55" s="117" t="n">
        <x:f>Q55+R54</x:f>
      </x:c>
      <x:c r="S55" s="117" t="n">
        <x:f>R55+S54</x:f>
      </x:c>
      <x:c r="T55" s="117" t="n">
        <x:f>S55+T54</x:f>
      </x:c>
      <x:c r="U55" s="117" t="n">
        <x:f>T55+U54</x:f>
      </x:c>
      <x:c r="V55" s="117" t="n">
        <x:f>U55+V54</x:f>
      </x:c>
      <x:c r="W55" s="117" t="n">
        <x:f>V55+W54</x:f>
      </x:c>
      <x:c r="X55" s="117" t="n">
        <x:f>W55+X54</x:f>
      </x:c>
      <x:c r="Y55" s="117" t="n">
        <x:f>X55+Y54</x:f>
      </x:c>
      <x:c r="Z55" s="117" t="n">
        <x:f>Y55+Z54</x:f>
      </x:c>
      <x:c r="AA55" s="117" t="n">
        <x:f>Z55+AA54</x:f>
      </x:c>
      <x:c r="AB55" s="117" t="n">
        <x:f>AA55+AB54</x:f>
      </x:c>
      <x:c r="AC55" s="117" t="n">
        <x:f>AB55+AC54</x:f>
      </x:c>
      <x:c r="AD55" s="117" t="n">
        <x:f>AC55+AD54</x:f>
      </x:c>
      <x:c r="AE55" s="117" t="n">
        <x:f>AD55+AE54</x:f>
      </x:c>
      <x:c r="AF55" s="117" t="n">
        <x:f>AE55+AF54</x:f>
      </x:c>
      <x:c r="AG55" s="117" t="n">
        <x:f>AF55+AG54</x:f>
      </x:c>
      <x:c r="AH55" s="117" t="n">
        <x:f>AG55+AH54</x:f>
      </x:c>
      <x:c r="AI55" s="117" t="n">
        <x:f>AH55+AI54</x:f>
      </x:c>
      <x:c r="AJ55" s="117" t="n">
        <x:f>AI55+AJ54</x:f>
      </x:c>
      <x:c r="AK55" s="117" t="n">
        <x:f>AJ55+AK54</x:f>
      </x:c>
      <x:c r="AL55" s="117" t="n">
        <x:f>AK55+AL54</x:f>
      </x:c>
      <x:c r="AM55" s="117" t="n">
        <x:f>AL55+AM54</x:f>
      </x:c>
      <x:c r="AN55" s="117" t="n">
        <x:f>AM55+AN54</x:f>
      </x:c>
      <x:c r="AO55" s="117" t="n">
        <x:f>AN55+AO54</x:f>
      </x:c>
      <x:c r="AP55" s="117" t="n">
        <x:f>AO55+AP54</x:f>
      </x:c>
      <x:c r="AQ55" s="117" t="n">
        <x:f>AP55+AQ54</x:f>
      </x:c>
      <x:c r="AR55" s="117" t="n">
        <x:f>AQ55+AR54</x:f>
      </x:c>
      <x:c r="AS55" s="117" t="n">
        <x:f>AR55+AS54</x:f>
      </x:c>
      <x:c r="AT55" s="117" t="n">
        <x:f>AS55+AT54</x:f>
      </x:c>
      <x:c r="AU55" s="117" t="n">
        <x:f>AT55+AU54</x:f>
      </x:c>
      <x:c r="AV55" s="117" t="n">
        <x:f>AU55+AV54</x:f>
      </x:c>
      <x:c r="AW55" s="117" t="n">
        <x:f>AV55+AW54</x:f>
      </x:c>
      <x:c r="AX55" s="117" t="n">
        <x:f>AW55+AX54</x:f>
      </x:c>
      <x:c r="AY55" s="117" t="n">
        <x:f>AX55+AY54</x:f>
      </x:c>
      <x:c r="AZ55" s="117" t="n">
        <x:f>AY55+AZ54</x:f>
      </x:c>
      <x:c r="BA55" s="117" t="n">
        <x:f>AZ55+BA54</x:f>
      </x:c>
      <x:c r="BB55" s="117" t="n">
        <x:f>BA55+BB54</x:f>
      </x:c>
      <x:c r="BC55" s="117" t="n">
        <x:f>BB55+BC54</x:f>
      </x:c>
      <x:c r="BD55" s="117" t="n">
        <x:f>BC55+BD54</x:f>
      </x:c>
      <x:c r="BE55" s="117" t="n">
        <x:f>BD55+BE54</x:f>
      </x:c>
      <x:c r="BF55" s="117" t="n">
        <x:f>BE55+BF54</x:f>
      </x:c>
      <x:c r="BG55" s="117" t="n">
        <x:f>BF55+BG54</x:f>
      </x:c>
      <x:c r="BH55" s="117" t="n">
        <x:f>BG55+BH54</x:f>
      </x:c>
      <x:c r="BI55" s="117" t="n">
        <x:f>BH55+BI54</x:f>
      </x:c>
      <x:c r="BJ55" s="117" t="n">
        <x:f>BI55+BJ54</x:f>
      </x:c>
      <x:c r="BK55" s="117" t="n">
        <x:f>BJ55+BK54</x:f>
      </x:c>
      <x:c r="BL55" s="117" t="n">
        <x:f>BK55+BL54</x:f>
      </x:c>
      <x:c r="BM55" s="117" t="n">
        <x:f>BL55+BM54</x:f>
      </x:c>
      <x:c r="BN55" s="117" t="n">
        <x:f>BM55+BN54</x:f>
      </x:c>
      <x:c r="BO55" s="117" t="n">
        <x:f>BN55+BO54</x:f>
      </x:c>
      <x:c r="BP55" s="117" t="n">
        <x:f>BO55+BP54</x:f>
      </x:c>
      <x:c r="BQ55" s="117" t="n">
        <x:f>BP55+BQ54</x:f>
      </x:c>
      <x:c r="BR55" s="117" t="n">
        <x:f>BQ55+BR54</x:f>
      </x:c>
      <x:c r="BS55" s="117" t="n">
        <x:f>BR55+BS54</x:f>
      </x:c>
      <x:c r="BT55" s="117" t="n">
        <x:f>BS55+BT54</x:f>
      </x:c>
      <x:c r="BU55" s="117" t="n">
        <x:f>BT55+BU54</x:f>
      </x:c>
      <x:c r="BV55" s="117" t="n">
        <x:f>BU55+BV54</x:f>
      </x:c>
      <x:c r="BW55" s="117" t="n">
        <x:f>BV55+BW54</x:f>
      </x:c>
      <x:c r="BX55" s="117" t="n">
        <x:f>BW55+BX54</x:f>
      </x:c>
      <x:c r="BY55" s="117" t="n">
        <x:f>BX55+BY54</x:f>
      </x:c>
      <x:c r="BZ55" s="117" t="n">
        <x:f>BY55+BZ54</x:f>
      </x:c>
      <x:c r="CA55" s="117" t="n">
        <x:f>BZ55+CA54</x:f>
      </x:c>
      <x:c r="CB55" s="117" t="n">
        <x:f>CA55+CB54</x:f>
      </x:c>
      <x:c r="CC55" s="117" t="n">
        <x:f>CB55+CC54</x:f>
      </x:c>
      <x:c r="CD55" s="117" t="n">
        <x:f>CC55+CD54</x:f>
      </x:c>
      <x:c r="CE55" s="117" t="n">
        <x:f>CD55+CE54</x:f>
      </x:c>
      <x:c r="CF55" s="117" t="n">
        <x:f>CE55+CF54</x:f>
      </x:c>
      <x:c r="CG55" s="117" t="n">
        <x:f>CF55+CG54</x:f>
      </x:c>
      <x:c r="CH55" s="117" t="n">
        <x:f>CG55+CH54</x:f>
      </x:c>
      <x:c r="CI55" s="117" t="n">
        <x:f>CH55+CI54</x:f>
      </x:c>
      <x:c r="CJ55" s="117" t="n">
        <x:f>CI55+CJ54</x:f>
      </x:c>
      <x:c r="CK55" s="117" t="n">
        <x:f>CJ55+CK54</x:f>
      </x:c>
      <x:c r="CL55" s="117" t="n">
        <x:f>CK55+CL54</x:f>
      </x:c>
      <x:c r="CM55" s="117" t="n">
        <x:f>CL55+CM54</x:f>
      </x:c>
      <x:c r="CN55" s="117" t="n">
        <x:f>CM55+CN54</x:f>
      </x:c>
      <x:c r="CO55" s="117" t="n">
        <x:f>CN55+CO54</x:f>
      </x:c>
      <x:c r="CP55" s="117" t="n">
        <x:f>CO55+CP54</x:f>
      </x:c>
      <x:c r="CQ55" s="117" t="n">
        <x:f>CP55+CQ54</x:f>
      </x:c>
      <x:c r="CR55" s="117" t="n">
        <x:f>CQ55+CR54</x:f>
      </x:c>
      <x:c r="CS55" s="117" t="n">
        <x:f>CR55+CS54</x:f>
      </x:c>
      <x:c r="CT55" s="117" t="n">
        <x:f>CS55+CT54</x:f>
      </x:c>
      <x:c r="CU55" s="117" t="n">
        <x:f>CT55+CU54</x:f>
      </x:c>
      <x:c r="CV55" s="117" t="n">
        <x:f>CU55+CV54</x:f>
      </x:c>
      <x:c r="CW55" s="117" t="n">
        <x:f>CV55+CW54</x:f>
      </x:c>
      <x:c r="CX55" s="117" t="n">
        <x:f>CW55+CX54</x:f>
      </x:c>
      <x:c r="CY55" s="117" t="n">
        <x:f>CX55+CY54</x:f>
      </x:c>
      <x:c r="CZ55" s="117" t="n">
        <x:f>CY55+CZ54</x:f>
      </x:c>
      <x:c r="DA55" s="117" t="n">
        <x:f>CZ55+DA54</x:f>
      </x:c>
      <x:c r="DB55" s="117" t="n">
        <x:f>DA55+DB54</x:f>
      </x:c>
      <x:c r="DC55" s="117" t="n">
        <x:f>DB55+DC54</x:f>
      </x:c>
      <x:c r="DD55" s="117" t="n">
        <x:f>DC55+DD54</x:f>
      </x:c>
      <x:c r="DE55" s="117" t="n">
        <x:f>DD55+DE54</x:f>
      </x:c>
      <x:c r="DF55" s="117" t="n">
        <x:f>DE55+DF54</x:f>
      </x:c>
      <x:c r="DG55" s="117" t="n">
        <x:f>DF55+DG54</x:f>
      </x:c>
      <x:c r="DH55" s="117" t="n">
        <x:f>DG55+DH54</x:f>
      </x:c>
      <x:c r="DI55" s="117" t="n">
        <x:f>DH55+DI54</x:f>
      </x:c>
      <x:c r="DJ55" s="117" t="n">
        <x:f>DI55+DJ54</x:f>
      </x:c>
      <x:c r="DK55" s="117" t="n">
        <x:f>DJ55+DK54</x:f>
      </x:c>
      <x:c r="DL55" s="117" t="n">
        <x:f>DK55+DL54</x:f>
      </x:c>
      <x:c r="DM55" s="117" t="n">
        <x:f>DL55+DM54</x:f>
      </x:c>
      <x:c r="DN55" s="117" t="n">
        <x:f>DM55+DN54</x:f>
      </x:c>
      <x:c r="DO55" s="117" t="n">
        <x:f>DN55+DO54</x:f>
      </x:c>
      <x:c r="DP55" s="117" t="n">
        <x:f>DO55+DP54</x:f>
      </x:c>
      <x:c r="DQ55" s="117" t="n">
        <x:f>DP55+DQ54</x:f>
      </x:c>
      <x:c r="DR55" s="117" t="n">
        <x:f>DQ55+DR54</x:f>
      </x:c>
      <x:c r="DS55" s="117" t="n">
        <x:f>DR55+DS54</x:f>
      </x:c>
      <x:c r="DT55" s="117" t="n">
        <x:f>DS55+DT54</x:f>
      </x:c>
      <x:c r="DU55" s="117" t="n">
        <x:f>DT55+DU54</x:f>
      </x:c>
      <x:c r="DV55" s="117" t="n">
        <x:f>DU55+DV54</x:f>
      </x:c>
      <x:c r="DW55" s="117" t="n">
        <x:f>DV55+DW54</x:f>
      </x:c>
      <x:c r="DX55" s="117" t="n">
        <x:f>DW55+DX54</x:f>
      </x:c>
      <x:c r="DY55" s="117" t="n">
        <x:f>DX55+DY54</x:f>
      </x:c>
      <x:c r="DZ55" s="117" t="n">
        <x:f>DY55+DZ54</x:f>
      </x:c>
      <x:c r="EA55" s="117" t="n">
        <x:f>DZ55+EA54</x:f>
      </x:c>
      <x:c r="EB55" s="117" t="n">
        <x:f>EA55+EB54</x:f>
      </x:c>
      <x:c r="EC55" s="117" t="n">
        <x:f>EB55+EC54</x:f>
      </x:c>
      <x:c r="ED55" s="117" t="n">
        <x:f>EC55+ED54</x:f>
      </x:c>
      <x:c r="EE55" s="117" t="n">
        <x:f>ED55+EE54</x:f>
      </x:c>
      <x:c r="EF55" s="117" t="n">
        <x:f>EE55+EF54</x:f>
      </x:c>
      <x:c r="EG55" s="117" t="n">
        <x:f>EF55+EG54</x:f>
      </x:c>
      <x:c r="EH55" s="117" t="n">
        <x:f>EG55+EH54</x:f>
      </x:c>
      <x:c r="EI55" s="117" t="n">
        <x:f>EH55+EI54</x:f>
      </x:c>
      <x:c r="EJ55" s="117" t="n">
        <x:f>EI55+EJ54</x:f>
      </x:c>
      <x:c r="EK55" s="117" t="n">
        <x:f>EJ55+EK54</x:f>
      </x:c>
      <x:c r="EL55" s="117" t="n">
        <x:f>EK55+EL54</x:f>
      </x:c>
      <x:c r="EM55" s="117" t="n">
        <x:f>EL55+EM54</x:f>
      </x:c>
      <x:c r="EN55" s="117" t="n">
        <x:f>EM55+EN54</x:f>
      </x:c>
      <x:c r="EO55" s="117" t="n">
        <x:f>EN55+EO54</x:f>
      </x:c>
      <x:c r="EP55" s="117" t="n">
        <x:f>EO55+EP54</x:f>
      </x:c>
      <x:c r="EQ55" s="117" t="n">
        <x:f>EP55+EQ54</x:f>
      </x:c>
      <x:c r="ER55" s="117" t="n">
        <x:f>EQ55+ER54</x:f>
      </x:c>
      <x:c r="ES55" s="117" t="n">
        <x:f>ER55+ES54</x:f>
      </x:c>
      <x:c r="ET55" s="117" t="n">
        <x:f>ES55+ET54</x:f>
      </x:c>
      <x:c r="EU55" s="117" t="n">
        <x:f>ET55+EU54</x:f>
      </x:c>
      <x:c r="EV55" s="117" t="n">
        <x:f>EU55+EV54</x:f>
      </x:c>
      <x:c r="EW55" s="117" t="n">
        <x:f>EV55+EW54</x:f>
      </x:c>
      <x:c r="EX55" s="117" t="n">
        <x:f>EW55+EX54</x:f>
      </x:c>
      <x:c r="EY55" s="117" t="n">
        <x:f>EX55+EY54</x:f>
      </x:c>
      <x:c r="EZ55" s="117" t="n">
        <x:f>EY55+EZ54</x:f>
      </x:c>
      <x:c r="FA55" s="117" t="n">
        <x:f>EZ55+FA54</x:f>
      </x:c>
      <x:c r="FB55" s="117" t="n">
        <x:f>FA55+FB54</x:f>
      </x:c>
      <x:c r="FC55" s="117" t="n">
        <x:f>FB55+FC54</x:f>
      </x:c>
      <x:c r="FD55" s="117" t="n">
        <x:f>FC55+FD54</x:f>
      </x:c>
      <x:c r="FE55" s="117" t="n">
        <x:f>FD55+FE54</x:f>
      </x:c>
      <x:c r="FF55" s="117" t="n">
        <x:f>FE55+FF54</x:f>
      </x:c>
      <x:c r="FG55" s="117" t="n">
        <x:f>FF55+FG54</x:f>
      </x:c>
      <x:c r="FH55" s="117" t="n">
        <x:f>FG55+FH54</x:f>
      </x:c>
      <x:c r="FI55" s="117" t="n">
        <x:f>FH55+FI54</x:f>
      </x:c>
      <x:c r="FJ55" s="117" t="n">
        <x:f>FI55+FJ54</x:f>
      </x:c>
      <x:c r="FK55" s="117" t="n">
        <x:f>FJ55+FK54</x:f>
      </x:c>
      <x:c r="FL55" s="117" t="n">
        <x:f>FK55+FL54</x:f>
      </x:c>
      <x:c r="FM55" s="117" t="n">
        <x:f>FL55+FM54</x:f>
      </x:c>
      <x:c r="FN55" s="117" t="n">
        <x:f>FM55+FN54</x:f>
      </x:c>
      <x:c r="FO55" s="117" t="n">
        <x:f>FN55+FO54</x:f>
      </x:c>
      <x:c r="FP55" s="117" t="n">
        <x:f>FO55+FP54</x:f>
      </x:c>
      <x:c r="FQ55" s="117" t="n">
        <x:f>FP55+FQ54</x:f>
      </x:c>
      <x:c r="FR55" s="117" t="n">
        <x:f>FQ55+FR54</x:f>
      </x:c>
      <x:c r="FS55" s="117" t="n">
        <x:f>FR55+FS54</x:f>
      </x:c>
      <x:c r="FT55" s="117" t="n">
        <x:f>FS55+FT54</x:f>
      </x:c>
      <x:c r="FU55" s="117" t="n">
        <x:f>FT55+FU54</x:f>
      </x:c>
      <x:c r="FV55" s="117" t="n">
        <x:f>FU55+FV54</x:f>
      </x:c>
      <x:c r="FW55" s="117" t="n">
        <x:f>FV55+FW54</x:f>
      </x:c>
      <x:c r="FX55" s="117" t="n">
        <x:f>FW55+FX54</x:f>
      </x:c>
      <x:c r="FY55" s="117" t="n">
        <x:f>FX55+FY54</x:f>
      </x:c>
      <x:c r="FZ55" s="117" t="n">
        <x:f>FY55+FZ54</x:f>
      </x:c>
      <x:c r="GA55" s="117" t="n">
        <x:f>FZ55+GA54</x:f>
      </x:c>
    </x:row>
    <x:row r="56">
      <x:c r="A56" t="str">
        <x:v>Собственные средства — расход</x:v>
      </x:c>
      <x:c r="B56">
        <x:f>SUM(D56:GA56)</x:f>
      </x:c>
      <x:c r="C56" t="str">
        <x:v>млн ₽</x:v>
      </x:c>
      <x:c r="D56" s="117">
        <x:f>MIN(MAX(0,'Вводные'!$B$85*'Вводные'!$AI$91),D33)</x:f>
      </x:c>
      <x:c r="E56" s="117">
        <x:f>MIN(MAX(0,D59),E33)</x:f>
      </x:c>
      <x:c r="F56" s="117">
        <x:f>MIN(MAX(0,E59),F33)</x:f>
      </x:c>
      <x:c r="G56" s="117">
        <x:f>MIN(MAX(0,F59),G33)</x:f>
      </x:c>
      <x:c r="H56" s="117">
        <x:f>MIN(MAX(0,G59),H33)</x:f>
      </x:c>
      <x:c r="I56" s="117">
        <x:f>MIN(MAX(0,H59),I33)</x:f>
      </x:c>
      <x:c r="J56" s="117">
        <x:f>MIN(MAX(0,I59),J33)</x:f>
      </x:c>
      <x:c r="K56" s="117">
        <x:f>MIN(MAX(0,J59),K33)</x:f>
      </x:c>
      <x:c r="L56" s="117">
        <x:f>MIN(MAX(0,K59),L33)</x:f>
      </x:c>
      <x:c r="M56" s="117">
        <x:f>MIN(MAX(0,L59),M33)</x:f>
      </x:c>
      <x:c r="N56" s="117">
        <x:f>MIN(MAX(0,M59),N33)</x:f>
      </x:c>
      <x:c r="O56" s="117">
        <x:f>MIN(MAX(0,N59),O33)</x:f>
      </x:c>
      <x:c r="P56" s="117">
        <x:f>MIN(MAX(0,O59),P33)</x:f>
      </x:c>
      <x:c r="Q56" s="117">
        <x:f>MIN(MAX(0,P59),Q33)</x:f>
      </x:c>
      <x:c r="R56" s="117">
        <x:f>MIN(MAX(0,Q59),R33)</x:f>
      </x:c>
      <x:c r="S56" s="117">
        <x:f>MIN(MAX(0,R59),S33)</x:f>
      </x:c>
      <x:c r="T56" s="117">
        <x:f>MIN(MAX(0,S59),T33)</x:f>
      </x:c>
      <x:c r="U56" s="117">
        <x:f>MIN(MAX(0,T59),U33)</x:f>
      </x:c>
      <x:c r="V56" s="117">
        <x:f>MIN(MAX(0,U59),V33)</x:f>
      </x:c>
      <x:c r="W56" s="117">
        <x:f>MIN(MAX(0,V59),W33)</x:f>
      </x:c>
      <x:c r="X56" s="117">
        <x:f>MIN(MAX(0,W59),X33)</x:f>
      </x:c>
      <x:c r="Y56" s="117">
        <x:f>MIN(MAX(0,X59),Y33)</x:f>
      </x:c>
      <x:c r="Z56" s="117">
        <x:f>MIN(MAX(0,Y59),Z33)</x:f>
      </x:c>
      <x:c r="AA56" s="117">
        <x:f>MIN(MAX(0,Z59),AA33)</x:f>
      </x:c>
      <x:c r="AB56" s="117">
        <x:f>MIN(MAX(0,AA59),AB33)</x:f>
      </x:c>
      <x:c r="AC56" s="117">
        <x:f>MIN(MAX(0,AB59),AC33)</x:f>
      </x:c>
      <x:c r="AD56" s="117">
        <x:f>MIN(MAX(0,AC59),AD33)</x:f>
      </x:c>
      <x:c r="AE56" s="117">
        <x:f>MIN(MAX(0,AD59),AE33)</x:f>
      </x:c>
      <x:c r="AF56" s="117">
        <x:f>MIN(MAX(0,AE59),AF33)</x:f>
      </x:c>
      <x:c r="AG56" s="117">
        <x:f>MIN(MAX(0,AF59),AG33)</x:f>
      </x:c>
      <x:c r="AH56" s="117">
        <x:f>MIN(MAX(0,AG59),AH33)</x:f>
      </x:c>
      <x:c r="AI56" s="117">
        <x:f>MIN(MAX(0,AH59),AI33)</x:f>
      </x:c>
      <x:c r="AJ56" s="117">
        <x:f>MIN(MAX(0,AI59),AJ33)</x:f>
      </x:c>
      <x:c r="AK56" s="117">
        <x:f>MIN(MAX(0,AJ59),AK33)</x:f>
      </x:c>
      <x:c r="AL56" s="117">
        <x:f>MIN(MAX(0,AK59),AL33)</x:f>
      </x:c>
      <x:c r="AM56" s="117">
        <x:f>MIN(MAX(0,AL59),AM33)</x:f>
      </x:c>
      <x:c r="AN56" s="117">
        <x:f>MIN(MAX(0,AM59),AN33)</x:f>
      </x:c>
      <x:c r="AO56" s="117">
        <x:f>MIN(MAX(0,AN59),AO33)</x:f>
      </x:c>
      <x:c r="AP56" s="117">
        <x:f>MIN(MAX(0,AO59),AP33)</x:f>
      </x:c>
      <x:c r="AQ56" s="117">
        <x:f>MIN(MAX(0,AP59),AQ33)</x:f>
      </x:c>
      <x:c r="AR56" s="117">
        <x:f>MIN(MAX(0,AQ59),AR33)</x:f>
      </x:c>
      <x:c r="AS56" s="117">
        <x:f>MIN(MAX(0,AR59),AS33)</x:f>
      </x:c>
      <x:c r="AT56" s="117">
        <x:f>MIN(MAX(0,AS59),AT33)</x:f>
      </x:c>
      <x:c r="AU56" s="117">
        <x:f>MIN(MAX(0,AT59),AU33)</x:f>
      </x:c>
      <x:c r="AV56" s="117">
        <x:f>MIN(MAX(0,AU59),AV33)</x:f>
      </x:c>
      <x:c r="AW56" s="117">
        <x:f>MIN(MAX(0,AV59),AW33)</x:f>
      </x:c>
      <x:c r="AX56" s="117">
        <x:f>MIN(MAX(0,AW59),AX33)</x:f>
      </x:c>
      <x:c r="AY56" s="117">
        <x:f>MIN(MAX(0,AX59),AY33)</x:f>
      </x:c>
      <x:c r="AZ56" s="117">
        <x:f>MIN(MAX(0,AY59),AZ33)</x:f>
      </x:c>
      <x:c r="BA56" s="117">
        <x:f>MIN(MAX(0,AZ59),BA33)</x:f>
      </x:c>
      <x:c r="BB56" s="117">
        <x:f>MIN(MAX(0,BA59),BB33)</x:f>
      </x:c>
      <x:c r="BC56" s="117">
        <x:f>MIN(MAX(0,BB59),BC33)</x:f>
      </x:c>
      <x:c r="BD56" s="117">
        <x:f>MIN(MAX(0,BC59),BD33)</x:f>
      </x:c>
      <x:c r="BE56" s="117">
        <x:f>MIN(MAX(0,BD59),BE33)</x:f>
      </x:c>
      <x:c r="BF56" s="117">
        <x:f>MIN(MAX(0,BE59),BF33)</x:f>
      </x:c>
      <x:c r="BG56" s="117">
        <x:f>MIN(MAX(0,BF59),BG33)</x:f>
      </x:c>
      <x:c r="BH56" s="117">
        <x:f>MIN(MAX(0,BG59),BH33)</x:f>
      </x:c>
      <x:c r="BI56" s="117">
        <x:f>MIN(MAX(0,BH59),BI33)</x:f>
      </x:c>
      <x:c r="BJ56" s="117">
        <x:f>MIN(MAX(0,BI59),BJ33)</x:f>
      </x:c>
      <x:c r="BK56" s="117">
        <x:f>MIN(MAX(0,BJ59),BK33)</x:f>
      </x:c>
      <x:c r="BL56" s="117">
        <x:f>MIN(MAX(0,BK59),BL33)</x:f>
      </x:c>
      <x:c r="BM56" s="117">
        <x:f>MIN(MAX(0,BL59),BM33)</x:f>
      </x:c>
      <x:c r="BN56" s="117">
        <x:f>MIN(MAX(0,BM59),BN33)</x:f>
      </x:c>
      <x:c r="BO56" s="117">
        <x:f>MIN(MAX(0,BN59),BO33)</x:f>
      </x:c>
      <x:c r="BP56" s="117">
        <x:f>MIN(MAX(0,BO59),BP33)</x:f>
      </x:c>
      <x:c r="BQ56" s="117">
        <x:f>MIN(MAX(0,BP59),BQ33)</x:f>
      </x:c>
      <x:c r="BR56" s="117">
        <x:f>MIN(MAX(0,BQ59),BR33)</x:f>
      </x:c>
      <x:c r="BS56" s="117">
        <x:f>MIN(MAX(0,BR59),BS33)</x:f>
      </x:c>
      <x:c r="BT56" s="117">
        <x:f>MIN(MAX(0,BS59),BT33)</x:f>
      </x:c>
      <x:c r="BU56" s="117">
        <x:f>MIN(MAX(0,BT59),BU33)</x:f>
      </x:c>
      <x:c r="BV56" s="117">
        <x:f>MIN(MAX(0,BU59),BV33)</x:f>
      </x:c>
      <x:c r="BW56" s="117">
        <x:f>MIN(MAX(0,BV59),BW33)</x:f>
      </x:c>
      <x:c r="BX56" s="117">
        <x:f>MIN(MAX(0,BW59),BX33)</x:f>
      </x:c>
      <x:c r="BY56" s="117">
        <x:f>MIN(MAX(0,BX59),BY33)</x:f>
      </x:c>
      <x:c r="BZ56" s="117">
        <x:f>MIN(MAX(0,BY59),BZ33)</x:f>
      </x:c>
      <x:c r="CA56" s="117">
        <x:f>MIN(MAX(0,BZ59),CA33)</x:f>
      </x:c>
      <x:c r="CB56" s="117">
        <x:f>MIN(MAX(0,CA59),CB33)</x:f>
      </x:c>
      <x:c r="CC56" s="117">
        <x:f>MIN(MAX(0,CB59),CC33)</x:f>
      </x:c>
      <x:c r="CD56" s="117">
        <x:f>MIN(MAX(0,CC59),CD33)</x:f>
      </x:c>
      <x:c r="CE56" s="117">
        <x:f>MIN(MAX(0,CD59),CE33)</x:f>
      </x:c>
      <x:c r="CF56" s="117">
        <x:f>MIN(MAX(0,CE59),CF33)</x:f>
      </x:c>
      <x:c r="CG56" s="117">
        <x:f>MIN(MAX(0,CF59),CG33)</x:f>
      </x:c>
      <x:c r="CH56" s="117">
        <x:f>MIN(MAX(0,CG59),CH33)</x:f>
      </x:c>
      <x:c r="CI56" s="117">
        <x:f>MIN(MAX(0,CH59),CI33)</x:f>
      </x:c>
      <x:c r="CJ56" s="117">
        <x:f>MIN(MAX(0,CI59),CJ33)</x:f>
      </x:c>
      <x:c r="CK56" s="117">
        <x:f>MIN(MAX(0,CJ59),CK33)</x:f>
      </x:c>
      <x:c r="CL56" s="117">
        <x:f>MIN(MAX(0,CK59),CL33)</x:f>
      </x:c>
      <x:c r="CM56" s="117">
        <x:f>MIN(MAX(0,CL59),CM33)</x:f>
      </x:c>
      <x:c r="CN56" s="117">
        <x:f>MIN(MAX(0,CM59),CN33)</x:f>
      </x:c>
      <x:c r="CO56" s="117">
        <x:f>MIN(MAX(0,CN59),CO33)</x:f>
      </x:c>
      <x:c r="CP56" s="117">
        <x:f>MIN(MAX(0,CO59),CP33)</x:f>
      </x:c>
      <x:c r="CQ56" s="117">
        <x:f>MIN(MAX(0,CP59),CQ33)</x:f>
      </x:c>
      <x:c r="CR56" s="117">
        <x:f>MIN(MAX(0,CQ59),CR33)</x:f>
      </x:c>
      <x:c r="CS56" s="117">
        <x:f>MIN(MAX(0,CR59),CS33)</x:f>
      </x:c>
      <x:c r="CT56" s="117">
        <x:f>MIN(MAX(0,CS59),CT33)</x:f>
      </x:c>
      <x:c r="CU56" s="117">
        <x:f>MIN(MAX(0,CT59),CU33)</x:f>
      </x:c>
      <x:c r="CV56" s="117">
        <x:f>MIN(MAX(0,CU59),CV33)</x:f>
      </x:c>
      <x:c r="CW56" s="117">
        <x:f>MIN(MAX(0,CV59),CW33)</x:f>
      </x:c>
      <x:c r="CX56" s="117">
        <x:f>MIN(MAX(0,CW59),CX33)</x:f>
      </x:c>
      <x:c r="CY56" s="117">
        <x:f>MIN(MAX(0,CX59),CY33)</x:f>
      </x:c>
      <x:c r="CZ56" s="117">
        <x:f>MIN(MAX(0,CY59),CZ33)</x:f>
      </x:c>
      <x:c r="DA56" s="117">
        <x:f>MIN(MAX(0,CZ59),DA33)</x:f>
      </x:c>
      <x:c r="DB56" s="117">
        <x:f>MIN(MAX(0,DA59),DB33)</x:f>
      </x:c>
      <x:c r="DC56" s="117">
        <x:f>MIN(MAX(0,DB59),DC33)</x:f>
      </x:c>
      <x:c r="DD56" s="117">
        <x:f>MIN(MAX(0,DC59),DD33)</x:f>
      </x:c>
      <x:c r="DE56" s="117">
        <x:f>MIN(MAX(0,DD59),DE33)</x:f>
      </x:c>
      <x:c r="DF56" s="117">
        <x:f>MIN(MAX(0,DE59),DF33)</x:f>
      </x:c>
      <x:c r="DG56" s="117">
        <x:f>MIN(MAX(0,DF59),DG33)</x:f>
      </x:c>
      <x:c r="DH56" s="117">
        <x:f>MIN(MAX(0,DG59),DH33)</x:f>
      </x:c>
      <x:c r="DI56" s="117">
        <x:f>MIN(MAX(0,DH59),DI33)</x:f>
      </x:c>
      <x:c r="DJ56" s="117">
        <x:f>MIN(MAX(0,DI59),DJ33)</x:f>
      </x:c>
      <x:c r="DK56" s="117">
        <x:f>MIN(MAX(0,DJ59),DK33)</x:f>
      </x:c>
      <x:c r="DL56" s="117">
        <x:f>MIN(MAX(0,DK59),DL33)</x:f>
      </x:c>
      <x:c r="DM56" s="117">
        <x:f>MIN(MAX(0,DL59),DM33)</x:f>
      </x:c>
      <x:c r="DN56" s="117">
        <x:f>MIN(MAX(0,DM59),DN33)</x:f>
      </x:c>
      <x:c r="DO56" s="117">
        <x:f>MIN(MAX(0,DN59),DO33)</x:f>
      </x:c>
      <x:c r="DP56" s="117">
        <x:f>MIN(MAX(0,DO59),DP33)</x:f>
      </x:c>
      <x:c r="DQ56" s="117">
        <x:f>MIN(MAX(0,DP59),DQ33)</x:f>
      </x:c>
      <x:c r="DR56" s="117">
        <x:f>MIN(MAX(0,DQ59),DR33)</x:f>
      </x:c>
      <x:c r="DS56" s="117">
        <x:f>MIN(MAX(0,DR59),DS33)</x:f>
      </x:c>
      <x:c r="DT56" s="117">
        <x:f>MIN(MAX(0,DS59),DT33)</x:f>
      </x:c>
      <x:c r="DU56" s="117">
        <x:f>MIN(MAX(0,DT59),DU33)</x:f>
      </x:c>
      <x:c r="DV56" s="117">
        <x:f>MIN(MAX(0,DU59),DV33)</x:f>
      </x:c>
      <x:c r="DW56" s="117">
        <x:f>MIN(MAX(0,DV59),DW33)</x:f>
      </x:c>
      <x:c r="DX56" s="117">
        <x:f>MIN(MAX(0,DW59),DX33)</x:f>
      </x:c>
      <x:c r="DY56" s="117">
        <x:f>MIN(MAX(0,DX59),DY33)</x:f>
      </x:c>
      <x:c r="DZ56" s="117">
        <x:f>MIN(MAX(0,DY59),DZ33)</x:f>
      </x:c>
      <x:c r="EA56" s="117">
        <x:f>MIN(MAX(0,DZ59),EA33)</x:f>
      </x:c>
      <x:c r="EB56" s="117">
        <x:f>MIN(MAX(0,EA59),EB33)</x:f>
      </x:c>
      <x:c r="EC56" s="117">
        <x:f>MIN(MAX(0,EB59),EC33)</x:f>
      </x:c>
      <x:c r="ED56" s="117">
        <x:f>MIN(MAX(0,EC59),ED33)</x:f>
      </x:c>
      <x:c r="EE56" s="117">
        <x:f>MIN(MAX(0,ED59),EE33)</x:f>
      </x:c>
      <x:c r="EF56" s="117">
        <x:f>MIN(MAX(0,EE59),EF33)</x:f>
      </x:c>
      <x:c r="EG56" s="117">
        <x:f>MIN(MAX(0,EF59),EG33)</x:f>
      </x:c>
      <x:c r="EH56" s="117">
        <x:f>MIN(MAX(0,EG59),EH33)</x:f>
      </x:c>
      <x:c r="EI56" s="117">
        <x:f>MIN(MAX(0,EH59),EI33)</x:f>
      </x:c>
      <x:c r="EJ56" s="117">
        <x:f>MIN(MAX(0,EI59),EJ33)</x:f>
      </x:c>
      <x:c r="EK56" s="117">
        <x:f>MIN(MAX(0,EJ59),EK33)</x:f>
      </x:c>
      <x:c r="EL56" s="117">
        <x:f>MIN(MAX(0,EK59),EL33)</x:f>
      </x:c>
      <x:c r="EM56" s="117">
        <x:f>MIN(MAX(0,EL59),EM33)</x:f>
      </x:c>
      <x:c r="EN56" s="117">
        <x:f>MIN(MAX(0,EM59),EN33)</x:f>
      </x:c>
      <x:c r="EO56" s="117">
        <x:f>MIN(MAX(0,EN59),EO33)</x:f>
      </x:c>
      <x:c r="EP56" s="117">
        <x:f>MIN(MAX(0,EO59),EP33)</x:f>
      </x:c>
      <x:c r="EQ56" s="117">
        <x:f>MIN(MAX(0,EP59),EQ33)</x:f>
      </x:c>
      <x:c r="ER56" s="117">
        <x:f>MIN(MAX(0,EQ59),ER33)</x:f>
      </x:c>
      <x:c r="ES56" s="117">
        <x:f>MIN(MAX(0,ER59),ES33)</x:f>
      </x:c>
      <x:c r="ET56" s="117">
        <x:f>MIN(MAX(0,ES59),ET33)</x:f>
      </x:c>
      <x:c r="EU56" s="117">
        <x:f>MIN(MAX(0,ET59),EU33)</x:f>
      </x:c>
      <x:c r="EV56" s="117">
        <x:f>MIN(MAX(0,EU59),EV33)</x:f>
      </x:c>
      <x:c r="EW56" s="117">
        <x:f>MIN(MAX(0,EV59),EW33)</x:f>
      </x:c>
      <x:c r="EX56" s="117">
        <x:f>MIN(MAX(0,EW59),EX33)</x:f>
      </x:c>
      <x:c r="EY56" s="117">
        <x:f>MIN(MAX(0,EX59),EY33)</x:f>
      </x:c>
      <x:c r="EZ56" s="117">
        <x:f>MIN(MAX(0,EY59),EZ33)</x:f>
      </x:c>
      <x:c r="FA56" s="117">
        <x:f>MIN(MAX(0,EZ59),FA33)</x:f>
      </x:c>
      <x:c r="FB56" s="117">
        <x:f>MIN(MAX(0,FA59),FB33)</x:f>
      </x:c>
      <x:c r="FC56" s="117">
        <x:f>MIN(MAX(0,FB59),FC33)</x:f>
      </x:c>
      <x:c r="FD56" s="117">
        <x:f>MIN(MAX(0,FC59),FD33)</x:f>
      </x:c>
      <x:c r="FE56" s="117">
        <x:f>MIN(MAX(0,FD59),FE33)</x:f>
      </x:c>
      <x:c r="FF56" s="117">
        <x:f>MIN(MAX(0,FE59),FF33)</x:f>
      </x:c>
      <x:c r="FG56" s="117">
        <x:f>MIN(MAX(0,FF59),FG33)</x:f>
      </x:c>
      <x:c r="FH56" s="117">
        <x:f>MIN(MAX(0,FG59),FH33)</x:f>
      </x:c>
      <x:c r="FI56" s="117">
        <x:f>MIN(MAX(0,FH59),FI33)</x:f>
      </x:c>
      <x:c r="FJ56" s="117">
        <x:f>MIN(MAX(0,FI59),FJ33)</x:f>
      </x:c>
      <x:c r="FK56" s="117">
        <x:f>MIN(MAX(0,FJ59),FK33)</x:f>
      </x:c>
      <x:c r="FL56" s="117">
        <x:f>MIN(MAX(0,FK59),FL33)</x:f>
      </x:c>
      <x:c r="FM56" s="117">
        <x:f>MIN(MAX(0,FL59),FM33)</x:f>
      </x:c>
      <x:c r="FN56" s="117">
        <x:f>MIN(MAX(0,FM59),FN33)</x:f>
      </x:c>
      <x:c r="FO56" s="117">
        <x:f>MIN(MAX(0,FN59),FO33)</x:f>
      </x:c>
      <x:c r="FP56" s="117">
        <x:f>MIN(MAX(0,FO59),FP33)</x:f>
      </x:c>
      <x:c r="FQ56" s="117">
        <x:f>MIN(MAX(0,FP59),FQ33)</x:f>
      </x:c>
      <x:c r="FR56" s="117">
        <x:f>MIN(MAX(0,FQ59),FR33)</x:f>
      </x:c>
      <x:c r="FS56" s="117">
        <x:f>MIN(MAX(0,FR59),FS33)</x:f>
      </x:c>
      <x:c r="FT56" s="117">
        <x:f>MIN(MAX(0,FS59),FT33)</x:f>
      </x:c>
      <x:c r="FU56" s="117">
        <x:f>MIN(MAX(0,FT59),FU33)</x:f>
      </x:c>
      <x:c r="FV56" s="117">
        <x:f>MIN(MAX(0,FU59),FV33)</x:f>
      </x:c>
      <x:c r="FW56" s="117">
        <x:f>MIN(MAX(0,FV59),FW33)</x:f>
      </x:c>
      <x:c r="FX56" s="117">
        <x:f>MIN(MAX(0,FW59),FX33)</x:f>
      </x:c>
      <x:c r="FY56" s="117">
        <x:f>MIN(MAX(0,FX59),FY33)</x:f>
      </x:c>
      <x:c r="FZ56" s="117">
        <x:f>MIN(MAX(0,FY59),FZ33)</x:f>
      </x:c>
      <x:c r="GA56" s="117">
        <x:f>MIN(MAX(0,FZ59),GA33)</x:f>
      </x:c>
    </x:row>
    <x:row r="57">
      <x:c r="A57" t="inlineStr">
        <x:is>
          <x:t>Комиссии выдачи (БРИДЖ и резервирование ПФ)</x:t>
        </x:is>
      </x:c>
      <x:c r="B57">
        <x:f>SUM(D57:GA57)</x:f>
      </x:c>
      <x:c r="C57" t="str">
        <x:v>млн ₽</x:v>
      </x:c>
      <x:c r="D57" s="117">
        <x:f>IF(AND(YEAR(D$3)=YEAR($B$6),MONTH(D$3)=MONTH($B$6),$B$5=1),('CAPEX'!$B$116+'CAPEX'!$B$119+'CAPEX'!$B$120+IF('Вводные'!$B$37="Денежная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компенсация",'Вводные'!$B$56*'Вводные'!$R$91*'Вводные'!$H$6,0)))*'Вводные'!$B$30,0)+IF(AND(YEAR(D$3)=YEAR($B$7),MONTH(D$3)=MONTH($B$7),$B$5=1),'Вводные'!$B$26*'Вводные'!$V$91*'Вводные'!$B$30,0)</x:f>
      </x:c>
      <x:c r="E57" s="117">
        <x:f>IF(AND(YEAR(E$3)=YEAR($B$6),MONTH(E$3)=MONTH($B$6),$B$5=1),('CAPEX'!$B$116+'CAPEX'!$B$119+'CAPEX'!$B$120+IF('Вводные'!$B$37="Денежная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компенсация",'Вводные'!$B$56*'Вводные'!$R$91*'Вводные'!$H$6,0)))*'Вводные'!$B$30,0)+IF(AND(YEAR(E$3)=YEAR($B$7),MONTH(E$3)=MONTH($B$7),$B$5=1),'Вводные'!$B$26*'Вводные'!$V$91*'Вводные'!$B$30,0)</x:f>
      </x:c>
      <x:c r="F57" s="117">
        <x:f>IF(AND(YEAR(F$3)=YEAR($B$6),MONTH(F$3)=MONTH($B$6),$B$5=1),('CAPEX'!$B$116+'CAPEX'!$B$119+'CAPEX'!$B$120+IF('Вводные'!$B$37="Денежная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компенсация",'Вводные'!$B$56*'Вводные'!$R$91*'Вводные'!$H$6,0)))*'Вводные'!$B$30,0)+IF(AND(YEAR(F$3)=YEAR($B$7),MONTH(F$3)=MONTH($B$7),$B$5=1),'Вводные'!$B$26*'Вводные'!$V$91*'Вводные'!$B$30,0)</x:f>
      </x:c>
      <x:c r="G57" s="117">
        <x:f>IF(AND(YEAR(G$3)=YEAR($B$6),MONTH(G$3)=MONTH($B$6),$B$5=1),('CAPEX'!$B$116+'CAPEX'!$B$119+'CAPEX'!$B$120+IF('Вводные'!$B$37="Денежная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компенсация",'Вводные'!$B$56*'Вводные'!$R$91*'Вводные'!$H$6,0)))*'Вводные'!$B$30,0)+IF(AND(YEAR(G$3)=YEAR($B$7),MONTH(G$3)=MONTH($B$7),$B$5=1),'Вводные'!$B$26*'Вводные'!$V$91*'Вводные'!$B$30,0)</x:f>
      </x:c>
      <x:c r="H57" s="117">
        <x:f>IF(AND(YEAR(H$3)=YEAR($B$6),MONTH(H$3)=MONTH($B$6),$B$5=1),('CAPEX'!$B$116+'CAPEX'!$B$119+'CAPEX'!$B$120+IF('Вводные'!$B$37="Денежная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компенсация",'Вводные'!$B$56*'Вводные'!$R$91*'Вводные'!$H$6,0)))*'Вводные'!$B$30,0)+IF(AND(YEAR(H$3)=YEAR($B$7),MONTH(H$3)=MONTH($B$7),$B$5=1),'Вводные'!$B$26*'Вводные'!$V$91*'Вводные'!$B$30,0)</x:f>
      </x:c>
      <x:c r="I57" s="117">
        <x:f>IF(AND(YEAR(I$3)=YEAR($B$6),MONTH(I$3)=MONTH($B$6),$B$5=1),('CAPEX'!$B$116+'CAPEX'!$B$119+'CAPEX'!$B$120+IF('Вводные'!$B$37="Денежная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компенсация",'Вводные'!$B$56*'Вводные'!$R$91*'Вводные'!$H$6,0)))*'Вводные'!$B$30,0)+IF(AND(YEAR(I$3)=YEAR($B$7),MONTH(I$3)=MONTH($B$7),$B$5=1),'Вводные'!$B$26*'Вводные'!$V$91*'Вводные'!$B$30,0)</x:f>
      </x:c>
      <x:c r="J57" s="117">
        <x:f>IF(AND(YEAR(J$3)=YEAR($B$6),MONTH(J$3)=MONTH($B$6),$B$5=1),('CAPEX'!$B$116+'CAPEX'!$B$119+'CAPEX'!$B$120+IF('Вводные'!$B$37="Денежная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компенсация",'Вводные'!$B$56*'Вводные'!$R$91*'Вводные'!$H$6,0)))*'Вводные'!$B$30,0)+IF(AND(YEAR(J$3)=YEAR($B$7),MONTH(J$3)=MONTH($B$7),$B$5=1),'Вводные'!$B$26*'Вводные'!$V$91*'Вводные'!$B$30,0)</x:f>
      </x:c>
      <x:c r="K57" s="117">
        <x:f>IF(AND(YEAR(K$3)=YEAR($B$6),MONTH(K$3)=MONTH($B$6),$B$5=1),('CAPEX'!$B$116+'CAPEX'!$B$119+'CAPEX'!$B$120+IF('Вводные'!$B$37="Денежная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компенсация",'Вводные'!$B$56*'Вводные'!$R$91*'Вводные'!$H$6,0)))*'Вводные'!$B$30,0)+IF(AND(YEAR(K$3)=YEAR($B$7),MONTH(K$3)=MONTH($B$7),$B$5=1),'Вводные'!$B$26*'Вводные'!$V$91*'Вводные'!$B$30,0)</x:f>
      </x:c>
      <x:c r="L57" s="117">
        <x:f>IF(AND(YEAR(L$3)=YEAR($B$6),MONTH(L$3)=MONTH($B$6),$B$5=1),('CAPEX'!$B$116+'CAPEX'!$B$119+'CAPEX'!$B$120+IF('Вводные'!$B$37="Денежная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компенсация",'Вводные'!$B$56*'Вводные'!$R$91*'Вводные'!$H$6,0)))*'Вводные'!$B$30,0)+IF(AND(YEAR(L$3)=YEAR($B$7),MONTH(L$3)=MONTH($B$7),$B$5=1),'Вводные'!$B$26*'Вводные'!$V$91*'Вводные'!$B$30,0)</x:f>
      </x:c>
      <x:c r="M57" s="117">
        <x:f>IF(AND(YEAR(M$3)=YEAR($B$6),MONTH(M$3)=MONTH($B$6),$B$5=1),('CAPEX'!$B$116+'CAPEX'!$B$119+'CAPEX'!$B$120+IF('Вводные'!$B$37="Денежная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компенсация",'Вводные'!$B$56*'Вводные'!$R$91*'Вводные'!$H$6,0)))*'Вводные'!$B$30,0)+IF(AND(YEAR(M$3)=YEAR($B$7),MONTH(M$3)=MONTH($B$7),$B$5=1),'Вводные'!$B$26*'Вводные'!$V$91*'Вводные'!$B$30,0)</x:f>
      </x:c>
      <x:c r="N57" s="117">
        <x:f>IF(AND(YEAR(N$3)=YEAR($B$6),MONTH(N$3)=MONTH($B$6),$B$5=1),('CAPEX'!$B$116+'CAPEX'!$B$119+'CAPEX'!$B$120+IF('Вводные'!$B$37="Денежная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компенсация",'Вводные'!$B$56*'Вводные'!$R$91*'Вводные'!$H$6,0)))*'Вводные'!$B$30,0)+IF(AND(YEAR(N$3)=YEAR($B$7),MONTH(N$3)=MONTH($B$7),$B$5=1),'Вводные'!$B$26*'Вводные'!$V$91*'Вводные'!$B$30,0)</x:f>
      </x:c>
      <x:c r="O57" s="117">
        <x:f>IF(AND(YEAR(O$3)=YEAR($B$6),MONTH(O$3)=MONTH($B$6),$B$5=1),('CAPEX'!$B$116+'CAPEX'!$B$119+'CAPEX'!$B$120+IF('Вводные'!$B$37="Денежная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компенсация",'Вводные'!$B$56*'Вводные'!$R$91*'Вводные'!$H$6,0)))*'Вводные'!$B$30,0)+IF(AND(YEAR(O$3)=YEAR($B$7),MONTH(O$3)=MONTH($B$7),$B$5=1),'Вводные'!$B$26*'Вводные'!$V$91*'Вводные'!$B$30,0)</x:f>
      </x:c>
      <x:c r="P57" s="117">
        <x:f>IF(AND(YEAR(P$3)=YEAR($B$6),MONTH(P$3)=MONTH($B$6),$B$5=1),('CAPEX'!$B$116+'CAPEX'!$B$119+'CAPEX'!$B$120+IF('Вводные'!$B$37="Денежная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компенсация",'Вводные'!$B$56*'Вводные'!$R$91*'Вводные'!$H$6,0)))*'Вводные'!$B$30,0)+IF(AND(YEAR(P$3)=YEAR($B$7),MONTH(P$3)=MONTH($B$7),$B$5=1),'Вводные'!$B$26*'Вводные'!$V$91*'Вводные'!$B$30,0)</x:f>
      </x:c>
      <x:c r="Q57" s="117">
        <x:f>IF(AND(YEAR(Q$3)=YEAR($B$6),MONTH(Q$3)=MONTH($B$6),$B$5=1),('CAPEX'!$B$116+'CAPEX'!$B$119+'CAPEX'!$B$120+IF('Вводные'!$B$37="Денежная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компенсация",'Вводные'!$B$56*'Вводные'!$R$91*'Вводные'!$H$6,0)))*'Вводные'!$B$30,0)+IF(AND(YEAR(Q$3)=YEAR($B$7),MONTH(Q$3)=MONTH($B$7),$B$5=1),'Вводные'!$B$26*'Вводные'!$V$91*'Вводные'!$B$30,0)</x:f>
      </x:c>
      <x:c r="R57" s="117">
        <x:f>IF(AND(YEAR(R$3)=YEAR($B$6),MONTH(R$3)=MONTH($B$6),$B$5=1),('CAPEX'!$B$116+'CAPEX'!$B$119+'CAPEX'!$B$120+IF('Вводные'!$B$37="Денежная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компенсация",'Вводные'!$B$56*'Вводные'!$R$91*'Вводные'!$H$6,0)))*'Вводные'!$B$30,0)+IF(AND(YEAR(R$3)=YEAR($B$7),MONTH(R$3)=MONTH($B$7),$B$5=1),'Вводные'!$B$26*'Вводные'!$V$91*'Вводные'!$B$30,0)</x:f>
      </x:c>
      <x:c r="S57" s="117">
        <x:f>IF(AND(YEAR(S$3)=YEAR($B$6),MONTH(S$3)=MONTH($B$6),$B$5=1),('CAPEX'!$B$116+'CAPEX'!$B$119+'CAPEX'!$B$120+IF('Вводные'!$B$37="Денежная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компенсация",'Вводные'!$B$56*'Вводные'!$R$91*'Вводные'!$H$6,0)))*'Вводные'!$B$30,0)+IF(AND(YEAR(S$3)=YEAR($B$7),MONTH(S$3)=MONTH($B$7),$B$5=1),'Вводные'!$B$26*'Вводные'!$V$91*'Вводные'!$B$30,0)</x:f>
      </x:c>
      <x:c r="T57" s="117">
        <x:f>IF(AND(YEAR(T$3)=YEAR($B$6),MONTH(T$3)=MONTH($B$6),$B$5=1),('CAPEX'!$B$116+'CAPEX'!$B$119+'CAPEX'!$B$120+IF('Вводные'!$B$37="Денежная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компенсация",'Вводные'!$B$56*'Вводные'!$R$91*'Вводные'!$H$6,0)))*'Вводные'!$B$30,0)+IF(AND(YEAR(T$3)=YEAR($B$7),MONTH(T$3)=MONTH($B$7),$B$5=1),'Вводные'!$B$26*'Вводные'!$V$91*'Вводные'!$B$30,0)</x:f>
      </x:c>
      <x:c r="U57" s="117">
        <x:f>IF(AND(YEAR(U$3)=YEAR($B$6),MONTH(U$3)=MONTH($B$6),$B$5=1),('CAPEX'!$B$116+'CAPEX'!$B$119+'CAPEX'!$B$120+IF('Вводные'!$B$37="Денежная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компенсация",'Вводные'!$B$56*'Вводные'!$R$91*'Вводные'!$H$6,0)))*'Вводные'!$B$30,0)+IF(AND(YEAR(U$3)=YEAR($B$7),MONTH(U$3)=MONTH($B$7),$B$5=1),'Вводные'!$B$26*'Вводные'!$V$91*'Вводные'!$B$30,0)</x:f>
      </x:c>
      <x:c r="V57" s="117">
        <x:f>IF(AND(YEAR(V$3)=YEAR($B$6),MONTH(V$3)=MONTH($B$6),$B$5=1),('CAPEX'!$B$116+'CAPEX'!$B$119+'CAPEX'!$B$120+IF('Вводные'!$B$37="Денежная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компенсация",'Вводные'!$B$56*'Вводные'!$R$91*'Вводные'!$H$6,0)))*'Вводные'!$B$30,0)+IF(AND(YEAR(V$3)=YEAR($B$7),MONTH(V$3)=MONTH($B$7),$B$5=1),'Вводные'!$B$26*'Вводные'!$V$91*'Вводные'!$B$30,0)</x:f>
      </x:c>
      <x:c r="W57" s="117">
        <x:f>IF(AND(YEAR(W$3)=YEAR($B$6),MONTH(W$3)=MONTH($B$6),$B$5=1),('CAPEX'!$B$116+'CAPEX'!$B$119+'CAPEX'!$B$120+IF('Вводные'!$B$37="Денежная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компенсация",'Вводные'!$B$56*'Вводные'!$R$91*'Вводные'!$H$6,0)))*'Вводные'!$B$30,0)+IF(AND(YEAR(W$3)=YEAR($B$7),MONTH(W$3)=MONTH($B$7),$B$5=1),'Вводные'!$B$26*'Вводные'!$V$91*'Вводные'!$B$30,0)</x:f>
      </x:c>
      <x:c r="X57" s="117">
        <x:f>IF(AND(YEAR(X$3)=YEAR($B$6),MONTH(X$3)=MONTH($B$6),$B$5=1),('CAPEX'!$B$116+'CAPEX'!$B$119+'CAPEX'!$B$120+IF('Вводные'!$B$37="Денежная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компенсация",'Вводные'!$B$56*'Вводные'!$R$91*'Вводные'!$H$6,0)))*'Вводные'!$B$30,0)+IF(AND(YEAR(X$3)=YEAR($B$7),MONTH(X$3)=MONTH($B$7),$B$5=1),'Вводные'!$B$26*'Вводные'!$V$91*'Вводные'!$B$30,0)</x:f>
      </x:c>
      <x:c r="Y57" s="117">
        <x:f>IF(AND(YEAR(Y$3)=YEAR($B$6),MONTH(Y$3)=MONTH($B$6),$B$5=1),('CAPEX'!$B$116+'CAPEX'!$B$119+'CAPEX'!$B$120+IF('Вводные'!$B$37="Денежная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компенсация",'Вводные'!$B$56*'Вводные'!$R$91*'Вводные'!$H$6,0)))*'Вводные'!$B$30,0)+IF(AND(YEAR(Y$3)=YEAR($B$7),MONTH(Y$3)=MONTH($B$7),$B$5=1),'Вводные'!$B$26*'Вводные'!$V$91*'Вводные'!$B$30,0)</x:f>
      </x:c>
      <x:c r="Z57" s="117">
        <x:f>IF(AND(YEAR(Z$3)=YEAR($B$6),MONTH(Z$3)=MONTH($B$6),$B$5=1),('CAPEX'!$B$116+'CAPEX'!$B$119+'CAPEX'!$B$120+IF('Вводные'!$B$37="Денежная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компенсация",'Вводные'!$B$56*'Вводные'!$R$91*'Вводные'!$H$6,0)))*'Вводные'!$B$30,0)+IF(AND(YEAR(Z$3)=YEAR($B$7),MONTH(Z$3)=MONTH($B$7),$B$5=1),'Вводные'!$B$26*'Вводные'!$V$91*'Вводные'!$B$30,0)</x:f>
      </x:c>
      <x:c r="AA57" s="117">
        <x:f>IF(AND(YEAR(AA$3)=YEAR($B$6),MONTH(AA$3)=MONTH($B$6),$B$5=1),('CAPEX'!$B$116+'CAPEX'!$B$119+'CAPEX'!$B$120+IF('Вводные'!$B$37="Денежная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компенсация",'Вводные'!$B$56*'Вводные'!$R$91*'Вводные'!$H$6,0)))*'Вводные'!$B$30,0)+IF(AND(YEAR(AA$3)=YEAR($B$7),MONTH(AA$3)=MONTH($B$7),$B$5=1),'Вводные'!$B$26*'Вводные'!$V$91*'Вводные'!$B$30,0)</x:f>
      </x:c>
      <x:c r="AB57" s="117">
        <x:f>IF(AND(YEAR(AB$3)=YEAR($B$6),MONTH(AB$3)=MONTH($B$6),$B$5=1),('CAPEX'!$B$116+'CAPEX'!$B$119+'CAPEX'!$B$120+IF('Вводные'!$B$37="Денежная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компенсация",'Вводные'!$B$56*'Вводные'!$R$91*'Вводные'!$H$6,0)))*'Вводные'!$B$30,0)+IF(AND(YEAR(AB$3)=YEAR($B$7),MONTH(AB$3)=MONTH($B$7),$B$5=1),'Вводные'!$B$26*'Вводные'!$V$91*'Вводные'!$B$30,0)</x:f>
      </x:c>
      <x:c r="AC57" s="117">
        <x:f>IF(AND(YEAR(AC$3)=YEAR($B$6),MONTH(AC$3)=MONTH($B$6),$B$5=1),('CAPEX'!$B$116+'CAPEX'!$B$119+'CAPEX'!$B$120+IF('Вводные'!$B$37="Денежная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компенсация",'Вводные'!$B$56*'Вводные'!$R$91*'Вводные'!$H$6,0)))*'Вводные'!$B$30,0)+IF(AND(YEAR(AC$3)=YEAR($B$7),MONTH(AC$3)=MONTH($B$7),$B$5=1),'Вводные'!$B$26*'Вводные'!$V$91*'Вводные'!$B$30,0)</x:f>
      </x:c>
      <x:c r="AD57" s="117">
        <x:f>IF(AND(YEAR(AD$3)=YEAR($B$6),MONTH(AD$3)=MONTH($B$6),$B$5=1),('CAPEX'!$B$116+'CAPEX'!$B$119+'CAPEX'!$B$120+IF('Вводные'!$B$37="Денежная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компенсация",'Вводные'!$B$56*'Вводные'!$R$91*'Вводные'!$H$6,0)))*'Вводные'!$B$30,0)+IF(AND(YEAR(AD$3)=YEAR($B$7),MONTH(AD$3)=MONTH($B$7),$B$5=1),'Вводные'!$B$26*'Вводные'!$V$91*'Вводные'!$B$30,0)</x:f>
      </x:c>
      <x:c r="AE57" s="117">
        <x:f>IF(AND(YEAR(AE$3)=YEAR($B$6),MONTH(AE$3)=MONTH($B$6),$B$5=1),('CAPEX'!$B$116+'CAPEX'!$B$119+'CAPEX'!$B$120+IF('Вводные'!$B$37="Денежная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компенсация",'Вводные'!$B$56*'Вводные'!$R$91*'Вводные'!$H$6,0)))*'Вводные'!$B$30,0)+IF(AND(YEAR(AE$3)=YEAR($B$7),MONTH(AE$3)=MONTH($B$7),$B$5=1),'Вводные'!$B$26*'Вводные'!$V$91*'Вводные'!$B$30,0)</x:f>
      </x:c>
      <x:c r="AF57" s="117">
        <x:f>IF(AND(YEAR(AF$3)=YEAR($B$6),MONTH(AF$3)=MONTH($B$6),$B$5=1),('CAPEX'!$B$116+'CAPEX'!$B$119+'CAPEX'!$B$120+IF('Вводные'!$B$37="Денежная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компенсация",'Вводные'!$B$56*'Вводные'!$R$91*'Вводные'!$H$6,0)))*'Вводные'!$B$30,0)+IF(AND(YEAR(AF$3)=YEAR($B$7),MONTH(AF$3)=MONTH($B$7),$B$5=1),'Вводные'!$B$26*'Вводные'!$V$91*'Вводные'!$B$30,0)</x:f>
      </x:c>
      <x:c r="AG57" s="117">
        <x:f>IF(AND(YEAR(AG$3)=YEAR($B$6),MONTH(AG$3)=MONTH($B$6),$B$5=1),('CAPEX'!$B$116+'CAPEX'!$B$119+'CAPEX'!$B$120+IF('Вводные'!$B$37="Денежная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компенсация",'Вводные'!$B$56*'Вводные'!$R$91*'Вводные'!$H$6,0)))*'Вводные'!$B$30,0)+IF(AND(YEAR(AG$3)=YEAR($B$7),MONTH(AG$3)=MONTH($B$7),$B$5=1),'Вводные'!$B$26*'Вводные'!$V$91*'Вводные'!$B$30,0)</x:f>
      </x:c>
      <x:c r="AH57" s="117">
        <x:f>IF(AND(YEAR(AH$3)=YEAR($B$6),MONTH(AH$3)=MONTH($B$6),$B$5=1),('CAPEX'!$B$116+'CAPEX'!$B$119+'CAPEX'!$B$120+IF('Вводные'!$B$37="Денежная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компенсация",'Вводные'!$B$56*'Вводные'!$R$91*'Вводные'!$H$6,0)))*'Вводные'!$B$30,0)+IF(AND(YEAR(AH$3)=YEAR($B$7),MONTH(AH$3)=MONTH($B$7),$B$5=1),'Вводные'!$B$26*'Вводные'!$V$91*'Вводные'!$B$30,0)</x:f>
      </x:c>
      <x:c r="AI57" s="117">
        <x:f>IF(AND(YEAR(AI$3)=YEAR($B$6),MONTH(AI$3)=MONTH($B$6),$B$5=1),('CAPEX'!$B$116+'CAPEX'!$B$119+'CAPEX'!$B$120+IF('Вводные'!$B$37="Денежная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компенсация",'Вводные'!$B$56*'Вводные'!$R$91*'Вводные'!$H$6,0)))*'Вводные'!$B$30,0)+IF(AND(YEAR(AI$3)=YEAR($B$7),MONTH(AI$3)=MONTH($B$7),$B$5=1),'Вводные'!$B$26*'Вводные'!$V$91*'Вводные'!$B$30,0)</x:f>
      </x:c>
      <x:c r="AJ57" s="117">
        <x:f>IF(AND(YEAR(AJ$3)=YEAR($B$6),MONTH(AJ$3)=MONTH($B$6),$B$5=1),('CAPEX'!$B$116+'CAPEX'!$B$119+'CAPEX'!$B$120+IF('Вводные'!$B$37="Денежная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компенсация",'Вводные'!$B$56*'Вводные'!$R$91*'Вводные'!$H$6,0)))*'Вводные'!$B$30,0)+IF(AND(YEAR(AJ$3)=YEAR($B$7),MONTH(AJ$3)=MONTH($B$7),$B$5=1),'Вводные'!$B$26*'Вводные'!$V$91*'Вводные'!$B$30,0)</x:f>
      </x:c>
      <x:c r="AK57" s="117">
        <x:f>IF(AND(YEAR(AK$3)=YEAR($B$6),MONTH(AK$3)=MONTH($B$6),$B$5=1),('CAPEX'!$B$116+'CAPEX'!$B$119+'CAPEX'!$B$120+IF('Вводные'!$B$37="Денежная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компенсация",'Вводные'!$B$56*'Вводные'!$R$91*'Вводные'!$H$6,0)))*'Вводные'!$B$30,0)+IF(AND(YEAR(AK$3)=YEAR($B$7),MONTH(AK$3)=MONTH($B$7),$B$5=1),'Вводные'!$B$26*'Вводные'!$V$91*'Вводные'!$B$30,0)</x:f>
      </x:c>
      <x:c r="AL57" s="117">
        <x:f>IF(AND(YEAR(AL$3)=YEAR($B$6),MONTH(AL$3)=MONTH($B$6),$B$5=1),('CAPEX'!$B$116+'CAPEX'!$B$119+'CAPEX'!$B$120+IF('Вводные'!$B$37="Денежная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компенсация",'Вводные'!$B$56*'Вводные'!$R$91*'Вводные'!$H$6,0)))*'Вводные'!$B$30,0)+IF(AND(YEAR(AL$3)=YEAR($B$7),MONTH(AL$3)=MONTH($B$7),$B$5=1),'Вводные'!$B$26*'Вводные'!$V$91*'Вводные'!$B$30,0)</x:f>
      </x:c>
      <x:c r="AM57" s="117">
        <x:f>IF(AND(YEAR(AM$3)=YEAR($B$6),MONTH(AM$3)=MONTH($B$6),$B$5=1),('CAPEX'!$B$116+'CAPEX'!$B$119+'CAPEX'!$B$120+IF('Вводные'!$B$37="Денежная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компенсация",'Вводные'!$B$56*'Вводные'!$R$91*'Вводные'!$H$6,0)))*'Вводные'!$B$30,0)+IF(AND(YEAR(AM$3)=YEAR($B$7),MONTH(AM$3)=MONTH($B$7),$B$5=1),'Вводные'!$B$26*'Вводные'!$V$91*'Вводные'!$B$30,0)</x:f>
      </x:c>
      <x:c r="AN57" s="117">
        <x:f>IF(AND(YEAR(AN$3)=YEAR($B$6),MONTH(AN$3)=MONTH($B$6),$B$5=1),('CAPEX'!$B$116+'CAPEX'!$B$119+'CAPEX'!$B$120+IF('Вводные'!$B$37="Денежная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компенсация",'Вводные'!$B$56*'Вводные'!$R$91*'Вводные'!$H$6,0)))*'Вводные'!$B$30,0)+IF(AND(YEAR(AN$3)=YEAR($B$7),MONTH(AN$3)=MONTH($B$7),$B$5=1),'Вводные'!$B$26*'Вводные'!$V$91*'Вводные'!$B$30,0)</x:f>
      </x:c>
      <x:c r="AO57" s="117">
        <x:f>IF(AND(YEAR(AO$3)=YEAR($B$6),MONTH(AO$3)=MONTH($B$6),$B$5=1),('CAPEX'!$B$116+'CAPEX'!$B$119+'CAPEX'!$B$120+IF('Вводные'!$B$37="Денежная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компенсация",'Вводные'!$B$56*'Вводные'!$R$91*'Вводные'!$H$6,0)))*'Вводные'!$B$30,0)+IF(AND(YEAR(AO$3)=YEAR($B$7),MONTH(AO$3)=MONTH($B$7),$B$5=1),'Вводные'!$B$26*'Вводные'!$V$91*'Вводные'!$B$30,0)</x:f>
      </x:c>
      <x:c r="AP57" s="117">
        <x:f>IF(AND(YEAR(AP$3)=YEAR($B$6),MONTH(AP$3)=MONTH($B$6),$B$5=1),('CAPEX'!$B$116+'CAPEX'!$B$119+'CAPEX'!$B$120+IF('Вводные'!$B$37="Денежная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компенсация",'Вводные'!$B$56*'Вводные'!$R$91*'Вводные'!$H$6,0)))*'Вводные'!$B$30,0)+IF(AND(YEAR(AP$3)=YEAR($B$7),MONTH(AP$3)=MONTH($B$7),$B$5=1),'Вводные'!$B$26*'Вводные'!$V$91*'Вводные'!$B$30,0)</x:f>
      </x:c>
      <x:c r="AQ57" s="117">
        <x:f>IF(AND(YEAR(AQ$3)=YEAR($B$6),MONTH(AQ$3)=MONTH($B$6),$B$5=1),('CAPEX'!$B$116+'CAPEX'!$B$119+'CAPEX'!$B$120+IF('Вводные'!$B$37="Денежная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компенсация",'Вводные'!$B$56*'Вводные'!$R$91*'Вводные'!$H$6,0)))*'Вводные'!$B$30,0)+IF(AND(YEAR(AQ$3)=YEAR($B$7),MONTH(AQ$3)=MONTH($B$7),$B$5=1),'Вводные'!$B$26*'Вводные'!$V$91*'Вводные'!$B$30,0)</x:f>
      </x:c>
      <x:c r="AR57" s="117">
        <x:f>IF(AND(YEAR(AR$3)=YEAR($B$6),MONTH(AR$3)=MONTH($B$6),$B$5=1),('CAPEX'!$B$116+'CAPEX'!$B$119+'CAPEX'!$B$120+IF('Вводные'!$B$37="Денежная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компенсация",'Вводные'!$B$56*'Вводные'!$R$91*'Вводные'!$H$6,0)))*'Вводные'!$B$30,0)+IF(AND(YEAR(AR$3)=YEAR($B$7),MONTH(AR$3)=MONTH($B$7),$B$5=1),'Вводные'!$B$26*'Вводные'!$V$91*'Вводные'!$B$30,0)</x:f>
      </x:c>
      <x:c r="AS57" s="117">
        <x:f>IF(AND(YEAR(AS$3)=YEAR($B$6),MONTH(AS$3)=MONTH($B$6),$B$5=1),('CAPEX'!$B$116+'CAPEX'!$B$119+'CAPEX'!$B$120+IF('Вводные'!$B$37="Денежная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компенсация",'Вводные'!$B$56*'Вводные'!$R$91*'Вводные'!$H$6,0)))*'Вводные'!$B$30,0)+IF(AND(YEAR(AS$3)=YEAR($B$7),MONTH(AS$3)=MONTH($B$7),$B$5=1),'Вводные'!$B$26*'Вводные'!$V$91*'Вводные'!$B$30,0)</x:f>
      </x:c>
      <x:c r="AT57" s="117">
        <x:f>IF(AND(YEAR(AT$3)=YEAR($B$6),MONTH(AT$3)=MONTH($B$6),$B$5=1),('CAPEX'!$B$116+'CAPEX'!$B$119+'CAPEX'!$B$120+IF('Вводные'!$B$37="Денежная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компенсация",'Вводные'!$B$56*'Вводные'!$R$91*'Вводные'!$H$6,0)))*'Вводные'!$B$30,0)+IF(AND(YEAR(AT$3)=YEAR($B$7),MONTH(AT$3)=MONTH($B$7),$B$5=1),'Вводные'!$B$26*'Вводные'!$V$91*'Вводные'!$B$30,0)</x:f>
      </x:c>
      <x:c r="AU57" s="117">
        <x:f>IF(AND(YEAR(AU$3)=YEAR($B$6),MONTH(AU$3)=MONTH($B$6),$B$5=1),('CAPEX'!$B$116+'CAPEX'!$B$119+'CAPEX'!$B$120+IF('Вводные'!$B$37="Денежная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компенсация",'Вводные'!$B$56*'Вводные'!$R$91*'Вводные'!$H$6,0)))*'Вводные'!$B$30,0)+IF(AND(YEAR(AU$3)=YEAR($B$7),MONTH(AU$3)=MONTH($B$7),$B$5=1),'Вводные'!$B$26*'Вводные'!$V$91*'Вводные'!$B$30,0)</x:f>
      </x:c>
      <x:c r="AV57" s="117">
        <x:f>IF(AND(YEAR(AV$3)=YEAR($B$6),MONTH(AV$3)=MONTH($B$6),$B$5=1),('CAPEX'!$B$116+'CAPEX'!$B$119+'CAPEX'!$B$120+IF('Вводные'!$B$37="Денежная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компенсация",'Вводные'!$B$56*'Вводные'!$R$91*'Вводные'!$H$6,0)))*'Вводные'!$B$30,0)+IF(AND(YEAR(AV$3)=YEAR($B$7),MONTH(AV$3)=MONTH($B$7),$B$5=1),'Вводные'!$B$26*'Вводные'!$V$91*'Вводные'!$B$30,0)</x:f>
      </x:c>
      <x:c r="AW57" s="117">
        <x:f>IF(AND(YEAR(AW$3)=YEAR($B$6),MONTH(AW$3)=MONTH($B$6),$B$5=1),('CAPEX'!$B$116+'CAPEX'!$B$119+'CAPEX'!$B$120+IF('Вводные'!$B$37="Денежная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компенсация",'Вводные'!$B$56*'Вводные'!$R$91*'Вводные'!$H$6,0)))*'Вводные'!$B$30,0)+IF(AND(YEAR(AW$3)=YEAR($B$7),MONTH(AW$3)=MONTH($B$7),$B$5=1),'Вводные'!$B$26*'Вводные'!$V$91*'Вводные'!$B$30,0)</x:f>
      </x:c>
      <x:c r="AX57" s="117">
        <x:f>IF(AND(YEAR(AX$3)=YEAR($B$6),MONTH(AX$3)=MONTH($B$6),$B$5=1),('CAPEX'!$B$116+'CAPEX'!$B$119+'CAPEX'!$B$120+IF('Вводные'!$B$37="Денежная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компенсация",'Вводные'!$B$56*'Вводные'!$R$91*'Вводные'!$H$6,0)))*'Вводные'!$B$30,0)+IF(AND(YEAR(AX$3)=YEAR($B$7),MONTH(AX$3)=MONTH($B$7),$B$5=1),'Вводные'!$B$26*'Вводные'!$V$91*'Вводные'!$B$30,0)</x:f>
      </x:c>
      <x:c r="AY57" s="117">
        <x:f>IF(AND(YEAR(AY$3)=YEAR($B$6),MONTH(AY$3)=MONTH($B$6),$B$5=1),('CAPEX'!$B$116+'CAPEX'!$B$119+'CAPEX'!$B$120+IF('Вводные'!$B$37="Денежная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компенсация",'Вводные'!$B$56*'Вводные'!$R$91*'Вводные'!$H$6,0)))*'Вводные'!$B$30,0)+IF(AND(YEAR(AY$3)=YEAR($B$7),MONTH(AY$3)=MONTH($B$7),$B$5=1),'Вводные'!$B$26*'Вводные'!$V$91*'Вводные'!$B$30,0)</x:f>
      </x:c>
      <x:c r="AZ57" s="117">
        <x:f>IF(AND(YEAR(AZ$3)=YEAR($B$6),MONTH(AZ$3)=MONTH($B$6),$B$5=1),('CAPEX'!$B$116+'CAPEX'!$B$119+'CAPEX'!$B$120+IF('Вводные'!$B$37="Денежная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компенсация",'Вводные'!$B$56*'Вводные'!$R$91*'Вводные'!$H$6,0)))*'Вводные'!$B$30,0)+IF(AND(YEAR(AZ$3)=YEAR($B$7),MONTH(AZ$3)=MONTH($B$7),$B$5=1),'Вводные'!$B$26*'Вводные'!$V$91*'Вводные'!$B$30,0)</x:f>
      </x:c>
      <x:c r="BA57" s="117">
        <x:f>IF(AND(YEAR(BA$3)=YEAR($B$6),MONTH(BA$3)=MONTH($B$6),$B$5=1),('CAPEX'!$B$116+'CAPEX'!$B$119+'CAPEX'!$B$120+IF('Вводные'!$B$37="Денежная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компенсация",'Вводные'!$B$56*'Вводные'!$R$91*'Вводные'!$H$6,0)))*'Вводные'!$B$30,0)+IF(AND(YEAR(BA$3)=YEAR($B$7),MONTH(BA$3)=MONTH($B$7),$B$5=1),'Вводные'!$B$26*'Вводные'!$V$91*'Вводные'!$B$30,0)</x:f>
      </x:c>
      <x:c r="BB57" s="117">
        <x:f>IF(AND(YEAR(BB$3)=YEAR($B$6),MONTH(BB$3)=MONTH($B$6),$B$5=1),('CAPEX'!$B$116+'CAPEX'!$B$119+'CAPEX'!$B$120+IF('Вводные'!$B$37="Денежная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компенсация",'Вводные'!$B$56*'Вводные'!$R$91*'Вводные'!$H$6,0)))*'Вводные'!$B$30,0)+IF(AND(YEAR(BB$3)=YEAR($B$7),MONTH(BB$3)=MONTH($B$7),$B$5=1),'Вводные'!$B$26*'Вводные'!$V$91*'Вводные'!$B$30,0)</x:f>
      </x:c>
      <x:c r="BC57" s="117">
        <x:f>IF(AND(YEAR(BC$3)=YEAR($B$6),MONTH(BC$3)=MONTH($B$6),$B$5=1),('CAPEX'!$B$116+'CAPEX'!$B$119+'CAPEX'!$B$120+IF('Вводные'!$B$37="Денежная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компенсация",'Вводные'!$B$56*'Вводные'!$R$91*'Вводные'!$H$6,0)))*'Вводные'!$B$30,0)+IF(AND(YEAR(BC$3)=YEAR($B$7),MONTH(BC$3)=MONTH($B$7),$B$5=1),'Вводные'!$B$26*'Вводные'!$V$91*'Вводные'!$B$30,0)</x:f>
      </x:c>
      <x:c r="BD57" s="117">
        <x:f>IF(AND(YEAR(BD$3)=YEAR($B$6),MONTH(BD$3)=MONTH($B$6),$B$5=1),('CAPEX'!$B$116+'CAPEX'!$B$119+'CAPEX'!$B$120+IF('Вводные'!$B$37="Денежная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компенсация",'Вводные'!$B$56*'Вводные'!$R$91*'Вводные'!$H$6,0)))*'Вводные'!$B$30,0)+IF(AND(YEAR(BD$3)=YEAR($B$7),MONTH(BD$3)=MONTH($B$7),$B$5=1),'Вводные'!$B$26*'Вводные'!$V$91*'Вводные'!$B$30,0)</x:f>
      </x:c>
      <x:c r="BE57" s="117">
        <x:f>IF(AND(YEAR(BE$3)=YEAR($B$6),MONTH(BE$3)=MONTH($B$6),$B$5=1),('CAPEX'!$B$116+'CAPEX'!$B$119+'CAPEX'!$B$120+IF('Вводные'!$B$37="Денежная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компенсация",'Вводные'!$B$56*'Вводные'!$R$91*'Вводные'!$H$6,0)))*'Вводные'!$B$30,0)+IF(AND(YEAR(BE$3)=YEAR($B$7),MONTH(BE$3)=MONTH($B$7),$B$5=1),'Вводные'!$B$26*'Вводные'!$V$91*'Вводные'!$B$30,0)</x:f>
      </x:c>
      <x:c r="BF57" s="117">
        <x:f>IF(AND(YEAR(BF$3)=YEAR($B$6),MONTH(BF$3)=MONTH($B$6),$B$5=1),('CAPEX'!$B$116+'CAPEX'!$B$119+'CAPEX'!$B$120+IF('Вводные'!$B$37="Денежная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компенсация",'Вводные'!$B$56*'Вводные'!$R$91*'Вводные'!$H$6,0)))*'Вводные'!$B$30,0)+IF(AND(YEAR(BF$3)=YEAR($B$7),MONTH(BF$3)=MONTH($B$7),$B$5=1),'Вводные'!$B$26*'Вводные'!$V$91*'Вводные'!$B$30,0)</x:f>
      </x:c>
      <x:c r="BG57" s="117">
        <x:f>IF(AND(YEAR(BG$3)=YEAR($B$6),MONTH(BG$3)=MONTH($B$6),$B$5=1),('CAPEX'!$B$116+'CAPEX'!$B$119+'CAPEX'!$B$120+IF('Вводные'!$B$37="Денежная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компенсация",'Вводные'!$B$56*'Вводные'!$R$91*'Вводные'!$H$6,0)))*'Вводные'!$B$30,0)+IF(AND(YEAR(BG$3)=YEAR($B$7),MONTH(BG$3)=MONTH($B$7),$B$5=1),'Вводные'!$B$26*'Вводные'!$V$91*'Вводные'!$B$30,0)</x:f>
      </x:c>
      <x:c r="BH57" s="117">
        <x:f>IF(AND(YEAR(BH$3)=YEAR($B$6),MONTH(BH$3)=MONTH($B$6),$B$5=1),('CAPEX'!$B$116+'CAPEX'!$B$119+'CAPEX'!$B$120+IF('Вводные'!$B$37="Денежная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компенсация",'Вводные'!$B$56*'Вводные'!$R$91*'Вводные'!$H$6,0)))*'Вводные'!$B$30,0)+IF(AND(YEAR(BH$3)=YEAR($B$7),MONTH(BH$3)=MONTH($B$7),$B$5=1),'Вводные'!$B$26*'Вводные'!$V$91*'Вводные'!$B$30,0)</x:f>
      </x:c>
      <x:c r="BI57" s="117">
        <x:f>IF(AND(YEAR(BI$3)=YEAR($B$6),MONTH(BI$3)=MONTH($B$6),$B$5=1),('CAPEX'!$B$116+'CAPEX'!$B$119+'CAPEX'!$B$120+IF('Вводные'!$B$37="Денежная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компенсация",'Вводные'!$B$56*'Вводные'!$R$91*'Вводные'!$H$6,0)))*'Вводные'!$B$30,0)+IF(AND(YEAR(BI$3)=YEAR($B$7),MONTH(BI$3)=MONTH($B$7),$B$5=1),'Вводные'!$B$26*'Вводные'!$V$91*'Вводные'!$B$30,0)</x:f>
      </x:c>
      <x:c r="BJ57" s="117">
        <x:f>IF(AND(YEAR(BJ$3)=YEAR($B$6),MONTH(BJ$3)=MONTH($B$6),$B$5=1),('CAPEX'!$B$116+'CAPEX'!$B$119+'CAPEX'!$B$120+IF('Вводные'!$B$37="Денежная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компенсация",'Вводные'!$B$56*'Вводные'!$R$91*'Вводные'!$H$6,0)))*'Вводные'!$B$30,0)+IF(AND(YEAR(BJ$3)=YEAR($B$7),MONTH(BJ$3)=MONTH($B$7),$B$5=1),'Вводные'!$B$26*'Вводные'!$V$91*'Вводные'!$B$30,0)</x:f>
      </x:c>
      <x:c r="BK57" s="117">
        <x:f>IF(AND(YEAR(BK$3)=YEAR($B$6),MONTH(BK$3)=MONTH($B$6),$B$5=1),('CAPEX'!$B$116+'CAPEX'!$B$119+'CAPEX'!$B$120+IF('Вводные'!$B$37="Денежная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компенсация",'Вводные'!$B$56*'Вводные'!$R$91*'Вводные'!$H$6,0)))*'Вводные'!$B$30,0)+IF(AND(YEAR(BK$3)=YEAR($B$7),MONTH(BK$3)=MONTH($B$7),$B$5=1),'Вводные'!$B$26*'Вводные'!$V$91*'Вводные'!$B$30,0)</x:f>
      </x:c>
      <x:c r="BL57" s="117">
        <x:f>IF(AND(YEAR(BL$3)=YEAR($B$6),MONTH(BL$3)=MONTH($B$6),$B$5=1),('CAPEX'!$B$116+'CAPEX'!$B$119+'CAPEX'!$B$120+IF('Вводные'!$B$37="Денежная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компенсация",'Вводные'!$B$56*'Вводные'!$R$91*'Вводные'!$H$6,0)))*'Вводные'!$B$30,0)+IF(AND(YEAR(BL$3)=YEAR($B$7),MONTH(BL$3)=MONTH($B$7),$B$5=1),'Вводные'!$B$26*'Вводные'!$V$91*'Вводные'!$B$30,0)</x:f>
      </x:c>
      <x:c r="BM57" s="117">
        <x:f>IF(AND(YEAR(BM$3)=YEAR($B$6),MONTH(BM$3)=MONTH($B$6),$B$5=1),('CAPEX'!$B$116+'CAPEX'!$B$119+'CAPEX'!$B$120+IF('Вводные'!$B$37="Денежная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компенсация",'Вводные'!$B$56*'Вводные'!$R$91*'Вводные'!$H$6,0)))*'Вводные'!$B$30,0)+IF(AND(YEAR(BM$3)=YEAR($B$7),MONTH(BM$3)=MONTH($B$7),$B$5=1),'Вводные'!$B$26*'Вводные'!$V$91*'Вводные'!$B$30,0)</x:f>
      </x:c>
      <x:c r="BN57" s="117">
        <x:f>IF(AND(YEAR(BN$3)=YEAR($B$6),MONTH(BN$3)=MONTH($B$6),$B$5=1),('CAPEX'!$B$116+'CAPEX'!$B$119+'CAPEX'!$B$120+IF('Вводные'!$B$37="Денежная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компенсация",'Вводные'!$B$56*'Вводные'!$R$91*'Вводные'!$H$6,0)))*'Вводные'!$B$30,0)+IF(AND(YEAR(BN$3)=YEAR($B$7),MONTH(BN$3)=MONTH($B$7),$B$5=1),'Вводные'!$B$26*'Вводные'!$V$91*'Вводные'!$B$30,0)</x:f>
      </x:c>
      <x:c r="BO57" s="117">
        <x:f>IF(AND(YEAR(BO$3)=YEAR($B$6),MONTH(BO$3)=MONTH($B$6),$B$5=1),('CAPEX'!$B$116+'CAPEX'!$B$119+'CAPEX'!$B$120+IF('Вводные'!$B$37="Денежная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компенсация",'Вводные'!$B$56*'Вводные'!$R$91*'Вводные'!$H$6,0)))*'Вводные'!$B$30,0)+IF(AND(YEAR(BO$3)=YEAR($B$7),MONTH(BO$3)=MONTH($B$7),$B$5=1),'Вводные'!$B$26*'Вводные'!$V$91*'Вводные'!$B$30,0)</x:f>
      </x:c>
      <x:c r="BP57" s="117">
        <x:f>IF(AND(YEAR(BP$3)=YEAR($B$6),MONTH(BP$3)=MONTH($B$6),$B$5=1),('CAPEX'!$B$116+'CAPEX'!$B$119+'CAPEX'!$B$120+IF('Вводные'!$B$37="Денежная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компенсация",'Вводные'!$B$56*'Вводные'!$R$91*'Вводные'!$H$6,0)))*'Вводные'!$B$30,0)+IF(AND(YEAR(BP$3)=YEAR($B$7),MONTH(BP$3)=MONTH($B$7),$B$5=1),'Вводные'!$B$26*'Вводные'!$V$91*'Вводные'!$B$30,0)</x:f>
      </x:c>
      <x:c r="BQ57" s="117">
        <x:f>IF(AND(YEAR(BQ$3)=YEAR($B$6),MONTH(BQ$3)=MONTH($B$6),$B$5=1),('CAPEX'!$B$116+'CAPEX'!$B$119+'CAPEX'!$B$120+IF('Вводные'!$B$37="Денежная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компенсация",'Вводные'!$B$56*'Вводные'!$R$91*'Вводные'!$H$6,0)))*'Вводные'!$B$30,0)+IF(AND(YEAR(BQ$3)=YEAR($B$7),MONTH(BQ$3)=MONTH($B$7),$B$5=1),'Вводные'!$B$26*'Вводные'!$V$91*'Вводные'!$B$30,0)</x:f>
      </x:c>
      <x:c r="BR57" s="117">
        <x:f>IF(AND(YEAR(BR$3)=YEAR($B$6),MONTH(BR$3)=MONTH($B$6),$B$5=1),('CAPEX'!$B$116+'CAPEX'!$B$119+'CAPEX'!$B$120+IF('Вводные'!$B$37="Денежная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компенсация",'Вводные'!$B$56*'Вводные'!$R$91*'Вводные'!$H$6,0)))*'Вводные'!$B$30,0)+IF(AND(YEAR(BR$3)=YEAR($B$7),MONTH(BR$3)=MONTH($B$7),$B$5=1),'Вводные'!$B$26*'Вводные'!$V$91*'Вводные'!$B$30,0)</x:f>
      </x:c>
      <x:c r="BS57" s="117">
        <x:f>IF(AND(YEAR(BS$3)=YEAR($B$6),MONTH(BS$3)=MONTH($B$6),$B$5=1),('CAPEX'!$B$116+'CAPEX'!$B$119+'CAPEX'!$B$120+IF('Вводные'!$B$37="Денежная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компенсация",'Вводные'!$B$56*'Вводные'!$R$91*'Вводные'!$H$6,0)))*'Вводные'!$B$30,0)+IF(AND(YEAR(BS$3)=YEAR($B$7),MONTH(BS$3)=MONTH($B$7),$B$5=1),'Вводные'!$B$26*'Вводные'!$V$91*'Вводные'!$B$30,0)</x:f>
      </x:c>
      <x:c r="BT57" s="117">
        <x:f>IF(AND(YEAR(BT$3)=YEAR($B$6),MONTH(BT$3)=MONTH($B$6),$B$5=1),('CAPEX'!$B$116+'CAPEX'!$B$119+'CAPEX'!$B$120+IF('Вводные'!$B$37="Денежная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компенсация",'Вводные'!$B$56*'Вводные'!$R$91*'Вводные'!$H$6,0)))*'Вводные'!$B$30,0)+IF(AND(YEAR(BT$3)=YEAR($B$7),MONTH(BT$3)=MONTH($B$7),$B$5=1),'Вводные'!$B$26*'Вводные'!$V$91*'Вводные'!$B$30,0)</x:f>
      </x:c>
      <x:c r="BU57" s="117">
        <x:f>IF(AND(YEAR(BU$3)=YEAR($B$6),MONTH(BU$3)=MONTH($B$6),$B$5=1),('CAPEX'!$B$116+'CAPEX'!$B$119+'CAPEX'!$B$120+IF('Вводные'!$B$37="Денежная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компенсация",'Вводные'!$B$56*'Вводные'!$R$91*'Вводные'!$H$6,0)))*'Вводные'!$B$30,0)+IF(AND(YEAR(BU$3)=YEAR($B$7),MONTH(BU$3)=MONTH($B$7),$B$5=1),'Вводные'!$B$26*'Вводные'!$V$91*'Вводные'!$B$30,0)</x:f>
      </x:c>
      <x:c r="BV57" s="117">
        <x:f>IF(AND(YEAR(BV$3)=YEAR($B$6),MONTH(BV$3)=MONTH($B$6),$B$5=1),('CAPEX'!$B$116+'CAPEX'!$B$119+'CAPEX'!$B$120+IF('Вводные'!$B$37="Денежная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компенсация",'Вводные'!$B$56*'Вводные'!$R$91*'Вводные'!$H$6,0)))*'Вводные'!$B$30,0)+IF(AND(YEAR(BV$3)=YEAR($B$7),MONTH(BV$3)=MONTH($B$7),$B$5=1),'Вводные'!$B$26*'Вводные'!$V$91*'Вводные'!$B$30,0)</x:f>
      </x:c>
      <x:c r="BW57" s="117">
        <x:f>IF(AND(YEAR(BW$3)=YEAR($B$6),MONTH(BW$3)=MONTH($B$6),$B$5=1),('CAPEX'!$B$116+'CAPEX'!$B$119+'CAPEX'!$B$120+IF('Вводные'!$B$37="Денежная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компенсация",'Вводные'!$B$56*'Вводные'!$R$91*'Вводные'!$H$6,0)))*'Вводные'!$B$30,0)+IF(AND(YEAR(BW$3)=YEAR($B$7),MONTH(BW$3)=MONTH($B$7),$B$5=1),'Вводные'!$B$26*'Вводные'!$V$91*'Вводные'!$B$30,0)</x:f>
      </x:c>
      <x:c r="BX57" s="117">
        <x:f>IF(AND(YEAR(BX$3)=YEAR($B$6),MONTH(BX$3)=MONTH($B$6),$B$5=1),('CAPEX'!$B$116+'CAPEX'!$B$119+'CAPEX'!$B$120+IF('Вводные'!$B$37="Денежная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компенсация",'Вводные'!$B$56*'Вводные'!$R$91*'Вводные'!$H$6,0)))*'Вводные'!$B$30,0)+IF(AND(YEAR(BX$3)=YEAR($B$7),MONTH(BX$3)=MONTH($B$7),$B$5=1),'Вводные'!$B$26*'Вводные'!$V$91*'Вводные'!$B$30,0)</x:f>
      </x:c>
      <x:c r="BY57" s="117">
        <x:f>IF(AND(YEAR(BY$3)=YEAR($B$6),MONTH(BY$3)=MONTH($B$6),$B$5=1),('CAPEX'!$B$116+'CAPEX'!$B$119+'CAPEX'!$B$120+IF('Вводные'!$B$37="Денежная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компенсация",'Вводные'!$B$56*'Вводные'!$R$91*'Вводные'!$H$6,0)))*'Вводные'!$B$30,0)+IF(AND(YEAR(BY$3)=YEAR($B$7),MONTH(BY$3)=MONTH($B$7),$B$5=1),'Вводные'!$B$26*'Вводные'!$V$91*'Вводные'!$B$30,0)</x:f>
      </x:c>
      <x:c r="BZ57" s="117">
        <x:f>IF(AND(YEAR(BZ$3)=YEAR($B$6),MONTH(BZ$3)=MONTH($B$6),$B$5=1),('CAPEX'!$B$116+'CAPEX'!$B$119+'CAPEX'!$B$120+IF('Вводные'!$B$37="Денежная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компенсация",'Вводные'!$B$56*'Вводные'!$R$91*'Вводные'!$H$6,0)))*'Вводные'!$B$30,0)+IF(AND(YEAR(BZ$3)=YEAR($B$7),MONTH(BZ$3)=MONTH($B$7),$B$5=1),'Вводные'!$B$26*'Вводные'!$V$91*'Вводные'!$B$30,0)</x:f>
      </x:c>
      <x:c r="CA57" s="117">
        <x:f>IF(AND(YEAR(CA$3)=YEAR($B$6),MONTH(CA$3)=MONTH($B$6),$B$5=1),('CAPEX'!$B$116+'CAPEX'!$B$119+'CAPEX'!$B$120+IF('Вводные'!$B$37="Денежная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компенсация",'Вводные'!$B$56*'Вводные'!$R$91*'Вводные'!$H$6,0)))*'Вводные'!$B$30,0)+IF(AND(YEAR(CA$3)=YEAR($B$7),MONTH(CA$3)=MONTH($B$7),$B$5=1),'Вводные'!$B$26*'Вводные'!$V$91*'Вводные'!$B$30,0)</x:f>
      </x:c>
      <x:c r="CB57" s="117">
        <x:f>IF(AND(YEAR(CB$3)=YEAR($B$6),MONTH(CB$3)=MONTH($B$6),$B$5=1),('CAPEX'!$B$116+'CAPEX'!$B$119+'CAPEX'!$B$120+IF('Вводные'!$B$37="Денежная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компенсация",'Вводные'!$B$56*'Вводные'!$R$91*'Вводные'!$H$6,0)))*'Вводные'!$B$30,0)+IF(AND(YEAR(CB$3)=YEAR($B$7),MONTH(CB$3)=MONTH($B$7),$B$5=1),'Вводные'!$B$26*'Вводные'!$V$91*'Вводные'!$B$30,0)</x:f>
      </x:c>
      <x:c r="CC57" s="117">
        <x:f>IF(AND(YEAR(CC$3)=YEAR($B$6),MONTH(CC$3)=MONTH($B$6),$B$5=1),('CAPEX'!$B$116+'CAPEX'!$B$119+'CAPEX'!$B$120+IF('Вводные'!$B$37="Денежная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компенсация",'Вводные'!$B$56*'Вводные'!$R$91*'Вводные'!$H$6,0)))*'Вводные'!$B$30,0)+IF(AND(YEAR(CC$3)=YEAR($B$7),MONTH(CC$3)=MONTH($B$7),$B$5=1),'Вводные'!$B$26*'Вводные'!$V$91*'Вводные'!$B$30,0)</x:f>
      </x:c>
      <x:c r="CD57" s="117">
        <x:f>IF(AND(YEAR(CD$3)=YEAR($B$6),MONTH(CD$3)=MONTH($B$6),$B$5=1),('CAPEX'!$B$116+'CAPEX'!$B$119+'CAPEX'!$B$120+IF('Вводные'!$B$37="Денежная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компенсация",'Вводные'!$B$56*'Вводные'!$R$91*'Вводные'!$H$6,0)))*'Вводные'!$B$30,0)+IF(AND(YEAR(CD$3)=YEAR($B$7),MONTH(CD$3)=MONTH($B$7),$B$5=1),'Вводные'!$B$26*'Вводные'!$V$91*'Вводные'!$B$30,0)</x:f>
      </x:c>
      <x:c r="CE57" s="117">
        <x:f>IF(AND(YEAR(CE$3)=YEAR($B$6),MONTH(CE$3)=MONTH($B$6),$B$5=1),('CAPEX'!$B$116+'CAPEX'!$B$119+'CAPEX'!$B$120+IF('Вводные'!$B$37="Денежная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компенсация",'Вводные'!$B$56*'Вводные'!$R$91*'Вводные'!$H$6,0)))*'Вводные'!$B$30,0)+IF(AND(YEAR(CE$3)=YEAR($B$7),MONTH(CE$3)=MONTH($B$7),$B$5=1),'Вводные'!$B$26*'Вводные'!$V$91*'Вводные'!$B$30,0)</x:f>
      </x:c>
      <x:c r="CF57" s="117">
        <x:f>IF(AND(YEAR(CF$3)=YEAR($B$6),MONTH(CF$3)=MONTH($B$6),$B$5=1),('CAPEX'!$B$116+'CAPEX'!$B$119+'CAPEX'!$B$120+IF('Вводные'!$B$37="Денежная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компенсация",'Вводные'!$B$56*'Вводные'!$R$91*'Вводные'!$H$6,0)))*'Вводные'!$B$30,0)+IF(AND(YEAR(CF$3)=YEAR($B$7),MONTH(CF$3)=MONTH($B$7),$B$5=1),'Вводные'!$B$26*'Вводные'!$V$91*'Вводные'!$B$30,0)</x:f>
      </x:c>
      <x:c r="CG57" s="117">
        <x:f>IF(AND(YEAR(CG$3)=YEAR($B$6),MONTH(CG$3)=MONTH($B$6),$B$5=1),('CAPEX'!$B$116+'CAPEX'!$B$119+'CAPEX'!$B$120+IF('Вводные'!$B$37="Денежная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компенсация",'Вводные'!$B$56*'Вводные'!$R$91*'Вводные'!$H$6,0)))*'Вводные'!$B$30,0)+IF(AND(YEAR(CG$3)=YEAR($B$7),MONTH(CG$3)=MONTH($B$7),$B$5=1),'Вводные'!$B$26*'Вводные'!$V$91*'Вводные'!$B$30,0)</x:f>
      </x:c>
      <x:c r="CH57" s="117">
        <x:f>IF(AND(YEAR(CH$3)=YEAR($B$6),MONTH(CH$3)=MONTH($B$6),$B$5=1),('CAPEX'!$B$116+'CAPEX'!$B$119+'CAPEX'!$B$120+IF('Вводные'!$B$37="Денежная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компенсация",'Вводные'!$B$56*'Вводные'!$R$91*'Вводные'!$H$6,0)))*'Вводные'!$B$30,0)+IF(AND(YEAR(CH$3)=YEAR($B$7),MONTH(CH$3)=MONTH($B$7),$B$5=1),'Вводные'!$B$26*'Вводные'!$V$91*'Вводные'!$B$30,0)</x:f>
      </x:c>
      <x:c r="CI57" s="117">
        <x:f>IF(AND(YEAR(CI$3)=YEAR($B$6),MONTH(CI$3)=MONTH($B$6),$B$5=1),('CAPEX'!$B$116+'CAPEX'!$B$119+'CAPEX'!$B$120+IF('Вводные'!$B$37="Денежная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компенсация",'Вводные'!$B$56*'Вводные'!$R$91*'Вводные'!$H$6,0)))*'Вводные'!$B$30,0)+IF(AND(YEAR(CI$3)=YEAR($B$7),MONTH(CI$3)=MONTH($B$7),$B$5=1),'Вводные'!$B$26*'Вводные'!$V$91*'Вводные'!$B$30,0)</x:f>
      </x:c>
      <x:c r="CJ57" s="117">
        <x:f>IF(AND(YEAR(CJ$3)=YEAR($B$6),MONTH(CJ$3)=MONTH($B$6),$B$5=1),('CAPEX'!$B$116+'CAPEX'!$B$119+'CAPEX'!$B$120+IF('Вводные'!$B$37="Денежная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компенсация",'Вводные'!$B$56*'Вводные'!$R$91*'Вводные'!$H$6,0)))*'Вводные'!$B$30,0)+IF(AND(YEAR(CJ$3)=YEAR($B$7),MONTH(CJ$3)=MONTH($B$7),$B$5=1),'Вводные'!$B$26*'Вводные'!$V$91*'Вводные'!$B$30,0)</x:f>
      </x:c>
      <x:c r="CK57" s="117">
        <x:f>IF(AND(YEAR(CK$3)=YEAR($B$6),MONTH(CK$3)=MONTH($B$6),$B$5=1),('CAPEX'!$B$116+'CAPEX'!$B$119+'CAPEX'!$B$120+IF('Вводные'!$B$37="Денежная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компенсация",'Вводные'!$B$56*'Вводные'!$R$91*'Вводные'!$H$6,0)))*'Вводные'!$B$30,0)+IF(AND(YEAR(CK$3)=YEAR($B$7),MONTH(CK$3)=MONTH($B$7),$B$5=1),'Вводные'!$B$26*'Вводные'!$V$91*'Вводные'!$B$30,0)</x:f>
      </x:c>
      <x:c r="CL57" s="117">
        <x:f>IF(AND(YEAR(CL$3)=YEAR($B$6),MONTH(CL$3)=MONTH($B$6),$B$5=1),('CAPEX'!$B$116+'CAPEX'!$B$119+'CAPEX'!$B$120+IF('Вводные'!$B$37="Денежная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компенсация",'Вводные'!$B$56*'Вводные'!$R$91*'Вводные'!$H$6,0)))*'Вводные'!$B$30,0)+IF(AND(YEAR(CL$3)=YEAR($B$7),MONTH(CL$3)=MONTH($B$7),$B$5=1),'Вводные'!$B$26*'Вводные'!$V$91*'Вводные'!$B$30,0)</x:f>
      </x:c>
      <x:c r="CM57" s="117">
        <x:f>IF(AND(YEAR(CM$3)=YEAR($B$6),MONTH(CM$3)=MONTH($B$6),$B$5=1),('CAPEX'!$B$116+'CAPEX'!$B$119+'CAPEX'!$B$120+IF('Вводные'!$B$37="Денежная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компенсация",'Вводные'!$B$56*'Вводные'!$R$91*'Вводные'!$H$6,0)))*'Вводные'!$B$30,0)+IF(AND(YEAR(CM$3)=YEAR($B$7),MONTH(CM$3)=MONTH($B$7),$B$5=1),'Вводные'!$B$26*'Вводные'!$V$91*'Вводные'!$B$30,0)</x:f>
      </x:c>
      <x:c r="CN57" s="117">
        <x:f>IF(AND(YEAR(CN$3)=YEAR($B$6),MONTH(CN$3)=MONTH($B$6),$B$5=1),('CAPEX'!$B$116+'CAPEX'!$B$119+'CAPEX'!$B$120+IF('Вводные'!$B$37="Денежная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компенсация",'Вводные'!$B$56*'Вводные'!$R$91*'Вводные'!$H$6,0)))*'Вводные'!$B$30,0)+IF(AND(YEAR(CN$3)=YEAR($B$7),MONTH(CN$3)=MONTH($B$7),$B$5=1),'Вводные'!$B$26*'Вводные'!$V$91*'Вводные'!$B$30,0)</x:f>
      </x:c>
      <x:c r="CO57" s="117">
        <x:f>IF(AND(YEAR(CO$3)=YEAR($B$6),MONTH(CO$3)=MONTH($B$6),$B$5=1),('CAPEX'!$B$116+'CAPEX'!$B$119+'CAPEX'!$B$120+IF('Вводные'!$B$37="Денежная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компенсация",'Вводные'!$B$56*'Вводные'!$R$91*'Вводные'!$H$6,0)))*'Вводные'!$B$30,0)+IF(AND(YEAR(CO$3)=YEAR($B$7),MONTH(CO$3)=MONTH($B$7),$B$5=1),'Вводные'!$B$26*'Вводные'!$V$91*'Вводные'!$B$30,0)</x:f>
      </x:c>
      <x:c r="CP57" s="117">
        <x:f>IF(AND(YEAR(CP$3)=YEAR($B$6),MONTH(CP$3)=MONTH($B$6),$B$5=1),('CAPEX'!$B$116+'CAPEX'!$B$119+'CAPEX'!$B$120+IF('Вводные'!$B$37="Денежная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компенсация",'Вводные'!$B$56*'Вводные'!$R$91*'Вводные'!$H$6,0)))*'Вводные'!$B$30,0)+IF(AND(YEAR(CP$3)=YEAR($B$7),MONTH(CP$3)=MONTH($B$7),$B$5=1),'Вводные'!$B$26*'Вводные'!$V$91*'Вводные'!$B$30,0)</x:f>
      </x:c>
      <x:c r="CQ57" s="117">
        <x:f>IF(AND(YEAR(CQ$3)=YEAR($B$6),MONTH(CQ$3)=MONTH($B$6),$B$5=1),('CAPEX'!$B$116+'CAPEX'!$B$119+'CAPEX'!$B$120+IF('Вводные'!$B$37="Денежная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компенсация",'Вводные'!$B$56*'Вводные'!$R$91*'Вводные'!$H$6,0)))*'Вводные'!$B$30,0)+IF(AND(YEAR(CQ$3)=YEAR($B$7),MONTH(CQ$3)=MONTH($B$7),$B$5=1),'Вводные'!$B$26*'Вводные'!$V$91*'Вводные'!$B$30,0)</x:f>
      </x:c>
      <x:c r="CR57" s="117">
        <x:f>IF(AND(YEAR(CR$3)=YEAR($B$6),MONTH(CR$3)=MONTH($B$6),$B$5=1),('CAPEX'!$B$116+'CAPEX'!$B$119+'CAPEX'!$B$120+IF('Вводные'!$B$37="Денежная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компенсация",'Вводные'!$B$56*'Вводные'!$R$91*'Вводные'!$H$6,0)))*'Вводные'!$B$30,0)+IF(AND(YEAR(CR$3)=YEAR($B$7),MONTH(CR$3)=MONTH($B$7),$B$5=1),'Вводные'!$B$26*'Вводные'!$V$91*'Вводные'!$B$30,0)</x:f>
      </x:c>
      <x:c r="CS57" s="117">
        <x:f>IF(AND(YEAR(CS$3)=YEAR($B$6),MONTH(CS$3)=MONTH($B$6),$B$5=1),('CAPEX'!$B$116+'CAPEX'!$B$119+'CAPEX'!$B$120+IF('Вводные'!$B$37="Денежная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компенсация",'Вводные'!$B$56*'Вводные'!$R$91*'Вводные'!$H$6,0)))*'Вводные'!$B$30,0)+IF(AND(YEAR(CS$3)=YEAR($B$7),MONTH(CS$3)=MONTH($B$7),$B$5=1),'Вводные'!$B$26*'Вводные'!$V$91*'Вводные'!$B$30,0)</x:f>
      </x:c>
      <x:c r="CT57" s="117">
        <x:f>IF(AND(YEAR(CT$3)=YEAR($B$6),MONTH(CT$3)=MONTH($B$6),$B$5=1),('CAPEX'!$B$116+'CAPEX'!$B$119+'CAPEX'!$B$120+IF('Вводные'!$B$37="Денежная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компенсация",'Вводные'!$B$56*'Вводные'!$R$91*'Вводные'!$H$6,0)))*'Вводные'!$B$30,0)+IF(AND(YEAR(CT$3)=YEAR($B$7),MONTH(CT$3)=MONTH($B$7),$B$5=1),'Вводные'!$B$26*'Вводные'!$V$91*'Вводные'!$B$30,0)</x:f>
      </x:c>
      <x:c r="CU57" s="117">
        <x:f>IF(AND(YEAR(CU$3)=YEAR($B$6),MONTH(CU$3)=MONTH($B$6),$B$5=1),('CAPEX'!$B$116+'CAPEX'!$B$119+'CAPEX'!$B$120+IF('Вводные'!$B$37="Денежная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компенсация",'Вводные'!$B$56*'Вводные'!$R$91*'Вводные'!$H$6,0)))*'Вводные'!$B$30,0)+IF(AND(YEAR(CU$3)=YEAR($B$7),MONTH(CU$3)=MONTH($B$7),$B$5=1),'Вводные'!$B$26*'Вводные'!$V$91*'Вводные'!$B$30,0)</x:f>
      </x:c>
      <x:c r="CV57" s="117">
        <x:f>IF(AND(YEAR(CV$3)=YEAR($B$6),MONTH(CV$3)=MONTH($B$6),$B$5=1),('CAPEX'!$B$116+'CAPEX'!$B$119+'CAPEX'!$B$120+IF('Вводные'!$B$37="Денежная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компенсация",'Вводные'!$B$56*'Вводные'!$R$91*'Вводные'!$H$6,0)))*'Вводные'!$B$30,0)+IF(AND(YEAR(CV$3)=YEAR($B$7),MONTH(CV$3)=MONTH($B$7),$B$5=1),'Вводные'!$B$26*'Вводные'!$V$91*'Вводные'!$B$30,0)</x:f>
      </x:c>
      <x:c r="CW57" s="117">
        <x:f>IF(AND(YEAR(CW$3)=YEAR($B$6),MONTH(CW$3)=MONTH($B$6),$B$5=1),('CAPEX'!$B$116+'CAPEX'!$B$119+'CAPEX'!$B$120+IF('Вводные'!$B$37="Денежная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компенсация",'Вводные'!$B$56*'Вводные'!$R$91*'Вводные'!$H$6,0)))*'Вводные'!$B$30,0)+IF(AND(YEAR(CW$3)=YEAR($B$7),MONTH(CW$3)=MONTH($B$7),$B$5=1),'Вводные'!$B$26*'Вводные'!$V$91*'Вводные'!$B$30,0)</x:f>
      </x:c>
      <x:c r="CX57" s="117">
        <x:f>IF(AND(YEAR(CX$3)=YEAR($B$6),MONTH(CX$3)=MONTH($B$6),$B$5=1),('CAPEX'!$B$116+'CAPEX'!$B$119+'CAPEX'!$B$120+IF('Вводные'!$B$37="Денежная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компенсация",'Вводные'!$B$56*'Вводные'!$R$91*'Вводные'!$H$6,0)))*'Вводные'!$B$30,0)+IF(AND(YEAR(CX$3)=YEAR($B$7),MONTH(CX$3)=MONTH($B$7),$B$5=1),'Вводные'!$B$26*'Вводные'!$V$91*'Вводные'!$B$30,0)</x:f>
      </x:c>
      <x:c r="CY57" s="117">
        <x:f>IF(AND(YEAR(CY$3)=YEAR($B$6),MONTH(CY$3)=MONTH($B$6),$B$5=1),('CAPEX'!$B$116+'CAPEX'!$B$119+'CAPEX'!$B$120+IF('Вводные'!$B$37="Денежная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компенсация",'Вводные'!$B$56*'Вводные'!$R$91*'Вводные'!$H$6,0)))*'Вводные'!$B$30,0)+IF(AND(YEAR(CY$3)=YEAR($B$7),MONTH(CY$3)=MONTH($B$7),$B$5=1),'Вводные'!$B$26*'Вводные'!$V$91*'Вводные'!$B$30,0)</x:f>
      </x:c>
      <x:c r="CZ57" s="117">
        <x:f>IF(AND(YEAR(CZ$3)=YEAR($B$6),MONTH(CZ$3)=MONTH($B$6),$B$5=1),('CAPEX'!$B$116+'CAPEX'!$B$119+'CAPEX'!$B$120+IF('Вводные'!$B$37="Денежная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компенсация",'Вводные'!$B$56*'Вводные'!$R$91*'Вводные'!$H$6,0)))*'Вводные'!$B$30,0)+IF(AND(YEAR(CZ$3)=YEAR($B$7),MONTH(CZ$3)=MONTH($B$7),$B$5=1),'Вводные'!$B$26*'Вводные'!$V$91*'Вводные'!$B$30,0)</x:f>
      </x:c>
      <x:c r="DA57" s="117">
        <x:f>IF(AND(YEAR(DA$3)=YEAR($B$6),MONTH(DA$3)=MONTH($B$6),$B$5=1),('CAPEX'!$B$116+'CAPEX'!$B$119+'CAPEX'!$B$120+IF('Вводные'!$B$37="Денежная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компенсация",'Вводные'!$B$56*'Вводные'!$R$91*'Вводные'!$H$6,0)))*'Вводные'!$B$30,0)+IF(AND(YEAR(DA$3)=YEAR($B$7),MONTH(DA$3)=MONTH($B$7),$B$5=1),'Вводные'!$B$26*'Вводные'!$V$91*'Вводные'!$B$30,0)</x:f>
      </x:c>
      <x:c r="DB57" s="117">
        <x:f>IF(AND(YEAR(DB$3)=YEAR($B$6),MONTH(DB$3)=MONTH($B$6),$B$5=1),('CAPEX'!$B$116+'CAPEX'!$B$119+'CAPEX'!$B$120+IF('Вводные'!$B$37="Денежная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компенсация",'Вводные'!$B$56*'Вводные'!$R$91*'Вводные'!$H$6,0)))*'Вводные'!$B$30,0)+IF(AND(YEAR(DB$3)=YEAR($B$7),MONTH(DB$3)=MONTH($B$7),$B$5=1),'Вводные'!$B$26*'Вводные'!$V$91*'Вводные'!$B$30,0)</x:f>
      </x:c>
      <x:c r="DC57" s="117">
        <x:f>IF(AND(YEAR(DC$3)=YEAR($B$6),MONTH(DC$3)=MONTH($B$6),$B$5=1),('CAPEX'!$B$116+'CAPEX'!$B$119+'CAPEX'!$B$120+IF('Вводные'!$B$37="Денежная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компенсация",'Вводные'!$B$56*'Вводные'!$R$91*'Вводные'!$H$6,0)))*'Вводные'!$B$30,0)+IF(AND(YEAR(DC$3)=YEAR($B$7),MONTH(DC$3)=MONTH($B$7),$B$5=1),'Вводные'!$B$26*'Вводные'!$V$91*'Вводные'!$B$30,0)</x:f>
      </x:c>
      <x:c r="DD57" s="117">
        <x:f>IF(AND(YEAR(DD$3)=YEAR($B$6),MONTH(DD$3)=MONTH($B$6),$B$5=1),('CAPEX'!$B$116+'CAPEX'!$B$119+'CAPEX'!$B$120+IF('Вводные'!$B$37="Денежная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компенсация",'Вводные'!$B$56*'Вводные'!$R$91*'Вводные'!$H$6,0)))*'Вводные'!$B$30,0)+IF(AND(YEAR(DD$3)=YEAR($B$7),MONTH(DD$3)=MONTH($B$7),$B$5=1),'Вводные'!$B$26*'Вводные'!$V$91*'Вводные'!$B$30,0)</x:f>
      </x:c>
      <x:c r="DE57" s="117">
        <x:f>IF(AND(YEAR(DE$3)=YEAR($B$6),MONTH(DE$3)=MONTH($B$6),$B$5=1),('CAPEX'!$B$116+'CAPEX'!$B$119+'CAPEX'!$B$120+IF('Вводные'!$B$37="Денежная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компенсация",'Вводные'!$B$56*'Вводные'!$R$91*'Вводные'!$H$6,0)))*'Вводные'!$B$30,0)+IF(AND(YEAR(DE$3)=YEAR($B$7),MONTH(DE$3)=MONTH($B$7),$B$5=1),'Вводные'!$B$26*'Вводные'!$V$91*'Вводные'!$B$30,0)</x:f>
      </x:c>
      <x:c r="DF57" s="117">
        <x:f>IF(AND(YEAR(DF$3)=YEAR($B$6),MONTH(DF$3)=MONTH($B$6),$B$5=1),('CAPEX'!$B$116+'CAPEX'!$B$119+'CAPEX'!$B$120+IF('Вводные'!$B$37="Денежная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компенсация",'Вводные'!$B$56*'Вводные'!$R$91*'Вводные'!$H$6,0)))*'Вводные'!$B$30,0)+IF(AND(YEAR(DF$3)=YEAR($B$7),MONTH(DF$3)=MONTH($B$7),$B$5=1),'Вводные'!$B$26*'Вводные'!$V$91*'Вводные'!$B$30,0)</x:f>
      </x:c>
      <x:c r="DG57" s="117">
        <x:f>IF(AND(YEAR(DG$3)=YEAR($B$6),MONTH(DG$3)=MONTH($B$6),$B$5=1),('CAPEX'!$B$116+'CAPEX'!$B$119+'CAPEX'!$B$120+IF('Вводные'!$B$37="Денежная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компенсация",'Вводные'!$B$56*'Вводные'!$R$91*'Вводные'!$H$6,0)))*'Вводные'!$B$30,0)+IF(AND(YEAR(DG$3)=YEAR($B$7),MONTH(DG$3)=MONTH($B$7),$B$5=1),'Вводные'!$B$26*'Вводные'!$V$91*'Вводные'!$B$30,0)</x:f>
      </x:c>
      <x:c r="DH57" s="117">
        <x:f>IF(AND(YEAR(DH$3)=YEAR($B$6),MONTH(DH$3)=MONTH($B$6),$B$5=1),('CAPEX'!$B$116+'CAPEX'!$B$119+'CAPEX'!$B$120+IF('Вводные'!$B$37="Денежная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компенсация",'Вводные'!$B$56*'Вводные'!$R$91*'Вводные'!$H$6,0)))*'Вводные'!$B$30,0)+IF(AND(YEAR(DH$3)=YEAR($B$7),MONTH(DH$3)=MONTH($B$7),$B$5=1),'Вводные'!$B$26*'Вводные'!$V$91*'Вводные'!$B$30,0)</x:f>
      </x:c>
      <x:c r="DI57" s="117">
        <x:f>IF(AND(YEAR(DI$3)=YEAR($B$6),MONTH(DI$3)=MONTH($B$6),$B$5=1),('CAPEX'!$B$116+'CAPEX'!$B$119+'CAPEX'!$B$120+IF('Вводные'!$B$37="Денежная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компенсация",'Вводные'!$B$56*'Вводные'!$R$91*'Вводные'!$H$6,0)))*'Вводные'!$B$30,0)+IF(AND(YEAR(DI$3)=YEAR($B$7),MONTH(DI$3)=MONTH($B$7),$B$5=1),'Вводные'!$B$26*'Вводные'!$V$91*'Вводные'!$B$30,0)</x:f>
      </x:c>
      <x:c r="DJ57" s="117">
        <x:f>IF(AND(YEAR(DJ$3)=YEAR($B$6),MONTH(DJ$3)=MONTH($B$6),$B$5=1),('CAPEX'!$B$116+'CAPEX'!$B$119+'CAPEX'!$B$120+IF('Вводные'!$B$37="Денежная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компенсация",'Вводные'!$B$56*'Вводные'!$R$91*'Вводные'!$H$6,0)))*'Вводные'!$B$30,0)+IF(AND(YEAR(DJ$3)=YEAR($B$7),MONTH(DJ$3)=MONTH($B$7),$B$5=1),'Вводные'!$B$26*'Вводные'!$V$91*'Вводные'!$B$30,0)</x:f>
      </x:c>
      <x:c r="DK57" s="117">
        <x:f>IF(AND(YEAR(DK$3)=YEAR($B$6),MONTH(DK$3)=MONTH($B$6),$B$5=1),('CAPEX'!$B$116+'CAPEX'!$B$119+'CAPEX'!$B$120+IF('Вводные'!$B$37="Денежная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компенсация",'Вводные'!$B$56*'Вводные'!$R$91*'Вводные'!$H$6,0)))*'Вводные'!$B$30,0)+IF(AND(YEAR(DK$3)=YEAR($B$7),MONTH(DK$3)=MONTH($B$7),$B$5=1),'Вводные'!$B$26*'Вводные'!$V$91*'Вводные'!$B$30,0)</x:f>
      </x:c>
      <x:c r="DL57" s="117">
        <x:f>IF(AND(YEAR(DL$3)=YEAR($B$6),MONTH(DL$3)=MONTH($B$6),$B$5=1),('CAPEX'!$B$116+'CAPEX'!$B$119+'CAPEX'!$B$120+IF('Вводные'!$B$37="Денежная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компенсация",'Вводные'!$B$56*'Вводные'!$R$91*'Вводные'!$H$6,0)))*'Вводные'!$B$30,0)+IF(AND(YEAR(DL$3)=YEAR($B$7),MONTH(DL$3)=MONTH($B$7),$B$5=1),'Вводные'!$B$26*'Вводные'!$V$91*'Вводные'!$B$30,0)</x:f>
      </x:c>
      <x:c r="DM57" s="117">
        <x:f>IF(AND(YEAR(DM$3)=YEAR($B$6),MONTH(DM$3)=MONTH($B$6),$B$5=1),('CAPEX'!$B$116+'CAPEX'!$B$119+'CAPEX'!$B$120+IF('Вводные'!$B$37="Денежная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компенсация",'Вводные'!$B$56*'Вводные'!$R$91*'Вводные'!$H$6,0)))*'Вводные'!$B$30,0)+IF(AND(YEAR(DM$3)=YEAR($B$7),MONTH(DM$3)=MONTH($B$7),$B$5=1),'Вводные'!$B$26*'Вводные'!$V$91*'Вводные'!$B$30,0)</x:f>
      </x:c>
      <x:c r="DN57" s="117">
        <x:f>IF(AND(YEAR(DN$3)=YEAR($B$6),MONTH(DN$3)=MONTH($B$6),$B$5=1),('CAPEX'!$B$116+'CAPEX'!$B$119+'CAPEX'!$B$120+IF('Вводные'!$B$37="Денежная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компенсация",'Вводные'!$B$56*'Вводные'!$R$91*'Вводные'!$H$6,0)))*'Вводные'!$B$30,0)+IF(AND(YEAR(DN$3)=YEAR($B$7),MONTH(DN$3)=MONTH($B$7),$B$5=1),'Вводные'!$B$26*'Вводные'!$V$91*'Вводные'!$B$30,0)</x:f>
      </x:c>
      <x:c r="DO57" s="117">
        <x:f>IF(AND(YEAR(DO$3)=YEAR($B$6),MONTH(DO$3)=MONTH($B$6),$B$5=1),('CAPEX'!$B$116+'CAPEX'!$B$119+'CAPEX'!$B$120+IF('Вводные'!$B$37="Денежная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компенсация",'Вводные'!$B$56*'Вводные'!$R$91*'Вводные'!$H$6,0)))*'Вводные'!$B$30,0)+IF(AND(YEAR(DO$3)=YEAR($B$7),MONTH(DO$3)=MONTH($B$7),$B$5=1),'Вводные'!$B$26*'Вводные'!$V$91*'Вводные'!$B$30,0)</x:f>
      </x:c>
      <x:c r="DP57" s="117">
        <x:f>IF(AND(YEAR(DP$3)=YEAR($B$6),MONTH(DP$3)=MONTH($B$6),$B$5=1),('CAPEX'!$B$116+'CAPEX'!$B$119+'CAPEX'!$B$120+IF('Вводные'!$B$37="Денежная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компенсация",'Вводные'!$B$56*'Вводные'!$R$91*'Вводные'!$H$6,0)))*'Вводные'!$B$30,0)+IF(AND(YEAR(DP$3)=YEAR($B$7),MONTH(DP$3)=MONTH($B$7),$B$5=1),'Вводные'!$B$26*'Вводные'!$V$91*'Вводные'!$B$30,0)</x:f>
      </x:c>
      <x:c r="DQ57" s="117">
        <x:f>IF(AND(YEAR(DQ$3)=YEAR($B$6),MONTH(DQ$3)=MONTH($B$6),$B$5=1),('CAPEX'!$B$116+'CAPEX'!$B$119+'CAPEX'!$B$120+IF('Вводные'!$B$37="Денежная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компенсация",'Вводные'!$B$56*'Вводные'!$R$91*'Вводные'!$H$6,0)))*'Вводные'!$B$30,0)+IF(AND(YEAR(DQ$3)=YEAR($B$7),MONTH(DQ$3)=MONTH($B$7),$B$5=1),'Вводные'!$B$26*'Вводные'!$V$91*'Вводные'!$B$30,0)</x:f>
      </x:c>
      <x:c r="DR57" s="117">
        <x:f>IF(AND(YEAR(DR$3)=YEAR($B$6),MONTH(DR$3)=MONTH($B$6),$B$5=1),('CAPEX'!$B$116+'CAPEX'!$B$119+'CAPEX'!$B$120+IF('Вводные'!$B$37="Денежная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компенсация",'Вводные'!$B$56*'Вводные'!$R$91*'Вводные'!$H$6,0)))*'Вводные'!$B$30,0)+IF(AND(YEAR(DR$3)=YEAR($B$7),MONTH(DR$3)=MONTH($B$7),$B$5=1),'Вводные'!$B$26*'Вводные'!$V$91*'Вводные'!$B$30,0)</x:f>
      </x:c>
      <x:c r="DS57" s="117">
        <x:f>IF(AND(YEAR(DS$3)=YEAR($B$6),MONTH(DS$3)=MONTH($B$6),$B$5=1),('CAPEX'!$B$116+'CAPEX'!$B$119+'CAPEX'!$B$120+IF('Вводные'!$B$37="Денежная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компенсация",'Вводные'!$B$56*'Вводные'!$R$91*'Вводные'!$H$6,0)))*'Вводные'!$B$30,0)+IF(AND(YEAR(DS$3)=YEAR($B$7),MONTH(DS$3)=MONTH($B$7),$B$5=1),'Вводные'!$B$26*'Вводные'!$V$91*'Вводные'!$B$30,0)</x:f>
      </x:c>
      <x:c r="DT57" s="117">
        <x:f>IF(AND(YEAR(DT$3)=YEAR($B$6),MONTH(DT$3)=MONTH($B$6),$B$5=1),('CAPEX'!$B$116+'CAPEX'!$B$119+'CAPEX'!$B$120+IF('Вводные'!$B$37="Денежная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компенсация",'Вводные'!$B$56*'Вводные'!$R$91*'Вводные'!$H$6,0)))*'Вводные'!$B$30,0)+IF(AND(YEAR(DT$3)=YEAR($B$7),MONTH(DT$3)=MONTH($B$7),$B$5=1),'Вводные'!$B$26*'Вводные'!$V$91*'Вводные'!$B$30,0)</x:f>
      </x:c>
      <x:c r="DU57" s="117">
        <x:f>IF(AND(YEAR(DU$3)=YEAR($B$6),MONTH(DU$3)=MONTH($B$6),$B$5=1),('CAPEX'!$B$116+'CAPEX'!$B$119+'CAPEX'!$B$120+IF('Вводные'!$B$37="Денежная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компенсация",'Вводные'!$B$56*'Вводные'!$R$91*'Вводные'!$H$6,0)))*'Вводные'!$B$30,0)+IF(AND(YEAR(DU$3)=YEAR($B$7),MONTH(DU$3)=MONTH($B$7),$B$5=1),'Вводные'!$B$26*'Вводные'!$V$91*'Вводные'!$B$30,0)</x:f>
      </x:c>
      <x:c r="DV57" s="117">
        <x:f>IF(AND(YEAR(DV$3)=YEAR($B$6),MONTH(DV$3)=MONTH($B$6),$B$5=1),('CAPEX'!$B$116+'CAPEX'!$B$119+'CAPEX'!$B$120+IF('Вводные'!$B$37="Денежная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компенсация",'Вводные'!$B$56*'Вводные'!$R$91*'Вводные'!$H$6,0)))*'Вводные'!$B$30,0)+IF(AND(YEAR(DV$3)=YEAR($B$7),MONTH(DV$3)=MONTH($B$7),$B$5=1),'Вводные'!$B$26*'Вводные'!$V$91*'Вводные'!$B$30,0)</x:f>
      </x:c>
      <x:c r="DW57" s="117">
        <x:f>IF(AND(YEAR(DW$3)=YEAR($B$6),MONTH(DW$3)=MONTH($B$6),$B$5=1),('CAPEX'!$B$116+'CAPEX'!$B$119+'CAPEX'!$B$120+IF('Вводные'!$B$37="Денежная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компенсация",'Вводные'!$B$56*'Вводные'!$R$91*'Вводные'!$H$6,0)))*'Вводные'!$B$30,0)+IF(AND(YEAR(DW$3)=YEAR($B$7),MONTH(DW$3)=MONTH($B$7),$B$5=1),'Вводные'!$B$26*'Вводные'!$V$91*'Вводные'!$B$30,0)</x:f>
      </x:c>
      <x:c r="DX57" s="117">
        <x:f>IF(AND(YEAR(DX$3)=YEAR($B$6),MONTH(DX$3)=MONTH($B$6),$B$5=1),('CAPEX'!$B$116+'CAPEX'!$B$119+'CAPEX'!$B$120+IF('Вводные'!$B$37="Денежная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компенсация",'Вводные'!$B$56*'Вводные'!$R$91*'Вводные'!$H$6,0)))*'Вводные'!$B$30,0)+IF(AND(YEAR(DX$3)=YEAR($B$7),MONTH(DX$3)=MONTH($B$7),$B$5=1),'Вводные'!$B$26*'Вводные'!$V$91*'Вводные'!$B$30,0)</x:f>
      </x:c>
      <x:c r="DY57" s="117">
        <x:f>IF(AND(YEAR(DY$3)=YEAR($B$6),MONTH(DY$3)=MONTH($B$6),$B$5=1),('CAPEX'!$B$116+'CAPEX'!$B$119+'CAPEX'!$B$120+IF('Вводные'!$B$37="Денежная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компенсация",'Вводные'!$B$56*'Вводные'!$R$91*'Вводные'!$H$6,0)))*'Вводные'!$B$30,0)+IF(AND(YEAR(DY$3)=YEAR($B$7),MONTH(DY$3)=MONTH($B$7),$B$5=1),'Вводные'!$B$26*'Вводные'!$V$91*'Вводные'!$B$30,0)</x:f>
      </x:c>
      <x:c r="DZ57" s="117">
        <x:f>IF(AND(YEAR(DZ$3)=YEAR($B$6),MONTH(DZ$3)=MONTH($B$6),$B$5=1),('CAPEX'!$B$116+'CAPEX'!$B$119+'CAPEX'!$B$120+IF('Вводные'!$B$37="Денежная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компенсация",'Вводные'!$B$56*'Вводные'!$R$91*'Вводные'!$H$6,0)))*'Вводные'!$B$30,0)+IF(AND(YEAR(DZ$3)=YEAR($B$7),MONTH(DZ$3)=MONTH($B$7),$B$5=1),'Вводные'!$B$26*'Вводные'!$V$91*'Вводные'!$B$30,0)</x:f>
      </x:c>
      <x:c r="EA57" s="117">
        <x:f>IF(AND(YEAR(EA$3)=YEAR($B$6),MONTH(EA$3)=MONTH($B$6),$B$5=1),('CAPEX'!$B$116+'CAPEX'!$B$119+'CAPEX'!$B$120+IF('Вводные'!$B$37="Денежная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компенсация",'Вводные'!$B$56*'Вводные'!$R$91*'Вводные'!$H$6,0)))*'Вводные'!$B$30,0)+IF(AND(YEAR(EA$3)=YEAR($B$7),MONTH(EA$3)=MONTH($B$7),$B$5=1),'Вводные'!$B$26*'Вводные'!$V$91*'Вводные'!$B$30,0)</x:f>
      </x:c>
      <x:c r="EB57" s="117">
        <x:f>IF(AND(YEAR(EB$3)=YEAR($B$6),MONTH(EB$3)=MONTH($B$6),$B$5=1),('CAPEX'!$B$116+'CAPEX'!$B$119+'CAPEX'!$B$120+IF('Вводные'!$B$37="Денежная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компенсация",'Вводные'!$B$56*'Вводные'!$R$91*'Вводные'!$H$6,0)))*'Вводные'!$B$30,0)+IF(AND(YEAR(EB$3)=YEAR($B$7),MONTH(EB$3)=MONTH($B$7),$B$5=1),'Вводные'!$B$26*'Вводные'!$V$91*'Вводные'!$B$30,0)</x:f>
      </x:c>
      <x:c r="EC57" s="117">
        <x:f>IF(AND(YEAR(EC$3)=YEAR($B$6),MONTH(EC$3)=MONTH($B$6),$B$5=1),('CAPEX'!$B$116+'CAPEX'!$B$119+'CAPEX'!$B$120+IF('Вводные'!$B$37="Денежная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компенсация",'Вводные'!$B$56*'Вводные'!$R$91*'Вводные'!$H$6,0)))*'Вводные'!$B$30,0)+IF(AND(YEAR(EC$3)=YEAR($B$7),MONTH(EC$3)=MONTH($B$7),$B$5=1),'Вводные'!$B$26*'Вводные'!$V$91*'Вводные'!$B$30,0)</x:f>
      </x:c>
      <x:c r="ED57" s="117">
        <x:f>IF(AND(YEAR(ED$3)=YEAR($B$6),MONTH(ED$3)=MONTH($B$6),$B$5=1),('CAPEX'!$B$116+'CAPEX'!$B$119+'CAPEX'!$B$120+IF('Вводные'!$B$37="Денежная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компенсация",'Вводные'!$B$56*'Вводные'!$R$91*'Вводные'!$H$6,0)))*'Вводные'!$B$30,0)+IF(AND(YEAR(ED$3)=YEAR($B$7),MONTH(ED$3)=MONTH($B$7),$B$5=1),'Вводные'!$B$26*'Вводные'!$V$91*'Вводные'!$B$30,0)</x:f>
      </x:c>
      <x:c r="EE57" s="117">
        <x:f>IF(AND(YEAR(EE$3)=YEAR($B$6),MONTH(EE$3)=MONTH($B$6),$B$5=1),('CAPEX'!$B$116+'CAPEX'!$B$119+'CAPEX'!$B$120+IF('Вводные'!$B$37="Денежная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компенсация",'Вводные'!$B$56*'Вводные'!$R$91*'Вводные'!$H$6,0)))*'Вводные'!$B$30,0)+IF(AND(YEAR(EE$3)=YEAR($B$7),MONTH(EE$3)=MONTH($B$7),$B$5=1),'Вводные'!$B$26*'Вводные'!$V$91*'Вводные'!$B$30,0)</x:f>
      </x:c>
      <x:c r="EF57" s="117">
        <x:f>IF(AND(YEAR(EF$3)=YEAR($B$6),MONTH(EF$3)=MONTH($B$6),$B$5=1),('CAPEX'!$B$116+'CAPEX'!$B$119+'CAPEX'!$B$120+IF('Вводные'!$B$37="Денежная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компенсация",'Вводные'!$B$56*'Вводные'!$R$91*'Вводные'!$H$6,0)))*'Вводные'!$B$30,0)+IF(AND(YEAR(EF$3)=YEAR($B$7),MONTH(EF$3)=MONTH($B$7),$B$5=1),'Вводные'!$B$26*'Вводные'!$V$91*'Вводные'!$B$30,0)</x:f>
      </x:c>
      <x:c r="EG57" s="117">
        <x:f>IF(AND(YEAR(EG$3)=YEAR($B$6),MONTH(EG$3)=MONTH($B$6),$B$5=1),('CAPEX'!$B$116+'CAPEX'!$B$119+'CAPEX'!$B$120+IF('Вводные'!$B$37="Денежная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компенсация",'Вводные'!$B$56*'Вводные'!$R$91*'Вводные'!$H$6,0)))*'Вводные'!$B$30,0)+IF(AND(YEAR(EG$3)=YEAR($B$7),MONTH(EG$3)=MONTH($B$7),$B$5=1),'Вводные'!$B$26*'Вводные'!$V$91*'Вводные'!$B$30,0)</x:f>
      </x:c>
      <x:c r="EH57" s="117">
        <x:f>IF(AND(YEAR(EH$3)=YEAR($B$6),MONTH(EH$3)=MONTH($B$6),$B$5=1),('CAPEX'!$B$116+'CAPEX'!$B$119+'CAPEX'!$B$120+IF('Вводные'!$B$37="Денежная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компенсация",'Вводные'!$B$56*'Вводные'!$R$91*'Вводные'!$H$6,0)))*'Вводные'!$B$30,0)+IF(AND(YEAR(EH$3)=YEAR($B$7),MONTH(EH$3)=MONTH($B$7),$B$5=1),'Вводные'!$B$26*'Вводные'!$V$91*'Вводные'!$B$30,0)</x:f>
      </x:c>
      <x:c r="EI57" s="117">
        <x:f>IF(AND(YEAR(EI$3)=YEAR($B$6),MONTH(EI$3)=MONTH($B$6),$B$5=1),('CAPEX'!$B$116+'CAPEX'!$B$119+'CAPEX'!$B$120+IF('Вводные'!$B$37="Денежная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компенсация",'Вводные'!$B$56*'Вводные'!$R$91*'Вводные'!$H$6,0)))*'Вводные'!$B$30,0)+IF(AND(YEAR(EI$3)=YEAR($B$7),MONTH(EI$3)=MONTH($B$7),$B$5=1),'Вводные'!$B$26*'Вводные'!$V$91*'Вводные'!$B$30,0)</x:f>
      </x:c>
      <x:c r="EJ57" s="117">
        <x:f>IF(AND(YEAR(EJ$3)=YEAR($B$6),MONTH(EJ$3)=MONTH($B$6),$B$5=1),('CAPEX'!$B$116+'CAPEX'!$B$119+'CAPEX'!$B$120+IF('Вводные'!$B$37="Денежная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компенсация",'Вводные'!$B$56*'Вводные'!$R$91*'Вводные'!$H$6,0)))*'Вводные'!$B$30,0)+IF(AND(YEAR(EJ$3)=YEAR($B$7),MONTH(EJ$3)=MONTH($B$7),$B$5=1),'Вводные'!$B$26*'Вводные'!$V$91*'Вводные'!$B$30,0)</x:f>
      </x:c>
      <x:c r="EK57" s="117">
        <x:f>IF(AND(YEAR(EK$3)=YEAR($B$6),MONTH(EK$3)=MONTH($B$6),$B$5=1),('CAPEX'!$B$116+'CAPEX'!$B$119+'CAPEX'!$B$120+IF('Вводные'!$B$37="Денежная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компенсация",'Вводные'!$B$56*'Вводные'!$R$91*'Вводные'!$H$6,0)))*'Вводные'!$B$30,0)+IF(AND(YEAR(EK$3)=YEAR($B$7),MONTH(EK$3)=MONTH($B$7),$B$5=1),'Вводные'!$B$26*'Вводные'!$V$91*'Вводные'!$B$30,0)</x:f>
      </x:c>
      <x:c r="EL57" s="117">
        <x:f>IF(AND(YEAR(EL$3)=YEAR($B$6),MONTH(EL$3)=MONTH($B$6),$B$5=1),('CAPEX'!$B$116+'CAPEX'!$B$119+'CAPEX'!$B$120+IF('Вводные'!$B$37="Денежная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компенсация",'Вводные'!$B$56*'Вводные'!$R$91*'Вводные'!$H$6,0)))*'Вводные'!$B$30,0)+IF(AND(YEAR(EL$3)=YEAR($B$7),MONTH(EL$3)=MONTH($B$7),$B$5=1),'Вводные'!$B$26*'Вводные'!$V$91*'Вводные'!$B$30,0)</x:f>
      </x:c>
      <x:c r="EM57" s="117">
        <x:f>IF(AND(YEAR(EM$3)=YEAR($B$6),MONTH(EM$3)=MONTH($B$6),$B$5=1),('CAPEX'!$B$116+'CAPEX'!$B$119+'CAPEX'!$B$120+IF('Вводные'!$B$37="Денежная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компенсация",'Вводные'!$B$56*'Вводные'!$R$91*'Вводные'!$H$6,0)))*'Вводные'!$B$30,0)+IF(AND(YEAR(EM$3)=YEAR($B$7),MONTH(EM$3)=MONTH($B$7),$B$5=1),'Вводные'!$B$26*'Вводные'!$V$91*'Вводные'!$B$30,0)</x:f>
      </x:c>
      <x:c r="EN57" s="117">
        <x:f>IF(AND(YEAR(EN$3)=YEAR($B$6),MONTH(EN$3)=MONTH($B$6),$B$5=1),('CAPEX'!$B$116+'CAPEX'!$B$119+'CAPEX'!$B$120+IF('Вводные'!$B$37="Денежная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компенсация",'Вводные'!$B$56*'Вводные'!$R$91*'Вводные'!$H$6,0)))*'Вводные'!$B$30,0)+IF(AND(YEAR(EN$3)=YEAR($B$7),MONTH(EN$3)=MONTH($B$7),$B$5=1),'Вводные'!$B$26*'Вводные'!$V$91*'Вводные'!$B$30,0)</x:f>
      </x:c>
      <x:c r="EO57" s="117">
        <x:f>IF(AND(YEAR(EO$3)=YEAR($B$6),MONTH(EO$3)=MONTH($B$6),$B$5=1),('CAPEX'!$B$116+'CAPEX'!$B$119+'CAPEX'!$B$120+IF('Вводные'!$B$37="Денежная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компенсация",'Вводные'!$B$56*'Вводные'!$R$91*'Вводные'!$H$6,0)))*'Вводные'!$B$30,0)+IF(AND(YEAR(EO$3)=YEAR($B$7),MONTH(EO$3)=MONTH($B$7),$B$5=1),'Вводные'!$B$26*'Вводные'!$V$91*'Вводные'!$B$30,0)</x:f>
      </x:c>
      <x:c r="EP57" s="117">
        <x:f>IF(AND(YEAR(EP$3)=YEAR($B$6),MONTH(EP$3)=MONTH($B$6),$B$5=1),('CAPEX'!$B$116+'CAPEX'!$B$119+'CAPEX'!$B$120+IF('Вводные'!$B$37="Денежная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компенсация",'Вводные'!$B$56*'Вводные'!$R$91*'Вводные'!$H$6,0)))*'Вводные'!$B$30,0)+IF(AND(YEAR(EP$3)=YEAR($B$7),MONTH(EP$3)=MONTH($B$7),$B$5=1),'Вводные'!$B$26*'Вводные'!$V$91*'Вводные'!$B$30,0)</x:f>
      </x:c>
      <x:c r="EQ57" s="117">
        <x:f>IF(AND(YEAR(EQ$3)=YEAR($B$6),MONTH(EQ$3)=MONTH($B$6),$B$5=1),('CAPEX'!$B$116+'CAPEX'!$B$119+'CAPEX'!$B$120+IF('Вводные'!$B$37="Денежная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компенсация",'Вводные'!$B$56*'Вводные'!$R$91*'Вводные'!$H$6,0)))*'Вводные'!$B$30,0)+IF(AND(YEAR(EQ$3)=YEAR($B$7),MONTH(EQ$3)=MONTH($B$7),$B$5=1),'Вводные'!$B$26*'Вводные'!$V$91*'Вводные'!$B$30,0)</x:f>
      </x:c>
      <x:c r="ER57" s="117">
        <x:f>IF(AND(YEAR(ER$3)=YEAR($B$6),MONTH(ER$3)=MONTH($B$6),$B$5=1),('CAPEX'!$B$116+'CAPEX'!$B$119+'CAPEX'!$B$120+IF('Вводные'!$B$37="Денежная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компенсация",'Вводные'!$B$56*'Вводные'!$R$91*'Вводные'!$H$6,0)))*'Вводные'!$B$30,0)+IF(AND(YEAR(ER$3)=YEAR($B$7),MONTH(ER$3)=MONTH($B$7),$B$5=1),'Вводные'!$B$26*'Вводные'!$V$91*'Вводные'!$B$30,0)</x:f>
      </x:c>
      <x:c r="ES57" s="117">
        <x:f>IF(AND(YEAR(ES$3)=YEAR($B$6),MONTH(ES$3)=MONTH($B$6),$B$5=1),('CAPEX'!$B$116+'CAPEX'!$B$119+'CAPEX'!$B$120+IF('Вводные'!$B$37="Денежная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компенсация",'Вводные'!$B$56*'Вводные'!$R$91*'Вводные'!$H$6,0)))*'Вводные'!$B$30,0)+IF(AND(YEAR(ES$3)=YEAR($B$7),MONTH(ES$3)=MONTH($B$7),$B$5=1),'Вводные'!$B$26*'Вводные'!$V$91*'Вводные'!$B$30,0)</x:f>
      </x:c>
      <x:c r="ET57" s="117">
        <x:f>IF(AND(YEAR(ET$3)=YEAR($B$6),MONTH(ET$3)=MONTH($B$6),$B$5=1),('CAPEX'!$B$116+'CAPEX'!$B$119+'CAPEX'!$B$120+IF('Вводные'!$B$37="Денежная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компенсация",'Вводные'!$B$56*'Вводные'!$R$91*'Вводные'!$H$6,0)))*'Вводные'!$B$30,0)+IF(AND(YEAR(ET$3)=YEAR($B$7),MONTH(ET$3)=MONTH($B$7),$B$5=1),'Вводные'!$B$26*'Вводные'!$V$91*'Вводные'!$B$30,0)</x:f>
      </x:c>
      <x:c r="EU57" s="117">
        <x:f>IF(AND(YEAR(EU$3)=YEAR($B$6),MONTH(EU$3)=MONTH($B$6),$B$5=1),('CAPEX'!$B$116+'CAPEX'!$B$119+'CAPEX'!$B$120+IF('Вводные'!$B$37="Денежная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компенсация",'Вводные'!$B$56*'Вводные'!$R$91*'Вводные'!$H$6,0)))*'Вводные'!$B$30,0)+IF(AND(YEAR(EU$3)=YEAR($B$7),MONTH(EU$3)=MONTH($B$7),$B$5=1),'Вводные'!$B$26*'Вводные'!$V$91*'Вводные'!$B$30,0)</x:f>
      </x:c>
      <x:c r="EV57" s="117">
        <x:f>IF(AND(YEAR(EV$3)=YEAR($B$6),MONTH(EV$3)=MONTH($B$6),$B$5=1),('CAPEX'!$B$116+'CAPEX'!$B$119+'CAPEX'!$B$120+IF('Вводные'!$B$37="Денежная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компенсация",'Вводные'!$B$56*'Вводные'!$R$91*'Вводные'!$H$6,0)))*'Вводные'!$B$30,0)+IF(AND(YEAR(EV$3)=YEAR($B$7),MONTH(EV$3)=MONTH($B$7),$B$5=1),'Вводные'!$B$26*'Вводные'!$V$91*'Вводные'!$B$30,0)</x:f>
      </x:c>
      <x:c r="EW57" s="117">
        <x:f>IF(AND(YEAR(EW$3)=YEAR($B$6),MONTH(EW$3)=MONTH($B$6),$B$5=1),('CAPEX'!$B$116+'CAPEX'!$B$119+'CAPEX'!$B$120+IF('Вводные'!$B$37="Денежная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компенсация",'Вводные'!$B$56*'Вводные'!$R$91*'Вводные'!$H$6,0)))*'Вводные'!$B$30,0)+IF(AND(YEAR(EW$3)=YEAR($B$7),MONTH(EW$3)=MONTH($B$7),$B$5=1),'Вводные'!$B$26*'Вводные'!$V$91*'Вводные'!$B$30,0)</x:f>
      </x:c>
      <x:c r="EX57" s="117">
        <x:f>IF(AND(YEAR(EX$3)=YEAR($B$6),MONTH(EX$3)=MONTH($B$6),$B$5=1),('CAPEX'!$B$116+'CAPEX'!$B$119+'CAPEX'!$B$120+IF('Вводные'!$B$37="Денежная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компенсация",'Вводные'!$B$56*'Вводные'!$R$91*'Вводные'!$H$6,0)))*'Вводные'!$B$30,0)+IF(AND(YEAR(EX$3)=YEAR($B$7),MONTH(EX$3)=MONTH($B$7),$B$5=1),'Вводные'!$B$26*'Вводные'!$V$91*'Вводные'!$B$30,0)</x:f>
      </x:c>
      <x:c r="EY57" s="117">
        <x:f>IF(AND(YEAR(EY$3)=YEAR($B$6),MONTH(EY$3)=MONTH($B$6),$B$5=1),('CAPEX'!$B$116+'CAPEX'!$B$119+'CAPEX'!$B$120+IF('Вводные'!$B$37="Денежная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компенсация",'Вводные'!$B$56*'Вводные'!$R$91*'Вводные'!$H$6,0)))*'Вводные'!$B$30,0)+IF(AND(YEAR(EY$3)=YEAR($B$7),MONTH(EY$3)=MONTH($B$7),$B$5=1),'Вводные'!$B$26*'Вводные'!$V$91*'Вводные'!$B$30,0)</x:f>
      </x:c>
      <x:c r="EZ57" s="117">
        <x:f>IF(AND(YEAR(EZ$3)=YEAR($B$6),MONTH(EZ$3)=MONTH($B$6),$B$5=1),('CAPEX'!$B$116+'CAPEX'!$B$119+'CAPEX'!$B$120+IF('Вводные'!$B$37="Денежная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компенсация",'Вводные'!$B$56*'Вводные'!$R$91*'Вводные'!$H$6,0)))*'Вводные'!$B$30,0)+IF(AND(YEAR(EZ$3)=YEAR($B$7),MONTH(EZ$3)=MONTH($B$7),$B$5=1),'Вводные'!$B$26*'Вводные'!$V$91*'Вводные'!$B$30,0)</x:f>
      </x:c>
      <x:c r="FA57" s="117">
        <x:f>IF(AND(YEAR(FA$3)=YEAR($B$6),MONTH(FA$3)=MONTH($B$6),$B$5=1),('CAPEX'!$B$116+'CAPEX'!$B$119+'CAPEX'!$B$120+IF('Вводные'!$B$37="Денежная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компенсация",'Вводные'!$B$56*'Вводные'!$R$91*'Вводные'!$H$6,0)))*'Вводные'!$B$30,0)+IF(AND(YEAR(FA$3)=YEAR($B$7),MONTH(FA$3)=MONTH($B$7),$B$5=1),'Вводные'!$B$26*'Вводные'!$V$91*'Вводные'!$B$30,0)</x:f>
      </x:c>
      <x:c r="FB57" s="117">
        <x:f>IF(AND(YEAR(FB$3)=YEAR($B$6),MONTH(FB$3)=MONTH($B$6),$B$5=1),('CAPEX'!$B$116+'CAPEX'!$B$119+'CAPEX'!$B$120+IF('Вводные'!$B$37="Денежная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компенсация",'Вводные'!$B$56*'Вводные'!$R$91*'Вводные'!$H$6,0)))*'Вводные'!$B$30,0)+IF(AND(YEAR(FB$3)=YEAR($B$7),MONTH(FB$3)=MONTH($B$7),$B$5=1),'Вводные'!$B$26*'Вводные'!$V$91*'Вводные'!$B$30,0)</x:f>
      </x:c>
      <x:c r="FC57" s="117">
        <x:f>IF(AND(YEAR(FC$3)=YEAR($B$6),MONTH(FC$3)=MONTH($B$6),$B$5=1),('CAPEX'!$B$116+'CAPEX'!$B$119+'CAPEX'!$B$120+IF('Вводные'!$B$37="Денежная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компенсация",'Вводные'!$B$56*'Вводные'!$R$91*'Вводные'!$H$6,0)))*'Вводные'!$B$30,0)+IF(AND(YEAR(FC$3)=YEAR($B$7),MONTH(FC$3)=MONTH($B$7),$B$5=1),'Вводные'!$B$26*'Вводные'!$V$91*'Вводные'!$B$30,0)</x:f>
      </x:c>
      <x:c r="FD57" s="117">
        <x:f>IF(AND(YEAR(FD$3)=YEAR($B$6),MONTH(FD$3)=MONTH($B$6),$B$5=1),('CAPEX'!$B$116+'CAPEX'!$B$119+'CAPEX'!$B$120+IF('Вводные'!$B$37="Денежная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компенсация",'Вводные'!$B$56*'Вводные'!$R$91*'Вводные'!$H$6,0)))*'Вводные'!$B$30,0)+IF(AND(YEAR(FD$3)=YEAR($B$7),MONTH(FD$3)=MONTH($B$7),$B$5=1),'Вводные'!$B$26*'Вводные'!$V$91*'Вводные'!$B$30,0)</x:f>
      </x:c>
      <x:c r="FE57" s="117">
        <x:f>IF(AND(YEAR(FE$3)=YEAR($B$6),MONTH(FE$3)=MONTH($B$6),$B$5=1),('CAPEX'!$B$116+'CAPEX'!$B$119+'CAPEX'!$B$120+IF('Вводные'!$B$37="Денежная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компенсация",'Вводные'!$B$56*'Вводные'!$R$91*'Вводные'!$H$6,0)))*'Вводные'!$B$30,0)+IF(AND(YEAR(FE$3)=YEAR($B$7),MONTH(FE$3)=MONTH($B$7),$B$5=1),'Вводные'!$B$26*'Вводные'!$V$91*'Вводные'!$B$30,0)</x:f>
      </x:c>
      <x:c r="FF57" s="117">
        <x:f>IF(AND(YEAR(FF$3)=YEAR($B$6),MONTH(FF$3)=MONTH($B$6),$B$5=1),('CAPEX'!$B$116+'CAPEX'!$B$119+'CAPEX'!$B$120+IF('Вводные'!$B$37="Денежная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компенсация",'Вводные'!$B$56*'Вводные'!$R$91*'Вводные'!$H$6,0)))*'Вводные'!$B$30,0)+IF(AND(YEAR(FF$3)=YEAR($B$7),MONTH(FF$3)=MONTH($B$7),$B$5=1),'Вводные'!$B$26*'Вводные'!$V$91*'Вводные'!$B$30,0)</x:f>
      </x:c>
      <x:c r="FG57" s="117">
        <x:f>IF(AND(YEAR(FG$3)=YEAR($B$6),MONTH(FG$3)=MONTH($B$6),$B$5=1),('CAPEX'!$B$116+'CAPEX'!$B$119+'CAPEX'!$B$120+IF('Вводные'!$B$37="Денежная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компенсация",'Вводные'!$B$56*'Вводные'!$R$91*'Вводные'!$H$6,0)))*'Вводные'!$B$30,0)+IF(AND(YEAR(FG$3)=YEAR($B$7),MONTH(FG$3)=MONTH($B$7),$B$5=1),'Вводные'!$B$26*'Вводные'!$V$91*'Вводные'!$B$30,0)</x:f>
      </x:c>
      <x:c r="FH57" s="117">
        <x:f>IF(AND(YEAR(FH$3)=YEAR($B$6),MONTH(FH$3)=MONTH($B$6),$B$5=1),('CAPEX'!$B$116+'CAPEX'!$B$119+'CAPEX'!$B$120+IF('Вводные'!$B$37="Денежная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компенсация",'Вводные'!$B$56*'Вводные'!$R$91*'Вводные'!$H$6,0)))*'Вводные'!$B$30,0)+IF(AND(YEAR(FH$3)=YEAR($B$7),MONTH(FH$3)=MONTH($B$7),$B$5=1),'Вводные'!$B$26*'Вводные'!$V$91*'Вводные'!$B$30,0)</x:f>
      </x:c>
      <x:c r="FI57" s="117">
        <x:f>IF(AND(YEAR(FI$3)=YEAR($B$6),MONTH(FI$3)=MONTH($B$6),$B$5=1),('CAPEX'!$B$116+'CAPEX'!$B$119+'CAPEX'!$B$120+IF('Вводные'!$B$37="Денежная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компенсация",'Вводные'!$B$56*'Вводные'!$R$91*'Вводные'!$H$6,0)))*'Вводные'!$B$30,0)+IF(AND(YEAR(FI$3)=YEAR($B$7),MONTH(FI$3)=MONTH($B$7),$B$5=1),'Вводные'!$B$26*'Вводные'!$V$91*'Вводные'!$B$30,0)</x:f>
      </x:c>
      <x:c r="FJ57" s="117">
        <x:f>IF(AND(YEAR(FJ$3)=YEAR($B$6),MONTH(FJ$3)=MONTH($B$6),$B$5=1),('CAPEX'!$B$116+'CAPEX'!$B$119+'CAPEX'!$B$120+IF('Вводные'!$B$37="Денежная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компенсация",'Вводные'!$B$56*'Вводные'!$R$91*'Вводные'!$H$6,0)))*'Вводные'!$B$30,0)+IF(AND(YEAR(FJ$3)=YEAR($B$7),MONTH(FJ$3)=MONTH($B$7),$B$5=1),'Вводные'!$B$26*'Вводные'!$V$91*'Вводные'!$B$30,0)</x:f>
      </x:c>
      <x:c r="FK57" s="117">
        <x:f>IF(AND(YEAR(FK$3)=YEAR($B$6),MONTH(FK$3)=MONTH($B$6),$B$5=1),('CAPEX'!$B$116+'CAPEX'!$B$119+'CAPEX'!$B$120+IF('Вводные'!$B$37="Денежная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компенсация",'Вводные'!$B$56*'Вводные'!$R$91*'Вводные'!$H$6,0)))*'Вводные'!$B$30,0)+IF(AND(YEAR(FK$3)=YEAR($B$7),MONTH(FK$3)=MONTH($B$7),$B$5=1),'Вводные'!$B$26*'Вводные'!$V$91*'Вводные'!$B$30,0)</x:f>
      </x:c>
      <x:c r="FL57" s="117">
        <x:f>IF(AND(YEAR(FL$3)=YEAR($B$6),MONTH(FL$3)=MONTH($B$6),$B$5=1),('CAPEX'!$B$116+'CAPEX'!$B$119+'CAPEX'!$B$120+IF('Вводные'!$B$37="Денежная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компенсация",'Вводные'!$B$56*'Вводные'!$R$91*'Вводные'!$H$6,0)))*'Вводные'!$B$30,0)+IF(AND(YEAR(FL$3)=YEAR($B$7),MONTH(FL$3)=MONTH($B$7),$B$5=1),'Вводные'!$B$26*'Вводные'!$V$91*'Вводные'!$B$30,0)</x:f>
      </x:c>
      <x:c r="FM57" s="117">
        <x:f>IF(AND(YEAR(FM$3)=YEAR($B$6),MONTH(FM$3)=MONTH($B$6),$B$5=1),('CAPEX'!$B$116+'CAPEX'!$B$119+'CAPEX'!$B$120+IF('Вводные'!$B$37="Денежная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компенсация",'Вводные'!$B$56*'Вводные'!$R$91*'Вводные'!$H$6,0)))*'Вводные'!$B$30,0)+IF(AND(YEAR(FM$3)=YEAR($B$7),MONTH(FM$3)=MONTH($B$7),$B$5=1),'Вводные'!$B$26*'Вводные'!$V$91*'Вводные'!$B$30,0)</x:f>
      </x:c>
      <x:c r="FN57" s="117">
        <x:f>IF(AND(YEAR(FN$3)=YEAR($B$6),MONTH(FN$3)=MONTH($B$6),$B$5=1),('CAPEX'!$B$116+'CAPEX'!$B$119+'CAPEX'!$B$120+IF('Вводные'!$B$37="Денежная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компенсация",'Вводные'!$B$56*'Вводные'!$R$91*'Вводные'!$H$6,0)))*'Вводные'!$B$30,0)+IF(AND(YEAR(FN$3)=YEAR($B$7),MONTH(FN$3)=MONTH($B$7),$B$5=1),'Вводные'!$B$26*'Вводные'!$V$91*'Вводные'!$B$30,0)</x:f>
      </x:c>
      <x:c r="FO57" s="117">
        <x:f>IF(AND(YEAR(FO$3)=YEAR($B$6),MONTH(FO$3)=MONTH($B$6),$B$5=1),('CAPEX'!$B$116+'CAPEX'!$B$119+'CAPEX'!$B$120+IF('Вводные'!$B$37="Денежная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компенсация",'Вводные'!$B$56*'Вводные'!$R$91*'Вводные'!$H$6,0)))*'Вводные'!$B$30,0)+IF(AND(YEAR(FO$3)=YEAR($B$7),MONTH(FO$3)=MONTH($B$7),$B$5=1),'Вводные'!$B$26*'Вводные'!$V$91*'Вводные'!$B$30,0)</x:f>
      </x:c>
      <x:c r="FP57" s="117">
        <x:f>IF(AND(YEAR(FP$3)=YEAR($B$6),MONTH(FP$3)=MONTH($B$6),$B$5=1),('CAPEX'!$B$116+'CAPEX'!$B$119+'CAPEX'!$B$120+IF('Вводные'!$B$37="Денежная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компенсация",'Вводные'!$B$56*'Вводные'!$R$91*'Вводные'!$H$6,0)))*'Вводные'!$B$30,0)+IF(AND(YEAR(FP$3)=YEAR($B$7),MONTH(FP$3)=MONTH($B$7),$B$5=1),'Вводные'!$B$26*'Вводные'!$V$91*'Вводные'!$B$30,0)</x:f>
      </x:c>
      <x:c r="FQ57" s="117">
        <x:f>IF(AND(YEAR(FQ$3)=YEAR($B$6),MONTH(FQ$3)=MONTH($B$6),$B$5=1),('CAPEX'!$B$116+'CAPEX'!$B$119+'CAPEX'!$B$120+IF('Вводные'!$B$37="Денежная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компенсация",'Вводные'!$B$56*'Вводные'!$R$91*'Вводные'!$H$6,0)))*'Вводные'!$B$30,0)+IF(AND(YEAR(FQ$3)=YEAR($B$7),MONTH(FQ$3)=MONTH($B$7),$B$5=1),'Вводные'!$B$26*'Вводные'!$V$91*'Вводные'!$B$30,0)</x:f>
      </x:c>
      <x:c r="FR57" s="117">
        <x:f>IF(AND(YEAR(FR$3)=YEAR($B$6),MONTH(FR$3)=MONTH($B$6),$B$5=1),('CAPEX'!$B$116+'CAPEX'!$B$119+'CAPEX'!$B$120+IF('Вводные'!$B$37="Денежная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компенсация",'Вводные'!$B$56*'Вводные'!$R$91*'Вводные'!$H$6,0)))*'Вводные'!$B$30,0)+IF(AND(YEAR(FR$3)=YEAR($B$7),MONTH(FR$3)=MONTH($B$7),$B$5=1),'Вводные'!$B$26*'Вводные'!$V$91*'Вводные'!$B$30,0)</x:f>
      </x:c>
      <x:c r="FS57" s="117">
        <x:f>IF(AND(YEAR(FS$3)=YEAR($B$6),MONTH(FS$3)=MONTH($B$6),$B$5=1),('CAPEX'!$B$116+'CAPEX'!$B$119+'CAPEX'!$B$120+IF('Вводные'!$B$37="Денежная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компенсация",'Вводные'!$B$56*'Вводные'!$R$91*'Вводные'!$H$6,0)))*'Вводные'!$B$30,0)+IF(AND(YEAR(FS$3)=YEAR($B$7),MONTH(FS$3)=MONTH($B$7),$B$5=1),'Вводные'!$B$26*'Вводные'!$V$91*'Вводные'!$B$30,0)</x:f>
      </x:c>
      <x:c r="FT57" s="117">
        <x:f>IF(AND(YEAR(FT$3)=YEAR($B$6),MONTH(FT$3)=MONTH($B$6),$B$5=1),('CAPEX'!$B$116+'CAPEX'!$B$119+'CAPEX'!$B$120+IF('Вводные'!$B$37="Денежная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компенсация",'Вводные'!$B$56*'Вводные'!$R$91*'Вводные'!$H$6,0)))*'Вводные'!$B$30,0)+IF(AND(YEAR(FT$3)=YEAR($B$7),MONTH(FT$3)=MONTH($B$7),$B$5=1),'Вводные'!$B$26*'Вводные'!$V$91*'Вводные'!$B$30,0)</x:f>
      </x:c>
      <x:c r="FU57" s="117">
        <x:f>IF(AND(YEAR(FU$3)=YEAR($B$6),MONTH(FU$3)=MONTH($B$6),$B$5=1),('CAPEX'!$B$116+'CAPEX'!$B$119+'CAPEX'!$B$120+IF('Вводные'!$B$37="Денежная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компенсация",'Вводные'!$B$56*'Вводные'!$R$91*'Вводные'!$H$6,0)))*'Вводные'!$B$30,0)+IF(AND(YEAR(FU$3)=YEAR($B$7),MONTH(FU$3)=MONTH($B$7),$B$5=1),'Вводные'!$B$26*'Вводные'!$V$91*'Вводные'!$B$30,0)</x:f>
      </x:c>
      <x:c r="FV57" s="117">
        <x:f>IF(AND(YEAR(FV$3)=YEAR($B$6),MONTH(FV$3)=MONTH($B$6),$B$5=1),('CAPEX'!$B$116+'CAPEX'!$B$119+'CAPEX'!$B$120+IF('Вводные'!$B$37="Денежная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компенсация",'Вводные'!$B$56*'Вводные'!$R$91*'Вводные'!$H$6,0)))*'Вводные'!$B$30,0)+IF(AND(YEAR(FV$3)=YEAR($B$7),MONTH(FV$3)=MONTH($B$7),$B$5=1),'Вводные'!$B$26*'Вводные'!$V$91*'Вводные'!$B$30,0)</x:f>
      </x:c>
      <x:c r="FW57" s="117">
        <x:f>IF(AND(YEAR(FW$3)=YEAR($B$6),MONTH(FW$3)=MONTH($B$6),$B$5=1),('CAPEX'!$B$116+'CAPEX'!$B$119+'CAPEX'!$B$120+IF('Вводные'!$B$37="Денежная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компенсация",'Вводные'!$B$56*'Вводные'!$R$91*'Вводные'!$H$6,0)))*'Вводные'!$B$30,0)+IF(AND(YEAR(FW$3)=YEAR($B$7),MONTH(FW$3)=MONTH($B$7),$B$5=1),'Вводные'!$B$26*'Вводные'!$V$91*'Вводные'!$B$30,0)</x:f>
      </x:c>
      <x:c r="FX57" s="117">
        <x:f>IF(AND(YEAR(FX$3)=YEAR($B$6),MONTH(FX$3)=MONTH($B$6),$B$5=1),('CAPEX'!$B$116+'CAPEX'!$B$119+'CAPEX'!$B$120+IF('Вводные'!$B$37="Денежная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компенсация",'Вводные'!$B$56*'Вводные'!$R$91*'Вводные'!$H$6,0)))*'Вводные'!$B$30,0)+IF(AND(YEAR(FX$3)=YEAR($B$7),MONTH(FX$3)=MONTH($B$7),$B$5=1),'Вводные'!$B$26*'Вводные'!$V$91*'Вводные'!$B$30,0)</x:f>
      </x:c>
      <x:c r="FY57" s="117">
        <x:f>IF(AND(YEAR(FY$3)=YEAR($B$6),MONTH(FY$3)=MONTH($B$6),$B$5=1),('CAPEX'!$B$116+'CAPEX'!$B$119+'CAPEX'!$B$120+IF('Вводные'!$B$37="Денежная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компенсация",'Вводные'!$B$56*'Вводные'!$R$91*'Вводные'!$H$6,0)))*'Вводные'!$B$30,0)+IF(AND(YEAR(FY$3)=YEAR($B$7),MONTH(FY$3)=MONTH($B$7),$B$5=1),'Вводные'!$B$26*'Вводные'!$V$91*'Вводные'!$B$30,0)</x:f>
      </x:c>
      <x:c r="FZ57" s="117">
        <x:f>IF(AND(YEAR(FZ$3)=YEAR($B$6),MONTH(FZ$3)=MONTH($B$6),$B$5=1),('CAPEX'!$B$116+'CAPEX'!$B$119+'CAPEX'!$B$120+IF('Вводные'!$B$37="Денежная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компенсация",'Вводные'!$B$56*'Вводные'!$R$91*'Вводные'!$H$6,0)))*'Вводные'!$B$30,0)+IF(AND(YEAR(FZ$3)=YEAR($B$7),MONTH(FZ$3)=MONTH($B$7),$B$5=1),'Вводные'!$B$26*'Вводные'!$V$91*'Вводные'!$B$30,0)</x:f>
      </x:c>
      <x:c r="GA57" s="117">
        <x:f>IF(AND(YEAR(GA$3)=YEAR($B$6),MONTH(GA$3)=MONTH($B$6),$B$5=1),('CAPEX'!$B$116+'CAPEX'!$B$119+'CAPEX'!$B$120+IF('Вводные'!$B$37="Денежная компенсация",'CAPEX'!$B$133,IF('Вводные'!$B$37="Строительство и компенсация",'Вводные'!$B$56*'Вводные'!$R$91*'Вводные'!$H$6,0)))*'Вводные'!$B$30,0)+IF(AND(YEAR(GA$3)=YEAR($B$7),MONTH(GA$3)=MONTH($B$7),$B$5=1),'Вводные'!$B$26*'Вводные'!$V$91*'Вводные'!$B$30,0)</x:f>
      </x:c>
    </x:row>
    <x:row r="58">
      <x:c r="A58" t="inlineStr">
        <x:is>
          <x:t/>
        </x:is>
      </x:c>
      <x:c r="B58" s="126"/>
      <x:c r="C58" s="126" t="str">
        <x:v>×</x:v>
      </x:c>
      <x:c r="D58" s="125"/>
      <x:c r="E58" s="125"/>
      <x:c r="F58" s="125"/>
      <x:c r="G58" s="125"/>
      <x:c r="H58" s="125"/>
      <x:c r="I58" s="125"/>
      <x:c r="J58" s="125"/>
      <x:c r="K58" s="125"/>
      <x:c r="L58" s="125"/>
      <x:c r="M58" s="125"/>
      <x:c r="N58" s="125"/>
      <x:c r="O58" s="125"/>
      <x:c r="P58" s="125"/>
      <x:c r="Q58" s="125"/>
      <x:c r="R58" s="125"/>
      <x:c r="S58" s="125"/>
      <x:c r="T58" s="125"/>
      <x:c r="U58" s="125"/>
      <x:c r="V58" s="125"/>
      <x:c r="W58" s="125"/>
      <x:c r="X58" s="125"/>
      <x:c r="Y58" s="125"/>
      <x:c r="Z58" s="125"/>
      <x:c r="AA58" s="125"/>
      <x:c r="AB58" s="125"/>
      <x:c r="AC58" s="125"/>
      <x:c r="AD58" s="125"/>
      <x:c r="AE58" s="125"/>
      <x:c r="AF58" s="125"/>
      <x:c r="AG58" s="125"/>
      <x:c r="AH58" s="125"/>
      <x:c r="AI58" s="125"/>
      <x:c r="AJ58" s="125"/>
      <x:c r="AK58" s="125"/>
      <x:c r="AL58" s="125"/>
      <x:c r="AM58" s="125"/>
      <x:c r="AN58" s="125"/>
      <x:c r="AO58" s="125"/>
      <x:c r="AP58" s="125"/>
      <x:c r="AQ58" s="125"/>
      <x:c r="AR58" s="125"/>
      <x:c r="AS58" s="125"/>
      <x:c r="AT58" s="125"/>
      <x:c r="AU58" s="125"/>
      <x:c r="AV58" s="125"/>
      <x:c r="AW58" s="125"/>
      <x:c r="AX58" s="125"/>
      <x:c r="AY58" s="125"/>
      <x:c r="AZ58" s="125"/>
      <x:c r="BA58" s="125"/>
      <x:c r="BB58" s="125"/>
      <x:c r="BC58" s="125"/>
      <x:c r="BD58" s="125"/>
      <x:c r="BE58" s="125"/>
      <x:c r="BF58" s="125"/>
      <x:c r="BG58" s="125"/>
      <x:c r="BH58" s="125"/>
      <x:c r="BI58" s="125"/>
      <x:c r="BJ58" s="125"/>
      <x:c r="BK58" s="125"/>
      <x:c r="BL58" s="125"/>
      <x:c r="BM58" s="125"/>
      <x:c r="BN58" s="125"/>
      <x:c r="BO58" s="125"/>
      <x:c r="BP58" s="125"/>
      <x:c r="BQ58" s="125"/>
      <x:c r="BR58" s="125"/>
      <x:c r="BS58" s="125"/>
      <x:c r="BT58" s="125"/>
      <x:c r="BU58" s="125"/>
      <x:c r="BV58" s="125"/>
      <x:c r="BW58" s="125"/>
      <x:c r="BX58" s="125"/>
      <x:c r="BY58" s="125"/>
      <x:c r="BZ58" s="125"/>
      <x:c r="CA58" s="125"/>
      <x:c r="CB58" s="125"/>
      <x:c r="CC58" s="125"/>
      <x:c r="CD58" s="125"/>
      <x:c r="CE58" s="125"/>
      <x:c r="CF58" s="125"/>
      <x:c r="CG58" s="125"/>
      <x:c r="CH58" s="125"/>
      <x:c r="CI58" s="125"/>
      <x:c r="CJ58" s="125"/>
      <x:c r="CK58" s="125"/>
      <x:c r="CL58" s="125"/>
      <x:c r="CM58" s="125"/>
      <x:c r="CN58" s="125"/>
      <x:c r="CO58" s="125"/>
      <x:c r="CP58" s="125"/>
      <x:c r="CQ58" s="125"/>
      <x:c r="CR58" s="125"/>
      <x:c r="CS58" s="125"/>
      <x:c r="CT58" s="125"/>
      <x:c r="CU58" s="125"/>
      <x:c r="CV58" s="125"/>
      <x:c r="CW58" s="125"/>
      <x:c r="CX58" s="125"/>
      <x:c r="CY58" s="125"/>
      <x:c r="CZ58" s="125"/>
      <x:c r="DA58" s="125"/>
      <x:c r="DB58" s="125"/>
      <x:c r="DC58" s="125"/>
      <x:c r="DD58" s="125"/>
      <x:c r="DE58" s="125"/>
      <x:c r="DF58" s="125"/>
      <x:c r="DG58" s="125"/>
      <x:c r="DH58" s="125"/>
      <x:c r="DI58" s="125"/>
      <x:c r="DJ58" s="125"/>
      <x:c r="DK58" s="125"/>
      <x:c r="DL58" s="125"/>
      <x:c r="DM58" s="125"/>
      <x:c r="DN58" s="125"/>
      <x:c r="DO58" s="125"/>
      <x:c r="DP58" s="125"/>
      <x:c r="DQ58" s="125"/>
      <x:c r="DR58" s="125"/>
      <x:c r="DS58" s="125"/>
      <x:c r="DT58" s="125"/>
      <x:c r="DU58" s="125"/>
      <x:c r="DV58" s="125"/>
      <x:c r="DW58" s="125"/>
      <x:c r="DX58" s="125"/>
      <x:c r="DY58" s="125"/>
      <x:c r="DZ58" s="125"/>
      <x:c r="EA58" s="125"/>
      <x:c r="EB58" s="125"/>
      <x:c r="EC58" s="125"/>
      <x:c r="ED58" s="125"/>
      <x:c r="EE58" s="125"/>
      <x:c r="EF58" s="125"/>
      <x:c r="EG58" s="125"/>
      <x:c r="EH58" s="125"/>
      <x:c r="EI58" s="125"/>
      <x:c r="EJ58" s="125"/>
      <x:c r="EK58" s="125"/>
      <x:c r="EL58" s="125"/>
      <x:c r="EM58" s="125"/>
      <x:c r="EN58" s="125"/>
      <x:c r="EO58" s="125"/>
      <x:c r="EP58" s="125"/>
      <x:c r="EQ58" s="125"/>
      <x:c r="ER58" s="125"/>
      <x:c r="ES58" s="125"/>
      <x:c r="ET58" s="125"/>
      <x:c r="EU58" s="125"/>
      <x:c r="EV58" s="125"/>
      <x:c r="EW58" s="125"/>
      <x:c r="EX58" s="125"/>
      <x:c r="EY58" s="125"/>
      <x:c r="EZ58" s="125"/>
      <x:c r="FA58" s="125"/>
      <x:c r="FB58" s="125"/>
      <x:c r="FC58" s="125"/>
      <x:c r="FD58" s="125"/>
      <x:c r="FE58" s="125"/>
      <x:c r="FF58" s="125"/>
      <x:c r="FG58" s="125"/>
      <x:c r="FH58" s="125"/>
      <x:c r="FI58" s="125"/>
      <x:c r="FJ58" s="125"/>
      <x:c r="FK58" s="125"/>
      <x:c r="FL58" s="125"/>
      <x:c r="FM58" s="125"/>
      <x:c r="FN58" s="125"/>
      <x:c r="FO58" s="125"/>
      <x:c r="FP58" s="125"/>
      <x:c r="FQ58" s="125"/>
      <x:c r="FR58" s="125"/>
      <x:c r="FS58" s="125"/>
      <x:c r="FT58" s="125"/>
      <x:c r="FU58" s="125"/>
      <x:c r="FV58" s="125"/>
      <x:c r="FW58" s="125"/>
      <x:c r="FX58" s="125"/>
      <x:c r="FY58" s="125"/>
      <x:c r="FZ58" s="125"/>
      <x:c r="GA58" s="125"/>
    </x:row>
    <x:row r="59">
      <x:c r="A59" t="str">
        <x:v>Собственные средства — остаток</x:v>
      </x:c>
      <x:c r="B59">
        <x:f>GA59</x:f>
      </x:c>
      <x:c r="C59" t="str">
        <x:v>млн ₽</x:v>
      </x:c>
      <x:c r="D59" s="117">
        <x:f>MAX(0,'Вводные'!$B$85*'Вводные'!$AI$91-D56)</x:f>
      </x:c>
      <x:c r="E59" s="117">
        <x:f>MAX(0,D59-E56)</x:f>
      </x:c>
      <x:c r="F59" s="117">
        <x:f>MAX(0,E59-F56)</x:f>
      </x:c>
      <x:c r="G59" s="117">
        <x:f>MAX(0,F59-G56)</x:f>
      </x:c>
      <x:c r="H59" s="117">
        <x:f>MAX(0,G59-H56)</x:f>
      </x:c>
      <x:c r="I59" s="117">
        <x:f>MAX(0,H59-I56)</x:f>
      </x:c>
      <x:c r="J59" s="117">
        <x:f>MAX(0,I59-J56)</x:f>
      </x:c>
      <x:c r="K59" s="117">
        <x:f>MAX(0,J59-K56)</x:f>
      </x:c>
      <x:c r="L59" s="117">
        <x:f>MAX(0,K59-L56)</x:f>
      </x:c>
      <x:c r="M59" s="117">
        <x:f>MAX(0,L59-M56)</x:f>
      </x:c>
      <x:c r="N59" s="117">
        <x:f>MAX(0,M59-N56)</x:f>
      </x:c>
      <x:c r="O59" s="117">
        <x:f>MAX(0,N59-O56)</x:f>
      </x:c>
      <x:c r="P59" s="117">
        <x:f>MAX(0,O59-P56)</x:f>
      </x:c>
      <x:c r="Q59" s="117">
        <x:f>MAX(0,P59-Q56)</x:f>
      </x:c>
      <x:c r="R59" s="117">
        <x:f>MAX(0,Q59-R56)</x:f>
      </x:c>
      <x:c r="S59" s="117">
        <x:f>MAX(0,R59-S56)</x:f>
      </x:c>
      <x:c r="T59" s="117">
        <x:f>MAX(0,S59-T56)</x:f>
      </x:c>
      <x:c r="U59" s="117">
        <x:f>MAX(0,T59-U56)</x:f>
      </x:c>
      <x:c r="V59" s="117">
        <x:f>MAX(0,U59-V56)</x:f>
      </x:c>
      <x:c r="W59" s="117">
        <x:f>MAX(0,V59-W56)</x:f>
      </x:c>
      <x:c r="X59" s="117">
        <x:f>MAX(0,W59-X56)</x:f>
      </x:c>
      <x:c r="Y59" s="117">
        <x:f>MAX(0,X59-Y56)</x:f>
      </x:c>
      <x:c r="Z59" s="117">
        <x:f>MAX(0,Y59-Z56)</x:f>
      </x:c>
      <x:c r="AA59" s="117">
        <x:f>MAX(0,Z59-AA56)</x:f>
      </x:c>
      <x:c r="AB59" s="117">
        <x:f>MAX(0,AA59-AB56)</x:f>
      </x:c>
      <x:c r="AC59" s="117">
        <x:f>MAX(0,AB59-AC56)</x:f>
      </x:c>
      <x:c r="AD59" s="117">
        <x:f>MAX(0,AC59-AD56)</x:f>
      </x:c>
      <x:c r="AE59" s="117">
        <x:f>MAX(0,AD59-AE56)</x:f>
      </x:c>
      <x:c r="AF59" s="117">
        <x:f>MAX(0,AE59-AF56)</x:f>
      </x:c>
      <x:c r="AG59" s="117">
        <x:f>MAX(0,AF59-AG56)</x:f>
      </x:c>
      <x:c r="AH59" s="117">
        <x:f>MAX(0,AG59-AH56)</x:f>
      </x:c>
      <x:c r="AI59" s="117">
        <x:f>MAX(0,AH59-AI56)</x:f>
      </x:c>
      <x:c r="AJ59" s="117">
        <x:f>MAX(0,AI59-AJ56)</x:f>
      </x:c>
      <x:c r="AK59" s="117">
        <x:f>MAX(0,AJ59-AK56)</x:f>
      </x:c>
      <x:c r="AL59" s="117">
        <x:f>MAX(0,AK59-AL56)</x:f>
      </x:c>
      <x:c r="AM59" s="117">
        <x:f>MAX(0,AL59-AM56)</x:f>
      </x:c>
      <x:c r="AN59" s="117">
        <x:f>MAX(0,AM59-AN56)</x:f>
      </x:c>
      <x:c r="AO59" s="117">
        <x:f>MAX(0,AN59-AO56)</x:f>
      </x:c>
      <x:c r="AP59" s="117">
        <x:f>MAX(0,AO59-AP56)</x:f>
      </x:c>
      <x:c r="AQ59" s="117">
        <x:f>MAX(0,AP59-AQ56)</x:f>
      </x:c>
      <x:c r="AR59" s="117">
        <x:f>MAX(0,AQ59-AR56)</x:f>
      </x:c>
      <x:c r="AS59" s="117">
        <x:f>MAX(0,AR59-AS56)</x:f>
      </x:c>
      <x:c r="AT59" s="117">
        <x:f>MAX(0,AS59-AT56)</x:f>
      </x:c>
      <x:c r="AU59" s="117">
        <x:f>MAX(0,AT59-AU56)</x:f>
      </x:c>
      <x:c r="AV59" s="117">
        <x:f>MAX(0,AU59-AV56)</x:f>
      </x:c>
      <x:c r="AW59" s="117">
        <x:f>MAX(0,AV59-AW56)</x:f>
      </x:c>
      <x:c r="AX59" s="117">
        <x:f>MAX(0,AW59-AX56)</x:f>
      </x:c>
      <x:c r="AY59" s="117">
        <x:f>MAX(0,AX59-AY56)</x:f>
      </x:c>
      <x:c r="AZ59" s="117">
        <x:f>MAX(0,AY59-AZ56)</x:f>
      </x:c>
      <x:c r="BA59" s="117">
        <x:f>MAX(0,AZ59-BA56)</x:f>
      </x:c>
      <x:c r="BB59" s="117">
        <x:f>MAX(0,BA59-BB56)</x:f>
      </x:c>
      <x:c r="BC59" s="117">
        <x:f>MAX(0,BB59-BC56)</x:f>
      </x:c>
      <x:c r="BD59" s="117">
        <x:f>MAX(0,BC59-BD56)</x:f>
      </x:c>
      <x:c r="BE59" s="117">
        <x:f>MAX(0,BD59-BE56)</x:f>
      </x:c>
      <x:c r="BF59" s="117">
        <x:f>MAX(0,BE59-BF56)</x:f>
      </x:c>
      <x:c r="BG59" s="117">
        <x:f>MAX(0,BF59-BG56)</x:f>
      </x:c>
      <x:c r="BH59" s="117">
        <x:f>MAX(0,BG59-BH56)</x:f>
      </x:c>
      <x:c r="BI59" s="117">
        <x:f>MAX(0,BH59-BI56)</x:f>
      </x:c>
      <x:c r="BJ59" s="117">
        <x:f>MAX(0,BI59-BJ56)</x:f>
      </x:c>
      <x:c r="BK59" s="117">
        <x:f>MAX(0,BJ59-BK56)</x:f>
      </x:c>
      <x:c r="BL59" s="117">
        <x:f>MAX(0,BK59-BL56)</x:f>
      </x:c>
      <x:c r="BM59" s="117">
        <x:f>MAX(0,BL59-BM56)</x:f>
      </x:c>
      <x:c r="BN59" s="117">
        <x:f>MAX(0,BM59-BN56)</x:f>
      </x:c>
      <x:c r="BO59" s="117">
        <x:f>MAX(0,BN59-BO56)</x:f>
      </x:c>
      <x:c r="BP59" s="117">
        <x:f>MAX(0,BO59-BP56)</x:f>
      </x:c>
      <x:c r="BQ59" s="117">
        <x:f>MAX(0,BP59-BQ56)</x:f>
      </x:c>
      <x:c r="BR59" s="117">
        <x:f>MAX(0,BQ59-BR56)</x:f>
      </x:c>
      <x:c r="BS59" s="117">
        <x:f>MAX(0,BR59-BS56)</x:f>
      </x:c>
      <x:c r="BT59" s="117">
        <x:f>MAX(0,BS59-BT56)</x:f>
      </x:c>
      <x:c r="BU59" s="117">
        <x:f>MAX(0,BT59-BU56)</x:f>
      </x:c>
      <x:c r="BV59" s="117">
        <x:f>MAX(0,BU59-BV56)</x:f>
      </x:c>
      <x:c r="BW59" s="117">
        <x:f>MAX(0,BV59-BW56)</x:f>
      </x:c>
      <x:c r="BX59" s="117">
        <x:f>MAX(0,BW59-BX56)</x:f>
      </x:c>
      <x:c r="BY59" s="117">
        <x:f>MAX(0,BX59-BY56)</x:f>
      </x:c>
      <x:c r="BZ59" s="117">
        <x:f>MAX(0,BY59-BZ56)</x:f>
      </x:c>
      <x:c r="CA59" s="117">
        <x:f>MAX(0,BZ59-CA56)</x:f>
      </x:c>
      <x:c r="CB59" s="117">
        <x:f>MAX(0,CA59-CB56)</x:f>
      </x:c>
      <x:c r="CC59" s="117">
        <x:f>MAX(0,CB59-CC56)</x:f>
      </x:c>
      <x:c r="CD59" s="117">
        <x:f>MAX(0,CC59-CD56)</x:f>
      </x:c>
      <x:c r="CE59" s="117">
        <x:f>MAX(0,CD59-CE56)</x:f>
      </x:c>
      <x:c r="CF59" s="117">
        <x:f>MAX(0,CE59-CF56)</x:f>
      </x:c>
      <x:c r="CG59" s="117">
        <x:f>MAX(0,CF59-CG56)</x:f>
      </x:c>
      <x:c r="CH59" s="117">
        <x:f>MAX(0,CG59-CH56)</x:f>
      </x:c>
      <x:c r="CI59" s="117">
        <x:f>MAX(0,CH59-CI56)</x:f>
      </x:c>
      <x:c r="CJ59" s="117">
        <x:f>MAX(0,CI59-CJ56)</x:f>
      </x:c>
      <x:c r="CK59" s="117">
        <x:f>MAX(0,CJ59-CK56)</x:f>
      </x:c>
      <x:c r="CL59" s="117">
        <x:f>MAX(0,CK59-CL56)</x:f>
      </x:c>
      <x:c r="CM59" s="117">
        <x:f>MAX(0,CL59-CM56)</x:f>
      </x:c>
      <x:c r="CN59" s="117">
        <x:f>MAX(0,CM59-CN56)</x:f>
      </x:c>
      <x:c r="CO59" s="117">
        <x:f>MAX(0,CN59-CO56)</x:f>
      </x:c>
      <x:c r="CP59" s="117">
        <x:f>MAX(0,CO59-CP56)</x:f>
      </x:c>
      <x:c r="CQ59" s="117">
        <x:f>MAX(0,CP59-CQ56)</x:f>
      </x:c>
      <x:c r="CR59" s="117">
        <x:f>MAX(0,CQ59-CR56)</x:f>
      </x:c>
      <x:c r="CS59" s="117">
        <x:f>MAX(0,CR59-CS56)</x:f>
      </x:c>
      <x:c r="CT59" s="117">
        <x:f>MAX(0,CS59-CT56)</x:f>
      </x:c>
      <x:c r="CU59" s="117">
        <x:f>MAX(0,CT59-CU56)</x:f>
      </x:c>
      <x:c r="CV59" s="117">
        <x:f>MAX(0,CU59-CV56)</x:f>
      </x:c>
      <x:c r="CW59" s="117">
        <x:f>MAX(0,CV59-CW56)</x:f>
      </x:c>
      <x:c r="CX59" s="117">
        <x:f>MAX(0,CW59-CX56)</x:f>
      </x:c>
      <x:c r="CY59" s="117">
        <x:f>MAX(0,CX59-CY56)</x:f>
      </x:c>
      <x:c r="CZ59" s="117">
        <x:f>MAX(0,CY59-CZ56)</x:f>
      </x:c>
      <x:c r="DA59" s="117">
        <x:f>MAX(0,CZ59-DA56)</x:f>
      </x:c>
      <x:c r="DB59" s="117">
        <x:f>MAX(0,DA59-DB56)</x:f>
      </x:c>
      <x:c r="DC59" s="117">
        <x:f>MAX(0,DB59-DC56)</x:f>
      </x:c>
      <x:c r="DD59" s="117">
        <x:f>MAX(0,DC59-DD56)</x:f>
      </x:c>
      <x:c r="DE59" s="117">
        <x:f>MAX(0,DD59-DE56)</x:f>
      </x:c>
      <x:c r="DF59" s="117">
        <x:f>MAX(0,DE59-DF56)</x:f>
      </x:c>
      <x:c r="DG59" s="117">
        <x:f>MAX(0,DF59-DG56)</x:f>
      </x:c>
      <x:c r="DH59" s="117">
        <x:f>MAX(0,DG59-DH56)</x:f>
      </x:c>
      <x:c r="DI59" s="117">
        <x:f>MAX(0,DH59-DI56)</x:f>
      </x:c>
      <x:c r="DJ59" s="117">
        <x:f>MAX(0,DI59-DJ56)</x:f>
      </x:c>
      <x:c r="DK59" s="117">
        <x:f>MAX(0,DJ59-DK56)</x:f>
      </x:c>
      <x:c r="DL59" s="117">
        <x:f>MAX(0,DK59-DL56)</x:f>
      </x:c>
      <x:c r="DM59" s="117">
        <x:f>MAX(0,DL59-DM56)</x:f>
      </x:c>
      <x:c r="DN59" s="117">
        <x:f>MAX(0,DM59-DN56)</x:f>
      </x:c>
      <x:c r="DO59" s="117">
        <x:f>MAX(0,DN59-DO56)</x:f>
      </x:c>
      <x:c r="DP59" s="117">
        <x:f>MAX(0,DO59-DP56)</x:f>
      </x:c>
      <x:c r="DQ59" s="117">
        <x:f>MAX(0,DP59-DQ56)</x:f>
      </x:c>
      <x:c r="DR59" s="117">
        <x:f>MAX(0,DQ59-DR56)</x:f>
      </x:c>
      <x:c r="DS59" s="117">
        <x:f>MAX(0,DR59-DS56)</x:f>
      </x:c>
      <x:c r="DT59" s="117">
        <x:f>MAX(0,DS59-DT56)</x:f>
      </x:c>
      <x:c r="DU59" s="117">
        <x:f>MAX(0,DT59-DU56)</x:f>
      </x:c>
      <x:c r="DV59" s="117">
        <x:f>MAX(0,DU59-DV56)</x:f>
      </x:c>
      <x:c r="DW59" s="117">
        <x:f>MAX(0,DV59-DW56)</x:f>
      </x:c>
      <x:c r="DX59" s="117">
        <x:f>MAX(0,DW59-DX56)</x:f>
      </x:c>
      <x:c r="DY59" s="117">
        <x:f>MAX(0,DX59-DY56)</x:f>
      </x:c>
      <x:c r="DZ59" s="117">
        <x:f>MAX(0,DY59-DZ56)</x:f>
      </x:c>
      <x:c r="EA59" s="117">
        <x:f>MAX(0,DZ59-EA56)</x:f>
      </x:c>
      <x:c r="EB59" s="117">
        <x:f>MAX(0,EA59-EB56)</x:f>
      </x:c>
      <x:c r="EC59" s="117">
        <x:f>MAX(0,EB59-EC56)</x:f>
      </x:c>
      <x:c r="ED59" s="117">
        <x:f>MAX(0,EC59-ED56)</x:f>
      </x:c>
      <x:c r="EE59" s="117">
        <x:f>MAX(0,ED59-EE56)</x:f>
      </x:c>
      <x:c r="EF59" s="117">
        <x:f>MAX(0,EE59-EF56)</x:f>
      </x:c>
      <x:c r="EG59" s="117">
        <x:f>MAX(0,EF59-EG56)</x:f>
      </x:c>
      <x:c r="EH59" s="117">
        <x:f>MAX(0,EG59-EH56)</x:f>
      </x:c>
      <x:c r="EI59" s="117">
        <x:f>MAX(0,EH59-EI56)</x:f>
      </x:c>
      <x:c r="EJ59" s="117">
        <x:f>MAX(0,EI59-EJ56)</x:f>
      </x:c>
      <x:c r="EK59" s="117">
        <x:f>MAX(0,EJ59-EK56)</x:f>
      </x:c>
      <x:c r="EL59" s="117">
        <x:f>MAX(0,EK59-EL56)</x:f>
      </x:c>
      <x:c r="EM59" s="117">
        <x:f>MAX(0,EL59-EM56)</x:f>
      </x:c>
      <x:c r="EN59" s="117">
        <x:f>MAX(0,EM59-EN56)</x:f>
      </x:c>
      <x:c r="EO59" s="117">
        <x:f>MAX(0,EN59-EO56)</x:f>
      </x:c>
      <x:c r="EP59" s="117">
        <x:f>MAX(0,EO59-EP56)</x:f>
      </x:c>
      <x:c r="EQ59" s="117">
        <x:f>MAX(0,EP59-EQ56)</x:f>
      </x:c>
      <x:c r="ER59" s="117">
        <x:f>MAX(0,EQ59-ER56)</x:f>
      </x:c>
      <x:c r="ES59" s="117">
        <x:f>MAX(0,ER59-ES56)</x:f>
      </x:c>
      <x:c r="ET59" s="117">
        <x:f>MAX(0,ES59-ET56)</x:f>
      </x:c>
      <x:c r="EU59" s="117">
        <x:f>MAX(0,ET59-EU56)</x:f>
      </x:c>
      <x:c r="EV59" s="117">
        <x:f>MAX(0,EU59-EV56)</x:f>
      </x:c>
      <x:c r="EW59" s="117">
        <x:f>MAX(0,EV59-EW56)</x:f>
      </x:c>
      <x:c r="EX59" s="117">
        <x:f>MAX(0,EW59-EX56)</x:f>
      </x:c>
      <x:c r="EY59" s="117">
        <x:f>MAX(0,EX59-EY56)</x:f>
      </x:c>
      <x:c r="EZ59" s="117">
        <x:f>MAX(0,EY59-EZ56)</x:f>
      </x:c>
      <x:c r="FA59" s="117">
        <x:f>MAX(0,EZ59-FA56)</x:f>
      </x:c>
      <x:c r="FB59" s="117">
        <x:f>MAX(0,FA59-FB56)</x:f>
      </x:c>
      <x:c r="FC59" s="117">
        <x:f>MAX(0,FB59-FC56)</x:f>
      </x:c>
      <x:c r="FD59" s="117">
        <x:f>MAX(0,FC59-FD56)</x:f>
      </x:c>
      <x:c r="FE59" s="117">
        <x:f>MAX(0,FD59-FE56)</x:f>
      </x:c>
      <x:c r="FF59" s="117">
        <x:f>MAX(0,FE59-FF56)</x:f>
      </x:c>
      <x:c r="FG59" s="117">
        <x:f>MAX(0,FF59-FG56)</x:f>
      </x:c>
      <x:c r="FH59" s="117">
        <x:f>MAX(0,FG59-FH56)</x:f>
      </x:c>
      <x:c r="FI59" s="117">
        <x:f>MAX(0,FH59-FI56)</x:f>
      </x:c>
      <x:c r="FJ59" s="117">
        <x:f>MAX(0,FI59-FJ56)</x:f>
      </x:c>
      <x:c r="FK59" s="117">
        <x:f>MAX(0,FJ59-FK56)</x:f>
      </x:c>
      <x:c r="FL59" s="117">
        <x:f>MAX(0,FK59-FL56)</x:f>
      </x:c>
      <x:c r="FM59" s="117">
        <x:f>MAX(0,FL59-FM56)</x:f>
      </x:c>
      <x:c r="FN59" s="117">
        <x:f>MAX(0,FM59-FN56)</x:f>
      </x:c>
      <x:c r="FO59" s="117">
        <x:f>MAX(0,FN59-FO56)</x:f>
      </x:c>
      <x:c r="FP59" s="117">
        <x:f>MAX(0,FO59-FP56)</x:f>
      </x:c>
      <x:c r="FQ59" s="117">
        <x:f>MAX(0,FP59-FQ56)</x:f>
      </x:c>
      <x:c r="FR59" s="117">
        <x:f>MAX(0,FQ59-FR56)</x:f>
      </x:c>
      <x:c r="FS59" s="117">
        <x:f>MAX(0,FR59-FS56)</x:f>
      </x:c>
      <x:c r="FT59" s="117">
        <x:f>MAX(0,FS59-FT56)</x:f>
      </x:c>
      <x:c r="FU59" s="117">
        <x:f>MAX(0,FT59-FU56)</x:f>
      </x:c>
      <x:c r="FV59" s="117">
        <x:f>MAX(0,FU59-FV56)</x:f>
      </x:c>
      <x:c r="FW59" s="117">
        <x:f>MAX(0,FV59-FW56)</x:f>
      </x:c>
      <x:c r="FX59" s="117">
        <x:f>MAX(0,FW59-FX56)</x:f>
      </x:c>
      <x:c r="FY59" s="117">
        <x:f>MAX(0,FX59-FY56)</x:f>
      </x:c>
      <x:c r="FZ59" s="117">
        <x:f>MAX(0,FY59-FZ56)</x:f>
      </x:c>
      <x:c r="GA59" s="117">
        <x:f>MAX(0,FZ59-GA56)</x:f>
      </x:c>
    </x:row>
    <x:row r="60">
      <x:c r="A60" s="128" t="str">
        <x:v>CHECK: roll-forward БРИДЖ</x:v>
      </x:c>
      <x:c r="B60" s="128" t="n">
        <x:f>MAX(MAX(D60:GA60),-MIN(D60:GA60))</x:f>
      </x:c>
      <x:c r="C60" s="128" t="str">
        <x:v>млн ₽</x:v>
      </x:c>
      <x:c r="D60" s="118">
        <x:f>D36-(D30+D34-D35)</x:f>
      </x:c>
      <x:c r="E60" s="118">
        <x:f>E36-(E30+E34-E35)</x:f>
      </x:c>
      <x:c r="F60" s="118">
        <x:f>F36-(F30+F34-F35)</x:f>
      </x:c>
      <x:c r="G60" s="118">
        <x:f>G36-(G30+G34-G35)</x:f>
      </x:c>
      <x:c r="H60" s="118">
        <x:f>H36-(H30+H34-H35)</x:f>
      </x:c>
      <x:c r="I60" s="118">
        <x:f>I36-(I30+I34-I35)</x:f>
      </x:c>
      <x:c r="J60" s="118">
        <x:f>J36-(J30+J34-J35)</x:f>
      </x:c>
      <x:c r="K60" s="118">
        <x:f>K36-(K30+K34-K35)</x:f>
      </x:c>
      <x:c r="L60" s="118">
        <x:f>L36-(L30+L34-L35)</x:f>
      </x:c>
      <x:c r="M60" s="118">
        <x:f>M36-(M30+M34-M35)</x:f>
      </x:c>
      <x:c r="N60" s="118">
        <x:f>N36-(N30+N34-N35)</x:f>
      </x:c>
      <x:c r="O60" s="118">
        <x:f>O36-(O30+O34-O35)</x:f>
      </x:c>
      <x:c r="P60" s="118">
        <x:f>P36-(P30+P34-P35)</x:f>
      </x:c>
      <x:c r="Q60" s="118">
        <x:f>Q36-(Q30+Q34-Q35)</x:f>
      </x:c>
      <x:c r="R60" s="118">
        <x:f>R36-(R30+R34-R35)</x:f>
      </x:c>
      <x:c r="S60" s="118">
        <x:f>S36-(S30+S34-S35)</x:f>
      </x:c>
      <x:c r="T60" s="118">
        <x:f>T36-(T30+T34-T35)</x:f>
      </x:c>
      <x:c r="U60" s="118">
        <x:f>U36-(U30+U34-U35)</x:f>
      </x:c>
      <x:c r="V60" s="118">
        <x:f>V36-(V30+V34-V35)</x:f>
      </x:c>
      <x:c r="W60" s="118">
        <x:f>W36-(W30+W34-W35)</x:f>
      </x:c>
      <x:c r="X60" s="118">
        <x:f>X36-(X30+X34-X35)</x:f>
      </x:c>
      <x:c r="Y60" s="118">
        <x:f>Y36-(Y30+Y34-Y35)</x:f>
      </x:c>
      <x:c r="Z60" s="118">
        <x:f>Z36-(Z30+Z34-Z35)</x:f>
      </x:c>
      <x:c r="AA60" s="118">
        <x:f>AA36-(AA30+AA34-AA35)</x:f>
      </x:c>
      <x:c r="AB60" s="118">
        <x:f>AB36-(AB30+AB34-AB35)</x:f>
      </x:c>
      <x:c r="AC60" s="118">
        <x:f>AC36-(AC30+AC34-AC35)</x:f>
      </x:c>
      <x:c r="AD60" s="118">
        <x:f>AD36-(AD30+AD34-AD35)</x:f>
      </x:c>
      <x:c r="AE60" s="118">
        <x:f>AE36-(AE30+AE34-AE35)</x:f>
      </x:c>
      <x:c r="AF60" s="118">
        <x:f>AF36-(AF30+AF34-AF35)</x:f>
      </x:c>
      <x:c r="AG60" s="118">
        <x:f>AG36-(AG30+AG34-AG35)</x:f>
      </x:c>
      <x:c r="AH60" s="118">
        <x:f>AH36-(AH30+AH34-AH35)</x:f>
      </x:c>
      <x:c r="AI60" s="118">
        <x:f>AI36-(AI30+AI34-AI35)</x:f>
      </x:c>
      <x:c r="AJ60" s="118">
        <x:f>AJ36-(AJ30+AJ34-AJ35)</x:f>
      </x:c>
      <x:c r="AK60" s="118">
        <x:f>AK36-(AK30+AK34-AK35)</x:f>
      </x:c>
      <x:c r="AL60" s="118">
        <x:f>AL36-(AL30+AL34-AL35)</x:f>
      </x:c>
      <x:c r="AM60" s="118">
        <x:f>AM36-(AM30+AM34-AM35)</x:f>
      </x:c>
      <x:c r="AN60" s="118">
        <x:f>AN36-(AN30+AN34-AN35)</x:f>
      </x:c>
      <x:c r="AO60" s="118">
        <x:f>AO36-(AO30+AO34-AO35)</x:f>
      </x:c>
      <x:c r="AP60" s="118">
        <x:f>AP36-(AP30+AP34-AP35)</x:f>
      </x:c>
      <x:c r="AQ60" s="118">
        <x:f>AQ36-(AQ30+AQ34-AQ35)</x:f>
      </x:c>
      <x:c r="AR60" s="118">
        <x:f>AR36-(AR30+AR34-AR35)</x:f>
      </x:c>
      <x:c r="AS60" s="118">
        <x:f>AS36-(AS30+AS34-AS35)</x:f>
      </x:c>
      <x:c r="AT60" s="118">
        <x:f>AT36-(AT30+AT34-AT35)</x:f>
      </x:c>
      <x:c r="AU60" s="118">
        <x:f>AU36-(AU30+AU34-AU35)</x:f>
      </x:c>
      <x:c r="AV60" s="118">
        <x:f>AV36-(AV30+AV34-AV35)</x:f>
      </x:c>
      <x:c r="AW60" s="118">
        <x:f>AW36-(AW30+AW34-AW35)</x:f>
      </x:c>
      <x:c r="AX60" s="118">
        <x:f>AX36-(AX30+AX34-AX35)</x:f>
      </x:c>
      <x:c r="AY60" s="118">
        <x:f>AY36-(AY30+AY34-AY35)</x:f>
      </x:c>
      <x:c r="AZ60" s="118">
        <x:f>AZ36-(AZ30+AZ34-AZ35)</x:f>
      </x:c>
      <x:c r="BA60" s="118">
        <x:f>BA36-(BA30+BA34-BA35)</x:f>
      </x:c>
      <x:c r="BB60" s="118">
        <x:f>BB36-(BB30+BB34-BB35)</x:f>
      </x:c>
      <x:c r="BC60" s="118">
        <x:f>BC36-(BC30+BC34-BC35)</x:f>
      </x:c>
      <x:c r="BD60" s="118">
        <x:f>BD36-(BD30+BD34-BD35)</x:f>
      </x:c>
      <x:c r="BE60" s="118">
        <x:f>BE36-(BE30+BE34-BE35)</x:f>
      </x:c>
      <x:c r="BF60" s="118">
        <x:f>BF36-(BF30+BF34-BF35)</x:f>
      </x:c>
      <x:c r="BG60" s="118">
        <x:f>BG36-(BG30+BG34-BG35)</x:f>
      </x:c>
      <x:c r="BH60" s="118">
        <x:f>BH36-(BH30+BH34-BH35)</x:f>
      </x:c>
      <x:c r="BI60" s="118">
        <x:f>BI36-(BI30+BI34-BI35)</x:f>
      </x:c>
      <x:c r="BJ60" s="118">
        <x:f>BJ36-(BJ30+BJ34-BJ35)</x:f>
      </x:c>
      <x:c r="BK60" s="118">
        <x:f>BK36-(BK30+BK34-BK35)</x:f>
      </x:c>
      <x:c r="BL60" s="118">
        <x:f>BL36-(BL30+BL34-BL35)</x:f>
      </x:c>
      <x:c r="BM60" s="118">
        <x:f>BM36-(BM30+BM34-BM35)</x:f>
      </x:c>
      <x:c r="BN60" s="118">
        <x:f>BN36-(BN30+BN34-BN35)</x:f>
      </x:c>
      <x:c r="BO60" s="118">
        <x:f>BO36-(BO30+BO34-BO35)</x:f>
      </x:c>
      <x:c r="BP60" s="118">
        <x:f>BP36-(BP30+BP34-BP35)</x:f>
      </x:c>
      <x:c r="BQ60" s="118">
        <x:f>BQ36-(BQ30+BQ34-BQ35)</x:f>
      </x:c>
      <x:c r="BR60" s="118">
        <x:f>BR36-(BR30+BR34-BR35)</x:f>
      </x:c>
      <x:c r="BS60" s="118">
        <x:f>BS36-(BS30+BS34-BS35)</x:f>
      </x:c>
      <x:c r="BT60" s="118">
        <x:f>BT36-(BT30+BT34-BT35)</x:f>
      </x:c>
      <x:c r="BU60" s="118">
        <x:f>BU36-(BU30+BU34-BU35)</x:f>
      </x:c>
      <x:c r="BV60" s="118">
        <x:f>BV36-(BV30+BV34-BV35)</x:f>
      </x:c>
      <x:c r="BW60" s="118">
        <x:f>BW36-(BW30+BW34-BW35)</x:f>
      </x:c>
      <x:c r="BX60" s="118">
        <x:f>BX36-(BX30+BX34-BX35)</x:f>
      </x:c>
      <x:c r="BY60" s="118">
        <x:f>BY36-(BY30+BY34-BY35)</x:f>
      </x:c>
      <x:c r="BZ60" s="118">
        <x:f>BZ36-(BZ30+BZ34-BZ35)</x:f>
      </x:c>
      <x:c r="CA60" s="118">
        <x:f>CA36-(CA30+CA34-CA35)</x:f>
      </x:c>
      <x:c r="CB60" s="118">
        <x:f>CB36-(CB30+CB34-CB35)</x:f>
      </x:c>
      <x:c r="CC60" s="118">
        <x:f>CC36-(CC30+CC34-CC35)</x:f>
      </x:c>
      <x:c r="CD60" s="118">
        <x:f>CD36-(CD30+CD34-CD35)</x:f>
      </x:c>
      <x:c r="CE60" s="118">
        <x:f>CE36-(CE30+CE34-CE35)</x:f>
      </x:c>
      <x:c r="CF60" s="118">
        <x:f>CF36-(CF30+CF34-CF35)</x:f>
      </x:c>
      <x:c r="CG60" s="118">
        <x:f>CG36-(CG30+CG34-CG35)</x:f>
      </x:c>
      <x:c r="CH60" s="118">
        <x:f>CH36-(CH30+CH34-CH35)</x:f>
      </x:c>
      <x:c r="CI60" s="118">
        <x:f>CI36-(CI30+CI34-CI35)</x:f>
      </x:c>
      <x:c r="CJ60" s="118">
        <x:f>CJ36-(CJ30+CJ34-CJ35)</x:f>
      </x:c>
      <x:c r="CK60" s="118">
        <x:f>CK36-(CK30+CK34-CK35)</x:f>
      </x:c>
      <x:c r="CL60" s="118">
        <x:f>CL36-(CL30+CL34-CL35)</x:f>
      </x:c>
      <x:c r="CM60" s="118">
        <x:f>CM36-(CM30+CM34-CM35)</x:f>
      </x:c>
      <x:c r="CN60" s="118">
        <x:f>CN36-(CN30+CN34-CN35)</x:f>
      </x:c>
      <x:c r="CO60" s="118">
        <x:f>CO36-(CO30+CO34-CO35)</x:f>
      </x:c>
      <x:c r="CP60" s="118">
        <x:f>CP36-(CP30+CP34-CP35)</x:f>
      </x:c>
      <x:c r="CQ60" s="118">
        <x:f>CQ36-(CQ30+CQ34-CQ35)</x:f>
      </x:c>
      <x:c r="CR60" s="118">
        <x:f>CR36-(CR30+CR34-CR35)</x:f>
      </x:c>
      <x:c r="CS60" s="118">
        <x:f>CS36-(CS30+CS34-CS35)</x:f>
      </x:c>
      <x:c r="CT60" s="118">
        <x:f>CT36-(CT30+CT34-CT35)</x:f>
      </x:c>
      <x:c r="CU60" s="118">
        <x:f>CU36-(CU30+CU34-CU35)</x:f>
      </x:c>
      <x:c r="CV60" s="118">
        <x:f>CV36-(CV30+CV34-CV35)</x:f>
      </x:c>
      <x:c r="CW60" s="118">
        <x:f>CW36-(CW30+CW34-CW35)</x:f>
      </x:c>
      <x:c r="CX60" s="118">
        <x:f>CX36-(CX30+CX34-CX35)</x:f>
      </x:c>
      <x:c r="CY60" s="118">
        <x:f>CY36-(CY30+CY34-CY35)</x:f>
      </x:c>
      <x:c r="CZ60" s="118">
        <x:f>CZ36-(CZ30+CZ34-CZ35)</x:f>
      </x:c>
      <x:c r="DA60" s="118">
        <x:f>DA36-(DA30+DA34-DA35)</x:f>
      </x:c>
      <x:c r="DB60" s="118">
        <x:f>DB36-(DB30+DB34-DB35)</x:f>
      </x:c>
      <x:c r="DC60" s="118">
        <x:f>DC36-(DC30+DC34-DC35)</x:f>
      </x:c>
      <x:c r="DD60" s="118">
        <x:f>DD36-(DD30+DD34-DD35)</x:f>
      </x:c>
      <x:c r="DE60" s="118">
        <x:f>DE36-(DE30+DE34-DE35)</x:f>
      </x:c>
      <x:c r="DF60" s="118">
        <x:f>DF36-(DF30+DF34-DF35)</x:f>
      </x:c>
      <x:c r="DG60" s="118">
        <x:f>DG36-(DG30+DG34-DG35)</x:f>
      </x:c>
      <x:c r="DH60" s="118">
        <x:f>DH36-(DH30+DH34-DH35)</x:f>
      </x:c>
      <x:c r="DI60" s="118">
        <x:f>DI36-(DI30+DI34-DI35)</x:f>
      </x:c>
      <x:c r="DJ60" s="118">
        <x:f>DJ36-(DJ30+DJ34-DJ35)</x:f>
      </x:c>
      <x:c r="DK60" s="118">
        <x:f>DK36-(DK30+DK34-DK35)</x:f>
      </x:c>
      <x:c r="DL60" s="118">
        <x:f>DL36-(DL30+DL34-DL35)</x:f>
      </x:c>
      <x:c r="DM60" s="118">
        <x:f>DM36-(DM30+DM34-DM35)</x:f>
      </x:c>
      <x:c r="DN60" s="118">
        <x:f>DN36-(DN30+DN34-DN35)</x:f>
      </x:c>
      <x:c r="DO60" s="118">
        <x:f>DO36-(DO30+DO34-DO35)</x:f>
      </x:c>
      <x:c r="DP60" s="118">
        <x:f>DP36-(DP30+DP34-DP35)</x:f>
      </x:c>
      <x:c r="DQ60" s="118">
        <x:f>DQ36-(DQ30+DQ34-DQ35)</x:f>
      </x:c>
      <x:c r="DR60" s="118">
        <x:f>DR36-(DR30+DR34-DR35)</x:f>
      </x:c>
      <x:c r="DS60" s="118">
        <x:f>DS36-(DS30+DS34-DS35)</x:f>
      </x:c>
      <x:c r="DT60" s="118">
        <x:f>DT36-(DT30+DT34-DT35)</x:f>
      </x:c>
      <x:c r="DU60" s="118">
        <x:f>DU36-(DU30+DU34-DU35)</x:f>
      </x:c>
      <x:c r="DV60" s="118">
        <x:f>DV36-(DV30+DV34-DV35)</x:f>
      </x:c>
      <x:c r="DW60" s="118">
        <x:f>DW36-(DW30+DW34-DW35)</x:f>
      </x:c>
      <x:c r="DX60" s="118">
        <x:f>DX36-(DX30+DX34-DX35)</x:f>
      </x:c>
      <x:c r="DY60" s="118">
        <x:f>DY36-(DY30+DY34-DY35)</x:f>
      </x:c>
      <x:c r="DZ60" s="118">
        <x:f>DZ36-(DZ30+DZ34-DZ35)</x:f>
      </x:c>
      <x:c r="EA60" s="118">
        <x:f>EA36-(EA30+EA34-EA35)</x:f>
      </x:c>
      <x:c r="EB60" s="118">
        <x:f>EB36-(EB30+EB34-EB35)</x:f>
      </x:c>
      <x:c r="EC60" s="118">
        <x:f>EC36-(EC30+EC34-EC35)</x:f>
      </x:c>
      <x:c r="ED60" s="118">
        <x:f>ED36-(ED30+ED34-ED35)</x:f>
      </x:c>
      <x:c r="EE60" s="118">
        <x:f>EE36-(EE30+EE34-EE35)</x:f>
      </x:c>
      <x:c r="EF60" s="118">
        <x:f>EF36-(EF30+EF34-EF35)</x:f>
      </x:c>
      <x:c r="EG60" s="118">
        <x:f>EG36-(EG30+EG34-EG35)</x:f>
      </x:c>
      <x:c r="EH60" s="118">
        <x:f>EH36-(EH30+EH34-EH35)</x:f>
      </x:c>
      <x:c r="EI60" s="118">
        <x:f>EI36-(EI30+EI34-EI35)</x:f>
      </x:c>
      <x:c r="EJ60" s="118">
        <x:f>EJ36-(EJ30+EJ34-EJ35)</x:f>
      </x:c>
      <x:c r="EK60" s="118">
        <x:f>EK36-(EK30+EK34-EK35)</x:f>
      </x:c>
      <x:c r="EL60" s="118">
        <x:f>EL36-(EL30+EL34-EL35)</x:f>
      </x:c>
      <x:c r="EM60" s="118">
        <x:f>EM36-(EM30+EM34-EM35)</x:f>
      </x:c>
      <x:c r="EN60" s="118">
        <x:f>EN36-(EN30+EN34-EN35)</x:f>
      </x:c>
      <x:c r="EO60" s="118">
        <x:f>EO36-(EO30+EO34-EO35)</x:f>
      </x:c>
      <x:c r="EP60" s="118">
        <x:f>EP36-(EP30+EP34-EP35)</x:f>
      </x:c>
      <x:c r="EQ60" s="118">
        <x:f>EQ36-(EQ30+EQ34-EQ35)</x:f>
      </x:c>
      <x:c r="ER60" s="118">
        <x:f>ER36-(ER30+ER34-ER35)</x:f>
      </x:c>
      <x:c r="ES60" s="118">
        <x:f>ES36-(ES30+ES34-ES35)</x:f>
      </x:c>
      <x:c r="ET60" s="118">
        <x:f>ET36-(ET30+ET34-ET35)</x:f>
      </x:c>
      <x:c r="EU60" s="118">
        <x:f>EU36-(EU30+EU34-EU35)</x:f>
      </x:c>
      <x:c r="EV60" s="118">
        <x:f>EV36-(EV30+EV34-EV35)</x:f>
      </x:c>
      <x:c r="EW60" s="118">
        <x:f>EW36-(EW30+EW34-EW35)</x:f>
      </x:c>
      <x:c r="EX60" s="118">
        <x:f>EX36-(EX30+EX34-EX35)</x:f>
      </x:c>
      <x:c r="EY60" s="118">
        <x:f>EY36-(EY30+EY34-EY35)</x:f>
      </x:c>
      <x:c r="EZ60" s="118">
        <x:f>EZ36-(EZ30+EZ34-EZ35)</x:f>
      </x:c>
      <x:c r="FA60" s="118">
        <x:f>FA36-(FA30+FA34-FA35)</x:f>
      </x:c>
      <x:c r="FB60" s="118">
        <x:f>FB36-(FB30+FB34-FB35)</x:f>
      </x:c>
      <x:c r="FC60" s="118">
        <x:f>FC36-(FC30+FC34-FC35)</x:f>
      </x:c>
      <x:c r="FD60" s="118">
        <x:f>FD36-(FD30+FD34-FD35)</x:f>
      </x:c>
      <x:c r="FE60" s="118">
        <x:f>FE36-(FE30+FE34-FE35)</x:f>
      </x:c>
      <x:c r="FF60" s="118">
        <x:f>FF36-(FF30+FF34-FF35)</x:f>
      </x:c>
      <x:c r="FG60" s="118">
        <x:f>FG36-(FG30+FG34-FG35)</x:f>
      </x:c>
      <x:c r="FH60" s="118">
        <x:f>FH36-(FH30+FH34-FH35)</x:f>
      </x:c>
      <x:c r="FI60" s="118">
        <x:f>FI36-(FI30+FI34-FI35)</x:f>
      </x:c>
      <x:c r="FJ60" s="118">
        <x:f>FJ36-(FJ30+FJ34-FJ35)</x:f>
      </x:c>
      <x:c r="FK60" s="118">
        <x:f>FK36-(FK30+FK34-FK35)</x:f>
      </x:c>
      <x:c r="FL60" s="118">
        <x:f>FL36-(FL30+FL34-FL35)</x:f>
      </x:c>
      <x:c r="FM60" s="118">
        <x:f>FM36-(FM30+FM34-FM35)</x:f>
      </x:c>
      <x:c r="FN60" s="118">
        <x:f>FN36-(FN30+FN34-FN35)</x:f>
      </x:c>
      <x:c r="FO60" s="118">
        <x:f>FO36-(FO30+FO34-FO35)</x:f>
      </x:c>
      <x:c r="FP60" s="118">
        <x:f>FP36-(FP30+FP34-FP35)</x:f>
      </x:c>
      <x:c r="FQ60" s="118">
        <x:f>FQ36-(FQ30+FQ34-FQ35)</x:f>
      </x:c>
      <x:c r="FR60" s="118">
        <x:f>FR36-(FR30+FR34-FR35)</x:f>
      </x:c>
      <x:c r="FS60" s="118">
        <x:f>FS36-(FS30+FS34-FS35)</x:f>
      </x:c>
      <x:c r="FT60" s="118">
        <x:f>FT36-(FT30+FT34-FT35)</x:f>
      </x:c>
      <x:c r="FU60" s="118">
        <x:f>FU36-(FU30+FU34-FU35)</x:f>
      </x:c>
      <x:c r="FV60" s="118">
        <x:f>FV36-(FV30+FV34-FV35)</x:f>
      </x:c>
      <x:c r="FW60" s="118">
        <x:f>FW36-(FW30+FW34-FW35)</x:f>
      </x:c>
      <x:c r="FX60" s="118">
        <x:f>FX36-(FX30+FX34-FX35)</x:f>
      </x:c>
      <x:c r="FY60" s="118">
        <x:f>FY36-(FY30+FY34-FY35)</x:f>
      </x:c>
      <x:c r="FZ60" s="118">
        <x:f>FZ36-(FZ30+FZ34-FZ35)</x:f>
      </x:c>
      <x:c r="GA60" s="118">
        <x:f>GA36-(GA30+GA34-GA35)</x:f>
      </x:c>
    </x:row>
    <x:row r="61">
      <x:c r="A61" s="128" t="str">
        <x:v>CHECK: roll-forward ПФ</x:v>
      </x:c>
      <x:c r="B61" s="128" t="n">
        <x:f>MAX(MAX(D61:GA61),-MIN(D61:GA61))</x:f>
      </x:c>
      <x:c r="C61" s="128" t="str">
        <x:v>млн ₽</x:v>
      </x:c>
      <x:c r="D61" s="118">
        <x:f>D47-(D38+D45-D46)</x:f>
      </x:c>
      <x:c r="E61" s="118">
        <x:f>E47-(E38+E45-E46)</x:f>
      </x:c>
      <x:c r="F61" s="118">
        <x:f>F47-(F38+F45-F46)</x:f>
      </x:c>
      <x:c r="G61" s="118">
        <x:f>G47-(G38+G45-G46)</x:f>
      </x:c>
      <x:c r="H61" s="118">
        <x:f>H47-(H38+H45-H46)</x:f>
      </x:c>
      <x:c r="I61" s="118">
        <x:f>I47-(I38+I45-I46)</x:f>
      </x:c>
      <x:c r="J61" s="118">
        <x:f>J47-(J38+J45-J46)</x:f>
      </x:c>
      <x:c r="K61" s="118">
        <x:f>K47-(K38+K45-K46)</x:f>
      </x:c>
      <x:c r="L61" s="118">
        <x:f>L47-(L38+L45-L46)</x:f>
      </x:c>
      <x:c r="M61" s="118">
        <x:f>M47-(M38+M45-M46)</x:f>
      </x:c>
      <x:c r="N61" s="118">
        <x:f>N47-(N38+N45-N46)</x:f>
      </x:c>
      <x:c r="O61" s="118">
        <x:f>O47-(O38+O45-O46)</x:f>
      </x:c>
      <x:c r="P61" s="118">
        <x:f>P47-(P38+P45-P46)</x:f>
      </x:c>
      <x:c r="Q61" s="118">
        <x:f>Q47-(Q38+Q45-Q46)</x:f>
      </x:c>
      <x:c r="R61" s="118">
        <x:f>R47-(R38+R45-R46)</x:f>
      </x:c>
      <x:c r="S61" s="118">
        <x:f>S47-(S38+S45-S46)</x:f>
      </x:c>
      <x:c r="T61" s="118">
        <x:f>T47-(T38+T45-T46)</x:f>
      </x:c>
      <x:c r="U61" s="118">
        <x:f>U47-(U38+U45-U46)</x:f>
      </x:c>
      <x:c r="V61" s="118">
        <x:f>V47-(V38+V45-V46)</x:f>
      </x:c>
      <x:c r="W61" s="118">
        <x:f>W47-(W38+W45-W46)</x:f>
      </x:c>
      <x:c r="X61" s="118">
        <x:f>X47-(X38+X45-X46)</x:f>
      </x:c>
      <x:c r="Y61" s="118">
        <x:f>Y47-(Y38+Y45-Y46)</x:f>
      </x:c>
      <x:c r="Z61" s="118">
        <x:f>Z47-(Z38+Z45-Z46)</x:f>
      </x:c>
      <x:c r="AA61" s="118">
        <x:f>AA47-(AA38+AA45-AA46)</x:f>
      </x:c>
      <x:c r="AB61" s="118">
        <x:f>AB47-(AB38+AB45-AB46)</x:f>
      </x:c>
      <x:c r="AC61" s="118">
        <x:f>AC47-(AC38+AC45-AC46)</x:f>
      </x:c>
      <x:c r="AD61" s="118">
        <x:f>AD47-(AD38+AD45-AD46)</x:f>
      </x:c>
      <x:c r="AE61" s="118">
        <x:f>AE47-(AE38+AE45-AE46)</x:f>
      </x:c>
      <x:c r="AF61" s="118">
        <x:f>AF47-(AF38+AF45-AF46)</x:f>
      </x:c>
      <x:c r="AG61" s="118">
        <x:f>AG47-(AG38+AG45-AG46)</x:f>
      </x:c>
      <x:c r="AH61" s="118">
        <x:f>AH47-(AH38+AH45-AH46)</x:f>
      </x:c>
      <x:c r="AI61" s="118">
        <x:f>AI47-(AI38+AI45-AI46)</x:f>
      </x:c>
      <x:c r="AJ61" s="118">
        <x:f>AJ47-(AJ38+AJ45-AJ46)</x:f>
      </x:c>
      <x:c r="AK61" s="118">
        <x:f>AK47-(AK38+AK45-AK46)</x:f>
      </x:c>
      <x:c r="AL61" s="118">
        <x:f>AL47-(AL38+AL45-AL46)</x:f>
      </x:c>
      <x:c r="AM61" s="118">
        <x:f>AM47-(AM38+AM45-AM46)</x:f>
      </x:c>
      <x:c r="AN61" s="118">
        <x:f>AN47-(AN38+AN45-AN46)</x:f>
      </x:c>
      <x:c r="AO61" s="118">
        <x:f>AO47-(AO38+AO45-AO46)</x:f>
      </x:c>
      <x:c r="AP61" s="118">
        <x:f>AP47-(AP38+AP45-AP46)</x:f>
      </x:c>
      <x:c r="AQ61" s="118">
        <x:f>AQ47-(AQ38+AQ45-AQ46)</x:f>
      </x:c>
      <x:c r="AR61" s="118">
        <x:f>AR47-(AR38+AR45-AR46)</x:f>
      </x:c>
      <x:c r="AS61" s="118">
        <x:f>AS47-(AS38+AS45-AS46)</x:f>
      </x:c>
      <x:c r="AT61" s="118">
        <x:f>AT47-(AT38+AT45-AT46)</x:f>
      </x:c>
      <x:c r="AU61" s="118">
        <x:f>AU47-(AU38+AU45-AU46)</x:f>
      </x:c>
      <x:c r="AV61" s="118">
        <x:f>AV47-(AV38+AV45-AV46)</x:f>
      </x:c>
      <x:c r="AW61" s="118">
        <x:f>AW47-(AW38+AW45-AW46)</x:f>
      </x:c>
      <x:c r="AX61" s="118">
        <x:f>AX47-(AX38+AX45-AX46)</x:f>
      </x:c>
      <x:c r="AY61" s="118">
        <x:f>AY47-(AY38+AY45-AY46)</x:f>
      </x:c>
      <x:c r="AZ61" s="118">
        <x:f>AZ47-(AZ38+AZ45-AZ46)</x:f>
      </x:c>
      <x:c r="BA61" s="118">
        <x:f>BA47-(BA38+BA45-BA46)</x:f>
      </x:c>
      <x:c r="BB61" s="118">
        <x:f>BB47-(BB38+BB45-BB46)</x:f>
      </x:c>
      <x:c r="BC61" s="118">
        <x:f>BC47-(BC38+BC45-BC46)</x:f>
      </x:c>
      <x:c r="BD61" s="118">
        <x:f>BD47-(BD38+BD45-BD46)</x:f>
      </x:c>
      <x:c r="BE61" s="118">
        <x:f>BE47-(BE38+BE45-BE46)</x:f>
      </x:c>
      <x:c r="BF61" s="118">
        <x:f>BF47-(BF38+BF45-BF46)</x:f>
      </x:c>
      <x:c r="BG61" s="118">
        <x:f>BG47-(BG38+BG45-BG46)</x:f>
      </x:c>
      <x:c r="BH61" s="118">
        <x:f>BH47-(BH38+BH45-BH46)</x:f>
      </x:c>
      <x:c r="BI61" s="118">
        <x:f>BI47-(BI38+BI45-BI46)</x:f>
      </x:c>
      <x:c r="BJ61" s="118">
        <x:f>BJ47-(BJ38+BJ45-BJ46)</x:f>
      </x:c>
      <x:c r="BK61" s="118">
        <x:f>BK47-(BK38+BK45-BK46)</x:f>
      </x:c>
      <x:c r="BL61" s="118">
        <x:f>BL47-(BL38+BL45-BL46)</x:f>
      </x:c>
      <x:c r="BM61" s="118">
        <x:f>BM47-(BM38+BM45-BM46)</x:f>
      </x:c>
      <x:c r="BN61" s="118">
        <x:f>BN47-(BN38+BN45-BN46)</x:f>
      </x:c>
      <x:c r="BO61" s="118">
        <x:f>BO47-(BO38+BO45-BO46)</x:f>
      </x:c>
      <x:c r="BP61" s="118">
        <x:f>BP47-(BP38+BP45-BP46)</x:f>
      </x:c>
      <x:c r="BQ61" s="118">
        <x:f>BQ47-(BQ38+BQ45-BQ46)</x:f>
      </x:c>
      <x:c r="BR61" s="118">
        <x:f>BR47-(BR38+BR45-BR46)</x:f>
      </x:c>
      <x:c r="BS61" s="118">
        <x:f>BS47-(BS38+BS45-BS46)</x:f>
      </x:c>
      <x:c r="BT61" s="118">
        <x:f>BT47-(BT38+BT45-BT46)</x:f>
      </x:c>
      <x:c r="BU61" s="118">
        <x:f>BU47-(BU38+BU45-BU46)</x:f>
      </x:c>
      <x:c r="BV61" s="118">
        <x:f>BV47-(BV38+BV45-BV46)</x:f>
      </x:c>
      <x:c r="BW61" s="118">
        <x:f>BW47-(BW38+BW45-BW46)</x:f>
      </x:c>
      <x:c r="BX61" s="118">
        <x:f>BX47-(BX38+BX45-BX46)</x:f>
      </x:c>
      <x:c r="BY61" s="118">
        <x:f>BY47-(BY38+BY45-BY46)</x:f>
      </x:c>
      <x:c r="BZ61" s="118">
        <x:f>BZ47-(BZ38+BZ45-BZ46)</x:f>
      </x:c>
      <x:c r="CA61" s="118">
        <x:f>CA47-(CA38+CA45-CA46)</x:f>
      </x:c>
      <x:c r="CB61" s="118">
        <x:f>CB47-(CB38+CB45-CB46)</x:f>
      </x:c>
      <x:c r="CC61" s="118">
        <x:f>CC47-(CC38+CC45-CC46)</x:f>
      </x:c>
      <x:c r="CD61" s="118">
        <x:f>CD47-(CD38+CD45-CD46)</x:f>
      </x:c>
      <x:c r="CE61" s="118">
        <x:f>CE47-(CE38+CE45-CE46)</x:f>
      </x:c>
      <x:c r="CF61" s="118">
        <x:f>CF47-(CF38+CF45-CF46)</x:f>
      </x:c>
      <x:c r="CG61" s="118">
        <x:f>CG47-(CG38+CG45-CG46)</x:f>
      </x:c>
      <x:c r="CH61" s="118">
        <x:f>CH47-(CH38+CH45-CH46)</x:f>
      </x:c>
      <x:c r="CI61" s="118">
        <x:f>CI47-(CI38+CI45-CI46)</x:f>
      </x:c>
      <x:c r="CJ61" s="118">
        <x:f>CJ47-(CJ38+CJ45-CJ46)</x:f>
      </x:c>
      <x:c r="CK61" s="118">
        <x:f>CK47-(CK38+CK45-CK46)</x:f>
      </x:c>
      <x:c r="CL61" s="118">
        <x:f>CL47-(CL38+CL45-CL46)</x:f>
      </x:c>
      <x:c r="CM61" s="118">
        <x:f>CM47-(CM38+CM45-CM46)</x:f>
      </x:c>
      <x:c r="CN61" s="118">
        <x:f>CN47-(CN38+CN45-CN46)</x:f>
      </x:c>
      <x:c r="CO61" s="118">
        <x:f>CO47-(CO38+CO45-CO46)</x:f>
      </x:c>
      <x:c r="CP61" s="118">
        <x:f>CP47-(CP38+CP45-CP46)</x:f>
      </x:c>
      <x:c r="CQ61" s="118">
        <x:f>CQ47-(CQ38+CQ45-CQ46)</x:f>
      </x:c>
      <x:c r="CR61" s="118">
        <x:f>CR47-(CR38+CR45-CR46)</x:f>
      </x:c>
      <x:c r="CS61" s="118">
        <x:f>CS47-(CS38+CS45-CS46)</x:f>
      </x:c>
      <x:c r="CT61" s="118">
        <x:f>CT47-(CT38+CT45-CT46)</x:f>
      </x:c>
      <x:c r="CU61" s="118">
        <x:f>CU47-(CU38+CU45-CU46)</x:f>
      </x:c>
      <x:c r="CV61" s="118">
        <x:f>CV47-(CV38+CV45-CV46)</x:f>
      </x:c>
      <x:c r="CW61" s="118">
        <x:f>CW47-(CW38+CW45-CW46)</x:f>
      </x:c>
      <x:c r="CX61" s="118">
        <x:f>CX47-(CX38+CX45-CX46)</x:f>
      </x:c>
      <x:c r="CY61" s="118">
        <x:f>CY47-(CY38+CY45-CY46)</x:f>
      </x:c>
      <x:c r="CZ61" s="118">
        <x:f>CZ47-(CZ38+CZ45-CZ46)</x:f>
      </x:c>
      <x:c r="DA61" s="118">
        <x:f>DA47-(DA38+DA45-DA46)</x:f>
      </x:c>
      <x:c r="DB61" s="118">
        <x:f>DB47-(DB38+DB45-DB46)</x:f>
      </x:c>
      <x:c r="DC61" s="118">
        <x:f>DC47-(DC38+DC45-DC46)</x:f>
      </x:c>
      <x:c r="DD61" s="118">
        <x:f>DD47-(DD38+DD45-DD46)</x:f>
      </x:c>
      <x:c r="DE61" s="118">
        <x:f>DE47-(DE38+DE45-DE46)</x:f>
      </x:c>
      <x:c r="DF61" s="118">
        <x:f>DF47-(DF38+DF45-DF46)</x:f>
      </x:c>
      <x:c r="DG61" s="118">
        <x:f>DG47-(DG38+DG45-DG46)</x:f>
      </x:c>
      <x:c r="DH61" s="118">
        <x:f>DH47-(DH38+DH45-DH46)</x:f>
      </x:c>
      <x:c r="DI61" s="118">
        <x:f>DI47-(DI38+DI45-DI46)</x:f>
      </x:c>
      <x:c r="DJ61" s="118">
        <x:f>DJ47-(DJ38+DJ45-DJ46)</x:f>
      </x:c>
      <x:c r="DK61" s="118">
        <x:f>DK47-(DK38+DK45-DK46)</x:f>
      </x:c>
      <x:c r="DL61" s="118">
        <x:f>DL47-(DL38+DL45-DL46)</x:f>
      </x:c>
      <x:c r="DM61" s="118">
        <x:f>DM47-(DM38+DM45-DM46)</x:f>
      </x:c>
      <x:c r="DN61" s="118">
        <x:f>DN47-(DN38+DN45-DN46)</x:f>
      </x:c>
      <x:c r="DO61" s="118">
        <x:f>DO47-(DO38+DO45-DO46)</x:f>
      </x:c>
      <x:c r="DP61" s="118">
        <x:f>DP47-(DP38+DP45-DP46)</x:f>
      </x:c>
      <x:c r="DQ61" s="118">
        <x:f>DQ47-(DQ38+DQ45-DQ46)</x:f>
      </x:c>
      <x:c r="DR61" s="118">
        <x:f>DR47-(DR38+DR45-DR46)</x:f>
      </x:c>
      <x:c r="DS61" s="118">
        <x:f>DS47-(DS38+DS45-DS46)</x:f>
      </x:c>
      <x:c r="DT61" s="118">
        <x:f>DT47-(DT38+DT45-DT46)</x:f>
      </x:c>
      <x:c r="DU61" s="118">
        <x:f>DU47-(DU38+DU45-DU46)</x:f>
      </x:c>
      <x:c r="DV61" s="118">
        <x:f>DV47-(DV38+DV45-DV46)</x:f>
      </x:c>
      <x:c r="DW61" s="118">
        <x:f>DW47-(DW38+DW45-DW46)</x:f>
      </x:c>
      <x:c r="DX61" s="118">
        <x:f>DX47-(DX38+DX45-DX46)</x:f>
      </x:c>
      <x:c r="DY61" s="118">
        <x:f>DY47-(DY38+DY45-DY46)</x:f>
      </x:c>
      <x:c r="DZ61" s="118">
        <x:f>DZ47-(DZ38+DZ45-DZ46)</x:f>
      </x:c>
      <x:c r="EA61" s="118">
        <x:f>EA47-(EA38+EA45-EA46)</x:f>
      </x:c>
      <x:c r="EB61" s="118">
        <x:f>EB47-(EB38+EB45-EB46)</x:f>
      </x:c>
      <x:c r="EC61" s="118">
        <x:f>EC47-(EC38+EC45-EC46)</x:f>
      </x:c>
      <x:c r="ED61" s="118">
        <x:f>ED47-(ED38+ED45-ED46)</x:f>
      </x:c>
      <x:c r="EE61" s="118">
        <x:f>EE47-(EE38+EE45-EE46)</x:f>
      </x:c>
      <x:c r="EF61" s="118">
        <x:f>EF47-(EF38+EF45-EF46)</x:f>
      </x:c>
      <x:c r="EG61" s="118">
        <x:f>EG47-(EG38+EG45-EG46)</x:f>
      </x:c>
      <x:c r="EH61" s="118">
        <x:f>EH47-(EH38+EH45-EH46)</x:f>
      </x:c>
      <x:c r="EI61" s="118">
        <x:f>EI47-(EI38+EI45-EI46)</x:f>
      </x:c>
      <x:c r="EJ61" s="118">
        <x:f>EJ47-(EJ38+EJ45-EJ46)</x:f>
      </x:c>
      <x:c r="EK61" s="118">
        <x:f>EK47-(EK38+EK45-EK46)</x:f>
      </x:c>
      <x:c r="EL61" s="118">
        <x:f>EL47-(EL38+EL45-EL46)</x:f>
      </x:c>
      <x:c r="EM61" s="118">
        <x:f>EM47-(EM38+EM45-EM46)</x:f>
      </x:c>
      <x:c r="EN61" s="118">
        <x:f>EN47-(EN38+EN45-EN46)</x:f>
      </x:c>
      <x:c r="EO61" s="118">
        <x:f>EO47-(EO38+EO45-EO46)</x:f>
      </x:c>
      <x:c r="EP61" s="118">
        <x:f>EP47-(EP38+EP45-EP46)</x:f>
      </x:c>
      <x:c r="EQ61" s="118">
        <x:f>EQ47-(EQ38+EQ45-EQ46)</x:f>
      </x:c>
      <x:c r="ER61" s="118">
        <x:f>ER47-(ER38+ER45-ER46)</x:f>
      </x:c>
      <x:c r="ES61" s="118">
        <x:f>ES47-(ES38+ES45-ES46)</x:f>
      </x:c>
      <x:c r="ET61" s="118">
        <x:f>ET47-(ET38+ET45-ET46)</x:f>
      </x:c>
      <x:c r="EU61" s="118">
        <x:f>EU47-(EU38+EU45-EU46)</x:f>
      </x:c>
      <x:c r="EV61" s="118">
        <x:f>EV47-(EV38+EV45-EV46)</x:f>
      </x:c>
      <x:c r="EW61" s="118">
        <x:f>EW47-(EW38+EW45-EW46)</x:f>
      </x:c>
      <x:c r="EX61" s="118">
        <x:f>EX47-(EX38+EX45-EX46)</x:f>
      </x:c>
      <x:c r="EY61" s="118">
        <x:f>EY47-(EY38+EY45-EY46)</x:f>
      </x:c>
      <x:c r="EZ61" s="118">
        <x:f>EZ47-(EZ38+EZ45-EZ46)</x:f>
      </x:c>
      <x:c r="FA61" s="118">
        <x:f>FA47-(FA38+FA45-FA46)</x:f>
      </x:c>
      <x:c r="FB61" s="118">
        <x:f>FB47-(FB38+FB45-FB46)</x:f>
      </x:c>
      <x:c r="FC61" s="118">
        <x:f>FC47-(FC38+FC45-FC46)</x:f>
      </x:c>
      <x:c r="FD61" s="118">
        <x:f>FD47-(FD38+FD45-FD46)</x:f>
      </x:c>
      <x:c r="FE61" s="118">
        <x:f>FE47-(FE38+FE45-FE46)</x:f>
      </x:c>
      <x:c r="FF61" s="118">
        <x:f>FF47-(FF38+FF45-FF46)</x:f>
      </x:c>
      <x:c r="FG61" s="118">
        <x:f>FG47-(FG38+FG45-FG46)</x:f>
      </x:c>
      <x:c r="FH61" s="118">
        <x:f>FH47-(FH38+FH45-FH46)</x:f>
      </x:c>
      <x:c r="FI61" s="118">
        <x:f>FI47-(FI38+FI45-FI46)</x:f>
      </x:c>
      <x:c r="FJ61" s="118">
        <x:f>FJ47-(FJ38+FJ45-FJ46)</x:f>
      </x:c>
      <x:c r="FK61" s="118">
        <x:f>FK47-(FK38+FK45-FK46)</x:f>
      </x:c>
      <x:c r="FL61" s="118">
        <x:f>FL47-(FL38+FL45-FL46)</x:f>
      </x:c>
      <x:c r="FM61" s="118">
        <x:f>FM47-(FM38+FM45-FM46)</x:f>
      </x:c>
      <x:c r="FN61" s="118">
        <x:f>FN47-(FN38+FN45-FN46)</x:f>
      </x:c>
      <x:c r="FO61" s="118">
        <x:f>FO47-(FO38+FO45-FO46)</x:f>
      </x:c>
      <x:c r="FP61" s="118">
        <x:f>FP47-(FP38+FP45-FP46)</x:f>
      </x:c>
      <x:c r="FQ61" s="118">
        <x:f>FQ47-(FQ38+FQ45-FQ46)</x:f>
      </x:c>
      <x:c r="FR61" s="118">
        <x:f>FR47-(FR38+FR45-FR46)</x:f>
      </x:c>
      <x:c r="FS61" s="118">
        <x:f>FS47-(FS38+FS45-FS46)</x:f>
      </x:c>
      <x:c r="FT61" s="118">
        <x:f>FT47-(FT38+FT45-FT46)</x:f>
      </x:c>
      <x:c r="FU61" s="118">
        <x:f>FU47-(FU38+FU45-FU46)</x:f>
      </x:c>
      <x:c r="FV61" s="118">
        <x:f>FV47-(FV38+FV45-FV46)</x:f>
      </x:c>
      <x:c r="FW61" s="118">
        <x:f>FW47-(FW38+FW45-FW46)</x:f>
      </x:c>
      <x:c r="FX61" s="118">
        <x:f>FX47-(FX38+FX45-FX46)</x:f>
      </x:c>
      <x:c r="FY61" s="118">
        <x:f>FY47-(FY38+FY45-FY46)</x:f>
      </x:c>
      <x:c r="FZ61" s="118">
        <x:f>FZ47-(FZ38+FZ45-FZ46)</x:f>
      </x:c>
      <x:c r="GA61" s="118">
        <x:f>GA47-(GA38+GA45-GA46)</x:f>
      </x:c>
    </x:row>
    <x:row r="62">
      <x:c r="A62" s="128" t="str">
        <x:v>CHECK: roll-forward эскроу</x:v>
      </x:c>
      <x:c r="B62" s="128" t="n">
        <x:f>MAX(MAX(D62:GA62),-MIN(D62:GA62))</x:f>
      </x:c>
      <x:c r="C62" s="128" t="str">
        <x:v>млн ₽</x:v>
      </x:c>
      <x:c r="D62" s="118" t="n">
        <x:f>D15-(D13+D11-D14)</x:f>
      </x:c>
      <x:c r="E62" s="118" t="n">
        <x:f>E15-(E13+E11-E14)</x:f>
      </x:c>
      <x:c r="F62" s="118" t="n">
        <x:f>F15-(F13+F11-F14)</x:f>
      </x:c>
      <x:c r="G62" s="118" t="n">
        <x:f>G15-(G13+G11-G14)</x:f>
      </x:c>
      <x:c r="H62" s="118" t="n">
        <x:f>H15-(H13+H11-H14)</x:f>
      </x:c>
      <x:c r="I62" s="118" t="n">
        <x:f>I15-(I13+I11-I14)</x:f>
      </x:c>
      <x:c r="J62" s="118" t="n">
        <x:f>J15-(J13+J11-J14)</x:f>
      </x:c>
      <x:c r="K62" s="118" t="n">
        <x:f>K15-(K13+K11-K14)</x:f>
      </x:c>
      <x:c r="L62" s="118" t="n">
        <x:f>L15-(L13+L11-L14)</x:f>
      </x:c>
      <x:c r="M62" s="118" t="n">
        <x:f>M15-(M13+M11-M14)</x:f>
      </x:c>
      <x:c r="N62" s="118" t="n">
        <x:f>N15-(N13+N11-N14)</x:f>
      </x:c>
      <x:c r="O62" s="118" t="n">
        <x:f>O15-(O13+O11-O14)</x:f>
      </x:c>
      <x:c r="P62" s="118" t="n">
        <x:f>P15-(P13+P11-P14)</x:f>
      </x:c>
      <x:c r="Q62" s="118" t="n">
        <x:f>Q15-(Q13+Q11-Q14)</x:f>
      </x:c>
      <x:c r="R62" s="118" t="n">
        <x:f>R15-(R13+R11-R14)</x:f>
      </x:c>
      <x:c r="S62" s="118" t="n">
        <x:f>S15-(S13+S11-S14)</x:f>
      </x:c>
      <x:c r="T62" s="118" t="n">
        <x:f>T15-(T13+T11-T14)</x:f>
      </x:c>
      <x:c r="U62" s="118" t="n">
        <x:f>U15-(U13+U11-U14)</x:f>
      </x:c>
      <x:c r="V62" s="118" t="n">
        <x:f>V15-(V13+V11-V14)</x:f>
      </x:c>
      <x:c r="W62" s="118" t="n">
        <x:f>W15-(W13+W11-W14)</x:f>
      </x:c>
      <x:c r="X62" s="118" t="n">
        <x:f>X15-(X13+X11-X14)</x:f>
      </x:c>
      <x:c r="Y62" s="118" t="n">
        <x:f>Y15-(Y13+Y11-Y14)</x:f>
      </x:c>
      <x:c r="Z62" s="118" t="n">
        <x:f>Z15-(Z13+Z11-Z14)</x:f>
      </x:c>
      <x:c r="AA62" s="118" t="n">
        <x:f>AA15-(AA13+AA11-AA14)</x:f>
      </x:c>
      <x:c r="AB62" s="118" t="n">
        <x:f>AB15-(AB13+AB11-AB14)</x:f>
      </x:c>
      <x:c r="AC62" s="118" t="n">
        <x:f>AC15-(AC13+AC11-AC14)</x:f>
      </x:c>
      <x:c r="AD62" s="118" t="n">
        <x:f>AD15-(AD13+AD11-AD14)</x:f>
      </x:c>
      <x:c r="AE62" s="118" t="n">
        <x:f>AE15-(AE13+AE11-AE14)</x:f>
      </x:c>
      <x:c r="AF62" s="118" t="n">
        <x:f>AF15-(AF13+AF11-AF14)</x:f>
      </x:c>
      <x:c r="AG62" s="118" t="n">
        <x:f>AG15-(AG13+AG11-AG14)</x:f>
      </x:c>
      <x:c r="AH62" s="118" t="n">
        <x:f>AH15-(AH13+AH11-AH14)</x:f>
      </x:c>
      <x:c r="AI62" s="118" t="n">
        <x:f>AI15-(AI13+AI11-AI14)</x:f>
      </x:c>
      <x:c r="AJ62" s="118" t="n">
        <x:f>AJ15-(AJ13+AJ11-AJ14)</x:f>
      </x:c>
      <x:c r="AK62" s="118" t="n">
        <x:f>AK15-(AK13+AK11-AK14)</x:f>
      </x:c>
      <x:c r="AL62" s="118" t="n">
        <x:f>AL15-(AL13+AL11-AL14)</x:f>
      </x:c>
      <x:c r="AM62" s="118" t="n">
        <x:f>AM15-(AM13+AM11-AM14)</x:f>
      </x:c>
      <x:c r="AN62" s="118" t="n">
        <x:f>AN15-(AN13+AN11-AN14)</x:f>
      </x:c>
      <x:c r="AO62" s="118" t="n">
        <x:f>AO15-(AO13+AO11-AO14)</x:f>
      </x:c>
      <x:c r="AP62" s="118" t="n">
        <x:f>AP15-(AP13+AP11-AP14)</x:f>
      </x:c>
      <x:c r="AQ62" s="118" t="n">
        <x:f>AQ15-(AQ13+AQ11-AQ14)</x:f>
      </x:c>
      <x:c r="AR62" s="118" t="n">
        <x:f>AR15-(AR13+AR11-AR14)</x:f>
      </x:c>
      <x:c r="AS62" s="118" t="n">
        <x:f>AS15-(AS13+AS11-AS14)</x:f>
      </x:c>
      <x:c r="AT62" s="118" t="n">
        <x:f>AT15-(AT13+AT11-AT14)</x:f>
      </x:c>
      <x:c r="AU62" s="118" t="n">
        <x:f>AU15-(AU13+AU11-AU14)</x:f>
      </x:c>
      <x:c r="AV62" s="118" t="n">
        <x:f>AV15-(AV13+AV11-AV14)</x:f>
      </x:c>
      <x:c r="AW62" s="118" t="n">
        <x:f>AW15-(AW13+AW11-AW14)</x:f>
      </x:c>
      <x:c r="AX62" s="118" t="n">
        <x:f>AX15-(AX13+AX11-AX14)</x:f>
      </x:c>
      <x:c r="AY62" s="118" t="n">
        <x:f>AY15-(AY13+AY11-AY14)</x:f>
      </x:c>
      <x:c r="AZ62" s="118" t="n">
        <x:f>AZ15-(AZ13+AZ11-AZ14)</x:f>
      </x:c>
      <x:c r="BA62" s="118" t="n">
        <x:f>BA15-(BA13+BA11-BA14)</x:f>
      </x:c>
      <x:c r="BB62" s="118" t="n">
        <x:f>BB15-(BB13+BB11-BB14)</x:f>
      </x:c>
      <x:c r="BC62" s="118" t="n">
        <x:f>BC15-(BC13+BC11-BC14)</x:f>
      </x:c>
      <x:c r="BD62" s="118" t="n">
        <x:f>BD15-(BD13+BD11-BD14)</x:f>
      </x:c>
      <x:c r="BE62" s="118" t="n">
        <x:f>BE15-(BE13+BE11-BE14)</x:f>
      </x:c>
      <x:c r="BF62" s="118" t="n">
        <x:f>BF15-(BF13+BF11-BF14)</x:f>
      </x:c>
      <x:c r="BG62" s="118" t="n">
        <x:f>BG15-(BG13+BG11-BG14)</x:f>
      </x:c>
      <x:c r="BH62" s="118" t="n">
        <x:f>BH15-(BH13+BH11-BH14)</x:f>
      </x:c>
      <x:c r="BI62" s="118" t="n">
        <x:f>BI15-(BI13+BI11-BI14)</x:f>
      </x:c>
      <x:c r="BJ62" s="118" t="n">
        <x:f>BJ15-(BJ13+BJ11-BJ14)</x:f>
      </x:c>
      <x:c r="BK62" s="118" t="n">
        <x:f>BK15-(BK13+BK11-BK14)</x:f>
      </x:c>
      <x:c r="BL62" s="118" t="n">
        <x:f>BL15-(BL13+BL11-BL14)</x:f>
      </x:c>
      <x:c r="BM62" s="118" t="n">
        <x:f>BM15-(BM13+BM11-BM14)</x:f>
      </x:c>
      <x:c r="BN62" s="118" t="n">
        <x:f>BN15-(BN13+BN11-BN14)</x:f>
      </x:c>
      <x:c r="BO62" s="118" t="n">
        <x:f>BO15-(BO13+BO11-BO14)</x:f>
      </x:c>
      <x:c r="BP62" s="118" t="n">
        <x:f>BP15-(BP13+BP11-BP14)</x:f>
      </x:c>
      <x:c r="BQ62" s="118" t="n">
        <x:f>BQ15-(BQ13+BQ11-BQ14)</x:f>
      </x:c>
      <x:c r="BR62" s="118" t="n">
        <x:f>BR15-(BR13+BR11-BR14)</x:f>
      </x:c>
      <x:c r="BS62" s="118" t="n">
        <x:f>BS15-(BS13+BS11-BS14)</x:f>
      </x:c>
      <x:c r="BT62" s="118" t="n">
        <x:f>BT15-(BT13+BT11-BT14)</x:f>
      </x:c>
      <x:c r="BU62" s="118" t="n">
        <x:f>BU15-(BU13+BU11-BU14)</x:f>
      </x:c>
      <x:c r="BV62" s="118" t="n">
        <x:f>BV15-(BV13+BV11-BV14)</x:f>
      </x:c>
      <x:c r="BW62" s="118" t="n">
        <x:f>BW15-(BW13+BW11-BW14)</x:f>
      </x:c>
      <x:c r="BX62" s="118" t="n">
        <x:f>BX15-(BX13+BX11-BX14)</x:f>
      </x:c>
      <x:c r="BY62" s="118" t="n">
        <x:f>BY15-(BY13+BY11-BY14)</x:f>
      </x:c>
      <x:c r="BZ62" s="118" t="n">
        <x:f>BZ15-(BZ13+BZ11-BZ14)</x:f>
      </x:c>
      <x:c r="CA62" s="118" t="n">
        <x:f>CA15-(CA13+CA11-CA14)</x:f>
      </x:c>
      <x:c r="CB62" s="118" t="n">
        <x:f>CB15-(CB13+CB11-CB14)</x:f>
      </x:c>
      <x:c r="CC62" s="118" t="n">
        <x:f>CC15-(CC13+CC11-CC14)</x:f>
      </x:c>
      <x:c r="CD62" s="118" t="n">
        <x:f>CD15-(CD13+CD11-CD14)</x:f>
      </x:c>
      <x:c r="CE62" s="118" t="n">
        <x:f>CE15-(CE13+CE11-CE14)</x:f>
      </x:c>
      <x:c r="CF62" s="118" t="n">
        <x:f>CF15-(CF13+CF11-CF14)</x:f>
      </x:c>
      <x:c r="CG62" s="118" t="n">
        <x:f>CG15-(CG13+CG11-CG14)</x:f>
      </x:c>
      <x:c r="CH62" s="118" t="n">
        <x:f>CH15-(CH13+CH11-CH14)</x:f>
      </x:c>
      <x:c r="CI62" s="118" t="n">
        <x:f>CI15-(CI13+CI11-CI14)</x:f>
      </x:c>
      <x:c r="CJ62" s="118" t="n">
        <x:f>CJ15-(CJ13+CJ11-CJ14)</x:f>
      </x:c>
      <x:c r="CK62" s="118" t="n">
        <x:f>CK15-(CK13+CK11-CK14)</x:f>
      </x:c>
      <x:c r="CL62" s="118" t="n">
        <x:f>CL15-(CL13+CL11-CL14)</x:f>
      </x:c>
      <x:c r="CM62" s="118" t="n">
        <x:f>CM15-(CM13+CM11-CM14)</x:f>
      </x:c>
      <x:c r="CN62" s="118" t="n">
        <x:f>CN15-(CN13+CN11-CN14)</x:f>
      </x:c>
      <x:c r="CO62" s="118" t="n">
        <x:f>CO15-(CO13+CO11-CO14)</x:f>
      </x:c>
      <x:c r="CP62" s="118" t="n">
        <x:f>CP15-(CP13+CP11-CP14)</x:f>
      </x:c>
      <x:c r="CQ62" s="118" t="n">
        <x:f>CQ15-(CQ13+CQ11-CQ14)</x:f>
      </x:c>
      <x:c r="CR62" s="118" t="n">
        <x:f>CR15-(CR13+CR11-CR14)</x:f>
      </x:c>
      <x:c r="CS62" s="118" t="n">
        <x:f>CS15-(CS13+CS11-CS14)</x:f>
      </x:c>
      <x:c r="CT62" s="118" t="n">
        <x:f>CT15-(CT13+CT11-CT14)</x:f>
      </x:c>
      <x:c r="CU62" s="118" t="n">
        <x:f>CU15-(CU13+CU11-CU14)</x:f>
      </x:c>
      <x:c r="CV62" s="118" t="n">
        <x:f>CV15-(CV13+CV11-CV14)</x:f>
      </x:c>
      <x:c r="CW62" s="118" t="n">
        <x:f>CW15-(CW13+CW11-CW14)</x:f>
      </x:c>
      <x:c r="CX62" s="118" t="n">
        <x:f>CX15-(CX13+CX11-CX14)</x:f>
      </x:c>
      <x:c r="CY62" s="118" t="n">
        <x:f>CY15-(CY13+CY11-CY14)</x:f>
      </x:c>
      <x:c r="CZ62" s="118" t="n">
        <x:f>CZ15-(CZ13+CZ11-CZ14)</x:f>
      </x:c>
      <x:c r="DA62" s="118" t="n">
        <x:f>DA15-(DA13+DA11-DA14)</x:f>
      </x:c>
      <x:c r="DB62" s="118" t="n">
        <x:f>DB15-(DB13+DB11-DB14)</x:f>
      </x:c>
      <x:c r="DC62" s="118" t="n">
        <x:f>DC15-(DC13+DC11-DC14)</x:f>
      </x:c>
      <x:c r="DD62" s="118" t="n">
        <x:f>DD15-(DD13+DD11-DD14)</x:f>
      </x:c>
      <x:c r="DE62" s="118" t="n">
        <x:f>DE15-(DE13+DE11-DE14)</x:f>
      </x:c>
      <x:c r="DF62" s="118" t="n">
        <x:f>DF15-(DF13+DF11-DF14)</x:f>
      </x:c>
      <x:c r="DG62" s="118" t="n">
        <x:f>DG15-(DG13+DG11-DG14)</x:f>
      </x:c>
      <x:c r="DH62" s="118" t="n">
        <x:f>DH15-(DH13+DH11-DH14)</x:f>
      </x:c>
      <x:c r="DI62" s="118" t="n">
        <x:f>DI15-(DI13+DI11-DI14)</x:f>
      </x:c>
      <x:c r="DJ62" s="118" t="n">
        <x:f>DJ15-(DJ13+DJ11-DJ14)</x:f>
      </x:c>
      <x:c r="DK62" s="118" t="n">
        <x:f>DK15-(DK13+DK11-DK14)</x:f>
      </x:c>
      <x:c r="DL62" s="118" t="n">
        <x:f>DL15-(DL13+DL11-DL14)</x:f>
      </x:c>
      <x:c r="DM62" s="118" t="n">
        <x:f>DM15-(DM13+DM11-DM14)</x:f>
      </x:c>
      <x:c r="DN62" s="118" t="n">
        <x:f>DN15-(DN13+DN11-DN14)</x:f>
      </x:c>
      <x:c r="DO62" s="118" t="n">
        <x:f>DO15-(DO13+DO11-DO14)</x:f>
      </x:c>
      <x:c r="DP62" s="118" t="n">
        <x:f>DP15-(DP13+DP11-DP14)</x:f>
      </x:c>
      <x:c r="DQ62" s="118" t="n">
        <x:f>DQ15-(DQ13+DQ11-DQ14)</x:f>
      </x:c>
      <x:c r="DR62" s="118" t="n">
        <x:f>DR15-(DR13+DR11-DR14)</x:f>
      </x:c>
      <x:c r="DS62" s="118" t="n">
        <x:f>DS15-(DS13+DS11-DS14)</x:f>
      </x:c>
      <x:c r="DT62" s="118" t="n">
        <x:f>DT15-(DT13+DT11-DT14)</x:f>
      </x:c>
      <x:c r="DU62" s="118" t="n">
        <x:f>DU15-(DU13+DU11-DU14)</x:f>
      </x:c>
      <x:c r="DV62" s="118" t="n">
        <x:f>DV15-(DV13+DV11-DV14)</x:f>
      </x:c>
      <x:c r="DW62" s="118" t="n">
        <x:f>DW15-(DW13+DW11-DW14)</x:f>
      </x:c>
      <x:c r="DX62" s="118" t="n">
        <x:f>DX15-(DX13+DX11-DX14)</x:f>
      </x:c>
      <x:c r="DY62" s="118" t="n">
        <x:f>DY15-(DY13+DY11-DY14)</x:f>
      </x:c>
      <x:c r="DZ62" s="118" t="n">
        <x:f>DZ15-(DZ13+DZ11-DZ14)</x:f>
      </x:c>
      <x:c r="EA62" s="118" t="n">
        <x:f>EA15-(EA13+EA11-EA14)</x:f>
      </x:c>
      <x:c r="EB62" s="118" t="n">
        <x:f>EB15-(EB13+EB11-EB14)</x:f>
      </x:c>
      <x:c r="EC62" s="118" t="n">
        <x:f>EC15-(EC13+EC11-EC14)</x:f>
      </x:c>
      <x:c r="ED62" s="118" t="n">
        <x:f>ED15-(ED13+ED11-ED14)</x:f>
      </x:c>
      <x:c r="EE62" s="118" t="n">
        <x:f>EE15-(EE13+EE11-EE14)</x:f>
      </x:c>
      <x:c r="EF62" s="118" t="n">
        <x:f>EF15-(EF13+EF11-EF14)</x:f>
      </x:c>
      <x:c r="EG62" s="118" t="n">
        <x:f>EG15-(EG13+EG11-EG14)</x:f>
      </x:c>
      <x:c r="EH62" s="118" t="n">
        <x:f>EH15-(EH13+EH11-EH14)</x:f>
      </x:c>
      <x:c r="EI62" s="118" t="n">
        <x:f>EI15-(EI13+EI11-EI14)</x:f>
      </x:c>
      <x:c r="EJ62" s="118" t="n">
        <x:f>EJ15-(EJ13+EJ11-EJ14)</x:f>
      </x:c>
      <x:c r="EK62" s="118" t="n">
        <x:f>EK15-(EK13+EK11-EK14)</x:f>
      </x:c>
      <x:c r="EL62" s="118" t="n">
        <x:f>EL15-(EL13+EL11-EL14)</x:f>
      </x:c>
      <x:c r="EM62" s="118" t="n">
        <x:f>EM15-(EM13+EM11-EM14)</x:f>
      </x:c>
      <x:c r="EN62" s="118" t="n">
        <x:f>EN15-(EN13+EN11-EN14)</x:f>
      </x:c>
      <x:c r="EO62" s="118" t="n">
        <x:f>EO15-(EO13+EO11-EO14)</x:f>
      </x:c>
      <x:c r="EP62" s="118" t="n">
        <x:f>EP15-(EP13+EP11-EP14)</x:f>
      </x:c>
      <x:c r="EQ62" s="118" t="n">
        <x:f>EQ15-(EQ13+EQ11-EQ14)</x:f>
      </x:c>
      <x:c r="ER62" s="118" t="n">
        <x:f>ER15-(ER13+ER11-ER14)</x:f>
      </x:c>
      <x:c r="ES62" s="118" t="n">
        <x:f>ES15-(ES13+ES11-ES14)</x:f>
      </x:c>
      <x:c r="ET62" s="118" t="n">
        <x:f>ET15-(ET13+ET11-ET14)</x:f>
      </x:c>
      <x:c r="EU62" s="118" t="n">
        <x:f>EU15-(EU13+EU11-EU14)</x:f>
      </x:c>
      <x:c r="EV62" s="118" t="n">
        <x:f>EV15-(EV13+EV11-EV14)</x:f>
      </x:c>
      <x:c r="EW62" s="118" t="n">
        <x:f>EW15-(EW13+EW11-EW14)</x:f>
      </x:c>
      <x:c r="EX62" s="118" t="n">
        <x:f>EX15-(EX13+EX11-EX14)</x:f>
      </x:c>
      <x:c r="EY62" s="118" t="n">
        <x:f>EY15-(EY13+EY11-EY14)</x:f>
      </x:c>
      <x:c r="EZ62" s="118" t="n">
        <x:f>EZ15-(EZ13+EZ11-EZ14)</x:f>
      </x:c>
      <x:c r="FA62" s="118" t="n">
        <x:f>FA15-(FA13+FA11-FA14)</x:f>
      </x:c>
      <x:c r="FB62" s="118" t="n">
        <x:f>FB15-(FB13+FB11-FB14)</x:f>
      </x:c>
      <x:c r="FC62" s="118" t="n">
        <x:f>FC15-(FC13+FC11-FC14)</x:f>
      </x:c>
      <x:c r="FD62" s="118" t="n">
        <x:f>FD15-(FD13+FD11-FD14)</x:f>
      </x:c>
      <x:c r="FE62" s="118" t="n">
        <x:f>FE15-(FE13+FE11-FE14)</x:f>
      </x:c>
      <x:c r="FF62" s="118" t="n">
        <x:f>FF15-(FF13+FF11-FF14)</x:f>
      </x:c>
      <x:c r="FG62" s="118" t="n">
        <x:f>FG15-(FG13+FG11-FG14)</x:f>
      </x:c>
      <x:c r="FH62" s="118" t="n">
        <x:f>FH15-(FH13+FH11-FH14)</x:f>
      </x:c>
      <x:c r="FI62" s="118" t="n">
        <x:f>FI15-(FI13+FI11-FI14)</x:f>
      </x:c>
      <x:c r="FJ62" s="118" t="n">
        <x:f>FJ15-(FJ13+FJ11-FJ14)</x:f>
      </x:c>
      <x:c r="FK62" s="118" t="n">
        <x:f>FK15-(FK13+FK11-FK14)</x:f>
      </x:c>
      <x:c r="FL62" s="118" t="n">
        <x:f>FL15-(FL13+FL11-FL14)</x:f>
      </x:c>
      <x:c r="FM62" s="118" t="n">
        <x:f>FM15-(FM13+FM11-FM14)</x:f>
      </x:c>
      <x:c r="FN62" s="118" t="n">
        <x:f>FN15-(FN13+FN11-FN14)</x:f>
      </x:c>
      <x:c r="FO62" s="118" t="n">
        <x:f>FO15-(FO13+FO11-FO14)</x:f>
      </x:c>
      <x:c r="FP62" s="118" t="n">
        <x:f>FP15-(FP13+FP11-FP14)</x:f>
      </x:c>
      <x:c r="FQ62" s="118" t="n">
        <x:f>FQ15-(FQ13+FQ11-FQ14)</x:f>
      </x:c>
      <x:c r="FR62" s="118" t="n">
        <x:f>FR15-(FR13+FR11-FR14)</x:f>
      </x:c>
      <x:c r="FS62" s="118" t="n">
        <x:f>FS15-(FS13+FS11-FS14)</x:f>
      </x:c>
      <x:c r="FT62" s="118" t="n">
        <x:f>FT15-(FT13+FT11-FT14)</x:f>
      </x:c>
      <x:c r="FU62" s="118" t="n">
        <x:f>FU15-(FU13+FU11-FU14)</x:f>
      </x:c>
      <x:c r="FV62" s="118" t="n">
        <x:f>FV15-(FV13+FV11-FV14)</x:f>
      </x:c>
      <x:c r="FW62" s="118" t="n">
        <x:f>FW15-(FW13+FW11-FW14)</x:f>
      </x:c>
      <x:c r="FX62" s="118" t="n">
        <x:f>FX15-(FX13+FX11-FX14)</x:f>
      </x:c>
      <x:c r="FY62" s="118" t="n">
        <x:f>FY15-(FY13+FY11-FY14)</x:f>
      </x:c>
      <x:c r="FZ62" s="118" t="n">
        <x:f>FZ15-(FZ13+FZ11-FZ14)</x:f>
      </x:c>
      <x:c r="GA62" s="118" t="n">
        <x:f>GA15-(GA13+GA11-GA14)</x:f>
      </x:c>
    </x:row>
    <x:row r="63">
      <x:c r="A63" s="128" t="str">
        <x:v>CHECK: дефицит фондирования</x:v>
      </x:c>
      <x:c r="B63" s="128" t="n">
        <x:f>MAX(MAX(D63:GA63),-MIN(D63:GA63))</x:f>
      </x:c>
      <x:c r="C63" s="128" t="str">
        <x:v>млн ₽</x:v>
      </x:c>
      <x:c r="D63" s="118">
        <x:f>D27+D34+D45+D49-D20-D24-D53-D57-D35-D46-D50</x:f>
      </x:c>
      <x:c r="E63" s="118">
        <x:f>E27+E34+E45+E49-E20-E24-E53-E57-E35-E46-E50</x:f>
      </x:c>
      <x:c r="F63" s="118">
        <x:f>F27+F34+F45+F49-F20-F24-F53-F57-F35-F46-F50</x:f>
      </x:c>
      <x:c r="G63" s="118">
        <x:f>G27+G34+G45+G49-G20-G24-G53-G57-G35-G46-G50</x:f>
      </x:c>
      <x:c r="H63" s="118">
        <x:f>H27+H34+H45+H49-H20-H24-H53-H57-H35-H46-H50</x:f>
      </x:c>
      <x:c r="I63" s="118">
        <x:f>I27+I34+I45+I49-I20-I24-I53-I57-I35-I46-I50</x:f>
      </x:c>
      <x:c r="J63" s="118">
        <x:f>J27+J34+J45+J49-J20-J24-J53-J57-J35-J46-J50</x:f>
      </x:c>
      <x:c r="K63" s="118">
        <x:f>K27+K34+K45+K49-K20-K24-K53-K57-K35-K46-K50</x:f>
      </x:c>
      <x:c r="L63" s="118">
        <x:f>L27+L34+L45+L49-L20-L24-L53-L57-L35-L46-L50</x:f>
      </x:c>
      <x:c r="M63" s="118">
        <x:f>M27+M34+M45+M49-M20-M24-M53-M57-M35-M46-M50</x:f>
      </x:c>
      <x:c r="N63" s="118">
        <x:f>N27+N34+N45+N49-N20-N24-N53-N57-N35-N46-N50</x:f>
      </x:c>
      <x:c r="O63" s="118">
        <x:f>O27+O34+O45+O49-O20-O24-O53-O57-O35-O46-O50</x:f>
      </x:c>
      <x:c r="P63" s="118">
        <x:f>P27+P34+P45+P49-P20-P24-P53-P57-P35-P46-P50</x:f>
      </x:c>
      <x:c r="Q63" s="118">
        <x:f>Q27+Q34+Q45+Q49-Q20-Q24-Q53-Q57-Q35-Q46-Q50</x:f>
      </x:c>
      <x:c r="R63" s="118">
        <x:f>R27+R34+R45+R49-R20-R24-R53-R57-R35-R46-R50</x:f>
      </x:c>
      <x:c r="S63" s="118">
        <x:f>S27+S34+S45+S49-S20-S24-S53-S57-S35-S46-S50</x:f>
      </x:c>
      <x:c r="T63" s="118">
        <x:f>T27+T34+T45+T49-T20-T24-T53-T57-T35-T46-T50</x:f>
      </x:c>
      <x:c r="U63" s="118">
        <x:f>U27+U34+U45+U49-U20-U24-U53-U57-U35-U46-U50</x:f>
      </x:c>
      <x:c r="V63" s="118">
        <x:f>V27+V34+V45+V49-V20-V24-V53-V57-V35-V46-V50</x:f>
      </x:c>
      <x:c r="W63" s="118">
        <x:f>W27+W34+W45+W49-W20-W24-W53-W57-W35-W46-W50</x:f>
      </x:c>
      <x:c r="X63" s="118">
        <x:f>X27+X34+X45+X49-X20-X24-X53-X57-X35-X46-X50</x:f>
      </x:c>
      <x:c r="Y63" s="118">
        <x:f>Y27+Y34+Y45+Y49-Y20-Y24-Y53-Y57-Y35-Y46-Y50</x:f>
      </x:c>
      <x:c r="Z63" s="118">
        <x:f>Z27+Z34+Z45+Z49-Z20-Z24-Z53-Z57-Z35-Z46-Z50</x:f>
      </x:c>
      <x:c r="AA63" s="118">
        <x:f>AA27+AA34+AA45+AA49-AA20-AA24-AA53-AA57-AA35-AA46-AA50</x:f>
      </x:c>
      <x:c r="AB63" s="118">
        <x:f>AB27+AB34+AB45+AB49-AB20-AB24-AB53-AB57-AB35-AB46-AB50</x:f>
      </x:c>
      <x:c r="AC63" s="118">
        <x:f>AC27+AC34+AC45+AC49-AC20-AC24-AC53-AC57-AC35-AC46-AC50</x:f>
      </x:c>
      <x:c r="AD63" s="118">
        <x:f>AD27+AD34+AD45+AD49-AD20-AD24-AD53-AD57-AD35-AD46-AD50</x:f>
      </x:c>
      <x:c r="AE63" s="118">
        <x:f>AE27+AE34+AE45+AE49-AE20-AE24-AE53-AE57-AE35-AE46-AE50</x:f>
      </x:c>
      <x:c r="AF63" s="118">
        <x:f>AF27+AF34+AF45+AF49-AF20-AF24-AF53-AF57-AF35-AF46-AF50</x:f>
      </x:c>
      <x:c r="AG63" s="118">
        <x:f>AG27+AG34+AG45+AG49-AG20-AG24-AG53-AG57-AG35-AG46-AG50</x:f>
      </x:c>
      <x:c r="AH63" s="118">
        <x:f>AH27+AH34+AH45+AH49-AH20-AH24-AH53-AH57-AH35-AH46-AH50</x:f>
      </x:c>
      <x:c r="AI63" s="118">
        <x:f>AI27+AI34+AI45+AI49-AI20-AI24-AI53-AI57-AI35-AI46-AI50</x:f>
      </x:c>
      <x:c r="AJ63" s="118">
        <x:f>AJ27+AJ34+AJ45+AJ49-AJ20-AJ24-AJ53-AJ57-AJ35-AJ46-AJ50</x:f>
      </x:c>
      <x:c r="AK63" s="118">
        <x:f>AK27+AK34+AK45+AK49-AK20-AK24-AK53-AK57-AK35-AK46-AK50</x:f>
      </x:c>
      <x:c r="AL63" s="118">
        <x:f>AL27+AL34+AL45+AL49-AL20-AL24-AL53-AL57-AL35-AL46-AL50</x:f>
      </x:c>
      <x:c r="AM63" s="118">
        <x:f>AM27+AM34+AM45+AM49-AM20-AM24-AM53-AM57-AM35-AM46-AM50</x:f>
      </x:c>
      <x:c r="AN63" s="118">
        <x:f>AN27+AN34+AN45+AN49-AN20-AN24-AN53-AN57-AN35-AN46-AN50</x:f>
      </x:c>
      <x:c r="AO63" s="118">
        <x:f>AO27+AO34+AO45+AO49-AO20-AO24-AO53-AO57-AO35-AO46-AO50</x:f>
      </x:c>
      <x:c r="AP63" s="118">
        <x:f>AP27+AP34+AP45+AP49-AP20-AP24-AP53-AP57-AP35-AP46-AP50</x:f>
      </x:c>
      <x:c r="AQ63" s="118">
        <x:f>AQ27+AQ34+AQ45+AQ49-AQ20-AQ24-AQ53-AQ57-AQ35-AQ46-AQ50</x:f>
      </x:c>
      <x:c r="AR63" s="118">
        <x:f>AR27+AR34+AR45+AR49-AR20-AR24-AR53-AR57-AR35-AR46-AR50</x:f>
      </x:c>
      <x:c r="AS63" s="118">
        <x:f>AS27+AS34+AS45+AS49-AS20-AS24-AS53-AS57-AS35-AS46-AS50</x:f>
      </x:c>
      <x:c r="AT63" s="118">
        <x:f>AT27+AT34+AT45+AT49-AT20-AT24-AT53-AT57-AT35-AT46-AT50</x:f>
      </x:c>
      <x:c r="AU63" s="118">
        <x:f>AU27+AU34+AU45+AU49-AU20-AU24-AU53-AU57-AU35-AU46-AU50</x:f>
      </x:c>
      <x:c r="AV63" s="118">
        <x:f>AV27+AV34+AV45+AV49-AV20-AV24-AV53-AV57-AV35-AV46-AV50</x:f>
      </x:c>
      <x:c r="AW63" s="118">
        <x:f>AW27+AW34+AW45+AW49-AW20-AW24-AW53-AW57-AW35-AW46-AW50</x:f>
      </x:c>
      <x:c r="AX63" s="118">
        <x:f>AX27+AX34+AX45+AX49-AX20-AX24-AX53-AX57-AX35-AX46-AX50</x:f>
      </x:c>
      <x:c r="AY63" s="118">
        <x:f>AY27+AY34+AY45+AY49-AY20-AY24-AY53-AY57-AY35-AY46-AY50</x:f>
      </x:c>
      <x:c r="AZ63" s="118">
        <x:f>AZ27+AZ34+AZ45+AZ49-AZ20-AZ24-AZ53-AZ57-AZ35-AZ46-AZ50</x:f>
      </x:c>
      <x:c r="BA63" s="118">
        <x:f>BA27+BA34+BA45+BA49-BA20-BA24-BA53-BA57-BA35-BA46-BA50</x:f>
      </x:c>
      <x:c r="BB63" s="118">
        <x:f>BB27+BB34+BB45+BB49-BB20-BB24-BB53-BB57-BB35-BB46-BB50</x:f>
      </x:c>
      <x:c r="BC63" s="118">
        <x:f>BC27+BC34+BC45+BC49-BC20-BC24-BC53-BC57-BC35-BC46-BC50</x:f>
      </x:c>
      <x:c r="BD63" s="118">
        <x:f>BD27+BD34+BD45+BD49-BD20-BD24-BD53-BD57-BD35-BD46-BD50</x:f>
      </x:c>
      <x:c r="BE63" s="118">
        <x:f>BE27+BE34+BE45+BE49-BE20-BE24-BE53-BE57-BE35-BE46-BE50</x:f>
      </x:c>
      <x:c r="BF63" s="118">
        <x:f>BF27+BF34+BF45+BF49-BF20-BF24-BF53-BF57-BF35-BF46-BF50</x:f>
      </x:c>
      <x:c r="BG63" s="118">
        <x:f>BG27+BG34+BG45+BG49-BG20-BG24-BG53-BG57-BG35-BG46-BG50</x:f>
      </x:c>
      <x:c r="BH63" s="118">
        <x:f>BH27+BH34+BH45+BH49-BH20-BH24-BH53-BH57-BH35-BH46-BH50</x:f>
      </x:c>
      <x:c r="BI63" s="118">
        <x:f>BI27+BI34+BI45+BI49-BI20-BI24-BI53-BI57-BI35-BI46-BI50</x:f>
      </x:c>
      <x:c r="BJ63" s="118">
        <x:f>BJ27+BJ34+BJ45+BJ49-BJ20-BJ24-BJ53-BJ57-BJ35-BJ46-BJ50</x:f>
      </x:c>
      <x:c r="BK63" s="118">
        <x:f>BK27+BK34+BK45+BK49-BK20-BK24-BK53-BK57-BK35-BK46-BK50</x:f>
      </x:c>
      <x:c r="BL63" s="118">
        <x:f>BL27+BL34+BL45+BL49-BL20-BL24-BL53-BL57-BL35-BL46-BL50</x:f>
      </x:c>
      <x:c r="BM63" s="118">
        <x:f>BM27+BM34+BM45+BM49-BM20-BM24-BM53-BM57-BM35-BM46-BM50</x:f>
      </x:c>
      <x:c r="BN63" s="118">
        <x:f>BN27+BN34+BN45+BN49-BN20-BN24-BN53-BN57-BN35-BN46-BN50</x:f>
      </x:c>
      <x:c r="BO63" s="118">
        <x:f>BO27+BO34+BO45+BO49-BO20-BO24-BO53-BO57-BO35-BO46-BO50</x:f>
      </x:c>
      <x:c r="BP63" s="118">
        <x:f>BP27+BP34+BP45+BP49-BP20-BP24-BP53-BP57-BP35-BP46-BP50</x:f>
      </x:c>
      <x:c r="BQ63" s="118">
        <x:f>BQ27+BQ34+BQ45+BQ49-BQ20-BQ24-BQ53-BQ57-BQ35-BQ46-BQ50</x:f>
      </x:c>
      <x:c r="BR63" s="118">
        <x:f>BR27+BR34+BR45+BR49-BR20-BR24-BR53-BR57-BR35-BR46-BR50</x:f>
      </x:c>
      <x:c r="BS63" s="118">
        <x:f>BS27+BS34+BS45+BS49-BS20-BS24-BS53-BS57-BS35-BS46-BS50</x:f>
      </x:c>
      <x:c r="BT63" s="118">
        <x:f>BT27+BT34+BT45+BT49-BT20-BT24-BT53-BT57-BT35-BT46-BT50</x:f>
      </x:c>
      <x:c r="BU63" s="118">
        <x:f>BU27+BU34+BU45+BU49-BU20-BU24-BU53-BU57-BU35-BU46-BU50</x:f>
      </x:c>
      <x:c r="BV63" s="118">
        <x:f>BV27+BV34+BV45+BV49-BV20-BV24-BV53-BV57-BV35-BV46-BV50</x:f>
      </x:c>
      <x:c r="BW63" s="118">
        <x:f>BW27+BW34+BW45+BW49-BW20-BW24-BW53-BW57-BW35-BW46-BW50</x:f>
      </x:c>
      <x:c r="BX63" s="118">
        <x:f>BX27+BX34+BX45+BX49-BX20-BX24-BX53-BX57-BX35-BX46-BX50</x:f>
      </x:c>
      <x:c r="BY63" s="118">
        <x:f>BY27+BY34+BY45+BY49-BY20-BY24-BY53-BY57-BY35-BY46-BY50</x:f>
      </x:c>
      <x:c r="BZ63" s="118">
        <x:f>BZ27+BZ34+BZ45+BZ49-BZ20-BZ24-BZ53-BZ57-BZ35-BZ46-BZ50</x:f>
      </x:c>
      <x:c r="CA63" s="118">
        <x:f>CA27+CA34+CA45+CA49-CA20-CA24-CA53-CA57-CA35-CA46-CA50</x:f>
      </x:c>
      <x:c r="CB63" s="118">
        <x:f>CB27+CB34+CB45+CB49-CB20-CB24-CB53-CB57-CB35-CB46-CB50</x:f>
      </x:c>
      <x:c r="CC63" s="118">
        <x:f>CC27+CC34+CC45+CC49-CC20-CC24-CC53-CC57-CC35-CC46-CC50</x:f>
      </x:c>
      <x:c r="CD63" s="118">
        <x:f>CD27+CD34+CD45+CD49-CD20-CD24-CD53-CD57-CD35-CD46-CD50</x:f>
      </x:c>
      <x:c r="CE63" s="118">
        <x:f>CE27+CE34+CE45+CE49-CE20-CE24-CE53-CE57-CE35-CE46-CE50</x:f>
      </x:c>
      <x:c r="CF63" s="118">
        <x:f>CF27+CF34+CF45+CF49-CF20-CF24-CF53-CF57-CF35-CF46-CF50</x:f>
      </x:c>
      <x:c r="CG63" s="118">
        <x:f>CG27+CG34+CG45+CG49-CG20-CG24-CG53-CG57-CG35-CG46-CG50</x:f>
      </x:c>
      <x:c r="CH63" s="118">
        <x:f>CH27+CH34+CH45+CH49-CH20-CH24-CH53-CH57-CH35-CH46-CH50</x:f>
      </x:c>
      <x:c r="CI63" s="118">
        <x:f>CI27+CI34+CI45+CI49-CI20-CI24-CI53-CI57-CI35-CI46-CI50</x:f>
      </x:c>
      <x:c r="CJ63" s="118">
        <x:f>CJ27+CJ34+CJ45+CJ49-CJ20-CJ24-CJ53-CJ57-CJ35-CJ46-CJ50</x:f>
      </x:c>
      <x:c r="CK63" s="118">
        <x:f>CK27+CK34+CK45+CK49-CK20-CK24-CK53-CK57-CK35-CK46-CK50</x:f>
      </x:c>
      <x:c r="CL63" s="118">
        <x:f>CL27+CL34+CL45+CL49-CL20-CL24-CL53-CL57-CL35-CL46-CL50</x:f>
      </x:c>
      <x:c r="CM63" s="118">
        <x:f>CM27+CM34+CM45+CM49-CM20-CM24-CM53-CM57-CM35-CM46-CM50</x:f>
      </x:c>
      <x:c r="CN63" s="118">
        <x:f>CN27+CN34+CN45+CN49-CN20-CN24-CN53-CN57-CN35-CN46-CN50</x:f>
      </x:c>
      <x:c r="CO63" s="118">
        <x:f>CO27+CO34+CO45+CO49-CO20-CO24-CO53-CO57-CO35-CO46-CO50</x:f>
      </x:c>
      <x:c r="CP63" s="118">
        <x:f>CP27+CP34+CP45+CP49-CP20-CP24-CP53-CP57-CP35-CP46-CP50</x:f>
      </x:c>
      <x:c r="CQ63" s="118">
        <x:f>CQ27+CQ34+CQ45+CQ49-CQ20-CQ24-CQ53-CQ57-CQ35-CQ46-CQ50</x:f>
      </x:c>
      <x:c r="CR63" s="118">
        <x:f>CR27+CR34+CR45+CR49-CR20-CR24-CR53-CR57-CR35-CR46-CR50</x:f>
      </x:c>
      <x:c r="CS63" s="118">
        <x:f>CS27+CS34+CS45+CS49-CS20-CS24-CS53-CS57-CS35-CS46-CS50</x:f>
      </x:c>
      <x:c r="CT63" s="118">
        <x:f>CT27+CT34+CT45+CT49-CT20-CT24-CT53-CT57-CT35-CT46-CT50</x:f>
      </x:c>
      <x:c r="CU63" s="118">
        <x:f>CU27+CU34+CU45+CU49-CU20-CU24-CU53-CU57-CU35-CU46-CU50</x:f>
      </x:c>
      <x:c r="CV63" s="118">
        <x:f>CV27+CV34+CV45+CV49-CV20-CV24-CV53-CV57-CV35-CV46-CV50</x:f>
      </x:c>
      <x:c r="CW63" s="118">
        <x:f>CW27+CW34+CW45+CW49-CW20-CW24-CW53-CW57-CW35-CW46-CW50</x:f>
      </x:c>
      <x:c r="CX63" s="118">
        <x:f>CX27+CX34+CX45+CX49-CX20-CX24-CX53-CX57-CX35-CX46-CX50</x:f>
      </x:c>
      <x:c r="CY63" s="118">
        <x:f>CY27+CY34+CY45+CY49-CY20-CY24-CY53-CY57-CY35-CY46-CY50</x:f>
      </x:c>
      <x:c r="CZ63" s="118">
        <x:f>CZ27+CZ34+CZ45+CZ49-CZ20-CZ24-CZ53-CZ57-CZ35-CZ46-CZ50</x:f>
      </x:c>
      <x:c r="DA63" s="118">
        <x:f>DA27+DA34+DA45+DA49-DA20-DA24-DA53-DA57-DA35-DA46-DA50</x:f>
      </x:c>
      <x:c r="DB63" s="118">
        <x:f>DB27+DB34+DB45+DB49-DB20-DB24-DB53-DB57-DB35-DB46-DB50</x:f>
      </x:c>
      <x:c r="DC63" s="118">
        <x:f>DC27+DC34+DC45+DC49-DC20-DC24-DC53-DC57-DC35-DC46-DC50</x:f>
      </x:c>
      <x:c r="DD63" s="118">
        <x:f>DD27+DD34+DD45+DD49-DD20-DD24-DD53-DD57-DD35-DD46-DD50</x:f>
      </x:c>
      <x:c r="DE63" s="118">
        <x:f>DE27+DE34+DE45+DE49-DE20-DE24-DE53-DE57-DE35-DE46-DE50</x:f>
      </x:c>
      <x:c r="DF63" s="118">
        <x:f>DF27+DF34+DF45+DF49-DF20-DF24-DF53-DF57-DF35-DF46-DF50</x:f>
      </x:c>
      <x:c r="DG63" s="118">
        <x:f>DG27+DG34+DG45+DG49-DG20-DG24-DG53-DG57-DG35-DG46-DG50</x:f>
      </x:c>
      <x:c r="DH63" s="118">
        <x:f>DH27+DH34+DH45+DH49-DH20-DH24-DH53-DH57-DH35-DH46-DH50</x:f>
      </x:c>
      <x:c r="DI63" s="118">
        <x:f>DI27+DI34+DI45+DI49-DI20-DI24-DI53-DI57-DI35-DI46-DI50</x:f>
      </x:c>
      <x:c r="DJ63" s="118">
        <x:f>DJ27+DJ34+DJ45+DJ49-DJ20-DJ24-DJ53-DJ57-DJ35-DJ46-DJ50</x:f>
      </x:c>
      <x:c r="DK63" s="118">
        <x:f>DK27+DK34+DK45+DK49-DK20-DK24-DK53-DK57-DK35-DK46-DK50</x:f>
      </x:c>
      <x:c r="DL63" s="118">
        <x:f>DL27+DL34+DL45+DL49-DL20-DL24-DL53-DL57-DL35-DL46-DL50</x:f>
      </x:c>
      <x:c r="DM63" s="118">
        <x:f>DM27+DM34+DM45+DM49-DM20-DM24-DM53-DM57-DM35-DM46-DM50</x:f>
      </x:c>
      <x:c r="DN63" s="118">
        <x:f>DN27+DN34+DN45+DN49-DN20-DN24-DN53-DN57-DN35-DN46-DN50</x:f>
      </x:c>
      <x:c r="DO63" s="118">
        <x:f>DO27+DO34+DO45+DO49-DO20-DO24-DO53-DO57-DO35-DO46-DO50</x:f>
      </x:c>
      <x:c r="DP63" s="118">
        <x:f>DP27+DP34+DP45+DP49-DP20-DP24-DP53-DP57-DP35-DP46-DP50</x:f>
      </x:c>
      <x:c r="DQ63" s="118">
        <x:f>DQ27+DQ34+DQ45+DQ49-DQ20-DQ24-DQ53-DQ57-DQ35-DQ46-DQ50</x:f>
      </x:c>
      <x:c r="DR63" s="118">
        <x:f>DR27+DR34+DR45+DR49-DR20-DR24-DR53-DR57-DR35-DR46-DR50</x:f>
      </x:c>
      <x:c r="DS63" s="118">
        <x:f>DS27+DS34+DS45+DS49-DS20-DS24-DS53-DS57-DS35-DS46-DS50</x:f>
      </x:c>
      <x:c r="DT63" s="118">
        <x:f>DT27+DT34+DT45+DT49-DT20-DT24-DT53-DT57-DT35-DT46-DT50</x:f>
      </x:c>
      <x:c r="DU63" s="118">
        <x:f>DU27+DU34+DU45+DU49-DU20-DU24-DU53-DU57-DU35-DU46-DU50</x:f>
      </x:c>
      <x:c r="DV63" s="118">
        <x:f>DV27+DV34+DV45+DV49-DV20-DV24-DV53-DV57-DV35-DV46-DV50</x:f>
      </x:c>
      <x:c r="DW63" s="118">
        <x:f>DW27+DW34+DW45+DW49-DW20-DW24-DW53-DW57-DW35-DW46-DW50</x:f>
      </x:c>
      <x:c r="DX63" s="118">
        <x:f>DX27+DX34+DX45+DX49-DX20-DX24-DX53-DX57-DX35-DX46-DX50</x:f>
      </x:c>
      <x:c r="DY63" s="118">
        <x:f>DY27+DY34+DY45+DY49-DY20-DY24-DY53-DY57-DY35-DY46-DY50</x:f>
      </x:c>
      <x:c r="DZ63" s="118">
        <x:f>DZ27+DZ34+DZ45+DZ49-DZ20-DZ24-DZ53-DZ57-DZ35-DZ46-DZ50</x:f>
      </x:c>
      <x:c r="EA63" s="118">
        <x:f>EA27+EA34+EA45+EA49-EA20-EA24-EA53-EA57-EA35-EA46-EA50</x:f>
      </x:c>
      <x:c r="EB63" s="118">
        <x:f>EB27+EB34+EB45+EB49-EB20-EB24-EB53-EB57-EB35-EB46-EB50</x:f>
      </x:c>
      <x:c r="EC63" s="118">
        <x:f>EC27+EC34+EC45+EC49-EC20-EC24-EC53-EC57-EC35-EC46-EC50</x:f>
      </x:c>
      <x:c r="ED63" s="118">
        <x:f>ED27+ED34+ED45+ED49-ED20-ED24-ED53-ED57-ED35-ED46-ED50</x:f>
      </x:c>
      <x:c r="EE63" s="118">
        <x:f>EE27+EE34+EE45+EE49-EE20-EE24-EE53-EE57-EE35-EE46-EE50</x:f>
      </x:c>
      <x:c r="EF63" s="118">
        <x:f>EF27+EF34+EF45+EF49-EF20-EF24-EF53-EF57-EF35-EF46-EF50</x:f>
      </x:c>
      <x:c r="EG63" s="118">
        <x:f>EG27+EG34+EG45+EG49-EG20-EG24-EG53-EG57-EG35-EG46-EG50</x:f>
      </x:c>
      <x:c r="EH63" s="118">
        <x:f>EH27+EH34+EH45+EH49-EH20-EH24-EH53-EH57-EH35-EH46-EH50</x:f>
      </x:c>
      <x:c r="EI63" s="118">
        <x:f>EI27+EI34+EI45+EI49-EI20-EI24-EI53-EI57-EI35-EI46-EI50</x:f>
      </x:c>
      <x:c r="EJ63" s="118">
        <x:f>EJ27+EJ34+EJ45+EJ49-EJ20-EJ24-EJ53-EJ57-EJ35-EJ46-EJ50</x:f>
      </x:c>
      <x:c r="EK63" s="118">
        <x:f>EK27+EK34+EK45+EK49-EK20-EK24-EK53-EK57-EK35-EK46-EK50</x:f>
      </x:c>
      <x:c r="EL63" s="118">
        <x:f>EL27+EL34+EL45+EL49-EL20-EL24-EL53-EL57-EL35-EL46-EL50</x:f>
      </x:c>
      <x:c r="EM63" s="118">
        <x:f>EM27+EM34+EM45+EM49-EM20-EM24-EM53-EM57-EM35-EM46-EM50</x:f>
      </x:c>
      <x:c r="EN63" s="118">
        <x:f>EN27+EN34+EN45+EN49-EN20-EN24-EN53-EN57-EN35-EN46-EN50</x:f>
      </x:c>
      <x:c r="EO63" s="118">
        <x:f>EO27+EO34+EO45+EO49-EO20-EO24-EO53-EO57-EO35-EO46-EO50</x:f>
      </x:c>
      <x:c r="EP63" s="118">
        <x:f>EP27+EP34+EP45+EP49-EP20-EP24-EP53-EP57-EP35-EP46-EP50</x:f>
      </x:c>
      <x:c r="EQ63" s="118">
        <x:f>EQ27+EQ34+EQ45+EQ49-EQ20-EQ24-EQ53-EQ57-EQ35-EQ46-EQ50</x:f>
      </x:c>
      <x:c r="ER63" s="118">
        <x:f>ER27+ER34+ER45+ER49-ER20-ER24-ER53-ER57-ER35-ER46-ER50</x:f>
      </x:c>
      <x:c r="ES63" s="118">
        <x:f>ES27+ES34+ES45+ES49-ES20-ES24-ES53-ES57-ES35-ES46-ES50</x:f>
      </x:c>
      <x:c r="ET63" s="118">
        <x:f>ET27+ET34+ET45+ET49-ET20-ET24-ET53-ET57-ET35-ET46-ET50</x:f>
      </x:c>
      <x:c r="EU63" s="118">
        <x:f>EU27+EU34+EU45+EU49-EU20-EU24-EU53-EU57-EU35-EU46-EU50</x:f>
      </x:c>
      <x:c r="EV63" s="118">
        <x:f>EV27+EV34+EV45+EV49-EV20-EV24-EV53-EV57-EV35-EV46-EV50</x:f>
      </x:c>
      <x:c r="EW63" s="118">
        <x:f>EW27+EW34+EW45+EW49-EW20-EW24-EW53-EW57-EW35-EW46-EW50</x:f>
      </x:c>
      <x:c r="EX63" s="118">
        <x:f>EX27+EX34+EX45+EX49-EX20-EX24-EX53-EX57-EX35-EX46-EX50</x:f>
      </x:c>
      <x:c r="EY63" s="118">
        <x:f>EY27+EY34+EY45+EY49-EY20-EY24-EY53-EY57-EY35-EY46-EY50</x:f>
      </x:c>
      <x:c r="EZ63" s="118">
        <x:f>EZ27+EZ34+EZ45+EZ49-EZ20-EZ24-EZ53-EZ57-EZ35-EZ46-EZ50</x:f>
      </x:c>
      <x:c r="FA63" s="118">
        <x:f>FA27+FA34+FA45+FA49-FA20-FA24-FA53-FA57-FA35-FA46-FA50</x:f>
      </x:c>
      <x:c r="FB63" s="118">
        <x:f>FB27+FB34+FB45+FB49-FB20-FB24-FB53-FB57-FB35-FB46-FB50</x:f>
      </x:c>
      <x:c r="FC63" s="118">
        <x:f>FC27+FC34+FC45+FC49-FC20-FC24-FC53-FC57-FC35-FC46-FC50</x:f>
      </x:c>
      <x:c r="FD63" s="118">
        <x:f>FD27+FD34+FD45+FD49-FD20-FD24-FD53-FD57-FD35-FD46-FD50</x:f>
      </x:c>
      <x:c r="FE63" s="118">
        <x:f>FE27+FE34+FE45+FE49-FE20-FE24-FE53-FE57-FE35-FE46-FE50</x:f>
      </x:c>
      <x:c r="FF63" s="118">
        <x:f>FF27+FF34+FF45+FF49-FF20-FF24-FF53-FF57-FF35-FF46-FF50</x:f>
      </x:c>
      <x:c r="FG63" s="118">
        <x:f>FG27+FG34+FG45+FG49-FG20-FG24-FG53-FG57-FG35-FG46-FG50</x:f>
      </x:c>
      <x:c r="FH63" s="118">
        <x:f>FH27+FH34+FH45+FH49-FH20-FH24-FH53-FH57-FH35-FH46-FH50</x:f>
      </x:c>
      <x:c r="FI63" s="118">
        <x:f>FI27+FI34+FI45+FI49-FI20-FI24-FI53-FI57-FI35-FI46-FI50</x:f>
      </x:c>
      <x:c r="FJ63" s="118">
        <x:f>FJ27+FJ34+FJ45+FJ49-FJ20-FJ24-FJ53-FJ57-FJ35-FJ46-FJ50</x:f>
      </x:c>
      <x:c r="FK63" s="118">
        <x:f>FK27+FK34+FK45+FK49-FK20-FK24-FK53-FK57-FK35-FK46-FK50</x:f>
      </x:c>
      <x:c r="FL63" s="118">
        <x:f>FL27+FL34+FL45+FL49-FL20-FL24-FL53-FL57-FL35-FL46-FL50</x:f>
      </x:c>
      <x:c r="FM63" s="118">
        <x:f>FM27+FM34+FM45+FM49-FM20-FM24-FM53-FM57-FM35-FM46-FM50</x:f>
      </x:c>
      <x:c r="FN63" s="118">
        <x:f>FN27+FN34+FN45+FN49-FN20-FN24-FN53-FN57-FN35-FN46-FN50</x:f>
      </x:c>
      <x:c r="FO63" s="118">
        <x:f>FO27+FO34+FO45+FO49-FO20-FO24-FO53-FO57-FO35-FO46-FO50</x:f>
      </x:c>
      <x:c r="FP63" s="118">
        <x:f>FP27+FP34+FP45+FP49-FP20-FP24-FP53-FP57-FP35-FP46-FP50</x:f>
      </x:c>
      <x:c r="FQ63" s="118">
        <x:f>FQ27+FQ34+FQ45+FQ49-FQ20-FQ24-FQ53-FQ57-FQ35-FQ46-FQ50</x:f>
      </x:c>
      <x:c r="FR63" s="118">
        <x:f>FR27+FR34+FR45+FR49-FR20-FR24-FR53-FR57-FR35-FR46-FR50</x:f>
      </x:c>
      <x:c r="FS63" s="118">
        <x:f>FS27+FS34+FS45+FS49-FS20-FS24-FS53-FS57-FS35-FS46-FS50</x:f>
      </x:c>
      <x:c r="FT63" s="118">
        <x:f>FT27+FT34+FT45+FT49-FT20-FT24-FT53-FT57-FT35-FT46-FT50</x:f>
      </x:c>
      <x:c r="FU63" s="118">
        <x:f>FU27+FU34+FU45+FU49-FU20-FU24-FU53-FU57-FU35-FU46-FU50</x:f>
      </x:c>
      <x:c r="FV63" s="118">
        <x:f>FV27+FV34+FV45+FV49-FV20-FV24-FV53-FV57-FV35-FV46-FV50</x:f>
      </x:c>
      <x:c r="FW63" s="118">
        <x:f>FW27+FW34+FW45+FW49-FW20-FW24-FW53-FW57-FW35-FW46-FW50</x:f>
      </x:c>
      <x:c r="FX63" s="118">
        <x:f>FX27+FX34+FX45+FX49-FX20-FX24-FX53-FX57-FX35-FX46-FX50</x:f>
      </x:c>
      <x:c r="FY63" s="118">
        <x:f>FY27+FY34+FY45+FY49-FY20-FY24-FY53-FY57-FY35-FY46-FY50</x:f>
      </x:c>
      <x:c r="FZ63" s="118">
        <x:f>FZ27+FZ34+FZ45+FZ49-FZ20-FZ24-FZ53-FZ57-FZ35-FZ46-FZ50</x:f>
      </x:c>
      <x:c r="GA63" s="118">
        <x:f>GA27+GA34+GA45+GA49-GA20-GA24-GA53-GA57-GA35-GA46-GA50</x:f>
      </x:c>
    </x:row>
    <x:row r="66" ht="21" customHeight="1">
      <x:c r="A66" s="52" t="str">
        <x:v>СВОДКА ОЧЕРЕДИ 4</x:v>
      </x:c>
      <x:c r="B66" s="53" t="str">
        <x:v>СВОДКА ОЧЕРЕДИ 4</x:v>
      </x:c>
      <x:c r="C66" s="54" t="str">
        <x:v>СВОДКА ОЧЕРЕДИ 4</x:v>
      </x:c>
    </x:row>
    <x:row r="67">
      <x:c r="A67" s="99" t="str">
        <x:v>Выручка</x:v>
      </x:c>
      <x:c r="B67" s="116" t="n">
        <x:f>B10</x:f>
      </x:c>
      <x:c r="C67" s="99" t="str">
        <x:v>млн ₽</x:v>
      </x:c>
    </x:row>
    <x:row r="68">
      <x:c r="A68" s="99" t="str">
        <x:v>CAPEX</x:v>
      </x:c>
      <x:c r="B68" s="116" t="n">
        <x:f>B17</x:f>
      </x:c>
      <x:c r="C68" s="99" t="str">
        <x:v>млн ₽</x:v>
      </x:c>
    </x:row>
    <x:row r="69">
      <x:c r="A69" s="99" t="str">
        <x:v>Коммерческие расходы</x:v>
      </x:c>
      <x:c r="B69" s="116" t="n">
        <x:f>SUM(B18:B19)</x:f>
      </x:c>
      <x:c r="C69" s="99" t="str">
        <x:v>млн ₽</x:v>
      </x:c>
    </x:row>
    <x:row r="70">
      <x:c r="A70" s="99" t="str">
        <x:v>EBITDA</x:v>
      </x:c>
      <x:c r="B70" s="116" t="n">
        <x:f>B10-B20</x:f>
      </x:c>
      <x:c r="C70" s="99" t="str">
        <x:v>млн ₽</x:v>
      </x:c>
    </x:row>
    <x:row r="71">
      <x:c r="A71" s="99" t="str">
        <x:v>Проценты БРИДЖ</x:v>
      </x:c>
      <x:c r="B71" s="116" t="n">
        <x:f>B32</x:f>
      </x:c>
      <x:c r="C71" s="99" t="str">
        <x:v>млн ₽</x:v>
      </x:c>
    </x:row>
    <x:row r="72">
      <x:c r="A72" s="99" t="str">
        <x:v>Проценты ПФ</x:v>
      </x:c>
      <x:c r="B72" s="116" t="n">
        <x:f>B42</x:f>
      </x:c>
      <x:c r="C72" s="99" t="str">
        <x:v>млн ₽</x:v>
      </x:c>
    </x:row>
    <x:row r="73">
      <x:c r="A73" s="99" t="str">
        <x:v>Комиссии ПФ</x:v>
      </x:c>
      <x:c r="B73" s="116" t="n">
        <x:f>B43</x:f>
      </x:c>
      <x:c r="C73" s="99" t="str">
        <x:v>млн ₽</x:v>
      </x:c>
    </x:row>
    <x:row r="74">
      <x:c r="A74" s="99" t="str">
        <x:v>Стоимость финансирования (кассовая)</x:v>
      </x:c>
      <x:c r="B74" s="116" t="n">
        <x:f>SUM(B53,B57)+IF('Вводные'!$B$31="Оплата капиталом",MAX(D37:GA37),0)</x:f>
      </x:c>
      <x:c r="C74" s="99" t="str">
        <x:v>млн ₽</x:v>
      </x:c>
    </x:row>
    <x:row r="75">
      <x:c r="A75" s="99" t="str">
        <x:v>Прибыль до налога</x:v>
      </x:c>
      <x:c r="B75" s="116" t="n">
        <x:f>B10-B20-B74</x:f>
      </x:c>
      <x:c r="C75" s="99" t="str">
        <x:v>млн ₽</x:v>
      </x:c>
    </x:row>
    <x:row r="76">
      <x:c r="A76" s="99" t="str">
        <x:v>Налог на прибыль</x:v>
      </x:c>
      <x:c r="B76" s="116" t="n">
        <x:f>B24</x:f>
      </x:c>
      <x:c r="C76" s="99" t="str">
        <x:v>млн ₽</x:v>
      </x:c>
    </x:row>
    <x:row r="77">
      <x:c r="A77" s="99" t="str">
        <x:v>Чистая прибыль (кассовая по очереди)</x:v>
      </x:c>
      <x:c r="B77" s="116" t="n">
        <x:f>B75-B76-B21</x:f>
      </x:c>
      <x:c r="C77" s="99" t="str">
        <x:v>млн ₽</x:v>
      </x:c>
    </x:row>
    <x:row r="78">
      <x:c r="A78" s="99" t="str">
        <x:v>Вложено собственного капитала</x:v>
      </x:c>
      <x:c r="B78" s="116" t="n">
        <x:f>B49</x:f>
      </x:c>
      <x:c r="C78" s="99" t="str">
        <x:v>млн ₽</x:v>
      </x:c>
    </x:row>
    <x:row r="79">
      <x:c r="A79" s="99" t="str">
        <x:v>Распределено собственнику</x:v>
      </x:c>
      <x:c r="B79" s="116" t="n">
        <x:f>B50</x:f>
      </x:c>
      <x:c r="C79" s="99" t="str">
        <x:v>млн ₽</x:v>
      </x:c>
    </x:row>
    <x:row r="80">
      <x:c r="A80" s="99" t="str">
        <x:v>IRR собственного капитала</x:v>
      </x:c>
      <x:c r="B80" s="130" t="str">
        <x:f>IF(B86&gt;0.5,"N/A (долг не погашен)",IF(B49&lt;1,"N/A (капитал не привлекался)",IF(AND(MIN(D51:GA51)&lt;0,MAX(D51:GA51)&gt;0),IFERROR(XIRR(D51:GA51,D3:GA3,0.1),IFERROR(XIRR(D51:GA51,D3:GA3,1),IFERROR(XIRR(D51:GA51,D3:GA3,5),""))),"")))</x:f>
      </x:c>
      <x:c r="C80" s="99" t="str">
        <x:v>% год</x:v>
      </x:c>
    </x:row>
    <x:row r="81">
      <x:c r="A81" s="99" t="str">
        <x:v>NPV собственного капитала</x:v>
      </x:c>
      <x:c r="B81" s="116" t="n">
        <x:f>IF(B86&gt;0.5,"N/A (долг не погашен)",D51+NPV('Вводные'!$B$23/12,E51:GA51))</x:f>
      </x:c>
      <x:c r="C81" s="99" t="str">
        <x:v>млн ₽</x:v>
      </x:c>
    </x:row>
    <x:row r="82">
      <x:c r="A82" t="inlineStr">
        <x:is>
          <x:t>Пиковый долг БРИДЖ (тело долга)</x:t>
        </x:is>
      </x:c>
      <x:c r="B82" s="116" t="n">
        <x:f>MAX(D36:GA36)</x:f>
      </x:c>
      <x:c r="C82" s="99" t="str">
        <x:v>млн ₽</x:v>
      </x:c>
    </x:row>
    <x:row r="83">
      <x:c r="A83" s="99" t="str">
        <x:v>Пиковый долг ПФ</x:v>
      </x:c>
      <x:c r="B83" s="116" t="n">
        <x:f>MAX(D47:GA47)</x:f>
      </x:c>
      <x:c r="C83" s="99" t="str">
        <x:v>млн ₽</x:v>
      </x:c>
    </x:row>
    <x:row r="84">
      <x:c r="A84" s="99" t="str">
        <x:v>Пиковый эскроу</x:v>
      </x:c>
      <x:c r="B84" s="116" t="n">
        <x:f>MAX(D15:GA15)</x:f>
      </x:c>
      <x:c r="C84" s="99" t="str">
        <x:v>млн ₽</x:v>
      </x:c>
    </x:row>
    <x:row r="85">
      <x:c r="A85" t="inlineStr">
        <x:is>
          <x:t>LLCR очереди (за весь срок)</x:t>
        </x:is>
      </x:c>
      <x:c r="B85" s="131" t="n">
        <x:f>IFERROR((B67-B68-B69-B76-B21+SUM(D45:GA45))/(SUM(D45:GA45)+B74),0)</x:f>
      </x:c>
      <x:c r="C85" s="99" t="str">
        <x:v>×</x:v>
      </x:c>
    </x:row>
    <x:row r="86">
      <x:c r="A86" s="99" t="str">
        <x:v>Непогашенный долг на конец проекта</x:v>
      </x:c>
      <x:c r="B86" s="116" t="n">
        <x:f>B36+B47</x:f>
      </x:c>
      <x:c r="C86" s="99" t="str">
        <x:v>млн ₽</x:v>
      </x:c>
    </x:row>
  </x:sheetData>
  <x:mergeCells>
    <x:mergeCell ref="A1:GA1"/>
    <x:mergeCell ref="A66:C66"/>
  </x:mergeCells>
  <x:pageMargins left="0.7" right="0.7" top="0.75" bottom="0.75" header="0.3" footer="0.3"/>
</x:worksheet>
</file>